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mc:AlternateContent xmlns:mc="http://schemas.openxmlformats.org/markup-compatibility/2006">
    <mc:Choice Requires="x15">
      <x15ac:absPath xmlns:x15ac="http://schemas.microsoft.com/office/spreadsheetml/2010/11/ac" url="/Users/elliotl/Documents/temp/"/>
    </mc:Choice>
  </mc:AlternateContent>
  <xr:revisionPtr revIDLastSave="0" documentId="13_ncr:1_{6D2322A4-A47D-534E-8F33-7CF8236AC007}" xr6:coauthVersionLast="47" xr6:coauthVersionMax="47" xr10:uidLastSave="{00000000-0000-0000-0000-000000000000}"/>
  <bookViews>
    <workbookView xWindow="1120" yWindow="680" windowWidth="33080" windowHeight="21460" activeTab="1" xr2:uid="{00000000-000D-0000-FFFF-FFFF00000000}"/>
  </bookViews>
  <sheets>
    <sheet name="Version" sheetId="2" r:id="rId1"/>
    <sheet name="MSL" sheetId="12" r:id="rId2"/>
    <sheet name="Column Definitions" sheetId="4" r:id="rId3"/>
    <sheet name="Taxa Renamed or Abolished" sheetId="8" r:id="rId4"/>
    <sheet name="Taxon Counts" sheetId="9" r:id="rId5"/>
  </sheets>
  <definedNames>
    <definedName name="_xlnm._FilterDatabase" localSheetId="1" hidden="1">MSL!$A$1:$U$17555</definedName>
    <definedName name="_xlnm._FilterDatabase" localSheetId="3" hidden="1">'Taxa Renamed or Abolished'!$A$1:$D$4496</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U17555" i="12" l="1"/>
  <c r="U17554" i="12"/>
  <c r="U17553" i="12"/>
  <c r="U17552" i="12"/>
  <c r="U17551" i="12"/>
  <c r="U17550" i="12"/>
  <c r="U17549" i="12"/>
  <c r="U17548" i="12"/>
  <c r="U17547" i="12"/>
  <c r="U17546" i="12"/>
  <c r="U17545" i="12"/>
  <c r="U17544" i="12"/>
  <c r="U17543" i="12"/>
  <c r="U17542" i="12"/>
  <c r="U17541" i="12"/>
  <c r="U17540" i="12"/>
  <c r="U17539" i="12"/>
  <c r="U17538" i="12"/>
  <c r="U17537" i="12"/>
  <c r="U17536" i="12"/>
  <c r="U17535" i="12"/>
  <c r="U17534" i="12"/>
  <c r="U17533" i="12"/>
  <c r="U17532" i="12"/>
  <c r="U17531" i="12"/>
  <c r="U17530" i="12"/>
  <c r="U17529" i="12"/>
  <c r="U17528" i="12"/>
  <c r="U17527" i="12"/>
  <c r="U17526" i="12"/>
  <c r="U17525" i="12"/>
  <c r="U17524" i="12"/>
  <c r="U17523" i="12"/>
  <c r="U17522" i="12"/>
  <c r="U17521" i="12"/>
  <c r="U17520" i="12"/>
  <c r="U17519" i="12"/>
  <c r="U17518" i="12"/>
  <c r="U17517" i="12"/>
  <c r="U17516" i="12"/>
  <c r="U17515" i="12"/>
  <c r="U17514" i="12"/>
  <c r="U17513" i="12"/>
  <c r="U17512" i="12"/>
  <c r="U17511" i="12"/>
  <c r="U17510" i="12"/>
  <c r="U17509" i="12"/>
  <c r="U17508" i="12"/>
  <c r="U17507" i="12"/>
  <c r="U17506" i="12"/>
  <c r="U17505" i="12"/>
  <c r="U17504" i="12"/>
  <c r="U17503" i="12"/>
  <c r="U17502" i="12"/>
  <c r="U17501" i="12"/>
  <c r="U17500" i="12"/>
  <c r="U17499" i="12"/>
  <c r="U17498" i="12"/>
  <c r="U17497" i="12"/>
  <c r="U17496" i="12"/>
  <c r="U17495" i="12"/>
  <c r="U17494" i="12"/>
  <c r="U17493" i="12"/>
  <c r="U17492" i="12"/>
  <c r="U17491" i="12"/>
  <c r="U17490" i="12"/>
  <c r="U17489" i="12"/>
  <c r="U17488" i="12"/>
  <c r="U17487" i="12"/>
  <c r="U17486" i="12"/>
  <c r="U17485" i="12"/>
  <c r="U17484" i="12"/>
  <c r="U17483" i="12"/>
  <c r="U17482" i="12"/>
  <c r="U17481" i="12"/>
  <c r="U17480" i="12"/>
  <c r="U17479" i="12"/>
  <c r="U17478" i="12"/>
  <c r="U17477" i="12"/>
  <c r="U17476" i="12"/>
  <c r="U17475" i="12"/>
  <c r="U17474" i="12"/>
  <c r="U17473" i="12"/>
  <c r="U17472" i="12"/>
  <c r="U17471" i="12"/>
  <c r="U17470" i="12"/>
  <c r="U17469" i="12"/>
  <c r="U17468" i="12"/>
  <c r="U17467" i="12"/>
  <c r="U17466" i="12"/>
  <c r="U17465" i="12"/>
  <c r="U17464" i="12"/>
  <c r="U17463" i="12"/>
  <c r="U17462" i="12"/>
  <c r="U17461" i="12"/>
  <c r="U17460" i="12"/>
  <c r="U17459" i="12"/>
  <c r="U17458" i="12"/>
  <c r="U17457" i="12"/>
  <c r="U17456" i="12"/>
  <c r="U17455" i="12"/>
  <c r="U17454" i="12"/>
  <c r="U17453" i="12"/>
  <c r="U17452" i="12"/>
  <c r="U17451" i="12"/>
  <c r="U17450" i="12"/>
  <c r="U17449" i="12"/>
  <c r="U17448" i="12"/>
  <c r="U17447" i="12"/>
  <c r="U17446" i="12"/>
  <c r="U17445" i="12"/>
  <c r="U17444" i="12"/>
  <c r="U17443" i="12"/>
  <c r="U17442" i="12"/>
  <c r="U17441" i="12"/>
  <c r="U17440" i="12"/>
  <c r="U17439" i="12"/>
  <c r="U17438" i="12"/>
  <c r="U17437" i="12"/>
  <c r="U17436" i="12"/>
  <c r="U17435" i="12"/>
  <c r="U17434" i="12"/>
  <c r="U17433" i="12"/>
  <c r="U17432" i="12"/>
  <c r="U17431" i="12"/>
  <c r="U17430" i="12"/>
  <c r="U17429" i="12"/>
  <c r="U17428" i="12"/>
  <c r="U17427" i="12"/>
  <c r="U17426" i="12"/>
  <c r="U17425" i="12"/>
  <c r="U17424" i="12"/>
  <c r="U17423" i="12"/>
  <c r="U17422" i="12"/>
  <c r="U17421" i="12"/>
  <c r="U17420" i="12"/>
  <c r="U17419" i="12"/>
  <c r="U17418" i="12"/>
  <c r="U17417" i="12"/>
  <c r="U17416" i="12"/>
  <c r="U17415" i="12"/>
  <c r="U17414" i="12"/>
  <c r="U17413" i="12"/>
  <c r="U17412" i="12"/>
  <c r="U17411" i="12"/>
  <c r="U17410" i="12"/>
  <c r="U17409" i="12"/>
  <c r="U17408" i="12"/>
  <c r="U17407" i="12"/>
  <c r="U17406" i="12"/>
  <c r="U17405" i="12"/>
  <c r="U17404" i="12"/>
  <c r="U17403" i="12"/>
  <c r="U17402" i="12"/>
  <c r="U17401" i="12"/>
  <c r="U17400" i="12"/>
  <c r="U17399" i="12"/>
  <c r="U17398" i="12"/>
  <c r="U17397" i="12"/>
  <c r="U17396" i="12"/>
  <c r="U17395" i="12"/>
  <c r="U17394" i="12"/>
  <c r="U17393" i="12"/>
  <c r="U17392" i="12"/>
  <c r="U17391" i="12"/>
  <c r="U17390" i="12"/>
  <c r="U17389" i="12"/>
  <c r="U17388" i="12"/>
  <c r="U17387" i="12"/>
  <c r="U17386" i="12"/>
  <c r="U17385" i="12"/>
  <c r="U17384" i="12"/>
  <c r="U17383" i="12"/>
  <c r="U17382" i="12"/>
  <c r="U17381" i="12"/>
  <c r="U17380" i="12"/>
  <c r="U17379" i="12"/>
  <c r="U17378" i="12"/>
  <c r="U17377" i="12"/>
  <c r="U17376" i="12"/>
  <c r="U17375" i="12"/>
  <c r="U17374" i="12"/>
  <c r="U17373" i="12"/>
  <c r="U17372" i="12"/>
  <c r="U17371" i="12"/>
  <c r="U17370" i="12"/>
  <c r="U17369" i="12"/>
  <c r="U17368" i="12"/>
  <c r="U17367" i="12"/>
  <c r="U17366" i="12"/>
  <c r="U17365" i="12"/>
  <c r="U17364" i="12"/>
  <c r="U17363" i="12"/>
  <c r="U17362" i="12"/>
  <c r="U17361" i="12"/>
  <c r="U17360" i="12"/>
  <c r="U17359" i="12"/>
  <c r="U17358" i="12"/>
  <c r="U17357" i="12"/>
  <c r="U17356" i="12"/>
  <c r="U17355" i="12"/>
  <c r="U17354" i="12"/>
  <c r="U17353" i="12"/>
  <c r="U17352" i="12"/>
  <c r="U17351" i="12"/>
  <c r="U17350" i="12"/>
  <c r="U17349" i="12"/>
  <c r="U17348" i="12"/>
  <c r="U17347" i="12"/>
  <c r="U17346" i="12"/>
  <c r="U17345" i="12"/>
  <c r="U17344" i="12"/>
  <c r="U17343" i="12"/>
  <c r="U17342" i="12"/>
  <c r="U17341" i="12"/>
  <c r="U17340" i="12"/>
  <c r="U17339" i="12"/>
  <c r="U17338" i="12"/>
  <c r="U17337" i="12"/>
  <c r="U17336" i="12"/>
  <c r="U17335" i="12"/>
  <c r="U17334" i="12"/>
  <c r="U17333" i="12"/>
  <c r="U17332" i="12"/>
  <c r="U17331" i="12"/>
  <c r="U17330" i="12"/>
  <c r="U17329" i="12"/>
  <c r="U17328" i="12"/>
  <c r="U17327" i="12"/>
  <c r="U17326" i="12"/>
  <c r="U17325" i="12"/>
  <c r="U17324" i="12"/>
  <c r="U17323" i="12"/>
  <c r="U17322" i="12"/>
  <c r="U17321" i="12"/>
  <c r="U17320" i="12"/>
  <c r="U17319" i="12"/>
  <c r="U17318" i="12"/>
  <c r="U17317" i="12"/>
  <c r="U17316" i="12"/>
  <c r="U17315" i="12"/>
  <c r="U17314" i="12"/>
  <c r="U17313" i="12"/>
  <c r="U17312" i="12"/>
  <c r="U17311" i="12"/>
  <c r="U17310" i="12"/>
  <c r="U17309" i="12"/>
  <c r="U17308" i="12"/>
  <c r="U17307" i="12"/>
  <c r="U17306" i="12"/>
  <c r="U17305" i="12"/>
  <c r="U17304" i="12"/>
  <c r="U17303" i="12"/>
  <c r="U17302" i="12"/>
  <c r="U17301" i="12"/>
  <c r="U17300" i="12"/>
  <c r="U17299" i="12"/>
  <c r="U17298" i="12"/>
  <c r="U17297" i="12"/>
  <c r="U17296" i="12"/>
  <c r="U17295" i="12"/>
  <c r="U17294" i="12"/>
  <c r="U17293" i="12"/>
  <c r="U17292" i="12"/>
  <c r="U17291" i="12"/>
  <c r="U17290" i="12"/>
  <c r="U17289" i="12"/>
  <c r="U17288" i="12"/>
  <c r="U17287" i="12"/>
  <c r="U17286" i="12"/>
  <c r="U17285" i="12"/>
  <c r="U17284" i="12"/>
  <c r="U17283" i="12"/>
  <c r="U17282" i="12"/>
  <c r="U17281" i="12"/>
  <c r="U17280" i="12"/>
  <c r="U17279" i="12"/>
  <c r="U17278" i="12"/>
  <c r="U17277" i="12"/>
  <c r="U17276" i="12"/>
  <c r="U17275" i="12"/>
  <c r="U17274" i="12"/>
  <c r="U17273" i="12"/>
  <c r="U17272" i="12"/>
  <c r="U17271" i="12"/>
  <c r="U17270" i="12"/>
  <c r="U17269" i="12"/>
  <c r="U17268" i="12"/>
  <c r="U17267" i="12"/>
  <c r="U17266" i="12"/>
  <c r="U17265" i="12"/>
  <c r="U17264" i="12"/>
  <c r="U17263" i="12"/>
  <c r="U17262" i="12"/>
  <c r="U17261" i="12"/>
  <c r="U17260" i="12"/>
  <c r="U17259" i="12"/>
  <c r="U17258" i="12"/>
  <c r="U17257" i="12"/>
  <c r="U17256" i="12"/>
  <c r="U17255" i="12"/>
  <c r="U17254" i="12"/>
  <c r="U17253" i="12"/>
  <c r="U17252" i="12"/>
  <c r="U17251" i="12"/>
  <c r="U17250" i="12"/>
  <c r="U17249" i="12"/>
  <c r="U17248" i="12"/>
  <c r="U17247" i="12"/>
  <c r="U17246" i="12"/>
  <c r="U17245" i="12"/>
  <c r="U17244" i="12"/>
  <c r="U17243" i="12"/>
  <c r="U17242" i="12"/>
  <c r="U17241" i="12"/>
  <c r="U17240" i="12"/>
  <c r="U17239" i="12"/>
  <c r="U17238" i="12"/>
  <c r="U17237" i="12"/>
  <c r="U17236" i="12"/>
  <c r="U17235" i="12"/>
  <c r="U17234" i="12"/>
  <c r="U17233" i="12"/>
  <c r="U17232" i="12"/>
  <c r="U17231" i="12"/>
  <c r="U17230" i="12"/>
  <c r="U17229" i="12"/>
  <c r="U17228" i="12"/>
  <c r="U17227" i="12"/>
  <c r="U17226" i="12"/>
  <c r="U17225" i="12"/>
  <c r="U17224" i="12"/>
  <c r="U17223" i="12"/>
  <c r="U17222" i="12"/>
  <c r="U17221" i="12"/>
  <c r="U17220" i="12"/>
  <c r="U17219" i="12"/>
  <c r="U17218" i="12"/>
  <c r="U17217" i="12"/>
  <c r="U17216" i="12"/>
  <c r="U17215" i="12"/>
  <c r="U17214" i="12"/>
  <c r="U17213" i="12"/>
  <c r="U17212" i="12"/>
  <c r="U17211" i="12"/>
  <c r="U17210" i="12"/>
  <c r="U17209" i="12"/>
  <c r="U17208" i="12"/>
  <c r="U17207" i="12"/>
  <c r="U17206" i="12"/>
  <c r="U17205" i="12"/>
  <c r="U17204" i="12"/>
  <c r="U17203" i="12"/>
  <c r="U17202" i="12"/>
  <c r="U17201" i="12"/>
  <c r="U17200" i="12"/>
  <c r="U17199" i="12"/>
  <c r="U17198" i="12"/>
  <c r="U17197" i="12"/>
  <c r="U17196" i="12"/>
  <c r="U17195" i="12"/>
  <c r="U17194" i="12"/>
  <c r="U17193" i="12"/>
  <c r="U17192" i="12"/>
  <c r="U17191" i="12"/>
  <c r="U17190" i="12"/>
  <c r="U17189" i="12"/>
  <c r="U17188" i="12"/>
  <c r="U17187" i="12"/>
  <c r="U17186" i="12"/>
  <c r="U17185" i="12"/>
  <c r="U17184" i="12"/>
  <c r="U17183" i="12"/>
  <c r="U17182" i="12"/>
  <c r="U17181" i="12"/>
  <c r="U17180" i="12"/>
  <c r="U17179" i="12"/>
  <c r="U17178" i="12"/>
  <c r="U17177" i="12"/>
  <c r="U17176" i="12"/>
  <c r="U17175" i="12"/>
  <c r="U17174" i="12"/>
  <c r="U17173" i="12"/>
  <c r="U17172" i="12"/>
  <c r="U17171" i="12"/>
  <c r="U17170" i="12"/>
  <c r="U17169" i="12"/>
  <c r="U17168" i="12"/>
  <c r="U17167" i="12"/>
  <c r="U17166" i="12"/>
  <c r="U17165" i="12"/>
  <c r="U17164" i="12"/>
  <c r="U17163" i="12"/>
  <c r="U17162" i="12"/>
  <c r="U17161" i="12"/>
  <c r="U17160" i="12"/>
  <c r="U17159" i="12"/>
  <c r="U17158" i="12"/>
  <c r="U17157" i="12"/>
  <c r="U17156" i="12"/>
  <c r="U17155" i="12"/>
  <c r="U17154" i="12"/>
  <c r="U17153" i="12"/>
  <c r="U17152" i="12"/>
  <c r="U17151" i="12"/>
  <c r="U17150" i="12"/>
  <c r="U17149" i="12"/>
  <c r="U17148" i="12"/>
  <c r="U17147" i="12"/>
  <c r="U17146" i="12"/>
  <c r="U17145" i="12"/>
  <c r="U17144" i="12"/>
  <c r="U17143" i="12"/>
  <c r="U17142" i="12"/>
  <c r="U17141" i="12"/>
  <c r="U17140" i="12"/>
  <c r="U17139" i="12"/>
  <c r="U17138" i="12"/>
  <c r="U17137" i="12"/>
  <c r="U17136" i="12"/>
  <c r="U17135" i="12"/>
  <c r="U17134" i="12"/>
  <c r="U17133" i="12"/>
  <c r="U17132" i="12"/>
  <c r="U17131" i="12"/>
  <c r="U17130" i="12"/>
  <c r="U17129" i="12"/>
  <c r="U17128" i="12"/>
  <c r="U17127" i="12"/>
  <c r="U17126" i="12"/>
  <c r="U17125" i="12"/>
  <c r="U17124" i="12"/>
  <c r="U17123" i="12"/>
  <c r="U17122" i="12"/>
  <c r="U17121" i="12"/>
  <c r="U17120" i="12"/>
  <c r="U17119" i="12"/>
  <c r="U17118" i="12"/>
  <c r="U17117" i="12"/>
  <c r="U17116" i="12"/>
  <c r="U17115" i="12"/>
  <c r="U17114" i="12"/>
  <c r="U17113" i="12"/>
  <c r="U17112" i="12"/>
  <c r="U17111" i="12"/>
  <c r="U17110" i="12"/>
  <c r="U17109" i="12"/>
  <c r="U17108" i="12"/>
  <c r="U17107" i="12"/>
  <c r="U17106" i="12"/>
  <c r="U17105" i="12"/>
  <c r="U17104" i="12"/>
  <c r="U17103" i="12"/>
  <c r="U17102" i="12"/>
  <c r="U17101" i="12"/>
  <c r="U17100" i="12"/>
  <c r="U17099" i="12"/>
  <c r="U17098" i="12"/>
  <c r="U17097" i="12"/>
  <c r="U17096" i="12"/>
  <c r="U17095" i="12"/>
  <c r="U17094" i="12"/>
  <c r="U17093" i="12"/>
  <c r="U17092" i="12"/>
  <c r="U17091" i="12"/>
  <c r="U17090" i="12"/>
  <c r="U17089" i="12"/>
  <c r="U17088" i="12"/>
  <c r="U17087" i="12"/>
  <c r="U17086" i="12"/>
  <c r="U17085" i="12"/>
  <c r="U17084" i="12"/>
  <c r="U17083" i="12"/>
  <c r="U17082" i="12"/>
  <c r="U17081" i="12"/>
  <c r="U17080" i="12"/>
  <c r="U17079" i="12"/>
  <c r="U17078" i="12"/>
  <c r="U17077" i="12"/>
  <c r="U17076" i="12"/>
  <c r="U17075" i="12"/>
  <c r="U17074" i="12"/>
  <c r="U17073" i="12"/>
  <c r="U17072" i="12"/>
  <c r="U17071" i="12"/>
  <c r="U17070" i="12"/>
  <c r="U17069" i="12"/>
  <c r="U17068" i="12"/>
  <c r="U17067" i="12"/>
  <c r="U17066" i="12"/>
  <c r="U17065" i="12"/>
  <c r="U17064" i="12"/>
  <c r="U17063" i="12"/>
  <c r="U17062" i="12"/>
  <c r="U17061" i="12"/>
  <c r="U17060" i="12"/>
  <c r="U17059" i="12"/>
  <c r="U17058" i="12"/>
  <c r="U17057" i="12"/>
  <c r="U17056" i="12"/>
  <c r="U17055" i="12"/>
  <c r="U17054" i="12"/>
  <c r="U17053" i="12"/>
  <c r="U17052" i="12"/>
  <c r="U17051" i="12"/>
  <c r="U17050" i="12"/>
  <c r="U17049" i="12"/>
  <c r="U17048" i="12"/>
  <c r="U17047" i="12"/>
  <c r="U17046" i="12"/>
  <c r="U17045" i="12"/>
  <c r="U17044" i="12"/>
  <c r="U17043" i="12"/>
  <c r="U17042" i="12"/>
  <c r="U17041" i="12"/>
  <c r="U17040" i="12"/>
  <c r="U17039" i="12"/>
  <c r="U17038" i="12"/>
  <c r="U17037" i="12"/>
  <c r="U17036" i="12"/>
  <c r="U17035" i="12"/>
  <c r="U17034" i="12"/>
  <c r="U17033" i="12"/>
  <c r="U17032" i="12"/>
  <c r="U17031" i="12"/>
  <c r="U17030" i="12"/>
  <c r="U17029" i="12"/>
  <c r="U17028" i="12"/>
  <c r="U17027" i="12"/>
  <c r="U17026" i="12"/>
  <c r="U17025" i="12"/>
  <c r="U17024" i="12"/>
  <c r="U17023" i="12"/>
  <c r="U17022" i="12"/>
  <c r="U17021" i="12"/>
  <c r="U17020" i="12"/>
  <c r="U17019" i="12"/>
  <c r="U17018" i="12"/>
  <c r="U17017" i="12"/>
  <c r="U17016" i="12"/>
  <c r="U17015" i="12"/>
  <c r="U17014" i="12"/>
  <c r="U17013" i="12"/>
  <c r="U17012" i="12"/>
  <c r="U17011" i="12"/>
  <c r="U17010" i="12"/>
  <c r="U17009" i="12"/>
  <c r="U17008" i="12"/>
  <c r="U17007" i="12"/>
  <c r="U17006" i="12"/>
  <c r="U17005" i="12"/>
  <c r="U17004" i="12"/>
  <c r="U17003" i="12"/>
  <c r="U17002" i="12"/>
  <c r="U17001" i="12"/>
  <c r="U17000" i="12"/>
  <c r="U16999" i="12"/>
  <c r="U16998" i="12"/>
  <c r="U16997" i="12"/>
  <c r="U16996" i="12"/>
  <c r="U16995" i="12"/>
  <c r="U16994" i="12"/>
  <c r="U16993" i="12"/>
  <c r="U16992" i="12"/>
  <c r="U16991" i="12"/>
  <c r="U16990" i="12"/>
  <c r="U16989" i="12"/>
  <c r="U16988" i="12"/>
  <c r="U16987" i="12"/>
  <c r="U16986" i="12"/>
  <c r="U16985" i="12"/>
  <c r="U16984" i="12"/>
  <c r="U16983" i="12"/>
  <c r="U16982" i="12"/>
  <c r="U16981" i="12"/>
  <c r="U16980" i="12"/>
  <c r="U16979" i="12"/>
  <c r="U16978" i="12"/>
  <c r="U16977" i="12"/>
  <c r="U16976" i="12"/>
  <c r="U16975" i="12"/>
  <c r="U16974" i="12"/>
  <c r="U16973" i="12"/>
  <c r="U16972" i="12"/>
  <c r="U16971" i="12"/>
  <c r="U16970" i="12"/>
  <c r="U16969" i="12"/>
  <c r="U16968" i="12"/>
  <c r="U16967" i="12"/>
  <c r="U16966" i="12"/>
  <c r="U16965" i="12"/>
  <c r="U16964" i="12"/>
  <c r="U16963" i="12"/>
  <c r="U16962" i="12"/>
  <c r="U16961" i="12"/>
  <c r="U16960" i="12"/>
  <c r="U16959" i="12"/>
  <c r="U16958" i="12"/>
  <c r="U16957" i="12"/>
  <c r="U16956" i="12"/>
  <c r="U16955" i="12"/>
  <c r="U16954" i="12"/>
  <c r="U16953" i="12"/>
  <c r="U16952" i="12"/>
  <c r="U16951" i="12"/>
  <c r="U16950" i="12"/>
  <c r="U16949" i="12"/>
  <c r="U16948" i="12"/>
  <c r="U16947" i="12"/>
  <c r="U16946" i="12"/>
  <c r="U16945" i="12"/>
  <c r="U16944" i="12"/>
  <c r="U16943" i="12"/>
  <c r="U16942" i="12"/>
  <c r="U16941" i="12"/>
  <c r="U16940" i="12"/>
  <c r="U16939" i="12"/>
  <c r="U16938" i="12"/>
  <c r="U16937" i="12"/>
  <c r="U16936" i="12"/>
  <c r="U16935" i="12"/>
  <c r="U16934" i="12"/>
  <c r="U16933" i="12"/>
  <c r="U16932" i="12"/>
  <c r="U16931" i="12"/>
  <c r="U16930" i="12"/>
  <c r="U16929" i="12"/>
  <c r="U16928" i="12"/>
  <c r="U16927" i="12"/>
  <c r="U16926" i="12"/>
  <c r="U16925" i="12"/>
  <c r="U16924" i="12"/>
  <c r="U16923" i="12"/>
  <c r="U16922" i="12"/>
  <c r="U16921" i="12"/>
  <c r="U16920" i="12"/>
  <c r="U16919" i="12"/>
  <c r="U16918" i="12"/>
  <c r="U16917" i="12"/>
  <c r="U16916" i="12"/>
  <c r="U16915" i="12"/>
  <c r="U16914" i="12"/>
  <c r="U16913" i="12"/>
  <c r="U16912" i="12"/>
  <c r="U16911" i="12"/>
  <c r="U16910" i="12"/>
  <c r="U16909" i="12"/>
  <c r="U16908" i="12"/>
  <c r="U16907" i="12"/>
  <c r="U16906" i="12"/>
  <c r="U16905" i="12"/>
  <c r="U16904" i="12"/>
  <c r="U16903" i="12"/>
  <c r="U16902" i="12"/>
  <c r="U16901" i="12"/>
  <c r="U16900" i="12"/>
  <c r="U16899" i="12"/>
  <c r="U16898" i="12"/>
  <c r="U16897" i="12"/>
  <c r="U16896" i="12"/>
  <c r="U16895" i="12"/>
  <c r="U16894" i="12"/>
  <c r="U16893" i="12"/>
  <c r="U16892" i="12"/>
  <c r="U16891" i="12"/>
  <c r="U16890" i="12"/>
  <c r="U16889" i="12"/>
  <c r="U16888" i="12"/>
  <c r="U16887" i="12"/>
  <c r="U16886" i="12"/>
  <c r="U16885" i="12"/>
  <c r="U16884" i="12"/>
  <c r="U16883" i="12"/>
  <c r="U16882" i="12"/>
  <c r="U16881" i="12"/>
  <c r="U16880" i="12"/>
  <c r="U16879" i="12"/>
  <c r="U16878" i="12"/>
  <c r="U16877" i="12"/>
  <c r="U16876" i="12"/>
  <c r="U16875" i="12"/>
  <c r="U16874" i="12"/>
  <c r="U16873" i="12"/>
  <c r="U16872" i="12"/>
  <c r="U16871" i="12"/>
  <c r="U16870" i="12"/>
  <c r="U16869" i="12"/>
  <c r="U16868" i="12"/>
  <c r="U16867" i="12"/>
  <c r="U16866" i="12"/>
  <c r="U16865" i="12"/>
  <c r="U16864" i="12"/>
  <c r="U16863" i="12"/>
  <c r="U16862" i="12"/>
  <c r="U16861" i="12"/>
  <c r="U16860" i="12"/>
  <c r="U16859" i="12"/>
  <c r="U16858" i="12"/>
  <c r="U16857" i="12"/>
  <c r="U16856" i="12"/>
  <c r="U16855" i="12"/>
  <c r="U16854" i="12"/>
  <c r="U16853" i="12"/>
  <c r="U16852" i="12"/>
  <c r="U16851" i="12"/>
  <c r="U16850" i="12"/>
  <c r="U16849" i="12"/>
  <c r="U16848" i="12"/>
  <c r="U16847" i="12"/>
  <c r="U16846" i="12"/>
  <c r="U16845" i="12"/>
  <c r="U16844" i="12"/>
  <c r="U16843" i="12"/>
  <c r="U16842" i="12"/>
  <c r="U16841" i="12"/>
  <c r="U16840" i="12"/>
  <c r="U16839" i="12"/>
  <c r="U16838" i="12"/>
  <c r="U16837" i="12"/>
  <c r="U16836" i="12"/>
  <c r="U16835" i="12"/>
  <c r="U16834" i="12"/>
  <c r="U16833" i="12"/>
  <c r="U16832" i="12"/>
  <c r="U16831" i="12"/>
  <c r="U16830" i="12"/>
  <c r="U16829" i="12"/>
  <c r="U16828" i="12"/>
  <c r="U16827" i="12"/>
  <c r="U16826" i="12"/>
  <c r="U16825" i="12"/>
  <c r="U16824" i="12"/>
  <c r="U16823" i="12"/>
  <c r="U16822" i="12"/>
  <c r="U16821" i="12"/>
  <c r="U16820" i="12"/>
  <c r="U16819" i="12"/>
  <c r="U16818" i="12"/>
  <c r="U16817" i="12"/>
  <c r="U16816" i="12"/>
  <c r="U16815" i="12"/>
  <c r="U16814" i="12"/>
  <c r="U16813" i="12"/>
  <c r="U16812" i="12"/>
  <c r="U16811" i="12"/>
  <c r="U16810" i="12"/>
  <c r="U16809" i="12"/>
  <c r="U16808" i="12"/>
  <c r="U16807" i="12"/>
  <c r="U16806" i="12"/>
  <c r="U16805" i="12"/>
  <c r="U16804" i="12"/>
  <c r="U16803" i="12"/>
  <c r="U16802" i="12"/>
  <c r="U16801" i="12"/>
  <c r="U16800" i="12"/>
  <c r="U16799" i="12"/>
  <c r="U16798" i="12"/>
  <c r="U16797" i="12"/>
  <c r="U16796" i="12"/>
  <c r="U16795" i="12"/>
  <c r="U16794" i="12"/>
  <c r="U16793" i="12"/>
  <c r="U16792" i="12"/>
  <c r="U16791" i="12"/>
  <c r="U16790" i="12"/>
  <c r="U16789" i="12"/>
  <c r="U16788" i="12"/>
  <c r="U16787" i="12"/>
  <c r="U16786" i="12"/>
  <c r="U16785" i="12"/>
  <c r="U16784" i="12"/>
  <c r="U16783" i="12"/>
  <c r="U16782" i="12"/>
  <c r="U16781" i="12"/>
  <c r="U16780" i="12"/>
  <c r="U16779" i="12"/>
  <c r="U16778" i="12"/>
  <c r="U16777" i="12"/>
  <c r="U16776" i="12"/>
  <c r="U16775" i="12"/>
  <c r="U16774" i="12"/>
  <c r="U16773" i="12"/>
  <c r="U16772" i="12"/>
  <c r="U16771" i="12"/>
  <c r="U16770" i="12"/>
  <c r="U16769" i="12"/>
  <c r="U16768" i="12"/>
  <c r="U16767" i="12"/>
  <c r="U16766" i="12"/>
  <c r="U16765" i="12"/>
  <c r="U16764" i="12"/>
  <c r="U16763" i="12"/>
  <c r="U16762" i="12"/>
  <c r="U16761" i="12"/>
  <c r="U16760" i="12"/>
  <c r="U16759" i="12"/>
  <c r="U16758" i="12"/>
  <c r="U16757" i="12"/>
  <c r="U16756" i="12"/>
  <c r="U16755" i="12"/>
  <c r="U16754" i="12"/>
  <c r="U16753" i="12"/>
  <c r="U16752" i="12"/>
  <c r="U16751" i="12"/>
  <c r="U16750" i="12"/>
  <c r="U16749" i="12"/>
  <c r="U16748" i="12"/>
  <c r="U16747" i="12"/>
  <c r="U16746" i="12"/>
  <c r="U16745" i="12"/>
  <c r="U16744" i="12"/>
  <c r="U16743" i="12"/>
  <c r="U16742" i="12"/>
  <c r="U16741" i="12"/>
  <c r="U16740" i="12"/>
  <c r="U16739" i="12"/>
  <c r="U16738" i="12"/>
  <c r="U16737" i="12"/>
  <c r="U16736" i="12"/>
  <c r="U16735" i="12"/>
  <c r="U16734" i="12"/>
  <c r="U16733" i="12"/>
  <c r="U16732" i="12"/>
  <c r="U16731" i="12"/>
  <c r="U16730" i="12"/>
  <c r="U16729" i="12"/>
  <c r="U16728" i="12"/>
  <c r="U16727" i="12"/>
  <c r="U16726" i="12"/>
  <c r="U16725" i="12"/>
  <c r="U16724" i="12"/>
  <c r="U16723" i="12"/>
  <c r="U16722" i="12"/>
  <c r="U16721" i="12"/>
  <c r="U16720" i="12"/>
  <c r="U16719" i="12"/>
  <c r="U16718" i="12"/>
  <c r="U16717" i="12"/>
  <c r="U16716" i="12"/>
  <c r="U16715" i="12"/>
  <c r="U16714" i="12"/>
  <c r="U16713" i="12"/>
  <c r="U16712" i="12"/>
  <c r="U16711" i="12"/>
  <c r="U16710" i="12"/>
  <c r="U16709" i="12"/>
  <c r="U16708" i="12"/>
  <c r="U16707" i="12"/>
  <c r="U16706" i="12"/>
  <c r="U16705" i="12"/>
  <c r="U16704" i="12"/>
  <c r="U16703" i="12"/>
  <c r="U16702" i="12"/>
  <c r="U16701" i="12"/>
  <c r="U16700" i="12"/>
  <c r="U16699" i="12"/>
  <c r="U16698" i="12"/>
  <c r="U16697" i="12"/>
  <c r="U16696" i="12"/>
  <c r="U16695" i="12"/>
  <c r="U16694" i="12"/>
  <c r="U16693" i="12"/>
  <c r="U16692" i="12"/>
  <c r="U16691" i="12"/>
  <c r="U16690" i="12"/>
  <c r="U16689" i="12"/>
  <c r="U16688" i="12"/>
  <c r="U16687" i="12"/>
  <c r="U16686" i="12"/>
  <c r="U16685" i="12"/>
  <c r="U16684" i="12"/>
  <c r="U16683" i="12"/>
  <c r="U16682" i="12"/>
  <c r="U16681" i="12"/>
  <c r="U16680" i="12"/>
  <c r="U16679" i="12"/>
  <c r="U16678" i="12"/>
  <c r="U16677" i="12"/>
  <c r="U16676" i="12"/>
  <c r="U16675" i="12"/>
  <c r="U16674" i="12"/>
  <c r="U16673" i="12"/>
  <c r="U16672" i="12"/>
  <c r="U16671" i="12"/>
  <c r="U16670" i="12"/>
  <c r="U16669" i="12"/>
  <c r="U16668" i="12"/>
  <c r="U16667" i="12"/>
  <c r="U16666" i="12"/>
  <c r="U16665" i="12"/>
  <c r="U16664" i="12"/>
  <c r="U16663" i="12"/>
  <c r="U16662" i="12"/>
  <c r="U16661" i="12"/>
  <c r="U16660" i="12"/>
  <c r="U16659" i="12"/>
  <c r="U16658" i="12"/>
  <c r="U16657" i="12"/>
  <c r="U16656" i="12"/>
  <c r="U16655" i="12"/>
  <c r="U16654" i="12"/>
  <c r="U16653" i="12"/>
  <c r="U16652" i="12"/>
  <c r="U16651" i="12"/>
  <c r="U16650" i="12"/>
  <c r="U16649" i="12"/>
  <c r="U16648" i="12"/>
  <c r="U16647" i="12"/>
  <c r="U16646" i="12"/>
  <c r="U16645" i="12"/>
  <c r="U16644" i="12"/>
  <c r="U16643" i="12"/>
  <c r="U16642" i="12"/>
  <c r="U16641" i="12"/>
  <c r="U16640" i="12"/>
  <c r="U16639" i="12"/>
  <c r="U16638" i="12"/>
  <c r="U16637" i="12"/>
  <c r="U16636" i="12"/>
  <c r="U16635" i="12"/>
  <c r="U16634" i="12"/>
  <c r="U16633" i="12"/>
  <c r="U16632" i="12"/>
  <c r="U16631" i="12"/>
  <c r="U16630" i="12"/>
  <c r="U16629" i="12"/>
  <c r="U16628" i="12"/>
  <c r="U16627" i="12"/>
  <c r="U16626" i="12"/>
  <c r="U16625" i="12"/>
  <c r="U16624" i="12"/>
  <c r="U16623" i="12"/>
  <c r="U16622" i="12"/>
  <c r="U16621" i="12"/>
  <c r="U16620" i="12"/>
  <c r="U16619" i="12"/>
  <c r="U16618" i="12"/>
  <c r="U16617" i="12"/>
  <c r="U16616" i="12"/>
  <c r="U16615" i="12"/>
  <c r="U16614" i="12"/>
  <c r="U16613" i="12"/>
  <c r="U16612" i="12"/>
  <c r="U16611" i="12"/>
  <c r="U16610" i="12"/>
  <c r="U16609" i="12"/>
  <c r="U16608" i="12"/>
  <c r="U16607" i="12"/>
  <c r="U16606" i="12"/>
  <c r="U16605" i="12"/>
  <c r="U16604" i="12"/>
  <c r="U16603" i="12"/>
  <c r="U16602" i="12"/>
  <c r="U16601" i="12"/>
  <c r="U16600" i="12"/>
  <c r="U16599" i="12"/>
  <c r="U16598" i="12"/>
  <c r="U16597" i="12"/>
  <c r="U16596" i="12"/>
  <c r="U16595" i="12"/>
  <c r="U16594" i="12"/>
  <c r="U16593" i="12"/>
  <c r="U16592" i="12"/>
  <c r="U16591" i="12"/>
  <c r="U16590" i="12"/>
  <c r="U16589" i="12"/>
  <c r="U16588" i="12"/>
  <c r="U16587" i="12"/>
  <c r="U16586" i="12"/>
  <c r="U16585" i="12"/>
  <c r="U16584" i="12"/>
  <c r="U16583" i="12"/>
  <c r="U16582" i="12"/>
  <c r="U16581" i="12"/>
  <c r="U16580" i="12"/>
  <c r="U16579" i="12"/>
  <c r="U16578" i="12"/>
  <c r="U16577" i="12"/>
  <c r="U16576" i="12"/>
  <c r="U16575" i="12"/>
  <c r="U16574" i="12"/>
  <c r="U16573" i="12"/>
  <c r="U16572" i="12"/>
  <c r="U16571" i="12"/>
  <c r="U16570" i="12"/>
  <c r="U16569" i="12"/>
  <c r="U16568" i="12"/>
  <c r="U16567" i="12"/>
  <c r="U16566" i="12"/>
  <c r="U16565" i="12"/>
  <c r="U16564" i="12"/>
  <c r="U16563" i="12"/>
  <c r="U16562" i="12"/>
  <c r="U16561" i="12"/>
  <c r="U16560" i="12"/>
  <c r="U16559" i="12"/>
  <c r="U16558" i="12"/>
  <c r="U16557" i="12"/>
  <c r="U16556" i="12"/>
  <c r="U16555" i="12"/>
  <c r="U16554" i="12"/>
  <c r="U16553" i="12"/>
  <c r="U16552" i="12"/>
  <c r="U16551" i="12"/>
  <c r="U16550" i="12"/>
  <c r="U16549" i="12"/>
  <c r="U16548" i="12"/>
  <c r="U16547" i="12"/>
  <c r="U16546" i="12"/>
  <c r="U16545" i="12"/>
  <c r="U16544" i="12"/>
  <c r="U16543" i="12"/>
  <c r="U16542" i="12"/>
  <c r="U16541" i="12"/>
  <c r="U16540" i="12"/>
  <c r="U16539" i="12"/>
  <c r="U16538" i="12"/>
  <c r="U16537" i="12"/>
  <c r="U16536" i="12"/>
  <c r="U16535" i="12"/>
  <c r="U16534" i="12"/>
  <c r="U16533" i="12"/>
  <c r="U16532" i="12"/>
  <c r="U16531" i="12"/>
  <c r="U16530" i="12"/>
  <c r="U16529" i="12"/>
  <c r="U16528" i="12"/>
  <c r="U16527" i="12"/>
  <c r="U16526" i="12"/>
  <c r="U16525" i="12"/>
  <c r="U16524" i="12"/>
  <c r="U16523" i="12"/>
  <c r="U16522" i="12"/>
  <c r="U16521" i="12"/>
  <c r="U16520" i="12"/>
  <c r="U16519" i="12"/>
  <c r="U16518" i="12"/>
  <c r="U16517" i="12"/>
  <c r="U16516" i="12"/>
  <c r="U16515" i="12"/>
  <c r="U16514" i="12"/>
  <c r="U16513" i="12"/>
  <c r="U16512" i="12"/>
  <c r="U16511" i="12"/>
  <c r="U16510" i="12"/>
  <c r="U16509" i="12"/>
  <c r="U16508" i="12"/>
  <c r="U16507" i="12"/>
  <c r="U16506" i="12"/>
  <c r="U16505" i="12"/>
  <c r="U16504" i="12"/>
  <c r="U16503" i="12"/>
  <c r="U16502" i="12"/>
  <c r="U16501" i="12"/>
  <c r="U16500" i="12"/>
  <c r="U16499" i="12"/>
  <c r="U16498" i="12"/>
  <c r="U16497" i="12"/>
  <c r="U16496" i="12"/>
  <c r="U16495" i="12"/>
  <c r="U16494" i="12"/>
  <c r="U16493" i="12"/>
  <c r="U16492" i="12"/>
  <c r="U16491" i="12"/>
  <c r="U16490" i="12"/>
  <c r="U16489" i="12"/>
  <c r="U16488" i="12"/>
  <c r="U16487" i="12"/>
  <c r="U16486" i="12"/>
  <c r="U16485" i="12"/>
  <c r="U16484" i="12"/>
  <c r="U16483" i="12"/>
  <c r="U16482" i="12"/>
  <c r="U16481" i="12"/>
  <c r="U16480" i="12"/>
  <c r="U16479" i="12"/>
  <c r="U16478" i="12"/>
  <c r="U16477" i="12"/>
  <c r="U16476" i="12"/>
  <c r="U16475" i="12"/>
  <c r="U16474" i="12"/>
  <c r="U16473" i="12"/>
  <c r="U16472" i="12"/>
  <c r="U16471" i="12"/>
  <c r="U16470" i="12"/>
  <c r="U16469" i="12"/>
  <c r="U16468" i="12"/>
  <c r="U16467" i="12"/>
  <c r="U16466" i="12"/>
  <c r="U16465" i="12"/>
  <c r="U16464" i="12"/>
  <c r="U16463" i="12"/>
  <c r="U16462" i="12"/>
  <c r="U16461" i="12"/>
  <c r="U16460" i="12"/>
  <c r="U16459" i="12"/>
  <c r="U16458" i="12"/>
  <c r="U16457" i="12"/>
  <c r="U16456" i="12"/>
  <c r="U16455" i="12"/>
  <c r="U16454" i="12"/>
  <c r="U16453" i="12"/>
  <c r="U16452" i="12"/>
  <c r="U16451" i="12"/>
  <c r="U16450" i="12"/>
  <c r="U16449" i="12"/>
  <c r="U16448" i="12"/>
  <c r="U16447" i="12"/>
  <c r="U16446" i="12"/>
  <c r="U16445" i="12"/>
  <c r="U16444" i="12"/>
  <c r="U16443" i="12"/>
  <c r="U16442" i="12"/>
  <c r="U16441" i="12"/>
  <c r="U16440" i="12"/>
  <c r="U16439" i="12"/>
  <c r="U16438" i="12"/>
  <c r="U16437" i="12"/>
  <c r="U16436" i="12"/>
  <c r="U16435" i="12"/>
  <c r="U16434" i="12"/>
  <c r="U16433" i="12"/>
  <c r="U16432" i="12"/>
  <c r="U16431" i="12"/>
  <c r="U16430" i="12"/>
  <c r="U16429" i="12"/>
  <c r="U16428" i="12"/>
  <c r="U16427" i="12"/>
  <c r="U16426" i="12"/>
  <c r="U16425" i="12"/>
  <c r="U16424" i="12"/>
  <c r="U16423" i="12"/>
  <c r="U16422" i="12"/>
  <c r="U16421" i="12"/>
  <c r="U16420" i="12"/>
  <c r="U16419" i="12"/>
  <c r="U16418" i="12"/>
  <c r="U16417" i="12"/>
  <c r="U16416" i="12"/>
  <c r="U16415" i="12"/>
  <c r="U16414" i="12"/>
  <c r="U16413" i="12"/>
  <c r="U16412" i="12"/>
  <c r="U16411" i="12"/>
  <c r="U16410" i="12"/>
  <c r="U16409" i="12"/>
  <c r="U16408" i="12"/>
  <c r="U16407" i="12"/>
  <c r="U16406" i="12"/>
  <c r="U16405" i="12"/>
  <c r="U16404" i="12"/>
  <c r="U16403" i="12"/>
  <c r="U16402" i="12"/>
  <c r="U16401" i="12"/>
  <c r="U16400" i="12"/>
  <c r="U16399" i="12"/>
  <c r="U16398" i="12"/>
  <c r="U16397" i="12"/>
  <c r="U16396" i="12"/>
  <c r="U16395" i="12"/>
  <c r="U16394" i="12"/>
  <c r="U16393" i="12"/>
  <c r="U16392" i="12"/>
  <c r="U16391" i="12"/>
  <c r="U16390" i="12"/>
  <c r="U16389" i="12"/>
  <c r="U16388" i="12"/>
  <c r="U16387" i="12"/>
  <c r="U16386" i="12"/>
  <c r="U16385" i="12"/>
  <c r="U16384" i="12"/>
  <c r="U16383" i="12"/>
  <c r="U16382" i="12"/>
  <c r="U16381" i="12"/>
  <c r="U16380" i="12"/>
  <c r="U16379" i="12"/>
  <c r="U16378" i="12"/>
  <c r="U16377" i="12"/>
  <c r="U16376" i="12"/>
  <c r="U16375" i="12"/>
  <c r="U16374" i="12"/>
  <c r="U16373" i="12"/>
  <c r="U16372" i="12"/>
  <c r="U16371" i="12"/>
  <c r="U16370" i="12"/>
  <c r="U16369" i="12"/>
  <c r="U16368" i="12"/>
  <c r="U16367" i="12"/>
  <c r="U16366" i="12"/>
  <c r="U16365" i="12"/>
  <c r="U16364" i="12"/>
  <c r="U16363" i="12"/>
  <c r="U16362" i="12"/>
  <c r="U16361" i="12"/>
  <c r="U16360" i="12"/>
  <c r="U16359" i="12"/>
  <c r="U16358" i="12"/>
  <c r="U16357" i="12"/>
  <c r="U16356" i="12"/>
  <c r="U16355" i="12"/>
  <c r="U16354" i="12"/>
  <c r="U16353" i="12"/>
  <c r="U16352" i="12"/>
  <c r="U16351" i="12"/>
  <c r="U16350" i="12"/>
  <c r="U16349" i="12"/>
  <c r="U16348" i="12"/>
  <c r="U16347" i="12"/>
  <c r="U16346" i="12"/>
  <c r="U16345" i="12"/>
  <c r="U16344" i="12"/>
  <c r="U16343" i="12"/>
  <c r="U16342" i="12"/>
  <c r="U16341" i="12"/>
  <c r="U16340" i="12"/>
  <c r="U16339" i="12"/>
  <c r="U16338" i="12"/>
  <c r="U16337" i="12"/>
  <c r="U16336" i="12"/>
  <c r="U16335" i="12"/>
  <c r="U16334" i="12"/>
  <c r="U16333" i="12"/>
  <c r="U16332" i="12"/>
  <c r="U16331" i="12"/>
  <c r="U16330" i="12"/>
  <c r="U16329" i="12"/>
  <c r="U16328" i="12"/>
  <c r="U16327" i="12"/>
  <c r="U16326" i="12"/>
  <c r="U16325" i="12"/>
  <c r="U16324" i="12"/>
  <c r="U16323" i="12"/>
  <c r="U16322" i="12"/>
  <c r="U16321" i="12"/>
  <c r="U16320" i="12"/>
  <c r="U16319" i="12"/>
  <c r="U16318" i="12"/>
  <c r="U16317" i="12"/>
  <c r="U16316" i="12"/>
  <c r="U16315" i="12"/>
  <c r="U16314" i="12"/>
  <c r="U16313" i="12"/>
  <c r="U16312" i="12"/>
  <c r="U16311" i="12"/>
  <c r="U16310" i="12"/>
  <c r="U16309" i="12"/>
  <c r="U16308" i="12"/>
  <c r="U16307" i="12"/>
  <c r="U16306" i="12"/>
  <c r="U16305" i="12"/>
  <c r="U16304" i="12"/>
  <c r="U16303" i="12"/>
  <c r="U16302" i="12"/>
  <c r="U16301" i="12"/>
  <c r="U16300" i="12"/>
  <c r="U16299" i="12"/>
  <c r="U16298" i="12"/>
  <c r="U16297" i="12"/>
  <c r="U16296" i="12"/>
  <c r="U16295" i="12"/>
  <c r="U16294" i="12"/>
  <c r="U16293" i="12"/>
  <c r="U16292" i="12"/>
  <c r="U16291" i="12"/>
  <c r="U16290" i="12"/>
  <c r="U16289" i="12"/>
  <c r="U16288" i="12"/>
  <c r="U16287" i="12"/>
  <c r="U16286" i="12"/>
  <c r="U16285" i="12"/>
  <c r="U16284" i="12"/>
  <c r="U16283" i="12"/>
  <c r="U16282" i="12"/>
  <c r="U16281" i="12"/>
  <c r="U16280" i="12"/>
  <c r="U16279" i="12"/>
  <c r="U16278" i="12"/>
  <c r="U16277" i="12"/>
  <c r="U16276" i="12"/>
  <c r="U16275" i="12"/>
  <c r="U16274" i="12"/>
  <c r="U16273" i="12"/>
  <c r="U16272" i="12"/>
  <c r="U16271" i="12"/>
  <c r="U16270" i="12"/>
  <c r="U16269" i="12"/>
  <c r="U16268" i="12"/>
  <c r="U16267" i="12"/>
  <c r="U16266" i="12"/>
  <c r="U16265" i="12"/>
  <c r="U16264" i="12"/>
  <c r="U16263" i="12"/>
  <c r="U16262" i="12"/>
  <c r="U16261" i="12"/>
  <c r="U16260" i="12"/>
  <c r="U16259" i="12"/>
  <c r="U16258" i="12"/>
  <c r="U16257" i="12"/>
  <c r="U16256" i="12"/>
  <c r="U16255" i="12"/>
  <c r="U16254" i="12"/>
  <c r="U16253" i="12"/>
  <c r="U16252" i="12"/>
  <c r="U16251" i="12"/>
  <c r="U16250" i="12"/>
  <c r="U16249" i="12"/>
  <c r="U16248" i="12"/>
  <c r="U16247" i="12"/>
  <c r="U16246" i="12"/>
  <c r="U16245" i="12"/>
  <c r="U16244" i="12"/>
  <c r="U16243" i="12"/>
  <c r="U16242" i="12"/>
  <c r="U16241" i="12"/>
  <c r="U16240" i="12"/>
  <c r="U16239" i="12"/>
  <c r="U16238" i="12"/>
  <c r="U16237" i="12"/>
  <c r="U16236" i="12"/>
  <c r="U16235" i="12"/>
  <c r="U16234" i="12"/>
  <c r="U16233" i="12"/>
  <c r="U16232" i="12"/>
  <c r="U16231" i="12"/>
  <c r="U16230" i="12"/>
  <c r="U16229" i="12"/>
  <c r="U16228" i="12"/>
  <c r="U16227" i="12"/>
  <c r="U16226" i="12"/>
  <c r="U16225" i="12"/>
  <c r="U16224" i="12"/>
  <c r="U16223" i="12"/>
  <c r="U16222" i="12"/>
  <c r="U16221" i="12"/>
  <c r="U16220" i="12"/>
  <c r="U16219" i="12"/>
  <c r="U16218" i="12"/>
  <c r="U16217" i="12"/>
  <c r="U16216" i="12"/>
  <c r="U16215" i="12"/>
  <c r="U16214" i="12"/>
  <c r="U16213" i="12"/>
  <c r="U16212" i="12"/>
  <c r="U16211" i="12"/>
  <c r="U16210" i="12"/>
  <c r="U16209" i="12"/>
  <c r="U16208" i="12"/>
  <c r="U16207" i="12"/>
  <c r="U16206" i="12"/>
  <c r="U16205" i="12"/>
  <c r="U16204" i="12"/>
  <c r="U16203" i="12"/>
  <c r="U16202" i="12"/>
  <c r="U16201" i="12"/>
  <c r="U16200" i="12"/>
  <c r="U16199" i="12"/>
  <c r="U16198" i="12"/>
  <c r="U16197" i="12"/>
  <c r="U16196" i="12"/>
  <c r="U16195" i="12"/>
  <c r="U16194" i="12"/>
  <c r="U16193" i="12"/>
  <c r="U16192" i="12"/>
  <c r="U16191" i="12"/>
  <c r="U16190" i="12"/>
  <c r="U16189" i="12"/>
  <c r="U16188" i="12"/>
  <c r="U16187" i="12"/>
  <c r="U16186" i="12"/>
  <c r="U16185" i="12"/>
  <c r="U16184" i="12"/>
  <c r="U16183" i="12"/>
  <c r="U16182" i="12"/>
  <c r="U16181" i="12"/>
  <c r="U16180" i="12"/>
  <c r="U16179" i="12"/>
  <c r="U16178" i="12"/>
  <c r="U16177" i="12"/>
  <c r="U16176" i="12"/>
  <c r="U16175" i="12"/>
  <c r="U16174" i="12"/>
  <c r="U16173" i="12"/>
  <c r="U16172" i="12"/>
  <c r="U16171" i="12"/>
  <c r="U16170" i="12"/>
  <c r="U16169" i="12"/>
  <c r="U16168" i="12"/>
  <c r="U16167" i="12"/>
  <c r="U16166" i="12"/>
  <c r="U16165" i="12"/>
  <c r="U16164" i="12"/>
  <c r="U16163" i="12"/>
  <c r="U16162" i="12"/>
  <c r="U16161" i="12"/>
  <c r="U16160" i="12"/>
  <c r="U16159" i="12"/>
  <c r="U16158" i="12"/>
  <c r="U16157" i="12"/>
  <c r="U16156" i="12"/>
  <c r="U16155" i="12"/>
  <c r="U16154" i="12"/>
  <c r="U16153" i="12"/>
  <c r="U16152" i="12"/>
  <c r="U16151" i="12"/>
  <c r="U16150" i="12"/>
  <c r="U16149" i="12"/>
  <c r="U16148" i="12"/>
  <c r="U16147" i="12"/>
  <c r="U16146" i="12"/>
  <c r="U16145" i="12"/>
  <c r="U16144" i="12"/>
  <c r="U16143" i="12"/>
  <c r="U16142" i="12"/>
  <c r="U16141" i="12"/>
  <c r="U16140" i="12"/>
  <c r="U16139" i="12"/>
  <c r="U16138" i="12"/>
  <c r="U16137" i="12"/>
  <c r="U16136" i="12"/>
  <c r="U16135" i="12"/>
  <c r="U16134" i="12"/>
  <c r="U16133" i="12"/>
  <c r="U16132" i="12"/>
  <c r="U16131" i="12"/>
  <c r="U16130" i="12"/>
  <c r="U16129" i="12"/>
  <c r="U16128" i="12"/>
  <c r="U16127" i="12"/>
  <c r="U16126" i="12"/>
  <c r="U16125" i="12"/>
  <c r="U16124" i="12"/>
  <c r="U16123" i="12"/>
  <c r="U16122" i="12"/>
  <c r="U16121" i="12"/>
  <c r="U16120" i="12"/>
  <c r="U16119" i="12"/>
  <c r="U16118" i="12"/>
  <c r="U16117" i="12"/>
  <c r="U16116" i="12"/>
  <c r="U16115" i="12"/>
  <c r="U16114" i="12"/>
  <c r="U16113" i="12"/>
  <c r="U16112" i="12"/>
  <c r="U16111" i="12"/>
  <c r="U16110" i="12"/>
  <c r="U16109" i="12"/>
  <c r="U16108" i="12"/>
  <c r="U16107" i="12"/>
  <c r="U16106" i="12"/>
  <c r="U16105" i="12"/>
  <c r="U16104" i="12"/>
  <c r="U16103" i="12"/>
  <c r="U16102" i="12"/>
  <c r="U16101" i="12"/>
  <c r="U16100" i="12"/>
  <c r="U16099" i="12"/>
  <c r="U16098" i="12"/>
  <c r="U16097" i="12"/>
  <c r="U16096" i="12"/>
  <c r="U16095" i="12"/>
  <c r="U16094" i="12"/>
  <c r="U16093" i="12"/>
  <c r="U16092" i="12"/>
  <c r="U16091" i="12"/>
  <c r="U16090" i="12"/>
  <c r="U16089" i="12"/>
  <c r="U16088" i="12"/>
  <c r="U16087" i="12"/>
  <c r="U16086" i="12"/>
  <c r="U16085" i="12"/>
  <c r="U16084" i="12"/>
  <c r="U16083" i="12"/>
  <c r="U16082" i="12"/>
  <c r="U16081" i="12"/>
  <c r="U16080" i="12"/>
  <c r="U16079" i="12"/>
  <c r="U16078" i="12"/>
  <c r="U16077" i="12"/>
  <c r="U16076" i="12"/>
  <c r="U16075" i="12"/>
  <c r="U16074" i="12"/>
  <c r="U16073" i="12"/>
  <c r="U16072" i="12"/>
  <c r="U16071" i="12"/>
  <c r="U16070" i="12"/>
  <c r="U16069" i="12"/>
  <c r="U16068" i="12"/>
  <c r="U16067" i="12"/>
  <c r="U16066" i="12"/>
  <c r="U16065" i="12"/>
  <c r="U16064" i="12"/>
  <c r="U16063" i="12"/>
  <c r="U16062" i="12"/>
  <c r="U16061" i="12"/>
  <c r="U16060" i="12"/>
  <c r="U16059" i="12"/>
  <c r="U16058" i="12"/>
  <c r="U16057" i="12"/>
  <c r="U16056" i="12"/>
  <c r="U16055" i="12"/>
  <c r="U16054" i="12"/>
  <c r="U16053" i="12"/>
  <c r="U16052" i="12"/>
  <c r="U16051" i="12"/>
  <c r="U16050" i="12"/>
  <c r="U16049" i="12"/>
  <c r="U16048" i="12"/>
  <c r="U16047" i="12"/>
  <c r="U16046" i="12"/>
  <c r="U16045" i="12"/>
  <c r="U16044" i="12"/>
  <c r="U16043" i="12"/>
  <c r="U16042" i="12"/>
  <c r="U16041" i="12"/>
  <c r="U16040" i="12"/>
  <c r="U16039" i="12"/>
  <c r="U16038" i="12"/>
  <c r="U16037" i="12"/>
  <c r="U16036" i="12"/>
  <c r="U16035" i="12"/>
  <c r="U16034" i="12"/>
  <c r="U16033" i="12"/>
  <c r="U16032" i="12"/>
  <c r="U16031" i="12"/>
  <c r="U16030" i="12"/>
  <c r="U16029" i="12"/>
  <c r="U16028" i="12"/>
  <c r="U16027" i="12"/>
  <c r="U16026" i="12"/>
  <c r="U16025" i="12"/>
  <c r="U16024" i="12"/>
  <c r="U16023" i="12"/>
  <c r="U16022" i="12"/>
  <c r="U16021" i="12"/>
  <c r="U16020" i="12"/>
  <c r="U16019" i="12"/>
  <c r="U16018" i="12"/>
  <c r="U16017" i="12"/>
  <c r="U16016" i="12"/>
  <c r="U16015" i="12"/>
  <c r="U16014" i="12"/>
  <c r="U16013" i="12"/>
  <c r="U16012" i="12"/>
  <c r="U16011" i="12"/>
  <c r="U16010" i="12"/>
  <c r="U16009" i="12"/>
  <c r="U16008" i="12"/>
  <c r="U16007" i="12"/>
  <c r="U16006" i="12"/>
  <c r="U16005" i="12"/>
  <c r="U16004" i="12"/>
  <c r="U16003" i="12"/>
  <c r="U16002" i="12"/>
  <c r="U16001" i="12"/>
  <c r="U16000" i="12"/>
  <c r="U15999" i="12"/>
  <c r="U15998" i="12"/>
  <c r="U15997" i="12"/>
  <c r="U15996" i="12"/>
  <c r="U15995" i="12"/>
  <c r="U15994" i="12"/>
  <c r="U15993" i="12"/>
  <c r="U15992" i="12"/>
  <c r="U15991" i="12"/>
  <c r="U15990" i="12"/>
  <c r="U15989" i="12"/>
  <c r="U15988" i="12"/>
  <c r="U15987" i="12"/>
  <c r="U15986" i="12"/>
  <c r="U15985" i="12"/>
  <c r="U15984" i="12"/>
  <c r="U15983" i="12"/>
  <c r="U15982" i="12"/>
  <c r="U15981" i="12"/>
  <c r="U15980" i="12"/>
  <c r="U15979" i="12"/>
  <c r="U15978" i="12"/>
  <c r="U15977" i="12"/>
  <c r="U15976" i="12"/>
  <c r="U15975" i="12"/>
  <c r="U15974" i="12"/>
  <c r="U15973" i="12"/>
  <c r="U15972" i="12"/>
  <c r="U15971" i="12"/>
  <c r="U15970" i="12"/>
  <c r="U15969" i="12"/>
  <c r="U15968" i="12"/>
  <c r="U15967" i="12"/>
  <c r="U15966" i="12"/>
  <c r="U15965" i="12"/>
  <c r="U15964" i="12"/>
  <c r="U15963" i="12"/>
  <c r="U15962" i="12"/>
  <c r="U15961" i="12"/>
  <c r="U15960" i="12"/>
  <c r="U15959" i="12"/>
  <c r="U15958" i="12"/>
  <c r="U15957" i="12"/>
  <c r="U15956" i="12"/>
  <c r="U15955" i="12"/>
  <c r="U15954" i="12"/>
  <c r="U15953" i="12"/>
  <c r="U15952" i="12"/>
  <c r="U15951" i="12"/>
  <c r="U15950" i="12"/>
  <c r="U15949" i="12"/>
  <c r="U15948" i="12"/>
  <c r="U15947" i="12"/>
  <c r="U15946" i="12"/>
  <c r="U15945" i="12"/>
  <c r="U15944" i="12"/>
  <c r="U15943" i="12"/>
  <c r="U15942" i="12"/>
  <c r="U15941" i="12"/>
  <c r="U15940" i="12"/>
  <c r="U15939" i="12"/>
  <c r="U15938" i="12"/>
  <c r="U15937" i="12"/>
  <c r="U15936" i="12"/>
  <c r="U15935" i="12"/>
  <c r="U15934" i="12"/>
  <c r="U15933" i="12"/>
  <c r="U15932" i="12"/>
  <c r="U15931" i="12"/>
  <c r="U15930" i="12"/>
  <c r="U15929" i="12"/>
  <c r="U15928" i="12"/>
  <c r="U15927" i="12"/>
  <c r="U15926" i="12"/>
  <c r="U15925" i="12"/>
  <c r="U15924" i="12"/>
  <c r="U15923" i="12"/>
  <c r="U15922" i="12"/>
  <c r="U15921" i="12"/>
  <c r="U15920" i="12"/>
  <c r="U15919" i="12"/>
  <c r="U15918" i="12"/>
  <c r="U15917" i="12"/>
  <c r="U15916" i="12"/>
  <c r="U15915" i="12"/>
  <c r="U15914" i="12"/>
  <c r="U15913" i="12"/>
  <c r="U15912" i="12"/>
  <c r="U15911" i="12"/>
  <c r="U15910" i="12"/>
  <c r="U15909" i="12"/>
  <c r="U15908" i="12"/>
  <c r="U15907" i="12"/>
  <c r="U15906" i="12"/>
  <c r="U15905" i="12"/>
  <c r="U15904" i="12"/>
  <c r="U15903" i="12"/>
  <c r="U15902" i="12"/>
  <c r="U15901" i="12"/>
  <c r="U15900" i="12"/>
  <c r="U15899" i="12"/>
  <c r="U15898" i="12"/>
  <c r="U15897" i="12"/>
  <c r="U15896" i="12"/>
  <c r="U15895" i="12"/>
  <c r="U15894" i="12"/>
  <c r="U15893" i="12"/>
  <c r="U15892" i="12"/>
  <c r="U15891" i="12"/>
  <c r="U15890" i="12"/>
  <c r="U15889" i="12"/>
  <c r="U15888" i="12"/>
  <c r="U15887" i="12"/>
  <c r="U15886" i="12"/>
  <c r="U15885" i="12"/>
  <c r="U15884" i="12"/>
  <c r="U15883" i="12"/>
  <c r="U15882" i="12"/>
  <c r="U15881" i="12"/>
  <c r="U15880" i="12"/>
  <c r="U15879" i="12"/>
  <c r="U15878" i="12"/>
  <c r="U15877" i="12"/>
  <c r="U15876" i="12"/>
  <c r="U15875" i="12"/>
  <c r="U15874" i="12"/>
  <c r="U15873" i="12"/>
  <c r="U15872" i="12"/>
  <c r="U15871" i="12"/>
  <c r="U15870" i="12"/>
  <c r="U15869" i="12"/>
  <c r="U15868" i="12"/>
  <c r="U15867" i="12"/>
  <c r="U15866" i="12"/>
  <c r="U15865" i="12"/>
  <c r="U15864" i="12"/>
  <c r="U15863" i="12"/>
  <c r="U15862" i="12"/>
  <c r="U15861" i="12"/>
  <c r="U15860" i="12"/>
  <c r="U15859" i="12"/>
  <c r="U15858" i="12"/>
  <c r="U15857" i="12"/>
  <c r="U15856" i="12"/>
  <c r="U15855" i="12"/>
  <c r="U15854" i="12"/>
  <c r="U15853" i="12"/>
  <c r="U15852" i="12"/>
  <c r="U15851" i="12"/>
  <c r="U15850" i="12"/>
  <c r="U15849" i="12"/>
  <c r="U15848" i="12"/>
  <c r="U15847" i="12"/>
  <c r="U15846" i="12"/>
  <c r="U15845" i="12"/>
  <c r="U15844" i="12"/>
  <c r="U15843" i="12"/>
  <c r="U15842" i="12"/>
  <c r="U15841" i="12"/>
  <c r="U15840" i="12"/>
  <c r="U15839" i="12"/>
  <c r="U15838" i="12"/>
  <c r="U15837" i="12"/>
  <c r="U15836" i="12"/>
  <c r="U15835" i="12"/>
  <c r="U15834" i="12"/>
  <c r="U15833" i="12"/>
  <c r="U15832" i="12"/>
  <c r="U15831" i="12"/>
  <c r="U15830" i="12"/>
  <c r="U15829" i="12"/>
  <c r="U15828" i="12"/>
  <c r="U15827" i="12"/>
  <c r="U15826" i="12"/>
  <c r="U15825" i="12"/>
  <c r="U15824" i="12"/>
  <c r="U15823" i="12"/>
  <c r="U15822" i="12"/>
  <c r="U15821" i="12"/>
  <c r="U15820" i="12"/>
  <c r="U15819" i="12"/>
  <c r="U15818" i="12"/>
  <c r="U15817" i="12"/>
  <c r="U15816" i="12"/>
  <c r="U15815" i="12"/>
  <c r="U15814" i="12"/>
  <c r="U15813" i="12"/>
  <c r="U15812" i="12"/>
  <c r="U15811" i="12"/>
  <c r="U15810" i="12"/>
  <c r="U15809" i="12"/>
  <c r="U15808" i="12"/>
  <c r="U15807" i="12"/>
  <c r="U15806" i="12"/>
  <c r="U15805" i="12"/>
  <c r="U15804" i="12"/>
  <c r="U15803" i="12"/>
  <c r="U15802" i="12"/>
  <c r="U15801" i="12"/>
  <c r="U15800" i="12"/>
  <c r="U15799" i="12"/>
  <c r="U15798" i="12"/>
  <c r="U15797" i="12"/>
  <c r="U15796" i="12"/>
  <c r="U15795" i="12"/>
  <c r="U15794" i="12"/>
  <c r="U15793" i="12"/>
  <c r="U15792" i="12"/>
  <c r="U15791" i="12"/>
  <c r="U15790" i="12"/>
  <c r="U15789" i="12"/>
  <c r="U15788" i="12"/>
  <c r="U15787" i="12"/>
  <c r="U15786" i="12"/>
  <c r="U15785" i="12"/>
  <c r="U15784" i="12"/>
  <c r="U15783" i="12"/>
  <c r="U15782" i="12"/>
  <c r="U15781" i="12"/>
  <c r="U15780" i="12"/>
  <c r="U15779" i="12"/>
  <c r="U15778" i="12"/>
  <c r="U15777" i="12"/>
  <c r="U15776" i="12"/>
  <c r="U15775" i="12"/>
  <c r="U15774" i="12"/>
  <c r="U15773" i="12"/>
  <c r="U15772" i="12"/>
  <c r="U15771" i="12"/>
  <c r="U15770" i="12"/>
  <c r="U15769" i="12"/>
  <c r="U15768" i="12"/>
  <c r="U15767" i="12"/>
  <c r="U15766" i="12"/>
  <c r="U15765" i="12"/>
  <c r="U15764" i="12"/>
  <c r="U15763" i="12"/>
  <c r="U15762" i="12"/>
  <c r="U15761" i="12"/>
  <c r="U15760" i="12"/>
  <c r="U15759" i="12"/>
  <c r="U15758" i="12"/>
  <c r="U15757" i="12"/>
  <c r="U15756" i="12"/>
  <c r="U15755" i="12"/>
  <c r="U15754" i="12"/>
  <c r="U15753" i="12"/>
  <c r="U15752" i="12"/>
  <c r="U15751" i="12"/>
  <c r="U15750" i="12"/>
  <c r="U15749" i="12"/>
  <c r="U15748" i="12"/>
  <c r="U15747" i="12"/>
  <c r="U15746" i="12"/>
  <c r="U15745" i="12"/>
  <c r="U15744" i="12"/>
  <c r="U15743" i="12"/>
  <c r="U15742" i="12"/>
  <c r="U15741" i="12"/>
  <c r="U15740" i="12"/>
  <c r="U15739" i="12"/>
  <c r="U15738" i="12"/>
  <c r="U15737" i="12"/>
  <c r="U15736" i="12"/>
  <c r="U15735" i="12"/>
  <c r="U15734" i="12"/>
  <c r="U15733" i="12"/>
  <c r="U15732" i="12"/>
  <c r="U15731" i="12"/>
  <c r="U15730" i="12"/>
  <c r="U15729" i="12"/>
  <c r="U15728" i="12"/>
  <c r="U15727" i="12"/>
  <c r="U15726" i="12"/>
  <c r="U15725" i="12"/>
  <c r="U15724" i="12"/>
  <c r="U15723" i="12"/>
  <c r="U15722" i="12"/>
  <c r="U15721" i="12"/>
  <c r="U15720" i="12"/>
  <c r="U15719" i="12"/>
  <c r="U15718" i="12"/>
  <c r="U15717" i="12"/>
  <c r="U15716" i="12"/>
  <c r="U15715" i="12"/>
  <c r="U15714" i="12"/>
  <c r="U15713" i="12"/>
  <c r="U15712" i="12"/>
  <c r="U15711" i="12"/>
  <c r="U15710" i="12"/>
  <c r="U15709" i="12"/>
  <c r="U15708" i="12"/>
  <c r="U15707" i="12"/>
  <c r="U15706" i="12"/>
  <c r="U15705" i="12"/>
  <c r="U15704" i="12"/>
  <c r="U15703" i="12"/>
  <c r="U15702" i="12"/>
  <c r="U15701" i="12"/>
  <c r="U15700" i="12"/>
  <c r="U15699" i="12"/>
  <c r="U15698" i="12"/>
  <c r="U15697" i="12"/>
  <c r="U15696" i="12"/>
  <c r="U15695" i="12"/>
  <c r="U15694" i="12"/>
  <c r="U15693" i="12"/>
  <c r="U15692" i="12"/>
  <c r="U15691" i="12"/>
  <c r="U15690" i="12"/>
  <c r="U15689" i="12"/>
  <c r="U15688" i="12"/>
  <c r="U15687" i="12"/>
  <c r="U15686" i="12"/>
  <c r="U15685" i="12"/>
  <c r="U15684" i="12"/>
  <c r="U15683" i="12"/>
  <c r="U15682" i="12"/>
  <c r="U15681" i="12"/>
  <c r="U15680" i="12"/>
  <c r="U15679" i="12"/>
  <c r="U15678" i="12"/>
  <c r="U15677" i="12"/>
  <c r="U15676" i="12"/>
  <c r="U15675" i="12"/>
  <c r="U15674" i="12"/>
  <c r="U15673" i="12"/>
  <c r="U15672" i="12"/>
  <c r="U15671" i="12"/>
  <c r="U15670" i="12"/>
  <c r="U15669" i="12"/>
  <c r="U15668" i="12"/>
  <c r="U15667" i="12"/>
  <c r="U15666" i="12"/>
  <c r="U15665" i="12"/>
  <c r="U15664" i="12"/>
  <c r="U15663" i="12"/>
  <c r="U15662" i="12"/>
  <c r="U15661" i="12"/>
  <c r="U15660" i="12"/>
  <c r="U15659" i="12"/>
  <c r="U15658" i="12"/>
  <c r="U15657" i="12"/>
  <c r="U15656" i="12"/>
  <c r="U15655" i="12"/>
  <c r="U15654" i="12"/>
  <c r="U15653" i="12"/>
  <c r="U15652" i="12"/>
  <c r="U15651" i="12"/>
  <c r="U15650" i="12"/>
  <c r="U15649" i="12"/>
  <c r="U15648" i="12"/>
  <c r="U15647" i="12"/>
  <c r="U15646" i="12"/>
  <c r="U15645" i="12"/>
  <c r="U15644" i="12"/>
  <c r="U15643" i="12"/>
  <c r="U15642" i="12"/>
  <c r="U15641" i="12"/>
  <c r="U15640" i="12"/>
  <c r="U15639" i="12"/>
  <c r="U15638" i="12"/>
  <c r="U15637" i="12"/>
  <c r="U15636" i="12"/>
  <c r="U15635" i="12"/>
  <c r="U15634" i="12"/>
  <c r="U15633" i="12"/>
  <c r="U15632" i="12"/>
  <c r="U15631" i="12"/>
  <c r="U15630" i="12"/>
  <c r="U15629" i="12"/>
  <c r="U15628" i="12"/>
  <c r="U15627" i="12"/>
  <c r="U15626" i="12"/>
  <c r="U15625" i="12"/>
  <c r="U15624" i="12"/>
  <c r="U15623" i="12"/>
  <c r="U15622" i="12"/>
  <c r="U15621" i="12"/>
  <c r="U15620" i="12"/>
  <c r="U15619" i="12"/>
  <c r="U15618" i="12"/>
  <c r="U15617" i="12"/>
  <c r="U15616" i="12"/>
  <c r="U15615" i="12"/>
  <c r="U15614" i="12"/>
  <c r="U15613" i="12"/>
  <c r="U15612" i="12"/>
  <c r="U15611" i="12"/>
  <c r="U15610" i="12"/>
  <c r="U15609" i="12"/>
  <c r="U15608" i="12"/>
  <c r="U15607" i="12"/>
  <c r="U15606" i="12"/>
  <c r="U15605" i="12"/>
  <c r="U15604" i="12"/>
  <c r="U15603" i="12"/>
  <c r="U15602" i="12"/>
  <c r="U15601" i="12"/>
  <c r="U15600" i="12"/>
  <c r="U15599" i="12"/>
  <c r="U15598" i="12"/>
  <c r="U15597" i="12"/>
  <c r="U15596" i="12"/>
  <c r="U15595" i="12"/>
  <c r="U15594" i="12"/>
  <c r="U15593" i="12"/>
  <c r="U15592" i="12"/>
  <c r="U15591" i="12"/>
  <c r="U15590" i="12"/>
  <c r="U15589" i="12"/>
  <c r="U15588" i="12"/>
  <c r="U15587" i="12"/>
  <c r="U15586" i="12"/>
  <c r="U15585" i="12"/>
  <c r="U15584" i="12"/>
  <c r="U15583" i="12"/>
  <c r="U15582" i="12"/>
  <c r="U15581" i="12"/>
  <c r="U15580" i="12"/>
  <c r="U15579" i="12"/>
  <c r="U15578" i="12"/>
  <c r="U15577" i="12"/>
  <c r="U15576" i="12"/>
  <c r="U15575" i="12"/>
  <c r="U15574" i="12"/>
  <c r="U15573" i="12"/>
  <c r="U15572" i="12"/>
  <c r="U15571" i="12"/>
  <c r="U15570" i="12"/>
  <c r="U15569" i="12"/>
  <c r="U15568" i="12"/>
  <c r="U15567" i="12"/>
  <c r="U15566" i="12"/>
  <c r="U15565" i="12"/>
  <c r="U15564" i="12"/>
  <c r="U15563" i="12"/>
  <c r="U15562" i="12"/>
  <c r="U15561" i="12"/>
  <c r="U15560" i="12"/>
  <c r="U15559" i="12"/>
  <c r="U15558" i="12"/>
  <c r="U15557" i="12"/>
  <c r="U15556" i="12"/>
  <c r="U15555" i="12"/>
  <c r="U15554" i="12"/>
  <c r="U15553" i="12"/>
  <c r="U15552" i="12"/>
  <c r="U15551" i="12"/>
  <c r="U15550" i="12"/>
  <c r="U15549" i="12"/>
  <c r="U15548" i="12"/>
  <c r="U15547" i="12"/>
  <c r="U15546" i="12"/>
  <c r="U15545" i="12"/>
  <c r="U15544" i="12"/>
  <c r="U15543" i="12"/>
  <c r="U15542" i="12"/>
  <c r="U15541" i="12"/>
  <c r="U15540" i="12"/>
  <c r="U15539" i="12"/>
  <c r="U15538" i="12"/>
  <c r="U15537" i="12"/>
  <c r="U15536" i="12"/>
  <c r="U15535" i="12"/>
  <c r="U15534" i="12"/>
  <c r="U15533" i="12"/>
  <c r="U15532" i="12"/>
  <c r="U15531" i="12"/>
  <c r="U15530" i="12"/>
  <c r="U15529" i="12"/>
  <c r="U15528" i="12"/>
  <c r="U15527" i="12"/>
  <c r="U15526" i="12"/>
  <c r="U15525" i="12"/>
  <c r="U15524" i="12"/>
  <c r="U15523" i="12"/>
  <c r="U15522" i="12"/>
  <c r="U15521" i="12"/>
  <c r="U15520" i="12"/>
  <c r="U15519" i="12"/>
  <c r="U15518" i="12"/>
  <c r="U15517" i="12"/>
  <c r="U15516" i="12"/>
  <c r="U15515" i="12"/>
  <c r="U15514" i="12"/>
  <c r="U15513" i="12"/>
  <c r="U15512" i="12"/>
  <c r="U15511" i="12"/>
  <c r="U15510" i="12"/>
  <c r="U15509" i="12"/>
  <c r="U15508" i="12"/>
  <c r="U15507" i="12"/>
  <c r="U15506" i="12"/>
  <c r="U15505" i="12"/>
  <c r="U15504" i="12"/>
  <c r="U15503" i="12"/>
  <c r="U15502" i="12"/>
  <c r="U15501" i="12"/>
  <c r="U15500" i="12"/>
  <c r="U15499" i="12"/>
  <c r="U15498" i="12"/>
  <c r="U15497" i="12"/>
  <c r="U15496" i="12"/>
  <c r="U15495" i="12"/>
  <c r="U15494" i="12"/>
  <c r="U15493" i="12"/>
  <c r="U15492" i="12"/>
  <c r="U15491" i="12"/>
  <c r="U15490" i="12"/>
  <c r="U15489" i="12"/>
  <c r="U15488" i="12"/>
  <c r="U15487" i="12"/>
  <c r="U15486" i="12"/>
  <c r="U15485" i="12"/>
  <c r="U15484" i="12"/>
  <c r="U15483" i="12"/>
  <c r="U15482" i="12"/>
  <c r="U15481" i="12"/>
  <c r="U15480" i="12"/>
  <c r="U15479" i="12"/>
  <c r="U15478" i="12"/>
  <c r="U15477" i="12"/>
  <c r="U15476" i="12"/>
  <c r="U15475" i="12"/>
  <c r="U15474" i="12"/>
  <c r="U15473" i="12"/>
  <c r="U15472" i="12"/>
  <c r="U15471" i="12"/>
  <c r="U15470" i="12"/>
  <c r="U15469" i="12"/>
  <c r="U15468" i="12"/>
  <c r="U15467" i="12"/>
  <c r="U15466" i="12"/>
  <c r="U15465" i="12"/>
  <c r="U15464" i="12"/>
  <c r="U15463" i="12"/>
  <c r="U15462" i="12"/>
  <c r="U15461" i="12"/>
  <c r="U15460" i="12"/>
  <c r="U15459" i="12"/>
  <c r="U15458" i="12"/>
  <c r="U15457" i="12"/>
  <c r="U15456" i="12"/>
  <c r="U15455" i="12"/>
  <c r="U15454" i="12"/>
  <c r="U15453" i="12"/>
  <c r="U15452" i="12"/>
  <c r="U15451" i="12"/>
  <c r="U15450" i="12"/>
  <c r="U15449" i="12"/>
  <c r="U15448" i="12"/>
  <c r="U15447" i="12"/>
  <c r="U15446" i="12"/>
  <c r="U15445" i="12"/>
  <c r="U15444" i="12"/>
  <c r="U15443" i="12"/>
  <c r="U15442" i="12"/>
  <c r="U15441" i="12"/>
  <c r="U15440" i="12"/>
  <c r="U15439" i="12"/>
  <c r="U15438" i="12"/>
  <c r="U15437" i="12"/>
  <c r="U15436" i="12"/>
  <c r="U15435" i="12"/>
  <c r="U15434" i="12"/>
  <c r="U15433" i="12"/>
  <c r="U15432" i="12"/>
  <c r="U15431" i="12"/>
  <c r="U15430" i="12"/>
  <c r="U15429" i="12"/>
  <c r="U15428" i="12"/>
  <c r="U15427" i="12"/>
  <c r="U15426" i="12"/>
  <c r="U15425" i="12"/>
  <c r="U15424" i="12"/>
  <c r="U15423" i="12"/>
  <c r="U15422" i="12"/>
  <c r="U15421" i="12"/>
  <c r="U15420" i="12"/>
  <c r="U15419" i="12"/>
  <c r="U15418" i="12"/>
  <c r="U15417" i="12"/>
  <c r="U15416" i="12"/>
  <c r="U15415" i="12"/>
  <c r="U15414" i="12"/>
  <c r="U15413" i="12"/>
  <c r="U15412" i="12"/>
  <c r="U15411" i="12"/>
  <c r="U15410" i="12"/>
  <c r="U15409" i="12"/>
  <c r="U15408" i="12"/>
  <c r="U15407" i="12"/>
  <c r="U15406" i="12"/>
  <c r="U15405" i="12"/>
  <c r="U15404" i="12"/>
  <c r="U15403" i="12"/>
  <c r="U15402" i="12"/>
  <c r="U15401" i="12"/>
  <c r="U15400" i="12"/>
  <c r="U15399" i="12"/>
  <c r="U15398" i="12"/>
  <c r="U15397" i="12"/>
  <c r="U15396" i="12"/>
  <c r="U15395" i="12"/>
  <c r="U15394" i="12"/>
  <c r="U15393" i="12"/>
  <c r="U15392" i="12"/>
  <c r="U15391" i="12"/>
  <c r="U15390" i="12"/>
  <c r="U15389" i="12"/>
  <c r="U15388" i="12"/>
  <c r="U15387" i="12"/>
  <c r="U15386" i="12"/>
  <c r="U15385" i="12"/>
  <c r="U15384" i="12"/>
  <c r="U15383" i="12"/>
  <c r="U15382" i="12"/>
  <c r="U15381" i="12"/>
  <c r="U15380" i="12"/>
  <c r="U15379" i="12"/>
  <c r="U15378" i="12"/>
  <c r="U15377" i="12"/>
  <c r="U15376" i="12"/>
  <c r="U15375" i="12"/>
  <c r="U15374" i="12"/>
  <c r="U15373" i="12"/>
  <c r="U15372" i="12"/>
  <c r="U15371" i="12"/>
  <c r="U15370" i="12"/>
  <c r="U15369" i="12"/>
  <c r="U15368" i="12"/>
  <c r="U15367" i="12"/>
  <c r="U15366" i="12"/>
  <c r="U15365" i="12"/>
  <c r="U15364" i="12"/>
  <c r="U15363" i="12"/>
  <c r="U15362" i="12"/>
  <c r="U15361" i="12"/>
  <c r="U15360" i="12"/>
  <c r="U15359" i="12"/>
  <c r="U15358" i="12"/>
  <c r="U15357" i="12"/>
  <c r="U15356" i="12"/>
  <c r="U15355" i="12"/>
  <c r="U15354" i="12"/>
  <c r="U15353" i="12"/>
  <c r="U15352" i="12"/>
  <c r="U15351" i="12"/>
  <c r="U15350" i="12"/>
  <c r="U15349" i="12"/>
  <c r="U15348" i="12"/>
  <c r="U15347" i="12"/>
  <c r="U15346" i="12"/>
  <c r="U15345" i="12"/>
  <c r="U15344" i="12"/>
  <c r="U15343" i="12"/>
  <c r="U15342" i="12"/>
  <c r="U15341" i="12"/>
  <c r="U15340" i="12"/>
  <c r="U15339" i="12"/>
  <c r="U15338" i="12"/>
  <c r="U15337" i="12"/>
  <c r="U15336" i="12"/>
  <c r="U15335" i="12"/>
  <c r="U15334" i="12"/>
  <c r="U15333" i="12"/>
  <c r="U15332" i="12"/>
  <c r="U15331" i="12"/>
  <c r="U15330" i="12"/>
  <c r="U15329" i="12"/>
  <c r="U15328" i="12"/>
  <c r="U15327" i="12"/>
  <c r="U15326" i="12"/>
  <c r="U15325" i="12"/>
  <c r="U15324" i="12"/>
  <c r="U15323" i="12"/>
  <c r="U15322" i="12"/>
  <c r="U15321" i="12"/>
  <c r="U15320" i="12"/>
  <c r="U15319" i="12"/>
  <c r="U15318" i="12"/>
  <c r="U15317" i="12"/>
  <c r="U15316" i="12"/>
  <c r="U15315" i="12"/>
  <c r="U15314" i="12"/>
  <c r="U15313" i="12"/>
  <c r="U15312" i="12"/>
  <c r="U15311" i="12"/>
  <c r="U15310" i="12"/>
  <c r="U15309" i="12"/>
  <c r="U15308" i="12"/>
  <c r="U15307" i="12"/>
  <c r="U15306" i="12"/>
  <c r="U15305" i="12"/>
  <c r="U15304" i="12"/>
  <c r="U15303" i="12"/>
  <c r="U15302" i="12"/>
  <c r="U15301" i="12"/>
  <c r="U15300" i="12"/>
  <c r="U15299" i="12"/>
  <c r="U15298" i="12"/>
  <c r="U15297" i="12"/>
  <c r="U15296" i="12"/>
  <c r="U15295" i="12"/>
  <c r="U15294" i="12"/>
  <c r="U15293" i="12"/>
  <c r="U15292" i="12"/>
  <c r="U15291" i="12"/>
  <c r="U15290" i="12"/>
  <c r="U15289" i="12"/>
  <c r="U15288" i="12"/>
  <c r="U15287" i="12"/>
  <c r="U15286" i="12"/>
  <c r="U15285" i="12"/>
  <c r="U15284" i="12"/>
  <c r="U15283" i="12"/>
  <c r="U15282" i="12"/>
  <c r="U15281" i="12"/>
  <c r="U15280" i="12"/>
  <c r="U15279" i="12"/>
  <c r="U15278" i="12"/>
  <c r="U15277" i="12"/>
  <c r="U15276" i="12"/>
  <c r="U15275" i="12"/>
  <c r="U15274" i="12"/>
  <c r="U15273" i="12"/>
  <c r="U15272" i="12"/>
  <c r="U15271" i="12"/>
  <c r="U15270" i="12"/>
  <c r="U15269" i="12"/>
  <c r="U15268" i="12"/>
  <c r="U15267" i="12"/>
  <c r="U15266" i="12"/>
  <c r="U15265" i="12"/>
  <c r="U15264" i="12"/>
  <c r="U15263" i="12"/>
  <c r="U15262" i="12"/>
  <c r="U15261" i="12"/>
  <c r="U15260" i="12"/>
  <c r="U15259" i="12"/>
  <c r="U15258" i="12"/>
  <c r="U15257" i="12"/>
  <c r="U15256" i="12"/>
  <c r="U15255" i="12"/>
  <c r="U15254" i="12"/>
  <c r="U15253" i="12"/>
  <c r="U15252" i="12"/>
  <c r="U15251" i="12"/>
  <c r="U15250" i="12"/>
  <c r="U15249" i="12"/>
  <c r="U15248" i="12"/>
  <c r="U15247" i="12"/>
  <c r="U15246" i="12"/>
  <c r="U15245" i="12"/>
  <c r="U15244" i="12"/>
  <c r="U15243" i="12"/>
  <c r="U15242" i="12"/>
  <c r="U15241" i="12"/>
  <c r="U15240" i="12"/>
  <c r="U15239" i="12"/>
  <c r="U15238" i="12"/>
  <c r="U15237" i="12"/>
  <c r="U15236" i="12"/>
  <c r="U15235" i="12"/>
  <c r="U15234" i="12"/>
  <c r="U15233" i="12"/>
  <c r="U15232" i="12"/>
  <c r="U15231" i="12"/>
  <c r="U15230" i="12"/>
  <c r="U15229" i="12"/>
  <c r="U15228" i="12"/>
  <c r="U15227" i="12"/>
  <c r="U15226" i="12"/>
  <c r="U15225" i="12"/>
  <c r="U15224" i="12"/>
  <c r="U15223" i="12"/>
  <c r="U15222" i="12"/>
  <c r="U15221" i="12"/>
  <c r="U15220" i="12"/>
  <c r="U15219" i="12"/>
  <c r="U15218" i="12"/>
  <c r="U15217" i="12"/>
  <c r="U15216" i="12"/>
  <c r="U15215" i="12"/>
  <c r="U15214" i="12"/>
  <c r="U15213" i="12"/>
  <c r="U15212" i="12"/>
  <c r="U15211" i="12"/>
  <c r="U15210" i="12"/>
  <c r="U15209" i="12"/>
  <c r="U15208" i="12"/>
  <c r="U15207" i="12"/>
  <c r="U15206" i="12"/>
  <c r="U15205" i="12"/>
  <c r="U15204" i="12"/>
  <c r="U15203" i="12"/>
  <c r="U15202" i="12"/>
  <c r="U15201" i="12"/>
  <c r="U15200" i="12"/>
  <c r="U15199" i="12"/>
  <c r="U15198" i="12"/>
  <c r="U15197" i="12"/>
  <c r="U15196" i="12"/>
  <c r="U15195" i="12"/>
  <c r="U15194" i="12"/>
  <c r="U15193" i="12"/>
  <c r="U15192" i="12"/>
  <c r="U15191" i="12"/>
  <c r="U15190" i="12"/>
  <c r="U15189" i="12"/>
  <c r="U15188" i="12"/>
  <c r="U15187" i="12"/>
  <c r="U15186" i="12"/>
  <c r="U15185" i="12"/>
  <c r="U15184" i="12"/>
  <c r="U15183" i="12"/>
  <c r="U15182" i="12"/>
  <c r="U15181" i="12"/>
  <c r="U15180" i="12"/>
  <c r="U15179" i="12"/>
  <c r="U15178" i="12"/>
  <c r="U15177" i="12"/>
  <c r="U15176" i="12"/>
  <c r="U15175" i="12"/>
  <c r="U15174" i="12"/>
  <c r="U15173" i="12"/>
  <c r="U15172" i="12"/>
  <c r="U15171" i="12"/>
  <c r="U15170" i="12"/>
  <c r="U15169" i="12"/>
  <c r="U15168" i="12"/>
  <c r="U15167" i="12"/>
  <c r="U15166" i="12"/>
  <c r="U15165" i="12"/>
  <c r="U15164" i="12"/>
  <c r="U15163" i="12"/>
  <c r="U15162" i="12"/>
  <c r="U15161" i="12"/>
  <c r="U15160" i="12"/>
  <c r="U15159" i="12"/>
  <c r="U15158" i="12"/>
  <c r="U15157" i="12"/>
  <c r="U15156" i="12"/>
  <c r="U15155" i="12"/>
  <c r="U15154" i="12"/>
  <c r="U15153" i="12"/>
  <c r="U15152" i="12"/>
  <c r="U15151" i="12"/>
  <c r="U15150" i="12"/>
  <c r="U15149" i="12"/>
  <c r="U15148" i="12"/>
  <c r="U15147" i="12"/>
  <c r="U15146" i="12"/>
  <c r="U15145" i="12"/>
  <c r="U15144" i="12"/>
  <c r="U15143" i="12"/>
  <c r="U15142" i="12"/>
  <c r="U15141" i="12"/>
  <c r="U15140" i="12"/>
  <c r="U15139" i="12"/>
  <c r="U15138" i="12"/>
  <c r="U15137" i="12"/>
  <c r="U15136" i="12"/>
  <c r="U15135" i="12"/>
  <c r="U15134" i="12"/>
  <c r="U15133" i="12"/>
  <c r="U15132" i="12"/>
  <c r="U15131" i="12"/>
  <c r="U15130" i="12"/>
  <c r="U15129" i="12"/>
  <c r="U15128" i="12"/>
  <c r="U15127" i="12"/>
  <c r="U15126" i="12"/>
  <c r="U15125" i="12"/>
  <c r="U15124" i="12"/>
  <c r="U15123" i="12"/>
  <c r="U15122" i="12"/>
  <c r="U15121" i="12"/>
  <c r="U15120" i="12"/>
  <c r="U15119" i="12"/>
  <c r="U15118" i="12"/>
  <c r="U15117" i="12"/>
  <c r="U15116" i="12"/>
  <c r="U15115" i="12"/>
  <c r="U15114" i="12"/>
  <c r="U15113" i="12"/>
  <c r="U15112" i="12"/>
  <c r="U15111" i="12"/>
  <c r="U15110" i="12"/>
  <c r="U15109" i="12"/>
  <c r="U15108" i="12"/>
  <c r="U15107" i="12"/>
  <c r="U15106" i="12"/>
  <c r="U15105" i="12"/>
  <c r="U15104" i="12"/>
  <c r="U15103" i="12"/>
  <c r="U15102" i="12"/>
  <c r="U15101" i="12"/>
  <c r="U15100" i="12"/>
  <c r="U15099" i="12"/>
  <c r="U15098" i="12"/>
  <c r="U15097" i="12"/>
  <c r="U15096" i="12"/>
  <c r="U15095" i="12"/>
  <c r="U15094" i="12"/>
  <c r="U15093" i="12"/>
  <c r="U15092" i="12"/>
  <c r="U15091" i="12"/>
  <c r="U15090" i="12"/>
  <c r="U15089" i="12"/>
  <c r="U15088" i="12"/>
  <c r="U15087" i="12"/>
  <c r="U15086" i="12"/>
  <c r="U15085" i="12"/>
  <c r="U15084" i="12"/>
  <c r="U15083" i="12"/>
  <c r="U15082" i="12"/>
  <c r="U15081" i="12"/>
  <c r="U15080" i="12"/>
  <c r="U15079" i="12"/>
  <c r="U15078" i="12"/>
  <c r="U15077" i="12"/>
  <c r="U15076" i="12"/>
  <c r="U15075" i="12"/>
  <c r="U15074" i="12"/>
  <c r="U15073" i="12"/>
  <c r="U15072" i="12"/>
  <c r="U15071" i="12"/>
  <c r="U15070" i="12"/>
  <c r="U15069" i="12"/>
  <c r="U15068" i="12"/>
  <c r="U15067" i="12"/>
  <c r="U15066" i="12"/>
  <c r="U15065" i="12"/>
  <c r="U15064" i="12"/>
  <c r="U15063" i="12"/>
  <c r="U15062" i="12"/>
  <c r="U15061" i="12"/>
  <c r="U15060" i="12"/>
  <c r="U15059" i="12"/>
  <c r="U15058" i="12"/>
  <c r="U15057" i="12"/>
  <c r="U15056" i="12"/>
  <c r="U15055" i="12"/>
  <c r="U15054" i="12"/>
  <c r="U15053" i="12"/>
  <c r="U15052" i="12"/>
  <c r="U15051" i="12"/>
  <c r="U15050" i="12"/>
  <c r="U15049" i="12"/>
  <c r="U15048" i="12"/>
  <c r="U15047" i="12"/>
  <c r="U15046" i="12"/>
  <c r="U15045" i="12"/>
  <c r="U15044" i="12"/>
  <c r="U15043" i="12"/>
  <c r="U15042" i="12"/>
  <c r="U15041" i="12"/>
  <c r="U15040" i="12"/>
  <c r="U15039" i="12"/>
  <c r="U15038" i="12"/>
  <c r="U15037" i="12"/>
  <c r="U15036" i="12"/>
  <c r="U15035" i="12"/>
  <c r="U15034" i="12"/>
  <c r="U15033" i="12"/>
  <c r="U15032" i="12"/>
  <c r="U15031" i="12"/>
  <c r="U15030" i="12"/>
  <c r="U15029" i="12"/>
  <c r="U15028" i="12"/>
  <c r="U15027" i="12"/>
  <c r="U15026" i="12"/>
  <c r="U15025" i="12"/>
  <c r="U15024" i="12"/>
  <c r="U15023" i="12"/>
  <c r="U15022" i="12"/>
  <c r="U15021" i="12"/>
  <c r="U15020" i="12"/>
  <c r="U15019" i="12"/>
  <c r="U15018" i="12"/>
  <c r="U15017" i="12"/>
  <c r="U15016" i="12"/>
  <c r="U15015" i="12"/>
  <c r="U15014" i="12"/>
  <c r="U15013" i="12"/>
  <c r="U15012" i="12"/>
  <c r="U15011" i="12"/>
  <c r="U15010" i="12"/>
  <c r="U15009" i="12"/>
  <c r="U15008" i="12"/>
  <c r="U15007" i="12"/>
  <c r="U15006" i="12"/>
  <c r="U15005" i="12"/>
  <c r="U15004" i="12"/>
  <c r="U15003" i="12"/>
  <c r="U15002" i="12"/>
  <c r="U15001" i="12"/>
  <c r="U15000" i="12"/>
  <c r="U14999" i="12"/>
  <c r="U14998" i="12"/>
  <c r="U14997" i="12"/>
  <c r="U14996" i="12"/>
  <c r="U14995" i="12"/>
  <c r="U14994" i="12"/>
  <c r="U14993" i="12"/>
  <c r="U14992" i="12"/>
  <c r="U14991" i="12"/>
  <c r="U14990" i="12"/>
  <c r="U14989" i="12"/>
  <c r="U14988" i="12"/>
  <c r="U14987" i="12"/>
  <c r="U14986" i="12"/>
  <c r="U14985" i="12"/>
  <c r="U14984" i="12"/>
  <c r="U14983" i="12"/>
  <c r="U14982" i="12"/>
  <c r="U14981" i="12"/>
  <c r="U14980" i="12"/>
  <c r="U14979" i="12"/>
  <c r="U14978" i="12"/>
  <c r="U14977" i="12"/>
  <c r="U14976" i="12"/>
  <c r="U14975" i="12"/>
  <c r="U14974" i="12"/>
  <c r="U14973" i="12"/>
  <c r="U14972" i="12"/>
  <c r="U14971" i="12"/>
  <c r="U14970" i="12"/>
  <c r="U14969" i="12"/>
  <c r="U14968" i="12"/>
  <c r="U14967" i="12"/>
  <c r="U14966" i="12"/>
  <c r="U14965" i="12"/>
  <c r="U14964" i="12"/>
  <c r="U14963" i="12"/>
  <c r="U14962" i="12"/>
  <c r="U14961" i="12"/>
  <c r="U14960" i="12"/>
  <c r="U14959" i="12"/>
  <c r="U14958" i="12"/>
  <c r="U14957" i="12"/>
  <c r="U14956" i="12"/>
  <c r="U14955" i="12"/>
  <c r="U14954" i="12"/>
  <c r="U14953" i="12"/>
  <c r="U14952" i="12"/>
  <c r="U14951" i="12"/>
  <c r="U14950" i="12"/>
  <c r="U14949" i="12"/>
  <c r="U14948" i="12"/>
  <c r="U14947" i="12"/>
  <c r="U14946" i="12"/>
  <c r="U14945" i="12"/>
  <c r="U14944" i="12"/>
  <c r="U14943" i="12"/>
  <c r="U14942" i="12"/>
  <c r="U14941" i="12"/>
  <c r="U14940" i="12"/>
  <c r="U14939" i="12"/>
  <c r="U14938" i="12"/>
  <c r="U14937" i="12"/>
  <c r="U14936" i="12"/>
  <c r="U14935" i="12"/>
  <c r="U14934" i="12"/>
  <c r="U14933" i="12"/>
  <c r="U14932" i="12"/>
  <c r="U14931" i="12"/>
  <c r="U14930" i="12"/>
  <c r="U14929" i="12"/>
  <c r="U14928" i="12"/>
  <c r="U14927" i="12"/>
  <c r="U14926" i="12"/>
  <c r="U14925" i="12"/>
  <c r="U14924" i="12"/>
  <c r="U14923" i="12"/>
  <c r="U14922" i="12"/>
  <c r="U14921" i="12"/>
  <c r="U14920" i="12"/>
  <c r="U14919" i="12"/>
  <c r="U14918" i="12"/>
  <c r="U14917" i="12"/>
  <c r="U14916" i="12"/>
  <c r="U14915" i="12"/>
  <c r="U14914" i="12"/>
  <c r="U14913" i="12"/>
  <c r="U14912" i="12"/>
  <c r="U14911" i="12"/>
  <c r="U14910" i="12"/>
  <c r="U14909" i="12"/>
  <c r="U14908" i="12"/>
  <c r="U14907" i="12"/>
  <c r="U14906" i="12"/>
  <c r="U14905" i="12"/>
  <c r="U14904" i="12"/>
  <c r="U14903" i="12"/>
  <c r="U14902" i="12"/>
  <c r="U14901" i="12"/>
  <c r="U14900" i="12"/>
  <c r="U14899" i="12"/>
  <c r="U14898" i="12"/>
  <c r="U14897" i="12"/>
  <c r="U14896" i="12"/>
  <c r="U14895" i="12"/>
  <c r="U14894" i="12"/>
  <c r="U14893" i="12"/>
  <c r="U14892" i="12"/>
  <c r="U14891" i="12"/>
  <c r="U14890" i="12"/>
  <c r="U14889" i="12"/>
  <c r="U14888" i="12"/>
  <c r="U14887" i="12"/>
  <c r="U14886" i="12"/>
  <c r="U14885" i="12"/>
  <c r="U14884" i="12"/>
  <c r="U14883" i="12"/>
  <c r="U14882" i="12"/>
  <c r="U14881" i="12"/>
  <c r="U14880" i="12"/>
  <c r="U14879" i="12"/>
  <c r="U14878" i="12"/>
  <c r="U14877" i="12"/>
  <c r="U14876" i="12"/>
  <c r="U14875" i="12"/>
  <c r="U14874" i="12"/>
  <c r="U14873" i="12"/>
  <c r="U14872" i="12"/>
  <c r="U14871" i="12"/>
  <c r="U14870" i="12"/>
  <c r="U14869" i="12"/>
  <c r="U14868" i="12"/>
  <c r="U14867" i="12"/>
  <c r="U14866" i="12"/>
  <c r="U14865" i="12"/>
  <c r="U14864" i="12"/>
  <c r="U14863" i="12"/>
  <c r="U14862" i="12"/>
  <c r="U14861" i="12"/>
  <c r="U14860" i="12"/>
  <c r="U14859" i="12"/>
  <c r="U14858" i="12"/>
  <c r="U14857" i="12"/>
  <c r="U14856" i="12"/>
  <c r="U14855" i="12"/>
  <c r="U14854" i="12"/>
  <c r="U14853" i="12"/>
  <c r="U14852" i="12"/>
  <c r="U14851" i="12"/>
  <c r="U14850" i="12"/>
  <c r="U14849" i="12"/>
  <c r="U14848" i="12"/>
  <c r="U14847" i="12"/>
  <c r="U14846" i="12"/>
  <c r="U14845" i="12"/>
  <c r="U14844" i="12"/>
  <c r="U14843" i="12"/>
  <c r="U14842" i="12"/>
  <c r="U14841" i="12"/>
  <c r="U14840" i="12"/>
  <c r="U14839" i="12"/>
  <c r="U14838" i="12"/>
  <c r="U14837" i="12"/>
  <c r="U14836" i="12"/>
  <c r="U14835" i="12"/>
  <c r="U14834" i="12"/>
  <c r="U14833" i="12"/>
  <c r="U14832" i="12"/>
  <c r="U14831" i="12"/>
  <c r="U14830" i="12"/>
  <c r="U14829" i="12"/>
  <c r="U14828" i="12"/>
  <c r="U14827" i="12"/>
  <c r="U14826" i="12"/>
  <c r="U14825" i="12"/>
  <c r="U14824" i="12"/>
  <c r="U14823" i="12"/>
  <c r="U14822" i="12"/>
  <c r="U14821" i="12"/>
  <c r="U14820" i="12"/>
  <c r="U14819" i="12"/>
  <c r="U14818" i="12"/>
  <c r="U14817" i="12"/>
  <c r="U14816" i="12"/>
  <c r="U14815" i="12"/>
  <c r="U14814" i="12"/>
  <c r="U14813" i="12"/>
  <c r="U14812" i="12"/>
  <c r="U14811" i="12"/>
  <c r="U14810" i="12"/>
  <c r="U14809" i="12"/>
  <c r="U14808" i="12"/>
  <c r="U14807" i="12"/>
  <c r="U14806" i="12"/>
  <c r="U14805" i="12"/>
  <c r="U14804" i="12"/>
  <c r="U14803" i="12"/>
  <c r="U14802" i="12"/>
  <c r="U14801" i="12"/>
  <c r="U14800" i="12"/>
  <c r="U14799" i="12"/>
  <c r="U14798" i="12"/>
  <c r="U14797" i="12"/>
  <c r="U14796" i="12"/>
  <c r="U14795" i="12"/>
  <c r="U14794" i="12"/>
  <c r="U14793" i="12"/>
  <c r="U14792" i="12"/>
  <c r="U14791" i="12"/>
  <c r="U14790" i="12"/>
  <c r="U14789" i="12"/>
  <c r="U14788" i="12"/>
  <c r="U14787" i="12"/>
  <c r="U14786" i="12"/>
  <c r="U14785" i="12"/>
  <c r="U14784" i="12"/>
  <c r="U14783" i="12"/>
  <c r="U14782" i="12"/>
  <c r="U14781" i="12"/>
  <c r="U14780" i="12"/>
  <c r="U14779" i="12"/>
  <c r="U14778" i="12"/>
  <c r="U14777" i="12"/>
  <c r="U14776" i="12"/>
  <c r="U14775" i="12"/>
  <c r="U14774" i="12"/>
  <c r="U14773" i="12"/>
  <c r="U14772" i="12"/>
  <c r="U14771" i="12"/>
  <c r="U14770" i="12"/>
  <c r="U14769" i="12"/>
  <c r="U14768" i="12"/>
  <c r="U14767" i="12"/>
  <c r="U14766" i="12"/>
  <c r="U14765" i="12"/>
  <c r="U14764" i="12"/>
  <c r="U14763" i="12"/>
  <c r="U14762" i="12"/>
  <c r="U14761" i="12"/>
  <c r="U14760" i="12"/>
  <c r="U14759" i="12"/>
  <c r="U14758" i="12"/>
  <c r="U14757" i="12"/>
  <c r="U14756" i="12"/>
  <c r="U14755" i="12"/>
  <c r="U14754" i="12"/>
  <c r="U14753" i="12"/>
  <c r="U14752" i="12"/>
  <c r="U14751" i="12"/>
  <c r="U14750" i="12"/>
  <c r="U14749" i="12"/>
  <c r="U14748" i="12"/>
  <c r="U14747" i="12"/>
  <c r="U14746" i="12"/>
  <c r="U14745" i="12"/>
  <c r="U14744" i="12"/>
  <c r="U14743" i="12"/>
  <c r="U14742" i="12"/>
  <c r="U14741" i="12"/>
  <c r="U14740" i="12"/>
  <c r="U14739" i="12"/>
  <c r="U14738" i="12"/>
  <c r="U14737" i="12"/>
  <c r="U14736" i="12"/>
  <c r="U14735" i="12"/>
  <c r="U14734" i="12"/>
  <c r="U14733" i="12"/>
  <c r="U14732" i="12"/>
  <c r="U14731" i="12"/>
  <c r="U14730" i="12"/>
  <c r="U14729" i="12"/>
  <c r="U14728" i="12"/>
  <c r="U14727" i="12"/>
  <c r="U14726" i="12"/>
  <c r="U14725" i="12"/>
  <c r="U14724" i="12"/>
  <c r="U14723" i="12"/>
  <c r="U14722" i="12"/>
  <c r="U14721" i="12"/>
  <c r="U14720" i="12"/>
  <c r="U14719" i="12"/>
  <c r="U14718" i="12"/>
  <c r="U14717" i="12"/>
  <c r="U14716" i="12"/>
  <c r="U14715" i="12"/>
  <c r="U14714" i="12"/>
  <c r="U14713" i="12"/>
  <c r="U14712" i="12"/>
  <c r="U14711" i="12"/>
  <c r="U14710" i="12"/>
  <c r="U14709" i="12"/>
  <c r="U14708" i="12"/>
  <c r="U14707" i="12"/>
  <c r="U14706" i="12"/>
  <c r="U14705" i="12"/>
  <c r="U14704" i="12"/>
  <c r="U14703" i="12"/>
  <c r="U14702" i="12"/>
  <c r="U14701" i="12"/>
  <c r="U14700" i="12"/>
  <c r="U14699" i="12"/>
  <c r="U14698" i="12"/>
  <c r="U14697" i="12"/>
  <c r="U14696" i="12"/>
  <c r="U14695" i="12"/>
  <c r="U14694" i="12"/>
  <c r="U14693" i="12"/>
  <c r="U14692" i="12"/>
  <c r="U14691" i="12"/>
  <c r="U14690" i="12"/>
  <c r="U14689" i="12"/>
  <c r="U14688" i="12"/>
  <c r="U14687" i="12"/>
  <c r="U14686" i="12"/>
  <c r="U14685" i="12"/>
  <c r="U14684" i="12"/>
  <c r="U14683" i="12"/>
  <c r="U14682" i="12"/>
  <c r="U14681" i="12"/>
  <c r="U14680" i="12"/>
  <c r="U14679" i="12"/>
  <c r="U14678" i="12"/>
  <c r="U14677" i="12"/>
  <c r="U14676" i="12"/>
  <c r="U14675" i="12"/>
  <c r="U14674" i="12"/>
  <c r="U14673" i="12"/>
  <c r="U14672" i="12"/>
  <c r="U14671" i="12"/>
  <c r="U14670" i="12"/>
  <c r="U14669" i="12"/>
  <c r="U14668" i="12"/>
  <c r="U14667" i="12"/>
  <c r="U14666" i="12"/>
  <c r="U14665" i="12"/>
  <c r="U14664" i="12"/>
  <c r="U14663" i="12"/>
  <c r="U14662" i="12"/>
  <c r="U14661" i="12"/>
  <c r="U14660" i="12"/>
  <c r="U14659" i="12"/>
  <c r="U14658" i="12"/>
  <c r="U14657" i="12"/>
  <c r="U14656" i="12"/>
  <c r="U14655" i="12"/>
  <c r="U14654" i="12"/>
  <c r="U14653" i="12"/>
  <c r="U14652" i="12"/>
  <c r="U14651" i="12"/>
  <c r="U14650" i="12"/>
  <c r="U14649" i="12"/>
  <c r="U14648" i="12"/>
  <c r="U14647" i="12"/>
  <c r="U14646" i="12"/>
  <c r="U14645" i="12"/>
  <c r="U14644" i="12"/>
  <c r="U14643" i="12"/>
  <c r="U14642" i="12"/>
  <c r="U14641" i="12"/>
  <c r="U14640" i="12"/>
  <c r="U14639" i="12"/>
  <c r="U14638" i="12"/>
  <c r="U14637" i="12"/>
  <c r="U14636" i="12"/>
  <c r="U14635" i="12"/>
  <c r="U14634" i="12"/>
  <c r="U14633" i="12"/>
  <c r="U14632" i="12"/>
  <c r="U14631" i="12"/>
  <c r="U14630" i="12"/>
  <c r="U14629" i="12"/>
  <c r="U14628" i="12"/>
  <c r="U14627" i="12"/>
  <c r="U14626" i="12"/>
  <c r="U14625" i="12"/>
  <c r="U14624" i="12"/>
  <c r="U14623" i="12"/>
  <c r="U14622" i="12"/>
  <c r="U14621" i="12"/>
  <c r="U14620" i="12"/>
  <c r="U14619" i="12"/>
  <c r="U14618" i="12"/>
  <c r="U14617" i="12"/>
  <c r="U14616" i="12"/>
  <c r="U14615" i="12"/>
  <c r="U14614" i="12"/>
  <c r="U14613" i="12"/>
  <c r="U14612" i="12"/>
  <c r="U14611" i="12"/>
  <c r="U14610" i="12"/>
  <c r="U14609" i="12"/>
  <c r="U14608" i="12"/>
  <c r="U14607" i="12"/>
  <c r="U14606" i="12"/>
  <c r="U14605" i="12"/>
  <c r="U14604" i="12"/>
  <c r="U14603" i="12"/>
  <c r="U14602" i="12"/>
  <c r="U14601" i="12"/>
  <c r="U14600" i="12"/>
  <c r="U14599" i="12"/>
  <c r="U14598" i="12"/>
  <c r="U14597" i="12"/>
  <c r="U14596" i="12"/>
  <c r="U14595" i="12"/>
  <c r="U14594" i="12"/>
  <c r="U14593" i="12"/>
  <c r="U14592" i="12"/>
  <c r="U14591" i="12"/>
  <c r="U14590" i="12"/>
  <c r="U14589" i="12"/>
  <c r="U14588" i="12"/>
  <c r="U14587" i="12"/>
  <c r="U14586" i="12"/>
  <c r="U14585" i="12"/>
  <c r="U14584" i="12"/>
  <c r="U14583" i="12"/>
  <c r="U14582" i="12"/>
  <c r="U14581" i="12"/>
  <c r="U14580" i="12"/>
  <c r="U14579" i="12"/>
  <c r="U14578" i="12"/>
  <c r="U14577" i="12"/>
  <c r="U14576" i="12"/>
  <c r="U14575" i="12"/>
  <c r="U14574" i="12"/>
  <c r="U14573" i="12"/>
  <c r="U14572" i="12"/>
  <c r="U14571" i="12"/>
  <c r="U14570" i="12"/>
  <c r="U14569" i="12"/>
  <c r="U14568" i="12"/>
  <c r="U14567" i="12"/>
  <c r="U14566" i="12"/>
  <c r="U14565" i="12"/>
  <c r="U14564" i="12"/>
  <c r="U14563" i="12"/>
  <c r="U14562" i="12"/>
  <c r="U14561" i="12"/>
  <c r="U14560" i="12"/>
  <c r="U14559" i="12"/>
  <c r="U14558" i="12"/>
  <c r="U14557" i="12"/>
  <c r="U14556" i="12"/>
  <c r="U14555" i="12"/>
  <c r="U14554" i="12"/>
  <c r="U14553" i="12"/>
  <c r="U14552" i="12"/>
  <c r="U14551" i="12"/>
  <c r="U14550" i="12"/>
  <c r="U14549" i="12"/>
  <c r="U14548" i="12"/>
  <c r="U14547" i="12"/>
  <c r="U14546" i="12"/>
  <c r="U14545" i="12"/>
  <c r="U14544" i="12"/>
  <c r="U14543" i="12"/>
  <c r="U14542" i="12"/>
  <c r="U14541" i="12"/>
  <c r="U14540" i="12"/>
  <c r="U14539" i="12"/>
  <c r="U14538" i="12"/>
  <c r="U14537" i="12"/>
  <c r="U14536" i="12"/>
  <c r="U14535" i="12"/>
  <c r="U14534" i="12"/>
  <c r="U14533" i="12"/>
  <c r="U14532" i="12"/>
  <c r="U14531" i="12"/>
  <c r="U14530" i="12"/>
  <c r="U14529" i="12"/>
  <c r="U14528" i="12"/>
  <c r="U14527" i="12"/>
  <c r="U14526" i="12"/>
  <c r="U14525" i="12"/>
  <c r="U14524" i="12"/>
  <c r="U14523" i="12"/>
  <c r="U14522" i="12"/>
  <c r="U14521" i="12"/>
  <c r="U14520" i="12"/>
  <c r="U14519" i="12"/>
  <c r="U14518" i="12"/>
  <c r="U14517" i="12"/>
  <c r="U14516" i="12"/>
  <c r="U14515" i="12"/>
  <c r="U14514" i="12"/>
  <c r="U14513" i="12"/>
  <c r="U14512" i="12"/>
  <c r="U14511" i="12"/>
  <c r="U14510" i="12"/>
  <c r="U14509" i="12"/>
  <c r="U14508" i="12"/>
  <c r="U14507" i="12"/>
  <c r="U14506" i="12"/>
  <c r="U14505" i="12"/>
  <c r="U14504" i="12"/>
  <c r="U14503" i="12"/>
  <c r="U14502" i="12"/>
  <c r="U14501" i="12"/>
  <c r="U14500" i="12"/>
  <c r="U14499" i="12"/>
  <c r="U14498" i="12"/>
  <c r="U14497" i="12"/>
  <c r="U14496" i="12"/>
  <c r="U14495" i="12"/>
  <c r="U14494" i="12"/>
  <c r="U14493" i="12"/>
  <c r="U14492" i="12"/>
  <c r="U14491" i="12"/>
  <c r="U14490" i="12"/>
  <c r="U14489" i="12"/>
  <c r="U14488" i="12"/>
  <c r="U14487" i="12"/>
  <c r="U14486" i="12"/>
  <c r="U14485" i="12"/>
  <c r="U14484" i="12"/>
  <c r="U14483" i="12"/>
  <c r="U14482" i="12"/>
  <c r="U14481" i="12"/>
  <c r="U14480" i="12"/>
  <c r="U14479" i="12"/>
  <c r="U14478" i="12"/>
  <c r="U14477" i="12"/>
  <c r="U14476" i="12"/>
  <c r="U14475" i="12"/>
  <c r="U14474" i="12"/>
  <c r="U14473" i="12"/>
  <c r="U14472" i="12"/>
  <c r="U14471" i="12"/>
  <c r="U14470" i="12"/>
  <c r="U14469" i="12"/>
  <c r="U14468" i="12"/>
  <c r="U14467" i="12"/>
  <c r="U14466" i="12"/>
  <c r="U14465" i="12"/>
  <c r="U14464" i="12"/>
  <c r="U14463" i="12"/>
  <c r="U14462" i="12"/>
  <c r="U14461" i="12"/>
  <c r="U14460" i="12"/>
  <c r="U14459" i="12"/>
  <c r="U14458" i="12"/>
  <c r="U14457" i="12"/>
  <c r="U14456" i="12"/>
  <c r="U14455" i="12"/>
  <c r="U14454" i="12"/>
  <c r="U14453" i="12"/>
  <c r="U14452" i="12"/>
  <c r="U14451" i="12"/>
  <c r="U14450" i="12"/>
  <c r="U14449" i="12"/>
  <c r="U14448" i="12"/>
  <c r="U14447" i="12"/>
  <c r="U14446" i="12"/>
  <c r="U14445" i="12"/>
  <c r="U14444" i="12"/>
  <c r="U14443" i="12"/>
  <c r="U14442" i="12"/>
  <c r="U14441" i="12"/>
  <c r="U14440" i="12"/>
  <c r="U14439" i="12"/>
  <c r="U14438" i="12"/>
  <c r="U14437" i="12"/>
  <c r="U14436" i="12"/>
  <c r="U14435" i="12"/>
  <c r="U14434" i="12"/>
  <c r="U14433" i="12"/>
  <c r="U14432" i="12"/>
  <c r="U14431" i="12"/>
  <c r="U14430" i="12"/>
  <c r="U14429" i="12"/>
  <c r="U14428" i="12"/>
  <c r="U14427" i="12"/>
  <c r="U14426" i="12"/>
  <c r="U14425" i="12"/>
  <c r="U14424" i="12"/>
  <c r="U14423" i="12"/>
  <c r="U14422" i="12"/>
  <c r="U14421" i="12"/>
  <c r="U14420" i="12"/>
  <c r="U14419" i="12"/>
  <c r="U14418" i="12"/>
  <c r="U14417" i="12"/>
  <c r="U14416" i="12"/>
  <c r="U14415" i="12"/>
  <c r="U14414" i="12"/>
  <c r="U14413" i="12"/>
  <c r="U14412" i="12"/>
  <c r="U14411" i="12"/>
  <c r="U14410" i="12"/>
  <c r="U14409" i="12"/>
  <c r="U14408" i="12"/>
  <c r="U14407" i="12"/>
  <c r="U14406" i="12"/>
  <c r="U14405" i="12"/>
  <c r="U14404" i="12"/>
  <c r="U14403" i="12"/>
  <c r="U14402" i="12"/>
  <c r="U14401" i="12"/>
  <c r="U14400" i="12"/>
  <c r="U14399" i="12"/>
  <c r="U14398" i="12"/>
  <c r="U14397" i="12"/>
  <c r="U14396" i="12"/>
  <c r="U14395" i="12"/>
  <c r="U14394" i="12"/>
  <c r="U14393" i="12"/>
  <c r="U14392" i="12"/>
  <c r="U14391" i="12"/>
  <c r="U14390" i="12"/>
  <c r="U14389" i="12"/>
  <c r="U14388" i="12"/>
  <c r="U14387" i="12"/>
  <c r="U14386" i="12"/>
  <c r="U14385" i="12"/>
  <c r="U14384" i="12"/>
  <c r="U14383" i="12"/>
  <c r="U14382" i="12"/>
  <c r="U14381" i="12"/>
  <c r="U14380" i="12"/>
  <c r="U14379" i="12"/>
  <c r="U14378" i="12"/>
  <c r="U14377" i="12"/>
  <c r="U14376" i="12"/>
  <c r="U14375" i="12"/>
  <c r="U14374" i="12"/>
  <c r="U14373" i="12"/>
  <c r="U14372" i="12"/>
  <c r="U14371" i="12"/>
  <c r="U14370" i="12"/>
  <c r="U14369" i="12"/>
  <c r="U14368" i="12"/>
  <c r="U14367" i="12"/>
  <c r="U14366" i="12"/>
  <c r="U14365" i="12"/>
  <c r="U14364" i="12"/>
  <c r="U14363" i="12"/>
  <c r="U14362" i="12"/>
  <c r="U14361" i="12"/>
  <c r="U14360" i="12"/>
  <c r="U14359" i="12"/>
  <c r="U14358" i="12"/>
  <c r="U14357" i="12"/>
  <c r="U14356" i="12"/>
  <c r="U14355" i="12"/>
  <c r="U14354" i="12"/>
  <c r="U14353" i="12"/>
  <c r="U14352" i="12"/>
  <c r="U14351" i="12"/>
  <c r="U14350" i="12"/>
  <c r="U14349" i="12"/>
  <c r="U14348" i="12"/>
  <c r="U14347" i="12"/>
  <c r="U14346" i="12"/>
  <c r="U14345" i="12"/>
  <c r="U14344" i="12"/>
  <c r="U14343" i="12"/>
  <c r="U14342" i="12"/>
  <c r="U14341" i="12"/>
  <c r="U14340" i="12"/>
  <c r="U14339" i="12"/>
  <c r="U14338" i="12"/>
  <c r="U14337" i="12"/>
  <c r="U14336" i="12"/>
  <c r="U14335" i="12"/>
  <c r="U14334" i="12"/>
  <c r="U14333" i="12"/>
  <c r="U14332" i="12"/>
  <c r="U14331" i="12"/>
  <c r="U14330" i="12"/>
  <c r="U14329" i="12"/>
  <c r="U14328" i="12"/>
  <c r="U14327" i="12"/>
  <c r="U14326" i="12"/>
  <c r="U14325" i="12"/>
  <c r="U14324" i="12"/>
  <c r="U14323" i="12"/>
  <c r="U14322" i="12"/>
  <c r="U14321" i="12"/>
  <c r="U14320" i="12"/>
  <c r="U14319" i="12"/>
  <c r="U14318" i="12"/>
  <c r="U14317" i="12"/>
  <c r="U14316" i="12"/>
  <c r="U14315" i="12"/>
  <c r="U14314" i="12"/>
  <c r="U14313" i="12"/>
  <c r="U14312" i="12"/>
  <c r="U14311" i="12"/>
  <c r="U14310" i="12"/>
  <c r="U14309" i="12"/>
  <c r="U14308" i="12"/>
  <c r="U14307" i="12"/>
  <c r="U14306" i="12"/>
  <c r="U14305" i="12"/>
  <c r="U14304" i="12"/>
  <c r="U14303" i="12"/>
  <c r="U14302" i="12"/>
  <c r="U14301" i="12"/>
  <c r="U14300" i="12"/>
  <c r="U14299" i="12"/>
  <c r="U14298" i="12"/>
  <c r="U14297" i="12"/>
  <c r="U14296" i="12"/>
  <c r="U14295" i="12"/>
  <c r="U14294" i="12"/>
  <c r="U14293" i="12"/>
  <c r="U14292" i="12"/>
  <c r="U14291" i="12"/>
  <c r="U14290" i="12"/>
  <c r="U14289" i="12"/>
  <c r="U14288" i="12"/>
  <c r="U14287" i="12"/>
  <c r="U14286" i="12"/>
  <c r="U14285" i="12"/>
  <c r="U14284" i="12"/>
  <c r="U14283" i="12"/>
  <c r="U14282" i="12"/>
  <c r="U14281" i="12"/>
  <c r="U14280" i="12"/>
  <c r="U14279" i="12"/>
  <c r="U14278" i="12"/>
  <c r="U14277" i="12"/>
  <c r="U14276" i="12"/>
  <c r="U14275" i="12"/>
  <c r="U14274" i="12"/>
  <c r="U14273" i="12"/>
  <c r="U14272" i="12"/>
  <c r="U14271" i="12"/>
  <c r="U14270" i="12"/>
  <c r="U14269" i="12"/>
  <c r="U14268" i="12"/>
  <c r="U14267" i="12"/>
  <c r="U14266" i="12"/>
  <c r="U14265" i="12"/>
  <c r="U14264" i="12"/>
  <c r="U14263" i="12"/>
  <c r="U14262" i="12"/>
  <c r="U14261" i="12"/>
  <c r="U14260" i="12"/>
  <c r="U14259" i="12"/>
  <c r="U14258" i="12"/>
  <c r="U14257" i="12"/>
  <c r="U14256" i="12"/>
  <c r="U14255" i="12"/>
  <c r="U14254" i="12"/>
  <c r="U14253" i="12"/>
  <c r="U14252" i="12"/>
  <c r="U14251" i="12"/>
  <c r="U14250" i="12"/>
  <c r="U14249" i="12"/>
  <c r="U14248" i="12"/>
  <c r="U14247" i="12"/>
  <c r="U14246" i="12"/>
  <c r="U14245" i="12"/>
  <c r="U14244" i="12"/>
  <c r="U14243" i="12"/>
  <c r="U14242" i="12"/>
  <c r="U14241" i="12"/>
  <c r="U14240" i="12"/>
  <c r="U14239" i="12"/>
  <c r="U14238" i="12"/>
  <c r="U14237" i="12"/>
  <c r="U14236" i="12"/>
  <c r="U14235" i="12"/>
  <c r="U14234" i="12"/>
  <c r="U14233" i="12"/>
  <c r="U14232" i="12"/>
  <c r="U14231" i="12"/>
  <c r="U14230" i="12"/>
  <c r="U14229" i="12"/>
  <c r="U14228" i="12"/>
  <c r="U14227" i="12"/>
  <c r="U14226" i="12"/>
  <c r="U14225" i="12"/>
  <c r="U14224" i="12"/>
  <c r="U14223" i="12"/>
  <c r="U14222" i="12"/>
  <c r="U14221" i="12"/>
  <c r="U14220" i="12"/>
  <c r="U14219" i="12"/>
  <c r="U14218" i="12"/>
  <c r="U14217" i="12"/>
  <c r="U14216" i="12"/>
  <c r="U14215" i="12"/>
  <c r="U14214" i="12"/>
  <c r="U14213" i="12"/>
  <c r="U14212" i="12"/>
  <c r="U14211" i="12"/>
  <c r="U14210" i="12"/>
  <c r="U14209" i="12"/>
  <c r="U14208" i="12"/>
  <c r="U14207" i="12"/>
  <c r="U14206" i="12"/>
  <c r="U14205" i="12"/>
  <c r="U14204" i="12"/>
  <c r="U14203" i="12"/>
  <c r="U14202" i="12"/>
  <c r="U14201" i="12"/>
  <c r="U14200" i="12"/>
  <c r="U14199" i="12"/>
  <c r="U14198" i="12"/>
  <c r="U14197" i="12"/>
  <c r="U14196" i="12"/>
  <c r="U14195" i="12"/>
  <c r="U14194" i="12"/>
  <c r="U14193" i="12"/>
  <c r="U14192" i="12"/>
  <c r="U14191" i="12"/>
  <c r="U14190" i="12"/>
  <c r="U14189" i="12"/>
  <c r="U14188" i="12"/>
  <c r="U14187" i="12"/>
  <c r="U14186" i="12"/>
  <c r="U14185" i="12"/>
  <c r="U14184" i="12"/>
  <c r="U14183" i="12"/>
  <c r="U14182" i="12"/>
  <c r="U14181" i="12"/>
  <c r="U14180" i="12"/>
  <c r="U14179" i="12"/>
  <c r="U14178" i="12"/>
  <c r="U14177" i="12"/>
  <c r="U14176" i="12"/>
  <c r="U14175" i="12"/>
  <c r="U14174" i="12"/>
  <c r="U14173" i="12"/>
  <c r="U14172" i="12"/>
  <c r="U14171" i="12"/>
  <c r="U14170" i="12"/>
  <c r="U14169" i="12"/>
  <c r="U14168" i="12"/>
  <c r="U14167" i="12"/>
  <c r="U14166" i="12"/>
  <c r="U14165" i="12"/>
  <c r="U14164" i="12"/>
  <c r="U14163" i="12"/>
  <c r="U14162" i="12"/>
  <c r="U14161" i="12"/>
  <c r="U14160" i="12"/>
  <c r="U14159" i="12"/>
  <c r="U14158" i="12"/>
  <c r="U14157" i="12"/>
  <c r="U14156" i="12"/>
  <c r="U14155" i="12"/>
  <c r="U14154" i="12"/>
  <c r="U14153" i="12"/>
  <c r="U14152" i="12"/>
  <c r="U14151" i="12"/>
  <c r="U14150" i="12"/>
  <c r="U14149" i="12"/>
  <c r="U14148" i="12"/>
  <c r="U14147" i="12"/>
  <c r="U14146" i="12"/>
  <c r="U14145" i="12"/>
  <c r="U14144" i="12"/>
  <c r="U14143" i="12"/>
  <c r="U14142" i="12"/>
  <c r="U14141" i="12"/>
  <c r="U14140" i="12"/>
  <c r="U14139" i="12"/>
  <c r="U14138" i="12"/>
  <c r="U14137" i="12"/>
  <c r="U14136" i="12"/>
  <c r="U14135" i="12"/>
  <c r="U14134" i="12"/>
  <c r="U14133" i="12"/>
  <c r="U14132" i="12"/>
  <c r="U14131" i="12"/>
  <c r="U14130" i="12"/>
  <c r="U14129" i="12"/>
  <c r="U14128" i="12"/>
  <c r="U14127" i="12"/>
  <c r="U14126" i="12"/>
  <c r="U14125" i="12"/>
  <c r="U14124" i="12"/>
  <c r="U14123" i="12"/>
  <c r="U14122" i="12"/>
  <c r="U14121" i="12"/>
  <c r="U14120" i="12"/>
  <c r="U14119" i="12"/>
  <c r="U14118" i="12"/>
  <c r="U14117" i="12"/>
  <c r="U14116" i="12"/>
  <c r="U14115" i="12"/>
  <c r="U14114" i="12"/>
  <c r="U14113" i="12"/>
  <c r="U14112" i="12"/>
  <c r="U14111" i="12"/>
  <c r="U14110" i="12"/>
  <c r="U14109" i="12"/>
  <c r="U14108" i="12"/>
  <c r="U14107" i="12"/>
  <c r="U14106" i="12"/>
  <c r="U14105" i="12"/>
  <c r="U14104" i="12"/>
  <c r="U14103" i="12"/>
  <c r="U14102" i="12"/>
  <c r="U14101" i="12"/>
  <c r="U14100" i="12"/>
  <c r="U14099" i="12"/>
  <c r="U14098" i="12"/>
  <c r="U14097" i="12"/>
  <c r="U14096" i="12"/>
  <c r="U14095" i="12"/>
  <c r="U14094" i="12"/>
  <c r="U14093" i="12"/>
  <c r="U14092" i="12"/>
  <c r="U14091" i="12"/>
  <c r="U14090" i="12"/>
  <c r="U14089" i="12"/>
  <c r="U14088" i="12"/>
  <c r="U14087" i="12"/>
  <c r="U14086" i="12"/>
  <c r="U14085" i="12"/>
  <c r="U14084" i="12"/>
  <c r="U14083" i="12"/>
  <c r="U14082" i="12"/>
  <c r="U14081" i="12"/>
  <c r="U14080" i="12"/>
  <c r="U14079" i="12"/>
  <c r="U14078" i="12"/>
  <c r="U14077" i="12"/>
  <c r="U14076" i="12"/>
  <c r="U14075" i="12"/>
  <c r="U14074" i="12"/>
  <c r="U14073" i="12"/>
  <c r="U14072" i="12"/>
  <c r="U14071" i="12"/>
  <c r="U14070" i="12"/>
  <c r="U14069" i="12"/>
  <c r="U14068" i="12"/>
  <c r="U14067" i="12"/>
  <c r="U14066" i="12"/>
  <c r="U14065" i="12"/>
  <c r="U14064" i="12"/>
  <c r="U14063" i="12"/>
  <c r="U14062" i="12"/>
  <c r="U14061" i="12"/>
  <c r="U14060" i="12"/>
  <c r="U14059" i="12"/>
  <c r="U14058" i="12"/>
  <c r="U14057" i="12"/>
  <c r="U14056" i="12"/>
  <c r="U14055" i="12"/>
  <c r="U14054" i="12"/>
  <c r="U14053" i="12"/>
  <c r="U14052" i="12"/>
  <c r="U14051" i="12"/>
  <c r="U14050" i="12"/>
  <c r="U14049" i="12"/>
  <c r="U14048" i="12"/>
  <c r="U14047" i="12"/>
  <c r="U14046" i="12"/>
  <c r="U14045" i="12"/>
  <c r="U14044" i="12"/>
  <c r="U14043" i="12"/>
  <c r="U14042" i="12"/>
  <c r="U14041" i="12"/>
  <c r="U14040" i="12"/>
  <c r="U14039" i="12"/>
  <c r="U14038" i="12"/>
  <c r="U14037" i="12"/>
  <c r="U14036" i="12"/>
  <c r="U14035" i="12"/>
  <c r="U14034" i="12"/>
  <c r="U14033" i="12"/>
  <c r="U14032" i="12"/>
  <c r="U14031" i="12"/>
  <c r="U14030" i="12"/>
  <c r="U14029" i="12"/>
  <c r="U14028" i="12"/>
  <c r="U14027" i="12"/>
  <c r="U14026" i="12"/>
  <c r="U14025" i="12"/>
  <c r="U14024" i="12"/>
  <c r="U14023" i="12"/>
  <c r="U14022" i="12"/>
  <c r="U14021" i="12"/>
  <c r="U14020" i="12"/>
  <c r="U14019" i="12"/>
  <c r="U14018" i="12"/>
  <c r="U14017" i="12"/>
  <c r="U14016" i="12"/>
  <c r="U14015" i="12"/>
  <c r="U14014" i="12"/>
  <c r="U14013" i="12"/>
  <c r="U14012" i="12"/>
  <c r="U14011" i="12"/>
  <c r="U14010" i="12"/>
  <c r="U14009" i="12"/>
  <c r="U14008" i="12"/>
  <c r="U14007" i="12"/>
  <c r="U14006" i="12"/>
  <c r="U14005" i="12"/>
  <c r="U14004" i="12"/>
  <c r="U14003" i="12"/>
  <c r="U14002" i="12"/>
  <c r="U14001" i="12"/>
  <c r="U14000" i="12"/>
  <c r="U13999" i="12"/>
  <c r="U13998" i="12"/>
  <c r="U13997" i="12"/>
  <c r="U13996" i="12"/>
  <c r="U13995" i="12"/>
  <c r="U13994" i="12"/>
  <c r="U13993" i="12"/>
  <c r="U13992" i="12"/>
  <c r="U13991" i="12"/>
  <c r="U13990" i="12"/>
  <c r="U13989" i="12"/>
  <c r="U13988" i="12"/>
  <c r="U13987" i="12"/>
  <c r="U13986" i="12"/>
  <c r="U13985" i="12"/>
  <c r="U13984" i="12"/>
  <c r="U13983" i="12"/>
  <c r="U13982" i="12"/>
  <c r="U13981" i="12"/>
  <c r="U13980" i="12"/>
  <c r="U13979" i="12"/>
  <c r="U13978" i="12"/>
  <c r="U13977" i="12"/>
  <c r="U13976" i="12"/>
  <c r="U13975" i="12"/>
  <c r="U13974" i="12"/>
  <c r="U13973" i="12"/>
  <c r="U13972" i="12"/>
  <c r="U13971" i="12"/>
  <c r="U13970" i="12"/>
  <c r="U13969" i="12"/>
  <c r="U13968" i="12"/>
  <c r="U13967" i="12"/>
  <c r="U13966" i="12"/>
  <c r="U13965" i="12"/>
  <c r="U13964" i="12"/>
  <c r="U13963" i="12"/>
  <c r="U13962" i="12"/>
  <c r="U13961" i="12"/>
  <c r="U13960" i="12"/>
  <c r="U13959" i="12"/>
  <c r="U13958" i="12"/>
  <c r="U13957" i="12"/>
  <c r="U13956" i="12"/>
  <c r="U13955" i="12"/>
  <c r="U13954" i="12"/>
  <c r="U13953" i="12"/>
  <c r="U13952" i="12"/>
  <c r="U13951" i="12"/>
  <c r="U13950" i="12"/>
  <c r="U13949" i="12"/>
  <c r="U13948" i="12"/>
  <c r="U13947" i="12"/>
  <c r="U13946" i="12"/>
  <c r="U13945" i="12"/>
  <c r="U13944" i="12"/>
  <c r="U13943" i="12"/>
  <c r="U13942" i="12"/>
  <c r="U13941" i="12"/>
  <c r="U13940" i="12"/>
  <c r="U13939" i="12"/>
  <c r="U13938" i="12"/>
  <c r="U13937" i="12"/>
  <c r="U13936" i="12"/>
  <c r="U13935" i="12"/>
  <c r="U13934" i="12"/>
  <c r="U13933" i="12"/>
  <c r="U13932" i="12"/>
  <c r="U13931" i="12"/>
  <c r="U13930" i="12"/>
  <c r="U13929" i="12"/>
  <c r="U13928" i="12"/>
  <c r="U13927" i="12"/>
  <c r="U13926" i="12"/>
  <c r="U13925" i="12"/>
  <c r="U13924" i="12"/>
  <c r="U13923" i="12"/>
  <c r="U13922" i="12"/>
  <c r="U13921" i="12"/>
  <c r="U13920" i="12"/>
  <c r="U13919" i="12"/>
  <c r="U13918" i="12"/>
  <c r="U13917" i="12"/>
  <c r="U13916" i="12"/>
  <c r="U13915" i="12"/>
  <c r="U13914" i="12"/>
  <c r="U13913" i="12"/>
  <c r="U13912" i="12"/>
  <c r="U13911" i="12"/>
  <c r="U13910" i="12"/>
  <c r="U13909" i="12"/>
  <c r="U13908" i="12"/>
  <c r="U13907" i="12"/>
  <c r="U13906" i="12"/>
  <c r="U13905" i="12"/>
  <c r="U13904" i="12"/>
  <c r="U13903" i="12"/>
  <c r="U13902" i="12"/>
  <c r="U13901" i="12"/>
  <c r="U13900" i="12"/>
  <c r="U13899" i="12"/>
  <c r="U13898" i="12"/>
  <c r="U13897" i="12"/>
  <c r="U13896" i="12"/>
  <c r="U13895" i="12"/>
  <c r="U13894" i="12"/>
  <c r="U13893" i="12"/>
  <c r="U13892" i="12"/>
  <c r="U13891" i="12"/>
  <c r="U13890" i="12"/>
  <c r="U13889" i="12"/>
  <c r="U13888" i="12"/>
  <c r="U13887" i="12"/>
  <c r="U13886" i="12"/>
  <c r="U13885" i="12"/>
  <c r="U13884" i="12"/>
  <c r="U13883" i="12"/>
  <c r="U13882" i="12"/>
  <c r="U13881" i="12"/>
  <c r="U13880" i="12"/>
  <c r="U13879" i="12"/>
  <c r="U13878" i="12"/>
  <c r="U13877" i="12"/>
  <c r="U13876" i="12"/>
  <c r="U13875" i="12"/>
  <c r="U13874" i="12"/>
  <c r="U13873" i="12"/>
  <c r="U13872" i="12"/>
  <c r="U13871" i="12"/>
  <c r="U13870" i="12"/>
  <c r="U13869" i="12"/>
  <c r="U13868" i="12"/>
  <c r="U13867" i="12"/>
  <c r="U13866" i="12"/>
  <c r="U13865" i="12"/>
  <c r="U13864" i="12"/>
  <c r="U13863" i="12"/>
  <c r="U13862" i="12"/>
  <c r="U13861" i="12"/>
  <c r="U13860" i="12"/>
  <c r="U13859" i="12"/>
  <c r="U13858" i="12"/>
  <c r="U13857" i="12"/>
  <c r="U13856" i="12"/>
  <c r="U13855" i="12"/>
  <c r="U13854" i="12"/>
  <c r="U13853" i="12"/>
  <c r="U13852" i="12"/>
  <c r="U13851" i="12"/>
  <c r="U13850" i="12"/>
  <c r="U13849" i="12"/>
  <c r="U13848" i="12"/>
  <c r="U13847" i="12"/>
  <c r="U13846" i="12"/>
  <c r="U13845" i="12"/>
  <c r="U13844" i="12"/>
  <c r="U13843" i="12"/>
  <c r="U13842" i="12"/>
  <c r="U13841" i="12"/>
  <c r="U13840" i="12"/>
  <c r="U13839" i="12"/>
  <c r="U13838" i="12"/>
  <c r="U13837" i="12"/>
  <c r="U13836" i="12"/>
  <c r="U13835" i="12"/>
  <c r="U13834" i="12"/>
  <c r="U13833" i="12"/>
  <c r="U13832" i="12"/>
  <c r="U13831" i="12"/>
  <c r="U13830" i="12"/>
  <c r="U13829" i="12"/>
  <c r="U13828" i="12"/>
  <c r="U13827" i="12"/>
  <c r="U13826" i="12"/>
  <c r="U13825" i="12"/>
  <c r="U13824" i="12"/>
  <c r="U13823" i="12"/>
  <c r="U13822" i="12"/>
  <c r="U13821" i="12"/>
  <c r="U13820" i="12"/>
  <c r="U13819" i="12"/>
  <c r="U13818" i="12"/>
  <c r="U13817" i="12"/>
  <c r="U13816" i="12"/>
  <c r="U13815" i="12"/>
  <c r="U13814" i="12"/>
  <c r="U13813" i="12"/>
  <c r="U13812" i="12"/>
  <c r="U13811" i="12"/>
  <c r="U13810" i="12"/>
  <c r="U13809" i="12"/>
  <c r="U13808" i="12"/>
  <c r="U13807" i="12"/>
  <c r="U13806" i="12"/>
  <c r="U13805" i="12"/>
  <c r="U13804" i="12"/>
  <c r="U13803" i="12"/>
  <c r="U13802" i="12"/>
  <c r="U13801" i="12"/>
  <c r="U13800" i="12"/>
  <c r="U13799" i="12"/>
  <c r="U13798" i="12"/>
  <c r="U13797" i="12"/>
  <c r="U13796" i="12"/>
  <c r="U13795" i="12"/>
  <c r="U13794" i="12"/>
  <c r="U13793" i="12"/>
  <c r="U13792" i="12"/>
  <c r="U13791" i="12"/>
  <c r="U13790" i="12"/>
  <c r="U13789" i="12"/>
  <c r="U13788" i="12"/>
  <c r="U13787" i="12"/>
  <c r="U13786" i="12"/>
  <c r="U13785" i="12"/>
  <c r="U13784" i="12"/>
  <c r="U13783" i="12"/>
  <c r="U13782" i="12"/>
  <c r="U13781" i="12"/>
  <c r="U13780" i="12"/>
  <c r="U13779" i="12"/>
  <c r="U13778" i="12"/>
  <c r="U13777" i="12"/>
  <c r="U13776" i="12"/>
  <c r="U13775" i="12"/>
  <c r="U13774" i="12"/>
  <c r="U13773" i="12"/>
  <c r="U13772" i="12"/>
  <c r="U13771" i="12"/>
  <c r="U13770" i="12"/>
  <c r="U13769" i="12"/>
  <c r="U13768" i="12"/>
  <c r="U13767" i="12"/>
  <c r="U13766" i="12"/>
  <c r="U13765" i="12"/>
  <c r="U13764" i="12"/>
  <c r="U13763" i="12"/>
  <c r="U13762" i="12"/>
  <c r="U13761" i="12"/>
  <c r="U13760" i="12"/>
  <c r="U13759" i="12"/>
  <c r="U13758" i="12"/>
  <c r="U13757" i="12"/>
  <c r="U13756" i="12"/>
  <c r="U13755" i="12"/>
  <c r="U13754" i="12"/>
  <c r="U13753" i="12"/>
  <c r="U13752" i="12"/>
  <c r="U13751" i="12"/>
  <c r="U13750" i="12"/>
  <c r="U13749" i="12"/>
  <c r="U13748" i="12"/>
  <c r="U13747" i="12"/>
  <c r="U13746" i="12"/>
  <c r="U13745" i="12"/>
  <c r="U13744" i="12"/>
  <c r="U13743" i="12"/>
  <c r="U13742" i="12"/>
  <c r="U13741" i="12"/>
  <c r="U13740" i="12"/>
  <c r="U13739" i="12"/>
  <c r="U13738" i="12"/>
  <c r="U13737" i="12"/>
  <c r="U13736" i="12"/>
  <c r="U13735" i="12"/>
  <c r="U13734" i="12"/>
  <c r="U13733" i="12"/>
  <c r="U13732" i="12"/>
  <c r="U13731" i="12"/>
  <c r="U13730" i="12"/>
  <c r="U13729" i="12"/>
  <c r="U13728" i="12"/>
  <c r="U13727" i="12"/>
  <c r="U13726" i="12"/>
  <c r="U13725" i="12"/>
  <c r="U13724" i="12"/>
  <c r="U13723" i="12"/>
  <c r="U13722" i="12"/>
  <c r="U13721" i="12"/>
  <c r="U13720" i="12"/>
  <c r="U13719" i="12"/>
  <c r="U13718" i="12"/>
  <c r="U13717" i="12"/>
  <c r="U13716" i="12"/>
  <c r="U13715" i="12"/>
  <c r="U13714" i="12"/>
  <c r="U13713" i="12"/>
  <c r="U13712" i="12"/>
  <c r="U13711" i="12"/>
  <c r="U13710" i="12"/>
  <c r="U13709" i="12"/>
  <c r="U13708" i="12"/>
  <c r="U13707" i="12"/>
  <c r="U13706" i="12"/>
  <c r="U13705" i="12"/>
  <c r="U13704" i="12"/>
  <c r="U13703" i="12"/>
  <c r="U13702" i="12"/>
  <c r="U13701" i="12"/>
  <c r="U13700" i="12"/>
  <c r="U13699" i="12"/>
  <c r="U13698" i="12"/>
  <c r="U13697" i="12"/>
  <c r="U13696" i="12"/>
  <c r="U13695" i="12"/>
  <c r="U13694" i="12"/>
  <c r="U13693" i="12"/>
  <c r="U13692" i="12"/>
  <c r="U13691" i="12"/>
  <c r="U13690" i="12"/>
  <c r="U13689" i="12"/>
  <c r="U13688" i="12"/>
  <c r="U13687" i="12"/>
  <c r="U13686" i="12"/>
  <c r="U13685" i="12"/>
  <c r="U13684" i="12"/>
  <c r="U13683" i="12"/>
  <c r="U13682" i="12"/>
  <c r="U13681" i="12"/>
  <c r="U13680" i="12"/>
  <c r="U13679" i="12"/>
  <c r="U13678" i="12"/>
  <c r="U13677" i="12"/>
  <c r="U13676" i="12"/>
  <c r="U13675" i="12"/>
  <c r="U13674" i="12"/>
  <c r="U13673" i="12"/>
  <c r="U13672" i="12"/>
  <c r="U13671" i="12"/>
  <c r="U13670" i="12"/>
  <c r="U13669" i="12"/>
  <c r="U13668" i="12"/>
  <c r="U13667" i="12"/>
  <c r="U13666" i="12"/>
  <c r="U13665" i="12"/>
  <c r="U13664" i="12"/>
  <c r="U13663" i="12"/>
  <c r="U13662" i="12"/>
  <c r="U13661" i="12"/>
  <c r="U13660" i="12"/>
  <c r="U13659" i="12"/>
  <c r="U13658" i="12"/>
  <c r="U13657" i="12"/>
  <c r="U13656" i="12"/>
  <c r="U13655" i="12"/>
  <c r="U13654" i="12"/>
  <c r="U13653" i="12"/>
  <c r="U13652" i="12"/>
  <c r="U13651" i="12"/>
  <c r="U13650" i="12"/>
  <c r="U13649" i="12"/>
  <c r="U13648" i="12"/>
  <c r="U13647" i="12"/>
  <c r="U13646" i="12"/>
  <c r="U13645" i="12"/>
  <c r="U13644" i="12"/>
  <c r="U13643" i="12"/>
  <c r="U13642" i="12"/>
  <c r="U13641" i="12"/>
  <c r="U13640" i="12"/>
  <c r="U13639" i="12"/>
  <c r="U13638" i="12"/>
  <c r="U13637" i="12"/>
  <c r="U13636" i="12"/>
  <c r="U13635" i="12"/>
  <c r="U13634" i="12"/>
  <c r="U13633" i="12"/>
  <c r="U13632" i="12"/>
  <c r="U13631" i="12"/>
  <c r="U13630" i="12"/>
  <c r="U13629" i="12"/>
  <c r="U13628" i="12"/>
  <c r="U13627" i="12"/>
  <c r="U13626" i="12"/>
  <c r="U13625" i="12"/>
  <c r="U13624" i="12"/>
  <c r="U13623" i="12"/>
  <c r="U13622" i="12"/>
  <c r="U13621" i="12"/>
  <c r="U13620" i="12"/>
  <c r="U13619" i="12"/>
  <c r="U13618" i="12"/>
  <c r="U13617" i="12"/>
  <c r="U13616" i="12"/>
  <c r="U13615" i="12"/>
  <c r="U13614" i="12"/>
  <c r="U13613" i="12"/>
  <c r="U13612" i="12"/>
  <c r="U13611" i="12"/>
  <c r="U13610" i="12"/>
  <c r="U13609" i="12"/>
  <c r="U13608" i="12"/>
  <c r="U13607" i="12"/>
  <c r="U13606" i="12"/>
  <c r="U13605" i="12"/>
  <c r="U13604" i="12"/>
  <c r="U13603" i="12"/>
  <c r="U13602" i="12"/>
  <c r="U13601" i="12"/>
  <c r="U13600" i="12"/>
  <c r="U13599" i="12"/>
  <c r="U13598" i="12"/>
  <c r="U13597" i="12"/>
  <c r="U13596" i="12"/>
  <c r="U13595" i="12"/>
  <c r="U13594" i="12"/>
  <c r="U13593" i="12"/>
  <c r="U13592" i="12"/>
  <c r="U13591" i="12"/>
  <c r="U13590" i="12"/>
  <c r="U13589" i="12"/>
  <c r="U13588" i="12"/>
  <c r="U13587" i="12"/>
  <c r="U13586" i="12"/>
  <c r="U13585" i="12"/>
  <c r="U13584" i="12"/>
  <c r="U13583" i="12"/>
  <c r="U13582" i="12"/>
  <c r="U13581" i="12"/>
  <c r="U13580" i="12"/>
  <c r="U13579" i="12"/>
  <c r="U13578" i="12"/>
  <c r="U13577" i="12"/>
  <c r="U13576" i="12"/>
  <c r="U13575" i="12"/>
  <c r="U13574" i="12"/>
  <c r="U13573" i="12"/>
  <c r="U13572" i="12"/>
  <c r="U13571" i="12"/>
  <c r="U13570" i="12"/>
  <c r="U13569" i="12"/>
  <c r="U13568" i="12"/>
  <c r="U13567" i="12"/>
  <c r="U13566" i="12"/>
  <c r="U13565" i="12"/>
  <c r="U13564" i="12"/>
  <c r="U13563" i="12"/>
  <c r="U13562" i="12"/>
  <c r="U13561" i="12"/>
  <c r="U13560" i="12"/>
  <c r="U13559" i="12"/>
  <c r="U13558" i="12"/>
  <c r="U13557" i="12"/>
  <c r="U13556" i="12"/>
  <c r="U13555" i="12"/>
  <c r="U13554" i="12"/>
  <c r="U13553" i="12"/>
  <c r="U13552" i="12"/>
  <c r="U13551" i="12"/>
  <c r="U13550" i="12"/>
  <c r="U13549" i="12"/>
  <c r="U13548" i="12"/>
  <c r="U13547" i="12"/>
  <c r="U13546" i="12"/>
  <c r="U13545" i="12"/>
  <c r="U13544" i="12"/>
  <c r="U13543" i="12"/>
  <c r="U13542" i="12"/>
  <c r="U13541" i="12"/>
  <c r="U13540" i="12"/>
  <c r="U13539" i="12"/>
  <c r="U13538" i="12"/>
  <c r="U13537" i="12"/>
  <c r="U13536" i="12"/>
  <c r="U13535" i="12"/>
  <c r="U13534" i="12"/>
  <c r="U13533" i="12"/>
  <c r="U13532" i="12"/>
  <c r="U13531" i="12"/>
  <c r="U13530" i="12"/>
  <c r="U13529" i="12"/>
  <c r="U13528" i="12"/>
  <c r="U13527" i="12"/>
  <c r="U13526" i="12"/>
  <c r="U13525" i="12"/>
  <c r="U13524" i="12"/>
  <c r="U13523" i="12"/>
  <c r="U13522" i="12"/>
  <c r="U13521" i="12"/>
  <c r="U13520" i="12"/>
  <c r="U13519" i="12"/>
  <c r="U13518" i="12"/>
  <c r="U13517" i="12"/>
  <c r="U13516" i="12"/>
  <c r="U13515" i="12"/>
  <c r="U13514" i="12"/>
  <c r="U13513" i="12"/>
  <c r="U13512" i="12"/>
  <c r="U13511" i="12"/>
  <c r="U13510" i="12"/>
  <c r="U13509" i="12"/>
  <c r="U13508" i="12"/>
  <c r="U13507" i="12"/>
  <c r="U13506" i="12"/>
  <c r="U13505" i="12"/>
  <c r="U13504" i="12"/>
  <c r="U13503" i="12"/>
  <c r="U13502" i="12"/>
  <c r="U13501" i="12"/>
  <c r="U13500" i="12"/>
  <c r="U13499" i="12"/>
  <c r="U13498" i="12"/>
  <c r="U13497" i="12"/>
  <c r="U13496" i="12"/>
  <c r="U13495" i="12"/>
  <c r="U13494" i="12"/>
  <c r="U13493" i="12"/>
  <c r="U13492" i="12"/>
  <c r="U13491" i="12"/>
  <c r="U13490" i="12"/>
  <c r="U13489" i="12"/>
  <c r="U13488" i="12"/>
  <c r="U13487" i="12"/>
  <c r="U13486" i="12"/>
  <c r="U13485" i="12"/>
  <c r="U13484" i="12"/>
  <c r="U13483" i="12"/>
  <c r="U13482" i="12"/>
  <c r="U13481" i="12"/>
  <c r="U13480" i="12"/>
  <c r="U13479" i="12"/>
  <c r="U13478" i="12"/>
  <c r="U13477" i="12"/>
  <c r="U13476" i="12"/>
  <c r="U13475" i="12"/>
  <c r="U13474" i="12"/>
  <c r="U13473" i="12"/>
  <c r="U13472" i="12"/>
  <c r="U13471" i="12"/>
  <c r="U13470" i="12"/>
  <c r="U13469" i="12"/>
  <c r="U13468" i="12"/>
  <c r="U13467" i="12"/>
  <c r="U13466" i="12"/>
  <c r="U13465" i="12"/>
  <c r="U13464" i="12"/>
  <c r="U13463" i="12"/>
  <c r="U13462" i="12"/>
  <c r="U13461" i="12"/>
  <c r="U13460" i="12"/>
  <c r="U13459" i="12"/>
  <c r="U13458" i="12"/>
  <c r="U13457" i="12"/>
  <c r="U13456" i="12"/>
  <c r="U13455" i="12"/>
  <c r="U13454" i="12"/>
  <c r="U13453" i="12"/>
  <c r="U13452" i="12"/>
  <c r="U13451" i="12"/>
  <c r="U13450" i="12"/>
  <c r="U13449" i="12"/>
  <c r="U13448" i="12"/>
  <c r="U13447" i="12"/>
  <c r="U13446" i="12"/>
  <c r="U13445" i="12"/>
  <c r="U13444" i="12"/>
  <c r="U13443" i="12"/>
  <c r="U13442" i="12"/>
  <c r="U13441" i="12"/>
  <c r="U13440" i="12"/>
  <c r="U13439" i="12"/>
  <c r="U13438" i="12"/>
  <c r="U13437" i="12"/>
  <c r="U13436" i="12"/>
  <c r="U13435" i="12"/>
  <c r="U13434" i="12"/>
  <c r="U13433" i="12"/>
  <c r="U13432" i="12"/>
  <c r="U13431" i="12"/>
  <c r="U13430" i="12"/>
  <c r="U13429" i="12"/>
  <c r="U13428" i="12"/>
  <c r="U13427" i="12"/>
  <c r="U13426" i="12"/>
  <c r="U13425" i="12"/>
  <c r="U13424" i="12"/>
  <c r="U13423" i="12"/>
  <c r="U13422" i="12"/>
  <c r="U13421" i="12"/>
  <c r="U13420" i="12"/>
  <c r="U13419" i="12"/>
  <c r="U13418" i="12"/>
  <c r="U13417" i="12"/>
  <c r="U13416" i="12"/>
  <c r="U13415" i="12"/>
  <c r="U13414" i="12"/>
  <c r="U13413" i="12"/>
  <c r="U13412" i="12"/>
  <c r="U13411" i="12"/>
  <c r="U13410" i="12"/>
  <c r="U13409" i="12"/>
  <c r="U13408" i="12"/>
  <c r="U13407" i="12"/>
  <c r="U13406" i="12"/>
  <c r="U13405" i="12"/>
  <c r="U13404" i="12"/>
  <c r="U13403" i="12"/>
  <c r="U13402" i="12"/>
  <c r="U13401" i="12"/>
  <c r="U13400" i="12"/>
  <c r="U13399" i="12"/>
  <c r="U13398" i="12"/>
  <c r="U13397" i="12"/>
  <c r="U13396" i="12"/>
  <c r="U13395" i="12"/>
  <c r="U13394" i="12"/>
  <c r="U13393" i="12"/>
  <c r="U13392" i="12"/>
  <c r="U13391" i="12"/>
  <c r="U13390" i="12"/>
  <c r="U13389" i="12"/>
  <c r="U13388" i="12"/>
  <c r="U13387" i="12"/>
  <c r="U13386" i="12"/>
  <c r="U13385" i="12"/>
  <c r="U13384" i="12"/>
  <c r="U13383" i="12"/>
  <c r="U13382" i="12"/>
  <c r="U13381" i="12"/>
  <c r="U13380" i="12"/>
  <c r="U13379" i="12"/>
  <c r="U13378" i="12"/>
  <c r="U13377" i="12"/>
  <c r="U13376" i="12"/>
  <c r="U13375" i="12"/>
  <c r="U13374" i="12"/>
  <c r="U13373" i="12"/>
  <c r="U13372" i="12"/>
  <c r="U13371" i="12"/>
  <c r="U13370" i="12"/>
  <c r="U13369" i="12"/>
  <c r="U13368" i="12"/>
  <c r="U13367" i="12"/>
  <c r="U13366" i="12"/>
  <c r="U13365" i="12"/>
  <c r="U13364" i="12"/>
  <c r="U13363" i="12"/>
  <c r="U13362" i="12"/>
  <c r="U13361" i="12"/>
  <c r="U13360" i="12"/>
  <c r="U13359" i="12"/>
  <c r="U13358" i="12"/>
  <c r="U13357" i="12"/>
  <c r="U13356" i="12"/>
  <c r="U13355" i="12"/>
  <c r="U13354" i="12"/>
  <c r="U13353" i="12"/>
  <c r="U13352" i="12"/>
  <c r="U13351" i="12"/>
  <c r="U13350" i="12"/>
  <c r="U13349" i="12"/>
  <c r="U13348" i="12"/>
  <c r="U13347" i="12"/>
  <c r="U13346" i="12"/>
  <c r="U13345" i="12"/>
  <c r="U13344" i="12"/>
  <c r="U13343" i="12"/>
  <c r="U13342" i="12"/>
  <c r="U13341" i="12"/>
  <c r="U13340" i="12"/>
  <c r="U13339" i="12"/>
  <c r="U13338" i="12"/>
  <c r="U13337" i="12"/>
  <c r="U13336" i="12"/>
  <c r="U13335" i="12"/>
  <c r="U13334" i="12"/>
  <c r="U13333" i="12"/>
  <c r="U13332" i="12"/>
  <c r="U13331" i="12"/>
  <c r="U13330" i="12"/>
  <c r="U13329" i="12"/>
  <c r="U13328" i="12"/>
  <c r="U13327" i="12"/>
  <c r="U13326" i="12"/>
  <c r="U13325" i="12"/>
  <c r="U13324" i="12"/>
  <c r="U13323" i="12"/>
  <c r="U13322" i="12"/>
  <c r="U13321" i="12"/>
  <c r="U13320" i="12"/>
  <c r="U13319" i="12"/>
  <c r="U13318" i="12"/>
  <c r="U13317" i="12"/>
  <c r="U13316" i="12"/>
  <c r="U13315" i="12"/>
  <c r="U13314" i="12"/>
  <c r="U13313" i="12"/>
  <c r="U13312" i="12"/>
  <c r="U13311" i="12"/>
  <c r="U13310" i="12"/>
  <c r="U13309" i="12"/>
  <c r="U13308" i="12"/>
  <c r="U13307" i="12"/>
  <c r="U13306" i="12"/>
  <c r="U13305" i="12"/>
  <c r="U13304" i="12"/>
  <c r="U13303" i="12"/>
  <c r="U13302" i="12"/>
  <c r="U13301" i="12"/>
  <c r="U13300" i="12"/>
  <c r="U13299" i="12"/>
  <c r="U13298" i="12"/>
  <c r="U13297" i="12"/>
  <c r="U13296" i="12"/>
  <c r="U13295" i="12"/>
  <c r="U13294" i="12"/>
  <c r="U13293" i="12"/>
  <c r="U13292" i="12"/>
  <c r="U13291" i="12"/>
  <c r="U13290" i="12"/>
  <c r="U13289" i="12"/>
  <c r="U13288" i="12"/>
  <c r="U13287" i="12"/>
  <c r="U13286" i="12"/>
  <c r="U13285" i="12"/>
  <c r="U13284" i="12"/>
  <c r="U13283" i="12"/>
  <c r="U13282" i="12"/>
  <c r="U13281" i="12"/>
  <c r="U13280" i="12"/>
  <c r="U13279" i="12"/>
  <c r="U13278" i="12"/>
  <c r="U13277" i="12"/>
  <c r="U13276" i="12"/>
  <c r="U13275" i="12"/>
  <c r="U13274" i="12"/>
  <c r="U13273" i="12"/>
  <c r="U13272" i="12"/>
  <c r="U13271" i="12"/>
  <c r="U13270" i="12"/>
  <c r="U13269" i="12"/>
  <c r="U13268" i="12"/>
  <c r="U13267" i="12"/>
  <c r="U13266" i="12"/>
  <c r="U13265" i="12"/>
  <c r="U13264" i="12"/>
  <c r="U13263" i="12"/>
  <c r="U13262" i="12"/>
  <c r="U13261" i="12"/>
  <c r="U13260" i="12"/>
  <c r="U13259" i="12"/>
  <c r="U13258" i="12"/>
  <c r="U13257" i="12"/>
  <c r="U13256" i="12"/>
  <c r="U13255" i="12"/>
  <c r="U13254" i="12"/>
  <c r="U13253" i="12"/>
  <c r="U13252" i="12"/>
  <c r="U13251" i="12"/>
  <c r="U13250" i="12"/>
  <c r="U13249" i="12"/>
  <c r="U13248" i="12"/>
  <c r="U13247" i="12"/>
  <c r="U13246" i="12"/>
  <c r="U13245" i="12"/>
  <c r="U13244" i="12"/>
  <c r="U13243" i="12"/>
  <c r="U13242" i="12"/>
  <c r="U13241" i="12"/>
  <c r="U13240" i="12"/>
  <c r="U13239" i="12"/>
  <c r="U13238" i="12"/>
  <c r="U13237" i="12"/>
  <c r="U13236" i="12"/>
  <c r="U13235" i="12"/>
  <c r="U13234" i="12"/>
  <c r="U13233" i="12"/>
  <c r="U13232" i="12"/>
  <c r="U13231" i="12"/>
  <c r="U13230" i="12"/>
  <c r="U13229" i="12"/>
  <c r="U13228" i="12"/>
  <c r="U13227" i="12"/>
  <c r="U13226" i="12"/>
  <c r="U13225" i="12"/>
  <c r="U13224" i="12"/>
  <c r="U13223" i="12"/>
  <c r="U13222" i="12"/>
  <c r="U13221" i="12"/>
  <c r="U13220" i="12"/>
  <c r="U13219" i="12"/>
  <c r="U13218" i="12"/>
  <c r="U13217" i="12"/>
  <c r="U13216" i="12"/>
  <c r="U13215" i="12"/>
  <c r="U13214" i="12"/>
  <c r="U13213" i="12"/>
  <c r="U13212" i="12"/>
  <c r="U13211" i="12"/>
  <c r="U13210" i="12"/>
  <c r="U13209" i="12"/>
  <c r="U13208" i="12"/>
  <c r="U13207" i="12"/>
  <c r="U13206" i="12"/>
  <c r="U13205" i="12"/>
  <c r="U13204" i="12"/>
  <c r="U13203" i="12"/>
  <c r="U13202" i="12"/>
  <c r="U13201" i="12"/>
  <c r="U13200" i="12"/>
  <c r="U13199" i="12"/>
  <c r="U13198" i="12"/>
  <c r="U13197" i="12"/>
  <c r="U13196" i="12"/>
  <c r="U13195" i="12"/>
  <c r="U13194" i="12"/>
  <c r="U13193" i="12"/>
  <c r="U13192" i="12"/>
  <c r="U13191" i="12"/>
  <c r="U13190" i="12"/>
  <c r="U13189" i="12"/>
  <c r="U13188" i="12"/>
  <c r="U13187" i="12"/>
  <c r="U13186" i="12"/>
  <c r="U13185" i="12"/>
  <c r="U13184" i="12"/>
  <c r="U13183" i="12"/>
  <c r="U13182" i="12"/>
  <c r="U13181" i="12"/>
  <c r="U13180" i="12"/>
  <c r="U13179" i="12"/>
  <c r="U13178" i="12"/>
  <c r="U13177" i="12"/>
  <c r="U13176" i="12"/>
  <c r="U13175" i="12"/>
  <c r="U13174" i="12"/>
  <c r="U13173" i="12"/>
  <c r="U13172" i="12"/>
  <c r="U13171" i="12"/>
  <c r="U13170" i="12"/>
  <c r="U13169" i="12"/>
  <c r="U13168" i="12"/>
  <c r="U13167" i="12"/>
  <c r="U13166" i="12"/>
  <c r="U13165" i="12"/>
  <c r="U13164" i="12"/>
  <c r="U13163" i="12"/>
  <c r="U13162" i="12"/>
  <c r="U13161" i="12"/>
  <c r="U13160" i="12"/>
  <c r="U13159" i="12"/>
  <c r="U13158" i="12"/>
  <c r="U13157" i="12"/>
  <c r="U13156" i="12"/>
  <c r="U13155" i="12"/>
  <c r="U13154" i="12"/>
  <c r="U13153" i="12"/>
  <c r="U13152" i="12"/>
  <c r="U13151" i="12"/>
  <c r="U13150" i="12"/>
  <c r="U13149" i="12"/>
  <c r="U13148" i="12"/>
  <c r="U13147" i="12"/>
  <c r="U13146" i="12"/>
  <c r="U13145" i="12"/>
  <c r="U13144" i="12"/>
  <c r="U13143" i="12"/>
  <c r="U13142" i="12"/>
  <c r="U13141" i="12"/>
  <c r="U13140" i="12"/>
  <c r="U13139" i="12"/>
  <c r="U13138" i="12"/>
  <c r="U13137" i="12"/>
  <c r="U13136" i="12"/>
  <c r="U13135" i="12"/>
  <c r="U13134" i="12"/>
  <c r="U13133" i="12"/>
  <c r="U13132" i="12"/>
  <c r="U13131" i="12"/>
  <c r="U13130" i="12"/>
  <c r="U13129" i="12"/>
  <c r="U13128" i="12"/>
  <c r="U13127" i="12"/>
  <c r="U13126" i="12"/>
  <c r="U13125" i="12"/>
  <c r="U13124" i="12"/>
  <c r="U13123" i="12"/>
  <c r="U13122" i="12"/>
  <c r="U13121" i="12"/>
  <c r="U13120" i="12"/>
  <c r="U13119" i="12"/>
  <c r="U13118" i="12"/>
  <c r="U13117" i="12"/>
  <c r="U13116" i="12"/>
  <c r="U13115" i="12"/>
  <c r="U13114" i="12"/>
  <c r="U13113" i="12"/>
  <c r="U13112" i="12"/>
  <c r="U13111" i="12"/>
  <c r="U13110" i="12"/>
  <c r="U13109" i="12"/>
  <c r="U13108" i="12"/>
  <c r="U13107" i="12"/>
  <c r="U13106" i="12"/>
  <c r="U13105" i="12"/>
  <c r="U13104" i="12"/>
  <c r="U13103" i="12"/>
  <c r="U13102" i="12"/>
  <c r="U13101" i="12"/>
  <c r="U13100" i="12"/>
  <c r="U13099" i="12"/>
  <c r="U13098" i="12"/>
  <c r="U13097" i="12"/>
  <c r="U13096" i="12"/>
  <c r="U13095" i="12"/>
  <c r="U13094" i="12"/>
  <c r="U13093" i="12"/>
  <c r="U13092" i="12"/>
  <c r="U13091" i="12"/>
  <c r="U13090" i="12"/>
  <c r="U13089" i="12"/>
  <c r="U13088" i="12"/>
  <c r="U13087" i="12"/>
  <c r="U13086" i="12"/>
  <c r="U13085" i="12"/>
  <c r="U13084" i="12"/>
  <c r="U13083" i="12"/>
  <c r="U13082" i="12"/>
  <c r="U13081" i="12"/>
  <c r="U13080" i="12"/>
  <c r="U13079" i="12"/>
  <c r="U13078" i="12"/>
  <c r="U13077" i="12"/>
  <c r="U13076" i="12"/>
  <c r="U13075" i="12"/>
  <c r="U13074" i="12"/>
  <c r="U13073" i="12"/>
  <c r="U13072" i="12"/>
  <c r="U13071" i="12"/>
  <c r="U13070" i="12"/>
  <c r="U13069" i="12"/>
  <c r="U13068" i="12"/>
  <c r="U13067" i="12"/>
  <c r="U13066" i="12"/>
  <c r="U13065" i="12"/>
  <c r="U13064" i="12"/>
  <c r="U13063" i="12"/>
  <c r="U13062" i="12"/>
  <c r="U13061" i="12"/>
  <c r="U13060" i="12"/>
  <c r="U13059" i="12"/>
  <c r="U13058" i="12"/>
  <c r="U13057" i="12"/>
  <c r="U13056" i="12"/>
  <c r="U13055" i="12"/>
  <c r="U13054" i="12"/>
  <c r="U13053" i="12"/>
  <c r="U13052" i="12"/>
  <c r="U13051" i="12"/>
  <c r="U13050" i="12"/>
  <c r="U13049" i="12"/>
  <c r="U13048" i="12"/>
  <c r="U13047" i="12"/>
  <c r="U13046" i="12"/>
  <c r="U13045" i="12"/>
  <c r="U13044" i="12"/>
  <c r="U13043" i="12"/>
  <c r="U13042" i="12"/>
  <c r="U13041" i="12"/>
  <c r="U13040" i="12"/>
  <c r="U13039" i="12"/>
  <c r="U13038" i="12"/>
  <c r="U13037" i="12"/>
  <c r="U13036" i="12"/>
  <c r="U13035" i="12"/>
  <c r="U13034" i="12"/>
  <c r="U13033" i="12"/>
  <c r="U13032" i="12"/>
  <c r="U13031" i="12"/>
  <c r="U13030" i="12"/>
  <c r="U13029" i="12"/>
  <c r="U13028" i="12"/>
  <c r="U13027" i="12"/>
  <c r="U13026" i="12"/>
  <c r="U13025" i="12"/>
  <c r="U13024" i="12"/>
  <c r="U13023" i="12"/>
  <c r="U13022" i="12"/>
  <c r="U13021" i="12"/>
  <c r="U13020" i="12"/>
  <c r="U13019" i="12"/>
  <c r="U13018" i="12"/>
  <c r="U13017" i="12"/>
  <c r="U13016" i="12"/>
  <c r="U13015" i="12"/>
  <c r="U13014" i="12"/>
  <c r="U13013" i="12"/>
  <c r="U13012" i="12"/>
  <c r="U13011" i="12"/>
  <c r="U13010" i="12"/>
  <c r="U13009" i="12"/>
  <c r="U13008" i="12"/>
  <c r="U13007" i="12"/>
  <c r="U13006" i="12"/>
  <c r="U13005" i="12"/>
  <c r="U13004" i="12"/>
  <c r="U13003" i="12"/>
  <c r="U13002" i="12"/>
  <c r="U13001" i="12"/>
  <c r="U13000" i="12"/>
  <c r="U12999" i="12"/>
  <c r="U12998" i="12"/>
  <c r="U12997" i="12"/>
  <c r="U12996" i="12"/>
  <c r="U12995" i="12"/>
  <c r="U12994" i="12"/>
  <c r="U12993" i="12"/>
  <c r="U12992" i="12"/>
  <c r="U12991" i="12"/>
  <c r="U12990" i="12"/>
  <c r="U12989" i="12"/>
  <c r="U12988" i="12"/>
  <c r="U12987" i="12"/>
  <c r="U12986" i="12"/>
  <c r="U12985" i="12"/>
  <c r="U12984" i="12"/>
  <c r="U12983" i="12"/>
  <c r="U12982" i="12"/>
  <c r="U12981" i="12"/>
  <c r="U12980" i="12"/>
  <c r="U12979" i="12"/>
  <c r="U12978" i="12"/>
  <c r="U12977" i="12"/>
  <c r="U12976" i="12"/>
  <c r="U12975" i="12"/>
  <c r="U12974" i="12"/>
  <c r="U12973" i="12"/>
  <c r="U12972" i="12"/>
  <c r="U12971" i="12"/>
  <c r="U12970" i="12"/>
  <c r="U12969" i="12"/>
  <c r="U12968" i="12"/>
  <c r="U12967" i="12"/>
  <c r="U12966" i="12"/>
  <c r="U12965" i="12"/>
  <c r="U12964" i="12"/>
  <c r="U12963" i="12"/>
  <c r="U12962" i="12"/>
  <c r="U12961" i="12"/>
  <c r="U12960" i="12"/>
  <c r="U12959" i="12"/>
  <c r="U12958" i="12"/>
  <c r="U12957" i="12"/>
  <c r="U12956" i="12"/>
  <c r="U12955" i="12"/>
  <c r="U12954" i="12"/>
  <c r="U12953" i="12"/>
  <c r="U12952" i="12"/>
  <c r="U12951" i="12"/>
  <c r="U12950" i="12"/>
  <c r="U12949" i="12"/>
  <c r="U12948" i="12"/>
  <c r="U12947" i="12"/>
  <c r="U12946" i="12"/>
  <c r="U12945" i="12"/>
  <c r="U12944" i="12"/>
  <c r="U12943" i="12"/>
  <c r="U12942" i="12"/>
  <c r="U12941" i="12"/>
  <c r="U12940" i="12"/>
  <c r="U12939" i="12"/>
  <c r="U12938" i="12"/>
  <c r="U12937" i="12"/>
  <c r="U12936" i="12"/>
  <c r="U12935" i="12"/>
  <c r="U12934" i="12"/>
  <c r="U12933" i="12"/>
  <c r="U12932" i="12"/>
  <c r="U12931" i="12"/>
  <c r="U12930" i="12"/>
  <c r="U12929" i="12"/>
  <c r="U12928" i="12"/>
  <c r="U12927" i="12"/>
  <c r="U12926" i="12"/>
  <c r="U12925" i="12"/>
  <c r="U12924" i="12"/>
  <c r="U12923" i="12"/>
  <c r="U12922" i="12"/>
  <c r="U12921" i="12"/>
  <c r="U12920" i="12"/>
  <c r="U12919" i="12"/>
  <c r="U12918" i="12"/>
  <c r="U12917" i="12"/>
  <c r="U12916" i="12"/>
  <c r="U12915" i="12"/>
  <c r="U12914" i="12"/>
  <c r="U12913" i="12"/>
  <c r="U12912" i="12"/>
  <c r="U12911" i="12"/>
  <c r="U12910" i="12"/>
  <c r="U12909" i="12"/>
  <c r="U12908" i="12"/>
  <c r="U12907" i="12"/>
  <c r="U12906" i="12"/>
  <c r="U12905" i="12"/>
  <c r="U12904" i="12"/>
  <c r="U12903" i="12"/>
  <c r="U12902" i="12"/>
  <c r="U12901" i="12"/>
  <c r="U12900" i="12"/>
  <c r="U12899" i="12"/>
  <c r="U12898" i="12"/>
  <c r="U12897" i="12"/>
  <c r="U12896" i="12"/>
  <c r="U12895" i="12"/>
  <c r="U12894" i="12"/>
  <c r="U12893" i="12"/>
  <c r="U12892" i="12"/>
  <c r="U12891" i="12"/>
  <c r="U12890" i="12"/>
  <c r="U12889" i="12"/>
  <c r="U12888" i="12"/>
  <c r="U12887" i="12"/>
  <c r="U12886" i="12"/>
  <c r="U12885" i="12"/>
  <c r="U12884" i="12"/>
  <c r="U12883" i="12"/>
  <c r="U12882" i="12"/>
  <c r="U12881" i="12"/>
  <c r="U12880" i="12"/>
  <c r="U12879" i="12"/>
  <c r="U12878" i="12"/>
  <c r="U12877" i="12"/>
  <c r="U12876" i="12"/>
  <c r="U12875" i="12"/>
  <c r="U12874" i="12"/>
  <c r="U12873" i="12"/>
  <c r="U12872" i="12"/>
  <c r="U12871" i="12"/>
  <c r="U12870" i="12"/>
  <c r="U12869" i="12"/>
  <c r="U12868" i="12"/>
  <c r="U12867" i="12"/>
  <c r="U12866" i="12"/>
  <c r="U12865" i="12"/>
  <c r="U12864" i="12"/>
  <c r="U12863" i="12"/>
  <c r="U12862" i="12"/>
  <c r="U12861" i="12"/>
  <c r="U12860" i="12"/>
  <c r="U12859" i="12"/>
  <c r="U12858" i="12"/>
  <c r="U12857" i="12"/>
  <c r="U12856" i="12"/>
  <c r="U12855" i="12"/>
  <c r="U12854" i="12"/>
  <c r="U12853" i="12"/>
  <c r="U12852" i="12"/>
  <c r="U12851" i="12"/>
  <c r="U12850" i="12"/>
  <c r="U12849" i="12"/>
  <c r="U12848" i="12"/>
  <c r="U12847" i="12"/>
  <c r="U12846" i="12"/>
  <c r="U12845" i="12"/>
  <c r="U12844" i="12"/>
  <c r="U12843" i="12"/>
  <c r="U12842" i="12"/>
  <c r="U12841" i="12"/>
  <c r="U12840" i="12"/>
  <c r="U12839" i="12"/>
  <c r="U12838" i="12"/>
  <c r="U12837" i="12"/>
  <c r="U12836" i="12"/>
  <c r="U12835" i="12"/>
  <c r="U12834" i="12"/>
  <c r="U12833" i="12"/>
  <c r="U12832" i="12"/>
  <c r="U12831" i="12"/>
  <c r="U12830" i="12"/>
  <c r="U12829" i="12"/>
  <c r="U12828" i="12"/>
  <c r="U12827" i="12"/>
  <c r="U12826" i="12"/>
  <c r="U12825" i="12"/>
  <c r="U12824" i="12"/>
  <c r="U12823" i="12"/>
  <c r="U12822" i="12"/>
  <c r="U12821" i="12"/>
  <c r="U12820" i="12"/>
  <c r="U12819" i="12"/>
  <c r="U12818" i="12"/>
  <c r="U12817" i="12"/>
  <c r="U12816" i="12"/>
  <c r="U12815" i="12"/>
  <c r="U12814" i="12"/>
  <c r="U12813" i="12"/>
  <c r="U12812" i="12"/>
  <c r="U12811" i="12"/>
  <c r="U12810" i="12"/>
  <c r="U12809" i="12"/>
  <c r="U12808" i="12"/>
  <c r="U12807" i="12"/>
  <c r="U12806" i="12"/>
  <c r="U12805" i="12"/>
  <c r="U12804" i="12"/>
  <c r="U12803" i="12"/>
  <c r="U12802" i="12"/>
  <c r="U12801" i="12"/>
  <c r="U12800" i="12"/>
  <c r="U12799" i="12"/>
  <c r="U12798" i="12"/>
  <c r="U12797" i="12"/>
  <c r="U12796" i="12"/>
  <c r="U12795" i="12"/>
  <c r="U12794" i="12"/>
  <c r="U12793" i="12"/>
  <c r="U12792" i="12"/>
  <c r="U12791" i="12"/>
  <c r="U12790" i="12"/>
  <c r="U12789" i="12"/>
  <c r="U12788" i="12"/>
  <c r="U12787" i="12"/>
  <c r="U12786" i="12"/>
  <c r="U12785" i="12"/>
  <c r="U12784" i="12"/>
  <c r="U12783" i="12"/>
  <c r="U12782" i="12"/>
  <c r="U12781" i="12"/>
  <c r="U12780" i="12"/>
  <c r="U12779" i="12"/>
  <c r="U12778" i="12"/>
  <c r="U12777" i="12"/>
  <c r="U12776" i="12"/>
  <c r="U12775" i="12"/>
  <c r="U12774" i="12"/>
  <c r="U12773" i="12"/>
  <c r="U12772" i="12"/>
  <c r="U12771" i="12"/>
  <c r="U12770" i="12"/>
  <c r="U12769" i="12"/>
  <c r="U12768" i="12"/>
  <c r="U12767" i="12"/>
  <c r="U12766" i="12"/>
  <c r="U12765" i="12"/>
  <c r="U12764" i="12"/>
  <c r="U12763" i="12"/>
  <c r="U12762" i="12"/>
  <c r="U12761" i="12"/>
  <c r="U12760" i="12"/>
  <c r="U12759" i="12"/>
  <c r="U12758" i="12"/>
  <c r="U12757" i="12"/>
  <c r="U12756" i="12"/>
  <c r="U12755" i="12"/>
  <c r="U12754" i="12"/>
  <c r="U12753" i="12"/>
  <c r="U12752" i="12"/>
  <c r="U12751" i="12"/>
  <c r="U12750" i="12"/>
  <c r="U12749" i="12"/>
  <c r="U12748" i="12"/>
  <c r="U12747" i="12"/>
  <c r="U12746" i="12"/>
  <c r="U12745" i="12"/>
  <c r="U12744" i="12"/>
  <c r="U12743" i="12"/>
  <c r="U12742" i="12"/>
  <c r="U12741" i="12"/>
  <c r="U12740" i="12"/>
  <c r="U12739" i="12"/>
  <c r="U12738" i="12"/>
  <c r="U12737" i="12"/>
  <c r="U12736" i="12"/>
  <c r="U12735" i="12"/>
  <c r="U12734" i="12"/>
  <c r="U12733" i="12"/>
  <c r="U12732" i="12"/>
  <c r="U12731" i="12"/>
  <c r="U12730" i="12"/>
  <c r="U12729" i="12"/>
  <c r="U12728" i="12"/>
  <c r="U12727" i="12"/>
  <c r="U12726" i="12"/>
  <c r="U12725" i="12"/>
  <c r="U12724" i="12"/>
  <c r="U12723" i="12"/>
  <c r="U12722" i="12"/>
  <c r="U12721" i="12"/>
  <c r="U12720" i="12"/>
  <c r="U12719" i="12"/>
  <c r="U12718" i="12"/>
  <c r="U12717" i="12"/>
  <c r="U12716" i="12"/>
  <c r="U12715" i="12"/>
  <c r="U12714" i="12"/>
  <c r="U12713" i="12"/>
  <c r="U12712" i="12"/>
  <c r="U12711" i="12"/>
  <c r="U12710" i="12"/>
  <c r="U12709" i="12"/>
  <c r="U12708" i="12"/>
  <c r="U12707" i="12"/>
  <c r="U12706" i="12"/>
  <c r="U12705" i="12"/>
  <c r="U12704" i="12"/>
  <c r="U12703" i="12"/>
  <c r="U12702" i="12"/>
  <c r="U12701" i="12"/>
  <c r="U12700" i="12"/>
  <c r="U12699" i="12"/>
  <c r="U12698" i="12"/>
  <c r="U12697" i="12"/>
  <c r="U12696" i="12"/>
  <c r="U12695" i="12"/>
  <c r="U12694" i="12"/>
  <c r="U12693" i="12"/>
  <c r="U12692" i="12"/>
  <c r="U12691" i="12"/>
  <c r="U12690" i="12"/>
  <c r="U12689" i="12"/>
  <c r="U12688" i="12"/>
  <c r="U12687" i="12"/>
  <c r="U12686" i="12"/>
  <c r="U12685" i="12"/>
  <c r="U12684" i="12"/>
  <c r="U12683" i="12"/>
  <c r="U12682" i="12"/>
  <c r="U12681" i="12"/>
  <c r="U12680" i="12"/>
  <c r="U12679" i="12"/>
  <c r="U12678" i="12"/>
  <c r="U12677" i="12"/>
  <c r="U12676" i="12"/>
  <c r="U12675" i="12"/>
  <c r="U12674" i="12"/>
  <c r="U12673" i="12"/>
  <c r="U12672" i="12"/>
  <c r="U12671" i="12"/>
  <c r="U12670" i="12"/>
  <c r="U12669" i="12"/>
  <c r="U12668" i="12"/>
  <c r="U12667" i="12"/>
  <c r="U12666" i="12"/>
  <c r="U12665" i="12"/>
  <c r="U12664" i="12"/>
  <c r="U12663" i="12"/>
  <c r="U12662" i="12"/>
  <c r="U12661" i="12"/>
  <c r="U12660" i="12"/>
  <c r="U12659" i="12"/>
  <c r="U12658" i="12"/>
  <c r="U12657" i="12"/>
  <c r="U12656" i="12"/>
  <c r="U12655" i="12"/>
  <c r="U12654" i="12"/>
  <c r="U12653" i="12"/>
  <c r="U12652" i="12"/>
  <c r="U12651" i="12"/>
  <c r="U12650" i="12"/>
  <c r="U12649" i="12"/>
  <c r="U12648" i="12"/>
  <c r="U12647" i="12"/>
  <c r="U12646" i="12"/>
  <c r="U12645" i="12"/>
  <c r="U12644" i="12"/>
  <c r="U12643" i="12"/>
  <c r="U12642" i="12"/>
  <c r="U12641" i="12"/>
  <c r="U12640" i="12"/>
  <c r="U12639" i="12"/>
  <c r="U12638" i="12"/>
  <c r="U12637" i="12"/>
  <c r="U12636" i="12"/>
  <c r="U12635" i="12"/>
  <c r="U12634" i="12"/>
  <c r="U12633" i="12"/>
  <c r="U12632" i="12"/>
  <c r="U12631" i="12"/>
  <c r="U12630" i="12"/>
  <c r="U12629" i="12"/>
  <c r="U12628" i="12"/>
  <c r="U12627" i="12"/>
  <c r="U12626" i="12"/>
  <c r="U12625" i="12"/>
  <c r="U12624" i="12"/>
  <c r="U12623" i="12"/>
  <c r="U12622" i="12"/>
  <c r="U12621" i="12"/>
  <c r="U12620" i="12"/>
  <c r="U12619" i="12"/>
  <c r="U12618" i="12"/>
  <c r="U12617" i="12"/>
  <c r="U12616" i="12"/>
  <c r="U12615" i="12"/>
  <c r="U12614" i="12"/>
  <c r="U12613" i="12"/>
  <c r="U12612" i="12"/>
  <c r="U12611" i="12"/>
  <c r="U12610" i="12"/>
  <c r="U12609" i="12"/>
  <c r="U12608" i="12"/>
  <c r="U12607" i="12"/>
  <c r="U12606" i="12"/>
  <c r="U12605" i="12"/>
  <c r="U12604" i="12"/>
  <c r="U12603" i="12"/>
  <c r="U12602" i="12"/>
  <c r="U12601" i="12"/>
  <c r="U12600" i="12"/>
  <c r="U12599" i="12"/>
  <c r="U12598" i="12"/>
  <c r="U12597" i="12"/>
  <c r="U12596" i="12"/>
  <c r="U12595" i="12"/>
  <c r="U12594" i="12"/>
  <c r="U12593" i="12"/>
  <c r="U12592" i="12"/>
  <c r="U12591" i="12"/>
  <c r="U12590" i="12"/>
  <c r="U12589" i="12"/>
  <c r="U12588" i="12"/>
  <c r="U12587" i="12"/>
  <c r="U12586" i="12"/>
  <c r="U12585" i="12"/>
  <c r="U12584" i="12"/>
  <c r="U12583" i="12"/>
  <c r="U12582" i="12"/>
  <c r="U12581" i="12"/>
  <c r="U12580" i="12"/>
  <c r="U12579" i="12"/>
  <c r="U12578" i="12"/>
  <c r="U12577" i="12"/>
  <c r="U12576" i="12"/>
  <c r="U12575" i="12"/>
  <c r="U12574" i="12"/>
  <c r="U12573" i="12"/>
  <c r="U12572" i="12"/>
  <c r="U12571" i="12"/>
  <c r="U12570" i="12"/>
  <c r="U12569" i="12"/>
  <c r="U12568" i="12"/>
  <c r="U12567" i="12"/>
  <c r="U12566" i="12"/>
  <c r="U12565" i="12"/>
  <c r="U12564" i="12"/>
  <c r="U12563" i="12"/>
  <c r="U12562" i="12"/>
  <c r="U12561" i="12"/>
  <c r="U12560" i="12"/>
  <c r="U12559" i="12"/>
  <c r="U12558" i="12"/>
  <c r="U12557" i="12"/>
  <c r="U12556" i="12"/>
  <c r="U12555" i="12"/>
  <c r="U12554" i="12"/>
  <c r="U12553" i="12"/>
  <c r="U12552" i="12"/>
  <c r="U12551" i="12"/>
  <c r="U12550" i="12"/>
  <c r="U12549" i="12"/>
  <c r="U12548" i="12"/>
  <c r="U12547" i="12"/>
  <c r="U12546" i="12"/>
  <c r="U12545" i="12"/>
  <c r="U12544" i="12"/>
  <c r="U12543" i="12"/>
  <c r="U12542" i="12"/>
  <c r="U12541" i="12"/>
  <c r="U12540" i="12"/>
  <c r="U12539" i="12"/>
  <c r="U12538" i="12"/>
  <c r="U12537" i="12"/>
  <c r="U12536" i="12"/>
  <c r="U12535" i="12"/>
  <c r="U12534" i="12"/>
  <c r="U12533" i="12"/>
  <c r="U12532" i="12"/>
  <c r="U12531" i="12"/>
  <c r="U12530" i="12"/>
  <c r="U12529" i="12"/>
  <c r="U12528" i="12"/>
  <c r="U12527" i="12"/>
  <c r="U12526" i="12"/>
  <c r="U12525" i="12"/>
  <c r="U12524" i="12"/>
  <c r="U12523" i="12"/>
  <c r="U12522" i="12"/>
  <c r="U12521" i="12"/>
  <c r="U12520" i="12"/>
  <c r="U12519" i="12"/>
  <c r="U12518" i="12"/>
  <c r="U12517" i="12"/>
  <c r="U12516" i="12"/>
  <c r="U12515" i="12"/>
  <c r="U12514" i="12"/>
  <c r="U12513" i="12"/>
  <c r="U12512" i="12"/>
  <c r="U12511" i="12"/>
  <c r="U12510" i="12"/>
  <c r="U12509" i="12"/>
  <c r="U12508" i="12"/>
  <c r="U12507" i="12"/>
  <c r="U12506" i="12"/>
  <c r="U12505" i="12"/>
  <c r="U12504" i="12"/>
  <c r="U12503" i="12"/>
  <c r="U12502" i="12"/>
  <c r="U12501" i="12"/>
  <c r="U12500" i="12"/>
  <c r="U12499" i="12"/>
  <c r="U12498" i="12"/>
  <c r="U12497" i="12"/>
  <c r="U12496" i="12"/>
  <c r="U12495" i="12"/>
  <c r="U12494" i="12"/>
  <c r="U12493" i="12"/>
  <c r="U12492" i="12"/>
  <c r="U12491" i="12"/>
  <c r="U12490" i="12"/>
  <c r="U12489" i="12"/>
  <c r="U12488" i="12"/>
  <c r="U12487" i="12"/>
  <c r="U12486" i="12"/>
  <c r="U12485" i="12"/>
  <c r="U12484" i="12"/>
  <c r="U12483" i="12"/>
  <c r="U12482" i="12"/>
  <c r="U12481" i="12"/>
  <c r="U12480" i="12"/>
  <c r="U12479" i="12"/>
  <c r="U12478" i="12"/>
  <c r="U12477" i="12"/>
  <c r="U12476" i="12"/>
  <c r="U12475" i="12"/>
  <c r="U12474" i="12"/>
  <c r="U12473" i="12"/>
  <c r="U12472" i="12"/>
  <c r="U12471" i="12"/>
  <c r="U12470" i="12"/>
  <c r="U12469" i="12"/>
  <c r="U12468" i="12"/>
  <c r="U12467" i="12"/>
  <c r="U12466" i="12"/>
  <c r="U12465" i="12"/>
  <c r="U12464" i="12"/>
  <c r="U12463" i="12"/>
  <c r="U12462" i="12"/>
  <c r="U12461" i="12"/>
  <c r="U12460" i="12"/>
  <c r="U12459" i="12"/>
  <c r="U12458" i="12"/>
  <c r="U12457" i="12"/>
  <c r="U12456" i="12"/>
  <c r="U12455" i="12"/>
  <c r="U12454" i="12"/>
  <c r="U12453" i="12"/>
  <c r="U12452" i="12"/>
  <c r="U12451" i="12"/>
  <c r="U12450" i="12"/>
  <c r="U12449" i="12"/>
  <c r="U12448" i="12"/>
  <c r="U12447" i="12"/>
  <c r="U12446" i="12"/>
  <c r="U12445" i="12"/>
  <c r="U12444" i="12"/>
  <c r="U12443" i="12"/>
  <c r="U12442" i="12"/>
  <c r="U12441" i="12"/>
  <c r="U12440" i="12"/>
  <c r="U12439" i="12"/>
  <c r="U12438" i="12"/>
  <c r="U12437" i="12"/>
  <c r="U12436" i="12"/>
  <c r="U12435" i="12"/>
  <c r="U12434" i="12"/>
  <c r="U12433" i="12"/>
  <c r="U12432" i="12"/>
  <c r="U12431" i="12"/>
  <c r="U12430" i="12"/>
  <c r="U12429" i="12"/>
  <c r="U12428" i="12"/>
  <c r="U12427" i="12"/>
  <c r="U12426" i="12"/>
  <c r="U12425" i="12"/>
  <c r="U12424" i="12"/>
  <c r="U12423" i="12"/>
  <c r="U12422" i="12"/>
  <c r="U12421" i="12"/>
  <c r="U12420" i="12"/>
  <c r="U12419" i="12"/>
  <c r="U12418" i="12"/>
  <c r="U12417" i="12"/>
  <c r="U12416" i="12"/>
  <c r="U12415" i="12"/>
  <c r="U12414" i="12"/>
  <c r="U12413" i="12"/>
  <c r="U12412" i="12"/>
  <c r="U12411" i="12"/>
  <c r="U12410" i="12"/>
  <c r="U12409" i="12"/>
  <c r="U12408" i="12"/>
  <c r="U12407" i="12"/>
  <c r="U12406" i="12"/>
  <c r="U12405" i="12"/>
  <c r="U12404" i="12"/>
  <c r="U12403" i="12"/>
  <c r="U12402" i="12"/>
  <c r="U12401" i="12"/>
  <c r="U12400" i="12"/>
  <c r="U12399" i="12"/>
  <c r="U12398" i="12"/>
  <c r="U12397" i="12"/>
  <c r="U12396" i="12"/>
  <c r="U12395" i="12"/>
  <c r="U12394" i="12"/>
  <c r="U12393" i="12"/>
  <c r="U12392" i="12"/>
  <c r="U12391" i="12"/>
  <c r="U12390" i="12"/>
  <c r="U12389" i="12"/>
  <c r="U12388" i="12"/>
  <c r="U12387" i="12"/>
  <c r="U12386" i="12"/>
  <c r="U12385" i="12"/>
  <c r="U12384" i="12"/>
  <c r="U12383" i="12"/>
  <c r="U12382" i="12"/>
  <c r="U12381" i="12"/>
  <c r="U12380" i="12"/>
  <c r="U12379" i="12"/>
  <c r="U12378" i="12"/>
  <c r="U12377" i="12"/>
  <c r="U12376" i="12"/>
  <c r="U12375" i="12"/>
  <c r="U12374" i="12"/>
  <c r="U12373" i="12"/>
  <c r="U12372" i="12"/>
  <c r="U12371" i="12"/>
  <c r="U12370" i="12"/>
  <c r="U12369" i="12"/>
  <c r="U12368" i="12"/>
  <c r="U12367" i="12"/>
  <c r="U12366" i="12"/>
  <c r="U12365" i="12"/>
  <c r="U12364" i="12"/>
  <c r="U12363" i="12"/>
  <c r="U12362" i="12"/>
  <c r="U12361" i="12"/>
  <c r="U12360" i="12"/>
  <c r="U12359" i="12"/>
  <c r="U12358" i="12"/>
  <c r="U12357" i="12"/>
  <c r="U12356" i="12"/>
  <c r="U12355" i="12"/>
  <c r="U12354" i="12"/>
  <c r="U12353" i="12"/>
  <c r="U12352" i="12"/>
  <c r="U12351" i="12"/>
  <c r="U12350" i="12"/>
  <c r="U12349" i="12"/>
  <c r="U12348" i="12"/>
  <c r="U12347" i="12"/>
  <c r="U12346" i="12"/>
  <c r="U12345" i="12"/>
  <c r="U12344" i="12"/>
  <c r="U12343" i="12"/>
  <c r="U12342" i="12"/>
  <c r="U12341" i="12"/>
  <c r="U12340" i="12"/>
  <c r="U12339" i="12"/>
  <c r="U12338" i="12"/>
  <c r="U12337" i="12"/>
  <c r="U12336" i="12"/>
  <c r="U12335" i="12"/>
  <c r="U12334" i="12"/>
  <c r="U12333" i="12"/>
  <c r="U12332" i="12"/>
  <c r="U12331" i="12"/>
  <c r="U12330" i="12"/>
  <c r="U12329" i="12"/>
  <c r="U12328" i="12"/>
  <c r="U12327" i="12"/>
  <c r="U12326" i="12"/>
  <c r="U12325" i="12"/>
  <c r="U12324" i="12"/>
  <c r="U12323" i="12"/>
  <c r="U12322" i="12"/>
  <c r="U12321" i="12"/>
  <c r="U12320" i="12"/>
  <c r="U12319" i="12"/>
  <c r="U12318" i="12"/>
  <c r="U12317" i="12"/>
  <c r="U12316" i="12"/>
  <c r="U12315" i="12"/>
  <c r="U12314" i="12"/>
  <c r="U12313" i="12"/>
  <c r="U12312" i="12"/>
  <c r="U12311" i="12"/>
  <c r="U12310" i="12"/>
  <c r="U12309" i="12"/>
  <c r="U12308" i="12"/>
  <c r="U12307" i="12"/>
  <c r="U12306" i="12"/>
  <c r="U12305" i="12"/>
  <c r="U12304" i="12"/>
  <c r="U12303" i="12"/>
  <c r="U12302" i="12"/>
  <c r="U12301" i="12"/>
  <c r="U12300" i="12"/>
  <c r="U12299" i="12"/>
  <c r="U12298" i="12"/>
  <c r="U12297" i="12"/>
  <c r="U12296" i="12"/>
  <c r="U12295" i="12"/>
  <c r="U12294" i="12"/>
  <c r="U12293" i="12"/>
  <c r="U12292" i="12"/>
  <c r="U12291" i="12"/>
  <c r="U12290" i="12"/>
  <c r="U12289" i="12"/>
  <c r="U12288" i="12"/>
  <c r="U12287" i="12"/>
  <c r="U12286" i="12"/>
  <c r="U12285" i="12"/>
  <c r="U12284" i="12"/>
  <c r="U12283" i="12"/>
  <c r="U12282" i="12"/>
  <c r="U12281" i="12"/>
  <c r="U12280" i="12"/>
  <c r="U12279" i="12"/>
  <c r="U12278" i="12"/>
  <c r="U12277" i="12"/>
  <c r="U12276" i="12"/>
  <c r="U12275" i="12"/>
  <c r="U12274" i="12"/>
  <c r="U12273" i="12"/>
  <c r="U12272" i="12"/>
  <c r="U12271" i="12"/>
  <c r="U12270" i="12"/>
  <c r="U12269" i="12"/>
  <c r="U12268" i="12"/>
  <c r="U12267" i="12"/>
  <c r="U12266" i="12"/>
  <c r="U12265" i="12"/>
  <c r="U12264" i="12"/>
  <c r="U12263" i="12"/>
  <c r="U12262" i="12"/>
  <c r="U12261" i="12"/>
  <c r="U12260" i="12"/>
  <c r="U12259" i="12"/>
  <c r="U12258" i="12"/>
  <c r="U12257" i="12"/>
  <c r="U12256" i="12"/>
  <c r="U12255" i="12"/>
  <c r="U12254" i="12"/>
  <c r="U12253" i="12"/>
  <c r="U12252" i="12"/>
  <c r="U12251" i="12"/>
  <c r="U12250" i="12"/>
  <c r="U12249" i="12"/>
  <c r="U12248" i="12"/>
  <c r="U12247" i="12"/>
  <c r="U12246" i="12"/>
  <c r="U12245" i="12"/>
  <c r="U12244" i="12"/>
  <c r="U12243" i="12"/>
  <c r="U12242" i="12"/>
  <c r="U12241" i="12"/>
  <c r="U12240" i="12"/>
  <c r="U12239" i="12"/>
  <c r="U12238" i="12"/>
  <c r="U12237" i="12"/>
  <c r="U12236" i="12"/>
  <c r="U12235" i="12"/>
  <c r="U12234" i="12"/>
  <c r="U12233" i="12"/>
  <c r="U12232" i="12"/>
  <c r="U12231" i="12"/>
  <c r="U12230" i="12"/>
  <c r="U12229" i="12"/>
  <c r="U12228" i="12"/>
  <c r="U12227" i="12"/>
  <c r="U12226" i="12"/>
  <c r="U12225" i="12"/>
  <c r="U12224" i="12"/>
  <c r="U12223" i="12"/>
  <c r="U12222" i="12"/>
  <c r="U12221" i="12"/>
  <c r="U12220" i="12"/>
  <c r="U12219" i="12"/>
  <c r="U12218" i="12"/>
  <c r="U12217" i="12"/>
  <c r="U12216" i="12"/>
  <c r="U12215" i="12"/>
  <c r="U12214" i="12"/>
  <c r="U12213" i="12"/>
  <c r="U12212" i="12"/>
  <c r="U12211" i="12"/>
  <c r="U12210" i="12"/>
  <c r="U12209" i="12"/>
  <c r="U12208" i="12"/>
  <c r="U12207" i="12"/>
  <c r="U12206" i="12"/>
  <c r="U12205" i="12"/>
  <c r="U12204" i="12"/>
  <c r="U12203" i="12"/>
  <c r="U12202" i="12"/>
  <c r="U12201" i="12"/>
  <c r="U12200" i="12"/>
  <c r="U12199" i="12"/>
  <c r="U12198" i="12"/>
  <c r="U12197" i="12"/>
  <c r="U12196" i="12"/>
  <c r="U12195" i="12"/>
  <c r="U12194" i="12"/>
  <c r="U12193" i="12"/>
  <c r="U12192" i="12"/>
  <c r="U12191" i="12"/>
  <c r="U12190" i="12"/>
  <c r="U12189" i="12"/>
  <c r="U12188" i="12"/>
  <c r="U12187" i="12"/>
  <c r="U12186" i="12"/>
  <c r="U12185" i="12"/>
  <c r="U12184" i="12"/>
  <c r="U12183" i="12"/>
  <c r="U12182" i="12"/>
  <c r="U12181" i="12"/>
  <c r="U12180" i="12"/>
  <c r="U12179" i="12"/>
  <c r="U12178" i="12"/>
  <c r="U12177" i="12"/>
  <c r="U12176" i="12"/>
  <c r="U12175" i="12"/>
  <c r="U12174" i="12"/>
  <c r="U12173" i="12"/>
  <c r="U12172" i="12"/>
  <c r="U12171" i="12"/>
  <c r="U12170" i="12"/>
  <c r="U12169" i="12"/>
  <c r="U12168" i="12"/>
  <c r="U12167" i="12"/>
  <c r="U12166" i="12"/>
  <c r="U12165" i="12"/>
  <c r="U12164" i="12"/>
  <c r="U12163" i="12"/>
  <c r="U12162" i="12"/>
  <c r="U12161" i="12"/>
  <c r="U12160" i="12"/>
  <c r="U12159" i="12"/>
  <c r="U12158" i="12"/>
  <c r="U12157" i="12"/>
  <c r="U12156" i="12"/>
  <c r="U12155" i="12"/>
  <c r="U12154" i="12"/>
  <c r="U12153" i="12"/>
  <c r="U12152" i="12"/>
  <c r="U12151" i="12"/>
  <c r="U12150" i="12"/>
  <c r="U12149" i="12"/>
  <c r="U12148" i="12"/>
  <c r="U12147" i="12"/>
  <c r="U12146" i="12"/>
  <c r="U12145" i="12"/>
  <c r="U12144" i="12"/>
  <c r="U12143" i="12"/>
  <c r="U12142" i="12"/>
  <c r="U12141" i="12"/>
  <c r="U12140" i="12"/>
  <c r="U12139" i="12"/>
  <c r="U12138" i="12"/>
  <c r="U12137" i="12"/>
  <c r="U12136" i="12"/>
  <c r="U12135" i="12"/>
  <c r="U12134" i="12"/>
  <c r="U12133" i="12"/>
  <c r="U12132" i="12"/>
  <c r="U12131" i="12"/>
  <c r="U12130" i="12"/>
  <c r="U12129" i="12"/>
  <c r="U12128" i="12"/>
  <c r="U12127" i="12"/>
  <c r="U12126" i="12"/>
  <c r="U12125" i="12"/>
  <c r="U12124" i="12"/>
  <c r="U12123" i="12"/>
  <c r="U12122" i="12"/>
  <c r="U12121" i="12"/>
  <c r="U12120" i="12"/>
  <c r="U12119" i="12"/>
  <c r="U12118" i="12"/>
  <c r="U12117" i="12"/>
  <c r="U12116" i="12"/>
  <c r="U12115" i="12"/>
  <c r="U12114" i="12"/>
  <c r="U12113" i="12"/>
  <c r="U12112" i="12"/>
  <c r="U12111" i="12"/>
  <c r="U12110" i="12"/>
  <c r="U12109" i="12"/>
  <c r="U12108" i="12"/>
  <c r="U12107" i="12"/>
  <c r="U12106" i="12"/>
  <c r="U12105" i="12"/>
  <c r="U12104" i="12"/>
  <c r="U12103" i="12"/>
  <c r="U12102" i="12"/>
  <c r="U12101" i="12"/>
  <c r="U12100" i="12"/>
  <c r="U12099" i="12"/>
  <c r="U12098" i="12"/>
  <c r="U12097" i="12"/>
  <c r="U12096" i="12"/>
  <c r="U12095" i="12"/>
  <c r="U12094" i="12"/>
  <c r="U12093" i="12"/>
  <c r="U12092" i="12"/>
  <c r="U12091" i="12"/>
  <c r="U12090" i="12"/>
  <c r="U12089" i="12"/>
  <c r="U12088" i="12"/>
  <c r="U12087" i="12"/>
  <c r="U12086" i="12"/>
  <c r="U12085" i="12"/>
  <c r="U12084" i="12"/>
  <c r="U12083" i="12"/>
  <c r="U12082" i="12"/>
  <c r="U12081" i="12"/>
  <c r="U12080" i="12"/>
  <c r="U12079" i="12"/>
  <c r="U12078" i="12"/>
  <c r="U12077" i="12"/>
  <c r="U12076" i="12"/>
  <c r="U12075" i="12"/>
  <c r="U12074" i="12"/>
  <c r="U12073" i="12"/>
  <c r="U12072" i="12"/>
  <c r="U12071" i="12"/>
  <c r="U12070" i="12"/>
  <c r="U12069" i="12"/>
  <c r="U12068" i="12"/>
  <c r="U12067" i="12"/>
  <c r="U12066" i="12"/>
  <c r="U12065" i="12"/>
  <c r="U12064" i="12"/>
  <c r="U12063" i="12"/>
  <c r="U12062" i="12"/>
  <c r="U12061" i="12"/>
  <c r="U12060" i="12"/>
  <c r="U12059" i="12"/>
  <c r="U12058" i="12"/>
  <c r="U12057" i="12"/>
  <c r="U12056" i="12"/>
  <c r="U12055" i="12"/>
  <c r="U12054" i="12"/>
  <c r="U12053" i="12"/>
  <c r="U12052" i="12"/>
  <c r="U12051" i="12"/>
  <c r="U12050" i="12"/>
  <c r="U12049" i="12"/>
  <c r="U12048" i="12"/>
  <c r="U12047" i="12"/>
  <c r="U12046" i="12"/>
  <c r="U12045" i="12"/>
  <c r="U12044" i="12"/>
  <c r="U12043" i="12"/>
  <c r="U12042" i="12"/>
  <c r="U12041" i="12"/>
  <c r="U12040" i="12"/>
  <c r="U12039" i="12"/>
  <c r="U12038" i="12"/>
  <c r="U12037" i="12"/>
  <c r="U12036" i="12"/>
  <c r="U12035" i="12"/>
  <c r="U12034" i="12"/>
  <c r="U12033" i="12"/>
  <c r="U12032" i="12"/>
  <c r="U12031" i="12"/>
  <c r="U12030" i="12"/>
  <c r="U12029" i="12"/>
  <c r="U12028" i="12"/>
  <c r="U12027" i="12"/>
  <c r="U12026" i="12"/>
  <c r="U12025" i="12"/>
  <c r="U12024" i="12"/>
  <c r="U12023" i="12"/>
  <c r="U12022" i="12"/>
  <c r="U12021" i="12"/>
  <c r="U12020" i="12"/>
  <c r="U12019" i="12"/>
  <c r="U12018" i="12"/>
  <c r="U12017" i="12"/>
  <c r="U12016" i="12"/>
  <c r="U12015" i="12"/>
  <c r="U12014" i="12"/>
  <c r="U12013" i="12"/>
  <c r="U12012" i="12"/>
  <c r="U12011" i="12"/>
  <c r="U12010" i="12"/>
  <c r="U12009" i="12"/>
  <c r="U12008" i="12"/>
  <c r="U12007" i="12"/>
  <c r="U12006" i="12"/>
  <c r="U12005" i="12"/>
  <c r="U12004" i="12"/>
  <c r="U12003" i="12"/>
  <c r="U12002" i="12"/>
  <c r="U12001" i="12"/>
  <c r="U12000" i="12"/>
  <c r="U11999" i="12"/>
  <c r="U11998" i="12"/>
  <c r="U11997" i="12"/>
  <c r="U11996" i="12"/>
  <c r="U11995" i="12"/>
  <c r="U11994" i="12"/>
  <c r="U11993" i="12"/>
  <c r="U11992" i="12"/>
  <c r="U11991" i="12"/>
  <c r="U11990" i="12"/>
  <c r="U11989" i="12"/>
  <c r="U11988" i="12"/>
  <c r="U11987" i="12"/>
  <c r="U11986" i="12"/>
  <c r="U11985" i="12"/>
  <c r="U11984" i="12"/>
  <c r="U11983" i="12"/>
  <c r="U11982" i="12"/>
  <c r="U11981" i="12"/>
  <c r="U11980" i="12"/>
  <c r="U11979" i="12"/>
  <c r="U11978" i="12"/>
  <c r="U11977" i="12"/>
  <c r="U11976" i="12"/>
  <c r="U11975" i="12"/>
  <c r="U11974" i="12"/>
  <c r="U11973" i="12"/>
  <c r="U11972" i="12"/>
  <c r="U11971" i="12"/>
  <c r="U11970" i="12"/>
  <c r="U11969" i="12"/>
  <c r="U11968" i="12"/>
  <c r="U11967" i="12"/>
  <c r="U11966" i="12"/>
  <c r="U11965" i="12"/>
  <c r="U11964" i="12"/>
  <c r="U11963" i="12"/>
  <c r="U11962" i="12"/>
  <c r="U11961" i="12"/>
  <c r="U11960" i="12"/>
  <c r="U11959" i="12"/>
  <c r="U11958" i="12"/>
  <c r="U11957" i="12"/>
  <c r="U11956" i="12"/>
  <c r="U11955" i="12"/>
  <c r="U11954" i="12"/>
  <c r="U11953" i="12"/>
  <c r="U11952" i="12"/>
  <c r="U11951" i="12"/>
  <c r="U11950" i="12"/>
  <c r="U11949" i="12"/>
  <c r="U11948" i="12"/>
  <c r="U11947" i="12"/>
  <c r="U11946" i="12"/>
  <c r="U11945" i="12"/>
  <c r="U11944" i="12"/>
  <c r="U11943" i="12"/>
  <c r="U11942" i="12"/>
  <c r="U11941" i="12"/>
  <c r="U11940" i="12"/>
  <c r="U11939" i="12"/>
  <c r="U11938" i="12"/>
  <c r="U11937" i="12"/>
  <c r="U11936" i="12"/>
  <c r="U11935" i="12"/>
  <c r="U11934" i="12"/>
  <c r="U11933" i="12"/>
  <c r="U11932" i="12"/>
  <c r="U11931" i="12"/>
  <c r="U11930" i="12"/>
  <c r="U11929" i="12"/>
  <c r="U11928" i="12"/>
  <c r="U11927" i="12"/>
  <c r="U11926" i="12"/>
  <c r="U11925" i="12"/>
  <c r="U11924" i="12"/>
  <c r="U11923" i="12"/>
  <c r="U11922" i="12"/>
  <c r="U11921" i="12"/>
  <c r="U11920" i="12"/>
  <c r="U11919" i="12"/>
  <c r="U11918" i="12"/>
  <c r="U11917" i="12"/>
  <c r="U11916" i="12"/>
  <c r="U11915" i="12"/>
  <c r="U11914" i="12"/>
  <c r="U11913" i="12"/>
  <c r="U11912" i="12"/>
  <c r="U11911" i="12"/>
  <c r="U11910" i="12"/>
  <c r="U11909" i="12"/>
  <c r="U11908" i="12"/>
  <c r="U11907" i="12"/>
  <c r="U11906" i="12"/>
  <c r="U11905" i="12"/>
  <c r="U11904" i="12"/>
  <c r="U11903" i="12"/>
  <c r="U11902" i="12"/>
  <c r="U11901" i="12"/>
  <c r="U11900" i="12"/>
  <c r="U11899" i="12"/>
  <c r="U11898" i="12"/>
  <c r="U11897" i="12"/>
  <c r="U11896" i="12"/>
  <c r="U11895" i="12"/>
  <c r="U11894" i="12"/>
  <c r="U11893" i="12"/>
  <c r="U11892" i="12"/>
  <c r="U11891" i="12"/>
  <c r="U11890" i="12"/>
  <c r="U11889" i="12"/>
  <c r="U11888" i="12"/>
  <c r="U11887" i="12"/>
  <c r="U11886" i="12"/>
  <c r="U11885" i="12"/>
  <c r="U11884" i="12"/>
  <c r="U11883" i="12"/>
  <c r="U11882" i="12"/>
  <c r="U11881" i="12"/>
  <c r="U11880" i="12"/>
  <c r="U11879" i="12"/>
  <c r="U11878" i="12"/>
  <c r="U11877" i="12"/>
  <c r="U11876" i="12"/>
  <c r="U11875" i="12"/>
  <c r="U11874" i="12"/>
  <c r="U11873" i="12"/>
  <c r="U11872" i="12"/>
  <c r="U11871" i="12"/>
  <c r="U11870" i="12"/>
  <c r="U11869" i="12"/>
  <c r="U11868" i="12"/>
  <c r="U11867" i="12"/>
  <c r="U11866" i="12"/>
  <c r="U11865" i="12"/>
  <c r="U11864" i="12"/>
  <c r="U11863" i="12"/>
  <c r="U11862" i="12"/>
  <c r="U11861" i="12"/>
  <c r="U11860" i="12"/>
  <c r="U11859" i="12"/>
  <c r="U11858" i="12"/>
  <c r="U11857" i="12"/>
  <c r="U11856" i="12"/>
  <c r="U11855" i="12"/>
  <c r="U11854" i="12"/>
  <c r="U11853" i="12"/>
  <c r="U11852" i="12"/>
  <c r="U11851" i="12"/>
  <c r="U11850" i="12"/>
  <c r="U11849" i="12"/>
  <c r="U11848" i="12"/>
  <c r="U11847" i="12"/>
  <c r="U11846" i="12"/>
  <c r="U11845" i="12"/>
  <c r="U11844" i="12"/>
  <c r="U11843" i="12"/>
  <c r="U11842" i="12"/>
  <c r="U11841" i="12"/>
  <c r="U11840" i="12"/>
  <c r="U11839" i="12"/>
  <c r="U11838" i="12"/>
  <c r="U11837" i="12"/>
  <c r="U11836" i="12"/>
  <c r="U11835" i="12"/>
  <c r="U11834" i="12"/>
  <c r="U11833" i="12"/>
  <c r="U11832" i="12"/>
  <c r="U11831" i="12"/>
  <c r="U11830" i="12"/>
  <c r="U11829" i="12"/>
  <c r="U11828" i="12"/>
  <c r="U11827" i="12"/>
  <c r="U11826" i="12"/>
  <c r="U11825" i="12"/>
  <c r="U11824" i="12"/>
  <c r="U11823" i="12"/>
  <c r="U11822" i="12"/>
  <c r="U11821" i="12"/>
  <c r="U11820" i="12"/>
  <c r="U11819" i="12"/>
  <c r="U11818" i="12"/>
  <c r="U11817" i="12"/>
  <c r="U11816" i="12"/>
  <c r="U11815" i="12"/>
  <c r="U11814" i="12"/>
  <c r="U11813" i="12"/>
  <c r="U11812" i="12"/>
  <c r="U11811" i="12"/>
  <c r="U11810" i="12"/>
  <c r="U11809" i="12"/>
  <c r="U11808" i="12"/>
  <c r="U11807" i="12"/>
  <c r="U11806" i="12"/>
  <c r="U11805" i="12"/>
  <c r="U11804" i="12"/>
  <c r="U11803" i="12"/>
  <c r="U11802" i="12"/>
  <c r="U11801" i="12"/>
  <c r="U11800" i="12"/>
  <c r="U11799" i="12"/>
  <c r="U11798" i="12"/>
  <c r="U11797" i="12"/>
  <c r="U11796" i="12"/>
  <c r="U11795" i="12"/>
  <c r="U11794" i="12"/>
  <c r="U11793" i="12"/>
  <c r="U11792" i="12"/>
  <c r="U11791" i="12"/>
  <c r="U11790" i="12"/>
  <c r="U11789" i="12"/>
  <c r="U11788" i="12"/>
  <c r="U11787" i="12"/>
  <c r="U11786" i="12"/>
  <c r="U11785" i="12"/>
  <c r="U11784" i="12"/>
  <c r="U11783" i="12"/>
  <c r="U11782" i="12"/>
  <c r="U11781" i="12"/>
  <c r="U11780" i="12"/>
  <c r="U11779" i="12"/>
  <c r="U11778" i="12"/>
  <c r="U11777" i="12"/>
  <c r="U11776" i="12"/>
  <c r="U11775" i="12"/>
  <c r="U11774" i="12"/>
  <c r="U11773" i="12"/>
  <c r="U11772" i="12"/>
  <c r="U11771" i="12"/>
  <c r="U11770" i="12"/>
  <c r="U11769" i="12"/>
  <c r="U11768" i="12"/>
  <c r="U11767" i="12"/>
  <c r="U11766" i="12"/>
  <c r="U11765" i="12"/>
  <c r="U11764" i="12"/>
  <c r="U11763" i="12"/>
  <c r="U11762" i="12"/>
  <c r="U11761" i="12"/>
  <c r="U11760" i="12"/>
  <c r="U11759" i="12"/>
  <c r="U11758" i="12"/>
  <c r="U11757" i="12"/>
  <c r="U11756" i="12"/>
  <c r="U11755" i="12"/>
  <c r="U11754" i="12"/>
  <c r="U11753" i="12"/>
  <c r="U11752" i="12"/>
  <c r="U11751" i="12"/>
  <c r="U11750" i="12"/>
  <c r="U11749" i="12"/>
  <c r="U11748" i="12"/>
  <c r="U11747" i="12"/>
  <c r="U11746" i="12"/>
  <c r="U11745" i="12"/>
  <c r="U11744" i="12"/>
  <c r="U11743" i="12"/>
  <c r="U11742" i="12"/>
  <c r="U11741" i="12"/>
  <c r="U11740" i="12"/>
  <c r="U11739" i="12"/>
  <c r="U11738" i="12"/>
  <c r="U11737" i="12"/>
  <c r="U11736" i="12"/>
  <c r="U11735" i="12"/>
  <c r="U11734" i="12"/>
  <c r="U11733" i="12"/>
  <c r="U11732" i="12"/>
  <c r="U11731" i="12"/>
  <c r="U11730" i="12"/>
  <c r="U11729" i="12"/>
  <c r="U11728" i="12"/>
  <c r="U11727" i="12"/>
  <c r="U11726" i="12"/>
  <c r="U11725" i="12"/>
  <c r="U11724" i="12"/>
  <c r="U11723" i="12"/>
  <c r="U11722" i="12"/>
  <c r="U11721" i="12"/>
  <c r="U11720" i="12"/>
  <c r="U11719" i="12"/>
  <c r="U11718" i="12"/>
  <c r="U11717" i="12"/>
  <c r="U11716" i="12"/>
  <c r="U11715" i="12"/>
  <c r="U11714" i="12"/>
  <c r="U11713" i="12"/>
  <c r="U11712" i="12"/>
  <c r="U11711" i="12"/>
  <c r="U11710" i="12"/>
  <c r="U11709" i="12"/>
  <c r="U11708" i="12"/>
  <c r="U11707" i="12"/>
  <c r="U11706" i="12"/>
  <c r="U11705" i="12"/>
  <c r="U11704" i="12"/>
  <c r="U11703" i="12"/>
  <c r="U11702" i="12"/>
  <c r="U11701" i="12"/>
  <c r="U11700" i="12"/>
  <c r="U11699" i="12"/>
  <c r="U11698" i="12"/>
  <c r="U11697" i="12"/>
  <c r="U11696" i="12"/>
  <c r="U11695" i="12"/>
  <c r="U11694" i="12"/>
  <c r="U11693" i="12"/>
  <c r="U11692" i="12"/>
  <c r="U11691" i="12"/>
  <c r="U11690" i="12"/>
  <c r="U11689" i="12"/>
  <c r="U11688" i="12"/>
  <c r="U11687" i="12"/>
  <c r="U11686" i="12"/>
  <c r="U11685" i="12"/>
  <c r="U11684" i="12"/>
  <c r="U11683" i="12"/>
  <c r="U11682" i="12"/>
  <c r="U11681" i="12"/>
  <c r="U11680" i="12"/>
  <c r="U11679" i="12"/>
  <c r="U11678" i="12"/>
  <c r="U11677" i="12"/>
  <c r="U11676" i="12"/>
  <c r="U11675" i="12"/>
  <c r="U11674" i="12"/>
  <c r="U11673" i="12"/>
  <c r="U11672" i="12"/>
  <c r="U11671" i="12"/>
  <c r="U11670" i="12"/>
  <c r="U11669" i="12"/>
  <c r="U11668" i="12"/>
  <c r="U11667" i="12"/>
  <c r="U11666" i="12"/>
  <c r="U11665" i="12"/>
  <c r="U11664" i="12"/>
  <c r="U11663" i="12"/>
  <c r="U11662" i="12"/>
  <c r="U11661" i="12"/>
  <c r="U11660" i="12"/>
  <c r="U11659" i="12"/>
  <c r="U11658" i="12"/>
  <c r="U11657" i="12"/>
  <c r="U11656" i="12"/>
  <c r="U11655" i="12"/>
  <c r="U11654" i="12"/>
  <c r="U11653" i="12"/>
  <c r="U11652" i="12"/>
  <c r="U11651" i="12"/>
  <c r="U11650" i="12"/>
  <c r="U11649" i="12"/>
  <c r="U11648" i="12"/>
  <c r="U11647" i="12"/>
  <c r="U11646" i="12"/>
  <c r="U11645" i="12"/>
  <c r="U11644" i="12"/>
  <c r="U11643" i="12"/>
  <c r="U11642" i="12"/>
  <c r="U11641" i="12"/>
  <c r="U11640" i="12"/>
  <c r="U11639" i="12"/>
  <c r="U11638" i="12"/>
  <c r="U11637" i="12"/>
  <c r="U11636" i="12"/>
  <c r="U11635" i="12"/>
  <c r="U11634" i="12"/>
  <c r="U11633" i="12"/>
  <c r="U11632" i="12"/>
  <c r="U11631" i="12"/>
  <c r="U11630" i="12"/>
  <c r="U11629" i="12"/>
  <c r="U11628" i="12"/>
  <c r="U11627" i="12"/>
  <c r="U11626" i="12"/>
  <c r="U11625" i="12"/>
  <c r="U11624" i="12"/>
  <c r="U11623" i="12"/>
  <c r="U11622" i="12"/>
  <c r="U11621" i="12"/>
  <c r="U11620" i="12"/>
  <c r="U11619" i="12"/>
  <c r="U11618" i="12"/>
  <c r="U11617" i="12"/>
  <c r="U11616" i="12"/>
  <c r="U11615" i="12"/>
  <c r="U11614" i="12"/>
  <c r="U11613" i="12"/>
  <c r="U11612" i="12"/>
  <c r="U11611" i="12"/>
  <c r="U11610" i="12"/>
  <c r="U11609" i="12"/>
  <c r="U11608" i="12"/>
  <c r="U11607" i="12"/>
  <c r="U11606" i="12"/>
  <c r="U11605" i="12"/>
  <c r="U11604" i="12"/>
  <c r="U11603" i="12"/>
  <c r="U11602" i="12"/>
  <c r="U11601" i="12"/>
  <c r="U11600" i="12"/>
  <c r="U11599" i="12"/>
  <c r="U11598" i="12"/>
  <c r="U11597" i="12"/>
  <c r="U11596" i="12"/>
  <c r="U11595" i="12"/>
  <c r="U11594" i="12"/>
  <c r="U11593" i="12"/>
  <c r="U11592" i="12"/>
  <c r="U11591" i="12"/>
  <c r="U11590" i="12"/>
  <c r="U11589" i="12"/>
  <c r="U11588" i="12"/>
  <c r="U11587" i="12"/>
  <c r="U11586" i="12"/>
  <c r="U11585" i="12"/>
  <c r="U11584" i="12"/>
  <c r="U11583" i="12"/>
  <c r="U11582" i="12"/>
  <c r="U11581" i="12"/>
  <c r="U11580" i="12"/>
  <c r="U11579" i="12"/>
  <c r="U11578" i="12"/>
  <c r="U11577" i="12"/>
  <c r="U11576" i="12"/>
  <c r="U11575" i="12"/>
  <c r="U11574" i="12"/>
  <c r="U11573" i="12"/>
  <c r="U11572" i="12"/>
  <c r="U11571" i="12"/>
  <c r="U11570" i="12"/>
  <c r="U11569" i="12"/>
  <c r="U11568" i="12"/>
  <c r="U11567" i="12"/>
  <c r="U11566" i="12"/>
  <c r="U11565" i="12"/>
  <c r="U11564" i="12"/>
  <c r="U11563" i="12"/>
  <c r="U11562" i="12"/>
  <c r="U11561" i="12"/>
  <c r="U11560" i="12"/>
  <c r="U11559" i="12"/>
  <c r="U11558" i="12"/>
  <c r="U11557" i="12"/>
  <c r="U11556" i="12"/>
  <c r="U11555" i="12"/>
  <c r="U11554" i="12"/>
  <c r="U11553" i="12"/>
  <c r="U11552" i="12"/>
  <c r="U11551" i="12"/>
  <c r="U11550" i="12"/>
  <c r="U11549" i="12"/>
  <c r="U11548" i="12"/>
  <c r="U11547" i="12"/>
  <c r="U11546" i="12"/>
  <c r="U11545" i="12"/>
  <c r="U11544" i="12"/>
  <c r="U11543" i="12"/>
  <c r="U11542" i="12"/>
  <c r="U11541" i="12"/>
  <c r="U11540" i="12"/>
  <c r="U11539" i="12"/>
  <c r="U11538" i="12"/>
  <c r="U11537" i="12"/>
  <c r="U11536" i="12"/>
  <c r="U11535" i="12"/>
  <c r="U11534" i="12"/>
  <c r="U11533" i="12"/>
  <c r="U11532" i="12"/>
  <c r="U11531" i="12"/>
  <c r="U11530" i="12"/>
  <c r="U11529" i="12"/>
  <c r="U11528" i="12"/>
  <c r="U11527" i="12"/>
  <c r="U11526" i="12"/>
  <c r="U11525" i="12"/>
  <c r="U11524" i="12"/>
  <c r="U11523" i="12"/>
  <c r="U11522" i="12"/>
  <c r="U11521" i="12"/>
  <c r="U11520" i="12"/>
  <c r="U11519" i="12"/>
  <c r="U11518" i="12"/>
  <c r="U11517" i="12"/>
  <c r="U11516" i="12"/>
  <c r="U11515" i="12"/>
  <c r="U11514" i="12"/>
  <c r="U11513" i="12"/>
  <c r="U11512" i="12"/>
  <c r="U11511" i="12"/>
  <c r="U11510" i="12"/>
  <c r="U11509" i="12"/>
  <c r="U11508" i="12"/>
  <c r="U11507" i="12"/>
  <c r="U11506" i="12"/>
  <c r="U11505" i="12"/>
  <c r="U11504" i="12"/>
  <c r="U11503" i="12"/>
  <c r="U11502" i="12"/>
  <c r="U11501" i="12"/>
  <c r="U11500" i="12"/>
  <c r="U11499" i="12"/>
  <c r="U11498" i="12"/>
  <c r="U11497" i="12"/>
  <c r="U11496" i="12"/>
  <c r="U11495" i="12"/>
  <c r="U11494" i="12"/>
  <c r="U11493" i="12"/>
  <c r="U11492" i="12"/>
  <c r="U11491" i="12"/>
  <c r="U11490" i="12"/>
  <c r="U11489" i="12"/>
  <c r="U11488" i="12"/>
  <c r="U11487" i="12"/>
  <c r="U11486" i="12"/>
  <c r="U11485" i="12"/>
  <c r="U11484" i="12"/>
  <c r="U11483" i="12"/>
  <c r="U11482" i="12"/>
  <c r="U11481" i="12"/>
  <c r="U11480" i="12"/>
  <c r="U11479" i="12"/>
  <c r="U11478" i="12"/>
  <c r="U11477" i="12"/>
  <c r="U11476" i="12"/>
  <c r="U11475" i="12"/>
  <c r="U11474" i="12"/>
  <c r="U11473" i="12"/>
  <c r="U11472" i="12"/>
  <c r="U11471" i="12"/>
  <c r="U11470" i="12"/>
  <c r="U11469" i="12"/>
  <c r="U11468" i="12"/>
  <c r="U11467" i="12"/>
  <c r="U11466" i="12"/>
  <c r="U11465" i="12"/>
  <c r="U11464" i="12"/>
  <c r="U11463" i="12"/>
  <c r="U11462" i="12"/>
  <c r="U11461" i="12"/>
  <c r="U11460" i="12"/>
  <c r="U11459" i="12"/>
  <c r="U11458" i="12"/>
  <c r="U11457" i="12"/>
  <c r="U11456" i="12"/>
  <c r="U11455" i="12"/>
  <c r="U11454" i="12"/>
  <c r="U11453" i="12"/>
  <c r="U11452" i="12"/>
  <c r="U11451" i="12"/>
  <c r="U11450" i="12"/>
  <c r="U11449" i="12"/>
  <c r="U11448" i="12"/>
  <c r="U11447" i="12"/>
  <c r="U11446" i="12"/>
  <c r="U11445" i="12"/>
  <c r="U11444" i="12"/>
  <c r="U11443" i="12"/>
  <c r="U11442" i="12"/>
  <c r="U11441" i="12"/>
  <c r="U11440" i="12"/>
  <c r="U11439" i="12"/>
  <c r="U11438" i="12"/>
  <c r="U11437" i="12"/>
  <c r="U11436" i="12"/>
  <c r="U11435" i="12"/>
  <c r="U11434" i="12"/>
  <c r="U11433" i="12"/>
  <c r="U11432" i="12"/>
  <c r="U11431" i="12"/>
  <c r="U11430" i="12"/>
  <c r="U11429" i="12"/>
  <c r="U11428" i="12"/>
  <c r="U11427" i="12"/>
  <c r="U11426" i="12"/>
  <c r="U11425" i="12"/>
  <c r="U11424" i="12"/>
  <c r="U11423" i="12"/>
  <c r="U11422" i="12"/>
  <c r="U11421" i="12"/>
  <c r="U11420" i="12"/>
  <c r="U11419" i="12"/>
  <c r="U11418" i="12"/>
  <c r="U11417" i="12"/>
  <c r="U11416" i="12"/>
  <c r="U11415" i="12"/>
  <c r="U11414" i="12"/>
  <c r="U11413" i="12"/>
  <c r="U11412" i="12"/>
  <c r="U11411" i="12"/>
  <c r="U11410" i="12"/>
  <c r="U11409" i="12"/>
  <c r="U11408" i="12"/>
  <c r="U11407" i="12"/>
  <c r="U11406" i="12"/>
  <c r="U11405" i="12"/>
  <c r="U11404" i="12"/>
  <c r="U11403" i="12"/>
  <c r="U11402" i="12"/>
  <c r="U11401" i="12"/>
  <c r="U11400" i="12"/>
  <c r="U11399" i="12"/>
  <c r="U11398" i="12"/>
  <c r="U11397" i="12"/>
  <c r="U11396" i="12"/>
  <c r="U11395" i="12"/>
  <c r="U11394" i="12"/>
  <c r="U11393" i="12"/>
  <c r="U11392" i="12"/>
  <c r="U11391" i="12"/>
  <c r="U11390" i="12"/>
  <c r="U11389" i="12"/>
  <c r="U11388" i="12"/>
  <c r="U11387" i="12"/>
  <c r="U11386" i="12"/>
  <c r="U11385" i="12"/>
  <c r="U11384" i="12"/>
  <c r="U11383" i="12"/>
  <c r="U11382" i="12"/>
  <c r="U11381" i="12"/>
  <c r="U11380" i="12"/>
  <c r="U11379" i="12"/>
  <c r="U11378" i="12"/>
  <c r="U11377" i="12"/>
  <c r="U11376" i="12"/>
  <c r="U11375" i="12"/>
  <c r="U11374" i="12"/>
  <c r="U11373" i="12"/>
  <c r="U11372" i="12"/>
  <c r="U11371" i="12"/>
  <c r="U11370" i="12"/>
  <c r="U11369" i="12"/>
  <c r="U11368" i="12"/>
  <c r="U11367" i="12"/>
  <c r="U11366" i="12"/>
  <c r="U11365" i="12"/>
  <c r="U11364" i="12"/>
  <c r="U11363" i="12"/>
  <c r="U11362" i="12"/>
  <c r="U11361" i="12"/>
  <c r="U11360" i="12"/>
  <c r="U11359" i="12"/>
  <c r="U11358" i="12"/>
  <c r="U11357" i="12"/>
  <c r="U11356" i="12"/>
  <c r="U11355" i="12"/>
  <c r="U11354" i="12"/>
  <c r="U11353" i="12"/>
  <c r="U11352" i="12"/>
  <c r="U11351" i="12"/>
  <c r="U11350" i="12"/>
  <c r="U11349" i="12"/>
  <c r="U11348" i="12"/>
  <c r="U11347" i="12"/>
  <c r="U11346" i="12"/>
  <c r="U11345" i="12"/>
  <c r="U11344" i="12"/>
  <c r="U11343" i="12"/>
  <c r="U11342" i="12"/>
  <c r="U11341" i="12"/>
  <c r="U11340" i="12"/>
  <c r="U11339" i="12"/>
  <c r="U11338" i="12"/>
  <c r="U11337" i="12"/>
  <c r="U11336" i="12"/>
  <c r="U11335" i="12"/>
  <c r="U11334" i="12"/>
  <c r="U11333" i="12"/>
  <c r="U11332" i="12"/>
  <c r="U11331" i="12"/>
  <c r="U11330" i="12"/>
  <c r="U11329" i="12"/>
  <c r="U11328" i="12"/>
  <c r="U11327" i="12"/>
  <c r="U11326" i="12"/>
  <c r="U11325" i="12"/>
  <c r="U11324" i="12"/>
  <c r="U11323" i="12"/>
  <c r="U11322" i="12"/>
  <c r="U11321" i="12"/>
  <c r="U11320" i="12"/>
  <c r="U11319" i="12"/>
  <c r="U11318" i="12"/>
  <c r="U11317" i="12"/>
  <c r="U11316" i="12"/>
  <c r="U11315" i="12"/>
  <c r="U11314" i="12"/>
  <c r="U11313" i="12"/>
  <c r="U11312" i="12"/>
  <c r="U11311" i="12"/>
  <c r="U11310" i="12"/>
  <c r="U11309" i="12"/>
  <c r="U11308" i="12"/>
  <c r="U11307" i="12"/>
  <c r="U11306" i="12"/>
  <c r="U11305" i="12"/>
  <c r="U11304" i="12"/>
  <c r="U11303" i="12"/>
  <c r="U11302" i="12"/>
  <c r="U11301" i="12"/>
  <c r="U11300" i="12"/>
  <c r="U11299" i="12"/>
  <c r="U11298" i="12"/>
  <c r="U11297" i="12"/>
  <c r="U11296" i="12"/>
  <c r="U11295" i="12"/>
  <c r="U11294" i="12"/>
  <c r="U11293" i="12"/>
  <c r="U11292" i="12"/>
  <c r="U11291" i="12"/>
  <c r="U11290" i="12"/>
  <c r="U11289" i="12"/>
  <c r="U11288" i="12"/>
  <c r="U11287" i="12"/>
  <c r="U11286" i="12"/>
  <c r="U11285" i="12"/>
  <c r="U11284" i="12"/>
  <c r="U11283" i="12"/>
  <c r="U11282" i="12"/>
  <c r="U11281" i="12"/>
  <c r="U11280" i="12"/>
  <c r="U11279" i="12"/>
  <c r="U11278" i="12"/>
  <c r="U11277" i="12"/>
  <c r="U11276" i="12"/>
  <c r="U11275" i="12"/>
  <c r="U11274" i="12"/>
  <c r="U11273" i="12"/>
  <c r="U11272" i="12"/>
  <c r="U11271" i="12"/>
  <c r="U11270" i="12"/>
  <c r="U11269" i="12"/>
  <c r="U11268" i="12"/>
  <c r="U11267" i="12"/>
  <c r="U11266" i="12"/>
  <c r="U11265" i="12"/>
  <c r="U11264" i="12"/>
  <c r="U11263" i="12"/>
  <c r="U11262" i="12"/>
  <c r="U11261" i="12"/>
  <c r="U11260" i="12"/>
  <c r="U11259" i="12"/>
  <c r="U11258" i="12"/>
  <c r="U11257" i="12"/>
  <c r="U11256" i="12"/>
  <c r="U11255" i="12"/>
  <c r="U11254" i="12"/>
  <c r="U11253" i="12"/>
  <c r="U11252" i="12"/>
  <c r="U11251" i="12"/>
  <c r="U11250" i="12"/>
  <c r="U11249" i="12"/>
  <c r="U11248" i="12"/>
  <c r="U11247" i="12"/>
  <c r="U11246" i="12"/>
  <c r="U11245" i="12"/>
  <c r="U11244" i="12"/>
  <c r="U11243" i="12"/>
  <c r="U11242" i="12"/>
  <c r="U11241" i="12"/>
  <c r="U11240" i="12"/>
  <c r="U11239" i="12"/>
  <c r="U11238" i="12"/>
  <c r="U11237" i="12"/>
  <c r="U11236" i="12"/>
  <c r="U11235" i="12"/>
  <c r="U11234" i="12"/>
  <c r="U11233" i="12"/>
  <c r="U11232" i="12"/>
  <c r="U11231" i="12"/>
  <c r="U11230" i="12"/>
  <c r="U11229" i="12"/>
  <c r="U11228" i="12"/>
  <c r="U11227" i="12"/>
  <c r="U11226" i="12"/>
  <c r="U11225" i="12"/>
  <c r="U11224" i="12"/>
  <c r="U11223" i="12"/>
  <c r="U11222" i="12"/>
  <c r="U11221" i="12"/>
  <c r="U11220" i="12"/>
  <c r="U11219" i="12"/>
  <c r="U11218" i="12"/>
  <c r="U11217" i="12"/>
  <c r="U11216" i="12"/>
  <c r="U11215" i="12"/>
  <c r="U11214" i="12"/>
  <c r="U11213" i="12"/>
  <c r="U11212" i="12"/>
  <c r="U11211" i="12"/>
  <c r="U11210" i="12"/>
  <c r="U11209" i="12"/>
  <c r="U11208" i="12"/>
  <c r="U11207" i="12"/>
  <c r="U11206" i="12"/>
  <c r="U11205" i="12"/>
  <c r="U11204" i="12"/>
  <c r="U11203" i="12"/>
  <c r="U11202" i="12"/>
  <c r="U11201" i="12"/>
  <c r="U11200" i="12"/>
  <c r="U11199" i="12"/>
  <c r="U11198" i="12"/>
  <c r="U11197" i="12"/>
  <c r="U11196" i="12"/>
  <c r="U11195" i="12"/>
  <c r="U11194" i="12"/>
  <c r="U11193" i="12"/>
  <c r="U11192" i="12"/>
  <c r="U11191" i="12"/>
  <c r="U11190" i="12"/>
  <c r="U11189" i="12"/>
  <c r="U11188" i="12"/>
  <c r="U11187" i="12"/>
  <c r="U11186" i="12"/>
  <c r="U11185" i="12"/>
  <c r="U11184" i="12"/>
  <c r="U11183" i="12"/>
  <c r="U11182" i="12"/>
  <c r="U11181" i="12"/>
  <c r="U11180" i="12"/>
  <c r="U11179" i="12"/>
  <c r="U11178" i="12"/>
  <c r="U11177" i="12"/>
  <c r="U11176" i="12"/>
  <c r="U11175" i="12"/>
  <c r="U11174" i="12"/>
  <c r="U11173" i="12"/>
  <c r="U11172" i="12"/>
  <c r="U11171" i="12"/>
  <c r="U11170" i="12"/>
  <c r="U11169" i="12"/>
  <c r="U11168" i="12"/>
  <c r="U11167" i="12"/>
  <c r="U11166" i="12"/>
  <c r="U11165" i="12"/>
  <c r="U11164" i="12"/>
  <c r="U11163" i="12"/>
  <c r="U11162" i="12"/>
  <c r="U11161" i="12"/>
  <c r="U11160" i="12"/>
  <c r="U11159" i="12"/>
  <c r="U11158" i="12"/>
  <c r="U11157" i="12"/>
  <c r="U11156" i="12"/>
  <c r="U11155" i="12"/>
  <c r="U11154" i="12"/>
  <c r="U11153" i="12"/>
  <c r="U11152" i="12"/>
  <c r="U11151" i="12"/>
  <c r="U11150" i="12"/>
  <c r="U11149" i="12"/>
  <c r="U11148" i="12"/>
  <c r="U11147" i="12"/>
  <c r="U11146" i="12"/>
  <c r="U11145" i="12"/>
  <c r="U11144" i="12"/>
  <c r="U11143" i="12"/>
  <c r="U11142" i="12"/>
  <c r="U11141" i="12"/>
  <c r="U11140" i="12"/>
  <c r="U11139" i="12"/>
  <c r="U11138" i="12"/>
  <c r="U11137" i="12"/>
  <c r="U11136" i="12"/>
  <c r="U11135" i="12"/>
  <c r="U11134" i="12"/>
  <c r="U11133" i="12"/>
  <c r="U11132" i="12"/>
  <c r="U11131" i="12"/>
  <c r="U11130" i="12"/>
  <c r="U11129" i="12"/>
  <c r="U11128" i="12"/>
  <c r="U11127" i="12"/>
  <c r="U11126" i="12"/>
  <c r="U11125" i="12"/>
  <c r="U11124" i="12"/>
  <c r="U11123" i="12"/>
  <c r="U11122" i="12"/>
  <c r="U11121" i="12"/>
  <c r="U11120" i="12"/>
  <c r="U11119" i="12"/>
  <c r="U11118" i="12"/>
  <c r="U11117" i="12"/>
  <c r="U11116" i="12"/>
  <c r="U11115" i="12"/>
  <c r="U11114" i="12"/>
  <c r="U11113" i="12"/>
  <c r="U11112" i="12"/>
  <c r="U11111" i="12"/>
  <c r="U11110" i="12"/>
  <c r="U11109" i="12"/>
  <c r="U11108" i="12"/>
  <c r="U11107" i="12"/>
  <c r="U11106" i="12"/>
  <c r="U11105" i="12"/>
  <c r="U11104" i="12"/>
  <c r="U11103" i="12"/>
  <c r="U11102" i="12"/>
  <c r="U11101" i="12"/>
  <c r="U11100" i="12"/>
  <c r="U11099" i="12"/>
  <c r="U11098" i="12"/>
  <c r="U11097" i="12"/>
  <c r="U11096" i="12"/>
  <c r="U11095" i="12"/>
  <c r="U11094" i="12"/>
  <c r="U11093" i="12"/>
  <c r="U11092" i="12"/>
  <c r="U11091" i="12"/>
  <c r="U11090" i="12"/>
  <c r="U11089" i="12"/>
  <c r="U11088" i="12"/>
  <c r="U11087" i="12"/>
  <c r="U11086" i="12"/>
  <c r="U11085" i="12"/>
  <c r="U11084" i="12"/>
  <c r="U11083" i="12"/>
  <c r="U11082" i="12"/>
  <c r="U11081" i="12"/>
  <c r="U11080" i="12"/>
  <c r="U11079" i="12"/>
  <c r="U11078" i="12"/>
  <c r="U11077" i="12"/>
  <c r="U11076" i="12"/>
  <c r="U11075" i="12"/>
  <c r="U11074" i="12"/>
  <c r="U11073" i="12"/>
  <c r="U11072" i="12"/>
  <c r="U11071" i="12"/>
  <c r="U11070" i="12"/>
  <c r="U11069" i="12"/>
  <c r="U11068" i="12"/>
  <c r="U11067" i="12"/>
  <c r="U11066" i="12"/>
  <c r="U11065" i="12"/>
  <c r="U11064" i="12"/>
  <c r="U11063" i="12"/>
  <c r="U11062" i="12"/>
  <c r="U11061" i="12"/>
  <c r="U11060" i="12"/>
  <c r="U11059" i="12"/>
  <c r="U11058" i="12"/>
  <c r="U11057" i="12"/>
  <c r="U11056" i="12"/>
  <c r="U11055" i="12"/>
  <c r="U11054" i="12"/>
  <c r="U11053" i="12"/>
  <c r="U11052" i="12"/>
  <c r="U11051" i="12"/>
  <c r="U11050" i="12"/>
  <c r="U11049" i="12"/>
  <c r="U11048" i="12"/>
  <c r="U11047" i="12"/>
  <c r="U11046" i="12"/>
  <c r="U11045" i="12"/>
  <c r="U11044" i="12"/>
  <c r="U11043" i="12"/>
  <c r="U11042" i="12"/>
  <c r="U11041" i="12"/>
  <c r="U11040" i="12"/>
  <c r="U11039" i="12"/>
  <c r="U11038" i="12"/>
  <c r="U11037" i="12"/>
  <c r="U11036" i="12"/>
  <c r="U11035" i="12"/>
  <c r="U11034" i="12"/>
  <c r="U11033" i="12"/>
  <c r="U11032" i="12"/>
  <c r="U11031" i="12"/>
  <c r="U11030" i="12"/>
  <c r="U11029" i="12"/>
  <c r="U11028" i="12"/>
  <c r="U11027" i="12"/>
  <c r="U11026" i="12"/>
  <c r="U11025" i="12"/>
  <c r="U11024" i="12"/>
  <c r="U11023" i="12"/>
  <c r="U11022" i="12"/>
  <c r="U11021" i="12"/>
  <c r="U11020" i="12"/>
  <c r="U11019" i="12"/>
  <c r="U11018" i="12"/>
  <c r="U11017" i="12"/>
  <c r="U11016" i="12"/>
  <c r="U11015" i="12"/>
  <c r="U11014" i="12"/>
  <c r="U11013" i="12"/>
  <c r="U11012" i="12"/>
  <c r="U11011" i="12"/>
  <c r="U11010" i="12"/>
  <c r="U11009" i="12"/>
  <c r="U11008" i="12"/>
  <c r="U11007" i="12"/>
  <c r="U11006" i="12"/>
  <c r="U11005" i="12"/>
  <c r="U11004" i="12"/>
  <c r="U11003" i="12"/>
  <c r="U11002" i="12"/>
  <c r="U11001" i="12"/>
  <c r="U11000" i="12"/>
  <c r="U10999" i="12"/>
  <c r="U10998" i="12"/>
  <c r="U10997" i="12"/>
  <c r="U10996" i="12"/>
  <c r="U10995" i="12"/>
  <c r="U10994" i="12"/>
  <c r="U10993" i="12"/>
  <c r="U10992" i="12"/>
  <c r="U10991" i="12"/>
  <c r="U10990" i="12"/>
  <c r="U10989" i="12"/>
  <c r="U10988" i="12"/>
  <c r="U10987" i="12"/>
  <c r="U10986" i="12"/>
  <c r="U10985" i="12"/>
  <c r="U10984" i="12"/>
  <c r="U10983" i="12"/>
  <c r="U10982" i="12"/>
  <c r="U10981" i="12"/>
  <c r="U10980" i="12"/>
  <c r="U10979" i="12"/>
  <c r="U10978" i="12"/>
  <c r="U10977" i="12"/>
  <c r="U10976" i="12"/>
  <c r="U10975" i="12"/>
  <c r="U10974" i="12"/>
  <c r="U10973" i="12"/>
  <c r="U10972" i="12"/>
  <c r="U10971" i="12"/>
  <c r="U10970" i="12"/>
  <c r="U10969" i="12"/>
  <c r="U10968" i="12"/>
  <c r="U10967" i="12"/>
  <c r="U10966" i="12"/>
  <c r="U10965" i="12"/>
  <c r="U10964" i="12"/>
  <c r="U10963" i="12"/>
  <c r="U10962" i="12"/>
  <c r="U10961" i="12"/>
  <c r="U10960" i="12"/>
  <c r="U10959" i="12"/>
  <c r="U10958" i="12"/>
  <c r="U10957" i="12"/>
  <c r="U10956" i="12"/>
  <c r="U10955" i="12"/>
  <c r="U10954" i="12"/>
  <c r="U10953" i="12"/>
  <c r="U10952" i="12"/>
  <c r="U10951" i="12"/>
  <c r="U10950" i="12"/>
  <c r="U10949" i="12"/>
  <c r="U10948" i="12"/>
  <c r="U10947" i="12"/>
  <c r="U10946" i="12"/>
  <c r="U10945" i="12"/>
  <c r="U10944" i="12"/>
  <c r="U10943" i="12"/>
  <c r="U10942" i="12"/>
  <c r="U10941" i="12"/>
  <c r="U10940" i="12"/>
  <c r="U10939" i="12"/>
  <c r="U10938" i="12"/>
  <c r="U10937" i="12"/>
  <c r="U10936" i="12"/>
  <c r="U10935" i="12"/>
  <c r="U10934" i="12"/>
  <c r="U10933" i="12"/>
  <c r="U10932" i="12"/>
  <c r="U10931" i="12"/>
  <c r="U10930" i="12"/>
  <c r="U10929" i="12"/>
  <c r="U10928" i="12"/>
  <c r="U10927" i="12"/>
  <c r="U10926" i="12"/>
  <c r="U10925" i="12"/>
  <c r="U10924" i="12"/>
  <c r="U10923" i="12"/>
  <c r="U10922" i="12"/>
  <c r="U10921" i="12"/>
  <c r="U10920" i="12"/>
  <c r="U10919" i="12"/>
  <c r="U10918" i="12"/>
  <c r="U10917" i="12"/>
  <c r="U10916" i="12"/>
  <c r="U10915" i="12"/>
  <c r="U10914" i="12"/>
  <c r="U10913" i="12"/>
  <c r="U10912" i="12"/>
  <c r="U10911" i="12"/>
  <c r="U10910" i="12"/>
  <c r="U10909" i="12"/>
  <c r="U10908" i="12"/>
  <c r="U10907" i="12"/>
  <c r="U10906" i="12"/>
  <c r="U10905" i="12"/>
  <c r="U10904" i="12"/>
  <c r="U10903" i="12"/>
  <c r="U10902" i="12"/>
  <c r="U10901" i="12"/>
  <c r="U10900" i="12"/>
  <c r="U10899" i="12"/>
  <c r="U10898" i="12"/>
  <c r="U10897" i="12"/>
  <c r="U10896" i="12"/>
  <c r="U10895" i="12"/>
  <c r="U10894" i="12"/>
  <c r="U10893" i="12"/>
  <c r="U10892" i="12"/>
  <c r="U10891" i="12"/>
  <c r="U10890" i="12"/>
  <c r="U10889" i="12"/>
  <c r="U10888" i="12"/>
  <c r="U10887" i="12"/>
  <c r="U10886" i="12"/>
  <c r="U10885" i="12"/>
  <c r="U10884" i="12"/>
  <c r="U10883" i="12"/>
  <c r="U10882" i="12"/>
  <c r="U10881" i="12"/>
  <c r="U10880" i="12"/>
  <c r="U10879" i="12"/>
  <c r="U10878" i="12"/>
  <c r="U10877" i="12"/>
  <c r="U10876" i="12"/>
  <c r="U10875" i="12"/>
  <c r="U10874" i="12"/>
  <c r="U10873" i="12"/>
  <c r="U10872" i="12"/>
  <c r="U10871" i="12"/>
  <c r="U10870" i="12"/>
  <c r="U10869" i="12"/>
  <c r="U10868" i="12"/>
  <c r="U10867" i="12"/>
  <c r="U10866" i="12"/>
  <c r="U10865" i="12"/>
  <c r="U10864" i="12"/>
  <c r="U10863" i="12"/>
  <c r="U10862" i="12"/>
  <c r="U10861" i="12"/>
  <c r="U10860" i="12"/>
  <c r="U10859" i="12"/>
  <c r="U10858" i="12"/>
  <c r="U10857" i="12"/>
  <c r="U10856" i="12"/>
  <c r="U10855" i="12"/>
  <c r="U10854" i="12"/>
  <c r="U10853" i="12"/>
  <c r="U10852" i="12"/>
  <c r="U10851" i="12"/>
  <c r="U10850" i="12"/>
  <c r="U10849" i="12"/>
  <c r="U10848" i="12"/>
  <c r="U10847" i="12"/>
  <c r="U10846" i="12"/>
  <c r="U10845" i="12"/>
  <c r="U10844" i="12"/>
  <c r="U10843" i="12"/>
  <c r="U10842" i="12"/>
  <c r="U10841" i="12"/>
  <c r="U10840" i="12"/>
  <c r="U10839" i="12"/>
  <c r="U10838" i="12"/>
  <c r="U10837" i="12"/>
  <c r="U10836" i="12"/>
  <c r="U10835" i="12"/>
  <c r="U10834" i="12"/>
  <c r="U10833" i="12"/>
  <c r="U10832" i="12"/>
  <c r="U10831" i="12"/>
  <c r="U10830" i="12"/>
  <c r="U10829" i="12"/>
  <c r="U10828" i="12"/>
  <c r="U10827" i="12"/>
  <c r="U10826" i="12"/>
  <c r="U10825" i="12"/>
  <c r="U10824" i="12"/>
  <c r="U10823" i="12"/>
  <c r="U10822" i="12"/>
  <c r="U10821" i="12"/>
  <c r="U10820" i="12"/>
  <c r="U10819" i="12"/>
  <c r="U10818" i="12"/>
  <c r="U10817" i="12"/>
  <c r="U10816" i="12"/>
  <c r="U10815" i="12"/>
  <c r="U10814" i="12"/>
  <c r="U10813" i="12"/>
  <c r="U10812" i="12"/>
  <c r="U10811" i="12"/>
  <c r="U10810" i="12"/>
  <c r="U10809" i="12"/>
  <c r="U10808" i="12"/>
  <c r="U10807" i="12"/>
  <c r="U10806" i="12"/>
  <c r="U10805" i="12"/>
  <c r="U10804" i="12"/>
  <c r="U10803" i="12"/>
  <c r="U10802" i="12"/>
  <c r="U10801" i="12"/>
  <c r="U10800" i="12"/>
  <c r="U10799" i="12"/>
  <c r="U10798" i="12"/>
  <c r="U10797" i="12"/>
  <c r="U10796" i="12"/>
  <c r="U10795" i="12"/>
  <c r="U10794" i="12"/>
  <c r="U10793" i="12"/>
  <c r="U10792" i="12"/>
  <c r="U10791" i="12"/>
  <c r="U10790" i="12"/>
  <c r="U10789" i="12"/>
  <c r="U10788" i="12"/>
  <c r="U10787" i="12"/>
  <c r="U10786" i="12"/>
  <c r="U10785" i="12"/>
  <c r="U10784" i="12"/>
  <c r="U10783" i="12"/>
  <c r="U10782" i="12"/>
  <c r="U10781" i="12"/>
  <c r="U10780" i="12"/>
  <c r="U10779" i="12"/>
  <c r="U10778" i="12"/>
  <c r="U10777" i="12"/>
  <c r="U10776" i="12"/>
  <c r="U10775" i="12"/>
  <c r="U10774" i="12"/>
  <c r="U10773" i="12"/>
  <c r="U10772" i="12"/>
  <c r="U10771" i="12"/>
  <c r="U10770" i="12"/>
  <c r="U10769" i="12"/>
  <c r="U10768" i="12"/>
  <c r="U10767" i="12"/>
  <c r="U10766" i="12"/>
  <c r="U10765" i="12"/>
  <c r="U10764" i="12"/>
  <c r="U10763" i="12"/>
  <c r="U10762" i="12"/>
  <c r="U10761" i="12"/>
  <c r="U10760" i="12"/>
  <c r="U10759" i="12"/>
  <c r="U10758" i="12"/>
  <c r="U10757" i="12"/>
  <c r="U10756" i="12"/>
  <c r="U10755" i="12"/>
  <c r="U10754" i="12"/>
  <c r="U10753" i="12"/>
  <c r="U10752" i="12"/>
  <c r="U10751" i="12"/>
  <c r="U10750" i="12"/>
  <c r="U10749" i="12"/>
  <c r="U10748" i="12"/>
  <c r="U10747" i="12"/>
  <c r="U10746" i="12"/>
  <c r="U10745" i="12"/>
  <c r="U10744" i="12"/>
  <c r="U10743" i="12"/>
  <c r="U10742" i="12"/>
  <c r="U10741" i="12"/>
  <c r="U10740" i="12"/>
  <c r="U10739" i="12"/>
  <c r="U10738" i="12"/>
  <c r="U10737" i="12"/>
  <c r="U10736" i="12"/>
  <c r="U10735" i="12"/>
  <c r="U10734" i="12"/>
  <c r="U10733" i="12"/>
  <c r="U10732" i="12"/>
  <c r="U10731" i="12"/>
  <c r="U10730" i="12"/>
  <c r="U10729" i="12"/>
  <c r="U10728" i="12"/>
  <c r="U10727" i="12"/>
  <c r="U10726" i="12"/>
  <c r="U10725" i="12"/>
  <c r="U10724" i="12"/>
  <c r="U10723" i="12"/>
  <c r="U10722" i="12"/>
  <c r="U10721" i="12"/>
  <c r="U10720" i="12"/>
  <c r="U10719" i="12"/>
  <c r="U10718" i="12"/>
  <c r="U10717" i="12"/>
  <c r="U10716" i="12"/>
  <c r="U10715" i="12"/>
  <c r="U10714" i="12"/>
  <c r="U10713" i="12"/>
  <c r="U10712" i="12"/>
  <c r="U10711" i="12"/>
  <c r="U10710" i="12"/>
  <c r="U10709" i="12"/>
  <c r="U10708" i="12"/>
  <c r="U10707" i="12"/>
  <c r="U10706" i="12"/>
  <c r="U10705" i="12"/>
  <c r="U10704" i="12"/>
  <c r="U10703" i="12"/>
  <c r="U10702" i="12"/>
  <c r="U10701" i="12"/>
  <c r="U10700" i="12"/>
  <c r="U10699" i="12"/>
  <c r="U10698" i="12"/>
  <c r="U10697" i="12"/>
  <c r="U10696" i="12"/>
  <c r="U10695" i="12"/>
  <c r="U10694" i="12"/>
  <c r="U10693" i="12"/>
  <c r="U10692" i="12"/>
  <c r="U10691" i="12"/>
  <c r="U10690" i="12"/>
  <c r="U10689" i="12"/>
  <c r="U10688" i="12"/>
  <c r="U10687" i="12"/>
  <c r="U10686" i="12"/>
  <c r="U10685" i="12"/>
  <c r="U10684" i="12"/>
  <c r="U10683" i="12"/>
  <c r="U10682" i="12"/>
  <c r="U10681" i="12"/>
  <c r="U10680" i="12"/>
  <c r="U10679" i="12"/>
  <c r="U10678" i="12"/>
  <c r="U10677" i="12"/>
  <c r="U10676" i="12"/>
  <c r="U10675" i="12"/>
  <c r="U10674" i="12"/>
  <c r="U10673" i="12"/>
  <c r="U10672" i="12"/>
  <c r="U10671" i="12"/>
  <c r="U10670" i="12"/>
  <c r="U10669" i="12"/>
  <c r="U10668" i="12"/>
  <c r="U10667" i="12"/>
  <c r="U10666" i="12"/>
  <c r="U10665" i="12"/>
  <c r="U10664" i="12"/>
  <c r="U10663" i="12"/>
  <c r="U10662" i="12"/>
  <c r="U10661" i="12"/>
  <c r="U10660" i="12"/>
  <c r="U10659" i="12"/>
  <c r="U10658" i="12"/>
  <c r="U10657" i="12"/>
  <c r="U10656" i="12"/>
  <c r="U10655" i="12"/>
  <c r="U10654" i="12"/>
  <c r="U10653" i="12"/>
  <c r="U10652" i="12"/>
  <c r="U10651" i="12"/>
  <c r="U10650" i="12"/>
  <c r="U10649" i="12"/>
  <c r="U10648" i="12"/>
  <c r="U10647" i="12"/>
  <c r="U10646" i="12"/>
  <c r="U10645" i="12"/>
  <c r="U10644" i="12"/>
  <c r="U10643" i="12"/>
  <c r="U10642" i="12"/>
  <c r="U10641" i="12"/>
  <c r="U10640" i="12"/>
  <c r="U10639" i="12"/>
  <c r="U10638" i="12"/>
  <c r="U10637" i="12"/>
  <c r="U10636" i="12"/>
  <c r="U10635" i="12"/>
  <c r="U10634" i="12"/>
  <c r="U10633" i="12"/>
  <c r="U10632" i="12"/>
  <c r="U10631" i="12"/>
  <c r="U10630" i="12"/>
  <c r="U10629" i="12"/>
  <c r="U10628" i="12"/>
  <c r="U10627" i="12"/>
  <c r="U10626" i="12"/>
  <c r="U10625" i="12"/>
  <c r="U10624" i="12"/>
  <c r="U10623" i="12"/>
  <c r="U10622" i="12"/>
  <c r="U10621" i="12"/>
  <c r="U10620" i="12"/>
  <c r="U10619" i="12"/>
  <c r="U10618" i="12"/>
  <c r="U10617" i="12"/>
  <c r="U10616" i="12"/>
  <c r="U10615" i="12"/>
  <c r="U10614" i="12"/>
  <c r="U10613" i="12"/>
  <c r="U10612" i="12"/>
  <c r="U10611" i="12"/>
  <c r="U10610" i="12"/>
  <c r="U10609" i="12"/>
  <c r="U10608" i="12"/>
  <c r="U10607" i="12"/>
  <c r="U10606" i="12"/>
  <c r="U10605" i="12"/>
  <c r="U10604" i="12"/>
  <c r="U10603" i="12"/>
  <c r="U10602" i="12"/>
  <c r="U10601" i="12"/>
  <c r="U10600" i="12"/>
  <c r="U10599" i="12"/>
  <c r="U10598" i="12"/>
  <c r="U10597" i="12"/>
  <c r="U10596" i="12"/>
  <c r="U10595" i="12"/>
  <c r="U10594" i="12"/>
  <c r="U10593" i="12"/>
  <c r="U10592" i="12"/>
  <c r="U10591" i="12"/>
  <c r="U10590" i="12"/>
  <c r="U10589" i="12"/>
  <c r="U10588" i="12"/>
  <c r="U10587" i="12"/>
  <c r="U10586" i="12"/>
  <c r="U10585" i="12"/>
  <c r="U10584" i="12"/>
  <c r="U10583" i="12"/>
  <c r="U10582" i="12"/>
  <c r="U10581" i="12"/>
  <c r="U10580" i="12"/>
  <c r="U10579" i="12"/>
  <c r="U10578" i="12"/>
  <c r="U10577" i="12"/>
  <c r="U10576" i="12"/>
  <c r="U10575" i="12"/>
  <c r="U10574" i="12"/>
  <c r="U10573" i="12"/>
  <c r="U10572" i="12"/>
  <c r="U10571" i="12"/>
  <c r="U10570" i="12"/>
  <c r="U10569" i="12"/>
  <c r="U10568" i="12"/>
  <c r="U10567" i="12"/>
  <c r="U10566" i="12"/>
  <c r="U10565" i="12"/>
  <c r="U10564" i="12"/>
  <c r="U10563" i="12"/>
  <c r="U10562" i="12"/>
  <c r="U10561" i="12"/>
  <c r="U10560" i="12"/>
  <c r="U10559" i="12"/>
  <c r="U10558" i="12"/>
  <c r="U10557" i="12"/>
  <c r="U10556" i="12"/>
  <c r="U10555" i="12"/>
  <c r="U10554" i="12"/>
  <c r="U10553" i="12"/>
  <c r="U10552" i="12"/>
  <c r="U10551" i="12"/>
  <c r="U10550" i="12"/>
  <c r="U10549" i="12"/>
  <c r="U10548" i="12"/>
  <c r="U10547" i="12"/>
  <c r="U10546" i="12"/>
  <c r="U10545" i="12"/>
  <c r="U10544" i="12"/>
  <c r="U10543" i="12"/>
  <c r="U10542" i="12"/>
  <c r="U10541" i="12"/>
  <c r="U10540" i="12"/>
  <c r="U10539" i="12"/>
  <c r="U10538" i="12"/>
  <c r="U10537" i="12"/>
  <c r="U10536" i="12"/>
  <c r="U10535" i="12"/>
  <c r="U10534" i="12"/>
  <c r="U10533" i="12"/>
  <c r="U10532" i="12"/>
  <c r="U10531" i="12"/>
  <c r="U10530" i="12"/>
  <c r="U10529" i="12"/>
  <c r="U10528" i="12"/>
  <c r="U10527" i="12"/>
  <c r="U10526" i="12"/>
  <c r="U10525" i="12"/>
  <c r="U10524" i="12"/>
  <c r="U10523" i="12"/>
  <c r="U10522" i="12"/>
  <c r="U10521" i="12"/>
  <c r="U10520" i="12"/>
  <c r="U10519" i="12"/>
  <c r="U10518" i="12"/>
  <c r="U10517" i="12"/>
  <c r="U10516" i="12"/>
  <c r="U10515" i="12"/>
  <c r="U10514" i="12"/>
  <c r="U10513" i="12"/>
  <c r="U10512" i="12"/>
  <c r="U10511" i="12"/>
  <c r="U10510" i="12"/>
  <c r="U10509" i="12"/>
  <c r="U10508" i="12"/>
  <c r="U10507" i="12"/>
  <c r="U10506" i="12"/>
  <c r="U10505" i="12"/>
  <c r="U10504" i="12"/>
  <c r="U10503" i="12"/>
  <c r="U10502" i="12"/>
  <c r="U10501" i="12"/>
  <c r="U10500" i="12"/>
  <c r="U10499" i="12"/>
  <c r="U10498" i="12"/>
  <c r="U10497" i="12"/>
  <c r="U10496" i="12"/>
  <c r="U10495" i="12"/>
  <c r="U10494" i="12"/>
  <c r="U10493" i="12"/>
  <c r="U10492" i="12"/>
  <c r="U10491" i="12"/>
  <c r="U10490" i="12"/>
  <c r="U10489" i="12"/>
  <c r="U10488" i="12"/>
  <c r="U10487" i="12"/>
  <c r="U10486" i="12"/>
  <c r="U10485" i="12"/>
  <c r="U10484" i="12"/>
  <c r="U10483" i="12"/>
  <c r="U10482" i="12"/>
  <c r="U10481" i="12"/>
  <c r="U10480" i="12"/>
  <c r="U10479" i="12"/>
  <c r="U10478" i="12"/>
  <c r="U10477" i="12"/>
  <c r="U10476" i="12"/>
  <c r="U10475" i="12"/>
  <c r="U10474" i="12"/>
  <c r="U10473" i="12"/>
  <c r="U10472" i="12"/>
  <c r="U10471" i="12"/>
  <c r="U10470" i="12"/>
  <c r="U10469" i="12"/>
  <c r="U10468" i="12"/>
  <c r="U10467" i="12"/>
  <c r="U10466" i="12"/>
  <c r="U10465" i="12"/>
  <c r="U10464" i="12"/>
  <c r="U10463" i="12"/>
  <c r="U10462" i="12"/>
  <c r="U10461" i="12"/>
  <c r="U10460" i="12"/>
  <c r="U10459" i="12"/>
  <c r="U10458" i="12"/>
  <c r="U10457" i="12"/>
  <c r="U10456" i="12"/>
  <c r="U10455" i="12"/>
  <c r="U10454" i="12"/>
  <c r="U10453" i="12"/>
  <c r="U10452" i="12"/>
  <c r="U10451" i="12"/>
  <c r="U10450" i="12"/>
  <c r="U10449" i="12"/>
  <c r="U10448" i="12"/>
  <c r="U10447" i="12"/>
  <c r="U10446" i="12"/>
  <c r="U10445" i="12"/>
  <c r="U10444" i="12"/>
  <c r="U10443" i="12"/>
  <c r="U10442" i="12"/>
  <c r="U10441" i="12"/>
  <c r="U10440" i="12"/>
  <c r="U10439" i="12"/>
  <c r="U10438" i="12"/>
  <c r="U10437" i="12"/>
  <c r="U10436" i="12"/>
  <c r="U10435" i="12"/>
  <c r="U10434" i="12"/>
  <c r="U10433" i="12"/>
  <c r="U10432" i="12"/>
  <c r="U10431" i="12"/>
  <c r="U10430" i="12"/>
  <c r="U10429" i="12"/>
  <c r="U10428" i="12"/>
  <c r="U10427" i="12"/>
  <c r="U10426" i="12"/>
  <c r="U10425" i="12"/>
  <c r="U10424" i="12"/>
  <c r="U10423" i="12"/>
  <c r="U10422" i="12"/>
  <c r="U10421" i="12"/>
  <c r="U10420" i="12"/>
  <c r="U10419" i="12"/>
  <c r="U10418" i="12"/>
  <c r="U10417" i="12"/>
  <c r="U10416" i="12"/>
  <c r="U10415" i="12"/>
  <c r="U10414" i="12"/>
  <c r="U10413" i="12"/>
  <c r="U10412" i="12"/>
  <c r="U10411" i="12"/>
  <c r="U10410" i="12"/>
  <c r="U10409" i="12"/>
  <c r="U10408" i="12"/>
  <c r="U10407" i="12"/>
  <c r="U10406" i="12"/>
  <c r="U10405" i="12"/>
  <c r="U10404" i="12"/>
  <c r="U10403" i="12"/>
  <c r="U10402" i="12"/>
  <c r="U10401" i="12"/>
  <c r="U10400" i="12"/>
  <c r="U10399" i="12"/>
  <c r="U10398" i="12"/>
  <c r="U10397" i="12"/>
  <c r="U10396" i="12"/>
  <c r="U10395" i="12"/>
  <c r="U10394" i="12"/>
  <c r="U10393" i="12"/>
  <c r="U10392" i="12"/>
  <c r="U10391" i="12"/>
  <c r="U10390" i="12"/>
  <c r="U10389" i="12"/>
  <c r="U10388" i="12"/>
  <c r="U10387" i="12"/>
  <c r="U10386" i="12"/>
  <c r="U10385" i="12"/>
  <c r="U10384" i="12"/>
  <c r="U10383" i="12"/>
  <c r="U10382" i="12"/>
  <c r="U10381" i="12"/>
  <c r="U10380" i="12"/>
  <c r="U10379" i="12"/>
  <c r="U10378" i="12"/>
  <c r="U10377" i="12"/>
  <c r="U10376" i="12"/>
  <c r="U10375" i="12"/>
  <c r="U10374" i="12"/>
  <c r="U10373" i="12"/>
  <c r="U10372" i="12"/>
  <c r="U10371" i="12"/>
  <c r="U10370" i="12"/>
  <c r="U10369" i="12"/>
  <c r="U10368" i="12"/>
  <c r="U10367" i="12"/>
  <c r="U10366" i="12"/>
  <c r="U10365" i="12"/>
  <c r="U10364" i="12"/>
  <c r="U10363" i="12"/>
  <c r="U10362" i="12"/>
  <c r="U10361" i="12"/>
  <c r="U10360" i="12"/>
  <c r="U10359" i="12"/>
  <c r="U10358" i="12"/>
  <c r="U10357" i="12"/>
  <c r="U10356" i="12"/>
  <c r="U10355" i="12"/>
  <c r="U10354" i="12"/>
  <c r="U10353" i="12"/>
  <c r="U10352" i="12"/>
  <c r="U10351" i="12"/>
  <c r="U10350" i="12"/>
  <c r="U10349" i="12"/>
  <c r="U10348" i="12"/>
  <c r="U10347" i="12"/>
  <c r="U10346" i="12"/>
  <c r="U10345" i="12"/>
  <c r="U10344" i="12"/>
  <c r="U10343" i="12"/>
  <c r="U10342" i="12"/>
  <c r="U10341" i="12"/>
  <c r="U10340" i="12"/>
  <c r="U10339" i="12"/>
  <c r="U10338" i="12"/>
  <c r="U10337" i="12"/>
  <c r="U10336" i="12"/>
  <c r="U10335" i="12"/>
  <c r="U10334" i="12"/>
  <c r="U10333" i="12"/>
  <c r="U10332" i="12"/>
  <c r="U10331" i="12"/>
  <c r="U10330" i="12"/>
  <c r="U10329" i="12"/>
  <c r="U10328" i="12"/>
  <c r="U10327" i="12"/>
  <c r="U10326" i="12"/>
  <c r="U10325" i="12"/>
  <c r="U10324" i="12"/>
  <c r="U10323" i="12"/>
  <c r="U10322" i="12"/>
  <c r="U10321" i="12"/>
  <c r="U10320" i="12"/>
  <c r="U10319" i="12"/>
  <c r="U10318" i="12"/>
  <c r="U10317" i="12"/>
  <c r="U10316" i="12"/>
  <c r="U10315" i="12"/>
  <c r="U10314" i="12"/>
  <c r="U10313" i="12"/>
  <c r="U10312" i="12"/>
  <c r="U10311" i="12"/>
  <c r="U10310" i="12"/>
  <c r="U10309" i="12"/>
  <c r="U10308" i="12"/>
  <c r="U10307" i="12"/>
  <c r="U10306" i="12"/>
  <c r="U10305" i="12"/>
  <c r="U10304" i="12"/>
  <c r="U10303" i="12"/>
  <c r="U10302" i="12"/>
  <c r="U10301" i="12"/>
  <c r="U10300" i="12"/>
  <c r="U10299" i="12"/>
  <c r="U10298" i="12"/>
  <c r="U10297" i="12"/>
  <c r="U10296" i="12"/>
  <c r="U10295" i="12"/>
  <c r="U10294" i="12"/>
  <c r="U10293" i="12"/>
  <c r="U10292" i="12"/>
  <c r="U10291" i="12"/>
  <c r="U10290" i="12"/>
  <c r="U10289" i="12"/>
  <c r="U10288" i="12"/>
  <c r="U10287" i="12"/>
  <c r="U10286" i="12"/>
  <c r="U10285" i="12"/>
  <c r="U10284" i="12"/>
  <c r="U10283" i="12"/>
  <c r="U10282" i="12"/>
  <c r="U10281" i="12"/>
  <c r="U10280" i="12"/>
  <c r="U10279" i="12"/>
  <c r="U10278" i="12"/>
  <c r="U10277" i="12"/>
  <c r="U10276" i="12"/>
  <c r="U10275" i="12"/>
  <c r="U10274" i="12"/>
  <c r="U10273" i="12"/>
  <c r="U10272" i="12"/>
  <c r="U10271" i="12"/>
  <c r="U10270" i="12"/>
  <c r="U10269" i="12"/>
  <c r="U10268" i="12"/>
  <c r="U10267" i="12"/>
  <c r="U10266" i="12"/>
  <c r="U10265" i="12"/>
  <c r="U10264" i="12"/>
  <c r="U10263" i="12"/>
  <c r="U10262" i="12"/>
  <c r="U10261" i="12"/>
  <c r="U10260" i="12"/>
  <c r="U10259" i="12"/>
  <c r="U10258" i="12"/>
  <c r="U10257" i="12"/>
  <c r="U10256" i="12"/>
  <c r="U10255" i="12"/>
  <c r="U10254" i="12"/>
  <c r="U10253" i="12"/>
  <c r="U10252" i="12"/>
  <c r="U10251" i="12"/>
  <c r="U10250" i="12"/>
  <c r="U10249" i="12"/>
  <c r="U10248" i="12"/>
  <c r="U10247" i="12"/>
  <c r="U10246" i="12"/>
  <c r="U10245" i="12"/>
  <c r="U10244" i="12"/>
  <c r="U10243" i="12"/>
  <c r="U10242" i="12"/>
  <c r="U10241" i="12"/>
  <c r="U10240" i="12"/>
  <c r="U10239" i="12"/>
  <c r="U10238" i="12"/>
  <c r="U10237" i="12"/>
  <c r="U10236" i="12"/>
  <c r="U10235" i="12"/>
  <c r="U10234" i="12"/>
  <c r="U10233" i="12"/>
  <c r="U10232" i="12"/>
  <c r="U10231" i="12"/>
  <c r="U10230" i="12"/>
  <c r="U10229" i="12"/>
  <c r="U10228" i="12"/>
  <c r="U10227" i="12"/>
  <c r="U10226" i="12"/>
  <c r="U10225" i="12"/>
  <c r="U10224" i="12"/>
  <c r="U10223" i="12"/>
  <c r="U10222" i="12"/>
  <c r="U10221" i="12"/>
  <c r="U10220" i="12"/>
  <c r="U10219" i="12"/>
  <c r="U10218" i="12"/>
  <c r="U10217" i="12"/>
  <c r="U10216" i="12"/>
  <c r="U10215" i="12"/>
  <c r="U10214" i="12"/>
  <c r="U10213" i="12"/>
  <c r="U10212" i="12"/>
  <c r="U10211" i="12"/>
  <c r="U10210" i="12"/>
  <c r="U10209" i="12"/>
  <c r="U10208" i="12"/>
  <c r="U10207" i="12"/>
  <c r="U10206" i="12"/>
  <c r="U10205" i="12"/>
  <c r="U10204" i="12"/>
  <c r="U10203" i="12"/>
  <c r="U10202" i="12"/>
  <c r="U10201" i="12"/>
  <c r="U10200" i="12"/>
  <c r="U10199" i="12"/>
  <c r="U10198" i="12"/>
  <c r="U10197" i="12"/>
  <c r="U10196" i="12"/>
  <c r="U10195" i="12"/>
  <c r="U10194" i="12"/>
  <c r="U10193" i="12"/>
  <c r="U10192" i="12"/>
  <c r="U10191" i="12"/>
  <c r="U10190" i="12"/>
  <c r="U10189" i="12"/>
  <c r="U10188" i="12"/>
  <c r="U10187" i="12"/>
  <c r="U10186" i="12"/>
  <c r="U10185" i="12"/>
  <c r="U10184" i="12"/>
  <c r="U10183" i="12"/>
  <c r="U10182" i="12"/>
  <c r="U10181" i="12"/>
  <c r="U10180" i="12"/>
  <c r="U10179" i="12"/>
  <c r="U10178" i="12"/>
  <c r="U10177" i="12"/>
  <c r="U10176" i="12"/>
  <c r="U10175" i="12"/>
  <c r="U10174" i="12"/>
  <c r="U10173" i="12"/>
  <c r="U10172" i="12"/>
  <c r="U10171" i="12"/>
  <c r="U10170" i="12"/>
  <c r="U10169" i="12"/>
  <c r="U10168" i="12"/>
  <c r="U10167" i="12"/>
  <c r="U10166" i="12"/>
  <c r="U10165" i="12"/>
  <c r="U10164" i="12"/>
  <c r="U10163" i="12"/>
  <c r="U10162" i="12"/>
  <c r="U10161" i="12"/>
  <c r="U10160" i="12"/>
  <c r="U10159" i="12"/>
  <c r="U10158" i="12"/>
  <c r="U10157" i="12"/>
  <c r="U10156" i="12"/>
  <c r="U10155" i="12"/>
  <c r="U10154" i="12"/>
  <c r="U10153" i="12"/>
  <c r="U10152" i="12"/>
  <c r="U10151" i="12"/>
  <c r="U10150" i="12"/>
  <c r="U10149" i="12"/>
  <c r="U10148" i="12"/>
  <c r="U10147" i="12"/>
  <c r="U10146" i="12"/>
  <c r="U10145" i="12"/>
  <c r="U10144" i="12"/>
  <c r="U10143" i="12"/>
  <c r="U10142" i="12"/>
  <c r="U10141" i="12"/>
  <c r="U10140" i="12"/>
  <c r="U10139" i="12"/>
  <c r="U10138" i="12"/>
  <c r="U10137" i="12"/>
  <c r="U10136" i="12"/>
  <c r="U10135" i="12"/>
  <c r="U10134" i="12"/>
  <c r="U10133" i="12"/>
  <c r="U10132" i="12"/>
  <c r="U10131" i="12"/>
  <c r="U10130" i="12"/>
  <c r="U10129" i="12"/>
  <c r="U10128" i="12"/>
  <c r="U10127" i="12"/>
  <c r="U10126" i="12"/>
  <c r="U10125" i="12"/>
  <c r="U10124" i="12"/>
  <c r="U10123" i="12"/>
  <c r="U10122" i="12"/>
  <c r="U10121" i="12"/>
  <c r="U10120" i="12"/>
  <c r="U10119" i="12"/>
  <c r="U10118" i="12"/>
  <c r="U10117" i="12"/>
  <c r="U10116" i="12"/>
  <c r="U10115" i="12"/>
  <c r="U10114" i="12"/>
  <c r="U10113" i="12"/>
  <c r="U10112" i="12"/>
  <c r="U10111" i="12"/>
  <c r="U10110" i="12"/>
  <c r="U10109" i="12"/>
  <c r="U10108" i="12"/>
  <c r="U10107" i="12"/>
  <c r="U10106" i="12"/>
  <c r="U10105" i="12"/>
  <c r="U10104" i="12"/>
  <c r="U10103" i="12"/>
  <c r="U10102" i="12"/>
  <c r="U10101" i="12"/>
  <c r="U10100" i="12"/>
  <c r="U10099" i="12"/>
  <c r="U10098" i="12"/>
  <c r="U10097" i="12"/>
  <c r="U10096" i="12"/>
  <c r="U10095" i="12"/>
  <c r="U10094" i="12"/>
  <c r="U10093" i="12"/>
  <c r="U10092" i="12"/>
  <c r="U10091" i="12"/>
  <c r="U10090" i="12"/>
  <c r="U10089" i="12"/>
  <c r="U10088" i="12"/>
  <c r="U10087" i="12"/>
  <c r="U10086" i="12"/>
  <c r="U10085" i="12"/>
  <c r="U10084" i="12"/>
  <c r="U10083" i="12"/>
  <c r="U10082" i="12"/>
  <c r="U10081" i="12"/>
  <c r="U10080" i="12"/>
  <c r="U10079" i="12"/>
  <c r="U10078" i="12"/>
  <c r="U10077" i="12"/>
  <c r="U10076" i="12"/>
  <c r="U10075" i="12"/>
  <c r="U10074" i="12"/>
  <c r="U10073" i="12"/>
  <c r="U10072" i="12"/>
  <c r="U10071" i="12"/>
  <c r="U10070" i="12"/>
  <c r="U10069" i="12"/>
  <c r="U10068" i="12"/>
  <c r="U10067" i="12"/>
  <c r="U10066" i="12"/>
  <c r="U10065" i="12"/>
  <c r="U10064" i="12"/>
  <c r="U10063" i="12"/>
  <c r="U10062" i="12"/>
  <c r="U10061" i="12"/>
  <c r="U10060" i="12"/>
  <c r="U10059" i="12"/>
  <c r="U10058" i="12"/>
  <c r="U10057" i="12"/>
  <c r="U10056" i="12"/>
  <c r="U10055" i="12"/>
  <c r="U10054" i="12"/>
  <c r="U10053" i="12"/>
  <c r="U10052" i="12"/>
  <c r="U10051" i="12"/>
  <c r="U10050" i="12"/>
  <c r="U10049" i="12"/>
  <c r="U10048" i="12"/>
  <c r="U10047" i="12"/>
  <c r="U10046" i="12"/>
  <c r="U10045" i="12"/>
  <c r="U10044" i="12"/>
  <c r="U10043" i="12"/>
  <c r="U10042" i="12"/>
  <c r="U10041" i="12"/>
  <c r="U10040" i="12"/>
  <c r="U10039" i="12"/>
  <c r="U10038" i="12"/>
  <c r="U10037" i="12"/>
  <c r="U10036" i="12"/>
  <c r="U10035" i="12"/>
  <c r="U10034" i="12"/>
  <c r="U10033" i="12"/>
  <c r="U10032" i="12"/>
  <c r="U10031" i="12"/>
  <c r="U10030" i="12"/>
  <c r="U10029" i="12"/>
  <c r="U10028" i="12"/>
  <c r="U10027" i="12"/>
  <c r="U10026" i="12"/>
  <c r="U10025" i="12"/>
  <c r="U10024" i="12"/>
  <c r="U10023" i="12"/>
  <c r="U10022" i="12"/>
  <c r="U10021" i="12"/>
  <c r="U10020" i="12"/>
  <c r="U10019" i="12"/>
  <c r="U10018" i="12"/>
  <c r="U10017" i="12"/>
  <c r="U10016" i="12"/>
  <c r="U10015" i="12"/>
  <c r="U10014" i="12"/>
  <c r="U10013" i="12"/>
  <c r="U10012" i="12"/>
  <c r="U10011" i="12"/>
  <c r="U10010" i="12"/>
  <c r="U10009" i="12"/>
  <c r="U10008" i="12"/>
  <c r="U10007" i="12"/>
  <c r="U10006" i="12"/>
  <c r="U10005" i="12"/>
  <c r="U10004" i="12"/>
  <c r="U10003" i="12"/>
  <c r="U10002" i="12"/>
  <c r="U10001" i="12"/>
  <c r="U10000" i="12"/>
  <c r="U9999" i="12"/>
  <c r="U9998" i="12"/>
  <c r="U9997" i="12"/>
  <c r="U9996" i="12"/>
  <c r="U9995" i="12"/>
  <c r="U9994" i="12"/>
  <c r="U9993" i="12"/>
  <c r="U9992" i="12"/>
  <c r="U9991" i="12"/>
  <c r="U9990" i="12"/>
  <c r="U9989" i="12"/>
  <c r="U9988" i="12"/>
  <c r="U9987" i="12"/>
  <c r="U9986" i="12"/>
  <c r="U9985" i="12"/>
  <c r="U9984" i="12"/>
  <c r="U9983" i="12"/>
  <c r="U9982" i="12"/>
  <c r="U9981" i="12"/>
  <c r="U9980" i="12"/>
  <c r="U9979" i="12"/>
  <c r="U9978" i="12"/>
  <c r="U9977" i="12"/>
  <c r="U9976" i="12"/>
  <c r="U9975" i="12"/>
  <c r="U9974" i="12"/>
  <c r="U9973" i="12"/>
  <c r="U9972" i="12"/>
  <c r="U9971" i="12"/>
  <c r="U9970" i="12"/>
  <c r="U9969" i="12"/>
  <c r="U9968" i="12"/>
  <c r="U9967" i="12"/>
  <c r="U9966" i="12"/>
  <c r="U9965" i="12"/>
  <c r="U9964" i="12"/>
  <c r="U9963" i="12"/>
  <c r="U9962" i="12"/>
  <c r="U9961" i="12"/>
  <c r="U9960" i="12"/>
  <c r="U9959" i="12"/>
  <c r="U9958" i="12"/>
  <c r="U9957" i="12"/>
  <c r="U9956" i="12"/>
  <c r="U9955" i="12"/>
  <c r="U9954" i="12"/>
  <c r="U9953" i="12"/>
  <c r="U9952" i="12"/>
  <c r="U9951" i="12"/>
  <c r="U9950" i="12"/>
  <c r="U9949" i="12"/>
  <c r="U9948" i="12"/>
  <c r="U9947" i="12"/>
  <c r="U9946" i="12"/>
  <c r="U9945" i="12"/>
  <c r="U9944" i="12"/>
  <c r="U9943" i="12"/>
  <c r="U9942" i="12"/>
  <c r="U9941" i="12"/>
  <c r="U9940" i="12"/>
  <c r="U9939" i="12"/>
  <c r="U9938" i="12"/>
  <c r="U9937" i="12"/>
  <c r="U9936" i="12"/>
  <c r="U9935" i="12"/>
  <c r="U9934" i="12"/>
  <c r="U9933" i="12"/>
  <c r="U9932" i="12"/>
  <c r="U9931" i="12"/>
  <c r="U9930" i="12"/>
  <c r="U9929" i="12"/>
  <c r="U9928" i="12"/>
  <c r="U9927" i="12"/>
  <c r="U9926" i="12"/>
  <c r="U9925" i="12"/>
  <c r="U9924" i="12"/>
  <c r="U9923" i="12"/>
  <c r="U9922" i="12"/>
  <c r="U9921" i="12"/>
  <c r="U9920" i="12"/>
  <c r="U9919" i="12"/>
  <c r="U9918" i="12"/>
  <c r="U9917" i="12"/>
  <c r="U9916" i="12"/>
  <c r="U9915" i="12"/>
  <c r="U9914" i="12"/>
  <c r="U9913" i="12"/>
  <c r="U9912" i="12"/>
  <c r="U9911" i="12"/>
  <c r="U9910" i="12"/>
  <c r="U9909" i="12"/>
  <c r="U9908" i="12"/>
  <c r="U9907" i="12"/>
  <c r="U9906" i="12"/>
  <c r="U9905" i="12"/>
  <c r="U9904" i="12"/>
  <c r="U9903" i="12"/>
  <c r="U9902" i="12"/>
  <c r="U9901" i="12"/>
  <c r="U9900" i="12"/>
  <c r="U9899" i="12"/>
  <c r="U9898" i="12"/>
  <c r="U9897" i="12"/>
  <c r="U9896" i="12"/>
  <c r="U9895" i="12"/>
  <c r="U9894" i="12"/>
  <c r="U9893" i="12"/>
  <c r="U9892" i="12"/>
  <c r="U9891" i="12"/>
  <c r="U9890" i="12"/>
  <c r="U9889" i="12"/>
  <c r="U9888" i="12"/>
  <c r="U9887" i="12"/>
  <c r="U9886" i="12"/>
  <c r="U9885" i="12"/>
  <c r="U9884" i="12"/>
  <c r="U9883" i="12"/>
  <c r="U9882" i="12"/>
  <c r="U9881" i="12"/>
  <c r="U9880" i="12"/>
  <c r="U9879" i="12"/>
  <c r="U9878" i="12"/>
  <c r="U9877" i="12"/>
  <c r="U9876" i="12"/>
  <c r="U9875" i="12"/>
  <c r="U9874" i="12"/>
  <c r="U9873" i="12"/>
  <c r="U9872" i="12"/>
  <c r="U9871" i="12"/>
  <c r="U9870" i="12"/>
  <c r="U9869" i="12"/>
  <c r="U9868" i="12"/>
  <c r="U9867" i="12"/>
  <c r="U9866" i="12"/>
  <c r="U9865" i="12"/>
  <c r="U9864" i="12"/>
  <c r="U9863" i="12"/>
  <c r="U9862" i="12"/>
  <c r="U9861" i="12"/>
  <c r="U9860" i="12"/>
  <c r="U9859" i="12"/>
  <c r="U9858" i="12"/>
  <c r="U9857" i="12"/>
  <c r="U9856" i="12"/>
  <c r="U9855" i="12"/>
  <c r="U9854" i="12"/>
  <c r="U9853" i="12"/>
  <c r="U9852" i="12"/>
  <c r="U9851" i="12"/>
  <c r="U9850" i="12"/>
  <c r="U9849" i="12"/>
  <c r="U9848" i="12"/>
  <c r="U9847" i="12"/>
  <c r="U9846" i="12"/>
  <c r="U9845" i="12"/>
  <c r="U9844" i="12"/>
  <c r="U9843" i="12"/>
  <c r="U9842" i="12"/>
  <c r="U9841" i="12"/>
  <c r="U9840" i="12"/>
  <c r="U9839" i="12"/>
  <c r="U9838" i="12"/>
  <c r="U9837" i="12"/>
  <c r="U9836" i="12"/>
  <c r="U9835" i="12"/>
  <c r="U9834" i="12"/>
  <c r="U9833" i="12"/>
  <c r="U9832" i="12"/>
  <c r="U9831" i="12"/>
  <c r="U9830" i="12"/>
  <c r="U9829" i="12"/>
  <c r="U9828" i="12"/>
  <c r="U9827" i="12"/>
  <c r="U9826" i="12"/>
  <c r="U9825" i="12"/>
  <c r="U9824" i="12"/>
  <c r="U9823" i="12"/>
  <c r="U9822" i="12"/>
  <c r="U9821" i="12"/>
  <c r="U9820" i="12"/>
  <c r="U9819" i="12"/>
  <c r="U9818" i="12"/>
  <c r="U9817" i="12"/>
  <c r="U9816" i="12"/>
  <c r="U9815" i="12"/>
  <c r="U9814" i="12"/>
  <c r="U9813" i="12"/>
  <c r="U9812" i="12"/>
  <c r="U9811" i="12"/>
  <c r="U9810" i="12"/>
  <c r="U9809" i="12"/>
  <c r="U9808" i="12"/>
  <c r="U9807" i="12"/>
  <c r="U9806" i="12"/>
  <c r="U9805" i="12"/>
  <c r="U9804" i="12"/>
  <c r="U9803" i="12"/>
  <c r="U9802" i="12"/>
  <c r="U9801" i="12"/>
  <c r="U9800" i="12"/>
  <c r="U9799" i="12"/>
  <c r="U9798" i="12"/>
  <c r="U9797" i="12"/>
  <c r="U9796" i="12"/>
  <c r="U9795" i="12"/>
  <c r="U9794" i="12"/>
  <c r="U9793" i="12"/>
  <c r="U9792" i="12"/>
  <c r="U9791" i="12"/>
  <c r="U9790" i="12"/>
  <c r="U9789" i="12"/>
  <c r="U9788" i="12"/>
  <c r="U9787" i="12"/>
  <c r="U9786" i="12"/>
  <c r="U9785" i="12"/>
  <c r="U9784" i="12"/>
  <c r="U9783" i="12"/>
  <c r="U9782" i="12"/>
  <c r="U9781" i="12"/>
  <c r="U9780" i="12"/>
  <c r="U9779" i="12"/>
  <c r="U9778" i="12"/>
  <c r="U9777" i="12"/>
  <c r="U9776" i="12"/>
  <c r="U9775" i="12"/>
  <c r="U9774" i="12"/>
  <c r="U9773" i="12"/>
  <c r="U9772" i="12"/>
  <c r="U9771" i="12"/>
  <c r="U9770" i="12"/>
  <c r="U9769" i="12"/>
  <c r="U9768" i="12"/>
  <c r="U9767" i="12"/>
  <c r="U9766" i="12"/>
  <c r="U9765" i="12"/>
  <c r="U9764" i="12"/>
  <c r="U9763" i="12"/>
  <c r="U9762" i="12"/>
  <c r="U9761" i="12"/>
  <c r="U9760" i="12"/>
  <c r="U9759" i="12"/>
  <c r="U9758" i="12"/>
  <c r="U9757" i="12"/>
  <c r="U9756" i="12"/>
  <c r="U9755" i="12"/>
  <c r="U9754" i="12"/>
  <c r="U9753" i="12"/>
  <c r="U9752" i="12"/>
  <c r="U9751" i="12"/>
  <c r="U9750" i="12"/>
  <c r="U9749" i="12"/>
  <c r="U9748" i="12"/>
  <c r="U9747" i="12"/>
  <c r="U9746" i="12"/>
  <c r="U9745" i="12"/>
  <c r="U9744" i="12"/>
  <c r="U9743" i="12"/>
  <c r="U9742" i="12"/>
  <c r="U9741" i="12"/>
  <c r="U9740" i="12"/>
  <c r="U9739" i="12"/>
  <c r="U9738" i="12"/>
  <c r="U9737" i="12"/>
  <c r="U9736" i="12"/>
  <c r="U9735" i="12"/>
  <c r="U9734" i="12"/>
  <c r="U9733" i="12"/>
  <c r="U9732" i="12"/>
  <c r="U9731" i="12"/>
  <c r="U9730" i="12"/>
  <c r="U9729" i="12"/>
  <c r="U9728" i="12"/>
  <c r="U9727" i="12"/>
  <c r="U9726" i="12"/>
  <c r="U9725" i="12"/>
  <c r="U9724" i="12"/>
  <c r="U9723" i="12"/>
  <c r="U9722" i="12"/>
  <c r="U9721" i="12"/>
  <c r="U9720" i="12"/>
  <c r="U9719" i="12"/>
  <c r="U9718" i="12"/>
  <c r="U9717" i="12"/>
  <c r="U9716" i="12"/>
  <c r="U9715" i="12"/>
  <c r="U9714" i="12"/>
  <c r="U9713" i="12"/>
  <c r="U9712" i="12"/>
  <c r="U9711" i="12"/>
  <c r="U9710" i="12"/>
  <c r="U9709" i="12"/>
  <c r="U9708" i="12"/>
  <c r="U9707" i="12"/>
  <c r="U9706" i="12"/>
  <c r="U9705" i="12"/>
  <c r="U9704" i="12"/>
  <c r="U9703" i="12"/>
  <c r="U9702" i="12"/>
  <c r="U9701" i="12"/>
  <c r="U9700" i="12"/>
  <c r="U9699" i="12"/>
  <c r="U9698" i="12"/>
  <c r="U9697" i="12"/>
  <c r="U9696" i="12"/>
  <c r="U9695" i="12"/>
  <c r="U9694" i="12"/>
  <c r="U9693" i="12"/>
  <c r="U9692" i="12"/>
  <c r="U9691" i="12"/>
  <c r="U9690" i="12"/>
  <c r="U9689" i="12"/>
  <c r="U9688" i="12"/>
  <c r="U9687" i="12"/>
  <c r="U9686" i="12"/>
  <c r="U9685" i="12"/>
  <c r="U9684" i="12"/>
  <c r="U9683" i="12"/>
  <c r="U9682" i="12"/>
  <c r="U9681" i="12"/>
  <c r="U9680" i="12"/>
  <c r="U9679" i="12"/>
  <c r="U9678" i="12"/>
  <c r="U9677" i="12"/>
  <c r="U9676" i="12"/>
  <c r="U9675" i="12"/>
  <c r="U9674" i="12"/>
  <c r="U9673" i="12"/>
  <c r="U9672" i="12"/>
  <c r="U9671" i="12"/>
  <c r="U9670" i="12"/>
  <c r="U9669" i="12"/>
  <c r="U9668" i="12"/>
  <c r="U9667" i="12"/>
  <c r="U9666" i="12"/>
  <c r="U9665" i="12"/>
  <c r="U9664" i="12"/>
  <c r="U9663" i="12"/>
  <c r="U9662" i="12"/>
  <c r="U9661" i="12"/>
  <c r="U9660" i="12"/>
  <c r="U9659" i="12"/>
  <c r="U9658" i="12"/>
  <c r="U9657" i="12"/>
  <c r="U9656" i="12"/>
  <c r="U9655" i="12"/>
  <c r="U9654" i="12"/>
  <c r="U9653" i="12"/>
  <c r="U9652" i="12"/>
  <c r="U9651" i="12"/>
  <c r="U9650" i="12"/>
  <c r="U9649" i="12"/>
  <c r="U9648" i="12"/>
  <c r="U9647" i="12"/>
  <c r="U9646" i="12"/>
  <c r="U9645" i="12"/>
  <c r="U9644" i="12"/>
  <c r="U9643" i="12"/>
  <c r="U9642" i="12"/>
  <c r="U9641" i="12"/>
  <c r="U9640" i="12"/>
  <c r="U9639" i="12"/>
  <c r="U9638" i="12"/>
  <c r="U9637" i="12"/>
  <c r="U9636" i="12"/>
  <c r="U9635" i="12"/>
  <c r="U9634" i="12"/>
  <c r="U9633" i="12"/>
  <c r="U9632" i="12"/>
  <c r="U9631" i="12"/>
  <c r="U9630" i="12"/>
  <c r="U9629" i="12"/>
  <c r="U9628" i="12"/>
  <c r="U9627" i="12"/>
  <c r="U9626" i="12"/>
  <c r="U9625" i="12"/>
  <c r="U9624" i="12"/>
  <c r="U9623" i="12"/>
  <c r="U9622" i="12"/>
  <c r="U9621" i="12"/>
  <c r="U9620" i="12"/>
  <c r="U9619" i="12"/>
  <c r="U9618" i="12"/>
  <c r="U9617" i="12"/>
  <c r="U9616" i="12"/>
  <c r="U9615" i="12"/>
  <c r="U9614" i="12"/>
  <c r="U9613" i="12"/>
  <c r="U9612" i="12"/>
  <c r="U9611" i="12"/>
  <c r="U9610" i="12"/>
  <c r="U9609" i="12"/>
  <c r="U9608" i="12"/>
  <c r="U9607" i="12"/>
  <c r="U9606" i="12"/>
  <c r="U9605" i="12"/>
  <c r="U9604" i="12"/>
  <c r="U9603" i="12"/>
  <c r="U9602" i="12"/>
  <c r="U9601" i="12"/>
  <c r="U9600" i="12"/>
  <c r="U9599" i="12"/>
  <c r="U9598" i="12"/>
  <c r="U9597" i="12"/>
  <c r="U9596" i="12"/>
  <c r="U9595" i="12"/>
  <c r="U9594" i="12"/>
  <c r="U9593" i="12"/>
  <c r="U9592" i="12"/>
  <c r="U9591" i="12"/>
  <c r="U9590" i="12"/>
  <c r="U9589" i="12"/>
  <c r="U9588" i="12"/>
  <c r="U9587" i="12"/>
  <c r="U9586" i="12"/>
  <c r="U9585" i="12"/>
  <c r="U9584" i="12"/>
  <c r="U9583" i="12"/>
  <c r="U9582" i="12"/>
  <c r="U9581" i="12"/>
  <c r="U9580" i="12"/>
  <c r="U9579" i="12"/>
  <c r="U9578" i="12"/>
  <c r="U9577" i="12"/>
  <c r="U9576" i="12"/>
  <c r="U9575" i="12"/>
  <c r="U9574" i="12"/>
  <c r="U9573" i="12"/>
  <c r="U9572" i="12"/>
  <c r="U9571" i="12"/>
  <c r="U9570" i="12"/>
  <c r="U9569" i="12"/>
  <c r="U9568" i="12"/>
  <c r="U9567" i="12"/>
  <c r="U9566" i="12"/>
  <c r="U9565" i="12"/>
  <c r="U9564" i="12"/>
  <c r="U9563" i="12"/>
  <c r="U9562" i="12"/>
  <c r="U9561" i="12"/>
  <c r="U9560" i="12"/>
  <c r="U9559" i="12"/>
  <c r="U9558" i="12"/>
  <c r="U9557" i="12"/>
  <c r="U9556" i="12"/>
  <c r="U9555" i="12"/>
  <c r="U9554" i="12"/>
  <c r="U9553" i="12"/>
  <c r="U9552" i="12"/>
  <c r="U9551" i="12"/>
  <c r="U9550" i="12"/>
  <c r="U9549" i="12"/>
  <c r="U9548" i="12"/>
  <c r="U9547" i="12"/>
  <c r="U9546" i="12"/>
  <c r="U9545" i="12"/>
  <c r="U9544" i="12"/>
  <c r="U9543" i="12"/>
  <c r="U9542" i="12"/>
  <c r="U9541" i="12"/>
  <c r="U9540" i="12"/>
  <c r="U9539" i="12"/>
  <c r="U9538" i="12"/>
  <c r="U9537" i="12"/>
  <c r="U9536" i="12"/>
  <c r="U9535" i="12"/>
  <c r="U9534" i="12"/>
  <c r="U9533" i="12"/>
  <c r="U9532" i="12"/>
  <c r="U9531" i="12"/>
  <c r="U9530" i="12"/>
  <c r="U9529" i="12"/>
  <c r="U9528" i="12"/>
  <c r="U9527" i="12"/>
  <c r="U9526" i="12"/>
  <c r="U9525" i="12"/>
  <c r="U9524" i="12"/>
  <c r="U9523" i="12"/>
  <c r="U9522" i="12"/>
  <c r="U9521" i="12"/>
  <c r="U9520" i="12"/>
  <c r="U9519" i="12"/>
  <c r="U9518" i="12"/>
  <c r="U9517" i="12"/>
  <c r="U9516" i="12"/>
  <c r="U9515" i="12"/>
  <c r="U9514" i="12"/>
  <c r="U9513" i="12"/>
  <c r="U9512" i="12"/>
  <c r="U9511" i="12"/>
  <c r="U9510" i="12"/>
  <c r="U9509" i="12"/>
  <c r="U9508" i="12"/>
  <c r="U9507" i="12"/>
  <c r="U9506" i="12"/>
  <c r="U9505" i="12"/>
  <c r="U9504" i="12"/>
  <c r="U9503" i="12"/>
  <c r="U9502" i="12"/>
  <c r="U9501" i="12"/>
  <c r="U9500" i="12"/>
  <c r="U9499" i="12"/>
  <c r="U9498" i="12"/>
  <c r="U9497" i="12"/>
  <c r="U9496" i="12"/>
  <c r="U9495" i="12"/>
  <c r="U9494" i="12"/>
  <c r="U9493" i="12"/>
  <c r="U9492" i="12"/>
  <c r="U9491" i="12"/>
  <c r="U9490" i="12"/>
  <c r="U9489" i="12"/>
  <c r="U9488" i="12"/>
  <c r="U9487" i="12"/>
  <c r="U9486" i="12"/>
  <c r="U9485" i="12"/>
  <c r="U9484" i="12"/>
  <c r="U9483" i="12"/>
  <c r="U9482" i="12"/>
  <c r="U9481" i="12"/>
  <c r="U9480" i="12"/>
  <c r="U9479" i="12"/>
  <c r="U9478" i="12"/>
  <c r="U9477" i="12"/>
  <c r="U9476" i="12"/>
  <c r="U9475" i="12"/>
  <c r="U9474" i="12"/>
  <c r="U9473" i="12"/>
  <c r="U9472" i="12"/>
  <c r="U9471" i="12"/>
  <c r="U9470" i="12"/>
  <c r="U9469" i="12"/>
  <c r="U9468" i="12"/>
  <c r="U9467" i="12"/>
  <c r="U9466" i="12"/>
  <c r="U9465" i="12"/>
  <c r="U9464" i="12"/>
  <c r="U9463" i="12"/>
  <c r="U9462" i="12"/>
  <c r="U9461" i="12"/>
  <c r="U9460" i="12"/>
  <c r="U9459" i="12"/>
  <c r="U9458" i="12"/>
  <c r="U9457" i="12"/>
  <c r="U9456" i="12"/>
  <c r="U9455" i="12"/>
  <c r="U9454" i="12"/>
  <c r="U9453" i="12"/>
  <c r="U9452" i="12"/>
  <c r="U9451" i="12"/>
  <c r="U9450" i="12"/>
  <c r="U9449" i="12"/>
  <c r="U9448" i="12"/>
  <c r="U9447" i="12"/>
  <c r="U9446" i="12"/>
  <c r="U9445" i="12"/>
  <c r="U9444" i="12"/>
  <c r="U9443" i="12"/>
  <c r="U9442" i="12"/>
  <c r="U9441" i="12"/>
  <c r="U9440" i="12"/>
  <c r="U9439" i="12"/>
  <c r="U9438" i="12"/>
  <c r="U9437" i="12"/>
  <c r="U9436" i="12"/>
  <c r="U9435" i="12"/>
  <c r="U9434" i="12"/>
  <c r="U9433" i="12"/>
  <c r="U9432" i="12"/>
  <c r="U9431" i="12"/>
  <c r="U9430" i="12"/>
  <c r="U9429" i="12"/>
  <c r="U9428" i="12"/>
  <c r="U9427" i="12"/>
  <c r="U9426" i="12"/>
  <c r="U9425" i="12"/>
  <c r="U9424" i="12"/>
  <c r="U9423" i="12"/>
  <c r="U9422" i="12"/>
  <c r="U9421" i="12"/>
  <c r="U9420" i="12"/>
  <c r="U9419" i="12"/>
  <c r="U9418" i="12"/>
  <c r="U9417" i="12"/>
  <c r="U9416" i="12"/>
  <c r="U9415" i="12"/>
  <c r="U9414" i="12"/>
  <c r="U9413" i="12"/>
  <c r="U9412" i="12"/>
  <c r="U9411" i="12"/>
  <c r="U9410" i="12"/>
  <c r="U9409" i="12"/>
  <c r="U9408" i="12"/>
  <c r="U9407" i="12"/>
  <c r="U9406" i="12"/>
  <c r="U9405" i="12"/>
  <c r="U9404" i="12"/>
  <c r="U9403" i="12"/>
  <c r="U9402" i="12"/>
  <c r="U9401" i="12"/>
  <c r="U9400" i="12"/>
  <c r="U9399" i="12"/>
  <c r="U9398" i="12"/>
  <c r="U9397" i="12"/>
  <c r="U9396" i="12"/>
  <c r="U9395" i="12"/>
  <c r="U9394" i="12"/>
  <c r="U9393" i="12"/>
  <c r="U9392" i="12"/>
  <c r="U9391" i="12"/>
  <c r="U9390" i="12"/>
  <c r="U9389" i="12"/>
  <c r="U9388" i="12"/>
  <c r="U9387" i="12"/>
  <c r="U9386" i="12"/>
  <c r="U9385" i="12"/>
  <c r="U9384" i="12"/>
  <c r="U9383" i="12"/>
  <c r="U9382" i="12"/>
  <c r="U9381" i="12"/>
  <c r="U9380" i="12"/>
  <c r="U9379" i="12"/>
  <c r="U9378" i="12"/>
  <c r="U9377" i="12"/>
  <c r="U9376" i="12"/>
  <c r="U9375" i="12"/>
  <c r="U9374" i="12"/>
  <c r="U9373" i="12"/>
  <c r="U9372" i="12"/>
  <c r="U9371" i="12"/>
  <c r="U9370" i="12"/>
  <c r="U9369" i="12"/>
  <c r="U9368" i="12"/>
  <c r="U9367" i="12"/>
  <c r="U9366" i="12"/>
  <c r="U9365" i="12"/>
  <c r="U9364" i="12"/>
  <c r="U9363" i="12"/>
  <c r="U9362" i="12"/>
  <c r="U9361" i="12"/>
  <c r="U9360" i="12"/>
  <c r="U9359" i="12"/>
  <c r="U9358" i="12"/>
  <c r="U9357" i="12"/>
  <c r="U9356" i="12"/>
  <c r="U9355" i="12"/>
  <c r="U9354" i="12"/>
  <c r="U9353" i="12"/>
  <c r="U9352" i="12"/>
  <c r="U9351" i="12"/>
  <c r="U9350" i="12"/>
  <c r="U9349" i="12"/>
  <c r="U9348" i="12"/>
  <c r="U9347" i="12"/>
  <c r="U9346" i="12"/>
  <c r="U9345" i="12"/>
  <c r="U9344" i="12"/>
  <c r="U9343" i="12"/>
  <c r="U9342" i="12"/>
  <c r="U9341" i="12"/>
  <c r="U9340" i="12"/>
  <c r="U9339" i="12"/>
  <c r="U9338" i="12"/>
  <c r="U9337" i="12"/>
  <c r="U9336" i="12"/>
  <c r="U9335" i="12"/>
  <c r="U9334" i="12"/>
  <c r="U9333" i="12"/>
  <c r="U9332" i="12"/>
  <c r="U9331" i="12"/>
  <c r="U9330" i="12"/>
  <c r="U9329" i="12"/>
  <c r="U9328" i="12"/>
  <c r="U9327" i="12"/>
  <c r="U9326" i="12"/>
  <c r="U9325" i="12"/>
  <c r="U9324" i="12"/>
  <c r="U9323" i="12"/>
  <c r="U9322" i="12"/>
  <c r="U9321" i="12"/>
  <c r="U9320" i="12"/>
  <c r="U9319" i="12"/>
  <c r="U9318" i="12"/>
  <c r="U9317" i="12"/>
  <c r="U9316" i="12"/>
  <c r="U9315" i="12"/>
  <c r="U9314" i="12"/>
  <c r="U9313" i="12"/>
  <c r="U9312" i="12"/>
  <c r="U9311" i="12"/>
  <c r="U9310" i="12"/>
  <c r="U9309" i="12"/>
  <c r="U9308" i="12"/>
  <c r="U9307" i="12"/>
  <c r="U9306" i="12"/>
  <c r="U9305" i="12"/>
  <c r="U9304" i="12"/>
  <c r="U9303" i="12"/>
  <c r="U9302" i="12"/>
  <c r="U9301" i="12"/>
  <c r="U9300" i="12"/>
  <c r="U9299" i="12"/>
  <c r="U9298" i="12"/>
  <c r="U9297" i="12"/>
  <c r="U9296" i="12"/>
  <c r="U9295" i="12"/>
  <c r="U9294" i="12"/>
  <c r="U9293" i="12"/>
  <c r="U9292" i="12"/>
  <c r="U9291" i="12"/>
  <c r="U9290" i="12"/>
  <c r="U9289" i="12"/>
  <c r="U9288" i="12"/>
  <c r="U9287" i="12"/>
  <c r="U9286" i="12"/>
  <c r="U9285" i="12"/>
  <c r="U9284" i="12"/>
  <c r="U9283" i="12"/>
  <c r="U9282" i="12"/>
  <c r="U9281" i="12"/>
  <c r="U9280" i="12"/>
  <c r="U9279" i="12"/>
  <c r="U9278" i="12"/>
  <c r="U9277" i="12"/>
  <c r="U9276" i="12"/>
  <c r="U9275" i="12"/>
  <c r="U9274" i="12"/>
  <c r="U9273" i="12"/>
  <c r="U9272" i="12"/>
  <c r="U9271" i="12"/>
  <c r="U9270" i="12"/>
  <c r="U9269" i="12"/>
  <c r="U9268" i="12"/>
  <c r="U9267" i="12"/>
  <c r="U9266" i="12"/>
  <c r="U9265" i="12"/>
  <c r="U9264" i="12"/>
  <c r="U9263" i="12"/>
  <c r="U9262" i="12"/>
  <c r="U9261" i="12"/>
  <c r="U9260" i="12"/>
  <c r="U9259" i="12"/>
  <c r="U9258" i="12"/>
  <c r="U9257" i="12"/>
  <c r="U9256" i="12"/>
  <c r="U9255" i="12"/>
  <c r="U9254" i="12"/>
  <c r="U9253" i="12"/>
  <c r="U9252" i="12"/>
  <c r="U9251" i="12"/>
  <c r="U9250" i="12"/>
  <c r="U9249" i="12"/>
  <c r="U9248" i="12"/>
  <c r="U9247" i="12"/>
  <c r="U9246" i="12"/>
  <c r="U9245" i="12"/>
  <c r="U9244" i="12"/>
  <c r="U9243" i="12"/>
  <c r="U9242" i="12"/>
  <c r="U9241" i="12"/>
  <c r="U9240" i="12"/>
  <c r="U9239" i="12"/>
  <c r="U9238" i="12"/>
  <c r="U9237" i="12"/>
  <c r="U9236" i="12"/>
  <c r="U9235" i="12"/>
  <c r="U9234" i="12"/>
  <c r="U9233" i="12"/>
  <c r="U9232" i="12"/>
  <c r="U9231" i="12"/>
  <c r="U9230" i="12"/>
  <c r="U9229" i="12"/>
  <c r="U9228" i="12"/>
  <c r="U9227" i="12"/>
  <c r="U9226" i="12"/>
  <c r="U9225" i="12"/>
  <c r="U9224" i="12"/>
  <c r="U9223" i="12"/>
  <c r="U9222" i="12"/>
  <c r="U9221" i="12"/>
  <c r="U9220" i="12"/>
  <c r="U9219" i="12"/>
  <c r="U9218" i="12"/>
  <c r="U9217" i="12"/>
  <c r="U9216" i="12"/>
  <c r="U9215" i="12"/>
  <c r="U9214" i="12"/>
  <c r="U9213" i="12"/>
  <c r="U9212" i="12"/>
  <c r="U9211" i="12"/>
  <c r="U9210" i="12"/>
  <c r="U9209" i="12"/>
  <c r="U9208" i="12"/>
  <c r="U9207" i="12"/>
  <c r="U9206" i="12"/>
  <c r="U9205" i="12"/>
  <c r="U9204" i="12"/>
  <c r="U9203" i="12"/>
  <c r="U9202" i="12"/>
  <c r="U9201" i="12"/>
  <c r="U9200" i="12"/>
  <c r="U9199" i="12"/>
  <c r="U9198" i="12"/>
  <c r="U9197" i="12"/>
  <c r="U9196" i="12"/>
  <c r="U9195" i="12"/>
  <c r="U9194" i="12"/>
  <c r="U9193" i="12"/>
  <c r="U9192" i="12"/>
  <c r="U9191" i="12"/>
  <c r="U9190" i="12"/>
  <c r="U9189" i="12"/>
  <c r="U9188" i="12"/>
  <c r="U9187" i="12"/>
  <c r="U9186" i="12"/>
  <c r="U9185" i="12"/>
  <c r="U9184" i="12"/>
  <c r="U9183" i="12"/>
  <c r="U9182" i="12"/>
  <c r="U9181" i="12"/>
  <c r="U9180" i="12"/>
  <c r="U9179" i="12"/>
  <c r="U9178" i="12"/>
  <c r="U9177" i="12"/>
  <c r="U9176" i="12"/>
  <c r="U9175" i="12"/>
  <c r="U9174" i="12"/>
  <c r="U9173" i="12"/>
  <c r="U9172" i="12"/>
  <c r="U9171" i="12"/>
  <c r="U9170" i="12"/>
  <c r="U9169" i="12"/>
  <c r="U9168" i="12"/>
  <c r="U9167" i="12"/>
  <c r="U9166" i="12"/>
  <c r="U9165" i="12"/>
  <c r="U9164" i="12"/>
  <c r="U9163" i="12"/>
  <c r="U9162" i="12"/>
  <c r="U9161" i="12"/>
  <c r="U9160" i="12"/>
  <c r="U9159" i="12"/>
  <c r="U9158" i="12"/>
  <c r="U9157" i="12"/>
  <c r="U9156" i="12"/>
  <c r="U9155" i="12"/>
  <c r="U9154" i="12"/>
  <c r="U9153" i="12"/>
  <c r="U9152" i="12"/>
  <c r="U9151" i="12"/>
  <c r="U9150" i="12"/>
  <c r="U9149" i="12"/>
  <c r="U9148" i="12"/>
  <c r="U9147" i="12"/>
  <c r="U9146" i="12"/>
  <c r="U9145" i="12"/>
  <c r="U9144" i="12"/>
  <c r="U9143" i="12"/>
  <c r="U9142" i="12"/>
  <c r="U9141" i="12"/>
  <c r="U9140" i="12"/>
  <c r="U9139" i="12"/>
  <c r="U9138" i="12"/>
  <c r="U9137" i="12"/>
  <c r="U9136" i="12"/>
  <c r="U9135" i="12"/>
  <c r="U9134" i="12"/>
  <c r="U9133" i="12"/>
  <c r="U9132" i="12"/>
  <c r="U9131" i="12"/>
  <c r="U9130" i="12"/>
  <c r="U9129" i="12"/>
  <c r="U9128" i="12"/>
  <c r="U9127" i="12"/>
  <c r="U9126" i="12"/>
  <c r="U9125" i="12"/>
  <c r="U9124" i="12"/>
  <c r="U9123" i="12"/>
  <c r="U9122" i="12"/>
  <c r="U9121" i="12"/>
  <c r="U9120" i="12"/>
  <c r="U9119" i="12"/>
  <c r="U9118" i="12"/>
  <c r="U9117" i="12"/>
  <c r="U9116" i="12"/>
  <c r="U9115" i="12"/>
  <c r="U9114" i="12"/>
  <c r="U9113" i="12"/>
  <c r="U9112" i="12"/>
  <c r="U9111" i="12"/>
  <c r="U9110" i="12"/>
  <c r="U9109" i="12"/>
  <c r="U9108" i="12"/>
  <c r="U9107" i="12"/>
  <c r="U9106" i="12"/>
  <c r="U9105" i="12"/>
  <c r="U9104" i="12"/>
  <c r="U9103" i="12"/>
  <c r="U9102" i="12"/>
  <c r="U9101" i="12"/>
  <c r="U9100" i="12"/>
  <c r="U9099" i="12"/>
  <c r="U9098" i="12"/>
  <c r="U9097" i="12"/>
  <c r="U9096" i="12"/>
  <c r="U9095" i="12"/>
  <c r="U9094" i="12"/>
  <c r="U9093" i="12"/>
  <c r="U9092" i="12"/>
  <c r="U9091" i="12"/>
  <c r="U9090" i="12"/>
  <c r="U9089" i="12"/>
  <c r="U9088" i="12"/>
  <c r="U9087" i="12"/>
  <c r="U9086" i="12"/>
  <c r="U9085" i="12"/>
  <c r="U9084" i="12"/>
  <c r="U9083" i="12"/>
  <c r="U9082" i="12"/>
  <c r="U9081" i="12"/>
  <c r="U9080" i="12"/>
  <c r="U9079" i="12"/>
  <c r="U9078" i="12"/>
  <c r="U9077" i="12"/>
  <c r="U9076" i="12"/>
  <c r="U9075" i="12"/>
  <c r="U9074" i="12"/>
  <c r="U9073" i="12"/>
  <c r="U9072" i="12"/>
  <c r="U9071" i="12"/>
  <c r="U9070" i="12"/>
  <c r="U9069" i="12"/>
  <c r="U9068" i="12"/>
  <c r="U9067" i="12"/>
  <c r="U9066" i="12"/>
  <c r="U9065" i="12"/>
  <c r="U9064" i="12"/>
  <c r="U9063" i="12"/>
  <c r="U9062" i="12"/>
  <c r="U9061" i="12"/>
  <c r="U9060" i="12"/>
  <c r="U9059" i="12"/>
  <c r="U9058" i="12"/>
  <c r="U9057" i="12"/>
  <c r="U9056" i="12"/>
  <c r="U9055" i="12"/>
  <c r="U9054" i="12"/>
  <c r="U9053" i="12"/>
  <c r="U9052" i="12"/>
  <c r="U9051" i="12"/>
  <c r="U9050" i="12"/>
  <c r="U9049" i="12"/>
  <c r="U9048" i="12"/>
  <c r="U9047" i="12"/>
  <c r="U9046" i="12"/>
  <c r="U9045" i="12"/>
  <c r="U9044" i="12"/>
  <c r="U9043" i="12"/>
  <c r="U9042" i="12"/>
  <c r="U9041" i="12"/>
  <c r="U9040" i="12"/>
  <c r="U9039" i="12"/>
  <c r="U9038" i="12"/>
  <c r="U9037" i="12"/>
  <c r="U9036" i="12"/>
  <c r="U9035" i="12"/>
  <c r="U9034" i="12"/>
  <c r="U9033" i="12"/>
  <c r="U9032" i="12"/>
  <c r="U9031" i="12"/>
  <c r="U9030" i="12"/>
  <c r="U9029" i="12"/>
  <c r="U9028" i="12"/>
  <c r="U9027" i="12"/>
  <c r="U9026" i="12"/>
  <c r="U9025" i="12"/>
  <c r="U9024" i="12"/>
  <c r="U9023" i="12"/>
  <c r="U9022" i="12"/>
  <c r="U9021" i="12"/>
  <c r="U9020" i="12"/>
  <c r="U9019" i="12"/>
  <c r="U9018" i="12"/>
  <c r="U9017" i="12"/>
  <c r="U9016" i="12"/>
  <c r="U9015" i="12"/>
  <c r="U9014" i="12"/>
  <c r="U9013" i="12"/>
  <c r="U9012" i="12"/>
  <c r="U9011" i="12"/>
  <c r="U9010" i="12"/>
  <c r="U9009" i="12"/>
  <c r="U9008" i="12"/>
  <c r="U9007" i="12"/>
  <c r="U9006" i="12"/>
  <c r="U9005" i="12"/>
  <c r="U9004" i="12"/>
  <c r="U9003" i="12"/>
  <c r="U9002" i="12"/>
  <c r="U9001" i="12"/>
  <c r="U9000" i="12"/>
  <c r="U8999" i="12"/>
  <c r="U8998" i="12"/>
  <c r="U8997" i="12"/>
  <c r="U8996" i="12"/>
  <c r="U8995" i="12"/>
  <c r="U8994" i="12"/>
  <c r="U8993" i="12"/>
  <c r="U8992" i="12"/>
  <c r="U8991" i="12"/>
  <c r="U8990" i="12"/>
  <c r="U8989" i="12"/>
  <c r="U8988" i="12"/>
  <c r="U8987" i="12"/>
  <c r="U8986" i="12"/>
  <c r="U8985" i="12"/>
  <c r="U8984" i="12"/>
  <c r="U8983" i="12"/>
  <c r="U8982" i="12"/>
  <c r="U8981" i="12"/>
  <c r="U8980" i="12"/>
  <c r="U8979" i="12"/>
  <c r="U8978" i="12"/>
  <c r="U8977" i="12"/>
  <c r="U8976" i="12"/>
  <c r="U8975" i="12"/>
  <c r="U8974" i="12"/>
  <c r="U8973" i="12"/>
  <c r="U8972" i="12"/>
  <c r="U8971" i="12"/>
  <c r="U8970" i="12"/>
  <c r="U8969" i="12"/>
  <c r="U8968" i="12"/>
  <c r="U8967" i="12"/>
  <c r="U8966" i="12"/>
  <c r="U8965" i="12"/>
  <c r="U8964" i="12"/>
  <c r="U8963" i="12"/>
  <c r="U8962" i="12"/>
  <c r="U8961" i="12"/>
  <c r="U8960" i="12"/>
  <c r="U8959" i="12"/>
  <c r="U8958" i="12"/>
  <c r="U8957" i="12"/>
  <c r="U8956" i="12"/>
  <c r="U8955" i="12"/>
  <c r="U8954" i="12"/>
  <c r="U8953" i="12"/>
  <c r="U8952" i="12"/>
  <c r="U8951" i="12"/>
  <c r="U8950" i="12"/>
  <c r="U8949" i="12"/>
  <c r="U8948" i="12"/>
  <c r="U8947" i="12"/>
  <c r="U8946" i="12"/>
  <c r="U8945" i="12"/>
  <c r="U8944" i="12"/>
  <c r="U8943" i="12"/>
  <c r="U8942" i="12"/>
  <c r="U8941" i="12"/>
  <c r="U8940" i="12"/>
  <c r="U8939" i="12"/>
  <c r="U8938" i="12"/>
  <c r="U8937" i="12"/>
  <c r="U8936" i="12"/>
  <c r="U8935" i="12"/>
  <c r="U8934" i="12"/>
  <c r="U8933" i="12"/>
  <c r="U8932" i="12"/>
  <c r="U8931" i="12"/>
  <c r="U8930" i="12"/>
  <c r="U8929" i="12"/>
  <c r="U8928" i="12"/>
  <c r="U8927" i="12"/>
  <c r="U8926" i="12"/>
  <c r="U8925" i="12"/>
  <c r="U8924" i="12"/>
  <c r="U8923" i="12"/>
  <c r="U8922" i="12"/>
  <c r="U8921" i="12"/>
  <c r="U8920" i="12"/>
  <c r="U8919" i="12"/>
  <c r="U8918" i="12"/>
  <c r="U8917" i="12"/>
  <c r="U8916" i="12"/>
  <c r="U8915" i="12"/>
  <c r="U8914" i="12"/>
  <c r="U8913" i="12"/>
  <c r="U8912" i="12"/>
  <c r="U8911" i="12"/>
  <c r="U8910" i="12"/>
  <c r="U8909" i="12"/>
  <c r="U8908" i="12"/>
  <c r="U8907" i="12"/>
  <c r="U8906" i="12"/>
  <c r="U8905" i="12"/>
  <c r="U8904" i="12"/>
  <c r="U8903" i="12"/>
  <c r="U8902" i="12"/>
  <c r="U8901" i="12"/>
  <c r="U8900" i="12"/>
  <c r="U8899" i="12"/>
  <c r="U8898" i="12"/>
  <c r="U8897" i="12"/>
  <c r="U8896" i="12"/>
  <c r="U8895" i="12"/>
  <c r="U8894" i="12"/>
  <c r="U8893" i="12"/>
  <c r="U8892" i="12"/>
  <c r="U8891" i="12"/>
  <c r="U8890" i="12"/>
  <c r="U8889" i="12"/>
  <c r="U8888" i="12"/>
  <c r="U8887" i="12"/>
  <c r="U8886" i="12"/>
  <c r="U8885" i="12"/>
  <c r="U8884" i="12"/>
  <c r="U8883" i="12"/>
  <c r="U8882" i="12"/>
  <c r="U8881" i="12"/>
  <c r="U8880" i="12"/>
  <c r="U8879" i="12"/>
  <c r="U8878" i="12"/>
  <c r="U8877" i="12"/>
  <c r="U8876" i="12"/>
  <c r="U8875" i="12"/>
  <c r="U8874" i="12"/>
  <c r="U8873" i="12"/>
  <c r="U8872" i="12"/>
  <c r="U8871" i="12"/>
  <c r="U8870" i="12"/>
  <c r="U8869" i="12"/>
  <c r="U8868" i="12"/>
  <c r="U8867" i="12"/>
  <c r="U8866" i="12"/>
  <c r="U8865" i="12"/>
  <c r="U8864" i="12"/>
  <c r="U8863" i="12"/>
  <c r="U8862" i="12"/>
  <c r="U8861" i="12"/>
  <c r="U8860" i="12"/>
  <c r="U8859" i="12"/>
  <c r="U8858" i="12"/>
  <c r="U8857" i="12"/>
  <c r="U8856" i="12"/>
  <c r="U8855" i="12"/>
  <c r="U8854" i="12"/>
  <c r="U8853" i="12"/>
  <c r="U8852" i="12"/>
  <c r="U8851" i="12"/>
  <c r="U8850" i="12"/>
  <c r="U8849" i="12"/>
  <c r="U8848" i="12"/>
  <c r="U8847" i="12"/>
  <c r="U8846" i="12"/>
  <c r="U8845" i="12"/>
  <c r="U8844" i="12"/>
  <c r="U8843" i="12"/>
  <c r="U8842" i="12"/>
  <c r="U8841" i="12"/>
  <c r="U8840" i="12"/>
  <c r="U8839" i="12"/>
  <c r="U8838" i="12"/>
  <c r="U8837" i="12"/>
  <c r="U8836" i="12"/>
  <c r="U8835" i="12"/>
  <c r="U8834" i="12"/>
  <c r="U8833" i="12"/>
  <c r="U8832" i="12"/>
  <c r="U8831" i="12"/>
  <c r="U8830" i="12"/>
  <c r="U8829" i="12"/>
  <c r="U8828" i="12"/>
  <c r="U8827" i="12"/>
  <c r="U8826" i="12"/>
  <c r="U8825" i="12"/>
  <c r="U8824" i="12"/>
  <c r="U8823" i="12"/>
  <c r="U8822" i="12"/>
  <c r="U8821" i="12"/>
  <c r="U8820" i="12"/>
  <c r="U8819" i="12"/>
  <c r="U8818" i="12"/>
  <c r="U8817" i="12"/>
  <c r="U8816" i="12"/>
  <c r="U8815" i="12"/>
  <c r="U8814" i="12"/>
  <c r="U8813" i="12"/>
  <c r="U8812" i="12"/>
  <c r="U8811" i="12"/>
  <c r="U8810" i="12"/>
  <c r="U8809" i="12"/>
  <c r="U8808" i="12"/>
  <c r="U8807" i="12"/>
  <c r="U8806" i="12"/>
  <c r="U8805" i="12"/>
  <c r="U8804" i="12"/>
  <c r="U8803" i="12"/>
  <c r="U8802" i="12"/>
  <c r="U8801" i="12"/>
  <c r="U8800" i="12"/>
  <c r="U8799" i="12"/>
  <c r="U8798" i="12"/>
  <c r="U8797" i="12"/>
  <c r="U8796" i="12"/>
  <c r="U8795" i="12"/>
  <c r="U8794" i="12"/>
  <c r="U8793" i="12"/>
  <c r="U8792" i="12"/>
  <c r="U8791" i="12"/>
  <c r="U8790" i="12"/>
  <c r="U8789" i="12"/>
  <c r="U8788" i="12"/>
  <c r="U8787" i="12"/>
  <c r="U8786" i="12"/>
  <c r="U8785" i="12"/>
  <c r="U8784" i="12"/>
  <c r="U8783" i="12"/>
  <c r="U8782" i="12"/>
  <c r="U8781" i="12"/>
  <c r="U8780" i="12"/>
  <c r="U8779" i="12"/>
  <c r="U8778" i="12"/>
  <c r="U8777" i="12"/>
  <c r="U8776" i="12"/>
  <c r="U8775" i="12"/>
  <c r="U8774" i="12"/>
  <c r="U8773" i="12"/>
  <c r="U8772" i="12"/>
  <c r="U8771" i="12"/>
  <c r="U8770" i="12"/>
  <c r="U8769" i="12"/>
  <c r="U8768" i="12"/>
  <c r="U8767" i="12"/>
  <c r="U8766" i="12"/>
  <c r="U8765" i="12"/>
  <c r="U8764" i="12"/>
  <c r="U8763" i="12"/>
  <c r="U8762" i="12"/>
  <c r="U8761" i="12"/>
  <c r="U8760" i="12"/>
  <c r="U8759" i="12"/>
  <c r="U8758" i="12"/>
  <c r="U8757" i="12"/>
  <c r="U8756" i="12"/>
  <c r="U8755" i="12"/>
  <c r="U8754" i="12"/>
  <c r="U8753" i="12"/>
  <c r="U8752" i="12"/>
  <c r="U8751" i="12"/>
  <c r="U8750" i="12"/>
  <c r="U8749" i="12"/>
  <c r="U8748" i="12"/>
  <c r="U8747" i="12"/>
  <c r="U8746" i="12"/>
  <c r="U8745" i="12"/>
  <c r="U8744" i="12"/>
  <c r="U8743" i="12"/>
  <c r="U8742" i="12"/>
  <c r="U8741" i="12"/>
  <c r="U8740" i="12"/>
  <c r="U8739" i="12"/>
  <c r="U8738" i="12"/>
  <c r="U8737" i="12"/>
  <c r="U8736" i="12"/>
  <c r="U8735" i="12"/>
  <c r="U8734" i="12"/>
  <c r="U8733" i="12"/>
  <c r="U8732" i="12"/>
  <c r="U8731" i="12"/>
  <c r="U8730" i="12"/>
  <c r="U8729" i="12"/>
  <c r="U8728" i="12"/>
  <c r="U8727" i="12"/>
  <c r="U8726" i="12"/>
  <c r="U8725" i="12"/>
  <c r="U8724" i="12"/>
  <c r="U8723" i="12"/>
  <c r="U8722" i="12"/>
  <c r="U8721" i="12"/>
  <c r="U8720" i="12"/>
  <c r="U8719" i="12"/>
  <c r="U8718" i="12"/>
  <c r="U8717" i="12"/>
  <c r="U8716" i="12"/>
  <c r="U8715" i="12"/>
  <c r="U8714" i="12"/>
  <c r="U8713" i="12"/>
  <c r="U8712" i="12"/>
  <c r="U8711" i="12"/>
  <c r="U8710" i="12"/>
  <c r="U8709" i="12"/>
  <c r="U8708" i="12"/>
  <c r="U8707" i="12"/>
  <c r="U8706" i="12"/>
  <c r="U8705" i="12"/>
  <c r="U8704" i="12"/>
  <c r="U8703" i="12"/>
  <c r="U8702" i="12"/>
  <c r="U8701" i="12"/>
  <c r="U8700" i="12"/>
  <c r="U8699" i="12"/>
  <c r="U8698" i="12"/>
  <c r="U8697" i="12"/>
  <c r="U8696" i="12"/>
  <c r="U8695" i="12"/>
  <c r="U8694" i="12"/>
  <c r="U8693" i="12"/>
  <c r="U8692" i="12"/>
  <c r="U8691" i="12"/>
  <c r="U8690" i="12"/>
  <c r="U8689" i="12"/>
  <c r="U8688" i="12"/>
  <c r="U8687" i="12"/>
  <c r="U8686" i="12"/>
  <c r="U8685" i="12"/>
  <c r="U8684" i="12"/>
  <c r="U8683" i="12"/>
  <c r="U8682" i="12"/>
  <c r="U8681" i="12"/>
  <c r="U8680" i="12"/>
  <c r="U8679" i="12"/>
  <c r="U8678" i="12"/>
  <c r="U8677" i="12"/>
  <c r="U8676" i="12"/>
  <c r="U8675" i="12"/>
  <c r="U8674" i="12"/>
  <c r="U8673" i="12"/>
  <c r="U8672" i="12"/>
  <c r="U8671" i="12"/>
  <c r="U8670" i="12"/>
  <c r="U8669" i="12"/>
  <c r="U8668" i="12"/>
  <c r="U8667" i="12"/>
  <c r="U8666" i="12"/>
  <c r="U8665" i="12"/>
  <c r="U8664" i="12"/>
  <c r="U8663" i="12"/>
  <c r="U8662" i="12"/>
  <c r="U8661" i="12"/>
  <c r="U8660" i="12"/>
  <c r="U8659" i="12"/>
  <c r="U8658" i="12"/>
  <c r="U8657" i="12"/>
  <c r="U8656" i="12"/>
  <c r="U8655" i="12"/>
  <c r="U8654" i="12"/>
  <c r="U8653" i="12"/>
  <c r="U8652" i="12"/>
  <c r="U8651" i="12"/>
  <c r="U8650" i="12"/>
  <c r="U8649" i="12"/>
  <c r="U8648" i="12"/>
  <c r="U8647" i="12"/>
  <c r="U8646" i="12"/>
  <c r="U8645" i="12"/>
  <c r="U8644" i="12"/>
  <c r="U8643" i="12"/>
  <c r="U8642" i="12"/>
  <c r="U8641" i="12"/>
  <c r="U8640" i="12"/>
  <c r="U8639" i="12"/>
  <c r="U8638" i="12"/>
  <c r="U8637" i="12"/>
  <c r="U8636" i="12"/>
  <c r="U8635" i="12"/>
  <c r="U8634" i="12"/>
  <c r="U8633" i="12"/>
  <c r="U8632" i="12"/>
  <c r="U8631" i="12"/>
  <c r="U8630" i="12"/>
  <c r="U8629" i="12"/>
  <c r="U8628" i="12"/>
  <c r="U8627" i="12"/>
  <c r="U8626" i="12"/>
  <c r="U8625" i="12"/>
  <c r="U8624" i="12"/>
  <c r="U8623" i="12"/>
  <c r="U8622" i="12"/>
  <c r="U8621" i="12"/>
  <c r="U8620" i="12"/>
  <c r="U8619" i="12"/>
  <c r="U8618" i="12"/>
  <c r="U8617" i="12"/>
  <c r="U8616" i="12"/>
  <c r="U8615" i="12"/>
  <c r="U8614" i="12"/>
  <c r="U8613" i="12"/>
  <c r="U8612" i="12"/>
  <c r="U8611" i="12"/>
  <c r="U8610" i="12"/>
  <c r="U8609" i="12"/>
  <c r="U8608" i="12"/>
  <c r="U8607" i="12"/>
  <c r="U8606" i="12"/>
  <c r="U8605" i="12"/>
  <c r="U8604" i="12"/>
  <c r="U8603" i="12"/>
  <c r="U8602" i="12"/>
  <c r="U8601" i="12"/>
  <c r="U8600" i="12"/>
  <c r="U8599" i="12"/>
  <c r="U8598" i="12"/>
  <c r="U8597" i="12"/>
  <c r="U8596" i="12"/>
  <c r="U8595" i="12"/>
  <c r="U8594" i="12"/>
  <c r="U8593" i="12"/>
  <c r="U8592" i="12"/>
  <c r="U8591" i="12"/>
  <c r="U8590" i="12"/>
  <c r="U8589" i="12"/>
  <c r="U8588" i="12"/>
  <c r="U8587" i="12"/>
  <c r="U8586" i="12"/>
  <c r="U8585" i="12"/>
  <c r="U8584" i="12"/>
  <c r="U8583" i="12"/>
  <c r="U8582" i="12"/>
  <c r="U8581" i="12"/>
  <c r="U8580" i="12"/>
  <c r="U8579" i="12"/>
  <c r="U8578" i="12"/>
  <c r="U8577" i="12"/>
  <c r="U8576" i="12"/>
  <c r="U8575" i="12"/>
  <c r="U8574" i="12"/>
  <c r="U8573" i="12"/>
  <c r="U8572" i="12"/>
  <c r="U8571" i="12"/>
  <c r="U8570" i="12"/>
  <c r="U8569" i="12"/>
  <c r="U8568" i="12"/>
  <c r="U8567" i="12"/>
  <c r="U8566" i="12"/>
  <c r="U8565" i="12"/>
  <c r="U8564" i="12"/>
  <c r="U8563" i="12"/>
  <c r="U8562" i="12"/>
  <c r="U8561" i="12"/>
  <c r="U8560" i="12"/>
  <c r="U8559" i="12"/>
  <c r="U8558" i="12"/>
  <c r="U8557" i="12"/>
  <c r="U8556" i="12"/>
  <c r="U8555" i="12"/>
  <c r="U8554" i="12"/>
  <c r="U8553" i="12"/>
  <c r="U8552" i="12"/>
  <c r="U8551" i="12"/>
  <c r="U8550" i="12"/>
  <c r="U8549" i="12"/>
  <c r="U8548" i="12"/>
  <c r="U8547" i="12"/>
  <c r="U8546" i="12"/>
  <c r="U8545" i="12"/>
  <c r="U8544" i="12"/>
  <c r="U8543" i="12"/>
  <c r="U8542" i="12"/>
  <c r="U8541" i="12"/>
  <c r="U8540" i="12"/>
  <c r="U8539" i="12"/>
  <c r="U8538" i="12"/>
  <c r="U8537" i="12"/>
  <c r="U8536" i="12"/>
  <c r="U8535" i="12"/>
  <c r="U8534" i="12"/>
  <c r="U8533" i="12"/>
  <c r="U8532" i="12"/>
  <c r="U8531" i="12"/>
  <c r="U8530" i="12"/>
  <c r="U8529" i="12"/>
  <c r="U8528" i="12"/>
  <c r="U8527" i="12"/>
  <c r="U8526" i="12"/>
  <c r="U8525" i="12"/>
  <c r="U8524" i="12"/>
  <c r="U8523" i="12"/>
  <c r="U8522" i="12"/>
  <c r="U8521" i="12"/>
  <c r="U8520" i="12"/>
  <c r="U8519" i="12"/>
  <c r="U8518" i="12"/>
  <c r="U8517" i="12"/>
  <c r="U8516" i="12"/>
  <c r="U8515" i="12"/>
  <c r="U8514" i="12"/>
  <c r="U8513" i="12"/>
  <c r="U8512" i="12"/>
  <c r="U8511" i="12"/>
  <c r="U8510" i="12"/>
  <c r="U8509" i="12"/>
  <c r="U8508" i="12"/>
  <c r="U8507" i="12"/>
  <c r="U8506" i="12"/>
  <c r="U8505" i="12"/>
  <c r="U8504" i="12"/>
  <c r="U8503" i="12"/>
  <c r="U8502" i="12"/>
  <c r="U8501" i="12"/>
  <c r="U8500" i="12"/>
  <c r="U8499" i="12"/>
  <c r="U8498" i="12"/>
  <c r="U8497" i="12"/>
  <c r="U8496" i="12"/>
  <c r="U8495" i="12"/>
  <c r="U8494" i="12"/>
  <c r="U8493" i="12"/>
  <c r="U8492" i="12"/>
  <c r="U8491" i="12"/>
  <c r="U8490" i="12"/>
  <c r="U8489" i="12"/>
  <c r="U8488" i="12"/>
  <c r="U8487" i="12"/>
  <c r="U8486" i="12"/>
  <c r="U8485" i="12"/>
  <c r="U8484" i="12"/>
  <c r="U8483" i="12"/>
  <c r="U8482" i="12"/>
  <c r="U8481" i="12"/>
  <c r="U8480" i="12"/>
  <c r="U8479" i="12"/>
  <c r="U8478" i="12"/>
  <c r="U8477" i="12"/>
  <c r="U8476" i="12"/>
  <c r="U8475" i="12"/>
  <c r="U8474" i="12"/>
  <c r="U8473" i="12"/>
  <c r="U8472" i="12"/>
  <c r="U8471" i="12"/>
  <c r="U8470" i="12"/>
  <c r="U8469" i="12"/>
  <c r="U8468" i="12"/>
  <c r="U8467" i="12"/>
  <c r="U8466" i="12"/>
  <c r="U8465" i="12"/>
  <c r="U8464" i="12"/>
  <c r="U8463" i="12"/>
  <c r="U8462" i="12"/>
  <c r="U8461" i="12"/>
  <c r="U8460" i="12"/>
  <c r="U8459" i="12"/>
  <c r="U8458" i="12"/>
  <c r="U8457" i="12"/>
  <c r="U8456" i="12"/>
  <c r="U8455" i="12"/>
  <c r="U8454" i="12"/>
  <c r="U8453" i="12"/>
  <c r="U8452" i="12"/>
  <c r="U8451" i="12"/>
  <c r="U8450" i="12"/>
  <c r="U8449" i="12"/>
  <c r="U8448" i="12"/>
  <c r="U8447" i="12"/>
  <c r="U8446" i="12"/>
  <c r="U8445" i="12"/>
  <c r="U8444" i="12"/>
  <c r="U8443" i="12"/>
  <c r="U8442" i="12"/>
  <c r="U8441" i="12"/>
  <c r="U8440" i="12"/>
  <c r="U8439" i="12"/>
  <c r="U8438" i="12"/>
  <c r="U8437" i="12"/>
  <c r="U8436" i="12"/>
  <c r="U8435" i="12"/>
  <c r="U8434" i="12"/>
  <c r="U8433" i="12"/>
  <c r="U8432" i="12"/>
  <c r="U8431" i="12"/>
  <c r="U8430" i="12"/>
  <c r="U8429" i="12"/>
  <c r="U8428" i="12"/>
  <c r="U8427" i="12"/>
  <c r="U8426" i="12"/>
  <c r="U8425" i="12"/>
  <c r="U8424" i="12"/>
  <c r="U8423" i="12"/>
  <c r="U8422" i="12"/>
  <c r="U8421" i="12"/>
  <c r="U8420" i="12"/>
  <c r="U8419" i="12"/>
  <c r="U8418" i="12"/>
  <c r="U8417" i="12"/>
  <c r="U8416" i="12"/>
  <c r="U8415" i="12"/>
  <c r="U8414" i="12"/>
  <c r="U8413" i="12"/>
  <c r="U8412" i="12"/>
  <c r="U8411" i="12"/>
  <c r="U8410" i="12"/>
  <c r="U8409" i="12"/>
  <c r="U8408" i="12"/>
  <c r="U8407" i="12"/>
  <c r="U8406" i="12"/>
  <c r="U8405" i="12"/>
  <c r="U8404" i="12"/>
  <c r="U8403" i="12"/>
  <c r="U8402" i="12"/>
  <c r="U8401" i="12"/>
  <c r="U8400" i="12"/>
  <c r="U8399" i="12"/>
  <c r="U8398" i="12"/>
  <c r="U8397" i="12"/>
  <c r="U8396" i="12"/>
  <c r="U8395" i="12"/>
  <c r="U8394" i="12"/>
  <c r="U8393" i="12"/>
  <c r="U8392" i="12"/>
  <c r="U8391" i="12"/>
  <c r="U8390" i="12"/>
  <c r="U8389" i="12"/>
  <c r="U8388" i="12"/>
  <c r="U8387" i="12"/>
  <c r="U8386" i="12"/>
  <c r="U8385" i="12"/>
  <c r="U8384" i="12"/>
  <c r="U8383" i="12"/>
  <c r="U8382" i="12"/>
  <c r="U8381" i="12"/>
  <c r="U8380" i="12"/>
  <c r="U8379" i="12"/>
  <c r="U8378" i="12"/>
  <c r="U8377" i="12"/>
  <c r="U8376" i="12"/>
  <c r="U8375" i="12"/>
  <c r="U8374" i="12"/>
  <c r="U8373" i="12"/>
  <c r="U8372" i="12"/>
  <c r="U8371" i="12"/>
  <c r="U8370" i="12"/>
  <c r="U8369" i="12"/>
  <c r="U8368" i="12"/>
  <c r="U8367" i="12"/>
  <c r="U8366" i="12"/>
  <c r="U8365" i="12"/>
  <c r="U8364" i="12"/>
  <c r="U8363" i="12"/>
  <c r="U8362" i="12"/>
  <c r="U8361" i="12"/>
  <c r="U8360" i="12"/>
  <c r="U8359" i="12"/>
  <c r="U8358" i="12"/>
  <c r="U8357" i="12"/>
  <c r="U8356" i="12"/>
  <c r="U8355" i="12"/>
  <c r="U8354" i="12"/>
  <c r="U8353" i="12"/>
  <c r="U8352" i="12"/>
  <c r="U8351" i="12"/>
  <c r="U8350" i="12"/>
  <c r="U8349" i="12"/>
  <c r="U8348" i="12"/>
  <c r="U8347" i="12"/>
  <c r="U8346" i="12"/>
  <c r="U8345" i="12"/>
  <c r="U8344" i="12"/>
  <c r="U8343" i="12"/>
  <c r="U8342" i="12"/>
  <c r="U8341" i="12"/>
  <c r="U8340" i="12"/>
  <c r="U8339" i="12"/>
  <c r="U8338" i="12"/>
  <c r="U8337" i="12"/>
  <c r="U8336" i="12"/>
  <c r="U8335" i="12"/>
  <c r="U8334" i="12"/>
  <c r="U8333" i="12"/>
  <c r="U8332" i="12"/>
  <c r="U8331" i="12"/>
  <c r="U8330" i="12"/>
  <c r="U8329" i="12"/>
  <c r="U8328" i="12"/>
  <c r="U8327" i="12"/>
  <c r="U8326" i="12"/>
  <c r="U8325" i="12"/>
  <c r="U8324" i="12"/>
  <c r="U8323" i="12"/>
  <c r="U8322" i="12"/>
  <c r="U8321" i="12"/>
  <c r="U8320" i="12"/>
  <c r="U8319" i="12"/>
  <c r="U8318" i="12"/>
  <c r="U8317" i="12"/>
  <c r="U8316" i="12"/>
  <c r="U8315" i="12"/>
  <c r="U8314" i="12"/>
  <c r="U8313" i="12"/>
  <c r="U8312" i="12"/>
  <c r="U8311" i="12"/>
  <c r="U8310" i="12"/>
  <c r="U8309" i="12"/>
  <c r="U8308" i="12"/>
  <c r="U8307" i="12"/>
  <c r="U8306" i="12"/>
  <c r="U8305" i="12"/>
  <c r="U8304" i="12"/>
  <c r="U8303" i="12"/>
  <c r="U8302" i="12"/>
  <c r="U8301" i="12"/>
  <c r="U8300" i="12"/>
  <c r="U8299" i="12"/>
  <c r="U8298" i="12"/>
  <c r="U8297" i="12"/>
  <c r="U8296" i="12"/>
  <c r="U8295" i="12"/>
  <c r="U8294" i="12"/>
  <c r="U8293" i="12"/>
  <c r="U8292" i="12"/>
  <c r="U8291" i="12"/>
  <c r="U8290" i="12"/>
  <c r="U8289" i="12"/>
  <c r="U8288" i="12"/>
  <c r="U8287" i="12"/>
  <c r="U8286" i="12"/>
  <c r="U8285" i="12"/>
  <c r="U8284" i="12"/>
  <c r="U8283" i="12"/>
  <c r="U8282" i="12"/>
  <c r="U8281" i="12"/>
  <c r="U8280" i="12"/>
  <c r="U8279" i="12"/>
  <c r="U8278" i="12"/>
  <c r="U8277" i="12"/>
  <c r="U8276" i="12"/>
  <c r="U8275" i="12"/>
  <c r="U8274" i="12"/>
  <c r="U8273" i="12"/>
  <c r="U8272" i="12"/>
  <c r="U8271" i="12"/>
  <c r="U8270" i="12"/>
  <c r="U8269" i="12"/>
  <c r="U8268" i="12"/>
  <c r="U8267" i="12"/>
  <c r="U8266" i="12"/>
  <c r="U8265" i="12"/>
  <c r="U8264" i="12"/>
  <c r="U8263" i="12"/>
  <c r="U8262" i="12"/>
  <c r="U8261" i="12"/>
  <c r="U8260" i="12"/>
  <c r="U8259" i="12"/>
  <c r="U8258" i="12"/>
  <c r="U8257" i="12"/>
  <c r="U8256" i="12"/>
  <c r="U8255" i="12"/>
  <c r="U8254" i="12"/>
  <c r="U8253" i="12"/>
  <c r="U8252" i="12"/>
  <c r="U8251" i="12"/>
  <c r="U8250" i="12"/>
  <c r="U8249" i="12"/>
  <c r="U8248" i="12"/>
  <c r="U8247" i="12"/>
  <c r="U8246" i="12"/>
  <c r="U8245" i="12"/>
  <c r="U8244" i="12"/>
  <c r="U8243" i="12"/>
  <c r="U8242" i="12"/>
  <c r="U8241" i="12"/>
  <c r="U8240" i="12"/>
  <c r="U8239" i="12"/>
  <c r="U8238" i="12"/>
  <c r="U8237" i="12"/>
  <c r="U8236" i="12"/>
  <c r="U8235" i="12"/>
  <c r="U8234" i="12"/>
  <c r="U8233" i="12"/>
  <c r="U8232" i="12"/>
  <c r="U8231" i="12"/>
  <c r="U8230" i="12"/>
  <c r="U8229" i="12"/>
  <c r="U8228" i="12"/>
  <c r="U8227" i="12"/>
  <c r="U8226" i="12"/>
  <c r="U8225" i="12"/>
  <c r="U8224" i="12"/>
  <c r="U8223" i="12"/>
  <c r="U8222" i="12"/>
  <c r="U8221" i="12"/>
  <c r="U8220" i="12"/>
  <c r="U8219" i="12"/>
  <c r="U8218" i="12"/>
  <c r="U8217" i="12"/>
  <c r="U8216" i="12"/>
  <c r="U8215" i="12"/>
  <c r="U8214" i="12"/>
  <c r="U8213" i="12"/>
  <c r="U8212" i="12"/>
  <c r="U8211" i="12"/>
  <c r="U8210" i="12"/>
  <c r="U8209" i="12"/>
  <c r="U8208" i="12"/>
  <c r="U8207" i="12"/>
  <c r="U8206" i="12"/>
  <c r="U8205" i="12"/>
  <c r="U8204" i="12"/>
  <c r="U8203" i="12"/>
  <c r="U8202" i="12"/>
  <c r="U8201" i="12"/>
  <c r="U8200" i="12"/>
  <c r="U8199" i="12"/>
  <c r="U8198" i="12"/>
  <c r="U8197" i="12"/>
  <c r="U8196" i="12"/>
  <c r="U8195" i="12"/>
  <c r="U8194" i="12"/>
  <c r="U8193" i="12"/>
  <c r="U8192" i="12"/>
  <c r="U8191" i="12"/>
  <c r="U8190" i="12"/>
  <c r="U8189" i="12"/>
  <c r="U8188" i="12"/>
  <c r="U8187" i="12"/>
  <c r="U8186" i="12"/>
  <c r="U8185" i="12"/>
  <c r="U8184" i="12"/>
  <c r="U8183" i="12"/>
  <c r="U8182" i="12"/>
  <c r="U8181" i="12"/>
  <c r="U8180" i="12"/>
  <c r="U8179" i="12"/>
  <c r="U8178" i="12"/>
  <c r="U8177" i="12"/>
  <c r="U8176" i="12"/>
  <c r="U8175" i="12"/>
  <c r="U8174" i="12"/>
  <c r="U8173" i="12"/>
  <c r="U8172" i="12"/>
  <c r="U8171" i="12"/>
  <c r="U8170" i="12"/>
  <c r="U8169" i="12"/>
  <c r="U8168" i="12"/>
  <c r="U8167" i="12"/>
  <c r="U8166" i="12"/>
  <c r="U8165" i="12"/>
  <c r="U8164" i="12"/>
  <c r="U8163" i="12"/>
  <c r="U8162" i="12"/>
  <c r="U8161" i="12"/>
  <c r="U8160" i="12"/>
  <c r="U8159" i="12"/>
  <c r="U8158" i="12"/>
  <c r="U8157" i="12"/>
  <c r="U8156" i="12"/>
  <c r="U8155" i="12"/>
  <c r="U8154" i="12"/>
  <c r="U8153" i="12"/>
  <c r="U8152" i="12"/>
  <c r="U8151" i="12"/>
  <c r="U8150" i="12"/>
  <c r="U8149" i="12"/>
  <c r="U8148" i="12"/>
  <c r="U8147" i="12"/>
  <c r="U8146" i="12"/>
  <c r="U8145" i="12"/>
  <c r="U8144" i="12"/>
  <c r="U8143" i="12"/>
  <c r="U8142" i="12"/>
  <c r="U8141" i="12"/>
  <c r="U8140" i="12"/>
  <c r="U8139" i="12"/>
  <c r="U8138" i="12"/>
  <c r="U8137" i="12"/>
  <c r="U8136" i="12"/>
  <c r="U8135" i="12"/>
  <c r="U8134" i="12"/>
  <c r="U8133" i="12"/>
  <c r="U8132" i="12"/>
  <c r="U8131" i="12"/>
  <c r="U8130" i="12"/>
  <c r="U8129" i="12"/>
  <c r="U8128" i="12"/>
  <c r="U8127" i="12"/>
  <c r="U8126" i="12"/>
  <c r="U8125" i="12"/>
  <c r="U8124" i="12"/>
  <c r="U8123" i="12"/>
  <c r="U8122" i="12"/>
  <c r="U8121" i="12"/>
  <c r="U8120" i="12"/>
  <c r="U8119" i="12"/>
  <c r="U8118" i="12"/>
  <c r="U8117" i="12"/>
  <c r="U8116" i="12"/>
  <c r="U8115" i="12"/>
  <c r="U8114" i="12"/>
  <c r="U8113" i="12"/>
  <c r="U8112" i="12"/>
  <c r="U8111" i="12"/>
  <c r="U8110" i="12"/>
  <c r="U8109" i="12"/>
  <c r="U8108" i="12"/>
  <c r="U8107" i="12"/>
  <c r="U8106" i="12"/>
  <c r="U8105" i="12"/>
  <c r="U8104" i="12"/>
  <c r="U8103" i="12"/>
  <c r="U8102" i="12"/>
  <c r="U8101" i="12"/>
  <c r="U8100" i="12"/>
  <c r="U8099" i="12"/>
  <c r="U8098" i="12"/>
  <c r="U8097" i="12"/>
  <c r="U8096" i="12"/>
  <c r="U8095" i="12"/>
  <c r="U8094" i="12"/>
  <c r="U8093" i="12"/>
  <c r="U8092" i="12"/>
  <c r="U8091" i="12"/>
  <c r="U8090" i="12"/>
  <c r="U8089" i="12"/>
  <c r="U8088" i="12"/>
  <c r="U8087" i="12"/>
  <c r="U8086" i="12"/>
  <c r="U8085" i="12"/>
  <c r="U8084" i="12"/>
  <c r="U8083" i="12"/>
  <c r="U8082" i="12"/>
  <c r="U8081" i="12"/>
  <c r="U8080" i="12"/>
  <c r="U8079" i="12"/>
  <c r="U8078" i="12"/>
  <c r="U8077" i="12"/>
  <c r="U8076" i="12"/>
  <c r="U8075" i="12"/>
  <c r="U8074" i="12"/>
  <c r="U8073" i="12"/>
  <c r="U8072" i="12"/>
  <c r="U8071" i="12"/>
  <c r="U8070" i="12"/>
  <c r="U8069" i="12"/>
  <c r="U8068" i="12"/>
  <c r="U8067" i="12"/>
  <c r="U8066" i="12"/>
  <c r="U8065" i="12"/>
  <c r="U8064" i="12"/>
  <c r="U8063" i="12"/>
  <c r="U8062" i="12"/>
  <c r="U8061" i="12"/>
  <c r="U8060" i="12"/>
  <c r="U8059" i="12"/>
  <c r="U8058" i="12"/>
  <c r="U8057" i="12"/>
  <c r="U8056" i="12"/>
  <c r="U8055" i="12"/>
  <c r="U8054" i="12"/>
  <c r="U8053" i="12"/>
  <c r="U8052" i="12"/>
  <c r="U8051" i="12"/>
  <c r="U8050" i="12"/>
  <c r="U8049" i="12"/>
  <c r="U8048" i="12"/>
  <c r="U8047" i="12"/>
  <c r="U8046" i="12"/>
  <c r="U8045" i="12"/>
  <c r="U8044" i="12"/>
  <c r="U8043" i="12"/>
  <c r="U8042" i="12"/>
  <c r="U8041" i="12"/>
  <c r="U8040" i="12"/>
  <c r="U8039" i="12"/>
  <c r="U8038" i="12"/>
  <c r="U8037" i="12"/>
  <c r="U8036" i="12"/>
  <c r="U8035" i="12"/>
  <c r="U8034" i="12"/>
  <c r="U8033" i="12"/>
  <c r="U8032" i="12"/>
  <c r="U8031" i="12"/>
  <c r="U8030" i="12"/>
  <c r="U8029" i="12"/>
  <c r="U8028" i="12"/>
  <c r="U8027" i="12"/>
  <c r="U8026" i="12"/>
  <c r="U8025" i="12"/>
  <c r="U8024" i="12"/>
  <c r="U8023" i="12"/>
  <c r="U8022" i="12"/>
  <c r="U8021" i="12"/>
  <c r="U8020" i="12"/>
  <c r="U8019" i="12"/>
  <c r="U8018" i="12"/>
  <c r="U8017" i="12"/>
  <c r="U8016" i="12"/>
  <c r="U8015" i="12"/>
  <c r="U8014" i="12"/>
  <c r="U8013" i="12"/>
  <c r="U8012" i="12"/>
  <c r="U8011" i="12"/>
  <c r="U8010" i="12"/>
  <c r="U8009" i="12"/>
  <c r="U8008" i="12"/>
  <c r="U8007" i="12"/>
  <c r="U8006" i="12"/>
  <c r="U8005" i="12"/>
  <c r="U8004" i="12"/>
  <c r="U8003" i="12"/>
  <c r="U8002" i="12"/>
  <c r="U8001" i="12"/>
  <c r="U8000" i="12"/>
  <c r="U7999" i="12"/>
  <c r="U7998" i="12"/>
  <c r="U7997" i="12"/>
  <c r="U7996" i="12"/>
  <c r="U7995" i="12"/>
  <c r="U7994" i="12"/>
  <c r="U7993" i="12"/>
  <c r="U7992" i="12"/>
  <c r="U7991" i="12"/>
  <c r="U7990" i="12"/>
  <c r="U7989" i="12"/>
  <c r="U7988" i="12"/>
  <c r="U7987" i="12"/>
  <c r="U7986" i="12"/>
  <c r="U7985" i="12"/>
  <c r="U7984" i="12"/>
  <c r="U7983" i="12"/>
  <c r="U7982" i="12"/>
  <c r="U7981" i="12"/>
  <c r="U7980" i="12"/>
  <c r="U7979" i="12"/>
  <c r="U7978" i="12"/>
  <c r="U7977" i="12"/>
  <c r="U7976" i="12"/>
  <c r="U7975" i="12"/>
  <c r="U7974" i="12"/>
  <c r="U7973" i="12"/>
  <c r="U7972" i="12"/>
  <c r="U7971" i="12"/>
  <c r="U7970" i="12"/>
  <c r="U7969" i="12"/>
  <c r="U7968" i="12"/>
  <c r="U7967" i="12"/>
  <c r="U7966" i="12"/>
  <c r="U7965" i="12"/>
  <c r="U7964" i="12"/>
  <c r="U7963" i="12"/>
  <c r="U7962" i="12"/>
  <c r="U7961" i="12"/>
  <c r="U7960" i="12"/>
  <c r="U7959" i="12"/>
  <c r="U7958" i="12"/>
  <c r="U7957" i="12"/>
  <c r="U7956" i="12"/>
  <c r="U7955" i="12"/>
  <c r="U7954" i="12"/>
  <c r="U7953" i="12"/>
  <c r="U7952" i="12"/>
  <c r="U7951" i="12"/>
  <c r="U7950" i="12"/>
  <c r="U7949" i="12"/>
  <c r="U7948" i="12"/>
  <c r="U7947" i="12"/>
  <c r="U7946" i="12"/>
  <c r="U7945" i="12"/>
  <c r="U7944" i="12"/>
  <c r="U7943" i="12"/>
  <c r="U7942" i="12"/>
  <c r="U7941" i="12"/>
  <c r="U7940" i="12"/>
  <c r="U7939" i="12"/>
  <c r="U7938" i="12"/>
  <c r="U7937" i="12"/>
  <c r="U7936" i="12"/>
  <c r="U7935" i="12"/>
  <c r="U7934" i="12"/>
  <c r="U7933" i="12"/>
  <c r="U7932" i="12"/>
  <c r="U7931" i="12"/>
  <c r="U7930" i="12"/>
  <c r="U7929" i="12"/>
  <c r="U7928" i="12"/>
  <c r="U7927" i="12"/>
  <c r="U7926" i="12"/>
  <c r="U7925" i="12"/>
  <c r="U7924" i="12"/>
  <c r="U7923" i="12"/>
  <c r="U7922" i="12"/>
  <c r="U7921" i="12"/>
  <c r="U7920" i="12"/>
  <c r="U7919" i="12"/>
  <c r="U7918" i="12"/>
  <c r="U7917" i="12"/>
  <c r="U7916" i="12"/>
  <c r="U7915" i="12"/>
  <c r="U7914" i="12"/>
  <c r="U7913" i="12"/>
  <c r="U7912" i="12"/>
  <c r="U7911" i="12"/>
  <c r="U7910" i="12"/>
  <c r="U7909" i="12"/>
  <c r="U7908" i="12"/>
  <c r="U7907" i="12"/>
  <c r="U7906" i="12"/>
  <c r="U7905" i="12"/>
  <c r="U7904" i="12"/>
  <c r="U7903" i="12"/>
  <c r="U7902" i="12"/>
  <c r="U7901" i="12"/>
  <c r="U7900" i="12"/>
  <c r="U7899" i="12"/>
  <c r="U7898" i="12"/>
  <c r="U7897" i="12"/>
  <c r="U7896" i="12"/>
  <c r="U7895" i="12"/>
  <c r="U7894" i="12"/>
  <c r="U7893" i="12"/>
  <c r="U7892" i="12"/>
  <c r="U7891" i="12"/>
  <c r="U7890" i="12"/>
  <c r="U7889" i="12"/>
  <c r="U7888" i="12"/>
  <c r="U7887" i="12"/>
  <c r="U7886" i="12"/>
  <c r="U7885" i="12"/>
  <c r="U7884" i="12"/>
  <c r="U7883" i="12"/>
  <c r="U7882" i="12"/>
  <c r="U7881" i="12"/>
  <c r="U7880" i="12"/>
  <c r="U7879" i="12"/>
  <c r="U7878" i="12"/>
  <c r="U7877" i="12"/>
  <c r="U7876" i="12"/>
  <c r="U7875" i="12"/>
  <c r="U7874" i="12"/>
  <c r="U7873" i="12"/>
  <c r="U7872" i="12"/>
  <c r="U7871" i="12"/>
  <c r="U7870" i="12"/>
  <c r="U7869" i="12"/>
  <c r="U7868" i="12"/>
  <c r="U7867" i="12"/>
  <c r="U7866" i="12"/>
  <c r="U7865" i="12"/>
  <c r="U7864" i="12"/>
  <c r="U7863" i="12"/>
  <c r="U7862" i="12"/>
  <c r="U7861" i="12"/>
  <c r="U7860" i="12"/>
  <c r="U7859" i="12"/>
  <c r="U7858" i="12"/>
  <c r="U7857" i="12"/>
  <c r="U7856" i="12"/>
  <c r="U7855" i="12"/>
  <c r="U7854" i="12"/>
  <c r="U7853" i="12"/>
  <c r="U7852" i="12"/>
  <c r="U7851" i="12"/>
  <c r="U7850" i="12"/>
  <c r="U7849" i="12"/>
  <c r="U7848" i="12"/>
  <c r="U7847" i="12"/>
  <c r="U7846" i="12"/>
  <c r="U7845" i="12"/>
  <c r="U7844" i="12"/>
  <c r="U7843" i="12"/>
  <c r="U7842" i="12"/>
  <c r="U7841" i="12"/>
  <c r="U7840" i="12"/>
  <c r="U7839" i="12"/>
  <c r="U7838" i="12"/>
  <c r="U7837" i="12"/>
  <c r="U7836" i="12"/>
  <c r="U7835" i="12"/>
  <c r="U7834" i="12"/>
  <c r="U7833" i="12"/>
  <c r="U7832" i="12"/>
  <c r="U7831" i="12"/>
  <c r="U7830" i="12"/>
  <c r="U7829" i="12"/>
  <c r="U7828" i="12"/>
  <c r="U7827" i="12"/>
  <c r="U7826" i="12"/>
  <c r="U7825" i="12"/>
  <c r="U7824" i="12"/>
  <c r="U7823" i="12"/>
  <c r="U7822" i="12"/>
  <c r="U7821" i="12"/>
  <c r="U7820" i="12"/>
  <c r="U7819" i="12"/>
  <c r="U7818" i="12"/>
  <c r="U7817" i="12"/>
  <c r="U7816" i="12"/>
  <c r="U7815" i="12"/>
  <c r="U7814" i="12"/>
  <c r="U7813" i="12"/>
  <c r="U7812" i="12"/>
  <c r="U7811" i="12"/>
  <c r="U7810" i="12"/>
  <c r="U7809" i="12"/>
  <c r="U7808" i="12"/>
  <c r="U7807" i="12"/>
  <c r="U7806" i="12"/>
  <c r="U7805" i="12"/>
  <c r="U7804" i="12"/>
  <c r="U7803" i="12"/>
  <c r="U7802" i="12"/>
  <c r="U7801" i="12"/>
  <c r="U7800" i="12"/>
  <c r="U7799" i="12"/>
  <c r="U7798" i="12"/>
  <c r="U7797" i="12"/>
  <c r="U7796" i="12"/>
  <c r="U7795" i="12"/>
  <c r="U7794" i="12"/>
  <c r="U7793" i="12"/>
  <c r="U7792" i="12"/>
  <c r="U7791" i="12"/>
  <c r="U7790" i="12"/>
  <c r="U7789" i="12"/>
  <c r="U7788" i="12"/>
  <c r="U7787" i="12"/>
  <c r="U7786" i="12"/>
  <c r="U7785" i="12"/>
  <c r="U7784" i="12"/>
  <c r="U7783" i="12"/>
  <c r="U7782" i="12"/>
  <c r="U7781" i="12"/>
  <c r="U7780" i="12"/>
  <c r="U7779" i="12"/>
  <c r="U7778" i="12"/>
  <c r="U7777" i="12"/>
  <c r="U7776" i="12"/>
  <c r="U7775" i="12"/>
  <c r="U7774" i="12"/>
  <c r="U7773" i="12"/>
  <c r="U7772" i="12"/>
  <c r="U7771" i="12"/>
  <c r="U7770" i="12"/>
  <c r="U7769" i="12"/>
  <c r="U7768" i="12"/>
  <c r="U7767" i="12"/>
  <c r="U7766" i="12"/>
  <c r="U7765" i="12"/>
  <c r="U7764" i="12"/>
  <c r="U7763" i="12"/>
  <c r="U7762" i="12"/>
  <c r="U7761" i="12"/>
  <c r="U7760" i="12"/>
  <c r="U7759" i="12"/>
  <c r="U7758" i="12"/>
  <c r="U7757" i="12"/>
  <c r="U7756" i="12"/>
  <c r="U7755" i="12"/>
  <c r="U7754" i="12"/>
  <c r="U7753" i="12"/>
  <c r="U7752" i="12"/>
  <c r="U7751" i="12"/>
  <c r="U7750" i="12"/>
  <c r="U7749" i="12"/>
  <c r="U7748" i="12"/>
  <c r="U7747" i="12"/>
  <c r="U7746" i="12"/>
  <c r="U7745" i="12"/>
  <c r="U7744" i="12"/>
  <c r="U7743" i="12"/>
  <c r="U7742" i="12"/>
  <c r="U7741" i="12"/>
  <c r="U7740" i="12"/>
  <c r="U7739" i="12"/>
  <c r="U7738" i="12"/>
  <c r="U7737" i="12"/>
  <c r="U7736" i="12"/>
  <c r="U7735" i="12"/>
  <c r="U7734" i="12"/>
  <c r="U7733" i="12"/>
  <c r="U7732" i="12"/>
  <c r="U7731" i="12"/>
  <c r="U7730" i="12"/>
  <c r="U7729" i="12"/>
  <c r="U7728" i="12"/>
  <c r="U7727" i="12"/>
  <c r="U7726" i="12"/>
  <c r="U7725" i="12"/>
  <c r="U7724" i="12"/>
  <c r="U7723" i="12"/>
  <c r="U7722" i="12"/>
  <c r="U7721" i="12"/>
  <c r="U7720" i="12"/>
  <c r="U7719" i="12"/>
  <c r="U7718" i="12"/>
  <c r="U7717" i="12"/>
  <c r="U7716" i="12"/>
  <c r="U7715" i="12"/>
  <c r="U7714" i="12"/>
  <c r="U7713" i="12"/>
  <c r="U7712" i="12"/>
  <c r="U7711" i="12"/>
  <c r="U7710" i="12"/>
  <c r="U7709" i="12"/>
  <c r="U7708" i="12"/>
  <c r="U7707" i="12"/>
  <c r="U7706" i="12"/>
  <c r="U7705" i="12"/>
  <c r="U7704" i="12"/>
  <c r="U7703" i="12"/>
  <c r="U7702" i="12"/>
  <c r="U7701" i="12"/>
  <c r="U7700" i="12"/>
  <c r="U7699" i="12"/>
  <c r="U7698" i="12"/>
  <c r="U7697" i="12"/>
  <c r="U7696" i="12"/>
  <c r="U7695" i="12"/>
  <c r="U7694" i="12"/>
  <c r="U7693" i="12"/>
  <c r="U7692" i="12"/>
  <c r="U7691" i="12"/>
  <c r="U7690" i="12"/>
  <c r="U7689" i="12"/>
  <c r="U7688" i="12"/>
  <c r="U7687" i="12"/>
  <c r="U7686" i="12"/>
  <c r="U7685" i="12"/>
  <c r="U7684" i="12"/>
  <c r="U7683" i="12"/>
  <c r="U7682" i="12"/>
  <c r="U7681" i="12"/>
  <c r="U7680" i="12"/>
  <c r="U7679" i="12"/>
  <c r="U7678" i="12"/>
  <c r="U7677" i="12"/>
  <c r="U7676" i="12"/>
  <c r="U7675" i="12"/>
  <c r="U7674" i="12"/>
  <c r="U7673" i="12"/>
  <c r="U7672" i="12"/>
  <c r="U7671" i="12"/>
  <c r="U7670" i="12"/>
  <c r="U7669" i="12"/>
  <c r="U7668" i="12"/>
  <c r="U7667" i="12"/>
  <c r="U7666" i="12"/>
  <c r="U7665" i="12"/>
  <c r="U7664" i="12"/>
  <c r="U7663" i="12"/>
  <c r="U7662" i="12"/>
  <c r="U7661" i="12"/>
  <c r="U7660" i="12"/>
  <c r="U7659" i="12"/>
  <c r="U7658" i="12"/>
  <c r="U7657" i="12"/>
  <c r="U7656" i="12"/>
  <c r="U7655" i="12"/>
  <c r="U7654" i="12"/>
  <c r="U7653" i="12"/>
  <c r="U7652" i="12"/>
  <c r="U7651" i="12"/>
  <c r="U7650" i="12"/>
  <c r="U7649" i="12"/>
  <c r="U7648" i="12"/>
  <c r="U7647" i="12"/>
  <c r="U7646" i="12"/>
  <c r="U7645" i="12"/>
  <c r="U7644" i="12"/>
  <c r="U7643" i="12"/>
  <c r="U7642" i="12"/>
  <c r="U7641" i="12"/>
  <c r="U7640" i="12"/>
  <c r="U7639" i="12"/>
  <c r="U7638" i="12"/>
  <c r="U7637" i="12"/>
  <c r="U7636" i="12"/>
  <c r="U7635" i="12"/>
  <c r="U7634" i="12"/>
  <c r="U7633" i="12"/>
  <c r="U7632" i="12"/>
  <c r="U7631" i="12"/>
  <c r="U7630" i="12"/>
  <c r="U7629" i="12"/>
  <c r="U7628" i="12"/>
  <c r="U7627" i="12"/>
  <c r="U7626" i="12"/>
  <c r="U7625" i="12"/>
  <c r="U7624" i="12"/>
  <c r="U7623" i="12"/>
  <c r="U7622" i="12"/>
  <c r="U7621" i="12"/>
  <c r="U7620" i="12"/>
  <c r="U7619" i="12"/>
  <c r="U7618" i="12"/>
  <c r="U7617" i="12"/>
  <c r="U7616" i="12"/>
  <c r="U7615" i="12"/>
  <c r="U7614" i="12"/>
  <c r="U7613" i="12"/>
  <c r="U7612" i="12"/>
  <c r="U7611" i="12"/>
  <c r="U7610" i="12"/>
  <c r="U7609" i="12"/>
  <c r="U7608" i="12"/>
  <c r="U7607" i="12"/>
  <c r="U7606" i="12"/>
  <c r="U7605" i="12"/>
  <c r="U7604" i="12"/>
  <c r="U7603" i="12"/>
  <c r="U7602" i="12"/>
  <c r="U7601" i="12"/>
  <c r="U7600" i="12"/>
  <c r="U7599" i="12"/>
  <c r="U7598" i="12"/>
  <c r="U7597" i="12"/>
  <c r="U7596" i="12"/>
  <c r="U7595" i="12"/>
  <c r="U7594" i="12"/>
  <c r="U7593" i="12"/>
  <c r="U7592" i="12"/>
  <c r="U7591" i="12"/>
  <c r="U7590" i="12"/>
  <c r="U7589" i="12"/>
  <c r="U7588" i="12"/>
  <c r="U7587" i="12"/>
  <c r="U7586" i="12"/>
  <c r="U7585" i="12"/>
  <c r="U7584" i="12"/>
  <c r="U7583" i="12"/>
  <c r="U7582" i="12"/>
  <c r="U7581" i="12"/>
  <c r="U7580" i="12"/>
  <c r="U7579" i="12"/>
  <c r="U7578" i="12"/>
  <c r="U7577" i="12"/>
  <c r="U7576" i="12"/>
  <c r="U7575" i="12"/>
  <c r="U7574" i="12"/>
  <c r="U7573" i="12"/>
  <c r="U7572" i="12"/>
  <c r="U7571" i="12"/>
  <c r="U7570" i="12"/>
  <c r="U7569" i="12"/>
  <c r="U7568" i="12"/>
  <c r="U7567" i="12"/>
  <c r="U7566" i="12"/>
  <c r="U7565" i="12"/>
  <c r="U7564" i="12"/>
  <c r="U7563" i="12"/>
  <c r="U7562" i="12"/>
  <c r="U7561" i="12"/>
  <c r="U7560" i="12"/>
  <c r="U7559" i="12"/>
  <c r="U7558" i="12"/>
  <c r="U7557" i="12"/>
  <c r="U7556" i="12"/>
  <c r="U7555" i="12"/>
  <c r="U7554" i="12"/>
  <c r="U7553" i="12"/>
  <c r="U7552" i="12"/>
  <c r="U7551" i="12"/>
  <c r="U7550" i="12"/>
  <c r="U7549" i="12"/>
  <c r="U7548" i="12"/>
  <c r="U7547" i="12"/>
  <c r="U7546" i="12"/>
  <c r="U7545" i="12"/>
  <c r="U7544" i="12"/>
  <c r="U7543" i="12"/>
  <c r="U7542" i="12"/>
  <c r="U7541" i="12"/>
  <c r="U7540" i="12"/>
  <c r="U7539" i="12"/>
  <c r="U7538" i="12"/>
  <c r="U7537" i="12"/>
  <c r="U7536" i="12"/>
  <c r="U7535" i="12"/>
  <c r="U7534" i="12"/>
  <c r="U7533" i="12"/>
  <c r="U7532" i="12"/>
  <c r="U7531" i="12"/>
  <c r="U7530" i="12"/>
  <c r="U7529" i="12"/>
  <c r="U7528" i="12"/>
  <c r="U7527" i="12"/>
  <c r="U7526" i="12"/>
  <c r="U7525" i="12"/>
  <c r="U7524" i="12"/>
  <c r="U7523" i="12"/>
  <c r="U7522" i="12"/>
  <c r="U7521" i="12"/>
  <c r="U7520" i="12"/>
  <c r="U7519" i="12"/>
  <c r="U7518" i="12"/>
  <c r="U7517" i="12"/>
  <c r="U7516" i="12"/>
  <c r="U7515" i="12"/>
  <c r="U7514" i="12"/>
  <c r="U7513" i="12"/>
  <c r="U7512" i="12"/>
  <c r="U7511" i="12"/>
  <c r="U7510" i="12"/>
  <c r="U7509" i="12"/>
  <c r="U7508" i="12"/>
  <c r="U7507" i="12"/>
  <c r="U7506" i="12"/>
  <c r="U7505" i="12"/>
  <c r="U7504" i="12"/>
  <c r="U7503" i="12"/>
  <c r="U7502" i="12"/>
  <c r="U7501" i="12"/>
  <c r="U7500" i="12"/>
  <c r="U7499" i="12"/>
  <c r="U7498" i="12"/>
  <c r="U7497" i="12"/>
  <c r="U7496" i="12"/>
  <c r="U7495" i="12"/>
  <c r="U7494" i="12"/>
  <c r="U7493" i="12"/>
  <c r="U7492" i="12"/>
  <c r="U7491" i="12"/>
  <c r="U7490" i="12"/>
  <c r="U7489" i="12"/>
  <c r="U7488" i="12"/>
  <c r="U7487" i="12"/>
  <c r="U7486" i="12"/>
  <c r="U7485" i="12"/>
  <c r="U7484" i="12"/>
  <c r="U7483" i="12"/>
  <c r="U7482" i="12"/>
  <c r="U7481" i="12"/>
  <c r="U7480" i="12"/>
  <c r="U7479" i="12"/>
  <c r="U7478" i="12"/>
  <c r="U7477" i="12"/>
  <c r="U7476" i="12"/>
  <c r="U7475" i="12"/>
  <c r="U7474" i="12"/>
  <c r="U7473" i="12"/>
  <c r="U7472" i="12"/>
  <c r="U7471" i="12"/>
  <c r="U7470" i="12"/>
  <c r="U7469" i="12"/>
  <c r="U7468" i="12"/>
  <c r="U7467" i="12"/>
  <c r="U7466" i="12"/>
  <c r="U7465" i="12"/>
  <c r="U7464" i="12"/>
  <c r="U7463" i="12"/>
  <c r="U7462" i="12"/>
  <c r="U7461" i="12"/>
  <c r="U7460" i="12"/>
  <c r="U7459" i="12"/>
  <c r="U7458" i="12"/>
  <c r="U7457" i="12"/>
  <c r="U7456" i="12"/>
  <c r="U7455" i="12"/>
  <c r="U7454" i="12"/>
  <c r="U7453" i="12"/>
  <c r="U7452" i="12"/>
  <c r="U7451" i="12"/>
  <c r="U7450" i="12"/>
  <c r="U7449" i="12"/>
  <c r="U7448" i="12"/>
  <c r="U7447" i="12"/>
  <c r="U7446" i="12"/>
  <c r="U7445" i="12"/>
  <c r="U7444" i="12"/>
  <c r="U7443" i="12"/>
  <c r="U7442" i="12"/>
  <c r="U7441" i="12"/>
  <c r="U7440" i="12"/>
  <c r="U7439" i="12"/>
  <c r="U7438" i="12"/>
  <c r="U7437" i="12"/>
  <c r="U7436" i="12"/>
  <c r="U7435" i="12"/>
  <c r="U7434" i="12"/>
  <c r="U7433" i="12"/>
  <c r="U7432" i="12"/>
  <c r="U7431" i="12"/>
  <c r="U7430" i="12"/>
  <c r="U7429" i="12"/>
  <c r="U7428" i="12"/>
  <c r="U7427" i="12"/>
  <c r="U7426" i="12"/>
  <c r="U7425" i="12"/>
  <c r="U7424" i="12"/>
  <c r="U7423" i="12"/>
  <c r="U7422" i="12"/>
  <c r="U7421" i="12"/>
  <c r="U7420" i="12"/>
  <c r="U7419" i="12"/>
  <c r="U7418" i="12"/>
  <c r="U7417" i="12"/>
  <c r="U7416" i="12"/>
  <c r="U7415" i="12"/>
  <c r="U7414" i="12"/>
  <c r="U7413" i="12"/>
  <c r="U7412" i="12"/>
  <c r="U7411" i="12"/>
  <c r="U7410" i="12"/>
  <c r="U7409" i="12"/>
  <c r="U7408" i="12"/>
  <c r="U7407" i="12"/>
  <c r="U7406" i="12"/>
  <c r="U7405" i="12"/>
  <c r="U7404" i="12"/>
  <c r="U7403" i="12"/>
  <c r="U7402" i="12"/>
  <c r="U7401" i="12"/>
  <c r="U7400" i="12"/>
  <c r="U7399" i="12"/>
  <c r="U7398" i="12"/>
  <c r="U7397" i="12"/>
  <c r="U7396" i="12"/>
  <c r="U7395" i="12"/>
  <c r="U7394" i="12"/>
  <c r="U7393" i="12"/>
  <c r="U7392" i="12"/>
  <c r="U7391" i="12"/>
  <c r="U7390" i="12"/>
  <c r="U7389" i="12"/>
  <c r="U7388" i="12"/>
  <c r="U7387" i="12"/>
  <c r="U7386" i="12"/>
  <c r="U7385" i="12"/>
  <c r="U7384" i="12"/>
  <c r="U7383" i="12"/>
  <c r="U7382" i="12"/>
  <c r="U7381" i="12"/>
  <c r="U7380" i="12"/>
  <c r="U7379" i="12"/>
  <c r="U7378" i="12"/>
  <c r="U7377" i="12"/>
  <c r="U7376" i="12"/>
  <c r="U7375" i="12"/>
  <c r="U7374" i="12"/>
  <c r="U7373" i="12"/>
  <c r="U7372" i="12"/>
  <c r="U7371" i="12"/>
  <c r="U7370" i="12"/>
  <c r="U7369" i="12"/>
  <c r="U7368" i="12"/>
  <c r="U7367" i="12"/>
  <c r="U7366" i="12"/>
  <c r="U7365" i="12"/>
  <c r="U7364" i="12"/>
  <c r="U7363" i="12"/>
  <c r="U7362" i="12"/>
  <c r="U7361" i="12"/>
  <c r="U7360" i="12"/>
  <c r="U7359" i="12"/>
  <c r="U7358" i="12"/>
  <c r="U7357" i="12"/>
  <c r="U7356" i="12"/>
  <c r="U7355" i="12"/>
  <c r="U7354" i="12"/>
  <c r="U7353" i="12"/>
  <c r="U7352" i="12"/>
  <c r="U7351" i="12"/>
  <c r="U7350" i="12"/>
  <c r="U7349" i="12"/>
  <c r="U7348" i="12"/>
  <c r="U7347" i="12"/>
  <c r="U7346" i="12"/>
  <c r="U7345" i="12"/>
  <c r="U7344" i="12"/>
  <c r="U7343" i="12"/>
  <c r="U7342" i="12"/>
  <c r="U7341" i="12"/>
  <c r="U7340" i="12"/>
  <c r="U7339" i="12"/>
  <c r="U7338" i="12"/>
  <c r="U7337" i="12"/>
  <c r="U7336" i="12"/>
  <c r="U7335" i="12"/>
  <c r="U7334" i="12"/>
  <c r="U7333" i="12"/>
  <c r="U7332" i="12"/>
  <c r="U7331" i="12"/>
  <c r="U7330" i="12"/>
  <c r="U7329" i="12"/>
  <c r="U7328" i="12"/>
  <c r="U7327" i="12"/>
  <c r="U7326" i="12"/>
  <c r="U7325" i="12"/>
  <c r="U7324" i="12"/>
  <c r="U7323" i="12"/>
  <c r="U7322" i="12"/>
  <c r="U7321" i="12"/>
  <c r="U7320" i="12"/>
  <c r="U7319" i="12"/>
  <c r="U7318" i="12"/>
  <c r="U7317" i="12"/>
  <c r="U7316" i="12"/>
  <c r="U7315" i="12"/>
  <c r="U7314" i="12"/>
  <c r="U7313" i="12"/>
  <c r="U7312" i="12"/>
  <c r="U7311" i="12"/>
  <c r="U7310" i="12"/>
  <c r="U7309" i="12"/>
  <c r="U7308" i="12"/>
  <c r="U7307" i="12"/>
  <c r="U7306" i="12"/>
  <c r="U7305" i="12"/>
  <c r="U7304" i="12"/>
  <c r="U7303" i="12"/>
  <c r="U7302" i="12"/>
  <c r="U7301" i="12"/>
  <c r="U7300" i="12"/>
  <c r="U7299" i="12"/>
  <c r="U7298" i="12"/>
  <c r="U7297" i="12"/>
  <c r="U7296" i="12"/>
  <c r="U7295" i="12"/>
  <c r="U7294" i="12"/>
  <c r="U7293" i="12"/>
  <c r="U7292" i="12"/>
  <c r="U7291" i="12"/>
  <c r="U7290" i="12"/>
  <c r="U7289" i="12"/>
  <c r="U7288" i="12"/>
  <c r="U7287" i="12"/>
  <c r="U7286" i="12"/>
  <c r="U7285" i="12"/>
  <c r="U7284" i="12"/>
  <c r="U7283" i="12"/>
  <c r="U7282" i="12"/>
  <c r="U7281" i="12"/>
  <c r="U7280" i="12"/>
  <c r="U7279" i="12"/>
  <c r="U7278" i="12"/>
  <c r="U7277" i="12"/>
  <c r="U7276" i="12"/>
  <c r="U7275" i="12"/>
  <c r="U7274" i="12"/>
  <c r="U7273" i="12"/>
  <c r="U7272" i="12"/>
  <c r="U7271" i="12"/>
  <c r="U7270" i="12"/>
  <c r="U7269" i="12"/>
  <c r="U7268" i="12"/>
  <c r="U7267" i="12"/>
  <c r="U7266" i="12"/>
  <c r="U7265" i="12"/>
  <c r="U7264" i="12"/>
  <c r="U7263" i="12"/>
  <c r="U7262" i="12"/>
  <c r="U7261" i="12"/>
  <c r="U7260" i="12"/>
  <c r="U7259" i="12"/>
  <c r="U7258" i="12"/>
  <c r="U7257" i="12"/>
  <c r="U7256" i="12"/>
  <c r="U7255" i="12"/>
  <c r="U7254" i="12"/>
  <c r="U7253" i="12"/>
  <c r="U7252" i="12"/>
  <c r="U7251" i="12"/>
  <c r="U7250" i="12"/>
  <c r="U7249" i="12"/>
  <c r="U7248" i="12"/>
  <c r="U7247" i="12"/>
  <c r="U7246" i="12"/>
  <c r="U7245" i="12"/>
  <c r="U7244" i="12"/>
  <c r="U7243" i="12"/>
  <c r="U7242" i="12"/>
  <c r="U7241" i="12"/>
  <c r="U7240" i="12"/>
  <c r="U7239" i="12"/>
  <c r="U7238" i="12"/>
  <c r="U7237" i="12"/>
  <c r="U7236" i="12"/>
  <c r="U7235" i="12"/>
  <c r="U7234" i="12"/>
  <c r="U7233" i="12"/>
  <c r="U7232" i="12"/>
  <c r="U7231" i="12"/>
  <c r="U7230" i="12"/>
  <c r="U7229" i="12"/>
  <c r="U7228" i="12"/>
  <c r="U7227" i="12"/>
  <c r="U7226" i="12"/>
  <c r="U7225" i="12"/>
  <c r="U7224" i="12"/>
  <c r="U7223" i="12"/>
  <c r="U7222" i="12"/>
  <c r="U7221" i="12"/>
  <c r="U7220" i="12"/>
  <c r="U7219" i="12"/>
  <c r="U7218" i="12"/>
  <c r="U7217" i="12"/>
  <c r="U7216" i="12"/>
  <c r="U7215" i="12"/>
  <c r="U7214" i="12"/>
  <c r="U7213" i="12"/>
  <c r="U7212" i="12"/>
  <c r="U7211" i="12"/>
  <c r="U7210" i="12"/>
  <c r="U7209" i="12"/>
  <c r="U7208" i="12"/>
  <c r="U7207" i="12"/>
  <c r="U7206" i="12"/>
  <c r="U7205" i="12"/>
  <c r="U7204" i="12"/>
  <c r="U7203" i="12"/>
  <c r="U7202" i="12"/>
  <c r="U7201" i="12"/>
  <c r="U7200" i="12"/>
  <c r="U7199" i="12"/>
  <c r="U7198" i="12"/>
  <c r="U7197" i="12"/>
  <c r="U7196" i="12"/>
  <c r="U7195" i="12"/>
  <c r="U7194" i="12"/>
  <c r="U7193" i="12"/>
  <c r="U7192" i="12"/>
  <c r="U7191" i="12"/>
  <c r="U7190" i="12"/>
  <c r="U7189" i="12"/>
  <c r="U7188" i="12"/>
  <c r="U7187" i="12"/>
  <c r="U7186" i="12"/>
  <c r="U7185" i="12"/>
  <c r="U7184" i="12"/>
  <c r="U7183" i="12"/>
  <c r="U7182" i="12"/>
  <c r="U7181" i="12"/>
  <c r="U7180" i="12"/>
  <c r="U7179" i="12"/>
  <c r="U7178" i="12"/>
  <c r="U7177" i="12"/>
  <c r="U7176" i="12"/>
  <c r="U7175" i="12"/>
  <c r="U7174" i="12"/>
  <c r="U7173" i="12"/>
  <c r="U7172" i="12"/>
  <c r="U7171" i="12"/>
  <c r="U7170" i="12"/>
  <c r="U7169" i="12"/>
  <c r="U7168" i="12"/>
  <c r="U7167" i="12"/>
  <c r="U7166" i="12"/>
  <c r="U7165" i="12"/>
  <c r="U7164" i="12"/>
  <c r="U7163" i="12"/>
  <c r="U7162" i="12"/>
  <c r="U7161" i="12"/>
  <c r="U7160" i="12"/>
  <c r="U7159" i="12"/>
  <c r="U7158" i="12"/>
  <c r="U7157" i="12"/>
  <c r="U7156" i="12"/>
  <c r="U7155" i="12"/>
  <c r="U7154" i="12"/>
  <c r="U7153" i="12"/>
  <c r="U7152" i="12"/>
  <c r="U7151" i="12"/>
  <c r="U7150" i="12"/>
  <c r="U7149" i="12"/>
  <c r="U7148" i="12"/>
  <c r="U7147" i="12"/>
  <c r="U7146" i="12"/>
  <c r="U7145" i="12"/>
  <c r="U7144" i="12"/>
  <c r="U7143" i="12"/>
  <c r="U7142" i="12"/>
  <c r="U7141" i="12"/>
  <c r="U7140" i="12"/>
  <c r="U7139" i="12"/>
  <c r="U7138" i="12"/>
  <c r="U7137" i="12"/>
  <c r="U7136" i="12"/>
  <c r="U7135" i="12"/>
  <c r="U7134" i="12"/>
  <c r="U7133" i="12"/>
  <c r="U7132" i="12"/>
  <c r="U7131" i="12"/>
  <c r="U7130" i="12"/>
  <c r="U7129" i="12"/>
  <c r="U7128" i="12"/>
  <c r="U7127" i="12"/>
  <c r="U7126" i="12"/>
  <c r="U7125" i="12"/>
  <c r="U7124" i="12"/>
  <c r="U7123" i="12"/>
  <c r="U7122" i="12"/>
  <c r="U7121" i="12"/>
  <c r="U7120" i="12"/>
  <c r="U7119" i="12"/>
  <c r="U7118" i="12"/>
  <c r="U7117" i="12"/>
  <c r="U7116" i="12"/>
  <c r="U7115" i="12"/>
  <c r="U7114" i="12"/>
  <c r="U7113" i="12"/>
  <c r="U7112" i="12"/>
  <c r="U7111" i="12"/>
  <c r="U7110" i="12"/>
  <c r="U7109" i="12"/>
  <c r="U7108" i="12"/>
  <c r="U7107" i="12"/>
  <c r="U7106" i="12"/>
  <c r="U7105" i="12"/>
  <c r="U7104" i="12"/>
  <c r="U7103" i="12"/>
  <c r="U7102" i="12"/>
  <c r="U7101" i="12"/>
  <c r="U7100" i="12"/>
  <c r="U7099" i="12"/>
  <c r="U7098" i="12"/>
  <c r="U7097" i="12"/>
  <c r="U7096" i="12"/>
  <c r="U7095" i="12"/>
  <c r="U7094" i="12"/>
  <c r="U7093" i="12"/>
  <c r="U7092" i="12"/>
  <c r="U7091" i="12"/>
  <c r="U7090" i="12"/>
  <c r="U7089" i="12"/>
  <c r="U7088" i="12"/>
  <c r="U7087" i="12"/>
  <c r="U7086" i="12"/>
  <c r="U7085" i="12"/>
  <c r="U7084" i="12"/>
  <c r="U7083" i="12"/>
  <c r="U7082" i="12"/>
  <c r="U7081" i="12"/>
  <c r="U7080" i="12"/>
  <c r="U7079" i="12"/>
  <c r="U7078" i="12"/>
  <c r="U7077" i="12"/>
  <c r="U7076" i="12"/>
  <c r="U7075" i="12"/>
  <c r="U7074" i="12"/>
  <c r="U7073" i="12"/>
  <c r="U7072" i="12"/>
  <c r="U7071" i="12"/>
  <c r="U7070" i="12"/>
  <c r="U7069" i="12"/>
  <c r="U7068" i="12"/>
  <c r="U7067" i="12"/>
  <c r="U7066" i="12"/>
  <c r="U7065" i="12"/>
  <c r="U7064" i="12"/>
  <c r="U7063" i="12"/>
  <c r="U7062" i="12"/>
  <c r="U7061" i="12"/>
  <c r="U7060" i="12"/>
  <c r="U7059" i="12"/>
  <c r="U7058" i="12"/>
  <c r="U7057" i="12"/>
  <c r="U7056" i="12"/>
  <c r="U7055" i="12"/>
  <c r="U7054" i="12"/>
  <c r="U7053" i="12"/>
  <c r="U7052" i="12"/>
  <c r="U7051" i="12"/>
  <c r="U7050" i="12"/>
  <c r="U7049" i="12"/>
  <c r="U7048" i="12"/>
  <c r="U7047" i="12"/>
  <c r="U7046" i="12"/>
  <c r="U7045" i="12"/>
  <c r="U7044" i="12"/>
  <c r="U7043" i="12"/>
  <c r="U7042" i="12"/>
  <c r="U7041" i="12"/>
  <c r="U7040" i="12"/>
  <c r="U7039" i="12"/>
  <c r="U7038" i="12"/>
  <c r="U7037" i="12"/>
  <c r="U7036" i="12"/>
  <c r="U7035" i="12"/>
  <c r="U7034" i="12"/>
  <c r="U7033" i="12"/>
  <c r="U7032" i="12"/>
  <c r="U7031" i="12"/>
  <c r="U7030" i="12"/>
  <c r="U7029" i="12"/>
  <c r="U7028" i="12"/>
  <c r="U7027" i="12"/>
  <c r="U7026" i="12"/>
  <c r="U7025" i="12"/>
  <c r="U7024" i="12"/>
  <c r="U7023" i="12"/>
  <c r="U7022" i="12"/>
  <c r="U7021" i="12"/>
  <c r="U7020" i="12"/>
  <c r="U7019" i="12"/>
  <c r="U7018" i="12"/>
  <c r="U7017" i="12"/>
  <c r="U7016" i="12"/>
  <c r="U7015" i="12"/>
  <c r="U7014" i="12"/>
  <c r="U7013" i="12"/>
  <c r="U7012" i="12"/>
  <c r="U7011" i="12"/>
  <c r="U7010" i="12"/>
  <c r="U7009" i="12"/>
  <c r="U7008" i="12"/>
  <c r="U7007" i="12"/>
  <c r="U7006" i="12"/>
  <c r="U7005" i="12"/>
  <c r="U7004" i="12"/>
  <c r="U7003" i="12"/>
  <c r="U7002" i="12"/>
  <c r="U7001" i="12"/>
  <c r="U7000" i="12"/>
  <c r="U6999" i="12"/>
  <c r="U6998" i="12"/>
  <c r="U6997" i="12"/>
  <c r="U6996" i="12"/>
  <c r="U6995" i="12"/>
  <c r="U6994" i="12"/>
  <c r="U6993" i="12"/>
  <c r="U6992" i="12"/>
  <c r="U6991" i="12"/>
  <c r="U6990" i="12"/>
  <c r="U6989" i="12"/>
  <c r="U6988" i="12"/>
  <c r="U6987" i="12"/>
  <c r="U6986" i="12"/>
  <c r="U6985" i="12"/>
  <c r="U6984" i="12"/>
  <c r="U6983" i="12"/>
  <c r="U6982" i="12"/>
  <c r="U6981" i="12"/>
  <c r="U6980" i="12"/>
  <c r="U6979" i="12"/>
  <c r="U6978" i="12"/>
  <c r="U6977" i="12"/>
  <c r="U6976" i="12"/>
  <c r="U6975" i="12"/>
  <c r="U6974" i="12"/>
  <c r="U6973" i="12"/>
  <c r="U6972" i="12"/>
  <c r="U6971" i="12"/>
  <c r="U6970" i="12"/>
  <c r="U6969" i="12"/>
  <c r="U6968" i="12"/>
  <c r="U6967" i="12"/>
  <c r="U6966" i="12"/>
  <c r="U6965" i="12"/>
  <c r="U6964" i="12"/>
  <c r="U6963" i="12"/>
  <c r="U6962" i="12"/>
  <c r="U6961" i="12"/>
  <c r="U6960" i="12"/>
  <c r="U6959" i="12"/>
  <c r="U6958" i="12"/>
  <c r="U6957" i="12"/>
  <c r="U6956" i="12"/>
  <c r="U6955" i="12"/>
  <c r="U6954" i="12"/>
  <c r="U6953" i="12"/>
  <c r="U6952" i="12"/>
  <c r="U6951" i="12"/>
  <c r="U6950" i="12"/>
  <c r="U6949" i="12"/>
  <c r="U6948" i="12"/>
  <c r="U6947" i="12"/>
  <c r="U6946" i="12"/>
  <c r="U6945" i="12"/>
  <c r="U6944" i="12"/>
  <c r="U6943" i="12"/>
  <c r="U6942" i="12"/>
  <c r="U6941" i="12"/>
  <c r="U6940" i="12"/>
  <c r="U6939" i="12"/>
  <c r="U6938" i="12"/>
  <c r="U6937" i="12"/>
  <c r="U6936" i="12"/>
  <c r="U6935" i="12"/>
  <c r="U6934" i="12"/>
  <c r="U6933" i="12"/>
  <c r="U6932" i="12"/>
  <c r="U6931" i="12"/>
  <c r="U6930" i="12"/>
  <c r="U6929" i="12"/>
  <c r="U6928" i="12"/>
  <c r="U6927" i="12"/>
  <c r="U6926" i="12"/>
  <c r="U6925" i="12"/>
  <c r="U6924" i="12"/>
  <c r="U6923" i="12"/>
  <c r="U6922" i="12"/>
  <c r="U6921" i="12"/>
  <c r="U6920" i="12"/>
  <c r="U6919" i="12"/>
  <c r="U6918" i="12"/>
  <c r="U6917" i="12"/>
  <c r="U6916" i="12"/>
  <c r="U6915" i="12"/>
  <c r="U6914" i="12"/>
  <c r="U6913" i="12"/>
  <c r="U6912" i="12"/>
  <c r="U6911" i="12"/>
  <c r="U6910" i="12"/>
  <c r="U6909" i="12"/>
  <c r="U6908" i="12"/>
  <c r="U6907" i="12"/>
  <c r="U6906" i="12"/>
  <c r="U6905" i="12"/>
  <c r="U6904" i="12"/>
  <c r="U6903" i="12"/>
  <c r="U6902" i="12"/>
  <c r="U6901" i="12"/>
  <c r="U6900" i="12"/>
  <c r="U6899" i="12"/>
  <c r="U6898" i="12"/>
  <c r="U6897" i="12"/>
  <c r="U6896" i="12"/>
  <c r="U6895" i="12"/>
  <c r="U6894" i="12"/>
  <c r="U6893" i="12"/>
  <c r="U6892" i="12"/>
  <c r="U6891" i="12"/>
  <c r="U6890" i="12"/>
  <c r="U6889" i="12"/>
  <c r="U6888" i="12"/>
  <c r="U6887" i="12"/>
  <c r="U6886" i="12"/>
  <c r="U6885" i="12"/>
  <c r="U6884" i="12"/>
  <c r="U6883" i="12"/>
  <c r="U6882" i="12"/>
  <c r="U6881" i="12"/>
  <c r="U6880" i="12"/>
  <c r="U6879" i="12"/>
  <c r="U6878" i="12"/>
  <c r="U6877" i="12"/>
  <c r="U6876" i="12"/>
  <c r="U6875" i="12"/>
  <c r="U6874" i="12"/>
  <c r="U6873" i="12"/>
  <c r="U6872" i="12"/>
  <c r="U6871" i="12"/>
  <c r="U6870" i="12"/>
  <c r="U6869" i="12"/>
  <c r="U6868" i="12"/>
  <c r="U6867" i="12"/>
  <c r="U6866" i="12"/>
  <c r="U6865" i="12"/>
  <c r="U6864" i="12"/>
  <c r="U6863" i="12"/>
  <c r="U6862" i="12"/>
  <c r="U6861" i="12"/>
  <c r="U6860" i="12"/>
  <c r="U6859" i="12"/>
  <c r="U6858" i="12"/>
  <c r="U6857" i="12"/>
  <c r="U6856" i="12"/>
  <c r="U6855" i="12"/>
  <c r="U6854" i="12"/>
  <c r="U6853" i="12"/>
  <c r="U6852" i="12"/>
  <c r="U6851" i="12"/>
  <c r="U6850" i="12"/>
  <c r="U6849" i="12"/>
  <c r="U6848" i="12"/>
  <c r="U6847" i="12"/>
  <c r="U6846" i="12"/>
  <c r="U6845" i="12"/>
  <c r="U6844" i="12"/>
  <c r="U6843" i="12"/>
  <c r="U6842" i="12"/>
  <c r="U6841" i="12"/>
  <c r="U6840" i="12"/>
  <c r="U6839" i="12"/>
  <c r="U6838" i="12"/>
  <c r="U6837" i="12"/>
  <c r="U6836" i="12"/>
  <c r="U6835" i="12"/>
  <c r="U6834" i="12"/>
  <c r="U6833" i="12"/>
  <c r="U6832" i="12"/>
  <c r="U6831" i="12"/>
  <c r="U6830" i="12"/>
  <c r="U6829" i="12"/>
  <c r="U6828" i="12"/>
  <c r="U6827" i="12"/>
  <c r="U6826" i="12"/>
  <c r="U6825" i="12"/>
  <c r="U6824" i="12"/>
  <c r="U6823" i="12"/>
  <c r="U6822" i="12"/>
  <c r="U6821" i="12"/>
  <c r="U6820" i="12"/>
  <c r="U6819" i="12"/>
  <c r="U6818" i="12"/>
  <c r="U6817" i="12"/>
  <c r="U6816" i="12"/>
  <c r="U6815" i="12"/>
  <c r="U6814" i="12"/>
  <c r="U6813" i="12"/>
  <c r="U6812" i="12"/>
  <c r="U6811" i="12"/>
  <c r="U6810" i="12"/>
  <c r="U6809" i="12"/>
  <c r="U6808" i="12"/>
  <c r="U6807" i="12"/>
  <c r="U6806" i="12"/>
  <c r="U6805" i="12"/>
  <c r="U6804" i="12"/>
  <c r="U6803" i="12"/>
  <c r="U6802" i="12"/>
  <c r="U6801" i="12"/>
  <c r="U6800" i="12"/>
  <c r="U6799" i="12"/>
  <c r="U6798" i="12"/>
  <c r="U6797" i="12"/>
  <c r="U6796" i="12"/>
  <c r="U6795" i="12"/>
  <c r="U6794" i="12"/>
  <c r="U6793" i="12"/>
  <c r="U6792" i="12"/>
  <c r="U6791" i="12"/>
  <c r="U6790" i="12"/>
  <c r="U6789" i="12"/>
  <c r="U6788" i="12"/>
  <c r="U6787" i="12"/>
  <c r="U6786" i="12"/>
  <c r="U6785" i="12"/>
  <c r="U6784" i="12"/>
  <c r="U6783" i="12"/>
  <c r="U6782" i="12"/>
  <c r="U6781" i="12"/>
  <c r="U6780" i="12"/>
  <c r="U6779" i="12"/>
  <c r="U6778" i="12"/>
  <c r="U6777" i="12"/>
  <c r="U6776" i="12"/>
  <c r="U6775" i="12"/>
  <c r="U6774" i="12"/>
  <c r="U6773" i="12"/>
  <c r="U6772" i="12"/>
  <c r="U6771" i="12"/>
  <c r="U6770" i="12"/>
  <c r="U6769" i="12"/>
  <c r="U6768" i="12"/>
  <c r="U6767" i="12"/>
  <c r="U6766" i="12"/>
  <c r="U6765" i="12"/>
  <c r="U6764" i="12"/>
  <c r="U6763" i="12"/>
  <c r="U6762" i="12"/>
  <c r="U6761" i="12"/>
  <c r="U6760" i="12"/>
  <c r="U6759" i="12"/>
  <c r="U6758" i="12"/>
  <c r="U6757" i="12"/>
  <c r="U6756" i="12"/>
  <c r="U6755" i="12"/>
  <c r="U6754" i="12"/>
  <c r="U6753" i="12"/>
  <c r="U6752" i="12"/>
  <c r="U6751" i="12"/>
  <c r="U6750" i="12"/>
  <c r="U6749" i="12"/>
  <c r="U6748" i="12"/>
  <c r="U6747" i="12"/>
  <c r="U6746" i="12"/>
  <c r="U6745" i="12"/>
  <c r="U6744" i="12"/>
  <c r="U6743" i="12"/>
  <c r="U6742" i="12"/>
  <c r="U6741" i="12"/>
  <c r="U6740" i="12"/>
  <c r="U6739" i="12"/>
  <c r="U6738" i="12"/>
  <c r="U6737" i="12"/>
  <c r="U6736" i="12"/>
  <c r="U6735" i="12"/>
  <c r="U6734" i="12"/>
  <c r="U6733" i="12"/>
  <c r="U6732" i="12"/>
  <c r="U6731" i="12"/>
  <c r="U6730" i="12"/>
  <c r="U6729" i="12"/>
  <c r="U6728" i="12"/>
  <c r="U6727" i="12"/>
  <c r="U6726" i="12"/>
  <c r="U6725" i="12"/>
  <c r="U6724" i="12"/>
  <c r="U6723" i="12"/>
  <c r="U6722" i="12"/>
  <c r="U6721" i="12"/>
  <c r="U6720" i="12"/>
  <c r="U6719" i="12"/>
  <c r="U6718" i="12"/>
  <c r="U6717" i="12"/>
  <c r="U6716" i="12"/>
  <c r="U6715" i="12"/>
  <c r="U6714" i="12"/>
  <c r="U6713" i="12"/>
  <c r="U6712" i="12"/>
  <c r="U6711" i="12"/>
  <c r="U6710" i="12"/>
  <c r="U6709" i="12"/>
  <c r="U6708" i="12"/>
  <c r="U6707" i="12"/>
  <c r="U6706" i="12"/>
  <c r="U6705" i="12"/>
  <c r="U6704" i="12"/>
  <c r="U6703" i="12"/>
  <c r="U6702" i="12"/>
  <c r="U6701" i="12"/>
  <c r="U6700" i="12"/>
  <c r="U6699" i="12"/>
  <c r="U6698" i="12"/>
  <c r="U6697" i="12"/>
  <c r="U6696" i="12"/>
  <c r="U6695" i="12"/>
  <c r="U6694" i="12"/>
  <c r="U6693" i="12"/>
  <c r="U6692" i="12"/>
  <c r="U6691" i="12"/>
  <c r="U6690" i="12"/>
  <c r="U6689" i="12"/>
  <c r="U6688" i="12"/>
  <c r="U6687" i="12"/>
  <c r="U6686" i="12"/>
  <c r="U6685" i="12"/>
  <c r="U6684" i="12"/>
  <c r="U6683" i="12"/>
  <c r="U6682" i="12"/>
  <c r="U6681" i="12"/>
  <c r="U6680" i="12"/>
  <c r="U6679" i="12"/>
  <c r="U6678" i="12"/>
  <c r="U6677" i="12"/>
  <c r="U6676" i="12"/>
  <c r="U6675" i="12"/>
  <c r="U6674" i="12"/>
  <c r="U6673" i="12"/>
  <c r="U6672" i="12"/>
  <c r="U6671" i="12"/>
  <c r="U6670" i="12"/>
  <c r="U6669" i="12"/>
  <c r="U6668" i="12"/>
  <c r="U6667" i="12"/>
  <c r="U6666" i="12"/>
  <c r="U6665" i="12"/>
  <c r="U6664" i="12"/>
  <c r="U6663" i="12"/>
  <c r="U6662" i="12"/>
  <c r="U6661" i="12"/>
  <c r="U6660" i="12"/>
  <c r="U6659" i="12"/>
  <c r="U6658" i="12"/>
  <c r="U6657" i="12"/>
  <c r="U6656" i="12"/>
  <c r="U6655" i="12"/>
  <c r="U6654" i="12"/>
  <c r="U6653" i="12"/>
  <c r="U6652" i="12"/>
  <c r="U6651" i="12"/>
  <c r="U6650" i="12"/>
  <c r="U6649" i="12"/>
  <c r="U6648" i="12"/>
  <c r="U6647" i="12"/>
  <c r="U6646" i="12"/>
  <c r="U6645" i="12"/>
  <c r="U6644" i="12"/>
  <c r="U6643" i="12"/>
  <c r="U6642" i="12"/>
  <c r="U6641" i="12"/>
  <c r="U6640" i="12"/>
  <c r="U6639" i="12"/>
  <c r="U6638" i="12"/>
  <c r="U6637" i="12"/>
  <c r="U6636" i="12"/>
  <c r="U6635" i="12"/>
  <c r="U6634" i="12"/>
  <c r="U6633" i="12"/>
  <c r="U6632" i="12"/>
  <c r="U6631" i="12"/>
  <c r="U6630" i="12"/>
  <c r="U6629" i="12"/>
  <c r="U6628" i="12"/>
  <c r="U6627" i="12"/>
  <c r="U6626" i="12"/>
  <c r="U6625" i="12"/>
  <c r="U6624" i="12"/>
  <c r="U6623" i="12"/>
  <c r="U6622" i="12"/>
  <c r="U6621" i="12"/>
  <c r="U6620" i="12"/>
  <c r="U6619" i="12"/>
  <c r="U6618" i="12"/>
  <c r="U6617" i="12"/>
  <c r="U6616" i="12"/>
  <c r="U6615" i="12"/>
  <c r="U6614" i="12"/>
  <c r="U6613" i="12"/>
  <c r="U6612" i="12"/>
  <c r="U6611" i="12"/>
  <c r="U6610" i="12"/>
  <c r="U6609" i="12"/>
  <c r="U6608" i="12"/>
  <c r="U6607" i="12"/>
  <c r="U6606" i="12"/>
  <c r="U6605" i="12"/>
  <c r="U6604" i="12"/>
  <c r="U6603" i="12"/>
  <c r="U6602" i="12"/>
  <c r="U6601" i="12"/>
  <c r="U6600" i="12"/>
  <c r="U6599" i="12"/>
  <c r="U6598" i="12"/>
  <c r="U6597" i="12"/>
  <c r="U6596" i="12"/>
  <c r="U6595" i="12"/>
  <c r="U6594" i="12"/>
  <c r="U6593" i="12"/>
  <c r="U6592" i="12"/>
  <c r="U6591" i="12"/>
  <c r="U6590" i="12"/>
  <c r="U6589" i="12"/>
  <c r="U6588" i="12"/>
  <c r="U6587" i="12"/>
  <c r="U6586" i="12"/>
  <c r="U6585" i="12"/>
  <c r="U6584" i="12"/>
  <c r="U6583" i="12"/>
  <c r="U6582" i="12"/>
  <c r="U6581" i="12"/>
  <c r="U6580" i="12"/>
  <c r="U6579" i="12"/>
  <c r="U6578" i="12"/>
  <c r="U6577" i="12"/>
  <c r="U6576" i="12"/>
  <c r="U6575" i="12"/>
  <c r="U6574" i="12"/>
  <c r="U6573" i="12"/>
  <c r="U6572" i="12"/>
  <c r="U6571" i="12"/>
  <c r="U6570" i="12"/>
  <c r="U6569" i="12"/>
  <c r="U6568" i="12"/>
  <c r="U6567" i="12"/>
  <c r="U6566" i="12"/>
  <c r="U6565" i="12"/>
  <c r="U6564" i="12"/>
  <c r="U6563" i="12"/>
  <c r="U6562" i="12"/>
  <c r="U6561" i="12"/>
  <c r="U6560" i="12"/>
  <c r="U6559" i="12"/>
  <c r="U6558" i="12"/>
  <c r="U6557" i="12"/>
  <c r="U6556" i="12"/>
  <c r="U6555" i="12"/>
  <c r="U6554" i="12"/>
  <c r="U6553" i="12"/>
  <c r="U6552" i="12"/>
  <c r="U6551" i="12"/>
  <c r="U6550" i="12"/>
  <c r="U6549" i="12"/>
  <c r="U6548" i="12"/>
  <c r="U6547" i="12"/>
  <c r="U6546" i="12"/>
  <c r="U6545" i="12"/>
  <c r="U6544" i="12"/>
  <c r="U6543" i="12"/>
  <c r="U6542" i="12"/>
  <c r="U6541" i="12"/>
  <c r="U6540" i="12"/>
  <c r="U6539" i="12"/>
  <c r="U6538" i="12"/>
  <c r="U6537" i="12"/>
  <c r="U6536" i="12"/>
  <c r="U6535" i="12"/>
  <c r="U6534" i="12"/>
  <c r="U6533" i="12"/>
  <c r="U6532" i="12"/>
  <c r="U6531" i="12"/>
  <c r="U6530" i="12"/>
  <c r="U6529" i="12"/>
  <c r="U6528" i="12"/>
  <c r="U6527" i="12"/>
  <c r="U6526" i="12"/>
  <c r="U6525" i="12"/>
  <c r="U6524" i="12"/>
  <c r="U6523" i="12"/>
  <c r="U6522" i="12"/>
  <c r="U6521" i="12"/>
  <c r="U6520" i="12"/>
  <c r="U6519" i="12"/>
  <c r="U6518" i="12"/>
  <c r="U6517" i="12"/>
  <c r="U6516" i="12"/>
  <c r="U6515" i="12"/>
  <c r="U6514" i="12"/>
  <c r="U6513" i="12"/>
  <c r="U6512" i="12"/>
  <c r="U6511" i="12"/>
  <c r="U6510" i="12"/>
  <c r="U6509" i="12"/>
  <c r="U6508" i="12"/>
  <c r="U6507" i="12"/>
  <c r="U6506" i="12"/>
  <c r="U6505" i="12"/>
  <c r="U6504" i="12"/>
  <c r="U6503" i="12"/>
  <c r="U6502" i="12"/>
  <c r="U6501" i="12"/>
  <c r="U6500" i="12"/>
  <c r="U6499" i="12"/>
  <c r="U6498" i="12"/>
  <c r="U6497" i="12"/>
  <c r="U6496" i="12"/>
  <c r="U6495" i="12"/>
  <c r="U6494" i="12"/>
  <c r="U6493" i="12"/>
  <c r="U6492" i="12"/>
  <c r="U6491" i="12"/>
  <c r="U6490" i="12"/>
  <c r="U6489" i="12"/>
  <c r="U6488" i="12"/>
  <c r="U6487" i="12"/>
  <c r="U6486" i="12"/>
  <c r="U6485" i="12"/>
  <c r="U6484" i="12"/>
  <c r="U6483" i="12"/>
  <c r="U6482" i="12"/>
  <c r="U6481" i="12"/>
  <c r="U6480" i="12"/>
  <c r="U6479" i="12"/>
  <c r="U6478" i="12"/>
  <c r="U6477" i="12"/>
  <c r="U6476" i="12"/>
  <c r="U6475" i="12"/>
  <c r="U6474" i="12"/>
  <c r="U6473" i="12"/>
  <c r="U6472" i="12"/>
  <c r="U6471" i="12"/>
  <c r="U6470" i="12"/>
  <c r="U6469" i="12"/>
  <c r="U6468" i="12"/>
  <c r="U6467" i="12"/>
  <c r="U6466" i="12"/>
  <c r="U6465" i="12"/>
  <c r="U6464" i="12"/>
  <c r="U6463" i="12"/>
  <c r="U6462" i="12"/>
  <c r="U6461" i="12"/>
  <c r="U6460" i="12"/>
  <c r="U6459" i="12"/>
  <c r="U6458" i="12"/>
  <c r="U6457" i="12"/>
  <c r="U6456" i="12"/>
  <c r="U6455" i="12"/>
  <c r="U6454" i="12"/>
  <c r="U6453" i="12"/>
  <c r="U6452" i="12"/>
  <c r="U6451" i="12"/>
  <c r="U6450" i="12"/>
  <c r="U6449" i="12"/>
  <c r="U6448" i="12"/>
  <c r="U6447" i="12"/>
  <c r="U6446" i="12"/>
  <c r="U6445" i="12"/>
  <c r="U6444" i="12"/>
  <c r="U6443" i="12"/>
  <c r="U6442" i="12"/>
  <c r="U6441" i="12"/>
  <c r="U6440" i="12"/>
  <c r="U6439" i="12"/>
  <c r="U6438" i="12"/>
  <c r="U6437" i="12"/>
  <c r="U6436" i="12"/>
  <c r="U6435" i="12"/>
  <c r="U6434" i="12"/>
  <c r="U6433" i="12"/>
  <c r="U6432" i="12"/>
  <c r="U6431" i="12"/>
  <c r="U6430" i="12"/>
  <c r="U6429" i="12"/>
  <c r="U6428" i="12"/>
  <c r="U6427" i="12"/>
  <c r="U6426" i="12"/>
  <c r="U6425" i="12"/>
  <c r="U6424" i="12"/>
  <c r="U6423" i="12"/>
  <c r="U6422" i="12"/>
  <c r="U6421" i="12"/>
  <c r="U6420" i="12"/>
  <c r="U6419" i="12"/>
  <c r="U6418" i="12"/>
  <c r="U6417" i="12"/>
  <c r="U6416" i="12"/>
  <c r="U6415" i="12"/>
  <c r="U6414" i="12"/>
  <c r="U6413" i="12"/>
  <c r="U6412" i="12"/>
  <c r="U6411" i="12"/>
  <c r="U6410" i="12"/>
  <c r="U6409" i="12"/>
  <c r="U6408" i="12"/>
  <c r="U6407" i="12"/>
  <c r="U6406" i="12"/>
  <c r="U6405" i="12"/>
  <c r="U6404" i="12"/>
  <c r="U6403" i="12"/>
  <c r="U6402" i="12"/>
  <c r="U6401" i="12"/>
  <c r="U6400" i="12"/>
  <c r="U6399" i="12"/>
  <c r="U6398" i="12"/>
  <c r="U6397" i="12"/>
  <c r="U6396" i="12"/>
  <c r="U6395" i="12"/>
  <c r="U6394" i="12"/>
  <c r="U6393" i="12"/>
  <c r="U6392" i="12"/>
  <c r="U6391" i="12"/>
  <c r="U6390" i="12"/>
  <c r="U6389" i="12"/>
  <c r="U6388" i="12"/>
  <c r="U6387" i="12"/>
  <c r="U6386" i="12"/>
  <c r="U6385" i="12"/>
  <c r="U6384" i="12"/>
  <c r="U6383" i="12"/>
  <c r="U6382" i="12"/>
  <c r="U6381" i="12"/>
  <c r="U6380" i="12"/>
  <c r="U6379" i="12"/>
  <c r="U6378" i="12"/>
  <c r="U6377" i="12"/>
  <c r="U6376" i="12"/>
  <c r="U6375" i="12"/>
  <c r="U6374" i="12"/>
  <c r="U6373" i="12"/>
  <c r="U6372" i="12"/>
  <c r="U6371" i="12"/>
  <c r="U6370" i="12"/>
  <c r="U6369" i="12"/>
  <c r="U6368" i="12"/>
  <c r="U6367" i="12"/>
  <c r="U6366" i="12"/>
  <c r="U6365" i="12"/>
  <c r="U6364" i="12"/>
  <c r="U6363" i="12"/>
  <c r="U6362" i="12"/>
  <c r="U6361" i="12"/>
  <c r="U6360" i="12"/>
  <c r="U6359" i="12"/>
  <c r="U6358" i="12"/>
  <c r="U6357" i="12"/>
  <c r="U6356" i="12"/>
  <c r="U6355" i="12"/>
  <c r="U6354" i="12"/>
  <c r="U6353" i="12"/>
  <c r="U6352" i="12"/>
  <c r="U6351" i="12"/>
  <c r="U6350" i="12"/>
  <c r="U6349" i="12"/>
  <c r="U6348" i="12"/>
  <c r="U6347" i="12"/>
  <c r="U6346" i="12"/>
  <c r="U6345" i="12"/>
  <c r="U6344" i="12"/>
  <c r="U6343" i="12"/>
  <c r="U6342" i="12"/>
  <c r="U6341" i="12"/>
  <c r="U6340" i="12"/>
  <c r="U6339" i="12"/>
  <c r="U6338" i="12"/>
  <c r="U6337" i="12"/>
  <c r="U6336" i="12"/>
  <c r="U6335" i="12"/>
  <c r="U6334" i="12"/>
  <c r="U6333" i="12"/>
  <c r="U6332" i="12"/>
  <c r="U6331" i="12"/>
  <c r="U6330" i="12"/>
  <c r="U6329" i="12"/>
  <c r="U6328" i="12"/>
  <c r="U6327" i="12"/>
  <c r="U6326" i="12"/>
  <c r="U6325" i="12"/>
  <c r="U6324" i="12"/>
  <c r="U6323" i="12"/>
  <c r="U6322" i="12"/>
  <c r="U6321" i="12"/>
  <c r="U6320" i="12"/>
  <c r="U6319" i="12"/>
  <c r="U6318" i="12"/>
  <c r="U6317" i="12"/>
  <c r="U6316" i="12"/>
  <c r="U6315" i="12"/>
  <c r="U6314" i="12"/>
  <c r="U6313" i="12"/>
  <c r="U6312" i="12"/>
  <c r="U6311" i="12"/>
  <c r="U6310" i="12"/>
  <c r="U6309" i="12"/>
  <c r="U6308" i="12"/>
  <c r="U6307" i="12"/>
  <c r="U6306" i="12"/>
  <c r="U6305" i="12"/>
  <c r="U6304" i="12"/>
  <c r="U6303" i="12"/>
  <c r="U6302" i="12"/>
  <c r="U6301" i="12"/>
  <c r="U6300" i="12"/>
  <c r="U6299" i="12"/>
  <c r="U6298" i="12"/>
  <c r="U6297" i="12"/>
  <c r="U6296" i="12"/>
  <c r="U6295" i="12"/>
  <c r="U6294" i="12"/>
  <c r="U6293" i="12"/>
  <c r="U6292" i="12"/>
  <c r="U6291" i="12"/>
  <c r="U6290" i="12"/>
  <c r="U6289" i="12"/>
  <c r="U6288" i="12"/>
  <c r="U6287" i="12"/>
  <c r="U6286" i="12"/>
  <c r="U6285" i="12"/>
  <c r="U6284" i="12"/>
  <c r="U6283" i="12"/>
  <c r="U6282" i="12"/>
  <c r="U6281" i="12"/>
  <c r="U6280" i="12"/>
  <c r="U6279" i="12"/>
  <c r="U6278" i="12"/>
  <c r="U6277" i="12"/>
  <c r="U6276" i="12"/>
  <c r="U6275" i="12"/>
  <c r="U6274" i="12"/>
  <c r="U6273" i="12"/>
  <c r="U6272" i="12"/>
  <c r="U6271" i="12"/>
  <c r="U6270" i="12"/>
  <c r="U6269" i="12"/>
  <c r="U6268" i="12"/>
  <c r="U6267" i="12"/>
  <c r="U6266" i="12"/>
  <c r="U6265" i="12"/>
  <c r="U6264" i="12"/>
  <c r="U6263" i="12"/>
  <c r="U6262" i="12"/>
  <c r="U6261" i="12"/>
  <c r="U6260" i="12"/>
  <c r="U6259" i="12"/>
  <c r="U6258" i="12"/>
  <c r="U6257" i="12"/>
  <c r="U6256" i="12"/>
  <c r="U6255" i="12"/>
  <c r="U6254" i="12"/>
  <c r="U6253" i="12"/>
  <c r="U6252" i="12"/>
  <c r="U6251" i="12"/>
  <c r="U6250" i="12"/>
  <c r="U6249" i="12"/>
  <c r="U6248" i="12"/>
  <c r="U6247" i="12"/>
  <c r="U6246" i="12"/>
  <c r="U6245" i="12"/>
  <c r="U6244" i="12"/>
  <c r="U6243" i="12"/>
  <c r="U6242" i="12"/>
  <c r="U6241" i="12"/>
  <c r="U6240" i="12"/>
  <c r="U6239" i="12"/>
  <c r="U6238" i="12"/>
  <c r="U6237" i="12"/>
  <c r="U6236" i="12"/>
  <c r="U6235" i="12"/>
  <c r="U6234" i="12"/>
  <c r="U6233" i="12"/>
  <c r="U6232" i="12"/>
  <c r="U6231" i="12"/>
  <c r="U6230" i="12"/>
  <c r="U6229" i="12"/>
  <c r="U6228" i="12"/>
  <c r="U6227" i="12"/>
  <c r="U6226" i="12"/>
  <c r="U6225" i="12"/>
  <c r="U6224" i="12"/>
  <c r="U6223" i="12"/>
  <c r="U6222" i="12"/>
  <c r="U6221" i="12"/>
  <c r="U6220" i="12"/>
  <c r="U6219" i="12"/>
  <c r="U6218" i="12"/>
  <c r="U6217" i="12"/>
  <c r="U6216" i="12"/>
  <c r="U6215" i="12"/>
  <c r="U6214" i="12"/>
  <c r="U6213" i="12"/>
  <c r="U6212" i="12"/>
  <c r="U6211" i="12"/>
  <c r="U6210" i="12"/>
  <c r="U6209" i="12"/>
  <c r="U6208" i="12"/>
  <c r="U6207" i="12"/>
  <c r="U6206" i="12"/>
  <c r="U6205" i="12"/>
  <c r="U6204" i="12"/>
  <c r="U6203" i="12"/>
  <c r="U6202" i="12"/>
  <c r="U6201" i="12"/>
  <c r="U6200" i="12"/>
  <c r="U6199" i="12"/>
  <c r="U6198" i="12"/>
  <c r="U6197" i="12"/>
  <c r="U6196" i="12"/>
  <c r="U6195" i="12"/>
  <c r="U6194" i="12"/>
  <c r="U6193" i="12"/>
  <c r="U6192" i="12"/>
  <c r="U6191" i="12"/>
  <c r="U6190" i="12"/>
  <c r="U6189" i="12"/>
  <c r="U6188" i="12"/>
  <c r="U6187" i="12"/>
  <c r="U6186" i="12"/>
  <c r="U6185" i="12"/>
  <c r="U6184" i="12"/>
  <c r="U6183" i="12"/>
  <c r="U6182" i="12"/>
  <c r="U6181" i="12"/>
  <c r="U6180" i="12"/>
  <c r="U6179" i="12"/>
  <c r="U6178" i="12"/>
  <c r="U6177" i="12"/>
  <c r="U6176" i="12"/>
  <c r="U6175" i="12"/>
  <c r="U6174" i="12"/>
  <c r="U6173" i="12"/>
  <c r="U6172" i="12"/>
  <c r="U6171" i="12"/>
  <c r="U6170" i="12"/>
  <c r="U6169" i="12"/>
  <c r="U6168" i="12"/>
  <c r="U6167" i="12"/>
  <c r="U6166" i="12"/>
  <c r="U6165" i="12"/>
  <c r="U6164" i="12"/>
  <c r="U6163" i="12"/>
  <c r="U6162" i="12"/>
  <c r="U6161" i="12"/>
  <c r="U6160" i="12"/>
  <c r="U6159" i="12"/>
  <c r="U6158" i="12"/>
  <c r="U6157" i="12"/>
  <c r="U6156" i="12"/>
  <c r="U6155" i="12"/>
  <c r="U6154" i="12"/>
  <c r="U6153" i="12"/>
  <c r="U6152" i="12"/>
  <c r="U6151" i="12"/>
  <c r="U6150" i="12"/>
  <c r="U6149" i="12"/>
  <c r="U6148" i="12"/>
  <c r="U6147" i="12"/>
  <c r="U6146" i="12"/>
  <c r="U6145" i="12"/>
  <c r="U6144" i="12"/>
  <c r="U6143" i="12"/>
  <c r="U6142" i="12"/>
  <c r="U6141" i="12"/>
  <c r="U6140" i="12"/>
  <c r="U6139" i="12"/>
  <c r="U6138" i="12"/>
  <c r="U6137" i="12"/>
  <c r="U6136" i="12"/>
  <c r="U6135" i="12"/>
  <c r="U6134" i="12"/>
  <c r="U6133" i="12"/>
  <c r="U6132" i="12"/>
  <c r="U6131" i="12"/>
  <c r="U6130" i="12"/>
  <c r="U6129" i="12"/>
  <c r="U6128" i="12"/>
  <c r="U6127" i="12"/>
  <c r="U6126" i="12"/>
  <c r="U6125" i="12"/>
  <c r="U6124" i="12"/>
  <c r="U6123" i="12"/>
  <c r="U6122" i="12"/>
  <c r="U6121" i="12"/>
  <c r="U6120" i="12"/>
  <c r="U6119" i="12"/>
  <c r="U6118" i="12"/>
  <c r="U6117" i="12"/>
  <c r="U6116" i="12"/>
  <c r="U6115" i="12"/>
  <c r="U6114" i="12"/>
  <c r="U6113" i="12"/>
  <c r="U6112" i="12"/>
  <c r="U6111" i="12"/>
  <c r="U6110" i="12"/>
  <c r="U6109" i="12"/>
  <c r="U6108" i="12"/>
  <c r="U6107" i="12"/>
  <c r="U6106" i="12"/>
  <c r="U6105" i="12"/>
  <c r="U6104" i="12"/>
  <c r="U6103" i="12"/>
  <c r="U6102" i="12"/>
  <c r="U6101" i="12"/>
  <c r="U6100" i="12"/>
  <c r="U6099" i="12"/>
  <c r="U6098" i="12"/>
  <c r="U6097" i="12"/>
  <c r="U6096" i="12"/>
  <c r="U6095" i="12"/>
  <c r="U6094" i="12"/>
  <c r="U6093" i="12"/>
  <c r="U6092" i="12"/>
  <c r="U6091" i="12"/>
  <c r="U6090" i="12"/>
  <c r="U6089" i="12"/>
  <c r="U6088" i="12"/>
  <c r="U6087" i="12"/>
  <c r="U6086" i="12"/>
  <c r="U6085" i="12"/>
  <c r="U6084" i="12"/>
  <c r="U6083" i="12"/>
  <c r="U6082" i="12"/>
  <c r="U6081" i="12"/>
  <c r="U6080" i="12"/>
  <c r="U6079" i="12"/>
  <c r="U6078" i="12"/>
  <c r="U6077" i="12"/>
  <c r="U6076" i="12"/>
  <c r="U6075" i="12"/>
  <c r="U6074" i="12"/>
  <c r="U6073" i="12"/>
  <c r="U6072" i="12"/>
  <c r="U6071" i="12"/>
  <c r="U6070" i="12"/>
  <c r="U6069" i="12"/>
  <c r="U6068" i="12"/>
  <c r="U6067" i="12"/>
  <c r="U6066" i="12"/>
  <c r="U6065" i="12"/>
  <c r="U6064" i="12"/>
  <c r="U6063" i="12"/>
  <c r="U6062" i="12"/>
  <c r="U6061" i="12"/>
  <c r="U6060" i="12"/>
  <c r="U6059" i="12"/>
  <c r="U6058" i="12"/>
  <c r="U6057" i="12"/>
  <c r="U6056" i="12"/>
  <c r="U6055" i="12"/>
  <c r="U6054" i="12"/>
  <c r="U6053" i="12"/>
  <c r="U6052" i="12"/>
  <c r="U6051" i="12"/>
  <c r="U6050" i="12"/>
  <c r="U6049" i="12"/>
  <c r="U6048" i="12"/>
  <c r="U6047" i="12"/>
  <c r="U6046" i="12"/>
  <c r="U6045" i="12"/>
  <c r="U6044" i="12"/>
  <c r="U6043" i="12"/>
  <c r="U6042" i="12"/>
  <c r="U6041" i="12"/>
  <c r="U6040" i="12"/>
  <c r="U6039" i="12"/>
  <c r="U6038" i="12"/>
  <c r="U6037" i="12"/>
  <c r="U6036" i="12"/>
  <c r="U6035" i="12"/>
  <c r="U6034" i="12"/>
  <c r="U6033" i="12"/>
  <c r="U6032" i="12"/>
  <c r="U6031" i="12"/>
  <c r="U6030" i="12"/>
  <c r="U6029" i="12"/>
  <c r="U6028" i="12"/>
  <c r="U6027" i="12"/>
  <c r="U6026" i="12"/>
  <c r="U6025" i="12"/>
  <c r="U6024" i="12"/>
  <c r="U6023" i="12"/>
  <c r="U6022" i="12"/>
  <c r="U6021" i="12"/>
  <c r="U6020" i="12"/>
  <c r="U6019" i="12"/>
  <c r="U6018" i="12"/>
  <c r="U6017" i="12"/>
  <c r="U6016" i="12"/>
  <c r="U6015" i="12"/>
  <c r="U6014" i="12"/>
  <c r="U6013" i="12"/>
  <c r="U6012" i="12"/>
  <c r="U6011" i="12"/>
  <c r="U6010" i="12"/>
  <c r="U6009" i="12"/>
  <c r="U6008" i="12"/>
  <c r="U6007" i="12"/>
  <c r="U6006" i="12"/>
  <c r="U6005" i="12"/>
  <c r="U6004" i="12"/>
  <c r="U6003" i="12"/>
  <c r="U6002" i="12"/>
  <c r="U6001" i="12"/>
  <c r="U6000" i="12"/>
  <c r="U5999" i="12"/>
  <c r="U5998" i="12"/>
  <c r="U5997" i="12"/>
  <c r="U5996" i="12"/>
  <c r="U5995" i="12"/>
  <c r="U5994" i="12"/>
  <c r="U5993" i="12"/>
  <c r="U5992" i="12"/>
  <c r="U5991" i="12"/>
  <c r="U5990" i="12"/>
  <c r="U5989" i="12"/>
  <c r="U5988" i="12"/>
  <c r="U5987" i="12"/>
  <c r="U5986" i="12"/>
  <c r="U5985" i="12"/>
  <c r="U5984" i="12"/>
  <c r="U5983" i="12"/>
  <c r="U5982" i="12"/>
  <c r="U5981" i="12"/>
  <c r="U5980" i="12"/>
  <c r="U5979" i="12"/>
  <c r="U5978" i="12"/>
  <c r="U5977" i="12"/>
  <c r="U5976" i="12"/>
  <c r="U5975" i="12"/>
  <c r="U5974" i="12"/>
  <c r="U5973" i="12"/>
  <c r="U5972" i="12"/>
  <c r="U5971" i="12"/>
  <c r="U5970" i="12"/>
  <c r="U5969" i="12"/>
  <c r="U5968" i="12"/>
  <c r="U5967" i="12"/>
  <c r="U5966" i="12"/>
  <c r="U5965" i="12"/>
  <c r="U5964" i="12"/>
  <c r="U5963" i="12"/>
  <c r="U5962" i="12"/>
  <c r="U5961" i="12"/>
  <c r="U5960" i="12"/>
  <c r="U5959" i="12"/>
  <c r="U5958" i="12"/>
  <c r="U5957" i="12"/>
  <c r="U5956" i="12"/>
  <c r="U5955" i="12"/>
  <c r="U5954" i="12"/>
  <c r="U5953" i="12"/>
  <c r="U5952" i="12"/>
  <c r="U5951" i="12"/>
  <c r="U5950" i="12"/>
  <c r="U5949" i="12"/>
  <c r="U5948" i="12"/>
  <c r="U5947" i="12"/>
  <c r="U5946" i="12"/>
  <c r="U5945" i="12"/>
  <c r="U5944" i="12"/>
  <c r="U5943" i="12"/>
  <c r="U5942" i="12"/>
  <c r="U5941" i="12"/>
  <c r="U5940" i="12"/>
  <c r="U5939" i="12"/>
  <c r="U5938" i="12"/>
  <c r="U5937" i="12"/>
  <c r="U5936" i="12"/>
  <c r="U5935" i="12"/>
  <c r="U5934" i="12"/>
  <c r="U5933" i="12"/>
  <c r="U5932" i="12"/>
  <c r="U5931" i="12"/>
  <c r="U5930" i="12"/>
  <c r="U5929" i="12"/>
  <c r="U5928" i="12"/>
  <c r="U5927" i="12"/>
  <c r="U5926" i="12"/>
  <c r="U5925" i="12"/>
  <c r="U5924" i="12"/>
  <c r="U5923" i="12"/>
  <c r="U5922" i="12"/>
  <c r="U5921" i="12"/>
  <c r="U5920" i="12"/>
  <c r="U5919" i="12"/>
  <c r="U5918" i="12"/>
  <c r="U5917" i="12"/>
  <c r="U5916" i="12"/>
  <c r="U5915" i="12"/>
  <c r="U5914" i="12"/>
  <c r="U5913" i="12"/>
  <c r="U5912" i="12"/>
  <c r="U5911" i="12"/>
  <c r="U5910" i="12"/>
  <c r="U5909" i="12"/>
  <c r="U5908" i="12"/>
  <c r="U5907" i="12"/>
  <c r="U5906" i="12"/>
  <c r="U5905" i="12"/>
  <c r="U5904" i="12"/>
  <c r="U5903" i="12"/>
  <c r="U5902" i="12"/>
  <c r="U5901" i="12"/>
  <c r="U5900" i="12"/>
  <c r="U5899" i="12"/>
  <c r="U5898" i="12"/>
  <c r="U5897" i="12"/>
  <c r="U5896" i="12"/>
  <c r="U5895" i="12"/>
  <c r="U5894" i="12"/>
  <c r="U5893" i="12"/>
  <c r="U5892" i="12"/>
  <c r="U5891" i="12"/>
  <c r="U5890" i="12"/>
  <c r="U5889" i="12"/>
  <c r="U5888" i="12"/>
  <c r="U5887" i="12"/>
  <c r="U5886" i="12"/>
  <c r="U5885" i="12"/>
  <c r="U5884" i="12"/>
  <c r="U5883" i="12"/>
  <c r="U5882" i="12"/>
  <c r="U5881" i="12"/>
  <c r="U5880" i="12"/>
  <c r="U5879" i="12"/>
  <c r="U5878" i="12"/>
  <c r="U5877" i="12"/>
  <c r="U5876" i="12"/>
  <c r="U5875" i="12"/>
  <c r="U5874" i="12"/>
  <c r="U5873" i="12"/>
  <c r="U5872" i="12"/>
  <c r="U5871" i="12"/>
  <c r="U5870" i="12"/>
  <c r="U5869" i="12"/>
  <c r="U5868" i="12"/>
  <c r="U5867" i="12"/>
  <c r="U5866" i="12"/>
  <c r="U5865" i="12"/>
  <c r="U5864" i="12"/>
  <c r="U5863" i="12"/>
  <c r="U5862" i="12"/>
  <c r="U5861" i="12"/>
  <c r="U5860" i="12"/>
  <c r="U5859" i="12"/>
  <c r="U5858" i="12"/>
  <c r="U5857" i="12"/>
  <c r="U5856" i="12"/>
  <c r="U5855" i="12"/>
  <c r="U5854" i="12"/>
  <c r="U5853" i="12"/>
  <c r="U5852" i="12"/>
  <c r="U5851" i="12"/>
  <c r="U5850" i="12"/>
  <c r="U5849" i="12"/>
  <c r="U5848" i="12"/>
  <c r="U5847" i="12"/>
  <c r="U5846" i="12"/>
  <c r="U5845" i="12"/>
  <c r="U5844" i="12"/>
  <c r="U5843" i="12"/>
  <c r="U5842" i="12"/>
  <c r="U5841" i="12"/>
  <c r="U5840" i="12"/>
  <c r="U5839" i="12"/>
  <c r="U5838" i="12"/>
  <c r="U5837" i="12"/>
  <c r="U5836" i="12"/>
  <c r="U5835" i="12"/>
  <c r="U5834" i="12"/>
  <c r="U5833" i="12"/>
  <c r="U5832" i="12"/>
  <c r="U5831" i="12"/>
  <c r="U5830" i="12"/>
  <c r="U5829" i="12"/>
  <c r="U5828" i="12"/>
  <c r="U5827" i="12"/>
  <c r="U5826" i="12"/>
  <c r="U5825" i="12"/>
  <c r="U5824" i="12"/>
  <c r="U5823" i="12"/>
  <c r="U5822" i="12"/>
  <c r="U5821" i="12"/>
  <c r="U5820" i="12"/>
  <c r="U5819" i="12"/>
  <c r="U5818" i="12"/>
  <c r="U5817" i="12"/>
  <c r="U5816" i="12"/>
  <c r="U5815" i="12"/>
  <c r="U5814" i="12"/>
  <c r="U5813" i="12"/>
  <c r="U5812" i="12"/>
  <c r="U5811" i="12"/>
  <c r="U5810" i="12"/>
  <c r="U5809" i="12"/>
  <c r="U5808" i="12"/>
  <c r="U5807" i="12"/>
  <c r="U5806" i="12"/>
  <c r="U5805" i="12"/>
  <c r="U5804" i="12"/>
  <c r="U5803" i="12"/>
  <c r="U5802" i="12"/>
  <c r="U5801" i="12"/>
  <c r="U5800" i="12"/>
  <c r="U5799" i="12"/>
  <c r="U5798" i="12"/>
  <c r="U5797" i="12"/>
  <c r="U5796" i="12"/>
  <c r="U5795" i="12"/>
  <c r="U5794" i="12"/>
  <c r="U5793" i="12"/>
  <c r="U5792" i="12"/>
  <c r="U5791" i="12"/>
  <c r="U5790" i="12"/>
  <c r="U5789" i="12"/>
  <c r="U5788" i="12"/>
  <c r="U5787" i="12"/>
  <c r="U5786" i="12"/>
  <c r="U5785" i="12"/>
  <c r="U5784" i="12"/>
  <c r="U5783" i="12"/>
  <c r="U5782" i="12"/>
  <c r="U5781" i="12"/>
  <c r="U5780" i="12"/>
  <c r="U5779" i="12"/>
  <c r="U5778" i="12"/>
  <c r="U5777" i="12"/>
  <c r="U5776" i="12"/>
  <c r="U5775" i="12"/>
  <c r="U5774" i="12"/>
  <c r="U5773" i="12"/>
  <c r="U5772" i="12"/>
  <c r="U5771" i="12"/>
  <c r="U5770" i="12"/>
  <c r="U5769" i="12"/>
  <c r="U5768" i="12"/>
  <c r="U5767" i="12"/>
  <c r="U5766" i="12"/>
  <c r="U5765" i="12"/>
  <c r="U5764" i="12"/>
  <c r="U5763" i="12"/>
  <c r="U5762" i="12"/>
  <c r="U5761" i="12"/>
  <c r="U5760" i="12"/>
  <c r="U5759" i="12"/>
  <c r="U5758" i="12"/>
  <c r="U5757" i="12"/>
  <c r="U5756" i="12"/>
  <c r="U5755" i="12"/>
  <c r="U5754" i="12"/>
  <c r="U5753" i="12"/>
  <c r="U5752" i="12"/>
  <c r="U5751" i="12"/>
  <c r="U5750" i="12"/>
  <c r="U5749" i="12"/>
  <c r="U5748" i="12"/>
  <c r="U5747" i="12"/>
  <c r="U5746" i="12"/>
  <c r="U5745" i="12"/>
  <c r="U5744" i="12"/>
  <c r="U5743" i="12"/>
  <c r="U5742" i="12"/>
  <c r="U5741" i="12"/>
  <c r="U5740" i="12"/>
  <c r="U5739" i="12"/>
  <c r="U5738" i="12"/>
  <c r="U5737" i="12"/>
  <c r="U5736" i="12"/>
  <c r="U5735" i="12"/>
  <c r="U5734" i="12"/>
  <c r="U5733" i="12"/>
  <c r="U5732" i="12"/>
  <c r="U5731" i="12"/>
  <c r="U5730" i="12"/>
  <c r="U5729" i="12"/>
  <c r="U5728" i="12"/>
  <c r="U5727" i="12"/>
  <c r="U5726" i="12"/>
  <c r="U5725" i="12"/>
  <c r="U5724" i="12"/>
  <c r="U5723" i="12"/>
  <c r="U5722" i="12"/>
  <c r="U5721" i="12"/>
  <c r="U5720" i="12"/>
  <c r="U5719" i="12"/>
  <c r="U5718" i="12"/>
  <c r="U5717" i="12"/>
  <c r="U5716" i="12"/>
  <c r="U5715" i="12"/>
  <c r="U5714" i="12"/>
  <c r="U5713" i="12"/>
  <c r="U5712" i="12"/>
  <c r="U5711" i="12"/>
  <c r="U5710" i="12"/>
  <c r="U5709" i="12"/>
  <c r="U5708" i="12"/>
  <c r="U5707" i="12"/>
  <c r="U5706" i="12"/>
  <c r="U5705" i="12"/>
  <c r="U5704" i="12"/>
  <c r="U5703" i="12"/>
  <c r="U5702" i="12"/>
  <c r="U5701" i="12"/>
  <c r="U5700" i="12"/>
  <c r="U5699" i="12"/>
  <c r="U5698" i="12"/>
  <c r="U5697" i="12"/>
  <c r="U5696" i="12"/>
  <c r="U5695" i="12"/>
  <c r="U5694" i="12"/>
  <c r="U5693" i="12"/>
  <c r="U5692" i="12"/>
  <c r="U5691" i="12"/>
  <c r="U5690" i="12"/>
  <c r="U5689" i="12"/>
  <c r="U5688" i="12"/>
  <c r="U5687" i="12"/>
  <c r="U5686" i="12"/>
  <c r="U5685" i="12"/>
  <c r="U5684" i="12"/>
  <c r="U5683" i="12"/>
  <c r="U5682" i="12"/>
  <c r="U5681" i="12"/>
  <c r="U5680" i="12"/>
  <c r="U5679" i="12"/>
  <c r="U5678" i="12"/>
  <c r="U5677" i="12"/>
  <c r="U5676" i="12"/>
  <c r="U5675" i="12"/>
  <c r="U5674" i="12"/>
  <c r="U5673" i="12"/>
  <c r="U5672" i="12"/>
  <c r="U5671" i="12"/>
  <c r="U5670" i="12"/>
  <c r="U5669" i="12"/>
  <c r="U5668" i="12"/>
  <c r="U5667" i="12"/>
  <c r="U5666" i="12"/>
  <c r="U5665" i="12"/>
  <c r="U5664" i="12"/>
  <c r="U5663" i="12"/>
  <c r="U5662" i="12"/>
  <c r="U5661" i="12"/>
  <c r="U5660" i="12"/>
  <c r="U5659" i="12"/>
  <c r="U5658" i="12"/>
  <c r="U5657" i="12"/>
  <c r="U5656" i="12"/>
  <c r="U5655" i="12"/>
  <c r="U5654" i="12"/>
  <c r="U5653" i="12"/>
  <c r="U5652" i="12"/>
  <c r="U5651" i="12"/>
  <c r="U5650" i="12"/>
  <c r="U5649" i="12"/>
  <c r="U5648" i="12"/>
  <c r="U5647" i="12"/>
  <c r="U5646" i="12"/>
  <c r="U5645" i="12"/>
  <c r="U5644" i="12"/>
  <c r="U5643" i="12"/>
  <c r="U5642" i="12"/>
  <c r="U5641" i="12"/>
  <c r="U5640" i="12"/>
  <c r="U5639" i="12"/>
  <c r="U5638" i="12"/>
  <c r="U5637" i="12"/>
  <c r="U5636" i="12"/>
  <c r="U5635" i="12"/>
  <c r="U5634" i="12"/>
  <c r="U5633" i="12"/>
  <c r="U5632" i="12"/>
  <c r="U5631" i="12"/>
  <c r="U5630" i="12"/>
  <c r="U5629" i="12"/>
  <c r="U5628" i="12"/>
  <c r="U5627" i="12"/>
  <c r="U5626" i="12"/>
  <c r="U5625" i="12"/>
  <c r="U5624" i="12"/>
  <c r="U5623" i="12"/>
  <c r="U5622" i="12"/>
  <c r="U5621" i="12"/>
  <c r="U5620" i="12"/>
  <c r="U5619" i="12"/>
  <c r="U5618" i="12"/>
  <c r="U5617" i="12"/>
  <c r="U5616" i="12"/>
  <c r="U5615" i="12"/>
  <c r="U5614" i="12"/>
  <c r="U5613" i="12"/>
  <c r="U5612" i="12"/>
  <c r="U5611" i="12"/>
  <c r="U5610" i="12"/>
  <c r="U5609" i="12"/>
  <c r="U5608" i="12"/>
  <c r="U5607" i="12"/>
  <c r="U5606" i="12"/>
  <c r="U5605" i="12"/>
  <c r="U5604" i="12"/>
  <c r="U5603" i="12"/>
  <c r="U5602" i="12"/>
  <c r="U5601" i="12"/>
  <c r="U5600" i="12"/>
  <c r="U5599" i="12"/>
  <c r="U5598" i="12"/>
  <c r="U5597" i="12"/>
  <c r="U5596" i="12"/>
  <c r="U5595" i="12"/>
  <c r="U5594" i="12"/>
  <c r="U5593" i="12"/>
  <c r="U5592" i="12"/>
  <c r="U5591" i="12"/>
  <c r="U5590" i="12"/>
  <c r="U5589" i="12"/>
  <c r="U5588" i="12"/>
  <c r="U5587" i="12"/>
  <c r="U5586" i="12"/>
  <c r="U5585" i="12"/>
  <c r="U5584" i="12"/>
  <c r="U5583" i="12"/>
  <c r="U5582" i="12"/>
  <c r="U5581" i="12"/>
  <c r="U5580" i="12"/>
  <c r="U5579" i="12"/>
  <c r="U5578" i="12"/>
  <c r="U5577" i="12"/>
  <c r="U5576" i="12"/>
  <c r="U5575" i="12"/>
  <c r="U5574" i="12"/>
  <c r="U5573" i="12"/>
  <c r="U5572" i="12"/>
  <c r="U5571" i="12"/>
  <c r="U5570" i="12"/>
  <c r="U5569" i="12"/>
  <c r="U5568" i="12"/>
  <c r="U5567" i="12"/>
  <c r="U5566" i="12"/>
  <c r="U5565" i="12"/>
  <c r="U5564" i="12"/>
  <c r="U5563" i="12"/>
  <c r="U5562" i="12"/>
  <c r="U5561" i="12"/>
  <c r="U5560" i="12"/>
  <c r="U5559" i="12"/>
  <c r="U5558" i="12"/>
  <c r="U5557" i="12"/>
  <c r="U5556" i="12"/>
  <c r="U5555" i="12"/>
  <c r="U5554" i="12"/>
  <c r="U5553" i="12"/>
  <c r="U5552" i="12"/>
  <c r="U5551" i="12"/>
  <c r="U5550" i="12"/>
  <c r="U5549" i="12"/>
  <c r="U5548" i="12"/>
  <c r="U5547" i="12"/>
  <c r="U5546" i="12"/>
  <c r="U5545" i="12"/>
  <c r="U5544" i="12"/>
  <c r="U5543" i="12"/>
  <c r="U5542" i="12"/>
  <c r="U5541" i="12"/>
  <c r="U5540" i="12"/>
  <c r="U5539" i="12"/>
  <c r="U5538" i="12"/>
  <c r="U5537" i="12"/>
  <c r="U5536" i="12"/>
  <c r="U5535" i="12"/>
  <c r="U5534" i="12"/>
  <c r="U5533" i="12"/>
  <c r="U5532" i="12"/>
  <c r="U5531" i="12"/>
  <c r="U5530" i="12"/>
  <c r="U5529" i="12"/>
  <c r="U5528" i="12"/>
  <c r="U5527" i="12"/>
  <c r="U5526" i="12"/>
  <c r="U5525" i="12"/>
  <c r="U5524" i="12"/>
  <c r="U5523" i="12"/>
  <c r="U5522" i="12"/>
  <c r="U5521" i="12"/>
  <c r="U5520" i="12"/>
  <c r="U5519" i="12"/>
  <c r="U5518" i="12"/>
  <c r="U5517" i="12"/>
  <c r="U5516" i="12"/>
  <c r="U5515" i="12"/>
  <c r="U5514" i="12"/>
  <c r="U5513" i="12"/>
  <c r="U5512" i="12"/>
  <c r="U5511" i="12"/>
  <c r="U5510" i="12"/>
  <c r="U5509" i="12"/>
  <c r="U5508" i="12"/>
  <c r="U5507" i="12"/>
  <c r="U5506" i="12"/>
  <c r="U5505" i="12"/>
  <c r="U5504" i="12"/>
  <c r="U5503" i="12"/>
  <c r="U5502" i="12"/>
  <c r="U5501" i="12"/>
  <c r="U5500" i="12"/>
  <c r="U5499" i="12"/>
  <c r="U5498" i="12"/>
  <c r="U5497" i="12"/>
  <c r="U5496" i="12"/>
  <c r="U5495" i="12"/>
  <c r="U5494" i="12"/>
  <c r="U5493" i="12"/>
  <c r="U5492" i="12"/>
  <c r="U5491" i="12"/>
  <c r="U5490" i="12"/>
  <c r="U5489" i="12"/>
  <c r="U5488" i="12"/>
  <c r="U5487" i="12"/>
  <c r="U5486" i="12"/>
  <c r="U5485" i="12"/>
  <c r="U5484" i="12"/>
  <c r="U5483" i="12"/>
  <c r="U5482" i="12"/>
  <c r="U5481" i="12"/>
  <c r="U5480" i="12"/>
  <c r="U5479" i="12"/>
  <c r="U5478" i="12"/>
  <c r="U5477" i="12"/>
  <c r="U5476" i="12"/>
  <c r="U5475" i="12"/>
  <c r="U5474" i="12"/>
  <c r="U5473" i="12"/>
  <c r="U5472" i="12"/>
  <c r="U5471" i="12"/>
  <c r="U5470" i="12"/>
  <c r="U5469" i="12"/>
  <c r="U5468" i="12"/>
  <c r="U5467" i="12"/>
  <c r="U5466" i="12"/>
  <c r="U5465" i="12"/>
  <c r="U5464" i="12"/>
  <c r="U5463" i="12"/>
  <c r="U5462" i="12"/>
  <c r="U5461" i="12"/>
  <c r="U5460" i="12"/>
  <c r="U5459" i="12"/>
  <c r="U5458" i="12"/>
  <c r="U5457" i="12"/>
  <c r="U5456" i="12"/>
  <c r="U5455" i="12"/>
  <c r="U5454" i="12"/>
  <c r="U5453" i="12"/>
  <c r="U5452" i="12"/>
  <c r="U5451" i="12"/>
  <c r="U5450" i="12"/>
  <c r="U5449" i="12"/>
  <c r="U5448" i="12"/>
  <c r="U5447" i="12"/>
  <c r="U5446" i="12"/>
  <c r="U5445" i="12"/>
  <c r="U5444" i="12"/>
  <c r="U5443" i="12"/>
  <c r="U5442" i="12"/>
  <c r="U5441" i="12"/>
  <c r="U5440" i="12"/>
  <c r="U5439" i="12"/>
  <c r="U5438" i="12"/>
  <c r="U5437" i="12"/>
  <c r="U5436" i="12"/>
  <c r="U5435" i="12"/>
  <c r="U5434" i="12"/>
  <c r="U5433" i="12"/>
  <c r="U5432" i="12"/>
  <c r="U5431" i="12"/>
  <c r="U5430" i="12"/>
  <c r="U5429" i="12"/>
  <c r="U5428" i="12"/>
  <c r="U5427" i="12"/>
  <c r="U5426" i="12"/>
  <c r="U5425" i="12"/>
  <c r="U5424" i="12"/>
  <c r="U5423" i="12"/>
  <c r="U5422" i="12"/>
  <c r="U5421" i="12"/>
  <c r="U5420" i="12"/>
  <c r="U5419" i="12"/>
  <c r="U5418" i="12"/>
  <c r="U5417" i="12"/>
  <c r="U5416" i="12"/>
  <c r="U5415" i="12"/>
  <c r="U5414" i="12"/>
  <c r="U5413" i="12"/>
  <c r="U5412" i="12"/>
  <c r="U5411" i="12"/>
  <c r="U5410" i="12"/>
  <c r="U5409" i="12"/>
  <c r="U5408" i="12"/>
  <c r="U5407" i="12"/>
  <c r="U5406" i="12"/>
  <c r="U5405" i="12"/>
  <c r="U5404" i="12"/>
  <c r="U5403" i="12"/>
  <c r="U5402" i="12"/>
  <c r="U5401" i="12"/>
  <c r="U5400" i="12"/>
  <c r="U5399" i="12"/>
  <c r="U5398" i="12"/>
  <c r="U5397" i="12"/>
  <c r="U5396" i="12"/>
  <c r="U5395" i="12"/>
  <c r="U5394" i="12"/>
  <c r="U5393" i="12"/>
  <c r="U5392" i="12"/>
  <c r="U5391" i="12"/>
  <c r="U5390" i="12"/>
  <c r="U5389" i="12"/>
  <c r="U5388" i="12"/>
  <c r="U5387" i="12"/>
  <c r="U5386" i="12"/>
  <c r="U5385" i="12"/>
  <c r="U5384" i="12"/>
  <c r="U5383" i="12"/>
  <c r="U5382" i="12"/>
  <c r="U5381" i="12"/>
  <c r="U5380" i="12"/>
  <c r="U5379" i="12"/>
  <c r="U5378" i="12"/>
  <c r="U5377" i="12"/>
  <c r="U5376" i="12"/>
  <c r="U5375" i="12"/>
  <c r="U5374" i="12"/>
  <c r="U5373" i="12"/>
  <c r="U5372" i="12"/>
  <c r="U5371" i="12"/>
  <c r="U5370" i="12"/>
  <c r="U5369" i="12"/>
  <c r="U5368" i="12"/>
  <c r="U5367" i="12"/>
  <c r="U5366" i="12"/>
  <c r="U5365" i="12"/>
  <c r="U5364" i="12"/>
  <c r="U5363" i="12"/>
  <c r="U5362" i="12"/>
  <c r="U5361" i="12"/>
  <c r="U5360" i="12"/>
  <c r="U5359" i="12"/>
  <c r="U5358" i="12"/>
  <c r="U5357" i="12"/>
  <c r="U5356" i="12"/>
  <c r="U5355" i="12"/>
  <c r="U5354" i="12"/>
  <c r="U5353" i="12"/>
  <c r="U5352" i="12"/>
  <c r="U5351" i="12"/>
  <c r="U5350" i="12"/>
  <c r="U5349" i="12"/>
  <c r="U5348" i="12"/>
  <c r="U5347" i="12"/>
  <c r="U5346" i="12"/>
  <c r="U5345" i="12"/>
  <c r="U5344" i="12"/>
  <c r="U5343" i="12"/>
  <c r="U5342" i="12"/>
  <c r="U5341" i="12"/>
  <c r="U5340" i="12"/>
  <c r="U5339" i="12"/>
  <c r="U5338" i="12"/>
  <c r="U5337" i="12"/>
  <c r="U5336" i="12"/>
  <c r="U5335" i="12"/>
  <c r="U5334" i="12"/>
  <c r="U5333" i="12"/>
  <c r="U5332" i="12"/>
  <c r="U5331" i="12"/>
  <c r="U5330" i="12"/>
  <c r="U5329" i="12"/>
  <c r="U5328" i="12"/>
  <c r="U5327" i="12"/>
  <c r="U5326" i="12"/>
  <c r="U5325" i="12"/>
  <c r="U5324" i="12"/>
  <c r="U5323" i="12"/>
  <c r="U5322" i="12"/>
  <c r="U5321" i="12"/>
  <c r="U5320" i="12"/>
  <c r="U5319" i="12"/>
  <c r="U5318" i="12"/>
  <c r="U5317" i="12"/>
  <c r="U5316" i="12"/>
  <c r="U5315" i="12"/>
  <c r="U5314" i="12"/>
  <c r="U5313" i="12"/>
  <c r="U5312" i="12"/>
  <c r="U5311" i="12"/>
  <c r="U5310" i="12"/>
  <c r="U5309" i="12"/>
  <c r="U5308" i="12"/>
  <c r="U5307" i="12"/>
  <c r="U5306" i="12"/>
  <c r="U5305" i="12"/>
  <c r="U5304" i="12"/>
  <c r="U5303" i="12"/>
  <c r="U5302" i="12"/>
  <c r="U5301" i="12"/>
  <c r="U5300" i="12"/>
  <c r="U5299" i="12"/>
  <c r="U5298" i="12"/>
  <c r="U5297" i="12"/>
  <c r="U5296" i="12"/>
  <c r="U5295" i="12"/>
  <c r="U5294" i="12"/>
  <c r="U5293" i="12"/>
  <c r="U5292" i="12"/>
  <c r="U5291" i="12"/>
  <c r="U5290" i="12"/>
  <c r="U5289" i="12"/>
  <c r="U5288" i="12"/>
  <c r="U5287" i="12"/>
  <c r="U5286" i="12"/>
  <c r="U5285" i="12"/>
  <c r="U5284" i="12"/>
  <c r="U5283" i="12"/>
  <c r="U5282" i="12"/>
  <c r="U5281" i="12"/>
  <c r="U5280" i="12"/>
  <c r="U5279" i="12"/>
  <c r="U5278" i="12"/>
  <c r="U5277" i="12"/>
  <c r="U5276" i="12"/>
  <c r="U5275" i="12"/>
  <c r="U5274" i="12"/>
  <c r="U5273" i="12"/>
  <c r="U5272" i="12"/>
  <c r="U5271" i="12"/>
  <c r="U5270" i="12"/>
  <c r="U5269" i="12"/>
  <c r="U5268" i="12"/>
  <c r="U5267" i="12"/>
  <c r="U5266" i="12"/>
  <c r="U5265" i="12"/>
  <c r="U5264" i="12"/>
  <c r="U5263" i="12"/>
  <c r="U5262" i="12"/>
  <c r="U5261" i="12"/>
  <c r="U5260" i="12"/>
  <c r="U5259" i="12"/>
  <c r="U5258" i="12"/>
  <c r="U5257" i="12"/>
  <c r="U5256" i="12"/>
  <c r="U5255" i="12"/>
  <c r="U5254" i="12"/>
  <c r="U5253" i="12"/>
  <c r="U5252" i="12"/>
  <c r="U5251" i="12"/>
  <c r="U5250" i="12"/>
  <c r="U5249" i="12"/>
  <c r="U5248" i="12"/>
  <c r="U5247" i="12"/>
  <c r="U5246" i="12"/>
  <c r="U5245" i="12"/>
  <c r="U5244" i="12"/>
  <c r="U5243" i="12"/>
  <c r="U5242" i="12"/>
  <c r="U5241" i="12"/>
  <c r="U5240" i="12"/>
  <c r="U5239" i="12"/>
  <c r="U5238" i="12"/>
  <c r="U5237" i="12"/>
  <c r="U5236" i="12"/>
  <c r="U5235" i="12"/>
  <c r="U5234" i="12"/>
  <c r="U5233" i="12"/>
  <c r="U5232" i="12"/>
  <c r="U5231" i="12"/>
  <c r="U5230" i="12"/>
  <c r="U5229" i="12"/>
  <c r="U5228" i="12"/>
  <c r="U5227" i="12"/>
  <c r="U5226" i="12"/>
  <c r="U5225" i="12"/>
  <c r="U5224" i="12"/>
  <c r="U5223" i="12"/>
  <c r="U5222" i="12"/>
  <c r="U5221" i="12"/>
  <c r="U5220" i="12"/>
  <c r="U5219" i="12"/>
  <c r="U5218" i="12"/>
  <c r="U5217" i="12"/>
  <c r="U5216" i="12"/>
  <c r="U5215" i="12"/>
  <c r="U5214" i="12"/>
  <c r="U5213" i="12"/>
  <c r="U5212" i="12"/>
  <c r="U5211" i="12"/>
  <c r="U5210" i="12"/>
  <c r="U5209" i="12"/>
  <c r="U5208" i="12"/>
  <c r="U5207" i="12"/>
  <c r="U5206" i="12"/>
  <c r="U5205" i="12"/>
  <c r="U5204" i="12"/>
  <c r="U5203" i="12"/>
  <c r="U5202" i="12"/>
  <c r="U5201" i="12"/>
  <c r="U5200" i="12"/>
  <c r="U5199" i="12"/>
  <c r="U5198" i="12"/>
  <c r="U5197" i="12"/>
  <c r="U5196" i="12"/>
  <c r="U5195" i="12"/>
  <c r="U5194" i="12"/>
  <c r="U5193" i="12"/>
  <c r="U5192" i="12"/>
  <c r="U5191" i="12"/>
  <c r="U5190" i="12"/>
  <c r="U5189" i="12"/>
  <c r="U5188" i="12"/>
  <c r="U5187" i="12"/>
  <c r="U5186" i="12"/>
  <c r="U5185" i="12"/>
  <c r="U5184" i="12"/>
  <c r="U5183" i="12"/>
  <c r="U5182" i="12"/>
  <c r="U5181" i="12"/>
  <c r="U5180" i="12"/>
  <c r="U5179" i="12"/>
  <c r="U5178" i="12"/>
  <c r="U5177" i="12"/>
  <c r="U5176" i="12"/>
  <c r="U5175" i="12"/>
  <c r="U5174" i="12"/>
  <c r="U5173" i="12"/>
  <c r="U5172" i="12"/>
  <c r="U5171" i="12"/>
  <c r="U5170" i="12"/>
  <c r="U5169" i="12"/>
  <c r="U5168" i="12"/>
  <c r="U5167" i="12"/>
  <c r="U5166" i="12"/>
  <c r="U5165" i="12"/>
  <c r="U5164" i="12"/>
  <c r="U5163" i="12"/>
  <c r="U5162" i="12"/>
  <c r="U5161" i="12"/>
  <c r="U5160" i="12"/>
  <c r="U5159" i="12"/>
  <c r="U5158" i="12"/>
  <c r="U5157" i="12"/>
  <c r="U5156" i="12"/>
  <c r="U5155" i="12"/>
  <c r="U5154" i="12"/>
  <c r="U5153" i="12"/>
  <c r="U5152" i="12"/>
  <c r="U5151" i="12"/>
  <c r="U5150" i="12"/>
  <c r="U5149" i="12"/>
  <c r="U5148" i="12"/>
  <c r="U5147" i="12"/>
  <c r="U5146" i="12"/>
  <c r="U5145" i="12"/>
  <c r="U5144" i="12"/>
  <c r="U5143" i="12"/>
  <c r="U5142" i="12"/>
  <c r="U5141" i="12"/>
  <c r="U5140" i="12"/>
  <c r="U5139" i="12"/>
  <c r="U5138" i="12"/>
  <c r="U5137" i="12"/>
  <c r="U5136" i="12"/>
  <c r="U5135" i="12"/>
  <c r="U5134" i="12"/>
  <c r="U5133" i="12"/>
  <c r="U5132" i="12"/>
  <c r="U5131" i="12"/>
  <c r="U5130" i="12"/>
  <c r="U5129" i="12"/>
  <c r="U5128" i="12"/>
  <c r="U5127" i="12"/>
  <c r="U5126" i="12"/>
  <c r="U5125" i="12"/>
  <c r="U5124" i="12"/>
  <c r="U5123" i="12"/>
  <c r="U5122" i="12"/>
  <c r="U5121" i="12"/>
  <c r="U5120" i="12"/>
  <c r="U5119" i="12"/>
  <c r="U5118" i="12"/>
  <c r="U5117" i="12"/>
  <c r="U5116" i="12"/>
  <c r="U5115" i="12"/>
  <c r="U5114" i="12"/>
  <c r="U5113" i="12"/>
  <c r="U5112" i="12"/>
  <c r="U5111" i="12"/>
  <c r="U5110" i="12"/>
  <c r="U5109" i="12"/>
  <c r="U5108" i="12"/>
  <c r="U5107" i="12"/>
  <c r="U5106" i="12"/>
  <c r="U5105" i="12"/>
  <c r="U5104" i="12"/>
  <c r="U5103" i="12"/>
  <c r="U5102" i="12"/>
  <c r="U5101" i="12"/>
  <c r="U5100" i="12"/>
  <c r="U5099" i="12"/>
  <c r="U5098" i="12"/>
  <c r="U5097" i="12"/>
  <c r="U5096" i="12"/>
  <c r="U5095" i="12"/>
  <c r="U5094" i="12"/>
  <c r="U5093" i="12"/>
  <c r="U5092" i="12"/>
  <c r="U5091" i="12"/>
  <c r="U5090" i="12"/>
  <c r="U5089" i="12"/>
  <c r="U5088" i="12"/>
  <c r="U5087" i="12"/>
  <c r="U5086" i="12"/>
  <c r="U5085" i="12"/>
  <c r="U5084" i="12"/>
  <c r="U5083" i="12"/>
  <c r="U5082" i="12"/>
  <c r="U5081" i="12"/>
  <c r="U5080" i="12"/>
  <c r="U5079" i="12"/>
  <c r="U5078" i="12"/>
  <c r="U5077" i="12"/>
  <c r="U5076" i="12"/>
  <c r="U5075" i="12"/>
  <c r="U5074" i="12"/>
  <c r="U5073" i="12"/>
  <c r="U5072" i="12"/>
  <c r="U5071" i="12"/>
  <c r="U5070" i="12"/>
  <c r="U5069" i="12"/>
  <c r="U5068" i="12"/>
  <c r="U5067" i="12"/>
  <c r="U5066" i="12"/>
  <c r="U5065" i="12"/>
  <c r="U5064" i="12"/>
  <c r="U5063" i="12"/>
  <c r="U5062" i="12"/>
  <c r="U5061" i="12"/>
  <c r="U5060" i="12"/>
  <c r="U5059" i="12"/>
  <c r="U5058" i="12"/>
  <c r="U5057" i="12"/>
  <c r="U5056" i="12"/>
  <c r="U5055" i="12"/>
  <c r="U5054" i="12"/>
  <c r="U5053" i="12"/>
  <c r="U5052" i="12"/>
  <c r="U5051" i="12"/>
  <c r="U5050" i="12"/>
  <c r="U5049" i="12"/>
  <c r="U5048" i="12"/>
  <c r="U5047" i="12"/>
  <c r="U5046" i="12"/>
  <c r="U5045" i="12"/>
  <c r="U5044" i="12"/>
  <c r="U5043" i="12"/>
  <c r="U5042" i="12"/>
  <c r="U5041" i="12"/>
  <c r="U5040" i="12"/>
  <c r="U5039" i="12"/>
  <c r="U5038" i="12"/>
  <c r="U5037" i="12"/>
  <c r="U5036" i="12"/>
  <c r="U5035" i="12"/>
  <c r="U5034" i="12"/>
  <c r="U5033" i="12"/>
  <c r="U5032" i="12"/>
  <c r="U5031" i="12"/>
  <c r="U5030" i="12"/>
  <c r="U5029" i="12"/>
  <c r="U5028" i="12"/>
  <c r="U5027" i="12"/>
  <c r="U5026" i="12"/>
  <c r="U5025" i="12"/>
  <c r="U5024" i="12"/>
  <c r="U5023" i="12"/>
  <c r="U5022" i="12"/>
  <c r="U5021" i="12"/>
  <c r="U5020" i="12"/>
  <c r="U5019" i="12"/>
  <c r="U5018" i="12"/>
  <c r="U5017" i="12"/>
  <c r="U5016" i="12"/>
  <c r="U5015" i="12"/>
  <c r="U5014" i="12"/>
  <c r="U5013" i="12"/>
  <c r="U5012" i="12"/>
  <c r="U5011" i="12"/>
  <c r="U5010" i="12"/>
  <c r="U5009" i="12"/>
  <c r="U5008" i="12"/>
  <c r="U5007" i="12"/>
  <c r="U5006" i="12"/>
  <c r="U5005" i="12"/>
  <c r="U5004" i="12"/>
  <c r="U5003" i="12"/>
  <c r="U5002" i="12"/>
  <c r="U5001" i="12"/>
  <c r="U5000" i="12"/>
  <c r="U4999" i="12"/>
  <c r="U4998" i="12"/>
  <c r="U4997" i="12"/>
  <c r="U4996" i="12"/>
  <c r="U4995" i="12"/>
  <c r="U4994" i="12"/>
  <c r="U4993" i="12"/>
  <c r="U4992" i="12"/>
  <c r="U4991" i="12"/>
  <c r="U4990" i="12"/>
  <c r="U4989" i="12"/>
  <c r="U4988" i="12"/>
  <c r="U4987" i="12"/>
  <c r="U4986" i="12"/>
  <c r="U4985" i="12"/>
  <c r="U4984" i="12"/>
  <c r="U4983" i="12"/>
  <c r="U4982" i="12"/>
  <c r="U4981" i="12"/>
  <c r="U4980" i="12"/>
  <c r="U4979" i="12"/>
  <c r="U4978" i="12"/>
  <c r="U4977" i="12"/>
  <c r="U4976" i="12"/>
  <c r="U4975" i="12"/>
  <c r="U4974" i="12"/>
  <c r="U4973" i="12"/>
  <c r="U4972" i="12"/>
  <c r="U4971" i="12"/>
  <c r="U4970" i="12"/>
  <c r="U4969" i="12"/>
  <c r="U4968" i="12"/>
  <c r="U4967" i="12"/>
  <c r="U4966" i="12"/>
  <c r="U4965" i="12"/>
  <c r="U4964" i="12"/>
  <c r="U4963" i="12"/>
  <c r="U4962" i="12"/>
  <c r="U4961" i="12"/>
  <c r="U4960" i="12"/>
  <c r="U4959" i="12"/>
  <c r="U4958" i="12"/>
  <c r="U4957" i="12"/>
  <c r="U4956" i="12"/>
  <c r="U4955" i="12"/>
  <c r="U4954" i="12"/>
  <c r="U4953" i="12"/>
  <c r="U4952" i="12"/>
  <c r="U4951" i="12"/>
  <c r="U4950" i="12"/>
  <c r="U4949" i="12"/>
  <c r="U4948" i="12"/>
  <c r="U4947" i="12"/>
  <c r="U4946" i="12"/>
  <c r="U4945" i="12"/>
  <c r="U4944" i="12"/>
  <c r="U4943" i="12"/>
  <c r="U4942" i="12"/>
  <c r="U4941" i="12"/>
  <c r="U4940" i="12"/>
  <c r="U4939" i="12"/>
  <c r="U4938" i="12"/>
  <c r="U4937" i="12"/>
  <c r="U4936" i="12"/>
  <c r="U4935" i="12"/>
  <c r="U4934" i="12"/>
  <c r="U4933" i="12"/>
  <c r="U4932" i="12"/>
  <c r="U4931" i="12"/>
  <c r="U4930" i="12"/>
  <c r="U4929" i="12"/>
  <c r="U4928" i="12"/>
  <c r="U4927" i="12"/>
  <c r="U4926" i="12"/>
  <c r="U4925" i="12"/>
  <c r="U4924" i="12"/>
  <c r="U4923" i="12"/>
  <c r="U4922" i="12"/>
  <c r="U4921" i="12"/>
  <c r="U4920" i="12"/>
  <c r="U4919" i="12"/>
  <c r="U4918" i="12"/>
  <c r="U4917" i="12"/>
  <c r="U4916" i="12"/>
  <c r="U4915" i="12"/>
  <c r="U4914" i="12"/>
  <c r="U4913" i="12"/>
  <c r="U4912" i="12"/>
  <c r="U4911" i="12"/>
  <c r="U4910" i="12"/>
  <c r="U4909" i="12"/>
  <c r="U4908" i="12"/>
  <c r="U4907" i="12"/>
  <c r="U4906" i="12"/>
  <c r="U4905" i="12"/>
  <c r="U4904" i="12"/>
  <c r="U4903" i="12"/>
  <c r="U4902" i="12"/>
  <c r="U4901" i="12"/>
  <c r="U4900" i="12"/>
  <c r="U4899" i="12"/>
  <c r="U4898" i="12"/>
  <c r="U4897" i="12"/>
  <c r="U4896" i="12"/>
  <c r="U4895" i="12"/>
  <c r="U4894" i="12"/>
  <c r="U4893" i="12"/>
  <c r="U4892" i="12"/>
  <c r="U4891" i="12"/>
  <c r="U4890" i="12"/>
  <c r="U4889" i="12"/>
  <c r="U4888" i="12"/>
  <c r="U4887" i="12"/>
  <c r="U4886" i="12"/>
  <c r="U4885" i="12"/>
  <c r="U4884" i="12"/>
  <c r="U4883" i="12"/>
  <c r="U4882" i="12"/>
  <c r="U4881" i="12"/>
  <c r="U4880" i="12"/>
  <c r="U4879" i="12"/>
  <c r="U4878" i="12"/>
  <c r="U4877" i="12"/>
  <c r="U4876" i="12"/>
  <c r="U4875" i="12"/>
  <c r="U4874" i="12"/>
  <c r="U4873" i="12"/>
  <c r="U4872" i="12"/>
  <c r="U4871" i="12"/>
  <c r="U4870" i="12"/>
  <c r="U4869" i="12"/>
  <c r="U4868" i="12"/>
  <c r="U4867" i="12"/>
  <c r="U4866" i="12"/>
  <c r="U4865" i="12"/>
  <c r="U4864" i="12"/>
  <c r="U4863" i="12"/>
  <c r="U4862" i="12"/>
  <c r="U4861" i="12"/>
  <c r="U4860" i="12"/>
  <c r="U4859" i="12"/>
  <c r="U4858" i="12"/>
  <c r="U4857" i="12"/>
  <c r="U4856" i="12"/>
  <c r="U4855" i="12"/>
  <c r="U4854" i="12"/>
  <c r="U4853" i="12"/>
  <c r="U4852" i="12"/>
  <c r="U4851" i="12"/>
  <c r="U4850" i="12"/>
  <c r="U4849" i="12"/>
  <c r="U4848" i="12"/>
  <c r="U4847" i="12"/>
  <c r="U4846" i="12"/>
  <c r="U4845" i="12"/>
  <c r="U4844" i="12"/>
  <c r="U4843" i="12"/>
  <c r="U4842" i="12"/>
  <c r="U4841" i="12"/>
  <c r="U4840" i="12"/>
  <c r="U4839" i="12"/>
  <c r="U4838" i="12"/>
  <c r="U4837" i="12"/>
  <c r="U4836" i="12"/>
  <c r="U4835" i="12"/>
  <c r="U4834" i="12"/>
  <c r="U4833" i="12"/>
  <c r="U4832" i="12"/>
  <c r="U4831" i="12"/>
  <c r="U4830" i="12"/>
  <c r="U4829" i="12"/>
  <c r="U4828" i="12"/>
  <c r="U4827" i="12"/>
  <c r="U4826" i="12"/>
  <c r="U4825" i="12"/>
  <c r="U4824" i="12"/>
  <c r="U4823" i="12"/>
  <c r="U4822" i="12"/>
  <c r="U4821" i="12"/>
  <c r="U4820" i="12"/>
  <c r="U4819" i="12"/>
  <c r="U4818" i="12"/>
  <c r="U4817" i="12"/>
  <c r="U4816" i="12"/>
  <c r="U4815" i="12"/>
  <c r="U4814" i="12"/>
  <c r="U4813" i="12"/>
  <c r="U4812" i="12"/>
  <c r="U4811" i="12"/>
  <c r="U4810" i="12"/>
  <c r="U4809" i="12"/>
  <c r="U4808" i="12"/>
  <c r="U4807" i="12"/>
  <c r="U4806" i="12"/>
  <c r="U4805" i="12"/>
  <c r="U4804" i="12"/>
  <c r="U4803" i="12"/>
  <c r="U4802" i="12"/>
  <c r="U4801" i="12"/>
  <c r="U4800" i="12"/>
  <c r="U4799" i="12"/>
  <c r="U4798" i="12"/>
  <c r="U4797" i="12"/>
  <c r="U4796" i="12"/>
  <c r="U4795" i="12"/>
  <c r="U4794" i="12"/>
  <c r="U4793" i="12"/>
  <c r="U4792" i="12"/>
  <c r="U4791" i="12"/>
  <c r="U4790" i="12"/>
  <c r="U4789" i="12"/>
  <c r="U4788" i="12"/>
  <c r="U4787" i="12"/>
  <c r="U4786" i="12"/>
  <c r="U4785" i="12"/>
  <c r="U4784" i="12"/>
  <c r="U4783" i="12"/>
  <c r="U4782" i="12"/>
  <c r="U4781" i="12"/>
  <c r="U4780" i="12"/>
  <c r="U4779" i="12"/>
  <c r="U4778" i="12"/>
  <c r="U4777" i="12"/>
  <c r="U4776" i="12"/>
  <c r="U4775" i="12"/>
  <c r="U4774" i="12"/>
  <c r="U4773" i="12"/>
  <c r="U4772" i="12"/>
  <c r="U4771" i="12"/>
  <c r="U4770" i="12"/>
  <c r="U4769" i="12"/>
  <c r="U4768" i="12"/>
  <c r="U4767" i="12"/>
  <c r="U4766" i="12"/>
  <c r="U4765" i="12"/>
  <c r="U4764" i="12"/>
  <c r="U4763" i="12"/>
  <c r="U4762" i="12"/>
  <c r="U4761" i="12"/>
  <c r="U4760" i="12"/>
  <c r="U4759" i="12"/>
  <c r="U4758" i="12"/>
  <c r="U4757" i="12"/>
  <c r="U4756" i="12"/>
  <c r="U4755" i="12"/>
  <c r="U4754" i="12"/>
  <c r="U4753" i="12"/>
  <c r="U4752" i="12"/>
  <c r="U4751" i="12"/>
  <c r="U4750" i="12"/>
  <c r="U4749" i="12"/>
  <c r="U4748" i="12"/>
  <c r="U4747" i="12"/>
  <c r="U4746" i="12"/>
  <c r="U4745" i="12"/>
  <c r="U4744" i="12"/>
  <c r="U4743" i="12"/>
  <c r="U4742" i="12"/>
  <c r="U4741" i="12"/>
  <c r="U4740" i="12"/>
  <c r="U4739" i="12"/>
  <c r="U4738" i="12"/>
  <c r="U4737" i="12"/>
  <c r="U4736" i="12"/>
  <c r="U4735" i="12"/>
  <c r="U4734" i="12"/>
  <c r="U4733" i="12"/>
  <c r="U4732" i="12"/>
  <c r="U4731" i="12"/>
  <c r="U4730" i="12"/>
  <c r="U4729" i="12"/>
  <c r="U4728" i="12"/>
  <c r="U4727" i="12"/>
  <c r="U4726" i="12"/>
  <c r="U4725" i="12"/>
  <c r="U4724" i="12"/>
  <c r="U4723" i="12"/>
  <c r="U4722" i="12"/>
  <c r="U4721" i="12"/>
  <c r="U4720" i="12"/>
  <c r="U4719" i="12"/>
  <c r="U4718" i="12"/>
  <c r="U4717" i="12"/>
  <c r="U4716" i="12"/>
  <c r="U4715" i="12"/>
  <c r="U4714" i="12"/>
  <c r="U4713" i="12"/>
  <c r="U4712" i="12"/>
  <c r="U4711" i="12"/>
  <c r="U4710" i="12"/>
  <c r="U4709" i="12"/>
  <c r="U4708" i="12"/>
  <c r="U4707" i="12"/>
  <c r="U4706" i="12"/>
  <c r="U4705" i="12"/>
  <c r="U4704" i="12"/>
  <c r="U4703" i="12"/>
  <c r="U4702" i="12"/>
  <c r="U4701" i="12"/>
  <c r="U4700" i="12"/>
  <c r="U4699" i="12"/>
  <c r="U4698" i="12"/>
  <c r="U4697" i="12"/>
  <c r="U4696" i="12"/>
  <c r="U4695" i="12"/>
  <c r="U4694" i="12"/>
  <c r="U4693" i="12"/>
  <c r="U4692" i="12"/>
  <c r="U4691" i="12"/>
  <c r="U4690" i="12"/>
  <c r="U4689" i="12"/>
  <c r="U4688" i="12"/>
  <c r="U4687" i="12"/>
  <c r="U4686" i="12"/>
  <c r="U4685" i="12"/>
  <c r="U4684" i="12"/>
  <c r="U4683" i="12"/>
  <c r="U4682" i="12"/>
  <c r="U4681" i="12"/>
  <c r="U4680" i="12"/>
  <c r="U4679" i="12"/>
  <c r="U4678" i="12"/>
  <c r="U4677" i="12"/>
  <c r="U4676" i="12"/>
  <c r="U4675" i="12"/>
  <c r="U4674" i="12"/>
  <c r="U4673" i="12"/>
  <c r="U4672" i="12"/>
  <c r="U4671" i="12"/>
  <c r="U4670" i="12"/>
  <c r="U4669" i="12"/>
  <c r="U4668" i="12"/>
  <c r="U4667" i="12"/>
  <c r="U4666" i="12"/>
  <c r="U4665" i="12"/>
  <c r="U4664" i="12"/>
  <c r="U4663" i="12"/>
  <c r="U4662" i="12"/>
  <c r="U4661" i="12"/>
  <c r="U4660" i="12"/>
  <c r="U4659" i="12"/>
  <c r="U4658" i="12"/>
  <c r="U4657" i="12"/>
  <c r="U4656" i="12"/>
  <c r="U4655" i="12"/>
  <c r="U4654" i="12"/>
  <c r="U4653" i="12"/>
  <c r="U4652" i="12"/>
  <c r="U4651" i="12"/>
  <c r="U4650" i="12"/>
  <c r="U4649" i="12"/>
  <c r="U4648" i="12"/>
  <c r="U4647" i="12"/>
  <c r="U4646" i="12"/>
  <c r="U4645" i="12"/>
  <c r="U4644" i="12"/>
  <c r="U4643" i="12"/>
  <c r="U4642" i="12"/>
  <c r="U4641" i="12"/>
  <c r="U4640" i="12"/>
  <c r="U4639" i="12"/>
  <c r="U4638" i="12"/>
  <c r="U4637" i="12"/>
  <c r="U4636" i="12"/>
  <c r="U4635" i="12"/>
  <c r="U4634" i="12"/>
  <c r="U4633" i="12"/>
  <c r="U4632" i="12"/>
  <c r="U4631" i="12"/>
  <c r="U4630" i="12"/>
  <c r="U4629" i="12"/>
  <c r="U4628" i="12"/>
  <c r="U4627" i="12"/>
  <c r="U4626" i="12"/>
  <c r="U4625" i="12"/>
  <c r="U4624" i="12"/>
  <c r="U4623" i="12"/>
  <c r="U4622" i="12"/>
  <c r="U4621" i="12"/>
  <c r="U4620" i="12"/>
  <c r="U4619" i="12"/>
  <c r="U4618" i="12"/>
  <c r="U4617" i="12"/>
  <c r="U4616" i="12"/>
  <c r="U4615" i="12"/>
  <c r="U4614" i="12"/>
  <c r="U4613" i="12"/>
  <c r="U4612" i="12"/>
  <c r="U4611" i="12"/>
  <c r="U4610" i="12"/>
  <c r="U4609" i="12"/>
  <c r="U4608" i="12"/>
  <c r="U4607" i="12"/>
  <c r="U4606" i="12"/>
  <c r="U4605" i="12"/>
  <c r="U4604" i="12"/>
  <c r="U4603" i="12"/>
  <c r="U4602" i="12"/>
  <c r="U4601" i="12"/>
  <c r="U4600" i="12"/>
  <c r="U4599" i="12"/>
  <c r="U4598" i="12"/>
  <c r="U4597" i="12"/>
  <c r="U4596" i="12"/>
  <c r="U4595" i="12"/>
  <c r="U4594" i="12"/>
  <c r="U4593" i="12"/>
  <c r="U4592" i="12"/>
  <c r="U4591" i="12"/>
  <c r="U4590" i="12"/>
  <c r="U4589" i="12"/>
  <c r="U4588" i="12"/>
  <c r="U4587" i="12"/>
  <c r="U4586" i="12"/>
  <c r="U4585" i="12"/>
  <c r="U4584" i="12"/>
  <c r="U4583" i="12"/>
  <c r="U4582" i="12"/>
  <c r="U4581" i="12"/>
  <c r="U4580" i="12"/>
  <c r="U4579" i="12"/>
  <c r="U4578" i="12"/>
  <c r="U4577" i="12"/>
  <c r="U4576" i="12"/>
  <c r="U4575" i="12"/>
  <c r="U4574" i="12"/>
  <c r="U4573" i="12"/>
  <c r="U4572" i="12"/>
  <c r="U4571" i="12"/>
  <c r="U4570" i="12"/>
  <c r="U4569" i="12"/>
  <c r="U4568" i="12"/>
  <c r="U4567" i="12"/>
  <c r="U4566" i="12"/>
  <c r="U4565" i="12"/>
  <c r="U4564" i="12"/>
  <c r="U4563" i="12"/>
  <c r="U4562" i="12"/>
  <c r="U4561" i="12"/>
  <c r="U4560" i="12"/>
  <c r="U4559" i="12"/>
  <c r="U4558" i="12"/>
  <c r="U4557" i="12"/>
  <c r="U4556" i="12"/>
  <c r="U4555" i="12"/>
  <c r="U4554" i="12"/>
  <c r="U4553" i="12"/>
  <c r="U4552" i="12"/>
  <c r="U4551" i="12"/>
  <c r="U4550" i="12"/>
  <c r="U4549" i="12"/>
  <c r="U4548" i="12"/>
  <c r="U4547" i="12"/>
  <c r="U4546" i="12"/>
  <c r="U4545" i="12"/>
  <c r="U4544" i="12"/>
  <c r="U4543" i="12"/>
  <c r="U4542" i="12"/>
  <c r="U4541" i="12"/>
  <c r="U4540" i="12"/>
  <c r="U4539" i="12"/>
  <c r="U4538" i="12"/>
  <c r="U4537" i="12"/>
  <c r="U4536" i="12"/>
  <c r="U4535" i="12"/>
  <c r="U4534" i="12"/>
  <c r="U4533" i="12"/>
  <c r="U4532" i="12"/>
  <c r="U4531" i="12"/>
  <c r="U4530" i="12"/>
  <c r="U4529" i="12"/>
  <c r="U4528" i="12"/>
  <c r="U4527" i="12"/>
  <c r="U4526" i="12"/>
  <c r="U4525" i="12"/>
  <c r="U4524" i="12"/>
  <c r="U4523" i="12"/>
  <c r="U4522" i="12"/>
  <c r="U4521" i="12"/>
  <c r="U4520" i="12"/>
  <c r="U4519" i="12"/>
  <c r="U4518" i="12"/>
  <c r="U4517" i="12"/>
  <c r="U4516" i="12"/>
  <c r="U4515" i="12"/>
  <c r="U4514" i="12"/>
  <c r="U4513" i="12"/>
  <c r="U4512" i="12"/>
  <c r="U4511" i="12"/>
  <c r="U4510" i="12"/>
  <c r="U4509" i="12"/>
  <c r="U4508" i="12"/>
  <c r="U4507" i="12"/>
  <c r="U4506" i="12"/>
  <c r="U4505" i="12"/>
  <c r="U4504" i="12"/>
  <c r="U4503" i="12"/>
  <c r="U4502" i="12"/>
  <c r="U4501" i="12"/>
  <c r="U4500" i="12"/>
  <c r="U4499" i="12"/>
  <c r="U4498" i="12"/>
  <c r="U4497" i="12"/>
  <c r="U4496" i="12"/>
  <c r="U4495" i="12"/>
  <c r="U4494" i="12"/>
  <c r="U4493" i="12"/>
  <c r="U4492" i="12"/>
  <c r="U4491" i="12"/>
  <c r="U4490" i="12"/>
  <c r="U4489" i="12"/>
  <c r="U4488" i="12"/>
  <c r="U4487" i="12"/>
  <c r="U4486" i="12"/>
  <c r="U4485" i="12"/>
  <c r="U4484" i="12"/>
  <c r="U4483" i="12"/>
  <c r="U4482" i="12"/>
  <c r="U4481" i="12"/>
  <c r="U4480" i="12"/>
  <c r="U4479" i="12"/>
  <c r="U4478" i="12"/>
  <c r="U4477" i="12"/>
  <c r="U4476" i="12"/>
  <c r="U4475" i="12"/>
  <c r="U4474" i="12"/>
  <c r="U4473" i="12"/>
  <c r="U4472" i="12"/>
  <c r="U4471" i="12"/>
  <c r="U4470" i="12"/>
  <c r="U4469" i="12"/>
  <c r="U4468" i="12"/>
  <c r="U4467" i="12"/>
  <c r="U4466" i="12"/>
  <c r="U4465" i="12"/>
  <c r="U4464" i="12"/>
  <c r="U4463" i="12"/>
  <c r="U4462" i="12"/>
  <c r="U4461" i="12"/>
  <c r="U4460" i="12"/>
  <c r="U4459" i="12"/>
  <c r="U4458" i="12"/>
  <c r="U4457" i="12"/>
  <c r="U4456" i="12"/>
  <c r="U4455" i="12"/>
  <c r="U4454" i="12"/>
  <c r="U4453" i="12"/>
  <c r="U4452" i="12"/>
  <c r="U4451" i="12"/>
  <c r="U4450" i="12"/>
  <c r="U4449" i="12"/>
  <c r="U4448" i="12"/>
  <c r="U4447" i="12"/>
  <c r="U4446" i="12"/>
  <c r="U4445" i="12"/>
  <c r="U4444" i="12"/>
  <c r="U4443" i="12"/>
  <c r="U4442" i="12"/>
  <c r="U4441" i="12"/>
  <c r="U4440" i="12"/>
  <c r="U4439" i="12"/>
  <c r="U4438" i="12"/>
  <c r="U4437" i="12"/>
  <c r="U4436" i="12"/>
  <c r="U4435" i="12"/>
  <c r="U4434" i="12"/>
  <c r="U4433" i="12"/>
  <c r="U4432" i="12"/>
  <c r="U4431" i="12"/>
  <c r="U4430" i="12"/>
  <c r="U4429" i="12"/>
  <c r="U4428" i="12"/>
  <c r="U4427" i="12"/>
  <c r="U4426" i="12"/>
  <c r="U4425" i="12"/>
  <c r="U4424" i="12"/>
  <c r="U4423" i="12"/>
  <c r="U4422" i="12"/>
  <c r="U4421" i="12"/>
  <c r="U4420" i="12"/>
  <c r="U4419" i="12"/>
  <c r="U4418" i="12"/>
  <c r="U4417" i="12"/>
  <c r="U4416" i="12"/>
  <c r="U4415" i="12"/>
  <c r="U4414" i="12"/>
  <c r="U4413" i="12"/>
  <c r="U4412" i="12"/>
  <c r="U4411" i="12"/>
  <c r="U4410" i="12"/>
  <c r="U4409" i="12"/>
  <c r="U4408" i="12"/>
  <c r="U4407" i="12"/>
  <c r="U4406" i="12"/>
  <c r="U4405" i="12"/>
  <c r="U4404" i="12"/>
  <c r="U4403" i="12"/>
  <c r="U4402" i="12"/>
  <c r="U4401" i="12"/>
  <c r="U4400" i="12"/>
  <c r="U4399" i="12"/>
  <c r="U4398" i="12"/>
  <c r="U4397" i="12"/>
  <c r="U4396" i="12"/>
  <c r="U4395" i="12"/>
  <c r="U4394" i="12"/>
  <c r="U4393" i="12"/>
  <c r="U4392" i="12"/>
  <c r="U4391" i="12"/>
  <c r="U4390" i="12"/>
  <c r="U4389" i="12"/>
  <c r="U4388" i="12"/>
  <c r="U4387" i="12"/>
  <c r="U4386" i="12"/>
  <c r="U4385" i="12"/>
  <c r="U4384" i="12"/>
  <c r="U4383" i="12"/>
  <c r="U4382" i="12"/>
  <c r="U4381" i="12"/>
  <c r="U4380" i="12"/>
  <c r="U4379" i="12"/>
  <c r="U4378" i="12"/>
  <c r="U4377" i="12"/>
  <c r="U4376" i="12"/>
  <c r="U4375" i="12"/>
  <c r="U4374" i="12"/>
  <c r="U4373" i="12"/>
  <c r="U4372" i="12"/>
  <c r="U4371" i="12"/>
  <c r="U4370" i="12"/>
  <c r="U4369" i="12"/>
  <c r="U4368" i="12"/>
  <c r="U4367" i="12"/>
  <c r="U4366" i="12"/>
  <c r="U4365" i="12"/>
  <c r="U4364" i="12"/>
  <c r="U4363" i="12"/>
  <c r="U4362" i="12"/>
  <c r="U4361" i="12"/>
  <c r="U4360" i="12"/>
  <c r="U4359" i="12"/>
  <c r="U4358" i="12"/>
  <c r="U4357" i="12"/>
  <c r="U4356" i="12"/>
  <c r="U4355" i="12"/>
  <c r="U4354" i="12"/>
  <c r="U4353" i="12"/>
  <c r="U4352" i="12"/>
  <c r="U4351" i="12"/>
  <c r="U4350" i="12"/>
  <c r="U4349" i="12"/>
  <c r="U4348" i="12"/>
  <c r="U4347" i="12"/>
  <c r="U4346" i="12"/>
  <c r="U4345" i="12"/>
  <c r="U4344" i="12"/>
  <c r="U4343" i="12"/>
  <c r="U4342" i="12"/>
  <c r="U4341" i="12"/>
  <c r="U4340" i="12"/>
  <c r="U4339" i="12"/>
  <c r="U4338" i="12"/>
  <c r="U4337" i="12"/>
  <c r="U4336" i="12"/>
  <c r="U4335" i="12"/>
  <c r="U4334" i="12"/>
  <c r="U4333" i="12"/>
  <c r="U4332" i="12"/>
  <c r="U4331" i="12"/>
  <c r="U4330" i="12"/>
  <c r="U4329" i="12"/>
  <c r="U4328" i="12"/>
  <c r="U4327" i="12"/>
  <c r="U4326" i="12"/>
  <c r="U4325" i="12"/>
  <c r="U4324" i="12"/>
  <c r="U4323" i="12"/>
  <c r="U4322" i="12"/>
  <c r="U4321" i="12"/>
  <c r="U4320" i="12"/>
  <c r="U4319" i="12"/>
  <c r="U4318" i="12"/>
  <c r="U4317" i="12"/>
  <c r="U4316" i="12"/>
  <c r="U4315" i="12"/>
  <c r="U4314" i="12"/>
  <c r="U4313" i="12"/>
  <c r="U4312" i="12"/>
  <c r="U4311" i="12"/>
  <c r="U4310" i="12"/>
  <c r="U4309" i="12"/>
  <c r="U4308" i="12"/>
  <c r="U4307" i="12"/>
  <c r="U4306" i="12"/>
  <c r="U4305" i="12"/>
  <c r="U4304" i="12"/>
  <c r="U4303" i="12"/>
  <c r="U4302" i="12"/>
  <c r="U4301" i="12"/>
  <c r="U4300" i="12"/>
  <c r="U4299" i="12"/>
  <c r="U4298" i="12"/>
  <c r="U4297" i="12"/>
  <c r="U4296" i="12"/>
  <c r="U4295" i="12"/>
  <c r="U4294" i="12"/>
  <c r="U4293" i="12"/>
  <c r="U4292" i="12"/>
  <c r="U4291" i="12"/>
  <c r="U4290" i="12"/>
  <c r="U4289" i="12"/>
  <c r="U4288" i="12"/>
  <c r="U4287" i="12"/>
  <c r="U4286" i="12"/>
  <c r="U4285" i="12"/>
  <c r="U4284" i="12"/>
  <c r="U4283" i="12"/>
  <c r="U4282" i="12"/>
  <c r="U4281" i="12"/>
  <c r="U4280" i="12"/>
  <c r="U4279" i="12"/>
  <c r="U4278" i="12"/>
  <c r="U4277" i="12"/>
  <c r="U4276" i="12"/>
  <c r="U4275" i="12"/>
  <c r="U4274" i="12"/>
  <c r="U4273" i="12"/>
  <c r="U4272" i="12"/>
  <c r="U4271" i="12"/>
  <c r="U4270" i="12"/>
  <c r="U4269" i="12"/>
  <c r="U4268" i="12"/>
  <c r="U4267" i="12"/>
  <c r="U4266" i="12"/>
  <c r="U4265" i="12"/>
  <c r="U4264" i="12"/>
  <c r="U4263" i="12"/>
  <c r="U4262" i="12"/>
  <c r="U4261" i="12"/>
  <c r="U4260" i="12"/>
  <c r="U4259" i="12"/>
  <c r="U4258" i="12"/>
  <c r="U4257" i="12"/>
  <c r="U4256" i="12"/>
  <c r="U4255" i="12"/>
  <c r="U4254" i="12"/>
  <c r="U4253" i="12"/>
  <c r="U4252" i="12"/>
  <c r="U4251" i="12"/>
  <c r="U4250" i="12"/>
  <c r="U4249" i="12"/>
  <c r="U4248" i="12"/>
  <c r="U4247" i="12"/>
  <c r="U4246" i="12"/>
  <c r="U4245" i="12"/>
  <c r="U4244" i="12"/>
  <c r="U4243" i="12"/>
  <c r="U4242" i="12"/>
  <c r="U4241" i="12"/>
  <c r="U4240" i="12"/>
  <c r="U4239" i="12"/>
  <c r="U4238" i="12"/>
  <c r="U4237" i="12"/>
  <c r="U4236" i="12"/>
  <c r="U4235" i="12"/>
  <c r="U4234" i="12"/>
  <c r="U4233" i="12"/>
  <c r="U4232" i="12"/>
  <c r="U4231" i="12"/>
  <c r="U4230" i="12"/>
  <c r="U4229" i="12"/>
  <c r="U4228" i="12"/>
  <c r="U4227" i="12"/>
  <c r="U4226" i="12"/>
  <c r="U4225" i="12"/>
  <c r="U4224" i="12"/>
  <c r="U4223" i="12"/>
  <c r="U4222" i="12"/>
  <c r="U4221" i="12"/>
  <c r="U4220" i="12"/>
  <c r="U4219" i="12"/>
  <c r="U4218" i="12"/>
  <c r="U4217" i="12"/>
  <c r="U4216" i="12"/>
  <c r="U4215" i="12"/>
  <c r="U4214" i="12"/>
  <c r="U4213" i="12"/>
  <c r="U4212" i="12"/>
  <c r="U4211" i="12"/>
  <c r="U4210" i="12"/>
  <c r="U4209" i="12"/>
  <c r="U4208" i="12"/>
  <c r="U4207" i="12"/>
  <c r="U4206" i="12"/>
  <c r="U4205" i="12"/>
  <c r="U4204" i="12"/>
  <c r="U4203" i="12"/>
  <c r="U4202" i="12"/>
  <c r="U4201" i="12"/>
  <c r="U4200" i="12"/>
  <c r="U4199" i="12"/>
  <c r="U4198" i="12"/>
  <c r="U4197" i="12"/>
  <c r="U4196" i="12"/>
  <c r="U4195" i="12"/>
  <c r="U4194" i="12"/>
  <c r="U4193" i="12"/>
  <c r="U4192" i="12"/>
  <c r="U4191" i="12"/>
  <c r="U4190" i="12"/>
  <c r="U4189" i="12"/>
  <c r="U4188" i="12"/>
  <c r="U4187" i="12"/>
  <c r="U4186" i="12"/>
  <c r="U4185" i="12"/>
  <c r="U4184" i="12"/>
  <c r="U4183" i="12"/>
  <c r="U4182" i="12"/>
  <c r="U4181" i="12"/>
  <c r="U4180" i="12"/>
  <c r="U4179" i="12"/>
  <c r="U4178" i="12"/>
  <c r="U4177" i="12"/>
  <c r="U4176" i="12"/>
  <c r="U4175" i="12"/>
  <c r="U4174" i="12"/>
  <c r="U4173" i="12"/>
  <c r="U4172" i="12"/>
  <c r="U4171" i="12"/>
  <c r="U4170" i="12"/>
  <c r="U4169" i="12"/>
  <c r="U4168" i="12"/>
  <c r="U4167" i="12"/>
  <c r="U4166" i="12"/>
  <c r="U4165" i="12"/>
  <c r="U4164" i="12"/>
  <c r="U4163" i="12"/>
  <c r="U4162" i="12"/>
  <c r="U4161" i="12"/>
  <c r="U4160" i="12"/>
  <c r="U4159" i="12"/>
  <c r="U4158" i="12"/>
  <c r="U4157" i="12"/>
  <c r="U4156" i="12"/>
  <c r="U4155" i="12"/>
  <c r="U4154" i="12"/>
  <c r="U4153" i="12"/>
  <c r="U4152" i="12"/>
  <c r="U4151" i="12"/>
  <c r="U4150" i="12"/>
  <c r="U4149" i="12"/>
  <c r="U4148" i="12"/>
  <c r="U4147" i="12"/>
  <c r="U4146" i="12"/>
  <c r="U4145" i="12"/>
  <c r="U4144" i="12"/>
  <c r="U4143" i="12"/>
  <c r="U4142" i="12"/>
  <c r="U4141" i="12"/>
  <c r="U4140" i="12"/>
  <c r="U4139" i="12"/>
  <c r="U4138" i="12"/>
  <c r="U4137" i="12"/>
  <c r="U4136" i="12"/>
  <c r="U4135" i="12"/>
  <c r="U4134" i="12"/>
  <c r="U4133" i="12"/>
  <c r="U4132" i="12"/>
  <c r="U4131" i="12"/>
  <c r="U4130" i="12"/>
  <c r="U4129" i="12"/>
  <c r="U4128" i="12"/>
  <c r="U4127" i="12"/>
  <c r="U4126" i="12"/>
  <c r="U4125" i="12"/>
  <c r="U4124" i="12"/>
  <c r="U4123" i="12"/>
  <c r="U4122" i="12"/>
  <c r="U4121" i="12"/>
  <c r="U4120" i="12"/>
  <c r="U4119" i="12"/>
  <c r="U4118" i="12"/>
  <c r="U4117" i="12"/>
  <c r="U4116" i="12"/>
  <c r="U4115" i="12"/>
  <c r="U4114" i="12"/>
  <c r="U4113" i="12"/>
  <c r="U4112" i="12"/>
  <c r="U4111" i="12"/>
  <c r="U4110" i="12"/>
  <c r="U4109" i="12"/>
  <c r="U4108" i="12"/>
  <c r="U4107" i="12"/>
  <c r="U4106" i="12"/>
  <c r="U4105" i="12"/>
  <c r="U4104" i="12"/>
  <c r="U4103" i="12"/>
  <c r="U4102" i="12"/>
  <c r="U4101" i="12"/>
  <c r="U4100" i="12"/>
  <c r="U4099" i="12"/>
  <c r="U4098" i="12"/>
  <c r="U4097" i="12"/>
  <c r="U4096" i="12"/>
  <c r="U4095" i="12"/>
  <c r="U4094" i="12"/>
  <c r="U4093" i="12"/>
  <c r="U4092" i="12"/>
  <c r="U4091" i="12"/>
  <c r="U4090" i="12"/>
  <c r="U4089" i="12"/>
  <c r="U4088" i="12"/>
  <c r="U4087" i="12"/>
  <c r="U4086" i="12"/>
  <c r="U4085" i="12"/>
  <c r="U4084" i="12"/>
  <c r="U4083" i="12"/>
  <c r="U4082" i="12"/>
  <c r="U4081" i="12"/>
  <c r="U4080" i="12"/>
  <c r="U4079" i="12"/>
  <c r="U4078" i="12"/>
  <c r="U4077" i="12"/>
  <c r="U4076" i="12"/>
  <c r="U4075" i="12"/>
  <c r="U4074" i="12"/>
  <c r="U4073" i="12"/>
  <c r="U4072" i="12"/>
  <c r="U4071" i="12"/>
  <c r="U4070" i="12"/>
  <c r="U4069" i="12"/>
  <c r="U4068" i="12"/>
  <c r="U4067" i="12"/>
  <c r="U4066" i="12"/>
  <c r="U4065" i="12"/>
  <c r="U4064" i="12"/>
  <c r="U4063" i="12"/>
  <c r="U4062" i="12"/>
  <c r="U4061" i="12"/>
  <c r="U4060" i="12"/>
  <c r="U4059" i="12"/>
  <c r="U4058" i="12"/>
  <c r="U4057" i="12"/>
  <c r="U4056" i="12"/>
  <c r="U4055" i="12"/>
  <c r="U4054" i="12"/>
  <c r="U4053" i="12"/>
  <c r="U4052" i="12"/>
  <c r="U4051" i="12"/>
  <c r="U4050" i="12"/>
  <c r="U4049" i="12"/>
  <c r="U4048" i="12"/>
  <c r="U4047" i="12"/>
  <c r="U4046" i="12"/>
  <c r="U4045" i="12"/>
  <c r="U4044" i="12"/>
  <c r="U4043" i="12"/>
  <c r="U4042" i="12"/>
  <c r="U4041" i="12"/>
  <c r="U4040" i="12"/>
  <c r="U4039" i="12"/>
  <c r="U4038" i="12"/>
  <c r="U4037" i="12"/>
  <c r="U4036" i="12"/>
  <c r="U4035" i="12"/>
  <c r="U4034" i="12"/>
  <c r="U4033" i="12"/>
  <c r="U4032" i="12"/>
  <c r="U4031" i="12"/>
  <c r="U4030" i="12"/>
  <c r="U4029" i="12"/>
  <c r="U4028" i="12"/>
  <c r="U4027" i="12"/>
  <c r="U4026" i="12"/>
  <c r="U4025" i="12"/>
  <c r="U4024" i="12"/>
  <c r="U4023" i="12"/>
  <c r="U4022" i="12"/>
  <c r="U4021" i="12"/>
  <c r="U4020" i="12"/>
  <c r="U4019" i="12"/>
  <c r="U4018" i="12"/>
  <c r="U4017" i="12"/>
  <c r="U4016" i="12"/>
  <c r="U4015" i="12"/>
  <c r="U4014" i="12"/>
  <c r="U4013" i="12"/>
  <c r="U4012" i="12"/>
  <c r="U4011" i="12"/>
  <c r="U4010" i="12"/>
  <c r="U4009" i="12"/>
  <c r="U4008" i="12"/>
  <c r="U4007" i="12"/>
  <c r="U4006" i="12"/>
  <c r="U4005" i="12"/>
  <c r="U4004" i="12"/>
  <c r="U4003" i="12"/>
  <c r="U4002" i="12"/>
  <c r="U4001" i="12"/>
  <c r="U4000" i="12"/>
  <c r="U3999" i="12"/>
  <c r="U3998" i="12"/>
  <c r="U3997" i="12"/>
  <c r="U3996" i="12"/>
  <c r="U3995" i="12"/>
  <c r="U3994" i="12"/>
  <c r="U3993" i="12"/>
  <c r="U3992" i="12"/>
  <c r="U3991" i="12"/>
  <c r="U3990" i="12"/>
  <c r="U3989" i="12"/>
  <c r="U3988" i="12"/>
  <c r="U3987" i="12"/>
  <c r="U3986" i="12"/>
  <c r="U3985" i="12"/>
  <c r="U3984" i="12"/>
  <c r="U3983" i="12"/>
  <c r="U3982" i="12"/>
  <c r="U3981" i="12"/>
  <c r="U3980" i="12"/>
  <c r="U3979" i="12"/>
  <c r="U3978" i="12"/>
  <c r="U3977" i="12"/>
  <c r="U3976" i="12"/>
  <c r="U3975" i="12"/>
  <c r="U3974" i="12"/>
  <c r="U3973" i="12"/>
  <c r="U3972" i="12"/>
  <c r="U3971" i="12"/>
  <c r="U3970" i="12"/>
  <c r="U3969" i="12"/>
  <c r="U3968" i="12"/>
  <c r="U3967" i="12"/>
  <c r="U3966" i="12"/>
  <c r="U3965" i="12"/>
  <c r="U3964" i="12"/>
  <c r="U3963" i="12"/>
  <c r="U3962" i="12"/>
  <c r="U3961" i="12"/>
  <c r="U3960" i="12"/>
  <c r="U3959" i="12"/>
  <c r="U3958" i="12"/>
  <c r="U3957" i="12"/>
  <c r="U3956" i="12"/>
  <c r="U3955" i="12"/>
  <c r="U3954" i="12"/>
  <c r="U3953" i="12"/>
  <c r="U3952" i="12"/>
  <c r="U3951" i="12"/>
  <c r="U3950" i="12"/>
  <c r="U3949" i="12"/>
  <c r="U3948" i="12"/>
  <c r="U3947" i="12"/>
  <c r="U3946" i="12"/>
  <c r="U3945" i="12"/>
  <c r="U3944" i="12"/>
  <c r="U3943" i="12"/>
  <c r="U3942" i="12"/>
  <c r="U3941" i="12"/>
  <c r="U3940" i="12"/>
  <c r="U3939" i="12"/>
  <c r="U3938" i="12"/>
  <c r="U3937" i="12"/>
  <c r="U3936" i="12"/>
  <c r="U3935" i="12"/>
  <c r="U3934" i="12"/>
  <c r="U3933" i="12"/>
  <c r="U3932" i="12"/>
  <c r="U3931" i="12"/>
  <c r="U3930" i="12"/>
  <c r="U3929" i="12"/>
  <c r="U3928" i="12"/>
  <c r="U3927" i="12"/>
  <c r="U3926" i="12"/>
  <c r="U3925" i="12"/>
  <c r="U3924" i="12"/>
  <c r="U3923" i="12"/>
  <c r="U3922" i="12"/>
  <c r="U3921" i="12"/>
  <c r="U3920" i="12"/>
  <c r="U3919" i="12"/>
  <c r="U3918" i="12"/>
  <c r="U3917" i="12"/>
  <c r="U3916" i="12"/>
  <c r="U3915" i="12"/>
  <c r="U3914" i="12"/>
  <c r="U3913" i="12"/>
  <c r="U3912" i="12"/>
  <c r="U3911" i="12"/>
  <c r="U3910" i="12"/>
  <c r="U3909" i="12"/>
  <c r="U3908" i="12"/>
  <c r="U3907" i="12"/>
  <c r="U3906" i="12"/>
  <c r="U3905" i="12"/>
  <c r="U3904" i="12"/>
  <c r="U3903" i="12"/>
  <c r="U3902" i="12"/>
  <c r="U3901" i="12"/>
  <c r="U3900" i="12"/>
  <c r="U3899" i="12"/>
  <c r="U3898" i="12"/>
  <c r="U3897" i="12"/>
  <c r="U3896" i="12"/>
  <c r="U3895" i="12"/>
  <c r="U3894" i="12"/>
  <c r="U3893" i="12"/>
  <c r="U3892" i="12"/>
  <c r="U3891" i="12"/>
  <c r="U3890" i="12"/>
  <c r="U3889" i="12"/>
  <c r="U3888" i="12"/>
  <c r="U3887" i="12"/>
  <c r="U3886" i="12"/>
  <c r="U3885" i="12"/>
  <c r="U3884" i="12"/>
  <c r="U3883" i="12"/>
  <c r="U3882" i="12"/>
  <c r="U3881" i="12"/>
  <c r="U3880" i="12"/>
  <c r="U3879" i="12"/>
  <c r="U3878" i="12"/>
  <c r="U3877" i="12"/>
  <c r="U3876" i="12"/>
  <c r="U3875" i="12"/>
  <c r="U3874" i="12"/>
  <c r="U3873" i="12"/>
  <c r="U3872" i="12"/>
  <c r="U3871" i="12"/>
  <c r="U3870" i="12"/>
  <c r="U3869" i="12"/>
  <c r="U3868" i="12"/>
  <c r="U3867" i="12"/>
  <c r="U3866" i="12"/>
  <c r="U3865" i="12"/>
  <c r="U3864" i="12"/>
  <c r="U3863" i="12"/>
  <c r="U3862" i="12"/>
  <c r="U3861" i="12"/>
  <c r="U3860" i="12"/>
  <c r="U3859" i="12"/>
  <c r="U3858" i="12"/>
  <c r="U3857" i="12"/>
  <c r="U3856" i="12"/>
  <c r="U3855" i="12"/>
  <c r="U3854" i="12"/>
  <c r="U3853" i="12"/>
  <c r="U3852" i="12"/>
  <c r="U3851" i="12"/>
  <c r="U3850" i="12"/>
  <c r="U3849" i="12"/>
  <c r="U3848" i="12"/>
  <c r="U3847" i="12"/>
  <c r="U3846" i="12"/>
  <c r="U3845" i="12"/>
  <c r="U3844" i="12"/>
  <c r="U3843" i="12"/>
  <c r="U3842" i="12"/>
  <c r="U3841" i="12"/>
  <c r="U3840" i="12"/>
  <c r="U3839" i="12"/>
  <c r="U3838" i="12"/>
  <c r="U3837" i="12"/>
  <c r="U3836" i="12"/>
  <c r="U3835" i="12"/>
  <c r="U3834" i="12"/>
  <c r="U3833" i="12"/>
  <c r="U3832" i="12"/>
  <c r="U3831" i="12"/>
  <c r="U3830" i="12"/>
  <c r="U3829" i="12"/>
  <c r="U3828" i="12"/>
  <c r="U3827" i="12"/>
  <c r="U3826" i="12"/>
  <c r="U3825" i="12"/>
  <c r="U3824" i="12"/>
  <c r="U3823" i="12"/>
  <c r="U3822" i="12"/>
  <c r="U3821" i="12"/>
  <c r="U3820" i="12"/>
  <c r="U3819" i="12"/>
  <c r="U3818" i="12"/>
  <c r="U3817" i="12"/>
  <c r="U3816" i="12"/>
  <c r="U3815" i="12"/>
  <c r="U3814" i="12"/>
  <c r="U3813" i="12"/>
  <c r="U3812" i="12"/>
  <c r="U3811" i="12"/>
  <c r="U3810" i="12"/>
  <c r="U3809" i="12"/>
  <c r="U3808" i="12"/>
  <c r="U3807" i="12"/>
  <c r="U3806" i="12"/>
  <c r="U3805" i="12"/>
  <c r="U3804" i="12"/>
  <c r="U3803" i="12"/>
  <c r="U3802" i="12"/>
  <c r="U3801" i="12"/>
  <c r="U3800" i="12"/>
  <c r="U3799" i="12"/>
  <c r="U3798" i="12"/>
  <c r="U3797" i="12"/>
  <c r="U3796" i="12"/>
  <c r="U3795" i="12"/>
  <c r="U3794" i="12"/>
  <c r="U3793" i="12"/>
  <c r="U3792" i="12"/>
  <c r="U3791" i="12"/>
  <c r="U3790" i="12"/>
  <c r="U3789" i="12"/>
  <c r="U3788" i="12"/>
  <c r="U3787" i="12"/>
  <c r="U3786" i="12"/>
  <c r="U3785" i="12"/>
  <c r="U3784" i="12"/>
  <c r="U3783" i="12"/>
  <c r="U3782" i="12"/>
  <c r="U3781" i="12"/>
  <c r="U3780" i="12"/>
  <c r="U3779" i="12"/>
  <c r="U3778" i="12"/>
  <c r="U3777" i="12"/>
  <c r="U3776" i="12"/>
  <c r="U3775" i="12"/>
  <c r="U3774" i="12"/>
  <c r="U3773" i="12"/>
  <c r="U3772" i="12"/>
  <c r="U3771" i="12"/>
  <c r="U3770" i="12"/>
  <c r="U3769" i="12"/>
  <c r="U3768" i="12"/>
  <c r="U3767" i="12"/>
  <c r="U3766" i="12"/>
  <c r="U3765" i="12"/>
  <c r="U3764" i="12"/>
  <c r="U3763" i="12"/>
  <c r="U3762" i="12"/>
  <c r="U3761" i="12"/>
  <c r="U3760" i="12"/>
  <c r="U3759" i="12"/>
  <c r="U3758" i="12"/>
  <c r="U3757" i="12"/>
  <c r="U3756" i="12"/>
  <c r="U3755" i="12"/>
  <c r="U3754" i="12"/>
  <c r="U3753" i="12"/>
  <c r="U3752" i="12"/>
  <c r="U3751" i="12"/>
  <c r="U3750" i="12"/>
  <c r="U3749" i="12"/>
  <c r="U3748" i="12"/>
  <c r="U3747" i="12"/>
  <c r="U3746" i="12"/>
  <c r="U3745" i="12"/>
  <c r="U3744" i="12"/>
  <c r="U3743" i="12"/>
  <c r="U3742" i="12"/>
  <c r="U3741" i="12"/>
  <c r="U3740" i="12"/>
  <c r="U3739" i="12"/>
  <c r="U3738" i="12"/>
  <c r="U3737" i="12"/>
  <c r="U3736" i="12"/>
  <c r="U3735" i="12"/>
  <c r="U3734" i="12"/>
  <c r="U3733" i="12"/>
  <c r="U3732" i="12"/>
  <c r="U3731" i="12"/>
  <c r="U3730" i="12"/>
  <c r="U3729" i="12"/>
  <c r="U3728" i="12"/>
  <c r="U3727" i="12"/>
  <c r="U3726" i="12"/>
  <c r="U3725" i="12"/>
  <c r="U3724" i="12"/>
  <c r="U3723" i="12"/>
  <c r="U3722" i="12"/>
  <c r="U3721" i="12"/>
  <c r="U3720" i="12"/>
  <c r="U3719" i="12"/>
  <c r="U3718" i="12"/>
  <c r="U3717" i="12"/>
  <c r="U3716" i="12"/>
  <c r="U3715" i="12"/>
  <c r="U3714" i="12"/>
  <c r="U3713" i="12"/>
  <c r="U3712" i="12"/>
  <c r="U3711" i="12"/>
  <c r="U3710" i="12"/>
  <c r="U3709" i="12"/>
  <c r="U3708" i="12"/>
  <c r="U3707" i="12"/>
  <c r="U3706" i="12"/>
  <c r="U3705" i="12"/>
  <c r="U3704" i="12"/>
  <c r="U3703" i="12"/>
  <c r="U3702" i="12"/>
  <c r="U3701" i="12"/>
  <c r="U3700" i="12"/>
  <c r="U3699" i="12"/>
  <c r="U3698" i="12"/>
  <c r="U3697" i="12"/>
  <c r="U3696" i="12"/>
  <c r="U3695" i="12"/>
  <c r="U3694" i="12"/>
  <c r="U3693" i="12"/>
  <c r="U3692" i="12"/>
  <c r="U3691" i="12"/>
  <c r="U3690" i="12"/>
  <c r="U3689" i="12"/>
  <c r="U3688" i="12"/>
  <c r="U3687" i="12"/>
  <c r="U3686" i="12"/>
  <c r="U3685" i="12"/>
  <c r="U3684" i="12"/>
  <c r="U3683" i="12"/>
  <c r="U3682" i="12"/>
  <c r="U3681" i="12"/>
  <c r="U3680" i="12"/>
  <c r="U3679" i="12"/>
  <c r="U3678" i="12"/>
  <c r="U3677" i="12"/>
  <c r="U3676" i="12"/>
  <c r="U3675" i="12"/>
  <c r="U3674" i="12"/>
  <c r="U3673" i="12"/>
  <c r="U3672" i="12"/>
  <c r="U3671" i="12"/>
  <c r="U3670" i="12"/>
  <c r="U3669" i="12"/>
  <c r="U3668" i="12"/>
  <c r="U3667" i="12"/>
  <c r="U3666" i="12"/>
  <c r="U3665" i="12"/>
  <c r="U3664" i="12"/>
  <c r="U3663" i="12"/>
  <c r="U3662" i="12"/>
  <c r="U3661" i="12"/>
  <c r="U3660" i="12"/>
  <c r="U3659" i="12"/>
  <c r="U3658" i="12"/>
  <c r="U3657" i="12"/>
  <c r="U3656" i="12"/>
  <c r="U3655" i="12"/>
  <c r="U3654" i="12"/>
  <c r="U3653" i="12"/>
  <c r="U3652" i="12"/>
  <c r="U3651" i="12"/>
  <c r="U3650" i="12"/>
  <c r="U3649" i="12"/>
  <c r="U3648" i="12"/>
  <c r="U3647" i="12"/>
  <c r="U3646" i="12"/>
  <c r="U3645" i="12"/>
  <c r="U3644" i="12"/>
  <c r="U3643" i="12"/>
  <c r="U3642" i="12"/>
  <c r="U3641" i="12"/>
  <c r="U3640" i="12"/>
  <c r="U3639" i="12"/>
  <c r="U3638" i="12"/>
  <c r="U3637" i="12"/>
  <c r="U3636" i="12"/>
  <c r="U3635" i="12"/>
  <c r="U3634" i="12"/>
  <c r="U3633" i="12"/>
  <c r="U3632" i="12"/>
  <c r="U3631" i="12"/>
  <c r="U3630" i="12"/>
  <c r="U3629" i="12"/>
  <c r="U3628" i="12"/>
  <c r="U3627" i="12"/>
  <c r="U3626" i="12"/>
  <c r="U3625" i="12"/>
  <c r="U3624" i="12"/>
  <c r="U3623" i="12"/>
  <c r="U3622" i="12"/>
  <c r="U3621" i="12"/>
  <c r="U3620" i="12"/>
  <c r="U3619" i="12"/>
  <c r="U3618" i="12"/>
  <c r="U3617" i="12"/>
  <c r="U3616" i="12"/>
  <c r="U3615" i="12"/>
  <c r="U3614" i="12"/>
  <c r="U3613" i="12"/>
  <c r="U3612" i="12"/>
  <c r="U3611" i="12"/>
  <c r="U3610" i="12"/>
  <c r="U3609" i="12"/>
  <c r="U3608" i="12"/>
  <c r="U3607" i="12"/>
  <c r="U3606" i="12"/>
  <c r="U3605" i="12"/>
  <c r="U3604" i="12"/>
  <c r="U3603" i="12"/>
  <c r="U3602" i="12"/>
  <c r="U3601" i="12"/>
  <c r="U3600" i="12"/>
  <c r="U3599" i="12"/>
  <c r="U3598" i="12"/>
  <c r="U3597" i="12"/>
  <c r="U3596" i="12"/>
  <c r="U3595" i="12"/>
  <c r="U3594" i="12"/>
  <c r="U3593" i="12"/>
  <c r="U3592" i="12"/>
  <c r="U3591" i="12"/>
  <c r="U3590" i="12"/>
  <c r="U3589" i="12"/>
  <c r="U3588" i="12"/>
  <c r="U3587" i="12"/>
  <c r="U3586" i="12"/>
  <c r="U3585" i="12"/>
  <c r="U3584" i="12"/>
  <c r="U3583" i="12"/>
  <c r="U3582" i="12"/>
  <c r="U3581" i="12"/>
  <c r="U3580" i="12"/>
  <c r="U3579" i="12"/>
  <c r="U3578" i="12"/>
  <c r="U3577" i="12"/>
  <c r="U3576" i="12"/>
  <c r="U3575" i="12"/>
  <c r="U3574" i="12"/>
  <c r="U3573" i="12"/>
  <c r="U3572" i="12"/>
  <c r="U3571" i="12"/>
  <c r="U3570" i="12"/>
  <c r="U3569" i="12"/>
  <c r="U3568" i="12"/>
  <c r="U3567" i="12"/>
  <c r="U3566" i="12"/>
  <c r="U3565" i="12"/>
  <c r="U3564" i="12"/>
  <c r="U3563" i="12"/>
  <c r="U3562" i="12"/>
  <c r="U3561" i="12"/>
  <c r="U3560" i="12"/>
  <c r="U3559" i="12"/>
  <c r="U3558" i="12"/>
  <c r="U3557" i="12"/>
  <c r="U3556" i="12"/>
  <c r="U3555" i="12"/>
  <c r="U3554" i="12"/>
  <c r="U3553" i="12"/>
  <c r="U3552" i="12"/>
  <c r="U3551" i="12"/>
  <c r="U3550" i="12"/>
  <c r="U3549" i="12"/>
  <c r="U3548" i="12"/>
  <c r="U3547" i="12"/>
  <c r="U3546" i="12"/>
  <c r="U3545" i="12"/>
  <c r="U3544" i="12"/>
  <c r="U3543" i="12"/>
  <c r="U3542" i="12"/>
  <c r="U3541" i="12"/>
  <c r="U3540" i="12"/>
  <c r="U3539" i="12"/>
  <c r="U3538" i="12"/>
  <c r="U3537" i="12"/>
  <c r="U3536" i="12"/>
  <c r="U3535" i="12"/>
  <c r="U3534" i="12"/>
  <c r="U3533" i="12"/>
  <c r="U3532" i="12"/>
  <c r="U3531" i="12"/>
  <c r="U3530" i="12"/>
  <c r="U3529" i="12"/>
  <c r="U3528" i="12"/>
  <c r="U3527" i="12"/>
  <c r="U3526" i="12"/>
  <c r="U3525" i="12"/>
  <c r="U3524" i="12"/>
  <c r="U3523" i="12"/>
  <c r="U3522" i="12"/>
  <c r="U3521" i="12"/>
  <c r="U3520" i="12"/>
  <c r="U3519" i="12"/>
  <c r="U3518" i="12"/>
  <c r="U3517" i="12"/>
  <c r="U3516" i="12"/>
  <c r="U3515" i="12"/>
  <c r="U3514" i="12"/>
  <c r="U3513" i="12"/>
  <c r="U3512" i="12"/>
  <c r="U3511" i="12"/>
  <c r="U3510" i="12"/>
  <c r="U3509" i="12"/>
  <c r="U3508" i="12"/>
  <c r="U3507" i="12"/>
  <c r="U3506" i="12"/>
  <c r="U3505" i="12"/>
  <c r="U3504" i="12"/>
  <c r="U3503" i="12"/>
  <c r="U3502" i="12"/>
  <c r="U3501" i="12"/>
  <c r="U3500" i="12"/>
  <c r="U3499" i="12"/>
  <c r="U3498" i="12"/>
  <c r="U3497" i="12"/>
  <c r="U3496" i="12"/>
  <c r="U3495" i="12"/>
  <c r="U3494" i="12"/>
  <c r="U3493" i="12"/>
  <c r="U3492" i="12"/>
  <c r="U3491" i="12"/>
  <c r="U3490" i="12"/>
  <c r="U3489" i="12"/>
  <c r="U3488" i="12"/>
  <c r="U3487" i="12"/>
  <c r="U3486" i="12"/>
  <c r="U3485" i="12"/>
  <c r="U3484" i="12"/>
  <c r="U3483" i="12"/>
  <c r="U3482" i="12"/>
  <c r="U3481" i="12"/>
  <c r="U3480" i="12"/>
  <c r="U3479" i="12"/>
  <c r="U3478" i="12"/>
  <c r="U3477" i="12"/>
  <c r="U3476" i="12"/>
  <c r="U3475" i="12"/>
  <c r="U3474" i="12"/>
  <c r="U3473" i="12"/>
  <c r="U3472" i="12"/>
  <c r="U3471" i="12"/>
  <c r="U3470" i="12"/>
  <c r="U3469" i="12"/>
  <c r="U3468" i="12"/>
  <c r="U3467" i="12"/>
  <c r="U3466" i="12"/>
  <c r="U3465" i="12"/>
  <c r="U3464" i="12"/>
  <c r="U3463" i="12"/>
  <c r="U3462" i="12"/>
  <c r="U3461" i="12"/>
  <c r="U3460" i="12"/>
  <c r="U3459" i="12"/>
  <c r="U3458" i="12"/>
  <c r="U3457" i="12"/>
  <c r="U3456" i="12"/>
  <c r="U3455" i="12"/>
  <c r="U3454" i="12"/>
  <c r="U3453" i="12"/>
  <c r="U3452" i="12"/>
  <c r="U3451" i="12"/>
  <c r="U3450" i="12"/>
  <c r="U3449" i="12"/>
  <c r="U3448" i="12"/>
  <c r="U3447" i="12"/>
  <c r="U3446" i="12"/>
  <c r="U3445" i="12"/>
  <c r="U3444" i="12"/>
  <c r="U3443" i="12"/>
  <c r="U3442" i="12"/>
  <c r="U3441" i="12"/>
  <c r="U3440" i="12"/>
  <c r="U3439" i="12"/>
  <c r="U3438" i="12"/>
  <c r="U3437" i="12"/>
  <c r="U3436" i="12"/>
  <c r="U3435" i="12"/>
  <c r="U3434" i="12"/>
  <c r="U3433" i="12"/>
  <c r="U3432" i="12"/>
  <c r="U3431" i="12"/>
  <c r="U3430" i="12"/>
  <c r="U3429" i="12"/>
  <c r="U3428" i="12"/>
  <c r="U3427" i="12"/>
  <c r="U3426" i="12"/>
  <c r="U3425" i="12"/>
  <c r="U3424" i="12"/>
  <c r="U3423" i="12"/>
  <c r="U3422" i="12"/>
  <c r="U3421" i="12"/>
  <c r="U3420" i="12"/>
  <c r="U3419" i="12"/>
  <c r="U3418" i="12"/>
  <c r="U3417" i="12"/>
  <c r="U3416" i="12"/>
  <c r="U3415" i="12"/>
  <c r="U3414" i="12"/>
  <c r="U3413" i="12"/>
  <c r="U3412" i="12"/>
  <c r="U3411" i="12"/>
  <c r="U3410" i="12"/>
  <c r="U3409" i="12"/>
  <c r="U3408" i="12"/>
  <c r="U3407" i="12"/>
  <c r="U3406" i="12"/>
  <c r="U3405" i="12"/>
  <c r="U3404" i="12"/>
  <c r="U3403" i="12"/>
  <c r="U3402" i="12"/>
  <c r="U3401" i="12"/>
  <c r="U3400" i="12"/>
  <c r="U3399" i="12"/>
  <c r="U3398" i="12"/>
  <c r="U3397" i="12"/>
  <c r="U3396" i="12"/>
  <c r="U3395" i="12"/>
  <c r="U3394" i="12"/>
  <c r="U3393" i="12"/>
  <c r="U3392" i="12"/>
  <c r="U3391" i="12"/>
  <c r="U3390" i="12"/>
  <c r="U3389" i="12"/>
  <c r="U3388" i="12"/>
  <c r="U3387" i="12"/>
  <c r="U3386" i="12"/>
  <c r="U3385" i="12"/>
  <c r="U3384" i="12"/>
  <c r="U3383" i="12"/>
  <c r="U3382" i="12"/>
  <c r="U3381" i="12"/>
  <c r="U3380" i="12"/>
  <c r="U3379" i="12"/>
  <c r="U3378" i="12"/>
  <c r="U3377" i="12"/>
  <c r="U3376" i="12"/>
  <c r="U3375" i="12"/>
  <c r="U3374" i="12"/>
  <c r="U3373" i="12"/>
  <c r="U3372" i="12"/>
  <c r="U3371" i="12"/>
  <c r="U3370" i="12"/>
  <c r="U3369" i="12"/>
  <c r="U3368" i="12"/>
  <c r="U3367" i="12"/>
  <c r="U3366" i="12"/>
  <c r="U3365" i="12"/>
  <c r="U3364" i="12"/>
  <c r="U3363" i="12"/>
  <c r="U3362" i="12"/>
  <c r="U3361" i="12"/>
  <c r="U3360" i="12"/>
  <c r="U3359" i="12"/>
  <c r="U3358" i="12"/>
  <c r="U3357" i="12"/>
  <c r="U3356" i="12"/>
  <c r="U3355" i="12"/>
  <c r="U3354" i="12"/>
  <c r="U3353" i="12"/>
  <c r="U3352" i="12"/>
  <c r="U3351" i="12"/>
  <c r="U3350" i="12"/>
  <c r="U3349" i="12"/>
  <c r="U3348" i="12"/>
  <c r="U3347" i="12"/>
  <c r="U3346" i="12"/>
  <c r="U3345" i="12"/>
  <c r="U3344" i="12"/>
  <c r="U3343" i="12"/>
  <c r="U3342" i="12"/>
  <c r="U3341" i="12"/>
  <c r="U3340" i="12"/>
  <c r="U3339" i="12"/>
  <c r="U3338" i="12"/>
  <c r="U3337" i="12"/>
  <c r="U3336" i="12"/>
  <c r="U3335" i="12"/>
  <c r="U3334" i="12"/>
  <c r="U3333" i="12"/>
  <c r="U3332" i="12"/>
  <c r="U3331" i="12"/>
  <c r="U3330" i="12"/>
  <c r="U3329" i="12"/>
  <c r="U3328" i="12"/>
  <c r="U3327" i="12"/>
  <c r="U3326" i="12"/>
  <c r="U3325" i="12"/>
  <c r="U3324" i="12"/>
  <c r="U3323" i="12"/>
  <c r="U3322" i="12"/>
  <c r="U3321" i="12"/>
  <c r="U3320" i="12"/>
  <c r="U3319" i="12"/>
  <c r="U3318" i="12"/>
  <c r="U3317" i="12"/>
  <c r="U3316" i="12"/>
  <c r="U3315" i="12"/>
  <c r="U3314" i="12"/>
  <c r="U3313" i="12"/>
  <c r="U3312" i="12"/>
  <c r="U3311" i="12"/>
  <c r="U3310" i="12"/>
  <c r="U3309" i="12"/>
  <c r="U3308" i="12"/>
  <c r="U3307" i="12"/>
  <c r="U3306" i="12"/>
  <c r="U3305" i="12"/>
  <c r="U3304" i="12"/>
  <c r="U3303" i="12"/>
  <c r="U3302" i="12"/>
  <c r="U3301" i="12"/>
  <c r="U3300" i="12"/>
  <c r="U3299" i="12"/>
  <c r="U3298" i="12"/>
  <c r="U3297" i="12"/>
  <c r="U3296" i="12"/>
  <c r="U3295" i="12"/>
  <c r="U3294" i="12"/>
  <c r="U3293" i="12"/>
  <c r="U3292" i="12"/>
  <c r="U3291" i="12"/>
  <c r="U3290" i="12"/>
  <c r="U3289" i="12"/>
  <c r="U3288" i="12"/>
  <c r="U3287" i="12"/>
  <c r="U3286" i="12"/>
  <c r="U3285" i="12"/>
  <c r="U3284" i="12"/>
  <c r="U3283" i="12"/>
  <c r="U3282" i="12"/>
  <c r="U3281" i="12"/>
  <c r="U3280" i="12"/>
  <c r="U3279" i="12"/>
  <c r="U3278" i="12"/>
  <c r="U3277" i="12"/>
  <c r="U3276" i="12"/>
  <c r="U3275" i="12"/>
  <c r="U3274" i="12"/>
  <c r="U3273" i="12"/>
  <c r="U3272" i="12"/>
  <c r="U3271" i="12"/>
  <c r="U3270" i="12"/>
  <c r="U3269" i="12"/>
  <c r="U3268" i="12"/>
  <c r="U3267" i="12"/>
  <c r="U3266" i="12"/>
  <c r="U3265" i="12"/>
  <c r="U3264" i="12"/>
  <c r="U3263" i="12"/>
  <c r="U3262" i="12"/>
  <c r="U3261" i="12"/>
  <c r="U3260" i="12"/>
  <c r="U3259" i="12"/>
  <c r="U3258" i="12"/>
  <c r="U3257" i="12"/>
  <c r="U3256" i="12"/>
  <c r="U3255" i="12"/>
  <c r="U3254" i="12"/>
  <c r="U3253" i="12"/>
  <c r="U3252" i="12"/>
  <c r="U3251" i="12"/>
  <c r="U3250" i="12"/>
  <c r="U3249" i="12"/>
  <c r="U3248" i="12"/>
  <c r="U3247" i="12"/>
  <c r="U3246" i="12"/>
  <c r="U3245" i="12"/>
  <c r="U3244" i="12"/>
  <c r="U3243" i="12"/>
  <c r="U3242" i="12"/>
  <c r="U3241" i="12"/>
  <c r="U3240" i="12"/>
  <c r="U3239" i="12"/>
  <c r="U3238" i="12"/>
  <c r="U3237" i="12"/>
  <c r="U3236" i="12"/>
  <c r="U3235" i="12"/>
  <c r="U3234" i="12"/>
  <c r="U3233" i="12"/>
  <c r="U3232" i="12"/>
  <c r="U3231" i="12"/>
  <c r="U3230" i="12"/>
  <c r="U3229" i="12"/>
  <c r="U3228" i="12"/>
  <c r="U3227" i="12"/>
  <c r="U3226" i="12"/>
  <c r="U3225" i="12"/>
  <c r="U3224" i="12"/>
  <c r="U3223" i="12"/>
  <c r="U3222" i="12"/>
  <c r="U3221" i="12"/>
  <c r="U3220" i="12"/>
  <c r="U3219" i="12"/>
  <c r="U3218" i="12"/>
  <c r="U3217" i="12"/>
  <c r="U3216" i="12"/>
  <c r="U3215" i="12"/>
  <c r="U3214" i="12"/>
  <c r="U3213" i="12"/>
  <c r="U3212" i="12"/>
  <c r="U3211" i="12"/>
  <c r="U3210" i="12"/>
  <c r="U3209" i="12"/>
  <c r="U3208" i="12"/>
  <c r="U3207" i="12"/>
  <c r="U3206" i="12"/>
  <c r="U3205" i="12"/>
  <c r="U3204" i="12"/>
  <c r="U3203" i="12"/>
  <c r="U3202" i="12"/>
  <c r="U3201" i="12"/>
  <c r="U3200" i="12"/>
  <c r="U3199" i="12"/>
  <c r="U3198" i="12"/>
  <c r="U3197" i="12"/>
  <c r="U3196" i="12"/>
  <c r="U3195" i="12"/>
  <c r="U3194" i="12"/>
  <c r="U3193" i="12"/>
  <c r="U3192" i="12"/>
  <c r="U3191" i="12"/>
  <c r="U3190" i="12"/>
  <c r="U3189" i="12"/>
  <c r="U3188" i="12"/>
  <c r="U3187" i="12"/>
  <c r="U3186" i="12"/>
  <c r="U3185" i="12"/>
  <c r="U3184" i="12"/>
  <c r="U3183" i="12"/>
  <c r="U3182" i="12"/>
  <c r="U3181" i="12"/>
  <c r="U3180" i="12"/>
  <c r="U3179" i="12"/>
  <c r="U3178" i="12"/>
  <c r="U3177" i="12"/>
  <c r="U3176" i="12"/>
  <c r="U3175" i="12"/>
  <c r="U3174" i="12"/>
  <c r="U3173" i="12"/>
  <c r="U3172" i="12"/>
  <c r="U3171" i="12"/>
  <c r="U3170" i="12"/>
  <c r="U3169" i="12"/>
  <c r="U3168" i="12"/>
  <c r="U3167" i="12"/>
  <c r="U3166" i="12"/>
  <c r="U3165" i="12"/>
  <c r="U3164" i="12"/>
  <c r="U3163" i="12"/>
  <c r="U3162" i="12"/>
  <c r="U3161" i="12"/>
  <c r="U3160" i="12"/>
  <c r="U3159" i="12"/>
  <c r="U3158" i="12"/>
  <c r="U3157" i="12"/>
  <c r="U3156" i="12"/>
  <c r="U3155" i="12"/>
  <c r="U3154" i="12"/>
  <c r="U3153" i="12"/>
  <c r="U3152" i="12"/>
  <c r="U3151" i="12"/>
  <c r="U3150" i="12"/>
  <c r="U3149" i="12"/>
  <c r="U3148" i="12"/>
  <c r="U3147" i="12"/>
  <c r="U3146" i="12"/>
  <c r="U3145" i="12"/>
  <c r="U3144" i="12"/>
  <c r="U3143" i="12"/>
  <c r="U3142" i="12"/>
  <c r="U3141" i="12"/>
  <c r="U3140" i="12"/>
  <c r="U3139" i="12"/>
  <c r="U3138" i="12"/>
  <c r="U3137" i="12"/>
  <c r="U3136" i="12"/>
  <c r="U3135" i="12"/>
  <c r="U3134" i="12"/>
  <c r="U3133" i="12"/>
  <c r="U3132" i="12"/>
  <c r="U3131" i="12"/>
  <c r="U3130" i="12"/>
  <c r="U3129" i="12"/>
  <c r="U3128" i="12"/>
  <c r="U3127" i="12"/>
  <c r="U3126" i="12"/>
  <c r="U3125" i="12"/>
  <c r="U3124" i="12"/>
  <c r="U3123" i="12"/>
  <c r="U3122" i="12"/>
  <c r="U3121" i="12"/>
  <c r="U3120" i="12"/>
  <c r="U3119" i="12"/>
  <c r="U3118" i="12"/>
  <c r="U3117" i="12"/>
  <c r="U3116" i="12"/>
  <c r="U3115" i="12"/>
  <c r="U3114" i="12"/>
  <c r="U3113" i="12"/>
  <c r="U3112" i="12"/>
  <c r="U3111" i="12"/>
  <c r="U3110" i="12"/>
  <c r="U3109" i="12"/>
  <c r="U3108" i="12"/>
  <c r="U3107" i="12"/>
  <c r="U3106" i="12"/>
  <c r="U3105" i="12"/>
  <c r="U3104" i="12"/>
  <c r="U3103" i="12"/>
  <c r="U3102" i="12"/>
  <c r="U3101" i="12"/>
  <c r="U3100" i="12"/>
  <c r="U3099" i="12"/>
  <c r="U3098" i="12"/>
  <c r="U3097" i="12"/>
  <c r="U3096" i="12"/>
  <c r="U3095" i="12"/>
  <c r="U3094" i="12"/>
  <c r="U3093" i="12"/>
  <c r="U3092" i="12"/>
  <c r="U3091" i="12"/>
  <c r="U3090" i="12"/>
  <c r="U3089" i="12"/>
  <c r="U3088" i="12"/>
  <c r="U3087" i="12"/>
  <c r="U3086" i="12"/>
  <c r="U3085" i="12"/>
  <c r="U3084" i="12"/>
  <c r="U3083" i="12"/>
  <c r="U3082" i="12"/>
  <c r="U3081" i="12"/>
  <c r="U3080" i="12"/>
  <c r="U3079" i="12"/>
  <c r="U3078" i="12"/>
  <c r="U3077" i="12"/>
  <c r="U3076" i="12"/>
  <c r="U3075" i="12"/>
  <c r="U3074" i="12"/>
  <c r="U3073" i="12"/>
  <c r="U3072" i="12"/>
  <c r="U3071" i="12"/>
  <c r="U3070" i="12"/>
  <c r="U3069" i="12"/>
  <c r="U3068" i="12"/>
  <c r="U3067" i="12"/>
  <c r="U3066" i="12"/>
  <c r="U3065" i="12"/>
  <c r="U3064" i="12"/>
  <c r="U3063" i="12"/>
  <c r="U3062" i="12"/>
  <c r="U3061" i="12"/>
  <c r="U3060" i="12"/>
  <c r="U3059" i="12"/>
  <c r="U3058" i="12"/>
  <c r="U3057" i="12"/>
  <c r="U3056" i="12"/>
  <c r="U3055" i="12"/>
  <c r="U3054" i="12"/>
  <c r="U3053" i="12"/>
  <c r="U3052" i="12"/>
  <c r="U3051" i="12"/>
  <c r="U3050" i="12"/>
  <c r="U3049" i="12"/>
  <c r="U3048" i="12"/>
  <c r="U3047" i="12"/>
  <c r="U3046" i="12"/>
  <c r="U3045" i="12"/>
  <c r="U3044" i="12"/>
  <c r="U3043" i="12"/>
  <c r="U3042" i="12"/>
  <c r="U3041" i="12"/>
  <c r="U3040" i="12"/>
  <c r="U3039" i="12"/>
  <c r="U3038" i="12"/>
  <c r="U3037" i="12"/>
  <c r="U3036" i="12"/>
  <c r="U3035" i="12"/>
  <c r="U3034" i="12"/>
  <c r="U3033" i="12"/>
  <c r="U3032" i="12"/>
  <c r="U3031" i="12"/>
  <c r="U3030" i="12"/>
  <c r="U3029" i="12"/>
  <c r="U3028" i="12"/>
  <c r="U3027" i="12"/>
  <c r="U3026" i="12"/>
  <c r="U3025" i="12"/>
  <c r="U3024" i="12"/>
  <c r="U3023" i="12"/>
  <c r="U3022" i="12"/>
  <c r="U3021" i="12"/>
  <c r="U3020" i="12"/>
  <c r="U3019" i="12"/>
  <c r="U3018" i="12"/>
  <c r="U3017" i="12"/>
  <c r="U3016" i="12"/>
  <c r="U3015" i="12"/>
  <c r="U3014" i="12"/>
  <c r="U3013" i="12"/>
  <c r="U3012" i="12"/>
  <c r="U3011" i="12"/>
  <c r="U3010" i="12"/>
  <c r="U3009" i="12"/>
  <c r="U3008" i="12"/>
  <c r="U3007" i="12"/>
  <c r="U3006" i="12"/>
  <c r="U3005" i="12"/>
  <c r="U3004" i="12"/>
  <c r="U3003" i="12"/>
  <c r="U3002" i="12"/>
  <c r="U3001" i="12"/>
  <c r="U3000" i="12"/>
  <c r="U2999" i="12"/>
  <c r="U2998" i="12"/>
  <c r="U2997" i="12"/>
  <c r="U2996" i="12"/>
  <c r="U2995" i="12"/>
  <c r="U2994" i="12"/>
  <c r="U2993" i="12"/>
  <c r="U2992" i="12"/>
  <c r="U2991" i="12"/>
  <c r="U2990" i="12"/>
  <c r="U2989" i="12"/>
  <c r="U2988" i="12"/>
  <c r="U2987" i="12"/>
  <c r="U2986" i="12"/>
  <c r="U2985" i="12"/>
  <c r="U2984" i="12"/>
  <c r="U2983" i="12"/>
  <c r="U2982" i="12"/>
  <c r="U2981" i="12"/>
  <c r="U2980" i="12"/>
  <c r="U2979" i="12"/>
  <c r="U2978" i="12"/>
  <c r="U2977" i="12"/>
  <c r="U2976" i="12"/>
  <c r="U2975" i="12"/>
  <c r="U2974" i="12"/>
  <c r="U2973" i="12"/>
  <c r="U2972" i="12"/>
  <c r="U2971" i="12"/>
  <c r="U2970" i="12"/>
  <c r="U2969" i="12"/>
  <c r="U2968" i="12"/>
  <c r="U2967" i="12"/>
  <c r="U2966" i="12"/>
  <c r="U2965" i="12"/>
  <c r="U2964" i="12"/>
  <c r="U2963" i="12"/>
  <c r="U2962" i="12"/>
  <c r="U2961" i="12"/>
  <c r="U2960" i="12"/>
  <c r="U2959" i="12"/>
  <c r="U2958" i="12"/>
  <c r="U2957" i="12"/>
  <c r="U2956" i="12"/>
  <c r="U2955" i="12"/>
  <c r="U2954" i="12"/>
  <c r="U2953" i="12"/>
  <c r="U2952" i="12"/>
  <c r="U2951" i="12"/>
  <c r="U2950" i="12"/>
  <c r="U2949" i="12"/>
  <c r="U2948" i="12"/>
  <c r="U2947" i="12"/>
  <c r="U2946" i="12"/>
  <c r="U2945" i="12"/>
  <c r="U2944" i="12"/>
  <c r="U2943" i="12"/>
  <c r="U2942" i="12"/>
  <c r="U2941" i="12"/>
  <c r="U2940" i="12"/>
  <c r="U2939" i="12"/>
  <c r="U2938" i="12"/>
  <c r="U2937" i="12"/>
  <c r="U2936" i="12"/>
  <c r="U2935" i="12"/>
  <c r="U2934" i="12"/>
  <c r="U2933" i="12"/>
  <c r="U2932" i="12"/>
  <c r="U2931" i="12"/>
  <c r="U2930" i="12"/>
  <c r="U2929" i="12"/>
  <c r="U2928" i="12"/>
  <c r="U2927" i="12"/>
  <c r="U2926" i="12"/>
  <c r="U2925" i="12"/>
  <c r="U2924" i="12"/>
  <c r="U2923" i="12"/>
  <c r="U2922" i="12"/>
  <c r="U2921" i="12"/>
  <c r="U2920" i="12"/>
  <c r="U2919" i="12"/>
  <c r="U2918" i="12"/>
  <c r="U2917" i="12"/>
  <c r="U2916" i="12"/>
  <c r="U2915" i="12"/>
  <c r="U2914" i="12"/>
  <c r="U2913" i="12"/>
  <c r="U2912" i="12"/>
  <c r="U2911" i="12"/>
  <c r="U2910" i="12"/>
  <c r="U2909" i="12"/>
  <c r="U2908" i="12"/>
  <c r="U2907" i="12"/>
  <c r="U2906" i="12"/>
  <c r="U2905" i="12"/>
  <c r="U2904" i="12"/>
  <c r="U2903" i="12"/>
  <c r="U2902" i="12"/>
  <c r="U2901" i="12"/>
  <c r="U2900" i="12"/>
  <c r="U2899" i="12"/>
  <c r="U2898" i="12"/>
  <c r="U2897" i="12"/>
  <c r="U2896" i="12"/>
  <c r="U2895" i="12"/>
  <c r="U2894" i="12"/>
  <c r="U2893" i="12"/>
  <c r="U2892" i="12"/>
  <c r="U2891" i="12"/>
  <c r="U2890" i="12"/>
  <c r="U2889" i="12"/>
  <c r="U2888" i="12"/>
  <c r="U2887" i="12"/>
  <c r="U2886" i="12"/>
  <c r="U2885" i="12"/>
  <c r="U2884" i="12"/>
  <c r="U2883" i="12"/>
  <c r="U2882" i="12"/>
  <c r="U2881" i="12"/>
  <c r="U2880" i="12"/>
  <c r="U2879" i="12"/>
  <c r="U2878" i="12"/>
  <c r="U2877" i="12"/>
  <c r="U2876" i="12"/>
  <c r="U2875" i="12"/>
  <c r="U2874" i="12"/>
  <c r="U2873" i="12"/>
  <c r="U2872" i="12"/>
  <c r="U2871" i="12"/>
  <c r="U2870" i="12"/>
  <c r="U2869" i="12"/>
  <c r="U2868" i="12"/>
  <c r="U2867" i="12"/>
  <c r="U2866" i="12"/>
  <c r="U2865" i="12"/>
  <c r="U2864" i="12"/>
  <c r="U2863" i="12"/>
  <c r="U2862" i="12"/>
  <c r="U2861" i="12"/>
  <c r="U2860" i="12"/>
  <c r="U2859" i="12"/>
  <c r="U2858" i="12"/>
  <c r="U2857" i="12"/>
  <c r="U2856" i="12"/>
  <c r="U2855" i="12"/>
  <c r="U2854" i="12"/>
  <c r="U2853" i="12"/>
  <c r="U2852" i="12"/>
  <c r="U2851" i="12"/>
  <c r="U2850" i="12"/>
  <c r="U2849" i="12"/>
  <c r="U2848" i="12"/>
  <c r="U2847" i="12"/>
  <c r="U2846" i="12"/>
  <c r="U2845" i="12"/>
  <c r="U2844" i="12"/>
  <c r="U2843" i="12"/>
  <c r="U2842" i="12"/>
  <c r="U2841" i="12"/>
  <c r="U2840" i="12"/>
  <c r="U2839" i="12"/>
  <c r="U2838" i="12"/>
  <c r="U2837" i="12"/>
  <c r="U2836" i="12"/>
  <c r="U2835" i="12"/>
  <c r="U2834" i="12"/>
  <c r="U2833" i="12"/>
  <c r="U2832" i="12"/>
  <c r="U2831" i="12"/>
  <c r="U2830" i="12"/>
  <c r="U2829" i="12"/>
  <c r="U2828" i="12"/>
  <c r="U2827" i="12"/>
  <c r="U2826" i="12"/>
  <c r="U2825" i="12"/>
  <c r="U2824" i="12"/>
  <c r="U2823" i="12"/>
  <c r="U2822" i="12"/>
  <c r="U2821" i="12"/>
  <c r="U2820" i="12"/>
  <c r="U2819" i="12"/>
  <c r="U2818" i="12"/>
  <c r="U2817" i="12"/>
  <c r="U2816" i="12"/>
  <c r="U2815" i="12"/>
  <c r="U2814" i="12"/>
  <c r="U2813" i="12"/>
  <c r="U2812" i="12"/>
  <c r="U2811" i="12"/>
  <c r="U2810" i="12"/>
  <c r="U2809" i="12"/>
  <c r="U2808" i="12"/>
  <c r="U2807" i="12"/>
  <c r="U2806" i="12"/>
  <c r="U2805" i="12"/>
  <c r="U2804" i="12"/>
  <c r="U2803" i="12"/>
  <c r="U2802" i="12"/>
  <c r="U2801" i="12"/>
  <c r="U2800" i="12"/>
  <c r="U2799" i="12"/>
  <c r="U2798" i="12"/>
  <c r="U2797" i="12"/>
  <c r="U2796" i="12"/>
  <c r="U2795" i="12"/>
  <c r="U2794" i="12"/>
  <c r="U2793" i="12"/>
  <c r="U2792" i="12"/>
  <c r="U2791" i="12"/>
  <c r="U2790" i="12"/>
  <c r="U2789" i="12"/>
  <c r="U2788" i="12"/>
  <c r="U2787" i="12"/>
  <c r="U2786" i="12"/>
  <c r="U2785" i="12"/>
  <c r="U2784" i="12"/>
  <c r="U2783" i="12"/>
  <c r="U2782" i="12"/>
  <c r="U2781" i="12"/>
  <c r="U2780" i="12"/>
  <c r="U2779" i="12"/>
  <c r="U2778" i="12"/>
  <c r="U2777" i="12"/>
  <c r="U2776" i="12"/>
  <c r="U2775" i="12"/>
  <c r="U2774" i="12"/>
  <c r="U2773" i="12"/>
  <c r="U2772" i="12"/>
  <c r="U2771" i="12"/>
  <c r="U2770" i="12"/>
  <c r="U2769" i="12"/>
  <c r="U2768" i="12"/>
  <c r="U2767" i="12"/>
  <c r="U2766" i="12"/>
  <c r="U2765" i="12"/>
  <c r="U2764" i="12"/>
  <c r="U2763" i="12"/>
  <c r="U2762" i="12"/>
  <c r="U2761" i="12"/>
  <c r="U2760" i="12"/>
  <c r="U2759" i="12"/>
  <c r="U2758" i="12"/>
  <c r="U2757" i="12"/>
  <c r="U2756" i="12"/>
  <c r="U2755" i="12"/>
  <c r="U2754" i="12"/>
  <c r="U2753" i="12"/>
  <c r="U2752" i="12"/>
  <c r="U2751" i="12"/>
  <c r="U2749" i="12"/>
  <c r="U2748" i="12"/>
  <c r="U2747" i="12"/>
  <c r="U2746" i="12"/>
  <c r="U2745" i="12"/>
  <c r="U2744" i="12"/>
  <c r="U2743" i="12"/>
  <c r="U2742" i="12"/>
  <c r="U2741" i="12"/>
  <c r="U2740" i="12"/>
  <c r="U2739" i="12"/>
  <c r="U2738" i="12"/>
  <c r="U2737" i="12"/>
  <c r="U2736" i="12"/>
  <c r="U2735" i="12"/>
  <c r="U2734" i="12"/>
  <c r="U2733" i="12"/>
  <c r="U2732" i="12"/>
  <c r="U2731" i="12"/>
  <c r="U2730" i="12"/>
  <c r="U2729" i="12"/>
  <c r="U2728" i="12"/>
  <c r="U2727" i="12"/>
  <c r="U2726" i="12"/>
  <c r="U2725" i="12"/>
  <c r="U2724" i="12"/>
  <c r="U2723" i="12"/>
  <c r="U2722" i="12"/>
  <c r="U2721" i="12"/>
  <c r="U2720" i="12"/>
  <c r="U2719" i="12"/>
  <c r="U2718" i="12"/>
  <c r="U2717" i="12"/>
  <c r="U2716" i="12"/>
  <c r="U2715" i="12"/>
  <c r="U2714" i="12"/>
  <c r="U2713" i="12"/>
  <c r="U2712" i="12"/>
  <c r="U2711" i="12"/>
  <c r="U2710" i="12"/>
  <c r="U2709" i="12"/>
  <c r="U2708" i="12"/>
  <c r="U2707" i="12"/>
  <c r="U2706" i="12"/>
  <c r="U2705" i="12"/>
  <c r="U2704" i="12"/>
  <c r="U2703" i="12"/>
  <c r="U2702" i="12"/>
  <c r="U2701" i="12"/>
  <c r="U2700" i="12"/>
  <c r="U2699" i="12"/>
  <c r="U2698" i="12"/>
  <c r="U2697" i="12"/>
  <c r="U2696" i="12"/>
  <c r="U2695" i="12"/>
  <c r="U2694" i="12"/>
  <c r="U2693" i="12"/>
  <c r="U2692" i="12"/>
  <c r="U2691" i="12"/>
  <c r="U2690" i="12"/>
  <c r="U2689" i="12"/>
  <c r="U2688" i="12"/>
  <c r="U2687" i="12"/>
  <c r="U2686" i="12"/>
  <c r="U2685" i="12"/>
  <c r="U2684" i="12"/>
  <c r="U2683" i="12"/>
  <c r="U2682" i="12"/>
  <c r="U2681" i="12"/>
  <c r="U2680" i="12"/>
  <c r="U2679" i="12"/>
  <c r="U2678" i="12"/>
  <c r="U2677" i="12"/>
  <c r="U2676" i="12"/>
  <c r="U2675" i="12"/>
  <c r="U2674" i="12"/>
  <c r="U2673" i="12"/>
  <c r="U2672" i="12"/>
  <c r="U2671" i="12"/>
  <c r="U2670" i="12"/>
  <c r="U2669" i="12"/>
  <c r="U2668" i="12"/>
  <c r="U2667" i="12"/>
  <c r="U2666" i="12"/>
  <c r="U2665" i="12"/>
  <c r="U2664" i="12"/>
  <c r="U2663" i="12"/>
  <c r="U2662" i="12"/>
  <c r="U2661" i="12"/>
  <c r="U2660" i="12"/>
  <c r="U2659" i="12"/>
  <c r="U2658" i="12"/>
  <c r="U2657" i="12"/>
  <c r="U2656" i="12"/>
  <c r="U2655" i="12"/>
  <c r="U2654" i="12"/>
  <c r="U2653" i="12"/>
  <c r="U2652" i="12"/>
  <c r="U2651" i="12"/>
  <c r="U2650" i="12"/>
  <c r="U2649" i="12"/>
  <c r="U2648" i="12"/>
  <c r="U2647" i="12"/>
  <c r="U2646" i="12"/>
  <c r="U2645" i="12"/>
  <c r="U2644" i="12"/>
  <c r="U2643" i="12"/>
  <c r="U2642" i="12"/>
  <c r="U2641" i="12"/>
  <c r="U2640" i="12"/>
  <c r="U2639" i="12"/>
  <c r="U2638" i="12"/>
  <c r="U2637" i="12"/>
  <c r="U2636" i="12"/>
  <c r="U2635" i="12"/>
  <c r="U2634" i="12"/>
  <c r="U2633" i="12"/>
  <c r="U2632" i="12"/>
  <c r="U2631" i="12"/>
  <c r="U2630" i="12"/>
  <c r="U2629" i="12"/>
  <c r="U2628" i="12"/>
  <c r="U2627" i="12"/>
  <c r="U2626" i="12"/>
  <c r="U2625" i="12"/>
  <c r="U2624" i="12"/>
  <c r="U2623" i="12"/>
  <c r="U2622" i="12"/>
  <c r="U2621" i="12"/>
  <c r="U2620" i="12"/>
  <c r="U2619" i="12"/>
  <c r="U2618" i="12"/>
  <c r="U2617" i="12"/>
  <c r="U2616" i="12"/>
  <c r="U2615" i="12"/>
  <c r="U2614" i="12"/>
  <c r="U2613" i="12"/>
  <c r="U2612" i="12"/>
  <c r="U2611" i="12"/>
  <c r="U2610" i="12"/>
  <c r="U2609" i="12"/>
  <c r="U2608" i="12"/>
  <c r="U2607" i="12"/>
  <c r="U2606" i="12"/>
  <c r="U2605" i="12"/>
  <c r="U2604" i="12"/>
  <c r="U2603" i="12"/>
  <c r="U2602" i="12"/>
  <c r="U2601" i="12"/>
  <c r="U2600" i="12"/>
  <c r="U2599" i="12"/>
  <c r="U2598" i="12"/>
  <c r="U2597" i="12"/>
  <c r="U2596" i="12"/>
  <c r="U2595" i="12"/>
  <c r="U2594" i="12"/>
  <c r="U2593" i="12"/>
  <c r="U2592" i="12"/>
  <c r="U2591" i="12"/>
  <c r="U2590" i="12"/>
  <c r="U2589" i="12"/>
  <c r="U2588" i="12"/>
  <c r="U2587" i="12"/>
  <c r="U2586" i="12"/>
  <c r="U2585" i="12"/>
  <c r="U2584" i="12"/>
  <c r="U2583" i="12"/>
  <c r="U2582" i="12"/>
  <c r="U2581" i="12"/>
  <c r="U2580" i="12"/>
  <c r="U2579" i="12"/>
  <c r="U2578" i="12"/>
  <c r="U2577" i="12"/>
  <c r="U2576" i="12"/>
  <c r="U2575" i="12"/>
  <c r="U2574" i="12"/>
  <c r="U2573" i="12"/>
  <c r="U2572" i="12"/>
  <c r="U2571" i="12"/>
  <c r="U2570" i="12"/>
  <c r="U2569" i="12"/>
  <c r="U2568" i="12"/>
  <c r="U2567" i="12"/>
  <c r="U2566" i="12"/>
  <c r="U2565" i="12"/>
  <c r="U2564" i="12"/>
  <c r="U2563" i="12"/>
  <c r="U2562" i="12"/>
  <c r="U2561" i="12"/>
  <c r="U2560" i="12"/>
  <c r="U2559" i="12"/>
  <c r="U2558" i="12"/>
  <c r="U2557" i="12"/>
  <c r="U2556" i="12"/>
  <c r="U2555" i="12"/>
  <c r="U2554" i="12"/>
  <c r="U2553" i="12"/>
  <c r="U2552" i="12"/>
  <c r="U2551" i="12"/>
  <c r="U2550" i="12"/>
  <c r="U2549" i="12"/>
  <c r="U2548" i="12"/>
  <c r="U2547" i="12"/>
  <c r="U2546" i="12"/>
  <c r="U2545" i="12"/>
  <c r="U2544" i="12"/>
  <c r="U2543" i="12"/>
  <c r="U2542" i="12"/>
  <c r="U2541" i="12"/>
  <c r="U2540" i="12"/>
  <c r="U2539" i="12"/>
  <c r="U2538" i="12"/>
  <c r="U2537" i="12"/>
  <c r="U2536" i="12"/>
  <c r="U2535" i="12"/>
  <c r="U2534" i="12"/>
  <c r="U2533" i="12"/>
  <c r="U2532" i="12"/>
  <c r="U2531" i="12"/>
  <c r="U2530" i="12"/>
  <c r="U2529" i="12"/>
  <c r="U2528" i="12"/>
  <c r="U2527" i="12"/>
  <c r="U2526" i="12"/>
  <c r="U2525" i="12"/>
  <c r="U2524" i="12"/>
  <c r="U2523" i="12"/>
  <c r="U2522" i="12"/>
  <c r="U2521" i="12"/>
  <c r="U2520" i="12"/>
  <c r="U2519" i="12"/>
  <c r="U2518" i="12"/>
  <c r="U2517" i="12"/>
  <c r="U2516" i="12"/>
  <c r="U2515" i="12"/>
  <c r="U2514" i="12"/>
  <c r="U2513" i="12"/>
  <c r="U2512" i="12"/>
  <c r="U2511" i="12"/>
  <c r="U2510" i="12"/>
  <c r="U2509" i="12"/>
  <c r="U2508" i="12"/>
  <c r="U2507" i="12"/>
  <c r="U2506" i="12"/>
  <c r="U2505" i="12"/>
  <c r="U2504" i="12"/>
  <c r="U2503" i="12"/>
  <c r="U2502" i="12"/>
  <c r="U2501" i="12"/>
  <c r="U2500" i="12"/>
  <c r="U2499" i="12"/>
  <c r="U2498" i="12"/>
  <c r="U2497" i="12"/>
  <c r="U2496" i="12"/>
  <c r="U2495" i="12"/>
  <c r="U2494" i="12"/>
  <c r="U2493" i="12"/>
  <c r="U2492" i="12"/>
  <c r="U2491" i="12"/>
  <c r="U2490" i="12"/>
  <c r="U2489" i="12"/>
  <c r="U2488" i="12"/>
  <c r="U2487" i="12"/>
  <c r="U2486" i="12"/>
  <c r="U2485" i="12"/>
  <c r="U2484" i="12"/>
  <c r="U2483" i="12"/>
  <c r="U2482" i="12"/>
  <c r="U2481" i="12"/>
  <c r="U2480" i="12"/>
  <c r="U2479" i="12"/>
  <c r="U2478" i="12"/>
  <c r="U2477" i="12"/>
  <c r="U2476" i="12"/>
  <c r="U2475" i="12"/>
  <c r="U2474" i="12"/>
  <c r="U2473" i="12"/>
  <c r="U2472" i="12"/>
  <c r="U2471" i="12"/>
  <c r="U2470" i="12"/>
  <c r="U2469" i="12"/>
  <c r="U2468" i="12"/>
  <c r="U2467" i="12"/>
  <c r="U2466" i="12"/>
  <c r="U2465" i="12"/>
  <c r="U2464" i="12"/>
  <c r="U2463" i="12"/>
  <c r="U2462" i="12"/>
  <c r="U2461" i="12"/>
  <c r="U2460" i="12"/>
  <c r="U2459" i="12"/>
  <c r="U2458" i="12"/>
  <c r="U2457" i="12"/>
  <c r="U2456" i="12"/>
  <c r="U2455" i="12"/>
  <c r="U2454" i="12"/>
  <c r="U2453" i="12"/>
  <c r="U2452" i="12"/>
  <c r="U2451" i="12"/>
  <c r="U2450" i="12"/>
  <c r="U2449" i="12"/>
  <c r="U2448" i="12"/>
  <c r="U2447" i="12"/>
  <c r="U2446" i="12"/>
  <c r="U2445" i="12"/>
  <c r="U2444" i="12"/>
  <c r="U2443" i="12"/>
  <c r="U2442" i="12"/>
  <c r="U2441" i="12"/>
  <c r="U2440" i="12"/>
  <c r="U2439" i="12"/>
  <c r="U2438" i="12"/>
  <c r="U2437" i="12"/>
  <c r="U2436" i="12"/>
  <c r="U2435" i="12"/>
  <c r="U2434" i="12"/>
  <c r="U2433" i="12"/>
  <c r="U2432" i="12"/>
  <c r="U2431" i="12"/>
  <c r="U2430" i="12"/>
  <c r="U2429" i="12"/>
  <c r="U2428" i="12"/>
  <c r="U2427" i="12"/>
  <c r="U2426" i="12"/>
  <c r="U2425" i="12"/>
  <c r="U2424" i="12"/>
  <c r="U2423" i="12"/>
  <c r="U2422" i="12"/>
  <c r="U2421" i="12"/>
  <c r="U2420" i="12"/>
  <c r="U2419" i="12"/>
  <c r="U2418" i="12"/>
  <c r="U2417" i="12"/>
  <c r="U2416" i="12"/>
  <c r="U2415" i="12"/>
  <c r="U2414" i="12"/>
  <c r="U2413" i="12"/>
  <c r="U2412" i="12"/>
  <c r="U2411" i="12"/>
  <c r="U2410" i="12"/>
  <c r="U2409" i="12"/>
  <c r="U2408" i="12"/>
  <c r="U2407" i="12"/>
  <c r="U2406" i="12"/>
  <c r="U2405" i="12"/>
  <c r="U2404" i="12"/>
  <c r="U2403" i="12"/>
  <c r="U2402" i="12"/>
  <c r="U2401" i="12"/>
  <c r="U2400" i="12"/>
  <c r="U2399" i="12"/>
  <c r="U2398" i="12"/>
  <c r="U2397" i="12"/>
  <c r="U2396" i="12"/>
  <c r="U2395" i="12"/>
  <c r="U2394" i="12"/>
  <c r="U2393" i="12"/>
  <c r="U2392" i="12"/>
  <c r="U2391" i="12"/>
  <c r="U2390" i="12"/>
  <c r="U2389" i="12"/>
  <c r="U2388" i="12"/>
  <c r="U2387" i="12"/>
  <c r="U2386" i="12"/>
  <c r="U2385" i="12"/>
  <c r="U2384" i="12"/>
  <c r="U2383" i="12"/>
  <c r="U2382" i="12"/>
  <c r="U2381" i="12"/>
  <c r="U2380" i="12"/>
  <c r="U2379" i="12"/>
  <c r="U2378" i="12"/>
  <c r="U2377" i="12"/>
  <c r="U2376" i="12"/>
  <c r="U2375" i="12"/>
  <c r="U2374" i="12"/>
  <c r="U2373" i="12"/>
  <c r="U2372" i="12"/>
  <c r="U2371" i="12"/>
  <c r="U2370" i="12"/>
  <c r="U2369" i="12"/>
  <c r="U2368" i="12"/>
  <c r="U2367" i="12"/>
  <c r="U2366" i="12"/>
  <c r="U2365" i="12"/>
  <c r="U2364" i="12"/>
  <c r="U2363" i="12"/>
  <c r="U2362" i="12"/>
  <c r="U2361" i="12"/>
  <c r="U2360" i="12"/>
  <c r="U2359" i="12"/>
  <c r="U2358" i="12"/>
  <c r="U2357" i="12"/>
  <c r="U2356" i="12"/>
  <c r="U2355" i="12"/>
  <c r="U2354" i="12"/>
  <c r="U2353" i="12"/>
  <c r="U2352" i="12"/>
  <c r="U2351" i="12"/>
  <c r="U2350" i="12"/>
  <c r="U2349" i="12"/>
  <c r="U2348" i="12"/>
  <c r="U2347" i="12"/>
  <c r="U2346" i="12"/>
  <c r="U2345" i="12"/>
  <c r="U2344" i="12"/>
  <c r="U2343" i="12"/>
  <c r="U2342" i="12"/>
  <c r="U2341" i="12"/>
  <c r="U2340" i="12"/>
  <c r="U2339" i="12"/>
  <c r="U2338" i="12"/>
  <c r="U2337" i="12"/>
  <c r="U2336" i="12"/>
  <c r="U2335" i="12"/>
  <c r="U2334" i="12"/>
  <c r="U2333" i="12"/>
  <c r="U2332" i="12"/>
  <c r="U2331" i="12"/>
  <c r="U2330" i="12"/>
  <c r="U2329" i="12"/>
  <c r="U2328" i="12"/>
  <c r="U2327" i="12"/>
  <c r="U2326" i="12"/>
  <c r="U2325" i="12"/>
  <c r="U2324" i="12"/>
  <c r="U2323" i="12"/>
  <c r="U2322" i="12"/>
  <c r="U2321" i="12"/>
  <c r="U2320" i="12"/>
  <c r="U2319" i="12"/>
  <c r="U2318" i="12"/>
  <c r="U2317" i="12"/>
  <c r="U2316" i="12"/>
  <c r="U2315" i="12"/>
  <c r="U2314" i="12"/>
  <c r="U2313" i="12"/>
  <c r="U2312" i="12"/>
  <c r="U2311" i="12"/>
  <c r="U2310" i="12"/>
  <c r="U2309" i="12"/>
  <c r="U2308" i="12"/>
  <c r="U2307" i="12"/>
  <c r="U2306" i="12"/>
  <c r="U2305" i="12"/>
  <c r="U2304" i="12"/>
  <c r="U2303" i="12"/>
  <c r="U2302" i="12"/>
  <c r="U2301" i="12"/>
  <c r="U2300" i="12"/>
  <c r="U2299" i="12"/>
  <c r="U2298" i="12"/>
  <c r="U2297" i="12"/>
  <c r="U2296" i="12"/>
  <c r="U2295" i="12"/>
  <c r="U2294" i="12"/>
  <c r="U2293" i="12"/>
  <c r="U2292" i="12"/>
  <c r="U2291" i="12"/>
  <c r="U2290" i="12"/>
  <c r="U2289" i="12"/>
  <c r="U2288" i="12"/>
  <c r="U2287" i="12"/>
  <c r="U2286" i="12"/>
  <c r="U2285" i="12"/>
  <c r="U2284" i="12"/>
  <c r="U2283" i="12"/>
  <c r="U2282" i="12"/>
  <c r="U2281" i="12"/>
  <c r="U2280" i="12"/>
  <c r="U2279" i="12"/>
  <c r="U2278" i="12"/>
  <c r="U2277" i="12"/>
  <c r="U2276" i="12"/>
  <c r="U2275" i="12"/>
  <c r="U2274" i="12"/>
  <c r="U2273" i="12"/>
  <c r="U2272" i="12"/>
  <c r="U2271" i="12"/>
  <c r="U2270" i="12"/>
  <c r="U2269" i="12"/>
  <c r="U2268" i="12"/>
  <c r="U2267" i="12"/>
  <c r="U2266" i="12"/>
  <c r="U2265" i="12"/>
  <c r="U2264" i="12"/>
  <c r="U2263" i="12"/>
  <c r="U2262" i="12"/>
  <c r="U2261" i="12"/>
  <c r="U2260" i="12"/>
  <c r="U2259" i="12"/>
  <c r="U2258" i="12"/>
  <c r="U2257" i="12"/>
  <c r="U2256" i="12"/>
  <c r="U2255" i="12"/>
  <c r="U2254" i="12"/>
  <c r="U2253" i="12"/>
  <c r="U2252" i="12"/>
  <c r="U2251" i="12"/>
  <c r="U2250" i="12"/>
  <c r="U2249" i="12"/>
  <c r="U2248" i="12"/>
  <c r="U2247" i="12"/>
  <c r="U2246" i="12"/>
  <c r="U2245" i="12"/>
  <c r="U2244" i="12"/>
  <c r="U2243" i="12"/>
  <c r="U2242" i="12"/>
  <c r="U2241" i="12"/>
  <c r="U2240" i="12"/>
  <c r="U2239" i="12"/>
  <c r="U2238" i="12"/>
  <c r="U2237" i="12"/>
  <c r="U2236" i="12"/>
  <c r="U2235" i="12"/>
  <c r="U2234" i="12"/>
  <c r="U2233" i="12"/>
  <c r="U2232" i="12"/>
  <c r="U2231" i="12"/>
  <c r="U2230" i="12"/>
  <c r="U2229" i="12"/>
  <c r="U2228" i="12"/>
  <c r="U2227" i="12"/>
  <c r="U2226" i="12"/>
  <c r="U2225" i="12"/>
  <c r="U2224" i="12"/>
  <c r="U2223" i="12"/>
  <c r="U2222" i="12"/>
  <c r="U2221" i="12"/>
  <c r="U2220" i="12"/>
  <c r="U2219" i="12"/>
  <c r="U2218" i="12"/>
  <c r="U2217" i="12"/>
  <c r="U2216" i="12"/>
  <c r="U2215" i="12"/>
  <c r="U2214" i="12"/>
  <c r="U2213" i="12"/>
  <c r="U2212" i="12"/>
  <c r="U2211" i="12"/>
  <c r="U2210" i="12"/>
  <c r="U2209" i="12"/>
  <c r="U2208" i="12"/>
  <c r="U2207" i="12"/>
  <c r="U2206" i="12"/>
  <c r="U2205" i="12"/>
  <c r="U2204" i="12"/>
  <c r="U2203" i="12"/>
  <c r="U2202" i="12"/>
  <c r="U2201" i="12"/>
  <c r="U2200" i="12"/>
  <c r="U2199" i="12"/>
  <c r="U2198" i="12"/>
  <c r="U2197" i="12"/>
  <c r="U2196" i="12"/>
  <c r="U2195" i="12"/>
  <c r="U2194" i="12"/>
  <c r="U2193" i="12"/>
  <c r="U2192" i="12"/>
  <c r="U2191" i="12"/>
  <c r="U2190" i="12"/>
  <c r="U2189" i="12"/>
  <c r="U2188" i="12"/>
  <c r="U2187" i="12"/>
  <c r="U2186" i="12"/>
  <c r="U2185" i="12"/>
  <c r="U2184" i="12"/>
  <c r="U2183" i="12"/>
  <c r="U2182" i="12"/>
  <c r="U2181" i="12"/>
  <c r="U2180" i="12"/>
  <c r="U2179" i="12"/>
  <c r="U2178" i="12"/>
  <c r="U2177" i="12"/>
  <c r="U2176" i="12"/>
  <c r="U2175" i="12"/>
  <c r="U2174" i="12"/>
  <c r="U2173" i="12"/>
  <c r="U2172" i="12"/>
  <c r="U2171" i="12"/>
  <c r="U2170" i="12"/>
  <c r="U2169" i="12"/>
  <c r="U2168" i="12"/>
  <c r="U2167" i="12"/>
  <c r="U2166" i="12"/>
  <c r="U2165" i="12"/>
  <c r="U2164" i="12"/>
  <c r="U2163" i="12"/>
  <c r="U2162" i="12"/>
  <c r="U2161" i="12"/>
  <c r="U2160" i="12"/>
  <c r="U2159" i="12"/>
  <c r="U2158" i="12"/>
  <c r="U2157" i="12"/>
  <c r="U2156" i="12"/>
  <c r="U2155" i="12"/>
  <c r="U2154" i="12"/>
  <c r="U2153" i="12"/>
  <c r="U2152" i="12"/>
  <c r="U2151" i="12"/>
  <c r="U2150" i="12"/>
  <c r="U2149" i="12"/>
  <c r="U2148" i="12"/>
  <c r="U2147" i="12"/>
  <c r="U2146" i="12"/>
  <c r="U2145" i="12"/>
  <c r="U2144" i="12"/>
  <c r="U2143" i="12"/>
  <c r="U2142" i="12"/>
  <c r="U2141" i="12"/>
  <c r="U2140" i="12"/>
  <c r="U2139" i="12"/>
  <c r="U2138" i="12"/>
  <c r="U2137" i="12"/>
  <c r="U2136" i="12"/>
  <c r="U2135" i="12"/>
  <c r="U2134" i="12"/>
  <c r="U2133" i="12"/>
  <c r="U2132" i="12"/>
  <c r="U2131" i="12"/>
  <c r="U2130" i="12"/>
  <c r="U2129" i="12"/>
  <c r="U2128" i="12"/>
  <c r="U2127" i="12"/>
  <c r="U2126" i="12"/>
  <c r="U2125" i="12"/>
  <c r="U2124" i="12"/>
  <c r="U2123" i="12"/>
  <c r="U2122" i="12"/>
  <c r="U2121" i="12"/>
  <c r="U2120" i="12"/>
  <c r="U2119" i="12"/>
  <c r="U2118" i="12"/>
  <c r="U2117" i="12"/>
  <c r="U2116" i="12"/>
  <c r="U2115" i="12"/>
  <c r="U2114" i="12"/>
  <c r="U2113" i="12"/>
  <c r="U2112" i="12"/>
  <c r="U2111" i="12"/>
  <c r="U2110" i="12"/>
  <c r="U2109" i="12"/>
  <c r="U2108" i="12"/>
  <c r="U2107" i="12"/>
  <c r="U2106" i="12"/>
  <c r="U2105" i="12"/>
  <c r="U2104" i="12"/>
  <c r="U2103" i="12"/>
  <c r="U2102" i="12"/>
  <c r="U2101" i="12"/>
  <c r="U2100" i="12"/>
  <c r="U2099" i="12"/>
  <c r="U2098" i="12"/>
  <c r="U2097" i="12"/>
  <c r="U2096" i="12"/>
  <c r="U2095" i="12"/>
  <c r="U2094" i="12"/>
  <c r="U2093" i="12"/>
  <c r="U2092" i="12"/>
  <c r="U2091" i="12"/>
  <c r="U2090" i="12"/>
  <c r="U2089" i="12"/>
  <c r="U2088" i="12"/>
  <c r="U2087" i="12"/>
  <c r="U2086" i="12"/>
  <c r="U2085" i="12"/>
  <c r="U2084" i="12"/>
  <c r="U2083" i="12"/>
  <c r="U2082" i="12"/>
  <c r="U2081" i="12"/>
  <c r="U2080" i="12"/>
  <c r="U2079" i="12"/>
  <c r="U2078" i="12"/>
  <c r="U2077" i="12"/>
  <c r="U2076" i="12"/>
  <c r="U2075" i="12"/>
  <c r="U2074" i="12"/>
  <c r="U2073" i="12"/>
  <c r="U2072" i="12"/>
  <c r="U2071" i="12"/>
  <c r="U2070" i="12"/>
  <c r="U2069" i="12"/>
  <c r="U2068" i="12"/>
  <c r="U2067" i="12"/>
  <c r="U2066" i="12"/>
  <c r="U2065" i="12"/>
  <c r="U2064" i="12"/>
  <c r="U2063" i="12"/>
  <c r="U2062" i="12"/>
  <c r="U2061" i="12"/>
  <c r="U2060" i="12"/>
  <c r="U2059" i="12"/>
  <c r="U2058" i="12"/>
  <c r="U2057" i="12"/>
  <c r="U2056" i="12"/>
  <c r="U2055" i="12"/>
  <c r="U2054" i="12"/>
  <c r="U2053" i="12"/>
  <c r="U2052" i="12"/>
  <c r="U2051" i="12"/>
  <c r="U2050" i="12"/>
  <c r="U2049" i="12"/>
  <c r="U2048" i="12"/>
  <c r="U2047" i="12"/>
  <c r="U2046" i="12"/>
  <c r="U2045" i="12"/>
  <c r="U2044" i="12"/>
  <c r="U2043" i="12"/>
  <c r="U2042" i="12"/>
  <c r="U2041" i="12"/>
  <c r="U2040" i="12"/>
  <c r="U2039" i="12"/>
  <c r="U2038" i="12"/>
  <c r="U2037" i="12"/>
  <c r="U2036" i="12"/>
  <c r="U2035" i="12"/>
  <c r="U2034" i="12"/>
  <c r="U2033" i="12"/>
  <c r="U2032" i="12"/>
  <c r="U2031" i="12"/>
  <c r="U2030" i="12"/>
  <c r="U2029" i="12"/>
  <c r="U2028" i="12"/>
  <c r="U2027" i="12"/>
  <c r="U2026" i="12"/>
  <c r="U2025" i="12"/>
  <c r="U2024" i="12"/>
  <c r="U2023" i="12"/>
  <c r="U2022" i="12"/>
  <c r="U2021" i="12"/>
  <c r="U2020" i="12"/>
  <c r="U2019" i="12"/>
  <c r="U2018" i="12"/>
  <c r="U2017" i="12"/>
  <c r="U2016" i="12"/>
  <c r="U2015" i="12"/>
  <c r="U2014" i="12"/>
  <c r="U2013" i="12"/>
  <c r="U2012" i="12"/>
  <c r="U2011" i="12"/>
  <c r="U2010" i="12"/>
  <c r="U2009" i="12"/>
  <c r="U2008" i="12"/>
  <c r="U2007" i="12"/>
  <c r="U2006" i="12"/>
  <c r="U2005" i="12"/>
  <c r="U2004" i="12"/>
  <c r="U2003" i="12"/>
  <c r="U2002" i="12"/>
  <c r="U2001" i="12"/>
  <c r="U2000" i="12"/>
  <c r="U1999" i="12"/>
  <c r="U1998" i="12"/>
  <c r="U1997" i="12"/>
  <c r="U1996" i="12"/>
  <c r="U1995" i="12"/>
  <c r="U1994" i="12"/>
  <c r="U1993" i="12"/>
  <c r="U1992" i="12"/>
  <c r="U1991" i="12"/>
  <c r="U1990" i="12"/>
  <c r="U1989" i="12"/>
  <c r="U1988" i="12"/>
  <c r="U1987" i="12"/>
  <c r="U1986" i="12"/>
  <c r="U1985" i="12"/>
  <c r="U1984" i="12"/>
  <c r="U1983" i="12"/>
  <c r="U1982" i="12"/>
  <c r="U1981" i="12"/>
  <c r="U1980" i="12"/>
  <c r="U1979" i="12"/>
  <c r="U1978" i="12"/>
  <c r="U1977" i="12"/>
  <c r="U1976" i="12"/>
  <c r="U1975" i="12"/>
  <c r="U1974" i="12"/>
  <c r="U1973" i="12"/>
  <c r="U1972" i="12"/>
  <c r="U1971" i="12"/>
  <c r="U1970" i="12"/>
  <c r="U1969" i="12"/>
  <c r="U1968" i="12"/>
  <c r="U1967" i="12"/>
  <c r="U1966" i="12"/>
  <c r="U1965" i="12"/>
  <c r="U1964" i="12"/>
  <c r="U1963" i="12"/>
  <c r="U1962" i="12"/>
  <c r="U1961" i="12"/>
  <c r="U1960" i="12"/>
  <c r="U1959" i="12"/>
  <c r="U1958" i="12"/>
  <c r="U1957" i="12"/>
  <c r="U1956" i="12"/>
  <c r="U1955" i="12"/>
  <c r="U1954" i="12"/>
  <c r="U1953" i="12"/>
  <c r="U1952" i="12"/>
  <c r="U1951" i="12"/>
  <c r="U1950" i="12"/>
  <c r="U1949" i="12"/>
  <c r="U1948" i="12"/>
  <c r="U1947" i="12"/>
  <c r="U1946" i="12"/>
  <c r="U1945" i="12"/>
  <c r="U1944" i="12"/>
  <c r="U1943" i="12"/>
  <c r="U1942" i="12"/>
  <c r="U1941" i="12"/>
  <c r="U1940" i="12"/>
  <c r="U1939" i="12"/>
  <c r="U1938" i="12"/>
  <c r="U1937" i="12"/>
  <c r="U1936" i="12"/>
  <c r="U1935" i="12"/>
  <c r="U1934" i="12"/>
  <c r="U1933" i="12"/>
  <c r="U1932" i="12"/>
  <c r="U1931" i="12"/>
  <c r="U1930" i="12"/>
  <c r="U1929" i="12"/>
  <c r="U1928" i="12"/>
  <c r="U1927" i="12"/>
  <c r="U1926" i="12"/>
  <c r="U1925" i="12"/>
  <c r="U1924" i="12"/>
  <c r="U1923" i="12"/>
  <c r="U1922" i="12"/>
  <c r="U1921" i="12"/>
  <c r="U1920" i="12"/>
  <c r="U1919" i="12"/>
  <c r="U1918" i="12"/>
  <c r="U1917" i="12"/>
  <c r="U1916" i="12"/>
  <c r="U1915" i="12"/>
  <c r="U1914" i="12"/>
  <c r="U1913" i="12"/>
  <c r="U1912" i="12"/>
  <c r="U1911" i="12"/>
  <c r="U1910" i="12"/>
  <c r="U1909" i="12"/>
  <c r="U1908" i="12"/>
  <c r="U1907" i="12"/>
  <c r="U1906" i="12"/>
  <c r="U1905" i="12"/>
  <c r="U1904" i="12"/>
  <c r="U1903" i="12"/>
  <c r="U1902" i="12"/>
  <c r="U1901" i="12"/>
  <c r="U1900" i="12"/>
  <c r="U1899" i="12"/>
  <c r="U1898" i="12"/>
  <c r="U1897" i="12"/>
  <c r="U1896" i="12"/>
  <c r="U1895" i="12"/>
  <c r="U1894" i="12"/>
  <c r="U1893" i="12"/>
  <c r="U1892" i="12"/>
  <c r="U1891" i="12"/>
  <c r="U1890" i="12"/>
  <c r="U1889" i="12"/>
  <c r="U1888" i="12"/>
  <c r="U1887" i="12"/>
  <c r="U1886" i="12"/>
  <c r="U1885" i="12"/>
  <c r="U1884" i="12"/>
  <c r="U1883" i="12"/>
  <c r="U1882" i="12"/>
  <c r="U1881" i="12"/>
  <c r="U1880" i="12"/>
  <c r="U1879" i="12"/>
  <c r="U1878" i="12"/>
  <c r="U1877" i="12"/>
  <c r="U1876" i="12"/>
  <c r="U1875" i="12"/>
  <c r="U1874" i="12"/>
  <c r="U1873" i="12"/>
  <c r="U1872" i="12"/>
  <c r="U1871" i="12"/>
  <c r="U1870" i="12"/>
  <c r="U1869" i="12"/>
  <c r="U1868" i="12"/>
  <c r="U1867" i="12"/>
  <c r="U1866" i="12"/>
  <c r="U1865" i="12"/>
  <c r="U1864" i="12"/>
  <c r="U1863" i="12"/>
  <c r="U1862" i="12"/>
  <c r="U1861" i="12"/>
  <c r="U1860" i="12"/>
  <c r="U1859" i="12"/>
  <c r="U1858" i="12"/>
  <c r="U1857" i="12"/>
  <c r="U1856" i="12"/>
  <c r="U1855" i="12"/>
  <c r="U1854" i="12"/>
  <c r="U1853" i="12"/>
  <c r="U1852" i="12"/>
  <c r="U1851" i="12"/>
  <c r="U1850" i="12"/>
  <c r="U1849" i="12"/>
  <c r="U1848" i="12"/>
  <c r="U1847" i="12"/>
  <c r="U1846" i="12"/>
  <c r="U1845" i="12"/>
  <c r="U1844" i="12"/>
  <c r="U1843" i="12"/>
  <c r="U1842" i="12"/>
  <c r="U1841" i="12"/>
  <c r="U1840" i="12"/>
  <c r="U1839" i="12"/>
  <c r="U1838" i="12"/>
  <c r="U1837" i="12"/>
  <c r="U1836" i="12"/>
  <c r="U1835" i="12"/>
  <c r="U1834" i="12"/>
  <c r="U1833" i="12"/>
  <c r="U1832" i="12"/>
  <c r="U1831" i="12"/>
  <c r="U1830" i="12"/>
  <c r="U1829" i="12"/>
  <c r="U1828" i="12"/>
  <c r="U1827" i="12"/>
  <c r="U1826" i="12"/>
  <c r="U1825" i="12"/>
  <c r="U1824" i="12"/>
  <c r="U1823" i="12"/>
  <c r="U1822" i="12"/>
  <c r="U1821" i="12"/>
  <c r="U1820" i="12"/>
  <c r="U1819" i="12"/>
  <c r="U1818" i="12"/>
  <c r="U1817" i="12"/>
  <c r="U1816" i="12"/>
  <c r="U1815" i="12"/>
  <c r="U1814" i="12"/>
  <c r="U1813" i="12"/>
  <c r="U1812" i="12"/>
  <c r="U1811" i="12"/>
  <c r="U1810" i="12"/>
  <c r="U1809" i="12"/>
  <c r="U1808" i="12"/>
  <c r="U1807" i="12"/>
  <c r="U1806" i="12"/>
  <c r="U1805" i="12"/>
  <c r="U1804" i="12"/>
  <c r="U1803" i="12"/>
  <c r="U1802" i="12"/>
  <c r="U1801" i="12"/>
  <c r="U1800" i="12"/>
  <c r="U1799" i="12"/>
  <c r="U1798" i="12"/>
  <c r="U1797" i="12"/>
  <c r="U1796" i="12"/>
  <c r="U1795" i="12"/>
  <c r="U1794" i="12"/>
  <c r="U1793" i="12"/>
  <c r="U1792" i="12"/>
  <c r="U1791" i="12"/>
  <c r="U1790" i="12"/>
  <c r="U1789" i="12"/>
  <c r="U1788" i="12"/>
  <c r="U1787" i="12"/>
  <c r="U1786" i="12"/>
  <c r="U1785" i="12"/>
  <c r="U1784" i="12"/>
  <c r="U1783" i="12"/>
  <c r="U1782" i="12"/>
  <c r="U1781" i="12"/>
  <c r="U1780" i="12"/>
  <c r="U1779" i="12"/>
  <c r="U1778" i="12"/>
  <c r="U1777" i="12"/>
  <c r="U1776" i="12"/>
  <c r="U1775" i="12"/>
  <c r="U1774" i="12"/>
  <c r="U1773" i="12"/>
  <c r="U1772" i="12"/>
  <c r="U1771" i="12"/>
  <c r="U1770" i="12"/>
  <c r="U1769" i="12"/>
  <c r="U1768" i="12"/>
  <c r="U1767" i="12"/>
  <c r="U1766" i="12"/>
  <c r="U1765" i="12"/>
  <c r="U1764" i="12"/>
  <c r="U1763" i="12"/>
  <c r="U1762" i="12"/>
  <c r="U1761" i="12"/>
  <c r="U1760" i="12"/>
  <c r="U1759" i="12"/>
  <c r="U1758" i="12"/>
  <c r="U1757" i="12"/>
  <c r="U1756" i="12"/>
  <c r="U1755" i="12"/>
  <c r="U1754" i="12"/>
  <c r="U1753" i="12"/>
  <c r="U1752" i="12"/>
  <c r="U1751" i="12"/>
  <c r="U1750" i="12"/>
  <c r="U1749" i="12"/>
  <c r="U1748" i="12"/>
  <c r="U1747" i="12"/>
  <c r="U1746" i="12"/>
  <c r="U1745" i="12"/>
  <c r="U1744" i="12"/>
  <c r="U1743" i="12"/>
  <c r="U1742" i="12"/>
  <c r="U1741" i="12"/>
  <c r="U1740" i="12"/>
  <c r="U1739" i="12"/>
  <c r="U1738" i="12"/>
  <c r="U1737" i="12"/>
  <c r="U1736" i="12"/>
  <c r="U1735" i="12"/>
  <c r="U1734" i="12"/>
  <c r="U1733" i="12"/>
  <c r="U1732" i="12"/>
  <c r="U1731" i="12"/>
  <c r="U1730" i="12"/>
  <c r="U1729" i="12"/>
  <c r="U1728" i="12"/>
  <c r="U1727" i="12"/>
  <c r="U1726" i="12"/>
  <c r="U1725" i="12"/>
  <c r="U1724" i="12"/>
  <c r="U1723" i="12"/>
  <c r="U1722" i="12"/>
  <c r="U1721" i="12"/>
  <c r="U1720" i="12"/>
  <c r="U1719" i="12"/>
  <c r="U1718" i="12"/>
  <c r="U1717" i="12"/>
  <c r="U1716" i="12"/>
  <c r="U1715" i="12"/>
  <c r="U1714" i="12"/>
  <c r="U1713" i="12"/>
  <c r="U1712" i="12"/>
  <c r="U1711" i="12"/>
  <c r="U1710" i="12"/>
  <c r="U1709" i="12"/>
  <c r="U1708" i="12"/>
  <c r="U1707" i="12"/>
  <c r="U1706" i="12"/>
  <c r="U1705" i="12"/>
  <c r="U1704" i="12"/>
  <c r="U1703" i="12"/>
  <c r="U1702" i="12"/>
  <c r="U1701" i="12"/>
  <c r="U1700" i="12"/>
  <c r="U1699" i="12"/>
  <c r="U1698" i="12"/>
  <c r="U1697" i="12"/>
  <c r="U1696" i="12"/>
  <c r="U1695" i="12"/>
  <c r="U1694" i="12"/>
  <c r="U1693" i="12"/>
  <c r="U1692" i="12"/>
  <c r="U1691" i="12"/>
  <c r="U1690" i="12"/>
  <c r="U1689" i="12"/>
  <c r="U1688" i="12"/>
  <c r="U1687" i="12"/>
  <c r="U1686" i="12"/>
  <c r="U1685" i="12"/>
  <c r="U1684" i="12"/>
  <c r="U1683" i="12"/>
  <c r="U1682" i="12"/>
  <c r="U1681" i="12"/>
  <c r="U1680" i="12"/>
  <c r="U1679" i="12"/>
  <c r="U1678" i="12"/>
  <c r="U1677" i="12"/>
  <c r="U1676" i="12"/>
  <c r="U1675" i="12"/>
  <c r="U1674" i="12"/>
  <c r="U1673" i="12"/>
  <c r="U1672" i="12"/>
  <c r="U1671" i="12"/>
  <c r="U1670" i="12"/>
  <c r="U1669" i="12"/>
  <c r="U1668" i="12"/>
  <c r="U1667" i="12"/>
  <c r="U1666" i="12"/>
  <c r="U1665" i="12"/>
  <c r="U1664" i="12"/>
  <c r="U1663" i="12"/>
  <c r="U1662" i="12"/>
  <c r="U1661" i="12"/>
  <c r="U1660" i="12"/>
  <c r="U1659" i="12"/>
  <c r="U1658" i="12"/>
  <c r="U1657" i="12"/>
  <c r="U1656" i="12"/>
  <c r="U1655" i="12"/>
  <c r="U1654" i="12"/>
  <c r="U1653" i="12"/>
  <c r="U1652" i="12"/>
  <c r="U1651" i="12"/>
  <c r="U1650" i="12"/>
  <c r="U1649" i="12"/>
  <c r="U1648" i="12"/>
  <c r="U1647" i="12"/>
  <c r="U1646" i="12"/>
  <c r="U1645" i="12"/>
  <c r="U1644" i="12"/>
  <c r="U1643" i="12"/>
  <c r="U1642" i="12"/>
  <c r="U1641" i="12"/>
  <c r="U1640" i="12"/>
  <c r="U1639" i="12"/>
  <c r="U1638" i="12"/>
  <c r="U1637" i="12"/>
  <c r="U1636" i="12"/>
  <c r="U1635" i="12"/>
  <c r="U1634" i="12"/>
  <c r="U1633" i="12"/>
  <c r="U1632" i="12"/>
  <c r="U1631" i="12"/>
  <c r="U1630" i="12"/>
  <c r="U1629" i="12"/>
  <c r="U1628" i="12"/>
  <c r="U1627" i="12"/>
  <c r="U1626" i="12"/>
  <c r="U1625" i="12"/>
  <c r="U1624" i="12"/>
  <c r="U1623" i="12"/>
  <c r="U1622" i="12"/>
  <c r="U1621" i="12"/>
  <c r="U1620" i="12"/>
  <c r="U1619" i="12"/>
  <c r="U1618" i="12"/>
  <c r="U1617" i="12"/>
  <c r="U1616" i="12"/>
  <c r="U1615" i="12"/>
  <c r="U1614" i="12"/>
  <c r="U1613" i="12"/>
  <c r="U1612" i="12"/>
  <c r="U1611" i="12"/>
  <c r="U1610" i="12"/>
  <c r="U1609" i="12"/>
  <c r="U1608" i="12"/>
  <c r="U1607" i="12"/>
  <c r="U1606" i="12"/>
  <c r="U1605" i="12"/>
  <c r="U1604" i="12"/>
  <c r="U1603" i="12"/>
  <c r="U1602" i="12"/>
  <c r="U1601" i="12"/>
  <c r="U1600" i="12"/>
  <c r="U1599" i="12"/>
  <c r="U1598" i="12"/>
  <c r="U1597" i="12"/>
  <c r="U1596" i="12"/>
  <c r="U1595" i="12"/>
  <c r="U1594" i="12"/>
  <c r="U1593" i="12"/>
  <c r="U1592" i="12"/>
  <c r="U1591" i="12"/>
  <c r="U1590" i="12"/>
  <c r="U1589" i="12"/>
  <c r="U1588" i="12"/>
  <c r="U1587" i="12"/>
  <c r="U1586" i="12"/>
  <c r="U1585" i="12"/>
  <c r="U1584" i="12"/>
  <c r="U1583" i="12"/>
  <c r="U1582" i="12"/>
  <c r="U1581" i="12"/>
  <c r="U1580" i="12"/>
  <c r="U1579" i="12"/>
  <c r="U1578" i="12"/>
  <c r="U1577" i="12"/>
  <c r="U1576" i="12"/>
  <c r="U1575" i="12"/>
  <c r="U1574" i="12"/>
  <c r="U1573" i="12"/>
  <c r="U1572" i="12"/>
  <c r="U1571" i="12"/>
  <c r="U1570" i="12"/>
  <c r="U1569" i="12"/>
  <c r="U1568" i="12"/>
  <c r="U1567" i="12"/>
  <c r="U1566" i="12"/>
  <c r="U1565" i="12"/>
  <c r="U1564" i="12"/>
  <c r="U1563" i="12"/>
  <c r="U1562" i="12"/>
  <c r="U1561" i="12"/>
  <c r="U1560" i="12"/>
  <c r="U1559" i="12"/>
  <c r="U1558" i="12"/>
  <c r="U1557" i="12"/>
  <c r="U1556" i="12"/>
  <c r="U1555" i="12"/>
  <c r="U1554" i="12"/>
  <c r="U1553" i="12"/>
  <c r="U1552" i="12"/>
  <c r="U1551" i="12"/>
  <c r="U1550" i="12"/>
  <c r="U1549" i="12"/>
  <c r="U1548" i="12"/>
  <c r="U1547" i="12"/>
  <c r="U1546" i="12"/>
  <c r="U1545" i="12"/>
  <c r="U1544" i="12"/>
  <c r="U1543" i="12"/>
  <c r="U1542" i="12"/>
  <c r="U1541" i="12"/>
  <c r="U1540" i="12"/>
  <c r="U1539" i="12"/>
  <c r="U1538" i="12"/>
  <c r="U1537" i="12"/>
  <c r="U1536" i="12"/>
  <c r="U1535" i="12"/>
  <c r="U1534" i="12"/>
  <c r="U1533" i="12"/>
  <c r="U1532" i="12"/>
  <c r="U1531" i="12"/>
  <c r="U1530" i="12"/>
  <c r="U1529" i="12"/>
  <c r="U1528" i="12"/>
  <c r="U1527" i="12"/>
  <c r="U1526" i="12"/>
  <c r="U1525" i="12"/>
  <c r="U1524" i="12"/>
  <c r="U1523" i="12"/>
  <c r="U1522" i="12"/>
  <c r="U1521" i="12"/>
  <c r="U1520" i="12"/>
  <c r="U1519" i="12"/>
  <c r="U1518" i="12"/>
  <c r="U1517" i="12"/>
  <c r="U1516" i="12"/>
  <c r="U1515" i="12"/>
  <c r="U1514" i="12"/>
  <c r="U1513" i="12"/>
  <c r="U1512" i="12"/>
  <c r="U1511" i="12"/>
  <c r="U1510" i="12"/>
  <c r="U1509" i="12"/>
  <c r="U1508" i="12"/>
  <c r="U1507" i="12"/>
  <c r="U1506" i="12"/>
  <c r="U1505" i="12"/>
  <c r="U1504" i="12"/>
  <c r="U1503" i="12"/>
  <c r="U1502" i="12"/>
  <c r="U1501" i="12"/>
  <c r="U1500" i="12"/>
  <c r="U1499" i="12"/>
  <c r="U1498" i="12"/>
  <c r="U1497" i="12"/>
  <c r="U1496" i="12"/>
  <c r="U1495" i="12"/>
  <c r="U1494" i="12"/>
  <c r="U1493" i="12"/>
  <c r="U1492" i="12"/>
  <c r="U1491" i="12"/>
  <c r="U1490" i="12"/>
  <c r="U1489" i="12"/>
  <c r="U1488" i="12"/>
  <c r="U1487" i="12"/>
  <c r="U1486" i="12"/>
  <c r="U1485" i="12"/>
  <c r="U1484" i="12"/>
  <c r="U1483" i="12"/>
  <c r="U1482" i="12"/>
  <c r="U1481" i="12"/>
  <c r="U1480" i="12"/>
  <c r="U1479" i="12"/>
  <c r="U1478" i="12"/>
  <c r="U1477" i="12"/>
  <c r="U1476" i="12"/>
  <c r="U1475" i="12"/>
  <c r="U1474" i="12"/>
  <c r="U1473" i="12"/>
  <c r="U1472" i="12"/>
  <c r="U1471" i="12"/>
  <c r="U1470" i="12"/>
  <c r="U1469" i="12"/>
  <c r="U1468" i="12"/>
  <c r="U1467" i="12"/>
  <c r="U1466" i="12"/>
  <c r="U1465" i="12"/>
  <c r="U1464" i="12"/>
  <c r="U1463" i="12"/>
  <c r="U1462" i="12"/>
  <c r="U1461" i="12"/>
  <c r="U1460" i="12"/>
  <c r="U1459" i="12"/>
  <c r="U1458" i="12"/>
  <c r="U1457" i="12"/>
  <c r="U1456" i="12"/>
  <c r="U1455" i="12"/>
  <c r="U1454" i="12"/>
  <c r="U1453" i="12"/>
  <c r="U1452" i="12"/>
  <c r="U1451" i="12"/>
  <c r="U1450" i="12"/>
  <c r="U1449" i="12"/>
  <c r="U1448" i="12"/>
  <c r="U1447" i="12"/>
  <c r="U1446" i="12"/>
  <c r="U1445" i="12"/>
  <c r="U1444" i="12"/>
  <c r="U1443" i="12"/>
  <c r="U1442" i="12"/>
  <c r="U1441" i="12"/>
  <c r="U1440" i="12"/>
  <c r="U1439" i="12"/>
  <c r="U1438" i="12"/>
  <c r="U1437" i="12"/>
  <c r="U1436" i="12"/>
  <c r="U1435" i="12"/>
  <c r="U1434" i="12"/>
  <c r="U1433" i="12"/>
  <c r="U1432" i="12"/>
  <c r="U1431" i="12"/>
  <c r="U1430" i="12"/>
  <c r="U1429" i="12"/>
  <c r="U1428" i="12"/>
  <c r="U1427" i="12"/>
  <c r="U1426" i="12"/>
  <c r="U1425" i="12"/>
  <c r="U1424" i="12"/>
  <c r="U1423" i="12"/>
  <c r="U1422" i="12"/>
  <c r="U1421" i="12"/>
  <c r="U1420" i="12"/>
  <c r="U1419" i="12"/>
  <c r="U1418" i="12"/>
  <c r="U1417" i="12"/>
  <c r="U1416" i="12"/>
  <c r="U1415" i="12"/>
  <c r="U1414" i="12"/>
  <c r="U1413" i="12"/>
  <c r="U1412" i="12"/>
  <c r="U1411" i="12"/>
  <c r="U1410" i="12"/>
  <c r="U1409" i="12"/>
  <c r="U1408" i="12"/>
  <c r="U1407" i="12"/>
  <c r="U1406" i="12"/>
  <c r="U1405" i="12"/>
  <c r="U1404" i="12"/>
  <c r="U1403" i="12"/>
  <c r="U1402" i="12"/>
  <c r="U1401" i="12"/>
  <c r="U1400" i="12"/>
  <c r="U1399" i="12"/>
  <c r="U1398" i="12"/>
  <c r="U1397" i="12"/>
  <c r="U1396" i="12"/>
  <c r="U1395" i="12"/>
  <c r="U1394" i="12"/>
  <c r="U1393" i="12"/>
  <c r="U1392" i="12"/>
  <c r="U1391" i="12"/>
  <c r="U1390" i="12"/>
  <c r="U1389" i="12"/>
  <c r="U1388" i="12"/>
  <c r="U1387" i="12"/>
  <c r="U1386" i="12"/>
  <c r="U1385" i="12"/>
  <c r="U1384" i="12"/>
  <c r="U1383" i="12"/>
  <c r="U1382" i="12"/>
  <c r="U1381" i="12"/>
  <c r="U1380" i="12"/>
  <c r="U1379" i="12"/>
  <c r="U1378" i="12"/>
  <c r="U1377" i="12"/>
  <c r="U1376" i="12"/>
  <c r="U1375" i="12"/>
  <c r="U1374" i="12"/>
  <c r="U1373" i="12"/>
  <c r="U1372" i="12"/>
  <c r="U1371" i="12"/>
  <c r="U1370" i="12"/>
  <c r="U1369" i="12"/>
  <c r="U1368" i="12"/>
  <c r="U1367" i="12"/>
  <c r="U1366" i="12"/>
  <c r="U1365" i="12"/>
  <c r="U1364" i="12"/>
  <c r="U1363" i="12"/>
  <c r="U1362" i="12"/>
  <c r="U1361" i="12"/>
  <c r="U1360" i="12"/>
  <c r="U1359" i="12"/>
  <c r="U1358" i="12"/>
  <c r="U1357" i="12"/>
  <c r="U1356" i="12"/>
  <c r="U1355" i="12"/>
  <c r="U1354" i="12"/>
  <c r="U1353" i="12"/>
  <c r="U1352" i="12"/>
  <c r="U1351" i="12"/>
  <c r="U1350" i="12"/>
  <c r="U1349" i="12"/>
  <c r="U1348" i="12"/>
  <c r="U1347" i="12"/>
  <c r="U1346" i="12"/>
  <c r="U1345" i="12"/>
  <c r="U1344" i="12"/>
  <c r="U1343" i="12"/>
  <c r="U1342" i="12"/>
  <c r="U1341" i="12"/>
  <c r="U1340" i="12"/>
  <c r="U1339" i="12"/>
  <c r="U1338" i="12"/>
  <c r="U1337" i="12"/>
  <c r="U1336" i="12"/>
  <c r="U1335" i="12"/>
  <c r="U1334" i="12"/>
  <c r="U1333" i="12"/>
  <c r="U1332" i="12"/>
  <c r="U1331" i="12"/>
  <c r="U1330" i="12"/>
  <c r="U1329" i="12"/>
  <c r="U1328" i="12"/>
  <c r="U1327" i="12"/>
  <c r="U1326" i="12"/>
  <c r="U1325" i="12"/>
  <c r="U1324" i="12"/>
  <c r="U1323" i="12"/>
  <c r="U1322" i="12"/>
  <c r="U1321" i="12"/>
  <c r="U1320" i="12"/>
  <c r="U1319" i="12"/>
  <c r="U1318" i="12"/>
  <c r="U1317" i="12"/>
  <c r="U1316" i="12"/>
  <c r="U1315" i="12"/>
  <c r="U1314" i="12"/>
  <c r="U1313" i="12"/>
  <c r="U1312" i="12"/>
  <c r="U1311" i="12"/>
  <c r="U1310" i="12"/>
  <c r="U1309" i="12"/>
  <c r="U1308" i="12"/>
  <c r="U1307" i="12"/>
  <c r="U1306" i="12"/>
  <c r="U1305" i="12"/>
  <c r="U1304" i="12"/>
  <c r="U1303" i="12"/>
  <c r="U1302" i="12"/>
  <c r="U1301" i="12"/>
  <c r="U1300" i="12"/>
  <c r="U1299" i="12"/>
  <c r="U1298" i="12"/>
  <c r="U1297" i="12"/>
  <c r="U1296" i="12"/>
  <c r="U1295" i="12"/>
  <c r="U1294" i="12"/>
  <c r="U1293" i="12"/>
  <c r="U1292" i="12"/>
  <c r="U1291" i="12"/>
  <c r="U1290" i="12"/>
  <c r="U1289" i="12"/>
  <c r="U1288" i="12"/>
  <c r="U1287" i="12"/>
  <c r="U1286" i="12"/>
  <c r="U1285" i="12"/>
  <c r="U1284" i="12"/>
  <c r="U1283" i="12"/>
  <c r="U1282" i="12"/>
  <c r="U1281" i="12"/>
  <c r="U1280" i="12"/>
  <c r="U1279" i="12"/>
  <c r="U1278" i="12"/>
  <c r="U1277" i="12"/>
  <c r="U1276" i="12"/>
  <c r="U1275" i="12"/>
  <c r="U1274" i="12"/>
  <c r="U1273" i="12"/>
  <c r="U1272" i="12"/>
  <c r="U1271" i="12"/>
  <c r="U1270" i="12"/>
  <c r="U1269" i="12"/>
  <c r="U1268" i="12"/>
  <c r="U1267" i="12"/>
  <c r="U1266" i="12"/>
  <c r="U1265" i="12"/>
  <c r="U1264" i="12"/>
  <c r="U1263" i="12"/>
  <c r="U1262" i="12"/>
  <c r="U1261" i="12"/>
  <c r="U1260" i="12"/>
  <c r="U1259" i="12"/>
  <c r="U1258" i="12"/>
  <c r="U1257" i="12"/>
  <c r="U1256" i="12"/>
  <c r="U1255" i="12"/>
  <c r="U1254" i="12"/>
  <c r="U1253" i="12"/>
  <c r="U1252" i="12"/>
  <c r="U1251" i="12"/>
  <c r="U1250" i="12"/>
  <c r="U1249" i="12"/>
  <c r="U1248" i="12"/>
  <c r="U1247" i="12"/>
  <c r="U1246" i="12"/>
  <c r="U1245" i="12"/>
  <c r="U1244" i="12"/>
  <c r="U1243" i="12"/>
  <c r="U1242" i="12"/>
  <c r="U1241" i="12"/>
  <c r="U1240" i="12"/>
  <c r="U1239" i="12"/>
  <c r="U1238" i="12"/>
  <c r="U1237" i="12"/>
  <c r="U1236" i="12"/>
  <c r="U1235" i="12"/>
  <c r="U1234" i="12"/>
  <c r="U1233" i="12"/>
  <c r="U1232" i="12"/>
  <c r="U1231" i="12"/>
  <c r="U1230" i="12"/>
  <c r="U1229" i="12"/>
  <c r="U1228" i="12"/>
  <c r="U1227" i="12"/>
  <c r="U1226" i="12"/>
  <c r="U1225" i="12"/>
  <c r="U1224" i="12"/>
  <c r="U1223" i="12"/>
  <c r="U1222" i="12"/>
  <c r="U1221" i="12"/>
  <c r="U1220" i="12"/>
  <c r="U1219" i="12"/>
  <c r="U1218" i="12"/>
  <c r="U1217" i="12"/>
  <c r="U1216" i="12"/>
  <c r="U1215" i="12"/>
  <c r="U1214" i="12"/>
  <c r="U1213" i="12"/>
  <c r="U1212" i="12"/>
  <c r="U1211" i="12"/>
  <c r="U1210" i="12"/>
  <c r="U1209" i="12"/>
  <c r="U1208" i="12"/>
  <c r="U1207" i="12"/>
  <c r="U1206" i="12"/>
  <c r="U1205" i="12"/>
  <c r="U1204" i="12"/>
  <c r="U1203" i="12"/>
  <c r="U1202" i="12"/>
  <c r="U1201" i="12"/>
  <c r="U1200" i="12"/>
  <c r="U1199" i="12"/>
  <c r="U1198" i="12"/>
  <c r="U1197" i="12"/>
  <c r="U1196" i="12"/>
  <c r="U1195" i="12"/>
  <c r="U1194" i="12"/>
  <c r="U1193" i="12"/>
  <c r="U1192" i="12"/>
  <c r="U1191" i="12"/>
  <c r="U1190" i="12"/>
  <c r="U1189" i="12"/>
  <c r="U1188" i="12"/>
  <c r="U1187" i="12"/>
  <c r="U1186" i="12"/>
  <c r="U1185" i="12"/>
  <c r="U1184" i="12"/>
  <c r="U1183" i="12"/>
  <c r="U1182" i="12"/>
  <c r="U1181" i="12"/>
  <c r="U1180" i="12"/>
  <c r="U1179" i="12"/>
  <c r="U1178" i="12"/>
  <c r="U1177" i="12"/>
  <c r="U1176" i="12"/>
  <c r="U1175" i="12"/>
  <c r="U1174" i="12"/>
  <c r="U1173" i="12"/>
  <c r="U1172" i="12"/>
  <c r="U1171" i="12"/>
  <c r="U1170" i="12"/>
  <c r="U1169" i="12"/>
  <c r="U1168" i="12"/>
  <c r="U1167" i="12"/>
  <c r="U1166" i="12"/>
  <c r="U1165" i="12"/>
  <c r="U1164" i="12"/>
  <c r="U1163" i="12"/>
  <c r="U1162" i="12"/>
  <c r="U1161" i="12"/>
  <c r="U1160" i="12"/>
  <c r="U1159" i="12"/>
  <c r="U1158" i="12"/>
  <c r="U1157" i="12"/>
  <c r="U1156" i="12"/>
  <c r="U1155" i="12"/>
  <c r="U1154" i="12"/>
  <c r="U1153" i="12"/>
  <c r="U1152" i="12"/>
  <c r="U1151" i="12"/>
  <c r="U1150" i="12"/>
  <c r="U1149" i="12"/>
  <c r="U1148" i="12"/>
  <c r="U1147" i="12"/>
  <c r="U1146" i="12"/>
  <c r="U1145" i="12"/>
  <c r="U1144" i="12"/>
  <c r="U1143" i="12"/>
  <c r="U1142" i="12"/>
  <c r="U1141" i="12"/>
  <c r="U1140" i="12"/>
  <c r="U1139" i="12"/>
  <c r="U1138" i="12"/>
  <c r="U1137" i="12"/>
  <c r="U1136" i="12"/>
  <c r="U1135" i="12"/>
  <c r="U1134" i="12"/>
  <c r="U1133" i="12"/>
  <c r="U1132" i="12"/>
  <c r="U1131" i="12"/>
  <c r="U1130" i="12"/>
  <c r="U1129" i="12"/>
  <c r="U1128" i="12"/>
  <c r="U1127" i="12"/>
  <c r="U1126" i="12"/>
  <c r="U1125" i="12"/>
  <c r="U1124" i="12"/>
  <c r="U1123" i="12"/>
  <c r="U1122" i="12"/>
  <c r="U1121" i="12"/>
  <c r="U1120" i="12"/>
  <c r="U1119" i="12"/>
  <c r="U1118" i="12"/>
  <c r="U1117" i="12"/>
  <c r="U1116" i="12"/>
  <c r="U1115" i="12"/>
  <c r="U1114" i="12"/>
  <c r="U1113" i="12"/>
  <c r="U1112" i="12"/>
  <c r="U1111" i="12"/>
  <c r="U1110" i="12"/>
  <c r="U1109" i="12"/>
  <c r="U1108" i="12"/>
  <c r="U1107" i="12"/>
  <c r="U1106" i="12"/>
  <c r="U1105" i="12"/>
  <c r="U1104" i="12"/>
  <c r="U1103" i="12"/>
  <c r="U1102" i="12"/>
  <c r="U1101" i="12"/>
  <c r="U1100" i="12"/>
  <c r="U1099" i="12"/>
  <c r="U1098" i="12"/>
  <c r="U1097" i="12"/>
  <c r="U1096" i="12"/>
  <c r="U1095" i="12"/>
  <c r="U1094" i="12"/>
  <c r="U1093" i="12"/>
  <c r="U1092" i="12"/>
  <c r="U1091" i="12"/>
  <c r="U1090" i="12"/>
  <c r="U1089" i="12"/>
  <c r="U1088" i="12"/>
  <c r="U1087" i="12"/>
  <c r="U1086" i="12"/>
  <c r="U1085" i="12"/>
  <c r="U1084" i="12"/>
  <c r="U1083" i="12"/>
  <c r="U1082" i="12"/>
  <c r="U1081" i="12"/>
  <c r="U1080" i="12"/>
  <c r="U1079" i="12"/>
  <c r="U1078" i="12"/>
  <c r="U1077" i="12"/>
  <c r="U1076" i="12"/>
  <c r="U1075" i="12"/>
  <c r="U1074" i="12"/>
  <c r="U1073" i="12"/>
  <c r="U1072" i="12"/>
  <c r="U1071" i="12"/>
  <c r="U1070" i="12"/>
  <c r="U1069" i="12"/>
  <c r="U1068" i="12"/>
  <c r="U1067" i="12"/>
  <c r="U1066" i="12"/>
  <c r="U1065" i="12"/>
  <c r="U1064" i="12"/>
  <c r="U1063" i="12"/>
  <c r="U1062" i="12"/>
  <c r="U1061" i="12"/>
  <c r="U1060" i="12"/>
  <c r="U1059" i="12"/>
  <c r="U1058" i="12"/>
  <c r="U1057" i="12"/>
  <c r="U1056" i="12"/>
  <c r="U1055" i="12"/>
  <c r="U1054" i="12"/>
  <c r="U1053" i="12"/>
  <c r="U1052" i="12"/>
  <c r="U1051" i="12"/>
  <c r="U1050" i="12"/>
  <c r="U1049" i="12"/>
  <c r="U1048" i="12"/>
  <c r="U1047" i="12"/>
  <c r="U1046" i="12"/>
  <c r="U1045" i="12"/>
  <c r="U1044" i="12"/>
  <c r="U1043" i="12"/>
  <c r="U1042" i="12"/>
  <c r="U1041" i="12"/>
  <c r="U1040" i="12"/>
  <c r="U1039" i="12"/>
  <c r="U1038" i="12"/>
  <c r="U1037" i="12"/>
  <c r="U1036" i="12"/>
  <c r="U1035" i="12"/>
  <c r="U1034" i="12"/>
  <c r="U1033" i="12"/>
  <c r="U1032" i="12"/>
  <c r="U1031" i="12"/>
  <c r="U1030" i="12"/>
  <c r="U1029" i="12"/>
  <c r="U1028" i="12"/>
  <c r="U1027" i="12"/>
  <c r="U1026" i="12"/>
  <c r="U1025" i="12"/>
  <c r="U1024" i="12"/>
  <c r="U1023" i="12"/>
  <c r="U1022" i="12"/>
  <c r="U1021" i="12"/>
  <c r="U1020" i="12"/>
  <c r="U1019" i="12"/>
  <c r="U1018" i="12"/>
  <c r="U1017" i="12"/>
  <c r="U1016" i="12"/>
  <c r="U1015" i="12"/>
  <c r="U1014" i="12"/>
  <c r="U1013" i="12"/>
  <c r="U1012" i="12"/>
  <c r="U1011" i="12"/>
  <c r="U1010" i="12"/>
  <c r="U1009" i="12"/>
  <c r="U1008" i="12"/>
  <c r="U1007" i="12"/>
  <c r="U1006" i="12"/>
  <c r="U1005" i="12"/>
  <c r="U1004" i="12"/>
  <c r="U1003" i="12"/>
  <c r="U1002" i="12"/>
  <c r="U1001" i="12"/>
  <c r="U1000" i="12"/>
  <c r="U999" i="12"/>
  <c r="U998" i="12"/>
  <c r="U997" i="12"/>
  <c r="U996" i="12"/>
  <c r="U995" i="12"/>
  <c r="U994" i="12"/>
  <c r="U993" i="12"/>
  <c r="U992" i="12"/>
  <c r="U991" i="12"/>
  <c r="U990" i="12"/>
  <c r="U989" i="12"/>
  <c r="U988" i="12"/>
  <c r="U987" i="12"/>
  <c r="U986" i="12"/>
  <c r="U985" i="12"/>
  <c r="U984" i="12"/>
  <c r="U983" i="12"/>
  <c r="U982" i="12"/>
  <c r="U981" i="12"/>
  <c r="U980" i="12"/>
  <c r="U979" i="12"/>
  <c r="U978" i="12"/>
  <c r="U977" i="12"/>
  <c r="U976" i="12"/>
  <c r="U975" i="12"/>
  <c r="U974" i="12"/>
  <c r="U973" i="12"/>
  <c r="U972" i="12"/>
  <c r="U971" i="12"/>
  <c r="U970" i="12"/>
  <c r="U969" i="12"/>
  <c r="U968" i="12"/>
  <c r="U967" i="12"/>
  <c r="U966" i="12"/>
  <c r="U965" i="12"/>
  <c r="U964" i="12"/>
  <c r="U963" i="12"/>
  <c r="U962" i="12"/>
  <c r="U961" i="12"/>
  <c r="U960" i="12"/>
  <c r="U959" i="12"/>
  <c r="U958" i="12"/>
  <c r="U957" i="12"/>
  <c r="U956" i="12"/>
  <c r="U955" i="12"/>
  <c r="U954" i="12"/>
  <c r="U953" i="12"/>
  <c r="U952" i="12"/>
  <c r="U951" i="12"/>
  <c r="U950" i="12"/>
  <c r="U949" i="12"/>
  <c r="U948" i="12"/>
  <c r="U947" i="12"/>
  <c r="U946" i="12"/>
  <c r="U945" i="12"/>
  <c r="U944" i="12"/>
  <c r="U943" i="12"/>
  <c r="U942" i="12"/>
  <c r="U941" i="12"/>
  <c r="U940" i="12"/>
  <c r="U939" i="12"/>
  <c r="U938" i="12"/>
  <c r="U937" i="12"/>
  <c r="U936" i="12"/>
  <c r="U935" i="12"/>
  <c r="U934" i="12"/>
  <c r="U933" i="12"/>
  <c r="U932" i="12"/>
  <c r="U931" i="12"/>
  <c r="U930" i="12"/>
  <c r="U929" i="12"/>
  <c r="U928" i="12"/>
  <c r="U927" i="12"/>
  <c r="U926" i="12"/>
  <c r="U925" i="12"/>
  <c r="U924" i="12"/>
  <c r="U923" i="12"/>
  <c r="U922" i="12"/>
  <c r="U921" i="12"/>
  <c r="U920" i="12"/>
  <c r="U919" i="12"/>
  <c r="U918" i="12"/>
  <c r="U917" i="12"/>
  <c r="U916" i="12"/>
  <c r="U915" i="12"/>
  <c r="U914" i="12"/>
  <c r="U913" i="12"/>
  <c r="U912" i="12"/>
  <c r="U911" i="12"/>
  <c r="U910" i="12"/>
  <c r="U909" i="12"/>
  <c r="U908" i="12"/>
  <c r="U907" i="12"/>
  <c r="U906" i="12"/>
  <c r="U905" i="12"/>
  <c r="U904" i="12"/>
  <c r="U903" i="12"/>
  <c r="U902" i="12"/>
  <c r="U901" i="12"/>
  <c r="U900" i="12"/>
  <c r="U899" i="12"/>
  <c r="U898" i="12"/>
  <c r="U897" i="12"/>
  <c r="U896" i="12"/>
  <c r="U895" i="12"/>
  <c r="U894" i="12"/>
  <c r="U893" i="12"/>
  <c r="U892" i="12"/>
  <c r="U891" i="12"/>
  <c r="U890" i="12"/>
  <c r="U889" i="12"/>
  <c r="U888" i="12"/>
  <c r="U887" i="12"/>
  <c r="U886" i="12"/>
  <c r="U885" i="12"/>
  <c r="U884" i="12"/>
  <c r="U883" i="12"/>
  <c r="U882" i="12"/>
  <c r="U881" i="12"/>
  <c r="U880" i="12"/>
  <c r="U879" i="12"/>
  <c r="U878" i="12"/>
  <c r="U877" i="12"/>
  <c r="U876" i="12"/>
  <c r="U875" i="12"/>
  <c r="U874" i="12"/>
  <c r="U873" i="12"/>
  <c r="U872" i="12"/>
  <c r="U871" i="12"/>
  <c r="U870" i="12"/>
  <c r="U869" i="12"/>
  <c r="U868" i="12"/>
  <c r="U867" i="12"/>
  <c r="U866" i="12"/>
  <c r="U865" i="12"/>
  <c r="U864" i="12"/>
  <c r="U863" i="12"/>
  <c r="U862" i="12"/>
  <c r="U861" i="12"/>
  <c r="U860" i="12"/>
  <c r="U859" i="12"/>
  <c r="U858" i="12"/>
  <c r="U857" i="12"/>
  <c r="U856" i="12"/>
  <c r="U855" i="12"/>
  <c r="U854" i="12"/>
  <c r="U853" i="12"/>
  <c r="U852" i="12"/>
  <c r="U851" i="12"/>
  <c r="U850" i="12"/>
  <c r="U849" i="12"/>
  <c r="U848" i="12"/>
  <c r="U847" i="12"/>
  <c r="U846" i="12"/>
  <c r="U845" i="12"/>
  <c r="U844" i="12"/>
  <c r="U843" i="12"/>
  <c r="U842" i="12"/>
  <c r="U841" i="12"/>
  <c r="U840" i="12"/>
  <c r="U839" i="12"/>
  <c r="U838" i="12"/>
  <c r="U837" i="12"/>
  <c r="U836" i="12"/>
  <c r="U835" i="12"/>
  <c r="U834" i="12"/>
  <c r="U833" i="12"/>
  <c r="U832" i="12"/>
  <c r="U831" i="12"/>
  <c r="U830" i="12"/>
  <c r="U829" i="12"/>
  <c r="U828" i="12"/>
  <c r="U827" i="12"/>
  <c r="U826" i="12"/>
  <c r="U825" i="12"/>
  <c r="U824" i="12"/>
  <c r="U823" i="12"/>
  <c r="U822" i="12"/>
  <c r="U821" i="12"/>
  <c r="U820" i="12"/>
  <c r="U819" i="12"/>
  <c r="U818" i="12"/>
  <c r="U817" i="12"/>
  <c r="U816" i="12"/>
  <c r="U815" i="12"/>
  <c r="U814" i="12"/>
  <c r="U813" i="12"/>
  <c r="U812" i="12"/>
  <c r="U811" i="12"/>
  <c r="U810" i="12"/>
  <c r="U809" i="12"/>
  <c r="U808" i="12"/>
  <c r="U807" i="12"/>
  <c r="U806" i="12"/>
  <c r="U805" i="12"/>
  <c r="U804" i="12"/>
  <c r="U803" i="12"/>
  <c r="U802" i="12"/>
  <c r="U801" i="12"/>
  <c r="U800" i="12"/>
  <c r="U799" i="12"/>
  <c r="U798" i="12"/>
  <c r="U797" i="12"/>
  <c r="U796" i="12"/>
  <c r="U795" i="12"/>
  <c r="U794" i="12"/>
  <c r="U793" i="12"/>
  <c r="U792" i="12"/>
  <c r="U791" i="12"/>
  <c r="U790" i="12"/>
  <c r="U789" i="12"/>
  <c r="U788" i="12"/>
  <c r="U787" i="12"/>
  <c r="U786" i="12"/>
  <c r="U785" i="12"/>
  <c r="U784" i="12"/>
  <c r="U783" i="12"/>
  <c r="U782" i="12"/>
  <c r="U781" i="12"/>
  <c r="U780" i="12"/>
  <c r="U779" i="12"/>
  <c r="U778" i="12"/>
  <c r="U777" i="12"/>
  <c r="U776" i="12"/>
  <c r="U775" i="12"/>
  <c r="U774" i="12"/>
  <c r="U773" i="12"/>
  <c r="U772" i="12"/>
  <c r="U771" i="12"/>
  <c r="U770" i="12"/>
  <c r="U769" i="12"/>
  <c r="U768" i="12"/>
  <c r="U767" i="12"/>
  <c r="U766" i="12"/>
  <c r="U765" i="12"/>
  <c r="U764" i="12"/>
  <c r="U763" i="12"/>
  <c r="U762" i="12"/>
  <c r="U761" i="12"/>
  <c r="U760" i="12"/>
  <c r="U759" i="12"/>
  <c r="U758" i="12"/>
  <c r="U757" i="12"/>
  <c r="U756" i="12"/>
  <c r="U755" i="12"/>
  <c r="U754" i="12"/>
  <c r="U753" i="12"/>
  <c r="U752" i="12"/>
  <c r="U751" i="12"/>
  <c r="U750" i="12"/>
  <c r="U749" i="12"/>
  <c r="U748" i="12"/>
  <c r="U747" i="12"/>
  <c r="U746" i="12"/>
  <c r="U745" i="12"/>
  <c r="U744" i="12"/>
  <c r="U743" i="12"/>
  <c r="U742" i="12"/>
  <c r="U741" i="12"/>
  <c r="U740" i="12"/>
  <c r="U739" i="12"/>
  <c r="U738" i="12"/>
  <c r="U737" i="12"/>
  <c r="U736" i="12"/>
  <c r="U735" i="12"/>
  <c r="U734" i="12"/>
  <c r="U733" i="12"/>
  <c r="U732" i="12"/>
  <c r="U731" i="12"/>
  <c r="U730" i="12"/>
  <c r="U729" i="12"/>
  <c r="U728" i="12"/>
  <c r="U727" i="12"/>
  <c r="U726" i="12"/>
  <c r="U725" i="12"/>
  <c r="U724" i="12"/>
  <c r="U723" i="12"/>
  <c r="U722" i="12"/>
  <c r="U721" i="12"/>
  <c r="U720" i="12"/>
  <c r="U719" i="12"/>
  <c r="U718" i="12"/>
  <c r="U717" i="12"/>
  <c r="U716" i="12"/>
  <c r="U715" i="12"/>
  <c r="U714" i="12"/>
  <c r="U713" i="12"/>
  <c r="U712" i="12"/>
  <c r="U711" i="12"/>
  <c r="U710" i="12"/>
  <c r="U709" i="12"/>
  <c r="U708" i="12"/>
  <c r="U707" i="12"/>
  <c r="U706" i="12"/>
  <c r="U705" i="12"/>
  <c r="U704" i="12"/>
  <c r="U703" i="12"/>
  <c r="U702" i="12"/>
  <c r="U701" i="12"/>
  <c r="U700" i="12"/>
  <c r="U699" i="12"/>
  <c r="U698" i="12"/>
  <c r="U697" i="12"/>
  <c r="U696" i="12"/>
  <c r="U695" i="12"/>
  <c r="U694" i="12"/>
  <c r="U693" i="12"/>
  <c r="U692" i="12"/>
  <c r="U691" i="12"/>
  <c r="U690" i="12"/>
  <c r="U689" i="12"/>
  <c r="U688" i="12"/>
  <c r="U687" i="12"/>
  <c r="U686" i="12"/>
  <c r="U685" i="12"/>
  <c r="U684" i="12"/>
  <c r="U683" i="12"/>
  <c r="U682" i="12"/>
  <c r="U681" i="12"/>
  <c r="U680" i="12"/>
  <c r="U679" i="12"/>
  <c r="U678" i="12"/>
  <c r="U677" i="12"/>
  <c r="U676" i="12"/>
  <c r="U675" i="12"/>
  <c r="U674" i="12"/>
  <c r="U673" i="12"/>
  <c r="U672" i="12"/>
  <c r="U671" i="12"/>
  <c r="U670" i="12"/>
  <c r="U669" i="12"/>
  <c r="U668" i="12"/>
  <c r="U667" i="12"/>
  <c r="U666" i="12"/>
  <c r="U665" i="12"/>
  <c r="U664" i="12"/>
  <c r="U663" i="12"/>
  <c r="U662" i="12"/>
  <c r="U661" i="12"/>
  <c r="U660" i="12"/>
  <c r="U659" i="12"/>
  <c r="U658" i="12"/>
  <c r="U657" i="12"/>
  <c r="U656" i="12"/>
  <c r="U655" i="12"/>
  <c r="U654" i="12"/>
  <c r="U653" i="12"/>
  <c r="U652" i="12"/>
  <c r="U651" i="12"/>
  <c r="U650" i="12"/>
  <c r="U649" i="12"/>
  <c r="U648" i="12"/>
  <c r="U647" i="12"/>
  <c r="U646" i="12"/>
  <c r="U645" i="12"/>
  <c r="U644" i="12"/>
  <c r="U643" i="12"/>
  <c r="U642" i="12"/>
  <c r="U641" i="12"/>
  <c r="U640" i="12"/>
  <c r="U639" i="12"/>
  <c r="U638" i="12"/>
  <c r="U637" i="12"/>
  <c r="U636" i="12"/>
  <c r="U635" i="12"/>
  <c r="U634" i="12"/>
  <c r="U633" i="12"/>
  <c r="U632" i="12"/>
  <c r="U631" i="12"/>
  <c r="U630" i="12"/>
  <c r="U629" i="12"/>
  <c r="U628" i="12"/>
  <c r="U627" i="12"/>
  <c r="U626" i="12"/>
  <c r="U625" i="12"/>
  <c r="U624" i="12"/>
  <c r="U623" i="12"/>
  <c r="U622" i="12"/>
  <c r="U621" i="12"/>
  <c r="U620" i="12"/>
  <c r="U619" i="12"/>
  <c r="U618" i="12"/>
  <c r="U617" i="12"/>
  <c r="U616" i="12"/>
  <c r="U615" i="12"/>
  <c r="U614" i="12"/>
  <c r="U613" i="12"/>
  <c r="U612" i="12"/>
  <c r="U611" i="12"/>
  <c r="U610" i="12"/>
  <c r="U609" i="12"/>
  <c r="U608" i="12"/>
  <c r="U607" i="12"/>
  <c r="U606" i="12"/>
  <c r="U605" i="12"/>
  <c r="U604" i="12"/>
  <c r="U603" i="12"/>
  <c r="U602" i="12"/>
  <c r="U601" i="12"/>
  <c r="U600" i="12"/>
  <c r="U599" i="12"/>
  <c r="U598" i="12"/>
  <c r="U597" i="12"/>
  <c r="U596" i="12"/>
  <c r="U595" i="12"/>
  <c r="U594" i="12"/>
  <c r="U593" i="12"/>
  <c r="U592" i="12"/>
  <c r="U591" i="12"/>
  <c r="U590" i="12"/>
  <c r="U589" i="12"/>
  <c r="U588" i="12"/>
  <c r="U587" i="12"/>
  <c r="U586" i="12"/>
  <c r="U585" i="12"/>
  <c r="U584" i="12"/>
  <c r="U583" i="12"/>
  <c r="U582" i="12"/>
  <c r="U581" i="12"/>
  <c r="U580" i="12"/>
  <c r="U579" i="12"/>
  <c r="U578" i="12"/>
  <c r="U577" i="12"/>
  <c r="U576" i="12"/>
  <c r="U575" i="12"/>
  <c r="U574" i="12"/>
  <c r="U573" i="12"/>
  <c r="U572" i="12"/>
  <c r="U571" i="12"/>
  <c r="U570" i="12"/>
  <c r="U569" i="12"/>
  <c r="U568" i="12"/>
  <c r="U567" i="12"/>
  <c r="U566" i="12"/>
  <c r="U565" i="12"/>
  <c r="U564" i="12"/>
  <c r="U563" i="12"/>
  <c r="U562" i="12"/>
  <c r="U561" i="12"/>
  <c r="U560" i="12"/>
  <c r="U559" i="12"/>
  <c r="U558" i="12"/>
  <c r="U557" i="12"/>
  <c r="U556" i="12"/>
  <c r="U555" i="12"/>
  <c r="U554" i="12"/>
  <c r="U553" i="12"/>
  <c r="U552" i="12"/>
  <c r="U551" i="12"/>
  <c r="U550" i="12"/>
  <c r="U549" i="12"/>
  <c r="U548" i="12"/>
  <c r="U547" i="12"/>
  <c r="U546" i="12"/>
  <c r="U545" i="12"/>
  <c r="U544" i="12"/>
  <c r="U543" i="12"/>
  <c r="U542" i="12"/>
  <c r="U541" i="12"/>
  <c r="U540" i="12"/>
  <c r="U539" i="12"/>
  <c r="U538" i="12"/>
  <c r="U537" i="12"/>
  <c r="U536" i="12"/>
  <c r="U535" i="12"/>
  <c r="U534" i="12"/>
  <c r="U533" i="12"/>
  <c r="U532" i="12"/>
  <c r="U531" i="12"/>
  <c r="U530" i="12"/>
  <c r="U529" i="12"/>
  <c r="U528" i="12"/>
  <c r="U527" i="12"/>
  <c r="U526" i="12"/>
  <c r="U525" i="12"/>
  <c r="U524" i="12"/>
  <c r="U523" i="12"/>
  <c r="U522" i="12"/>
  <c r="U521" i="12"/>
  <c r="U520" i="12"/>
  <c r="U519" i="12"/>
  <c r="U518" i="12"/>
  <c r="U517" i="12"/>
  <c r="U516" i="12"/>
  <c r="U515" i="12"/>
  <c r="U514" i="12"/>
  <c r="U513" i="12"/>
  <c r="U512" i="12"/>
  <c r="U511" i="12"/>
  <c r="U510" i="12"/>
  <c r="U509" i="12"/>
  <c r="U508" i="12"/>
  <c r="U507" i="12"/>
  <c r="U506" i="12"/>
  <c r="U505" i="12"/>
  <c r="U504" i="12"/>
  <c r="U503" i="12"/>
  <c r="U502" i="12"/>
  <c r="U501" i="12"/>
  <c r="U500" i="12"/>
  <c r="U499" i="12"/>
  <c r="U498" i="12"/>
  <c r="U497" i="12"/>
  <c r="U496" i="12"/>
  <c r="U495" i="12"/>
  <c r="U494" i="12"/>
  <c r="U493" i="12"/>
  <c r="U492" i="12"/>
  <c r="U491" i="12"/>
  <c r="U490" i="12"/>
  <c r="U489" i="12"/>
  <c r="U488" i="12"/>
  <c r="U487" i="12"/>
  <c r="U486" i="12"/>
  <c r="U485" i="12"/>
  <c r="U484" i="12"/>
  <c r="U483" i="12"/>
  <c r="U482" i="12"/>
  <c r="U481" i="12"/>
  <c r="U480" i="12"/>
  <c r="U479" i="12"/>
  <c r="U478" i="12"/>
  <c r="U477" i="12"/>
  <c r="U476" i="12"/>
  <c r="U475" i="12"/>
  <c r="U474" i="12"/>
  <c r="U473" i="12"/>
  <c r="U472" i="12"/>
  <c r="U471" i="12"/>
  <c r="U470" i="12"/>
  <c r="U469" i="12"/>
  <c r="U468" i="12"/>
  <c r="U467" i="12"/>
  <c r="U466" i="12"/>
  <c r="U465" i="12"/>
  <c r="U464" i="12"/>
  <c r="U463" i="12"/>
  <c r="U462" i="12"/>
  <c r="U461" i="12"/>
  <c r="U460" i="12"/>
  <c r="U459" i="12"/>
  <c r="U458" i="12"/>
  <c r="U457" i="12"/>
  <c r="U456" i="12"/>
  <c r="U455" i="12"/>
  <c r="U454" i="12"/>
  <c r="U453" i="12"/>
  <c r="U452" i="12"/>
  <c r="U451" i="12"/>
  <c r="U450" i="12"/>
  <c r="U449" i="12"/>
  <c r="U448" i="12"/>
  <c r="U447" i="12"/>
  <c r="U446" i="12"/>
  <c r="U445" i="12"/>
  <c r="U444" i="12"/>
  <c r="U443" i="12"/>
  <c r="U442" i="12"/>
  <c r="U441" i="12"/>
  <c r="U440" i="12"/>
  <c r="U439" i="12"/>
  <c r="U438" i="12"/>
  <c r="U437" i="12"/>
  <c r="U436" i="12"/>
  <c r="U435" i="12"/>
  <c r="U434" i="12"/>
  <c r="U433" i="12"/>
  <c r="U432" i="12"/>
  <c r="U431" i="12"/>
  <c r="U430" i="12"/>
  <c r="U429" i="12"/>
  <c r="U428" i="12"/>
  <c r="U427" i="12"/>
  <c r="U426" i="12"/>
  <c r="U425" i="12"/>
  <c r="U424" i="12"/>
  <c r="U423" i="12"/>
  <c r="U422" i="12"/>
  <c r="U421" i="12"/>
  <c r="U420" i="12"/>
  <c r="U419" i="12"/>
  <c r="U418" i="12"/>
  <c r="U417" i="12"/>
  <c r="U416" i="12"/>
  <c r="U415" i="12"/>
  <c r="U414" i="12"/>
  <c r="U413" i="12"/>
  <c r="U412" i="12"/>
  <c r="U411" i="12"/>
  <c r="U410" i="12"/>
  <c r="U409" i="12"/>
  <c r="U408" i="12"/>
  <c r="U407" i="12"/>
  <c r="U406" i="12"/>
  <c r="U405" i="12"/>
  <c r="U404" i="12"/>
  <c r="U403" i="12"/>
  <c r="U402" i="12"/>
  <c r="U401" i="12"/>
  <c r="U400" i="12"/>
  <c r="U399" i="12"/>
  <c r="U398" i="12"/>
  <c r="U397" i="12"/>
  <c r="U396" i="12"/>
  <c r="U395" i="12"/>
  <c r="U394" i="12"/>
  <c r="U393" i="12"/>
  <c r="U392" i="12"/>
  <c r="U391" i="12"/>
  <c r="U390" i="12"/>
  <c r="U389" i="12"/>
  <c r="U388" i="12"/>
  <c r="U387" i="12"/>
  <c r="U386" i="12"/>
  <c r="U385" i="12"/>
  <c r="U384" i="12"/>
  <c r="U383" i="12"/>
  <c r="U382" i="12"/>
  <c r="U381" i="12"/>
  <c r="U380" i="12"/>
  <c r="U379" i="12"/>
  <c r="U378" i="12"/>
  <c r="U377" i="12"/>
  <c r="U376" i="12"/>
  <c r="U375" i="12"/>
  <c r="U374" i="12"/>
  <c r="U373" i="12"/>
  <c r="U372" i="12"/>
  <c r="U371" i="12"/>
  <c r="U370" i="12"/>
  <c r="U369" i="12"/>
  <c r="U368" i="12"/>
  <c r="U367" i="12"/>
  <c r="U366" i="12"/>
  <c r="U365" i="12"/>
  <c r="U364" i="12"/>
  <c r="U363" i="12"/>
  <c r="U362" i="12"/>
  <c r="U361" i="12"/>
  <c r="U360" i="12"/>
  <c r="U359" i="12"/>
  <c r="U358" i="12"/>
  <c r="U357" i="12"/>
  <c r="U356" i="12"/>
  <c r="U355" i="12"/>
  <c r="U354" i="12"/>
  <c r="U353" i="12"/>
  <c r="U352" i="12"/>
  <c r="U351" i="12"/>
  <c r="U350" i="12"/>
  <c r="U349" i="12"/>
  <c r="U348" i="12"/>
  <c r="U347" i="12"/>
  <c r="U346" i="12"/>
  <c r="U345" i="12"/>
  <c r="U344" i="12"/>
  <c r="U343" i="12"/>
  <c r="U342" i="12"/>
  <c r="U341" i="12"/>
  <c r="U340" i="12"/>
  <c r="U339" i="12"/>
  <c r="U338" i="12"/>
  <c r="U337" i="12"/>
  <c r="U336" i="12"/>
  <c r="U335" i="12"/>
  <c r="U334" i="12"/>
  <c r="U333" i="12"/>
  <c r="U332" i="12"/>
  <c r="U331" i="12"/>
  <c r="U330" i="12"/>
  <c r="U329" i="12"/>
  <c r="U328" i="12"/>
  <c r="U327" i="12"/>
  <c r="U326" i="12"/>
  <c r="U325" i="12"/>
  <c r="U324" i="12"/>
  <c r="U323" i="12"/>
  <c r="U322" i="12"/>
  <c r="U321" i="12"/>
  <c r="U320" i="12"/>
  <c r="U319" i="12"/>
  <c r="U318" i="12"/>
  <c r="U317" i="12"/>
  <c r="U316" i="12"/>
  <c r="U315" i="12"/>
  <c r="U314" i="12"/>
  <c r="U313" i="12"/>
  <c r="U312" i="12"/>
  <c r="U311" i="12"/>
  <c r="U310" i="12"/>
  <c r="U309" i="12"/>
  <c r="U308" i="12"/>
  <c r="U307" i="12"/>
  <c r="U306" i="12"/>
  <c r="U305" i="12"/>
  <c r="U304" i="12"/>
  <c r="U303" i="12"/>
  <c r="U302" i="12"/>
  <c r="U301" i="12"/>
  <c r="U300" i="12"/>
  <c r="U299" i="12"/>
  <c r="U298" i="12"/>
  <c r="U297" i="12"/>
  <c r="U296" i="12"/>
  <c r="U295" i="12"/>
  <c r="U294" i="12"/>
  <c r="U293" i="12"/>
  <c r="U292" i="12"/>
  <c r="U291" i="12"/>
  <c r="U290" i="12"/>
  <c r="U289" i="12"/>
  <c r="U288" i="12"/>
  <c r="U287" i="12"/>
  <c r="U286" i="12"/>
  <c r="U285" i="12"/>
  <c r="U284" i="12"/>
  <c r="U283" i="12"/>
  <c r="U282" i="12"/>
  <c r="U281" i="12"/>
  <c r="U280" i="12"/>
  <c r="U279" i="12"/>
  <c r="U278" i="12"/>
  <c r="U277" i="12"/>
  <c r="U276" i="12"/>
  <c r="U275" i="12"/>
  <c r="U274" i="12"/>
  <c r="U273" i="12"/>
  <c r="U272" i="12"/>
  <c r="U271" i="12"/>
  <c r="U270" i="12"/>
  <c r="U269" i="12"/>
  <c r="U268" i="12"/>
  <c r="U267" i="12"/>
  <c r="U266" i="12"/>
  <c r="U265" i="12"/>
  <c r="U264" i="12"/>
  <c r="U263" i="12"/>
  <c r="U262" i="12"/>
  <c r="U261" i="12"/>
  <c r="U260" i="12"/>
  <c r="U259" i="12"/>
  <c r="U258" i="12"/>
  <c r="U257" i="12"/>
  <c r="U256" i="12"/>
  <c r="U255" i="12"/>
  <c r="U254" i="12"/>
  <c r="U253" i="12"/>
  <c r="U252" i="12"/>
  <c r="U251" i="12"/>
  <c r="U250" i="12"/>
  <c r="U249" i="12"/>
  <c r="U248" i="12"/>
  <c r="U247" i="12"/>
  <c r="U246" i="12"/>
  <c r="U245" i="12"/>
  <c r="U244" i="12"/>
  <c r="U243" i="12"/>
  <c r="U242" i="12"/>
  <c r="U241" i="12"/>
  <c r="U240" i="12"/>
  <c r="U239" i="12"/>
  <c r="U238" i="12"/>
  <c r="U237" i="12"/>
  <c r="U236" i="12"/>
  <c r="U235" i="12"/>
  <c r="U234" i="12"/>
  <c r="U233" i="12"/>
  <c r="U232" i="12"/>
  <c r="U231" i="12"/>
  <c r="U230" i="12"/>
  <c r="U229" i="12"/>
  <c r="U228" i="12"/>
  <c r="U227" i="12"/>
  <c r="U226" i="12"/>
  <c r="U225" i="12"/>
  <c r="U224" i="12"/>
  <c r="U223" i="12"/>
  <c r="U222" i="12"/>
  <c r="U221" i="12"/>
  <c r="U220" i="12"/>
  <c r="U219" i="12"/>
  <c r="U218" i="12"/>
  <c r="U217" i="12"/>
  <c r="U216" i="12"/>
  <c r="U215" i="12"/>
  <c r="U214" i="12"/>
  <c r="U213" i="12"/>
  <c r="U212" i="12"/>
  <c r="U211" i="12"/>
  <c r="U210" i="12"/>
  <c r="U209" i="12"/>
  <c r="U208" i="12"/>
  <c r="U207" i="12"/>
  <c r="U206" i="12"/>
  <c r="U205" i="12"/>
  <c r="U204" i="12"/>
  <c r="U203" i="12"/>
  <c r="U202" i="12"/>
  <c r="U201" i="12"/>
  <c r="U200" i="12"/>
  <c r="U199" i="12"/>
  <c r="U198" i="12"/>
  <c r="U197" i="12"/>
  <c r="U196" i="12"/>
  <c r="U195" i="12"/>
  <c r="U194" i="12"/>
  <c r="U193" i="12"/>
  <c r="U192" i="12"/>
  <c r="U191" i="12"/>
  <c r="U190" i="12"/>
  <c r="U189" i="12"/>
  <c r="U188" i="12"/>
  <c r="U187" i="12"/>
  <c r="U186" i="12"/>
  <c r="U185" i="12"/>
  <c r="U184" i="12"/>
  <c r="U183" i="12"/>
  <c r="U182" i="12"/>
  <c r="U181" i="12"/>
  <c r="U180" i="12"/>
  <c r="U179" i="12"/>
  <c r="U178" i="12"/>
  <c r="U177" i="12"/>
  <c r="U176" i="12"/>
  <c r="U175" i="12"/>
  <c r="U174" i="12"/>
  <c r="U173" i="12"/>
  <c r="U172" i="12"/>
  <c r="U171" i="12"/>
  <c r="U170" i="12"/>
  <c r="U169" i="12"/>
  <c r="U168" i="12"/>
  <c r="U167" i="12"/>
  <c r="U166" i="12"/>
  <c r="U165" i="12"/>
  <c r="U164" i="12"/>
  <c r="U163" i="12"/>
  <c r="U162" i="12"/>
  <c r="U161" i="12"/>
  <c r="U160" i="12"/>
  <c r="U159" i="12"/>
  <c r="U158" i="12"/>
  <c r="U157" i="12"/>
  <c r="U156" i="12"/>
  <c r="U155" i="12"/>
  <c r="U154" i="12"/>
  <c r="U153" i="12"/>
  <c r="U152" i="12"/>
  <c r="U151" i="12"/>
  <c r="U150" i="12"/>
  <c r="U149" i="12"/>
  <c r="U148" i="12"/>
  <c r="U147" i="12"/>
  <c r="U146" i="12"/>
  <c r="U145" i="12"/>
  <c r="U144" i="12"/>
  <c r="U143" i="12"/>
  <c r="U142" i="12"/>
  <c r="U141" i="12"/>
  <c r="U140" i="12"/>
  <c r="U139" i="12"/>
  <c r="U138" i="12"/>
  <c r="U137" i="12"/>
  <c r="U136" i="12"/>
  <c r="U135" i="12"/>
  <c r="U134" i="12"/>
  <c r="U133" i="12"/>
  <c r="U132" i="12"/>
  <c r="U131" i="12"/>
  <c r="U130" i="12"/>
  <c r="U129" i="12"/>
  <c r="U128" i="12"/>
  <c r="U127" i="12"/>
  <c r="U126" i="12"/>
  <c r="U125" i="12"/>
  <c r="U124" i="12"/>
  <c r="U123" i="12"/>
  <c r="U122" i="12"/>
  <c r="U121" i="12"/>
  <c r="U120" i="12"/>
  <c r="U119" i="12"/>
  <c r="U118" i="12"/>
  <c r="U117" i="12"/>
  <c r="U116" i="12"/>
  <c r="U115" i="12"/>
  <c r="U114" i="12"/>
  <c r="U113" i="12"/>
  <c r="U112" i="12"/>
  <c r="U111" i="12"/>
  <c r="U110" i="12"/>
  <c r="U109" i="12"/>
  <c r="U108" i="12"/>
  <c r="U107" i="12"/>
  <c r="U106" i="12"/>
  <c r="U105" i="12"/>
  <c r="U104" i="12"/>
  <c r="U103" i="12"/>
  <c r="U102" i="12"/>
  <c r="U101" i="12"/>
  <c r="U100" i="12"/>
  <c r="U99" i="12"/>
  <c r="U98" i="12"/>
  <c r="U97" i="12"/>
  <c r="U96" i="12"/>
  <c r="U95" i="12"/>
  <c r="U94" i="12"/>
  <c r="U93" i="12"/>
  <c r="U92" i="12"/>
  <c r="U91" i="12"/>
  <c r="U90" i="12"/>
  <c r="U89" i="12"/>
  <c r="U88" i="12"/>
  <c r="U87" i="12"/>
  <c r="U86" i="12"/>
  <c r="U85" i="12"/>
  <c r="U84" i="12"/>
  <c r="U83" i="12"/>
  <c r="U82" i="12"/>
  <c r="U81" i="12"/>
  <c r="U80" i="12"/>
  <c r="U79" i="12"/>
  <c r="U78" i="12"/>
  <c r="U77" i="12"/>
  <c r="U76" i="12"/>
  <c r="U75" i="12"/>
  <c r="U74" i="12"/>
  <c r="U73" i="12"/>
  <c r="U72" i="12"/>
  <c r="U71" i="12"/>
  <c r="U70" i="12"/>
  <c r="U69" i="12"/>
  <c r="U68" i="12"/>
  <c r="U67" i="12"/>
  <c r="U66" i="12"/>
  <c r="U65" i="12"/>
  <c r="U64" i="12"/>
  <c r="U63" i="12"/>
  <c r="U62" i="12"/>
  <c r="U61" i="12"/>
  <c r="U60" i="12"/>
  <c r="U59" i="12"/>
  <c r="U58" i="12"/>
  <c r="U57" i="12"/>
  <c r="U56" i="12"/>
  <c r="U55" i="12"/>
  <c r="U54" i="12"/>
  <c r="U53" i="12"/>
  <c r="U52" i="12"/>
  <c r="U51" i="12"/>
  <c r="U50" i="12"/>
  <c r="U49" i="12"/>
  <c r="U48" i="12"/>
  <c r="U47" i="12"/>
  <c r="U46" i="12"/>
  <c r="U45" i="12"/>
  <c r="U44" i="12"/>
  <c r="U43" i="12"/>
  <c r="U42" i="12"/>
  <c r="U41" i="12"/>
  <c r="U40" i="12"/>
  <c r="U39" i="12"/>
  <c r="U38" i="12"/>
  <c r="U37" i="12"/>
  <c r="U36" i="12"/>
  <c r="U35" i="12"/>
  <c r="U34" i="12"/>
  <c r="U33" i="12"/>
  <c r="U32" i="12"/>
  <c r="U31" i="12"/>
  <c r="U30" i="12"/>
  <c r="U29" i="12"/>
  <c r="U28" i="12"/>
  <c r="U27" i="12"/>
  <c r="U26" i="12"/>
  <c r="U25" i="12"/>
  <c r="U24" i="12"/>
  <c r="U23" i="12"/>
  <c r="U22" i="12"/>
  <c r="U21" i="12"/>
  <c r="U20" i="12"/>
  <c r="U19" i="12"/>
  <c r="U18" i="12"/>
  <c r="U17" i="12"/>
  <c r="U16" i="12"/>
  <c r="U15" i="12"/>
  <c r="U14" i="12"/>
  <c r="U13" i="12"/>
  <c r="U12" i="12"/>
  <c r="U11" i="12"/>
  <c r="U10" i="12"/>
  <c r="U9" i="12"/>
  <c r="U8" i="12"/>
  <c r="U7" i="12"/>
  <c r="U6" i="12"/>
  <c r="U5" i="12"/>
  <c r="U4" i="12"/>
  <c r="U3" i="12"/>
  <c r="U2" i="12"/>
  <c r="Q17555" i="12"/>
  <c r="Q17554" i="12"/>
  <c r="Q17553" i="12"/>
  <c r="Q17552" i="12"/>
  <c r="Q17551" i="12"/>
  <c r="Q17550" i="12"/>
  <c r="Q17549" i="12"/>
  <c r="Q17548" i="12"/>
  <c r="Q17547" i="12"/>
  <c r="Q17546" i="12"/>
  <c r="Q17545" i="12"/>
  <c r="Q17544" i="12"/>
  <c r="Q17543" i="12"/>
  <c r="Q17542" i="12"/>
  <c r="Q17541" i="12"/>
  <c r="Q17540" i="12"/>
  <c r="Q17539" i="12"/>
  <c r="Q17538" i="12"/>
  <c r="Q17537" i="12"/>
  <c r="Q17536" i="12"/>
  <c r="Q17535" i="12"/>
  <c r="Q17534" i="12"/>
  <c r="Q17533" i="12"/>
  <c r="Q17532" i="12"/>
  <c r="Q17531" i="12"/>
  <c r="Q17530" i="12"/>
  <c r="Q17529" i="12"/>
  <c r="Q17528" i="12"/>
  <c r="Q17527" i="12"/>
  <c r="Q17526" i="12"/>
  <c r="Q17525" i="12"/>
  <c r="Q17524" i="12"/>
  <c r="Q17523" i="12"/>
  <c r="Q17522" i="12"/>
  <c r="Q17521" i="12"/>
  <c r="Q17520" i="12"/>
  <c r="Q17519" i="12"/>
  <c r="Q17518" i="12"/>
  <c r="Q17517" i="12"/>
  <c r="Q17516" i="12"/>
  <c r="Q17515" i="12"/>
  <c r="Q17514" i="12"/>
  <c r="Q17513" i="12"/>
  <c r="Q17512" i="12"/>
  <c r="Q17511" i="12"/>
  <c r="Q17510" i="12"/>
  <c r="Q17509" i="12"/>
  <c r="Q17508" i="12"/>
  <c r="Q17507" i="12"/>
  <c r="Q17506" i="12"/>
  <c r="Q17505" i="12"/>
  <c r="Q17504" i="12"/>
  <c r="Q17503" i="12"/>
  <c r="Q17502" i="12"/>
  <c r="Q17501" i="12"/>
  <c r="Q17500" i="12"/>
  <c r="Q17499" i="12"/>
  <c r="Q17498" i="12"/>
  <c r="Q17497" i="12"/>
  <c r="Q17496" i="12"/>
  <c r="Q17495" i="12"/>
  <c r="Q17494" i="12"/>
  <c r="Q17493" i="12"/>
  <c r="Q17492" i="12"/>
  <c r="Q17491" i="12"/>
  <c r="Q17490" i="12"/>
  <c r="Q17489" i="12"/>
  <c r="Q17488" i="12"/>
  <c r="Q17487" i="12"/>
  <c r="Q17486" i="12"/>
  <c r="Q17485" i="12"/>
  <c r="Q17484" i="12"/>
  <c r="Q17483" i="12"/>
  <c r="Q17482" i="12"/>
  <c r="Q17481" i="12"/>
  <c r="Q17480" i="12"/>
  <c r="Q17479" i="12"/>
  <c r="Q17478" i="12"/>
  <c r="Q17477" i="12"/>
  <c r="Q17476" i="12"/>
  <c r="Q17475" i="12"/>
  <c r="Q17474" i="12"/>
  <c r="Q17473" i="12"/>
  <c r="Q17472" i="12"/>
  <c r="Q17471" i="12"/>
  <c r="Q17470" i="12"/>
  <c r="Q17469" i="12"/>
  <c r="Q17468" i="12"/>
  <c r="Q17467" i="12"/>
  <c r="Q17466" i="12"/>
  <c r="Q17465" i="12"/>
  <c r="Q17464" i="12"/>
  <c r="Q17463" i="12"/>
  <c r="Q17462" i="12"/>
  <c r="Q17461" i="12"/>
  <c r="Q17460" i="12"/>
  <c r="Q17459" i="12"/>
  <c r="Q17458" i="12"/>
  <c r="Q17457" i="12"/>
  <c r="Q17456" i="12"/>
  <c r="Q17455" i="12"/>
  <c r="Q17454" i="12"/>
  <c r="Q17453" i="12"/>
  <c r="Q17452" i="12"/>
  <c r="Q17451" i="12"/>
  <c r="Q17450" i="12"/>
  <c r="Q17449" i="12"/>
  <c r="Q17448" i="12"/>
  <c r="Q17447" i="12"/>
  <c r="Q17446" i="12"/>
  <c r="Q17445" i="12"/>
  <c r="Q17444" i="12"/>
  <c r="Q17443" i="12"/>
  <c r="Q17442" i="12"/>
  <c r="Q17441" i="12"/>
  <c r="Q17440" i="12"/>
  <c r="Q17439" i="12"/>
  <c r="Q17438" i="12"/>
  <c r="Q17437" i="12"/>
  <c r="Q17436" i="12"/>
  <c r="Q17435" i="12"/>
  <c r="Q17434" i="12"/>
  <c r="Q17433" i="12"/>
  <c r="Q17432" i="12"/>
  <c r="Q17431" i="12"/>
  <c r="Q17430" i="12"/>
  <c r="Q17429" i="12"/>
  <c r="Q17428" i="12"/>
  <c r="Q17427" i="12"/>
  <c r="Q17426" i="12"/>
  <c r="Q17425" i="12"/>
  <c r="Q17424" i="12"/>
  <c r="Q17423" i="12"/>
  <c r="Q17422" i="12"/>
  <c r="Q17421" i="12"/>
  <c r="Q17420" i="12"/>
  <c r="Q17419" i="12"/>
  <c r="Q17418" i="12"/>
  <c r="Q17417" i="12"/>
  <c r="Q17416" i="12"/>
  <c r="Q17415" i="12"/>
  <c r="Q17414" i="12"/>
  <c r="Q17413" i="12"/>
  <c r="Q17412" i="12"/>
  <c r="Q17411" i="12"/>
  <c r="Q17410" i="12"/>
  <c r="Q17409" i="12"/>
  <c r="Q17408" i="12"/>
  <c r="Q17407" i="12"/>
  <c r="Q17406" i="12"/>
  <c r="Q17405" i="12"/>
  <c r="Q17404" i="12"/>
  <c r="Q17403" i="12"/>
  <c r="Q17402" i="12"/>
  <c r="Q17401" i="12"/>
  <c r="Q17400" i="12"/>
  <c r="Q17399" i="12"/>
  <c r="Q17398" i="12"/>
  <c r="Q17397" i="12"/>
  <c r="Q17396" i="12"/>
  <c r="Q17395" i="12"/>
  <c r="Q17394" i="12"/>
  <c r="Q17393" i="12"/>
  <c r="Q17392" i="12"/>
  <c r="Q17391" i="12"/>
  <c r="Q17390" i="12"/>
  <c r="Q17389" i="12"/>
  <c r="Q17388" i="12"/>
  <c r="Q17387" i="12"/>
  <c r="Q17386" i="12"/>
  <c r="Q17385" i="12"/>
  <c r="Q17384" i="12"/>
  <c r="Q17383" i="12"/>
  <c r="Q17382" i="12"/>
  <c r="Q17381" i="12"/>
  <c r="Q17380" i="12"/>
  <c r="Q17379" i="12"/>
  <c r="Q17378" i="12"/>
  <c r="Q17377" i="12"/>
  <c r="Q17376" i="12"/>
  <c r="Q17375" i="12"/>
  <c r="Q17374" i="12"/>
  <c r="Q17373" i="12"/>
  <c r="Q17372" i="12"/>
  <c r="Q17371" i="12"/>
  <c r="Q17370" i="12"/>
  <c r="Q17369" i="12"/>
  <c r="Q17368" i="12"/>
  <c r="Q17367" i="12"/>
  <c r="Q17366" i="12"/>
  <c r="Q17365" i="12"/>
  <c r="Q17364" i="12"/>
  <c r="Q17363" i="12"/>
  <c r="Q17362" i="12"/>
  <c r="Q17361" i="12"/>
  <c r="Q17360" i="12"/>
  <c r="Q17359" i="12"/>
  <c r="Q17358" i="12"/>
  <c r="Q17357" i="12"/>
  <c r="Q17356" i="12"/>
  <c r="Q17355" i="12"/>
  <c r="Q17354" i="12"/>
  <c r="Q17353" i="12"/>
  <c r="Q17352" i="12"/>
  <c r="Q17351" i="12"/>
  <c r="Q17350" i="12"/>
  <c r="Q17349" i="12"/>
  <c r="Q17348" i="12"/>
  <c r="Q17347" i="12"/>
  <c r="Q17346" i="12"/>
  <c r="Q17345" i="12"/>
  <c r="Q17344" i="12"/>
  <c r="Q17343" i="12"/>
  <c r="Q17342" i="12"/>
  <c r="Q17341" i="12"/>
  <c r="Q17340" i="12"/>
  <c r="Q17339" i="12"/>
  <c r="Q17338" i="12"/>
  <c r="Q17337" i="12"/>
  <c r="Q17336" i="12"/>
  <c r="Q17335" i="12"/>
  <c r="Q17334" i="12"/>
  <c r="Q17333" i="12"/>
  <c r="Q17332" i="12"/>
  <c r="Q17331" i="12"/>
  <c r="Q17330" i="12"/>
  <c r="Q17329" i="12"/>
  <c r="Q17328" i="12"/>
  <c r="Q17327" i="12"/>
  <c r="Q17326" i="12"/>
  <c r="Q17325" i="12"/>
  <c r="Q17324" i="12"/>
  <c r="Q17323" i="12"/>
  <c r="Q17322" i="12"/>
  <c r="Q17321" i="12"/>
  <c r="Q17320" i="12"/>
  <c r="Q17319" i="12"/>
  <c r="Q17318" i="12"/>
  <c r="Q17317" i="12"/>
  <c r="Q17316" i="12"/>
  <c r="Q17315" i="12"/>
  <c r="Q17314" i="12"/>
  <c r="Q17313" i="12"/>
  <c r="Q17312" i="12"/>
  <c r="Q17311" i="12"/>
  <c r="Q17310" i="12"/>
  <c r="Q17309" i="12"/>
  <c r="Q17308" i="12"/>
  <c r="Q17307" i="12"/>
  <c r="Q17306" i="12"/>
  <c r="Q17305" i="12"/>
  <c r="Q17304" i="12"/>
  <c r="Q17303" i="12"/>
  <c r="Q17302" i="12"/>
  <c r="Q17301" i="12"/>
  <c r="Q17300" i="12"/>
  <c r="Q17299" i="12"/>
  <c r="Q17298" i="12"/>
  <c r="Q17297" i="12"/>
  <c r="Q17296" i="12"/>
  <c r="Q17295" i="12"/>
  <c r="Q17294" i="12"/>
  <c r="Q17293" i="12"/>
  <c r="Q17292" i="12"/>
  <c r="Q17291" i="12"/>
  <c r="Q17290" i="12"/>
  <c r="Q17289" i="12"/>
  <c r="Q17288" i="12"/>
  <c r="Q17287" i="12"/>
  <c r="Q17286" i="12"/>
  <c r="Q17285" i="12"/>
  <c r="Q17284" i="12"/>
  <c r="Q17283" i="12"/>
  <c r="Q17282" i="12"/>
  <c r="Q17281" i="12"/>
  <c r="Q17280" i="12"/>
  <c r="Q17279" i="12"/>
  <c r="Q17278" i="12"/>
  <c r="Q17277" i="12"/>
  <c r="Q17276" i="12"/>
  <c r="Q17275" i="12"/>
  <c r="Q17274" i="12"/>
  <c r="Q17273" i="12"/>
  <c r="Q17272" i="12"/>
  <c r="Q17271" i="12"/>
  <c r="Q17270" i="12"/>
  <c r="Q17269" i="12"/>
  <c r="Q17268" i="12"/>
  <c r="Q17267" i="12"/>
  <c r="Q17266" i="12"/>
  <c r="Q17265" i="12"/>
  <c r="Q17264" i="12"/>
  <c r="Q17263" i="12"/>
  <c r="Q17262" i="12"/>
  <c r="Q17261" i="12"/>
  <c r="Q17260" i="12"/>
  <c r="Q17259" i="12"/>
  <c r="Q17258" i="12"/>
  <c r="Q17257" i="12"/>
  <c r="Q17256" i="12"/>
  <c r="Q17255" i="12"/>
  <c r="Q17254" i="12"/>
  <c r="Q17253" i="12"/>
  <c r="Q17252" i="12"/>
  <c r="Q17251" i="12"/>
  <c r="Q17250" i="12"/>
  <c r="Q17249" i="12"/>
  <c r="Q17248" i="12"/>
  <c r="Q17247" i="12"/>
  <c r="Q17246" i="12"/>
  <c r="Q17245" i="12"/>
  <c r="Q17244" i="12"/>
  <c r="Q17243" i="12"/>
  <c r="Q17242" i="12"/>
  <c r="Q17241" i="12"/>
  <c r="Q17240" i="12"/>
  <c r="Q17239" i="12"/>
  <c r="Q17238" i="12"/>
  <c r="Q17237" i="12"/>
  <c r="Q17236" i="12"/>
  <c r="Q17235" i="12"/>
  <c r="Q17234" i="12"/>
  <c r="Q17233" i="12"/>
  <c r="Q17232" i="12"/>
  <c r="Q17231" i="12"/>
  <c r="Q17230" i="12"/>
  <c r="Q17229" i="12"/>
  <c r="Q17228" i="12"/>
  <c r="Q17227" i="12"/>
  <c r="Q17226" i="12"/>
  <c r="Q17225" i="12"/>
  <c r="Q17224" i="12"/>
  <c r="Q17223" i="12"/>
  <c r="Q17222" i="12"/>
  <c r="Q17221" i="12"/>
  <c r="Q17220" i="12"/>
  <c r="Q17219" i="12"/>
  <c r="Q17218" i="12"/>
  <c r="Q17217" i="12"/>
  <c r="Q17216" i="12"/>
  <c r="Q17215" i="12"/>
  <c r="Q17214" i="12"/>
  <c r="Q17213" i="12"/>
  <c r="Q17212" i="12"/>
  <c r="Q17211" i="12"/>
  <c r="Q17210" i="12"/>
  <c r="Q17209" i="12"/>
  <c r="Q17208" i="12"/>
  <c r="Q17207" i="12"/>
  <c r="Q17206" i="12"/>
  <c r="Q17205" i="12"/>
  <c r="Q17204" i="12"/>
  <c r="Q17203" i="12"/>
  <c r="Q17202" i="12"/>
  <c r="Q17201" i="12"/>
  <c r="Q17200" i="12"/>
  <c r="Q17199" i="12"/>
  <c r="Q17198" i="12"/>
  <c r="Q17197" i="12"/>
  <c r="Q17196" i="12"/>
  <c r="Q17195" i="12"/>
  <c r="Q17194" i="12"/>
  <c r="Q17193" i="12"/>
  <c r="Q17192" i="12"/>
  <c r="Q17191" i="12"/>
  <c r="Q17190" i="12"/>
  <c r="Q17189" i="12"/>
  <c r="Q17188" i="12"/>
  <c r="Q17187" i="12"/>
  <c r="Q17186" i="12"/>
  <c r="Q17185" i="12"/>
  <c r="Q17184" i="12"/>
  <c r="Q17183" i="12"/>
  <c r="Q17182" i="12"/>
  <c r="Q17181" i="12"/>
  <c r="Q17180" i="12"/>
  <c r="Q17179" i="12"/>
  <c r="Q17178" i="12"/>
  <c r="Q17177" i="12"/>
  <c r="Q17176" i="12"/>
  <c r="Q17175" i="12"/>
  <c r="Q17174" i="12"/>
  <c r="Q17173" i="12"/>
  <c r="Q17172" i="12"/>
  <c r="Q17171" i="12"/>
  <c r="Q17170" i="12"/>
  <c r="Q17169" i="12"/>
  <c r="Q17168" i="12"/>
  <c r="Q17167" i="12"/>
  <c r="Q17166" i="12"/>
  <c r="Q17165" i="12"/>
  <c r="Q17164" i="12"/>
  <c r="Q17163" i="12"/>
  <c r="Q17162" i="12"/>
  <c r="Q17161" i="12"/>
  <c r="Q17160" i="12"/>
  <c r="Q17159" i="12"/>
  <c r="Q17158" i="12"/>
  <c r="Q17157" i="12"/>
  <c r="Q17156" i="12"/>
  <c r="Q17155" i="12"/>
  <c r="Q17154" i="12"/>
  <c r="Q17153" i="12"/>
  <c r="Q17152" i="12"/>
  <c r="Q17151" i="12"/>
  <c r="Q17150" i="12"/>
  <c r="Q17149" i="12"/>
  <c r="Q17148" i="12"/>
  <c r="Q17147" i="12"/>
  <c r="Q17146" i="12"/>
  <c r="Q17145" i="12"/>
  <c r="Q17144" i="12"/>
  <c r="Q17143" i="12"/>
  <c r="Q17142" i="12"/>
  <c r="Q17141" i="12"/>
  <c r="Q17140" i="12"/>
  <c r="Q17139" i="12"/>
  <c r="Q17138" i="12"/>
  <c r="Q17137" i="12"/>
  <c r="Q17136" i="12"/>
  <c r="Q17135" i="12"/>
  <c r="Q17134" i="12"/>
  <c r="Q17133" i="12"/>
  <c r="Q17132" i="12"/>
  <c r="Q17131" i="12"/>
  <c r="Q17130" i="12"/>
  <c r="Q17129" i="12"/>
  <c r="Q17128" i="12"/>
  <c r="Q17127" i="12"/>
  <c r="Q17126" i="12"/>
  <c r="Q17125" i="12"/>
  <c r="Q17124" i="12"/>
  <c r="Q17123" i="12"/>
  <c r="Q17122" i="12"/>
  <c r="Q17121" i="12"/>
  <c r="Q17120" i="12"/>
  <c r="Q17119" i="12"/>
  <c r="Q17118" i="12"/>
  <c r="Q17117" i="12"/>
  <c r="Q17116" i="12"/>
  <c r="Q17115" i="12"/>
  <c r="Q17114" i="12"/>
  <c r="Q17113" i="12"/>
  <c r="Q17112" i="12"/>
  <c r="Q17111" i="12"/>
  <c r="Q17110" i="12"/>
  <c r="Q17109" i="12"/>
  <c r="Q17108" i="12"/>
  <c r="Q17107" i="12"/>
  <c r="Q17106" i="12"/>
  <c r="Q17105" i="12"/>
  <c r="Q17104" i="12"/>
  <c r="Q17103" i="12"/>
  <c r="Q17102" i="12"/>
  <c r="Q17101" i="12"/>
  <c r="Q17100" i="12"/>
  <c r="Q17099" i="12"/>
  <c r="Q17098" i="12"/>
  <c r="Q17097" i="12"/>
  <c r="Q17096" i="12"/>
  <c r="Q17095" i="12"/>
  <c r="Q17094" i="12"/>
  <c r="Q17093" i="12"/>
  <c r="Q17092" i="12"/>
  <c r="Q17091" i="12"/>
  <c r="Q17090" i="12"/>
  <c r="Q17089" i="12"/>
  <c r="Q17088" i="12"/>
  <c r="Q17087" i="12"/>
  <c r="Q17086" i="12"/>
  <c r="Q17085" i="12"/>
  <c r="Q17084" i="12"/>
  <c r="Q17083" i="12"/>
  <c r="Q17082" i="12"/>
  <c r="Q17081" i="12"/>
  <c r="Q17080" i="12"/>
  <c r="Q17079" i="12"/>
  <c r="Q17078" i="12"/>
  <c r="Q17077" i="12"/>
  <c r="Q17076" i="12"/>
  <c r="Q17075" i="12"/>
  <c r="Q17074" i="12"/>
  <c r="Q17073" i="12"/>
  <c r="Q17072" i="12"/>
  <c r="Q17071" i="12"/>
  <c r="Q17070" i="12"/>
  <c r="Q17069" i="12"/>
  <c r="Q17068" i="12"/>
  <c r="Q17067" i="12"/>
  <c r="Q17066" i="12"/>
  <c r="Q17065" i="12"/>
  <c r="Q17064" i="12"/>
  <c r="Q17063" i="12"/>
  <c r="Q17062" i="12"/>
  <c r="Q17061" i="12"/>
  <c r="Q17060" i="12"/>
  <c r="Q17059" i="12"/>
  <c r="Q17058" i="12"/>
  <c r="Q17057" i="12"/>
  <c r="Q17056" i="12"/>
  <c r="Q17055" i="12"/>
  <c r="Q17054" i="12"/>
  <c r="Q17053" i="12"/>
  <c r="Q17052" i="12"/>
  <c r="Q17051" i="12"/>
  <c r="Q17050" i="12"/>
  <c r="Q17049" i="12"/>
  <c r="Q17048" i="12"/>
  <c r="Q17047" i="12"/>
  <c r="Q17046" i="12"/>
  <c r="Q17045" i="12"/>
  <c r="Q17044" i="12"/>
  <c r="Q17043" i="12"/>
  <c r="Q17042" i="12"/>
  <c r="Q17041" i="12"/>
  <c r="Q17040" i="12"/>
  <c r="Q17039" i="12"/>
  <c r="Q17038" i="12"/>
  <c r="Q17037" i="12"/>
  <c r="Q17036" i="12"/>
  <c r="Q17035" i="12"/>
  <c r="Q17034" i="12"/>
  <c r="Q17033" i="12"/>
  <c r="Q17032" i="12"/>
  <c r="Q17031" i="12"/>
  <c r="Q17030" i="12"/>
  <c r="Q17029" i="12"/>
  <c r="Q17028" i="12"/>
  <c r="Q17027" i="12"/>
  <c r="Q17026" i="12"/>
  <c r="Q17025" i="12"/>
  <c r="Q17024" i="12"/>
  <c r="Q17023" i="12"/>
  <c r="Q17022" i="12"/>
  <c r="Q17021" i="12"/>
  <c r="Q17020" i="12"/>
  <c r="Q17019" i="12"/>
  <c r="Q17018" i="12"/>
  <c r="Q17017" i="12"/>
  <c r="Q17016" i="12"/>
  <c r="Q17015" i="12"/>
  <c r="Q17014" i="12"/>
  <c r="Q17013" i="12"/>
  <c r="Q17012" i="12"/>
  <c r="Q17011" i="12"/>
  <c r="Q17010" i="12"/>
  <c r="Q17009" i="12"/>
  <c r="Q17008" i="12"/>
  <c r="Q17007" i="12"/>
  <c r="Q17006" i="12"/>
  <c r="Q17005" i="12"/>
  <c r="Q17004" i="12"/>
  <c r="Q17003" i="12"/>
  <c r="Q17002" i="12"/>
  <c r="Q17001" i="12"/>
  <c r="Q17000" i="12"/>
  <c r="Q16999" i="12"/>
  <c r="Q16998" i="12"/>
  <c r="Q16997" i="12"/>
  <c r="Q16996" i="12"/>
  <c r="Q16995" i="12"/>
  <c r="Q16994" i="12"/>
  <c r="Q16993" i="12"/>
  <c r="Q16992" i="12"/>
  <c r="Q16991" i="12"/>
  <c r="Q16990" i="12"/>
  <c r="Q16989" i="12"/>
  <c r="Q16988" i="12"/>
  <c r="Q16987" i="12"/>
  <c r="Q16986" i="12"/>
  <c r="Q16985" i="12"/>
  <c r="Q16984" i="12"/>
  <c r="Q16983" i="12"/>
  <c r="Q16982" i="12"/>
  <c r="Q16981" i="12"/>
  <c r="Q16980" i="12"/>
  <c r="Q16979" i="12"/>
  <c r="Q16978" i="12"/>
  <c r="Q16977" i="12"/>
  <c r="Q16976" i="12"/>
  <c r="Q16975" i="12"/>
  <c r="Q16974" i="12"/>
  <c r="Q16973" i="12"/>
  <c r="Q16972" i="12"/>
  <c r="Q16971" i="12"/>
  <c r="Q16970" i="12"/>
  <c r="Q16969" i="12"/>
  <c r="Q16968" i="12"/>
  <c r="Q16967" i="12"/>
  <c r="Q16966" i="12"/>
  <c r="Q16965" i="12"/>
  <c r="Q16964" i="12"/>
  <c r="Q16963" i="12"/>
  <c r="Q16962" i="12"/>
  <c r="Q16961" i="12"/>
  <c r="Q16960" i="12"/>
  <c r="Q16959" i="12"/>
  <c r="Q16958" i="12"/>
  <c r="Q16957" i="12"/>
  <c r="Q16956" i="12"/>
  <c r="Q16955" i="12"/>
  <c r="Q16954" i="12"/>
  <c r="Q16953" i="12"/>
  <c r="Q16952" i="12"/>
  <c r="Q16951" i="12"/>
  <c r="Q16950" i="12"/>
  <c r="Q16949" i="12"/>
  <c r="Q16948" i="12"/>
  <c r="Q16947" i="12"/>
  <c r="Q16946" i="12"/>
  <c r="Q16945" i="12"/>
  <c r="Q16944" i="12"/>
  <c r="Q16943" i="12"/>
  <c r="Q16942" i="12"/>
  <c r="Q16941" i="12"/>
  <c r="Q16940" i="12"/>
  <c r="Q16939" i="12"/>
  <c r="Q16938" i="12"/>
  <c r="Q16937" i="12"/>
  <c r="Q16936" i="12"/>
  <c r="Q16935" i="12"/>
  <c r="Q16934" i="12"/>
  <c r="Q16933" i="12"/>
  <c r="Q16932" i="12"/>
  <c r="Q16931" i="12"/>
  <c r="Q16930" i="12"/>
  <c r="Q16929" i="12"/>
  <c r="Q16928" i="12"/>
  <c r="Q16927" i="12"/>
  <c r="Q16926" i="12"/>
  <c r="Q16925" i="12"/>
  <c r="Q16924" i="12"/>
  <c r="Q16923" i="12"/>
  <c r="Q16922" i="12"/>
  <c r="Q16921" i="12"/>
  <c r="Q16920" i="12"/>
  <c r="Q16919" i="12"/>
  <c r="Q16918" i="12"/>
  <c r="Q16917" i="12"/>
  <c r="Q16916" i="12"/>
  <c r="Q16915" i="12"/>
  <c r="Q16914" i="12"/>
  <c r="Q16913" i="12"/>
  <c r="Q16912" i="12"/>
  <c r="Q16911" i="12"/>
  <c r="Q16910" i="12"/>
  <c r="Q16909" i="12"/>
  <c r="Q16908" i="12"/>
  <c r="Q16907" i="12"/>
  <c r="Q16906" i="12"/>
  <c r="Q16905" i="12"/>
  <c r="Q16904" i="12"/>
  <c r="Q16903" i="12"/>
  <c r="Q16902" i="12"/>
  <c r="Q16901" i="12"/>
  <c r="Q16900" i="12"/>
  <c r="Q16899" i="12"/>
  <c r="Q16898" i="12"/>
  <c r="Q16897" i="12"/>
  <c r="Q16896" i="12"/>
  <c r="Q16895" i="12"/>
  <c r="Q16894" i="12"/>
  <c r="Q16893" i="12"/>
  <c r="Q16892" i="12"/>
  <c r="Q16891" i="12"/>
  <c r="Q16890" i="12"/>
  <c r="Q16889" i="12"/>
  <c r="Q16888" i="12"/>
  <c r="Q16887" i="12"/>
  <c r="Q16886" i="12"/>
  <c r="Q16885" i="12"/>
  <c r="Q16884" i="12"/>
  <c r="Q16883" i="12"/>
  <c r="Q16882" i="12"/>
  <c r="Q16881" i="12"/>
  <c r="Q16880" i="12"/>
  <c r="Q16879" i="12"/>
  <c r="Q16878" i="12"/>
  <c r="Q16877" i="12"/>
  <c r="Q16876" i="12"/>
  <c r="Q16875" i="12"/>
  <c r="Q16874" i="12"/>
  <c r="Q16873" i="12"/>
  <c r="Q16872" i="12"/>
  <c r="Q16871" i="12"/>
  <c r="Q16870" i="12"/>
  <c r="Q16869" i="12"/>
  <c r="Q16868" i="12"/>
  <c r="Q16867" i="12"/>
  <c r="Q16866" i="12"/>
  <c r="Q16865" i="12"/>
  <c r="Q16864" i="12"/>
  <c r="Q16863" i="12"/>
  <c r="Q16862" i="12"/>
  <c r="Q16861" i="12"/>
  <c r="Q16860" i="12"/>
  <c r="Q16859" i="12"/>
  <c r="Q16858" i="12"/>
  <c r="Q16857" i="12"/>
  <c r="Q16856" i="12"/>
  <c r="Q16855" i="12"/>
  <c r="Q16854" i="12"/>
  <c r="Q16853" i="12"/>
  <c r="Q16852" i="12"/>
  <c r="Q16851" i="12"/>
  <c r="Q16850" i="12"/>
  <c r="Q16849" i="12"/>
  <c r="Q16848" i="12"/>
  <c r="Q16847" i="12"/>
  <c r="Q16846" i="12"/>
  <c r="Q16845" i="12"/>
  <c r="Q16844" i="12"/>
  <c r="Q16843" i="12"/>
  <c r="Q16842" i="12"/>
  <c r="Q16841" i="12"/>
  <c r="Q16840" i="12"/>
  <c r="Q16839" i="12"/>
  <c r="Q16838" i="12"/>
  <c r="Q16837" i="12"/>
  <c r="Q16836" i="12"/>
  <c r="Q16835" i="12"/>
  <c r="Q16834" i="12"/>
  <c r="Q16833" i="12"/>
  <c r="Q16832" i="12"/>
  <c r="Q16831" i="12"/>
  <c r="Q16830" i="12"/>
  <c r="Q16829" i="12"/>
  <c r="Q16828" i="12"/>
  <c r="Q16827" i="12"/>
  <c r="Q16826" i="12"/>
  <c r="Q16825" i="12"/>
  <c r="Q16824" i="12"/>
  <c r="Q16823" i="12"/>
  <c r="Q16822" i="12"/>
  <c r="Q16821" i="12"/>
  <c r="Q16820" i="12"/>
  <c r="Q16819" i="12"/>
  <c r="Q16818" i="12"/>
  <c r="Q16817" i="12"/>
  <c r="Q16816" i="12"/>
  <c r="Q16815" i="12"/>
  <c r="Q16814" i="12"/>
  <c r="Q16813" i="12"/>
  <c r="Q16812" i="12"/>
  <c r="Q16811" i="12"/>
  <c r="Q16810" i="12"/>
  <c r="Q16809" i="12"/>
  <c r="Q16808" i="12"/>
  <c r="Q16807" i="12"/>
  <c r="Q16806" i="12"/>
  <c r="Q16805" i="12"/>
  <c r="Q16804" i="12"/>
  <c r="Q16803" i="12"/>
  <c r="Q16802" i="12"/>
  <c r="Q16801" i="12"/>
  <c r="Q16800" i="12"/>
  <c r="Q16799" i="12"/>
  <c r="Q16798" i="12"/>
  <c r="Q16797" i="12"/>
  <c r="Q16796" i="12"/>
  <c r="Q16795" i="12"/>
  <c r="Q16794" i="12"/>
  <c r="Q16793" i="12"/>
  <c r="Q16792" i="12"/>
  <c r="Q16791" i="12"/>
  <c r="Q16790" i="12"/>
  <c r="Q16789" i="12"/>
  <c r="Q16788" i="12"/>
  <c r="Q16787" i="12"/>
  <c r="Q16786" i="12"/>
  <c r="Q16785" i="12"/>
  <c r="Q16784" i="12"/>
  <c r="Q16783" i="12"/>
  <c r="Q16782" i="12"/>
  <c r="Q16781" i="12"/>
  <c r="Q16780" i="12"/>
  <c r="Q16779" i="12"/>
  <c r="Q16778" i="12"/>
  <c r="Q16777" i="12"/>
  <c r="Q16776" i="12"/>
  <c r="Q16775" i="12"/>
  <c r="Q16774" i="12"/>
  <c r="Q16773" i="12"/>
  <c r="Q16772" i="12"/>
  <c r="Q16771" i="12"/>
  <c r="Q16770" i="12"/>
  <c r="Q16769" i="12"/>
  <c r="Q16768" i="12"/>
  <c r="Q16767" i="12"/>
  <c r="Q16766" i="12"/>
  <c r="Q16765" i="12"/>
  <c r="Q16764" i="12"/>
  <c r="Q16763" i="12"/>
  <c r="Q16762" i="12"/>
  <c r="Q16761" i="12"/>
  <c r="Q16760" i="12"/>
  <c r="Q16759" i="12"/>
  <c r="Q16758" i="12"/>
  <c r="Q16757" i="12"/>
  <c r="Q16756" i="12"/>
  <c r="Q16755" i="12"/>
  <c r="Q16754" i="12"/>
  <c r="Q16753" i="12"/>
  <c r="Q16752" i="12"/>
  <c r="Q16751" i="12"/>
  <c r="Q16750" i="12"/>
  <c r="Q16749" i="12"/>
  <c r="Q16748" i="12"/>
  <c r="Q16747" i="12"/>
  <c r="Q16746" i="12"/>
  <c r="Q16745" i="12"/>
  <c r="Q16744" i="12"/>
  <c r="Q16743" i="12"/>
  <c r="Q16742" i="12"/>
  <c r="Q16741" i="12"/>
  <c r="Q16740" i="12"/>
  <c r="Q16739" i="12"/>
  <c r="Q16738" i="12"/>
  <c r="Q16737" i="12"/>
  <c r="Q16736" i="12"/>
  <c r="Q16735" i="12"/>
  <c r="Q16734" i="12"/>
  <c r="Q16733" i="12"/>
  <c r="Q16732" i="12"/>
  <c r="Q16731" i="12"/>
  <c r="Q16730" i="12"/>
  <c r="Q16729" i="12"/>
  <c r="Q16728" i="12"/>
  <c r="Q16727" i="12"/>
  <c r="Q16726" i="12"/>
  <c r="Q16725" i="12"/>
  <c r="Q16724" i="12"/>
  <c r="Q16723" i="12"/>
  <c r="Q16722" i="12"/>
  <c r="Q16721" i="12"/>
  <c r="Q16720" i="12"/>
  <c r="Q16719" i="12"/>
  <c r="Q16718" i="12"/>
  <c r="Q16717" i="12"/>
  <c r="Q16716" i="12"/>
  <c r="Q16715" i="12"/>
  <c r="Q16714" i="12"/>
  <c r="Q16713" i="12"/>
  <c r="Q16712" i="12"/>
  <c r="Q16711" i="12"/>
  <c r="Q16710" i="12"/>
  <c r="Q16709" i="12"/>
  <c r="Q16708" i="12"/>
  <c r="Q16707" i="12"/>
  <c r="Q16706" i="12"/>
  <c r="Q16705" i="12"/>
  <c r="Q16704" i="12"/>
  <c r="Q16703" i="12"/>
  <c r="Q16702" i="12"/>
  <c r="Q16701" i="12"/>
  <c r="Q16700" i="12"/>
  <c r="Q16699" i="12"/>
  <c r="Q16698" i="12"/>
  <c r="Q16697" i="12"/>
  <c r="Q16696" i="12"/>
  <c r="Q16695" i="12"/>
  <c r="Q16694" i="12"/>
  <c r="Q16693" i="12"/>
  <c r="Q16692" i="12"/>
  <c r="Q16691" i="12"/>
  <c r="Q16690" i="12"/>
  <c r="Q16689" i="12"/>
  <c r="Q16688" i="12"/>
  <c r="Q16687" i="12"/>
  <c r="Q16686" i="12"/>
  <c r="Q16685" i="12"/>
  <c r="Q16684" i="12"/>
  <c r="Q16683" i="12"/>
  <c r="Q16682" i="12"/>
  <c r="Q16681" i="12"/>
  <c r="Q16680" i="12"/>
  <c r="Q16679" i="12"/>
  <c r="Q16678" i="12"/>
  <c r="Q16677" i="12"/>
  <c r="Q16676" i="12"/>
  <c r="Q16675" i="12"/>
  <c r="Q16674" i="12"/>
  <c r="Q16673" i="12"/>
  <c r="Q16672" i="12"/>
  <c r="Q16671" i="12"/>
  <c r="Q16670" i="12"/>
  <c r="Q16669" i="12"/>
  <c r="Q16668" i="12"/>
  <c r="Q16667" i="12"/>
  <c r="Q16666" i="12"/>
  <c r="Q16665" i="12"/>
  <c r="Q16664" i="12"/>
  <c r="Q16663" i="12"/>
  <c r="Q16662" i="12"/>
  <c r="Q16661" i="12"/>
  <c r="Q16660" i="12"/>
  <c r="Q16659" i="12"/>
  <c r="Q16658" i="12"/>
  <c r="Q16657" i="12"/>
  <c r="Q16656" i="12"/>
  <c r="Q16655" i="12"/>
  <c r="Q16654" i="12"/>
  <c r="Q16653" i="12"/>
  <c r="Q16652" i="12"/>
  <c r="Q16651" i="12"/>
  <c r="Q16650" i="12"/>
  <c r="Q16649" i="12"/>
  <c r="Q16648" i="12"/>
  <c r="Q16647" i="12"/>
  <c r="Q16646" i="12"/>
  <c r="Q16645" i="12"/>
  <c r="Q16644" i="12"/>
  <c r="Q16643" i="12"/>
  <c r="Q16642" i="12"/>
  <c r="Q16641" i="12"/>
  <c r="Q16640" i="12"/>
  <c r="Q16639" i="12"/>
  <c r="Q16638" i="12"/>
  <c r="Q16637" i="12"/>
  <c r="Q16636" i="12"/>
  <c r="Q16635" i="12"/>
  <c r="Q16634" i="12"/>
  <c r="Q16633" i="12"/>
  <c r="Q16632" i="12"/>
  <c r="Q16631" i="12"/>
  <c r="Q16630" i="12"/>
  <c r="Q16629" i="12"/>
  <c r="Q16628" i="12"/>
  <c r="Q16627" i="12"/>
  <c r="Q16626" i="12"/>
  <c r="Q16625" i="12"/>
  <c r="Q16624" i="12"/>
  <c r="Q16623" i="12"/>
  <c r="Q16622" i="12"/>
  <c r="Q16621" i="12"/>
  <c r="Q16620" i="12"/>
  <c r="Q16619" i="12"/>
  <c r="Q16618" i="12"/>
  <c r="Q16617" i="12"/>
  <c r="Q16616" i="12"/>
  <c r="Q16615" i="12"/>
  <c r="Q16614" i="12"/>
  <c r="Q16613" i="12"/>
  <c r="Q16612" i="12"/>
  <c r="Q16611" i="12"/>
  <c r="Q16610" i="12"/>
  <c r="Q16609" i="12"/>
  <c r="Q16608" i="12"/>
  <c r="Q16607" i="12"/>
  <c r="Q16606" i="12"/>
  <c r="Q16605" i="12"/>
  <c r="Q16604" i="12"/>
  <c r="Q16603" i="12"/>
  <c r="Q16602" i="12"/>
  <c r="Q16601" i="12"/>
  <c r="Q16600" i="12"/>
  <c r="Q16599" i="12"/>
  <c r="Q16598" i="12"/>
  <c r="Q16597" i="12"/>
  <c r="Q16596" i="12"/>
  <c r="Q16595" i="12"/>
  <c r="Q16594" i="12"/>
  <c r="Q16593" i="12"/>
  <c r="Q16592" i="12"/>
  <c r="Q16591" i="12"/>
  <c r="Q16590" i="12"/>
  <c r="Q16589" i="12"/>
  <c r="Q16588" i="12"/>
  <c r="Q16587" i="12"/>
  <c r="Q16586" i="12"/>
  <c r="Q16585" i="12"/>
  <c r="Q16584" i="12"/>
  <c r="Q16583" i="12"/>
  <c r="Q16582" i="12"/>
  <c r="Q16581" i="12"/>
  <c r="Q16580" i="12"/>
  <c r="Q16579" i="12"/>
  <c r="Q16578" i="12"/>
  <c r="Q16577" i="12"/>
  <c r="Q16576" i="12"/>
  <c r="Q16575" i="12"/>
  <c r="Q16574" i="12"/>
  <c r="Q16573" i="12"/>
  <c r="Q16572" i="12"/>
  <c r="Q16571" i="12"/>
  <c r="Q16570" i="12"/>
  <c r="Q16569" i="12"/>
  <c r="Q16568" i="12"/>
  <c r="Q16567" i="12"/>
  <c r="Q16566" i="12"/>
  <c r="Q16565" i="12"/>
  <c r="Q16564" i="12"/>
  <c r="Q16563" i="12"/>
  <c r="Q16562" i="12"/>
  <c r="Q16561" i="12"/>
  <c r="Q16560" i="12"/>
  <c r="Q16559" i="12"/>
  <c r="Q16558" i="12"/>
  <c r="Q16557" i="12"/>
  <c r="Q16556" i="12"/>
  <c r="Q16555" i="12"/>
  <c r="Q16554" i="12"/>
  <c r="Q16553" i="12"/>
  <c r="Q16552" i="12"/>
  <c r="Q16551" i="12"/>
  <c r="Q16550" i="12"/>
  <c r="Q16549" i="12"/>
  <c r="Q16548" i="12"/>
  <c r="Q16547" i="12"/>
  <c r="Q16546" i="12"/>
  <c r="Q16545" i="12"/>
  <c r="Q16544" i="12"/>
  <c r="Q16543" i="12"/>
  <c r="Q16542" i="12"/>
  <c r="Q16541" i="12"/>
  <c r="Q16540" i="12"/>
  <c r="Q16539" i="12"/>
  <c r="Q16538" i="12"/>
  <c r="Q16537" i="12"/>
  <c r="Q16536" i="12"/>
  <c r="Q16535" i="12"/>
  <c r="Q16534" i="12"/>
  <c r="Q16533" i="12"/>
  <c r="Q16532" i="12"/>
  <c r="Q16531" i="12"/>
  <c r="Q16530" i="12"/>
  <c r="Q16529" i="12"/>
  <c r="Q16528" i="12"/>
  <c r="Q16527" i="12"/>
  <c r="Q16526" i="12"/>
  <c r="Q16525" i="12"/>
  <c r="Q16524" i="12"/>
  <c r="Q16523" i="12"/>
  <c r="Q16522" i="12"/>
  <c r="Q16521" i="12"/>
  <c r="Q16520" i="12"/>
  <c r="Q16519" i="12"/>
  <c r="Q16518" i="12"/>
  <c r="Q16517" i="12"/>
  <c r="Q16516" i="12"/>
  <c r="Q16515" i="12"/>
  <c r="Q16514" i="12"/>
  <c r="Q16513" i="12"/>
  <c r="Q16512" i="12"/>
  <c r="Q16511" i="12"/>
  <c r="Q16510" i="12"/>
  <c r="Q16509" i="12"/>
  <c r="Q16508" i="12"/>
  <c r="Q16507" i="12"/>
  <c r="Q16506" i="12"/>
  <c r="Q16505" i="12"/>
  <c r="Q16504" i="12"/>
  <c r="Q16503" i="12"/>
  <c r="Q16502" i="12"/>
  <c r="Q16501" i="12"/>
  <c r="Q16500" i="12"/>
  <c r="Q16499" i="12"/>
  <c r="Q16498" i="12"/>
  <c r="Q16497" i="12"/>
  <c r="Q16496" i="12"/>
  <c r="Q16495" i="12"/>
  <c r="Q16494" i="12"/>
  <c r="Q16493" i="12"/>
  <c r="Q16492" i="12"/>
  <c r="Q16491" i="12"/>
  <c r="Q16490" i="12"/>
  <c r="Q16489" i="12"/>
  <c r="Q16488" i="12"/>
  <c r="Q16487" i="12"/>
  <c r="Q16486" i="12"/>
  <c r="Q16485" i="12"/>
  <c r="Q16484" i="12"/>
  <c r="Q16483" i="12"/>
  <c r="Q16482" i="12"/>
  <c r="Q16481" i="12"/>
  <c r="Q16480" i="12"/>
  <c r="Q16479" i="12"/>
  <c r="Q16478" i="12"/>
  <c r="Q16477" i="12"/>
  <c r="Q16476" i="12"/>
  <c r="Q16475" i="12"/>
  <c r="Q16474" i="12"/>
  <c r="Q16473" i="12"/>
  <c r="Q16472" i="12"/>
  <c r="Q16471" i="12"/>
  <c r="Q16470" i="12"/>
  <c r="Q16469" i="12"/>
  <c r="Q16468" i="12"/>
  <c r="Q16467" i="12"/>
  <c r="Q16466" i="12"/>
  <c r="Q16465" i="12"/>
  <c r="Q16464" i="12"/>
  <c r="Q16463" i="12"/>
  <c r="Q16462" i="12"/>
  <c r="Q16461" i="12"/>
  <c r="Q16460" i="12"/>
  <c r="Q16459" i="12"/>
  <c r="Q16458" i="12"/>
  <c r="Q16457" i="12"/>
  <c r="Q16456" i="12"/>
  <c r="Q16455" i="12"/>
  <c r="Q16454" i="12"/>
  <c r="Q16453" i="12"/>
  <c r="Q16452" i="12"/>
  <c r="Q16451" i="12"/>
  <c r="Q16450" i="12"/>
  <c r="Q16449" i="12"/>
  <c r="Q16448" i="12"/>
  <c r="Q16447" i="12"/>
  <c r="Q16446" i="12"/>
  <c r="Q16445" i="12"/>
  <c r="Q16444" i="12"/>
  <c r="Q16443" i="12"/>
  <c r="Q16442" i="12"/>
  <c r="Q16441" i="12"/>
  <c r="Q16440" i="12"/>
  <c r="Q16439" i="12"/>
  <c r="Q16438" i="12"/>
  <c r="Q16437" i="12"/>
  <c r="Q16436" i="12"/>
  <c r="Q16435" i="12"/>
  <c r="Q16434" i="12"/>
  <c r="Q16433" i="12"/>
  <c r="Q16432" i="12"/>
  <c r="Q16431" i="12"/>
  <c r="Q16430" i="12"/>
  <c r="Q16429" i="12"/>
  <c r="Q16428" i="12"/>
  <c r="Q16427" i="12"/>
  <c r="Q16426" i="12"/>
  <c r="Q16425" i="12"/>
  <c r="Q16424" i="12"/>
  <c r="Q16423" i="12"/>
  <c r="Q16422" i="12"/>
  <c r="Q16421" i="12"/>
  <c r="Q16420" i="12"/>
  <c r="Q16419" i="12"/>
  <c r="Q16418" i="12"/>
  <c r="Q16417" i="12"/>
  <c r="Q16416" i="12"/>
  <c r="Q16415" i="12"/>
  <c r="Q16414" i="12"/>
  <c r="Q16413" i="12"/>
  <c r="Q16412" i="12"/>
  <c r="Q16411" i="12"/>
  <c r="Q16410" i="12"/>
  <c r="Q16409" i="12"/>
  <c r="Q16408" i="12"/>
  <c r="Q16407" i="12"/>
  <c r="Q16406" i="12"/>
  <c r="Q16405" i="12"/>
  <c r="Q16404" i="12"/>
  <c r="Q16403" i="12"/>
  <c r="Q16402" i="12"/>
  <c r="Q16401" i="12"/>
  <c r="Q16400" i="12"/>
  <c r="Q16399" i="12"/>
  <c r="Q16398" i="12"/>
  <c r="Q16397" i="12"/>
  <c r="Q16396" i="12"/>
  <c r="Q16395" i="12"/>
  <c r="Q16394" i="12"/>
  <c r="Q16393" i="12"/>
  <c r="Q16392" i="12"/>
  <c r="Q16391" i="12"/>
  <c r="Q16390" i="12"/>
  <c r="Q16389" i="12"/>
  <c r="Q16388" i="12"/>
  <c r="Q16387" i="12"/>
  <c r="Q16386" i="12"/>
  <c r="Q16385" i="12"/>
  <c r="Q16384" i="12"/>
  <c r="Q16383" i="12"/>
  <c r="Q16382" i="12"/>
  <c r="Q16381" i="12"/>
  <c r="Q16380" i="12"/>
  <c r="Q16379" i="12"/>
  <c r="Q16378" i="12"/>
  <c r="Q16377" i="12"/>
  <c r="Q16376" i="12"/>
  <c r="Q16375" i="12"/>
  <c r="Q16374" i="12"/>
  <c r="Q16373" i="12"/>
  <c r="Q16372" i="12"/>
  <c r="Q16371" i="12"/>
  <c r="Q16370" i="12"/>
  <c r="Q16369" i="12"/>
  <c r="Q16368" i="12"/>
  <c r="Q16367" i="12"/>
  <c r="Q16366" i="12"/>
  <c r="Q16365" i="12"/>
  <c r="Q16364" i="12"/>
  <c r="Q16363" i="12"/>
  <c r="Q16362" i="12"/>
  <c r="Q16361" i="12"/>
  <c r="Q16360" i="12"/>
  <c r="Q16359" i="12"/>
  <c r="Q16358" i="12"/>
  <c r="Q16357" i="12"/>
  <c r="Q16356" i="12"/>
  <c r="Q16355" i="12"/>
  <c r="Q16354" i="12"/>
  <c r="Q16353" i="12"/>
  <c r="Q16352" i="12"/>
  <c r="Q16351" i="12"/>
  <c r="Q16350" i="12"/>
  <c r="Q16349" i="12"/>
  <c r="Q16348" i="12"/>
  <c r="Q16347" i="12"/>
  <c r="Q16346" i="12"/>
  <c r="Q16345" i="12"/>
  <c r="Q16344" i="12"/>
  <c r="Q16343" i="12"/>
  <c r="Q16342" i="12"/>
  <c r="Q16341" i="12"/>
  <c r="Q16340" i="12"/>
  <c r="Q16339" i="12"/>
  <c r="Q16338" i="12"/>
  <c r="Q16337" i="12"/>
  <c r="Q16336" i="12"/>
  <c r="Q16335" i="12"/>
  <c r="Q16334" i="12"/>
  <c r="Q16333" i="12"/>
  <c r="Q16332" i="12"/>
  <c r="Q16331" i="12"/>
  <c r="Q16330" i="12"/>
  <c r="Q16329" i="12"/>
  <c r="Q16328" i="12"/>
  <c r="Q16327" i="12"/>
  <c r="Q16326" i="12"/>
  <c r="Q16325" i="12"/>
  <c r="Q16324" i="12"/>
  <c r="Q16323" i="12"/>
  <c r="Q16322" i="12"/>
  <c r="Q16321" i="12"/>
  <c r="Q16320" i="12"/>
  <c r="Q16319" i="12"/>
  <c r="Q16318" i="12"/>
  <c r="Q16317" i="12"/>
  <c r="Q16316" i="12"/>
  <c r="Q16315" i="12"/>
  <c r="Q16314" i="12"/>
  <c r="Q16313" i="12"/>
  <c r="Q16312" i="12"/>
  <c r="Q16311" i="12"/>
  <c r="Q16310" i="12"/>
  <c r="Q16309" i="12"/>
  <c r="Q16308" i="12"/>
  <c r="Q16307" i="12"/>
  <c r="Q16306" i="12"/>
  <c r="Q16305" i="12"/>
  <c r="Q16304" i="12"/>
  <c r="Q16303" i="12"/>
  <c r="Q16302" i="12"/>
  <c r="Q16301" i="12"/>
  <c r="Q16300" i="12"/>
  <c r="Q16299" i="12"/>
  <c r="Q16298" i="12"/>
  <c r="Q16297" i="12"/>
  <c r="Q16296" i="12"/>
  <c r="Q16295" i="12"/>
  <c r="Q16294" i="12"/>
  <c r="Q16293" i="12"/>
  <c r="Q16292" i="12"/>
  <c r="Q16291" i="12"/>
  <c r="Q16290" i="12"/>
  <c r="Q16289" i="12"/>
  <c r="Q16288" i="12"/>
  <c r="Q16287" i="12"/>
  <c r="Q16286" i="12"/>
  <c r="Q16285" i="12"/>
  <c r="Q16284" i="12"/>
  <c r="Q16283" i="12"/>
  <c r="Q16282" i="12"/>
  <c r="Q16281" i="12"/>
  <c r="Q16280" i="12"/>
  <c r="Q16279" i="12"/>
  <c r="Q16278" i="12"/>
  <c r="Q16277" i="12"/>
  <c r="Q16276" i="12"/>
  <c r="Q16275" i="12"/>
  <c r="Q16274" i="12"/>
  <c r="Q16273" i="12"/>
  <c r="Q16272" i="12"/>
  <c r="Q16271" i="12"/>
  <c r="Q16270" i="12"/>
  <c r="Q16269" i="12"/>
  <c r="Q16268" i="12"/>
  <c r="Q16267" i="12"/>
  <c r="Q16266" i="12"/>
  <c r="Q16265" i="12"/>
  <c r="Q16264" i="12"/>
  <c r="Q16263" i="12"/>
  <c r="Q16262" i="12"/>
  <c r="Q16261" i="12"/>
  <c r="Q16260" i="12"/>
  <c r="Q16259" i="12"/>
  <c r="Q16258" i="12"/>
  <c r="Q16257" i="12"/>
  <c r="Q16256" i="12"/>
  <c r="Q16255" i="12"/>
  <c r="Q16254" i="12"/>
  <c r="Q16253" i="12"/>
  <c r="Q16252" i="12"/>
  <c r="Q16251" i="12"/>
  <c r="Q16250" i="12"/>
  <c r="Q16249" i="12"/>
  <c r="Q16248" i="12"/>
  <c r="Q16247" i="12"/>
  <c r="Q16246" i="12"/>
  <c r="Q16245" i="12"/>
  <c r="Q16244" i="12"/>
  <c r="Q16243" i="12"/>
  <c r="Q16242" i="12"/>
  <c r="Q16241" i="12"/>
  <c r="Q16240" i="12"/>
  <c r="Q16239" i="12"/>
  <c r="Q16238" i="12"/>
  <c r="Q16237" i="12"/>
  <c r="Q16236" i="12"/>
  <c r="Q16235" i="12"/>
  <c r="Q16234" i="12"/>
  <c r="Q16233" i="12"/>
  <c r="Q16232" i="12"/>
  <c r="Q16231" i="12"/>
  <c r="Q16230" i="12"/>
  <c r="Q16229" i="12"/>
  <c r="Q16228" i="12"/>
  <c r="Q16227" i="12"/>
  <c r="Q16226" i="12"/>
  <c r="Q16225" i="12"/>
  <c r="Q16224" i="12"/>
  <c r="Q16223" i="12"/>
  <c r="Q16222" i="12"/>
  <c r="Q16221" i="12"/>
  <c r="Q16220" i="12"/>
  <c r="Q16219" i="12"/>
  <c r="Q16218" i="12"/>
  <c r="Q16217" i="12"/>
  <c r="Q16216" i="12"/>
  <c r="Q16215" i="12"/>
  <c r="Q16214" i="12"/>
  <c r="Q16213" i="12"/>
  <c r="Q16212" i="12"/>
  <c r="Q16211" i="12"/>
  <c r="Q16210" i="12"/>
  <c r="Q16209" i="12"/>
  <c r="Q16208" i="12"/>
  <c r="Q16207" i="12"/>
  <c r="Q16206" i="12"/>
  <c r="Q16205" i="12"/>
  <c r="Q16204" i="12"/>
  <c r="Q16203" i="12"/>
  <c r="Q16202" i="12"/>
  <c r="Q16201" i="12"/>
  <c r="Q16200" i="12"/>
  <c r="Q16199" i="12"/>
  <c r="Q16198" i="12"/>
  <c r="Q16197" i="12"/>
  <c r="Q16196" i="12"/>
  <c r="Q16195" i="12"/>
  <c r="Q16194" i="12"/>
  <c r="Q16193" i="12"/>
  <c r="Q16192" i="12"/>
  <c r="Q16191" i="12"/>
  <c r="Q16190" i="12"/>
  <c r="Q16189" i="12"/>
  <c r="Q16188" i="12"/>
  <c r="Q16187" i="12"/>
  <c r="Q16186" i="12"/>
  <c r="Q16185" i="12"/>
  <c r="Q16184" i="12"/>
  <c r="Q16183" i="12"/>
  <c r="Q16182" i="12"/>
  <c r="Q16181" i="12"/>
  <c r="Q16180" i="12"/>
  <c r="Q16179" i="12"/>
  <c r="Q16178" i="12"/>
  <c r="Q16177" i="12"/>
  <c r="Q16176" i="12"/>
  <c r="Q16175" i="12"/>
  <c r="Q16174" i="12"/>
  <c r="Q16173" i="12"/>
  <c r="Q16172" i="12"/>
  <c r="Q16171" i="12"/>
  <c r="Q16170" i="12"/>
  <c r="Q16169" i="12"/>
  <c r="Q16168" i="12"/>
  <c r="Q16167" i="12"/>
  <c r="Q16166" i="12"/>
  <c r="Q16165" i="12"/>
  <c r="Q16164" i="12"/>
  <c r="Q16163" i="12"/>
  <c r="Q16162" i="12"/>
  <c r="Q16161" i="12"/>
  <c r="Q16160" i="12"/>
  <c r="Q16159" i="12"/>
  <c r="Q16158" i="12"/>
  <c r="Q16157" i="12"/>
  <c r="Q16156" i="12"/>
  <c r="Q16155" i="12"/>
  <c r="Q16154" i="12"/>
  <c r="Q16153" i="12"/>
  <c r="Q16152" i="12"/>
  <c r="Q16151" i="12"/>
  <c r="Q16150" i="12"/>
  <c r="Q16149" i="12"/>
  <c r="Q16148" i="12"/>
  <c r="Q16147" i="12"/>
  <c r="Q16146" i="12"/>
  <c r="Q16145" i="12"/>
  <c r="Q16144" i="12"/>
  <c r="Q16143" i="12"/>
  <c r="Q16142" i="12"/>
  <c r="Q16141" i="12"/>
  <c r="Q16140" i="12"/>
  <c r="Q16139" i="12"/>
  <c r="Q16138" i="12"/>
  <c r="Q16137" i="12"/>
  <c r="Q16136" i="12"/>
  <c r="Q16135" i="12"/>
  <c r="Q16134" i="12"/>
  <c r="Q16133" i="12"/>
  <c r="Q16132" i="12"/>
  <c r="Q16131" i="12"/>
  <c r="Q16130" i="12"/>
  <c r="Q16129" i="12"/>
  <c r="Q16128" i="12"/>
  <c r="Q16127" i="12"/>
  <c r="Q16126" i="12"/>
  <c r="Q16125" i="12"/>
  <c r="Q16124" i="12"/>
  <c r="Q16123" i="12"/>
  <c r="Q16122" i="12"/>
  <c r="Q16121" i="12"/>
  <c r="Q16120" i="12"/>
  <c r="Q16119" i="12"/>
  <c r="Q16118" i="12"/>
  <c r="Q16117" i="12"/>
  <c r="Q16116" i="12"/>
  <c r="Q16115" i="12"/>
  <c r="Q16114" i="12"/>
  <c r="Q16113" i="12"/>
  <c r="Q16112" i="12"/>
  <c r="Q16111" i="12"/>
  <c r="Q16110" i="12"/>
  <c r="Q16109" i="12"/>
  <c r="Q16108" i="12"/>
  <c r="Q16107" i="12"/>
  <c r="Q16106" i="12"/>
  <c r="Q16105" i="12"/>
  <c r="Q16104" i="12"/>
  <c r="Q16103" i="12"/>
  <c r="Q16102" i="12"/>
  <c r="Q16101" i="12"/>
  <c r="Q16100" i="12"/>
  <c r="Q16099" i="12"/>
  <c r="Q16098" i="12"/>
  <c r="Q16097" i="12"/>
  <c r="Q16096" i="12"/>
  <c r="Q16095" i="12"/>
  <c r="Q16094" i="12"/>
  <c r="Q16093" i="12"/>
  <c r="Q16092" i="12"/>
  <c r="Q16091" i="12"/>
  <c r="Q16090" i="12"/>
  <c r="Q16089" i="12"/>
  <c r="Q16088" i="12"/>
  <c r="Q16087" i="12"/>
  <c r="Q16086" i="12"/>
  <c r="Q16085" i="12"/>
  <c r="Q16084" i="12"/>
  <c r="Q16083" i="12"/>
  <c r="Q16082" i="12"/>
  <c r="Q16081" i="12"/>
  <c r="Q16080" i="12"/>
  <c r="Q16079" i="12"/>
  <c r="Q16078" i="12"/>
  <c r="Q16077" i="12"/>
  <c r="Q16076" i="12"/>
  <c r="Q16075" i="12"/>
  <c r="Q16074" i="12"/>
  <c r="Q16073" i="12"/>
  <c r="Q16072" i="12"/>
  <c r="Q16071" i="12"/>
  <c r="Q16070" i="12"/>
  <c r="Q16069" i="12"/>
  <c r="Q16068" i="12"/>
  <c r="Q16067" i="12"/>
  <c r="Q16066" i="12"/>
  <c r="Q16065" i="12"/>
  <c r="Q16064" i="12"/>
  <c r="Q16063" i="12"/>
  <c r="Q16062" i="12"/>
  <c r="Q16061" i="12"/>
  <c r="Q16060" i="12"/>
  <c r="Q16059" i="12"/>
  <c r="Q16058" i="12"/>
  <c r="Q16057" i="12"/>
  <c r="Q16056" i="12"/>
  <c r="Q16055" i="12"/>
  <c r="Q16054" i="12"/>
  <c r="Q16053" i="12"/>
  <c r="Q16052" i="12"/>
  <c r="Q16051" i="12"/>
  <c r="Q16050" i="12"/>
  <c r="Q16049" i="12"/>
  <c r="Q16048" i="12"/>
  <c r="Q16047" i="12"/>
  <c r="Q16046" i="12"/>
  <c r="Q16045" i="12"/>
  <c r="Q16044" i="12"/>
  <c r="Q16043" i="12"/>
  <c r="Q16042" i="12"/>
  <c r="Q16041" i="12"/>
  <c r="Q16040" i="12"/>
  <c r="Q16039" i="12"/>
  <c r="Q16038" i="12"/>
  <c r="Q16037" i="12"/>
  <c r="Q16036" i="12"/>
  <c r="Q16035" i="12"/>
  <c r="Q16034" i="12"/>
  <c r="Q16033" i="12"/>
  <c r="Q16032" i="12"/>
  <c r="Q16031" i="12"/>
  <c r="Q16030" i="12"/>
  <c r="Q16029" i="12"/>
  <c r="Q16028" i="12"/>
  <c r="Q16027" i="12"/>
  <c r="Q16026" i="12"/>
  <c r="Q16025" i="12"/>
  <c r="Q16024" i="12"/>
  <c r="Q16023" i="12"/>
  <c r="Q16022" i="12"/>
  <c r="Q16021" i="12"/>
  <c r="Q16020" i="12"/>
  <c r="Q16019" i="12"/>
  <c r="Q16018" i="12"/>
  <c r="Q16017" i="12"/>
  <c r="Q16016" i="12"/>
  <c r="Q16015" i="12"/>
  <c r="Q16014" i="12"/>
  <c r="Q16013" i="12"/>
  <c r="Q16012" i="12"/>
  <c r="Q16011" i="12"/>
  <c r="Q16010" i="12"/>
  <c r="Q16009" i="12"/>
  <c r="Q16008" i="12"/>
  <c r="Q16007" i="12"/>
  <c r="Q16006" i="12"/>
  <c r="Q16005" i="12"/>
  <c r="Q16004" i="12"/>
  <c r="Q16003" i="12"/>
  <c r="Q16002" i="12"/>
  <c r="Q16001" i="12"/>
  <c r="Q16000" i="12"/>
  <c r="Q15999" i="12"/>
  <c r="Q15998" i="12"/>
  <c r="Q15997" i="12"/>
  <c r="Q15996" i="12"/>
  <c r="Q15995" i="12"/>
  <c r="Q15994" i="12"/>
  <c r="Q15993" i="12"/>
  <c r="Q15992" i="12"/>
  <c r="Q15991" i="12"/>
  <c r="Q15990" i="12"/>
  <c r="Q15989" i="12"/>
  <c r="Q15988" i="12"/>
  <c r="Q15987" i="12"/>
  <c r="Q15986" i="12"/>
  <c r="Q15985" i="12"/>
  <c r="Q15984" i="12"/>
  <c r="Q15983" i="12"/>
  <c r="Q15982" i="12"/>
  <c r="Q15981" i="12"/>
  <c r="Q15980" i="12"/>
  <c r="Q15979" i="12"/>
  <c r="Q15978" i="12"/>
  <c r="Q15977" i="12"/>
  <c r="Q15976" i="12"/>
  <c r="Q15975" i="12"/>
  <c r="Q15974" i="12"/>
  <c r="Q15973" i="12"/>
  <c r="Q15972" i="12"/>
  <c r="Q15971" i="12"/>
  <c r="Q15970" i="12"/>
  <c r="Q15969" i="12"/>
  <c r="Q15968" i="12"/>
  <c r="Q15967" i="12"/>
  <c r="Q15966" i="12"/>
  <c r="Q15965" i="12"/>
  <c r="Q15964" i="12"/>
  <c r="Q15963" i="12"/>
  <c r="Q15962" i="12"/>
  <c r="Q15961" i="12"/>
  <c r="Q15960" i="12"/>
  <c r="Q15959" i="12"/>
  <c r="Q15958" i="12"/>
  <c r="Q15957" i="12"/>
  <c r="Q15956" i="12"/>
  <c r="Q15955" i="12"/>
  <c r="Q15954" i="12"/>
  <c r="Q15953" i="12"/>
  <c r="Q15952" i="12"/>
  <c r="Q15951" i="12"/>
  <c r="Q15950" i="12"/>
  <c r="Q15949" i="12"/>
  <c r="Q15948" i="12"/>
  <c r="Q15947" i="12"/>
  <c r="Q15946" i="12"/>
  <c r="Q15945" i="12"/>
  <c r="Q15944" i="12"/>
  <c r="Q15943" i="12"/>
  <c r="Q15942" i="12"/>
  <c r="Q15941" i="12"/>
  <c r="Q15940" i="12"/>
  <c r="Q15939" i="12"/>
  <c r="Q15938" i="12"/>
  <c r="Q15937" i="12"/>
  <c r="Q15936" i="12"/>
  <c r="Q15935" i="12"/>
  <c r="Q15934" i="12"/>
  <c r="Q15933" i="12"/>
  <c r="Q15932" i="12"/>
  <c r="Q15931" i="12"/>
  <c r="Q15930" i="12"/>
  <c r="Q15929" i="12"/>
  <c r="Q15928" i="12"/>
  <c r="Q15927" i="12"/>
  <c r="Q15926" i="12"/>
  <c r="Q15925" i="12"/>
  <c r="Q15924" i="12"/>
  <c r="Q15923" i="12"/>
  <c r="Q15922" i="12"/>
  <c r="Q15921" i="12"/>
  <c r="Q15920" i="12"/>
  <c r="Q15919" i="12"/>
  <c r="Q15918" i="12"/>
  <c r="Q15917" i="12"/>
  <c r="Q15916" i="12"/>
  <c r="Q15915" i="12"/>
  <c r="Q15914" i="12"/>
  <c r="Q15913" i="12"/>
  <c r="Q15912" i="12"/>
  <c r="Q15911" i="12"/>
  <c r="Q15910" i="12"/>
  <c r="Q15909" i="12"/>
  <c r="Q15908" i="12"/>
  <c r="Q15907" i="12"/>
  <c r="Q15906" i="12"/>
  <c r="Q15905" i="12"/>
  <c r="Q15904" i="12"/>
  <c r="Q15903" i="12"/>
  <c r="Q15902" i="12"/>
  <c r="Q15901" i="12"/>
  <c r="Q15900" i="12"/>
  <c r="Q15899" i="12"/>
  <c r="Q15898" i="12"/>
  <c r="Q15897" i="12"/>
  <c r="Q15896" i="12"/>
  <c r="Q15895" i="12"/>
  <c r="Q15894" i="12"/>
  <c r="Q15893" i="12"/>
  <c r="Q15892" i="12"/>
  <c r="Q15891" i="12"/>
  <c r="Q15890" i="12"/>
  <c r="Q15889" i="12"/>
  <c r="Q15888" i="12"/>
  <c r="Q15887" i="12"/>
  <c r="Q15886" i="12"/>
  <c r="Q15885" i="12"/>
  <c r="Q15884" i="12"/>
  <c r="Q15883" i="12"/>
  <c r="Q15882" i="12"/>
  <c r="Q15881" i="12"/>
  <c r="Q15880" i="12"/>
  <c r="Q15879" i="12"/>
  <c r="Q15878" i="12"/>
  <c r="Q15877" i="12"/>
  <c r="Q15876" i="12"/>
  <c r="Q15875" i="12"/>
  <c r="Q15874" i="12"/>
  <c r="Q15873" i="12"/>
  <c r="Q15872" i="12"/>
  <c r="Q15871" i="12"/>
  <c r="Q15870" i="12"/>
  <c r="Q15869" i="12"/>
  <c r="Q15868" i="12"/>
  <c r="Q15867" i="12"/>
  <c r="Q15866" i="12"/>
  <c r="Q15865" i="12"/>
  <c r="Q15864" i="12"/>
  <c r="Q15863" i="12"/>
  <c r="Q15862" i="12"/>
  <c r="Q15861" i="12"/>
  <c r="Q15860" i="12"/>
  <c r="Q15859" i="12"/>
  <c r="Q15858" i="12"/>
  <c r="Q15857" i="12"/>
  <c r="Q15856" i="12"/>
  <c r="Q15855" i="12"/>
  <c r="Q15854" i="12"/>
  <c r="Q15853" i="12"/>
  <c r="Q15852" i="12"/>
  <c r="Q15851" i="12"/>
  <c r="Q15850" i="12"/>
  <c r="Q15849" i="12"/>
  <c r="Q15848" i="12"/>
  <c r="Q15847" i="12"/>
  <c r="Q15846" i="12"/>
  <c r="Q15845" i="12"/>
  <c r="Q15844" i="12"/>
  <c r="Q15843" i="12"/>
  <c r="Q15842" i="12"/>
  <c r="Q15841" i="12"/>
  <c r="Q15840" i="12"/>
  <c r="Q15839" i="12"/>
  <c r="Q15838" i="12"/>
  <c r="Q15837" i="12"/>
  <c r="Q15836" i="12"/>
  <c r="Q15835" i="12"/>
  <c r="Q15834" i="12"/>
  <c r="Q15833" i="12"/>
  <c r="Q15832" i="12"/>
  <c r="Q15831" i="12"/>
  <c r="Q15830" i="12"/>
  <c r="Q15829" i="12"/>
  <c r="Q15828" i="12"/>
  <c r="Q15827" i="12"/>
  <c r="Q15826" i="12"/>
  <c r="Q15825" i="12"/>
  <c r="Q15824" i="12"/>
  <c r="Q15823" i="12"/>
  <c r="Q15822" i="12"/>
  <c r="Q15821" i="12"/>
  <c r="Q15820" i="12"/>
  <c r="Q15819" i="12"/>
  <c r="Q15818" i="12"/>
  <c r="Q15817" i="12"/>
  <c r="Q15816" i="12"/>
  <c r="Q15815" i="12"/>
  <c r="Q15814" i="12"/>
  <c r="Q15813" i="12"/>
  <c r="Q15812" i="12"/>
  <c r="Q15811" i="12"/>
  <c r="Q15810" i="12"/>
  <c r="Q15809" i="12"/>
  <c r="Q15808" i="12"/>
  <c r="Q15807" i="12"/>
  <c r="Q15806" i="12"/>
  <c r="Q15805" i="12"/>
  <c r="Q15804" i="12"/>
  <c r="Q15803" i="12"/>
  <c r="Q15802" i="12"/>
  <c r="Q15801" i="12"/>
  <c r="Q15800" i="12"/>
  <c r="Q15799" i="12"/>
  <c r="Q15798" i="12"/>
  <c r="Q15797" i="12"/>
  <c r="Q15796" i="12"/>
  <c r="Q15795" i="12"/>
  <c r="Q15794" i="12"/>
  <c r="Q15793" i="12"/>
  <c r="Q15792" i="12"/>
  <c r="Q15791" i="12"/>
  <c r="Q15790" i="12"/>
  <c r="Q15789" i="12"/>
  <c r="Q15788" i="12"/>
  <c r="Q15787" i="12"/>
  <c r="Q15786" i="12"/>
  <c r="Q15785" i="12"/>
  <c r="Q15784" i="12"/>
  <c r="Q15783" i="12"/>
  <c r="Q15782" i="12"/>
  <c r="Q15781" i="12"/>
  <c r="Q15780" i="12"/>
  <c r="Q15779" i="12"/>
  <c r="Q15778" i="12"/>
  <c r="Q15777" i="12"/>
  <c r="Q15776" i="12"/>
  <c r="Q15775" i="12"/>
  <c r="Q15774" i="12"/>
  <c r="Q15773" i="12"/>
  <c r="Q15772" i="12"/>
  <c r="Q15771" i="12"/>
  <c r="Q15770" i="12"/>
  <c r="Q15769" i="12"/>
  <c r="Q15768" i="12"/>
  <c r="Q15767" i="12"/>
  <c r="Q15766" i="12"/>
  <c r="Q15765" i="12"/>
  <c r="Q15764" i="12"/>
  <c r="Q15763" i="12"/>
  <c r="Q15762" i="12"/>
  <c r="Q15761" i="12"/>
  <c r="Q15760" i="12"/>
  <c r="Q15759" i="12"/>
  <c r="Q15758" i="12"/>
  <c r="Q15757" i="12"/>
  <c r="Q15756" i="12"/>
  <c r="Q15755" i="12"/>
  <c r="Q15754" i="12"/>
  <c r="Q15753" i="12"/>
  <c r="Q15752" i="12"/>
  <c r="Q15751" i="12"/>
  <c r="Q15750" i="12"/>
  <c r="Q15749" i="12"/>
  <c r="Q15748" i="12"/>
  <c r="Q15747" i="12"/>
  <c r="Q15746" i="12"/>
  <c r="Q15745" i="12"/>
  <c r="Q15744" i="12"/>
  <c r="Q15743" i="12"/>
  <c r="Q15742" i="12"/>
  <c r="Q15741" i="12"/>
  <c r="Q15740" i="12"/>
  <c r="Q15739" i="12"/>
  <c r="Q15738" i="12"/>
  <c r="Q15737" i="12"/>
  <c r="Q15736" i="12"/>
  <c r="Q15735" i="12"/>
  <c r="Q15734" i="12"/>
  <c r="Q15733" i="12"/>
  <c r="Q15732" i="12"/>
  <c r="Q15731" i="12"/>
  <c r="Q15730" i="12"/>
  <c r="Q15729" i="12"/>
  <c r="Q15728" i="12"/>
  <c r="Q15727" i="12"/>
  <c r="Q15726" i="12"/>
  <c r="Q15725" i="12"/>
  <c r="Q15724" i="12"/>
  <c r="Q15723" i="12"/>
  <c r="Q15722" i="12"/>
  <c r="Q15721" i="12"/>
  <c r="Q15720" i="12"/>
  <c r="Q15719" i="12"/>
  <c r="Q15718" i="12"/>
  <c r="Q15717" i="12"/>
  <c r="Q15716" i="12"/>
  <c r="Q15715" i="12"/>
  <c r="Q15714" i="12"/>
  <c r="Q15713" i="12"/>
  <c r="Q15712" i="12"/>
  <c r="Q15711" i="12"/>
  <c r="Q15710" i="12"/>
  <c r="Q15709" i="12"/>
  <c r="Q15708" i="12"/>
  <c r="Q15707" i="12"/>
  <c r="Q15706" i="12"/>
  <c r="Q15705" i="12"/>
  <c r="Q15704" i="12"/>
  <c r="Q15703" i="12"/>
  <c r="Q15702" i="12"/>
  <c r="Q15701" i="12"/>
  <c r="Q15700" i="12"/>
  <c r="Q15699" i="12"/>
  <c r="Q15698" i="12"/>
  <c r="Q15697" i="12"/>
  <c r="Q15696" i="12"/>
  <c r="Q15695" i="12"/>
  <c r="Q15694" i="12"/>
  <c r="Q15693" i="12"/>
  <c r="Q15692" i="12"/>
  <c r="Q15691" i="12"/>
  <c r="Q15690" i="12"/>
  <c r="Q15689" i="12"/>
  <c r="Q15688" i="12"/>
  <c r="Q15687" i="12"/>
  <c r="Q15686" i="12"/>
  <c r="Q15685" i="12"/>
  <c r="Q15684" i="12"/>
  <c r="Q15683" i="12"/>
  <c r="Q15682" i="12"/>
  <c r="Q15681" i="12"/>
  <c r="Q15680" i="12"/>
  <c r="Q15679" i="12"/>
  <c r="Q15678" i="12"/>
  <c r="Q15677" i="12"/>
  <c r="Q15676" i="12"/>
  <c r="Q15675" i="12"/>
  <c r="Q15674" i="12"/>
  <c r="Q15673" i="12"/>
  <c r="Q15672" i="12"/>
  <c r="Q15671" i="12"/>
  <c r="Q15670" i="12"/>
  <c r="Q15669" i="12"/>
  <c r="Q15668" i="12"/>
  <c r="Q15667" i="12"/>
  <c r="Q15666" i="12"/>
  <c r="Q15665" i="12"/>
  <c r="Q15664" i="12"/>
  <c r="Q15663" i="12"/>
  <c r="Q15662" i="12"/>
  <c r="Q15661" i="12"/>
  <c r="Q15660" i="12"/>
  <c r="Q15659" i="12"/>
  <c r="Q15658" i="12"/>
  <c r="Q15657" i="12"/>
  <c r="Q15656" i="12"/>
  <c r="Q15655" i="12"/>
  <c r="Q15654" i="12"/>
  <c r="Q15653" i="12"/>
  <c r="Q15652" i="12"/>
  <c r="Q15651" i="12"/>
  <c r="Q15650" i="12"/>
  <c r="Q15649" i="12"/>
  <c r="Q15648" i="12"/>
  <c r="Q15647" i="12"/>
  <c r="Q15646" i="12"/>
  <c r="Q15645" i="12"/>
  <c r="Q15644" i="12"/>
  <c r="Q15643" i="12"/>
  <c r="Q15642" i="12"/>
  <c r="Q15641" i="12"/>
  <c r="Q15640" i="12"/>
  <c r="Q15639" i="12"/>
  <c r="Q15638" i="12"/>
  <c r="Q15637" i="12"/>
  <c r="Q15636" i="12"/>
  <c r="Q15635" i="12"/>
  <c r="Q15634" i="12"/>
  <c r="Q15633" i="12"/>
  <c r="Q15632" i="12"/>
  <c r="Q15631" i="12"/>
  <c r="Q15630" i="12"/>
  <c r="Q15629" i="12"/>
  <c r="Q15628" i="12"/>
  <c r="Q15627" i="12"/>
  <c r="Q15626" i="12"/>
  <c r="Q15625" i="12"/>
  <c r="Q15624" i="12"/>
  <c r="Q15623" i="12"/>
  <c r="Q15622" i="12"/>
  <c r="Q15621" i="12"/>
  <c r="Q15620" i="12"/>
  <c r="Q15619" i="12"/>
  <c r="Q15618" i="12"/>
  <c r="Q15617" i="12"/>
  <c r="Q15616" i="12"/>
  <c r="Q15615" i="12"/>
  <c r="Q15614" i="12"/>
  <c r="Q15613" i="12"/>
  <c r="Q15612" i="12"/>
  <c r="Q15611" i="12"/>
  <c r="Q15610" i="12"/>
  <c r="Q15609" i="12"/>
  <c r="Q15608" i="12"/>
  <c r="Q15607" i="12"/>
  <c r="Q15606" i="12"/>
  <c r="Q15605" i="12"/>
  <c r="Q15604" i="12"/>
  <c r="Q15603" i="12"/>
  <c r="Q15602" i="12"/>
  <c r="Q15601" i="12"/>
  <c r="Q15600" i="12"/>
  <c r="Q15599" i="12"/>
  <c r="Q15598" i="12"/>
  <c r="Q15597" i="12"/>
  <c r="Q15596" i="12"/>
  <c r="Q15595" i="12"/>
  <c r="Q15594" i="12"/>
  <c r="Q15593" i="12"/>
  <c r="Q15592" i="12"/>
  <c r="Q15591" i="12"/>
  <c r="Q15590" i="12"/>
  <c r="Q15589" i="12"/>
  <c r="Q15588" i="12"/>
  <c r="Q15587" i="12"/>
  <c r="Q15586" i="12"/>
  <c r="Q15585" i="12"/>
  <c r="Q15584" i="12"/>
  <c r="Q15583" i="12"/>
  <c r="Q15582" i="12"/>
  <c r="Q15581" i="12"/>
  <c r="Q15580" i="12"/>
  <c r="Q15579" i="12"/>
  <c r="Q15578" i="12"/>
  <c r="Q15577" i="12"/>
  <c r="Q15576" i="12"/>
  <c r="Q15575" i="12"/>
  <c r="Q15574" i="12"/>
  <c r="Q15573" i="12"/>
  <c r="Q15572" i="12"/>
  <c r="Q15571" i="12"/>
  <c r="Q15570" i="12"/>
  <c r="Q15569" i="12"/>
  <c r="Q15568" i="12"/>
  <c r="Q15567" i="12"/>
  <c r="Q15566" i="12"/>
  <c r="Q15565" i="12"/>
  <c r="Q15564" i="12"/>
  <c r="Q15563" i="12"/>
  <c r="Q15562" i="12"/>
  <c r="Q15561" i="12"/>
  <c r="Q15560" i="12"/>
  <c r="Q15559" i="12"/>
  <c r="Q15558" i="12"/>
  <c r="Q15557" i="12"/>
  <c r="Q15556" i="12"/>
  <c r="Q15555" i="12"/>
  <c r="Q15554" i="12"/>
  <c r="Q15553" i="12"/>
  <c r="Q15552" i="12"/>
  <c r="Q15551" i="12"/>
  <c r="Q15550" i="12"/>
  <c r="Q15549" i="12"/>
  <c r="Q15548" i="12"/>
  <c r="Q15547" i="12"/>
  <c r="Q15546" i="12"/>
  <c r="Q15545" i="12"/>
  <c r="Q15544" i="12"/>
  <c r="Q15543" i="12"/>
  <c r="Q15542" i="12"/>
  <c r="Q15541" i="12"/>
  <c r="Q15540" i="12"/>
  <c r="Q15539" i="12"/>
  <c r="Q15538" i="12"/>
  <c r="Q15537" i="12"/>
  <c r="Q15536" i="12"/>
  <c r="Q15535" i="12"/>
  <c r="Q15534" i="12"/>
  <c r="Q15533" i="12"/>
  <c r="Q15532" i="12"/>
  <c r="Q15531" i="12"/>
  <c r="Q15530" i="12"/>
  <c r="Q15529" i="12"/>
  <c r="Q15528" i="12"/>
  <c r="Q15527" i="12"/>
  <c r="Q15526" i="12"/>
  <c r="Q15525" i="12"/>
  <c r="Q15524" i="12"/>
  <c r="Q15523" i="12"/>
  <c r="Q15522" i="12"/>
  <c r="Q15521" i="12"/>
  <c r="Q15520" i="12"/>
  <c r="Q15519" i="12"/>
  <c r="Q15518" i="12"/>
  <c r="Q15517" i="12"/>
  <c r="Q15516" i="12"/>
  <c r="Q15515" i="12"/>
  <c r="Q15514" i="12"/>
  <c r="Q15513" i="12"/>
  <c r="Q15512" i="12"/>
  <c r="Q15511" i="12"/>
  <c r="Q15510" i="12"/>
  <c r="Q15509" i="12"/>
  <c r="Q15508" i="12"/>
  <c r="Q15507" i="12"/>
  <c r="Q15506" i="12"/>
  <c r="Q15505" i="12"/>
  <c r="Q15504" i="12"/>
  <c r="Q15503" i="12"/>
  <c r="Q15502" i="12"/>
  <c r="Q15501" i="12"/>
  <c r="Q15500" i="12"/>
  <c r="Q15499" i="12"/>
  <c r="Q15498" i="12"/>
  <c r="Q15497" i="12"/>
  <c r="Q15496" i="12"/>
  <c r="Q15495" i="12"/>
  <c r="Q15494" i="12"/>
  <c r="Q15493" i="12"/>
  <c r="Q15492" i="12"/>
  <c r="Q15491" i="12"/>
  <c r="Q15490" i="12"/>
  <c r="Q15489" i="12"/>
  <c r="Q15488" i="12"/>
  <c r="Q15487" i="12"/>
  <c r="Q15486" i="12"/>
  <c r="Q15485" i="12"/>
  <c r="Q15484" i="12"/>
  <c r="Q15483" i="12"/>
  <c r="Q15482" i="12"/>
  <c r="Q15481" i="12"/>
  <c r="Q15480" i="12"/>
  <c r="Q15479" i="12"/>
  <c r="Q15478" i="12"/>
  <c r="Q15477" i="12"/>
  <c r="Q15476" i="12"/>
  <c r="Q15475" i="12"/>
  <c r="Q15474" i="12"/>
  <c r="Q15473" i="12"/>
  <c r="Q15472" i="12"/>
  <c r="Q15471" i="12"/>
  <c r="Q15470" i="12"/>
  <c r="Q15469" i="12"/>
  <c r="Q15468" i="12"/>
  <c r="Q15467" i="12"/>
  <c r="Q15466" i="12"/>
  <c r="Q15465" i="12"/>
  <c r="Q15464" i="12"/>
  <c r="Q15463" i="12"/>
  <c r="Q15462" i="12"/>
  <c r="Q15461" i="12"/>
  <c r="Q15460" i="12"/>
  <c r="Q15459" i="12"/>
  <c r="Q15458" i="12"/>
  <c r="Q15457" i="12"/>
  <c r="Q15456" i="12"/>
  <c r="Q15455" i="12"/>
  <c r="Q15454" i="12"/>
  <c r="Q15453" i="12"/>
  <c r="Q15452" i="12"/>
  <c r="Q15451" i="12"/>
  <c r="Q15450" i="12"/>
  <c r="Q15449" i="12"/>
  <c r="Q15448" i="12"/>
  <c r="Q15447" i="12"/>
  <c r="Q15446" i="12"/>
  <c r="Q15445" i="12"/>
  <c r="Q15444" i="12"/>
  <c r="Q15443" i="12"/>
  <c r="Q15442" i="12"/>
  <c r="Q15441" i="12"/>
  <c r="Q15440" i="12"/>
  <c r="Q15439" i="12"/>
  <c r="Q15438" i="12"/>
  <c r="Q15437" i="12"/>
  <c r="Q15436" i="12"/>
  <c r="Q15435" i="12"/>
  <c r="Q15434" i="12"/>
  <c r="Q15433" i="12"/>
  <c r="Q15432" i="12"/>
  <c r="Q15431" i="12"/>
  <c r="Q15430" i="12"/>
  <c r="Q15429" i="12"/>
  <c r="Q15428" i="12"/>
  <c r="Q15427" i="12"/>
  <c r="Q15426" i="12"/>
  <c r="Q15425" i="12"/>
  <c r="Q15424" i="12"/>
  <c r="Q15423" i="12"/>
  <c r="Q15422" i="12"/>
  <c r="Q15421" i="12"/>
  <c r="Q15420" i="12"/>
  <c r="Q15419" i="12"/>
  <c r="Q15418" i="12"/>
  <c r="Q15417" i="12"/>
  <c r="Q15416" i="12"/>
  <c r="Q15415" i="12"/>
  <c r="Q15414" i="12"/>
  <c r="Q15413" i="12"/>
  <c r="Q15412" i="12"/>
  <c r="Q15411" i="12"/>
  <c r="Q15410" i="12"/>
  <c r="Q15409" i="12"/>
  <c r="Q15408" i="12"/>
  <c r="Q15407" i="12"/>
  <c r="Q15406" i="12"/>
  <c r="Q15405" i="12"/>
  <c r="Q15404" i="12"/>
  <c r="Q15403" i="12"/>
  <c r="Q15402" i="12"/>
  <c r="Q15401" i="12"/>
  <c r="Q15400" i="12"/>
  <c r="Q15399" i="12"/>
  <c r="Q15398" i="12"/>
  <c r="Q15397" i="12"/>
  <c r="Q15396" i="12"/>
  <c r="Q15395" i="12"/>
  <c r="Q15394" i="12"/>
  <c r="Q15393" i="12"/>
  <c r="Q15392" i="12"/>
  <c r="Q15391" i="12"/>
  <c r="Q15390" i="12"/>
  <c r="Q15389" i="12"/>
  <c r="Q15388" i="12"/>
  <c r="Q15387" i="12"/>
  <c r="Q15386" i="12"/>
  <c r="Q15385" i="12"/>
  <c r="Q15384" i="12"/>
  <c r="Q15383" i="12"/>
  <c r="Q15382" i="12"/>
  <c r="Q15381" i="12"/>
  <c r="Q15380" i="12"/>
  <c r="Q15379" i="12"/>
  <c r="Q15378" i="12"/>
  <c r="Q15377" i="12"/>
  <c r="Q15376" i="12"/>
  <c r="Q15375" i="12"/>
  <c r="Q15374" i="12"/>
  <c r="Q15373" i="12"/>
  <c r="Q15372" i="12"/>
  <c r="Q15371" i="12"/>
  <c r="Q15370" i="12"/>
  <c r="Q15369" i="12"/>
  <c r="Q15368" i="12"/>
  <c r="Q15367" i="12"/>
  <c r="Q15366" i="12"/>
  <c r="Q15365" i="12"/>
  <c r="Q15364" i="12"/>
  <c r="Q15363" i="12"/>
  <c r="Q15362" i="12"/>
  <c r="Q15361" i="12"/>
  <c r="Q15360" i="12"/>
  <c r="Q15359" i="12"/>
  <c r="Q15358" i="12"/>
  <c r="Q15357" i="12"/>
  <c r="Q15356" i="12"/>
  <c r="Q15355" i="12"/>
  <c r="Q15354" i="12"/>
  <c r="Q15353" i="12"/>
  <c r="Q15352" i="12"/>
  <c r="Q15351" i="12"/>
  <c r="Q15350" i="12"/>
  <c r="Q15349" i="12"/>
  <c r="Q15348" i="12"/>
  <c r="Q15347" i="12"/>
  <c r="Q15346" i="12"/>
  <c r="Q15345" i="12"/>
  <c r="Q15344" i="12"/>
  <c r="Q15343" i="12"/>
  <c r="Q15342" i="12"/>
  <c r="Q15341" i="12"/>
  <c r="Q15340" i="12"/>
  <c r="Q15339" i="12"/>
  <c r="Q15338" i="12"/>
  <c r="Q15337" i="12"/>
  <c r="Q15336" i="12"/>
  <c r="Q15335" i="12"/>
  <c r="Q15334" i="12"/>
  <c r="Q15333" i="12"/>
  <c r="Q15332" i="12"/>
  <c r="Q15331" i="12"/>
  <c r="Q15330" i="12"/>
  <c r="Q15329" i="12"/>
  <c r="Q15328" i="12"/>
  <c r="Q15327" i="12"/>
  <c r="Q15326" i="12"/>
  <c r="Q15325" i="12"/>
  <c r="Q15324" i="12"/>
  <c r="Q15323" i="12"/>
  <c r="Q15322" i="12"/>
  <c r="Q15321" i="12"/>
  <c r="Q15320" i="12"/>
  <c r="Q15319" i="12"/>
  <c r="Q15318" i="12"/>
  <c r="Q15317" i="12"/>
  <c r="Q15316" i="12"/>
  <c r="Q15315" i="12"/>
  <c r="Q15314" i="12"/>
  <c r="Q15313" i="12"/>
  <c r="Q15312" i="12"/>
  <c r="Q15311" i="12"/>
  <c r="Q15310" i="12"/>
  <c r="Q15309" i="12"/>
  <c r="Q15308" i="12"/>
  <c r="Q15307" i="12"/>
  <c r="Q15306" i="12"/>
  <c r="Q15305" i="12"/>
  <c r="Q15304" i="12"/>
  <c r="Q15303" i="12"/>
  <c r="Q15302" i="12"/>
  <c r="Q15301" i="12"/>
  <c r="Q15300" i="12"/>
  <c r="Q15299" i="12"/>
  <c r="Q15298" i="12"/>
  <c r="Q15297" i="12"/>
  <c r="Q15296" i="12"/>
  <c r="Q15295" i="12"/>
  <c r="Q15294" i="12"/>
  <c r="Q15293" i="12"/>
  <c r="Q15292" i="12"/>
  <c r="Q15291" i="12"/>
  <c r="Q15290" i="12"/>
  <c r="Q15289" i="12"/>
  <c r="Q15288" i="12"/>
  <c r="Q15287" i="12"/>
  <c r="Q15286" i="12"/>
  <c r="Q15285" i="12"/>
  <c r="Q15284" i="12"/>
  <c r="Q15283" i="12"/>
  <c r="Q15282" i="12"/>
  <c r="Q15281" i="12"/>
  <c r="Q15280" i="12"/>
  <c r="Q15279" i="12"/>
  <c r="Q15278" i="12"/>
  <c r="Q15277" i="12"/>
  <c r="Q15276" i="12"/>
  <c r="Q15275" i="12"/>
  <c r="Q15274" i="12"/>
  <c r="Q15273" i="12"/>
  <c r="Q15272" i="12"/>
  <c r="Q15271" i="12"/>
  <c r="Q15270" i="12"/>
  <c r="Q15269" i="12"/>
  <c r="Q15268" i="12"/>
  <c r="Q15267" i="12"/>
  <c r="Q15266" i="12"/>
  <c r="Q15265" i="12"/>
  <c r="Q15264" i="12"/>
  <c r="Q15263" i="12"/>
  <c r="Q15262" i="12"/>
  <c r="Q15261" i="12"/>
  <c r="Q15260" i="12"/>
  <c r="Q15259" i="12"/>
  <c r="Q15258" i="12"/>
  <c r="Q15257" i="12"/>
  <c r="Q15256" i="12"/>
  <c r="Q15255" i="12"/>
  <c r="Q15254" i="12"/>
  <c r="Q15253" i="12"/>
  <c r="Q15252" i="12"/>
  <c r="Q15251" i="12"/>
  <c r="Q15250" i="12"/>
  <c r="Q15249" i="12"/>
  <c r="Q15248" i="12"/>
  <c r="Q15247" i="12"/>
  <c r="Q15246" i="12"/>
  <c r="Q15245" i="12"/>
  <c r="Q15244" i="12"/>
  <c r="Q15243" i="12"/>
  <c r="Q15242" i="12"/>
  <c r="Q15241" i="12"/>
  <c r="Q15240" i="12"/>
  <c r="Q15239" i="12"/>
  <c r="Q15238" i="12"/>
  <c r="Q15237" i="12"/>
  <c r="Q15236" i="12"/>
  <c r="Q15235" i="12"/>
  <c r="Q15234" i="12"/>
  <c r="Q15233" i="12"/>
  <c r="Q15232" i="12"/>
  <c r="Q15231" i="12"/>
  <c r="Q15230" i="12"/>
  <c r="Q15229" i="12"/>
  <c r="Q15228" i="12"/>
  <c r="Q15227" i="12"/>
  <c r="Q15226" i="12"/>
  <c r="Q15225" i="12"/>
  <c r="Q15224" i="12"/>
  <c r="Q15223" i="12"/>
  <c r="Q15222" i="12"/>
  <c r="Q15221" i="12"/>
  <c r="Q15220" i="12"/>
  <c r="Q15219" i="12"/>
  <c r="Q15218" i="12"/>
  <c r="Q15217" i="12"/>
  <c r="Q15216" i="12"/>
  <c r="Q15215" i="12"/>
  <c r="Q15214" i="12"/>
  <c r="Q15213" i="12"/>
  <c r="Q15212" i="12"/>
  <c r="Q15211" i="12"/>
  <c r="Q15210" i="12"/>
  <c r="Q15209" i="12"/>
  <c r="Q15208" i="12"/>
  <c r="Q15207" i="12"/>
  <c r="Q15206" i="12"/>
  <c r="Q15205" i="12"/>
  <c r="Q15204" i="12"/>
  <c r="Q15203" i="12"/>
  <c r="Q15202" i="12"/>
  <c r="Q15201" i="12"/>
  <c r="Q15200" i="12"/>
  <c r="Q15199" i="12"/>
  <c r="Q15198" i="12"/>
  <c r="Q15197" i="12"/>
  <c r="Q15196" i="12"/>
  <c r="Q15195" i="12"/>
  <c r="Q15194" i="12"/>
  <c r="Q15193" i="12"/>
  <c r="Q15192" i="12"/>
  <c r="Q15191" i="12"/>
  <c r="Q15190" i="12"/>
  <c r="Q15189" i="12"/>
  <c r="Q15188" i="12"/>
  <c r="Q15187" i="12"/>
  <c r="Q15186" i="12"/>
  <c r="Q15185" i="12"/>
  <c r="Q15184" i="12"/>
  <c r="Q15183" i="12"/>
  <c r="Q15182" i="12"/>
  <c r="Q15181" i="12"/>
  <c r="Q15180" i="12"/>
  <c r="Q15179" i="12"/>
  <c r="Q15178" i="12"/>
  <c r="Q15177" i="12"/>
  <c r="Q15176" i="12"/>
  <c r="Q15175" i="12"/>
  <c r="Q15174" i="12"/>
  <c r="Q15173" i="12"/>
  <c r="Q15172" i="12"/>
  <c r="Q15171" i="12"/>
  <c r="Q15170" i="12"/>
  <c r="Q15169" i="12"/>
  <c r="Q15168" i="12"/>
  <c r="Q15167" i="12"/>
  <c r="Q15166" i="12"/>
  <c r="Q15165" i="12"/>
  <c r="Q15164" i="12"/>
  <c r="Q15163" i="12"/>
  <c r="Q15162" i="12"/>
  <c r="Q15161" i="12"/>
  <c r="Q15160" i="12"/>
  <c r="Q15159" i="12"/>
  <c r="Q15158" i="12"/>
  <c r="Q15157" i="12"/>
  <c r="Q15156" i="12"/>
  <c r="Q15155" i="12"/>
  <c r="Q15154" i="12"/>
  <c r="Q15153" i="12"/>
  <c r="Q15152" i="12"/>
  <c r="Q15151" i="12"/>
  <c r="Q15150" i="12"/>
  <c r="Q15149" i="12"/>
  <c r="Q15148" i="12"/>
  <c r="Q15147" i="12"/>
  <c r="Q15146" i="12"/>
  <c r="Q15145" i="12"/>
  <c r="Q15144" i="12"/>
  <c r="Q15143" i="12"/>
  <c r="Q15142" i="12"/>
  <c r="Q15141" i="12"/>
  <c r="Q15140" i="12"/>
  <c r="Q15139" i="12"/>
  <c r="Q15138" i="12"/>
  <c r="Q15137" i="12"/>
  <c r="Q15136" i="12"/>
  <c r="Q15135" i="12"/>
  <c r="Q15134" i="12"/>
  <c r="Q15133" i="12"/>
  <c r="Q15132" i="12"/>
  <c r="Q15131" i="12"/>
  <c r="Q15130" i="12"/>
  <c r="Q15129" i="12"/>
  <c r="Q15128" i="12"/>
  <c r="Q15127" i="12"/>
  <c r="Q15126" i="12"/>
  <c r="Q15125" i="12"/>
  <c r="Q15124" i="12"/>
  <c r="Q15123" i="12"/>
  <c r="Q15122" i="12"/>
  <c r="Q15121" i="12"/>
  <c r="Q15120" i="12"/>
  <c r="Q15119" i="12"/>
  <c r="Q15118" i="12"/>
  <c r="Q15117" i="12"/>
  <c r="Q15116" i="12"/>
  <c r="Q15115" i="12"/>
  <c r="Q15114" i="12"/>
  <c r="Q15113" i="12"/>
  <c r="Q15112" i="12"/>
  <c r="Q15111" i="12"/>
  <c r="Q15110" i="12"/>
  <c r="Q15109" i="12"/>
  <c r="Q15108" i="12"/>
  <c r="Q15107" i="12"/>
  <c r="Q15106" i="12"/>
  <c r="Q15105" i="12"/>
  <c r="Q15104" i="12"/>
  <c r="Q15103" i="12"/>
  <c r="Q15102" i="12"/>
  <c r="Q15101" i="12"/>
  <c r="Q15100" i="12"/>
  <c r="Q15099" i="12"/>
  <c r="Q15098" i="12"/>
  <c r="Q15097" i="12"/>
  <c r="Q15096" i="12"/>
  <c r="Q15095" i="12"/>
  <c r="Q15094" i="12"/>
  <c r="Q15093" i="12"/>
  <c r="Q15092" i="12"/>
  <c r="Q15091" i="12"/>
  <c r="Q15090" i="12"/>
  <c r="Q15089" i="12"/>
  <c r="Q15088" i="12"/>
  <c r="Q15087" i="12"/>
  <c r="Q15086" i="12"/>
  <c r="Q15085" i="12"/>
  <c r="Q15084" i="12"/>
  <c r="Q15083" i="12"/>
  <c r="Q15082" i="12"/>
  <c r="Q15081" i="12"/>
  <c r="Q15080" i="12"/>
  <c r="Q15079" i="12"/>
  <c r="Q15078" i="12"/>
  <c r="Q15077" i="12"/>
  <c r="Q15076" i="12"/>
  <c r="Q15075" i="12"/>
  <c r="Q15074" i="12"/>
  <c r="Q15073" i="12"/>
  <c r="Q15072" i="12"/>
  <c r="Q15071" i="12"/>
  <c r="Q15070" i="12"/>
  <c r="Q15069" i="12"/>
  <c r="Q15068" i="12"/>
  <c r="Q15067" i="12"/>
  <c r="Q15066" i="12"/>
  <c r="Q15065" i="12"/>
  <c r="Q15064" i="12"/>
  <c r="Q15063" i="12"/>
  <c r="Q15062" i="12"/>
  <c r="Q15061" i="12"/>
  <c r="Q15060" i="12"/>
  <c r="Q15059" i="12"/>
  <c r="Q15058" i="12"/>
  <c r="Q15057" i="12"/>
  <c r="Q15056" i="12"/>
  <c r="Q15055" i="12"/>
  <c r="Q15054" i="12"/>
  <c r="Q15053" i="12"/>
  <c r="Q15052" i="12"/>
  <c r="Q15051" i="12"/>
  <c r="Q15050" i="12"/>
  <c r="Q15049" i="12"/>
  <c r="Q15048" i="12"/>
  <c r="Q15047" i="12"/>
  <c r="Q15046" i="12"/>
  <c r="Q15045" i="12"/>
  <c r="Q15044" i="12"/>
  <c r="Q15043" i="12"/>
  <c r="Q15042" i="12"/>
  <c r="Q15041" i="12"/>
  <c r="Q15040" i="12"/>
  <c r="Q15039" i="12"/>
  <c r="Q15038" i="12"/>
  <c r="Q15037" i="12"/>
  <c r="Q15036" i="12"/>
  <c r="Q15035" i="12"/>
  <c r="Q15034" i="12"/>
  <c r="Q15033" i="12"/>
  <c r="Q15032" i="12"/>
  <c r="Q15031" i="12"/>
  <c r="Q15030" i="12"/>
  <c r="Q15029" i="12"/>
  <c r="Q15028" i="12"/>
  <c r="Q15027" i="12"/>
  <c r="Q15026" i="12"/>
  <c r="Q15025" i="12"/>
  <c r="Q15024" i="12"/>
  <c r="Q15023" i="12"/>
  <c r="Q15022" i="12"/>
  <c r="Q15021" i="12"/>
  <c r="Q15020" i="12"/>
  <c r="Q15019" i="12"/>
  <c r="Q15018" i="12"/>
  <c r="Q15017" i="12"/>
  <c r="Q15016" i="12"/>
  <c r="Q15015" i="12"/>
  <c r="Q15014" i="12"/>
  <c r="Q15013" i="12"/>
  <c r="Q15012" i="12"/>
  <c r="Q15011" i="12"/>
  <c r="Q15010" i="12"/>
  <c r="Q15009" i="12"/>
  <c r="Q15008" i="12"/>
  <c r="Q15007" i="12"/>
  <c r="Q15006" i="12"/>
  <c r="Q15005" i="12"/>
  <c r="Q15004" i="12"/>
  <c r="Q15003" i="12"/>
  <c r="Q15002" i="12"/>
  <c r="Q15001" i="12"/>
  <c r="Q15000" i="12"/>
  <c r="Q14999" i="12"/>
  <c r="Q14998" i="12"/>
  <c r="Q14997" i="12"/>
  <c r="Q14996" i="12"/>
  <c r="Q14995" i="12"/>
  <c r="Q14994" i="12"/>
  <c r="Q14993" i="12"/>
  <c r="Q14992" i="12"/>
  <c r="Q14991" i="12"/>
  <c r="Q14990" i="12"/>
  <c r="Q14989" i="12"/>
  <c r="Q14988" i="12"/>
  <c r="Q14987" i="12"/>
  <c r="Q14986" i="12"/>
  <c r="Q14985" i="12"/>
  <c r="Q14984" i="12"/>
  <c r="Q14983" i="12"/>
  <c r="Q14982" i="12"/>
  <c r="Q14981" i="12"/>
  <c r="Q14980" i="12"/>
  <c r="Q14979" i="12"/>
  <c r="Q14978" i="12"/>
  <c r="Q14977" i="12"/>
  <c r="Q14976" i="12"/>
  <c r="Q14975" i="12"/>
  <c r="Q14974" i="12"/>
  <c r="Q14973" i="12"/>
  <c r="Q14972" i="12"/>
  <c r="Q14971" i="12"/>
  <c r="Q14970" i="12"/>
  <c r="Q14969" i="12"/>
  <c r="Q14968" i="12"/>
  <c r="Q14967" i="12"/>
  <c r="Q14966" i="12"/>
  <c r="Q14965" i="12"/>
  <c r="Q14964" i="12"/>
  <c r="Q14963" i="12"/>
  <c r="Q14962" i="12"/>
  <c r="Q14961" i="12"/>
  <c r="Q14960" i="12"/>
  <c r="Q14959" i="12"/>
  <c r="Q14958" i="12"/>
  <c r="Q14957" i="12"/>
  <c r="Q14956" i="12"/>
  <c r="Q14955" i="12"/>
  <c r="Q14954" i="12"/>
  <c r="Q14953" i="12"/>
  <c r="Q14952" i="12"/>
  <c r="Q14951" i="12"/>
  <c r="Q14950" i="12"/>
  <c r="Q14949" i="12"/>
  <c r="Q14948" i="12"/>
  <c r="Q14947" i="12"/>
  <c r="Q14946" i="12"/>
  <c r="Q14945" i="12"/>
  <c r="Q14944" i="12"/>
  <c r="Q14943" i="12"/>
  <c r="Q14942" i="12"/>
  <c r="Q14941" i="12"/>
  <c r="Q14940" i="12"/>
  <c r="Q14939" i="12"/>
  <c r="Q14938" i="12"/>
  <c r="Q14937" i="12"/>
  <c r="Q14936" i="12"/>
  <c r="Q14935" i="12"/>
  <c r="Q14934" i="12"/>
  <c r="Q14933" i="12"/>
  <c r="Q14932" i="12"/>
  <c r="Q14931" i="12"/>
  <c r="Q14930" i="12"/>
  <c r="Q14929" i="12"/>
  <c r="Q14928" i="12"/>
  <c r="Q14927" i="12"/>
  <c r="Q14926" i="12"/>
  <c r="Q14925" i="12"/>
  <c r="Q14924" i="12"/>
  <c r="Q14923" i="12"/>
  <c r="Q14922" i="12"/>
  <c r="Q14921" i="12"/>
  <c r="Q14920" i="12"/>
  <c r="Q14919" i="12"/>
  <c r="Q14918" i="12"/>
  <c r="Q14917" i="12"/>
  <c r="Q14916" i="12"/>
  <c r="Q14915" i="12"/>
  <c r="Q14914" i="12"/>
  <c r="Q14913" i="12"/>
  <c r="Q14912" i="12"/>
  <c r="Q14911" i="12"/>
  <c r="Q14910" i="12"/>
  <c r="Q14909" i="12"/>
  <c r="Q14908" i="12"/>
  <c r="Q14907" i="12"/>
  <c r="Q14906" i="12"/>
  <c r="Q14905" i="12"/>
  <c r="Q14904" i="12"/>
  <c r="Q14903" i="12"/>
  <c r="Q14902" i="12"/>
  <c r="Q14901" i="12"/>
  <c r="Q14900" i="12"/>
  <c r="Q14899" i="12"/>
  <c r="Q14898" i="12"/>
  <c r="Q14897" i="12"/>
  <c r="Q14896" i="12"/>
  <c r="Q14895" i="12"/>
  <c r="Q14894" i="12"/>
  <c r="Q14893" i="12"/>
  <c r="Q14892" i="12"/>
  <c r="Q14891" i="12"/>
  <c r="Q14890" i="12"/>
  <c r="Q14889" i="12"/>
  <c r="Q14888" i="12"/>
  <c r="Q14887" i="12"/>
  <c r="Q14886" i="12"/>
  <c r="Q14885" i="12"/>
  <c r="Q14884" i="12"/>
  <c r="Q14883" i="12"/>
  <c r="Q14882" i="12"/>
  <c r="Q14881" i="12"/>
  <c r="Q14880" i="12"/>
  <c r="Q14879" i="12"/>
  <c r="Q14878" i="12"/>
  <c r="Q14877" i="12"/>
  <c r="Q14876" i="12"/>
  <c r="Q14875" i="12"/>
  <c r="Q14874" i="12"/>
  <c r="Q14873" i="12"/>
  <c r="Q14872" i="12"/>
  <c r="Q14871" i="12"/>
  <c r="Q14870" i="12"/>
  <c r="Q14869" i="12"/>
  <c r="Q14868" i="12"/>
  <c r="Q14867" i="12"/>
  <c r="Q14866" i="12"/>
  <c r="Q14865" i="12"/>
  <c r="Q14864" i="12"/>
  <c r="Q14863" i="12"/>
  <c r="Q14862" i="12"/>
  <c r="Q14861" i="12"/>
  <c r="Q14860" i="12"/>
  <c r="Q14859" i="12"/>
  <c r="Q14858" i="12"/>
  <c r="Q14857" i="12"/>
  <c r="Q14856" i="12"/>
  <c r="Q14855" i="12"/>
  <c r="Q14854" i="12"/>
  <c r="Q14853" i="12"/>
  <c r="Q14852" i="12"/>
  <c r="Q14851" i="12"/>
  <c r="Q14850" i="12"/>
  <c r="Q14849" i="12"/>
  <c r="Q14848" i="12"/>
  <c r="Q14847" i="12"/>
  <c r="Q14846" i="12"/>
  <c r="Q14845" i="12"/>
  <c r="Q14844" i="12"/>
  <c r="Q14843" i="12"/>
  <c r="Q14842" i="12"/>
  <c r="Q14841" i="12"/>
  <c r="Q14840" i="12"/>
  <c r="Q14839" i="12"/>
  <c r="Q14838" i="12"/>
  <c r="Q14837" i="12"/>
  <c r="Q14836" i="12"/>
  <c r="Q14835" i="12"/>
  <c r="Q14834" i="12"/>
  <c r="Q14833" i="12"/>
  <c r="Q14832" i="12"/>
  <c r="Q14831" i="12"/>
  <c r="Q14830" i="12"/>
  <c r="Q14829" i="12"/>
  <c r="Q14828" i="12"/>
  <c r="Q14827" i="12"/>
  <c r="Q14826" i="12"/>
  <c r="Q14825" i="12"/>
  <c r="Q14824" i="12"/>
  <c r="Q14823" i="12"/>
  <c r="Q14822" i="12"/>
  <c r="Q14821" i="12"/>
  <c r="Q14820" i="12"/>
  <c r="Q14819" i="12"/>
  <c r="Q14818" i="12"/>
  <c r="Q14817" i="12"/>
  <c r="Q14816" i="12"/>
  <c r="Q14815" i="12"/>
  <c r="Q14814" i="12"/>
  <c r="Q14813" i="12"/>
  <c r="Q14812" i="12"/>
  <c r="Q14811" i="12"/>
  <c r="Q14810" i="12"/>
  <c r="Q14809" i="12"/>
  <c r="Q14808" i="12"/>
  <c r="Q14807" i="12"/>
  <c r="Q14806" i="12"/>
  <c r="Q14805" i="12"/>
  <c r="Q14804" i="12"/>
  <c r="Q14803" i="12"/>
  <c r="Q14802" i="12"/>
  <c r="Q14801" i="12"/>
  <c r="Q14800" i="12"/>
  <c r="Q14799" i="12"/>
  <c r="Q14798" i="12"/>
  <c r="Q14797" i="12"/>
  <c r="Q14796" i="12"/>
  <c r="Q14795" i="12"/>
  <c r="Q14794" i="12"/>
  <c r="Q14793" i="12"/>
  <c r="Q14792" i="12"/>
  <c r="Q14791" i="12"/>
  <c r="Q14790" i="12"/>
  <c r="Q14789" i="12"/>
  <c r="Q14788" i="12"/>
  <c r="Q14787" i="12"/>
  <c r="Q14786" i="12"/>
  <c r="Q14785" i="12"/>
  <c r="Q14784" i="12"/>
  <c r="Q14783" i="12"/>
  <c r="Q14782" i="12"/>
  <c r="Q14781" i="12"/>
  <c r="Q14780" i="12"/>
  <c r="Q14779" i="12"/>
  <c r="Q14778" i="12"/>
  <c r="Q14777" i="12"/>
  <c r="Q14776" i="12"/>
  <c r="Q14775" i="12"/>
  <c r="Q14774" i="12"/>
  <c r="Q14773" i="12"/>
  <c r="Q14772" i="12"/>
  <c r="Q14771" i="12"/>
  <c r="Q14770" i="12"/>
  <c r="Q14769" i="12"/>
  <c r="Q14768" i="12"/>
  <c r="Q14767" i="12"/>
  <c r="Q14766" i="12"/>
  <c r="Q14765" i="12"/>
  <c r="Q14764" i="12"/>
  <c r="Q14763" i="12"/>
  <c r="Q14762" i="12"/>
  <c r="Q14761" i="12"/>
  <c r="Q14760" i="12"/>
  <c r="Q14759" i="12"/>
  <c r="Q14758" i="12"/>
  <c r="Q14757" i="12"/>
  <c r="Q14756" i="12"/>
  <c r="Q14755" i="12"/>
  <c r="Q14754" i="12"/>
  <c r="Q14753" i="12"/>
  <c r="Q14752" i="12"/>
  <c r="Q14751" i="12"/>
  <c r="Q14750" i="12"/>
  <c r="Q14749" i="12"/>
  <c r="Q14748" i="12"/>
  <c r="Q14747" i="12"/>
  <c r="Q14746" i="12"/>
  <c r="Q14745" i="12"/>
  <c r="Q14744" i="12"/>
  <c r="Q14743" i="12"/>
  <c r="Q14742" i="12"/>
  <c r="Q14741" i="12"/>
  <c r="Q14740" i="12"/>
  <c r="Q14739" i="12"/>
  <c r="Q14738" i="12"/>
  <c r="Q14737" i="12"/>
  <c r="Q14736" i="12"/>
  <c r="Q14735" i="12"/>
  <c r="Q14734" i="12"/>
  <c r="Q14733" i="12"/>
  <c r="Q14732" i="12"/>
  <c r="Q14731" i="12"/>
  <c r="Q14730" i="12"/>
  <c r="Q14729" i="12"/>
  <c r="Q14728" i="12"/>
  <c r="Q14727" i="12"/>
  <c r="Q14726" i="12"/>
  <c r="Q14725" i="12"/>
  <c r="Q14724" i="12"/>
  <c r="Q14723" i="12"/>
  <c r="Q14722" i="12"/>
  <c r="Q14721" i="12"/>
  <c r="Q14720" i="12"/>
  <c r="Q14719" i="12"/>
  <c r="Q14718" i="12"/>
  <c r="Q14717" i="12"/>
  <c r="Q14716" i="12"/>
  <c r="Q14715" i="12"/>
  <c r="Q14714" i="12"/>
  <c r="Q14713" i="12"/>
  <c r="Q14712" i="12"/>
  <c r="Q14711" i="12"/>
  <c r="Q14710" i="12"/>
  <c r="Q14709" i="12"/>
  <c r="Q14708" i="12"/>
  <c r="Q14707" i="12"/>
  <c r="Q14706" i="12"/>
  <c r="Q14705" i="12"/>
  <c r="Q14704" i="12"/>
  <c r="Q14703" i="12"/>
  <c r="Q14702" i="12"/>
  <c r="Q14701" i="12"/>
  <c r="Q14700" i="12"/>
  <c r="Q14699" i="12"/>
  <c r="Q14698" i="12"/>
  <c r="Q14697" i="12"/>
  <c r="Q14696" i="12"/>
  <c r="Q14695" i="12"/>
  <c r="Q14694" i="12"/>
  <c r="Q14693" i="12"/>
  <c r="Q14692" i="12"/>
  <c r="Q14691" i="12"/>
  <c r="Q14690" i="12"/>
  <c r="Q14689" i="12"/>
  <c r="Q14688" i="12"/>
  <c r="Q14687" i="12"/>
  <c r="Q14686" i="12"/>
  <c r="Q14685" i="12"/>
  <c r="Q14684" i="12"/>
  <c r="Q14683" i="12"/>
  <c r="Q14682" i="12"/>
  <c r="Q14681" i="12"/>
  <c r="Q14680" i="12"/>
  <c r="Q14679" i="12"/>
  <c r="Q14678" i="12"/>
  <c r="Q14677" i="12"/>
  <c r="Q14676" i="12"/>
  <c r="Q14675" i="12"/>
  <c r="Q14674" i="12"/>
  <c r="Q14673" i="12"/>
  <c r="Q14672" i="12"/>
  <c r="Q14671" i="12"/>
  <c r="Q14670" i="12"/>
  <c r="Q14669" i="12"/>
  <c r="Q14668" i="12"/>
  <c r="Q14667" i="12"/>
  <c r="Q14666" i="12"/>
  <c r="Q14665" i="12"/>
  <c r="Q14664" i="12"/>
  <c r="Q14663" i="12"/>
  <c r="Q14662" i="12"/>
  <c r="Q14661" i="12"/>
  <c r="Q14660" i="12"/>
  <c r="Q14659" i="12"/>
  <c r="Q14658" i="12"/>
  <c r="Q14657" i="12"/>
  <c r="Q14656" i="12"/>
  <c r="Q14655" i="12"/>
  <c r="Q14654" i="12"/>
  <c r="Q14653" i="12"/>
  <c r="Q14652" i="12"/>
  <c r="Q14651" i="12"/>
  <c r="Q14650" i="12"/>
  <c r="Q14649" i="12"/>
  <c r="Q14648" i="12"/>
  <c r="Q14647" i="12"/>
  <c r="Q14646" i="12"/>
  <c r="Q14645" i="12"/>
  <c r="Q14644" i="12"/>
  <c r="Q14643" i="12"/>
  <c r="Q14642" i="12"/>
  <c r="Q14641" i="12"/>
  <c r="Q14640" i="12"/>
  <c r="Q14639" i="12"/>
  <c r="Q14638" i="12"/>
  <c r="Q14637" i="12"/>
  <c r="Q14636" i="12"/>
  <c r="Q14635" i="12"/>
  <c r="Q14634" i="12"/>
  <c r="Q14633" i="12"/>
  <c r="Q14632" i="12"/>
  <c r="Q14631" i="12"/>
  <c r="Q14630" i="12"/>
  <c r="Q14629" i="12"/>
  <c r="Q14628" i="12"/>
  <c r="Q14627" i="12"/>
  <c r="Q14626" i="12"/>
  <c r="Q14625" i="12"/>
  <c r="Q14624" i="12"/>
  <c r="Q14623" i="12"/>
  <c r="Q14622" i="12"/>
  <c r="Q14621" i="12"/>
  <c r="Q14620" i="12"/>
  <c r="Q14619" i="12"/>
  <c r="Q14618" i="12"/>
  <c r="Q14617" i="12"/>
  <c r="Q14616" i="12"/>
  <c r="Q14615" i="12"/>
  <c r="Q14614" i="12"/>
  <c r="Q14613" i="12"/>
  <c r="Q14612" i="12"/>
  <c r="Q14611" i="12"/>
  <c r="Q14610" i="12"/>
  <c r="Q14609" i="12"/>
  <c r="Q14608" i="12"/>
  <c r="Q14607" i="12"/>
  <c r="Q14606" i="12"/>
  <c r="Q14605" i="12"/>
  <c r="Q14604" i="12"/>
  <c r="Q14603" i="12"/>
  <c r="Q14602" i="12"/>
  <c r="Q14601" i="12"/>
  <c r="Q14600" i="12"/>
  <c r="Q14599" i="12"/>
  <c r="Q14598" i="12"/>
  <c r="Q14597" i="12"/>
  <c r="Q14596" i="12"/>
  <c r="Q14595" i="12"/>
  <c r="Q14594" i="12"/>
  <c r="Q14593" i="12"/>
  <c r="Q14592" i="12"/>
  <c r="Q14591" i="12"/>
  <c r="Q14590" i="12"/>
  <c r="Q14589" i="12"/>
  <c r="Q14588" i="12"/>
  <c r="Q14587" i="12"/>
  <c r="Q14586" i="12"/>
  <c r="Q14585" i="12"/>
  <c r="Q14584" i="12"/>
  <c r="Q14583" i="12"/>
  <c r="Q14582" i="12"/>
  <c r="Q14581" i="12"/>
  <c r="Q14580" i="12"/>
  <c r="Q14579" i="12"/>
  <c r="Q14578" i="12"/>
  <c r="Q14577" i="12"/>
  <c r="Q14576" i="12"/>
  <c r="Q14575" i="12"/>
  <c r="Q14574" i="12"/>
  <c r="Q14573" i="12"/>
  <c r="Q14572" i="12"/>
  <c r="Q14571" i="12"/>
  <c r="Q14570" i="12"/>
  <c r="Q14569" i="12"/>
  <c r="Q14568" i="12"/>
  <c r="Q14567" i="12"/>
  <c r="Q14566" i="12"/>
  <c r="Q14565" i="12"/>
  <c r="Q14564" i="12"/>
  <c r="Q14563" i="12"/>
  <c r="Q14562" i="12"/>
  <c r="Q14561" i="12"/>
  <c r="Q14560" i="12"/>
  <c r="Q14559" i="12"/>
  <c r="Q14558" i="12"/>
  <c r="Q14557" i="12"/>
  <c r="Q14556" i="12"/>
  <c r="Q14555" i="12"/>
  <c r="Q14554" i="12"/>
  <c r="Q14553" i="12"/>
  <c r="Q14552" i="12"/>
  <c r="Q14551" i="12"/>
  <c r="Q14550" i="12"/>
  <c r="Q14549" i="12"/>
  <c r="Q14548" i="12"/>
  <c r="Q14547" i="12"/>
  <c r="Q14546" i="12"/>
  <c r="Q14545" i="12"/>
  <c r="Q14544" i="12"/>
  <c r="Q14543" i="12"/>
  <c r="Q14542" i="12"/>
  <c r="Q14541" i="12"/>
  <c r="Q14540" i="12"/>
  <c r="Q14539" i="12"/>
  <c r="Q14538" i="12"/>
  <c r="Q14537" i="12"/>
  <c r="Q14536" i="12"/>
  <c r="Q14535" i="12"/>
  <c r="Q14534" i="12"/>
  <c r="Q14533" i="12"/>
  <c r="Q14532" i="12"/>
  <c r="Q14531" i="12"/>
  <c r="Q14530" i="12"/>
  <c r="Q14529" i="12"/>
  <c r="Q14528" i="12"/>
  <c r="Q14527" i="12"/>
  <c r="Q14526" i="12"/>
  <c r="Q14525" i="12"/>
  <c r="Q14524" i="12"/>
  <c r="Q14523" i="12"/>
  <c r="Q14522" i="12"/>
  <c r="Q14521" i="12"/>
  <c r="Q14520" i="12"/>
  <c r="Q14519" i="12"/>
  <c r="Q14518" i="12"/>
  <c r="Q14517" i="12"/>
  <c r="Q14516" i="12"/>
  <c r="Q14515" i="12"/>
  <c r="Q14514" i="12"/>
  <c r="Q14513" i="12"/>
  <c r="Q14512" i="12"/>
  <c r="Q14511" i="12"/>
  <c r="Q14510" i="12"/>
  <c r="Q14509" i="12"/>
  <c r="Q14508" i="12"/>
  <c r="Q14507" i="12"/>
  <c r="Q14506" i="12"/>
  <c r="Q14505" i="12"/>
  <c r="Q14504" i="12"/>
  <c r="Q14503" i="12"/>
  <c r="Q14502" i="12"/>
  <c r="Q14501" i="12"/>
  <c r="Q14500" i="12"/>
  <c r="Q14499" i="12"/>
  <c r="Q14498" i="12"/>
  <c r="Q14497" i="12"/>
  <c r="Q14496" i="12"/>
  <c r="Q14495" i="12"/>
  <c r="Q14494" i="12"/>
  <c r="Q14493" i="12"/>
  <c r="Q14492" i="12"/>
  <c r="Q14491" i="12"/>
  <c r="Q14490" i="12"/>
  <c r="Q14489" i="12"/>
  <c r="Q14488" i="12"/>
  <c r="Q14487" i="12"/>
  <c r="Q14486" i="12"/>
  <c r="Q14485" i="12"/>
  <c r="Q14484" i="12"/>
  <c r="Q14483" i="12"/>
  <c r="Q14482" i="12"/>
  <c r="Q14481" i="12"/>
  <c r="Q14480" i="12"/>
  <c r="Q14479" i="12"/>
  <c r="Q14478" i="12"/>
  <c r="Q14477" i="12"/>
  <c r="Q14476" i="12"/>
  <c r="Q14475" i="12"/>
  <c r="Q14474" i="12"/>
  <c r="Q14473" i="12"/>
  <c r="Q14472" i="12"/>
  <c r="Q14471" i="12"/>
  <c r="Q14470" i="12"/>
  <c r="Q14469" i="12"/>
  <c r="Q14468" i="12"/>
  <c r="Q14467" i="12"/>
  <c r="Q14466" i="12"/>
  <c r="Q14465" i="12"/>
  <c r="Q14464" i="12"/>
  <c r="Q14463" i="12"/>
  <c r="Q14462" i="12"/>
  <c r="Q14461" i="12"/>
  <c r="Q14460" i="12"/>
  <c r="Q14459" i="12"/>
  <c r="Q14458" i="12"/>
  <c r="Q14457" i="12"/>
  <c r="Q14456" i="12"/>
  <c r="Q14455" i="12"/>
  <c r="Q14454" i="12"/>
  <c r="Q14453" i="12"/>
  <c r="Q14452" i="12"/>
  <c r="Q14451" i="12"/>
  <c r="Q14450" i="12"/>
  <c r="Q14449" i="12"/>
  <c r="Q14448" i="12"/>
  <c r="Q14447" i="12"/>
  <c r="Q14446" i="12"/>
  <c r="Q14445" i="12"/>
  <c r="Q14444" i="12"/>
  <c r="Q14443" i="12"/>
  <c r="Q14442" i="12"/>
  <c r="Q14441" i="12"/>
  <c r="Q14440" i="12"/>
  <c r="Q14439" i="12"/>
  <c r="Q14438" i="12"/>
  <c r="Q14437" i="12"/>
  <c r="Q14436" i="12"/>
  <c r="Q14435" i="12"/>
  <c r="Q14434" i="12"/>
  <c r="Q14433" i="12"/>
  <c r="Q14432" i="12"/>
  <c r="Q14431" i="12"/>
  <c r="Q14430" i="12"/>
  <c r="Q14429" i="12"/>
  <c r="Q14428" i="12"/>
  <c r="Q14427" i="12"/>
  <c r="Q14426" i="12"/>
  <c r="Q14425" i="12"/>
  <c r="Q14424" i="12"/>
  <c r="Q14423" i="12"/>
  <c r="Q14422" i="12"/>
  <c r="Q14421" i="12"/>
  <c r="Q14420" i="12"/>
  <c r="Q14419" i="12"/>
  <c r="Q14418" i="12"/>
  <c r="Q14417" i="12"/>
  <c r="Q14416" i="12"/>
  <c r="Q14415" i="12"/>
  <c r="Q14414" i="12"/>
  <c r="Q14413" i="12"/>
  <c r="Q14412" i="12"/>
  <c r="Q14411" i="12"/>
  <c r="Q14410" i="12"/>
  <c r="Q14409" i="12"/>
  <c r="Q14408" i="12"/>
  <c r="Q14407" i="12"/>
  <c r="Q14406" i="12"/>
  <c r="Q14405" i="12"/>
  <c r="Q14404" i="12"/>
  <c r="Q14403" i="12"/>
  <c r="Q14402" i="12"/>
  <c r="Q14401" i="12"/>
  <c r="Q14400" i="12"/>
  <c r="Q14399" i="12"/>
  <c r="Q14398" i="12"/>
  <c r="Q14397" i="12"/>
  <c r="Q14396" i="12"/>
  <c r="Q14395" i="12"/>
  <c r="Q14394" i="12"/>
  <c r="Q14393" i="12"/>
  <c r="Q14392" i="12"/>
  <c r="Q14391" i="12"/>
  <c r="Q14390" i="12"/>
  <c r="Q14389" i="12"/>
  <c r="Q14388" i="12"/>
  <c r="Q14387" i="12"/>
  <c r="Q14386" i="12"/>
  <c r="Q14385" i="12"/>
  <c r="Q14384" i="12"/>
  <c r="Q14383" i="12"/>
  <c r="Q14382" i="12"/>
  <c r="Q14381" i="12"/>
  <c r="Q14380" i="12"/>
  <c r="Q14379" i="12"/>
  <c r="Q14378" i="12"/>
  <c r="Q14377" i="12"/>
  <c r="Q14376" i="12"/>
  <c r="Q14375" i="12"/>
  <c r="Q14374" i="12"/>
  <c r="Q14373" i="12"/>
  <c r="Q14372" i="12"/>
  <c r="Q14371" i="12"/>
  <c r="Q14370" i="12"/>
  <c r="Q14369" i="12"/>
  <c r="Q14368" i="12"/>
  <c r="Q14367" i="12"/>
  <c r="Q14366" i="12"/>
  <c r="Q14365" i="12"/>
  <c r="Q14364" i="12"/>
  <c r="Q14363" i="12"/>
  <c r="Q14362" i="12"/>
  <c r="Q14361" i="12"/>
  <c r="Q14360" i="12"/>
  <c r="Q14359" i="12"/>
  <c r="Q14358" i="12"/>
  <c r="Q14357" i="12"/>
  <c r="Q14356" i="12"/>
  <c r="Q14355" i="12"/>
  <c r="Q14354" i="12"/>
  <c r="Q14353" i="12"/>
  <c r="Q14352" i="12"/>
  <c r="Q14351" i="12"/>
  <c r="Q14350" i="12"/>
  <c r="Q14349" i="12"/>
  <c r="Q14348" i="12"/>
  <c r="Q14347" i="12"/>
  <c r="Q14346" i="12"/>
  <c r="Q14345" i="12"/>
  <c r="Q14344" i="12"/>
  <c r="Q14343" i="12"/>
  <c r="Q14342" i="12"/>
  <c r="Q14341" i="12"/>
  <c r="Q14340" i="12"/>
  <c r="Q14339" i="12"/>
  <c r="Q14338" i="12"/>
  <c r="Q14337" i="12"/>
  <c r="Q14336" i="12"/>
  <c r="Q14335" i="12"/>
  <c r="Q14334" i="12"/>
  <c r="Q14333" i="12"/>
  <c r="Q14332" i="12"/>
  <c r="Q14331" i="12"/>
  <c r="Q14330" i="12"/>
  <c r="Q14329" i="12"/>
  <c r="Q14328" i="12"/>
  <c r="Q14327" i="12"/>
  <c r="Q14326" i="12"/>
  <c r="Q14325" i="12"/>
  <c r="Q14324" i="12"/>
  <c r="Q14323" i="12"/>
  <c r="Q14322" i="12"/>
  <c r="Q14321" i="12"/>
  <c r="Q14320" i="12"/>
  <c r="Q14319" i="12"/>
  <c r="Q14318" i="12"/>
  <c r="Q14317" i="12"/>
  <c r="Q14316" i="12"/>
  <c r="Q14315" i="12"/>
  <c r="Q14314" i="12"/>
  <c r="Q14313" i="12"/>
  <c r="Q14312" i="12"/>
  <c r="Q14311" i="12"/>
  <c r="Q14310" i="12"/>
  <c r="Q14309" i="12"/>
  <c r="Q14308" i="12"/>
  <c r="Q14307" i="12"/>
  <c r="Q14306" i="12"/>
  <c r="Q14305" i="12"/>
  <c r="Q14304" i="12"/>
  <c r="Q14303" i="12"/>
  <c r="Q14302" i="12"/>
  <c r="Q14301" i="12"/>
  <c r="Q14300" i="12"/>
  <c r="Q14299" i="12"/>
  <c r="Q14298" i="12"/>
  <c r="Q14297" i="12"/>
  <c r="Q14296" i="12"/>
  <c r="Q14295" i="12"/>
  <c r="Q14294" i="12"/>
  <c r="Q14293" i="12"/>
  <c r="Q14292" i="12"/>
  <c r="Q14291" i="12"/>
  <c r="Q14290" i="12"/>
  <c r="Q14289" i="12"/>
  <c r="Q14288" i="12"/>
  <c r="Q14287" i="12"/>
  <c r="Q14286" i="12"/>
  <c r="Q14285" i="12"/>
  <c r="Q14284" i="12"/>
  <c r="Q14283" i="12"/>
  <c r="Q14282" i="12"/>
  <c r="Q14281" i="12"/>
  <c r="Q14280" i="12"/>
  <c r="Q14279" i="12"/>
  <c r="Q14278" i="12"/>
  <c r="Q14277" i="12"/>
  <c r="Q14276" i="12"/>
  <c r="Q14275" i="12"/>
  <c r="Q14274" i="12"/>
  <c r="Q14273" i="12"/>
  <c r="Q14272" i="12"/>
  <c r="Q14271" i="12"/>
  <c r="Q14270" i="12"/>
  <c r="Q14269" i="12"/>
  <c r="Q14268" i="12"/>
  <c r="Q14267" i="12"/>
  <c r="Q14266" i="12"/>
  <c r="Q14265" i="12"/>
  <c r="Q14264" i="12"/>
  <c r="Q14263" i="12"/>
  <c r="Q14262" i="12"/>
  <c r="Q14261" i="12"/>
  <c r="Q14260" i="12"/>
  <c r="Q14259" i="12"/>
  <c r="Q14258" i="12"/>
  <c r="Q14257" i="12"/>
  <c r="Q14256" i="12"/>
  <c r="Q14255" i="12"/>
  <c r="Q14254" i="12"/>
  <c r="Q14253" i="12"/>
  <c r="Q14252" i="12"/>
  <c r="Q14251" i="12"/>
  <c r="Q14250" i="12"/>
  <c r="Q14249" i="12"/>
  <c r="Q14248" i="12"/>
  <c r="Q14247" i="12"/>
  <c r="Q14246" i="12"/>
  <c r="Q14245" i="12"/>
  <c r="Q14244" i="12"/>
  <c r="Q14243" i="12"/>
  <c r="Q14242" i="12"/>
  <c r="Q14241" i="12"/>
  <c r="Q14240" i="12"/>
  <c r="Q14239" i="12"/>
  <c r="Q14238" i="12"/>
  <c r="Q14237" i="12"/>
  <c r="Q14236" i="12"/>
  <c r="Q14235" i="12"/>
  <c r="Q14234" i="12"/>
  <c r="Q14233" i="12"/>
  <c r="Q14232" i="12"/>
  <c r="Q14231" i="12"/>
  <c r="Q14230" i="12"/>
  <c r="Q14229" i="12"/>
  <c r="Q14228" i="12"/>
  <c r="Q14227" i="12"/>
  <c r="Q14226" i="12"/>
  <c r="Q14225" i="12"/>
  <c r="Q14224" i="12"/>
  <c r="Q14223" i="12"/>
  <c r="Q14222" i="12"/>
  <c r="Q14221" i="12"/>
  <c r="Q14220" i="12"/>
  <c r="Q14219" i="12"/>
  <c r="Q14218" i="12"/>
  <c r="Q14217" i="12"/>
  <c r="Q14216" i="12"/>
  <c r="Q14215" i="12"/>
  <c r="Q14214" i="12"/>
  <c r="Q14213" i="12"/>
  <c r="Q14212" i="12"/>
  <c r="Q14211" i="12"/>
  <c r="Q14210" i="12"/>
  <c r="Q14209" i="12"/>
  <c r="Q14208" i="12"/>
  <c r="Q14207" i="12"/>
  <c r="Q14206" i="12"/>
  <c r="Q14205" i="12"/>
  <c r="Q14204" i="12"/>
  <c r="Q14203" i="12"/>
  <c r="Q14202" i="12"/>
  <c r="Q14201" i="12"/>
  <c r="Q14200" i="12"/>
  <c r="Q14199" i="12"/>
  <c r="Q14198" i="12"/>
  <c r="Q14197" i="12"/>
  <c r="Q14196" i="12"/>
  <c r="Q14195" i="12"/>
  <c r="Q14194" i="12"/>
  <c r="Q14193" i="12"/>
  <c r="Q14192" i="12"/>
  <c r="Q14191" i="12"/>
  <c r="Q14190" i="12"/>
  <c r="Q14189" i="12"/>
  <c r="Q14188" i="12"/>
  <c r="Q14187" i="12"/>
  <c r="Q14186" i="12"/>
  <c r="Q14185" i="12"/>
  <c r="Q14184" i="12"/>
  <c r="Q14183" i="12"/>
  <c r="Q14182" i="12"/>
  <c r="Q14181" i="12"/>
  <c r="Q14180" i="12"/>
  <c r="Q14179" i="12"/>
  <c r="Q14178" i="12"/>
  <c r="Q14177" i="12"/>
  <c r="Q14176" i="12"/>
  <c r="Q14175" i="12"/>
  <c r="Q14174" i="12"/>
  <c r="Q14173" i="12"/>
  <c r="Q14172" i="12"/>
  <c r="Q14171" i="12"/>
  <c r="Q14170" i="12"/>
  <c r="Q14169" i="12"/>
  <c r="Q14168" i="12"/>
  <c r="Q14167" i="12"/>
  <c r="Q14166" i="12"/>
  <c r="Q14165" i="12"/>
  <c r="Q14164" i="12"/>
  <c r="Q14163" i="12"/>
  <c r="Q14162" i="12"/>
  <c r="Q14161" i="12"/>
  <c r="Q14160" i="12"/>
  <c r="Q14159" i="12"/>
  <c r="Q14158" i="12"/>
  <c r="Q14157" i="12"/>
  <c r="Q14156" i="12"/>
  <c r="Q14155" i="12"/>
  <c r="Q14154" i="12"/>
  <c r="Q14153" i="12"/>
  <c r="Q14152" i="12"/>
  <c r="Q14151" i="12"/>
  <c r="Q14150" i="12"/>
  <c r="Q14149" i="12"/>
  <c r="Q14148" i="12"/>
  <c r="Q14147" i="12"/>
  <c r="Q14146" i="12"/>
  <c r="Q14145" i="12"/>
  <c r="Q14144" i="12"/>
  <c r="Q14143" i="12"/>
  <c r="Q14142" i="12"/>
  <c r="Q14141" i="12"/>
  <c r="Q14140" i="12"/>
  <c r="Q14139" i="12"/>
  <c r="Q14138" i="12"/>
  <c r="Q14137" i="12"/>
  <c r="Q14136" i="12"/>
  <c r="Q14135" i="12"/>
  <c r="Q14134" i="12"/>
  <c r="Q14133" i="12"/>
  <c r="Q14132" i="12"/>
  <c r="Q14131" i="12"/>
  <c r="Q14130" i="12"/>
  <c r="Q14129" i="12"/>
  <c r="Q14128" i="12"/>
  <c r="Q14127" i="12"/>
  <c r="Q14126" i="12"/>
  <c r="Q14125" i="12"/>
  <c r="Q14124" i="12"/>
  <c r="Q14123" i="12"/>
  <c r="Q14122" i="12"/>
  <c r="Q14121" i="12"/>
  <c r="Q14120" i="12"/>
  <c r="Q14119" i="12"/>
  <c r="Q14118" i="12"/>
  <c r="Q14117" i="12"/>
  <c r="Q14116" i="12"/>
  <c r="Q14115" i="12"/>
  <c r="Q14114" i="12"/>
  <c r="Q14113" i="12"/>
  <c r="Q14112" i="12"/>
  <c r="Q14111" i="12"/>
  <c r="Q14110" i="12"/>
  <c r="Q14109" i="12"/>
  <c r="Q14108" i="12"/>
  <c r="Q14107" i="12"/>
  <c r="Q14106" i="12"/>
  <c r="Q14105" i="12"/>
  <c r="Q14104" i="12"/>
  <c r="Q14103" i="12"/>
  <c r="Q14102" i="12"/>
  <c r="Q14101" i="12"/>
  <c r="Q14100" i="12"/>
  <c r="Q14099" i="12"/>
  <c r="Q14098" i="12"/>
  <c r="Q14097" i="12"/>
  <c r="Q14096" i="12"/>
  <c r="Q14095" i="12"/>
  <c r="Q14094" i="12"/>
  <c r="Q14093" i="12"/>
  <c r="Q14092" i="12"/>
  <c r="Q14091" i="12"/>
  <c r="Q14090" i="12"/>
  <c r="Q14089" i="12"/>
  <c r="Q14088" i="12"/>
  <c r="Q14087" i="12"/>
  <c r="Q14086" i="12"/>
  <c r="Q14085" i="12"/>
  <c r="Q14084" i="12"/>
  <c r="Q14083" i="12"/>
  <c r="Q14082" i="12"/>
  <c r="Q14081" i="12"/>
  <c r="Q14080" i="12"/>
  <c r="Q14079" i="12"/>
  <c r="Q14078" i="12"/>
  <c r="Q14077" i="12"/>
  <c r="Q14076" i="12"/>
  <c r="Q14075" i="12"/>
  <c r="Q14074" i="12"/>
  <c r="Q14073" i="12"/>
  <c r="Q14072" i="12"/>
  <c r="Q14071" i="12"/>
  <c r="Q14070" i="12"/>
  <c r="Q14069" i="12"/>
  <c r="Q14068" i="12"/>
  <c r="Q14067" i="12"/>
  <c r="Q14066" i="12"/>
  <c r="Q14065" i="12"/>
  <c r="Q14064" i="12"/>
  <c r="Q14063" i="12"/>
  <c r="Q14062" i="12"/>
  <c r="Q14061" i="12"/>
  <c r="Q14060" i="12"/>
  <c r="Q14059" i="12"/>
  <c r="Q14058" i="12"/>
  <c r="Q14057" i="12"/>
  <c r="Q14056" i="12"/>
  <c r="Q14055" i="12"/>
  <c r="Q14054" i="12"/>
  <c r="Q14053" i="12"/>
  <c r="Q14052" i="12"/>
  <c r="Q14051" i="12"/>
  <c r="Q14050" i="12"/>
  <c r="Q14049" i="12"/>
  <c r="Q14048" i="12"/>
  <c r="Q14047" i="12"/>
  <c r="Q14046" i="12"/>
  <c r="Q14045" i="12"/>
  <c r="Q14044" i="12"/>
  <c r="Q14043" i="12"/>
  <c r="Q14042" i="12"/>
  <c r="Q14041" i="12"/>
  <c r="Q14040" i="12"/>
  <c r="Q14039" i="12"/>
  <c r="Q14038" i="12"/>
  <c r="Q14037" i="12"/>
  <c r="Q14036" i="12"/>
  <c r="Q14035" i="12"/>
  <c r="Q14034" i="12"/>
  <c r="Q14033" i="12"/>
  <c r="Q14032" i="12"/>
  <c r="Q14031" i="12"/>
  <c r="Q14030" i="12"/>
  <c r="Q14029" i="12"/>
  <c r="Q14028" i="12"/>
  <c r="Q14027" i="12"/>
  <c r="Q14026" i="12"/>
  <c r="Q14025" i="12"/>
  <c r="Q14024" i="12"/>
  <c r="Q14023" i="12"/>
  <c r="Q14022" i="12"/>
  <c r="Q14021" i="12"/>
  <c r="Q14020" i="12"/>
  <c r="Q14019" i="12"/>
  <c r="Q14018" i="12"/>
  <c r="Q14017" i="12"/>
  <c r="Q14016" i="12"/>
  <c r="Q14015" i="12"/>
  <c r="Q14014" i="12"/>
  <c r="Q14013" i="12"/>
  <c r="Q14012" i="12"/>
  <c r="Q14011" i="12"/>
  <c r="Q14010" i="12"/>
  <c r="Q14009" i="12"/>
  <c r="Q14008" i="12"/>
  <c r="Q14007" i="12"/>
  <c r="Q14006" i="12"/>
  <c r="Q14005" i="12"/>
  <c r="Q14004" i="12"/>
  <c r="Q14003" i="12"/>
  <c r="Q14002" i="12"/>
  <c r="Q14001" i="12"/>
  <c r="Q14000" i="12"/>
  <c r="Q13999" i="12"/>
  <c r="Q13998" i="12"/>
  <c r="Q13997" i="12"/>
  <c r="Q13996" i="12"/>
  <c r="Q13995" i="12"/>
  <c r="Q13994" i="12"/>
  <c r="Q13993" i="12"/>
  <c r="Q13992" i="12"/>
  <c r="Q13991" i="12"/>
  <c r="Q13990" i="12"/>
  <c r="Q13989" i="12"/>
  <c r="Q13988" i="12"/>
  <c r="Q13987" i="12"/>
  <c r="Q13986" i="12"/>
  <c r="Q13985" i="12"/>
  <c r="Q13984" i="12"/>
  <c r="Q13983" i="12"/>
  <c r="Q13982" i="12"/>
  <c r="Q13981" i="12"/>
  <c r="Q13980" i="12"/>
  <c r="Q13979" i="12"/>
  <c r="Q13978" i="12"/>
  <c r="Q13977" i="12"/>
  <c r="Q13976" i="12"/>
  <c r="Q13975" i="12"/>
  <c r="Q13974" i="12"/>
  <c r="Q13973" i="12"/>
  <c r="Q13972" i="12"/>
  <c r="Q13971" i="12"/>
  <c r="Q13970" i="12"/>
  <c r="Q13969" i="12"/>
  <c r="Q13968" i="12"/>
  <c r="Q13967" i="12"/>
  <c r="Q13966" i="12"/>
  <c r="Q13965" i="12"/>
  <c r="Q13964" i="12"/>
  <c r="Q13963" i="12"/>
  <c r="Q13962" i="12"/>
  <c r="Q13961" i="12"/>
  <c r="Q13960" i="12"/>
  <c r="Q13959" i="12"/>
  <c r="Q13958" i="12"/>
  <c r="Q13957" i="12"/>
  <c r="Q13956" i="12"/>
  <c r="Q13955" i="12"/>
  <c r="Q13954" i="12"/>
  <c r="Q13953" i="12"/>
  <c r="Q13952" i="12"/>
  <c r="Q13951" i="12"/>
  <c r="Q13950" i="12"/>
  <c r="Q13949" i="12"/>
  <c r="Q13948" i="12"/>
  <c r="Q13947" i="12"/>
  <c r="Q13946" i="12"/>
  <c r="Q13945" i="12"/>
  <c r="Q13944" i="12"/>
  <c r="Q13943" i="12"/>
  <c r="Q13942" i="12"/>
  <c r="Q13941" i="12"/>
  <c r="Q13940" i="12"/>
  <c r="Q13939" i="12"/>
  <c r="Q13938" i="12"/>
  <c r="Q13937" i="12"/>
  <c r="Q13936" i="12"/>
  <c r="Q13935" i="12"/>
  <c r="Q13934" i="12"/>
  <c r="Q13933" i="12"/>
  <c r="Q13932" i="12"/>
  <c r="Q13931" i="12"/>
  <c r="Q13930" i="12"/>
  <c r="Q13929" i="12"/>
  <c r="Q13928" i="12"/>
  <c r="Q13927" i="12"/>
  <c r="Q13926" i="12"/>
  <c r="Q13925" i="12"/>
  <c r="Q13924" i="12"/>
  <c r="Q13923" i="12"/>
  <c r="Q13922" i="12"/>
  <c r="Q13921" i="12"/>
  <c r="Q13920" i="12"/>
  <c r="Q13919" i="12"/>
  <c r="Q13918" i="12"/>
  <c r="Q13917" i="12"/>
  <c r="Q13916" i="12"/>
  <c r="Q13915" i="12"/>
  <c r="Q13914" i="12"/>
  <c r="Q13913" i="12"/>
  <c r="Q13912" i="12"/>
  <c r="Q13911" i="12"/>
  <c r="Q13910" i="12"/>
  <c r="Q13909" i="12"/>
  <c r="Q13908" i="12"/>
  <c r="Q13907" i="12"/>
  <c r="Q13906" i="12"/>
  <c r="Q13905" i="12"/>
  <c r="Q13904" i="12"/>
  <c r="Q13903" i="12"/>
  <c r="Q13902" i="12"/>
  <c r="Q13901" i="12"/>
  <c r="Q13900" i="12"/>
  <c r="Q13899" i="12"/>
  <c r="Q13898" i="12"/>
  <c r="Q13897" i="12"/>
  <c r="Q13896" i="12"/>
  <c r="Q13895" i="12"/>
  <c r="Q13894" i="12"/>
  <c r="Q13893" i="12"/>
  <c r="Q13892" i="12"/>
  <c r="Q13891" i="12"/>
  <c r="Q13890" i="12"/>
  <c r="Q13889" i="12"/>
  <c r="Q13888" i="12"/>
  <c r="Q13887" i="12"/>
  <c r="Q13886" i="12"/>
  <c r="Q13885" i="12"/>
  <c r="Q13884" i="12"/>
  <c r="Q13883" i="12"/>
  <c r="Q13882" i="12"/>
  <c r="Q13881" i="12"/>
  <c r="Q13880" i="12"/>
  <c r="Q13879" i="12"/>
  <c r="Q13878" i="12"/>
  <c r="Q13877" i="12"/>
  <c r="Q13876" i="12"/>
  <c r="Q13875" i="12"/>
  <c r="Q13874" i="12"/>
  <c r="Q13873" i="12"/>
  <c r="Q13872" i="12"/>
  <c r="Q13871" i="12"/>
  <c r="Q13870" i="12"/>
  <c r="Q13869" i="12"/>
  <c r="Q13868" i="12"/>
  <c r="Q13867" i="12"/>
  <c r="Q13866" i="12"/>
  <c r="Q13865" i="12"/>
  <c r="Q13864" i="12"/>
  <c r="Q13863" i="12"/>
  <c r="Q13862" i="12"/>
  <c r="Q13861" i="12"/>
  <c r="Q13860" i="12"/>
  <c r="Q13859" i="12"/>
  <c r="Q13858" i="12"/>
  <c r="Q13857" i="12"/>
  <c r="Q13856" i="12"/>
  <c r="Q13855" i="12"/>
  <c r="Q13854" i="12"/>
  <c r="Q13853" i="12"/>
  <c r="Q13852" i="12"/>
  <c r="Q13851" i="12"/>
  <c r="Q13850" i="12"/>
  <c r="Q13849" i="12"/>
  <c r="Q13848" i="12"/>
  <c r="Q13847" i="12"/>
  <c r="Q13846" i="12"/>
  <c r="Q13845" i="12"/>
  <c r="Q13844" i="12"/>
  <c r="Q13843" i="12"/>
  <c r="Q13842" i="12"/>
  <c r="Q13841" i="12"/>
  <c r="Q13840" i="12"/>
  <c r="Q13839" i="12"/>
  <c r="Q13838" i="12"/>
  <c r="Q13837" i="12"/>
  <c r="Q13836" i="12"/>
  <c r="Q13835" i="12"/>
  <c r="Q13834" i="12"/>
  <c r="Q13833" i="12"/>
  <c r="Q13832" i="12"/>
  <c r="Q13831" i="12"/>
  <c r="Q13830" i="12"/>
  <c r="Q13829" i="12"/>
  <c r="Q13828" i="12"/>
  <c r="Q13827" i="12"/>
  <c r="Q13826" i="12"/>
  <c r="Q13825" i="12"/>
  <c r="Q13824" i="12"/>
  <c r="Q13823" i="12"/>
  <c r="Q13822" i="12"/>
  <c r="Q13821" i="12"/>
  <c r="Q13820" i="12"/>
  <c r="Q13819" i="12"/>
  <c r="Q13818" i="12"/>
  <c r="Q13817" i="12"/>
  <c r="Q13816" i="12"/>
  <c r="Q13815" i="12"/>
  <c r="Q13814" i="12"/>
  <c r="Q13813" i="12"/>
  <c r="Q13812" i="12"/>
  <c r="Q13811" i="12"/>
  <c r="Q13810" i="12"/>
  <c r="Q13809" i="12"/>
  <c r="Q13808" i="12"/>
  <c r="Q13807" i="12"/>
  <c r="Q13806" i="12"/>
  <c r="Q13805" i="12"/>
  <c r="Q13804" i="12"/>
  <c r="Q13803" i="12"/>
  <c r="Q13802" i="12"/>
  <c r="Q13801" i="12"/>
  <c r="Q13800" i="12"/>
  <c r="Q13799" i="12"/>
  <c r="Q13798" i="12"/>
  <c r="Q13797" i="12"/>
  <c r="Q13796" i="12"/>
  <c r="Q13795" i="12"/>
  <c r="Q13794" i="12"/>
  <c r="Q13793" i="12"/>
  <c r="Q13792" i="12"/>
  <c r="Q13791" i="12"/>
  <c r="Q13790" i="12"/>
  <c r="Q13789" i="12"/>
  <c r="Q13788" i="12"/>
  <c r="Q13787" i="12"/>
  <c r="Q13786" i="12"/>
  <c r="Q13785" i="12"/>
  <c r="Q13784" i="12"/>
  <c r="Q13783" i="12"/>
  <c r="Q13782" i="12"/>
  <c r="Q13781" i="12"/>
  <c r="Q13780" i="12"/>
  <c r="Q13779" i="12"/>
  <c r="Q13778" i="12"/>
  <c r="Q13777" i="12"/>
  <c r="Q13776" i="12"/>
  <c r="Q13775" i="12"/>
  <c r="Q13774" i="12"/>
  <c r="Q13773" i="12"/>
  <c r="Q13772" i="12"/>
  <c r="Q13771" i="12"/>
  <c r="Q13770" i="12"/>
  <c r="Q13769" i="12"/>
  <c r="Q13768" i="12"/>
  <c r="Q13767" i="12"/>
  <c r="Q13766" i="12"/>
  <c r="Q13765" i="12"/>
  <c r="Q13764" i="12"/>
  <c r="Q13763" i="12"/>
  <c r="Q13762" i="12"/>
  <c r="Q13761" i="12"/>
  <c r="Q13760" i="12"/>
  <c r="Q13759" i="12"/>
  <c r="Q13758" i="12"/>
  <c r="Q13757" i="12"/>
  <c r="Q13756" i="12"/>
  <c r="Q13755" i="12"/>
  <c r="Q13754" i="12"/>
  <c r="Q13753" i="12"/>
  <c r="Q13752" i="12"/>
  <c r="Q13751" i="12"/>
  <c r="Q13750" i="12"/>
  <c r="Q13749" i="12"/>
  <c r="Q13748" i="12"/>
  <c r="Q13747" i="12"/>
  <c r="Q13746" i="12"/>
  <c r="Q13745" i="12"/>
  <c r="Q13744" i="12"/>
  <c r="Q13743" i="12"/>
  <c r="Q13742" i="12"/>
  <c r="Q13741" i="12"/>
  <c r="Q13740" i="12"/>
  <c r="Q13739" i="12"/>
  <c r="Q13738" i="12"/>
  <c r="Q13737" i="12"/>
  <c r="Q13736" i="12"/>
  <c r="Q13735" i="12"/>
  <c r="Q13734" i="12"/>
  <c r="Q13733" i="12"/>
  <c r="Q13732" i="12"/>
  <c r="Q13731" i="12"/>
  <c r="Q13730" i="12"/>
  <c r="Q13729" i="12"/>
  <c r="Q13728" i="12"/>
  <c r="Q13727" i="12"/>
  <c r="Q13726" i="12"/>
  <c r="Q13725" i="12"/>
  <c r="Q13724" i="12"/>
  <c r="Q13723" i="12"/>
  <c r="Q13722" i="12"/>
  <c r="Q13721" i="12"/>
  <c r="Q13720" i="12"/>
  <c r="Q13719" i="12"/>
  <c r="Q13718" i="12"/>
  <c r="Q13717" i="12"/>
  <c r="Q13716" i="12"/>
  <c r="Q13715" i="12"/>
  <c r="Q13714" i="12"/>
  <c r="Q13713" i="12"/>
  <c r="Q13712" i="12"/>
  <c r="Q13711" i="12"/>
  <c r="Q13710" i="12"/>
  <c r="Q13709" i="12"/>
  <c r="Q13708" i="12"/>
  <c r="Q13707" i="12"/>
  <c r="Q13706" i="12"/>
  <c r="Q13705" i="12"/>
  <c r="Q13704" i="12"/>
  <c r="Q13703" i="12"/>
  <c r="Q13702" i="12"/>
  <c r="Q13701" i="12"/>
  <c r="Q13700" i="12"/>
  <c r="Q13699" i="12"/>
  <c r="Q13698" i="12"/>
  <c r="Q13697" i="12"/>
  <c r="Q13696" i="12"/>
  <c r="Q13695" i="12"/>
  <c r="Q13694" i="12"/>
  <c r="Q13693" i="12"/>
  <c r="Q13692" i="12"/>
  <c r="Q13691" i="12"/>
  <c r="Q13690" i="12"/>
  <c r="Q13689" i="12"/>
  <c r="Q13688" i="12"/>
  <c r="Q13687" i="12"/>
  <c r="Q13686" i="12"/>
  <c r="Q13685" i="12"/>
  <c r="Q13684" i="12"/>
  <c r="Q13683" i="12"/>
  <c r="Q13682" i="12"/>
  <c r="Q13681" i="12"/>
  <c r="Q13680" i="12"/>
  <c r="Q13679" i="12"/>
  <c r="Q13678" i="12"/>
  <c r="Q13677" i="12"/>
  <c r="Q13676" i="12"/>
  <c r="Q13675" i="12"/>
  <c r="Q13674" i="12"/>
  <c r="Q13673" i="12"/>
  <c r="Q13672" i="12"/>
  <c r="Q13671" i="12"/>
  <c r="Q13670" i="12"/>
  <c r="Q13669" i="12"/>
  <c r="Q13668" i="12"/>
  <c r="Q13667" i="12"/>
  <c r="Q13666" i="12"/>
  <c r="Q13665" i="12"/>
  <c r="Q13664" i="12"/>
  <c r="Q13663" i="12"/>
  <c r="Q13662" i="12"/>
  <c r="Q13661" i="12"/>
  <c r="Q13660" i="12"/>
  <c r="Q13659" i="12"/>
  <c r="Q13658" i="12"/>
  <c r="Q13657" i="12"/>
  <c r="Q13656" i="12"/>
  <c r="Q13655" i="12"/>
  <c r="Q13654" i="12"/>
  <c r="Q13653" i="12"/>
  <c r="Q13652" i="12"/>
  <c r="Q13651" i="12"/>
  <c r="Q13650" i="12"/>
  <c r="Q13649" i="12"/>
  <c r="Q13648" i="12"/>
  <c r="Q13647" i="12"/>
  <c r="Q13646" i="12"/>
  <c r="Q13645" i="12"/>
  <c r="Q13644" i="12"/>
  <c r="Q13643" i="12"/>
  <c r="Q13642" i="12"/>
  <c r="Q13641" i="12"/>
  <c r="Q13640" i="12"/>
  <c r="Q13639" i="12"/>
  <c r="Q13638" i="12"/>
  <c r="Q13637" i="12"/>
  <c r="Q13636" i="12"/>
  <c r="Q13635" i="12"/>
  <c r="Q13634" i="12"/>
  <c r="Q13633" i="12"/>
  <c r="Q13632" i="12"/>
  <c r="Q13631" i="12"/>
  <c r="Q13630" i="12"/>
  <c r="Q13629" i="12"/>
  <c r="Q13628" i="12"/>
  <c r="Q13627" i="12"/>
  <c r="Q13626" i="12"/>
  <c r="Q13625" i="12"/>
  <c r="Q13624" i="12"/>
  <c r="Q13623" i="12"/>
  <c r="Q13622" i="12"/>
  <c r="Q13621" i="12"/>
  <c r="Q13620" i="12"/>
  <c r="Q13619" i="12"/>
  <c r="Q13618" i="12"/>
  <c r="Q13617" i="12"/>
  <c r="Q13616" i="12"/>
  <c r="Q13615" i="12"/>
  <c r="Q13614" i="12"/>
  <c r="Q13613" i="12"/>
  <c r="Q13612" i="12"/>
  <c r="Q13611" i="12"/>
  <c r="Q13610" i="12"/>
  <c r="Q13609" i="12"/>
  <c r="Q13608" i="12"/>
  <c r="Q13607" i="12"/>
  <c r="Q13606" i="12"/>
  <c r="Q13605" i="12"/>
  <c r="Q13604" i="12"/>
  <c r="Q13603" i="12"/>
  <c r="Q13602" i="12"/>
  <c r="Q13601" i="12"/>
  <c r="Q13600" i="12"/>
  <c r="Q13599" i="12"/>
  <c r="Q13598" i="12"/>
  <c r="Q13597" i="12"/>
  <c r="Q13596" i="12"/>
  <c r="Q13595" i="12"/>
  <c r="Q13594" i="12"/>
  <c r="Q13593" i="12"/>
  <c r="Q13592" i="12"/>
  <c r="Q13591" i="12"/>
  <c r="Q13590" i="12"/>
  <c r="Q13589" i="12"/>
  <c r="Q13588" i="12"/>
  <c r="Q13587" i="12"/>
  <c r="Q13586" i="12"/>
  <c r="Q13585" i="12"/>
  <c r="Q13584" i="12"/>
  <c r="Q13583" i="12"/>
  <c r="Q13582" i="12"/>
  <c r="Q13581" i="12"/>
  <c r="Q13580" i="12"/>
  <c r="Q13579" i="12"/>
  <c r="Q13578" i="12"/>
  <c r="Q13577" i="12"/>
  <c r="Q13576" i="12"/>
  <c r="Q13575" i="12"/>
  <c r="Q13574" i="12"/>
  <c r="Q13573" i="12"/>
  <c r="Q13572" i="12"/>
  <c r="Q13571" i="12"/>
  <c r="Q13570" i="12"/>
  <c r="Q13569" i="12"/>
  <c r="Q13568" i="12"/>
  <c r="Q13567" i="12"/>
  <c r="Q13566" i="12"/>
  <c r="Q13565" i="12"/>
  <c r="Q13564" i="12"/>
  <c r="Q13563" i="12"/>
  <c r="Q13562" i="12"/>
  <c r="Q13561" i="12"/>
  <c r="Q13560" i="12"/>
  <c r="Q13559" i="12"/>
  <c r="Q13558" i="12"/>
  <c r="Q13557" i="12"/>
  <c r="Q13556" i="12"/>
  <c r="Q13555" i="12"/>
  <c r="Q13554" i="12"/>
  <c r="Q13553" i="12"/>
  <c r="Q13552" i="12"/>
  <c r="Q13551" i="12"/>
  <c r="Q13550" i="12"/>
  <c r="Q13549" i="12"/>
  <c r="Q13548" i="12"/>
  <c r="Q13547" i="12"/>
  <c r="Q13546" i="12"/>
  <c r="Q13545" i="12"/>
  <c r="Q13544" i="12"/>
  <c r="Q13543" i="12"/>
  <c r="Q13542" i="12"/>
  <c r="Q13541" i="12"/>
  <c r="Q13540" i="12"/>
  <c r="Q13539" i="12"/>
  <c r="Q13538" i="12"/>
  <c r="Q13537" i="12"/>
  <c r="Q13536" i="12"/>
  <c r="Q13535" i="12"/>
  <c r="Q13534" i="12"/>
  <c r="Q13533" i="12"/>
  <c r="Q13532" i="12"/>
  <c r="Q13531" i="12"/>
  <c r="Q13530" i="12"/>
  <c r="Q13529" i="12"/>
  <c r="Q13528" i="12"/>
  <c r="Q13527" i="12"/>
  <c r="Q13526" i="12"/>
  <c r="Q13525" i="12"/>
  <c r="Q13524" i="12"/>
  <c r="Q13523" i="12"/>
  <c r="Q13522" i="12"/>
  <c r="Q13521" i="12"/>
  <c r="Q13520" i="12"/>
  <c r="Q13519" i="12"/>
  <c r="Q13518" i="12"/>
  <c r="Q13517" i="12"/>
  <c r="Q13516" i="12"/>
  <c r="Q13515" i="12"/>
  <c r="Q13514" i="12"/>
  <c r="Q13513" i="12"/>
  <c r="Q13512" i="12"/>
  <c r="Q13511" i="12"/>
  <c r="Q13510" i="12"/>
  <c r="Q13509" i="12"/>
  <c r="Q13508" i="12"/>
  <c r="Q13507" i="12"/>
  <c r="Q13506" i="12"/>
  <c r="Q13505" i="12"/>
  <c r="Q13504" i="12"/>
  <c r="Q13503" i="12"/>
  <c r="Q13502" i="12"/>
  <c r="Q13501" i="12"/>
  <c r="Q13500" i="12"/>
  <c r="Q13499" i="12"/>
  <c r="Q13498" i="12"/>
  <c r="Q13497" i="12"/>
  <c r="Q13496" i="12"/>
  <c r="Q13495" i="12"/>
  <c r="Q13494" i="12"/>
  <c r="Q13493" i="12"/>
  <c r="Q13492" i="12"/>
  <c r="Q13491" i="12"/>
  <c r="Q13490" i="12"/>
  <c r="Q13489" i="12"/>
  <c r="Q13488" i="12"/>
  <c r="Q13487" i="12"/>
  <c r="Q13486" i="12"/>
  <c r="Q13485" i="12"/>
  <c r="Q13484" i="12"/>
  <c r="Q13483" i="12"/>
  <c r="Q13482" i="12"/>
  <c r="Q13481" i="12"/>
  <c r="Q13480" i="12"/>
  <c r="Q13479" i="12"/>
  <c r="Q13478" i="12"/>
  <c r="Q13477" i="12"/>
  <c r="Q13476" i="12"/>
  <c r="Q13475" i="12"/>
  <c r="Q13474" i="12"/>
  <c r="Q13473" i="12"/>
  <c r="Q13472" i="12"/>
  <c r="Q13471" i="12"/>
  <c r="Q13470" i="12"/>
  <c r="Q13469" i="12"/>
  <c r="Q13468" i="12"/>
  <c r="Q13467" i="12"/>
  <c r="Q13466" i="12"/>
  <c r="Q13465" i="12"/>
  <c r="Q13464" i="12"/>
  <c r="Q13463" i="12"/>
  <c r="Q13462" i="12"/>
  <c r="Q13461" i="12"/>
  <c r="Q13460" i="12"/>
  <c r="Q13459" i="12"/>
  <c r="Q13458" i="12"/>
  <c r="Q13457" i="12"/>
  <c r="Q13456" i="12"/>
  <c r="Q13455" i="12"/>
  <c r="Q13454" i="12"/>
  <c r="Q13453" i="12"/>
  <c r="Q13452" i="12"/>
  <c r="Q13451" i="12"/>
  <c r="Q13450" i="12"/>
  <c r="Q13449" i="12"/>
  <c r="Q13448" i="12"/>
  <c r="Q13447" i="12"/>
  <c r="Q13446" i="12"/>
  <c r="Q13445" i="12"/>
  <c r="Q13444" i="12"/>
  <c r="Q13443" i="12"/>
  <c r="Q13442" i="12"/>
  <c r="Q13441" i="12"/>
  <c r="Q13440" i="12"/>
  <c r="Q13439" i="12"/>
  <c r="Q13438" i="12"/>
  <c r="Q13437" i="12"/>
  <c r="Q13436" i="12"/>
  <c r="Q13435" i="12"/>
  <c r="Q13434" i="12"/>
  <c r="Q13433" i="12"/>
  <c r="Q13432" i="12"/>
  <c r="Q13431" i="12"/>
  <c r="Q13430" i="12"/>
  <c r="Q13429" i="12"/>
  <c r="Q13428" i="12"/>
  <c r="Q13427" i="12"/>
  <c r="Q13426" i="12"/>
  <c r="Q13425" i="12"/>
  <c r="Q13424" i="12"/>
  <c r="Q13423" i="12"/>
  <c r="Q13422" i="12"/>
  <c r="Q13421" i="12"/>
  <c r="Q13420" i="12"/>
  <c r="Q13419" i="12"/>
  <c r="Q13418" i="12"/>
  <c r="Q13417" i="12"/>
  <c r="Q13416" i="12"/>
  <c r="Q13415" i="12"/>
  <c r="Q13414" i="12"/>
  <c r="Q13413" i="12"/>
  <c r="Q13412" i="12"/>
  <c r="Q13411" i="12"/>
  <c r="Q13410" i="12"/>
  <c r="Q13409" i="12"/>
  <c r="Q13408" i="12"/>
  <c r="Q13407" i="12"/>
  <c r="Q13406" i="12"/>
  <c r="Q13405" i="12"/>
  <c r="Q13404" i="12"/>
  <c r="Q13403" i="12"/>
  <c r="Q13402" i="12"/>
  <c r="Q13401" i="12"/>
  <c r="Q13400" i="12"/>
  <c r="Q13399" i="12"/>
  <c r="Q13398" i="12"/>
  <c r="Q13397" i="12"/>
  <c r="Q13396" i="12"/>
  <c r="Q13395" i="12"/>
  <c r="Q13394" i="12"/>
  <c r="Q13393" i="12"/>
  <c r="Q13392" i="12"/>
  <c r="Q13391" i="12"/>
  <c r="Q13390" i="12"/>
  <c r="Q13389" i="12"/>
  <c r="Q13388" i="12"/>
  <c r="Q13387" i="12"/>
  <c r="Q13386" i="12"/>
  <c r="Q13385" i="12"/>
  <c r="Q13384" i="12"/>
  <c r="Q13383" i="12"/>
  <c r="Q13382" i="12"/>
  <c r="Q13381" i="12"/>
  <c r="Q13380" i="12"/>
  <c r="Q13379" i="12"/>
  <c r="Q13378" i="12"/>
  <c r="Q13377" i="12"/>
  <c r="Q13376" i="12"/>
  <c r="Q13375" i="12"/>
  <c r="Q13374" i="12"/>
  <c r="Q13373" i="12"/>
  <c r="Q13372" i="12"/>
  <c r="Q13371" i="12"/>
  <c r="Q13370" i="12"/>
  <c r="Q13369" i="12"/>
  <c r="Q13368" i="12"/>
  <c r="Q13367" i="12"/>
  <c r="Q13366" i="12"/>
  <c r="Q13365" i="12"/>
  <c r="Q13364" i="12"/>
  <c r="Q13363" i="12"/>
  <c r="Q13362" i="12"/>
  <c r="Q13361" i="12"/>
  <c r="Q13360" i="12"/>
  <c r="Q13359" i="12"/>
  <c r="Q13358" i="12"/>
  <c r="Q13357" i="12"/>
  <c r="Q13356" i="12"/>
  <c r="Q13355" i="12"/>
  <c r="Q13354" i="12"/>
  <c r="Q13353" i="12"/>
  <c r="Q13352" i="12"/>
  <c r="Q13351" i="12"/>
  <c r="Q13350" i="12"/>
  <c r="Q13349" i="12"/>
  <c r="Q13348" i="12"/>
  <c r="Q13347" i="12"/>
  <c r="Q13346" i="12"/>
  <c r="Q13345" i="12"/>
  <c r="Q13344" i="12"/>
  <c r="Q13343" i="12"/>
  <c r="Q13342" i="12"/>
  <c r="Q13341" i="12"/>
  <c r="Q13340" i="12"/>
  <c r="Q13339" i="12"/>
  <c r="Q13338" i="12"/>
  <c r="Q13337" i="12"/>
  <c r="Q13336" i="12"/>
  <c r="Q13335" i="12"/>
  <c r="Q13334" i="12"/>
  <c r="Q13333" i="12"/>
  <c r="Q13332" i="12"/>
  <c r="Q13331" i="12"/>
  <c r="Q13330" i="12"/>
  <c r="Q13329" i="12"/>
  <c r="Q13328" i="12"/>
  <c r="Q13327" i="12"/>
  <c r="Q13326" i="12"/>
  <c r="Q13325" i="12"/>
  <c r="Q13324" i="12"/>
  <c r="Q13323" i="12"/>
  <c r="Q13322" i="12"/>
  <c r="Q13321" i="12"/>
  <c r="Q13320" i="12"/>
  <c r="Q13319" i="12"/>
  <c r="Q13318" i="12"/>
  <c r="Q13317" i="12"/>
  <c r="Q13316" i="12"/>
  <c r="Q13315" i="12"/>
  <c r="Q13314" i="12"/>
  <c r="Q13313" i="12"/>
  <c r="Q13312" i="12"/>
  <c r="Q13311" i="12"/>
  <c r="Q13310" i="12"/>
  <c r="Q13309" i="12"/>
  <c r="Q13308" i="12"/>
  <c r="Q13307" i="12"/>
  <c r="Q13306" i="12"/>
  <c r="Q13305" i="12"/>
  <c r="Q13304" i="12"/>
  <c r="Q13303" i="12"/>
  <c r="Q13302" i="12"/>
  <c r="Q13301" i="12"/>
  <c r="Q13300" i="12"/>
  <c r="Q13299" i="12"/>
  <c r="Q13298" i="12"/>
  <c r="Q13297" i="12"/>
  <c r="Q13296" i="12"/>
  <c r="Q13295" i="12"/>
  <c r="Q13294" i="12"/>
  <c r="Q13293" i="12"/>
  <c r="Q13292" i="12"/>
  <c r="Q13291" i="12"/>
  <c r="Q13290" i="12"/>
  <c r="Q13289" i="12"/>
  <c r="Q13288" i="12"/>
  <c r="Q13287" i="12"/>
  <c r="Q13286" i="12"/>
  <c r="Q13285" i="12"/>
  <c r="Q13284" i="12"/>
  <c r="Q13283" i="12"/>
  <c r="Q13282" i="12"/>
  <c r="Q13281" i="12"/>
  <c r="Q13280" i="12"/>
  <c r="Q13279" i="12"/>
  <c r="Q13278" i="12"/>
  <c r="Q13277" i="12"/>
  <c r="Q13276" i="12"/>
  <c r="Q13275" i="12"/>
  <c r="Q13274" i="12"/>
  <c r="Q13273" i="12"/>
  <c r="Q13272" i="12"/>
  <c r="Q13271" i="12"/>
  <c r="Q13270" i="12"/>
  <c r="Q13269" i="12"/>
  <c r="Q13268" i="12"/>
  <c r="Q13267" i="12"/>
  <c r="Q13266" i="12"/>
  <c r="Q13265" i="12"/>
  <c r="Q13264" i="12"/>
  <c r="Q13263" i="12"/>
  <c r="Q13262" i="12"/>
  <c r="Q13261" i="12"/>
  <c r="Q13260" i="12"/>
  <c r="Q13259" i="12"/>
  <c r="Q13258" i="12"/>
  <c r="Q13257" i="12"/>
  <c r="Q13256" i="12"/>
  <c r="Q13255" i="12"/>
  <c r="Q13254" i="12"/>
  <c r="Q13253" i="12"/>
  <c r="Q13252" i="12"/>
  <c r="Q13251" i="12"/>
  <c r="Q13250" i="12"/>
  <c r="Q13249" i="12"/>
  <c r="Q13248" i="12"/>
  <c r="Q13247" i="12"/>
  <c r="Q13246" i="12"/>
  <c r="Q13245" i="12"/>
  <c r="Q13244" i="12"/>
  <c r="Q13243" i="12"/>
  <c r="Q13242" i="12"/>
  <c r="Q13241" i="12"/>
  <c r="Q13240" i="12"/>
  <c r="Q13239" i="12"/>
  <c r="Q13238" i="12"/>
  <c r="Q13237" i="12"/>
  <c r="Q13236" i="12"/>
  <c r="Q13235" i="12"/>
  <c r="Q13234" i="12"/>
  <c r="Q13233" i="12"/>
  <c r="Q13232" i="12"/>
  <c r="Q13231" i="12"/>
  <c r="Q13230" i="12"/>
  <c r="Q13229" i="12"/>
  <c r="Q13228" i="12"/>
  <c r="Q13227" i="12"/>
  <c r="Q13226" i="12"/>
  <c r="Q13225" i="12"/>
  <c r="Q13224" i="12"/>
  <c r="Q13223" i="12"/>
  <c r="Q13222" i="12"/>
  <c r="Q13221" i="12"/>
  <c r="Q13220" i="12"/>
  <c r="Q13219" i="12"/>
  <c r="Q13218" i="12"/>
  <c r="Q13217" i="12"/>
  <c r="Q13216" i="12"/>
  <c r="Q13215" i="12"/>
  <c r="Q13214" i="12"/>
  <c r="Q13213" i="12"/>
  <c r="Q13212" i="12"/>
  <c r="Q13211" i="12"/>
  <c r="Q13210" i="12"/>
  <c r="Q13209" i="12"/>
  <c r="Q13208" i="12"/>
  <c r="Q13207" i="12"/>
  <c r="Q13206" i="12"/>
  <c r="Q13205" i="12"/>
  <c r="Q13204" i="12"/>
  <c r="Q13203" i="12"/>
  <c r="Q13202" i="12"/>
  <c r="Q13201" i="12"/>
  <c r="Q13200" i="12"/>
  <c r="Q13199" i="12"/>
  <c r="Q13198" i="12"/>
  <c r="Q13197" i="12"/>
  <c r="Q13196" i="12"/>
  <c r="Q13195" i="12"/>
  <c r="Q13194" i="12"/>
  <c r="Q13193" i="12"/>
  <c r="Q13192" i="12"/>
  <c r="Q13191" i="12"/>
  <c r="Q13190" i="12"/>
  <c r="Q13189" i="12"/>
  <c r="Q13188" i="12"/>
  <c r="Q13187" i="12"/>
  <c r="Q13186" i="12"/>
  <c r="Q13185" i="12"/>
  <c r="Q13184" i="12"/>
  <c r="Q13183" i="12"/>
  <c r="Q13182" i="12"/>
  <c r="Q13181" i="12"/>
  <c r="Q13180" i="12"/>
  <c r="Q13179" i="12"/>
  <c r="Q13178" i="12"/>
  <c r="Q13177" i="12"/>
  <c r="Q13176" i="12"/>
  <c r="Q13175" i="12"/>
  <c r="Q13174" i="12"/>
  <c r="Q13173" i="12"/>
  <c r="Q13172" i="12"/>
  <c r="Q13171" i="12"/>
  <c r="Q13170" i="12"/>
  <c r="Q13169" i="12"/>
  <c r="Q13168" i="12"/>
  <c r="Q13167" i="12"/>
  <c r="Q13166" i="12"/>
  <c r="Q13165" i="12"/>
  <c r="Q13164" i="12"/>
  <c r="Q13163" i="12"/>
  <c r="Q13162" i="12"/>
  <c r="Q13161" i="12"/>
  <c r="Q13160" i="12"/>
  <c r="Q13159" i="12"/>
  <c r="Q13158" i="12"/>
  <c r="Q13157" i="12"/>
  <c r="Q13156" i="12"/>
  <c r="Q13155" i="12"/>
  <c r="Q13154" i="12"/>
  <c r="Q13153" i="12"/>
  <c r="Q13152" i="12"/>
  <c r="Q13151" i="12"/>
  <c r="Q13150" i="12"/>
  <c r="Q13149" i="12"/>
  <c r="Q13148" i="12"/>
  <c r="Q13147" i="12"/>
  <c r="Q13146" i="12"/>
  <c r="Q13145" i="12"/>
  <c r="Q13144" i="12"/>
  <c r="Q13143" i="12"/>
  <c r="Q13142" i="12"/>
  <c r="Q13141" i="12"/>
  <c r="Q13140" i="12"/>
  <c r="Q13139" i="12"/>
  <c r="Q13138" i="12"/>
  <c r="Q13137" i="12"/>
  <c r="Q13136" i="12"/>
  <c r="Q13135" i="12"/>
  <c r="Q13134" i="12"/>
  <c r="Q13133" i="12"/>
  <c r="Q13132" i="12"/>
  <c r="Q13131" i="12"/>
  <c r="Q13130" i="12"/>
  <c r="Q13129" i="12"/>
  <c r="Q13128" i="12"/>
  <c r="Q13127" i="12"/>
  <c r="Q13126" i="12"/>
  <c r="Q13125" i="12"/>
  <c r="Q13124" i="12"/>
  <c r="Q13123" i="12"/>
  <c r="Q13122" i="12"/>
  <c r="Q13121" i="12"/>
  <c r="Q13120" i="12"/>
  <c r="Q13119" i="12"/>
  <c r="Q13118" i="12"/>
  <c r="Q13117" i="12"/>
  <c r="Q13116" i="12"/>
  <c r="Q13115" i="12"/>
  <c r="Q13114" i="12"/>
  <c r="Q13113" i="12"/>
  <c r="Q13112" i="12"/>
  <c r="Q13111" i="12"/>
  <c r="Q13110" i="12"/>
  <c r="Q13109" i="12"/>
  <c r="Q13108" i="12"/>
  <c r="Q13107" i="12"/>
  <c r="Q13106" i="12"/>
  <c r="Q13105" i="12"/>
  <c r="Q13104" i="12"/>
  <c r="Q13103" i="12"/>
  <c r="Q13102" i="12"/>
  <c r="Q13101" i="12"/>
  <c r="Q13100" i="12"/>
  <c r="Q13099" i="12"/>
  <c r="Q13098" i="12"/>
  <c r="Q13097" i="12"/>
  <c r="Q13096" i="12"/>
  <c r="Q13095" i="12"/>
  <c r="Q13094" i="12"/>
  <c r="Q13093" i="12"/>
  <c r="Q13092" i="12"/>
  <c r="Q13091" i="12"/>
  <c r="Q13090" i="12"/>
  <c r="Q13089" i="12"/>
  <c r="Q13088" i="12"/>
  <c r="Q13087" i="12"/>
  <c r="Q13086" i="12"/>
  <c r="Q13085" i="12"/>
  <c r="Q13084" i="12"/>
  <c r="Q13083" i="12"/>
  <c r="Q13082" i="12"/>
  <c r="Q13081" i="12"/>
  <c r="Q13080" i="12"/>
  <c r="Q13079" i="12"/>
  <c r="Q13078" i="12"/>
  <c r="Q13077" i="12"/>
  <c r="Q13076" i="12"/>
  <c r="Q13075" i="12"/>
  <c r="Q13074" i="12"/>
  <c r="Q13073" i="12"/>
  <c r="Q13072" i="12"/>
  <c r="Q13071" i="12"/>
  <c r="Q13070" i="12"/>
  <c r="Q13069" i="12"/>
  <c r="Q13068" i="12"/>
  <c r="Q13067" i="12"/>
  <c r="Q13066" i="12"/>
  <c r="Q13065" i="12"/>
  <c r="Q13064" i="12"/>
  <c r="Q13063" i="12"/>
  <c r="Q13062" i="12"/>
  <c r="Q13061" i="12"/>
  <c r="Q13060" i="12"/>
  <c r="Q13059" i="12"/>
  <c r="Q13058" i="12"/>
  <c r="Q13057" i="12"/>
  <c r="Q13056" i="12"/>
  <c r="Q13055" i="12"/>
  <c r="Q13054" i="12"/>
  <c r="Q13053" i="12"/>
  <c r="Q13052" i="12"/>
  <c r="Q13051" i="12"/>
  <c r="Q13050" i="12"/>
  <c r="Q13049" i="12"/>
  <c r="Q13048" i="12"/>
  <c r="Q13047" i="12"/>
  <c r="Q13046" i="12"/>
  <c r="Q13045" i="12"/>
  <c r="Q13044" i="12"/>
  <c r="Q13043" i="12"/>
  <c r="Q13042" i="12"/>
  <c r="Q13041" i="12"/>
  <c r="Q13040" i="12"/>
  <c r="Q13039" i="12"/>
  <c r="Q13038" i="12"/>
  <c r="Q13037" i="12"/>
  <c r="Q13036" i="12"/>
  <c r="Q13035" i="12"/>
  <c r="Q13034" i="12"/>
  <c r="Q13033" i="12"/>
  <c r="Q13032" i="12"/>
  <c r="Q13031" i="12"/>
  <c r="Q13030" i="12"/>
  <c r="Q13029" i="12"/>
  <c r="Q13028" i="12"/>
  <c r="Q13027" i="12"/>
  <c r="Q13026" i="12"/>
  <c r="Q13025" i="12"/>
  <c r="Q13024" i="12"/>
  <c r="Q13023" i="12"/>
  <c r="Q13022" i="12"/>
  <c r="Q13021" i="12"/>
  <c r="Q13020" i="12"/>
  <c r="Q13019" i="12"/>
  <c r="Q13018" i="12"/>
  <c r="Q13017" i="12"/>
  <c r="Q13016" i="12"/>
  <c r="Q13015" i="12"/>
  <c r="Q13014" i="12"/>
  <c r="Q13013" i="12"/>
  <c r="Q13012" i="12"/>
  <c r="Q13011" i="12"/>
  <c r="Q13010" i="12"/>
  <c r="Q13009" i="12"/>
  <c r="Q13008" i="12"/>
  <c r="Q13007" i="12"/>
  <c r="Q13006" i="12"/>
  <c r="Q13005" i="12"/>
  <c r="Q13004" i="12"/>
  <c r="Q13003" i="12"/>
  <c r="Q13002" i="12"/>
  <c r="Q13001" i="12"/>
  <c r="Q13000" i="12"/>
  <c r="Q12999" i="12"/>
  <c r="Q12998" i="12"/>
  <c r="Q12997" i="12"/>
  <c r="Q12996" i="12"/>
  <c r="Q12995" i="12"/>
  <c r="Q12994" i="12"/>
  <c r="Q12993" i="12"/>
  <c r="Q12992" i="12"/>
  <c r="Q12991" i="12"/>
  <c r="Q12990" i="12"/>
  <c r="Q12989" i="12"/>
  <c r="Q12988" i="12"/>
  <c r="Q12987" i="12"/>
  <c r="Q12986" i="12"/>
  <c r="Q12985" i="12"/>
  <c r="Q12984" i="12"/>
  <c r="Q12983" i="12"/>
  <c r="Q12982" i="12"/>
  <c r="Q12981" i="12"/>
  <c r="Q12980" i="12"/>
  <c r="Q12979" i="12"/>
  <c r="Q12978" i="12"/>
  <c r="Q12977" i="12"/>
  <c r="Q12976" i="12"/>
  <c r="Q12975" i="12"/>
  <c r="Q12974" i="12"/>
  <c r="Q12973" i="12"/>
  <c r="Q12972" i="12"/>
  <c r="Q12971" i="12"/>
  <c r="Q12970" i="12"/>
  <c r="Q12969" i="12"/>
  <c r="Q12968" i="12"/>
  <c r="Q12967" i="12"/>
  <c r="Q12966" i="12"/>
  <c r="Q12965" i="12"/>
  <c r="Q12964" i="12"/>
  <c r="Q12963" i="12"/>
  <c r="Q12962" i="12"/>
  <c r="Q12961" i="12"/>
  <c r="Q12960" i="12"/>
  <c r="Q12959" i="12"/>
  <c r="Q12958" i="12"/>
  <c r="Q12957" i="12"/>
  <c r="Q12956" i="12"/>
  <c r="Q12955" i="12"/>
  <c r="Q12954" i="12"/>
  <c r="Q12953" i="12"/>
  <c r="Q12952" i="12"/>
  <c r="Q12951" i="12"/>
  <c r="Q12950" i="12"/>
  <c r="Q12949" i="12"/>
  <c r="Q12948" i="12"/>
  <c r="Q12947" i="12"/>
  <c r="Q12946" i="12"/>
  <c r="Q12945" i="12"/>
  <c r="Q12944" i="12"/>
  <c r="Q12943" i="12"/>
  <c r="Q12942" i="12"/>
  <c r="Q12941" i="12"/>
  <c r="Q12940" i="12"/>
  <c r="Q12939" i="12"/>
  <c r="Q12938" i="12"/>
  <c r="Q12937" i="12"/>
  <c r="Q12936" i="12"/>
  <c r="Q12935" i="12"/>
  <c r="Q12934" i="12"/>
  <c r="Q12933" i="12"/>
  <c r="Q12932" i="12"/>
  <c r="Q12931" i="12"/>
  <c r="Q12930" i="12"/>
  <c r="Q12929" i="12"/>
  <c r="Q12928" i="12"/>
  <c r="Q12927" i="12"/>
  <c r="Q12926" i="12"/>
  <c r="Q12925" i="12"/>
  <c r="Q12924" i="12"/>
  <c r="Q12923" i="12"/>
  <c r="Q12922" i="12"/>
  <c r="Q12921" i="12"/>
  <c r="Q12920" i="12"/>
  <c r="Q12919" i="12"/>
  <c r="Q12918" i="12"/>
  <c r="Q12917" i="12"/>
  <c r="Q12916" i="12"/>
  <c r="Q12915" i="12"/>
  <c r="Q12914" i="12"/>
  <c r="Q12913" i="12"/>
  <c r="Q12912" i="12"/>
  <c r="Q12911" i="12"/>
  <c r="Q12910" i="12"/>
  <c r="Q12909" i="12"/>
  <c r="Q12908" i="12"/>
  <c r="Q12907" i="12"/>
  <c r="Q12906" i="12"/>
  <c r="Q12905" i="12"/>
  <c r="Q12904" i="12"/>
  <c r="Q12903" i="12"/>
  <c r="Q12902" i="12"/>
  <c r="Q12901" i="12"/>
  <c r="Q12900" i="12"/>
  <c r="Q12899" i="12"/>
  <c r="Q12898" i="12"/>
  <c r="Q12897" i="12"/>
  <c r="Q12896" i="12"/>
  <c r="Q12895" i="12"/>
  <c r="Q12894" i="12"/>
  <c r="Q12893" i="12"/>
  <c r="Q12892" i="12"/>
  <c r="Q12891" i="12"/>
  <c r="Q12890" i="12"/>
  <c r="Q12889" i="12"/>
  <c r="Q12888" i="12"/>
  <c r="Q12887" i="12"/>
  <c r="Q12886" i="12"/>
  <c r="Q12885" i="12"/>
  <c r="Q12884" i="12"/>
  <c r="Q12883" i="12"/>
  <c r="Q12882" i="12"/>
  <c r="Q12881" i="12"/>
  <c r="Q12880" i="12"/>
  <c r="Q12879" i="12"/>
  <c r="Q12878" i="12"/>
  <c r="Q12877" i="12"/>
  <c r="Q12876" i="12"/>
  <c r="Q12875" i="12"/>
  <c r="Q12874" i="12"/>
  <c r="Q12873" i="12"/>
  <c r="Q12872" i="12"/>
  <c r="Q12871" i="12"/>
  <c r="Q12870" i="12"/>
  <c r="Q12869" i="12"/>
  <c r="Q12868" i="12"/>
  <c r="Q12867" i="12"/>
  <c r="Q12866" i="12"/>
  <c r="Q12865" i="12"/>
  <c r="Q12864" i="12"/>
  <c r="Q12863" i="12"/>
  <c r="Q12862" i="12"/>
  <c r="Q12861" i="12"/>
  <c r="Q12860" i="12"/>
  <c r="Q12859" i="12"/>
  <c r="Q12858" i="12"/>
  <c r="Q12857" i="12"/>
  <c r="Q12856" i="12"/>
  <c r="Q12855" i="12"/>
  <c r="Q12854" i="12"/>
  <c r="Q12853" i="12"/>
  <c r="Q12852" i="12"/>
  <c r="Q12851" i="12"/>
  <c r="Q12850" i="12"/>
  <c r="Q12849" i="12"/>
  <c r="Q12848" i="12"/>
  <c r="Q12847" i="12"/>
  <c r="Q12846" i="12"/>
  <c r="Q12845" i="12"/>
  <c r="Q12844" i="12"/>
  <c r="Q12843" i="12"/>
  <c r="Q12842" i="12"/>
  <c r="Q12841" i="12"/>
  <c r="Q12840" i="12"/>
  <c r="Q12839" i="12"/>
  <c r="Q12838" i="12"/>
  <c r="Q12837" i="12"/>
  <c r="Q12836" i="12"/>
  <c r="Q12835" i="12"/>
  <c r="Q12834" i="12"/>
  <c r="Q12833" i="12"/>
  <c r="Q12832" i="12"/>
  <c r="Q12831" i="12"/>
  <c r="Q12830" i="12"/>
  <c r="Q12829" i="12"/>
  <c r="Q12828" i="12"/>
  <c r="Q12827" i="12"/>
  <c r="Q12826" i="12"/>
  <c r="Q12825" i="12"/>
  <c r="Q12824" i="12"/>
  <c r="Q12823" i="12"/>
  <c r="Q12822" i="12"/>
  <c r="Q12821" i="12"/>
  <c r="Q12820" i="12"/>
  <c r="Q12819" i="12"/>
  <c r="Q12818" i="12"/>
  <c r="Q12817" i="12"/>
  <c r="Q12816" i="12"/>
  <c r="Q12815" i="12"/>
  <c r="Q12814" i="12"/>
  <c r="Q12813" i="12"/>
  <c r="Q12812" i="12"/>
  <c r="Q12811" i="12"/>
  <c r="Q12810" i="12"/>
  <c r="Q12809" i="12"/>
  <c r="Q12808" i="12"/>
  <c r="Q12807" i="12"/>
  <c r="Q12806" i="12"/>
  <c r="Q12805" i="12"/>
  <c r="Q12804" i="12"/>
  <c r="Q12803" i="12"/>
  <c r="Q12802" i="12"/>
  <c r="Q12801" i="12"/>
  <c r="Q12800" i="12"/>
  <c r="Q12799" i="12"/>
  <c r="Q12798" i="12"/>
  <c r="Q12797" i="12"/>
  <c r="Q12796" i="12"/>
  <c r="Q12795" i="12"/>
  <c r="Q12794" i="12"/>
  <c r="Q12793" i="12"/>
  <c r="Q12792" i="12"/>
  <c r="Q12791" i="12"/>
  <c r="Q12790" i="12"/>
  <c r="Q12789" i="12"/>
  <c r="Q12788" i="12"/>
  <c r="Q12787" i="12"/>
  <c r="Q12786" i="12"/>
  <c r="Q12785" i="12"/>
  <c r="Q12784" i="12"/>
  <c r="Q12783" i="12"/>
  <c r="Q12782" i="12"/>
  <c r="Q12781" i="12"/>
  <c r="Q12780" i="12"/>
  <c r="Q12779" i="12"/>
  <c r="Q12778" i="12"/>
  <c r="Q12777" i="12"/>
  <c r="Q12776" i="12"/>
  <c r="Q12775" i="12"/>
  <c r="Q12774" i="12"/>
  <c r="Q12773" i="12"/>
  <c r="Q12772" i="12"/>
  <c r="Q12771" i="12"/>
  <c r="Q12770" i="12"/>
  <c r="Q12769" i="12"/>
  <c r="Q12768" i="12"/>
  <c r="Q12767" i="12"/>
  <c r="Q12766" i="12"/>
  <c r="Q12765" i="12"/>
  <c r="Q12764" i="12"/>
  <c r="Q12763" i="12"/>
  <c r="Q12762" i="12"/>
  <c r="Q12761" i="12"/>
  <c r="Q12760" i="12"/>
  <c r="Q12759" i="12"/>
  <c r="Q12758" i="12"/>
  <c r="Q12757" i="12"/>
  <c r="Q12756" i="12"/>
  <c r="Q12755" i="12"/>
  <c r="Q12754" i="12"/>
  <c r="Q12753" i="12"/>
  <c r="Q12752" i="12"/>
  <c r="Q12751" i="12"/>
  <c r="Q12750" i="12"/>
  <c r="Q12749" i="12"/>
  <c r="Q12748" i="12"/>
  <c r="Q12747" i="12"/>
  <c r="Q12746" i="12"/>
  <c r="Q12745" i="12"/>
  <c r="Q12744" i="12"/>
  <c r="Q12743" i="12"/>
  <c r="Q12742" i="12"/>
  <c r="Q12741" i="12"/>
  <c r="Q12740" i="12"/>
  <c r="Q12739" i="12"/>
  <c r="Q12738" i="12"/>
  <c r="Q12737" i="12"/>
  <c r="Q12736" i="12"/>
  <c r="Q12735" i="12"/>
  <c r="Q12734" i="12"/>
  <c r="Q12733" i="12"/>
  <c r="Q12732" i="12"/>
  <c r="Q12731" i="12"/>
  <c r="Q12730" i="12"/>
  <c r="Q12729" i="12"/>
  <c r="Q12728" i="12"/>
  <c r="Q12727" i="12"/>
  <c r="Q12726" i="12"/>
  <c r="Q12725" i="12"/>
  <c r="Q12724" i="12"/>
  <c r="Q12723" i="12"/>
  <c r="Q12722" i="12"/>
  <c r="Q12721" i="12"/>
  <c r="Q12720" i="12"/>
  <c r="Q12719" i="12"/>
  <c r="Q12718" i="12"/>
  <c r="Q12717" i="12"/>
  <c r="Q12716" i="12"/>
  <c r="Q12715" i="12"/>
  <c r="Q12714" i="12"/>
  <c r="Q12713" i="12"/>
  <c r="Q12712" i="12"/>
  <c r="Q12711" i="12"/>
  <c r="Q12710" i="12"/>
  <c r="Q12709" i="12"/>
  <c r="Q12708" i="12"/>
  <c r="Q12707" i="12"/>
  <c r="Q12706" i="12"/>
  <c r="Q12705" i="12"/>
  <c r="Q12704" i="12"/>
  <c r="Q12703" i="12"/>
  <c r="Q12702" i="12"/>
  <c r="Q12701" i="12"/>
  <c r="Q12700" i="12"/>
  <c r="Q12699" i="12"/>
  <c r="Q12698" i="12"/>
  <c r="Q12697" i="12"/>
  <c r="Q12696" i="12"/>
  <c r="Q12695" i="12"/>
  <c r="Q12694" i="12"/>
  <c r="Q12693" i="12"/>
  <c r="Q12692" i="12"/>
  <c r="Q12691" i="12"/>
  <c r="Q12690" i="12"/>
  <c r="Q12689" i="12"/>
  <c r="Q12688" i="12"/>
  <c r="Q12687" i="12"/>
  <c r="Q12686" i="12"/>
  <c r="Q12685" i="12"/>
  <c r="Q12684" i="12"/>
  <c r="Q12683" i="12"/>
  <c r="Q12682" i="12"/>
  <c r="Q12681" i="12"/>
  <c r="Q12680" i="12"/>
  <c r="Q12679" i="12"/>
  <c r="Q12678" i="12"/>
  <c r="Q12677" i="12"/>
  <c r="Q12676" i="12"/>
  <c r="Q12675" i="12"/>
  <c r="Q12674" i="12"/>
  <c r="Q12673" i="12"/>
  <c r="Q12672" i="12"/>
  <c r="Q12671" i="12"/>
  <c r="Q12670" i="12"/>
  <c r="Q12669" i="12"/>
  <c r="Q12668" i="12"/>
  <c r="Q12667" i="12"/>
  <c r="Q12666" i="12"/>
  <c r="Q12665" i="12"/>
  <c r="Q12664" i="12"/>
  <c r="Q12663" i="12"/>
  <c r="Q12662" i="12"/>
  <c r="Q12661" i="12"/>
  <c r="Q12660" i="12"/>
  <c r="Q12659" i="12"/>
  <c r="Q12658" i="12"/>
  <c r="Q12657" i="12"/>
  <c r="Q12656" i="12"/>
  <c r="Q12655" i="12"/>
  <c r="Q12654" i="12"/>
  <c r="Q12653" i="12"/>
  <c r="Q12652" i="12"/>
  <c r="Q12651" i="12"/>
  <c r="Q12650" i="12"/>
  <c r="Q12649" i="12"/>
  <c r="Q12648" i="12"/>
  <c r="Q12647" i="12"/>
  <c r="Q12646" i="12"/>
  <c r="Q12645" i="12"/>
  <c r="Q12644" i="12"/>
  <c r="Q12643" i="12"/>
  <c r="Q12642" i="12"/>
  <c r="Q12641" i="12"/>
  <c r="Q12640" i="12"/>
  <c r="Q12639" i="12"/>
  <c r="Q12638" i="12"/>
  <c r="Q12637" i="12"/>
  <c r="Q12636" i="12"/>
  <c r="Q12635" i="12"/>
  <c r="Q12634" i="12"/>
  <c r="Q12633" i="12"/>
  <c r="Q12632" i="12"/>
  <c r="Q12631" i="12"/>
  <c r="Q12630" i="12"/>
  <c r="Q12629" i="12"/>
  <c r="Q12628" i="12"/>
  <c r="Q12627" i="12"/>
  <c r="Q12626" i="12"/>
  <c r="Q12625" i="12"/>
  <c r="Q12624" i="12"/>
  <c r="Q12623" i="12"/>
  <c r="Q12622" i="12"/>
  <c r="Q12621" i="12"/>
  <c r="Q12620" i="12"/>
  <c r="Q12619" i="12"/>
  <c r="Q12618" i="12"/>
  <c r="Q12617" i="12"/>
  <c r="Q12616" i="12"/>
  <c r="Q12615" i="12"/>
  <c r="Q12614" i="12"/>
  <c r="Q12613" i="12"/>
  <c r="Q12612" i="12"/>
  <c r="Q12611" i="12"/>
  <c r="Q12610" i="12"/>
  <c r="Q12609" i="12"/>
  <c r="Q12608" i="12"/>
  <c r="Q12607" i="12"/>
  <c r="Q12606" i="12"/>
  <c r="Q12605" i="12"/>
  <c r="Q12604" i="12"/>
  <c r="Q12603" i="12"/>
  <c r="Q12602" i="12"/>
  <c r="Q12601" i="12"/>
  <c r="Q12600" i="12"/>
  <c r="Q12599" i="12"/>
  <c r="Q12598" i="12"/>
  <c r="Q12597" i="12"/>
  <c r="Q12596" i="12"/>
  <c r="Q12595" i="12"/>
  <c r="Q12594" i="12"/>
  <c r="Q12593" i="12"/>
  <c r="Q12592" i="12"/>
  <c r="Q12591" i="12"/>
  <c r="Q12590" i="12"/>
  <c r="Q12589" i="12"/>
  <c r="Q12588" i="12"/>
  <c r="Q12587" i="12"/>
  <c r="Q12586" i="12"/>
  <c r="Q12585" i="12"/>
  <c r="Q12584" i="12"/>
  <c r="Q12583" i="12"/>
  <c r="Q12582" i="12"/>
  <c r="Q12581" i="12"/>
  <c r="Q12580" i="12"/>
  <c r="Q12579" i="12"/>
  <c r="Q12578" i="12"/>
  <c r="Q12577" i="12"/>
  <c r="Q12576" i="12"/>
  <c r="Q12575" i="12"/>
  <c r="Q12574" i="12"/>
  <c r="Q12573" i="12"/>
  <c r="Q12572" i="12"/>
  <c r="Q12571" i="12"/>
  <c r="Q12570" i="12"/>
  <c r="Q12569" i="12"/>
  <c r="Q12568" i="12"/>
  <c r="Q12567" i="12"/>
  <c r="Q12566" i="12"/>
  <c r="Q12565" i="12"/>
  <c r="Q12564" i="12"/>
  <c r="Q12563" i="12"/>
  <c r="Q12562" i="12"/>
  <c r="Q12561" i="12"/>
  <c r="Q12560" i="12"/>
  <c r="Q12559" i="12"/>
  <c r="Q12558" i="12"/>
  <c r="Q12557" i="12"/>
  <c r="Q12556" i="12"/>
  <c r="Q12555" i="12"/>
  <c r="Q12554" i="12"/>
  <c r="Q12553" i="12"/>
  <c r="Q12552" i="12"/>
  <c r="Q12551" i="12"/>
  <c r="Q12550" i="12"/>
  <c r="Q12549" i="12"/>
  <c r="Q12548" i="12"/>
  <c r="Q12547" i="12"/>
  <c r="Q12546" i="12"/>
  <c r="Q12545" i="12"/>
  <c r="Q12544" i="12"/>
  <c r="Q12543" i="12"/>
  <c r="Q12542" i="12"/>
  <c r="Q12541" i="12"/>
  <c r="Q12540" i="12"/>
  <c r="Q12539" i="12"/>
  <c r="Q12538" i="12"/>
  <c r="Q12537" i="12"/>
  <c r="Q12536" i="12"/>
  <c r="Q12535" i="12"/>
  <c r="Q12534" i="12"/>
  <c r="Q12533" i="12"/>
  <c r="Q12532" i="12"/>
  <c r="Q12531" i="12"/>
  <c r="Q12530" i="12"/>
  <c r="Q12529" i="12"/>
  <c r="Q12528" i="12"/>
  <c r="Q12527" i="12"/>
  <c r="Q12526" i="12"/>
  <c r="Q12525" i="12"/>
  <c r="Q12524" i="12"/>
  <c r="Q12523" i="12"/>
  <c r="Q12522" i="12"/>
  <c r="Q12521" i="12"/>
  <c r="Q12520" i="12"/>
  <c r="Q12519" i="12"/>
  <c r="Q12518" i="12"/>
  <c r="Q12517" i="12"/>
  <c r="Q12516" i="12"/>
  <c r="Q12515" i="12"/>
  <c r="Q12514" i="12"/>
  <c r="Q12513" i="12"/>
  <c r="Q12512" i="12"/>
  <c r="Q12511" i="12"/>
  <c r="Q12510" i="12"/>
  <c r="Q12509" i="12"/>
  <c r="Q12508" i="12"/>
  <c r="Q12507" i="12"/>
  <c r="Q12506" i="12"/>
  <c r="Q12505" i="12"/>
  <c r="Q12504" i="12"/>
  <c r="Q12503" i="12"/>
  <c r="Q12502" i="12"/>
  <c r="Q12501" i="12"/>
  <c r="Q12500" i="12"/>
  <c r="Q12499" i="12"/>
  <c r="Q12498" i="12"/>
  <c r="Q12497" i="12"/>
  <c r="Q12496" i="12"/>
  <c r="Q12495" i="12"/>
  <c r="Q12494" i="12"/>
  <c r="Q12493" i="12"/>
  <c r="Q12492" i="12"/>
  <c r="Q12491" i="12"/>
  <c r="Q12490" i="12"/>
  <c r="Q12489" i="12"/>
  <c r="Q12488" i="12"/>
  <c r="Q12487" i="12"/>
  <c r="Q12486" i="12"/>
  <c r="Q12485" i="12"/>
  <c r="Q12484" i="12"/>
  <c r="Q12483" i="12"/>
  <c r="Q12482" i="12"/>
  <c r="Q12481" i="12"/>
  <c r="Q12480" i="12"/>
  <c r="Q12479" i="12"/>
  <c r="Q12478" i="12"/>
  <c r="Q12477" i="12"/>
  <c r="Q12476" i="12"/>
  <c r="Q12475" i="12"/>
  <c r="Q12474" i="12"/>
  <c r="Q12473" i="12"/>
  <c r="Q12472" i="12"/>
  <c r="Q12471" i="12"/>
  <c r="Q12470" i="12"/>
  <c r="Q12469" i="12"/>
  <c r="Q12468" i="12"/>
  <c r="Q12467" i="12"/>
  <c r="Q12466" i="12"/>
  <c r="Q12465" i="12"/>
  <c r="Q12464" i="12"/>
  <c r="Q12463" i="12"/>
  <c r="Q12462" i="12"/>
  <c r="Q12461" i="12"/>
  <c r="Q12460" i="12"/>
  <c r="Q12459" i="12"/>
  <c r="Q12458" i="12"/>
  <c r="Q12457" i="12"/>
  <c r="Q12456" i="12"/>
  <c r="Q12455" i="12"/>
  <c r="Q12454" i="12"/>
  <c r="Q12453" i="12"/>
  <c r="Q12452" i="12"/>
  <c r="Q12451" i="12"/>
  <c r="Q12450" i="12"/>
  <c r="Q12449" i="12"/>
  <c r="Q12448" i="12"/>
  <c r="Q12447" i="12"/>
  <c r="Q12446" i="12"/>
  <c r="Q12445" i="12"/>
  <c r="Q12444" i="12"/>
  <c r="Q12443" i="12"/>
  <c r="Q12442" i="12"/>
  <c r="Q12441" i="12"/>
  <c r="Q12440" i="12"/>
  <c r="Q12439" i="12"/>
  <c r="Q12438" i="12"/>
  <c r="Q12437" i="12"/>
  <c r="Q12436" i="12"/>
  <c r="Q12435" i="12"/>
  <c r="Q12434" i="12"/>
  <c r="Q12433" i="12"/>
  <c r="Q12432" i="12"/>
  <c r="Q12431" i="12"/>
  <c r="Q12430" i="12"/>
  <c r="Q12429" i="12"/>
  <c r="Q12428" i="12"/>
  <c r="Q12427" i="12"/>
  <c r="Q12426" i="12"/>
  <c r="Q12425" i="12"/>
  <c r="Q12424" i="12"/>
  <c r="Q12423" i="12"/>
  <c r="Q12422" i="12"/>
  <c r="Q12421" i="12"/>
  <c r="Q12420" i="12"/>
  <c r="Q12419" i="12"/>
  <c r="Q12418" i="12"/>
  <c r="Q12417" i="12"/>
  <c r="Q12416" i="12"/>
  <c r="Q12415" i="12"/>
  <c r="Q12414" i="12"/>
  <c r="Q12413" i="12"/>
  <c r="Q12412" i="12"/>
  <c r="Q12411" i="12"/>
  <c r="Q12410" i="12"/>
  <c r="Q12409" i="12"/>
  <c r="Q12408" i="12"/>
  <c r="Q12407" i="12"/>
  <c r="Q12406" i="12"/>
  <c r="Q12405" i="12"/>
  <c r="Q12404" i="12"/>
  <c r="Q12403" i="12"/>
  <c r="Q12402" i="12"/>
  <c r="Q12401" i="12"/>
  <c r="Q12400" i="12"/>
  <c r="Q12399" i="12"/>
  <c r="Q12398" i="12"/>
  <c r="Q12397" i="12"/>
  <c r="Q12396" i="12"/>
  <c r="Q12395" i="12"/>
  <c r="Q12394" i="12"/>
  <c r="Q12393" i="12"/>
  <c r="Q12392" i="12"/>
  <c r="Q12391" i="12"/>
  <c r="Q12390" i="12"/>
  <c r="Q12389" i="12"/>
  <c r="Q12388" i="12"/>
  <c r="Q12387" i="12"/>
  <c r="Q12386" i="12"/>
  <c r="Q12385" i="12"/>
  <c r="Q12384" i="12"/>
  <c r="Q12383" i="12"/>
  <c r="Q12382" i="12"/>
  <c r="Q12381" i="12"/>
  <c r="Q12380" i="12"/>
  <c r="Q12379" i="12"/>
  <c r="Q12378" i="12"/>
  <c r="Q12377" i="12"/>
  <c r="Q12376" i="12"/>
  <c r="Q12375" i="12"/>
  <c r="Q12374" i="12"/>
  <c r="Q12373" i="12"/>
  <c r="Q12372" i="12"/>
  <c r="Q12371" i="12"/>
  <c r="Q12370" i="12"/>
  <c r="Q12369" i="12"/>
  <c r="Q12368" i="12"/>
  <c r="Q12367" i="12"/>
  <c r="Q12366" i="12"/>
  <c r="Q12365" i="12"/>
  <c r="Q12364" i="12"/>
  <c r="Q12363" i="12"/>
  <c r="Q12362" i="12"/>
  <c r="Q12361" i="12"/>
  <c r="Q12360" i="12"/>
  <c r="Q12359" i="12"/>
  <c r="Q12358" i="12"/>
  <c r="Q12357" i="12"/>
  <c r="Q12356" i="12"/>
  <c r="Q12355" i="12"/>
  <c r="Q12354" i="12"/>
  <c r="Q12353" i="12"/>
  <c r="Q12352" i="12"/>
  <c r="Q12351" i="12"/>
  <c r="Q12350" i="12"/>
  <c r="Q12349" i="12"/>
  <c r="Q12348" i="12"/>
  <c r="Q12347" i="12"/>
  <c r="Q12346" i="12"/>
  <c r="Q12345" i="12"/>
  <c r="Q12344" i="12"/>
  <c r="Q12343" i="12"/>
  <c r="Q12342" i="12"/>
  <c r="Q12341" i="12"/>
  <c r="Q12340" i="12"/>
  <c r="Q12339" i="12"/>
  <c r="Q12338" i="12"/>
  <c r="Q12337" i="12"/>
  <c r="Q12336" i="12"/>
  <c r="Q12335" i="12"/>
  <c r="Q12334" i="12"/>
  <c r="Q12333" i="12"/>
  <c r="Q12332" i="12"/>
  <c r="Q12331" i="12"/>
  <c r="Q12330" i="12"/>
  <c r="Q12329" i="12"/>
  <c r="Q12328" i="12"/>
  <c r="Q12327" i="12"/>
  <c r="Q12326" i="12"/>
  <c r="Q12325" i="12"/>
  <c r="Q12324" i="12"/>
  <c r="Q12323" i="12"/>
  <c r="Q12322" i="12"/>
  <c r="Q12321" i="12"/>
  <c r="Q12320" i="12"/>
  <c r="Q12319" i="12"/>
  <c r="Q12318" i="12"/>
  <c r="Q12317" i="12"/>
  <c r="Q12316" i="12"/>
  <c r="Q12315" i="12"/>
  <c r="Q12314" i="12"/>
  <c r="Q12313" i="12"/>
  <c r="Q12312" i="12"/>
  <c r="Q12311" i="12"/>
  <c r="Q12310" i="12"/>
  <c r="Q12309" i="12"/>
  <c r="Q12308" i="12"/>
  <c r="Q12307" i="12"/>
  <c r="Q12306" i="12"/>
  <c r="Q12305" i="12"/>
  <c r="Q12304" i="12"/>
  <c r="Q12303" i="12"/>
  <c r="Q12302" i="12"/>
  <c r="Q12301" i="12"/>
  <c r="Q12300" i="12"/>
  <c r="Q12299" i="12"/>
  <c r="Q12298" i="12"/>
  <c r="Q12297" i="12"/>
  <c r="Q12296" i="12"/>
  <c r="Q12295" i="12"/>
  <c r="Q12294" i="12"/>
  <c r="Q12293" i="12"/>
  <c r="Q12292" i="12"/>
  <c r="Q12291" i="12"/>
  <c r="Q12290" i="12"/>
  <c r="Q12289" i="12"/>
  <c r="Q12288" i="12"/>
  <c r="Q12287" i="12"/>
  <c r="Q12286" i="12"/>
  <c r="Q12285" i="12"/>
  <c r="Q12284" i="12"/>
  <c r="Q12283" i="12"/>
  <c r="Q12282" i="12"/>
  <c r="Q12281" i="12"/>
  <c r="Q12280" i="12"/>
  <c r="Q12279" i="12"/>
  <c r="Q12278" i="12"/>
  <c r="Q12277" i="12"/>
  <c r="Q12276" i="12"/>
  <c r="Q12275" i="12"/>
  <c r="Q12274" i="12"/>
  <c r="Q12273" i="12"/>
  <c r="Q12272" i="12"/>
  <c r="Q12271" i="12"/>
  <c r="Q12270" i="12"/>
  <c r="Q12269" i="12"/>
  <c r="Q12268" i="12"/>
  <c r="Q12267" i="12"/>
  <c r="Q12266" i="12"/>
  <c r="Q12265" i="12"/>
  <c r="Q12264" i="12"/>
  <c r="Q12263" i="12"/>
  <c r="Q12262" i="12"/>
  <c r="Q12261" i="12"/>
  <c r="Q12260" i="12"/>
  <c r="Q12259" i="12"/>
  <c r="Q12258" i="12"/>
  <c r="Q12257" i="12"/>
  <c r="Q12256" i="12"/>
  <c r="Q12255" i="12"/>
  <c r="Q12254" i="12"/>
  <c r="Q12253" i="12"/>
  <c r="Q12252" i="12"/>
  <c r="Q12251" i="12"/>
  <c r="Q12250" i="12"/>
  <c r="Q12249" i="12"/>
  <c r="Q12248" i="12"/>
  <c r="Q12247" i="12"/>
  <c r="Q12246" i="12"/>
  <c r="Q12245" i="12"/>
  <c r="Q12244" i="12"/>
  <c r="Q12243" i="12"/>
  <c r="Q12242" i="12"/>
  <c r="Q12241" i="12"/>
  <c r="Q12240" i="12"/>
  <c r="Q12239" i="12"/>
  <c r="Q12238" i="12"/>
  <c r="Q12237" i="12"/>
  <c r="Q12236" i="12"/>
  <c r="Q12235" i="12"/>
  <c r="Q12234" i="12"/>
  <c r="Q12233" i="12"/>
  <c r="Q12232" i="12"/>
  <c r="Q12231" i="12"/>
  <c r="Q12230" i="12"/>
  <c r="Q12229" i="12"/>
  <c r="Q12228" i="12"/>
  <c r="Q12227" i="12"/>
  <c r="Q12226" i="12"/>
  <c r="Q12225" i="12"/>
  <c r="Q12224" i="12"/>
  <c r="Q12223" i="12"/>
  <c r="Q12222" i="12"/>
  <c r="Q12221" i="12"/>
  <c r="Q12220" i="12"/>
  <c r="Q12219" i="12"/>
  <c r="Q12218" i="12"/>
  <c r="Q12217" i="12"/>
  <c r="Q12216" i="12"/>
  <c r="Q12215" i="12"/>
  <c r="Q12214" i="12"/>
  <c r="Q12213" i="12"/>
  <c r="Q12212" i="12"/>
  <c r="Q12211" i="12"/>
  <c r="Q12210" i="12"/>
  <c r="Q12209" i="12"/>
  <c r="Q12208" i="12"/>
  <c r="Q12207" i="12"/>
  <c r="Q12206" i="12"/>
  <c r="Q12205" i="12"/>
  <c r="Q12204" i="12"/>
  <c r="Q12203" i="12"/>
  <c r="Q12202" i="12"/>
  <c r="Q12201" i="12"/>
  <c r="Q12200" i="12"/>
  <c r="Q12199" i="12"/>
  <c r="Q12198" i="12"/>
  <c r="Q12197" i="12"/>
  <c r="Q12196" i="12"/>
  <c r="Q12195" i="12"/>
  <c r="Q12194" i="12"/>
  <c r="Q12193" i="12"/>
  <c r="Q12192" i="12"/>
  <c r="Q12191" i="12"/>
  <c r="Q12190" i="12"/>
  <c r="Q12189" i="12"/>
  <c r="Q12188" i="12"/>
  <c r="Q12187" i="12"/>
  <c r="Q12186" i="12"/>
  <c r="Q12185" i="12"/>
  <c r="Q12184" i="12"/>
  <c r="Q12183" i="12"/>
  <c r="Q12182" i="12"/>
  <c r="Q12181" i="12"/>
  <c r="Q12180" i="12"/>
  <c r="Q12179" i="12"/>
  <c r="Q12178" i="12"/>
  <c r="Q12177" i="12"/>
  <c r="Q12176" i="12"/>
  <c r="Q12175" i="12"/>
  <c r="Q12174" i="12"/>
  <c r="Q12173" i="12"/>
  <c r="Q12172" i="12"/>
  <c r="Q12171" i="12"/>
  <c r="Q12170" i="12"/>
  <c r="Q12169" i="12"/>
  <c r="Q12168" i="12"/>
  <c r="Q12167" i="12"/>
  <c r="Q12166" i="12"/>
  <c r="Q12165" i="12"/>
  <c r="Q12164" i="12"/>
  <c r="Q12163" i="12"/>
  <c r="Q12162" i="12"/>
  <c r="Q12161" i="12"/>
  <c r="Q12160" i="12"/>
  <c r="Q12159" i="12"/>
  <c r="Q12158" i="12"/>
  <c r="Q12157" i="12"/>
  <c r="Q12156" i="12"/>
  <c r="Q12155" i="12"/>
  <c r="Q12154" i="12"/>
  <c r="Q12153" i="12"/>
  <c r="Q12152" i="12"/>
  <c r="Q12151" i="12"/>
  <c r="Q12150" i="12"/>
  <c r="Q12149" i="12"/>
  <c r="Q12148" i="12"/>
  <c r="Q12147" i="12"/>
  <c r="Q12146" i="12"/>
  <c r="Q12145" i="12"/>
  <c r="Q12144" i="12"/>
  <c r="Q12143" i="12"/>
  <c r="Q12142" i="12"/>
  <c r="Q12141" i="12"/>
  <c r="Q12140" i="12"/>
  <c r="Q12139" i="12"/>
  <c r="Q12138" i="12"/>
  <c r="Q12137" i="12"/>
  <c r="Q12136" i="12"/>
  <c r="Q12135" i="12"/>
  <c r="Q12134" i="12"/>
  <c r="Q12133" i="12"/>
  <c r="Q12132" i="12"/>
  <c r="Q12131" i="12"/>
  <c r="Q12130" i="12"/>
  <c r="Q12129" i="12"/>
  <c r="Q12128" i="12"/>
  <c r="Q12127" i="12"/>
  <c r="Q12126" i="12"/>
  <c r="Q12125" i="12"/>
  <c r="Q12124" i="12"/>
  <c r="Q12123" i="12"/>
  <c r="Q12122" i="12"/>
  <c r="Q12121" i="12"/>
  <c r="Q12120" i="12"/>
  <c r="Q12119" i="12"/>
  <c r="Q12118" i="12"/>
  <c r="Q12117" i="12"/>
  <c r="Q12116" i="12"/>
  <c r="Q12115" i="12"/>
  <c r="Q12114" i="12"/>
  <c r="Q12113" i="12"/>
  <c r="Q12112" i="12"/>
  <c r="Q12111" i="12"/>
  <c r="Q12110" i="12"/>
  <c r="Q12109" i="12"/>
  <c r="Q12108" i="12"/>
  <c r="Q12107" i="12"/>
  <c r="Q12106" i="12"/>
  <c r="Q12105" i="12"/>
  <c r="Q12104" i="12"/>
  <c r="Q12103" i="12"/>
  <c r="Q12102" i="12"/>
  <c r="Q12101" i="12"/>
  <c r="Q12100" i="12"/>
  <c r="Q12099" i="12"/>
  <c r="Q12098" i="12"/>
  <c r="Q12097" i="12"/>
  <c r="Q12096" i="12"/>
  <c r="Q12095" i="12"/>
  <c r="Q12094" i="12"/>
  <c r="Q12093" i="12"/>
  <c r="Q12092" i="12"/>
  <c r="Q12091" i="12"/>
  <c r="Q12090" i="12"/>
  <c r="Q12089" i="12"/>
  <c r="Q12088" i="12"/>
  <c r="Q12087" i="12"/>
  <c r="Q12086" i="12"/>
  <c r="Q12085" i="12"/>
  <c r="Q12084" i="12"/>
  <c r="Q12083" i="12"/>
  <c r="Q12082" i="12"/>
  <c r="Q12081" i="12"/>
  <c r="Q12080" i="12"/>
  <c r="Q12079" i="12"/>
  <c r="Q12078" i="12"/>
  <c r="Q12077" i="12"/>
  <c r="Q12076" i="12"/>
  <c r="Q12075" i="12"/>
  <c r="Q12074" i="12"/>
  <c r="Q12073" i="12"/>
  <c r="Q12072" i="12"/>
  <c r="Q12071" i="12"/>
  <c r="Q12070" i="12"/>
  <c r="Q12069" i="12"/>
  <c r="Q12068" i="12"/>
  <c r="Q12067" i="12"/>
  <c r="Q12066" i="12"/>
  <c r="Q12065" i="12"/>
  <c r="Q12064" i="12"/>
  <c r="Q12063" i="12"/>
  <c r="Q12062" i="12"/>
  <c r="Q12061" i="12"/>
  <c r="Q12060" i="12"/>
  <c r="Q12059" i="12"/>
  <c r="Q12058" i="12"/>
  <c r="Q12057" i="12"/>
  <c r="Q12056" i="12"/>
  <c r="Q12055" i="12"/>
  <c r="Q12054" i="12"/>
  <c r="Q12053" i="12"/>
  <c r="Q12052" i="12"/>
  <c r="Q12051" i="12"/>
  <c r="Q12050" i="12"/>
  <c r="Q12049" i="12"/>
  <c r="Q12048" i="12"/>
  <c r="Q12047" i="12"/>
  <c r="Q12046" i="12"/>
  <c r="Q12045" i="12"/>
  <c r="Q12044" i="12"/>
  <c r="Q12043" i="12"/>
  <c r="Q12042" i="12"/>
  <c r="Q12041" i="12"/>
  <c r="Q12040" i="12"/>
  <c r="Q12039" i="12"/>
  <c r="Q12038" i="12"/>
  <c r="Q12037" i="12"/>
  <c r="Q12036" i="12"/>
  <c r="Q12035" i="12"/>
  <c r="Q12034" i="12"/>
  <c r="Q12033" i="12"/>
  <c r="Q12032" i="12"/>
  <c r="Q12031" i="12"/>
  <c r="Q12030" i="12"/>
  <c r="Q12029" i="12"/>
  <c r="Q12028" i="12"/>
  <c r="Q12027" i="12"/>
  <c r="Q12026" i="12"/>
  <c r="Q12025" i="12"/>
  <c r="Q12024" i="12"/>
  <c r="Q12023" i="12"/>
  <c r="Q12022" i="12"/>
  <c r="Q12021" i="12"/>
  <c r="Q12020" i="12"/>
  <c r="Q12019" i="12"/>
  <c r="Q12018" i="12"/>
  <c r="Q12017" i="12"/>
  <c r="Q12016" i="12"/>
  <c r="Q12015" i="12"/>
  <c r="Q12014" i="12"/>
  <c r="Q12013" i="12"/>
  <c r="Q12012" i="12"/>
  <c r="Q12011" i="12"/>
  <c r="Q12010" i="12"/>
  <c r="Q12009" i="12"/>
  <c r="Q12008" i="12"/>
  <c r="Q12007" i="12"/>
  <c r="Q12006" i="12"/>
  <c r="Q12005" i="12"/>
  <c r="Q12004" i="12"/>
  <c r="Q12003" i="12"/>
  <c r="Q12002" i="12"/>
  <c r="Q12001" i="12"/>
  <c r="Q12000" i="12"/>
  <c r="Q11999" i="12"/>
  <c r="Q11998" i="12"/>
  <c r="Q11997" i="12"/>
  <c r="Q11996" i="12"/>
  <c r="Q11995" i="12"/>
  <c r="Q11994" i="12"/>
  <c r="Q11993" i="12"/>
  <c r="Q11992" i="12"/>
  <c r="Q11991" i="12"/>
  <c r="Q11990" i="12"/>
  <c r="Q11989" i="12"/>
  <c r="Q11988" i="12"/>
  <c r="Q11987" i="12"/>
  <c r="Q11986" i="12"/>
  <c r="Q11985" i="12"/>
  <c r="Q11984" i="12"/>
  <c r="Q11983" i="12"/>
  <c r="Q11982" i="12"/>
  <c r="Q11981" i="12"/>
  <c r="Q11980" i="12"/>
  <c r="Q11979" i="12"/>
  <c r="Q11978" i="12"/>
  <c r="Q11977" i="12"/>
  <c r="Q11976" i="12"/>
  <c r="Q11975" i="12"/>
  <c r="Q11974" i="12"/>
  <c r="Q11973" i="12"/>
  <c r="Q11972" i="12"/>
  <c r="Q11971" i="12"/>
  <c r="Q11970" i="12"/>
  <c r="Q11969" i="12"/>
  <c r="Q11968" i="12"/>
  <c r="Q11967" i="12"/>
  <c r="Q11966" i="12"/>
  <c r="Q11965" i="12"/>
  <c r="Q11964" i="12"/>
  <c r="Q11963" i="12"/>
  <c r="Q11962" i="12"/>
  <c r="Q11961" i="12"/>
  <c r="Q11960" i="12"/>
  <c r="Q11959" i="12"/>
  <c r="Q11958" i="12"/>
  <c r="Q11957" i="12"/>
  <c r="Q11956" i="12"/>
  <c r="Q11955" i="12"/>
  <c r="Q11954" i="12"/>
  <c r="Q11953" i="12"/>
  <c r="Q11952" i="12"/>
  <c r="Q11951" i="12"/>
  <c r="Q11950" i="12"/>
  <c r="Q11949" i="12"/>
  <c r="Q11948" i="12"/>
  <c r="Q11947" i="12"/>
  <c r="Q11946" i="12"/>
  <c r="Q11945" i="12"/>
  <c r="Q11944" i="12"/>
  <c r="Q11943" i="12"/>
  <c r="Q11942" i="12"/>
  <c r="Q11941" i="12"/>
  <c r="Q11940" i="12"/>
  <c r="Q11939" i="12"/>
  <c r="Q11938" i="12"/>
  <c r="Q11937" i="12"/>
  <c r="Q11936" i="12"/>
  <c r="Q11935" i="12"/>
  <c r="Q11934" i="12"/>
  <c r="Q11933" i="12"/>
  <c r="Q11932" i="12"/>
  <c r="Q11931" i="12"/>
  <c r="Q11930" i="12"/>
  <c r="Q11929" i="12"/>
  <c r="Q11928" i="12"/>
  <c r="Q11927" i="12"/>
  <c r="Q11926" i="12"/>
  <c r="Q11925" i="12"/>
  <c r="Q11924" i="12"/>
  <c r="Q11923" i="12"/>
  <c r="Q11922" i="12"/>
  <c r="Q11921" i="12"/>
  <c r="Q11920" i="12"/>
  <c r="Q11919" i="12"/>
  <c r="Q11918" i="12"/>
  <c r="Q11917" i="12"/>
  <c r="Q11916" i="12"/>
  <c r="Q11915" i="12"/>
  <c r="Q11914" i="12"/>
  <c r="Q11913" i="12"/>
  <c r="Q11912" i="12"/>
  <c r="Q11911" i="12"/>
  <c r="Q11910" i="12"/>
  <c r="Q11909" i="12"/>
  <c r="Q11908" i="12"/>
  <c r="Q11907" i="12"/>
  <c r="Q11906" i="12"/>
  <c r="Q11905" i="12"/>
  <c r="Q11904" i="12"/>
  <c r="Q11903" i="12"/>
  <c r="Q11902" i="12"/>
  <c r="Q11901" i="12"/>
  <c r="Q11900" i="12"/>
  <c r="Q11899" i="12"/>
  <c r="Q11898" i="12"/>
  <c r="Q11897" i="12"/>
  <c r="Q11896" i="12"/>
  <c r="Q11895" i="12"/>
  <c r="Q11894" i="12"/>
  <c r="Q11893" i="12"/>
  <c r="Q11892" i="12"/>
  <c r="Q11891" i="12"/>
  <c r="Q11890" i="12"/>
  <c r="Q11889" i="12"/>
  <c r="Q11888" i="12"/>
  <c r="Q11887" i="12"/>
  <c r="Q11886" i="12"/>
  <c r="Q11885" i="12"/>
  <c r="Q11884" i="12"/>
  <c r="Q11883" i="12"/>
  <c r="Q11882" i="12"/>
  <c r="Q11881" i="12"/>
  <c r="Q11880" i="12"/>
  <c r="Q11879" i="12"/>
  <c r="Q11878" i="12"/>
  <c r="Q11877" i="12"/>
  <c r="Q11876" i="12"/>
  <c r="Q11875" i="12"/>
  <c r="Q11874" i="12"/>
  <c r="Q11873" i="12"/>
  <c r="Q11872" i="12"/>
  <c r="Q11871" i="12"/>
  <c r="Q11870" i="12"/>
  <c r="Q11869" i="12"/>
  <c r="Q11868" i="12"/>
  <c r="Q11867" i="12"/>
  <c r="Q11866" i="12"/>
  <c r="Q11865" i="12"/>
  <c r="Q11864" i="12"/>
  <c r="Q11863" i="12"/>
  <c r="Q11862" i="12"/>
  <c r="Q11861" i="12"/>
  <c r="Q11860" i="12"/>
  <c r="Q11859" i="12"/>
  <c r="Q11858" i="12"/>
  <c r="Q11857" i="12"/>
  <c r="Q11856" i="12"/>
  <c r="Q11855" i="12"/>
  <c r="Q11854" i="12"/>
  <c r="Q11853" i="12"/>
  <c r="Q11852" i="12"/>
  <c r="Q11851" i="12"/>
  <c r="Q11850" i="12"/>
  <c r="Q11849" i="12"/>
  <c r="Q11848" i="12"/>
  <c r="Q11847" i="12"/>
  <c r="Q11846" i="12"/>
  <c r="Q11845" i="12"/>
  <c r="Q11844" i="12"/>
  <c r="Q11843" i="12"/>
  <c r="Q11842" i="12"/>
  <c r="Q11841" i="12"/>
  <c r="Q11840" i="12"/>
  <c r="Q11839" i="12"/>
  <c r="Q11838" i="12"/>
  <c r="Q11837" i="12"/>
  <c r="Q11836" i="12"/>
  <c r="Q11835" i="12"/>
  <c r="Q11834" i="12"/>
  <c r="Q11833" i="12"/>
  <c r="Q11832" i="12"/>
  <c r="Q11831" i="12"/>
  <c r="Q11830" i="12"/>
  <c r="Q11829" i="12"/>
  <c r="Q11828" i="12"/>
  <c r="Q11827" i="12"/>
  <c r="Q11826" i="12"/>
  <c r="Q11825" i="12"/>
  <c r="Q11824" i="12"/>
  <c r="Q11823" i="12"/>
  <c r="Q11822" i="12"/>
  <c r="Q11821" i="12"/>
  <c r="Q11820" i="12"/>
  <c r="Q11819" i="12"/>
  <c r="Q11818" i="12"/>
  <c r="Q11817" i="12"/>
  <c r="Q11816" i="12"/>
  <c r="Q11815" i="12"/>
  <c r="Q11814" i="12"/>
  <c r="Q11813" i="12"/>
  <c r="Q11812" i="12"/>
  <c r="Q11811" i="12"/>
  <c r="Q11810" i="12"/>
  <c r="Q11809" i="12"/>
  <c r="Q11808" i="12"/>
  <c r="Q11807" i="12"/>
  <c r="Q11806" i="12"/>
  <c r="Q11805" i="12"/>
  <c r="Q11804" i="12"/>
  <c r="Q11803" i="12"/>
  <c r="Q11802" i="12"/>
  <c r="Q11801" i="12"/>
  <c r="Q11800" i="12"/>
  <c r="Q11799" i="12"/>
  <c r="Q11798" i="12"/>
  <c r="Q11797" i="12"/>
  <c r="Q11796" i="12"/>
  <c r="Q11795" i="12"/>
  <c r="Q11794" i="12"/>
  <c r="Q11793" i="12"/>
  <c r="Q11792" i="12"/>
  <c r="Q11791" i="12"/>
  <c r="Q11790" i="12"/>
  <c r="Q11789" i="12"/>
  <c r="Q11788" i="12"/>
  <c r="Q11787" i="12"/>
  <c r="Q11786" i="12"/>
  <c r="Q11785" i="12"/>
  <c r="Q11784" i="12"/>
  <c r="Q11783" i="12"/>
  <c r="Q11782" i="12"/>
  <c r="Q11781" i="12"/>
  <c r="Q11780" i="12"/>
  <c r="Q11779" i="12"/>
  <c r="Q11778" i="12"/>
  <c r="Q11777" i="12"/>
  <c r="Q11776" i="12"/>
  <c r="Q11775" i="12"/>
  <c r="Q11774" i="12"/>
  <c r="Q11773" i="12"/>
  <c r="Q11772" i="12"/>
  <c r="Q11771" i="12"/>
  <c r="Q11770" i="12"/>
  <c r="Q11769" i="12"/>
  <c r="Q11768" i="12"/>
  <c r="Q11767" i="12"/>
  <c r="Q11766" i="12"/>
  <c r="Q11765" i="12"/>
  <c r="Q11764" i="12"/>
  <c r="Q11763" i="12"/>
  <c r="Q11762" i="12"/>
  <c r="Q11761" i="12"/>
  <c r="Q11760" i="12"/>
  <c r="Q11759" i="12"/>
  <c r="Q11758" i="12"/>
  <c r="Q11757" i="12"/>
  <c r="Q11756" i="12"/>
  <c r="Q11755" i="12"/>
  <c r="Q11754" i="12"/>
  <c r="Q11753" i="12"/>
  <c r="Q11752" i="12"/>
  <c r="Q11751" i="12"/>
  <c r="Q11750" i="12"/>
  <c r="Q11749" i="12"/>
  <c r="Q11748" i="12"/>
  <c r="Q11747" i="12"/>
  <c r="Q11746" i="12"/>
  <c r="Q11745" i="12"/>
  <c r="Q11744" i="12"/>
  <c r="Q11743" i="12"/>
  <c r="Q11742" i="12"/>
  <c r="Q11741" i="12"/>
  <c r="Q11740" i="12"/>
  <c r="Q11739" i="12"/>
  <c r="Q11738" i="12"/>
  <c r="Q11737" i="12"/>
  <c r="Q11736" i="12"/>
  <c r="Q11735" i="12"/>
  <c r="Q11734" i="12"/>
  <c r="Q11733" i="12"/>
  <c r="Q11732" i="12"/>
  <c r="Q11731" i="12"/>
  <c r="Q11730" i="12"/>
  <c r="Q11729" i="12"/>
  <c r="Q11728" i="12"/>
  <c r="Q11727" i="12"/>
  <c r="Q11726" i="12"/>
  <c r="Q11725" i="12"/>
  <c r="Q11724" i="12"/>
  <c r="Q11723" i="12"/>
  <c r="Q11722" i="12"/>
  <c r="Q11721" i="12"/>
  <c r="Q11720" i="12"/>
  <c r="Q11719" i="12"/>
  <c r="Q11718" i="12"/>
  <c r="Q11717" i="12"/>
  <c r="Q11716" i="12"/>
  <c r="Q11715" i="12"/>
  <c r="Q11714" i="12"/>
  <c r="Q11713" i="12"/>
  <c r="Q11712" i="12"/>
  <c r="Q11711" i="12"/>
  <c r="Q11710" i="12"/>
  <c r="Q11709" i="12"/>
  <c r="Q11708" i="12"/>
  <c r="Q11707" i="12"/>
  <c r="Q11706" i="12"/>
  <c r="Q11705" i="12"/>
  <c r="Q11704" i="12"/>
  <c r="Q11703" i="12"/>
  <c r="Q11702" i="12"/>
  <c r="Q11701" i="12"/>
  <c r="Q11700" i="12"/>
  <c r="Q11699" i="12"/>
  <c r="Q11698" i="12"/>
  <c r="Q11697" i="12"/>
  <c r="Q11696" i="12"/>
  <c r="Q11695" i="12"/>
  <c r="Q11694" i="12"/>
  <c r="Q11693" i="12"/>
  <c r="Q11692" i="12"/>
  <c r="Q11691" i="12"/>
  <c r="Q11690" i="12"/>
  <c r="Q11689" i="12"/>
  <c r="Q11688" i="12"/>
  <c r="Q11687" i="12"/>
  <c r="Q11686" i="12"/>
  <c r="Q11685" i="12"/>
  <c r="Q11684" i="12"/>
  <c r="Q11683" i="12"/>
  <c r="Q11682" i="12"/>
  <c r="Q11681" i="12"/>
  <c r="Q11680" i="12"/>
  <c r="Q11679" i="12"/>
  <c r="Q11678" i="12"/>
  <c r="Q11677" i="12"/>
  <c r="Q11676" i="12"/>
  <c r="Q11675" i="12"/>
  <c r="Q11674" i="12"/>
  <c r="Q11673" i="12"/>
  <c r="Q11672" i="12"/>
  <c r="Q11671" i="12"/>
  <c r="Q11670" i="12"/>
  <c r="Q11669" i="12"/>
  <c r="Q11668" i="12"/>
  <c r="Q11667" i="12"/>
  <c r="Q11666" i="12"/>
  <c r="Q11665" i="12"/>
  <c r="Q11664" i="12"/>
  <c r="Q11663" i="12"/>
  <c r="Q11662" i="12"/>
  <c r="Q11661" i="12"/>
  <c r="Q11660" i="12"/>
  <c r="Q11659" i="12"/>
  <c r="Q11658" i="12"/>
  <c r="Q11657" i="12"/>
  <c r="Q11656" i="12"/>
  <c r="Q11655" i="12"/>
  <c r="Q11654" i="12"/>
  <c r="Q11653" i="12"/>
  <c r="Q11652" i="12"/>
  <c r="Q11651" i="12"/>
  <c r="Q11650" i="12"/>
  <c r="Q11649" i="12"/>
  <c r="Q11648" i="12"/>
  <c r="Q11647" i="12"/>
  <c r="Q11646" i="12"/>
  <c r="Q11645" i="12"/>
  <c r="Q11644" i="12"/>
  <c r="Q11643" i="12"/>
  <c r="Q11642" i="12"/>
  <c r="Q11641" i="12"/>
  <c r="Q11640" i="12"/>
  <c r="Q11639" i="12"/>
  <c r="Q11638" i="12"/>
  <c r="Q11637" i="12"/>
  <c r="Q11636" i="12"/>
  <c r="Q11635" i="12"/>
  <c r="Q11634" i="12"/>
  <c r="Q11633" i="12"/>
  <c r="Q11632" i="12"/>
  <c r="Q11631" i="12"/>
  <c r="Q11630" i="12"/>
  <c r="Q11629" i="12"/>
  <c r="Q11628" i="12"/>
  <c r="Q11627" i="12"/>
  <c r="Q11626" i="12"/>
  <c r="Q11625" i="12"/>
  <c r="Q11624" i="12"/>
  <c r="Q11623" i="12"/>
  <c r="Q11622" i="12"/>
  <c r="Q11621" i="12"/>
  <c r="Q11620" i="12"/>
  <c r="Q11619" i="12"/>
  <c r="Q11618" i="12"/>
  <c r="Q11617" i="12"/>
  <c r="Q11616" i="12"/>
  <c r="Q11615" i="12"/>
  <c r="Q11614" i="12"/>
  <c r="Q11613" i="12"/>
  <c r="Q11612" i="12"/>
  <c r="Q11611" i="12"/>
  <c r="Q11610" i="12"/>
  <c r="Q11609" i="12"/>
  <c r="Q11608" i="12"/>
  <c r="Q11607" i="12"/>
  <c r="Q11606" i="12"/>
  <c r="Q11605" i="12"/>
  <c r="Q11604" i="12"/>
  <c r="Q11603" i="12"/>
  <c r="Q11602" i="12"/>
  <c r="Q11601" i="12"/>
  <c r="Q11600" i="12"/>
  <c r="Q11599" i="12"/>
  <c r="Q11598" i="12"/>
  <c r="Q11597" i="12"/>
  <c r="Q11596" i="12"/>
  <c r="Q11595" i="12"/>
  <c r="Q11594" i="12"/>
  <c r="Q11593" i="12"/>
  <c r="Q11592" i="12"/>
  <c r="Q11591" i="12"/>
  <c r="Q11590" i="12"/>
  <c r="Q11589" i="12"/>
  <c r="Q11588" i="12"/>
  <c r="Q11587" i="12"/>
  <c r="Q11586" i="12"/>
  <c r="Q11585" i="12"/>
  <c r="Q11584" i="12"/>
  <c r="Q11583" i="12"/>
  <c r="Q11582" i="12"/>
  <c r="Q11581" i="12"/>
  <c r="Q11580" i="12"/>
  <c r="Q11579" i="12"/>
  <c r="Q11578" i="12"/>
  <c r="Q11577" i="12"/>
  <c r="Q11576" i="12"/>
  <c r="Q11575" i="12"/>
  <c r="Q11574" i="12"/>
  <c r="Q11573" i="12"/>
  <c r="Q11572" i="12"/>
  <c r="Q11571" i="12"/>
  <c r="Q11570" i="12"/>
  <c r="Q11569" i="12"/>
  <c r="Q11568" i="12"/>
  <c r="Q11567" i="12"/>
  <c r="Q11566" i="12"/>
  <c r="Q11565" i="12"/>
  <c r="Q11564" i="12"/>
  <c r="Q11563" i="12"/>
  <c r="Q11562" i="12"/>
  <c r="Q11561" i="12"/>
  <c r="Q11560" i="12"/>
  <c r="Q11559" i="12"/>
  <c r="Q11558" i="12"/>
  <c r="Q11557" i="12"/>
  <c r="Q11556" i="12"/>
  <c r="Q11555" i="12"/>
  <c r="Q11554" i="12"/>
  <c r="Q11553" i="12"/>
  <c r="Q11552" i="12"/>
  <c r="Q11551" i="12"/>
  <c r="Q11550" i="12"/>
  <c r="Q11549" i="12"/>
  <c r="Q11548" i="12"/>
  <c r="Q11547" i="12"/>
  <c r="Q11546" i="12"/>
  <c r="Q11545" i="12"/>
  <c r="Q11544" i="12"/>
  <c r="Q11543" i="12"/>
  <c r="Q11542" i="12"/>
  <c r="Q11541" i="12"/>
  <c r="Q11540" i="12"/>
  <c r="Q11539" i="12"/>
  <c r="Q11538" i="12"/>
  <c r="Q11537" i="12"/>
  <c r="Q11536" i="12"/>
  <c r="Q11535" i="12"/>
  <c r="Q11534" i="12"/>
  <c r="Q11533" i="12"/>
  <c r="Q11532" i="12"/>
  <c r="Q11531" i="12"/>
  <c r="Q11530" i="12"/>
  <c r="Q11529" i="12"/>
  <c r="Q11528" i="12"/>
  <c r="Q11527" i="12"/>
  <c r="Q11526" i="12"/>
  <c r="Q11525" i="12"/>
  <c r="Q11524" i="12"/>
  <c r="Q11523" i="12"/>
  <c r="Q11522" i="12"/>
  <c r="Q11521" i="12"/>
  <c r="Q11520" i="12"/>
  <c r="Q11519" i="12"/>
  <c r="Q11518" i="12"/>
  <c r="Q11517" i="12"/>
  <c r="Q11516" i="12"/>
  <c r="Q11515" i="12"/>
  <c r="Q11514" i="12"/>
  <c r="Q11513" i="12"/>
  <c r="Q11512" i="12"/>
  <c r="Q11511" i="12"/>
  <c r="Q11510" i="12"/>
  <c r="Q11509" i="12"/>
  <c r="Q11508" i="12"/>
  <c r="Q11507" i="12"/>
  <c r="Q11506" i="12"/>
  <c r="Q11505" i="12"/>
  <c r="Q11504" i="12"/>
  <c r="Q11503" i="12"/>
  <c r="Q11502" i="12"/>
  <c r="Q11501" i="12"/>
  <c r="Q11500" i="12"/>
  <c r="Q11499" i="12"/>
  <c r="Q11498" i="12"/>
  <c r="Q11497" i="12"/>
  <c r="Q11496" i="12"/>
  <c r="Q11495" i="12"/>
  <c r="Q11494" i="12"/>
  <c r="Q11493" i="12"/>
  <c r="Q11492" i="12"/>
  <c r="Q11491" i="12"/>
  <c r="Q11490" i="12"/>
  <c r="Q11489" i="12"/>
  <c r="Q11488" i="12"/>
  <c r="Q11487" i="12"/>
  <c r="Q11486" i="12"/>
  <c r="Q11485" i="12"/>
  <c r="Q11484" i="12"/>
  <c r="Q11483" i="12"/>
  <c r="Q11482" i="12"/>
  <c r="Q11481" i="12"/>
  <c r="Q11480" i="12"/>
  <c r="Q11479" i="12"/>
  <c r="Q11478" i="12"/>
  <c r="Q11477" i="12"/>
  <c r="Q11476" i="12"/>
  <c r="Q11475" i="12"/>
  <c r="Q11474" i="12"/>
  <c r="Q11473" i="12"/>
  <c r="Q11472" i="12"/>
  <c r="Q11471" i="12"/>
  <c r="Q11470" i="12"/>
  <c r="Q11469" i="12"/>
  <c r="Q11468" i="12"/>
  <c r="Q11467" i="12"/>
  <c r="Q11466" i="12"/>
  <c r="Q11465" i="12"/>
  <c r="Q11464" i="12"/>
  <c r="Q11463" i="12"/>
  <c r="Q11462" i="12"/>
  <c r="Q11461" i="12"/>
  <c r="Q11460" i="12"/>
  <c r="Q11459" i="12"/>
  <c r="Q11458" i="12"/>
  <c r="Q11457" i="12"/>
  <c r="Q11456" i="12"/>
  <c r="Q11455" i="12"/>
  <c r="Q11454" i="12"/>
  <c r="Q11453" i="12"/>
  <c r="Q11452" i="12"/>
  <c r="Q11451" i="12"/>
  <c r="Q11450" i="12"/>
  <c r="Q11449" i="12"/>
  <c r="Q11448" i="12"/>
  <c r="Q11447" i="12"/>
  <c r="Q11446" i="12"/>
  <c r="Q11445" i="12"/>
  <c r="Q11444" i="12"/>
  <c r="Q11443" i="12"/>
  <c r="Q11442" i="12"/>
  <c r="Q11441" i="12"/>
  <c r="Q11440" i="12"/>
  <c r="Q11439" i="12"/>
  <c r="Q11438" i="12"/>
  <c r="Q11437" i="12"/>
  <c r="Q11436" i="12"/>
  <c r="Q11435" i="12"/>
  <c r="Q11434" i="12"/>
  <c r="Q11433" i="12"/>
  <c r="Q11432" i="12"/>
  <c r="Q11431" i="12"/>
  <c r="Q11430" i="12"/>
  <c r="Q11429" i="12"/>
  <c r="Q11428" i="12"/>
  <c r="Q11427" i="12"/>
  <c r="Q11426" i="12"/>
  <c r="Q11425" i="12"/>
  <c r="Q11424" i="12"/>
  <c r="Q11423" i="12"/>
  <c r="Q11422" i="12"/>
  <c r="Q11421" i="12"/>
  <c r="Q11420" i="12"/>
  <c r="Q11419" i="12"/>
  <c r="Q11418" i="12"/>
  <c r="Q11417" i="12"/>
  <c r="Q11416" i="12"/>
  <c r="Q11415" i="12"/>
  <c r="Q11414" i="12"/>
  <c r="Q11413" i="12"/>
  <c r="Q11412" i="12"/>
  <c r="Q11411" i="12"/>
  <c r="Q11410" i="12"/>
  <c r="Q11409" i="12"/>
  <c r="Q11408" i="12"/>
  <c r="Q11407" i="12"/>
  <c r="Q11406" i="12"/>
  <c r="Q11405" i="12"/>
  <c r="Q11404" i="12"/>
  <c r="Q11403" i="12"/>
  <c r="Q11402" i="12"/>
  <c r="Q11401" i="12"/>
  <c r="Q11400" i="12"/>
  <c r="Q11399" i="12"/>
  <c r="Q11398" i="12"/>
  <c r="Q11397" i="12"/>
  <c r="Q11396" i="12"/>
  <c r="Q11395" i="12"/>
  <c r="Q11394" i="12"/>
  <c r="Q11393" i="12"/>
  <c r="Q11392" i="12"/>
  <c r="Q11391" i="12"/>
  <c r="Q11390" i="12"/>
  <c r="Q11389" i="12"/>
  <c r="Q11388" i="12"/>
  <c r="Q11387" i="12"/>
  <c r="Q11386" i="12"/>
  <c r="Q11385" i="12"/>
  <c r="Q11384" i="12"/>
  <c r="Q11383" i="12"/>
  <c r="Q11382" i="12"/>
  <c r="Q11381" i="12"/>
  <c r="Q11380" i="12"/>
  <c r="Q11379" i="12"/>
  <c r="Q11378" i="12"/>
  <c r="Q11377" i="12"/>
  <c r="Q11376" i="12"/>
  <c r="Q11375" i="12"/>
  <c r="Q11374" i="12"/>
  <c r="Q11373" i="12"/>
  <c r="Q11372" i="12"/>
  <c r="Q11371" i="12"/>
  <c r="Q11370" i="12"/>
  <c r="Q11369" i="12"/>
  <c r="Q11368" i="12"/>
  <c r="Q11367" i="12"/>
  <c r="Q11366" i="12"/>
  <c r="Q11365" i="12"/>
  <c r="Q11364" i="12"/>
  <c r="Q11363" i="12"/>
  <c r="Q11362" i="12"/>
  <c r="Q11361" i="12"/>
  <c r="Q11360" i="12"/>
  <c r="Q11359" i="12"/>
  <c r="Q11358" i="12"/>
  <c r="Q11357" i="12"/>
  <c r="Q11356" i="12"/>
  <c r="Q11355" i="12"/>
  <c r="Q11354" i="12"/>
  <c r="Q11353" i="12"/>
  <c r="Q11352" i="12"/>
  <c r="Q11351" i="12"/>
  <c r="Q11350" i="12"/>
  <c r="Q11349" i="12"/>
  <c r="Q11348" i="12"/>
  <c r="Q11347" i="12"/>
  <c r="Q11346" i="12"/>
  <c r="Q11345" i="12"/>
  <c r="Q11344" i="12"/>
  <c r="Q11343" i="12"/>
  <c r="Q11342" i="12"/>
  <c r="Q11341" i="12"/>
  <c r="Q11340" i="12"/>
  <c r="Q11339" i="12"/>
  <c r="Q11338" i="12"/>
  <c r="Q11337" i="12"/>
  <c r="Q11336" i="12"/>
  <c r="Q11335" i="12"/>
  <c r="Q11334" i="12"/>
  <c r="Q11333" i="12"/>
  <c r="Q11332" i="12"/>
  <c r="Q11331" i="12"/>
  <c r="Q11330" i="12"/>
  <c r="Q11329" i="12"/>
  <c r="Q11328" i="12"/>
  <c r="Q11327" i="12"/>
  <c r="Q11326" i="12"/>
  <c r="Q11325" i="12"/>
  <c r="Q11324" i="12"/>
  <c r="Q11323" i="12"/>
  <c r="Q11322" i="12"/>
  <c r="Q11321" i="12"/>
  <c r="Q11320" i="12"/>
  <c r="Q11319" i="12"/>
  <c r="Q11318" i="12"/>
  <c r="Q11317" i="12"/>
  <c r="Q11316" i="12"/>
  <c r="Q11315" i="12"/>
  <c r="Q11314" i="12"/>
  <c r="Q11313" i="12"/>
  <c r="Q11312" i="12"/>
  <c r="Q11311" i="12"/>
  <c r="Q11310" i="12"/>
  <c r="Q11309" i="12"/>
  <c r="Q11308" i="12"/>
  <c r="Q11307" i="12"/>
  <c r="Q11306" i="12"/>
  <c r="Q11305" i="12"/>
  <c r="Q11304" i="12"/>
  <c r="Q11303" i="12"/>
  <c r="Q11302" i="12"/>
  <c r="Q11301" i="12"/>
  <c r="Q11300" i="12"/>
  <c r="Q11299" i="12"/>
  <c r="Q11298" i="12"/>
  <c r="Q11297" i="12"/>
  <c r="Q11296" i="12"/>
  <c r="Q11295" i="12"/>
  <c r="Q11294" i="12"/>
  <c r="Q11293" i="12"/>
  <c r="Q11292" i="12"/>
  <c r="Q11291" i="12"/>
  <c r="Q11290" i="12"/>
  <c r="Q11289" i="12"/>
  <c r="Q11288" i="12"/>
  <c r="Q11287" i="12"/>
  <c r="Q11286" i="12"/>
  <c r="Q11285" i="12"/>
  <c r="Q11284" i="12"/>
  <c r="Q11283" i="12"/>
  <c r="Q11282" i="12"/>
  <c r="Q11281" i="12"/>
  <c r="Q11280" i="12"/>
  <c r="Q11279" i="12"/>
  <c r="Q11278" i="12"/>
  <c r="Q11277" i="12"/>
  <c r="Q11276" i="12"/>
  <c r="Q11275" i="12"/>
  <c r="Q11274" i="12"/>
  <c r="Q11273" i="12"/>
  <c r="Q11272" i="12"/>
  <c r="Q11271" i="12"/>
  <c r="Q11270" i="12"/>
  <c r="Q11269" i="12"/>
  <c r="Q11268" i="12"/>
  <c r="Q11267" i="12"/>
  <c r="Q11266" i="12"/>
  <c r="Q11265" i="12"/>
  <c r="Q11264" i="12"/>
  <c r="Q11263" i="12"/>
  <c r="Q11262" i="12"/>
  <c r="Q11261" i="12"/>
  <c r="Q11260" i="12"/>
  <c r="Q11259" i="12"/>
  <c r="Q11258" i="12"/>
  <c r="Q11257" i="12"/>
  <c r="Q11256" i="12"/>
  <c r="Q11255" i="12"/>
  <c r="Q11254" i="12"/>
  <c r="Q11253" i="12"/>
  <c r="Q11252" i="12"/>
  <c r="Q11251" i="12"/>
  <c r="Q11250" i="12"/>
  <c r="Q11249" i="12"/>
  <c r="Q11248" i="12"/>
  <c r="Q11247" i="12"/>
  <c r="Q11246" i="12"/>
  <c r="Q11245" i="12"/>
  <c r="Q11244" i="12"/>
  <c r="Q11243" i="12"/>
  <c r="Q11242" i="12"/>
  <c r="Q11241" i="12"/>
  <c r="Q11240" i="12"/>
  <c r="Q11239" i="12"/>
  <c r="Q11238" i="12"/>
  <c r="Q11237" i="12"/>
  <c r="Q11236" i="12"/>
  <c r="Q11235" i="12"/>
  <c r="Q11234" i="12"/>
  <c r="Q11233" i="12"/>
  <c r="Q11232" i="12"/>
  <c r="Q11231" i="12"/>
  <c r="Q11230" i="12"/>
  <c r="Q11229" i="12"/>
  <c r="Q11228" i="12"/>
  <c r="Q11227" i="12"/>
  <c r="Q11226" i="12"/>
  <c r="Q11225" i="12"/>
  <c r="Q11224" i="12"/>
  <c r="Q11223" i="12"/>
  <c r="Q11222" i="12"/>
  <c r="Q11221" i="12"/>
  <c r="Q11220" i="12"/>
  <c r="Q11219" i="12"/>
  <c r="Q11218" i="12"/>
  <c r="Q11217" i="12"/>
  <c r="Q11216" i="12"/>
  <c r="Q11215" i="12"/>
  <c r="Q11214" i="12"/>
  <c r="Q11213" i="12"/>
  <c r="Q11212" i="12"/>
  <c r="Q11211" i="12"/>
  <c r="Q11210" i="12"/>
  <c r="Q11209" i="12"/>
  <c r="Q11208" i="12"/>
  <c r="Q11207" i="12"/>
  <c r="Q11206" i="12"/>
  <c r="Q11205" i="12"/>
  <c r="Q11204" i="12"/>
  <c r="Q11203" i="12"/>
  <c r="Q11202" i="12"/>
  <c r="Q11201" i="12"/>
  <c r="Q11200" i="12"/>
  <c r="Q11199" i="12"/>
  <c r="Q11198" i="12"/>
  <c r="Q11197" i="12"/>
  <c r="Q11196" i="12"/>
  <c r="Q11195" i="12"/>
  <c r="Q11194" i="12"/>
  <c r="Q11193" i="12"/>
  <c r="Q11192" i="12"/>
  <c r="Q11191" i="12"/>
  <c r="Q11190" i="12"/>
  <c r="Q11189" i="12"/>
  <c r="Q11188" i="12"/>
  <c r="Q11187" i="12"/>
  <c r="Q11186" i="12"/>
  <c r="Q11185" i="12"/>
  <c r="Q11184" i="12"/>
  <c r="Q11183" i="12"/>
  <c r="Q11182" i="12"/>
  <c r="Q11181" i="12"/>
  <c r="Q11180" i="12"/>
  <c r="Q11179" i="12"/>
  <c r="Q11178" i="12"/>
  <c r="Q11177" i="12"/>
  <c r="Q11176" i="12"/>
  <c r="Q11175" i="12"/>
  <c r="Q11174" i="12"/>
  <c r="Q11173" i="12"/>
  <c r="Q11172" i="12"/>
  <c r="Q11171" i="12"/>
  <c r="Q11170" i="12"/>
  <c r="Q11169" i="12"/>
  <c r="Q11168" i="12"/>
  <c r="Q11167" i="12"/>
  <c r="Q11166" i="12"/>
  <c r="Q11165" i="12"/>
  <c r="Q11164" i="12"/>
  <c r="Q11163" i="12"/>
  <c r="Q11162" i="12"/>
  <c r="Q11161" i="12"/>
  <c r="Q11160" i="12"/>
  <c r="Q11159" i="12"/>
  <c r="Q11158" i="12"/>
  <c r="Q11157" i="12"/>
  <c r="Q11156" i="12"/>
  <c r="Q11155" i="12"/>
  <c r="Q11154" i="12"/>
  <c r="Q11153" i="12"/>
  <c r="Q11152" i="12"/>
  <c r="Q11151" i="12"/>
  <c r="Q11150" i="12"/>
  <c r="Q11149" i="12"/>
  <c r="Q11148" i="12"/>
  <c r="Q11147" i="12"/>
  <c r="Q11146" i="12"/>
  <c r="Q11145" i="12"/>
  <c r="Q11144" i="12"/>
  <c r="Q11143" i="12"/>
  <c r="Q11142" i="12"/>
  <c r="Q11141" i="12"/>
  <c r="Q11140" i="12"/>
  <c r="Q11139" i="12"/>
  <c r="Q11138" i="12"/>
  <c r="Q11137" i="12"/>
  <c r="Q11136" i="12"/>
  <c r="Q11135" i="12"/>
  <c r="Q11134" i="12"/>
  <c r="Q11133" i="12"/>
  <c r="Q11132" i="12"/>
  <c r="Q11131" i="12"/>
  <c r="Q11130" i="12"/>
  <c r="Q11129" i="12"/>
  <c r="Q11128" i="12"/>
  <c r="Q11127" i="12"/>
  <c r="Q11126" i="12"/>
  <c r="Q11125" i="12"/>
  <c r="Q11124" i="12"/>
  <c r="Q11123" i="12"/>
  <c r="Q11122" i="12"/>
  <c r="Q11121" i="12"/>
  <c r="Q11120" i="12"/>
  <c r="Q11119" i="12"/>
  <c r="Q11118" i="12"/>
  <c r="Q11117" i="12"/>
  <c r="Q11116" i="12"/>
  <c r="Q11115" i="12"/>
  <c r="Q11114" i="12"/>
  <c r="Q11113" i="12"/>
  <c r="Q11112" i="12"/>
  <c r="Q11111" i="12"/>
  <c r="Q11110" i="12"/>
  <c r="Q11109" i="12"/>
  <c r="Q11108" i="12"/>
  <c r="Q11107" i="12"/>
  <c r="Q11106" i="12"/>
  <c r="Q11105" i="12"/>
  <c r="Q11104" i="12"/>
  <c r="Q11103" i="12"/>
  <c r="Q11102" i="12"/>
  <c r="Q11101" i="12"/>
  <c r="Q11100" i="12"/>
  <c r="Q11099" i="12"/>
  <c r="Q11098" i="12"/>
  <c r="Q11097" i="12"/>
  <c r="Q11096" i="12"/>
  <c r="Q11095" i="12"/>
  <c r="Q11094" i="12"/>
  <c r="Q11093" i="12"/>
  <c r="Q11092" i="12"/>
  <c r="Q11091" i="12"/>
  <c r="Q11090" i="12"/>
  <c r="Q11089" i="12"/>
  <c r="Q11088" i="12"/>
  <c r="Q11087" i="12"/>
  <c r="Q11086" i="12"/>
  <c r="Q11085" i="12"/>
  <c r="Q11084" i="12"/>
  <c r="Q11083" i="12"/>
  <c r="Q11082" i="12"/>
  <c r="Q11081" i="12"/>
  <c r="Q11080" i="12"/>
  <c r="Q11079" i="12"/>
  <c r="Q11078" i="12"/>
  <c r="Q11077" i="12"/>
  <c r="Q11076" i="12"/>
  <c r="Q11075" i="12"/>
  <c r="Q11074" i="12"/>
  <c r="Q11073" i="12"/>
  <c r="Q11072" i="12"/>
  <c r="Q11071" i="12"/>
  <c r="Q11070" i="12"/>
  <c r="Q11069" i="12"/>
  <c r="Q11068" i="12"/>
  <c r="Q11067" i="12"/>
  <c r="Q11066" i="12"/>
  <c r="Q11065" i="12"/>
  <c r="Q11064" i="12"/>
  <c r="Q11063" i="12"/>
  <c r="Q11062" i="12"/>
  <c r="Q11061" i="12"/>
  <c r="Q11060" i="12"/>
  <c r="Q11059" i="12"/>
  <c r="Q11058" i="12"/>
  <c r="Q11057" i="12"/>
  <c r="Q11056" i="12"/>
  <c r="Q11055" i="12"/>
  <c r="Q11054" i="12"/>
  <c r="Q11053" i="12"/>
  <c r="Q11052" i="12"/>
  <c r="Q11051" i="12"/>
  <c r="Q11050" i="12"/>
  <c r="Q11049" i="12"/>
  <c r="Q11048" i="12"/>
  <c r="Q11047" i="12"/>
  <c r="Q11046" i="12"/>
  <c r="Q11045" i="12"/>
  <c r="Q11044" i="12"/>
  <c r="Q11043" i="12"/>
  <c r="Q11042" i="12"/>
  <c r="Q11041" i="12"/>
  <c r="Q11040" i="12"/>
  <c r="Q11039" i="12"/>
  <c r="Q11038" i="12"/>
  <c r="Q11037" i="12"/>
  <c r="Q11036" i="12"/>
  <c r="Q11035" i="12"/>
  <c r="Q11034" i="12"/>
  <c r="Q11033" i="12"/>
  <c r="Q11032" i="12"/>
  <c r="Q11031" i="12"/>
  <c r="Q11030" i="12"/>
  <c r="Q11029" i="12"/>
  <c r="Q11028" i="12"/>
  <c r="Q11027" i="12"/>
  <c r="Q11026" i="12"/>
  <c r="Q11025" i="12"/>
  <c r="Q11024" i="12"/>
  <c r="Q11023" i="12"/>
  <c r="Q11022" i="12"/>
  <c r="Q11021" i="12"/>
  <c r="Q11020" i="12"/>
  <c r="Q11019" i="12"/>
  <c r="Q11018" i="12"/>
  <c r="Q11017" i="12"/>
  <c r="Q11016" i="12"/>
  <c r="Q11015" i="12"/>
  <c r="Q11014" i="12"/>
  <c r="Q11013" i="12"/>
  <c r="Q11012" i="12"/>
  <c r="Q11011" i="12"/>
  <c r="Q11010" i="12"/>
  <c r="Q11009" i="12"/>
  <c r="Q11008" i="12"/>
  <c r="Q11007" i="12"/>
  <c r="Q11006" i="12"/>
  <c r="Q11005" i="12"/>
  <c r="Q11004" i="12"/>
  <c r="Q11003" i="12"/>
  <c r="Q11002" i="12"/>
  <c r="Q11001" i="12"/>
  <c r="Q11000" i="12"/>
  <c r="Q10999" i="12"/>
  <c r="Q10998" i="12"/>
  <c r="Q10997" i="12"/>
  <c r="Q10996" i="12"/>
  <c r="Q10995" i="12"/>
  <c r="Q10994" i="12"/>
  <c r="Q10993" i="12"/>
  <c r="Q10992" i="12"/>
  <c r="Q10991" i="12"/>
  <c r="Q10990" i="12"/>
  <c r="Q10989" i="12"/>
  <c r="Q10988" i="12"/>
  <c r="Q10987" i="12"/>
  <c r="Q10986" i="12"/>
  <c r="Q10985" i="12"/>
  <c r="Q10984" i="12"/>
  <c r="Q10983" i="12"/>
  <c r="Q10982" i="12"/>
  <c r="Q10981" i="12"/>
  <c r="Q10980" i="12"/>
  <c r="Q10979" i="12"/>
  <c r="Q10978" i="12"/>
  <c r="Q10977" i="12"/>
  <c r="Q10976" i="12"/>
  <c r="Q10975" i="12"/>
  <c r="Q10974" i="12"/>
  <c r="Q10973" i="12"/>
  <c r="Q10972" i="12"/>
  <c r="Q10971" i="12"/>
  <c r="Q10970" i="12"/>
  <c r="Q10969" i="12"/>
  <c r="Q10968" i="12"/>
  <c r="Q10967" i="12"/>
  <c r="Q10966" i="12"/>
  <c r="Q10965" i="12"/>
  <c r="Q10964" i="12"/>
  <c r="Q10963" i="12"/>
  <c r="Q10962" i="12"/>
  <c r="Q10961" i="12"/>
  <c r="Q10960" i="12"/>
  <c r="Q10959" i="12"/>
  <c r="Q10958" i="12"/>
  <c r="Q10957" i="12"/>
  <c r="Q10956" i="12"/>
  <c r="Q10955" i="12"/>
  <c r="Q10954" i="12"/>
  <c r="Q10953" i="12"/>
  <c r="Q10952" i="12"/>
  <c r="Q10951" i="12"/>
  <c r="Q10950" i="12"/>
  <c r="Q10949" i="12"/>
  <c r="Q10948" i="12"/>
  <c r="Q10947" i="12"/>
  <c r="Q10946" i="12"/>
  <c r="Q10945" i="12"/>
  <c r="Q10944" i="12"/>
  <c r="Q10943" i="12"/>
  <c r="Q10942" i="12"/>
  <c r="Q10941" i="12"/>
  <c r="Q10940" i="12"/>
  <c r="Q10939" i="12"/>
  <c r="Q10938" i="12"/>
  <c r="Q10937" i="12"/>
  <c r="Q10936" i="12"/>
  <c r="Q10935" i="12"/>
  <c r="Q10934" i="12"/>
  <c r="Q10933" i="12"/>
  <c r="Q10932" i="12"/>
  <c r="Q10931" i="12"/>
  <c r="Q10930" i="12"/>
  <c r="Q10929" i="12"/>
  <c r="Q10928" i="12"/>
  <c r="Q10927" i="12"/>
  <c r="Q10926" i="12"/>
  <c r="Q10925" i="12"/>
  <c r="Q10924" i="12"/>
  <c r="Q10923" i="12"/>
  <c r="Q10922" i="12"/>
  <c r="Q10921" i="12"/>
  <c r="Q10920" i="12"/>
  <c r="Q10919" i="12"/>
  <c r="Q10918" i="12"/>
  <c r="Q10917" i="12"/>
  <c r="Q10916" i="12"/>
  <c r="Q10915" i="12"/>
  <c r="Q10914" i="12"/>
  <c r="Q10913" i="12"/>
  <c r="Q10912" i="12"/>
  <c r="Q10911" i="12"/>
  <c r="Q10910" i="12"/>
  <c r="Q10909" i="12"/>
  <c r="Q10908" i="12"/>
  <c r="Q10907" i="12"/>
  <c r="Q10906" i="12"/>
  <c r="Q10905" i="12"/>
  <c r="Q10904" i="12"/>
  <c r="Q10903" i="12"/>
  <c r="Q10902" i="12"/>
  <c r="Q10901" i="12"/>
  <c r="Q10900" i="12"/>
  <c r="Q10899" i="12"/>
  <c r="Q10898" i="12"/>
  <c r="Q10897" i="12"/>
  <c r="Q10896" i="12"/>
  <c r="Q10895" i="12"/>
  <c r="Q10894" i="12"/>
  <c r="Q10893" i="12"/>
  <c r="Q10892" i="12"/>
  <c r="Q10891" i="12"/>
  <c r="Q10890" i="12"/>
  <c r="Q10889" i="12"/>
  <c r="Q10888" i="12"/>
  <c r="Q10887" i="12"/>
  <c r="Q10886" i="12"/>
  <c r="Q10885" i="12"/>
  <c r="Q10884" i="12"/>
  <c r="Q10883" i="12"/>
  <c r="Q10882" i="12"/>
  <c r="Q10881" i="12"/>
  <c r="Q10880" i="12"/>
  <c r="Q10879" i="12"/>
  <c r="Q10878" i="12"/>
  <c r="Q10877" i="12"/>
  <c r="Q10876" i="12"/>
  <c r="Q10875" i="12"/>
  <c r="Q10874" i="12"/>
  <c r="Q10873" i="12"/>
  <c r="Q10872" i="12"/>
  <c r="Q10871" i="12"/>
  <c r="Q10870" i="12"/>
  <c r="Q10869" i="12"/>
  <c r="Q10868" i="12"/>
  <c r="Q10867" i="12"/>
  <c r="Q10866" i="12"/>
  <c r="Q10865" i="12"/>
  <c r="Q10864" i="12"/>
  <c r="Q10863" i="12"/>
  <c r="Q10862" i="12"/>
  <c r="Q10861" i="12"/>
  <c r="Q10860" i="12"/>
  <c r="Q10859" i="12"/>
  <c r="Q10858" i="12"/>
  <c r="Q10857" i="12"/>
  <c r="Q10856" i="12"/>
  <c r="Q10855" i="12"/>
  <c r="Q10854" i="12"/>
  <c r="Q10853" i="12"/>
  <c r="Q10852" i="12"/>
  <c r="Q10851" i="12"/>
  <c r="Q10850" i="12"/>
  <c r="Q10849" i="12"/>
  <c r="Q10848" i="12"/>
  <c r="Q10847" i="12"/>
  <c r="Q10846" i="12"/>
  <c r="Q10845" i="12"/>
  <c r="Q10844" i="12"/>
  <c r="Q10843" i="12"/>
  <c r="Q10842" i="12"/>
  <c r="Q10841" i="12"/>
  <c r="Q10840" i="12"/>
  <c r="Q10839" i="12"/>
  <c r="Q10838" i="12"/>
  <c r="Q10837" i="12"/>
  <c r="Q10836" i="12"/>
  <c r="Q10835" i="12"/>
  <c r="Q10834" i="12"/>
  <c r="Q10833" i="12"/>
  <c r="Q10832" i="12"/>
  <c r="Q10831" i="12"/>
  <c r="Q10830" i="12"/>
  <c r="Q10829" i="12"/>
  <c r="Q10828" i="12"/>
  <c r="Q10827" i="12"/>
  <c r="Q10826" i="12"/>
  <c r="Q10825" i="12"/>
  <c r="Q10824" i="12"/>
  <c r="Q10823" i="12"/>
  <c r="Q10822" i="12"/>
  <c r="Q10821" i="12"/>
  <c r="Q10820" i="12"/>
  <c r="Q10819" i="12"/>
  <c r="Q10818" i="12"/>
  <c r="Q10817" i="12"/>
  <c r="Q10816" i="12"/>
  <c r="Q10815" i="12"/>
  <c r="Q10814" i="12"/>
  <c r="Q10813" i="12"/>
  <c r="Q10812" i="12"/>
  <c r="Q10811" i="12"/>
  <c r="Q10810" i="12"/>
  <c r="Q10809" i="12"/>
  <c r="Q10808" i="12"/>
  <c r="Q10807" i="12"/>
  <c r="Q10806" i="12"/>
  <c r="Q10805" i="12"/>
  <c r="Q10804" i="12"/>
  <c r="Q10803" i="12"/>
  <c r="Q10802" i="12"/>
  <c r="Q10801" i="12"/>
  <c r="Q10800" i="12"/>
  <c r="Q10799" i="12"/>
  <c r="Q10798" i="12"/>
  <c r="Q10797" i="12"/>
  <c r="Q10796" i="12"/>
  <c r="Q10795" i="12"/>
  <c r="Q10794" i="12"/>
  <c r="Q10793" i="12"/>
  <c r="Q10792" i="12"/>
  <c r="Q10791" i="12"/>
  <c r="Q10790" i="12"/>
  <c r="Q10789" i="12"/>
  <c r="Q10788" i="12"/>
  <c r="Q10787" i="12"/>
  <c r="Q10786" i="12"/>
  <c r="Q10785" i="12"/>
  <c r="Q10784" i="12"/>
  <c r="Q10783" i="12"/>
  <c r="Q10782" i="12"/>
  <c r="Q10781" i="12"/>
  <c r="Q10780" i="12"/>
  <c r="Q10779" i="12"/>
  <c r="Q10778" i="12"/>
  <c r="Q10777" i="12"/>
  <c r="Q10776" i="12"/>
  <c r="Q10775" i="12"/>
  <c r="Q10774" i="12"/>
  <c r="Q10773" i="12"/>
  <c r="Q10772" i="12"/>
  <c r="Q10771" i="12"/>
  <c r="Q10770" i="12"/>
  <c r="Q10769" i="12"/>
  <c r="Q10768" i="12"/>
  <c r="Q10767" i="12"/>
  <c r="Q10766" i="12"/>
  <c r="Q10765" i="12"/>
  <c r="Q10764" i="12"/>
  <c r="Q10763" i="12"/>
  <c r="Q10762" i="12"/>
  <c r="Q10761" i="12"/>
  <c r="Q10760" i="12"/>
  <c r="Q10759" i="12"/>
  <c r="Q10758" i="12"/>
  <c r="Q10757" i="12"/>
  <c r="Q10756" i="12"/>
  <c r="Q10755" i="12"/>
  <c r="Q10754" i="12"/>
  <c r="Q10753" i="12"/>
  <c r="Q10752" i="12"/>
  <c r="Q10751" i="12"/>
  <c r="Q10750" i="12"/>
  <c r="Q10749" i="12"/>
  <c r="Q10748" i="12"/>
  <c r="Q10747" i="12"/>
  <c r="Q10746" i="12"/>
  <c r="Q10745" i="12"/>
  <c r="Q10744" i="12"/>
  <c r="Q10743" i="12"/>
  <c r="Q10742" i="12"/>
  <c r="Q10741" i="12"/>
  <c r="Q10740" i="12"/>
  <c r="Q10739" i="12"/>
  <c r="Q10738" i="12"/>
  <c r="Q10737" i="12"/>
  <c r="Q10736" i="12"/>
  <c r="Q10735" i="12"/>
  <c r="Q10734" i="12"/>
  <c r="Q10733" i="12"/>
  <c r="Q10732" i="12"/>
  <c r="Q10731" i="12"/>
  <c r="Q10730" i="12"/>
  <c r="Q10729" i="12"/>
  <c r="Q10728" i="12"/>
  <c r="Q10727" i="12"/>
  <c r="Q10726" i="12"/>
  <c r="Q10725" i="12"/>
  <c r="Q10724" i="12"/>
  <c r="Q10723" i="12"/>
  <c r="Q10722" i="12"/>
  <c r="Q10721" i="12"/>
  <c r="Q10720" i="12"/>
  <c r="Q10719" i="12"/>
  <c r="Q10718" i="12"/>
  <c r="Q10717" i="12"/>
  <c r="Q10716" i="12"/>
  <c r="Q10715" i="12"/>
  <c r="Q10714" i="12"/>
  <c r="Q10713" i="12"/>
  <c r="Q10712" i="12"/>
  <c r="Q10711" i="12"/>
  <c r="Q10710" i="12"/>
  <c r="Q10709" i="12"/>
  <c r="Q10708" i="12"/>
  <c r="Q10707" i="12"/>
  <c r="Q10706" i="12"/>
  <c r="Q10705" i="12"/>
  <c r="Q10704" i="12"/>
  <c r="Q10703" i="12"/>
  <c r="Q10702" i="12"/>
  <c r="Q10701" i="12"/>
  <c r="Q10700" i="12"/>
  <c r="Q10699" i="12"/>
  <c r="Q10698" i="12"/>
  <c r="Q10697" i="12"/>
  <c r="Q10696" i="12"/>
  <c r="Q10695" i="12"/>
  <c r="Q10694" i="12"/>
  <c r="Q10693" i="12"/>
  <c r="Q10692" i="12"/>
  <c r="Q10691" i="12"/>
  <c r="Q10690" i="12"/>
  <c r="Q10689" i="12"/>
  <c r="Q10688" i="12"/>
  <c r="Q10687" i="12"/>
  <c r="Q10686" i="12"/>
  <c r="Q10685" i="12"/>
  <c r="Q10684" i="12"/>
  <c r="Q10683" i="12"/>
  <c r="Q10682" i="12"/>
  <c r="Q10681" i="12"/>
  <c r="Q10680" i="12"/>
  <c r="Q10679" i="12"/>
  <c r="Q10678" i="12"/>
  <c r="Q10677" i="12"/>
  <c r="Q10676" i="12"/>
  <c r="Q10675" i="12"/>
  <c r="Q10674" i="12"/>
  <c r="Q10673" i="12"/>
  <c r="Q10672" i="12"/>
  <c r="Q10671" i="12"/>
  <c r="Q10670" i="12"/>
  <c r="Q10669" i="12"/>
  <c r="Q10668" i="12"/>
  <c r="Q10667" i="12"/>
  <c r="Q10666" i="12"/>
  <c r="Q10665" i="12"/>
  <c r="Q10664" i="12"/>
  <c r="Q10663" i="12"/>
  <c r="Q10662" i="12"/>
  <c r="Q10661" i="12"/>
  <c r="Q10660" i="12"/>
  <c r="Q10659" i="12"/>
  <c r="Q10658" i="12"/>
  <c r="Q10657" i="12"/>
  <c r="Q10656" i="12"/>
  <c r="Q10655" i="12"/>
  <c r="Q10654" i="12"/>
  <c r="Q10653" i="12"/>
  <c r="Q10652" i="12"/>
  <c r="Q10651" i="12"/>
  <c r="Q10650" i="12"/>
  <c r="Q10649" i="12"/>
  <c r="Q10648" i="12"/>
  <c r="Q10647" i="12"/>
  <c r="Q10646" i="12"/>
  <c r="Q10645" i="12"/>
  <c r="Q10644" i="12"/>
  <c r="Q10643" i="12"/>
  <c r="Q10642" i="12"/>
  <c r="Q10641" i="12"/>
  <c r="Q10640" i="12"/>
  <c r="Q10639" i="12"/>
  <c r="Q10638" i="12"/>
  <c r="Q10637" i="12"/>
  <c r="Q10636" i="12"/>
  <c r="Q10635" i="12"/>
  <c r="Q10634" i="12"/>
  <c r="Q10633" i="12"/>
  <c r="Q10632" i="12"/>
  <c r="Q10631" i="12"/>
  <c r="Q10630" i="12"/>
  <c r="Q10629" i="12"/>
  <c r="Q10628" i="12"/>
  <c r="Q10627" i="12"/>
  <c r="Q10626" i="12"/>
  <c r="Q10625" i="12"/>
  <c r="Q10624" i="12"/>
  <c r="Q10623" i="12"/>
  <c r="Q10622" i="12"/>
  <c r="Q10621" i="12"/>
  <c r="Q10620" i="12"/>
  <c r="Q10619" i="12"/>
  <c r="Q10618" i="12"/>
  <c r="Q10617" i="12"/>
  <c r="Q10616" i="12"/>
  <c r="Q10615" i="12"/>
  <c r="Q10614" i="12"/>
  <c r="Q10613" i="12"/>
  <c r="Q10612" i="12"/>
  <c r="Q10611" i="12"/>
  <c r="Q10610" i="12"/>
  <c r="Q10609" i="12"/>
  <c r="Q10608" i="12"/>
  <c r="Q10607" i="12"/>
  <c r="Q10606" i="12"/>
  <c r="Q10605" i="12"/>
  <c r="Q10604" i="12"/>
  <c r="Q10603" i="12"/>
  <c r="Q10602" i="12"/>
  <c r="Q10601" i="12"/>
  <c r="Q10600" i="12"/>
  <c r="Q10599" i="12"/>
  <c r="Q10598" i="12"/>
  <c r="Q10597" i="12"/>
  <c r="Q10596" i="12"/>
  <c r="Q10595" i="12"/>
  <c r="Q10594" i="12"/>
  <c r="Q10593" i="12"/>
  <c r="Q10592" i="12"/>
  <c r="Q10591" i="12"/>
  <c r="Q10590" i="12"/>
  <c r="Q10589" i="12"/>
  <c r="Q10588" i="12"/>
  <c r="Q10587" i="12"/>
  <c r="Q10586" i="12"/>
  <c r="Q10585" i="12"/>
  <c r="Q10584" i="12"/>
  <c r="Q10583" i="12"/>
  <c r="Q10582" i="12"/>
  <c r="Q10581" i="12"/>
  <c r="Q10580" i="12"/>
  <c r="Q10579" i="12"/>
  <c r="Q10578" i="12"/>
  <c r="Q10577" i="12"/>
  <c r="Q10576" i="12"/>
  <c r="Q10575" i="12"/>
  <c r="Q10574" i="12"/>
  <c r="Q10573" i="12"/>
  <c r="Q10572" i="12"/>
  <c r="Q10571" i="12"/>
  <c r="Q10570" i="12"/>
  <c r="Q10569" i="12"/>
  <c r="Q10568" i="12"/>
  <c r="Q10567" i="12"/>
  <c r="Q10566" i="12"/>
  <c r="Q10565" i="12"/>
  <c r="Q10564" i="12"/>
  <c r="Q10563" i="12"/>
  <c r="Q10562" i="12"/>
  <c r="Q10561" i="12"/>
  <c r="Q10560" i="12"/>
  <c r="Q10559" i="12"/>
  <c r="Q10558" i="12"/>
  <c r="Q10557" i="12"/>
  <c r="Q10556" i="12"/>
  <c r="Q10555" i="12"/>
  <c r="Q10554" i="12"/>
  <c r="Q10553" i="12"/>
  <c r="Q10552" i="12"/>
  <c r="Q10551" i="12"/>
  <c r="Q10550" i="12"/>
  <c r="Q10549" i="12"/>
  <c r="Q10548" i="12"/>
  <c r="Q10547" i="12"/>
  <c r="Q10546" i="12"/>
  <c r="Q10545" i="12"/>
  <c r="Q10544" i="12"/>
  <c r="Q10543" i="12"/>
  <c r="Q10542" i="12"/>
  <c r="Q10541" i="12"/>
  <c r="Q10540" i="12"/>
  <c r="Q10539" i="12"/>
  <c r="Q10538" i="12"/>
  <c r="Q10537" i="12"/>
  <c r="Q10536" i="12"/>
  <c r="Q10535" i="12"/>
  <c r="Q10534" i="12"/>
  <c r="Q10533" i="12"/>
  <c r="Q10532" i="12"/>
  <c r="Q10531" i="12"/>
  <c r="Q10530" i="12"/>
  <c r="Q10529" i="12"/>
  <c r="Q10528" i="12"/>
  <c r="Q10527" i="12"/>
  <c r="Q10526" i="12"/>
  <c r="Q10525" i="12"/>
  <c r="Q10524" i="12"/>
  <c r="Q10523" i="12"/>
  <c r="Q10522" i="12"/>
  <c r="Q10521" i="12"/>
  <c r="Q10520" i="12"/>
  <c r="Q10519" i="12"/>
  <c r="Q10518" i="12"/>
  <c r="Q10517" i="12"/>
  <c r="Q10516" i="12"/>
  <c r="Q10515" i="12"/>
  <c r="Q10514" i="12"/>
  <c r="Q10513" i="12"/>
  <c r="Q10512" i="12"/>
  <c r="Q10511" i="12"/>
  <c r="Q10510" i="12"/>
  <c r="Q10509" i="12"/>
  <c r="Q10508" i="12"/>
  <c r="Q10507" i="12"/>
  <c r="Q10506" i="12"/>
  <c r="Q10505" i="12"/>
  <c r="Q10504" i="12"/>
  <c r="Q10503" i="12"/>
  <c r="Q10502" i="12"/>
  <c r="Q10501" i="12"/>
  <c r="Q10500" i="12"/>
  <c r="Q10499" i="12"/>
  <c r="Q10498" i="12"/>
  <c r="Q10497" i="12"/>
  <c r="Q10496" i="12"/>
  <c r="Q10495" i="12"/>
  <c r="Q10494" i="12"/>
  <c r="Q10493" i="12"/>
  <c r="Q10492" i="12"/>
  <c r="Q10491" i="12"/>
  <c r="Q10490" i="12"/>
  <c r="Q10489" i="12"/>
  <c r="Q10488" i="12"/>
  <c r="Q10487" i="12"/>
  <c r="Q10486" i="12"/>
  <c r="Q10485" i="12"/>
  <c r="Q10484" i="12"/>
  <c r="Q10483" i="12"/>
  <c r="Q10482" i="12"/>
  <c r="Q10481" i="12"/>
  <c r="Q10480" i="12"/>
  <c r="Q10479" i="12"/>
  <c r="Q10478" i="12"/>
  <c r="Q10477" i="12"/>
  <c r="Q10476" i="12"/>
  <c r="Q10475" i="12"/>
  <c r="Q10474" i="12"/>
  <c r="Q10473" i="12"/>
  <c r="Q10472" i="12"/>
  <c r="Q10471" i="12"/>
  <c r="Q10470" i="12"/>
  <c r="Q10469" i="12"/>
  <c r="Q10468" i="12"/>
  <c r="Q10467" i="12"/>
  <c r="Q10466" i="12"/>
  <c r="Q10465" i="12"/>
  <c r="Q10464" i="12"/>
  <c r="Q10463" i="12"/>
  <c r="Q10462" i="12"/>
  <c r="Q10461" i="12"/>
  <c r="Q10460" i="12"/>
  <c r="Q10459" i="12"/>
  <c r="Q10458" i="12"/>
  <c r="Q10457" i="12"/>
  <c r="Q10456" i="12"/>
  <c r="Q10455" i="12"/>
  <c r="Q10454" i="12"/>
  <c r="Q10453" i="12"/>
  <c r="Q10452" i="12"/>
  <c r="Q10451" i="12"/>
  <c r="Q10450" i="12"/>
  <c r="Q10449" i="12"/>
  <c r="Q10448" i="12"/>
  <c r="Q10447" i="12"/>
  <c r="Q10446" i="12"/>
  <c r="Q10445" i="12"/>
  <c r="Q10444" i="12"/>
  <c r="Q10443" i="12"/>
  <c r="Q10442" i="12"/>
  <c r="Q10441" i="12"/>
  <c r="Q10440" i="12"/>
  <c r="Q10439" i="12"/>
  <c r="Q10438" i="12"/>
  <c r="Q10437" i="12"/>
  <c r="Q10436" i="12"/>
  <c r="Q10435" i="12"/>
  <c r="Q10434" i="12"/>
  <c r="Q10433" i="12"/>
  <c r="Q10432" i="12"/>
  <c r="Q10431" i="12"/>
  <c r="Q10430" i="12"/>
  <c r="Q10429" i="12"/>
  <c r="Q10428" i="12"/>
  <c r="Q10427" i="12"/>
  <c r="Q10426" i="12"/>
  <c r="Q10425" i="12"/>
  <c r="Q10424" i="12"/>
  <c r="Q10423" i="12"/>
  <c r="Q10422" i="12"/>
  <c r="Q10421" i="12"/>
  <c r="Q10420" i="12"/>
  <c r="Q10419" i="12"/>
  <c r="Q10418" i="12"/>
  <c r="Q10417" i="12"/>
  <c r="Q10416" i="12"/>
  <c r="Q10415" i="12"/>
  <c r="Q10414" i="12"/>
  <c r="Q10413" i="12"/>
  <c r="Q10412" i="12"/>
  <c r="Q10411" i="12"/>
  <c r="Q10410" i="12"/>
  <c r="Q10409" i="12"/>
  <c r="Q10408" i="12"/>
  <c r="Q10407" i="12"/>
  <c r="Q10406" i="12"/>
  <c r="Q10405" i="12"/>
  <c r="Q10404" i="12"/>
  <c r="Q10403" i="12"/>
  <c r="Q10402" i="12"/>
  <c r="Q10401" i="12"/>
  <c r="Q10400" i="12"/>
  <c r="Q10399" i="12"/>
  <c r="Q10398" i="12"/>
  <c r="Q10397" i="12"/>
  <c r="Q10396" i="12"/>
  <c r="Q10395" i="12"/>
  <c r="Q10394" i="12"/>
  <c r="Q10393" i="12"/>
  <c r="Q10392" i="12"/>
  <c r="Q10391" i="12"/>
  <c r="Q10390" i="12"/>
  <c r="Q10389" i="12"/>
  <c r="Q10388" i="12"/>
  <c r="Q10387" i="12"/>
  <c r="Q10386" i="12"/>
  <c r="Q10385" i="12"/>
  <c r="Q10384" i="12"/>
  <c r="Q10383" i="12"/>
  <c r="Q10382" i="12"/>
  <c r="Q10381" i="12"/>
  <c r="Q10380" i="12"/>
  <c r="Q10379" i="12"/>
  <c r="Q10378" i="12"/>
  <c r="Q10377" i="12"/>
  <c r="Q10376" i="12"/>
  <c r="Q10375" i="12"/>
  <c r="Q10374" i="12"/>
  <c r="Q10373" i="12"/>
  <c r="Q10372" i="12"/>
  <c r="Q10371" i="12"/>
  <c r="Q10370" i="12"/>
  <c r="Q10369" i="12"/>
  <c r="Q10368" i="12"/>
  <c r="Q10367" i="12"/>
  <c r="Q10366" i="12"/>
  <c r="Q10365" i="12"/>
  <c r="Q10364" i="12"/>
  <c r="Q10363" i="12"/>
  <c r="Q10362" i="12"/>
  <c r="Q10361" i="12"/>
  <c r="Q10360" i="12"/>
  <c r="Q10359" i="12"/>
  <c r="Q10358" i="12"/>
  <c r="Q10357" i="12"/>
  <c r="Q10356" i="12"/>
  <c r="Q10355" i="12"/>
  <c r="Q10354" i="12"/>
  <c r="Q10353" i="12"/>
  <c r="Q10352" i="12"/>
  <c r="Q10351" i="12"/>
  <c r="Q10350" i="12"/>
  <c r="Q10349" i="12"/>
  <c r="Q10348" i="12"/>
  <c r="Q10347" i="12"/>
  <c r="Q10346" i="12"/>
  <c r="Q10345" i="12"/>
  <c r="Q10344" i="12"/>
  <c r="Q10343" i="12"/>
  <c r="Q10342" i="12"/>
  <c r="Q10341" i="12"/>
  <c r="Q10340" i="12"/>
  <c r="Q10339" i="12"/>
  <c r="Q10338" i="12"/>
  <c r="Q10337" i="12"/>
  <c r="Q10336" i="12"/>
  <c r="Q10335" i="12"/>
  <c r="Q10334" i="12"/>
  <c r="Q10333" i="12"/>
  <c r="Q10332" i="12"/>
  <c r="Q10331" i="12"/>
  <c r="Q10330" i="12"/>
  <c r="Q10329" i="12"/>
  <c r="Q10328" i="12"/>
  <c r="Q10327" i="12"/>
  <c r="Q10326" i="12"/>
  <c r="Q10325" i="12"/>
  <c r="Q10324" i="12"/>
  <c r="Q10323" i="12"/>
  <c r="Q10322" i="12"/>
  <c r="Q10321" i="12"/>
  <c r="Q10320" i="12"/>
  <c r="Q10319" i="12"/>
  <c r="Q10318" i="12"/>
  <c r="Q10317" i="12"/>
  <c r="Q10316" i="12"/>
  <c r="Q10315" i="12"/>
  <c r="Q10314" i="12"/>
  <c r="Q10313" i="12"/>
  <c r="Q10312" i="12"/>
  <c r="Q10311" i="12"/>
  <c r="Q10310" i="12"/>
  <c r="Q10309" i="12"/>
  <c r="Q10308" i="12"/>
  <c r="Q10307" i="12"/>
  <c r="Q10306" i="12"/>
  <c r="Q10305" i="12"/>
  <c r="Q10304" i="12"/>
  <c r="Q10303" i="12"/>
  <c r="Q10302" i="12"/>
  <c r="Q10301" i="12"/>
  <c r="Q10300" i="12"/>
  <c r="Q10299" i="12"/>
  <c r="Q10298" i="12"/>
  <c r="Q10297" i="12"/>
  <c r="Q10296" i="12"/>
  <c r="Q10295" i="12"/>
  <c r="Q10294" i="12"/>
  <c r="Q10293" i="12"/>
  <c r="Q10292" i="12"/>
  <c r="Q10291" i="12"/>
  <c r="Q10290" i="12"/>
  <c r="Q10289" i="12"/>
  <c r="Q10288" i="12"/>
  <c r="Q10287" i="12"/>
  <c r="Q10286" i="12"/>
  <c r="Q10285" i="12"/>
  <c r="Q10284" i="12"/>
  <c r="Q10283" i="12"/>
  <c r="Q10282" i="12"/>
  <c r="Q10281" i="12"/>
  <c r="Q10280" i="12"/>
  <c r="Q10279" i="12"/>
  <c r="Q10278" i="12"/>
  <c r="Q10277" i="12"/>
  <c r="Q10276" i="12"/>
  <c r="Q10275" i="12"/>
  <c r="Q10274" i="12"/>
  <c r="Q10273" i="12"/>
  <c r="Q10272" i="12"/>
  <c r="Q10271" i="12"/>
  <c r="Q10270" i="12"/>
  <c r="Q10269" i="12"/>
  <c r="Q10268" i="12"/>
  <c r="Q10267" i="12"/>
  <c r="Q10266" i="12"/>
  <c r="Q10265" i="12"/>
  <c r="Q10264" i="12"/>
  <c r="Q10263" i="12"/>
  <c r="Q10262" i="12"/>
  <c r="Q10261" i="12"/>
  <c r="Q10260" i="12"/>
  <c r="Q10259" i="12"/>
  <c r="Q10258" i="12"/>
  <c r="Q10257" i="12"/>
  <c r="Q10256" i="12"/>
  <c r="Q10255" i="12"/>
  <c r="Q10254" i="12"/>
  <c r="Q10253" i="12"/>
  <c r="Q10252" i="12"/>
  <c r="Q10251" i="12"/>
  <c r="Q10250" i="12"/>
  <c r="Q10249" i="12"/>
  <c r="Q10248" i="12"/>
  <c r="Q10247" i="12"/>
  <c r="Q10246" i="12"/>
  <c r="Q10245" i="12"/>
  <c r="Q10244" i="12"/>
  <c r="Q10243" i="12"/>
  <c r="Q10242" i="12"/>
  <c r="Q10241" i="12"/>
  <c r="Q10240" i="12"/>
  <c r="Q10239" i="12"/>
  <c r="Q10238" i="12"/>
  <c r="Q10237" i="12"/>
  <c r="Q10236" i="12"/>
  <c r="Q10235" i="12"/>
  <c r="Q10234" i="12"/>
  <c r="Q10233" i="12"/>
  <c r="Q10232" i="12"/>
  <c r="Q10231" i="12"/>
  <c r="Q10230" i="12"/>
  <c r="Q10229" i="12"/>
  <c r="Q10228" i="12"/>
  <c r="Q10227" i="12"/>
  <c r="Q10226" i="12"/>
  <c r="Q10225" i="12"/>
  <c r="Q10224" i="12"/>
  <c r="Q10223" i="12"/>
  <c r="Q10222" i="12"/>
  <c r="Q10221" i="12"/>
  <c r="Q10220" i="12"/>
  <c r="Q10219" i="12"/>
  <c r="Q10218" i="12"/>
  <c r="Q10217" i="12"/>
  <c r="Q10216" i="12"/>
  <c r="Q10215" i="12"/>
  <c r="Q10214" i="12"/>
  <c r="Q10213" i="12"/>
  <c r="Q10212" i="12"/>
  <c r="Q10211" i="12"/>
  <c r="Q10210" i="12"/>
  <c r="Q10209" i="12"/>
  <c r="Q10208" i="12"/>
  <c r="Q10207" i="12"/>
  <c r="Q10206" i="12"/>
  <c r="Q10205" i="12"/>
  <c r="Q10204" i="12"/>
  <c r="Q10203" i="12"/>
  <c r="Q10202" i="12"/>
  <c r="Q10201" i="12"/>
  <c r="Q10200" i="12"/>
  <c r="Q10199" i="12"/>
  <c r="Q10198" i="12"/>
  <c r="Q10197" i="12"/>
  <c r="Q10196" i="12"/>
  <c r="Q10195" i="12"/>
  <c r="Q10194" i="12"/>
  <c r="Q10193" i="12"/>
  <c r="Q10192" i="12"/>
  <c r="Q10191" i="12"/>
  <c r="Q10190" i="12"/>
  <c r="Q10189" i="12"/>
  <c r="Q10188" i="12"/>
  <c r="Q10187" i="12"/>
  <c r="Q10186" i="12"/>
  <c r="Q10185" i="12"/>
  <c r="Q10184" i="12"/>
  <c r="Q10183" i="12"/>
  <c r="Q10182" i="12"/>
  <c r="Q10181" i="12"/>
  <c r="Q10180" i="12"/>
  <c r="Q10179" i="12"/>
  <c r="Q10178" i="12"/>
  <c r="Q10177" i="12"/>
  <c r="Q10176" i="12"/>
  <c r="Q10175" i="12"/>
  <c r="Q10174" i="12"/>
  <c r="Q10173" i="12"/>
  <c r="Q10172" i="12"/>
  <c r="Q10171" i="12"/>
  <c r="Q10170" i="12"/>
  <c r="Q10169" i="12"/>
  <c r="Q10168" i="12"/>
  <c r="Q10167" i="12"/>
  <c r="Q10166" i="12"/>
  <c r="Q10165" i="12"/>
  <c r="Q10164" i="12"/>
  <c r="Q10163" i="12"/>
  <c r="Q10162" i="12"/>
  <c r="Q10161" i="12"/>
  <c r="Q10160" i="12"/>
  <c r="Q10159" i="12"/>
  <c r="Q10158" i="12"/>
  <c r="Q10157" i="12"/>
  <c r="Q10156" i="12"/>
  <c r="Q10155" i="12"/>
  <c r="Q10154" i="12"/>
  <c r="Q10153" i="12"/>
  <c r="Q10152" i="12"/>
  <c r="Q10151" i="12"/>
  <c r="Q10150" i="12"/>
  <c r="Q10149" i="12"/>
  <c r="Q10148" i="12"/>
  <c r="Q10147" i="12"/>
  <c r="Q10146" i="12"/>
  <c r="Q10145" i="12"/>
  <c r="Q10144" i="12"/>
  <c r="Q10143" i="12"/>
  <c r="Q10142" i="12"/>
  <c r="Q10141" i="12"/>
  <c r="Q10140" i="12"/>
  <c r="Q10139" i="12"/>
  <c r="Q10138" i="12"/>
  <c r="Q10137" i="12"/>
  <c r="Q10136" i="12"/>
  <c r="Q10135" i="12"/>
  <c r="Q10134" i="12"/>
  <c r="Q10133" i="12"/>
  <c r="Q10132" i="12"/>
  <c r="Q10131" i="12"/>
  <c r="Q10130" i="12"/>
  <c r="Q10129" i="12"/>
  <c r="Q10128" i="12"/>
  <c r="Q10127" i="12"/>
  <c r="Q10126" i="12"/>
  <c r="Q10125" i="12"/>
  <c r="Q10124" i="12"/>
  <c r="Q10123" i="12"/>
  <c r="Q10122" i="12"/>
  <c r="Q10121" i="12"/>
  <c r="Q10120" i="12"/>
  <c r="Q10119" i="12"/>
  <c r="Q10118" i="12"/>
  <c r="Q10117" i="12"/>
  <c r="Q10116" i="12"/>
  <c r="Q10115" i="12"/>
  <c r="Q10114" i="12"/>
  <c r="Q10113" i="12"/>
  <c r="Q10112" i="12"/>
  <c r="Q10111" i="12"/>
  <c r="Q10110" i="12"/>
  <c r="Q10109" i="12"/>
  <c r="Q10108" i="12"/>
  <c r="Q10107" i="12"/>
  <c r="Q10106" i="12"/>
  <c r="Q10105" i="12"/>
  <c r="Q10104" i="12"/>
  <c r="Q10103" i="12"/>
  <c r="Q10102" i="12"/>
  <c r="Q10101" i="12"/>
  <c r="Q10100" i="12"/>
  <c r="Q10099" i="12"/>
  <c r="Q10098" i="12"/>
  <c r="Q10097" i="12"/>
  <c r="Q10096" i="12"/>
  <c r="Q10095" i="12"/>
  <c r="Q10094" i="12"/>
  <c r="Q10093" i="12"/>
  <c r="Q10092" i="12"/>
  <c r="Q10091" i="12"/>
  <c r="Q10090" i="12"/>
  <c r="Q10089" i="12"/>
  <c r="Q10088" i="12"/>
  <c r="Q10087" i="12"/>
  <c r="Q10086" i="12"/>
  <c r="Q10085" i="12"/>
  <c r="Q10084" i="12"/>
  <c r="Q10083" i="12"/>
  <c r="Q10082" i="12"/>
  <c r="Q10081" i="12"/>
  <c r="Q10080" i="12"/>
  <c r="Q10079" i="12"/>
  <c r="Q10078" i="12"/>
  <c r="Q10077" i="12"/>
  <c r="Q10076" i="12"/>
  <c r="Q10075" i="12"/>
  <c r="Q10074" i="12"/>
  <c r="Q10073" i="12"/>
  <c r="Q10072" i="12"/>
  <c r="Q10071" i="12"/>
  <c r="Q10070" i="12"/>
  <c r="Q10069" i="12"/>
  <c r="Q10068" i="12"/>
  <c r="Q10067" i="12"/>
  <c r="Q10066" i="12"/>
  <c r="Q10065" i="12"/>
  <c r="Q10064" i="12"/>
  <c r="Q10063" i="12"/>
  <c r="Q10062" i="12"/>
  <c r="Q10061" i="12"/>
  <c r="Q10060" i="12"/>
  <c r="Q10059" i="12"/>
  <c r="Q10058" i="12"/>
  <c r="Q10057" i="12"/>
  <c r="Q10056" i="12"/>
  <c r="Q10055" i="12"/>
  <c r="Q10054" i="12"/>
  <c r="Q10053" i="12"/>
  <c r="Q10052" i="12"/>
  <c r="Q10051" i="12"/>
  <c r="Q10050" i="12"/>
  <c r="Q10049" i="12"/>
  <c r="Q10048" i="12"/>
  <c r="Q10047" i="12"/>
  <c r="Q10046" i="12"/>
  <c r="Q10045" i="12"/>
  <c r="Q10044" i="12"/>
  <c r="Q10043" i="12"/>
  <c r="Q10042" i="12"/>
  <c r="Q10041" i="12"/>
  <c r="Q10040" i="12"/>
  <c r="Q10039" i="12"/>
  <c r="Q10038" i="12"/>
  <c r="Q10037" i="12"/>
  <c r="Q10036" i="12"/>
  <c r="Q10035" i="12"/>
  <c r="Q10034" i="12"/>
  <c r="Q10033" i="12"/>
  <c r="Q10032" i="12"/>
  <c r="Q10031" i="12"/>
  <c r="Q10030" i="12"/>
  <c r="Q10029" i="12"/>
  <c r="Q10028" i="12"/>
  <c r="Q10027" i="12"/>
  <c r="Q10026" i="12"/>
  <c r="Q10025" i="12"/>
  <c r="Q10024" i="12"/>
  <c r="Q10023" i="12"/>
  <c r="Q10022" i="12"/>
  <c r="Q10021" i="12"/>
  <c r="Q10020" i="12"/>
  <c r="Q10019" i="12"/>
  <c r="Q10018" i="12"/>
  <c r="Q10017" i="12"/>
  <c r="Q10016" i="12"/>
  <c r="Q10015" i="12"/>
  <c r="Q10014" i="12"/>
  <c r="Q10013" i="12"/>
  <c r="Q10012" i="12"/>
  <c r="Q10011" i="12"/>
  <c r="Q10010" i="12"/>
  <c r="Q10009" i="12"/>
  <c r="Q10008" i="12"/>
  <c r="Q10007" i="12"/>
  <c r="Q10006" i="12"/>
  <c r="Q10005" i="12"/>
  <c r="Q10004" i="12"/>
  <c r="Q10003" i="12"/>
  <c r="Q10002" i="12"/>
  <c r="Q10001" i="12"/>
  <c r="Q10000" i="12"/>
  <c r="Q9999" i="12"/>
  <c r="Q9998" i="12"/>
  <c r="Q9997" i="12"/>
  <c r="Q9996" i="12"/>
  <c r="Q9995" i="12"/>
  <c r="Q9994" i="12"/>
  <c r="Q9993" i="12"/>
  <c r="Q9992" i="12"/>
  <c r="Q9991" i="12"/>
  <c r="Q9990" i="12"/>
  <c r="Q9989" i="12"/>
  <c r="Q9988" i="12"/>
  <c r="Q9987" i="12"/>
  <c r="Q9986" i="12"/>
  <c r="Q9985" i="12"/>
  <c r="Q9984" i="12"/>
  <c r="Q9983" i="12"/>
  <c r="Q9982" i="12"/>
  <c r="Q9981" i="12"/>
  <c r="Q9980" i="12"/>
  <c r="Q9979" i="12"/>
  <c r="Q9978" i="12"/>
  <c r="Q9977" i="12"/>
  <c r="Q9976" i="12"/>
  <c r="Q9975" i="12"/>
  <c r="Q9974" i="12"/>
  <c r="Q9973" i="12"/>
  <c r="Q9972" i="12"/>
  <c r="Q9971" i="12"/>
  <c r="Q9970" i="12"/>
  <c r="Q9969" i="12"/>
  <c r="Q9968" i="12"/>
  <c r="Q9967" i="12"/>
  <c r="Q9966" i="12"/>
  <c r="Q9965" i="12"/>
  <c r="Q9964" i="12"/>
  <c r="Q9963" i="12"/>
  <c r="Q9962" i="12"/>
  <c r="Q9961" i="12"/>
  <c r="Q9960" i="12"/>
  <c r="Q9959" i="12"/>
  <c r="Q9958" i="12"/>
  <c r="Q9957" i="12"/>
  <c r="Q9956" i="12"/>
  <c r="Q9955" i="12"/>
  <c r="Q9954" i="12"/>
  <c r="Q9953" i="12"/>
  <c r="Q9952" i="12"/>
  <c r="Q9951" i="12"/>
  <c r="Q9950" i="12"/>
  <c r="Q9949" i="12"/>
  <c r="Q9948" i="12"/>
  <c r="Q9947" i="12"/>
  <c r="Q9946" i="12"/>
  <c r="Q9945" i="12"/>
  <c r="Q9944" i="12"/>
  <c r="Q9943" i="12"/>
  <c r="Q9942" i="12"/>
  <c r="Q9941" i="12"/>
  <c r="Q9940" i="12"/>
  <c r="Q9939" i="12"/>
  <c r="Q9938" i="12"/>
  <c r="Q9937" i="12"/>
  <c r="Q9936" i="12"/>
  <c r="Q9935" i="12"/>
  <c r="Q9934" i="12"/>
  <c r="Q9933" i="12"/>
  <c r="Q9932" i="12"/>
  <c r="Q9931" i="12"/>
  <c r="Q9930" i="12"/>
  <c r="Q9929" i="12"/>
  <c r="Q9928" i="12"/>
  <c r="Q9927" i="12"/>
  <c r="Q9926" i="12"/>
  <c r="Q9925" i="12"/>
  <c r="Q9924" i="12"/>
  <c r="Q9923" i="12"/>
  <c r="Q9922" i="12"/>
  <c r="Q9921" i="12"/>
  <c r="Q9920" i="12"/>
  <c r="Q9919" i="12"/>
  <c r="Q9918" i="12"/>
  <c r="Q9917" i="12"/>
  <c r="Q9916" i="12"/>
  <c r="Q9915" i="12"/>
  <c r="Q9914" i="12"/>
  <c r="Q9913" i="12"/>
  <c r="Q9912" i="12"/>
  <c r="Q9911" i="12"/>
  <c r="Q9910" i="12"/>
  <c r="Q9909" i="12"/>
  <c r="Q9908" i="12"/>
  <c r="Q9907" i="12"/>
  <c r="Q9906" i="12"/>
  <c r="Q9905" i="12"/>
  <c r="Q9904" i="12"/>
  <c r="Q9903" i="12"/>
  <c r="Q9902" i="12"/>
  <c r="Q9901" i="12"/>
  <c r="Q9900" i="12"/>
  <c r="Q9899" i="12"/>
  <c r="Q9898" i="12"/>
  <c r="Q9897" i="12"/>
  <c r="Q9896" i="12"/>
  <c r="Q9895" i="12"/>
  <c r="Q9894" i="12"/>
  <c r="Q9893" i="12"/>
  <c r="Q9892" i="12"/>
  <c r="Q9891" i="12"/>
  <c r="Q9890" i="12"/>
  <c r="Q9889" i="12"/>
  <c r="Q9888" i="12"/>
  <c r="Q9887" i="12"/>
  <c r="Q9886" i="12"/>
  <c r="Q9885" i="12"/>
  <c r="Q9884" i="12"/>
  <c r="Q9883" i="12"/>
  <c r="Q9882" i="12"/>
  <c r="Q9881" i="12"/>
  <c r="Q9880" i="12"/>
  <c r="Q9879" i="12"/>
  <c r="Q9878" i="12"/>
  <c r="Q9877" i="12"/>
  <c r="Q9876" i="12"/>
  <c r="Q9875" i="12"/>
  <c r="Q9874" i="12"/>
  <c r="Q9873" i="12"/>
  <c r="Q9872" i="12"/>
  <c r="Q9871" i="12"/>
  <c r="Q9870" i="12"/>
  <c r="Q9869" i="12"/>
  <c r="Q9868" i="12"/>
  <c r="Q9867" i="12"/>
  <c r="Q9866" i="12"/>
  <c r="Q9865" i="12"/>
  <c r="Q9864" i="12"/>
  <c r="Q9863" i="12"/>
  <c r="Q9862" i="12"/>
  <c r="Q9861" i="12"/>
  <c r="Q9860" i="12"/>
  <c r="Q9859" i="12"/>
  <c r="Q9858" i="12"/>
  <c r="Q9857" i="12"/>
  <c r="Q9856" i="12"/>
  <c r="Q9855" i="12"/>
  <c r="Q9854" i="12"/>
  <c r="Q9853" i="12"/>
  <c r="Q9852" i="12"/>
  <c r="Q9851" i="12"/>
  <c r="Q9850" i="12"/>
  <c r="Q9849" i="12"/>
  <c r="Q9848" i="12"/>
  <c r="Q9847" i="12"/>
  <c r="Q9846" i="12"/>
  <c r="Q9845" i="12"/>
  <c r="Q9844" i="12"/>
  <c r="Q9843" i="12"/>
  <c r="Q9842" i="12"/>
  <c r="Q9841" i="12"/>
  <c r="Q9840" i="12"/>
  <c r="Q9839" i="12"/>
  <c r="Q9838" i="12"/>
  <c r="Q9837" i="12"/>
  <c r="Q9836" i="12"/>
  <c r="Q9835" i="12"/>
  <c r="Q9834" i="12"/>
  <c r="Q9833" i="12"/>
  <c r="Q9832" i="12"/>
  <c r="Q9831" i="12"/>
  <c r="Q9830" i="12"/>
  <c r="Q9829" i="12"/>
  <c r="Q9828" i="12"/>
  <c r="Q9827" i="12"/>
  <c r="Q9826" i="12"/>
  <c r="Q9825" i="12"/>
  <c r="Q9824" i="12"/>
  <c r="Q9823" i="12"/>
  <c r="Q9822" i="12"/>
  <c r="Q9821" i="12"/>
  <c r="Q9820" i="12"/>
  <c r="Q9819" i="12"/>
  <c r="Q9818" i="12"/>
  <c r="Q9817" i="12"/>
  <c r="Q9816" i="12"/>
  <c r="Q9815" i="12"/>
  <c r="Q9814" i="12"/>
  <c r="Q9813" i="12"/>
  <c r="Q9812" i="12"/>
  <c r="Q9811" i="12"/>
  <c r="Q9810" i="12"/>
  <c r="Q9809" i="12"/>
  <c r="Q9808" i="12"/>
  <c r="Q9807" i="12"/>
  <c r="Q9806" i="12"/>
  <c r="Q9805" i="12"/>
  <c r="Q9804" i="12"/>
  <c r="Q9803" i="12"/>
  <c r="Q9802" i="12"/>
  <c r="Q9801" i="12"/>
  <c r="Q9800" i="12"/>
  <c r="Q9799" i="12"/>
  <c r="Q9798" i="12"/>
  <c r="Q9797" i="12"/>
  <c r="Q9796" i="12"/>
  <c r="Q9795" i="12"/>
  <c r="Q9794" i="12"/>
  <c r="Q9793" i="12"/>
  <c r="Q9792" i="12"/>
  <c r="Q9791" i="12"/>
  <c r="Q9790" i="12"/>
  <c r="Q9789" i="12"/>
  <c r="Q9788" i="12"/>
  <c r="Q9787" i="12"/>
  <c r="Q9786" i="12"/>
  <c r="Q9785" i="12"/>
  <c r="Q9784" i="12"/>
  <c r="Q9783" i="12"/>
  <c r="Q9782" i="12"/>
  <c r="Q9781" i="12"/>
  <c r="Q9780" i="12"/>
  <c r="Q9779" i="12"/>
  <c r="Q9778" i="12"/>
  <c r="Q9777" i="12"/>
  <c r="Q9776" i="12"/>
  <c r="Q9775" i="12"/>
  <c r="Q9774" i="12"/>
  <c r="Q9773" i="12"/>
  <c r="Q9772" i="12"/>
  <c r="Q9771" i="12"/>
  <c r="Q9770" i="12"/>
  <c r="Q9769" i="12"/>
  <c r="Q9768" i="12"/>
  <c r="Q9767" i="12"/>
  <c r="Q9766" i="12"/>
  <c r="Q9765" i="12"/>
  <c r="Q9764" i="12"/>
  <c r="Q9763" i="12"/>
  <c r="Q9762" i="12"/>
  <c r="Q9761" i="12"/>
  <c r="Q9760" i="12"/>
  <c r="Q9759" i="12"/>
  <c r="Q9758" i="12"/>
  <c r="Q9757" i="12"/>
  <c r="Q9756" i="12"/>
  <c r="Q9755" i="12"/>
  <c r="Q9754" i="12"/>
  <c r="Q9753" i="12"/>
  <c r="Q9752" i="12"/>
  <c r="Q9751" i="12"/>
  <c r="Q9750" i="12"/>
  <c r="Q9749" i="12"/>
  <c r="Q9748" i="12"/>
  <c r="Q9747" i="12"/>
  <c r="Q9746" i="12"/>
  <c r="Q9745" i="12"/>
  <c r="Q9744" i="12"/>
  <c r="Q9743" i="12"/>
  <c r="Q9742" i="12"/>
  <c r="Q9741" i="12"/>
  <c r="Q9740" i="12"/>
  <c r="Q9739" i="12"/>
  <c r="Q9738" i="12"/>
  <c r="Q9737" i="12"/>
  <c r="Q9736" i="12"/>
  <c r="Q9735" i="12"/>
  <c r="Q9734" i="12"/>
  <c r="Q9733" i="12"/>
  <c r="Q9732" i="12"/>
  <c r="Q9731" i="12"/>
  <c r="Q9730" i="12"/>
  <c r="Q9729" i="12"/>
  <c r="Q9728" i="12"/>
  <c r="Q9727" i="12"/>
  <c r="Q9726" i="12"/>
  <c r="Q9725" i="12"/>
  <c r="Q9724" i="12"/>
  <c r="Q9723" i="12"/>
  <c r="Q9722" i="12"/>
  <c r="Q9721" i="12"/>
  <c r="Q9720" i="12"/>
  <c r="Q9719" i="12"/>
  <c r="Q9718" i="12"/>
  <c r="Q9717" i="12"/>
  <c r="Q9716" i="12"/>
  <c r="Q9715" i="12"/>
  <c r="Q9714" i="12"/>
  <c r="Q9713" i="12"/>
  <c r="Q9712" i="12"/>
  <c r="Q9711" i="12"/>
  <c r="Q9710" i="12"/>
  <c r="Q9709" i="12"/>
  <c r="Q9708" i="12"/>
  <c r="Q9707" i="12"/>
  <c r="Q9706" i="12"/>
  <c r="Q9705" i="12"/>
  <c r="Q9704" i="12"/>
  <c r="Q9703" i="12"/>
  <c r="Q9702" i="12"/>
  <c r="Q9701" i="12"/>
  <c r="Q9700" i="12"/>
  <c r="Q9699" i="12"/>
  <c r="Q9698" i="12"/>
  <c r="Q9697" i="12"/>
  <c r="Q9696" i="12"/>
  <c r="Q9695" i="12"/>
  <c r="Q9694" i="12"/>
  <c r="Q9693" i="12"/>
  <c r="Q9692" i="12"/>
  <c r="Q9691" i="12"/>
  <c r="Q9690" i="12"/>
  <c r="Q9689" i="12"/>
  <c r="Q9688" i="12"/>
  <c r="Q9687" i="12"/>
  <c r="Q9686" i="12"/>
  <c r="Q9685" i="12"/>
  <c r="Q9684" i="12"/>
  <c r="Q9683" i="12"/>
  <c r="Q9682" i="12"/>
  <c r="Q9681" i="12"/>
  <c r="Q9680" i="12"/>
  <c r="Q9679" i="12"/>
  <c r="Q9678" i="12"/>
  <c r="Q9677" i="12"/>
  <c r="Q9676" i="12"/>
  <c r="Q9675" i="12"/>
  <c r="Q9674" i="12"/>
  <c r="Q9673" i="12"/>
  <c r="Q9672" i="12"/>
  <c r="Q9671" i="12"/>
  <c r="Q9670" i="12"/>
  <c r="Q9669" i="12"/>
  <c r="Q9668" i="12"/>
  <c r="Q9667" i="12"/>
  <c r="Q9666" i="12"/>
  <c r="Q9665" i="12"/>
  <c r="Q9664" i="12"/>
  <c r="Q9663" i="12"/>
  <c r="Q9662" i="12"/>
  <c r="Q9661" i="12"/>
  <c r="Q9660" i="12"/>
  <c r="Q9659" i="12"/>
  <c r="Q9658" i="12"/>
  <c r="Q9657" i="12"/>
  <c r="Q9656" i="12"/>
  <c r="Q9655" i="12"/>
  <c r="Q9654" i="12"/>
  <c r="Q9653" i="12"/>
  <c r="Q9652" i="12"/>
  <c r="Q9651" i="12"/>
  <c r="Q9650" i="12"/>
  <c r="Q9649" i="12"/>
  <c r="Q9648" i="12"/>
  <c r="Q9647" i="12"/>
  <c r="Q9646" i="12"/>
  <c r="Q9645" i="12"/>
  <c r="Q9644" i="12"/>
  <c r="Q9643" i="12"/>
  <c r="Q9642" i="12"/>
  <c r="Q9641" i="12"/>
  <c r="Q9640" i="12"/>
  <c r="Q9639" i="12"/>
  <c r="Q9638" i="12"/>
  <c r="Q9637" i="12"/>
  <c r="Q9636" i="12"/>
  <c r="Q9635" i="12"/>
  <c r="Q9634" i="12"/>
  <c r="Q9633" i="12"/>
  <c r="Q9632" i="12"/>
  <c r="Q9631" i="12"/>
  <c r="Q9630" i="12"/>
  <c r="Q9629" i="12"/>
  <c r="Q9628" i="12"/>
  <c r="Q9627" i="12"/>
  <c r="Q9626" i="12"/>
  <c r="Q9625" i="12"/>
  <c r="Q9624" i="12"/>
  <c r="Q9623" i="12"/>
  <c r="Q9622" i="12"/>
  <c r="Q9621" i="12"/>
  <c r="Q9620" i="12"/>
  <c r="Q9619" i="12"/>
  <c r="Q9618" i="12"/>
  <c r="Q9617" i="12"/>
  <c r="Q9616" i="12"/>
  <c r="Q9615" i="12"/>
  <c r="Q9614" i="12"/>
  <c r="Q9613" i="12"/>
  <c r="Q9612" i="12"/>
  <c r="Q9611" i="12"/>
  <c r="Q9610" i="12"/>
  <c r="Q9609" i="12"/>
  <c r="Q9608" i="12"/>
  <c r="Q9607" i="12"/>
  <c r="Q9606" i="12"/>
  <c r="Q9605" i="12"/>
  <c r="Q9604" i="12"/>
  <c r="Q9603" i="12"/>
  <c r="Q9602" i="12"/>
  <c r="Q9601" i="12"/>
  <c r="Q9600" i="12"/>
  <c r="Q9599" i="12"/>
  <c r="Q9598" i="12"/>
  <c r="Q9597" i="12"/>
  <c r="Q9596" i="12"/>
  <c r="Q9595" i="12"/>
  <c r="Q9594" i="12"/>
  <c r="Q9593" i="12"/>
  <c r="Q9592" i="12"/>
  <c r="Q9591" i="12"/>
  <c r="Q9590" i="12"/>
  <c r="Q9589" i="12"/>
  <c r="Q9588" i="12"/>
  <c r="Q9587" i="12"/>
  <c r="Q9586" i="12"/>
  <c r="Q9585" i="12"/>
  <c r="Q9584" i="12"/>
  <c r="Q9583" i="12"/>
  <c r="Q9582" i="12"/>
  <c r="Q9581" i="12"/>
  <c r="Q9580" i="12"/>
  <c r="Q9579" i="12"/>
  <c r="Q9578" i="12"/>
  <c r="Q9577" i="12"/>
  <c r="Q9576" i="12"/>
  <c r="Q9575" i="12"/>
  <c r="Q9574" i="12"/>
  <c r="Q9573" i="12"/>
  <c r="Q9572" i="12"/>
  <c r="Q9571" i="12"/>
  <c r="Q9570" i="12"/>
  <c r="Q9569" i="12"/>
  <c r="Q9568" i="12"/>
  <c r="Q9567" i="12"/>
  <c r="Q9566" i="12"/>
  <c r="Q9565" i="12"/>
  <c r="Q9564" i="12"/>
  <c r="Q9563" i="12"/>
  <c r="Q9562" i="12"/>
  <c r="Q9561" i="12"/>
  <c r="Q9560" i="12"/>
  <c r="Q9559" i="12"/>
  <c r="Q9558" i="12"/>
  <c r="Q9557" i="12"/>
  <c r="Q9556" i="12"/>
  <c r="Q9555" i="12"/>
  <c r="Q9554" i="12"/>
  <c r="Q9553" i="12"/>
  <c r="Q9552" i="12"/>
  <c r="Q9551" i="12"/>
  <c r="Q9550" i="12"/>
  <c r="Q9549" i="12"/>
  <c r="Q9548" i="12"/>
  <c r="Q9547" i="12"/>
  <c r="Q9546" i="12"/>
  <c r="Q9545" i="12"/>
  <c r="Q9544" i="12"/>
  <c r="Q9543" i="12"/>
  <c r="Q9542" i="12"/>
  <c r="Q9541" i="12"/>
  <c r="Q9540" i="12"/>
  <c r="Q9539" i="12"/>
  <c r="Q9538" i="12"/>
  <c r="Q9537" i="12"/>
  <c r="Q9536" i="12"/>
  <c r="Q9535" i="12"/>
  <c r="Q9534" i="12"/>
  <c r="Q9533" i="12"/>
  <c r="Q9532" i="12"/>
  <c r="Q9531" i="12"/>
  <c r="Q9530" i="12"/>
  <c r="Q9529" i="12"/>
  <c r="Q9528" i="12"/>
  <c r="Q9527" i="12"/>
  <c r="Q9526" i="12"/>
  <c r="Q9525" i="12"/>
  <c r="Q9524" i="12"/>
  <c r="Q9523" i="12"/>
  <c r="Q9522" i="12"/>
  <c r="Q9521" i="12"/>
  <c r="Q9520" i="12"/>
  <c r="Q9519" i="12"/>
  <c r="Q9518" i="12"/>
  <c r="Q9517" i="12"/>
  <c r="Q9516" i="12"/>
  <c r="Q9515" i="12"/>
  <c r="Q9514" i="12"/>
  <c r="Q9513" i="12"/>
  <c r="Q9512" i="12"/>
  <c r="Q9511" i="12"/>
  <c r="Q9510" i="12"/>
  <c r="Q9509" i="12"/>
  <c r="Q9508" i="12"/>
  <c r="Q9507" i="12"/>
  <c r="Q9506" i="12"/>
  <c r="Q9505" i="12"/>
  <c r="Q9504" i="12"/>
  <c r="Q9503" i="12"/>
  <c r="Q9502" i="12"/>
  <c r="Q9501" i="12"/>
  <c r="Q9500" i="12"/>
  <c r="Q9499" i="12"/>
  <c r="Q9498" i="12"/>
  <c r="Q9497" i="12"/>
  <c r="Q9496" i="12"/>
  <c r="Q9495" i="12"/>
  <c r="Q9494" i="12"/>
  <c r="Q9493" i="12"/>
  <c r="Q9492" i="12"/>
  <c r="Q9491" i="12"/>
  <c r="Q9490" i="12"/>
  <c r="Q9489" i="12"/>
  <c r="Q9488" i="12"/>
  <c r="Q9487" i="12"/>
  <c r="Q9486" i="12"/>
  <c r="Q9485" i="12"/>
  <c r="Q9484" i="12"/>
  <c r="Q9483" i="12"/>
  <c r="Q9482" i="12"/>
  <c r="Q9481" i="12"/>
  <c r="Q9480" i="12"/>
  <c r="Q9479" i="12"/>
  <c r="Q9478" i="12"/>
  <c r="Q9477" i="12"/>
  <c r="Q9476" i="12"/>
  <c r="Q9475" i="12"/>
  <c r="Q9474" i="12"/>
  <c r="Q9473" i="12"/>
  <c r="Q9472" i="12"/>
  <c r="Q9471" i="12"/>
  <c r="Q9470" i="12"/>
  <c r="Q9469" i="12"/>
  <c r="Q9468" i="12"/>
  <c r="Q9467" i="12"/>
  <c r="Q9466" i="12"/>
  <c r="Q9465" i="12"/>
  <c r="Q9464" i="12"/>
  <c r="Q9463" i="12"/>
  <c r="Q9462" i="12"/>
  <c r="Q9461" i="12"/>
  <c r="Q9460" i="12"/>
  <c r="Q9459" i="12"/>
  <c r="Q9458" i="12"/>
  <c r="Q9457" i="12"/>
  <c r="Q9456" i="12"/>
  <c r="Q9455" i="12"/>
  <c r="Q9454" i="12"/>
  <c r="Q9453" i="12"/>
  <c r="Q9452" i="12"/>
  <c r="Q9451" i="12"/>
  <c r="Q9450" i="12"/>
  <c r="Q9449" i="12"/>
  <c r="Q9448" i="12"/>
  <c r="Q9447" i="12"/>
  <c r="Q9446" i="12"/>
  <c r="Q9445" i="12"/>
  <c r="Q9444" i="12"/>
  <c r="Q9443" i="12"/>
  <c r="Q9442" i="12"/>
  <c r="Q9441" i="12"/>
  <c r="Q9440" i="12"/>
  <c r="Q9439" i="12"/>
  <c r="Q9438" i="12"/>
  <c r="Q9437" i="12"/>
  <c r="Q9436" i="12"/>
  <c r="Q9435" i="12"/>
  <c r="Q9434" i="12"/>
  <c r="Q9433" i="12"/>
  <c r="Q9432" i="12"/>
  <c r="Q9431" i="12"/>
  <c r="Q9430" i="12"/>
  <c r="Q9429" i="12"/>
  <c r="Q9428" i="12"/>
  <c r="Q9427" i="12"/>
  <c r="Q9426" i="12"/>
  <c r="Q9425" i="12"/>
  <c r="Q9424" i="12"/>
  <c r="Q9423" i="12"/>
  <c r="Q9422" i="12"/>
  <c r="Q9421" i="12"/>
  <c r="Q9420" i="12"/>
  <c r="Q9419" i="12"/>
  <c r="Q9418" i="12"/>
  <c r="Q9417" i="12"/>
  <c r="Q9416" i="12"/>
  <c r="Q9415" i="12"/>
  <c r="Q9414" i="12"/>
  <c r="Q9413" i="12"/>
  <c r="Q9412" i="12"/>
  <c r="Q9411" i="12"/>
  <c r="Q9410" i="12"/>
  <c r="Q9409" i="12"/>
  <c r="Q9408" i="12"/>
  <c r="Q9407" i="12"/>
  <c r="Q9406" i="12"/>
  <c r="Q9405" i="12"/>
  <c r="Q9404" i="12"/>
  <c r="Q9403" i="12"/>
  <c r="Q9402" i="12"/>
  <c r="Q9401" i="12"/>
  <c r="Q9400" i="12"/>
  <c r="Q9399" i="12"/>
  <c r="Q9398" i="12"/>
  <c r="Q9397" i="12"/>
  <c r="Q9396" i="12"/>
  <c r="Q9395" i="12"/>
  <c r="Q9394" i="12"/>
  <c r="Q9393" i="12"/>
  <c r="Q9392" i="12"/>
  <c r="Q9391" i="12"/>
  <c r="Q9390" i="12"/>
  <c r="Q9389" i="12"/>
  <c r="Q9388" i="12"/>
  <c r="Q9387" i="12"/>
  <c r="Q9386" i="12"/>
  <c r="Q9385" i="12"/>
  <c r="Q9384" i="12"/>
  <c r="Q9383" i="12"/>
  <c r="Q9382" i="12"/>
  <c r="Q9381" i="12"/>
  <c r="Q9380" i="12"/>
  <c r="Q9379" i="12"/>
  <c r="Q9378" i="12"/>
  <c r="Q9377" i="12"/>
  <c r="Q9376" i="12"/>
  <c r="Q9375" i="12"/>
  <c r="Q9374" i="12"/>
  <c r="Q9373" i="12"/>
  <c r="Q9372" i="12"/>
  <c r="Q9371" i="12"/>
  <c r="Q9370" i="12"/>
  <c r="Q9369" i="12"/>
  <c r="Q9368" i="12"/>
  <c r="Q9367" i="12"/>
  <c r="Q9366" i="12"/>
  <c r="Q9365" i="12"/>
  <c r="Q9364" i="12"/>
  <c r="Q9363" i="12"/>
  <c r="Q9362" i="12"/>
  <c r="Q9361" i="12"/>
  <c r="Q9360" i="12"/>
  <c r="Q9359" i="12"/>
  <c r="Q9358" i="12"/>
  <c r="Q9357" i="12"/>
  <c r="Q9356" i="12"/>
  <c r="Q9355" i="12"/>
  <c r="Q9354" i="12"/>
  <c r="Q9353" i="12"/>
  <c r="Q9352" i="12"/>
  <c r="Q9351" i="12"/>
  <c r="Q9350" i="12"/>
  <c r="Q9349" i="12"/>
  <c r="Q9348" i="12"/>
  <c r="Q9347" i="12"/>
  <c r="Q9346" i="12"/>
  <c r="Q9345" i="12"/>
  <c r="Q9344" i="12"/>
  <c r="Q9343" i="12"/>
  <c r="Q9342" i="12"/>
  <c r="Q9341" i="12"/>
  <c r="Q9340" i="12"/>
  <c r="Q9339" i="12"/>
  <c r="Q9338" i="12"/>
  <c r="Q9337" i="12"/>
  <c r="Q9336" i="12"/>
  <c r="Q9335" i="12"/>
  <c r="Q9334" i="12"/>
  <c r="Q9333" i="12"/>
  <c r="Q9332" i="12"/>
  <c r="Q9331" i="12"/>
  <c r="Q9330" i="12"/>
  <c r="Q9329" i="12"/>
  <c r="Q9328" i="12"/>
  <c r="Q9327" i="12"/>
  <c r="Q9326" i="12"/>
  <c r="Q9325" i="12"/>
  <c r="Q9324" i="12"/>
  <c r="Q9323" i="12"/>
  <c r="Q9322" i="12"/>
  <c r="Q9321" i="12"/>
  <c r="Q9320" i="12"/>
  <c r="Q9319" i="12"/>
  <c r="Q9318" i="12"/>
  <c r="Q9317" i="12"/>
  <c r="Q9316" i="12"/>
  <c r="Q9315" i="12"/>
  <c r="Q9314" i="12"/>
  <c r="Q9313" i="12"/>
  <c r="Q9312" i="12"/>
  <c r="Q9311" i="12"/>
  <c r="Q9310" i="12"/>
  <c r="Q9309" i="12"/>
  <c r="Q9308" i="12"/>
  <c r="Q9307" i="12"/>
  <c r="Q9306" i="12"/>
  <c r="Q9305" i="12"/>
  <c r="Q9304" i="12"/>
  <c r="Q9303" i="12"/>
  <c r="Q9302" i="12"/>
  <c r="Q9301" i="12"/>
  <c r="Q9300" i="12"/>
  <c r="Q9299" i="12"/>
  <c r="Q9298" i="12"/>
  <c r="Q9297" i="12"/>
  <c r="Q9296" i="12"/>
  <c r="Q9295" i="12"/>
  <c r="Q9294" i="12"/>
  <c r="Q9293" i="12"/>
  <c r="Q9292" i="12"/>
  <c r="Q9291" i="12"/>
  <c r="Q9290" i="12"/>
  <c r="Q9289" i="12"/>
  <c r="Q9288" i="12"/>
  <c r="Q9287" i="12"/>
  <c r="Q9286" i="12"/>
  <c r="Q9285" i="12"/>
  <c r="Q9284" i="12"/>
  <c r="Q9283" i="12"/>
  <c r="Q9282" i="12"/>
  <c r="Q9281" i="12"/>
  <c r="Q9280" i="12"/>
  <c r="Q9279" i="12"/>
  <c r="Q9278" i="12"/>
  <c r="Q9277" i="12"/>
  <c r="Q9276" i="12"/>
  <c r="Q9275" i="12"/>
  <c r="Q9274" i="12"/>
  <c r="Q9273" i="12"/>
  <c r="Q9272" i="12"/>
  <c r="Q9271" i="12"/>
  <c r="Q9270" i="12"/>
  <c r="Q9269" i="12"/>
  <c r="Q9268" i="12"/>
  <c r="Q9267" i="12"/>
  <c r="Q9266" i="12"/>
  <c r="Q9265" i="12"/>
  <c r="Q9264" i="12"/>
  <c r="Q9263" i="12"/>
  <c r="Q9262" i="12"/>
  <c r="Q9261" i="12"/>
  <c r="Q9260" i="12"/>
  <c r="Q9259" i="12"/>
  <c r="Q9258" i="12"/>
  <c r="Q9257" i="12"/>
  <c r="Q9256" i="12"/>
  <c r="Q9255" i="12"/>
  <c r="Q9254" i="12"/>
  <c r="Q9253" i="12"/>
  <c r="Q9252" i="12"/>
  <c r="Q9251" i="12"/>
  <c r="Q9250" i="12"/>
  <c r="Q9249" i="12"/>
  <c r="Q9248" i="12"/>
  <c r="Q9247" i="12"/>
  <c r="Q9246" i="12"/>
  <c r="Q9245" i="12"/>
  <c r="Q9244" i="12"/>
  <c r="Q9243" i="12"/>
  <c r="Q9242" i="12"/>
  <c r="Q9241" i="12"/>
  <c r="Q9240" i="12"/>
  <c r="Q9239" i="12"/>
  <c r="Q9238" i="12"/>
  <c r="Q9237" i="12"/>
  <c r="Q9236" i="12"/>
  <c r="Q9235" i="12"/>
  <c r="Q9234" i="12"/>
  <c r="Q9233" i="12"/>
  <c r="Q9232" i="12"/>
  <c r="Q9231" i="12"/>
  <c r="Q9230" i="12"/>
  <c r="Q9229" i="12"/>
  <c r="Q9228" i="12"/>
  <c r="Q9227" i="12"/>
  <c r="Q9226" i="12"/>
  <c r="Q9225" i="12"/>
  <c r="Q9224" i="12"/>
  <c r="Q9223" i="12"/>
  <c r="Q9222" i="12"/>
  <c r="Q9221" i="12"/>
  <c r="Q9220" i="12"/>
  <c r="Q9219" i="12"/>
  <c r="Q9218" i="12"/>
  <c r="Q9217" i="12"/>
  <c r="Q9216" i="12"/>
  <c r="Q9215" i="12"/>
  <c r="Q9214" i="12"/>
  <c r="Q9213" i="12"/>
  <c r="Q9212" i="12"/>
  <c r="Q9211" i="12"/>
  <c r="Q9210" i="12"/>
  <c r="Q9209" i="12"/>
  <c r="Q9208" i="12"/>
  <c r="Q9207" i="12"/>
  <c r="Q9206" i="12"/>
  <c r="Q9205" i="12"/>
  <c r="Q9204" i="12"/>
  <c r="Q9203" i="12"/>
  <c r="Q9202" i="12"/>
  <c r="Q9201" i="12"/>
  <c r="Q9200" i="12"/>
  <c r="Q9199" i="12"/>
  <c r="Q9198" i="12"/>
  <c r="Q9197" i="12"/>
  <c r="Q9196" i="12"/>
  <c r="Q9195" i="12"/>
  <c r="Q9194" i="12"/>
  <c r="Q9193" i="12"/>
  <c r="Q9192" i="12"/>
  <c r="Q9191" i="12"/>
  <c r="Q9190" i="12"/>
  <c r="Q9189" i="12"/>
  <c r="Q9188" i="12"/>
  <c r="Q9187" i="12"/>
  <c r="Q9186" i="12"/>
  <c r="Q9185" i="12"/>
  <c r="Q9184" i="12"/>
  <c r="Q9183" i="12"/>
  <c r="Q9182" i="12"/>
  <c r="Q9181" i="12"/>
  <c r="Q9180" i="12"/>
  <c r="Q9179" i="12"/>
  <c r="Q9178" i="12"/>
  <c r="Q9177" i="12"/>
  <c r="Q9176" i="12"/>
  <c r="Q9175" i="12"/>
  <c r="Q9174" i="12"/>
  <c r="Q9173" i="12"/>
  <c r="Q9172" i="12"/>
  <c r="Q9171" i="12"/>
  <c r="Q9170" i="12"/>
  <c r="Q9169" i="12"/>
  <c r="Q9168" i="12"/>
  <c r="Q9167" i="12"/>
  <c r="Q9166" i="12"/>
  <c r="Q9165" i="12"/>
  <c r="Q9164" i="12"/>
  <c r="Q9163" i="12"/>
  <c r="Q9162" i="12"/>
  <c r="Q9161" i="12"/>
  <c r="Q9160" i="12"/>
  <c r="Q9159" i="12"/>
  <c r="Q9158" i="12"/>
  <c r="Q9157" i="12"/>
  <c r="Q9156" i="12"/>
  <c r="Q9155" i="12"/>
  <c r="Q9154" i="12"/>
  <c r="Q9153" i="12"/>
  <c r="Q9152" i="12"/>
  <c r="Q9151" i="12"/>
  <c r="Q9150" i="12"/>
  <c r="Q9149" i="12"/>
  <c r="Q9148" i="12"/>
  <c r="Q9147" i="12"/>
  <c r="Q9146" i="12"/>
  <c r="Q9145" i="12"/>
  <c r="Q9144" i="12"/>
  <c r="Q9143" i="12"/>
  <c r="Q9142" i="12"/>
  <c r="Q9141" i="12"/>
  <c r="Q9140" i="12"/>
  <c r="Q9139" i="12"/>
  <c r="Q9138" i="12"/>
  <c r="Q9137" i="12"/>
  <c r="Q9136" i="12"/>
  <c r="Q9135" i="12"/>
  <c r="Q9134" i="12"/>
  <c r="Q9133" i="12"/>
  <c r="Q9132" i="12"/>
  <c r="Q9131" i="12"/>
  <c r="Q9130" i="12"/>
  <c r="Q9129" i="12"/>
  <c r="Q9128" i="12"/>
  <c r="Q9127" i="12"/>
  <c r="Q9126" i="12"/>
  <c r="Q9125" i="12"/>
  <c r="Q9124" i="12"/>
  <c r="Q9123" i="12"/>
  <c r="Q9122" i="12"/>
  <c r="Q9121" i="12"/>
  <c r="Q9120" i="12"/>
  <c r="Q9119" i="12"/>
  <c r="Q9118" i="12"/>
  <c r="Q9117" i="12"/>
  <c r="Q9116" i="12"/>
  <c r="Q9115" i="12"/>
  <c r="Q9114" i="12"/>
  <c r="Q9113" i="12"/>
  <c r="Q9112" i="12"/>
  <c r="Q9111" i="12"/>
  <c r="Q9110" i="12"/>
  <c r="Q9109" i="12"/>
  <c r="Q9108" i="12"/>
  <c r="Q9107" i="12"/>
  <c r="Q9106" i="12"/>
  <c r="Q9105" i="12"/>
  <c r="Q9104" i="12"/>
  <c r="Q9103" i="12"/>
  <c r="Q9102" i="12"/>
  <c r="Q9101" i="12"/>
  <c r="Q9100" i="12"/>
  <c r="Q9099" i="12"/>
  <c r="Q9098" i="12"/>
  <c r="Q9097" i="12"/>
  <c r="Q9096" i="12"/>
  <c r="Q9095" i="12"/>
  <c r="Q9094" i="12"/>
  <c r="Q9093" i="12"/>
  <c r="Q9092" i="12"/>
  <c r="Q9091" i="12"/>
  <c r="Q9090" i="12"/>
  <c r="Q9089" i="12"/>
  <c r="Q9088" i="12"/>
  <c r="Q9087" i="12"/>
  <c r="Q9086" i="12"/>
  <c r="Q9085" i="12"/>
  <c r="Q9084" i="12"/>
  <c r="Q9083" i="12"/>
  <c r="Q9082" i="12"/>
  <c r="Q9081" i="12"/>
  <c r="Q9080" i="12"/>
  <c r="Q9079" i="12"/>
  <c r="Q9078" i="12"/>
  <c r="Q9077" i="12"/>
  <c r="Q9076" i="12"/>
  <c r="Q9075" i="12"/>
  <c r="Q9074" i="12"/>
  <c r="Q9073" i="12"/>
  <c r="Q9072" i="12"/>
  <c r="Q9071" i="12"/>
  <c r="Q9070" i="12"/>
  <c r="Q9069" i="12"/>
  <c r="Q9068" i="12"/>
  <c r="Q9067" i="12"/>
  <c r="Q9066" i="12"/>
  <c r="Q9065" i="12"/>
  <c r="Q9064" i="12"/>
  <c r="Q9063" i="12"/>
  <c r="Q9062" i="12"/>
  <c r="Q9061" i="12"/>
  <c r="Q9060" i="12"/>
  <c r="Q9059" i="12"/>
  <c r="Q9058" i="12"/>
  <c r="Q9057" i="12"/>
  <c r="Q9056" i="12"/>
  <c r="Q9055" i="12"/>
  <c r="Q9054" i="12"/>
  <c r="Q9053" i="12"/>
  <c r="Q9052" i="12"/>
  <c r="Q9051" i="12"/>
  <c r="Q9050" i="12"/>
  <c r="Q9049" i="12"/>
  <c r="Q9048" i="12"/>
  <c r="Q9047" i="12"/>
  <c r="Q9046" i="12"/>
  <c r="Q9045" i="12"/>
  <c r="Q9044" i="12"/>
  <c r="Q9043" i="12"/>
  <c r="Q9042" i="12"/>
  <c r="Q9041" i="12"/>
  <c r="Q9040" i="12"/>
  <c r="Q9039" i="12"/>
  <c r="Q9038" i="12"/>
  <c r="Q9037" i="12"/>
  <c r="Q9036" i="12"/>
  <c r="Q9035" i="12"/>
  <c r="Q9034" i="12"/>
  <c r="Q9033" i="12"/>
  <c r="Q9032" i="12"/>
  <c r="Q9031" i="12"/>
  <c r="Q9030" i="12"/>
  <c r="Q9029" i="12"/>
  <c r="Q9028" i="12"/>
  <c r="Q9027" i="12"/>
  <c r="Q9026" i="12"/>
  <c r="Q9025" i="12"/>
  <c r="Q9024" i="12"/>
  <c r="Q9023" i="12"/>
  <c r="Q9022" i="12"/>
  <c r="Q9021" i="12"/>
  <c r="Q9020" i="12"/>
  <c r="Q9019" i="12"/>
  <c r="Q9018" i="12"/>
  <c r="Q9017" i="12"/>
  <c r="Q9016" i="12"/>
  <c r="Q9015" i="12"/>
  <c r="Q9014" i="12"/>
  <c r="Q9013" i="12"/>
  <c r="Q9012" i="12"/>
  <c r="Q9011" i="12"/>
  <c r="Q9010" i="12"/>
  <c r="Q9009" i="12"/>
  <c r="Q9008" i="12"/>
  <c r="Q9007" i="12"/>
  <c r="Q9006" i="12"/>
  <c r="Q9005" i="12"/>
  <c r="Q9004" i="12"/>
  <c r="Q9003" i="12"/>
  <c r="Q9002" i="12"/>
  <c r="Q9001" i="12"/>
  <c r="Q9000" i="12"/>
  <c r="Q8999" i="12"/>
  <c r="Q8998" i="12"/>
  <c r="Q8997" i="12"/>
  <c r="Q8996" i="12"/>
  <c r="Q8995" i="12"/>
  <c r="Q8994" i="12"/>
  <c r="Q8993" i="12"/>
  <c r="Q8992" i="12"/>
  <c r="Q8991" i="12"/>
  <c r="Q8990" i="12"/>
  <c r="Q8989" i="12"/>
  <c r="Q8988" i="12"/>
  <c r="Q8987" i="12"/>
  <c r="Q8986" i="12"/>
  <c r="Q8985" i="12"/>
  <c r="Q8984" i="12"/>
  <c r="Q8983" i="12"/>
  <c r="Q8982" i="12"/>
  <c r="Q8981" i="12"/>
  <c r="Q8980" i="12"/>
  <c r="Q8979" i="12"/>
  <c r="Q8978" i="12"/>
  <c r="Q8977" i="12"/>
  <c r="Q8976" i="12"/>
  <c r="Q8975" i="12"/>
  <c r="Q8974" i="12"/>
  <c r="Q8973" i="12"/>
  <c r="Q8972" i="12"/>
  <c r="Q8971" i="12"/>
  <c r="Q8970" i="12"/>
  <c r="Q8969" i="12"/>
  <c r="Q8968" i="12"/>
  <c r="Q8967" i="12"/>
  <c r="Q8966" i="12"/>
  <c r="Q8965" i="12"/>
  <c r="Q8964" i="12"/>
  <c r="Q8963" i="12"/>
  <c r="Q8962" i="12"/>
  <c r="Q8961" i="12"/>
  <c r="Q8960" i="12"/>
  <c r="Q8959" i="12"/>
  <c r="Q8958" i="12"/>
  <c r="Q8957" i="12"/>
  <c r="Q8956" i="12"/>
  <c r="Q8955" i="12"/>
  <c r="Q8954" i="12"/>
  <c r="Q8953" i="12"/>
  <c r="Q8952" i="12"/>
  <c r="Q8951" i="12"/>
  <c r="Q8950" i="12"/>
  <c r="Q8949" i="12"/>
  <c r="Q8948" i="12"/>
  <c r="Q8947" i="12"/>
  <c r="Q8946" i="12"/>
  <c r="Q8945" i="12"/>
  <c r="Q8944" i="12"/>
  <c r="Q8943" i="12"/>
  <c r="Q8942" i="12"/>
  <c r="Q8941" i="12"/>
  <c r="Q8940" i="12"/>
  <c r="Q8939" i="12"/>
  <c r="Q8938" i="12"/>
  <c r="Q8937" i="12"/>
  <c r="Q8936" i="12"/>
  <c r="Q8935" i="12"/>
  <c r="Q8934" i="12"/>
  <c r="Q8933" i="12"/>
  <c r="Q8932" i="12"/>
  <c r="Q8931" i="12"/>
  <c r="Q8930" i="12"/>
  <c r="Q8929" i="12"/>
  <c r="Q8928" i="12"/>
  <c r="Q8927" i="12"/>
  <c r="Q8926" i="12"/>
  <c r="Q8925" i="12"/>
  <c r="Q8924" i="12"/>
  <c r="Q8923" i="12"/>
  <c r="Q8922" i="12"/>
  <c r="Q8921" i="12"/>
  <c r="Q8920" i="12"/>
  <c r="Q8919" i="12"/>
  <c r="Q8918" i="12"/>
  <c r="Q8917" i="12"/>
  <c r="Q8916" i="12"/>
  <c r="Q8915" i="12"/>
  <c r="Q8914" i="12"/>
  <c r="Q8913" i="12"/>
  <c r="Q8912" i="12"/>
  <c r="Q8911" i="12"/>
  <c r="Q8910" i="12"/>
  <c r="Q8909" i="12"/>
  <c r="Q8908" i="12"/>
  <c r="Q8907" i="12"/>
  <c r="Q8906" i="12"/>
  <c r="Q8905" i="12"/>
  <c r="Q8904" i="12"/>
  <c r="Q8903" i="12"/>
  <c r="Q8902" i="12"/>
  <c r="Q8901" i="12"/>
  <c r="Q8900" i="12"/>
  <c r="Q8899" i="12"/>
  <c r="Q8898" i="12"/>
  <c r="Q8897" i="12"/>
  <c r="Q8896" i="12"/>
  <c r="Q8895" i="12"/>
  <c r="Q8894" i="12"/>
  <c r="Q8893" i="12"/>
  <c r="Q8892" i="12"/>
  <c r="Q8891" i="12"/>
  <c r="Q8890" i="12"/>
  <c r="Q8889" i="12"/>
  <c r="Q8888" i="12"/>
  <c r="Q8887" i="12"/>
  <c r="Q8886" i="12"/>
  <c r="Q8885" i="12"/>
  <c r="Q8884" i="12"/>
  <c r="Q8883" i="12"/>
  <c r="Q8882" i="12"/>
  <c r="Q8881" i="12"/>
  <c r="Q8880" i="12"/>
  <c r="Q8879" i="12"/>
  <c r="Q8878" i="12"/>
  <c r="Q8877" i="12"/>
  <c r="Q8876" i="12"/>
  <c r="Q8875" i="12"/>
  <c r="Q8874" i="12"/>
  <c r="Q8873" i="12"/>
  <c r="Q8872" i="12"/>
  <c r="Q8871" i="12"/>
  <c r="Q8870" i="12"/>
  <c r="Q8869" i="12"/>
  <c r="Q8868" i="12"/>
  <c r="Q8867" i="12"/>
  <c r="Q8866" i="12"/>
  <c r="Q8865" i="12"/>
  <c r="Q8864" i="12"/>
  <c r="Q8863" i="12"/>
  <c r="Q8862" i="12"/>
  <c r="Q8861" i="12"/>
  <c r="Q8860" i="12"/>
  <c r="Q8859" i="12"/>
  <c r="Q8858" i="12"/>
  <c r="Q8857" i="12"/>
  <c r="Q8856" i="12"/>
  <c r="Q8855" i="12"/>
  <c r="Q8854" i="12"/>
  <c r="Q8853" i="12"/>
  <c r="Q8852" i="12"/>
  <c r="Q8851" i="12"/>
  <c r="Q8850" i="12"/>
  <c r="Q8849" i="12"/>
  <c r="Q8848" i="12"/>
  <c r="Q8847" i="12"/>
  <c r="Q8846" i="12"/>
  <c r="Q8845" i="12"/>
  <c r="Q8844" i="12"/>
  <c r="Q8843" i="12"/>
  <c r="Q8842" i="12"/>
  <c r="Q8841" i="12"/>
  <c r="Q8840" i="12"/>
  <c r="Q8839" i="12"/>
  <c r="Q8838" i="12"/>
  <c r="Q8837" i="12"/>
  <c r="Q8836" i="12"/>
  <c r="Q8835" i="12"/>
  <c r="Q8834" i="12"/>
  <c r="Q8833" i="12"/>
  <c r="Q8832" i="12"/>
  <c r="Q8831" i="12"/>
  <c r="Q8830" i="12"/>
  <c r="Q8829" i="12"/>
  <c r="Q8828" i="12"/>
  <c r="Q8827" i="12"/>
  <c r="Q8826" i="12"/>
  <c r="Q8825" i="12"/>
  <c r="Q8824" i="12"/>
  <c r="Q8823" i="12"/>
  <c r="Q8822" i="12"/>
  <c r="Q8821" i="12"/>
  <c r="Q8820" i="12"/>
  <c r="Q8819" i="12"/>
  <c r="Q8818" i="12"/>
  <c r="Q8817" i="12"/>
  <c r="Q8816" i="12"/>
  <c r="Q8815" i="12"/>
  <c r="Q8814" i="12"/>
  <c r="Q8813" i="12"/>
  <c r="Q8812" i="12"/>
  <c r="Q8811" i="12"/>
  <c r="Q8810" i="12"/>
  <c r="Q8809" i="12"/>
  <c r="Q8808" i="12"/>
  <c r="Q8807" i="12"/>
  <c r="Q8806" i="12"/>
  <c r="Q8805" i="12"/>
  <c r="Q8804" i="12"/>
  <c r="Q8803" i="12"/>
  <c r="Q8802" i="12"/>
  <c r="Q8801" i="12"/>
  <c r="Q8800" i="12"/>
  <c r="Q8799" i="12"/>
  <c r="Q8798" i="12"/>
  <c r="Q8797" i="12"/>
  <c r="Q8796" i="12"/>
  <c r="Q8795" i="12"/>
  <c r="Q8794" i="12"/>
  <c r="Q8793" i="12"/>
  <c r="Q8792" i="12"/>
  <c r="Q8791" i="12"/>
  <c r="Q8790" i="12"/>
  <c r="Q8789" i="12"/>
  <c r="Q8788" i="12"/>
  <c r="Q8787" i="12"/>
  <c r="Q8786" i="12"/>
  <c r="Q8785" i="12"/>
  <c r="Q8784" i="12"/>
  <c r="Q8783" i="12"/>
  <c r="Q8782" i="12"/>
  <c r="Q8781" i="12"/>
  <c r="Q8780" i="12"/>
  <c r="Q8779" i="12"/>
  <c r="Q8778" i="12"/>
  <c r="Q8777" i="12"/>
  <c r="Q8776" i="12"/>
  <c r="Q8775" i="12"/>
  <c r="Q8774" i="12"/>
  <c r="Q8773" i="12"/>
  <c r="Q8772" i="12"/>
  <c r="Q8771" i="12"/>
  <c r="Q8770" i="12"/>
  <c r="Q8769" i="12"/>
  <c r="Q8768" i="12"/>
  <c r="Q8767" i="12"/>
  <c r="Q8766" i="12"/>
  <c r="Q8765" i="12"/>
  <c r="Q8764" i="12"/>
  <c r="Q8763" i="12"/>
  <c r="Q8762" i="12"/>
  <c r="Q8761" i="12"/>
  <c r="Q8760" i="12"/>
  <c r="Q8759" i="12"/>
  <c r="Q8758" i="12"/>
  <c r="Q8757" i="12"/>
  <c r="Q8756" i="12"/>
  <c r="Q8755" i="12"/>
  <c r="Q8754" i="12"/>
  <c r="Q8753" i="12"/>
  <c r="Q8752" i="12"/>
  <c r="Q8751" i="12"/>
  <c r="Q8750" i="12"/>
  <c r="Q8749" i="12"/>
  <c r="Q8748" i="12"/>
  <c r="Q8747" i="12"/>
  <c r="Q8746" i="12"/>
  <c r="Q8745" i="12"/>
  <c r="Q8744" i="12"/>
  <c r="Q8743" i="12"/>
  <c r="Q8742" i="12"/>
  <c r="Q8741" i="12"/>
  <c r="Q8740" i="12"/>
  <c r="Q8739" i="12"/>
  <c r="Q8738" i="12"/>
  <c r="Q8737" i="12"/>
  <c r="Q8736" i="12"/>
  <c r="Q8735" i="12"/>
  <c r="Q8734" i="12"/>
  <c r="Q8733" i="12"/>
  <c r="Q8732" i="12"/>
  <c r="Q8731" i="12"/>
  <c r="Q8730" i="12"/>
  <c r="Q8729" i="12"/>
  <c r="Q8728" i="12"/>
  <c r="Q8727" i="12"/>
  <c r="Q8726" i="12"/>
  <c r="Q8725" i="12"/>
  <c r="Q8724" i="12"/>
  <c r="Q8723" i="12"/>
  <c r="Q8722" i="12"/>
  <c r="Q8721" i="12"/>
  <c r="Q8720" i="12"/>
  <c r="Q8719" i="12"/>
  <c r="Q8718" i="12"/>
  <c r="Q8717" i="12"/>
  <c r="Q8716" i="12"/>
  <c r="Q8715" i="12"/>
  <c r="Q8714" i="12"/>
  <c r="Q8713" i="12"/>
  <c r="Q8712" i="12"/>
  <c r="Q8711" i="12"/>
  <c r="Q8710" i="12"/>
  <c r="Q8709" i="12"/>
  <c r="Q8708" i="12"/>
  <c r="Q8707" i="12"/>
  <c r="Q8706" i="12"/>
  <c r="Q8705" i="12"/>
  <c r="Q8704" i="12"/>
  <c r="Q8703" i="12"/>
  <c r="Q8702" i="12"/>
  <c r="Q8701" i="12"/>
  <c r="Q8700" i="12"/>
  <c r="Q8699" i="12"/>
  <c r="Q8698" i="12"/>
  <c r="Q8697" i="12"/>
  <c r="Q8696" i="12"/>
  <c r="Q8695" i="12"/>
  <c r="Q8694" i="12"/>
  <c r="Q8693" i="12"/>
  <c r="Q8692" i="12"/>
  <c r="Q8691" i="12"/>
  <c r="Q8690" i="12"/>
  <c r="Q8689" i="12"/>
  <c r="Q8688" i="12"/>
  <c r="Q8687" i="12"/>
  <c r="Q8686" i="12"/>
  <c r="Q8685" i="12"/>
  <c r="Q8684" i="12"/>
  <c r="Q8683" i="12"/>
  <c r="Q8682" i="12"/>
  <c r="Q8681" i="12"/>
  <c r="Q8680" i="12"/>
  <c r="Q8679" i="12"/>
  <c r="Q8678" i="12"/>
  <c r="Q8677" i="12"/>
  <c r="Q8676" i="12"/>
  <c r="Q8675" i="12"/>
  <c r="Q8674" i="12"/>
  <c r="Q8673" i="12"/>
  <c r="Q8672" i="12"/>
  <c r="Q8671" i="12"/>
  <c r="Q8670" i="12"/>
  <c r="Q8669" i="12"/>
  <c r="Q8668" i="12"/>
  <c r="Q8667" i="12"/>
  <c r="Q8666" i="12"/>
  <c r="Q8665" i="12"/>
  <c r="Q8664" i="12"/>
  <c r="Q8663" i="12"/>
  <c r="Q8662" i="12"/>
  <c r="Q8661" i="12"/>
  <c r="Q8660" i="12"/>
  <c r="Q8659" i="12"/>
  <c r="Q8658" i="12"/>
  <c r="Q8657" i="12"/>
  <c r="Q8656" i="12"/>
  <c r="Q8655" i="12"/>
  <c r="Q8654" i="12"/>
  <c r="Q8653" i="12"/>
  <c r="Q8652" i="12"/>
  <c r="Q8651" i="12"/>
  <c r="Q8650" i="12"/>
  <c r="Q8649" i="12"/>
  <c r="Q8648" i="12"/>
  <c r="Q8647" i="12"/>
  <c r="Q8646" i="12"/>
  <c r="Q8645" i="12"/>
  <c r="Q8644" i="12"/>
  <c r="Q8643" i="12"/>
  <c r="Q8642" i="12"/>
  <c r="Q8641" i="12"/>
  <c r="Q8640" i="12"/>
  <c r="Q8639" i="12"/>
  <c r="Q8638" i="12"/>
  <c r="Q8637" i="12"/>
  <c r="Q8636" i="12"/>
  <c r="Q8635" i="12"/>
  <c r="Q8634" i="12"/>
  <c r="Q8633" i="12"/>
  <c r="Q8632" i="12"/>
  <c r="Q8631" i="12"/>
  <c r="Q8630" i="12"/>
  <c r="Q8629" i="12"/>
  <c r="Q8628" i="12"/>
  <c r="Q8627" i="12"/>
  <c r="Q8626" i="12"/>
  <c r="Q8625" i="12"/>
  <c r="Q8624" i="12"/>
  <c r="Q8623" i="12"/>
  <c r="Q8622" i="12"/>
  <c r="Q8621" i="12"/>
  <c r="Q8620" i="12"/>
  <c r="Q8619" i="12"/>
  <c r="Q8618" i="12"/>
  <c r="Q8617" i="12"/>
  <c r="Q8616" i="12"/>
  <c r="Q8615" i="12"/>
  <c r="Q8614" i="12"/>
  <c r="Q8613" i="12"/>
  <c r="Q8612" i="12"/>
  <c r="Q8611" i="12"/>
  <c r="Q8610" i="12"/>
  <c r="Q8609" i="12"/>
  <c r="Q8608" i="12"/>
  <c r="Q8607" i="12"/>
  <c r="Q8606" i="12"/>
  <c r="Q8605" i="12"/>
  <c r="Q8604" i="12"/>
  <c r="Q8603" i="12"/>
  <c r="Q8602" i="12"/>
  <c r="Q8601" i="12"/>
  <c r="Q8600" i="12"/>
  <c r="Q8599" i="12"/>
  <c r="Q8598" i="12"/>
  <c r="Q8597" i="12"/>
  <c r="Q8596" i="12"/>
  <c r="Q8595" i="12"/>
  <c r="Q8594" i="12"/>
  <c r="Q8593" i="12"/>
  <c r="Q8592" i="12"/>
  <c r="Q8591" i="12"/>
  <c r="Q8590" i="12"/>
  <c r="Q8589" i="12"/>
  <c r="Q8588" i="12"/>
  <c r="Q8587" i="12"/>
  <c r="Q8586" i="12"/>
  <c r="Q8585" i="12"/>
  <c r="Q8584" i="12"/>
  <c r="Q8583" i="12"/>
  <c r="Q8582" i="12"/>
  <c r="Q8581" i="12"/>
  <c r="Q8580" i="12"/>
  <c r="Q8579" i="12"/>
  <c r="Q8578" i="12"/>
  <c r="Q8577" i="12"/>
  <c r="Q8576" i="12"/>
  <c r="Q8575" i="12"/>
  <c r="Q8574" i="12"/>
  <c r="Q8573" i="12"/>
  <c r="Q8572" i="12"/>
  <c r="Q8571" i="12"/>
  <c r="Q8570" i="12"/>
  <c r="Q8569" i="12"/>
  <c r="Q8568" i="12"/>
  <c r="Q8567" i="12"/>
  <c r="Q8566" i="12"/>
  <c r="Q8565" i="12"/>
  <c r="Q8564" i="12"/>
  <c r="Q8563" i="12"/>
  <c r="Q8562" i="12"/>
  <c r="Q8561" i="12"/>
  <c r="Q8560" i="12"/>
  <c r="Q8559" i="12"/>
  <c r="Q8558" i="12"/>
  <c r="Q8557" i="12"/>
  <c r="Q8556" i="12"/>
  <c r="Q8555" i="12"/>
  <c r="Q8554" i="12"/>
  <c r="Q8553" i="12"/>
  <c r="Q8552" i="12"/>
  <c r="Q8551" i="12"/>
  <c r="Q8550" i="12"/>
  <c r="Q8549" i="12"/>
  <c r="Q8548" i="12"/>
  <c r="Q8547" i="12"/>
  <c r="Q8546" i="12"/>
  <c r="Q8545" i="12"/>
  <c r="Q8544" i="12"/>
  <c r="Q8543" i="12"/>
  <c r="Q8542" i="12"/>
  <c r="Q8541" i="12"/>
  <c r="Q8540" i="12"/>
  <c r="Q8539" i="12"/>
  <c r="Q8538" i="12"/>
  <c r="Q8537" i="12"/>
  <c r="Q8536" i="12"/>
  <c r="Q8535" i="12"/>
  <c r="Q8534" i="12"/>
  <c r="Q8533" i="12"/>
  <c r="Q8532" i="12"/>
  <c r="Q8531" i="12"/>
  <c r="Q8530" i="12"/>
  <c r="Q8529" i="12"/>
  <c r="Q8528" i="12"/>
  <c r="Q8527" i="12"/>
  <c r="Q8526" i="12"/>
  <c r="Q8525" i="12"/>
  <c r="Q8524" i="12"/>
  <c r="Q8523" i="12"/>
  <c r="Q8522" i="12"/>
  <c r="Q8521" i="12"/>
  <c r="Q8520" i="12"/>
  <c r="Q8519" i="12"/>
  <c r="Q8518" i="12"/>
  <c r="Q8517" i="12"/>
  <c r="Q8516" i="12"/>
  <c r="Q8515" i="12"/>
  <c r="Q8514" i="12"/>
  <c r="Q8513" i="12"/>
  <c r="Q8512" i="12"/>
  <c r="Q8511" i="12"/>
  <c r="Q8510" i="12"/>
  <c r="Q8509" i="12"/>
  <c r="Q8508" i="12"/>
  <c r="Q8507" i="12"/>
  <c r="Q8506" i="12"/>
  <c r="Q8505" i="12"/>
  <c r="Q8504" i="12"/>
  <c r="Q8503" i="12"/>
  <c r="Q8502" i="12"/>
  <c r="Q8501" i="12"/>
  <c r="Q8500" i="12"/>
  <c r="Q8499" i="12"/>
  <c r="Q8498" i="12"/>
  <c r="Q8497" i="12"/>
  <c r="Q8496" i="12"/>
  <c r="Q8495" i="12"/>
  <c r="Q8494" i="12"/>
  <c r="Q8493" i="12"/>
  <c r="Q8492" i="12"/>
  <c r="Q8491" i="12"/>
  <c r="Q8490" i="12"/>
  <c r="Q8489" i="12"/>
  <c r="Q8488" i="12"/>
  <c r="Q8487" i="12"/>
  <c r="Q8486" i="12"/>
  <c r="Q8485" i="12"/>
  <c r="Q8484" i="12"/>
  <c r="Q8483" i="12"/>
  <c r="Q8482" i="12"/>
  <c r="Q8481" i="12"/>
  <c r="Q8480" i="12"/>
  <c r="Q8479" i="12"/>
  <c r="Q8478" i="12"/>
  <c r="Q8477" i="12"/>
  <c r="Q8476" i="12"/>
  <c r="Q8475" i="12"/>
  <c r="Q8474" i="12"/>
  <c r="Q8473" i="12"/>
  <c r="Q8472" i="12"/>
  <c r="Q8471" i="12"/>
  <c r="Q8470" i="12"/>
  <c r="Q8469" i="12"/>
  <c r="Q8468" i="12"/>
  <c r="Q8467" i="12"/>
  <c r="Q8466" i="12"/>
  <c r="Q8465" i="12"/>
  <c r="Q8464" i="12"/>
  <c r="Q8463" i="12"/>
  <c r="Q8462" i="12"/>
  <c r="Q8461" i="12"/>
  <c r="Q8460" i="12"/>
  <c r="Q8459" i="12"/>
  <c r="Q8458" i="12"/>
  <c r="Q8457" i="12"/>
  <c r="Q8456" i="12"/>
  <c r="Q8455" i="12"/>
  <c r="Q8454" i="12"/>
  <c r="Q8453" i="12"/>
  <c r="Q8452" i="12"/>
  <c r="Q8451" i="12"/>
  <c r="Q8450" i="12"/>
  <c r="Q8449" i="12"/>
  <c r="Q8448" i="12"/>
  <c r="Q8447" i="12"/>
  <c r="Q8446" i="12"/>
  <c r="Q8445" i="12"/>
  <c r="Q8444" i="12"/>
  <c r="Q8443" i="12"/>
  <c r="Q8442" i="12"/>
  <c r="Q8441" i="12"/>
  <c r="Q8440" i="12"/>
  <c r="Q8439" i="12"/>
  <c r="Q8438" i="12"/>
  <c r="Q8437" i="12"/>
  <c r="Q8436" i="12"/>
  <c r="Q8435" i="12"/>
  <c r="Q8434" i="12"/>
  <c r="Q8433" i="12"/>
  <c r="Q8432" i="12"/>
  <c r="Q8431" i="12"/>
  <c r="Q8430" i="12"/>
  <c r="Q8429" i="12"/>
  <c r="Q8428" i="12"/>
  <c r="Q8427" i="12"/>
  <c r="Q8426" i="12"/>
  <c r="Q8425" i="12"/>
  <c r="Q8424" i="12"/>
  <c r="Q8423" i="12"/>
  <c r="Q8422" i="12"/>
  <c r="Q8421" i="12"/>
  <c r="Q8420" i="12"/>
  <c r="Q8419" i="12"/>
  <c r="Q8418" i="12"/>
  <c r="Q8417" i="12"/>
  <c r="Q8416" i="12"/>
  <c r="Q8415" i="12"/>
  <c r="Q8414" i="12"/>
  <c r="Q8413" i="12"/>
  <c r="Q8412" i="12"/>
  <c r="Q8411" i="12"/>
  <c r="Q8410" i="12"/>
  <c r="Q8409" i="12"/>
  <c r="Q8408" i="12"/>
  <c r="Q8407" i="12"/>
  <c r="Q8406" i="12"/>
  <c r="Q8405" i="12"/>
  <c r="Q8404" i="12"/>
  <c r="Q8403" i="12"/>
  <c r="Q8402" i="12"/>
  <c r="Q8401" i="12"/>
  <c r="Q8400" i="12"/>
  <c r="Q8399" i="12"/>
  <c r="Q8398" i="12"/>
  <c r="Q8397" i="12"/>
  <c r="Q8396" i="12"/>
  <c r="Q8395" i="12"/>
  <c r="Q8394" i="12"/>
  <c r="Q8393" i="12"/>
  <c r="Q8392" i="12"/>
  <c r="Q8391" i="12"/>
  <c r="Q8390" i="12"/>
  <c r="Q8389" i="12"/>
  <c r="Q8388" i="12"/>
  <c r="Q8387" i="12"/>
  <c r="Q8386" i="12"/>
  <c r="Q8385" i="12"/>
  <c r="Q8384" i="12"/>
  <c r="Q8383" i="12"/>
  <c r="Q8382" i="12"/>
  <c r="Q8381" i="12"/>
  <c r="Q8380" i="12"/>
  <c r="Q8379" i="12"/>
  <c r="Q8378" i="12"/>
  <c r="Q8377" i="12"/>
  <c r="Q8376" i="12"/>
  <c r="Q8375" i="12"/>
  <c r="Q8374" i="12"/>
  <c r="Q8373" i="12"/>
  <c r="Q8372" i="12"/>
  <c r="Q8371" i="12"/>
  <c r="Q8370" i="12"/>
  <c r="Q8369" i="12"/>
  <c r="Q8368" i="12"/>
  <c r="Q8367" i="12"/>
  <c r="Q8366" i="12"/>
  <c r="Q8365" i="12"/>
  <c r="Q8364" i="12"/>
  <c r="Q8363" i="12"/>
  <c r="Q8362" i="12"/>
  <c r="Q8361" i="12"/>
  <c r="Q8360" i="12"/>
  <c r="Q8359" i="12"/>
  <c r="Q8358" i="12"/>
  <c r="Q8357" i="12"/>
  <c r="Q8356" i="12"/>
  <c r="Q8355" i="12"/>
  <c r="Q8354" i="12"/>
  <c r="Q8353" i="12"/>
  <c r="Q8352" i="12"/>
  <c r="Q8351" i="12"/>
  <c r="Q8350" i="12"/>
  <c r="Q8349" i="12"/>
  <c r="Q8348" i="12"/>
  <c r="Q8347" i="12"/>
  <c r="Q8346" i="12"/>
  <c r="Q8345" i="12"/>
  <c r="Q8344" i="12"/>
  <c r="Q8343" i="12"/>
  <c r="Q8342" i="12"/>
  <c r="Q8341" i="12"/>
  <c r="Q8340" i="12"/>
  <c r="Q8339" i="12"/>
  <c r="Q8338" i="12"/>
  <c r="Q8337" i="12"/>
  <c r="Q8336" i="12"/>
  <c r="Q8335" i="12"/>
  <c r="Q8334" i="12"/>
  <c r="Q8333" i="12"/>
  <c r="Q8332" i="12"/>
  <c r="Q8331" i="12"/>
  <c r="Q8330" i="12"/>
  <c r="Q8329" i="12"/>
  <c r="Q8328" i="12"/>
  <c r="Q8327" i="12"/>
  <c r="Q8326" i="12"/>
  <c r="Q8325" i="12"/>
  <c r="Q8324" i="12"/>
  <c r="Q8323" i="12"/>
  <c r="Q8322" i="12"/>
  <c r="Q8321" i="12"/>
  <c r="Q8320" i="12"/>
  <c r="Q8319" i="12"/>
  <c r="Q8318" i="12"/>
  <c r="Q8317" i="12"/>
  <c r="Q8316" i="12"/>
  <c r="Q8315" i="12"/>
  <c r="Q8314" i="12"/>
  <c r="Q8313" i="12"/>
  <c r="Q8312" i="12"/>
  <c r="Q8311" i="12"/>
  <c r="Q8310" i="12"/>
  <c r="Q8309" i="12"/>
  <c r="Q8308" i="12"/>
  <c r="Q8307" i="12"/>
  <c r="Q8306" i="12"/>
  <c r="Q8305" i="12"/>
  <c r="Q8304" i="12"/>
  <c r="Q8303" i="12"/>
  <c r="Q8302" i="12"/>
  <c r="Q8301" i="12"/>
  <c r="Q8300" i="12"/>
  <c r="Q8299" i="12"/>
  <c r="Q8298" i="12"/>
  <c r="Q8297" i="12"/>
  <c r="Q8296" i="12"/>
  <c r="Q8295" i="12"/>
  <c r="Q8294" i="12"/>
  <c r="Q8293" i="12"/>
  <c r="Q8292" i="12"/>
  <c r="Q8291" i="12"/>
  <c r="Q8290" i="12"/>
  <c r="Q8289" i="12"/>
  <c r="Q8288" i="12"/>
  <c r="Q8287" i="12"/>
  <c r="Q8286" i="12"/>
  <c r="Q8285" i="12"/>
  <c r="Q8284" i="12"/>
  <c r="Q8283" i="12"/>
  <c r="Q8282" i="12"/>
  <c r="Q8281" i="12"/>
  <c r="Q8280" i="12"/>
  <c r="Q8279" i="12"/>
  <c r="Q8278" i="12"/>
  <c r="Q8277" i="12"/>
  <c r="Q8276" i="12"/>
  <c r="Q8275" i="12"/>
  <c r="Q8274" i="12"/>
  <c r="Q8273" i="12"/>
  <c r="Q8272" i="12"/>
  <c r="Q8271" i="12"/>
  <c r="Q8270" i="12"/>
  <c r="Q8269" i="12"/>
  <c r="Q8268" i="12"/>
  <c r="Q8267" i="12"/>
  <c r="Q8266" i="12"/>
  <c r="Q8265" i="12"/>
  <c r="Q8264" i="12"/>
  <c r="Q8263" i="12"/>
  <c r="Q8262" i="12"/>
  <c r="Q8261" i="12"/>
  <c r="Q8260" i="12"/>
  <c r="Q8259" i="12"/>
  <c r="Q8258" i="12"/>
  <c r="Q8257" i="12"/>
  <c r="Q8256" i="12"/>
  <c r="Q8255" i="12"/>
  <c r="Q8254" i="12"/>
  <c r="Q8253" i="12"/>
  <c r="Q8252" i="12"/>
  <c r="Q8251" i="12"/>
  <c r="Q8250" i="12"/>
  <c r="Q8249" i="12"/>
  <c r="Q8248" i="12"/>
  <c r="Q8247" i="12"/>
  <c r="Q8246" i="12"/>
  <c r="Q8245" i="12"/>
  <c r="Q8244" i="12"/>
  <c r="Q8243" i="12"/>
  <c r="Q8242" i="12"/>
  <c r="Q8241" i="12"/>
  <c r="Q8240" i="12"/>
  <c r="Q8239" i="12"/>
  <c r="Q8238" i="12"/>
  <c r="Q8237" i="12"/>
  <c r="Q8236" i="12"/>
  <c r="Q8235" i="12"/>
  <c r="Q8234" i="12"/>
  <c r="Q8233" i="12"/>
  <c r="Q8232" i="12"/>
  <c r="Q8231" i="12"/>
  <c r="Q8230" i="12"/>
  <c r="Q8229" i="12"/>
  <c r="Q8228" i="12"/>
  <c r="Q8227" i="12"/>
  <c r="Q8226" i="12"/>
  <c r="Q8225" i="12"/>
  <c r="Q8224" i="12"/>
  <c r="Q8223" i="12"/>
  <c r="Q8222" i="12"/>
  <c r="Q8221" i="12"/>
  <c r="Q8220" i="12"/>
  <c r="Q8219" i="12"/>
  <c r="Q8218" i="12"/>
  <c r="Q8217" i="12"/>
  <c r="Q8216" i="12"/>
  <c r="Q8215" i="12"/>
  <c r="Q8214" i="12"/>
  <c r="Q8213" i="12"/>
  <c r="Q8212" i="12"/>
  <c r="Q8211" i="12"/>
  <c r="Q8210" i="12"/>
  <c r="Q8209" i="12"/>
  <c r="Q8208" i="12"/>
  <c r="Q8207" i="12"/>
  <c r="Q8206" i="12"/>
  <c r="Q8205" i="12"/>
  <c r="Q8204" i="12"/>
  <c r="Q8203" i="12"/>
  <c r="Q8202" i="12"/>
  <c r="Q8201" i="12"/>
  <c r="Q8200" i="12"/>
  <c r="Q8199" i="12"/>
  <c r="Q8198" i="12"/>
  <c r="Q8197" i="12"/>
  <c r="Q8196" i="12"/>
  <c r="Q8195" i="12"/>
  <c r="Q8194" i="12"/>
  <c r="Q8193" i="12"/>
  <c r="Q8192" i="12"/>
  <c r="Q8191" i="12"/>
  <c r="Q8190" i="12"/>
  <c r="Q8189" i="12"/>
  <c r="Q8188" i="12"/>
  <c r="Q8187" i="12"/>
  <c r="Q8186" i="12"/>
  <c r="Q8185" i="12"/>
  <c r="Q8184" i="12"/>
  <c r="Q8183" i="12"/>
  <c r="Q8182" i="12"/>
  <c r="Q8181" i="12"/>
  <c r="Q8180" i="12"/>
  <c r="Q8179" i="12"/>
  <c r="Q8178" i="12"/>
  <c r="Q8177" i="12"/>
  <c r="Q8176" i="12"/>
  <c r="Q8175" i="12"/>
  <c r="Q8174" i="12"/>
  <c r="Q8173" i="12"/>
  <c r="Q8172" i="12"/>
  <c r="Q8171" i="12"/>
  <c r="Q8170" i="12"/>
  <c r="Q8169" i="12"/>
  <c r="Q8168" i="12"/>
  <c r="Q8167" i="12"/>
  <c r="Q8166" i="12"/>
  <c r="Q8165" i="12"/>
  <c r="Q8164" i="12"/>
  <c r="Q8163" i="12"/>
  <c r="Q8162" i="12"/>
  <c r="Q8161" i="12"/>
  <c r="Q8160" i="12"/>
  <c r="Q8159" i="12"/>
  <c r="Q8158" i="12"/>
  <c r="Q8157" i="12"/>
  <c r="Q8156" i="12"/>
  <c r="Q8155" i="12"/>
  <c r="Q8154" i="12"/>
  <c r="Q8153" i="12"/>
  <c r="Q8152" i="12"/>
  <c r="Q8151" i="12"/>
  <c r="Q8150" i="12"/>
  <c r="Q8149" i="12"/>
  <c r="Q8148" i="12"/>
  <c r="Q8147" i="12"/>
  <c r="Q8146" i="12"/>
  <c r="Q8145" i="12"/>
  <c r="Q8144" i="12"/>
  <c r="Q8143" i="12"/>
  <c r="Q8142" i="12"/>
  <c r="Q8141" i="12"/>
  <c r="Q8140" i="12"/>
  <c r="Q8139" i="12"/>
  <c r="Q8138" i="12"/>
  <c r="Q8137" i="12"/>
  <c r="Q8136" i="12"/>
  <c r="Q8135" i="12"/>
  <c r="Q8134" i="12"/>
  <c r="Q8133" i="12"/>
  <c r="Q8132" i="12"/>
  <c r="Q8131" i="12"/>
  <c r="Q8130" i="12"/>
  <c r="Q8129" i="12"/>
  <c r="Q8128" i="12"/>
  <c r="Q8127" i="12"/>
  <c r="Q8126" i="12"/>
  <c r="Q8125" i="12"/>
  <c r="Q8124" i="12"/>
  <c r="Q8123" i="12"/>
  <c r="Q8122" i="12"/>
  <c r="Q8121" i="12"/>
  <c r="Q8120" i="12"/>
  <c r="Q8119" i="12"/>
  <c r="Q8118" i="12"/>
  <c r="Q8117" i="12"/>
  <c r="Q8116" i="12"/>
  <c r="Q8115" i="12"/>
  <c r="Q8114" i="12"/>
  <c r="Q8113" i="12"/>
  <c r="Q8112" i="12"/>
  <c r="Q8111" i="12"/>
  <c r="Q8110" i="12"/>
  <c r="Q8109" i="12"/>
  <c r="Q8108" i="12"/>
  <c r="Q8107" i="12"/>
  <c r="Q8106" i="12"/>
  <c r="Q8105" i="12"/>
  <c r="Q8104" i="12"/>
  <c r="Q8103" i="12"/>
  <c r="Q8102" i="12"/>
  <c r="Q8101" i="12"/>
  <c r="Q8100" i="12"/>
  <c r="Q8099" i="12"/>
  <c r="Q8098" i="12"/>
  <c r="Q8097" i="12"/>
  <c r="Q8096" i="12"/>
  <c r="Q8095" i="12"/>
  <c r="Q8094" i="12"/>
  <c r="Q8093" i="12"/>
  <c r="Q8092" i="12"/>
  <c r="Q8091" i="12"/>
  <c r="Q8090" i="12"/>
  <c r="Q8089" i="12"/>
  <c r="Q8088" i="12"/>
  <c r="Q8087" i="12"/>
  <c r="Q8086" i="12"/>
  <c r="Q8085" i="12"/>
  <c r="Q8084" i="12"/>
  <c r="Q8083" i="12"/>
  <c r="Q8082" i="12"/>
  <c r="Q8081" i="12"/>
  <c r="Q8080" i="12"/>
  <c r="Q8079" i="12"/>
  <c r="Q8078" i="12"/>
  <c r="Q8077" i="12"/>
  <c r="Q8076" i="12"/>
  <c r="Q8075" i="12"/>
  <c r="Q8074" i="12"/>
  <c r="Q8073" i="12"/>
  <c r="Q8072" i="12"/>
  <c r="Q8071" i="12"/>
  <c r="Q8070" i="12"/>
  <c r="Q8069" i="12"/>
  <c r="Q8068" i="12"/>
  <c r="Q8067" i="12"/>
  <c r="Q8066" i="12"/>
  <c r="Q8065" i="12"/>
  <c r="Q8064" i="12"/>
  <c r="Q8063" i="12"/>
  <c r="Q8062" i="12"/>
  <c r="Q8061" i="12"/>
  <c r="Q8060" i="12"/>
  <c r="Q8059" i="12"/>
  <c r="Q8058" i="12"/>
  <c r="Q8057" i="12"/>
  <c r="Q8056" i="12"/>
  <c r="Q8055" i="12"/>
  <c r="Q8054" i="12"/>
  <c r="Q8053" i="12"/>
  <c r="Q8052" i="12"/>
  <c r="Q8051" i="12"/>
  <c r="Q8050" i="12"/>
  <c r="Q8049" i="12"/>
  <c r="Q8048" i="12"/>
  <c r="Q8047" i="12"/>
  <c r="Q8046" i="12"/>
  <c r="Q8045" i="12"/>
  <c r="Q8044" i="12"/>
  <c r="Q8043" i="12"/>
  <c r="Q8042" i="12"/>
  <c r="Q8041" i="12"/>
  <c r="Q8040" i="12"/>
  <c r="Q8039" i="12"/>
  <c r="Q8038" i="12"/>
  <c r="Q8037" i="12"/>
  <c r="Q8036" i="12"/>
  <c r="Q8035" i="12"/>
  <c r="Q8034" i="12"/>
  <c r="Q8033" i="12"/>
  <c r="Q8032" i="12"/>
  <c r="Q8031" i="12"/>
  <c r="Q8030" i="12"/>
  <c r="Q8029" i="12"/>
  <c r="Q8028" i="12"/>
  <c r="Q8027" i="12"/>
  <c r="Q8026" i="12"/>
  <c r="Q8025" i="12"/>
  <c r="Q8024" i="12"/>
  <c r="Q8023" i="12"/>
  <c r="Q8022" i="12"/>
  <c r="Q8021" i="12"/>
  <c r="Q8020" i="12"/>
  <c r="Q8019" i="12"/>
  <c r="Q8018" i="12"/>
  <c r="Q8017" i="12"/>
  <c r="Q8016" i="12"/>
  <c r="Q8015" i="12"/>
  <c r="Q8014" i="12"/>
  <c r="Q8013" i="12"/>
  <c r="Q8012" i="12"/>
  <c r="Q8011" i="12"/>
  <c r="Q8010" i="12"/>
  <c r="Q8009" i="12"/>
  <c r="Q8008" i="12"/>
  <c r="Q8007" i="12"/>
  <c r="Q8006" i="12"/>
  <c r="Q8005" i="12"/>
  <c r="Q8004" i="12"/>
  <c r="Q8003" i="12"/>
  <c r="Q8002" i="12"/>
  <c r="Q8001" i="12"/>
  <c r="Q8000" i="12"/>
  <c r="Q7999" i="12"/>
  <c r="Q7998" i="12"/>
  <c r="Q7997" i="12"/>
  <c r="Q7996" i="12"/>
  <c r="Q7995" i="12"/>
  <c r="Q7994" i="12"/>
  <c r="Q7993" i="12"/>
  <c r="Q7992" i="12"/>
  <c r="Q7991" i="12"/>
  <c r="Q7990" i="12"/>
  <c r="Q7989" i="12"/>
  <c r="Q7988" i="12"/>
  <c r="Q7987" i="12"/>
  <c r="Q7986" i="12"/>
  <c r="Q7985" i="12"/>
  <c r="Q7984" i="12"/>
  <c r="Q7983" i="12"/>
  <c r="Q7982" i="12"/>
  <c r="Q7981" i="12"/>
  <c r="Q7980" i="12"/>
  <c r="Q7979" i="12"/>
  <c r="Q7978" i="12"/>
  <c r="Q7977" i="12"/>
  <c r="Q7976" i="12"/>
  <c r="Q7975" i="12"/>
  <c r="Q7974" i="12"/>
  <c r="Q7973" i="12"/>
  <c r="Q7972" i="12"/>
  <c r="Q7971" i="12"/>
  <c r="Q7970" i="12"/>
  <c r="Q7969" i="12"/>
  <c r="Q7968" i="12"/>
  <c r="Q7967" i="12"/>
  <c r="Q7966" i="12"/>
  <c r="Q7965" i="12"/>
  <c r="Q7964" i="12"/>
  <c r="Q7963" i="12"/>
  <c r="Q7962" i="12"/>
  <c r="Q7961" i="12"/>
  <c r="Q7960" i="12"/>
  <c r="Q7959" i="12"/>
  <c r="Q7958" i="12"/>
  <c r="Q7957" i="12"/>
  <c r="Q7956" i="12"/>
  <c r="Q7955" i="12"/>
  <c r="Q7954" i="12"/>
  <c r="Q7953" i="12"/>
  <c r="Q7952" i="12"/>
  <c r="Q7951" i="12"/>
  <c r="Q7950" i="12"/>
  <c r="Q7949" i="12"/>
  <c r="Q7948" i="12"/>
  <c r="Q7947" i="12"/>
  <c r="Q7946" i="12"/>
  <c r="Q7945" i="12"/>
  <c r="Q7944" i="12"/>
  <c r="Q7943" i="12"/>
  <c r="Q7942" i="12"/>
  <c r="Q7941" i="12"/>
  <c r="Q7940" i="12"/>
  <c r="Q7939" i="12"/>
  <c r="Q7938" i="12"/>
  <c r="Q7937" i="12"/>
  <c r="Q7936" i="12"/>
  <c r="Q7935" i="12"/>
  <c r="Q7934" i="12"/>
  <c r="Q7933" i="12"/>
  <c r="Q7932" i="12"/>
  <c r="Q7931" i="12"/>
  <c r="Q7930" i="12"/>
  <c r="Q7929" i="12"/>
  <c r="Q7928" i="12"/>
  <c r="Q7927" i="12"/>
  <c r="Q7926" i="12"/>
  <c r="Q7925" i="12"/>
  <c r="Q7924" i="12"/>
  <c r="Q7923" i="12"/>
  <c r="Q7922" i="12"/>
  <c r="Q7921" i="12"/>
  <c r="Q7920" i="12"/>
  <c r="Q7919" i="12"/>
  <c r="Q7918" i="12"/>
  <c r="Q7917" i="12"/>
  <c r="Q7916" i="12"/>
  <c r="Q7915" i="12"/>
  <c r="Q7914" i="12"/>
  <c r="Q7913" i="12"/>
  <c r="Q7912" i="12"/>
  <c r="Q7911" i="12"/>
  <c r="Q7910" i="12"/>
  <c r="Q7909" i="12"/>
  <c r="Q7908" i="12"/>
  <c r="Q7907" i="12"/>
  <c r="Q7906" i="12"/>
  <c r="Q7905" i="12"/>
  <c r="Q7904" i="12"/>
  <c r="Q7903" i="12"/>
  <c r="Q7902" i="12"/>
  <c r="Q7901" i="12"/>
  <c r="Q7900" i="12"/>
  <c r="Q7899" i="12"/>
  <c r="Q7898" i="12"/>
  <c r="Q7897" i="12"/>
  <c r="Q7896" i="12"/>
  <c r="Q7895" i="12"/>
  <c r="Q7894" i="12"/>
  <c r="Q7893" i="12"/>
  <c r="Q7892" i="12"/>
  <c r="Q7891" i="12"/>
  <c r="Q7890" i="12"/>
  <c r="Q7889" i="12"/>
  <c r="Q7888" i="12"/>
  <c r="Q7887" i="12"/>
  <c r="Q7886" i="12"/>
  <c r="Q7885" i="12"/>
  <c r="Q7884" i="12"/>
  <c r="Q7883" i="12"/>
  <c r="Q7882" i="12"/>
  <c r="Q7881" i="12"/>
  <c r="Q7880" i="12"/>
  <c r="Q7879" i="12"/>
  <c r="Q7878" i="12"/>
  <c r="Q7877" i="12"/>
  <c r="Q7876" i="12"/>
  <c r="Q7875" i="12"/>
  <c r="Q7874" i="12"/>
  <c r="Q7873" i="12"/>
  <c r="Q7872" i="12"/>
  <c r="Q7871" i="12"/>
  <c r="Q7870" i="12"/>
  <c r="Q7869" i="12"/>
  <c r="Q7868" i="12"/>
  <c r="Q7867" i="12"/>
  <c r="Q7866" i="12"/>
  <c r="Q7865" i="12"/>
  <c r="Q7864" i="12"/>
  <c r="Q7863" i="12"/>
  <c r="Q7862" i="12"/>
  <c r="Q7861" i="12"/>
  <c r="Q7860" i="12"/>
  <c r="Q7859" i="12"/>
  <c r="Q7858" i="12"/>
  <c r="Q7857" i="12"/>
  <c r="Q7856" i="12"/>
  <c r="Q7855" i="12"/>
  <c r="Q7854" i="12"/>
  <c r="Q7853" i="12"/>
  <c r="Q7852" i="12"/>
  <c r="Q7851" i="12"/>
  <c r="Q7850" i="12"/>
  <c r="Q7849" i="12"/>
  <c r="Q7848" i="12"/>
  <c r="Q7847" i="12"/>
  <c r="Q7846" i="12"/>
  <c r="Q7845" i="12"/>
  <c r="Q7844" i="12"/>
  <c r="Q7843" i="12"/>
  <c r="Q7842" i="12"/>
  <c r="Q7841" i="12"/>
  <c r="Q7840" i="12"/>
  <c r="Q7839" i="12"/>
  <c r="Q7838" i="12"/>
  <c r="Q7837" i="12"/>
  <c r="Q7836" i="12"/>
  <c r="Q7835" i="12"/>
  <c r="Q7834" i="12"/>
  <c r="Q7833" i="12"/>
  <c r="Q7832" i="12"/>
  <c r="Q7831" i="12"/>
  <c r="Q7830" i="12"/>
  <c r="Q7829" i="12"/>
  <c r="Q7828" i="12"/>
  <c r="Q7827" i="12"/>
  <c r="Q7826" i="12"/>
  <c r="Q7825" i="12"/>
  <c r="Q7824" i="12"/>
  <c r="Q7823" i="12"/>
  <c r="Q7822" i="12"/>
  <c r="Q7821" i="12"/>
  <c r="Q7820" i="12"/>
  <c r="Q7819" i="12"/>
  <c r="Q7818" i="12"/>
  <c r="Q7817" i="12"/>
  <c r="Q7816" i="12"/>
  <c r="Q7815" i="12"/>
  <c r="Q7814" i="12"/>
  <c r="Q7813" i="12"/>
  <c r="Q7812" i="12"/>
  <c r="Q7811" i="12"/>
  <c r="Q7810" i="12"/>
  <c r="Q7809" i="12"/>
  <c r="Q7808" i="12"/>
  <c r="Q7807" i="12"/>
  <c r="Q7806" i="12"/>
  <c r="Q7805" i="12"/>
  <c r="Q7804" i="12"/>
  <c r="Q7803" i="12"/>
  <c r="Q7802" i="12"/>
  <c r="Q7801" i="12"/>
  <c r="Q7800" i="12"/>
  <c r="Q7799" i="12"/>
  <c r="Q7798" i="12"/>
  <c r="Q7797" i="12"/>
  <c r="Q7796" i="12"/>
  <c r="Q7795" i="12"/>
  <c r="Q7794" i="12"/>
  <c r="Q7793" i="12"/>
  <c r="Q7792" i="12"/>
  <c r="Q7791" i="12"/>
  <c r="Q7790" i="12"/>
  <c r="Q7789" i="12"/>
  <c r="Q7788" i="12"/>
  <c r="Q7787" i="12"/>
  <c r="Q7786" i="12"/>
  <c r="Q7785" i="12"/>
  <c r="Q7784" i="12"/>
  <c r="Q7783" i="12"/>
  <c r="Q7782" i="12"/>
  <c r="Q7781" i="12"/>
  <c r="Q7780" i="12"/>
  <c r="Q7779" i="12"/>
  <c r="Q7778" i="12"/>
  <c r="Q7777" i="12"/>
  <c r="Q7776" i="12"/>
  <c r="Q7775" i="12"/>
  <c r="Q7774" i="12"/>
  <c r="Q7773" i="12"/>
  <c r="Q7772" i="12"/>
  <c r="Q7771" i="12"/>
  <c r="Q7770" i="12"/>
  <c r="Q7769" i="12"/>
  <c r="Q7768" i="12"/>
  <c r="Q7767" i="12"/>
  <c r="Q7766" i="12"/>
  <c r="Q7765" i="12"/>
  <c r="Q7764" i="12"/>
  <c r="Q7763" i="12"/>
  <c r="Q7762" i="12"/>
  <c r="Q7761" i="12"/>
  <c r="Q7760" i="12"/>
  <c r="Q7759" i="12"/>
  <c r="Q7758" i="12"/>
  <c r="Q7757" i="12"/>
  <c r="Q7756" i="12"/>
  <c r="Q7755" i="12"/>
  <c r="Q7754" i="12"/>
  <c r="Q7753" i="12"/>
  <c r="Q7752" i="12"/>
  <c r="Q7751" i="12"/>
  <c r="Q7750" i="12"/>
  <c r="Q7749" i="12"/>
  <c r="Q7748" i="12"/>
  <c r="Q7747" i="12"/>
  <c r="Q7746" i="12"/>
  <c r="Q7745" i="12"/>
  <c r="Q7744" i="12"/>
  <c r="Q7743" i="12"/>
  <c r="Q7742" i="12"/>
  <c r="Q7741" i="12"/>
  <c r="Q7740" i="12"/>
  <c r="Q7739" i="12"/>
  <c r="Q7738" i="12"/>
  <c r="Q7737" i="12"/>
  <c r="Q7736" i="12"/>
  <c r="Q7735" i="12"/>
  <c r="Q7734" i="12"/>
  <c r="Q7733" i="12"/>
  <c r="Q7732" i="12"/>
  <c r="Q7731" i="12"/>
  <c r="Q7730" i="12"/>
  <c r="Q7729" i="12"/>
  <c r="Q7728" i="12"/>
  <c r="Q7727" i="12"/>
  <c r="Q7726" i="12"/>
  <c r="Q7725" i="12"/>
  <c r="Q7724" i="12"/>
  <c r="Q7723" i="12"/>
  <c r="Q7722" i="12"/>
  <c r="Q7721" i="12"/>
  <c r="Q7720" i="12"/>
  <c r="Q7719" i="12"/>
  <c r="Q7718" i="12"/>
  <c r="Q7717" i="12"/>
  <c r="Q7716" i="12"/>
  <c r="Q7715" i="12"/>
  <c r="Q7714" i="12"/>
  <c r="Q7713" i="12"/>
  <c r="Q7712" i="12"/>
  <c r="Q7711" i="12"/>
  <c r="Q7710" i="12"/>
  <c r="Q7709" i="12"/>
  <c r="Q7708" i="12"/>
  <c r="Q7707" i="12"/>
  <c r="Q7706" i="12"/>
  <c r="Q7705" i="12"/>
  <c r="Q7704" i="12"/>
  <c r="Q7703" i="12"/>
  <c r="Q7702" i="12"/>
  <c r="Q7701" i="12"/>
  <c r="Q7700" i="12"/>
  <c r="Q7699" i="12"/>
  <c r="Q7698" i="12"/>
  <c r="Q7697" i="12"/>
  <c r="Q7696" i="12"/>
  <c r="Q7695" i="12"/>
  <c r="Q7694" i="12"/>
  <c r="Q7693" i="12"/>
  <c r="Q7692" i="12"/>
  <c r="Q7691" i="12"/>
  <c r="Q7690" i="12"/>
  <c r="Q7689" i="12"/>
  <c r="Q7688" i="12"/>
  <c r="Q7687" i="12"/>
  <c r="Q7686" i="12"/>
  <c r="Q7685" i="12"/>
  <c r="Q7684" i="12"/>
  <c r="Q7683" i="12"/>
  <c r="Q7682" i="12"/>
  <c r="Q7681" i="12"/>
  <c r="Q7680" i="12"/>
  <c r="Q7679" i="12"/>
  <c r="Q7678" i="12"/>
  <c r="Q7677" i="12"/>
  <c r="Q7676" i="12"/>
  <c r="Q7675" i="12"/>
  <c r="Q7674" i="12"/>
  <c r="Q7673" i="12"/>
  <c r="Q7672" i="12"/>
  <c r="Q7671" i="12"/>
  <c r="Q7670" i="12"/>
  <c r="Q7669" i="12"/>
  <c r="Q7668" i="12"/>
  <c r="Q7667" i="12"/>
  <c r="Q7666" i="12"/>
  <c r="Q7665" i="12"/>
  <c r="Q7664" i="12"/>
  <c r="Q7663" i="12"/>
  <c r="Q7662" i="12"/>
  <c r="Q7661" i="12"/>
  <c r="Q7660" i="12"/>
  <c r="Q7659" i="12"/>
  <c r="Q7658" i="12"/>
  <c r="Q7657" i="12"/>
  <c r="Q7656" i="12"/>
  <c r="Q7655" i="12"/>
  <c r="Q7654" i="12"/>
  <c r="Q7653" i="12"/>
  <c r="Q7652" i="12"/>
  <c r="Q7651" i="12"/>
  <c r="Q7650" i="12"/>
  <c r="Q7649" i="12"/>
  <c r="Q7648" i="12"/>
  <c r="Q7647" i="12"/>
  <c r="Q7646" i="12"/>
  <c r="Q7645" i="12"/>
  <c r="Q7644" i="12"/>
  <c r="Q7643" i="12"/>
  <c r="Q7642" i="12"/>
  <c r="Q7641" i="12"/>
  <c r="Q7640" i="12"/>
  <c r="Q7639" i="12"/>
  <c r="Q7638" i="12"/>
  <c r="Q7637" i="12"/>
  <c r="Q7636" i="12"/>
  <c r="Q7635" i="12"/>
  <c r="Q7634" i="12"/>
  <c r="Q7633" i="12"/>
  <c r="Q7632" i="12"/>
  <c r="Q7631" i="12"/>
  <c r="Q7630" i="12"/>
  <c r="Q7629" i="12"/>
  <c r="Q7628" i="12"/>
  <c r="Q7627" i="12"/>
  <c r="Q7626" i="12"/>
  <c r="Q7625" i="12"/>
  <c r="Q7624" i="12"/>
  <c r="Q7623" i="12"/>
  <c r="Q7622" i="12"/>
  <c r="Q7621" i="12"/>
  <c r="Q7620" i="12"/>
  <c r="Q7619" i="12"/>
  <c r="Q7618" i="12"/>
  <c r="Q7617" i="12"/>
  <c r="Q7616" i="12"/>
  <c r="Q7615" i="12"/>
  <c r="Q7614" i="12"/>
  <c r="Q7613" i="12"/>
  <c r="Q7612" i="12"/>
  <c r="Q7611" i="12"/>
  <c r="Q7610" i="12"/>
  <c r="Q7609" i="12"/>
  <c r="Q7608" i="12"/>
  <c r="Q7607" i="12"/>
  <c r="Q7606" i="12"/>
  <c r="Q7605" i="12"/>
  <c r="Q7604" i="12"/>
  <c r="Q7603" i="12"/>
  <c r="Q7602" i="12"/>
  <c r="Q7601" i="12"/>
  <c r="Q7600" i="12"/>
  <c r="Q7599" i="12"/>
  <c r="Q7598" i="12"/>
  <c r="Q7597" i="12"/>
  <c r="Q7596" i="12"/>
  <c r="Q7595" i="12"/>
  <c r="Q7594" i="12"/>
  <c r="Q7593" i="12"/>
  <c r="Q7592" i="12"/>
  <c r="Q7591" i="12"/>
  <c r="Q7590" i="12"/>
  <c r="Q7589" i="12"/>
  <c r="Q7588" i="12"/>
  <c r="Q7587" i="12"/>
  <c r="Q7586" i="12"/>
  <c r="Q7585" i="12"/>
  <c r="Q7584" i="12"/>
  <c r="Q7583" i="12"/>
  <c r="Q7582" i="12"/>
  <c r="Q7581" i="12"/>
  <c r="Q7580" i="12"/>
  <c r="Q7579" i="12"/>
  <c r="Q7578" i="12"/>
  <c r="Q7577" i="12"/>
  <c r="Q7576" i="12"/>
  <c r="Q7575" i="12"/>
  <c r="Q7574" i="12"/>
  <c r="Q7573" i="12"/>
  <c r="Q7572" i="12"/>
  <c r="Q7571" i="12"/>
  <c r="Q7570" i="12"/>
  <c r="Q7569" i="12"/>
  <c r="Q7568" i="12"/>
  <c r="Q7567" i="12"/>
  <c r="Q7566" i="12"/>
  <c r="Q7565" i="12"/>
  <c r="Q7564" i="12"/>
  <c r="Q7563" i="12"/>
  <c r="Q7562" i="12"/>
  <c r="Q7561" i="12"/>
  <c r="Q7560" i="12"/>
  <c r="Q7559" i="12"/>
  <c r="Q7558" i="12"/>
  <c r="Q7557" i="12"/>
  <c r="Q7556" i="12"/>
  <c r="Q7555" i="12"/>
  <c r="Q7554" i="12"/>
  <c r="Q7553" i="12"/>
  <c r="Q7552" i="12"/>
  <c r="Q7551" i="12"/>
  <c r="Q7550" i="12"/>
  <c r="Q7549" i="12"/>
  <c r="Q7548" i="12"/>
  <c r="Q7547" i="12"/>
  <c r="Q7546" i="12"/>
  <c r="Q7545" i="12"/>
  <c r="Q7544" i="12"/>
  <c r="Q7543" i="12"/>
  <c r="Q7542" i="12"/>
  <c r="Q7541" i="12"/>
  <c r="Q7540" i="12"/>
  <c r="Q7539" i="12"/>
  <c r="Q7538" i="12"/>
  <c r="Q7537" i="12"/>
  <c r="Q7536" i="12"/>
  <c r="Q7535" i="12"/>
  <c r="Q7534" i="12"/>
  <c r="Q7533" i="12"/>
  <c r="Q7532" i="12"/>
  <c r="Q7531" i="12"/>
  <c r="Q7530" i="12"/>
  <c r="Q7529" i="12"/>
  <c r="Q7528" i="12"/>
  <c r="Q7527" i="12"/>
  <c r="Q7526" i="12"/>
  <c r="Q7525" i="12"/>
  <c r="Q7524" i="12"/>
  <c r="Q7523" i="12"/>
  <c r="Q7522" i="12"/>
  <c r="Q7521" i="12"/>
  <c r="Q7520" i="12"/>
  <c r="Q7519" i="12"/>
  <c r="Q7518" i="12"/>
  <c r="Q7517" i="12"/>
  <c r="Q7516" i="12"/>
  <c r="Q7515" i="12"/>
  <c r="Q7514" i="12"/>
  <c r="Q7513" i="12"/>
  <c r="Q7512" i="12"/>
  <c r="Q7511" i="12"/>
  <c r="Q7510" i="12"/>
  <c r="Q7509" i="12"/>
  <c r="Q7508" i="12"/>
  <c r="Q7507" i="12"/>
  <c r="Q7506" i="12"/>
  <c r="Q7505" i="12"/>
  <c r="Q7504" i="12"/>
  <c r="Q7503" i="12"/>
  <c r="Q7502" i="12"/>
  <c r="Q7501" i="12"/>
  <c r="Q7500" i="12"/>
  <c r="Q7499" i="12"/>
  <c r="Q7498" i="12"/>
  <c r="Q7497" i="12"/>
  <c r="Q7496" i="12"/>
  <c r="Q7495" i="12"/>
  <c r="Q7494" i="12"/>
  <c r="Q7493" i="12"/>
  <c r="Q7492" i="12"/>
  <c r="Q7491" i="12"/>
  <c r="Q7490" i="12"/>
  <c r="Q7489" i="12"/>
  <c r="Q7488" i="12"/>
  <c r="Q7487" i="12"/>
  <c r="Q7486" i="12"/>
  <c r="Q7485" i="12"/>
  <c r="Q7484" i="12"/>
  <c r="Q7483" i="12"/>
  <c r="Q7482" i="12"/>
  <c r="Q7481" i="12"/>
  <c r="Q7480" i="12"/>
  <c r="Q7479" i="12"/>
  <c r="Q7478" i="12"/>
  <c r="Q7477" i="12"/>
  <c r="Q7476" i="12"/>
  <c r="Q7475" i="12"/>
  <c r="Q7474" i="12"/>
  <c r="Q7473" i="12"/>
  <c r="Q7472" i="12"/>
  <c r="Q7471" i="12"/>
  <c r="Q7470" i="12"/>
  <c r="Q7469" i="12"/>
  <c r="Q7468" i="12"/>
  <c r="Q7467" i="12"/>
  <c r="Q7466" i="12"/>
  <c r="Q7465" i="12"/>
  <c r="Q7464" i="12"/>
  <c r="Q7463" i="12"/>
  <c r="Q7462" i="12"/>
  <c r="Q7461" i="12"/>
  <c r="Q7460" i="12"/>
  <c r="Q7459" i="12"/>
  <c r="Q7458" i="12"/>
  <c r="Q7457" i="12"/>
  <c r="Q7456" i="12"/>
  <c r="Q7455" i="12"/>
  <c r="Q7454" i="12"/>
  <c r="Q7453" i="12"/>
  <c r="Q7452" i="12"/>
  <c r="Q7451" i="12"/>
  <c r="Q7450" i="12"/>
  <c r="Q7449" i="12"/>
  <c r="Q7448" i="12"/>
  <c r="Q7447" i="12"/>
  <c r="Q7446" i="12"/>
  <c r="Q7445" i="12"/>
  <c r="Q7444" i="12"/>
  <c r="Q7443" i="12"/>
  <c r="Q7442" i="12"/>
  <c r="Q7441" i="12"/>
  <c r="Q7440" i="12"/>
  <c r="Q7439" i="12"/>
  <c r="Q7438" i="12"/>
  <c r="Q7437" i="12"/>
  <c r="Q7436" i="12"/>
  <c r="Q7435" i="12"/>
  <c r="Q7434" i="12"/>
  <c r="Q7433" i="12"/>
  <c r="Q7432" i="12"/>
  <c r="Q7431" i="12"/>
  <c r="Q7430" i="12"/>
  <c r="Q7429" i="12"/>
  <c r="Q7428" i="12"/>
  <c r="Q7427" i="12"/>
  <c r="Q7426" i="12"/>
  <c r="Q7425" i="12"/>
  <c r="Q7424" i="12"/>
  <c r="Q7423" i="12"/>
  <c r="Q7422" i="12"/>
  <c r="Q7421" i="12"/>
  <c r="Q7420" i="12"/>
  <c r="Q7419" i="12"/>
  <c r="Q7418" i="12"/>
  <c r="Q7417" i="12"/>
  <c r="Q7416" i="12"/>
  <c r="Q7415" i="12"/>
  <c r="Q7414" i="12"/>
  <c r="Q7413" i="12"/>
  <c r="Q7412" i="12"/>
  <c r="Q7411" i="12"/>
  <c r="Q7410" i="12"/>
  <c r="Q7409" i="12"/>
  <c r="Q7408" i="12"/>
  <c r="Q7407" i="12"/>
  <c r="Q7406" i="12"/>
  <c r="Q7405" i="12"/>
  <c r="Q7404" i="12"/>
  <c r="Q7403" i="12"/>
  <c r="Q7402" i="12"/>
  <c r="Q7401" i="12"/>
  <c r="Q7400" i="12"/>
  <c r="Q7399" i="12"/>
  <c r="Q7398" i="12"/>
  <c r="Q7397" i="12"/>
  <c r="Q7396" i="12"/>
  <c r="Q7395" i="12"/>
  <c r="Q7394" i="12"/>
  <c r="Q7393" i="12"/>
  <c r="Q7392" i="12"/>
  <c r="Q7391" i="12"/>
  <c r="Q7390" i="12"/>
  <c r="Q7389" i="12"/>
  <c r="Q7388" i="12"/>
  <c r="Q7387" i="12"/>
  <c r="Q7386" i="12"/>
  <c r="Q7385" i="12"/>
  <c r="Q7384" i="12"/>
  <c r="Q7383" i="12"/>
  <c r="Q7382" i="12"/>
  <c r="Q7381" i="12"/>
  <c r="Q7380" i="12"/>
  <c r="Q7379" i="12"/>
  <c r="Q7378" i="12"/>
  <c r="Q7377" i="12"/>
  <c r="Q7376" i="12"/>
  <c r="Q7375" i="12"/>
  <c r="Q7374" i="12"/>
  <c r="Q7373" i="12"/>
  <c r="Q7372" i="12"/>
  <c r="Q7371" i="12"/>
  <c r="Q7370" i="12"/>
  <c r="Q7369" i="12"/>
  <c r="Q7368" i="12"/>
  <c r="Q7367" i="12"/>
  <c r="Q7366" i="12"/>
  <c r="Q7365" i="12"/>
  <c r="Q7364" i="12"/>
  <c r="Q7363" i="12"/>
  <c r="Q7362" i="12"/>
  <c r="Q7361" i="12"/>
  <c r="Q7360" i="12"/>
  <c r="Q7359" i="12"/>
  <c r="Q7358" i="12"/>
  <c r="Q7357" i="12"/>
  <c r="Q7356" i="12"/>
  <c r="Q7355" i="12"/>
  <c r="Q7354" i="12"/>
  <c r="Q7353" i="12"/>
  <c r="Q7352" i="12"/>
  <c r="Q7351" i="12"/>
  <c r="Q7350" i="12"/>
  <c r="Q7349" i="12"/>
  <c r="Q7348" i="12"/>
  <c r="Q7347" i="12"/>
  <c r="Q7346" i="12"/>
  <c r="Q7345" i="12"/>
  <c r="Q7344" i="12"/>
  <c r="Q7343" i="12"/>
  <c r="Q7342" i="12"/>
  <c r="Q7341" i="12"/>
  <c r="Q7340" i="12"/>
  <c r="Q7339" i="12"/>
  <c r="Q7338" i="12"/>
  <c r="Q7337" i="12"/>
  <c r="Q7336" i="12"/>
  <c r="Q7335" i="12"/>
  <c r="Q7334" i="12"/>
  <c r="Q7333" i="12"/>
  <c r="Q7332" i="12"/>
  <c r="Q7331" i="12"/>
  <c r="Q7330" i="12"/>
  <c r="Q7329" i="12"/>
  <c r="Q7328" i="12"/>
  <c r="Q7327" i="12"/>
  <c r="Q7326" i="12"/>
  <c r="Q7325" i="12"/>
  <c r="Q7324" i="12"/>
  <c r="Q7323" i="12"/>
  <c r="Q7322" i="12"/>
  <c r="Q7321" i="12"/>
  <c r="Q7320" i="12"/>
  <c r="Q7319" i="12"/>
  <c r="Q7318" i="12"/>
  <c r="Q7317" i="12"/>
  <c r="Q7316" i="12"/>
  <c r="Q7315" i="12"/>
  <c r="Q7314" i="12"/>
  <c r="Q7313" i="12"/>
  <c r="Q7312" i="12"/>
  <c r="Q7311" i="12"/>
  <c r="Q7310" i="12"/>
  <c r="Q7309" i="12"/>
  <c r="Q7308" i="12"/>
  <c r="Q7307" i="12"/>
  <c r="Q7306" i="12"/>
  <c r="Q7305" i="12"/>
  <c r="Q7304" i="12"/>
  <c r="Q7303" i="12"/>
  <c r="Q7302" i="12"/>
  <c r="Q7301" i="12"/>
  <c r="Q7300" i="12"/>
  <c r="Q7299" i="12"/>
  <c r="Q7298" i="12"/>
  <c r="Q7297" i="12"/>
  <c r="Q7296" i="12"/>
  <c r="Q7295" i="12"/>
  <c r="Q7294" i="12"/>
  <c r="Q7293" i="12"/>
  <c r="Q7292" i="12"/>
  <c r="Q7291" i="12"/>
  <c r="Q7290" i="12"/>
  <c r="Q7289" i="12"/>
  <c r="Q7288" i="12"/>
  <c r="Q7287" i="12"/>
  <c r="Q7286" i="12"/>
  <c r="Q7285" i="12"/>
  <c r="Q7284" i="12"/>
  <c r="Q7283" i="12"/>
  <c r="Q7282" i="12"/>
  <c r="Q7281" i="12"/>
  <c r="Q7280" i="12"/>
  <c r="Q7279" i="12"/>
  <c r="Q7278" i="12"/>
  <c r="Q7277" i="12"/>
  <c r="Q7276" i="12"/>
  <c r="Q7275" i="12"/>
  <c r="Q7274" i="12"/>
  <c r="Q7273" i="12"/>
  <c r="Q7272" i="12"/>
  <c r="Q7271" i="12"/>
  <c r="Q7270" i="12"/>
  <c r="Q7269" i="12"/>
  <c r="Q7268" i="12"/>
  <c r="Q7267" i="12"/>
  <c r="Q7266" i="12"/>
  <c r="Q7265" i="12"/>
  <c r="Q7264" i="12"/>
  <c r="Q7263" i="12"/>
  <c r="Q7262" i="12"/>
  <c r="Q7261" i="12"/>
  <c r="Q7260" i="12"/>
  <c r="Q7259" i="12"/>
  <c r="Q7258" i="12"/>
  <c r="Q7257" i="12"/>
  <c r="Q7256" i="12"/>
  <c r="Q7255" i="12"/>
  <c r="Q7254" i="12"/>
  <c r="Q7253" i="12"/>
  <c r="Q7252" i="12"/>
  <c r="Q7251" i="12"/>
  <c r="Q7250" i="12"/>
  <c r="Q7249" i="12"/>
  <c r="Q7248" i="12"/>
  <c r="Q7247" i="12"/>
  <c r="Q7246" i="12"/>
  <c r="Q7245" i="12"/>
  <c r="Q7244" i="12"/>
  <c r="Q7243" i="12"/>
  <c r="Q7242" i="12"/>
  <c r="Q7241" i="12"/>
  <c r="Q7240" i="12"/>
  <c r="Q7239" i="12"/>
  <c r="Q7238" i="12"/>
  <c r="Q7237" i="12"/>
  <c r="Q7236" i="12"/>
  <c r="Q7235" i="12"/>
  <c r="Q7234" i="12"/>
  <c r="Q7233" i="12"/>
  <c r="Q7232" i="12"/>
  <c r="Q7231" i="12"/>
  <c r="Q7230" i="12"/>
  <c r="Q7229" i="12"/>
  <c r="Q7228" i="12"/>
  <c r="Q7227" i="12"/>
  <c r="Q7226" i="12"/>
  <c r="Q7225" i="12"/>
  <c r="Q7224" i="12"/>
  <c r="Q7223" i="12"/>
  <c r="Q7222" i="12"/>
  <c r="Q7221" i="12"/>
  <c r="Q7220" i="12"/>
  <c r="Q7219" i="12"/>
  <c r="Q7218" i="12"/>
  <c r="Q7217" i="12"/>
  <c r="Q7216" i="12"/>
  <c r="Q7215" i="12"/>
  <c r="Q7214" i="12"/>
  <c r="Q7213" i="12"/>
  <c r="Q7212" i="12"/>
  <c r="Q7211" i="12"/>
  <c r="Q7210" i="12"/>
  <c r="Q7209" i="12"/>
  <c r="Q7208" i="12"/>
  <c r="Q7207" i="12"/>
  <c r="Q7206" i="12"/>
  <c r="Q7205" i="12"/>
  <c r="Q7204" i="12"/>
  <c r="Q7203" i="12"/>
  <c r="Q7202" i="12"/>
  <c r="Q7201" i="12"/>
  <c r="Q7200" i="12"/>
  <c r="Q7199" i="12"/>
  <c r="Q7198" i="12"/>
  <c r="Q7197" i="12"/>
  <c r="Q7196" i="12"/>
  <c r="Q7195" i="12"/>
  <c r="Q7194" i="12"/>
  <c r="Q7193" i="12"/>
  <c r="Q7192" i="12"/>
  <c r="Q7191" i="12"/>
  <c r="Q7190" i="12"/>
  <c r="Q7189" i="12"/>
  <c r="Q7188" i="12"/>
  <c r="Q7187" i="12"/>
  <c r="Q7186" i="12"/>
  <c r="Q7185" i="12"/>
  <c r="Q7184" i="12"/>
  <c r="Q7183" i="12"/>
  <c r="Q7182" i="12"/>
  <c r="Q7181" i="12"/>
  <c r="Q7180" i="12"/>
  <c r="Q7179" i="12"/>
  <c r="Q7178" i="12"/>
  <c r="Q7177" i="12"/>
  <c r="Q7176" i="12"/>
  <c r="Q7175" i="12"/>
  <c r="Q7174" i="12"/>
  <c r="Q7173" i="12"/>
  <c r="Q7172" i="12"/>
  <c r="Q7171" i="12"/>
  <c r="Q7170" i="12"/>
  <c r="Q7169" i="12"/>
  <c r="Q7168" i="12"/>
  <c r="Q7167" i="12"/>
  <c r="Q7166" i="12"/>
  <c r="Q7165" i="12"/>
  <c r="Q7164" i="12"/>
  <c r="Q7163" i="12"/>
  <c r="Q7162" i="12"/>
  <c r="Q7161" i="12"/>
  <c r="Q7160" i="12"/>
  <c r="Q7159" i="12"/>
  <c r="Q7158" i="12"/>
  <c r="Q7157" i="12"/>
  <c r="Q7156" i="12"/>
  <c r="Q7155" i="12"/>
  <c r="Q7154" i="12"/>
  <c r="Q7153" i="12"/>
  <c r="Q7152" i="12"/>
  <c r="Q7151" i="12"/>
  <c r="Q7150" i="12"/>
  <c r="Q7149" i="12"/>
  <c r="Q7148" i="12"/>
  <c r="Q7147" i="12"/>
  <c r="Q7146" i="12"/>
  <c r="Q7145" i="12"/>
  <c r="Q7144" i="12"/>
  <c r="Q7143" i="12"/>
  <c r="Q7142" i="12"/>
  <c r="Q7141" i="12"/>
  <c r="Q7140" i="12"/>
  <c r="Q7139" i="12"/>
  <c r="Q7138" i="12"/>
  <c r="Q7137" i="12"/>
  <c r="Q7136" i="12"/>
  <c r="Q7135" i="12"/>
  <c r="Q7134" i="12"/>
  <c r="Q7133" i="12"/>
  <c r="Q7132" i="12"/>
  <c r="Q7131" i="12"/>
  <c r="Q7130" i="12"/>
  <c r="Q7129" i="12"/>
  <c r="Q7128" i="12"/>
  <c r="Q7127" i="12"/>
  <c r="Q7126" i="12"/>
  <c r="Q7125" i="12"/>
  <c r="Q7124" i="12"/>
  <c r="Q7123" i="12"/>
  <c r="Q7122" i="12"/>
  <c r="Q7121" i="12"/>
  <c r="Q7120" i="12"/>
  <c r="Q7119" i="12"/>
  <c r="Q7118" i="12"/>
  <c r="Q7117" i="12"/>
  <c r="Q7116" i="12"/>
  <c r="Q7115" i="12"/>
  <c r="Q7114" i="12"/>
  <c r="Q7113" i="12"/>
  <c r="Q7112" i="12"/>
  <c r="Q7111" i="12"/>
  <c r="Q7110" i="12"/>
  <c r="Q7109" i="12"/>
  <c r="Q7108" i="12"/>
  <c r="Q7107" i="12"/>
  <c r="Q7106" i="12"/>
  <c r="Q7105" i="12"/>
  <c r="Q7104" i="12"/>
  <c r="Q7103" i="12"/>
  <c r="Q7102" i="12"/>
  <c r="Q7101" i="12"/>
  <c r="Q7100" i="12"/>
  <c r="Q7099" i="12"/>
  <c r="Q7098" i="12"/>
  <c r="Q7097" i="12"/>
  <c r="Q7096" i="12"/>
  <c r="Q7095" i="12"/>
  <c r="Q7094" i="12"/>
  <c r="Q7093" i="12"/>
  <c r="Q7092" i="12"/>
  <c r="Q7091" i="12"/>
  <c r="Q7090" i="12"/>
  <c r="Q7089" i="12"/>
  <c r="Q7088" i="12"/>
  <c r="Q7087" i="12"/>
  <c r="Q7086" i="12"/>
  <c r="Q7085" i="12"/>
  <c r="Q7084" i="12"/>
  <c r="Q7083" i="12"/>
  <c r="Q7082" i="12"/>
  <c r="Q7081" i="12"/>
  <c r="Q7080" i="12"/>
  <c r="Q7079" i="12"/>
  <c r="Q7078" i="12"/>
  <c r="Q7077" i="12"/>
  <c r="Q7076" i="12"/>
  <c r="Q7075" i="12"/>
  <c r="Q7074" i="12"/>
  <c r="Q7073" i="12"/>
  <c r="Q7072" i="12"/>
  <c r="Q7071" i="12"/>
  <c r="Q7070" i="12"/>
  <c r="Q7069" i="12"/>
  <c r="Q7068" i="12"/>
  <c r="Q7067" i="12"/>
  <c r="Q7066" i="12"/>
  <c r="Q7065" i="12"/>
  <c r="Q7064" i="12"/>
  <c r="Q7063" i="12"/>
  <c r="Q7062" i="12"/>
  <c r="Q7061" i="12"/>
  <c r="Q7060" i="12"/>
  <c r="Q7059" i="12"/>
  <c r="Q7058" i="12"/>
  <c r="Q7057" i="12"/>
  <c r="Q7056" i="12"/>
  <c r="Q7055" i="12"/>
  <c r="Q7054" i="12"/>
  <c r="Q7053" i="12"/>
  <c r="Q7052" i="12"/>
  <c r="Q7051" i="12"/>
  <c r="Q7050" i="12"/>
  <c r="Q7049" i="12"/>
  <c r="Q7048" i="12"/>
  <c r="Q7047" i="12"/>
  <c r="Q7046" i="12"/>
  <c r="Q7045" i="12"/>
  <c r="Q7044" i="12"/>
  <c r="Q7043" i="12"/>
  <c r="Q7042" i="12"/>
  <c r="Q7041" i="12"/>
  <c r="Q7040" i="12"/>
  <c r="Q7039" i="12"/>
  <c r="Q7038" i="12"/>
  <c r="Q7037" i="12"/>
  <c r="Q7036" i="12"/>
  <c r="Q7035" i="12"/>
  <c r="Q7034" i="12"/>
  <c r="Q7033" i="12"/>
  <c r="Q7032" i="12"/>
  <c r="Q7031" i="12"/>
  <c r="Q7030" i="12"/>
  <c r="Q7029" i="12"/>
  <c r="Q7028" i="12"/>
  <c r="Q7027" i="12"/>
  <c r="Q7026" i="12"/>
  <c r="Q7025" i="12"/>
  <c r="Q7024" i="12"/>
  <c r="Q7023" i="12"/>
  <c r="Q7022" i="12"/>
  <c r="Q7021" i="12"/>
  <c r="Q7020" i="12"/>
  <c r="Q7019" i="12"/>
  <c r="Q7018" i="12"/>
  <c r="Q7017" i="12"/>
  <c r="Q7016" i="12"/>
  <c r="Q7015" i="12"/>
  <c r="Q7014" i="12"/>
  <c r="Q7013" i="12"/>
  <c r="Q7012" i="12"/>
  <c r="Q7011" i="12"/>
  <c r="Q7010" i="12"/>
  <c r="Q7009" i="12"/>
  <c r="Q7008" i="12"/>
  <c r="Q7007" i="12"/>
  <c r="Q7006" i="12"/>
  <c r="Q7005" i="12"/>
  <c r="Q7004" i="12"/>
  <c r="Q7003" i="12"/>
  <c r="Q7002" i="12"/>
  <c r="Q7001" i="12"/>
  <c r="Q7000" i="12"/>
  <c r="Q6999" i="12"/>
  <c r="Q6998" i="12"/>
  <c r="Q6997" i="12"/>
  <c r="Q6996" i="12"/>
  <c r="Q6995" i="12"/>
  <c r="Q6994" i="12"/>
  <c r="Q6993" i="12"/>
  <c r="Q6992" i="12"/>
  <c r="Q6991" i="12"/>
  <c r="Q6990" i="12"/>
  <c r="Q6989" i="12"/>
  <c r="Q6988" i="12"/>
  <c r="Q6987" i="12"/>
  <c r="Q6986" i="12"/>
  <c r="Q6985" i="12"/>
  <c r="Q6984" i="12"/>
  <c r="Q6983" i="12"/>
  <c r="Q6982" i="12"/>
  <c r="Q6981" i="12"/>
  <c r="Q6980" i="12"/>
  <c r="Q6979" i="12"/>
  <c r="Q6978" i="12"/>
  <c r="Q6977" i="12"/>
  <c r="Q6976" i="12"/>
  <c r="Q6975" i="12"/>
  <c r="Q6974" i="12"/>
  <c r="Q6973" i="12"/>
  <c r="Q6972" i="12"/>
  <c r="Q6971" i="12"/>
  <c r="Q6970" i="12"/>
  <c r="Q6969" i="12"/>
  <c r="Q6968" i="12"/>
  <c r="Q6967" i="12"/>
  <c r="Q6966" i="12"/>
  <c r="Q6965" i="12"/>
  <c r="Q6964" i="12"/>
  <c r="Q6963" i="12"/>
  <c r="Q6962" i="12"/>
  <c r="Q6961" i="12"/>
  <c r="Q6960" i="12"/>
  <c r="Q6959" i="12"/>
  <c r="Q6958" i="12"/>
  <c r="Q6957" i="12"/>
  <c r="Q6956" i="12"/>
  <c r="Q6955" i="12"/>
  <c r="Q6954" i="12"/>
  <c r="Q6953" i="12"/>
  <c r="Q6952" i="12"/>
  <c r="Q6951" i="12"/>
  <c r="Q6950" i="12"/>
  <c r="Q6949" i="12"/>
  <c r="Q6948" i="12"/>
  <c r="Q6947" i="12"/>
  <c r="Q6946" i="12"/>
  <c r="Q6945" i="12"/>
  <c r="Q6944" i="12"/>
  <c r="Q6943" i="12"/>
  <c r="Q6942" i="12"/>
  <c r="Q6941" i="12"/>
  <c r="Q6940" i="12"/>
  <c r="Q6939" i="12"/>
  <c r="Q6938" i="12"/>
  <c r="Q6937" i="12"/>
  <c r="Q6936" i="12"/>
  <c r="Q6935" i="12"/>
  <c r="Q6934" i="12"/>
  <c r="Q6933" i="12"/>
  <c r="Q6932" i="12"/>
  <c r="Q6931" i="12"/>
  <c r="Q6930" i="12"/>
  <c r="Q6929" i="12"/>
  <c r="Q6928" i="12"/>
  <c r="Q6927" i="12"/>
  <c r="Q6926" i="12"/>
  <c r="Q6925" i="12"/>
  <c r="Q6924" i="12"/>
  <c r="Q6923" i="12"/>
  <c r="Q6922" i="12"/>
  <c r="Q6921" i="12"/>
  <c r="Q6920" i="12"/>
  <c r="Q6919" i="12"/>
  <c r="Q6918" i="12"/>
  <c r="Q6917" i="12"/>
  <c r="Q6916" i="12"/>
  <c r="Q6915" i="12"/>
  <c r="Q6914" i="12"/>
  <c r="Q6913" i="12"/>
  <c r="Q6912" i="12"/>
  <c r="Q6911" i="12"/>
  <c r="Q6910" i="12"/>
  <c r="Q6909" i="12"/>
  <c r="Q6908" i="12"/>
  <c r="Q6907" i="12"/>
  <c r="Q6906" i="12"/>
  <c r="Q6905" i="12"/>
  <c r="Q6904" i="12"/>
  <c r="Q6903" i="12"/>
  <c r="Q6902" i="12"/>
  <c r="Q6901" i="12"/>
  <c r="Q6900" i="12"/>
  <c r="Q6899" i="12"/>
  <c r="Q6898" i="12"/>
  <c r="Q6897" i="12"/>
  <c r="Q6896" i="12"/>
  <c r="Q6895" i="12"/>
  <c r="Q6894" i="12"/>
  <c r="Q6893" i="12"/>
  <c r="Q6892" i="12"/>
  <c r="Q6891" i="12"/>
  <c r="Q6890" i="12"/>
  <c r="Q6889" i="12"/>
  <c r="Q6888" i="12"/>
  <c r="Q6887" i="12"/>
  <c r="Q6886" i="12"/>
  <c r="Q6885" i="12"/>
  <c r="Q6884" i="12"/>
  <c r="Q6883" i="12"/>
  <c r="Q6882" i="12"/>
  <c r="Q6881" i="12"/>
  <c r="Q6880" i="12"/>
  <c r="Q6879" i="12"/>
  <c r="Q6878" i="12"/>
  <c r="Q6877" i="12"/>
  <c r="Q6876" i="12"/>
  <c r="Q6875" i="12"/>
  <c r="Q6874" i="12"/>
  <c r="Q6873" i="12"/>
  <c r="Q6872" i="12"/>
  <c r="Q6871" i="12"/>
  <c r="Q6870" i="12"/>
  <c r="Q6869" i="12"/>
  <c r="Q6868" i="12"/>
  <c r="Q6867" i="12"/>
  <c r="Q6866" i="12"/>
  <c r="Q6865" i="12"/>
  <c r="Q6864" i="12"/>
  <c r="Q6863" i="12"/>
  <c r="Q6862" i="12"/>
  <c r="Q6861" i="12"/>
  <c r="Q6860" i="12"/>
  <c r="Q6859" i="12"/>
  <c r="Q6858" i="12"/>
  <c r="Q6857" i="12"/>
  <c r="Q6856" i="12"/>
  <c r="Q6855" i="12"/>
  <c r="Q6854" i="12"/>
  <c r="Q6853" i="12"/>
  <c r="Q6852" i="12"/>
  <c r="Q6851" i="12"/>
  <c r="Q6850" i="12"/>
  <c r="Q6849" i="12"/>
  <c r="Q6848" i="12"/>
  <c r="Q6847" i="12"/>
  <c r="Q6846" i="12"/>
  <c r="Q6845" i="12"/>
  <c r="Q6844" i="12"/>
  <c r="Q6843" i="12"/>
  <c r="Q6842" i="12"/>
  <c r="Q6841" i="12"/>
  <c r="Q6840" i="12"/>
  <c r="Q6839" i="12"/>
  <c r="Q6838" i="12"/>
  <c r="Q6837" i="12"/>
  <c r="Q6836" i="12"/>
  <c r="Q6835" i="12"/>
  <c r="Q6834" i="12"/>
  <c r="Q6833" i="12"/>
  <c r="Q6832" i="12"/>
  <c r="Q6831" i="12"/>
  <c r="Q6830" i="12"/>
  <c r="Q6829" i="12"/>
  <c r="Q6828" i="12"/>
  <c r="Q6827" i="12"/>
  <c r="Q6826" i="12"/>
  <c r="Q6825" i="12"/>
  <c r="Q6824" i="12"/>
  <c r="Q6823" i="12"/>
  <c r="Q6822" i="12"/>
  <c r="Q6821" i="12"/>
  <c r="Q6820" i="12"/>
  <c r="Q6819" i="12"/>
  <c r="Q6818" i="12"/>
  <c r="Q6817" i="12"/>
  <c r="Q6816" i="12"/>
  <c r="Q6815" i="12"/>
  <c r="Q6814" i="12"/>
  <c r="Q6813" i="12"/>
  <c r="Q6812" i="12"/>
  <c r="Q6811" i="12"/>
  <c r="Q6810" i="12"/>
  <c r="Q6809" i="12"/>
  <c r="Q6808" i="12"/>
  <c r="Q6807" i="12"/>
  <c r="Q6806" i="12"/>
  <c r="Q6805" i="12"/>
  <c r="Q6804" i="12"/>
  <c r="Q6803" i="12"/>
  <c r="Q6802" i="12"/>
  <c r="Q6801" i="12"/>
  <c r="Q6800" i="12"/>
  <c r="Q6799" i="12"/>
  <c r="Q6798" i="12"/>
  <c r="Q6797" i="12"/>
  <c r="Q6796" i="12"/>
  <c r="Q6795" i="12"/>
  <c r="Q6794" i="12"/>
  <c r="Q6793" i="12"/>
  <c r="Q6792" i="12"/>
  <c r="Q6791" i="12"/>
  <c r="Q6790" i="12"/>
  <c r="Q6789" i="12"/>
  <c r="Q6788" i="12"/>
  <c r="Q6787" i="12"/>
  <c r="Q6786" i="12"/>
  <c r="Q6785" i="12"/>
  <c r="Q6784" i="12"/>
  <c r="Q6783" i="12"/>
  <c r="Q6782" i="12"/>
  <c r="Q6781" i="12"/>
  <c r="Q6780" i="12"/>
  <c r="Q6779" i="12"/>
  <c r="Q6778" i="12"/>
  <c r="Q6777" i="12"/>
  <c r="Q6776" i="12"/>
  <c r="Q6775" i="12"/>
  <c r="Q6774" i="12"/>
  <c r="Q6773" i="12"/>
  <c r="Q6772" i="12"/>
  <c r="Q6771" i="12"/>
  <c r="Q6770" i="12"/>
  <c r="Q6769" i="12"/>
  <c r="Q6768" i="12"/>
  <c r="Q6767" i="12"/>
  <c r="Q6766" i="12"/>
  <c r="Q6765" i="12"/>
  <c r="Q6764" i="12"/>
  <c r="Q6763" i="12"/>
  <c r="Q6762" i="12"/>
  <c r="Q6761" i="12"/>
  <c r="Q6760" i="12"/>
  <c r="Q6759" i="12"/>
  <c r="Q6758" i="12"/>
  <c r="Q6757" i="12"/>
  <c r="Q6756" i="12"/>
  <c r="Q6755" i="12"/>
  <c r="Q6754" i="12"/>
  <c r="Q6753" i="12"/>
  <c r="Q6752" i="12"/>
  <c r="Q6751" i="12"/>
  <c r="Q6750" i="12"/>
  <c r="Q6749" i="12"/>
  <c r="Q6748" i="12"/>
  <c r="Q6747" i="12"/>
  <c r="Q6746" i="12"/>
  <c r="Q6745" i="12"/>
  <c r="Q6744" i="12"/>
  <c r="Q6743" i="12"/>
  <c r="Q6742" i="12"/>
  <c r="Q6741" i="12"/>
  <c r="Q6740" i="12"/>
  <c r="Q6739" i="12"/>
  <c r="Q6738" i="12"/>
  <c r="Q6737" i="12"/>
  <c r="Q6736" i="12"/>
  <c r="Q6735" i="12"/>
  <c r="Q6734" i="12"/>
  <c r="Q6733" i="12"/>
  <c r="Q6732" i="12"/>
  <c r="Q6731" i="12"/>
  <c r="Q6730" i="12"/>
  <c r="Q6729" i="12"/>
  <c r="Q6728" i="12"/>
  <c r="Q6727" i="12"/>
  <c r="Q6726" i="12"/>
  <c r="Q6725" i="12"/>
  <c r="Q6724" i="12"/>
  <c r="Q6723" i="12"/>
  <c r="Q6722" i="12"/>
  <c r="Q6721" i="12"/>
  <c r="Q6720" i="12"/>
  <c r="Q6719" i="12"/>
  <c r="Q6718" i="12"/>
  <c r="Q6717" i="12"/>
  <c r="Q6716" i="12"/>
  <c r="Q6715" i="12"/>
  <c r="Q6714" i="12"/>
  <c r="Q6713" i="12"/>
  <c r="Q6712" i="12"/>
  <c r="Q6711" i="12"/>
  <c r="Q6710" i="12"/>
  <c r="Q6709" i="12"/>
  <c r="Q6708" i="12"/>
  <c r="Q6707" i="12"/>
  <c r="Q6706" i="12"/>
  <c r="Q6705" i="12"/>
  <c r="Q6704" i="12"/>
  <c r="Q6703" i="12"/>
  <c r="Q6702" i="12"/>
  <c r="Q6701" i="12"/>
  <c r="Q6700" i="12"/>
  <c r="Q6699" i="12"/>
  <c r="Q6698" i="12"/>
  <c r="Q6697" i="12"/>
  <c r="Q6696" i="12"/>
  <c r="Q6695" i="12"/>
  <c r="Q6694" i="12"/>
  <c r="Q6693" i="12"/>
  <c r="Q6692" i="12"/>
  <c r="Q6691" i="12"/>
  <c r="Q6690" i="12"/>
  <c r="Q6689" i="12"/>
  <c r="Q6688" i="12"/>
  <c r="Q6687" i="12"/>
  <c r="Q6686" i="12"/>
  <c r="Q6685" i="12"/>
  <c r="Q6684" i="12"/>
  <c r="Q6683" i="12"/>
  <c r="Q6682" i="12"/>
  <c r="Q6681" i="12"/>
  <c r="Q6680" i="12"/>
  <c r="Q6679" i="12"/>
  <c r="Q6678" i="12"/>
  <c r="Q6677" i="12"/>
  <c r="Q6676" i="12"/>
  <c r="Q6675" i="12"/>
  <c r="Q6674" i="12"/>
  <c r="Q6673" i="12"/>
  <c r="Q6672" i="12"/>
  <c r="Q6671" i="12"/>
  <c r="Q6670" i="12"/>
  <c r="Q6669" i="12"/>
  <c r="Q6668" i="12"/>
  <c r="Q6667" i="12"/>
  <c r="Q6666" i="12"/>
  <c r="Q6665" i="12"/>
  <c r="Q6664" i="12"/>
  <c r="Q6663" i="12"/>
  <c r="Q6662" i="12"/>
  <c r="Q6661" i="12"/>
  <c r="Q6660" i="12"/>
  <c r="Q6659" i="12"/>
  <c r="Q6658" i="12"/>
  <c r="Q6657" i="12"/>
  <c r="Q6656" i="12"/>
  <c r="Q6655" i="12"/>
  <c r="Q6654" i="12"/>
  <c r="Q6653" i="12"/>
  <c r="Q6652" i="12"/>
  <c r="Q6651" i="12"/>
  <c r="Q6650" i="12"/>
  <c r="Q6649" i="12"/>
  <c r="Q6648" i="12"/>
  <c r="Q6647" i="12"/>
  <c r="Q6646" i="12"/>
  <c r="Q6645" i="12"/>
  <c r="Q6644" i="12"/>
  <c r="Q6643" i="12"/>
  <c r="Q6642" i="12"/>
  <c r="Q6641" i="12"/>
  <c r="Q6640" i="12"/>
  <c r="Q6639" i="12"/>
  <c r="Q6638" i="12"/>
  <c r="Q6637" i="12"/>
  <c r="Q6636" i="12"/>
  <c r="Q6635" i="12"/>
  <c r="Q6634" i="12"/>
  <c r="Q6633" i="12"/>
  <c r="Q6632" i="12"/>
  <c r="Q6631" i="12"/>
  <c r="Q6630" i="12"/>
  <c r="Q6629" i="12"/>
  <c r="Q6628" i="12"/>
  <c r="Q6627" i="12"/>
  <c r="Q6626" i="12"/>
  <c r="Q6625" i="12"/>
  <c r="Q6624" i="12"/>
  <c r="Q6623" i="12"/>
  <c r="Q6622" i="12"/>
  <c r="Q6621" i="12"/>
  <c r="Q6620" i="12"/>
  <c r="Q6619" i="12"/>
  <c r="Q6618" i="12"/>
  <c r="Q6617" i="12"/>
  <c r="Q6616" i="12"/>
  <c r="Q6615" i="12"/>
  <c r="Q6614" i="12"/>
  <c r="Q6613" i="12"/>
  <c r="Q6612" i="12"/>
  <c r="Q6611" i="12"/>
  <c r="Q6610" i="12"/>
  <c r="Q6609" i="12"/>
  <c r="Q6608" i="12"/>
  <c r="Q6607" i="12"/>
  <c r="Q6606" i="12"/>
  <c r="Q6605" i="12"/>
  <c r="Q6604" i="12"/>
  <c r="Q6603" i="12"/>
  <c r="Q6602" i="12"/>
  <c r="Q6601" i="12"/>
  <c r="Q6600" i="12"/>
  <c r="Q6599" i="12"/>
  <c r="Q6598" i="12"/>
  <c r="Q6597" i="12"/>
  <c r="Q6596" i="12"/>
  <c r="Q6595" i="12"/>
  <c r="Q6594" i="12"/>
  <c r="Q6593" i="12"/>
  <c r="Q6592" i="12"/>
  <c r="Q6591" i="12"/>
  <c r="Q6590" i="12"/>
  <c r="Q6589" i="12"/>
  <c r="Q6588" i="12"/>
  <c r="Q6587" i="12"/>
  <c r="Q6586" i="12"/>
  <c r="Q6585" i="12"/>
  <c r="Q6584" i="12"/>
  <c r="Q6583" i="12"/>
  <c r="Q6582" i="12"/>
  <c r="Q6581" i="12"/>
  <c r="Q6580" i="12"/>
  <c r="Q6579" i="12"/>
  <c r="Q6578" i="12"/>
  <c r="Q6577" i="12"/>
  <c r="Q6576" i="12"/>
  <c r="Q6575" i="12"/>
  <c r="Q6574" i="12"/>
  <c r="Q6573" i="12"/>
  <c r="Q6572" i="12"/>
  <c r="Q6571" i="12"/>
  <c r="Q6570" i="12"/>
  <c r="Q6569" i="12"/>
  <c r="Q6568" i="12"/>
  <c r="Q6567" i="12"/>
  <c r="Q6566" i="12"/>
  <c r="Q6565" i="12"/>
  <c r="Q6564" i="12"/>
  <c r="Q6563" i="12"/>
  <c r="Q6562" i="12"/>
  <c r="Q6561" i="12"/>
  <c r="Q6560" i="12"/>
  <c r="Q6559" i="12"/>
  <c r="Q6558" i="12"/>
  <c r="Q6557" i="12"/>
  <c r="Q6556" i="12"/>
  <c r="Q6555" i="12"/>
  <c r="Q6554" i="12"/>
  <c r="Q6553" i="12"/>
  <c r="Q6552" i="12"/>
  <c r="Q6551" i="12"/>
  <c r="Q6550" i="12"/>
  <c r="Q6549" i="12"/>
  <c r="Q6548" i="12"/>
  <c r="Q6547" i="12"/>
  <c r="Q6546" i="12"/>
  <c r="Q6545" i="12"/>
  <c r="Q6544" i="12"/>
  <c r="Q6543" i="12"/>
  <c r="Q6542" i="12"/>
  <c r="Q6541" i="12"/>
  <c r="Q6540" i="12"/>
  <c r="Q6539" i="12"/>
  <c r="Q6538" i="12"/>
  <c r="Q6537" i="12"/>
  <c r="Q6536" i="12"/>
  <c r="Q6535" i="12"/>
  <c r="Q6534" i="12"/>
  <c r="Q6533" i="12"/>
  <c r="Q6532" i="12"/>
  <c r="Q6531" i="12"/>
  <c r="Q6530" i="12"/>
  <c r="Q6529" i="12"/>
  <c r="Q6528" i="12"/>
  <c r="Q6527" i="12"/>
  <c r="Q6526" i="12"/>
  <c r="Q6525" i="12"/>
  <c r="Q6524" i="12"/>
  <c r="Q6523" i="12"/>
  <c r="Q6522" i="12"/>
  <c r="Q6521" i="12"/>
  <c r="Q6520" i="12"/>
  <c r="Q6519" i="12"/>
  <c r="Q6518" i="12"/>
  <c r="Q6517" i="12"/>
  <c r="Q6516" i="12"/>
  <c r="Q6515" i="12"/>
  <c r="Q6514" i="12"/>
  <c r="Q6513" i="12"/>
  <c r="Q6512" i="12"/>
  <c r="Q6511" i="12"/>
  <c r="Q6510" i="12"/>
  <c r="Q6509" i="12"/>
  <c r="Q6508" i="12"/>
  <c r="Q6507" i="12"/>
  <c r="Q6506" i="12"/>
  <c r="Q6505" i="12"/>
  <c r="Q6504" i="12"/>
  <c r="Q6503" i="12"/>
  <c r="Q6502" i="12"/>
  <c r="Q6501" i="12"/>
  <c r="Q6500" i="12"/>
  <c r="Q6499" i="12"/>
  <c r="Q6498" i="12"/>
  <c r="Q6497" i="12"/>
  <c r="Q6496" i="12"/>
  <c r="Q6495" i="12"/>
  <c r="Q6494" i="12"/>
  <c r="Q6493" i="12"/>
  <c r="Q6492" i="12"/>
  <c r="Q6491" i="12"/>
  <c r="Q6490" i="12"/>
  <c r="Q6489" i="12"/>
  <c r="Q6488" i="12"/>
  <c r="Q6487" i="12"/>
  <c r="Q6486" i="12"/>
  <c r="Q6485" i="12"/>
  <c r="Q6484" i="12"/>
  <c r="Q6483" i="12"/>
  <c r="Q6482" i="12"/>
  <c r="Q6481" i="12"/>
  <c r="Q6480" i="12"/>
  <c r="Q6479" i="12"/>
  <c r="Q6478" i="12"/>
  <c r="Q6477" i="12"/>
  <c r="Q6476" i="12"/>
  <c r="Q6475" i="12"/>
  <c r="Q6474" i="12"/>
  <c r="Q6473" i="12"/>
  <c r="Q6472" i="12"/>
  <c r="Q6471" i="12"/>
  <c r="Q6470" i="12"/>
  <c r="Q6469" i="12"/>
  <c r="Q6468" i="12"/>
  <c r="Q6467" i="12"/>
  <c r="Q6466" i="12"/>
  <c r="Q6465" i="12"/>
  <c r="Q6464" i="12"/>
  <c r="Q6463" i="12"/>
  <c r="Q6462" i="12"/>
  <c r="Q6461" i="12"/>
  <c r="Q6460" i="12"/>
  <c r="Q6459" i="12"/>
  <c r="Q6458" i="12"/>
  <c r="Q6457" i="12"/>
  <c r="Q6456" i="12"/>
  <c r="Q6455" i="12"/>
  <c r="Q6454" i="12"/>
  <c r="Q6453" i="12"/>
  <c r="Q6452" i="12"/>
  <c r="Q6451" i="12"/>
  <c r="Q6450" i="12"/>
  <c r="Q6449" i="12"/>
  <c r="Q6448" i="12"/>
  <c r="Q6447" i="12"/>
  <c r="Q6446" i="12"/>
  <c r="Q6445" i="12"/>
  <c r="Q6444" i="12"/>
  <c r="Q6443" i="12"/>
  <c r="Q6442" i="12"/>
  <c r="Q6441" i="12"/>
  <c r="Q6440" i="12"/>
  <c r="Q6439" i="12"/>
  <c r="Q6438" i="12"/>
  <c r="Q6437" i="12"/>
  <c r="Q6436" i="12"/>
  <c r="Q6435" i="12"/>
  <c r="Q6434" i="12"/>
  <c r="Q6433" i="12"/>
  <c r="Q6432" i="12"/>
  <c r="Q6431" i="12"/>
  <c r="Q6430" i="12"/>
  <c r="Q6429" i="12"/>
  <c r="Q6428" i="12"/>
  <c r="Q6427" i="12"/>
  <c r="Q6426" i="12"/>
  <c r="Q6425" i="12"/>
  <c r="Q6424" i="12"/>
  <c r="Q6423" i="12"/>
  <c r="Q6422" i="12"/>
  <c r="Q6421" i="12"/>
  <c r="Q6420" i="12"/>
  <c r="Q6419" i="12"/>
  <c r="Q6418" i="12"/>
  <c r="Q6417" i="12"/>
  <c r="Q6416" i="12"/>
  <c r="Q6415" i="12"/>
  <c r="Q6414" i="12"/>
  <c r="Q6413" i="12"/>
  <c r="Q6412" i="12"/>
  <c r="Q6411" i="12"/>
  <c r="Q6410" i="12"/>
  <c r="Q6409" i="12"/>
  <c r="Q6408" i="12"/>
  <c r="Q6407" i="12"/>
  <c r="Q6406" i="12"/>
  <c r="Q6405" i="12"/>
  <c r="Q6404" i="12"/>
  <c r="Q6403" i="12"/>
  <c r="Q6402" i="12"/>
  <c r="Q6401" i="12"/>
  <c r="Q6400" i="12"/>
  <c r="Q6399" i="12"/>
  <c r="Q6398" i="12"/>
  <c r="Q6397" i="12"/>
  <c r="Q6396" i="12"/>
  <c r="Q6395" i="12"/>
  <c r="Q6394" i="12"/>
  <c r="Q6393" i="12"/>
  <c r="Q6392" i="12"/>
  <c r="Q6391" i="12"/>
  <c r="Q6390" i="12"/>
  <c r="Q6389" i="12"/>
  <c r="Q6388" i="12"/>
  <c r="Q6387" i="12"/>
  <c r="Q6386" i="12"/>
  <c r="Q6385" i="12"/>
  <c r="Q6384" i="12"/>
  <c r="Q6383" i="12"/>
  <c r="Q6382" i="12"/>
  <c r="Q6381" i="12"/>
  <c r="Q6380" i="12"/>
  <c r="Q6379" i="12"/>
  <c r="Q6378" i="12"/>
  <c r="Q6377" i="12"/>
  <c r="Q6376" i="12"/>
  <c r="Q6375" i="12"/>
  <c r="Q6374" i="12"/>
  <c r="Q6373" i="12"/>
  <c r="Q6372" i="12"/>
  <c r="Q6371" i="12"/>
  <c r="Q6370" i="12"/>
  <c r="Q6369" i="12"/>
  <c r="Q6368" i="12"/>
  <c r="Q6367" i="12"/>
  <c r="Q6366" i="12"/>
  <c r="Q6365" i="12"/>
  <c r="Q6364" i="12"/>
  <c r="Q6363" i="12"/>
  <c r="Q6362" i="12"/>
  <c r="Q6361" i="12"/>
  <c r="Q6360" i="12"/>
  <c r="Q6359" i="12"/>
  <c r="Q6358" i="12"/>
  <c r="Q6357" i="12"/>
  <c r="Q6356" i="12"/>
  <c r="Q6355" i="12"/>
  <c r="Q6354" i="12"/>
  <c r="Q6353" i="12"/>
  <c r="Q6352" i="12"/>
  <c r="Q6351" i="12"/>
  <c r="Q6350" i="12"/>
  <c r="Q6349" i="12"/>
  <c r="Q6348" i="12"/>
  <c r="Q6347" i="12"/>
  <c r="Q6346" i="12"/>
  <c r="Q6345" i="12"/>
  <c r="Q6344" i="12"/>
  <c r="Q6343" i="12"/>
  <c r="Q6342" i="12"/>
  <c r="Q6341" i="12"/>
  <c r="Q6340" i="12"/>
  <c r="Q6339" i="12"/>
  <c r="Q6338" i="12"/>
  <c r="Q6337" i="12"/>
  <c r="Q6336" i="12"/>
  <c r="Q6335" i="12"/>
  <c r="Q6334" i="12"/>
  <c r="Q6333" i="12"/>
  <c r="Q6332" i="12"/>
  <c r="Q6331" i="12"/>
  <c r="Q6330" i="12"/>
  <c r="Q6329" i="12"/>
  <c r="Q6328" i="12"/>
  <c r="Q6327" i="12"/>
  <c r="Q6326" i="12"/>
  <c r="Q6325" i="12"/>
  <c r="Q6324" i="12"/>
  <c r="Q6323" i="12"/>
  <c r="Q6322" i="12"/>
  <c r="Q6321" i="12"/>
  <c r="Q6320" i="12"/>
  <c r="Q6319" i="12"/>
  <c r="Q6318" i="12"/>
  <c r="Q6317" i="12"/>
  <c r="Q6316" i="12"/>
  <c r="Q6315" i="12"/>
  <c r="Q6314" i="12"/>
  <c r="Q6313" i="12"/>
  <c r="Q6312" i="12"/>
  <c r="Q6311" i="12"/>
  <c r="Q6310" i="12"/>
  <c r="Q6309" i="12"/>
  <c r="Q6308" i="12"/>
  <c r="Q6307" i="12"/>
  <c r="Q6306" i="12"/>
  <c r="Q6305" i="12"/>
  <c r="Q6304" i="12"/>
  <c r="Q6303" i="12"/>
  <c r="Q6302" i="12"/>
  <c r="Q6301" i="12"/>
  <c r="Q6300" i="12"/>
  <c r="Q6299" i="12"/>
  <c r="Q6298" i="12"/>
  <c r="Q6297" i="12"/>
  <c r="Q6296" i="12"/>
  <c r="Q6295" i="12"/>
  <c r="Q6294" i="12"/>
  <c r="Q6293" i="12"/>
  <c r="Q6292" i="12"/>
  <c r="Q6291" i="12"/>
  <c r="Q6290" i="12"/>
  <c r="Q6289" i="12"/>
  <c r="Q6288" i="12"/>
  <c r="Q6287" i="12"/>
  <c r="Q6286" i="12"/>
  <c r="Q6285" i="12"/>
  <c r="Q6284" i="12"/>
  <c r="Q6283" i="12"/>
  <c r="Q6282" i="12"/>
  <c r="Q6281" i="12"/>
  <c r="Q6280" i="12"/>
  <c r="Q6279" i="12"/>
  <c r="Q6278" i="12"/>
  <c r="Q6277" i="12"/>
  <c r="Q6276" i="12"/>
  <c r="Q6275" i="12"/>
  <c r="Q6274" i="12"/>
  <c r="Q6273" i="12"/>
  <c r="Q6272" i="12"/>
  <c r="Q6271" i="12"/>
  <c r="Q6270" i="12"/>
  <c r="Q6269" i="12"/>
  <c r="Q6268" i="12"/>
  <c r="Q6267" i="12"/>
  <c r="Q6266" i="12"/>
  <c r="Q6265" i="12"/>
  <c r="Q6264" i="12"/>
  <c r="Q6263" i="12"/>
  <c r="Q6262" i="12"/>
  <c r="Q6261" i="12"/>
  <c r="Q6260" i="12"/>
  <c r="Q6259" i="12"/>
  <c r="Q6258" i="12"/>
  <c r="Q6257" i="12"/>
  <c r="Q6256" i="12"/>
  <c r="Q6255" i="12"/>
  <c r="Q6254" i="12"/>
  <c r="Q6253" i="12"/>
  <c r="Q6252" i="12"/>
  <c r="Q6251" i="12"/>
  <c r="Q6250" i="12"/>
  <c r="Q6249" i="12"/>
  <c r="Q6248" i="12"/>
  <c r="Q6247" i="12"/>
  <c r="Q6246" i="12"/>
  <c r="Q6245" i="12"/>
  <c r="Q6244" i="12"/>
  <c r="Q6243" i="12"/>
  <c r="Q6242" i="12"/>
  <c r="Q6241" i="12"/>
  <c r="Q6240" i="12"/>
  <c r="Q6239" i="12"/>
  <c r="Q6238" i="12"/>
  <c r="Q6237" i="12"/>
  <c r="Q6236" i="12"/>
  <c r="Q6235" i="12"/>
  <c r="Q6234" i="12"/>
  <c r="Q6233" i="12"/>
  <c r="Q6232" i="12"/>
  <c r="Q6231" i="12"/>
  <c r="Q6230" i="12"/>
  <c r="Q6229" i="12"/>
  <c r="Q6228" i="12"/>
  <c r="Q6227" i="12"/>
  <c r="Q6226" i="12"/>
  <c r="Q6225" i="12"/>
  <c r="Q6224" i="12"/>
  <c r="Q6223" i="12"/>
  <c r="Q6222" i="12"/>
  <c r="Q6221" i="12"/>
  <c r="Q6220" i="12"/>
  <c r="Q6219" i="12"/>
  <c r="Q6218" i="12"/>
  <c r="Q6217" i="12"/>
  <c r="Q6216" i="12"/>
  <c r="Q6215" i="12"/>
  <c r="Q6214" i="12"/>
  <c r="Q6213" i="12"/>
  <c r="Q6212" i="12"/>
  <c r="Q6211" i="12"/>
  <c r="Q6210" i="12"/>
  <c r="Q6209" i="12"/>
  <c r="Q6208" i="12"/>
  <c r="Q6207" i="12"/>
  <c r="Q6206" i="12"/>
  <c r="Q6205" i="12"/>
  <c r="Q6204" i="12"/>
  <c r="Q6203" i="12"/>
  <c r="Q6202" i="12"/>
  <c r="Q6201" i="12"/>
  <c r="Q6200" i="12"/>
  <c r="Q6199" i="12"/>
  <c r="Q6198" i="12"/>
  <c r="Q6197" i="12"/>
  <c r="Q6196" i="12"/>
  <c r="Q6195" i="12"/>
  <c r="Q6194" i="12"/>
  <c r="Q6193" i="12"/>
  <c r="Q6192" i="12"/>
  <c r="Q6191" i="12"/>
  <c r="Q6190" i="12"/>
  <c r="Q6189" i="12"/>
  <c r="Q6188" i="12"/>
  <c r="Q6187" i="12"/>
  <c r="Q6186" i="12"/>
  <c r="Q6185" i="12"/>
  <c r="Q6184" i="12"/>
  <c r="Q6183" i="12"/>
  <c r="Q6182" i="12"/>
  <c r="Q6181" i="12"/>
  <c r="Q6180" i="12"/>
  <c r="Q6179" i="12"/>
  <c r="Q6178" i="12"/>
  <c r="Q6177" i="12"/>
  <c r="Q6176" i="12"/>
  <c r="Q6175" i="12"/>
  <c r="Q6174" i="12"/>
  <c r="Q6173" i="12"/>
  <c r="Q6172" i="12"/>
  <c r="Q6171" i="12"/>
  <c r="Q6170" i="12"/>
  <c r="Q6169" i="12"/>
  <c r="Q6168" i="12"/>
  <c r="Q6167" i="12"/>
  <c r="Q6166" i="12"/>
  <c r="Q6165" i="12"/>
  <c r="Q6164" i="12"/>
  <c r="Q6163" i="12"/>
  <c r="Q6162" i="12"/>
  <c r="Q6161" i="12"/>
  <c r="Q6160" i="12"/>
  <c r="Q6159" i="12"/>
  <c r="Q6158" i="12"/>
  <c r="Q6157" i="12"/>
  <c r="Q6156" i="12"/>
  <c r="Q6155" i="12"/>
  <c r="Q6154" i="12"/>
  <c r="Q6153" i="12"/>
  <c r="Q6152" i="12"/>
  <c r="Q6151" i="12"/>
  <c r="Q6150" i="12"/>
  <c r="Q6149" i="12"/>
  <c r="Q6148" i="12"/>
  <c r="Q6147" i="12"/>
  <c r="Q6146" i="12"/>
  <c r="Q6145" i="12"/>
  <c r="Q6144" i="12"/>
  <c r="Q6143" i="12"/>
  <c r="Q6142" i="12"/>
  <c r="Q6141" i="12"/>
  <c r="Q6140" i="12"/>
  <c r="Q6139" i="12"/>
  <c r="Q6138" i="12"/>
  <c r="Q6137" i="12"/>
  <c r="Q6136" i="12"/>
  <c r="Q6135" i="12"/>
  <c r="Q6134" i="12"/>
  <c r="Q6133" i="12"/>
  <c r="Q6132" i="12"/>
  <c r="Q6131" i="12"/>
  <c r="Q6130" i="12"/>
  <c r="Q6129" i="12"/>
  <c r="Q6128" i="12"/>
  <c r="Q6127" i="12"/>
  <c r="Q6126" i="12"/>
  <c r="Q6125" i="12"/>
  <c r="Q6124" i="12"/>
  <c r="Q6123" i="12"/>
  <c r="Q6122" i="12"/>
  <c r="Q6121" i="12"/>
  <c r="Q6120" i="12"/>
  <c r="Q6119" i="12"/>
  <c r="Q6118" i="12"/>
  <c r="Q6117" i="12"/>
  <c r="Q6116" i="12"/>
  <c r="Q6115" i="12"/>
  <c r="Q6114" i="12"/>
  <c r="Q6113" i="12"/>
  <c r="Q6112" i="12"/>
  <c r="Q6111" i="12"/>
  <c r="Q6110" i="12"/>
  <c r="Q6109" i="12"/>
  <c r="Q6108" i="12"/>
  <c r="Q6107" i="12"/>
  <c r="Q6106" i="12"/>
  <c r="Q6105" i="12"/>
  <c r="Q6104" i="12"/>
  <c r="Q6103" i="12"/>
  <c r="Q6102" i="12"/>
  <c r="Q6101" i="12"/>
  <c r="Q6100" i="12"/>
  <c r="Q6099" i="12"/>
  <c r="Q6098" i="12"/>
  <c r="Q6097" i="12"/>
  <c r="Q6096" i="12"/>
  <c r="Q6095" i="12"/>
  <c r="Q6094" i="12"/>
  <c r="Q6093" i="12"/>
  <c r="Q6092" i="12"/>
  <c r="Q6091" i="12"/>
  <c r="Q6090" i="12"/>
  <c r="Q6089" i="12"/>
  <c r="Q6088" i="12"/>
  <c r="Q6087" i="12"/>
  <c r="Q6086" i="12"/>
  <c r="Q6085" i="12"/>
  <c r="Q6084" i="12"/>
  <c r="Q6083" i="12"/>
  <c r="Q6082" i="12"/>
  <c r="Q6081" i="12"/>
  <c r="Q6080" i="12"/>
  <c r="Q6079" i="12"/>
  <c r="Q6078" i="12"/>
  <c r="Q6077" i="12"/>
  <c r="Q6076" i="12"/>
  <c r="Q6075" i="12"/>
  <c r="Q6074" i="12"/>
  <c r="Q6073" i="12"/>
  <c r="Q6072" i="12"/>
  <c r="Q6071" i="12"/>
  <c r="Q6070" i="12"/>
  <c r="Q6069" i="12"/>
  <c r="Q6068" i="12"/>
  <c r="Q6067" i="12"/>
  <c r="Q6066" i="12"/>
  <c r="Q6065" i="12"/>
  <c r="Q6064" i="12"/>
  <c r="Q6063" i="12"/>
  <c r="Q6062" i="12"/>
  <c r="Q6061" i="12"/>
  <c r="Q6060" i="12"/>
  <c r="Q6059" i="12"/>
  <c r="Q6058" i="12"/>
  <c r="Q6057" i="12"/>
  <c r="Q6056" i="12"/>
  <c r="Q6055" i="12"/>
  <c r="Q6054" i="12"/>
  <c r="Q6053" i="12"/>
  <c r="Q6052" i="12"/>
  <c r="Q6051" i="12"/>
  <c r="Q6050" i="12"/>
  <c r="Q6049" i="12"/>
  <c r="Q6048" i="12"/>
  <c r="Q6047" i="12"/>
  <c r="Q6046" i="12"/>
  <c r="Q6045" i="12"/>
  <c r="Q6044" i="12"/>
  <c r="Q6043" i="12"/>
  <c r="Q6042" i="12"/>
  <c r="Q6041" i="12"/>
  <c r="Q6040" i="12"/>
  <c r="Q6039" i="12"/>
  <c r="Q6038" i="12"/>
  <c r="Q6037" i="12"/>
  <c r="Q6036" i="12"/>
  <c r="Q6035" i="12"/>
  <c r="Q6034" i="12"/>
  <c r="Q6033" i="12"/>
  <c r="Q6032" i="12"/>
  <c r="Q6031" i="12"/>
  <c r="Q6030" i="12"/>
  <c r="Q6029" i="12"/>
  <c r="Q6028" i="12"/>
  <c r="Q6027" i="12"/>
  <c r="Q6026" i="12"/>
  <c r="Q6025" i="12"/>
  <c r="Q6024" i="12"/>
  <c r="Q6023" i="12"/>
  <c r="Q6022" i="12"/>
  <c r="Q6021" i="12"/>
  <c r="Q6020" i="12"/>
  <c r="Q6019" i="12"/>
  <c r="Q6018" i="12"/>
  <c r="Q6017" i="12"/>
  <c r="Q6016" i="12"/>
  <c r="Q6015" i="12"/>
  <c r="Q6014" i="12"/>
  <c r="Q6013" i="12"/>
  <c r="Q6012" i="12"/>
  <c r="Q6011" i="12"/>
  <c r="Q6010" i="12"/>
  <c r="Q6009" i="12"/>
  <c r="Q6008" i="12"/>
  <c r="Q6007" i="12"/>
  <c r="Q6006" i="12"/>
  <c r="Q6005" i="12"/>
  <c r="Q6004" i="12"/>
  <c r="Q6003" i="12"/>
  <c r="Q6002" i="12"/>
  <c r="Q6001" i="12"/>
  <c r="Q6000" i="12"/>
  <c r="Q5999" i="12"/>
  <c r="Q5998" i="12"/>
  <c r="Q5997" i="12"/>
  <c r="Q5996" i="12"/>
  <c r="Q5995" i="12"/>
  <c r="Q5994" i="12"/>
  <c r="Q5993" i="12"/>
  <c r="Q5992" i="12"/>
  <c r="Q5991" i="12"/>
  <c r="Q5990" i="12"/>
  <c r="Q5989" i="12"/>
  <c r="Q5988" i="12"/>
  <c r="Q5987" i="12"/>
  <c r="Q5986" i="12"/>
  <c r="Q5985" i="12"/>
  <c r="Q5984" i="12"/>
  <c r="Q5983" i="12"/>
  <c r="Q5982" i="12"/>
  <c r="Q5981" i="12"/>
  <c r="Q5980" i="12"/>
  <c r="Q5979" i="12"/>
  <c r="Q5978" i="12"/>
  <c r="Q5977" i="12"/>
  <c r="Q5976" i="12"/>
  <c r="Q5975" i="12"/>
  <c r="Q5974" i="12"/>
  <c r="Q5973" i="12"/>
  <c r="Q5972" i="12"/>
  <c r="Q5971" i="12"/>
  <c r="Q5970" i="12"/>
  <c r="Q5969" i="12"/>
  <c r="Q5968" i="12"/>
  <c r="Q5967" i="12"/>
  <c r="Q5966" i="12"/>
  <c r="Q5965" i="12"/>
  <c r="Q5964" i="12"/>
  <c r="Q5963" i="12"/>
  <c r="Q5962" i="12"/>
  <c r="Q5961" i="12"/>
  <c r="Q5960" i="12"/>
  <c r="Q5959" i="12"/>
  <c r="Q5958" i="12"/>
  <c r="Q5957" i="12"/>
  <c r="Q5956" i="12"/>
  <c r="Q5955" i="12"/>
  <c r="Q5954" i="12"/>
  <c r="Q5953" i="12"/>
  <c r="Q5952" i="12"/>
  <c r="Q5951" i="12"/>
  <c r="Q5950" i="12"/>
  <c r="Q5949" i="12"/>
  <c r="Q5948" i="12"/>
  <c r="Q5947" i="12"/>
  <c r="Q5946" i="12"/>
  <c r="Q5945" i="12"/>
  <c r="Q5944" i="12"/>
  <c r="Q5943" i="12"/>
  <c r="Q5942" i="12"/>
  <c r="Q5941" i="12"/>
  <c r="Q5940" i="12"/>
  <c r="Q5939" i="12"/>
  <c r="Q5938" i="12"/>
  <c r="Q5937" i="12"/>
  <c r="Q5936" i="12"/>
  <c r="Q5935" i="12"/>
  <c r="Q5934" i="12"/>
  <c r="Q5933" i="12"/>
  <c r="Q5932" i="12"/>
  <c r="Q5931" i="12"/>
  <c r="Q5930" i="12"/>
  <c r="Q5929" i="12"/>
  <c r="Q5928" i="12"/>
  <c r="Q5927" i="12"/>
  <c r="Q5926" i="12"/>
  <c r="Q5925" i="12"/>
  <c r="Q5924" i="12"/>
  <c r="Q5923" i="12"/>
  <c r="Q5922" i="12"/>
  <c r="Q5921" i="12"/>
  <c r="Q5920" i="12"/>
  <c r="Q5919" i="12"/>
  <c r="Q5918" i="12"/>
  <c r="Q5917" i="12"/>
  <c r="Q5916" i="12"/>
  <c r="Q5915" i="12"/>
  <c r="Q5914" i="12"/>
  <c r="Q5913" i="12"/>
  <c r="Q5912" i="12"/>
  <c r="Q5911" i="12"/>
  <c r="Q5910" i="12"/>
  <c r="Q5909" i="12"/>
  <c r="Q5908" i="12"/>
  <c r="Q5907" i="12"/>
  <c r="Q5906" i="12"/>
  <c r="Q5905" i="12"/>
  <c r="Q5904" i="12"/>
  <c r="Q5903" i="12"/>
  <c r="Q5902" i="12"/>
  <c r="Q5901" i="12"/>
  <c r="Q5900" i="12"/>
  <c r="Q5899" i="12"/>
  <c r="Q5898" i="12"/>
  <c r="Q5897" i="12"/>
  <c r="Q5896" i="12"/>
  <c r="Q5895" i="12"/>
  <c r="Q5894" i="12"/>
  <c r="Q5893" i="12"/>
  <c r="Q5892" i="12"/>
  <c r="Q5891" i="12"/>
  <c r="Q5890" i="12"/>
  <c r="Q5889" i="12"/>
  <c r="Q5888" i="12"/>
  <c r="Q5887" i="12"/>
  <c r="Q5886" i="12"/>
  <c r="Q5885" i="12"/>
  <c r="Q5884" i="12"/>
  <c r="Q5883" i="12"/>
  <c r="Q5882" i="12"/>
  <c r="Q5881" i="12"/>
  <c r="Q5880" i="12"/>
  <c r="Q5879" i="12"/>
  <c r="Q5878" i="12"/>
  <c r="Q5877" i="12"/>
  <c r="Q5876" i="12"/>
  <c r="Q5875" i="12"/>
  <c r="Q5874" i="12"/>
  <c r="Q5873" i="12"/>
  <c r="Q5872" i="12"/>
  <c r="Q5871" i="12"/>
  <c r="Q5870" i="12"/>
  <c r="Q5869" i="12"/>
  <c r="Q5868" i="12"/>
  <c r="Q5867" i="12"/>
  <c r="Q5866" i="12"/>
  <c r="Q5865" i="12"/>
  <c r="Q5864" i="12"/>
  <c r="Q5863" i="12"/>
  <c r="Q5862" i="12"/>
  <c r="Q5861" i="12"/>
  <c r="Q5860" i="12"/>
  <c r="Q5859" i="12"/>
  <c r="Q5858" i="12"/>
  <c r="Q5857" i="12"/>
  <c r="Q5856" i="12"/>
  <c r="Q5855" i="12"/>
  <c r="Q5854" i="12"/>
  <c r="Q5853" i="12"/>
  <c r="Q5852" i="12"/>
  <c r="Q5851" i="12"/>
  <c r="Q5850" i="12"/>
  <c r="Q5849" i="12"/>
  <c r="Q5848" i="12"/>
  <c r="Q5847" i="12"/>
  <c r="Q5846" i="12"/>
  <c r="Q5845" i="12"/>
  <c r="Q5844" i="12"/>
  <c r="Q5843" i="12"/>
  <c r="Q5842" i="12"/>
  <c r="Q5841" i="12"/>
  <c r="Q5840" i="12"/>
  <c r="Q5839" i="12"/>
  <c r="Q5838" i="12"/>
  <c r="Q5837" i="12"/>
  <c r="Q5836" i="12"/>
  <c r="Q5835" i="12"/>
  <c r="Q5834" i="12"/>
  <c r="Q5833" i="12"/>
  <c r="Q5832" i="12"/>
  <c r="Q5831" i="12"/>
  <c r="Q5830" i="12"/>
  <c r="Q5829" i="12"/>
  <c r="Q5828" i="12"/>
  <c r="Q5827" i="12"/>
  <c r="Q5826" i="12"/>
  <c r="Q5825" i="12"/>
  <c r="Q5824" i="12"/>
  <c r="Q5823" i="12"/>
  <c r="Q5822" i="12"/>
  <c r="Q5821" i="12"/>
  <c r="Q5820" i="12"/>
  <c r="Q5819" i="12"/>
  <c r="Q5818" i="12"/>
  <c r="Q5817" i="12"/>
  <c r="Q5816" i="12"/>
  <c r="Q5815" i="12"/>
  <c r="Q5814" i="12"/>
  <c r="Q5813" i="12"/>
  <c r="Q5812" i="12"/>
  <c r="Q5811" i="12"/>
  <c r="Q5810" i="12"/>
  <c r="Q5809" i="12"/>
  <c r="Q5808" i="12"/>
  <c r="Q5807" i="12"/>
  <c r="Q5806" i="12"/>
  <c r="Q5805" i="12"/>
  <c r="Q5804" i="12"/>
  <c r="Q5803" i="12"/>
  <c r="Q5802" i="12"/>
  <c r="Q5801" i="12"/>
  <c r="Q5800" i="12"/>
  <c r="Q5799" i="12"/>
  <c r="Q5798" i="12"/>
  <c r="Q5797" i="12"/>
  <c r="Q5796" i="12"/>
  <c r="Q5795" i="12"/>
  <c r="Q5794" i="12"/>
  <c r="Q5793" i="12"/>
  <c r="Q5792" i="12"/>
  <c r="Q5791" i="12"/>
  <c r="Q5790" i="12"/>
  <c r="Q5789" i="12"/>
  <c r="Q5788" i="12"/>
  <c r="Q5787" i="12"/>
  <c r="Q5786" i="12"/>
  <c r="Q5785" i="12"/>
  <c r="Q5784" i="12"/>
  <c r="Q5783" i="12"/>
  <c r="Q5782" i="12"/>
  <c r="Q5781" i="12"/>
  <c r="Q5780" i="12"/>
  <c r="Q5779" i="12"/>
  <c r="Q5778" i="12"/>
  <c r="Q5777" i="12"/>
  <c r="Q5776" i="12"/>
  <c r="Q5775" i="12"/>
  <c r="Q5774" i="12"/>
  <c r="Q5773" i="12"/>
  <c r="Q5772" i="12"/>
  <c r="Q5771" i="12"/>
  <c r="Q5770" i="12"/>
  <c r="Q5769" i="12"/>
  <c r="Q5768" i="12"/>
  <c r="Q5767" i="12"/>
  <c r="Q5766" i="12"/>
  <c r="Q5765" i="12"/>
  <c r="Q5764" i="12"/>
  <c r="Q5763" i="12"/>
  <c r="Q5762" i="12"/>
  <c r="Q5761" i="12"/>
  <c r="Q5760" i="12"/>
  <c r="Q5759" i="12"/>
  <c r="Q5758" i="12"/>
  <c r="Q5757" i="12"/>
  <c r="Q5756" i="12"/>
  <c r="Q5755" i="12"/>
  <c r="Q5754" i="12"/>
  <c r="Q5753" i="12"/>
  <c r="Q5752" i="12"/>
  <c r="Q5751" i="12"/>
  <c r="Q5750" i="12"/>
  <c r="Q5749" i="12"/>
  <c r="Q5748" i="12"/>
  <c r="Q5747" i="12"/>
  <c r="Q5746" i="12"/>
  <c r="Q5745" i="12"/>
  <c r="Q5744" i="12"/>
  <c r="Q5743" i="12"/>
  <c r="Q5742" i="12"/>
  <c r="Q5741" i="12"/>
  <c r="Q5740" i="12"/>
  <c r="Q5739" i="12"/>
  <c r="Q5738" i="12"/>
  <c r="Q5737" i="12"/>
  <c r="Q5736" i="12"/>
  <c r="Q5735" i="12"/>
  <c r="Q5734" i="12"/>
  <c r="Q5733" i="12"/>
  <c r="Q5732" i="12"/>
  <c r="Q5731" i="12"/>
  <c r="Q5730" i="12"/>
  <c r="Q5729" i="12"/>
  <c r="Q5728" i="12"/>
  <c r="Q5727" i="12"/>
  <c r="Q5726" i="12"/>
  <c r="Q5725" i="12"/>
  <c r="Q5724" i="12"/>
  <c r="Q5723" i="12"/>
  <c r="Q5722" i="12"/>
  <c r="Q5721" i="12"/>
  <c r="Q5720" i="12"/>
  <c r="Q5719" i="12"/>
  <c r="Q5718" i="12"/>
  <c r="Q5717" i="12"/>
  <c r="Q5716" i="12"/>
  <c r="Q5715" i="12"/>
  <c r="Q5714" i="12"/>
  <c r="Q5713" i="12"/>
  <c r="Q5712" i="12"/>
  <c r="Q5711" i="12"/>
  <c r="Q5710" i="12"/>
  <c r="Q5709" i="12"/>
  <c r="Q5708" i="12"/>
  <c r="Q5707" i="12"/>
  <c r="Q5706" i="12"/>
  <c r="Q5705" i="12"/>
  <c r="Q5704" i="12"/>
  <c r="Q5703" i="12"/>
  <c r="Q5702" i="12"/>
  <c r="Q5701" i="12"/>
  <c r="Q5700" i="12"/>
  <c r="Q5699" i="12"/>
  <c r="Q5698" i="12"/>
  <c r="Q5697" i="12"/>
  <c r="Q5696" i="12"/>
  <c r="Q5695" i="12"/>
  <c r="Q5694" i="12"/>
  <c r="Q5693" i="12"/>
  <c r="Q5692" i="12"/>
  <c r="Q5691" i="12"/>
  <c r="Q5690" i="12"/>
  <c r="Q5689" i="12"/>
  <c r="Q5688" i="12"/>
  <c r="Q5687" i="12"/>
  <c r="Q5686" i="12"/>
  <c r="Q5685" i="12"/>
  <c r="Q5684" i="12"/>
  <c r="Q5683" i="12"/>
  <c r="Q5682" i="12"/>
  <c r="Q5681" i="12"/>
  <c r="Q5680" i="12"/>
  <c r="Q5679" i="12"/>
  <c r="Q5678" i="12"/>
  <c r="Q5677" i="12"/>
  <c r="Q5676" i="12"/>
  <c r="Q5675" i="12"/>
  <c r="Q5674" i="12"/>
  <c r="Q5673" i="12"/>
  <c r="Q5672" i="12"/>
  <c r="Q5671" i="12"/>
  <c r="Q5670" i="12"/>
  <c r="Q5669" i="12"/>
  <c r="Q5668" i="12"/>
  <c r="Q5667" i="12"/>
  <c r="Q5666" i="12"/>
  <c r="Q5665" i="12"/>
  <c r="Q5664" i="12"/>
  <c r="Q5663" i="12"/>
  <c r="Q5662" i="12"/>
  <c r="Q5661" i="12"/>
  <c r="Q5660" i="12"/>
  <c r="Q5659" i="12"/>
  <c r="Q5658" i="12"/>
  <c r="Q5657" i="12"/>
  <c r="Q5656" i="12"/>
  <c r="Q5655" i="12"/>
  <c r="Q5654" i="12"/>
  <c r="Q5653" i="12"/>
  <c r="Q5652" i="12"/>
  <c r="Q5651" i="12"/>
  <c r="Q5650" i="12"/>
  <c r="Q5649" i="12"/>
  <c r="Q5648" i="12"/>
  <c r="Q5647" i="12"/>
  <c r="Q5646" i="12"/>
  <c r="Q5645" i="12"/>
  <c r="Q5644" i="12"/>
  <c r="Q5643" i="12"/>
  <c r="Q5642" i="12"/>
  <c r="Q5641" i="12"/>
  <c r="Q5640" i="12"/>
  <c r="Q5639" i="12"/>
  <c r="Q5638" i="12"/>
  <c r="Q5637" i="12"/>
  <c r="Q5636" i="12"/>
  <c r="Q5635" i="12"/>
  <c r="Q5634" i="12"/>
  <c r="Q5633" i="12"/>
  <c r="Q5632" i="12"/>
  <c r="Q5631" i="12"/>
  <c r="Q5630" i="12"/>
  <c r="Q5629" i="12"/>
  <c r="Q5628" i="12"/>
  <c r="Q5627" i="12"/>
  <c r="Q5626" i="12"/>
  <c r="Q5625" i="12"/>
  <c r="Q5624" i="12"/>
  <c r="Q5623" i="12"/>
  <c r="Q5622" i="12"/>
  <c r="Q5621" i="12"/>
  <c r="Q5620" i="12"/>
  <c r="Q5619" i="12"/>
  <c r="Q5618" i="12"/>
  <c r="Q5617" i="12"/>
  <c r="Q5616" i="12"/>
  <c r="Q5615" i="12"/>
  <c r="Q5614" i="12"/>
  <c r="Q5613" i="12"/>
  <c r="Q5612" i="12"/>
  <c r="Q5611" i="12"/>
  <c r="Q5610" i="12"/>
  <c r="Q5609" i="12"/>
  <c r="Q5608" i="12"/>
  <c r="Q5607" i="12"/>
  <c r="Q5606" i="12"/>
  <c r="Q5605" i="12"/>
  <c r="Q5604" i="12"/>
  <c r="Q5603" i="12"/>
  <c r="Q5602" i="12"/>
  <c r="Q5601" i="12"/>
  <c r="Q5600" i="12"/>
  <c r="Q5599" i="12"/>
  <c r="Q5598" i="12"/>
  <c r="Q5597" i="12"/>
  <c r="Q5596" i="12"/>
  <c r="Q5595" i="12"/>
  <c r="Q5594" i="12"/>
  <c r="Q5593" i="12"/>
  <c r="Q5592" i="12"/>
  <c r="Q5591" i="12"/>
  <c r="Q5590" i="12"/>
  <c r="Q5589" i="12"/>
  <c r="Q5588" i="12"/>
  <c r="Q5587" i="12"/>
  <c r="Q5586" i="12"/>
  <c r="Q5585" i="12"/>
  <c r="Q5584" i="12"/>
  <c r="Q5583" i="12"/>
  <c r="Q5582" i="12"/>
  <c r="Q5581" i="12"/>
  <c r="Q5580" i="12"/>
  <c r="Q5579" i="12"/>
  <c r="Q5578" i="12"/>
  <c r="Q5577" i="12"/>
  <c r="Q5576" i="12"/>
  <c r="Q5575" i="12"/>
  <c r="Q5574" i="12"/>
  <c r="Q5573" i="12"/>
  <c r="Q5572" i="12"/>
  <c r="Q5571" i="12"/>
  <c r="Q5570" i="12"/>
  <c r="Q5569" i="12"/>
  <c r="Q5568" i="12"/>
  <c r="Q5567" i="12"/>
  <c r="Q5566" i="12"/>
  <c r="Q5565" i="12"/>
  <c r="Q5564" i="12"/>
  <c r="Q5563" i="12"/>
  <c r="Q5562" i="12"/>
  <c r="Q5561" i="12"/>
  <c r="Q5560" i="12"/>
  <c r="Q5559" i="12"/>
  <c r="Q5558" i="12"/>
  <c r="Q5557" i="12"/>
  <c r="Q5556" i="12"/>
  <c r="Q5555" i="12"/>
  <c r="Q5554" i="12"/>
  <c r="Q5553" i="12"/>
  <c r="Q5552" i="12"/>
  <c r="Q5551" i="12"/>
  <c r="Q5550" i="12"/>
  <c r="Q5549" i="12"/>
  <c r="Q5548" i="12"/>
  <c r="Q5547" i="12"/>
  <c r="Q5546" i="12"/>
  <c r="Q5545" i="12"/>
  <c r="Q5544" i="12"/>
  <c r="Q5543" i="12"/>
  <c r="Q5542" i="12"/>
  <c r="Q5541" i="12"/>
  <c r="Q5540" i="12"/>
  <c r="Q5539" i="12"/>
  <c r="Q5538" i="12"/>
  <c r="Q5537" i="12"/>
  <c r="Q5536" i="12"/>
  <c r="Q5535" i="12"/>
  <c r="Q5534" i="12"/>
  <c r="Q5533" i="12"/>
  <c r="Q5532" i="12"/>
  <c r="Q5531" i="12"/>
  <c r="Q5530" i="12"/>
  <c r="Q5529" i="12"/>
  <c r="Q5528" i="12"/>
  <c r="Q5527" i="12"/>
  <c r="Q5526" i="12"/>
  <c r="Q5525" i="12"/>
  <c r="Q5524" i="12"/>
  <c r="Q5523" i="12"/>
  <c r="Q5522" i="12"/>
  <c r="Q5521" i="12"/>
  <c r="Q5520" i="12"/>
  <c r="Q5519" i="12"/>
  <c r="Q5518" i="12"/>
  <c r="Q5517" i="12"/>
  <c r="Q5516" i="12"/>
  <c r="Q5515" i="12"/>
  <c r="Q5514" i="12"/>
  <c r="Q5513" i="12"/>
  <c r="Q5512" i="12"/>
  <c r="Q5511" i="12"/>
  <c r="Q5510" i="12"/>
  <c r="Q5509" i="12"/>
  <c r="Q5508" i="12"/>
  <c r="Q5507" i="12"/>
  <c r="Q5506" i="12"/>
  <c r="Q5505" i="12"/>
  <c r="Q5504" i="12"/>
  <c r="Q5503" i="12"/>
  <c r="Q5502" i="12"/>
  <c r="Q5501" i="12"/>
  <c r="Q5500" i="12"/>
  <c r="Q5499" i="12"/>
  <c r="Q5498" i="12"/>
  <c r="Q5497" i="12"/>
  <c r="Q5496" i="12"/>
  <c r="Q5495" i="12"/>
  <c r="Q5494" i="12"/>
  <c r="Q5493" i="12"/>
  <c r="Q5492" i="12"/>
  <c r="Q5491" i="12"/>
  <c r="Q5490" i="12"/>
  <c r="Q5489" i="12"/>
  <c r="Q5488" i="12"/>
  <c r="Q5487" i="12"/>
  <c r="Q5486" i="12"/>
  <c r="Q5485" i="12"/>
  <c r="Q5484" i="12"/>
  <c r="Q5483" i="12"/>
  <c r="Q5482" i="12"/>
  <c r="Q5481" i="12"/>
  <c r="Q5480" i="12"/>
  <c r="Q5479" i="12"/>
  <c r="Q5478" i="12"/>
  <c r="Q5477" i="12"/>
  <c r="Q5476" i="12"/>
  <c r="Q5475" i="12"/>
  <c r="Q5474" i="12"/>
  <c r="Q5473" i="12"/>
  <c r="Q5472" i="12"/>
  <c r="Q5471" i="12"/>
  <c r="Q5470" i="12"/>
  <c r="Q5469" i="12"/>
  <c r="Q5468" i="12"/>
  <c r="Q5467" i="12"/>
  <c r="Q5466" i="12"/>
  <c r="Q5465" i="12"/>
  <c r="Q5464" i="12"/>
  <c r="Q5463" i="12"/>
  <c r="Q5462" i="12"/>
  <c r="Q5461" i="12"/>
  <c r="Q5460" i="12"/>
  <c r="Q5459" i="12"/>
  <c r="Q5458" i="12"/>
  <c r="Q5457" i="12"/>
  <c r="Q5456" i="12"/>
  <c r="Q5455" i="12"/>
  <c r="Q5454" i="12"/>
  <c r="Q5453" i="12"/>
  <c r="Q5452" i="12"/>
  <c r="Q5451" i="12"/>
  <c r="Q5450" i="12"/>
  <c r="Q5449" i="12"/>
  <c r="Q5448" i="12"/>
  <c r="Q5447" i="12"/>
  <c r="Q5446" i="12"/>
  <c r="Q5445" i="12"/>
  <c r="Q5444" i="12"/>
  <c r="Q5443" i="12"/>
  <c r="Q5442" i="12"/>
  <c r="Q5441" i="12"/>
  <c r="Q5440" i="12"/>
  <c r="Q5439" i="12"/>
  <c r="Q5438" i="12"/>
  <c r="Q5437" i="12"/>
  <c r="Q5436" i="12"/>
  <c r="Q5435" i="12"/>
  <c r="Q5434" i="12"/>
  <c r="Q5433" i="12"/>
  <c r="Q5432" i="12"/>
  <c r="Q5431" i="12"/>
  <c r="Q5430" i="12"/>
  <c r="Q5429" i="12"/>
  <c r="Q5428" i="12"/>
  <c r="Q5427" i="12"/>
  <c r="Q5426" i="12"/>
  <c r="Q5425" i="12"/>
  <c r="Q5424" i="12"/>
  <c r="Q5423" i="12"/>
  <c r="Q5422" i="12"/>
  <c r="Q5421" i="12"/>
  <c r="Q5420" i="12"/>
  <c r="Q5419" i="12"/>
  <c r="Q5418" i="12"/>
  <c r="Q5417" i="12"/>
  <c r="Q5416" i="12"/>
  <c r="Q5415" i="12"/>
  <c r="Q5414" i="12"/>
  <c r="Q5413" i="12"/>
  <c r="Q5412" i="12"/>
  <c r="Q5411" i="12"/>
  <c r="Q5410" i="12"/>
  <c r="Q5409" i="12"/>
  <c r="Q5408" i="12"/>
  <c r="Q5407" i="12"/>
  <c r="Q5406" i="12"/>
  <c r="Q5405" i="12"/>
  <c r="Q5404" i="12"/>
  <c r="Q5403" i="12"/>
  <c r="Q5402" i="12"/>
  <c r="Q5401" i="12"/>
  <c r="Q5400" i="12"/>
  <c r="Q5399" i="12"/>
  <c r="Q5398" i="12"/>
  <c r="Q5397" i="12"/>
  <c r="Q5396" i="12"/>
  <c r="Q5395" i="12"/>
  <c r="Q5394" i="12"/>
  <c r="Q5393" i="12"/>
  <c r="Q5392" i="12"/>
  <c r="Q5391" i="12"/>
  <c r="Q5390" i="12"/>
  <c r="Q5389" i="12"/>
  <c r="Q5388" i="12"/>
  <c r="Q5387" i="12"/>
  <c r="Q5386" i="12"/>
  <c r="Q5385" i="12"/>
  <c r="Q5384" i="12"/>
  <c r="Q5383" i="12"/>
  <c r="Q5382" i="12"/>
  <c r="Q5381" i="12"/>
  <c r="Q5380" i="12"/>
  <c r="Q5379" i="12"/>
  <c r="Q5378" i="12"/>
  <c r="Q5377" i="12"/>
  <c r="Q5376" i="12"/>
  <c r="Q5375" i="12"/>
  <c r="Q5374" i="12"/>
  <c r="Q5373" i="12"/>
  <c r="Q5372" i="12"/>
  <c r="Q5371" i="12"/>
  <c r="Q5370" i="12"/>
  <c r="Q5369" i="12"/>
  <c r="Q5368" i="12"/>
  <c r="Q5367" i="12"/>
  <c r="Q5366" i="12"/>
  <c r="Q5365" i="12"/>
  <c r="Q5364" i="12"/>
  <c r="Q5363" i="12"/>
  <c r="Q5362" i="12"/>
  <c r="Q5361" i="12"/>
  <c r="Q5360" i="12"/>
  <c r="Q5359" i="12"/>
  <c r="Q5358" i="12"/>
  <c r="Q5357" i="12"/>
  <c r="Q5356" i="12"/>
  <c r="Q5355" i="12"/>
  <c r="Q5354" i="12"/>
  <c r="Q5353" i="12"/>
  <c r="Q5352" i="12"/>
  <c r="Q5351" i="12"/>
  <c r="Q5350" i="12"/>
  <c r="Q5349" i="12"/>
  <c r="Q5348" i="12"/>
  <c r="Q5347" i="12"/>
  <c r="Q5346" i="12"/>
  <c r="Q5345" i="12"/>
  <c r="Q5344" i="12"/>
  <c r="Q5343" i="12"/>
  <c r="Q5342" i="12"/>
  <c r="Q5341" i="12"/>
  <c r="Q5340" i="12"/>
  <c r="Q5339" i="12"/>
  <c r="Q5338" i="12"/>
  <c r="Q5337" i="12"/>
  <c r="Q5336" i="12"/>
  <c r="Q5335" i="12"/>
  <c r="Q5334" i="12"/>
  <c r="Q5333" i="12"/>
  <c r="Q5332" i="12"/>
  <c r="Q5331" i="12"/>
  <c r="Q5330" i="12"/>
  <c r="Q5329" i="12"/>
  <c r="Q5328" i="12"/>
  <c r="Q5327" i="12"/>
  <c r="Q5326" i="12"/>
  <c r="Q5325" i="12"/>
  <c r="Q5324" i="12"/>
  <c r="Q5323" i="12"/>
  <c r="Q5322" i="12"/>
  <c r="Q5321" i="12"/>
  <c r="Q5320" i="12"/>
  <c r="Q5319" i="12"/>
  <c r="Q5318" i="12"/>
  <c r="Q5317" i="12"/>
  <c r="Q5316" i="12"/>
  <c r="Q5315" i="12"/>
  <c r="Q5314" i="12"/>
  <c r="Q5313" i="12"/>
  <c r="Q5312" i="12"/>
  <c r="Q5311" i="12"/>
  <c r="Q5310" i="12"/>
  <c r="Q5309" i="12"/>
  <c r="Q5308" i="12"/>
  <c r="Q5307" i="12"/>
  <c r="Q5306" i="12"/>
  <c r="Q5305" i="12"/>
  <c r="Q5304" i="12"/>
  <c r="Q5303" i="12"/>
  <c r="Q5302" i="12"/>
  <c r="Q5301" i="12"/>
  <c r="Q5300" i="12"/>
  <c r="Q5299" i="12"/>
  <c r="Q5298" i="12"/>
  <c r="Q5297" i="12"/>
  <c r="Q5296" i="12"/>
  <c r="Q5295" i="12"/>
  <c r="Q5294" i="12"/>
  <c r="Q5293" i="12"/>
  <c r="Q5292" i="12"/>
  <c r="Q5291" i="12"/>
  <c r="Q5290" i="12"/>
  <c r="Q5289" i="12"/>
  <c r="Q5288" i="12"/>
  <c r="Q5287" i="12"/>
  <c r="Q5286" i="12"/>
  <c r="Q5285" i="12"/>
  <c r="Q5284" i="12"/>
  <c r="Q5283" i="12"/>
  <c r="Q5282" i="12"/>
  <c r="Q5281" i="12"/>
  <c r="Q5280" i="12"/>
  <c r="Q5279" i="12"/>
  <c r="Q5278" i="12"/>
  <c r="Q5277" i="12"/>
  <c r="Q5276" i="12"/>
  <c r="Q5275" i="12"/>
  <c r="Q5274" i="12"/>
  <c r="Q5273" i="12"/>
  <c r="Q5272" i="12"/>
  <c r="Q5271" i="12"/>
  <c r="Q5270" i="12"/>
  <c r="Q5269" i="12"/>
  <c r="Q5268" i="12"/>
  <c r="Q5267" i="12"/>
  <c r="Q5266" i="12"/>
  <c r="Q5265" i="12"/>
  <c r="Q5264" i="12"/>
  <c r="Q5263" i="12"/>
  <c r="Q5262" i="12"/>
  <c r="Q5261" i="12"/>
  <c r="Q5260" i="12"/>
  <c r="Q5259" i="12"/>
  <c r="Q5258" i="12"/>
  <c r="Q5257" i="12"/>
  <c r="Q5256" i="12"/>
  <c r="Q5255" i="12"/>
  <c r="Q5254" i="12"/>
  <c r="Q5253" i="12"/>
  <c r="Q5252" i="12"/>
  <c r="Q5251" i="12"/>
  <c r="Q5250" i="12"/>
  <c r="Q5249" i="12"/>
  <c r="Q5248" i="12"/>
  <c r="Q5247" i="12"/>
  <c r="Q5246" i="12"/>
  <c r="Q5245" i="12"/>
  <c r="Q5244" i="12"/>
  <c r="Q5243" i="12"/>
  <c r="Q5242" i="12"/>
  <c r="Q5241" i="12"/>
  <c r="Q5240" i="12"/>
  <c r="Q5239" i="12"/>
  <c r="Q5238" i="12"/>
  <c r="Q5237" i="12"/>
  <c r="Q5236" i="12"/>
  <c r="Q5235" i="12"/>
  <c r="Q5234" i="12"/>
  <c r="Q5233" i="12"/>
  <c r="Q5232" i="12"/>
  <c r="Q5231" i="12"/>
  <c r="Q5230" i="12"/>
  <c r="Q5229" i="12"/>
  <c r="Q5228" i="12"/>
  <c r="Q5227" i="12"/>
  <c r="Q5226" i="12"/>
  <c r="Q5225" i="12"/>
  <c r="Q5224" i="12"/>
  <c r="Q5223" i="12"/>
  <c r="Q5222" i="12"/>
  <c r="Q5221" i="12"/>
  <c r="Q5220" i="12"/>
  <c r="Q5219" i="12"/>
  <c r="Q5218" i="12"/>
  <c r="Q5217" i="12"/>
  <c r="Q5216" i="12"/>
  <c r="Q5215" i="12"/>
  <c r="Q5214" i="12"/>
  <c r="Q5213" i="12"/>
  <c r="Q5212" i="12"/>
  <c r="Q5211" i="12"/>
  <c r="Q5210" i="12"/>
  <c r="Q5209" i="12"/>
  <c r="Q5208" i="12"/>
  <c r="Q5207" i="12"/>
  <c r="Q5206" i="12"/>
  <c r="Q5205" i="12"/>
  <c r="Q5204" i="12"/>
  <c r="Q5203" i="12"/>
  <c r="Q5202" i="12"/>
  <c r="Q5201" i="12"/>
  <c r="Q5200" i="12"/>
  <c r="Q5199" i="12"/>
  <c r="Q5198" i="12"/>
  <c r="Q5197" i="12"/>
  <c r="Q5196" i="12"/>
  <c r="Q5195" i="12"/>
  <c r="Q5194" i="12"/>
  <c r="Q5193" i="12"/>
  <c r="Q5192" i="12"/>
  <c r="Q5191" i="12"/>
  <c r="Q5190" i="12"/>
  <c r="Q5189" i="12"/>
  <c r="Q5188" i="12"/>
  <c r="Q5187" i="12"/>
  <c r="Q5186" i="12"/>
  <c r="Q5185" i="12"/>
  <c r="Q5184" i="12"/>
  <c r="Q5183" i="12"/>
  <c r="Q5182" i="12"/>
  <c r="Q5181" i="12"/>
  <c r="Q5180" i="12"/>
  <c r="Q5179" i="12"/>
  <c r="Q5178" i="12"/>
  <c r="Q5177" i="12"/>
  <c r="Q5176" i="12"/>
  <c r="Q5175" i="12"/>
  <c r="Q5174" i="12"/>
  <c r="Q5173" i="12"/>
  <c r="Q5172" i="12"/>
  <c r="Q5171" i="12"/>
  <c r="Q5170" i="12"/>
  <c r="Q5169" i="12"/>
  <c r="Q5168" i="12"/>
  <c r="Q5167" i="12"/>
  <c r="Q5166" i="12"/>
  <c r="Q5165" i="12"/>
  <c r="Q5164" i="12"/>
  <c r="Q5163" i="12"/>
  <c r="Q5162" i="12"/>
  <c r="Q5161" i="12"/>
  <c r="Q5160" i="12"/>
  <c r="Q5159" i="12"/>
  <c r="Q5158" i="12"/>
  <c r="Q5157" i="12"/>
  <c r="Q5156" i="12"/>
  <c r="Q5155" i="12"/>
  <c r="Q5154" i="12"/>
  <c r="Q5153" i="12"/>
  <c r="Q5152" i="12"/>
  <c r="Q5151" i="12"/>
  <c r="Q5150" i="12"/>
  <c r="Q5149" i="12"/>
  <c r="Q5148" i="12"/>
  <c r="Q5147" i="12"/>
  <c r="Q5146" i="12"/>
  <c r="Q5145" i="12"/>
  <c r="Q5144" i="12"/>
  <c r="Q5143" i="12"/>
  <c r="Q5142" i="12"/>
  <c r="Q5141" i="12"/>
  <c r="Q5140" i="12"/>
  <c r="Q5139" i="12"/>
  <c r="Q5138" i="12"/>
  <c r="Q5137" i="12"/>
  <c r="Q5136" i="12"/>
  <c r="Q5135" i="12"/>
  <c r="Q5134" i="12"/>
  <c r="Q5133" i="12"/>
  <c r="Q5132" i="12"/>
  <c r="Q5131" i="12"/>
  <c r="Q5130" i="12"/>
  <c r="Q5129" i="12"/>
  <c r="Q5128" i="12"/>
  <c r="Q5127" i="12"/>
  <c r="Q5126" i="12"/>
  <c r="Q5125" i="12"/>
  <c r="Q5124" i="12"/>
  <c r="Q5123" i="12"/>
  <c r="Q5122" i="12"/>
  <c r="Q5121" i="12"/>
  <c r="Q5120" i="12"/>
  <c r="Q5119" i="12"/>
  <c r="Q5118" i="12"/>
  <c r="Q5117" i="12"/>
  <c r="Q5116" i="12"/>
  <c r="Q5115" i="12"/>
  <c r="Q5114" i="12"/>
  <c r="Q5113" i="12"/>
  <c r="Q5112" i="12"/>
  <c r="Q5111" i="12"/>
  <c r="Q5110" i="12"/>
  <c r="Q5109" i="12"/>
  <c r="Q5108" i="12"/>
  <c r="Q5107" i="12"/>
  <c r="Q5106" i="12"/>
  <c r="Q5105" i="12"/>
  <c r="Q5104" i="12"/>
  <c r="Q5103" i="12"/>
  <c r="Q5102" i="12"/>
  <c r="Q5101" i="12"/>
  <c r="Q5100" i="12"/>
  <c r="Q5099" i="12"/>
  <c r="Q5098" i="12"/>
  <c r="Q5097" i="12"/>
  <c r="Q5096" i="12"/>
  <c r="Q5095" i="12"/>
  <c r="Q5094" i="12"/>
  <c r="Q5093" i="12"/>
  <c r="Q5092" i="12"/>
  <c r="Q5091" i="12"/>
  <c r="Q5090" i="12"/>
  <c r="Q5089" i="12"/>
  <c r="Q5088" i="12"/>
  <c r="Q5087" i="12"/>
  <c r="Q5086" i="12"/>
  <c r="Q5085" i="12"/>
  <c r="Q5084" i="12"/>
  <c r="Q5083" i="12"/>
  <c r="Q5082" i="12"/>
  <c r="Q5081" i="12"/>
  <c r="Q5080" i="12"/>
  <c r="Q5079" i="12"/>
  <c r="Q5078" i="12"/>
  <c r="Q5077" i="12"/>
  <c r="Q5076" i="12"/>
  <c r="Q5075" i="12"/>
  <c r="Q5074" i="12"/>
  <c r="Q5073" i="12"/>
  <c r="Q5072" i="12"/>
  <c r="Q5071" i="12"/>
  <c r="Q5070" i="12"/>
  <c r="Q5069" i="12"/>
  <c r="Q5068" i="12"/>
  <c r="Q5067" i="12"/>
  <c r="Q5066" i="12"/>
  <c r="Q5065" i="12"/>
  <c r="Q5064" i="12"/>
  <c r="Q5063" i="12"/>
  <c r="Q5062" i="12"/>
  <c r="Q5061" i="12"/>
  <c r="Q5060" i="12"/>
  <c r="Q5059" i="12"/>
  <c r="Q5058" i="12"/>
  <c r="Q5057" i="12"/>
  <c r="Q5056" i="12"/>
  <c r="Q5055" i="12"/>
  <c r="Q5054" i="12"/>
  <c r="Q5053" i="12"/>
  <c r="Q5052" i="12"/>
  <c r="Q5051" i="12"/>
  <c r="Q5050" i="12"/>
  <c r="Q5049" i="12"/>
  <c r="Q5048" i="12"/>
  <c r="Q5047" i="12"/>
  <c r="Q5046" i="12"/>
  <c r="Q5045" i="12"/>
  <c r="Q5044" i="12"/>
  <c r="Q5043" i="12"/>
  <c r="Q5042" i="12"/>
  <c r="Q5041" i="12"/>
  <c r="Q5040" i="12"/>
  <c r="Q5039" i="12"/>
  <c r="Q5038" i="12"/>
  <c r="Q5037" i="12"/>
  <c r="Q5036" i="12"/>
  <c r="Q5035" i="12"/>
  <c r="Q5034" i="12"/>
  <c r="Q5033" i="12"/>
  <c r="Q5032" i="12"/>
  <c r="Q5031" i="12"/>
  <c r="Q5030" i="12"/>
  <c r="Q5029" i="12"/>
  <c r="Q5028" i="12"/>
  <c r="Q5027" i="12"/>
  <c r="Q5026" i="12"/>
  <c r="Q5025" i="12"/>
  <c r="Q5024" i="12"/>
  <c r="Q5023" i="12"/>
  <c r="Q5022" i="12"/>
  <c r="Q5021" i="12"/>
  <c r="Q5020" i="12"/>
  <c r="Q5019" i="12"/>
  <c r="Q5018" i="12"/>
  <c r="Q5017" i="12"/>
  <c r="Q5016" i="12"/>
  <c r="Q5015" i="12"/>
  <c r="Q5014" i="12"/>
  <c r="Q5013" i="12"/>
  <c r="Q5012" i="12"/>
  <c r="Q5011" i="12"/>
  <c r="Q5010" i="12"/>
  <c r="Q5009" i="12"/>
  <c r="Q5008" i="12"/>
  <c r="Q5007" i="12"/>
  <c r="Q5006" i="12"/>
  <c r="Q5005" i="12"/>
  <c r="Q5004" i="12"/>
  <c r="Q5003" i="12"/>
  <c r="Q5002" i="12"/>
  <c r="Q5001" i="12"/>
  <c r="Q5000" i="12"/>
  <c r="Q4999" i="12"/>
  <c r="Q4998" i="12"/>
  <c r="Q4997" i="12"/>
  <c r="Q4996" i="12"/>
  <c r="Q4995" i="12"/>
  <c r="Q4994" i="12"/>
  <c r="Q4993" i="12"/>
  <c r="Q4992" i="12"/>
  <c r="Q4991" i="12"/>
  <c r="Q4990" i="12"/>
  <c r="Q4989" i="12"/>
  <c r="Q4988" i="12"/>
  <c r="Q4987" i="12"/>
  <c r="Q4986" i="12"/>
  <c r="Q4985" i="12"/>
  <c r="Q4984" i="12"/>
  <c r="Q4983" i="12"/>
  <c r="Q4982" i="12"/>
  <c r="Q4981" i="12"/>
  <c r="Q4980" i="12"/>
  <c r="Q4979" i="12"/>
  <c r="Q4978" i="12"/>
  <c r="Q4977" i="12"/>
  <c r="Q4976" i="12"/>
  <c r="Q4975" i="12"/>
  <c r="Q4974" i="12"/>
  <c r="Q4973" i="12"/>
  <c r="Q4972" i="12"/>
  <c r="Q4971" i="12"/>
  <c r="Q4970" i="12"/>
  <c r="Q4969" i="12"/>
  <c r="Q4968" i="12"/>
  <c r="Q4967" i="12"/>
  <c r="Q4966" i="12"/>
  <c r="Q4965" i="12"/>
  <c r="Q4964" i="12"/>
  <c r="Q4963" i="12"/>
  <c r="Q4962" i="12"/>
  <c r="Q4961" i="12"/>
  <c r="Q4960" i="12"/>
  <c r="Q4959" i="12"/>
  <c r="Q4958" i="12"/>
  <c r="Q4957" i="12"/>
  <c r="Q4956" i="12"/>
  <c r="Q4955" i="12"/>
  <c r="Q4954" i="12"/>
  <c r="Q4953" i="12"/>
  <c r="Q4952" i="12"/>
  <c r="Q4951" i="12"/>
  <c r="Q4950" i="12"/>
  <c r="Q4949" i="12"/>
  <c r="Q4948" i="12"/>
  <c r="Q4947" i="12"/>
  <c r="Q4946" i="12"/>
  <c r="Q4945" i="12"/>
  <c r="Q4944" i="12"/>
  <c r="Q4943" i="12"/>
  <c r="Q4942" i="12"/>
  <c r="Q4941" i="12"/>
  <c r="Q4940" i="12"/>
  <c r="Q4939" i="12"/>
  <c r="Q4938" i="12"/>
  <c r="Q4937" i="12"/>
  <c r="Q4936" i="12"/>
  <c r="Q4935" i="12"/>
  <c r="Q4934" i="12"/>
  <c r="Q4933" i="12"/>
  <c r="Q4932" i="12"/>
  <c r="Q4931" i="12"/>
  <c r="Q4930" i="12"/>
  <c r="Q4929" i="12"/>
  <c r="Q4928" i="12"/>
  <c r="Q4927" i="12"/>
  <c r="Q4926" i="12"/>
  <c r="Q4925" i="12"/>
  <c r="Q4924" i="12"/>
  <c r="Q4923" i="12"/>
  <c r="Q4922" i="12"/>
  <c r="Q4921" i="12"/>
  <c r="Q4920" i="12"/>
  <c r="Q4919" i="12"/>
  <c r="Q4918" i="12"/>
  <c r="Q4917" i="12"/>
  <c r="Q4916" i="12"/>
  <c r="Q4915" i="12"/>
  <c r="Q4914" i="12"/>
  <c r="Q4913" i="12"/>
  <c r="Q4912" i="12"/>
  <c r="Q4911" i="12"/>
  <c r="Q4910" i="12"/>
  <c r="Q4909" i="12"/>
  <c r="Q4908" i="12"/>
  <c r="Q4907" i="12"/>
  <c r="Q4906" i="12"/>
  <c r="Q4905" i="12"/>
  <c r="Q4904" i="12"/>
  <c r="Q4903" i="12"/>
  <c r="Q4902" i="12"/>
  <c r="Q4901" i="12"/>
  <c r="Q4900" i="12"/>
  <c r="Q4899" i="12"/>
  <c r="Q4898" i="12"/>
  <c r="Q4897" i="12"/>
  <c r="Q4896" i="12"/>
  <c r="Q4895" i="12"/>
  <c r="Q4894" i="12"/>
  <c r="Q4893" i="12"/>
  <c r="Q4892" i="12"/>
  <c r="Q4891" i="12"/>
  <c r="Q4890" i="12"/>
  <c r="Q4889" i="12"/>
  <c r="Q4888" i="12"/>
  <c r="Q4887" i="12"/>
  <c r="Q4886" i="12"/>
  <c r="Q4885" i="12"/>
  <c r="Q4884" i="12"/>
  <c r="Q4883" i="12"/>
  <c r="Q4882" i="12"/>
  <c r="Q4881" i="12"/>
  <c r="Q4880" i="12"/>
  <c r="Q4879" i="12"/>
  <c r="Q4878" i="12"/>
  <c r="Q4877" i="12"/>
  <c r="Q4876" i="12"/>
  <c r="Q4875" i="12"/>
  <c r="Q4874" i="12"/>
  <c r="Q4873" i="12"/>
  <c r="Q4872" i="12"/>
  <c r="Q4871" i="12"/>
  <c r="Q4870" i="12"/>
  <c r="Q4869" i="12"/>
  <c r="Q4868" i="12"/>
  <c r="Q4867" i="12"/>
  <c r="Q4866" i="12"/>
  <c r="Q4865" i="12"/>
  <c r="Q4864" i="12"/>
  <c r="Q4863" i="12"/>
  <c r="Q4862" i="12"/>
  <c r="Q4861" i="12"/>
  <c r="Q4860" i="12"/>
  <c r="Q4859" i="12"/>
  <c r="Q4858" i="12"/>
  <c r="Q4857" i="12"/>
  <c r="Q4856" i="12"/>
  <c r="Q4855" i="12"/>
  <c r="Q4854" i="12"/>
  <c r="Q4853" i="12"/>
  <c r="Q4852" i="12"/>
  <c r="Q4851" i="12"/>
  <c r="Q4850" i="12"/>
  <c r="Q4849" i="12"/>
  <c r="Q4848" i="12"/>
  <c r="Q4847" i="12"/>
  <c r="Q4846" i="12"/>
  <c r="Q4845" i="12"/>
  <c r="Q4844" i="12"/>
  <c r="Q4843" i="12"/>
  <c r="Q4842" i="12"/>
  <c r="Q4841" i="12"/>
  <c r="Q4840" i="12"/>
  <c r="Q4839" i="12"/>
  <c r="Q4838" i="12"/>
  <c r="Q4837" i="12"/>
  <c r="Q4836" i="12"/>
  <c r="Q4835" i="12"/>
  <c r="Q4834" i="12"/>
  <c r="Q4833" i="12"/>
  <c r="Q4832" i="12"/>
  <c r="Q4831" i="12"/>
  <c r="Q4830" i="12"/>
  <c r="Q4829" i="12"/>
  <c r="Q4828" i="12"/>
  <c r="Q4827" i="12"/>
  <c r="Q4826" i="12"/>
  <c r="Q4825" i="12"/>
  <c r="Q4824" i="12"/>
  <c r="Q4823" i="12"/>
  <c r="Q4822" i="12"/>
  <c r="Q4821" i="12"/>
  <c r="Q4820" i="12"/>
  <c r="Q4819" i="12"/>
  <c r="Q4818" i="12"/>
  <c r="Q4817" i="12"/>
  <c r="Q4816" i="12"/>
  <c r="Q4815" i="12"/>
  <c r="Q4814" i="12"/>
  <c r="Q4813" i="12"/>
  <c r="Q4812" i="12"/>
  <c r="Q4811" i="12"/>
  <c r="Q4810" i="12"/>
  <c r="Q4809" i="12"/>
  <c r="Q4808" i="12"/>
  <c r="Q4807" i="12"/>
  <c r="Q4806" i="12"/>
  <c r="Q4805" i="12"/>
  <c r="Q4804" i="12"/>
  <c r="Q4803" i="12"/>
  <c r="Q4802" i="12"/>
  <c r="Q4801" i="12"/>
  <c r="Q4800" i="12"/>
  <c r="Q4799" i="12"/>
  <c r="Q4798" i="12"/>
  <c r="Q4797" i="12"/>
  <c r="Q4796" i="12"/>
  <c r="Q4795" i="12"/>
  <c r="Q4794" i="12"/>
  <c r="Q4793" i="12"/>
  <c r="Q4792" i="12"/>
  <c r="Q4791" i="12"/>
  <c r="Q4790" i="12"/>
  <c r="Q4789" i="12"/>
  <c r="Q4788" i="12"/>
  <c r="Q4787" i="12"/>
  <c r="Q4786" i="12"/>
  <c r="Q4785" i="12"/>
  <c r="Q4784" i="12"/>
  <c r="Q4783" i="12"/>
  <c r="Q4782" i="12"/>
  <c r="Q4781" i="12"/>
  <c r="Q4780" i="12"/>
  <c r="Q4779" i="12"/>
  <c r="Q4778" i="12"/>
  <c r="Q4777" i="12"/>
  <c r="Q4776" i="12"/>
  <c r="Q4775" i="12"/>
  <c r="Q4774" i="12"/>
  <c r="Q4773" i="12"/>
  <c r="Q4772" i="12"/>
  <c r="Q4771" i="12"/>
  <c r="Q4770" i="12"/>
  <c r="Q4769" i="12"/>
  <c r="Q4768" i="12"/>
  <c r="Q4767" i="12"/>
  <c r="Q4766" i="12"/>
  <c r="Q4765" i="12"/>
  <c r="Q4764" i="12"/>
  <c r="Q4763" i="12"/>
  <c r="Q4762" i="12"/>
  <c r="Q4761" i="12"/>
  <c r="Q4760" i="12"/>
  <c r="Q4759" i="12"/>
  <c r="Q4758" i="12"/>
  <c r="Q4757" i="12"/>
  <c r="Q4756" i="12"/>
  <c r="Q4755" i="12"/>
  <c r="Q4754" i="12"/>
  <c r="Q4753" i="12"/>
  <c r="Q4752" i="12"/>
  <c r="Q4751" i="12"/>
  <c r="Q4750" i="12"/>
  <c r="Q4749" i="12"/>
  <c r="Q4748" i="12"/>
  <c r="Q4747" i="12"/>
  <c r="Q4746" i="12"/>
  <c r="Q4745" i="12"/>
  <c r="Q4744" i="12"/>
  <c r="Q4743" i="12"/>
  <c r="Q4742" i="12"/>
  <c r="Q4741" i="12"/>
  <c r="Q4740" i="12"/>
  <c r="Q4739" i="12"/>
  <c r="Q4738" i="12"/>
  <c r="Q4737" i="12"/>
  <c r="Q4736" i="12"/>
  <c r="Q4735" i="12"/>
  <c r="Q4734" i="12"/>
  <c r="Q4733" i="12"/>
  <c r="Q4732" i="12"/>
  <c r="Q4731" i="12"/>
  <c r="Q4730" i="12"/>
  <c r="Q4729" i="12"/>
  <c r="Q4728" i="12"/>
  <c r="Q4727" i="12"/>
  <c r="Q4726" i="12"/>
  <c r="Q4725" i="12"/>
  <c r="Q4724" i="12"/>
  <c r="Q4723" i="12"/>
  <c r="Q4722" i="12"/>
  <c r="Q4721" i="12"/>
  <c r="Q4720" i="12"/>
  <c r="Q4719" i="12"/>
  <c r="Q4718" i="12"/>
  <c r="Q4717" i="12"/>
  <c r="Q4716" i="12"/>
  <c r="Q4715" i="12"/>
  <c r="Q4714" i="12"/>
  <c r="Q4713" i="12"/>
  <c r="Q4712" i="12"/>
  <c r="Q4711" i="12"/>
  <c r="Q4710" i="12"/>
  <c r="Q4709" i="12"/>
  <c r="Q4708" i="12"/>
  <c r="Q4707" i="12"/>
  <c r="Q4706" i="12"/>
  <c r="Q4705" i="12"/>
  <c r="Q4704" i="12"/>
  <c r="Q4703" i="12"/>
  <c r="Q4702" i="12"/>
  <c r="Q4701" i="12"/>
  <c r="Q4700" i="12"/>
  <c r="Q4699" i="12"/>
  <c r="Q4698" i="12"/>
  <c r="Q4697" i="12"/>
  <c r="Q4696" i="12"/>
  <c r="Q4695" i="12"/>
  <c r="Q4694" i="12"/>
  <c r="Q4693" i="12"/>
  <c r="Q4692" i="12"/>
  <c r="Q4691" i="12"/>
  <c r="Q4690" i="12"/>
  <c r="Q4689" i="12"/>
  <c r="Q4688" i="12"/>
  <c r="Q4687" i="12"/>
  <c r="Q4686" i="12"/>
  <c r="Q4685" i="12"/>
  <c r="Q4684" i="12"/>
  <c r="Q4683" i="12"/>
  <c r="Q4682" i="12"/>
  <c r="Q4681" i="12"/>
  <c r="Q4680" i="12"/>
  <c r="Q4679" i="12"/>
  <c r="Q4678" i="12"/>
  <c r="Q4677" i="12"/>
  <c r="Q4676" i="12"/>
  <c r="Q4675" i="12"/>
  <c r="Q4674" i="12"/>
  <c r="Q4673" i="12"/>
  <c r="Q4672" i="12"/>
  <c r="Q4671" i="12"/>
  <c r="Q4670" i="12"/>
  <c r="Q4669" i="12"/>
  <c r="Q4668" i="12"/>
  <c r="Q4667" i="12"/>
  <c r="Q4666" i="12"/>
  <c r="Q4665" i="12"/>
  <c r="Q4664" i="12"/>
  <c r="Q4663" i="12"/>
  <c r="Q4662" i="12"/>
  <c r="Q4661" i="12"/>
  <c r="Q4660" i="12"/>
  <c r="Q4659" i="12"/>
  <c r="Q4658" i="12"/>
  <c r="Q4657" i="12"/>
  <c r="Q4656" i="12"/>
  <c r="Q4655" i="12"/>
  <c r="Q4654" i="12"/>
  <c r="Q4653" i="12"/>
  <c r="Q4652" i="12"/>
  <c r="Q4651" i="12"/>
  <c r="Q4650" i="12"/>
  <c r="Q4649" i="12"/>
  <c r="Q4648" i="12"/>
  <c r="Q4647" i="12"/>
  <c r="Q4646" i="12"/>
  <c r="Q4645" i="12"/>
  <c r="Q4644" i="12"/>
  <c r="Q4643" i="12"/>
  <c r="Q4642" i="12"/>
  <c r="Q4641" i="12"/>
  <c r="Q4640" i="12"/>
  <c r="Q4639" i="12"/>
  <c r="Q4638" i="12"/>
  <c r="Q4637" i="12"/>
  <c r="Q4636" i="12"/>
  <c r="Q4635" i="12"/>
  <c r="Q4634" i="12"/>
  <c r="Q4633" i="12"/>
  <c r="Q4632" i="12"/>
  <c r="Q4631" i="12"/>
  <c r="Q4630" i="12"/>
  <c r="Q4629" i="12"/>
  <c r="Q4628" i="12"/>
  <c r="Q4627" i="12"/>
  <c r="Q4626" i="12"/>
  <c r="Q4625" i="12"/>
  <c r="Q4624" i="12"/>
  <c r="Q4623" i="12"/>
  <c r="Q4622" i="12"/>
  <c r="Q4621" i="12"/>
  <c r="Q4620" i="12"/>
  <c r="Q4619" i="12"/>
  <c r="Q4618" i="12"/>
  <c r="Q4617" i="12"/>
  <c r="Q4616" i="12"/>
  <c r="Q4615" i="12"/>
  <c r="Q4614" i="12"/>
  <c r="Q4613" i="12"/>
  <c r="Q4612" i="12"/>
  <c r="Q4611" i="12"/>
  <c r="Q4610" i="12"/>
  <c r="Q4609" i="12"/>
  <c r="Q4608" i="12"/>
  <c r="Q4607" i="12"/>
  <c r="Q4606" i="12"/>
  <c r="Q4605" i="12"/>
  <c r="Q4604" i="12"/>
  <c r="Q4603" i="12"/>
  <c r="Q4602" i="12"/>
  <c r="Q4601" i="12"/>
  <c r="Q4600" i="12"/>
  <c r="Q4599" i="12"/>
  <c r="Q4598" i="12"/>
  <c r="Q4597" i="12"/>
  <c r="Q4596" i="12"/>
  <c r="Q4595" i="12"/>
  <c r="Q4594" i="12"/>
  <c r="Q4593" i="12"/>
  <c r="Q4592" i="12"/>
  <c r="Q4591" i="12"/>
  <c r="Q4590" i="12"/>
  <c r="Q4589" i="12"/>
  <c r="Q4588" i="12"/>
  <c r="Q4587" i="12"/>
  <c r="Q4586" i="12"/>
  <c r="Q4585" i="12"/>
  <c r="Q4584" i="12"/>
  <c r="Q4583" i="12"/>
  <c r="Q4582" i="12"/>
  <c r="Q4581" i="12"/>
  <c r="Q4580" i="12"/>
  <c r="Q4579" i="12"/>
  <c r="Q4578" i="12"/>
  <c r="Q4577" i="12"/>
  <c r="Q4576" i="12"/>
  <c r="Q4575" i="12"/>
  <c r="Q4574" i="12"/>
  <c r="Q4573" i="12"/>
  <c r="Q4572" i="12"/>
  <c r="Q4571" i="12"/>
  <c r="Q4570" i="12"/>
  <c r="Q4569" i="12"/>
  <c r="Q4568" i="12"/>
  <c r="Q4567" i="12"/>
  <c r="Q4566" i="12"/>
  <c r="Q4565" i="12"/>
  <c r="Q4564" i="12"/>
  <c r="Q4563" i="12"/>
  <c r="Q4562" i="12"/>
  <c r="Q4561" i="12"/>
  <c r="Q4560" i="12"/>
  <c r="Q4559" i="12"/>
  <c r="Q4558" i="12"/>
  <c r="Q4557" i="12"/>
  <c r="Q4556" i="12"/>
  <c r="Q4555" i="12"/>
  <c r="Q4554" i="12"/>
  <c r="Q4553" i="12"/>
  <c r="Q4552" i="12"/>
  <c r="Q4551" i="12"/>
  <c r="Q4550" i="12"/>
  <c r="Q4549" i="12"/>
  <c r="Q4548" i="12"/>
  <c r="Q4547" i="12"/>
  <c r="Q4546" i="12"/>
  <c r="Q4545" i="12"/>
  <c r="Q4544" i="12"/>
  <c r="Q4543" i="12"/>
  <c r="Q4542" i="12"/>
  <c r="Q4541" i="12"/>
  <c r="Q4540" i="12"/>
  <c r="Q4539" i="12"/>
  <c r="Q4538" i="12"/>
  <c r="Q4537" i="12"/>
  <c r="Q4536" i="12"/>
  <c r="Q4535" i="12"/>
  <c r="Q4534" i="12"/>
  <c r="Q4533" i="12"/>
  <c r="Q4532" i="12"/>
  <c r="Q4531" i="12"/>
  <c r="Q4530" i="12"/>
  <c r="Q4529" i="12"/>
  <c r="Q4528" i="12"/>
  <c r="Q4527" i="12"/>
  <c r="Q4526" i="12"/>
  <c r="Q4525" i="12"/>
  <c r="Q4524" i="12"/>
  <c r="Q4523" i="12"/>
  <c r="Q4522" i="12"/>
  <c r="Q4521" i="12"/>
  <c r="Q4520" i="12"/>
  <c r="Q4519" i="12"/>
  <c r="Q4518" i="12"/>
  <c r="Q4517" i="12"/>
  <c r="Q4516" i="12"/>
  <c r="Q4515" i="12"/>
  <c r="Q4514" i="12"/>
  <c r="Q4513" i="12"/>
  <c r="Q4512" i="12"/>
  <c r="Q4511" i="12"/>
  <c r="Q4510" i="12"/>
  <c r="Q4509" i="12"/>
  <c r="Q4508" i="12"/>
  <c r="Q4507" i="12"/>
  <c r="Q4506" i="12"/>
  <c r="Q4505" i="12"/>
  <c r="Q4504" i="12"/>
  <c r="Q4503" i="12"/>
  <c r="Q4502" i="12"/>
  <c r="Q4501" i="12"/>
  <c r="Q4500" i="12"/>
  <c r="Q4499" i="12"/>
  <c r="Q4498" i="12"/>
  <c r="Q4497" i="12"/>
  <c r="Q4496" i="12"/>
  <c r="Q4495" i="12"/>
  <c r="Q4494" i="12"/>
  <c r="Q4493" i="12"/>
  <c r="Q4492" i="12"/>
  <c r="Q4491" i="12"/>
  <c r="Q4490" i="12"/>
  <c r="Q4489" i="12"/>
  <c r="Q4488" i="12"/>
  <c r="Q4487" i="12"/>
  <c r="Q4486" i="12"/>
  <c r="Q4485" i="12"/>
  <c r="Q4484" i="12"/>
  <c r="Q4483" i="12"/>
  <c r="Q4482" i="12"/>
  <c r="Q4481" i="12"/>
  <c r="Q4480" i="12"/>
  <c r="Q4479" i="12"/>
  <c r="Q4478" i="12"/>
  <c r="Q4477" i="12"/>
  <c r="Q4476" i="12"/>
  <c r="Q4475" i="12"/>
  <c r="Q4474" i="12"/>
  <c r="Q4473" i="12"/>
  <c r="Q4472" i="12"/>
  <c r="Q4471" i="12"/>
  <c r="Q4470" i="12"/>
  <c r="Q4469" i="12"/>
  <c r="Q4468" i="12"/>
  <c r="Q4467" i="12"/>
  <c r="Q4466" i="12"/>
  <c r="Q4465" i="12"/>
  <c r="Q4464" i="12"/>
  <c r="Q4463" i="12"/>
  <c r="Q4462" i="12"/>
  <c r="Q4461" i="12"/>
  <c r="Q4460" i="12"/>
  <c r="Q4459" i="12"/>
  <c r="Q4458" i="12"/>
  <c r="Q4457" i="12"/>
  <c r="Q4456" i="12"/>
  <c r="Q4455" i="12"/>
  <c r="Q4454" i="12"/>
  <c r="Q4453" i="12"/>
  <c r="Q4452" i="12"/>
  <c r="Q4451" i="12"/>
  <c r="Q4450" i="12"/>
  <c r="Q4449" i="12"/>
  <c r="Q4448" i="12"/>
  <c r="Q4447" i="12"/>
  <c r="Q4446" i="12"/>
  <c r="Q4445" i="12"/>
  <c r="Q4444" i="12"/>
  <c r="Q4443" i="12"/>
  <c r="Q4442" i="12"/>
  <c r="Q4441" i="12"/>
  <c r="Q4440" i="12"/>
  <c r="Q4439" i="12"/>
  <c r="Q4438" i="12"/>
  <c r="Q4437" i="12"/>
  <c r="Q4436" i="12"/>
  <c r="Q4435" i="12"/>
  <c r="Q4434" i="12"/>
  <c r="Q4433" i="12"/>
  <c r="Q4432" i="12"/>
  <c r="Q4431" i="12"/>
  <c r="Q4430" i="12"/>
  <c r="Q4429" i="12"/>
  <c r="Q4428" i="12"/>
  <c r="Q4427" i="12"/>
  <c r="Q4426" i="12"/>
  <c r="Q4425" i="12"/>
  <c r="Q4424" i="12"/>
  <c r="Q4423" i="12"/>
  <c r="Q4422" i="12"/>
  <c r="Q4421" i="12"/>
  <c r="Q4420" i="12"/>
  <c r="Q4419" i="12"/>
  <c r="Q4418" i="12"/>
  <c r="Q4417" i="12"/>
  <c r="Q4416" i="12"/>
  <c r="Q4415" i="12"/>
  <c r="Q4414" i="12"/>
  <c r="Q4413" i="12"/>
  <c r="Q4412" i="12"/>
  <c r="Q4411" i="12"/>
  <c r="Q4410" i="12"/>
  <c r="Q4409" i="12"/>
  <c r="Q4408" i="12"/>
  <c r="Q4407" i="12"/>
  <c r="Q4406" i="12"/>
  <c r="Q4405" i="12"/>
  <c r="Q4404" i="12"/>
  <c r="Q4403" i="12"/>
  <c r="Q4402" i="12"/>
  <c r="Q4401" i="12"/>
  <c r="Q4400" i="12"/>
  <c r="Q4399" i="12"/>
  <c r="Q4398" i="12"/>
  <c r="Q4397" i="12"/>
  <c r="Q4396" i="12"/>
  <c r="Q4395" i="12"/>
  <c r="Q4394" i="12"/>
  <c r="Q4393" i="12"/>
  <c r="Q4392" i="12"/>
  <c r="Q4391" i="12"/>
  <c r="Q4390" i="12"/>
  <c r="Q4389" i="12"/>
  <c r="Q4388" i="12"/>
  <c r="Q4387" i="12"/>
  <c r="Q4386" i="12"/>
  <c r="Q4385" i="12"/>
  <c r="Q4384" i="12"/>
  <c r="Q4383" i="12"/>
  <c r="Q4382" i="12"/>
  <c r="Q4381" i="12"/>
  <c r="Q4380" i="12"/>
  <c r="Q4379" i="12"/>
  <c r="Q4378" i="12"/>
  <c r="Q4377" i="12"/>
  <c r="Q4376" i="12"/>
  <c r="Q4375" i="12"/>
  <c r="Q4374" i="12"/>
  <c r="Q4373" i="12"/>
  <c r="Q4372" i="12"/>
  <c r="Q4371" i="12"/>
  <c r="Q4370" i="12"/>
  <c r="Q4369" i="12"/>
  <c r="Q4368" i="12"/>
  <c r="Q4367" i="12"/>
  <c r="Q4366" i="12"/>
  <c r="Q4365" i="12"/>
  <c r="Q4364" i="12"/>
  <c r="Q4363" i="12"/>
  <c r="Q4362" i="12"/>
  <c r="Q4361" i="12"/>
  <c r="Q4360" i="12"/>
  <c r="Q4359" i="12"/>
  <c r="Q4358" i="12"/>
  <c r="Q4357" i="12"/>
  <c r="Q4356" i="12"/>
  <c r="Q4355" i="12"/>
  <c r="Q4354" i="12"/>
  <c r="Q4353" i="12"/>
  <c r="Q4352" i="12"/>
  <c r="Q4351" i="12"/>
  <c r="Q4350" i="12"/>
  <c r="Q4349" i="12"/>
  <c r="Q4348" i="12"/>
  <c r="Q4347" i="12"/>
  <c r="Q4346" i="12"/>
  <c r="Q4345" i="12"/>
  <c r="Q4344" i="12"/>
  <c r="Q4343" i="12"/>
  <c r="Q4342" i="12"/>
  <c r="Q4341" i="12"/>
  <c r="Q4340" i="12"/>
  <c r="Q4339" i="12"/>
  <c r="Q4338" i="12"/>
  <c r="Q4337" i="12"/>
  <c r="Q4336" i="12"/>
  <c r="Q4335" i="12"/>
  <c r="Q4334" i="12"/>
  <c r="Q4333" i="12"/>
  <c r="Q4332" i="12"/>
  <c r="Q4331" i="12"/>
  <c r="Q4330" i="12"/>
  <c r="Q4329" i="12"/>
  <c r="Q4328" i="12"/>
  <c r="Q4327" i="12"/>
  <c r="Q4326" i="12"/>
  <c r="Q4325" i="12"/>
  <c r="Q4324" i="12"/>
  <c r="Q4323" i="12"/>
  <c r="Q4322" i="12"/>
  <c r="Q4321" i="12"/>
  <c r="Q4320" i="12"/>
  <c r="Q4319" i="12"/>
  <c r="Q4318" i="12"/>
  <c r="Q4317" i="12"/>
  <c r="Q4316" i="12"/>
  <c r="Q4315" i="12"/>
  <c r="Q4314" i="12"/>
  <c r="Q4313" i="12"/>
  <c r="Q4312" i="12"/>
  <c r="Q4311" i="12"/>
  <c r="Q4310" i="12"/>
  <c r="Q4309" i="12"/>
  <c r="Q4308" i="12"/>
  <c r="Q4307" i="12"/>
  <c r="Q4306" i="12"/>
  <c r="Q4305" i="12"/>
  <c r="Q4304" i="12"/>
  <c r="Q4303" i="12"/>
  <c r="Q4302" i="12"/>
  <c r="Q4301" i="12"/>
  <c r="Q4300" i="12"/>
  <c r="Q4299" i="12"/>
  <c r="Q4298" i="12"/>
  <c r="Q4297" i="12"/>
  <c r="Q4296" i="12"/>
  <c r="Q4295" i="12"/>
  <c r="Q4294" i="12"/>
  <c r="Q4293" i="12"/>
  <c r="Q4292" i="12"/>
  <c r="Q4291" i="12"/>
  <c r="Q4290" i="12"/>
  <c r="Q4289" i="12"/>
  <c r="Q4288" i="12"/>
  <c r="Q4287" i="12"/>
  <c r="Q4286" i="12"/>
  <c r="Q4285" i="12"/>
  <c r="Q4284" i="12"/>
  <c r="Q4283" i="12"/>
  <c r="Q4282" i="12"/>
  <c r="Q4281" i="12"/>
  <c r="Q4280" i="12"/>
  <c r="Q4279" i="12"/>
  <c r="Q4278" i="12"/>
  <c r="Q4277" i="12"/>
  <c r="Q4276" i="12"/>
  <c r="Q4275" i="12"/>
  <c r="Q4274" i="12"/>
  <c r="Q4273" i="12"/>
  <c r="Q4272" i="12"/>
  <c r="Q4271" i="12"/>
  <c r="Q4270" i="12"/>
  <c r="Q4269" i="12"/>
  <c r="Q4268" i="12"/>
  <c r="Q4267" i="12"/>
  <c r="Q4266" i="12"/>
  <c r="Q4265" i="12"/>
  <c r="Q4264" i="12"/>
  <c r="Q4263" i="12"/>
  <c r="Q4262" i="12"/>
  <c r="Q4261" i="12"/>
  <c r="Q4260" i="12"/>
  <c r="Q4259" i="12"/>
  <c r="Q4258" i="12"/>
  <c r="Q4257" i="12"/>
  <c r="Q4256" i="12"/>
  <c r="Q4255" i="12"/>
  <c r="Q4254" i="12"/>
  <c r="Q4253" i="12"/>
  <c r="Q4252" i="12"/>
  <c r="Q4251" i="12"/>
  <c r="Q4250" i="12"/>
  <c r="Q4249" i="12"/>
  <c r="Q4248" i="12"/>
  <c r="Q4247" i="12"/>
  <c r="Q4246" i="12"/>
  <c r="Q4245" i="12"/>
  <c r="Q4244" i="12"/>
  <c r="Q4243" i="12"/>
  <c r="Q4242" i="12"/>
  <c r="Q4241" i="12"/>
  <c r="Q4240" i="12"/>
  <c r="Q4239" i="12"/>
  <c r="Q4238" i="12"/>
  <c r="Q4237" i="12"/>
  <c r="Q4236" i="12"/>
  <c r="Q4235" i="12"/>
  <c r="Q4234" i="12"/>
  <c r="Q4233" i="12"/>
  <c r="Q4232" i="12"/>
  <c r="Q4231" i="12"/>
  <c r="Q4230" i="12"/>
  <c r="Q4229" i="12"/>
  <c r="Q4228" i="12"/>
  <c r="Q4227" i="12"/>
  <c r="Q4226" i="12"/>
  <c r="Q4225" i="12"/>
  <c r="Q4224" i="12"/>
  <c r="Q4223" i="12"/>
  <c r="Q4222" i="12"/>
  <c r="Q4221" i="12"/>
  <c r="Q4220" i="12"/>
  <c r="Q4219" i="12"/>
  <c r="Q4218" i="12"/>
  <c r="Q4217" i="12"/>
  <c r="Q4216" i="12"/>
  <c r="Q4215" i="12"/>
  <c r="Q4214" i="12"/>
  <c r="Q4213" i="12"/>
  <c r="Q4212" i="12"/>
  <c r="Q4211" i="12"/>
  <c r="Q4210" i="12"/>
  <c r="Q4209" i="12"/>
  <c r="Q4208" i="12"/>
  <c r="Q4207" i="12"/>
  <c r="Q4206" i="12"/>
  <c r="Q4205" i="12"/>
  <c r="Q4204" i="12"/>
  <c r="Q4203" i="12"/>
  <c r="Q4202" i="12"/>
  <c r="Q4201" i="12"/>
  <c r="Q4200" i="12"/>
  <c r="Q4199" i="12"/>
  <c r="Q4198" i="12"/>
  <c r="Q4197" i="12"/>
  <c r="Q4196" i="12"/>
  <c r="Q4195" i="12"/>
  <c r="Q4194" i="12"/>
  <c r="Q4193" i="12"/>
  <c r="Q4192" i="12"/>
  <c r="Q4191" i="12"/>
  <c r="Q4190" i="12"/>
  <c r="Q4189" i="12"/>
  <c r="Q4188" i="12"/>
  <c r="Q4187" i="12"/>
  <c r="Q4186" i="12"/>
  <c r="Q4185" i="12"/>
  <c r="Q4184" i="12"/>
  <c r="Q4183" i="12"/>
  <c r="Q4182" i="12"/>
  <c r="Q4181" i="12"/>
  <c r="Q4180" i="12"/>
  <c r="Q4179" i="12"/>
  <c r="Q4178" i="12"/>
  <c r="Q4177" i="12"/>
  <c r="Q4176" i="12"/>
  <c r="Q4175" i="12"/>
  <c r="Q4174" i="12"/>
  <c r="Q4173" i="12"/>
  <c r="Q4172" i="12"/>
  <c r="Q4171" i="12"/>
  <c r="Q4170" i="12"/>
  <c r="Q4169" i="12"/>
  <c r="Q4168" i="12"/>
  <c r="Q4167" i="12"/>
  <c r="Q4166" i="12"/>
  <c r="Q4165" i="12"/>
  <c r="Q4164" i="12"/>
  <c r="Q4163" i="12"/>
  <c r="Q4162" i="12"/>
  <c r="Q4161" i="12"/>
  <c r="Q4160" i="12"/>
  <c r="Q4159" i="12"/>
  <c r="Q4158" i="12"/>
  <c r="Q4157" i="12"/>
  <c r="Q4156" i="12"/>
  <c r="Q4155" i="12"/>
  <c r="Q4154" i="12"/>
  <c r="Q4153" i="12"/>
  <c r="Q4152" i="12"/>
  <c r="Q4151" i="12"/>
  <c r="Q4150" i="12"/>
  <c r="Q4149" i="12"/>
  <c r="Q4148" i="12"/>
  <c r="Q4147" i="12"/>
  <c r="Q4146" i="12"/>
  <c r="Q4145" i="12"/>
  <c r="Q4144" i="12"/>
  <c r="Q4143" i="12"/>
  <c r="Q4142" i="12"/>
  <c r="Q4141" i="12"/>
  <c r="Q4140" i="12"/>
  <c r="Q4139" i="12"/>
  <c r="Q4138" i="12"/>
  <c r="Q4137" i="12"/>
  <c r="Q4136" i="12"/>
  <c r="Q4135" i="12"/>
  <c r="Q4134" i="12"/>
  <c r="Q4133" i="12"/>
  <c r="Q4132" i="12"/>
  <c r="Q4131" i="12"/>
  <c r="Q4130" i="12"/>
  <c r="Q4129" i="12"/>
  <c r="Q4128" i="12"/>
  <c r="Q4127" i="12"/>
  <c r="Q4126" i="12"/>
  <c r="Q4125" i="12"/>
  <c r="Q4124" i="12"/>
  <c r="Q4123" i="12"/>
  <c r="Q4122" i="12"/>
  <c r="Q4121" i="12"/>
  <c r="Q4120" i="12"/>
  <c r="Q4119" i="12"/>
  <c r="Q4118" i="12"/>
  <c r="Q4117" i="12"/>
  <c r="Q4116" i="12"/>
  <c r="Q4115" i="12"/>
  <c r="Q4114" i="12"/>
  <c r="Q4113" i="12"/>
  <c r="Q4112" i="12"/>
  <c r="Q4111" i="12"/>
  <c r="Q4110" i="12"/>
  <c r="Q4109" i="12"/>
  <c r="Q4108" i="12"/>
  <c r="Q4107" i="12"/>
  <c r="Q4106" i="12"/>
  <c r="Q4105" i="12"/>
  <c r="Q4104" i="12"/>
  <c r="Q4103" i="12"/>
  <c r="Q4102" i="12"/>
  <c r="Q4101" i="12"/>
  <c r="Q4100" i="12"/>
  <c r="Q4099" i="12"/>
  <c r="Q4098" i="12"/>
  <c r="Q4097" i="12"/>
  <c r="Q4096" i="12"/>
  <c r="Q4095" i="12"/>
  <c r="Q4094" i="12"/>
  <c r="Q4093" i="12"/>
  <c r="Q4092" i="12"/>
  <c r="Q4091" i="12"/>
  <c r="Q4090" i="12"/>
  <c r="Q4089" i="12"/>
  <c r="Q4088" i="12"/>
  <c r="Q4087" i="12"/>
  <c r="Q4086" i="12"/>
  <c r="Q4085" i="12"/>
  <c r="Q4084" i="12"/>
  <c r="Q4083" i="12"/>
  <c r="Q4082" i="12"/>
  <c r="Q4081" i="12"/>
  <c r="Q4080" i="12"/>
  <c r="Q4079" i="12"/>
  <c r="Q4078" i="12"/>
  <c r="Q4077" i="12"/>
  <c r="Q4076" i="12"/>
  <c r="Q4075" i="12"/>
  <c r="Q4074" i="12"/>
  <c r="Q4073" i="12"/>
  <c r="Q4072" i="12"/>
  <c r="Q4071" i="12"/>
  <c r="Q4070" i="12"/>
  <c r="Q4069" i="12"/>
  <c r="Q4068" i="12"/>
  <c r="Q4067" i="12"/>
  <c r="Q4066" i="12"/>
  <c r="Q4065" i="12"/>
  <c r="Q4064" i="12"/>
  <c r="Q4063" i="12"/>
  <c r="Q4062" i="12"/>
  <c r="Q4061" i="12"/>
  <c r="Q4060" i="12"/>
  <c r="Q4059" i="12"/>
  <c r="Q4058" i="12"/>
  <c r="Q4057" i="12"/>
  <c r="Q4056" i="12"/>
  <c r="Q4055" i="12"/>
  <c r="Q4054" i="12"/>
  <c r="Q4053" i="12"/>
  <c r="Q4052" i="12"/>
  <c r="Q4051" i="12"/>
  <c r="Q4050" i="12"/>
  <c r="Q4049" i="12"/>
  <c r="Q4048" i="12"/>
  <c r="Q4047" i="12"/>
  <c r="Q4046" i="12"/>
  <c r="Q4045" i="12"/>
  <c r="Q4044" i="12"/>
  <c r="Q4043" i="12"/>
  <c r="Q4042" i="12"/>
  <c r="Q4041" i="12"/>
  <c r="Q4040" i="12"/>
  <c r="Q4039" i="12"/>
  <c r="Q4038" i="12"/>
  <c r="Q4037" i="12"/>
  <c r="Q4036" i="12"/>
  <c r="Q4035" i="12"/>
  <c r="Q4034" i="12"/>
  <c r="Q4033" i="12"/>
  <c r="Q4032" i="12"/>
  <c r="Q4031" i="12"/>
  <c r="Q4030" i="12"/>
  <c r="Q4029" i="12"/>
  <c r="Q4028" i="12"/>
  <c r="Q4027" i="12"/>
  <c r="Q4026" i="12"/>
  <c r="Q4025" i="12"/>
  <c r="Q4024" i="12"/>
  <c r="Q4023" i="12"/>
  <c r="Q4022" i="12"/>
  <c r="Q4021" i="12"/>
  <c r="Q4020" i="12"/>
  <c r="Q4019" i="12"/>
  <c r="Q4018" i="12"/>
  <c r="Q4017" i="12"/>
  <c r="Q4016" i="12"/>
  <c r="Q4015" i="12"/>
  <c r="Q4014" i="12"/>
  <c r="Q4013" i="12"/>
  <c r="Q4012" i="12"/>
  <c r="Q4011" i="12"/>
  <c r="Q4010" i="12"/>
  <c r="Q4009" i="12"/>
  <c r="Q4008" i="12"/>
  <c r="Q4007" i="12"/>
  <c r="Q4006" i="12"/>
  <c r="Q4005" i="12"/>
  <c r="Q4004" i="12"/>
  <c r="Q4003" i="12"/>
  <c r="Q4002" i="12"/>
  <c r="Q4001" i="12"/>
  <c r="Q4000" i="12"/>
  <c r="Q3999" i="12"/>
  <c r="Q3998" i="12"/>
  <c r="Q3997" i="12"/>
  <c r="Q3996" i="12"/>
  <c r="Q3995" i="12"/>
  <c r="Q3994" i="12"/>
  <c r="Q3993" i="12"/>
  <c r="Q3992" i="12"/>
  <c r="Q3991" i="12"/>
  <c r="Q3990" i="12"/>
  <c r="Q3989" i="12"/>
  <c r="Q3988" i="12"/>
  <c r="Q3987" i="12"/>
  <c r="Q3986" i="12"/>
  <c r="Q3985" i="12"/>
  <c r="Q3984" i="12"/>
  <c r="Q3983" i="12"/>
  <c r="Q3982" i="12"/>
  <c r="Q3981" i="12"/>
  <c r="Q3980" i="12"/>
  <c r="Q3979" i="12"/>
  <c r="Q3978" i="12"/>
  <c r="Q3977" i="12"/>
  <c r="Q3976" i="12"/>
  <c r="Q3975" i="12"/>
  <c r="Q3974" i="12"/>
  <c r="Q3973" i="12"/>
  <c r="Q3972" i="12"/>
  <c r="Q3971" i="12"/>
  <c r="Q3970" i="12"/>
  <c r="Q3969" i="12"/>
  <c r="Q3968" i="12"/>
  <c r="Q3967" i="12"/>
  <c r="Q3966" i="12"/>
  <c r="Q3965" i="12"/>
  <c r="Q3964" i="12"/>
  <c r="Q3963" i="12"/>
  <c r="Q3962" i="12"/>
  <c r="Q3961" i="12"/>
  <c r="Q3960" i="12"/>
  <c r="Q3959" i="12"/>
  <c r="Q3958" i="12"/>
  <c r="Q3957" i="12"/>
  <c r="Q3956" i="12"/>
  <c r="Q3955" i="12"/>
  <c r="Q3954" i="12"/>
  <c r="Q3953" i="12"/>
  <c r="Q3952" i="12"/>
  <c r="Q3951" i="12"/>
  <c r="Q3950" i="12"/>
  <c r="Q3949" i="12"/>
  <c r="Q3948" i="12"/>
  <c r="Q3947" i="12"/>
  <c r="Q3946" i="12"/>
  <c r="Q3945" i="12"/>
  <c r="Q3944" i="12"/>
  <c r="Q3943" i="12"/>
  <c r="Q3942" i="12"/>
  <c r="Q3941" i="12"/>
  <c r="Q3940" i="12"/>
  <c r="Q3939" i="12"/>
  <c r="Q3938" i="12"/>
  <c r="Q3937" i="12"/>
  <c r="Q3936" i="12"/>
  <c r="Q3935" i="12"/>
  <c r="Q3934" i="12"/>
  <c r="Q3933" i="12"/>
  <c r="Q3932" i="12"/>
  <c r="Q3931" i="12"/>
  <c r="Q3930" i="12"/>
  <c r="Q3929" i="12"/>
  <c r="Q3928" i="12"/>
  <c r="Q3927" i="12"/>
  <c r="Q3926" i="12"/>
  <c r="Q3925" i="12"/>
  <c r="Q3924" i="12"/>
  <c r="Q3923" i="12"/>
  <c r="Q3922" i="12"/>
  <c r="Q3921" i="12"/>
  <c r="Q3920" i="12"/>
  <c r="Q3919" i="12"/>
  <c r="Q3918" i="12"/>
  <c r="Q3917" i="12"/>
  <c r="Q3916" i="12"/>
  <c r="Q3915" i="12"/>
  <c r="Q3914" i="12"/>
  <c r="Q3913" i="12"/>
  <c r="Q3912" i="12"/>
  <c r="Q3911" i="12"/>
  <c r="Q3910" i="12"/>
  <c r="Q3909" i="12"/>
  <c r="Q3908" i="12"/>
  <c r="Q3907" i="12"/>
  <c r="Q3906" i="12"/>
  <c r="Q3905" i="12"/>
  <c r="Q3904" i="12"/>
  <c r="Q3903" i="12"/>
  <c r="Q3902" i="12"/>
  <c r="Q3901" i="12"/>
  <c r="Q3900" i="12"/>
  <c r="Q3899" i="12"/>
  <c r="Q3898" i="12"/>
  <c r="Q3897" i="12"/>
  <c r="Q3896" i="12"/>
  <c r="Q3895" i="12"/>
  <c r="Q3894" i="12"/>
  <c r="Q3893" i="12"/>
  <c r="Q3892" i="12"/>
  <c r="Q3891" i="12"/>
  <c r="Q3890" i="12"/>
  <c r="Q3889" i="12"/>
  <c r="Q3888" i="12"/>
  <c r="Q3887" i="12"/>
  <c r="Q3886" i="12"/>
  <c r="Q3885" i="12"/>
  <c r="Q3884" i="12"/>
  <c r="Q3883" i="12"/>
  <c r="Q3882" i="12"/>
  <c r="Q3881" i="12"/>
  <c r="Q3880" i="12"/>
  <c r="Q3879" i="12"/>
  <c r="Q3878" i="12"/>
  <c r="Q3877" i="12"/>
  <c r="Q3876" i="12"/>
  <c r="Q3875" i="12"/>
  <c r="Q3874" i="12"/>
  <c r="Q3873" i="12"/>
  <c r="Q3872" i="12"/>
  <c r="Q3871" i="12"/>
  <c r="Q3870" i="12"/>
  <c r="Q3869" i="12"/>
  <c r="Q3868" i="12"/>
  <c r="Q3867" i="12"/>
  <c r="Q3866" i="12"/>
  <c r="Q3865" i="12"/>
  <c r="Q3864" i="12"/>
  <c r="Q3863" i="12"/>
  <c r="Q3862" i="12"/>
  <c r="Q3861" i="12"/>
  <c r="Q3860" i="12"/>
  <c r="Q3859" i="12"/>
  <c r="Q3858" i="12"/>
  <c r="Q3857" i="12"/>
  <c r="Q3856" i="12"/>
  <c r="Q3855" i="12"/>
  <c r="Q3854" i="12"/>
  <c r="Q3853" i="12"/>
  <c r="Q3852" i="12"/>
  <c r="Q3851" i="12"/>
  <c r="Q3850" i="12"/>
  <c r="Q3849" i="12"/>
  <c r="Q3848" i="12"/>
  <c r="Q3847" i="12"/>
  <c r="Q3846" i="12"/>
  <c r="Q3845" i="12"/>
  <c r="Q3844" i="12"/>
  <c r="Q3843" i="12"/>
  <c r="Q3842" i="12"/>
  <c r="Q3841" i="12"/>
  <c r="Q3840" i="12"/>
  <c r="Q3839" i="12"/>
  <c r="Q3838" i="12"/>
  <c r="Q3837" i="12"/>
  <c r="Q3836" i="12"/>
  <c r="Q3835" i="12"/>
  <c r="Q3834" i="12"/>
  <c r="Q3833" i="12"/>
  <c r="Q3832" i="12"/>
  <c r="Q3831" i="12"/>
  <c r="Q3830" i="12"/>
  <c r="Q3829" i="12"/>
  <c r="Q3828" i="12"/>
  <c r="Q3827" i="12"/>
  <c r="Q3826" i="12"/>
  <c r="Q3825" i="12"/>
  <c r="Q3824" i="12"/>
  <c r="Q3823" i="12"/>
  <c r="Q3822" i="12"/>
  <c r="Q3821" i="12"/>
  <c r="Q3820" i="12"/>
  <c r="Q3819" i="12"/>
  <c r="Q3818" i="12"/>
  <c r="Q3817" i="12"/>
  <c r="Q3816" i="12"/>
  <c r="Q3815" i="12"/>
  <c r="Q3814" i="12"/>
  <c r="Q3813" i="12"/>
  <c r="Q3812" i="12"/>
  <c r="Q3811" i="12"/>
  <c r="Q3810" i="12"/>
  <c r="Q3809" i="12"/>
  <c r="Q3808" i="12"/>
  <c r="Q3807" i="12"/>
  <c r="Q3806" i="12"/>
  <c r="Q3805" i="12"/>
  <c r="Q3804" i="12"/>
  <c r="Q3803" i="12"/>
  <c r="Q3802" i="12"/>
  <c r="Q3801" i="12"/>
  <c r="Q3800" i="12"/>
  <c r="Q3799" i="12"/>
  <c r="Q3798" i="12"/>
  <c r="Q3797" i="12"/>
  <c r="Q3796" i="12"/>
  <c r="Q3795" i="12"/>
  <c r="Q3794" i="12"/>
  <c r="Q3793" i="12"/>
  <c r="Q3792" i="12"/>
  <c r="Q3791" i="12"/>
  <c r="Q3790" i="12"/>
  <c r="Q3789" i="12"/>
  <c r="Q3788" i="12"/>
  <c r="Q3787" i="12"/>
  <c r="Q3786" i="12"/>
  <c r="Q3785" i="12"/>
  <c r="Q3784" i="12"/>
  <c r="Q3783" i="12"/>
  <c r="Q3782" i="12"/>
  <c r="Q3781" i="12"/>
  <c r="Q3780" i="12"/>
  <c r="Q3779" i="12"/>
  <c r="Q3778" i="12"/>
  <c r="Q3777" i="12"/>
  <c r="Q3776" i="12"/>
  <c r="Q3775" i="12"/>
  <c r="Q3774" i="12"/>
  <c r="Q3773" i="12"/>
  <c r="Q3772" i="12"/>
  <c r="Q3771" i="12"/>
  <c r="Q3770" i="12"/>
  <c r="Q3769" i="12"/>
  <c r="Q3768" i="12"/>
  <c r="Q3767" i="12"/>
  <c r="Q3766" i="12"/>
  <c r="Q3765" i="12"/>
  <c r="Q3764" i="12"/>
  <c r="Q3763" i="12"/>
  <c r="Q3762" i="12"/>
  <c r="Q3761" i="12"/>
  <c r="Q3760" i="12"/>
  <c r="Q3759" i="12"/>
  <c r="Q3758" i="12"/>
  <c r="Q3757" i="12"/>
  <c r="Q3756" i="12"/>
  <c r="Q3755" i="12"/>
  <c r="Q3754" i="12"/>
  <c r="Q3753" i="12"/>
  <c r="Q3752" i="12"/>
  <c r="Q3751" i="12"/>
  <c r="Q3750" i="12"/>
  <c r="Q3749" i="12"/>
  <c r="Q3748" i="12"/>
  <c r="Q3747" i="12"/>
  <c r="Q3746" i="12"/>
  <c r="Q3745" i="12"/>
  <c r="Q3744" i="12"/>
  <c r="Q3743" i="12"/>
  <c r="Q3742" i="12"/>
  <c r="Q3741" i="12"/>
  <c r="Q3740" i="12"/>
  <c r="Q3739" i="12"/>
  <c r="Q3738" i="12"/>
  <c r="Q3737" i="12"/>
  <c r="Q3736" i="12"/>
  <c r="Q3735" i="12"/>
  <c r="Q3734" i="12"/>
  <c r="Q3733" i="12"/>
  <c r="Q3732" i="12"/>
  <c r="Q3731" i="12"/>
  <c r="Q3730" i="12"/>
  <c r="Q3729" i="12"/>
  <c r="Q3728" i="12"/>
  <c r="Q3727" i="12"/>
  <c r="Q3726" i="12"/>
  <c r="Q3725" i="12"/>
  <c r="Q3724" i="12"/>
  <c r="Q3723" i="12"/>
  <c r="Q3722" i="12"/>
  <c r="Q3721" i="12"/>
  <c r="Q3720" i="12"/>
  <c r="Q3719" i="12"/>
  <c r="Q3718" i="12"/>
  <c r="Q3717" i="12"/>
  <c r="Q3716" i="12"/>
  <c r="Q3715" i="12"/>
  <c r="Q3714" i="12"/>
  <c r="Q3713" i="12"/>
  <c r="Q3712" i="12"/>
  <c r="Q3711" i="12"/>
  <c r="Q3710" i="12"/>
  <c r="Q3709" i="12"/>
  <c r="Q3708" i="12"/>
  <c r="Q3707" i="12"/>
  <c r="Q3706" i="12"/>
  <c r="Q3705" i="12"/>
  <c r="Q3704" i="12"/>
  <c r="Q3703" i="12"/>
  <c r="Q3702" i="12"/>
  <c r="Q3701" i="12"/>
  <c r="Q3700" i="12"/>
  <c r="Q3699" i="12"/>
  <c r="Q3698" i="12"/>
  <c r="Q3697" i="12"/>
  <c r="Q3696" i="12"/>
  <c r="Q3695" i="12"/>
  <c r="Q3694" i="12"/>
  <c r="Q3693" i="12"/>
  <c r="Q3692" i="12"/>
  <c r="Q3691" i="12"/>
  <c r="Q3690" i="12"/>
  <c r="Q3689" i="12"/>
  <c r="Q3688" i="12"/>
  <c r="Q3687" i="12"/>
  <c r="Q3686" i="12"/>
  <c r="Q3685" i="12"/>
  <c r="Q3684" i="12"/>
  <c r="Q3683" i="12"/>
  <c r="Q3682" i="12"/>
  <c r="Q3681" i="12"/>
  <c r="Q3680" i="12"/>
  <c r="Q3679" i="12"/>
  <c r="Q3678" i="12"/>
  <c r="Q3677" i="12"/>
  <c r="Q3676" i="12"/>
  <c r="Q3675" i="12"/>
  <c r="Q3674" i="12"/>
  <c r="Q3673" i="12"/>
  <c r="Q3672" i="12"/>
  <c r="Q3671" i="12"/>
  <c r="Q3670" i="12"/>
  <c r="Q3669" i="12"/>
  <c r="Q3668" i="12"/>
  <c r="Q3667" i="12"/>
  <c r="Q3666" i="12"/>
  <c r="Q3665" i="12"/>
  <c r="Q3664" i="12"/>
  <c r="Q3663" i="12"/>
  <c r="Q3662" i="12"/>
  <c r="Q3661" i="12"/>
  <c r="Q3660" i="12"/>
  <c r="Q3659" i="12"/>
  <c r="Q3658" i="12"/>
  <c r="Q3657" i="12"/>
  <c r="Q3656" i="12"/>
  <c r="Q3655" i="12"/>
  <c r="Q3654" i="12"/>
  <c r="Q3653" i="12"/>
  <c r="Q3652" i="12"/>
  <c r="Q3651" i="12"/>
  <c r="Q3650" i="12"/>
  <c r="Q3649" i="12"/>
  <c r="Q3648" i="12"/>
  <c r="Q3647" i="12"/>
  <c r="Q3646" i="12"/>
  <c r="Q3645" i="12"/>
  <c r="Q3644" i="12"/>
  <c r="Q3643" i="12"/>
  <c r="Q3642" i="12"/>
  <c r="Q3641" i="12"/>
  <c r="Q3640" i="12"/>
  <c r="Q3639" i="12"/>
  <c r="Q3638" i="12"/>
  <c r="Q3637" i="12"/>
  <c r="Q3636" i="12"/>
  <c r="Q3635" i="12"/>
  <c r="Q3634" i="12"/>
  <c r="Q3633" i="12"/>
  <c r="Q3632" i="12"/>
  <c r="Q3631" i="12"/>
  <c r="Q3630" i="12"/>
  <c r="Q3629" i="12"/>
  <c r="Q3628" i="12"/>
  <c r="Q3627" i="12"/>
  <c r="Q3626" i="12"/>
  <c r="Q3625" i="12"/>
  <c r="Q3624" i="12"/>
  <c r="Q3623" i="12"/>
  <c r="Q3622" i="12"/>
  <c r="Q3621" i="12"/>
  <c r="Q3620" i="12"/>
  <c r="Q3619" i="12"/>
  <c r="Q3618" i="12"/>
  <c r="Q3617" i="12"/>
  <c r="Q3616" i="12"/>
  <c r="Q3615" i="12"/>
  <c r="Q3614" i="12"/>
  <c r="Q3613" i="12"/>
  <c r="Q3612" i="12"/>
  <c r="Q3611" i="12"/>
  <c r="Q3610" i="12"/>
  <c r="Q3609" i="12"/>
  <c r="Q3608" i="12"/>
  <c r="Q3607" i="12"/>
  <c r="Q3606" i="12"/>
  <c r="Q3605" i="12"/>
  <c r="Q3604" i="12"/>
  <c r="Q3603" i="12"/>
  <c r="Q3602" i="12"/>
  <c r="Q3601" i="12"/>
  <c r="Q3600" i="12"/>
  <c r="Q3599" i="12"/>
  <c r="Q3598" i="12"/>
  <c r="Q3597" i="12"/>
  <c r="Q3596" i="12"/>
  <c r="Q3595" i="12"/>
  <c r="Q3594" i="12"/>
  <c r="Q3593" i="12"/>
  <c r="Q3592" i="12"/>
  <c r="Q3591" i="12"/>
  <c r="Q3590" i="12"/>
  <c r="Q3589" i="12"/>
  <c r="Q3588" i="12"/>
  <c r="Q3587" i="12"/>
  <c r="Q3586" i="12"/>
  <c r="Q3585" i="12"/>
  <c r="Q3584" i="12"/>
  <c r="Q3583" i="12"/>
  <c r="Q3582" i="12"/>
  <c r="Q3581" i="12"/>
  <c r="Q3580" i="12"/>
  <c r="Q3579" i="12"/>
  <c r="Q3578" i="12"/>
  <c r="Q3577" i="12"/>
  <c r="Q3576" i="12"/>
  <c r="Q3575" i="12"/>
  <c r="Q3574" i="12"/>
  <c r="Q3573" i="12"/>
  <c r="Q3572" i="12"/>
  <c r="Q3571" i="12"/>
  <c r="Q3570" i="12"/>
  <c r="Q3569" i="12"/>
  <c r="Q3568" i="12"/>
  <c r="Q3567" i="12"/>
  <c r="Q3566" i="12"/>
  <c r="Q3565" i="12"/>
  <c r="Q3564" i="12"/>
  <c r="Q3563" i="12"/>
  <c r="Q3562" i="12"/>
  <c r="Q3561" i="12"/>
  <c r="Q3560" i="12"/>
  <c r="Q3559" i="12"/>
  <c r="Q3558" i="12"/>
  <c r="Q3557" i="12"/>
  <c r="Q3556" i="12"/>
  <c r="Q3555" i="12"/>
  <c r="Q3554" i="12"/>
  <c r="Q3553" i="12"/>
  <c r="Q3552" i="12"/>
  <c r="Q3551" i="12"/>
  <c r="Q3550" i="12"/>
  <c r="Q3549" i="12"/>
  <c r="Q3548" i="12"/>
  <c r="Q3547" i="12"/>
  <c r="Q3546" i="12"/>
  <c r="Q3545" i="12"/>
  <c r="Q3544" i="12"/>
  <c r="Q3543" i="12"/>
  <c r="Q3542" i="12"/>
  <c r="Q3541" i="12"/>
  <c r="Q3540" i="12"/>
  <c r="Q3539" i="12"/>
  <c r="Q3538" i="12"/>
  <c r="Q3537" i="12"/>
  <c r="Q3536" i="12"/>
  <c r="Q3535" i="12"/>
  <c r="Q3534" i="12"/>
  <c r="Q3533" i="12"/>
  <c r="Q3532" i="12"/>
  <c r="Q3531" i="12"/>
  <c r="Q3530" i="12"/>
  <c r="Q3529" i="12"/>
  <c r="Q3528" i="12"/>
  <c r="Q3527" i="12"/>
  <c r="Q3526" i="12"/>
  <c r="Q3525" i="12"/>
  <c r="Q3524" i="12"/>
  <c r="Q3523" i="12"/>
  <c r="Q3522" i="12"/>
  <c r="Q3521" i="12"/>
  <c r="Q3520" i="12"/>
  <c r="Q3519" i="12"/>
  <c r="Q3518" i="12"/>
  <c r="Q3517" i="12"/>
  <c r="Q3516" i="12"/>
  <c r="Q3515" i="12"/>
  <c r="Q3514" i="12"/>
  <c r="Q3513" i="12"/>
  <c r="Q3512" i="12"/>
  <c r="Q3511" i="12"/>
  <c r="Q3510" i="12"/>
  <c r="Q3509" i="12"/>
  <c r="Q3508" i="12"/>
  <c r="Q3507" i="12"/>
  <c r="Q3506" i="12"/>
  <c r="Q3505" i="12"/>
  <c r="Q3504" i="12"/>
  <c r="Q3503" i="12"/>
  <c r="Q3502" i="12"/>
  <c r="Q3501" i="12"/>
  <c r="Q3500" i="12"/>
  <c r="Q3499" i="12"/>
  <c r="Q3498" i="12"/>
  <c r="Q3497" i="12"/>
  <c r="Q3496" i="12"/>
  <c r="Q3495" i="12"/>
  <c r="Q3494" i="12"/>
  <c r="Q3493" i="12"/>
  <c r="Q3492" i="12"/>
  <c r="Q3491" i="12"/>
  <c r="Q3490" i="12"/>
  <c r="Q3489" i="12"/>
  <c r="Q3488" i="12"/>
  <c r="Q3487" i="12"/>
  <c r="Q3486" i="12"/>
  <c r="Q3485" i="12"/>
  <c r="Q3484" i="12"/>
  <c r="Q3483" i="12"/>
  <c r="Q3482" i="12"/>
  <c r="Q3481" i="12"/>
  <c r="Q3480" i="12"/>
  <c r="Q3479" i="12"/>
  <c r="Q3478" i="12"/>
  <c r="Q3477" i="12"/>
  <c r="Q3476" i="12"/>
  <c r="Q3475" i="12"/>
  <c r="Q3474" i="12"/>
  <c r="Q3473" i="12"/>
  <c r="Q3472" i="12"/>
  <c r="Q3471" i="12"/>
  <c r="Q3470" i="12"/>
  <c r="Q3469" i="12"/>
  <c r="Q3468" i="12"/>
  <c r="Q3467" i="12"/>
  <c r="Q3466" i="12"/>
  <c r="Q3465" i="12"/>
  <c r="Q3464" i="12"/>
  <c r="Q3463" i="12"/>
  <c r="Q3462" i="12"/>
  <c r="Q3461" i="12"/>
  <c r="Q3460" i="12"/>
  <c r="Q3459" i="12"/>
  <c r="Q3458" i="12"/>
  <c r="Q3457" i="12"/>
  <c r="Q3456" i="12"/>
  <c r="Q3455" i="12"/>
  <c r="Q3454" i="12"/>
  <c r="Q3453" i="12"/>
  <c r="Q3452" i="12"/>
  <c r="Q3451" i="12"/>
  <c r="Q3450" i="12"/>
  <c r="Q3449" i="12"/>
  <c r="Q3448" i="12"/>
  <c r="Q3447" i="12"/>
  <c r="Q3446" i="12"/>
  <c r="Q3445" i="12"/>
  <c r="Q3444" i="12"/>
  <c r="Q3443" i="12"/>
  <c r="Q3442" i="12"/>
  <c r="Q3441" i="12"/>
  <c r="Q3440" i="12"/>
  <c r="Q3439" i="12"/>
  <c r="Q3438" i="12"/>
  <c r="Q3437" i="12"/>
  <c r="Q3436" i="12"/>
  <c r="Q3435" i="12"/>
  <c r="Q3434" i="12"/>
  <c r="Q3433" i="12"/>
  <c r="Q3432" i="12"/>
  <c r="Q3431" i="12"/>
  <c r="Q3430" i="12"/>
  <c r="Q3429" i="12"/>
  <c r="Q3428" i="12"/>
  <c r="Q3427" i="12"/>
  <c r="Q3426" i="12"/>
  <c r="Q3425" i="12"/>
  <c r="Q3424" i="12"/>
  <c r="Q3423" i="12"/>
  <c r="Q3422" i="12"/>
  <c r="Q3421" i="12"/>
  <c r="Q3420" i="12"/>
  <c r="Q3419" i="12"/>
  <c r="Q3418" i="12"/>
  <c r="Q3417" i="12"/>
  <c r="Q3416" i="12"/>
  <c r="Q3415" i="12"/>
  <c r="Q3414" i="12"/>
  <c r="Q3413" i="12"/>
  <c r="Q3412" i="12"/>
  <c r="Q3411" i="12"/>
  <c r="Q3410" i="12"/>
  <c r="Q3409" i="12"/>
  <c r="Q3408" i="12"/>
  <c r="Q3407" i="12"/>
  <c r="Q3406" i="12"/>
  <c r="Q3405" i="12"/>
  <c r="Q3404" i="12"/>
  <c r="Q3403" i="12"/>
  <c r="Q3402" i="12"/>
  <c r="Q3401" i="12"/>
  <c r="Q3400" i="12"/>
  <c r="Q3399" i="12"/>
  <c r="Q3398" i="12"/>
  <c r="Q3397" i="12"/>
  <c r="Q3396" i="12"/>
  <c r="Q3395" i="12"/>
  <c r="Q3394" i="12"/>
  <c r="Q3393" i="12"/>
  <c r="Q3392" i="12"/>
  <c r="Q3391" i="12"/>
  <c r="Q3390" i="12"/>
  <c r="Q3389" i="12"/>
  <c r="Q3388" i="12"/>
  <c r="Q3387" i="12"/>
  <c r="Q3386" i="12"/>
  <c r="Q3385" i="12"/>
  <c r="Q3384" i="12"/>
  <c r="Q3383" i="12"/>
  <c r="Q3382" i="12"/>
  <c r="Q3381" i="12"/>
  <c r="Q3380" i="12"/>
  <c r="Q3379" i="12"/>
  <c r="Q3378" i="12"/>
  <c r="Q3377" i="12"/>
  <c r="Q3376" i="12"/>
  <c r="Q3375" i="12"/>
  <c r="Q3374" i="12"/>
  <c r="Q3373" i="12"/>
  <c r="Q3372" i="12"/>
  <c r="Q3371" i="12"/>
  <c r="Q3370" i="12"/>
  <c r="Q3369" i="12"/>
  <c r="Q3368" i="12"/>
  <c r="Q3367" i="12"/>
  <c r="Q3366" i="12"/>
  <c r="Q3365" i="12"/>
  <c r="Q3364" i="12"/>
  <c r="Q3363" i="12"/>
  <c r="Q3362" i="12"/>
  <c r="Q3361" i="12"/>
  <c r="Q3360" i="12"/>
  <c r="Q3359" i="12"/>
  <c r="Q3358" i="12"/>
  <c r="Q3357" i="12"/>
  <c r="Q3356" i="12"/>
  <c r="Q3355" i="12"/>
  <c r="Q3354" i="12"/>
  <c r="Q3353" i="12"/>
  <c r="Q3352" i="12"/>
  <c r="Q3351" i="12"/>
  <c r="Q3350" i="12"/>
  <c r="Q3349" i="12"/>
  <c r="Q3348" i="12"/>
  <c r="Q3347" i="12"/>
  <c r="Q3346" i="12"/>
  <c r="Q3345" i="12"/>
  <c r="Q3344" i="12"/>
  <c r="Q3343" i="12"/>
  <c r="Q3342" i="12"/>
  <c r="Q3341" i="12"/>
  <c r="Q3340" i="12"/>
  <c r="Q3339" i="12"/>
  <c r="Q3338" i="12"/>
  <c r="Q3337" i="12"/>
  <c r="Q3336" i="12"/>
  <c r="Q3335" i="12"/>
  <c r="Q3334" i="12"/>
  <c r="Q3333" i="12"/>
  <c r="Q3332" i="12"/>
  <c r="Q3331" i="12"/>
  <c r="Q3330" i="12"/>
  <c r="Q3329" i="12"/>
  <c r="Q3328" i="12"/>
  <c r="Q3327" i="12"/>
  <c r="Q3326" i="12"/>
  <c r="Q3325" i="12"/>
  <c r="Q3324" i="12"/>
  <c r="Q3323" i="12"/>
  <c r="Q3322" i="12"/>
  <c r="Q3321" i="12"/>
  <c r="Q3320" i="12"/>
  <c r="Q3319" i="12"/>
  <c r="Q3318" i="12"/>
  <c r="Q3317" i="12"/>
  <c r="Q3316" i="12"/>
  <c r="Q3315" i="12"/>
  <c r="Q3314" i="12"/>
  <c r="Q3313" i="12"/>
  <c r="Q3312" i="12"/>
  <c r="Q3311" i="12"/>
  <c r="Q3310" i="12"/>
  <c r="Q3309" i="12"/>
  <c r="Q3308" i="12"/>
  <c r="Q3307" i="12"/>
  <c r="Q3306" i="12"/>
  <c r="Q3305" i="12"/>
  <c r="Q3304" i="12"/>
  <c r="Q3303" i="12"/>
  <c r="Q3302" i="12"/>
  <c r="Q3301" i="12"/>
  <c r="Q3300" i="12"/>
  <c r="Q3299" i="12"/>
  <c r="Q3298" i="12"/>
  <c r="Q3297" i="12"/>
  <c r="Q3296" i="12"/>
  <c r="Q3295" i="12"/>
  <c r="Q3294" i="12"/>
  <c r="Q3293" i="12"/>
  <c r="Q3292" i="12"/>
  <c r="Q3291" i="12"/>
  <c r="Q3290" i="12"/>
  <c r="Q3289" i="12"/>
  <c r="Q3288" i="12"/>
  <c r="Q3287" i="12"/>
  <c r="Q3286" i="12"/>
  <c r="Q3285" i="12"/>
  <c r="Q3284" i="12"/>
  <c r="Q3283" i="12"/>
  <c r="Q3282" i="12"/>
  <c r="Q3281" i="12"/>
  <c r="Q3280" i="12"/>
  <c r="Q3279" i="12"/>
  <c r="Q3278" i="12"/>
  <c r="Q3277" i="12"/>
  <c r="Q3276" i="12"/>
  <c r="Q3275" i="12"/>
  <c r="Q3274" i="12"/>
  <c r="Q3273" i="12"/>
  <c r="Q3272" i="12"/>
  <c r="Q3271" i="12"/>
  <c r="Q3270" i="12"/>
  <c r="Q3269" i="12"/>
  <c r="Q3268" i="12"/>
  <c r="Q3267" i="12"/>
  <c r="Q3266" i="12"/>
  <c r="Q3265" i="12"/>
  <c r="Q3264" i="12"/>
  <c r="Q3263" i="12"/>
  <c r="Q3262" i="12"/>
  <c r="Q3261" i="12"/>
  <c r="Q3260" i="12"/>
  <c r="Q3259" i="12"/>
  <c r="Q3258" i="12"/>
  <c r="Q3257" i="12"/>
  <c r="Q3256" i="12"/>
  <c r="Q3255" i="12"/>
  <c r="Q3254" i="12"/>
  <c r="Q3253" i="12"/>
  <c r="Q3252" i="12"/>
  <c r="Q3251" i="12"/>
  <c r="Q3250" i="12"/>
  <c r="Q3249" i="12"/>
  <c r="Q3248" i="12"/>
  <c r="Q3247" i="12"/>
  <c r="Q3246" i="12"/>
  <c r="Q3245" i="12"/>
  <c r="Q3244" i="12"/>
  <c r="Q3243" i="12"/>
  <c r="Q3242" i="12"/>
  <c r="Q3241" i="12"/>
  <c r="Q3240" i="12"/>
  <c r="Q3239" i="12"/>
  <c r="Q3238" i="12"/>
  <c r="Q3237" i="12"/>
  <c r="Q3236" i="12"/>
  <c r="Q3235" i="12"/>
  <c r="Q3234" i="12"/>
  <c r="Q3233" i="12"/>
  <c r="Q3232" i="12"/>
  <c r="Q3231" i="12"/>
  <c r="Q3230" i="12"/>
  <c r="Q3229" i="12"/>
  <c r="Q3228" i="12"/>
  <c r="Q3227" i="12"/>
  <c r="Q3226" i="12"/>
  <c r="Q3225" i="12"/>
  <c r="Q3224" i="12"/>
  <c r="Q3223" i="12"/>
  <c r="Q3222" i="12"/>
  <c r="Q3221" i="12"/>
  <c r="Q3220" i="12"/>
  <c r="Q3219" i="12"/>
  <c r="Q3218" i="12"/>
  <c r="Q3217" i="12"/>
  <c r="Q3216" i="12"/>
  <c r="Q3215" i="12"/>
  <c r="Q3214" i="12"/>
  <c r="Q3213" i="12"/>
  <c r="Q3212" i="12"/>
  <c r="Q3211" i="12"/>
  <c r="Q3210" i="12"/>
  <c r="Q3209" i="12"/>
  <c r="Q3208" i="12"/>
  <c r="Q3207" i="12"/>
  <c r="Q3206" i="12"/>
  <c r="Q3205" i="12"/>
  <c r="Q3204" i="12"/>
  <c r="Q3203" i="12"/>
  <c r="Q3202" i="12"/>
  <c r="Q3201" i="12"/>
  <c r="Q3200" i="12"/>
  <c r="Q3199" i="12"/>
  <c r="Q3198" i="12"/>
  <c r="Q3197" i="12"/>
  <c r="Q3196" i="12"/>
  <c r="Q3195" i="12"/>
  <c r="Q3194" i="12"/>
  <c r="Q3193" i="12"/>
  <c r="Q3192" i="12"/>
  <c r="Q3191" i="12"/>
  <c r="Q3190" i="12"/>
  <c r="Q3189" i="12"/>
  <c r="Q3188" i="12"/>
  <c r="Q3187" i="12"/>
  <c r="Q3186" i="12"/>
  <c r="Q3185" i="12"/>
  <c r="Q3184" i="12"/>
  <c r="Q3183" i="12"/>
  <c r="Q3182" i="12"/>
  <c r="Q3181" i="12"/>
  <c r="Q3180" i="12"/>
  <c r="Q3179" i="12"/>
  <c r="Q3178" i="12"/>
  <c r="Q3177" i="12"/>
  <c r="Q3176" i="12"/>
  <c r="Q3175" i="12"/>
  <c r="Q3174" i="12"/>
  <c r="Q3173" i="12"/>
  <c r="Q3172" i="12"/>
  <c r="Q3171" i="12"/>
  <c r="Q3170" i="12"/>
  <c r="Q3169" i="12"/>
  <c r="Q3168" i="12"/>
  <c r="Q3167" i="12"/>
  <c r="Q3166" i="12"/>
  <c r="Q3165" i="12"/>
  <c r="Q3164" i="12"/>
  <c r="Q3163" i="12"/>
  <c r="Q3162" i="12"/>
  <c r="Q3161" i="12"/>
  <c r="Q3160" i="12"/>
  <c r="Q3159" i="12"/>
  <c r="Q3158" i="12"/>
  <c r="Q3157" i="12"/>
  <c r="Q3156" i="12"/>
  <c r="Q3155" i="12"/>
  <c r="Q3154" i="12"/>
  <c r="Q3153" i="12"/>
  <c r="Q3152" i="12"/>
  <c r="Q3151" i="12"/>
  <c r="Q3150" i="12"/>
  <c r="Q3149" i="12"/>
  <c r="Q3148" i="12"/>
  <c r="Q3147" i="12"/>
  <c r="Q3146" i="12"/>
  <c r="Q3145" i="12"/>
  <c r="Q3144" i="12"/>
  <c r="Q3143" i="12"/>
  <c r="Q3142" i="12"/>
  <c r="Q3141" i="12"/>
  <c r="Q3140" i="12"/>
  <c r="Q3139" i="12"/>
  <c r="Q3138" i="12"/>
  <c r="Q3137" i="12"/>
  <c r="Q3136" i="12"/>
  <c r="Q3135" i="12"/>
  <c r="Q3134" i="12"/>
  <c r="Q3133" i="12"/>
  <c r="Q3132" i="12"/>
  <c r="Q3131" i="12"/>
  <c r="Q3130" i="12"/>
  <c r="Q3129" i="12"/>
  <c r="Q3128" i="12"/>
  <c r="Q3127" i="12"/>
  <c r="Q3126" i="12"/>
  <c r="Q3125" i="12"/>
  <c r="Q3124" i="12"/>
  <c r="Q3123" i="12"/>
  <c r="Q3122" i="12"/>
  <c r="Q3121" i="12"/>
  <c r="Q3120" i="12"/>
  <c r="Q3119" i="12"/>
  <c r="Q3118" i="12"/>
  <c r="Q3117" i="12"/>
  <c r="Q3116" i="12"/>
  <c r="Q3115" i="12"/>
  <c r="Q3114" i="12"/>
  <c r="Q3113" i="12"/>
  <c r="Q3112" i="12"/>
  <c r="Q3111" i="12"/>
  <c r="Q3110" i="12"/>
  <c r="Q3109" i="12"/>
  <c r="Q3108" i="12"/>
  <c r="Q3107" i="12"/>
  <c r="Q3106" i="12"/>
  <c r="Q3105" i="12"/>
  <c r="Q3104" i="12"/>
  <c r="Q3103" i="12"/>
  <c r="Q3102" i="12"/>
  <c r="Q3101" i="12"/>
  <c r="Q3100" i="12"/>
  <c r="Q3099" i="12"/>
  <c r="Q3098" i="12"/>
  <c r="Q3097" i="12"/>
  <c r="Q3096" i="12"/>
  <c r="Q3095" i="12"/>
  <c r="Q3094" i="12"/>
  <c r="Q3093" i="12"/>
  <c r="Q3092" i="12"/>
  <c r="Q3091" i="12"/>
  <c r="Q3090" i="12"/>
  <c r="Q3089" i="12"/>
  <c r="Q3088" i="12"/>
  <c r="Q3087" i="12"/>
  <c r="Q3086" i="12"/>
  <c r="Q3085" i="12"/>
  <c r="Q3084" i="12"/>
  <c r="Q3083" i="12"/>
  <c r="Q3082" i="12"/>
  <c r="Q3081" i="12"/>
  <c r="Q3080" i="12"/>
  <c r="Q3079" i="12"/>
  <c r="Q3078" i="12"/>
  <c r="Q3077" i="12"/>
  <c r="Q3076" i="12"/>
  <c r="Q3075" i="12"/>
  <c r="Q3074" i="12"/>
  <c r="Q3073" i="12"/>
  <c r="Q3072" i="12"/>
  <c r="Q3071" i="12"/>
  <c r="Q3070" i="12"/>
  <c r="Q3069" i="12"/>
  <c r="Q3068" i="12"/>
  <c r="Q3067" i="12"/>
  <c r="Q3066" i="12"/>
  <c r="Q3065" i="12"/>
  <c r="Q3064" i="12"/>
  <c r="Q3063" i="12"/>
  <c r="Q3062" i="12"/>
  <c r="Q3061" i="12"/>
  <c r="Q3060" i="12"/>
  <c r="Q3059" i="12"/>
  <c r="Q3058" i="12"/>
  <c r="Q3057" i="12"/>
  <c r="Q3056" i="12"/>
  <c r="Q3055" i="12"/>
  <c r="Q3054" i="12"/>
  <c r="Q3053" i="12"/>
  <c r="Q3052" i="12"/>
  <c r="Q3051" i="12"/>
  <c r="Q3050" i="12"/>
  <c r="Q3049" i="12"/>
  <c r="Q3048" i="12"/>
  <c r="Q3047" i="12"/>
  <c r="Q3046" i="12"/>
  <c r="Q3045" i="12"/>
  <c r="Q3044" i="12"/>
  <c r="Q3043" i="12"/>
  <c r="Q3042" i="12"/>
  <c r="Q3041" i="12"/>
  <c r="Q3040" i="12"/>
  <c r="Q3039" i="12"/>
  <c r="Q3038" i="12"/>
  <c r="Q3037" i="12"/>
  <c r="Q3036" i="12"/>
  <c r="Q3035" i="12"/>
  <c r="Q3034" i="12"/>
  <c r="Q3033" i="12"/>
  <c r="Q3032" i="12"/>
  <c r="Q3031" i="12"/>
  <c r="Q3030" i="12"/>
  <c r="Q3029" i="12"/>
  <c r="Q3028" i="12"/>
  <c r="Q3027" i="12"/>
  <c r="Q3026" i="12"/>
  <c r="Q3025" i="12"/>
  <c r="Q3024" i="12"/>
  <c r="Q3023" i="12"/>
  <c r="Q3022" i="12"/>
  <c r="Q3021" i="12"/>
  <c r="Q3020" i="12"/>
  <c r="Q3019" i="12"/>
  <c r="Q3018" i="12"/>
  <c r="Q3017" i="12"/>
  <c r="Q3016" i="12"/>
  <c r="Q3015" i="12"/>
  <c r="Q3014" i="12"/>
  <c r="Q3013" i="12"/>
  <c r="Q3012" i="12"/>
  <c r="Q3011" i="12"/>
  <c r="Q3010" i="12"/>
  <c r="Q3009" i="12"/>
  <c r="Q3008" i="12"/>
  <c r="Q3007" i="12"/>
  <c r="Q3006" i="12"/>
  <c r="Q3005" i="12"/>
  <c r="Q3004" i="12"/>
  <c r="Q3003" i="12"/>
  <c r="Q3002" i="12"/>
  <c r="Q3001" i="12"/>
  <c r="Q3000" i="12"/>
  <c r="Q2999" i="12"/>
  <c r="Q2998" i="12"/>
  <c r="Q2997" i="12"/>
  <c r="Q2996" i="12"/>
  <c r="Q2995" i="12"/>
  <c r="Q2994" i="12"/>
  <c r="Q2993" i="12"/>
  <c r="Q2992" i="12"/>
  <c r="Q2991" i="12"/>
  <c r="Q2990" i="12"/>
  <c r="Q2989" i="12"/>
  <c r="Q2988" i="12"/>
  <c r="Q2987" i="12"/>
  <c r="Q2986" i="12"/>
  <c r="Q2985" i="12"/>
  <c r="Q2984" i="12"/>
  <c r="Q2983" i="12"/>
  <c r="Q2982" i="12"/>
  <c r="Q2981" i="12"/>
  <c r="Q2980" i="12"/>
  <c r="Q2979" i="12"/>
  <c r="Q2978" i="12"/>
  <c r="Q2977" i="12"/>
  <c r="Q2976" i="12"/>
  <c r="Q2975" i="12"/>
  <c r="Q2974" i="12"/>
  <c r="Q2973" i="12"/>
  <c r="Q2972" i="12"/>
  <c r="Q2971" i="12"/>
  <c r="Q2970" i="12"/>
  <c r="Q2969" i="12"/>
  <c r="Q2968" i="12"/>
  <c r="Q2967" i="12"/>
  <c r="Q2966" i="12"/>
  <c r="Q2965" i="12"/>
  <c r="Q2964" i="12"/>
  <c r="Q2963" i="12"/>
  <c r="Q2962" i="12"/>
  <c r="Q2961" i="12"/>
  <c r="Q2960" i="12"/>
  <c r="Q2959" i="12"/>
  <c r="Q2958" i="12"/>
  <c r="Q2957" i="12"/>
  <c r="Q2956" i="12"/>
  <c r="Q2955" i="12"/>
  <c r="Q2954" i="12"/>
  <c r="Q2953" i="12"/>
  <c r="Q2952" i="12"/>
  <c r="Q2951" i="12"/>
  <c r="Q2950" i="12"/>
  <c r="Q2949" i="12"/>
  <c r="Q2948" i="12"/>
  <c r="Q2947" i="12"/>
  <c r="Q2946" i="12"/>
  <c r="Q2945" i="12"/>
  <c r="Q2944" i="12"/>
  <c r="Q2943" i="12"/>
  <c r="Q2942" i="12"/>
  <c r="Q2941" i="12"/>
  <c r="Q2940" i="12"/>
  <c r="Q2939" i="12"/>
  <c r="Q2938" i="12"/>
  <c r="Q2937" i="12"/>
  <c r="Q2936" i="12"/>
  <c r="Q2935" i="12"/>
  <c r="Q2934" i="12"/>
  <c r="Q2933" i="12"/>
  <c r="Q2932" i="12"/>
  <c r="Q2931" i="12"/>
  <c r="Q2930" i="12"/>
  <c r="Q2929" i="12"/>
  <c r="Q2928" i="12"/>
  <c r="Q2927" i="12"/>
  <c r="Q2926" i="12"/>
  <c r="Q2925" i="12"/>
  <c r="Q2924" i="12"/>
  <c r="Q2923" i="12"/>
  <c r="Q2922" i="12"/>
  <c r="Q2921" i="12"/>
  <c r="Q2920" i="12"/>
  <c r="Q2919" i="12"/>
  <c r="Q2918" i="12"/>
  <c r="Q2917" i="12"/>
  <c r="Q2916" i="12"/>
  <c r="Q2915" i="12"/>
  <c r="Q2914" i="12"/>
  <c r="Q2913" i="12"/>
  <c r="Q2912" i="12"/>
  <c r="Q2911" i="12"/>
  <c r="Q2910" i="12"/>
  <c r="Q2909" i="12"/>
  <c r="Q2908" i="12"/>
  <c r="Q2907" i="12"/>
  <c r="Q2906" i="12"/>
  <c r="Q2905" i="12"/>
  <c r="Q2904" i="12"/>
  <c r="Q2903" i="12"/>
  <c r="Q2902" i="12"/>
  <c r="Q2901" i="12"/>
  <c r="Q2900" i="12"/>
  <c r="Q2899" i="12"/>
  <c r="Q2898" i="12"/>
  <c r="Q2897" i="12"/>
  <c r="Q2896" i="12"/>
  <c r="Q2895" i="12"/>
  <c r="Q2894" i="12"/>
  <c r="Q2893" i="12"/>
  <c r="Q2892" i="12"/>
  <c r="Q2891" i="12"/>
  <c r="Q2890" i="12"/>
  <c r="Q2889" i="12"/>
  <c r="Q2888" i="12"/>
  <c r="Q2887" i="12"/>
  <c r="Q2886" i="12"/>
  <c r="Q2885" i="12"/>
  <c r="Q2884" i="12"/>
  <c r="Q2883" i="12"/>
  <c r="Q2882" i="12"/>
  <c r="Q2881" i="12"/>
  <c r="Q2880" i="12"/>
  <c r="Q2879" i="12"/>
  <c r="Q2878" i="12"/>
  <c r="Q2877" i="12"/>
  <c r="Q2876" i="12"/>
  <c r="Q2875" i="12"/>
  <c r="Q2874" i="12"/>
  <c r="Q2873" i="12"/>
  <c r="Q2872" i="12"/>
  <c r="Q2871" i="12"/>
  <c r="Q2870" i="12"/>
  <c r="Q2869" i="12"/>
  <c r="Q2868" i="12"/>
  <c r="Q2867" i="12"/>
  <c r="Q2866" i="12"/>
  <c r="Q2865" i="12"/>
  <c r="Q2864" i="12"/>
  <c r="Q2863" i="12"/>
  <c r="Q2862" i="12"/>
  <c r="Q2861" i="12"/>
  <c r="Q2860" i="12"/>
  <c r="Q2859" i="12"/>
  <c r="Q2858" i="12"/>
  <c r="Q2857" i="12"/>
  <c r="Q2856" i="12"/>
  <c r="Q2855" i="12"/>
  <c r="Q2854" i="12"/>
  <c r="Q2853" i="12"/>
  <c r="Q2852" i="12"/>
  <c r="Q2851" i="12"/>
  <c r="Q2850" i="12"/>
  <c r="Q2849" i="12"/>
  <c r="Q2848" i="12"/>
  <c r="Q2847" i="12"/>
  <c r="Q2846" i="12"/>
  <c r="Q2845" i="12"/>
  <c r="Q2844" i="12"/>
  <c r="Q2843" i="12"/>
  <c r="Q2842" i="12"/>
  <c r="Q2841" i="12"/>
  <c r="Q2840" i="12"/>
  <c r="Q2839" i="12"/>
  <c r="Q2838" i="12"/>
  <c r="Q2837" i="12"/>
  <c r="Q2836" i="12"/>
  <c r="Q2835" i="12"/>
  <c r="Q2834" i="12"/>
  <c r="Q2833" i="12"/>
  <c r="Q2832" i="12"/>
  <c r="Q2831" i="12"/>
  <c r="Q2830" i="12"/>
  <c r="Q2829" i="12"/>
  <c r="Q2828" i="12"/>
  <c r="Q2827" i="12"/>
  <c r="Q2826" i="12"/>
  <c r="Q2825" i="12"/>
  <c r="Q2824" i="12"/>
  <c r="Q2823" i="12"/>
  <c r="Q2822" i="12"/>
  <c r="Q2821" i="12"/>
  <c r="Q2820" i="12"/>
  <c r="Q2819" i="12"/>
  <c r="Q2818" i="12"/>
  <c r="Q2817" i="12"/>
  <c r="Q2816" i="12"/>
  <c r="Q2815" i="12"/>
  <c r="Q2814" i="12"/>
  <c r="Q2813" i="12"/>
  <c r="Q2812" i="12"/>
  <c r="Q2811" i="12"/>
  <c r="Q2810" i="12"/>
  <c r="Q2809" i="12"/>
  <c r="Q2808" i="12"/>
  <c r="Q2807" i="12"/>
  <c r="Q2806" i="12"/>
  <c r="Q2805" i="12"/>
  <c r="Q2804" i="12"/>
  <c r="Q2803" i="12"/>
  <c r="Q2802" i="12"/>
  <c r="Q2801" i="12"/>
  <c r="Q2800" i="12"/>
  <c r="Q2799" i="12"/>
  <c r="Q2798" i="12"/>
  <c r="Q2797" i="12"/>
  <c r="Q2796" i="12"/>
  <c r="Q2795" i="12"/>
  <c r="Q2794" i="12"/>
  <c r="Q2793" i="12"/>
  <c r="Q2792" i="12"/>
  <c r="Q2791" i="12"/>
  <c r="Q2790" i="12"/>
  <c r="Q2789" i="12"/>
  <c r="Q2788" i="12"/>
  <c r="Q2787" i="12"/>
  <c r="Q2786" i="12"/>
  <c r="Q2785" i="12"/>
  <c r="Q2784" i="12"/>
  <c r="Q2783" i="12"/>
  <c r="Q2782" i="12"/>
  <c r="Q2781" i="12"/>
  <c r="Q2780" i="12"/>
  <c r="Q2779" i="12"/>
  <c r="Q2778" i="12"/>
  <c r="Q2777" i="12"/>
  <c r="Q2776" i="12"/>
  <c r="Q2775" i="12"/>
  <c r="Q2774" i="12"/>
  <c r="Q2773" i="12"/>
  <c r="Q2772" i="12"/>
  <c r="Q2771" i="12"/>
  <c r="Q2770" i="12"/>
  <c r="Q2769" i="12"/>
  <c r="Q2768" i="12"/>
  <c r="Q2767" i="12"/>
  <c r="Q2766" i="12"/>
  <c r="Q2765" i="12"/>
  <c r="Q2764" i="12"/>
  <c r="Q2763" i="12"/>
  <c r="Q2762" i="12"/>
  <c r="Q2761" i="12"/>
  <c r="Q2760" i="12"/>
  <c r="Q2759" i="12"/>
  <c r="Q2758" i="12"/>
  <c r="Q2757" i="12"/>
  <c r="Q2756" i="12"/>
  <c r="Q2755" i="12"/>
  <c r="Q2754" i="12"/>
  <c r="Q2753" i="12"/>
  <c r="Q2752" i="12"/>
  <c r="Q2751" i="12"/>
  <c r="Q2750" i="12"/>
  <c r="Q2749" i="12"/>
  <c r="Q2748" i="12"/>
  <c r="Q2747" i="12"/>
  <c r="Q2746" i="12"/>
  <c r="Q2745" i="12"/>
  <c r="Q2744" i="12"/>
  <c r="Q2743" i="12"/>
  <c r="Q2742" i="12"/>
  <c r="Q2741" i="12"/>
  <c r="Q2740" i="12"/>
  <c r="Q2739" i="12"/>
  <c r="Q2738" i="12"/>
  <c r="Q2737" i="12"/>
  <c r="Q2736" i="12"/>
  <c r="Q2735" i="12"/>
  <c r="Q2734" i="12"/>
  <c r="Q2733" i="12"/>
  <c r="Q2732" i="12"/>
  <c r="Q2731" i="12"/>
  <c r="Q2730" i="12"/>
  <c r="Q2729" i="12"/>
  <c r="Q2728" i="12"/>
  <c r="Q2727" i="12"/>
  <c r="Q2726" i="12"/>
  <c r="Q2725" i="12"/>
  <c r="Q2724" i="12"/>
  <c r="Q2723" i="12"/>
  <c r="Q2722" i="12"/>
  <c r="Q2721" i="12"/>
  <c r="Q2720" i="12"/>
  <c r="Q2719" i="12"/>
  <c r="Q2718" i="12"/>
  <c r="Q2717" i="12"/>
  <c r="Q2716" i="12"/>
  <c r="Q2715" i="12"/>
  <c r="Q2714" i="12"/>
  <c r="Q2713" i="12"/>
  <c r="Q2712" i="12"/>
  <c r="Q2711" i="12"/>
  <c r="Q2710" i="12"/>
  <c r="Q2709" i="12"/>
  <c r="Q2708" i="12"/>
  <c r="Q2707" i="12"/>
  <c r="Q2706" i="12"/>
  <c r="Q2705" i="12"/>
  <c r="Q2704" i="12"/>
  <c r="Q2703" i="12"/>
  <c r="Q2702" i="12"/>
  <c r="Q2701" i="12"/>
  <c r="Q2700" i="12"/>
  <c r="Q2699" i="12"/>
  <c r="Q2698" i="12"/>
  <c r="Q2697" i="12"/>
  <c r="Q2696" i="12"/>
  <c r="Q2695" i="12"/>
  <c r="Q2694" i="12"/>
  <c r="Q2693" i="12"/>
  <c r="Q2692" i="12"/>
  <c r="Q2691" i="12"/>
  <c r="Q2690" i="12"/>
  <c r="Q2689" i="12"/>
  <c r="Q2688" i="12"/>
  <c r="Q2687" i="12"/>
  <c r="Q2686" i="12"/>
  <c r="Q2685" i="12"/>
  <c r="Q2684" i="12"/>
  <c r="Q2683" i="12"/>
  <c r="Q2682" i="12"/>
  <c r="Q2681" i="12"/>
  <c r="Q2680" i="12"/>
  <c r="Q2679" i="12"/>
  <c r="Q2678" i="12"/>
  <c r="Q2677" i="12"/>
  <c r="Q2676" i="12"/>
  <c r="Q2675" i="12"/>
  <c r="Q2674" i="12"/>
  <c r="Q2673" i="12"/>
  <c r="Q2672" i="12"/>
  <c r="Q2671" i="12"/>
  <c r="Q2670" i="12"/>
  <c r="Q2669" i="12"/>
  <c r="Q2668" i="12"/>
  <c r="Q2667" i="12"/>
  <c r="Q2666" i="12"/>
  <c r="Q2665" i="12"/>
  <c r="Q2664" i="12"/>
  <c r="Q2663" i="12"/>
  <c r="Q2662" i="12"/>
  <c r="Q2661" i="12"/>
  <c r="Q2660" i="12"/>
  <c r="Q2659" i="12"/>
  <c r="Q2658" i="12"/>
  <c r="Q2657" i="12"/>
  <c r="Q2656" i="12"/>
  <c r="Q2655" i="12"/>
  <c r="Q2654" i="12"/>
  <c r="Q2653" i="12"/>
  <c r="Q2652" i="12"/>
  <c r="Q2651" i="12"/>
  <c r="Q2650" i="12"/>
  <c r="Q2649" i="12"/>
  <c r="Q2648" i="12"/>
  <c r="Q2647" i="12"/>
  <c r="Q2646" i="12"/>
  <c r="Q2645" i="12"/>
  <c r="Q2644" i="12"/>
  <c r="Q2643" i="12"/>
  <c r="Q2642" i="12"/>
  <c r="Q2641" i="12"/>
  <c r="Q2640" i="12"/>
  <c r="Q2639" i="12"/>
  <c r="Q2638" i="12"/>
  <c r="Q2637" i="12"/>
  <c r="Q2636" i="12"/>
  <c r="Q2635" i="12"/>
  <c r="Q2634" i="12"/>
  <c r="Q2633" i="12"/>
  <c r="Q2632" i="12"/>
  <c r="Q2631" i="12"/>
  <c r="Q2630" i="12"/>
  <c r="Q2629" i="12"/>
  <c r="Q2628" i="12"/>
  <c r="Q2627" i="12"/>
  <c r="Q2626" i="12"/>
  <c r="Q2625" i="12"/>
  <c r="Q2624" i="12"/>
  <c r="Q2623" i="12"/>
  <c r="Q2622" i="12"/>
  <c r="Q2621" i="12"/>
  <c r="Q2620" i="12"/>
  <c r="Q2619" i="12"/>
  <c r="Q2618" i="12"/>
  <c r="Q2617" i="12"/>
  <c r="Q2616" i="12"/>
  <c r="Q2615" i="12"/>
  <c r="Q2614" i="12"/>
  <c r="Q2613" i="12"/>
  <c r="Q2612" i="12"/>
  <c r="Q2611" i="12"/>
  <c r="Q2610" i="12"/>
  <c r="Q2609" i="12"/>
  <c r="Q2608" i="12"/>
  <c r="Q2607" i="12"/>
  <c r="Q2606" i="12"/>
  <c r="Q2605" i="12"/>
  <c r="Q2604" i="12"/>
  <c r="Q2603" i="12"/>
  <c r="Q2602" i="12"/>
  <c r="Q2601" i="12"/>
  <c r="Q2600" i="12"/>
  <c r="Q2599" i="12"/>
  <c r="Q2598" i="12"/>
  <c r="Q2597" i="12"/>
  <c r="Q2596" i="12"/>
  <c r="Q2595" i="12"/>
  <c r="Q2594" i="12"/>
  <c r="Q2593" i="12"/>
  <c r="Q2592" i="12"/>
  <c r="Q2591" i="12"/>
  <c r="Q2590" i="12"/>
  <c r="Q2589" i="12"/>
  <c r="Q2588" i="12"/>
  <c r="Q2587" i="12"/>
  <c r="Q2586" i="12"/>
  <c r="Q2585" i="12"/>
  <c r="Q2584" i="12"/>
  <c r="Q2583" i="12"/>
  <c r="Q2582" i="12"/>
  <c r="Q2581" i="12"/>
  <c r="Q2580" i="12"/>
  <c r="Q2579" i="12"/>
  <c r="Q2578" i="12"/>
  <c r="Q2577" i="12"/>
  <c r="Q2576" i="12"/>
  <c r="Q2575" i="12"/>
  <c r="Q2574" i="12"/>
  <c r="Q2573" i="12"/>
  <c r="Q2572" i="12"/>
  <c r="Q2571" i="12"/>
  <c r="Q2570" i="12"/>
  <c r="Q2569" i="12"/>
  <c r="Q2568" i="12"/>
  <c r="Q2567" i="12"/>
  <c r="Q2566" i="12"/>
  <c r="Q2565" i="12"/>
  <c r="Q2564" i="12"/>
  <c r="Q2563" i="12"/>
  <c r="Q2562" i="12"/>
  <c r="Q2561" i="12"/>
  <c r="Q2560" i="12"/>
  <c r="Q2559" i="12"/>
  <c r="Q2558" i="12"/>
  <c r="Q2557" i="12"/>
  <c r="Q2556" i="12"/>
  <c r="Q2555" i="12"/>
  <c r="Q2554" i="12"/>
  <c r="Q2553" i="12"/>
  <c r="Q2552" i="12"/>
  <c r="Q2551" i="12"/>
  <c r="Q2550" i="12"/>
  <c r="Q2549" i="12"/>
  <c r="Q2548" i="12"/>
  <c r="Q2547" i="12"/>
  <c r="Q2546" i="12"/>
  <c r="Q2545" i="12"/>
  <c r="Q2544" i="12"/>
  <c r="Q2543" i="12"/>
  <c r="Q2542" i="12"/>
  <c r="Q2541" i="12"/>
  <c r="Q2540" i="12"/>
  <c r="Q2539" i="12"/>
  <c r="Q2538" i="12"/>
  <c r="Q2537" i="12"/>
  <c r="Q2536" i="12"/>
  <c r="Q2535" i="12"/>
  <c r="Q2534" i="12"/>
  <c r="Q2533" i="12"/>
  <c r="Q2532" i="12"/>
  <c r="Q2531" i="12"/>
  <c r="Q2530" i="12"/>
  <c r="Q2529" i="12"/>
  <c r="Q2528" i="12"/>
  <c r="Q2527" i="12"/>
  <c r="Q2526" i="12"/>
  <c r="Q2525" i="12"/>
  <c r="Q2524" i="12"/>
  <c r="Q2523" i="12"/>
  <c r="Q2522" i="12"/>
  <c r="Q2521" i="12"/>
  <c r="Q2520" i="12"/>
  <c r="Q2519" i="12"/>
  <c r="Q2518" i="12"/>
  <c r="Q2517" i="12"/>
  <c r="Q2516" i="12"/>
  <c r="Q2515" i="12"/>
  <c r="Q2514" i="12"/>
  <c r="Q2513" i="12"/>
  <c r="Q2512" i="12"/>
  <c r="Q2511" i="12"/>
  <c r="Q2510" i="12"/>
  <c r="Q2509" i="12"/>
  <c r="Q2508" i="12"/>
  <c r="Q2507" i="12"/>
  <c r="Q2506" i="12"/>
  <c r="Q2505" i="12"/>
  <c r="Q2504" i="12"/>
  <c r="Q2503" i="12"/>
  <c r="Q2502" i="12"/>
  <c r="Q2501" i="12"/>
  <c r="Q2500" i="12"/>
  <c r="Q2499" i="12"/>
  <c r="Q2498" i="12"/>
  <c r="Q2497" i="12"/>
  <c r="Q2496" i="12"/>
  <c r="Q2495" i="12"/>
  <c r="Q2494" i="12"/>
  <c r="Q2493" i="12"/>
  <c r="Q2492" i="12"/>
  <c r="Q2491" i="12"/>
  <c r="Q2490" i="12"/>
  <c r="Q2489" i="12"/>
  <c r="Q2488" i="12"/>
  <c r="Q2487" i="12"/>
  <c r="Q2486" i="12"/>
  <c r="Q2485" i="12"/>
  <c r="Q2484" i="12"/>
  <c r="Q2483" i="12"/>
  <c r="Q2482" i="12"/>
  <c r="Q2481" i="12"/>
  <c r="Q2480" i="12"/>
  <c r="Q2479" i="12"/>
  <c r="Q2478" i="12"/>
  <c r="Q2477" i="12"/>
  <c r="Q2476" i="12"/>
  <c r="Q2475" i="12"/>
  <c r="Q2474" i="12"/>
  <c r="Q2473" i="12"/>
  <c r="Q2472" i="12"/>
  <c r="Q2471" i="12"/>
  <c r="Q2470" i="12"/>
  <c r="Q2469" i="12"/>
  <c r="Q2468" i="12"/>
  <c r="Q2467" i="12"/>
  <c r="Q2466" i="12"/>
  <c r="Q2465" i="12"/>
  <c r="Q2464" i="12"/>
  <c r="Q2463" i="12"/>
  <c r="Q2462" i="12"/>
  <c r="Q2461" i="12"/>
  <c r="Q2460" i="12"/>
  <c r="Q2459" i="12"/>
  <c r="Q2458" i="12"/>
  <c r="Q2457" i="12"/>
  <c r="Q2456" i="12"/>
  <c r="Q2455" i="12"/>
  <c r="Q2454" i="12"/>
  <c r="Q2453" i="12"/>
  <c r="Q2452" i="12"/>
  <c r="Q2451" i="12"/>
  <c r="Q2450" i="12"/>
  <c r="Q2449" i="12"/>
  <c r="Q2448" i="12"/>
  <c r="Q2447" i="12"/>
  <c r="Q2446" i="12"/>
  <c r="Q2445" i="12"/>
  <c r="Q2444" i="12"/>
  <c r="Q2443" i="12"/>
  <c r="Q2442" i="12"/>
  <c r="Q2441" i="12"/>
  <c r="Q2440" i="12"/>
  <c r="Q2439" i="12"/>
  <c r="Q2438" i="12"/>
  <c r="Q2437" i="12"/>
  <c r="Q2436" i="12"/>
  <c r="Q2435" i="12"/>
  <c r="Q2434" i="12"/>
  <c r="Q2433" i="12"/>
  <c r="Q2432" i="12"/>
  <c r="Q2431" i="12"/>
  <c r="Q2430" i="12"/>
  <c r="Q2429" i="12"/>
  <c r="Q2428" i="12"/>
  <c r="Q2427" i="12"/>
  <c r="Q2426" i="12"/>
  <c r="Q2425" i="12"/>
  <c r="Q2424" i="12"/>
  <c r="Q2423" i="12"/>
  <c r="Q2422" i="12"/>
  <c r="Q2421" i="12"/>
  <c r="Q2420" i="12"/>
  <c r="Q2419" i="12"/>
  <c r="Q2418" i="12"/>
  <c r="Q2417" i="12"/>
  <c r="Q2416" i="12"/>
  <c r="Q2415" i="12"/>
  <c r="Q2414" i="12"/>
  <c r="Q2413" i="12"/>
  <c r="Q2412" i="12"/>
  <c r="Q2411" i="12"/>
  <c r="Q2410" i="12"/>
  <c r="Q2409" i="12"/>
  <c r="Q2408" i="12"/>
  <c r="Q2407" i="12"/>
  <c r="Q2406" i="12"/>
  <c r="Q2405" i="12"/>
  <c r="Q2404" i="12"/>
  <c r="Q2403" i="12"/>
  <c r="Q2402" i="12"/>
  <c r="Q2401" i="12"/>
  <c r="Q2400" i="12"/>
  <c r="Q2399" i="12"/>
  <c r="Q2398" i="12"/>
  <c r="Q2397" i="12"/>
  <c r="Q2396" i="12"/>
  <c r="Q2395" i="12"/>
  <c r="Q2394" i="12"/>
  <c r="Q2393" i="12"/>
  <c r="Q2392" i="12"/>
  <c r="Q2391" i="12"/>
  <c r="Q2390" i="12"/>
  <c r="Q2389" i="12"/>
  <c r="Q2388" i="12"/>
  <c r="Q2387" i="12"/>
  <c r="Q2386" i="12"/>
  <c r="Q2385" i="12"/>
  <c r="Q2384" i="12"/>
  <c r="Q2383" i="12"/>
  <c r="Q2382" i="12"/>
  <c r="Q2381" i="12"/>
  <c r="Q2380" i="12"/>
  <c r="Q2379" i="12"/>
  <c r="Q2378" i="12"/>
  <c r="Q2377" i="12"/>
  <c r="Q2376" i="12"/>
  <c r="Q2375" i="12"/>
  <c r="Q2374" i="12"/>
  <c r="Q2373" i="12"/>
  <c r="Q2372" i="12"/>
  <c r="Q2371" i="12"/>
  <c r="Q2370" i="12"/>
  <c r="Q2369" i="12"/>
  <c r="Q2368" i="12"/>
  <c r="Q2367" i="12"/>
  <c r="Q2366" i="12"/>
  <c r="Q2365" i="12"/>
  <c r="Q2364" i="12"/>
  <c r="Q2363" i="12"/>
  <c r="Q2362" i="12"/>
  <c r="Q2361" i="12"/>
  <c r="Q2360" i="12"/>
  <c r="Q2359" i="12"/>
  <c r="Q2358" i="12"/>
  <c r="Q2357" i="12"/>
  <c r="Q2356" i="12"/>
  <c r="Q2355" i="12"/>
  <c r="Q2354" i="12"/>
  <c r="Q2353" i="12"/>
  <c r="Q2352" i="12"/>
  <c r="Q2351" i="12"/>
  <c r="Q2350" i="12"/>
  <c r="Q2349" i="12"/>
  <c r="Q2348" i="12"/>
  <c r="Q2347" i="12"/>
  <c r="Q2346" i="12"/>
  <c r="Q2345" i="12"/>
  <c r="Q2344" i="12"/>
  <c r="Q2343" i="12"/>
  <c r="Q2342" i="12"/>
  <c r="Q2341" i="12"/>
  <c r="Q2340" i="12"/>
  <c r="Q2339" i="12"/>
  <c r="Q2338" i="12"/>
  <c r="Q2337" i="12"/>
  <c r="Q2336" i="12"/>
  <c r="Q2335" i="12"/>
  <c r="Q2334" i="12"/>
  <c r="Q2333" i="12"/>
  <c r="Q2332" i="12"/>
  <c r="Q2331" i="12"/>
  <c r="Q2330" i="12"/>
  <c r="Q2329" i="12"/>
  <c r="Q2328" i="12"/>
  <c r="Q2327" i="12"/>
  <c r="Q2326" i="12"/>
  <c r="Q2325" i="12"/>
  <c r="Q2324" i="12"/>
  <c r="Q2323" i="12"/>
  <c r="Q2322" i="12"/>
  <c r="Q2321" i="12"/>
  <c r="Q2320" i="12"/>
  <c r="Q2319" i="12"/>
  <c r="Q2318" i="12"/>
  <c r="Q2317" i="12"/>
  <c r="Q2316" i="12"/>
  <c r="Q2315" i="12"/>
  <c r="Q2314" i="12"/>
  <c r="Q2313" i="12"/>
  <c r="Q2312" i="12"/>
  <c r="Q2311" i="12"/>
  <c r="Q2310" i="12"/>
  <c r="Q2309" i="12"/>
  <c r="Q2308" i="12"/>
  <c r="Q2307" i="12"/>
  <c r="Q2306" i="12"/>
  <c r="Q2305" i="12"/>
  <c r="Q2304" i="12"/>
  <c r="Q2303" i="12"/>
  <c r="Q2302" i="12"/>
  <c r="Q2301" i="12"/>
  <c r="Q2300" i="12"/>
  <c r="Q2299" i="12"/>
  <c r="Q2298" i="12"/>
  <c r="Q2297" i="12"/>
  <c r="Q2296" i="12"/>
  <c r="Q2295" i="12"/>
  <c r="Q2294" i="12"/>
  <c r="Q2293" i="12"/>
  <c r="Q2292" i="12"/>
  <c r="Q2291" i="12"/>
  <c r="Q2290" i="12"/>
  <c r="Q2289" i="12"/>
  <c r="Q2288" i="12"/>
  <c r="Q2287" i="12"/>
  <c r="Q2286" i="12"/>
  <c r="Q2285" i="12"/>
  <c r="Q2284" i="12"/>
  <c r="Q2283" i="12"/>
  <c r="Q2282" i="12"/>
  <c r="Q2281" i="12"/>
  <c r="Q2280" i="12"/>
  <c r="Q2279" i="12"/>
  <c r="Q2278" i="12"/>
  <c r="Q2277" i="12"/>
  <c r="Q2276" i="12"/>
  <c r="Q2275" i="12"/>
  <c r="Q2274" i="12"/>
  <c r="Q2273" i="12"/>
  <c r="Q2272" i="12"/>
  <c r="Q2271" i="12"/>
  <c r="Q2270" i="12"/>
  <c r="Q2269" i="12"/>
  <c r="Q2268" i="12"/>
  <c r="Q2267" i="12"/>
  <c r="Q2266" i="12"/>
  <c r="Q2265" i="12"/>
  <c r="Q2264" i="12"/>
  <c r="Q2263" i="12"/>
  <c r="Q2262" i="12"/>
  <c r="Q2261" i="12"/>
  <c r="Q2260" i="12"/>
  <c r="Q2259" i="12"/>
  <c r="Q2258" i="12"/>
  <c r="Q2257" i="12"/>
  <c r="Q2256" i="12"/>
  <c r="Q2255" i="12"/>
  <c r="Q2254" i="12"/>
  <c r="Q2253" i="12"/>
  <c r="Q2252" i="12"/>
  <c r="Q2251" i="12"/>
  <c r="Q2250" i="12"/>
  <c r="Q2249" i="12"/>
  <c r="Q2248" i="12"/>
  <c r="Q2247" i="12"/>
  <c r="Q2246" i="12"/>
  <c r="Q2245" i="12"/>
  <c r="Q2244" i="12"/>
  <c r="Q2243" i="12"/>
  <c r="Q2242" i="12"/>
  <c r="Q2241" i="12"/>
  <c r="Q2240" i="12"/>
  <c r="Q2239" i="12"/>
  <c r="Q2238" i="12"/>
  <c r="Q2237" i="12"/>
  <c r="Q2236" i="12"/>
  <c r="Q2235" i="12"/>
  <c r="Q2234" i="12"/>
  <c r="Q2233" i="12"/>
  <c r="Q2232" i="12"/>
  <c r="Q2231" i="12"/>
  <c r="Q2230" i="12"/>
  <c r="Q2229" i="12"/>
  <c r="Q2228" i="12"/>
  <c r="Q2227" i="12"/>
  <c r="Q2226" i="12"/>
  <c r="Q2225" i="12"/>
  <c r="Q2224" i="12"/>
  <c r="Q2223" i="12"/>
  <c r="Q2222" i="12"/>
  <c r="Q2221" i="12"/>
  <c r="Q2220" i="12"/>
  <c r="Q2219" i="12"/>
  <c r="Q2218" i="12"/>
  <c r="Q2217" i="12"/>
  <c r="Q2216" i="12"/>
  <c r="Q2215" i="12"/>
  <c r="Q2214" i="12"/>
  <c r="Q2213" i="12"/>
  <c r="Q2212" i="12"/>
  <c r="Q2211" i="12"/>
  <c r="Q2210" i="12"/>
  <c r="Q2209" i="12"/>
  <c r="Q2208" i="12"/>
  <c r="Q2207" i="12"/>
  <c r="Q2206" i="12"/>
  <c r="Q2205" i="12"/>
  <c r="Q2204" i="12"/>
  <c r="Q2203" i="12"/>
  <c r="Q2202" i="12"/>
  <c r="Q2201" i="12"/>
  <c r="Q2200" i="12"/>
  <c r="Q2199" i="12"/>
  <c r="Q2198" i="12"/>
  <c r="Q2197" i="12"/>
  <c r="Q2196" i="12"/>
  <c r="Q2195" i="12"/>
  <c r="Q2194" i="12"/>
  <c r="Q2193" i="12"/>
  <c r="Q2192" i="12"/>
  <c r="Q2191" i="12"/>
  <c r="Q2190" i="12"/>
  <c r="Q2189" i="12"/>
  <c r="Q2188" i="12"/>
  <c r="Q2187" i="12"/>
  <c r="Q2186" i="12"/>
  <c r="Q2185" i="12"/>
  <c r="Q2184" i="12"/>
  <c r="Q2183" i="12"/>
  <c r="Q2182" i="12"/>
  <c r="Q2181" i="12"/>
  <c r="Q2180" i="12"/>
  <c r="Q2179" i="12"/>
  <c r="Q2178" i="12"/>
  <c r="Q2177" i="12"/>
  <c r="Q2176" i="12"/>
  <c r="Q2175" i="12"/>
  <c r="Q2174" i="12"/>
  <c r="Q2173" i="12"/>
  <c r="Q2172" i="12"/>
  <c r="Q2171" i="12"/>
  <c r="Q2170" i="12"/>
  <c r="Q2169" i="12"/>
  <c r="Q2168" i="12"/>
  <c r="Q2167" i="12"/>
  <c r="Q2166" i="12"/>
  <c r="Q2165" i="12"/>
  <c r="Q2164" i="12"/>
  <c r="Q2163" i="12"/>
  <c r="Q2162" i="12"/>
  <c r="Q2161" i="12"/>
  <c r="Q2160" i="12"/>
  <c r="Q2159" i="12"/>
  <c r="Q2158" i="12"/>
  <c r="Q2157" i="12"/>
  <c r="Q2156" i="12"/>
  <c r="Q2155" i="12"/>
  <c r="Q2154" i="12"/>
  <c r="Q2153" i="12"/>
  <c r="Q2152" i="12"/>
  <c r="Q2151" i="12"/>
  <c r="Q2150" i="12"/>
  <c r="Q2149" i="12"/>
  <c r="Q2148" i="12"/>
  <c r="Q2147" i="12"/>
  <c r="Q2146" i="12"/>
  <c r="Q2145" i="12"/>
  <c r="Q2144" i="12"/>
  <c r="Q2143" i="12"/>
  <c r="Q2142" i="12"/>
  <c r="Q2141" i="12"/>
  <c r="Q2140" i="12"/>
  <c r="Q2139" i="12"/>
  <c r="Q2138" i="12"/>
  <c r="Q2137" i="12"/>
  <c r="Q2136" i="12"/>
  <c r="Q2135" i="12"/>
  <c r="Q2134" i="12"/>
  <c r="Q2133" i="12"/>
  <c r="Q2132" i="12"/>
  <c r="Q2131" i="12"/>
  <c r="Q2130" i="12"/>
  <c r="Q2129" i="12"/>
  <c r="Q2128" i="12"/>
  <c r="Q2127" i="12"/>
  <c r="Q2126" i="12"/>
  <c r="Q2125" i="12"/>
  <c r="Q2124" i="12"/>
  <c r="Q2123" i="12"/>
  <c r="Q2122" i="12"/>
  <c r="Q2121" i="12"/>
  <c r="Q2120" i="12"/>
  <c r="Q2119" i="12"/>
  <c r="Q2118" i="12"/>
  <c r="Q2117" i="12"/>
  <c r="Q2116" i="12"/>
  <c r="Q2115" i="12"/>
  <c r="Q2114" i="12"/>
  <c r="Q2113" i="12"/>
  <c r="Q2112" i="12"/>
  <c r="Q2111" i="12"/>
  <c r="Q2110" i="12"/>
  <c r="Q2109" i="12"/>
  <c r="Q2108" i="12"/>
  <c r="Q2107" i="12"/>
  <c r="Q2106" i="12"/>
  <c r="Q2105" i="12"/>
  <c r="Q2104" i="12"/>
  <c r="Q2103" i="12"/>
  <c r="Q2102" i="12"/>
  <c r="Q2101" i="12"/>
  <c r="Q2100" i="12"/>
  <c r="Q2099" i="12"/>
  <c r="Q2098" i="12"/>
  <c r="Q2097" i="12"/>
  <c r="Q2096" i="12"/>
  <c r="Q2095" i="12"/>
  <c r="Q2094" i="12"/>
  <c r="Q2093" i="12"/>
  <c r="Q2092" i="12"/>
  <c r="Q2091" i="12"/>
  <c r="Q2090" i="12"/>
  <c r="Q2089" i="12"/>
  <c r="Q2088" i="12"/>
  <c r="Q2087" i="12"/>
  <c r="Q2086" i="12"/>
  <c r="Q2085" i="12"/>
  <c r="Q2084" i="12"/>
  <c r="Q2083" i="12"/>
  <c r="Q2082" i="12"/>
  <c r="Q2081" i="12"/>
  <c r="Q2080" i="12"/>
  <c r="Q2079" i="12"/>
  <c r="Q2078" i="12"/>
  <c r="Q2077" i="12"/>
  <c r="Q2076" i="12"/>
  <c r="Q2075" i="12"/>
  <c r="Q2074" i="12"/>
  <c r="Q2073" i="12"/>
  <c r="Q2072" i="12"/>
  <c r="Q2071" i="12"/>
  <c r="Q2070" i="12"/>
  <c r="Q2069" i="12"/>
  <c r="Q2068" i="12"/>
  <c r="Q2067" i="12"/>
  <c r="Q2066" i="12"/>
  <c r="Q2065" i="12"/>
  <c r="Q2064" i="12"/>
  <c r="Q2063" i="12"/>
  <c r="Q2062" i="12"/>
  <c r="Q2061" i="12"/>
  <c r="Q2060" i="12"/>
  <c r="Q2059" i="12"/>
  <c r="Q2058" i="12"/>
  <c r="Q2057" i="12"/>
  <c r="Q2056" i="12"/>
  <c r="Q2055" i="12"/>
  <c r="Q2054" i="12"/>
  <c r="Q2053" i="12"/>
  <c r="Q2052" i="12"/>
  <c r="Q2051" i="12"/>
  <c r="Q2050" i="12"/>
  <c r="Q2049" i="12"/>
  <c r="Q2048" i="12"/>
  <c r="Q2047" i="12"/>
  <c r="Q2046" i="12"/>
  <c r="Q2045" i="12"/>
  <c r="Q2044" i="12"/>
  <c r="Q2043" i="12"/>
  <c r="Q2042" i="12"/>
  <c r="Q2041" i="12"/>
  <c r="Q2040" i="12"/>
  <c r="Q2039" i="12"/>
  <c r="Q2038" i="12"/>
  <c r="Q2037" i="12"/>
  <c r="Q2036" i="12"/>
  <c r="Q2035" i="12"/>
  <c r="Q2034" i="12"/>
  <c r="Q2033" i="12"/>
  <c r="Q2032" i="12"/>
  <c r="Q2031" i="12"/>
  <c r="Q2030" i="12"/>
  <c r="Q2029" i="12"/>
  <c r="Q2028" i="12"/>
  <c r="Q2027" i="12"/>
  <c r="Q2026" i="12"/>
  <c r="Q2025" i="12"/>
  <c r="Q2024" i="12"/>
  <c r="Q2023" i="12"/>
  <c r="Q2022" i="12"/>
  <c r="Q2021" i="12"/>
  <c r="Q2020" i="12"/>
  <c r="Q2019" i="12"/>
  <c r="Q2018" i="12"/>
  <c r="Q2017" i="12"/>
  <c r="Q2016" i="12"/>
  <c r="Q2015" i="12"/>
  <c r="Q2014" i="12"/>
  <c r="Q2013" i="12"/>
  <c r="Q2012" i="12"/>
  <c r="Q2011" i="12"/>
  <c r="Q2010" i="12"/>
  <c r="Q2009" i="12"/>
  <c r="Q2008" i="12"/>
  <c r="Q2007" i="12"/>
  <c r="Q2006" i="12"/>
  <c r="Q2005" i="12"/>
  <c r="Q2004" i="12"/>
  <c r="Q2003" i="12"/>
  <c r="Q2002" i="12"/>
  <c r="Q2001" i="12"/>
  <c r="Q2000" i="12"/>
  <c r="Q1999" i="12"/>
  <c r="Q1998" i="12"/>
  <c r="Q1997" i="12"/>
  <c r="Q1996" i="12"/>
  <c r="Q1995" i="12"/>
  <c r="Q1994" i="12"/>
  <c r="Q1993" i="12"/>
  <c r="Q1992" i="12"/>
  <c r="Q1991" i="12"/>
  <c r="Q1990" i="12"/>
  <c r="Q1989" i="12"/>
  <c r="Q1988" i="12"/>
  <c r="Q1987" i="12"/>
  <c r="Q1986" i="12"/>
  <c r="Q1985" i="12"/>
  <c r="Q1984" i="12"/>
  <c r="Q1983" i="12"/>
  <c r="Q1982" i="12"/>
  <c r="Q1981" i="12"/>
  <c r="Q1980" i="12"/>
  <c r="Q1979" i="12"/>
  <c r="Q1978" i="12"/>
  <c r="Q1977" i="12"/>
  <c r="Q1976" i="12"/>
  <c r="Q1975" i="12"/>
  <c r="Q1974" i="12"/>
  <c r="Q1973" i="12"/>
  <c r="Q1972" i="12"/>
  <c r="Q1971" i="12"/>
  <c r="Q1970" i="12"/>
  <c r="Q1969" i="12"/>
  <c r="Q1968" i="12"/>
  <c r="Q1967" i="12"/>
  <c r="Q1966" i="12"/>
  <c r="Q1965" i="12"/>
  <c r="Q1964" i="12"/>
  <c r="Q1963" i="12"/>
  <c r="Q1962" i="12"/>
  <c r="Q1961" i="12"/>
  <c r="Q1960" i="12"/>
  <c r="Q1959" i="12"/>
  <c r="Q1958" i="12"/>
  <c r="Q1957" i="12"/>
  <c r="Q1956" i="12"/>
  <c r="Q1955" i="12"/>
  <c r="Q1954" i="12"/>
  <c r="Q1953" i="12"/>
  <c r="Q1952" i="12"/>
  <c r="Q1951" i="12"/>
  <c r="Q1950" i="12"/>
  <c r="Q1949" i="12"/>
  <c r="Q1948" i="12"/>
  <c r="Q1947" i="12"/>
  <c r="Q1946" i="12"/>
  <c r="Q1945" i="12"/>
  <c r="Q1944" i="12"/>
  <c r="Q1943" i="12"/>
  <c r="Q1942" i="12"/>
  <c r="Q1941" i="12"/>
  <c r="Q1940" i="12"/>
  <c r="Q1939" i="12"/>
  <c r="Q1938" i="12"/>
  <c r="Q1937" i="12"/>
  <c r="Q1936" i="12"/>
  <c r="Q1935" i="12"/>
  <c r="Q1934" i="12"/>
  <c r="Q1933" i="12"/>
  <c r="Q1932" i="12"/>
  <c r="Q1931" i="12"/>
  <c r="Q1930" i="12"/>
  <c r="Q1929" i="12"/>
  <c r="Q1928" i="12"/>
  <c r="Q1927" i="12"/>
  <c r="Q1926" i="12"/>
  <c r="Q1925" i="12"/>
  <c r="Q1924" i="12"/>
  <c r="Q1923" i="12"/>
  <c r="Q1922" i="12"/>
  <c r="Q1921" i="12"/>
  <c r="Q1920" i="12"/>
  <c r="Q1919" i="12"/>
  <c r="Q1918" i="12"/>
  <c r="Q1917" i="12"/>
  <c r="Q1916" i="12"/>
  <c r="Q1915" i="12"/>
  <c r="Q1914" i="12"/>
  <c r="Q1913" i="12"/>
  <c r="Q1912" i="12"/>
  <c r="Q1911" i="12"/>
  <c r="Q1910" i="12"/>
  <c r="Q1909" i="12"/>
  <c r="Q1908" i="12"/>
  <c r="Q1907" i="12"/>
  <c r="Q1906" i="12"/>
  <c r="Q1905" i="12"/>
  <c r="Q1904" i="12"/>
  <c r="Q1903" i="12"/>
  <c r="Q1902" i="12"/>
  <c r="Q1901" i="12"/>
  <c r="Q1900" i="12"/>
  <c r="Q1899" i="12"/>
  <c r="Q1898" i="12"/>
  <c r="Q1897" i="12"/>
  <c r="Q1896" i="12"/>
  <c r="Q1895" i="12"/>
  <c r="Q1894" i="12"/>
  <c r="Q1893" i="12"/>
  <c r="Q1892" i="12"/>
  <c r="Q1891" i="12"/>
  <c r="Q1890" i="12"/>
  <c r="Q1889" i="12"/>
  <c r="Q1888" i="12"/>
  <c r="Q1887" i="12"/>
  <c r="Q1886" i="12"/>
  <c r="Q1885" i="12"/>
  <c r="Q1884" i="12"/>
  <c r="Q1883" i="12"/>
  <c r="Q1882" i="12"/>
  <c r="Q1881" i="12"/>
  <c r="Q1880" i="12"/>
  <c r="Q1879" i="12"/>
  <c r="Q1878" i="12"/>
  <c r="Q1877" i="12"/>
  <c r="Q1876" i="12"/>
  <c r="Q1875" i="12"/>
  <c r="Q1874" i="12"/>
  <c r="Q1873" i="12"/>
  <c r="Q1872" i="12"/>
  <c r="Q1871" i="12"/>
  <c r="Q1870" i="12"/>
  <c r="Q1869" i="12"/>
  <c r="Q1868" i="12"/>
  <c r="Q1867" i="12"/>
  <c r="Q1866" i="12"/>
  <c r="Q1865" i="12"/>
  <c r="Q1864" i="12"/>
  <c r="Q1863" i="12"/>
  <c r="Q1862" i="12"/>
  <c r="Q1861" i="12"/>
  <c r="Q1860" i="12"/>
  <c r="Q1859" i="12"/>
  <c r="Q1858" i="12"/>
  <c r="Q1857" i="12"/>
  <c r="Q1856" i="12"/>
  <c r="Q1855" i="12"/>
  <c r="Q1854" i="12"/>
  <c r="Q1853" i="12"/>
  <c r="Q1852" i="12"/>
  <c r="Q1851" i="12"/>
  <c r="Q1850" i="12"/>
  <c r="Q1849" i="12"/>
  <c r="Q1848" i="12"/>
  <c r="Q1847" i="12"/>
  <c r="Q1846" i="12"/>
  <c r="Q1845" i="12"/>
  <c r="Q1844" i="12"/>
  <c r="Q1843" i="12"/>
  <c r="Q1842" i="12"/>
  <c r="Q1841" i="12"/>
  <c r="Q1840" i="12"/>
  <c r="Q1839" i="12"/>
  <c r="Q1838" i="12"/>
  <c r="Q1837" i="12"/>
  <c r="Q1836" i="12"/>
  <c r="Q1835" i="12"/>
  <c r="Q1834" i="12"/>
  <c r="Q1833" i="12"/>
  <c r="Q1832" i="12"/>
  <c r="Q1831" i="12"/>
  <c r="Q1830" i="12"/>
  <c r="Q1829" i="12"/>
  <c r="Q1828" i="12"/>
  <c r="Q1827" i="12"/>
  <c r="Q1826" i="12"/>
  <c r="Q1825" i="12"/>
  <c r="Q1824" i="12"/>
  <c r="Q1823" i="12"/>
  <c r="Q1822" i="12"/>
  <c r="Q1821" i="12"/>
  <c r="Q1820" i="12"/>
  <c r="Q1819" i="12"/>
  <c r="Q1818" i="12"/>
  <c r="Q1817" i="12"/>
  <c r="Q1816" i="12"/>
  <c r="Q1815" i="12"/>
  <c r="Q1814" i="12"/>
  <c r="Q1813" i="12"/>
  <c r="Q1812" i="12"/>
  <c r="Q1811" i="12"/>
  <c r="Q1810" i="12"/>
  <c r="Q1809" i="12"/>
  <c r="Q1808" i="12"/>
  <c r="Q1807" i="12"/>
  <c r="Q1806" i="12"/>
  <c r="Q1805" i="12"/>
  <c r="Q1804" i="12"/>
  <c r="Q1803" i="12"/>
  <c r="Q1802" i="12"/>
  <c r="Q1801" i="12"/>
  <c r="Q1800" i="12"/>
  <c r="Q1799" i="12"/>
  <c r="Q1798" i="12"/>
  <c r="Q1797" i="12"/>
  <c r="Q1796" i="12"/>
  <c r="Q1795" i="12"/>
  <c r="Q1794" i="12"/>
  <c r="Q1793" i="12"/>
  <c r="Q1792" i="12"/>
  <c r="Q1791" i="12"/>
  <c r="Q1790" i="12"/>
  <c r="Q1789" i="12"/>
  <c r="Q1788" i="12"/>
  <c r="Q1787" i="12"/>
  <c r="Q1786" i="12"/>
  <c r="Q1785" i="12"/>
  <c r="Q1784" i="12"/>
  <c r="Q1783" i="12"/>
  <c r="Q1782" i="12"/>
  <c r="Q1781" i="12"/>
  <c r="Q1780" i="12"/>
  <c r="Q1779" i="12"/>
  <c r="Q1778" i="12"/>
  <c r="Q1777" i="12"/>
  <c r="Q1776" i="12"/>
  <c r="Q1775" i="12"/>
  <c r="Q1774" i="12"/>
  <c r="Q1773" i="12"/>
  <c r="Q1772" i="12"/>
  <c r="Q1771" i="12"/>
  <c r="Q1770" i="12"/>
  <c r="Q1769" i="12"/>
  <c r="Q1768" i="12"/>
  <c r="Q1767" i="12"/>
  <c r="Q1766" i="12"/>
  <c r="Q1765" i="12"/>
  <c r="Q1764" i="12"/>
  <c r="Q1763" i="12"/>
  <c r="Q1762" i="12"/>
  <c r="Q1761" i="12"/>
  <c r="Q1760" i="12"/>
  <c r="Q1759" i="12"/>
  <c r="Q1758" i="12"/>
  <c r="Q1757" i="12"/>
  <c r="Q1756" i="12"/>
  <c r="Q1755" i="12"/>
  <c r="Q1754" i="12"/>
  <c r="Q1753" i="12"/>
  <c r="Q1752" i="12"/>
  <c r="Q1751" i="12"/>
  <c r="Q1750" i="12"/>
  <c r="Q1749" i="12"/>
  <c r="Q1748" i="12"/>
  <c r="Q1747" i="12"/>
  <c r="Q1746" i="12"/>
  <c r="Q1745" i="12"/>
  <c r="Q1744" i="12"/>
  <c r="Q1743" i="12"/>
  <c r="Q1742" i="12"/>
  <c r="Q1741" i="12"/>
  <c r="Q1740" i="12"/>
  <c r="Q1739" i="12"/>
  <c r="Q1738" i="12"/>
  <c r="Q1737" i="12"/>
  <c r="Q1736" i="12"/>
  <c r="Q1735" i="12"/>
  <c r="Q1734" i="12"/>
  <c r="Q1733" i="12"/>
  <c r="Q1732" i="12"/>
  <c r="Q1731" i="12"/>
  <c r="Q1730" i="12"/>
  <c r="Q1729" i="12"/>
  <c r="Q1728" i="12"/>
  <c r="Q1727" i="12"/>
  <c r="Q1726" i="12"/>
  <c r="Q1725" i="12"/>
  <c r="Q1724" i="12"/>
  <c r="Q1723" i="12"/>
  <c r="Q1722" i="12"/>
  <c r="Q1721" i="12"/>
  <c r="Q1720" i="12"/>
  <c r="Q1719" i="12"/>
  <c r="Q1718" i="12"/>
  <c r="Q1717" i="12"/>
  <c r="Q1716" i="12"/>
  <c r="Q1715" i="12"/>
  <c r="Q1714" i="12"/>
  <c r="Q1713" i="12"/>
  <c r="Q1712" i="12"/>
  <c r="Q1711" i="12"/>
  <c r="Q1710" i="12"/>
  <c r="Q1709" i="12"/>
  <c r="Q1708" i="12"/>
  <c r="Q1707" i="12"/>
  <c r="Q1706" i="12"/>
  <c r="Q1705" i="12"/>
  <c r="Q1704" i="12"/>
  <c r="Q1703" i="12"/>
  <c r="Q1702" i="12"/>
  <c r="Q1701" i="12"/>
  <c r="Q1700" i="12"/>
  <c r="Q1699" i="12"/>
  <c r="Q1698" i="12"/>
  <c r="Q1697" i="12"/>
  <c r="Q1696" i="12"/>
  <c r="Q1695" i="12"/>
  <c r="Q1694" i="12"/>
  <c r="Q1693" i="12"/>
  <c r="Q1692" i="12"/>
  <c r="Q1691" i="12"/>
  <c r="Q1690" i="12"/>
  <c r="Q1689" i="12"/>
  <c r="Q1688" i="12"/>
  <c r="Q1687" i="12"/>
  <c r="Q1686" i="12"/>
  <c r="Q1685" i="12"/>
  <c r="Q1684" i="12"/>
  <c r="Q1683" i="12"/>
  <c r="Q1682" i="12"/>
  <c r="Q1681" i="12"/>
  <c r="Q1680" i="12"/>
  <c r="Q1679" i="12"/>
  <c r="Q1678" i="12"/>
  <c r="Q1677" i="12"/>
  <c r="Q1676" i="12"/>
  <c r="Q1675" i="12"/>
  <c r="Q1674" i="12"/>
  <c r="Q1673" i="12"/>
  <c r="Q1672" i="12"/>
  <c r="Q1671" i="12"/>
  <c r="Q1670" i="12"/>
  <c r="Q1669" i="12"/>
  <c r="Q1668" i="12"/>
  <c r="Q1667" i="12"/>
  <c r="Q1666" i="12"/>
  <c r="Q1665" i="12"/>
  <c r="Q1664" i="12"/>
  <c r="Q1663" i="12"/>
  <c r="Q1662" i="12"/>
  <c r="Q1661" i="12"/>
  <c r="Q1660" i="12"/>
  <c r="Q1659" i="12"/>
  <c r="Q1658" i="12"/>
  <c r="Q1657" i="12"/>
  <c r="Q1656" i="12"/>
  <c r="Q1655" i="12"/>
  <c r="Q1654" i="12"/>
  <c r="Q1653" i="12"/>
  <c r="Q1652" i="12"/>
  <c r="Q1651" i="12"/>
  <c r="Q1650" i="12"/>
  <c r="Q1649" i="12"/>
  <c r="Q1648" i="12"/>
  <c r="Q1647" i="12"/>
  <c r="Q1646" i="12"/>
  <c r="Q1645" i="12"/>
  <c r="Q1644" i="12"/>
  <c r="Q1643" i="12"/>
  <c r="Q1642" i="12"/>
  <c r="Q1641" i="12"/>
  <c r="Q1640" i="12"/>
  <c r="Q1639" i="12"/>
  <c r="Q1638" i="12"/>
  <c r="Q1637" i="12"/>
  <c r="Q1636" i="12"/>
  <c r="Q1635" i="12"/>
  <c r="Q1634" i="12"/>
  <c r="Q1633" i="12"/>
  <c r="Q1632" i="12"/>
  <c r="Q1631" i="12"/>
  <c r="Q1630" i="12"/>
  <c r="Q1629" i="12"/>
  <c r="Q1628" i="12"/>
  <c r="Q1627" i="12"/>
  <c r="Q1626" i="12"/>
  <c r="Q1625" i="12"/>
  <c r="Q1624" i="12"/>
  <c r="Q1623" i="12"/>
  <c r="Q1622" i="12"/>
  <c r="Q1621" i="12"/>
  <c r="Q1620" i="12"/>
  <c r="Q1619" i="12"/>
  <c r="Q1618" i="12"/>
  <c r="Q1617" i="12"/>
  <c r="Q1616" i="12"/>
  <c r="Q1615" i="12"/>
  <c r="Q1614" i="12"/>
  <c r="Q1613" i="12"/>
  <c r="Q1612" i="12"/>
  <c r="Q1611" i="12"/>
  <c r="Q1610" i="12"/>
  <c r="Q1609" i="12"/>
  <c r="Q1608" i="12"/>
  <c r="Q1607" i="12"/>
  <c r="Q1606" i="12"/>
  <c r="Q1605" i="12"/>
  <c r="Q1604" i="12"/>
  <c r="Q1603" i="12"/>
  <c r="Q1602" i="12"/>
  <c r="Q1601" i="12"/>
  <c r="Q1600" i="12"/>
  <c r="Q1599" i="12"/>
  <c r="Q1598" i="12"/>
  <c r="Q1597" i="12"/>
  <c r="Q1596" i="12"/>
  <c r="Q1595" i="12"/>
  <c r="Q1594" i="12"/>
  <c r="Q1593" i="12"/>
  <c r="Q1592" i="12"/>
  <c r="Q1591" i="12"/>
  <c r="Q1590" i="12"/>
  <c r="Q1589" i="12"/>
  <c r="Q1588" i="12"/>
  <c r="Q1587" i="12"/>
  <c r="Q1586" i="12"/>
  <c r="Q1585" i="12"/>
  <c r="Q1584" i="12"/>
  <c r="Q1583" i="12"/>
  <c r="Q1582" i="12"/>
  <c r="Q1581" i="12"/>
  <c r="Q1580" i="12"/>
  <c r="Q1579" i="12"/>
  <c r="Q1578" i="12"/>
  <c r="Q1577" i="12"/>
  <c r="Q1576" i="12"/>
  <c r="Q1575" i="12"/>
  <c r="Q1574" i="12"/>
  <c r="Q1573" i="12"/>
  <c r="Q1572" i="12"/>
  <c r="Q1571" i="12"/>
  <c r="Q1570" i="12"/>
  <c r="Q1569" i="12"/>
  <c r="Q1568" i="12"/>
  <c r="Q1567" i="12"/>
  <c r="Q1566" i="12"/>
  <c r="Q1565" i="12"/>
  <c r="Q1564" i="12"/>
  <c r="Q1563" i="12"/>
  <c r="Q1562" i="12"/>
  <c r="Q1561" i="12"/>
  <c r="Q1560" i="12"/>
  <c r="Q1559" i="12"/>
  <c r="Q1558" i="12"/>
  <c r="Q1557" i="12"/>
  <c r="Q1556" i="12"/>
  <c r="Q1555" i="12"/>
  <c r="Q1554" i="12"/>
  <c r="Q1553" i="12"/>
  <c r="Q1552" i="12"/>
  <c r="Q1551" i="12"/>
  <c r="Q1550" i="12"/>
  <c r="Q1549" i="12"/>
  <c r="Q1548" i="12"/>
  <c r="Q1547" i="12"/>
  <c r="Q1546" i="12"/>
  <c r="Q1545" i="12"/>
  <c r="Q1544" i="12"/>
  <c r="Q1543" i="12"/>
  <c r="Q1542" i="12"/>
  <c r="Q1541" i="12"/>
  <c r="Q1540" i="12"/>
  <c r="Q1539" i="12"/>
  <c r="Q1538" i="12"/>
  <c r="Q1537" i="12"/>
  <c r="Q1536" i="12"/>
  <c r="Q1535" i="12"/>
  <c r="Q1534" i="12"/>
  <c r="Q1533" i="12"/>
  <c r="Q1532" i="12"/>
  <c r="Q1531" i="12"/>
  <c r="Q1530" i="12"/>
  <c r="Q1529" i="12"/>
  <c r="Q1528" i="12"/>
  <c r="Q1527" i="12"/>
  <c r="Q1526" i="12"/>
  <c r="Q1525" i="12"/>
  <c r="Q1524" i="12"/>
  <c r="Q1523" i="12"/>
  <c r="Q1522" i="12"/>
  <c r="Q1521" i="12"/>
  <c r="Q1520" i="12"/>
  <c r="Q1519" i="12"/>
  <c r="Q1518" i="12"/>
  <c r="Q1517" i="12"/>
  <c r="Q1516" i="12"/>
  <c r="Q1515" i="12"/>
  <c r="Q1514" i="12"/>
  <c r="Q1513" i="12"/>
  <c r="Q1512" i="12"/>
  <c r="Q1511" i="12"/>
  <c r="Q1510" i="12"/>
  <c r="Q1509" i="12"/>
  <c r="Q1508" i="12"/>
  <c r="Q1507" i="12"/>
  <c r="Q1506" i="12"/>
  <c r="Q1505" i="12"/>
  <c r="Q1504" i="12"/>
  <c r="Q1503" i="12"/>
  <c r="Q1502" i="12"/>
  <c r="Q1501" i="12"/>
  <c r="Q1500" i="12"/>
  <c r="Q1499" i="12"/>
  <c r="Q1498" i="12"/>
  <c r="Q1497" i="12"/>
  <c r="Q1496" i="12"/>
  <c r="Q1495" i="12"/>
  <c r="Q1494" i="12"/>
  <c r="Q1493" i="12"/>
  <c r="Q1492" i="12"/>
  <c r="Q1491" i="12"/>
  <c r="Q1490" i="12"/>
  <c r="Q1489" i="12"/>
  <c r="Q1488" i="12"/>
  <c r="Q1487" i="12"/>
  <c r="Q1486" i="12"/>
  <c r="Q1485" i="12"/>
  <c r="Q1484" i="12"/>
  <c r="Q1483" i="12"/>
  <c r="Q1482" i="12"/>
  <c r="Q1481" i="12"/>
  <c r="Q1480" i="12"/>
  <c r="Q1479" i="12"/>
  <c r="Q1478" i="12"/>
  <c r="Q1477" i="12"/>
  <c r="Q1476" i="12"/>
  <c r="Q1475" i="12"/>
  <c r="Q1474" i="12"/>
  <c r="Q1473" i="12"/>
  <c r="Q1472" i="12"/>
  <c r="Q1471" i="12"/>
  <c r="Q1470" i="12"/>
  <c r="Q1469" i="12"/>
  <c r="Q1468" i="12"/>
  <c r="Q1467" i="12"/>
  <c r="Q1466" i="12"/>
  <c r="Q1465" i="12"/>
  <c r="Q1464" i="12"/>
  <c r="Q1463" i="12"/>
  <c r="Q1462" i="12"/>
  <c r="Q1461" i="12"/>
  <c r="Q1460" i="12"/>
  <c r="Q1459" i="12"/>
  <c r="Q1458" i="12"/>
  <c r="Q1457" i="12"/>
  <c r="Q1456" i="12"/>
  <c r="Q1455" i="12"/>
  <c r="Q1454" i="12"/>
  <c r="Q1453" i="12"/>
  <c r="Q1452" i="12"/>
  <c r="Q1451" i="12"/>
  <c r="Q1450" i="12"/>
  <c r="Q1449" i="12"/>
  <c r="Q1448" i="12"/>
  <c r="Q1447" i="12"/>
  <c r="Q1446" i="12"/>
  <c r="Q1445" i="12"/>
  <c r="Q1444" i="12"/>
  <c r="Q1443" i="12"/>
  <c r="Q1442" i="12"/>
  <c r="Q1441" i="12"/>
  <c r="Q1440" i="12"/>
  <c r="Q1439" i="12"/>
  <c r="Q1438" i="12"/>
  <c r="Q1437" i="12"/>
  <c r="Q1436" i="12"/>
  <c r="Q1435" i="12"/>
  <c r="Q1434" i="12"/>
  <c r="Q1433" i="12"/>
  <c r="Q1432" i="12"/>
  <c r="Q1431" i="12"/>
  <c r="Q1430" i="12"/>
  <c r="Q1429" i="12"/>
  <c r="Q1428" i="12"/>
  <c r="Q1427" i="12"/>
  <c r="Q1426" i="12"/>
  <c r="Q1425" i="12"/>
  <c r="Q1424" i="12"/>
  <c r="Q1423" i="12"/>
  <c r="Q1422" i="12"/>
  <c r="Q1421" i="12"/>
  <c r="Q1420" i="12"/>
  <c r="Q1419" i="12"/>
  <c r="Q1418" i="12"/>
  <c r="Q1417" i="12"/>
  <c r="Q1416" i="12"/>
  <c r="Q1415" i="12"/>
  <c r="Q1414" i="12"/>
  <c r="Q1413" i="12"/>
  <c r="Q1412" i="12"/>
  <c r="Q1411" i="12"/>
  <c r="Q1410" i="12"/>
  <c r="Q1409" i="12"/>
  <c r="Q1408" i="12"/>
  <c r="Q1407" i="12"/>
  <c r="Q1406" i="12"/>
  <c r="Q1405" i="12"/>
  <c r="Q1404" i="12"/>
  <c r="Q1403" i="12"/>
  <c r="Q1402" i="12"/>
  <c r="Q1401" i="12"/>
  <c r="Q1400" i="12"/>
  <c r="Q1399" i="12"/>
  <c r="Q1398" i="12"/>
  <c r="Q1397" i="12"/>
  <c r="Q1396" i="12"/>
  <c r="Q1395" i="12"/>
  <c r="Q1394" i="12"/>
  <c r="Q1393" i="12"/>
  <c r="Q1392" i="12"/>
  <c r="Q1391" i="12"/>
  <c r="Q1390" i="12"/>
  <c r="Q1389" i="12"/>
  <c r="Q1388" i="12"/>
  <c r="Q1387" i="12"/>
  <c r="Q1386" i="12"/>
  <c r="Q1385" i="12"/>
  <c r="Q1384" i="12"/>
  <c r="Q1383" i="12"/>
  <c r="Q1382" i="12"/>
  <c r="Q1381" i="12"/>
  <c r="Q1380" i="12"/>
  <c r="Q1379" i="12"/>
  <c r="Q1378" i="12"/>
  <c r="Q1377" i="12"/>
  <c r="Q1376" i="12"/>
  <c r="Q1375" i="12"/>
  <c r="Q1374" i="12"/>
  <c r="Q1373" i="12"/>
  <c r="Q1372" i="12"/>
  <c r="Q1371" i="12"/>
  <c r="Q1370" i="12"/>
  <c r="Q1369" i="12"/>
  <c r="Q1368" i="12"/>
  <c r="Q1367" i="12"/>
  <c r="Q1366" i="12"/>
  <c r="Q1365" i="12"/>
  <c r="Q1364" i="12"/>
  <c r="Q1363" i="12"/>
  <c r="Q1362" i="12"/>
  <c r="Q1361" i="12"/>
  <c r="Q1360" i="12"/>
  <c r="Q1359" i="12"/>
  <c r="Q1358" i="12"/>
  <c r="Q1357" i="12"/>
  <c r="Q1356" i="12"/>
  <c r="Q1355" i="12"/>
  <c r="Q1354" i="12"/>
  <c r="Q1353" i="12"/>
  <c r="Q1352" i="12"/>
  <c r="Q1351" i="12"/>
  <c r="Q1350" i="12"/>
  <c r="Q1349" i="12"/>
  <c r="Q1348" i="12"/>
  <c r="Q1347" i="12"/>
  <c r="Q1346" i="12"/>
  <c r="Q1345" i="12"/>
  <c r="Q1344" i="12"/>
  <c r="Q1343" i="12"/>
  <c r="Q1342" i="12"/>
  <c r="Q1341" i="12"/>
  <c r="Q1340" i="12"/>
  <c r="Q1339" i="12"/>
  <c r="Q1338" i="12"/>
  <c r="Q1337" i="12"/>
  <c r="Q1336" i="12"/>
  <c r="Q1335" i="12"/>
  <c r="Q1334" i="12"/>
  <c r="Q1333" i="12"/>
  <c r="Q1332" i="12"/>
  <c r="Q1331" i="12"/>
  <c r="Q1330" i="12"/>
  <c r="Q1329" i="12"/>
  <c r="Q1328" i="12"/>
  <c r="Q1327" i="12"/>
  <c r="Q1326" i="12"/>
  <c r="Q1325" i="12"/>
  <c r="Q1324" i="12"/>
  <c r="Q1323" i="12"/>
  <c r="Q1322" i="12"/>
  <c r="Q1321" i="12"/>
  <c r="Q1320" i="12"/>
  <c r="Q1319" i="12"/>
  <c r="Q1318" i="12"/>
  <c r="Q1317" i="12"/>
  <c r="Q1316" i="12"/>
  <c r="Q1315" i="12"/>
  <c r="Q1314" i="12"/>
  <c r="Q1313" i="12"/>
  <c r="Q1312" i="12"/>
  <c r="Q1311" i="12"/>
  <c r="Q1310" i="12"/>
  <c r="Q1309" i="12"/>
  <c r="Q1308" i="12"/>
  <c r="Q1307" i="12"/>
  <c r="Q1306" i="12"/>
  <c r="Q1305" i="12"/>
  <c r="Q1304" i="12"/>
  <c r="Q1303" i="12"/>
  <c r="Q1302" i="12"/>
  <c r="Q1301" i="12"/>
  <c r="Q1300" i="12"/>
  <c r="Q1299" i="12"/>
  <c r="Q1298" i="12"/>
  <c r="Q1297" i="12"/>
  <c r="Q1296" i="12"/>
  <c r="Q1295" i="12"/>
  <c r="Q1294" i="12"/>
  <c r="Q1293" i="12"/>
  <c r="Q1292" i="12"/>
  <c r="Q1291" i="12"/>
  <c r="Q1290" i="12"/>
  <c r="Q1289" i="12"/>
  <c r="Q1288" i="12"/>
  <c r="Q1287" i="12"/>
  <c r="Q1286" i="12"/>
  <c r="Q1285" i="12"/>
  <c r="Q1284" i="12"/>
  <c r="Q1283" i="12"/>
  <c r="Q1282" i="12"/>
  <c r="Q1281" i="12"/>
  <c r="Q1280" i="12"/>
  <c r="Q1279" i="12"/>
  <c r="Q1278" i="12"/>
  <c r="Q1277" i="12"/>
  <c r="Q1276" i="12"/>
  <c r="Q1275" i="12"/>
  <c r="Q1274" i="12"/>
  <c r="Q1273" i="12"/>
  <c r="Q1272" i="12"/>
  <c r="Q1271" i="12"/>
  <c r="Q1270" i="12"/>
  <c r="Q1269" i="12"/>
  <c r="Q1268" i="12"/>
  <c r="Q1267" i="12"/>
  <c r="Q1266" i="12"/>
  <c r="Q1265" i="12"/>
  <c r="Q1264" i="12"/>
  <c r="Q1263" i="12"/>
  <c r="Q1262" i="12"/>
  <c r="Q1261" i="12"/>
  <c r="Q1260" i="12"/>
  <c r="Q1259" i="12"/>
  <c r="Q1258" i="12"/>
  <c r="Q1257" i="12"/>
  <c r="Q1256" i="12"/>
  <c r="Q1255" i="12"/>
  <c r="Q1254" i="12"/>
  <c r="Q1253" i="12"/>
  <c r="Q1252" i="12"/>
  <c r="Q1251" i="12"/>
  <c r="Q1250" i="12"/>
  <c r="Q1249" i="12"/>
  <c r="Q1248" i="12"/>
  <c r="Q1247" i="12"/>
  <c r="Q1246" i="12"/>
  <c r="Q1245" i="12"/>
  <c r="Q1244" i="12"/>
  <c r="Q1243" i="12"/>
  <c r="Q1242" i="12"/>
  <c r="Q1241" i="12"/>
  <c r="Q1240" i="12"/>
  <c r="Q1239" i="12"/>
  <c r="Q1238" i="12"/>
  <c r="Q1237" i="12"/>
  <c r="Q1236" i="12"/>
  <c r="Q1235" i="12"/>
  <c r="Q1234" i="12"/>
  <c r="Q1233" i="12"/>
  <c r="Q1232" i="12"/>
  <c r="Q1231" i="12"/>
  <c r="Q1230" i="12"/>
  <c r="Q1229" i="12"/>
  <c r="Q1228" i="12"/>
  <c r="Q1227" i="12"/>
  <c r="Q1226" i="12"/>
  <c r="Q1225" i="12"/>
  <c r="Q1224" i="12"/>
  <c r="Q1223" i="12"/>
  <c r="Q1222" i="12"/>
  <c r="Q1221" i="12"/>
  <c r="Q1220" i="12"/>
  <c r="Q1219" i="12"/>
  <c r="Q1218" i="12"/>
  <c r="Q1217" i="12"/>
  <c r="Q1216" i="12"/>
  <c r="Q1215" i="12"/>
  <c r="Q1214" i="12"/>
  <c r="Q1213" i="12"/>
  <c r="Q1212" i="12"/>
  <c r="Q1211" i="12"/>
  <c r="Q1210" i="12"/>
  <c r="Q1209" i="12"/>
  <c r="Q1208" i="12"/>
  <c r="Q1207" i="12"/>
  <c r="Q1206" i="12"/>
  <c r="Q1205" i="12"/>
  <c r="Q1204" i="12"/>
  <c r="Q1203" i="12"/>
  <c r="Q1202" i="12"/>
  <c r="Q1201" i="12"/>
  <c r="Q1200" i="12"/>
  <c r="Q1199" i="12"/>
  <c r="Q1198" i="12"/>
  <c r="Q1197" i="12"/>
  <c r="Q1196" i="12"/>
  <c r="Q1195" i="12"/>
  <c r="Q1194" i="12"/>
  <c r="Q1193" i="12"/>
  <c r="Q1192" i="12"/>
  <c r="Q1191" i="12"/>
  <c r="Q1190" i="12"/>
  <c r="Q1189" i="12"/>
  <c r="Q1188" i="12"/>
  <c r="Q1187" i="12"/>
  <c r="Q1186" i="12"/>
  <c r="Q1185" i="12"/>
  <c r="Q1184" i="12"/>
  <c r="Q1183" i="12"/>
  <c r="Q1182" i="12"/>
  <c r="Q1181" i="12"/>
  <c r="Q1180" i="12"/>
  <c r="Q1179" i="12"/>
  <c r="Q1178" i="12"/>
  <c r="Q1177" i="12"/>
  <c r="Q1176" i="12"/>
  <c r="Q1175" i="12"/>
  <c r="Q1174" i="12"/>
  <c r="Q1173" i="12"/>
  <c r="Q1172" i="12"/>
  <c r="Q1171" i="12"/>
  <c r="Q1170" i="12"/>
  <c r="Q1169" i="12"/>
  <c r="Q1168" i="12"/>
  <c r="Q1167" i="12"/>
  <c r="Q1166" i="12"/>
  <c r="Q1165" i="12"/>
  <c r="Q1164" i="12"/>
  <c r="Q1163" i="12"/>
  <c r="Q1162" i="12"/>
  <c r="Q1161" i="12"/>
  <c r="Q1160" i="12"/>
  <c r="Q1159" i="12"/>
  <c r="Q1158" i="12"/>
  <c r="Q1157" i="12"/>
  <c r="Q1156" i="12"/>
  <c r="Q1155" i="12"/>
  <c r="Q1154" i="12"/>
  <c r="Q1153" i="12"/>
  <c r="Q1152" i="12"/>
  <c r="Q1151" i="12"/>
  <c r="Q1150" i="12"/>
  <c r="Q1149" i="12"/>
  <c r="Q1148" i="12"/>
  <c r="Q1147" i="12"/>
  <c r="Q1146" i="12"/>
  <c r="Q1145" i="12"/>
  <c r="Q1144" i="12"/>
  <c r="Q1143" i="12"/>
  <c r="Q1142" i="12"/>
  <c r="Q1141" i="12"/>
  <c r="Q1140" i="12"/>
  <c r="Q1139" i="12"/>
  <c r="Q1138" i="12"/>
  <c r="Q1137" i="12"/>
  <c r="Q1136" i="12"/>
  <c r="Q1135" i="12"/>
  <c r="Q1134" i="12"/>
  <c r="Q1133" i="12"/>
  <c r="Q1132" i="12"/>
  <c r="Q1131" i="12"/>
  <c r="Q1130" i="12"/>
  <c r="Q1129" i="12"/>
  <c r="Q1128" i="12"/>
  <c r="Q1127" i="12"/>
  <c r="Q1126" i="12"/>
  <c r="Q1125" i="12"/>
  <c r="Q1124" i="12"/>
  <c r="Q1123" i="12"/>
  <c r="Q1122" i="12"/>
  <c r="Q1121" i="12"/>
  <c r="Q1120" i="12"/>
  <c r="Q1119" i="12"/>
  <c r="Q1118" i="12"/>
  <c r="Q1117" i="12"/>
  <c r="Q1116" i="12"/>
  <c r="Q1115" i="12"/>
  <c r="Q1114" i="12"/>
  <c r="Q1113" i="12"/>
  <c r="Q1112" i="12"/>
  <c r="Q1111" i="12"/>
  <c r="Q1110" i="12"/>
  <c r="Q1109" i="12"/>
  <c r="Q1108" i="12"/>
  <c r="Q1107" i="12"/>
  <c r="Q1106" i="12"/>
  <c r="Q1105" i="12"/>
  <c r="Q1104" i="12"/>
  <c r="Q1103" i="12"/>
  <c r="Q1102" i="12"/>
  <c r="Q1101" i="12"/>
  <c r="Q1100" i="12"/>
  <c r="Q1099" i="12"/>
  <c r="Q1098" i="12"/>
  <c r="Q1097" i="12"/>
  <c r="Q1096" i="12"/>
  <c r="Q1095" i="12"/>
  <c r="Q1094" i="12"/>
  <c r="Q1093" i="12"/>
  <c r="Q1092" i="12"/>
  <c r="Q1091" i="12"/>
  <c r="Q1090" i="12"/>
  <c r="Q1089" i="12"/>
  <c r="Q1088" i="12"/>
  <c r="Q1087" i="12"/>
  <c r="Q1086" i="12"/>
  <c r="Q1085" i="12"/>
  <c r="Q1084" i="12"/>
  <c r="Q1083" i="12"/>
  <c r="Q1082" i="12"/>
  <c r="Q1081" i="12"/>
  <c r="Q1080" i="12"/>
  <c r="Q1079" i="12"/>
  <c r="Q1078" i="12"/>
  <c r="Q1077" i="12"/>
  <c r="Q1076" i="12"/>
  <c r="Q1075" i="12"/>
  <c r="Q1074" i="12"/>
  <c r="Q1073" i="12"/>
  <c r="Q1072" i="12"/>
  <c r="Q1071" i="12"/>
  <c r="Q1070" i="12"/>
  <c r="Q1069" i="12"/>
  <c r="Q1068" i="12"/>
  <c r="Q1067" i="12"/>
  <c r="Q1066" i="12"/>
  <c r="Q1065" i="12"/>
  <c r="Q1064" i="12"/>
  <c r="Q1063" i="12"/>
  <c r="Q1062" i="12"/>
  <c r="Q1061" i="12"/>
  <c r="Q1060" i="12"/>
  <c r="Q1059" i="12"/>
  <c r="Q1058" i="12"/>
  <c r="Q1057" i="12"/>
  <c r="Q1056" i="12"/>
  <c r="Q1055" i="12"/>
  <c r="Q1054" i="12"/>
  <c r="Q1053" i="12"/>
  <c r="Q1052" i="12"/>
  <c r="Q1051" i="12"/>
  <c r="Q1050" i="12"/>
  <c r="Q1049" i="12"/>
  <c r="Q1048" i="12"/>
  <c r="Q1047" i="12"/>
  <c r="Q1046" i="12"/>
  <c r="Q1045" i="12"/>
  <c r="Q1044" i="12"/>
  <c r="Q1043" i="12"/>
  <c r="Q1042" i="12"/>
  <c r="Q1041" i="12"/>
  <c r="Q1040" i="12"/>
  <c r="Q1039" i="12"/>
  <c r="Q1038" i="12"/>
  <c r="Q1037" i="12"/>
  <c r="Q1036" i="12"/>
  <c r="Q1035" i="12"/>
  <c r="Q1034" i="12"/>
  <c r="Q1033" i="12"/>
  <c r="Q1032" i="12"/>
  <c r="Q1031" i="12"/>
  <c r="Q1030" i="12"/>
  <c r="Q1029" i="12"/>
  <c r="Q1028" i="12"/>
  <c r="Q1027" i="12"/>
  <c r="Q1026" i="12"/>
  <c r="Q1025" i="12"/>
  <c r="Q1024" i="12"/>
  <c r="Q1023" i="12"/>
  <c r="Q1022" i="12"/>
  <c r="Q1021" i="12"/>
  <c r="Q1020" i="12"/>
  <c r="Q1019" i="12"/>
  <c r="Q1018" i="12"/>
  <c r="Q1017" i="12"/>
  <c r="Q1016" i="12"/>
  <c r="Q1015" i="12"/>
  <c r="Q1014" i="12"/>
  <c r="Q1013" i="12"/>
  <c r="Q1012" i="12"/>
  <c r="Q1011" i="12"/>
  <c r="Q1010" i="12"/>
  <c r="Q1009" i="12"/>
  <c r="Q1008" i="12"/>
  <c r="Q1007" i="12"/>
  <c r="Q1006" i="12"/>
  <c r="Q1005" i="12"/>
  <c r="Q1004" i="12"/>
  <c r="Q1003" i="12"/>
  <c r="Q1002" i="12"/>
  <c r="Q1001" i="12"/>
  <c r="Q1000" i="12"/>
  <c r="Q999" i="12"/>
  <c r="Q998" i="12"/>
  <c r="Q997" i="12"/>
  <c r="Q996" i="12"/>
  <c r="Q995" i="12"/>
  <c r="Q994" i="12"/>
  <c r="Q993" i="12"/>
  <c r="Q992" i="12"/>
  <c r="Q991" i="12"/>
  <c r="Q990" i="12"/>
  <c r="Q989" i="12"/>
  <c r="Q988" i="12"/>
  <c r="Q987" i="12"/>
  <c r="Q986" i="12"/>
  <c r="Q985" i="12"/>
  <c r="Q984" i="12"/>
  <c r="Q983" i="12"/>
  <c r="Q982" i="12"/>
  <c r="Q981" i="12"/>
  <c r="Q980" i="12"/>
  <c r="Q979" i="12"/>
  <c r="Q978" i="12"/>
  <c r="Q977" i="12"/>
  <c r="Q976" i="12"/>
  <c r="Q975" i="12"/>
  <c r="Q974" i="12"/>
  <c r="Q973" i="12"/>
  <c r="Q972" i="12"/>
  <c r="Q971" i="12"/>
  <c r="Q970" i="12"/>
  <c r="Q969" i="12"/>
  <c r="Q968" i="12"/>
  <c r="Q967" i="12"/>
  <c r="Q966" i="12"/>
  <c r="Q965" i="12"/>
  <c r="Q964" i="12"/>
  <c r="Q963" i="12"/>
  <c r="Q962" i="12"/>
  <c r="Q961" i="12"/>
  <c r="Q960" i="12"/>
  <c r="Q959" i="12"/>
  <c r="Q958" i="12"/>
  <c r="Q957" i="12"/>
  <c r="Q956" i="12"/>
  <c r="Q955" i="12"/>
  <c r="Q954" i="12"/>
  <c r="Q953" i="12"/>
  <c r="Q952" i="12"/>
  <c r="Q951" i="12"/>
  <c r="Q950" i="12"/>
  <c r="Q949" i="12"/>
  <c r="Q948" i="12"/>
  <c r="Q947" i="12"/>
  <c r="Q946" i="12"/>
  <c r="Q945" i="12"/>
  <c r="Q944" i="12"/>
  <c r="Q943" i="12"/>
  <c r="Q942" i="12"/>
  <c r="Q941" i="12"/>
  <c r="Q940" i="12"/>
  <c r="Q939" i="12"/>
  <c r="Q938" i="12"/>
  <c r="Q937" i="12"/>
  <c r="Q936" i="12"/>
  <c r="Q935" i="12"/>
  <c r="Q934" i="12"/>
  <c r="Q933" i="12"/>
  <c r="Q932" i="12"/>
  <c r="Q931" i="12"/>
  <c r="Q930" i="12"/>
  <c r="Q929" i="12"/>
  <c r="Q928" i="12"/>
  <c r="Q927" i="12"/>
  <c r="Q926" i="12"/>
  <c r="Q925" i="12"/>
  <c r="Q924" i="12"/>
  <c r="Q923" i="12"/>
  <c r="Q922" i="12"/>
  <c r="Q921" i="12"/>
  <c r="Q920" i="12"/>
  <c r="Q919" i="12"/>
  <c r="Q918" i="12"/>
  <c r="Q917" i="12"/>
  <c r="Q916" i="12"/>
  <c r="Q915" i="12"/>
  <c r="Q914" i="12"/>
  <c r="Q913" i="12"/>
  <c r="Q912" i="12"/>
  <c r="Q911" i="12"/>
  <c r="Q910" i="12"/>
  <c r="Q909" i="12"/>
  <c r="Q908" i="12"/>
  <c r="Q907" i="12"/>
  <c r="Q906" i="12"/>
  <c r="Q905" i="12"/>
  <c r="Q904" i="12"/>
  <c r="Q903" i="12"/>
  <c r="Q902" i="12"/>
  <c r="Q901" i="12"/>
  <c r="Q900" i="12"/>
  <c r="Q899" i="12"/>
  <c r="Q898" i="12"/>
  <c r="Q897" i="12"/>
  <c r="Q896" i="12"/>
  <c r="Q895" i="12"/>
  <c r="Q894" i="12"/>
  <c r="Q893" i="12"/>
  <c r="Q892" i="12"/>
  <c r="Q891" i="12"/>
  <c r="Q890" i="12"/>
  <c r="Q889" i="12"/>
  <c r="Q888" i="12"/>
  <c r="Q887" i="12"/>
  <c r="Q886" i="12"/>
  <c r="Q885" i="12"/>
  <c r="Q884" i="12"/>
  <c r="Q883" i="12"/>
  <c r="Q882" i="12"/>
  <c r="Q881" i="12"/>
  <c r="Q880" i="12"/>
  <c r="Q879" i="12"/>
  <c r="Q878" i="12"/>
  <c r="Q877" i="12"/>
  <c r="Q876" i="12"/>
  <c r="Q875" i="12"/>
  <c r="Q874" i="12"/>
  <c r="Q873" i="12"/>
  <c r="Q872" i="12"/>
  <c r="Q871" i="12"/>
  <c r="Q870" i="12"/>
  <c r="Q869" i="12"/>
  <c r="Q868" i="12"/>
  <c r="Q867" i="12"/>
  <c r="Q866" i="12"/>
  <c r="Q865" i="12"/>
  <c r="Q864" i="12"/>
  <c r="Q863" i="12"/>
  <c r="Q862" i="12"/>
  <c r="Q861" i="12"/>
  <c r="Q860" i="12"/>
  <c r="Q859" i="12"/>
  <c r="Q858" i="12"/>
  <c r="Q857" i="12"/>
  <c r="Q856" i="12"/>
  <c r="Q855" i="12"/>
  <c r="Q854" i="12"/>
  <c r="Q853" i="12"/>
  <c r="Q852" i="12"/>
  <c r="Q851" i="12"/>
  <c r="Q850" i="12"/>
  <c r="Q849" i="12"/>
  <c r="Q848" i="12"/>
  <c r="Q847" i="12"/>
  <c r="Q846" i="12"/>
  <c r="Q845" i="12"/>
  <c r="Q844" i="12"/>
  <c r="Q843" i="12"/>
  <c r="Q842" i="12"/>
  <c r="Q841" i="12"/>
  <c r="Q840" i="12"/>
  <c r="Q839" i="12"/>
  <c r="Q838" i="12"/>
  <c r="Q837" i="12"/>
  <c r="Q836" i="12"/>
  <c r="Q835" i="12"/>
  <c r="Q834" i="12"/>
  <c r="Q833" i="12"/>
  <c r="Q832" i="12"/>
  <c r="Q831" i="12"/>
  <c r="Q830" i="12"/>
  <c r="Q829" i="12"/>
  <c r="Q828" i="12"/>
  <c r="Q827" i="12"/>
  <c r="Q826" i="12"/>
  <c r="Q825" i="12"/>
  <c r="Q824" i="12"/>
  <c r="Q823" i="12"/>
  <c r="Q822" i="12"/>
  <c r="Q821" i="12"/>
  <c r="Q820" i="12"/>
  <c r="Q819" i="12"/>
  <c r="Q818" i="12"/>
  <c r="Q817" i="12"/>
  <c r="Q816" i="12"/>
  <c r="Q815" i="12"/>
  <c r="Q814" i="12"/>
  <c r="Q813" i="12"/>
  <c r="Q812" i="12"/>
  <c r="Q811" i="12"/>
  <c r="Q810" i="12"/>
  <c r="Q809" i="12"/>
  <c r="Q808" i="12"/>
  <c r="Q807" i="12"/>
  <c r="Q806" i="12"/>
  <c r="Q805" i="12"/>
  <c r="Q804" i="12"/>
  <c r="Q803" i="12"/>
  <c r="Q802" i="12"/>
  <c r="Q801" i="12"/>
  <c r="Q800" i="12"/>
  <c r="Q799" i="12"/>
  <c r="Q798" i="12"/>
  <c r="Q797" i="12"/>
  <c r="Q796" i="12"/>
  <c r="Q795" i="12"/>
  <c r="Q794" i="12"/>
  <c r="Q793" i="12"/>
  <c r="Q792" i="12"/>
  <c r="Q791" i="12"/>
  <c r="Q790" i="12"/>
  <c r="Q789" i="12"/>
  <c r="Q788" i="12"/>
  <c r="Q787" i="12"/>
  <c r="Q786" i="12"/>
  <c r="Q785" i="12"/>
  <c r="Q784" i="12"/>
  <c r="Q783" i="12"/>
  <c r="Q782" i="12"/>
  <c r="Q781" i="12"/>
  <c r="Q780" i="12"/>
  <c r="Q779" i="12"/>
  <c r="Q778" i="12"/>
  <c r="Q777" i="12"/>
  <c r="Q776" i="12"/>
  <c r="Q775" i="12"/>
  <c r="Q774" i="12"/>
  <c r="Q773" i="12"/>
  <c r="Q772" i="12"/>
  <c r="Q771" i="12"/>
  <c r="Q770" i="12"/>
  <c r="Q769" i="12"/>
  <c r="Q768" i="12"/>
  <c r="Q767" i="12"/>
  <c r="Q766" i="12"/>
  <c r="Q765" i="12"/>
  <c r="Q764" i="12"/>
  <c r="Q763" i="12"/>
  <c r="Q762" i="12"/>
  <c r="Q761" i="12"/>
  <c r="Q760" i="12"/>
  <c r="Q759" i="12"/>
  <c r="Q758" i="12"/>
  <c r="Q757" i="12"/>
  <c r="Q756" i="12"/>
  <c r="Q755" i="12"/>
  <c r="Q754" i="12"/>
  <c r="Q753" i="12"/>
  <c r="Q752" i="12"/>
  <c r="Q751" i="12"/>
  <c r="Q750" i="12"/>
  <c r="Q749" i="12"/>
  <c r="Q748" i="12"/>
  <c r="Q747" i="12"/>
  <c r="Q746" i="12"/>
  <c r="Q745" i="12"/>
  <c r="Q744" i="12"/>
  <c r="Q743" i="12"/>
  <c r="Q742" i="12"/>
  <c r="Q741" i="12"/>
  <c r="Q740" i="12"/>
  <c r="Q739" i="12"/>
  <c r="Q738" i="12"/>
  <c r="Q737" i="12"/>
  <c r="Q736" i="12"/>
  <c r="Q735" i="12"/>
  <c r="Q734" i="12"/>
  <c r="Q733" i="12"/>
  <c r="Q732" i="12"/>
  <c r="Q731" i="12"/>
  <c r="Q730" i="12"/>
  <c r="Q729" i="12"/>
  <c r="Q728" i="12"/>
  <c r="Q727" i="12"/>
  <c r="Q726" i="12"/>
  <c r="Q725" i="12"/>
  <c r="Q724" i="12"/>
  <c r="Q723" i="12"/>
  <c r="Q722" i="12"/>
  <c r="Q721" i="12"/>
  <c r="Q720" i="12"/>
  <c r="Q719" i="12"/>
  <c r="Q718" i="12"/>
  <c r="Q717" i="12"/>
  <c r="Q716" i="12"/>
  <c r="Q715" i="12"/>
  <c r="Q714" i="12"/>
  <c r="Q713" i="12"/>
  <c r="Q712" i="12"/>
  <c r="Q711" i="12"/>
  <c r="Q710" i="12"/>
  <c r="Q709" i="12"/>
  <c r="Q708" i="12"/>
  <c r="Q707" i="12"/>
  <c r="Q706" i="12"/>
  <c r="Q705" i="12"/>
  <c r="Q704" i="12"/>
  <c r="Q703" i="12"/>
  <c r="Q702" i="12"/>
  <c r="Q701" i="12"/>
  <c r="Q700" i="12"/>
  <c r="Q699" i="12"/>
  <c r="Q698" i="12"/>
  <c r="Q697" i="12"/>
  <c r="Q696" i="12"/>
  <c r="Q695" i="12"/>
  <c r="Q694" i="12"/>
  <c r="Q693" i="12"/>
  <c r="Q692" i="12"/>
  <c r="Q691" i="12"/>
  <c r="Q690" i="12"/>
  <c r="Q689" i="12"/>
  <c r="Q688" i="12"/>
  <c r="Q687" i="12"/>
  <c r="Q686" i="12"/>
  <c r="Q685" i="12"/>
  <c r="Q684" i="12"/>
  <c r="Q683" i="12"/>
  <c r="Q682" i="12"/>
  <c r="Q681" i="12"/>
  <c r="Q680" i="12"/>
  <c r="Q679" i="12"/>
  <c r="Q678" i="12"/>
  <c r="Q677" i="12"/>
  <c r="Q676" i="12"/>
  <c r="Q675" i="12"/>
  <c r="Q674" i="12"/>
  <c r="Q673" i="12"/>
  <c r="Q672" i="12"/>
  <c r="Q671" i="12"/>
  <c r="Q670" i="12"/>
  <c r="Q669" i="12"/>
  <c r="Q668" i="12"/>
  <c r="Q667" i="12"/>
  <c r="Q666" i="12"/>
  <c r="Q665" i="12"/>
  <c r="Q664" i="12"/>
  <c r="Q663" i="12"/>
  <c r="Q662" i="12"/>
  <c r="Q661" i="12"/>
  <c r="Q660" i="12"/>
  <c r="Q659" i="12"/>
  <c r="Q658" i="12"/>
  <c r="Q657" i="12"/>
  <c r="Q656" i="12"/>
  <c r="Q655" i="12"/>
  <c r="Q654" i="12"/>
  <c r="Q653" i="12"/>
  <c r="Q652" i="12"/>
  <c r="Q651" i="12"/>
  <c r="Q650" i="12"/>
  <c r="Q649" i="12"/>
  <c r="Q648" i="12"/>
  <c r="Q647" i="12"/>
  <c r="Q646" i="12"/>
  <c r="Q645" i="12"/>
  <c r="Q644" i="12"/>
  <c r="Q643" i="12"/>
  <c r="Q642" i="12"/>
  <c r="Q641" i="12"/>
  <c r="Q640" i="12"/>
  <c r="Q639" i="12"/>
  <c r="Q638" i="12"/>
  <c r="Q637" i="12"/>
  <c r="Q636" i="12"/>
  <c r="Q635" i="12"/>
  <c r="Q634" i="12"/>
  <c r="Q633" i="12"/>
  <c r="Q632" i="12"/>
  <c r="Q631" i="12"/>
  <c r="Q630" i="12"/>
  <c r="Q629" i="12"/>
  <c r="Q628" i="12"/>
  <c r="Q627" i="12"/>
  <c r="Q626" i="12"/>
  <c r="Q625" i="12"/>
  <c r="Q624" i="12"/>
  <c r="Q623" i="12"/>
  <c r="Q622" i="12"/>
  <c r="Q621" i="12"/>
  <c r="Q620" i="12"/>
  <c r="Q619" i="12"/>
  <c r="Q618" i="12"/>
  <c r="Q617" i="12"/>
  <c r="Q616" i="12"/>
  <c r="Q615" i="12"/>
  <c r="Q614" i="12"/>
  <c r="Q613" i="12"/>
  <c r="Q612" i="12"/>
  <c r="Q611" i="12"/>
  <c r="Q610" i="12"/>
  <c r="Q609" i="12"/>
  <c r="Q608" i="12"/>
  <c r="Q607" i="12"/>
  <c r="Q606" i="12"/>
  <c r="Q605" i="12"/>
  <c r="Q604" i="12"/>
  <c r="Q603" i="12"/>
  <c r="Q602" i="12"/>
  <c r="Q601" i="12"/>
  <c r="Q600" i="12"/>
  <c r="Q599" i="12"/>
  <c r="Q598" i="12"/>
  <c r="Q597" i="12"/>
  <c r="Q596" i="12"/>
  <c r="Q595" i="12"/>
  <c r="Q594" i="12"/>
  <c r="Q593" i="12"/>
  <c r="Q592" i="12"/>
  <c r="Q591" i="12"/>
  <c r="Q590" i="12"/>
  <c r="Q589" i="12"/>
  <c r="Q588" i="12"/>
  <c r="Q587" i="12"/>
  <c r="Q586" i="12"/>
  <c r="Q585" i="12"/>
  <c r="Q584" i="12"/>
  <c r="Q583" i="12"/>
  <c r="Q582" i="12"/>
  <c r="Q581" i="12"/>
  <c r="Q580" i="12"/>
  <c r="Q579" i="12"/>
  <c r="Q578" i="12"/>
  <c r="Q577" i="12"/>
  <c r="Q576" i="12"/>
  <c r="Q575" i="12"/>
  <c r="Q574" i="12"/>
  <c r="Q573" i="12"/>
  <c r="Q572" i="12"/>
  <c r="Q571" i="12"/>
  <c r="Q570" i="12"/>
  <c r="Q569" i="12"/>
  <c r="Q568" i="12"/>
  <c r="Q567" i="12"/>
  <c r="Q566" i="12"/>
  <c r="Q565" i="12"/>
  <c r="Q564" i="12"/>
  <c r="Q563" i="12"/>
  <c r="Q562" i="12"/>
  <c r="Q561" i="12"/>
  <c r="Q560" i="12"/>
  <c r="Q559" i="12"/>
  <c r="Q558" i="12"/>
  <c r="Q557" i="12"/>
  <c r="Q556" i="12"/>
  <c r="Q555" i="12"/>
  <c r="Q554" i="12"/>
  <c r="Q553" i="12"/>
  <c r="Q552" i="12"/>
  <c r="Q551" i="12"/>
  <c r="Q550" i="12"/>
  <c r="Q549" i="12"/>
  <c r="Q548" i="12"/>
  <c r="Q547" i="12"/>
  <c r="Q546" i="12"/>
  <c r="Q545" i="12"/>
  <c r="Q544" i="12"/>
  <c r="Q543" i="12"/>
  <c r="Q542" i="12"/>
  <c r="Q541" i="12"/>
  <c r="Q540" i="12"/>
  <c r="Q539" i="12"/>
  <c r="Q538" i="12"/>
  <c r="Q537" i="12"/>
  <c r="Q536" i="12"/>
  <c r="Q535" i="12"/>
  <c r="Q534" i="12"/>
  <c r="Q533" i="12"/>
  <c r="Q532" i="12"/>
  <c r="Q531" i="12"/>
  <c r="Q530" i="12"/>
  <c r="Q529" i="12"/>
  <c r="Q528" i="12"/>
  <c r="Q527" i="12"/>
  <c r="Q526" i="12"/>
  <c r="Q525" i="12"/>
  <c r="Q524" i="12"/>
  <c r="Q523" i="12"/>
  <c r="Q522" i="12"/>
  <c r="Q521" i="12"/>
  <c r="Q520" i="12"/>
  <c r="Q519" i="12"/>
  <c r="Q518" i="12"/>
  <c r="Q517" i="12"/>
  <c r="Q516" i="12"/>
  <c r="Q515" i="12"/>
  <c r="Q514" i="12"/>
  <c r="Q513" i="12"/>
  <c r="Q512" i="12"/>
  <c r="Q511" i="12"/>
  <c r="Q510" i="12"/>
  <c r="Q509" i="12"/>
  <c r="Q508" i="12"/>
  <c r="Q507" i="12"/>
  <c r="Q506" i="12"/>
  <c r="Q505" i="12"/>
  <c r="Q504" i="12"/>
  <c r="Q503" i="12"/>
  <c r="Q502" i="12"/>
  <c r="Q501" i="12"/>
  <c r="Q500" i="12"/>
  <c r="Q499" i="12"/>
  <c r="Q498" i="12"/>
  <c r="Q497" i="12"/>
  <c r="Q496" i="12"/>
  <c r="Q495" i="12"/>
  <c r="Q494" i="12"/>
  <c r="Q493" i="12"/>
  <c r="Q492" i="12"/>
  <c r="Q491" i="12"/>
  <c r="Q490" i="12"/>
  <c r="Q489" i="12"/>
  <c r="Q488" i="12"/>
  <c r="Q487" i="12"/>
  <c r="Q486" i="12"/>
  <c r="Q485" i="12"/>
  <c r="Q484" i="12"/>
  <c r="Q483" i="12"/>
  <c r="Q482" i="12"/>
  <c r="Q481" i="12"/>
  <c r="Q480" i="12"/>
  <c r="Q479" i="12"/>
  <c r="Q478" i="12"/>
  <c r="Q477" i="12"/>
  <c r="Q476" i="12"/>
  <c r="Q475" i="12"/>
  <c r="Q474" i="12"/>
  <c r="Q473" i="12"/>
  <c r="Q472" i="12"/>
  <c r="Q471" i="12"/>
  <c r="Q470" i="12"/>
  <c r="Q469" i="12"/>
  <c r="Q468" i="12"/>
  <c r="Q467" i="12"/>
  <c r="Q466" i="12"/>
  <c r="Q465" i="12"/>
  <c r="Q464" i="12"/>
  <c r="Q463" i="12"/>
  <c r="Q462" i="12"/>
  <c r="Q461" i="12"/>
  <c r="Q460" i="12"/>
  <c r="Q459" i="12"/>
  <c r="Q458" i="12"/>
  <c r="Q457" i="12"/>
  <c r="Q456" i="12"/>
  <c r="Q455" i="12"/>
  <c r="Q454" i="12"/>
  <c r="Q453" i="12"/>
  <c r="Q452" i="12"/>
  <c r="Q451" i="12"/>
  <c r="Q450" i="12"/>
  <c r="Q449" i="12"/>
  <c r="Q448" i="12"/>
  <c r="Q447" i="12"/>
  <c r="Q446" i="12"/>
  <c r="Q445" i="12"/>
  <c r="Q444" i="12"/>
  <c r="Q443" i="12"/>
  <c r="Q442" i="12"/>
  <c r="Q441" i="12"/>
  <c r="Q440" i="12"/>
  <c r="Q439" i="12"/>
  <c r="Q438" i="12"/>
  <c r="Q437" i="12"/>
  <c r="Q436" i="12"/>
  <c r="Q435" i="12"/>
  <c r="Q434" i="12"/>
  <c r="Q433" i="12"/>
  <c r="Q432" i="12"/>
  <c r="Q431" i="12"/>
  <c r="Q430" i="12"/>
  <c r="Q429" i="12"/>
  <c r="Q428" i="12"/>
  <c r="Q427" i="12"/>
  <c r="Q426" i="12"/>
  <c r="Q425" i="12"/>
  <c r="Q424" i="12"/>
  <c r="Q423" i="12"/>
  <c r="Q422" i="12"/>
  <c r="Q421" i="12"/>
  <c r="Q420" i="12"/>
  <c r="Q419" i="12"/>
  <c r="Q418" i="12"/>
  <c r="Q417" i="12"/>
  <c r="Q416" i="12"/>
  <c r="Q415" i="12"/>
  <c r="Q414" i="12"/>
  <c r="Q413" i="12"/>
  <c r="Q412" i="12"/>
  <c r="Q411" i="12"/>
  <c r="Q410" i="12"/>
  <c r="Q409" i="12"/>
  <c r="Q408" i="12"/>
  <c r="Q407" i="12"/>
  <c r="Q406" i="12"/>
  <c r="Q405" i="12"/>
  <c r="Q404" i="12"/>
  <c r="Q403" i="12"/>
  <c r="Q402" i="12"/>
  <c r="Q401" i="12"/>
  <c r="Q400" i="12"/>
  <c r="Q399" i="12"/>
  <c r="Q398" i="12"/>
  <c r="Q397" i="12"/>
  <c r="Q396" i="12"/>
  <c r="Q395" i="12"/>
  <c r="Q394" i="12"/>
  <c r="Q393" i="12"/>
  <c r="Q392" i="12"/>
  <c r="Q391" i="12"/>
  <c r="Q390" i="12"/>
  <c r="Q389" i="12"/>
  <c r="Q388" i="12"/>
  <c r="Q387" i="12"/>
  <c r="Q386" i="12"/>
  <c r="Q385" i="12"/>
  <c r="Q384" i="12"/>
  <c r="Q383" i="12"/>
  <c r="Q382" i="12"/>
  <c r="Q381" i="12"/>
  <c r="Q380" i="12"/>
  <c r="Q379" i="12"/>
  <c r="Q378" i="12"/>
  <c r="Q377" i="12"/>
  <c r="Q376" i="12"/>
  <c r="Q375" i="12"/>
  <c r="Q374" i="12"/>
  <c r="Q373" i="12"/>
  <c r="Q372" i="12"/>
  <c r="Q371" i="12"/>
  <c r="Q370" i="12"/>
  <c r="Q369" i="12"/>
  <c r="Q368" i="12"/>
  <c r="Q367" i="12"/>
  <c r="Q366" i="12"/>
  <c r="Q365" i="12"/>
  <c r="Q364" i="12"/>
  <c r="Q363" i="12"/>
  <c r="Q362" i="12"/>
  <c r="Q361" i="12"/>
  <c r="Q360" i="12"/>
  <c r="Q359" i="12"/>
  <c r="Q358" i="12"/>
  <c r="Q357" i="12"/>
  <c r="Q356" i="12"/>
  <c r="Q355" i="12"/>
  <c r="Q354" i="12"/>
  <c r="Q353" i="12"/>
  <c r="Q352" i="12"/>
  <c r="Q351" i="12"/>
  <c r="Q350" i="12"/>
  <c r="Q349" i="12"/>
  <c r="Q348" i="12"/>
  <c r="Q347" i="12"/>
  <c r="Q346" i="12"/>
  <c r="Q345" i="12"/>
  <c r="Q344" i="12"/>
  <c r="Q343" i="12"/>
  <c r="Q342" i="12"/>
  <c r="Q341" i="12"/>
  <c r="Q340" i="12"/>
  <c r="Q339" i="12"/>
  <c r="Q338" i="12"/>
  <c r="Q337" i="12"/>
  <c r="Q336" i="12"/>
  <c r="Q335" i="12"/>
  <c r="Q334" i="12"/>
  <c r="Q333" i="12"/>
  <c r="Q332" i="12"/>
  <c r="Q331" i="12"/>
  <c r="Q330" i="12"/>
  <c r="Q329" i="12"/>
  <c r="Q328" i="12"/>
  <c r="Q327" i="12"/>
  <c r="Q326" i="12"/>
  <c r="Q325" i="12"/>
  <c r="Q324" i="12"/>
  <c r="Q323" i="12"/>
  <c r="Q322" i="12"/>
  <c r="Q321" i="12"/>
  <c r="Q320" i="12"/>
  <c r="Q319" i="12"/>
  <c r="Q318" i="12"/>
  <c r="Q317" i="12"/>
  <c r="Q316" i="12"/>
  <c r="Q315" i="12"/>
  <c r="Q314" i="12"/>
  <c r="Q313" i="12"/>
  <c r="Q312" i="12"/>
  <c r="Q311" i="12"/>
  <c r="Q310" i="12"/>
  <c r="Q309" i="12"/>
  <c r="Q308" i="12"/>
  <c r="Q307" i="12"/>
  <c r="Q306" i="12"/>
  <c r="Q305" i="12"/>
  <c r="Q304" i="12"/>
  <c r="Q303" i="12"/>
  <c r="Q302" i="12"/>
  <c r="Q301" i="12"/>
  <c r="Q300" i="12"/>
  <c r="Q299" i="12"/>
  <c r="Q298" i="12"/>
  <c r="Q297" i="12"/>
  <c r="Q296" i="12"/>
  <c r="Q295" i="12"/>
  <c r="Q294" i="12"/>
  <c r="Q293" i="12"/>
  <c r="Q292" i="12"/>
  <c r="Q291" i="12"/>
  <c r="Q290" i="12"/>
  <c r="Q289" i="12"/>
  <c r="Q288" i="12"/>
  <c r="Q287" i="12"/>
  <c r="Q286" i="12"/>
  <c r="Q285" i="12"/>
  <c r="Q284" i="12"/>
  <c r="Q283" i="12"/>
  <c r="Q282" i="12"/>
  <c r="Q281" i="12"/>
  <c r="Q280" i="12"/>
  <c r="Q279" i="12"/>
  <c r="Q278" i="12"/>
  <c r="Q277" i="12"/>
  <c r="Q276" i="12"/>
  <c r="Q275" i="12"/>
  <c r="Q274" i="12"/>
  <c r="Q273" i="12"/>
  <c r="Q272" i="12"/>
  <c r="Q271" i="12"/>
  <c r="Q270" i="12"/>
  <c r="Q269" i="12"/>
  <c r="Q268" i="12"/>
  <c r="Q267" i="12"/>
  <c r="Q266" i="12"/>
  <c r="Q265" i="12"/>
  <c r="Q264" i="12"/>
  <c r="Q263" i="12"/>
  <c r="Q262" i="12"/>
  <c r="Q261" i="12"/>
  <c r="Q260" i="12"/>
  <c r="Q259" i="12"/>
  <c r="Q258" i="12"/>
  <c r="Q257" i="12"/>
  <c r="Q256" i="12"/>
  <c r="Q255" i="12"/>
  <c r="Q254" i="12"/>
  <c r="Q253" i="12"/>
  <c r="Q252" i="12"/>
  <c r="Q251" i="12"/>
  <c r="Q250" i="12"/>
  <c r="Q249" i="12"/>
  <c r="Q248" i="12"/>
  <c r="Q247" i="12"/>
  <c r="Q246" i="12"/>
  <c r="Q245" i="12"/>
  <c r="Q244" i="12"/>
  <c r="Q243" i="12"/>
  <c r="Q242" i="12"/>
  <c r="Q241" i="12"/>
  <c r="Q240" i="12"/>
  <c r="Q239" i="12"/>
  <c r="Q238" i="12"/>
  <c r="Q237" i="12"/>
  <c r="Q236" i="12"/>
  <c r="Q235" i="12"/>
  <c r="Q234" i="12"/>
  <c r="Q233" i="12"/>
  <c r="Q232" i="12"/>
  <c r="Q231" i="12"/>
  <c r="Q230" i="12"/>
  <c r="Q229" i="12"/>
  <c r="Q228" i="12"/>
  <c r="Q227" i="12"/>
  <c r="Q226" i="12"/>
  <c r="Q225" i="12"/>
  <c r="Q224" i="12"/>
  <c r="Q223" i="12"/>
  <c r="Q222" i="12"/>
  <c r="Q221" i="12"/>
  <c r="Q220" i="12"/>
  <c r="Q219" i="12"/>
  <c r="Q218" i="12"/>
  <c r="Q217" i="12"/>
  <c r="Q216" i="12"/>
  <c r="Q215" i="12"/>
  <c r="Q214" i="12"/>
  <c r="Q213" i="12"/>
  <c r="Q212" i="12"/>
  <c r="Q211" i="12"/>
  <c r="Q210" i="12"/>
  <c r="Q209" i="12"/>
  <c r="Q208" i="12"/>
  <c r="Q207" i="12"/>
  <c r="Q206" i="12"/>
  <c r="Q205" i="12"/>
  <c r="Q204" i="12"/>
  <c r="Q203" i="12"/>
  <c r="Q202" i="12"/>
  <c r="Q201" i="12"/>
  <c r="Q200" i="12"/>
  <c r="Q199" i="12"/>
  <c r="Q198" i="12"/>
  <c r="Q197" i="12"/>
  <c r="Q196" i="12"/>
  <c r="Q195" i="12"/>
  <c r="Q194" i="12"/>
  <c r="Q193" i="12"/>
  <c r="Q192" i="12"/>
  <c r="Q191" i="12"/>
  <c r="Q190" i="12"/>
  <c r="Q189" i="12"/>
  <c r="Q188" i="12"/>
  <c r="Q187" i="12"/>
  <c r="Q186" i="12"/>
  <c r="Q185" i="12"/>
  <c r="Q184" i="12"/>
  <c r="Q183" i="12"/>
  <c r="Q182" i="12"/>
  <c r="Q181" i="12"/>
  <c r="Q180" i="12"/>
  <c r="Q179" i="12"/>
  <c r="Q178" i="12"/>
  <c r="Q177" i="12"/>
  <c r="Q176" i="12"/>
  <c r="Q175" i="12"/>
  <c r="Q174" i="12"/>
  <c r="Q173" i="12"/>
  <c r="Q172" i="12"/>
  <c r="Q171" i="12"/>
  <c r="Q170" i="12"/>
  <c r="Q169" i="12"/>
  <c r="Q168" i="12"/>
  <c r="Q167" i="12"/>
  <c r="Q166" i="12"/>
  <c r="Q165" i="12"/>
  <c r="Q164" i="12"/>
  <c r="Q163" i="12"/>
  <c r="Q162" i="12"/>
  <c r="Q161" i="12"/>
  <c r="Q160" i="12"/>
  <c r="Q159" i="12"/>
  <c r="Q158" i="12"/>
  <c r="Q157" i="12"/>
  <c r="Q156" i="12"/>
  <c r="Q155" i="12"/>
  <c r="Q154" i="12"/>
  <c r="Q153" i="12"/>
  <c r="Q152" i="12"/>
  <c r="Q151" i="12"/>
  <c r="Q150" i="12"/>
  <c r="Q149" i="12"/>
  <c r="Q148" i="12"/>
  <c r="Q147" i="12"/>
  <c r="Q146" i="12"/>
  <c r="Q145" i="12"/>
  <c r="Q144" i="12"/>
  <c r="Q143" i="12"/>
  <c r="Q142" i="12"/>
  <c r="Q141" i="12"/>
  <c r="Q140" i="12"/>
  <c r="Q139" i="12"/>
  <c r="Q138" i="12"/>
  <c r="Q137" i="12"/>
  <c r="Q136" i="12"/>
  <c r="Q135" i="12"/>
  <c r="Q134" i="12"/>
  <c r="Q133" i="12"/>
  <c r="Q132" i="12"/>
  <c r="Q131" i="12"/>
  <c r="Q130" i="12"/>
  <c r="Q129" i="12"/>
  <c r="Q128" i="12"/>
  <c r="Q127" i="12"/>
  <c r="Q126" i="12"/>
  <c r="Q125" i="12"/>
  <c r="Q124" i="12"/>
  <c r="Q123" i="12"/>
  <c r="Q122" i="12"/>
  <c r="Q121" i="12"/>
  <c r="Q120" i="12"/>
  <c r="Q119" i="12"/>
  <c r="Q118" i="12"/>
  <c r="Q117" i="12"/>
  <c r="Q116" i="12"/>
  <c r="Q115" i="12"/>
  <c r="Q114" i="12"/>
  <c r="Q113" i="12"/>
  <c r="Q112" i="12"/>
  <c r="Q111" i="12"/>
  <c r="Q110" i="12"/>
  <c r="Q109" i="12"/>
  <c r="Q108" i="12"/>
  <c r="Q107" i="12"/>
  <c r="Q106" i="12"/>
  <c r="Q105" i="12"/>
  <c r="Q104" i="12"/>
  <c r="Q103" i="12"/>
  <c r="Q102" i="12"/>
  <c r="Q101" i="12"/>
  <c r="Q100" i="12"/>
  <c r="Q99" i="12"/>
  <c r="Q98" i="12"/>
  <c r="Q97" i="12"/>
  <c r="Q96" i="12"/>
  <c r="Q95" i="12"/>
  <c r="Q94" i="12"/>
  <c r="Q93" i="12"/>
  <c r="Q92" i="12"/>
  <c r="Q91" i="12"/>
  <c r="Q90" i="12"/>
  <c r="Q89" i="12"/>
  <c r="Q88" i="12"/>
  <c r="Q87" i="12"/>
  <c r="Q86" i="12"/>
  <c r="Q85" i="12"/>
  <c r="Q84" i="12"/>
  <c r="Q83" i="12"/>
  <c r="Q82" i="12"/>
  <c r="Q81" i="12"/>
  <c r="Q80" i="12"/>
  <c r="Q79" i="12"/>
  <c r="Q78" i="12"/>
  <c r="Q77" i="12"/>
  <c r="Q76" i="12"/>
  <c r="Q75" i="12"/>
  <c r="Q74" i="12"/>
  <c r="Q73" i="12"/>
  <c r="Q72" i="12"/>
  <c r="Q71" i="12"/>
  <c r="Q70" i="12"/>
  <c r="Q69" i="12"/>
  <c r="Q68" i="12"/>
  <c r="Q67" i="12"/>
  <c r="Q66" i="12"/>
  <c r="Q65" i="12"/>
  <c r="Q64" i="12"/>
  <c r="Q63" i="12"/>
  <c r="Q62" i="12"/>
  <c r="Q61" i="12"/>
  <c r="Q60" i="12"/>
  <c r="Q59" i="12"/>
  <c r="Q58" i="12"/>
  <c r="Q57" i="12"/>
  <c r="Q56" i="12"/>
  <c r="Q55" i="12"/>
  <c r="Q54" i="12"/>
  <c r="Q53" i="12"/>
  <c r="Q52" i="12"/>
  <c r="Q51" i="12"/>
  <c r="Q50" i="12"/>
  <c r="Q49" i="12"/>
  <c r="Q48" i="12"/>
  <c r="Q47" i="12"/>
  <c r="Q46" i="12"/>
  <c r="Q45" i="12"/>
  <c r="Q44" i="12"/>
  <c r="Q43" i="12"/>
  <c r="Q42" i="12"/>
  <c r="Q41" i="12"/>
  <c r="Q40" i="12"/>
  <c r="Q39" i="12"/>
  <c r="Q38" i="12"/>
  <c r="Q37" i="12"/>
  <c r="Q36" i="12"/>
  <c r="Q35" i="12"/>
  <c r="Q34" i="12"/>
  <c r="Q33" i="12"/>
  <c r="Q32" i="12"/>
  <c r="Q31" i="12"/>
  <c r="Q30" i="12"/>
  <c r="Q29" i="12"/>
  <c r="Q28" i="12"/>
  <c r="Q27" i="12"/>
  <c r="Q26" i="12"/>
  <c r="Q25" i="12"/>
  <c r="Q24" i="12"/>
  <c r="Q23" i="12"/>
  <c r="Q22" i="12"/>
  <c r="Q21" i="12"/>
  <c r="Q20" i="12"/>
  <c r="Q19" i="12"/>
  <c r="Q18" i="12"/>
  <c r="Q17" i="12"/>
  <c r="Q16" i="12"/>
  <c r="Q15" i="12"/>
  <c r="Q14" i="12"/>
  <c r="Q13" i="12"/>
  <c r="Q12" i="12"/>
  <c r="Q11" i="12"/>
  <c r="Q10" i="12"/>
  <c r="Q9" i="12"/>
  <c r="Q8" i="12"/>
  <c r="Q7" i="12"/>
  <c r="Q6" i="12"/>
  <c r="Q5" i="12"/>
  <c r="Q4" i="12"/>
  <c r="Q3" i="12"/>
  <c r="Q2" i="12"/>
  <c r="A2" i="8"/>
  <c r="F2" i="8"/>
  <c r="A3" i="8"/>
  <c r="F3" i="8"/>
  <c r="A4" i="8"/>
  <c r="F4" i="8"/>
  <c r="A5" i="8"/>
  <c r="F5" i="8"/>
  <c r="A6" i="8"/>
  <c r="F6" i="8"/>
  <c r="A7" i="8"/>
  <c r="F7" i="8"/>
  <c r="A8" i="8"/>
  <c r="F8" i="8"/>
  <c r="A9" i="8"/>
  <c r="F9" i="8"/>
  <c r="A10" i="8"/>
  <c r="F10" i="8"/>
  <c r="A11" i="8"/>
  <c r="F11" i="8"/>
  <c r="A12" i="8"/>
  <c r="F12" i="8"/>
  <c r="A13" i="8"/>
  <c r="F13" i="8"/>
  <c r="A14" i="8"/>
  <c r="F14" i="8"/>
  <c r="A15" i="8"/>
  <c r="F15" i="8"/>
  <c r="A16" i="8"/>
  <c r="F16" i="8"/>
  <c r="A17" i="8"/>
  <c r="F17" i="8"/>
  <c r="A18" i="8"/>
  <c r="F18" i="8"/>
  <c r="A19" i="8"/>
  <c r="F19" i="8"/>
  <c r="A20" i="8"/>
  <c r="F20" i="8"/>
  <c r="A21" i="8"/>
  <c r="F21" i="8"/>
  <c r="A22" i="8"/>
  <c r="F22" i="8"/>
  <c r="A23" i="8"/>
  <c r="F23" i="8"/>
  <c r="A24" i="8"/>
  <c r="F24" i="8"/>
  <c r="A25" i="8"/>
  <c r="F25" i="8"/>
  <c r="A26" i="8"/>
  <c r="F26" i="8"/>
  <c r="A27" i="8"/>
  <c r="F27" i="8"/>
  <c r="A28" i="8"/>
  <c r="F28" i="8"/>
  <c r="A29" i="8"/>
  <c r="F29" i="8"/>
  <c r="A30" i="8"/>
  <c r="F30" i="8"/>
  <c r="A31" i="8"/>
  <c r="F31" i="8"/>
  <c r="A32" i="8"/>
  <c r="F32" i="8"/>
  <c r="A33" i="8"/>
  <c r="F33" i="8"/>
  <c r="A34" i="8"/>
  <c r="F34" i="8"/>
  <c r="A35" i="8"/>
  <c r="F35" i="8"/>
  <c r="A36" i="8"/>
  <c r="F36" i="8"/>
  <c r="A37" i="8"/>
  <c r="F37" i="8"/>
  <c r="A38" i="8"/>
  <c r="F38" i="8"/>
  <c r="A39" i="8"/>
  <c r="F39" i="8"/>
  <c r="A40" i="8"/>
  <c r="F40" i="8"/>
  <c r="A41" i="8"/>
  <c r="F41" i="8"/>
  <c r="A42" i="8"/>
  <c r="F42" i="8"/>
  <c r="A43" i="8"/>
  <c r="F43" i="8"/>
  <c r="A44" i="8"/>
  <c r="F44" i="8"/>
  <c r="A45" i="8"/>
  <c r="F45" i="8"/>
  <c r="A46" i="8"/>
  <c r="F46" i="8"/>
  <c r="A47" i="8"/>
  <c r="F47" i="8"/>
  <c r="A48" i="8"/>
  <c r="F48" i="8"/>
  <c r="A49" i="8"/>
  <c r="F49" i="8"/>
  <c r="A50" i="8"/>
  <c r="F50" i="8"/>
  <c r="A51" i="8"/>
  <c r="F51" i="8"/>
  <c r="A52" i="8"/>
  <c r="F52" i="8"/>
  <c r="A53" i="8"/>
  <c r="F53" i="8"/>
  <c r="A54" i="8"/>
  <c r="F54" i="8"/>
  <c r="A55" i="8"/>
  <c r="F55" i="8"/>
  <c r="A56" i="8"/>
  <c r="F56" i="8"/>
  <c r="A57" i="8"/>
  <c r="F57" i="8"/>
  <c r="A58" i="8"/>
  <c r="F58" i="8"/>
  <c r="A59" i="8"/>
  <c r="F59" i="8"/>
  <c r="A60" i="8"/>
  <c r="F60" i="8"/>
  <c r="A61" i="8"/>
  <c r="F61" i="8"/>
  <c r="A62" i="8"/>
  <c r="F62" i="8"/>
  <c r="A63" i="8"/>
  <c r="F63" i="8"/>
  <c r="A64" i="8"/>
  <c r="F64" i="8"/>
  <c r="A65" i="8"/>
  <c r="F65" i="8"/>
  <c r="A66" i="8"/>
  <c r="F66" i="8"/>
  <c r="A67" i="8"/>
  <c r="F67" i="8"/>
  <c r="A68" i="8"/>
  <c r="F68" i="8"/>
  <c r="A69" i="8"/>
  <c r="F69" i="8"/>
  <c r="A70" i="8"/>
  <c r="F70" i="8"/>
  <c r="A71" i="8"/>
  <c r="F71" i="8"/>
  <c r="A72" i="8"/>
  <c r="F72" i="8"/>
  <c r="A73" i="8"/>
  <c r="F73" i="8"/>
  <c r="A74" i="8"/>
  <c r="F74" i="8"/>
  <c r="A75" i="8"/>
  <c r="F75" i="8"/>
  <c r="A76" i="8"/>
  <c r="F76" i="8"/>
  <c r="A77" i="8"/>
  <c r="F77" i="8"/>
  <c r="A78" i="8"/>
  <c r="F78" i="8"/>
  <c r="A79" i="8"/>
  <c r="F79" i="8"/>
  <c r="A80" i="8"/>
  <c r="F80" i="8"/>
  <c r="A81" i="8"/>
  <c r="F81" i="8"/>
  <c r="A82" i="8"/>
  <c r="F82" i="8"/>
  <c r="A83" i="8"/>
  <c r="F83" i="8"/>
  <c r="A84" i="8"/>
  <c r="F84" i="8"/>
  <c r="A85" i="8"/>
  <c r="F85" i="8"/>
  <c r="A86" i="8"/>
  <c r="F86" i="8"/>
  <c r="A87" i="8"/>
  <c r="F87" i="8"/>
  <c r="A88" i="8"/>
  <c r="F88" i="8"/>
  <c r="A89" i="8"/>
  <c r="F89" i="8"/>
  <c r="A90" i="8"/>
  <c r="F90" i="8"/>
  <c r="A91" i="8"/>
  <c r="F91" i="8"/>
  <c r="A92" i="8"/>
  <c r="F92" i="8"/>
  <c r="A93" i="8"/>
  <c r="F93" i="8"/>
  <c r="A94" i="8"/>
  <c r="F94" i="8"/>
  <c r="A95" i="8"/>
  <c r="F95" i="8"/>
  <c r="A96" i="8"/>
  <c r="F96" i="8"/>
  <c r="A97" i="8"/>
  <c r="F97" i="8"/>
  <c r="A98" i="8"/>
  <c r="F98" i="8"/>
  <c r="A99" i="8"/>
  <c r="F99" i="8"/>
  <c r="A100" i="8"/>
  <c r="F100" i="8"/>
  <c r="A101" i="8"/>
  <c r="F101" i="8"/>
  <c r="A102" i="8"/>
  <c r="F102" i="8"/>
  <c r="A103" i="8"/>
  <c r="F103" i="8"/>
  <c r="A104" i="8"/>
  <c r="F104" i="8"/>
  <c r="A105" i="8"/>
  <c r="F105" i="8"/>
  <c r="A106" i="8"/>
  <c r="F106" i="8"/>
  <c r="A107" i="8"/>
  <c r="F107" i="8"/>
  <c r="A108" i="8"/>
  <c r="F108" i="8"/>
  <c r="A109" i="8"/>
  <c r="F109" i="8"/>
  <c r="A110" i="8"/>
  <c r="F110" i="8"/>
  <c r="A111" i="8"/>
  <c r="F111" i="8"/>
  <c r="A112" i="8"/>
  <c r="F112" i="8"/>
  <c r="A113" i="8"/>
  <c r="F113" i="8"/>
  <c r="A114" i="8"/>
  <c r="F114" i="8"/>
  <c r="A115" i="8"/>
  <c r="F115" i="8"/>
  <c r="A116" i="8"/>
  <c r="F116" i="8"/>
  <c r="A117" i="8"/>
  <c r="F117" i="8"/>
  <c r="A118" i="8"/>
  <c r="F118" i="8"/>
  <c r="A119" i="8"/>
  <c r="F119" i="8"/>
  <c r="A120" i="8"/>
  <c r="F120" i="8"/>
  <c r="A121" i="8"/>
  <c r="F121" i="8"/>
  <c r="A122" i="8"/>
  <c r="F122" i="8"/>
  <c r="A123" i="8"/>
  <c r="F123" i="8"/>
  <c r="A124" i="8"/>
  <c r="F124" i="8"/>
  <c r="A125" i="8"/>
  <c r="F125" i="8"/>
  <c r="A126" i="8"/>
  <c r="F126" i="8"/>
  <c r="A127" i="8"/>
  <c r="F127" i="8"/>
  <c r="A128" i="8"/>
  <c r="F128" i="8"/>
  <c r="A129" i="8"/>
  <c r="F129" i="8"/>
  <c r="A130" i="8"/>
  <c r="F130" i="8"/>
  <c r="A131" i="8"/>
  <c r="F131" i="8"/>
  <c r="A132" i="8"/>
  <c r="F132" i="8"/>
  <c r="A133" i="8"/>
  <c r="F133" i="8"/>
  <c r="A134" i="8"/>
  <c r="F134" i="8"/>
  <c r="A135" i="8"/>
  <c r="F135" i="8"/>
  <c r="A136" i="8"/>
  <c r="F136" i="8"/>
  <c r="A137" i="8"/>
  <c r="F137" i="8"/>
  <c r="A138" i="8"/>
  <c r="F138" i="8"/>
  <c r="A139" i="8"/>
  <c r="F139" i="8"/>
  <c r="A140" i="8"/>
  <c r="F140" i="8"/>
  <c r="A141" i="8"/>
  <c r="F141" i="8"/>
  <c r="A142" i="8"/>
  <c r="F142" i="8"/>
  <c r="A143" i="8"/>
  <c r="F143" i="8"/>
  <c r="A144" i="8"/>
  <c r="F144" i="8"/>
  <c r="A145" i="8"/>
  <c r="F145" i="8"/>
  <c r="A146" i="8"/>
  <c r="F146" i="8"/>
  <c r="A147" i="8"/>
  <c r="F147" i="8"/>
  <c r="A148" i="8"/>
  <c r="F148" i="8"/>
  <c r="A149" i="8"/>
  <c r="F149" i="8"/>
  <c r="A150" i="8"/>
  <c r="F150" i="8"/>
  <c r="A151" i="8"/>
  <c r="F151" i="8"/>
  <c r="A152" i="8"/>
  <c r="F152" i="8"/>
  <c r="A153" i="8"/>
  <c r="F153" i="8"/>
  <c r="A154" i="8"/>
  <c r="F154" i="8"/>
  <c r="A155" i="8"/>
  <c r="F155" i="8"/>
  <c r="A156" i="8"/>
  <c r="F156" i="8"/>
  <c r="A157" i="8"/>
  <c r="F157" i="8"/>
  <c r="A158" i="8"/>
  <c r="F158" i="8"/>
  <c r="A159" i="8"/>
  <c r="F159" i="8"/>
  <c r="A160" i="8"/>
  <c r="F160" i="8"/>
  <c r="A161" i="8"/>
  <c r="F161" i="8"/>
  <c r="A162" i="8"/>
  <c r="F162" i="8"/>
  <c r="A163" i="8"/>
  <c r="F163" i="8"/>
  <c r="A164" i="8"/>
  <c r="F164" i="8"/>
  <c r="A165" i="8"/>
  <c r="F165" i="8"/>
  <c r="A166" i="8"/>
  <c r="F166" i="8"/>
  <c r="A167" i="8"/>
  <c r="F167" i="8"/>
  <c r="A168" i="8"/>
  <c r="F168" i="8"/>
  <c r="A169" i="8"/>
  <c r="F169" i="8"/>
  <c r="A170" i="8"/>
  <c r="F170" i="8"/>
  <c r="A171" i="8"/>
  <c r="F171" i="8"/>
  <c r="A172" i="8"/>
  <c r="F172" i="8"/>
  <c r="A173" i="8"/>
  <c r="F173" i="8"/>
  <c r="A174" i="8"/>
  <c r="F174" i="8"/>
  <c r="A175" i="8"/>
  <c r="F175" i="8"/>
  <c r="A176" i="8"/>
  <c r="F176" i="8"/>
  <c r="A177" i="8"/>
  <c r="F177" i="8"/>
  <c r="N18" i="9" l="1"/>
  <c r="M18" i="9"/>
  <c r="L18" i="9"/>
  <c r="K18" i="9"/>
  <c r="J18" i="9"/>
  <c r="I18" i="9"/>
  <c r="H18" i="9"/>
  <c r="G18" i="9"/>
  <c r="F18" i="9"/>
  <c r="E18" i="9"/>
  <c r="D18" i="9"/>
  <c r="C18" i="9"/>
  <c r="E8" i="2" l="1"/>
  <c r="E4" i="2"/>
</calcChain>
</file>

<file path=xl/sharedStrings.xml><?xml version="1.0" encoding="utf-8"?>
<sst xmlns="http://schemas.openxmlformats.org/spreadsheetml/2006/main" count="174664" uniqueCount="23119">
  <si>
    <t>Deltacoronavirus</t>
  </si>
  <si>
    <t>Bacillarnavirus</t>
  </si>
  <si>
    <t>Labyrnavirus</t>
  </si>
  <si>
    <t>Tepovirus</t>
  </si>
  <si>
    <t>Alphatetraviridae</t>
  </si>
  <si>
    <t>Alvernaviridae</t>
  </si>
  <si>
    <t>Dinornavirus</t>
  </si>
  <si>
    <t>Kappatorquevirus</t>
  </si>
  <si>
    <t>Lambdatorquevirus</t>
  </si>
  <si>
    <t>Bidnaviridae</t>
  </si>
  <si>
    <t>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</si>
  <si>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</si>
  <si>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</si>
  <si>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</si>
  <si>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</si>
  <si>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</si>
  <si>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</si>
  <si>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</si>
  <si>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</si>
  <si>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</si>
  <si>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</si>
  <si>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</si>
  <si>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</si>
  <si>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</si>
  <si>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</si>
  <si>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</si>
  <si>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</si>
  <si>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</si>
  <si>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</si>
  <si>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</si>
  <si>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</si>
  <si>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</si>
  <si>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</si>
  <si>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</si>
  <si>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</si>
  <si>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</si>
  <si>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</si>
  <si>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</si>
  <si>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</si>
  <si>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</si>
  <si>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</si>
  <si>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</si>
  <si>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</si>
  <si>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</si>
  <si>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</si>
  <si>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</si>
  <si>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</si>
  <si>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</si>
  <si>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</si>
  <si>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</si>
  <si>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</si>
  <si>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</si>
  <si>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</si>
  <si>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</si>
  <si>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</si>
  <si>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</si>
  <si>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</si>
  <si>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</si>
  <si>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</si>
  <si>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</si>
  <si>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</si>
  <si>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</si>
  <si>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</si>
  <si>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</si>
  <si>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</si>
  <si>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</si>
  <si>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</si>
  <si>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</si>
  <si>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</si>
  <si>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</si>
  <si>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</si>
  <si>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</si>
  <si>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</si>
  <si>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</si>
  <si>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</si>
  <si>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</si>
  <si>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</si>
  <si>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</si>
  <si>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</si>
  <si>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</si>
  <si>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</si>
  <si>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</si>
  <si>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</si>
  <si>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</si>
  <si>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</si>
  <si>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</si>
  <si>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</si>
  <si>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</si>
  <si>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</si>
  <si>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</si>
  <si>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</si>
  <si>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</si>
  <si>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</si>
  <si>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</si>
  <si>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</si>
  <si>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</si>
  <si>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</si>
  <si>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</si>
  <si>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</si>
  <si>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</si>
  <si>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</si>
  <si>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</si>
  <si>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</si>
  <si>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</si>
  <si>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</si>
  <si>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</si>
  <si>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</si>
  <si>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</si>
  <si>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</si>
  <si>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</si>
  <si>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Citrivirus</t>
  </si>
  <si>
    <t>Foveavirus</t>
  </si>
  <si>
    <t>Rotavirus</t>
  </si>
  <si>
    <t>Phytoreovirus</t>
  </si>
  <si>
    <t>Hepadnaviridae</t>
  </si>
  <si>
    <t>Hypoviridae</t>
  </si>
  <si>
    <t>Hordeivirus</t>
  </si>
  <si>
    <t>Idaeovirus</t>
  </si>
  <si>
    <t>Ourmiavirus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</si>
  <si>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</si>
  <si>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</si>
  <si>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</si>
  <si>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</si>
  <si>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</si>
  <si>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</si>
  <si>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</si>
  <si>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</si>
  <si>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</si>
  <si>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</si>
  <si>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</si>
  <si>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</si>
  <si>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</si>
  <si>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</si>
  <si>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</si>
  <si>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</si>
  <si>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</si>
  <si>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</si>
  <si>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</si>
  <si>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</si>
  <si>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</si>
  <si>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</si>
  <si>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</si>
  <si>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</si>
  <si>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</si>
  <si>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</si>
  <si>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</si>
  <si>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</si>
  <si>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</si>
  <si>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</si>
  <si>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</si>
  <si>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</si>
  <si>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</si>
  <si>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</si>
  <si>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</si>
  <si>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</si>
  <si>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</si>
  <si>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</si>
  <si>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</si>
  <si>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</si>
  <si>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</si>
  <si>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</si>
  <si>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</si>
  <si>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</si>
  <si>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</si>
  <si>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</si>
  <si>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</si>
  <si>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</si>
  <si>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</si>
  <si>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</si>
  <si>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</si>
  <si>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</si>
  <si>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</si>
  <si>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</si>
  <si>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</si>
  <si>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</si>
  <si>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</si>
  <si>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</si>
  <si>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</si>
  <si>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</si>
  <si>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</si>
  <si>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</si>
  <si>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</si>
  <si>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</si>
  <si>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</si>
  <si>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</si>
  <si>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</si>
  <si>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</si>
  <si>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</si>
  <si>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</si>
  <si>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</si>
  <si>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</si>
  <si>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</si>
  <si>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</si>
  <si>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</si>
  <si>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</si>
  <si>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</si>
  <si>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</si>
  <si>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</si>
  <si>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</si>
  <si>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</si>
  <si>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</si>
  <si>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</si>
  <si>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</si>
  <si>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</si>
  <si>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</si>
  <si>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</si>
  <si>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</si>
  <si>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</si>
  <si>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</si>
  <si>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</si>
  <si>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</si>
  <si>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</si>
  <si>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</si>
  <si>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</si>
  <si>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</si>
  <si>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</si>
  <si>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</si>
  <si>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</si>
  <si>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</si>
  <si>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</si>
  <si>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</si>
  <si>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</si>
  <si>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</si>
  <si>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</si>
  <si>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</si>
  <si>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</si>
  <si>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</si>
  <si>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</si>
  <si>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</si>
  <si>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</si>
  <si>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</si>
  <si>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</si>
  <si>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</si>
  <si>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</si>
  <si>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</si>
  <si>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</si>
  <si>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</si>
  <si>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</si>
  <si>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</si>
  <si>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</si>
  <si>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</si>
  <si>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</si>
  <si>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</si>
  <si>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</si>
  <si>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</si>
  <si>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</si>
  <si>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</si>
  <si>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</si>
  <si>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</si>
  <si>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</si>
  <si>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</si>
  <si>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</si>
  <si>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</si>
  <si>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</si>
  <si>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</si>
  <si>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</si>
  <si>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</si>
  <si>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</si>
  <si>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</si>
  <si>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</si>
  <si>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</si>
  <si>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</si>
  <si>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</si>
  <si>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</si>
  <si>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</si>
  <si>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</si>
  <si>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</si>
  <si>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</si>
  <si>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</si>
  <si>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Nodaviridae</t>
  </si>
  <si>
    <t>Alphanodavirus</t>
  </si>
  <si>
    <t>Betanodavirus</t>
  </si>
  <si>
    <t>Iflaviridae</t>
  </si>
  <si>
    <t>Iflavirus</t>
  </si>
  <si>
    <t>Marnaviridae</t>
  </si>
  <si>
    <t>Marnavirus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</si>
  <si>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</si>
  <si>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</si>
  <si>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</si>
  <si>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</si>
  <si>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</si>
  <si>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</si>
  <si>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</si>
  <si>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</si>
  <si>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</si>
  <si>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</si>
  <si>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</si>
  <si>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</si>
  <si>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</si>
  <si>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Betabaculovirus</t>
  </si>
  <si>
    <t>Tymovirales</t>
  </si>
  <si>
    <t>Betaflexiviridae</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</si>
  <si>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</si>
  <si>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</si>
  <si>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</si>
  <si>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</si>
  <si>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</si>
  <si>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</si>
  <si>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</si>
  <si>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</si>
  <si>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</si>
  <si>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</si>
  <si>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</si>
  <si>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</si>
  <si>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</si>
  <si>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</si>
  <si>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</si>
  <si>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</si>
  <si>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</si>
  <si>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</si>
  <si>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</si>
  <si>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</si>
  <si>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</si>
  <si>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</si>
  <si>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</si>
  <si>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</si>
  <si>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</si>
  <si>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</si>
  <si>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</si>
  <si>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</si>
  <si>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</si>
  <si>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</si>
  <si>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</si>
  <si>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</si>
  <si>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</si>
  <si>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</si>
  <si>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</si>
  <si>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</si>
  <si>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</si>
  <si>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</si>
  <si>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</si>
  <si>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</si>
  <si>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</si>
  <si>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</si>
  <si>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</si>
  <si>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</si>
  <si>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Betaherpesvirinae</t>
  </si>
  <si>
    <t>Proboscivirus</t>
  </si>
  <si>
    <t>Roseolovirus</t>
  </si>
  <si>
    <t>Gammaherpesvirinae</t>
  </si>
  <si>
    <t>Bornaviridae</t>
  </si>
  <si>
    <t>Filoviridae</t>
  </si>
  <si>
    <t>Paramyxoviridae</t>
  </si>
  <si>
    <t>Iridoviridae</t>
  </si>
  <si>
    <t>Chloriridovirus</t>
  </si>
  <si>
    <t>Lentivirus</t>
  </si>
  <si>
    <t>Rhabdoviridae</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</si>
  <si>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</si>
  <si>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</si>
  <si>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</si>
  <si>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</si>
  <si>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</si>
  <si>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</si>
  <si>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</si>
  <si>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</si>
  <si>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</si>
  <si>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</si>
  <si>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</si>
  <si>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</si>
  <si>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</si>
  <si>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</si>
  <si>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</si>
  <si>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</si>
  <si>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</si>
  <si>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</si>
  <si>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</si>
  <si>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</si>
  <si>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</si>
  <si>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</si>
  <si>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</si>
  <si>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</si>
  <si>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</si>
  <si>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</si>
  <si>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</si>
  <si>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</si>
  <si>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</si>
  <si>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</si>
  <si>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</si>
  <si>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</si>
  <si>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</si>
  <si>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</si>
  <si>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</si>
  <si>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</si>
  <si>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</si>
  <si>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</si>
  <si>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</si>
  <si>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</si>
  <si>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</si>
  <si>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</si>
  <si>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</si>
  <si>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</si>
  <si>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</si>
  <si>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</si>
  <si>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</si>
  <si>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</si>
  <si>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</si>
  <si>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</si>
  <si>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</si>
  <si>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</si>
  <si>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</si>
  <si>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</si>
  <si>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</si>
  <si>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</si>
  <si>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</si>
  <si>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</si>
  <si>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</si>
  <si>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</si>
  <si>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</si>
  <si>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</si>
  <si>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</si>
  <si>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</si>
  <si>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</si>
  <si>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</si>
  <si>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</si>
  <si>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</si>
  <si>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</si>
  <si>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</si>
  <si>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</si>
  <si>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</si>
  <si>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</si>
  <si>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</si>
  <si>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</si>
  <si>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</si>
  <si>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</si>
  <si>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</si>
  <si>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</si>
  <si>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</si>
  <si>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</si>
  <si>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</si>
  <si>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</si>
  <si>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</si>
  <si>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</si>
  <si>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</si>
  <si>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</si>
  <si>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</si>
  <si>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</si>
  <si>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</si>
  <si>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</si>
  <si>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</si>
  <si>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</si>
  <si>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</si>
  <si>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</si>
  <si>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</si>
  <si>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</si>
  <si>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Spiromicrovirus</t>
  </si>
  <si>
    <t>Mimiviridae</t>
  </si>
  <si>
    <t>Mimivirus</t>
  </si>
  <si>
    <t>Nanoviridae</t>
  </si>
  <si>
    <t>Babuvirus</t>
  </si>
  <si>
    <t>Nanovirus</t>
  </si>
  <si>
    <t>Pospiviroidae</t>
  </si>
  <si>
    <t>Apscaviroid</t>
  </si>
  <si>
    <t>Cocadviroid</t>
  </si>
  <si>
    <t>Closterovirus</t>
  </si>
  <si>
    <t>Crinivirus</t>
  </si>
  <si>
    <t>Corticoviridae</t>
  </si>
  <si>
    <t>Cystoviridae</t>
  </si>
  <si>
    <t>Poxviridae</t>
  </si>
  <si>
    <t>Chordopoxvirinae</t>
  </si>
  <si>
    <t>Avipoxvirus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</si>
  <si>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</si>
  <si>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</si>
  <si>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</si>
  <si>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</si>
  <si>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</si>
  <si>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</si>
  <si>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</si>
  <si>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</si>
  <si>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</si>
  <si>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</si>
  <si>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</si>
  <si>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</si>
  <si>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</si>
  <si>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</si>
  <si>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</si>
  <si>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</si>
  <si>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</si>
  <si>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</si>
  <si>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</si>
  <si>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</si>
  <si>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</si>
  <si>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</si>
  <si>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</si>
  <si>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</si>
  <si>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</si>
  <si>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</si>
  <si>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</si>
  <si>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</si>
  <si>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</si>
  <si>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</si>
  <si>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</si>
  <si>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</si>
  <si>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</si>
  <si>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</si>
  <si>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</si>
  <si>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</si>
  <si>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</si>
  <si>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</si>
  <si>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</si>
  <si>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</si>
  <si>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</si>
  <si>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</si>
  <si>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</si>
  <si>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</si>
  <si>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</si>
  <si>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</si>
  <si>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</si>
  <si>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</si>
  <si>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</si>
  <si>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</si>
  <si>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</si>
  <si>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</si>
  <si>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</si>
  <si>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</si>
  <si>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</si>
  <si>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</si>
  <si>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</si>
  <si>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</si>
  <si>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</si>
  <si>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</si>
  <si>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</si>
  <si>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</si>
  <si>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</si>
  <si>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</si>
  <si>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</si>
  <si>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</si>
  <si>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</si>
  <si>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</si>
  <si>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</si>
  <si>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</si>
  <si>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</si>
  <si>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</si>
  <si>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</si>
  <si>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</si>
  <si>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</si>
  <si>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</si>
  <si>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</si>
  <si>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</si>
  <si>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</si>
  <si>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</si>
  <si>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</si>
  <si>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</si>
  <si>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</si>
  <si>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</si>
  <si>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</si>
  <si>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</si>
  <si>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</si>
  <si>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</si>
  <si>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</si>
  <si>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</si>
  <si>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</si>
  <si>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</si>
  <si>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</si>
  <si>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</si>
  <si>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</si>
  <si>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</si>
  <si>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</si>
  <si>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</si>
  <si>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</si>
  <si>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</si>
  <si>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</si>
  <si>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</si>
  <si>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</si>
  <si>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</si>
  <si>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</si>
  <si>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</si>
  <si>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</si>
  <si>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</si>
  <si>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</si>
  <si>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</si>
  <si>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</si>
  <si>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</si>
  <si>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</si>
  <si>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</si>
  <si>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</si>
  <si>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</si>
  <si>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</si>
  <si>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</si>
  <si>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</si>
  <si>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</si>
  <si>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</si>
  <si>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</si>
  <si>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</si>
  <si>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</si>
  <si>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</si>
  <si>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Last Change</t>
  </si>
  <si>
    <t>Kayvirus</t>
  </si>
  <si>
    <t>Silviavirus</t>
  </si>
  <si>
    <t>Twortvirus</t>
  </si>
  <si>
    <t>Vequintavirinae</t>
  </si>
  <si>
    <t>Agatevirus</t>
  </si>
  <si>
    <t>Bastillevirus</t>
  </si>
  <si>
    <t>Bcepmuvirus</t>
  </si>
  <si>
    <t>Biquartavirus</t>
  </si>
  <si>
    <t>Hapunavirus</t>
  </si>
  <si>
    <t>Muvirus</t>
  </si>
  <si>
    <t>Myohalovirus</t>
  </si>
  <si>
    <t>Pakpunavirus</t>
  </si>
  <si>
    <t>Pbunavirus</t>
  </si>
  <si>
    <t>Phikzvirus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</si>
  <si>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</si>
  <si>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</si>
  <si>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</si>
  <si>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</si>
  <si>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</si>
  <si>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</si>
  <si>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</si>
  <si>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</si>
  <si>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</si>
  <si>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</si>
  <si>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</si>
  <si>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</si>
  <si>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</si>
  <si>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</si>
  <si>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Cbastvirus</t>
  </si>
  <si>
    <t>Cecivirus</t>
  </si>
  <si>
    <t>Charlievirus</t>
  </si>
  <si>
    <t>Chivirus</t>
  </si>
  <si>
    <t>Corndogvirus</t>
  </si>
  <si>
    <t>Lambdavirus</t>
  </si>
  <si>
    <t>Liefievirus</t>
  </si>
  <si>
    <t>Nonagvirus</t>
  </si>
  <si>
    <t>Omegavirus</t>
  </si>
  <si>
    <t>Phietavirus</t>
  </si>
  <si>
    <t>Phifelvirus</t>
  </si>
  <si>
    <t>Psavirus</t>
  </si>
  <si>
    <t>Psimunavirus</t>
  </si>
  <si>
    <t>Reyvirus</t>
  </si>
  <si>
    <t>Seuratvirus</t>
  </si>
  <si>
    <t>Sextaecvirus</t>
  </si>
  <si>
    <t>Slashvirus</t>
  </si>
  <si>
    <t>Spbetavirus</t>
  </si>
  <si>
    <t>Triavirus</t>
  </si>
  <si>
    <t>Wbetavirus</t>
  </si>
  <si>
    <t>Yuavirus</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</si>
  <si>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</si>
  <si>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</si>
  <si>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</si>
  <si>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</si>
  <si>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</si>
  <si>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</si>
  <si>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</si>
  <si>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</si>
  <si>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</si>
  <si>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</si>
  <si>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</si>
  <si>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</si>
  <si>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</si>
  <si>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</si>
  <si>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</si>
  <si>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</si>
  <si>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</si>
  <si>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</si>
  <si>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</si>
  <si>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</si>
  <si>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</si>
  <si>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</si>
  <si>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</si>
  <si>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</si>
  <si>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</si>
  <si>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</si>
  <si>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</si>
  <si>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</si>
  <si>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</si>
  <si>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</si>
  <si>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</si>
  <si>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</si>
  <si>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</si>
  <si>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</si>
  <si>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</si>
  <si>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</si>
  <si>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</si>
  <si>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</si>
  <si>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</si>
  <si>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</si>
  <si>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</si>
  <si>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</si>
  <si>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</si>
  <si>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</si>
  <si>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</si>
  <si>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</si>
  <si>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</si>
  <si>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</si>
  <si>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</si>
  <si>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</si>
  <si>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</si>
  <si>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</si>
  <si>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</si>
  <si>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</si>
  <si>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</si>
  <si>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</si>
  <si>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</si>
  <si>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</si>
  <si>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</si>
  <si>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</si>
  <si>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</si>
  <si>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</si>
  <si>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</si>
  <si>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</si>
  <si>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</si>
  <si>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</si>
  <si>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</si>
  <si>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</si>
  <si>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</si>
  <si>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</si>
  <si>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</si>
  <si>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</si>
  <si>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</si>
  <si>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</si>
  <si>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</si>
  <si>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</si>
  <si>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</si>
  <si>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Aumaivirus</t>
  </si>
  <si>
    <t>Botybirnavirus</t>
  </si>
  <si>
    <t>Papanivirus</t>
  </si>
  <si>
    <t>Sinaivirus</t>
  </si>
  <si>
    <t>Virtovirus</t>
  </si>
  <si>
    <t>Goravirus</t>
  </si>
  <si>
    <t>Metapneumovirus</t>
  </si>
  <si>
    <t>Dyoomegapapillomavirus</t>
  </si>
  <si>
    <t>Spreadsheet Column Name</t>
  </si>
  <si>
    <t>Definition</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</si>
  <si>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</si>
  <si>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</si>
  <si>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</si>
  <si>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</si>
  <si>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</si>
  <si>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</si>
  <si>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</si>
  <si>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</si>
  <si>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</si>
  <si>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</si>
  <si>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</si>
  <si>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</si>
  <si>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</si>
  <si>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</si>
  <si>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</si>
  <si>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</si>
  <si>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</si>
  <si>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</si>
  <si>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</si>
  <si>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</si>
  <si>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</si>
  <si>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</si>
  <si>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</si>
  <si>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</si>
  <si>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</si>
  <si>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</si>
  <si>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</si>
  <si>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</si>
  <si>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</si>
  <si>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</si>
  <si>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</si>
  <si>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</si>
  <si>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</si>
  <si>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</si>
  <si>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</si>
  <si>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</si>
  <si>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</si>
  <si>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Tsarbombavirus</t>
  </si>
  <si>
    <t>Moonvirus</t>
  </si>
  <si>
    <t>Abouovirus</t>
  </si>
  <si>
    <t>Jimmervirus</t>
  </si>
  <si>
    <t>Marthavirus</t>
  </si>
  <si>
    <t>Pradovirus</t>
  </si>
  <si>
    <t>Sepvirinae</t>
  </si>
  <si>
    <t>Arquatrovirinae</t>
  </si>
  <si>
    <t>Camvirus</t>
  </si>
  <si>
    <t>Likavirus</t>
  </si>
  <si>
    <t>Phayoncevirus</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</si>
  <si>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</si>
  <si>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</si>
  <si>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</si>
  <si>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</si>
  <si>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</si>
  <si>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</si>
  <si>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</si>
  <si>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</si>
  <si>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</si>
  <si>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</si>
  <si>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</si>
  <si>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</si>
  <si>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</si>
  <si>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</si>
  <si>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</si>
  <si>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</si>
  <si>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</si>
  <si>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</si>
  <si>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</si>
  <si>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</si>
  <si>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</si>
  <si>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</si>
  <si>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</si>
  <si>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Woesvirus</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</si>
  <si>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</si>
  <si>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</si>
  <si>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</si>
  <si>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</si>
  <si>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</si>
  <si>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</si>
  <si>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</si>
  <si>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</si>
  <si>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</si>
  <si>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</si>
  <si>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</si>
  <si>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</si>
  <si>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</si>
  <si>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</si>
  <si>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</si>
  <si>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</si>
  <si>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</si>
  <si>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</si>
  <si>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</si>
  <si>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</si>
  <si>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</si>
  <si>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</si>
  <si>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</si>
  <si>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</si>
  <si>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</si>
  <si>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</si>
  <si>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</si>
  <si>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</si>
  <si>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</si>
  <si>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</si>
  <si>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</si>
  <si>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</si>
  <si>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</si>
  <si>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</si>
  <si>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</si>
  <si>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</si>
  <si>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</si>
  <si>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</si>
  <si>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</si>
  <si>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</si>
  <si>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</si>
  <si>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</si>
  <si>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</si>
  <si>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</si>
  <si>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</si>
  <si>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</si>
  <si>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</si>
  <si>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</si>
  <si>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</si>
  <si>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</si>
  <si>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Trigintaduovirus</t>
  </si>
  <si>
    <t>Wizardvirus</t>
  </si>
  <si>
    <t>Carbovirus</t>
  </si>
  <si>
    <t>Orthobornavirus</t>
  </si>
  <si>
    <t>Ortervirales</t>
  </si>
  <si>
    <t>Belpaoviridae</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</si>
  <si>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</si>
  <si>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</si>
  <si>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</si>
  <si>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</si>
  <si>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</si>
  <si>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</si>
  <si>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</si>
  <si>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</si>
  <si>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</si>
  <si>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</si>
  <si>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</si>
  <si>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</si>
  <si>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</si>
  <si>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</si>
  <si>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</si>
  <si>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</si>
  <si>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</si>
  <si>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</si>
  <si>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</si>
  <si>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</si>
  <si>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</si>
  <si>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</si>
  <si>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</si>
  <si>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</si>
  <si>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</si>
  <si>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</si>
  <si>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</si>
  <si>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</si>
  <si>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</si>
  <si>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</si>
  <si>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</si>
  <si>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</si>
  <si>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</si>
  <si>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</si>
  <si>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</si>
  <si>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</si>
  <si>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</si>
  <si>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</si>
  <si>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</si>
  <si>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</si>
  <si>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</si>
  <si>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</si>
  <si>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</si>
  <si>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</si>
  <si>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</si>
  <si>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</si>
  <si>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</si>
  <si>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</si>
  <si>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</si>
  <si>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</si>
  <si>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</si>
  <si>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</si>
  <si>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</si>
  <si>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</si>
  <si>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</si>
  <si>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</si>
  <si>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</si>
  <si>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</si>
  <si>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</si>
  <si>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</si>
  <si>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</si>
  <si>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</si>
  <si>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</si>
  <si>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</si>
  <si>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</si>
  <si>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</si>
  <si>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</si>
  <si>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</si>
  <si>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</si>
  <si>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</si>
  <si>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</si>
  <si>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</si>
  <si>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</si>
  <si>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</si>
  <si>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</si>
  <si>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</si>
  <si>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</si>
  <si>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</si>
  <si>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</si>
  <si>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</si>
  <si>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</si>
  <si>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</si>
  <si>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</si>
  <si>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</si>
  <si>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</si>
  <si>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</si>
  <si>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</si>
  <si>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</si>
  <si>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</si>
  <si>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</si>
  <si>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</si>
  <si>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</si>
  <si>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</si>
  <si>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</si>
  <si>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</si>
  <si>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</si>
  <si>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</si>
  <si>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</si>
  <si>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</si>
  <si>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</si>
  <si>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</si>
  <si>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</si>
  <si>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</si>
  <si>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</si>
  <si>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</si>
  <si>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</si>
  <si>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</si>
  <si>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</si>
  <si>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</si>
  <si>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</si>
  <si>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</si>
  <si>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</si>
  <si>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</si>
  <si>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</si>
  <si>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</si>
  <si>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</si>
  <si>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</si>
  <si>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</si>
  <si>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</si>
  <si>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</si>
  <si>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</si>
  <si>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</si>
  <si>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</si>
  <si>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</si>
  <si>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</si>
  <si>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</si>
  <si>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</si>
  <si>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</si>
  <si>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</si>
  <si>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</si>
  <si>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</si>
  <si>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</si>
  <si>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</si>
  <si>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</si>
  <si>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</si>
  <si>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</si>
  <si>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</si>
  <si>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</si>
  <si>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</si>
  <si>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</si>
  <si>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</si>
  <si>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</si>
  <si>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</si>
  <si>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</si>
  <si>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</si>
  <si>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</si>
  <si>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</si>
  <si>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</si>
  <si>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</si>
  <si>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</si>
  <si>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</si>
  <si>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</si>
  <si>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</si>
  <si>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</si>
  <si>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</si>
  <si>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</si>
  <si>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</si>
  <si>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</si>
  <si>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</si>
  <si>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</si>
  <si>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</si>
  <si>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</si>
  <si>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</si>
  <si>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</si>
  <si>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</si>
  <si>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</si>
  <si>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</si>
  <si>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</si>
  <si>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</si>
  <si>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</si>
  <si>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</si>
  <si>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</si>
  <si>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</si>
  <si>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</si>
  <si>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</si>
  <si>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</si>
  <si>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</si>
  <si>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</si>
  <si>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</si>
  <si>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</si>
  <si>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</si>
  <si>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</si>
  <si>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</si>
  <si>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</si>
  <si>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</si>
  <si>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</si>
  <si>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</si>
  <si>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</si>
  <si>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</si>
  <si>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</si>
  <si>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</si>
  <si>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</si>
  <si>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</si>
  <si>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</si>
  <si>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</si>
  <si>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</si>
  <si>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</si>
  <si>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</si>
  <si>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</si>
  <si>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</si>
  <si>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</si>
  <si>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</si>
  <si>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</si>
  <si>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</si>
  <si>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</si>
  <si>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</si>
  <si>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</si>
  <si>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</si>
  <si>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</si>
  <si>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</si>
  <si>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</si>
  <si>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</si>
  <si>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</si>
  <si>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</si>
  <si>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</si>
  <si>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</si>
  <si>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</si>
  <si>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</si>
  <si>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</si>
  <si>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</si>
  <si>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</si>
  <si>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</si>
  <si>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</si>
  <si>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</si>
  <si>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</si>
  <si>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</si>
  <si>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</si>
  <si>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</si>
  <si>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</si>
  <si>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</si>
  <si>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</si>
  <si>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</si>
  <si>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</si>
  <si>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</si>
  <si>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</si>
  <si>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</si>
  <si>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</si>
  <si>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</si>
  <si>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</si>
  <si>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</si>
  <si>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</si>
  <si>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</si>
  <si>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</si>
  <si>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</si>
  <si>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</si>
  <si>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</si>
  <si>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</si>
  <si>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</si>
  <si>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</si>
  <si>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</si>
  <si>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</si>
  <si>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</si>
  <si>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</si>
  <si>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</si>
  <si>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</si>
  <si>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</si>
  <si>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</si>
  <si>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</si>
  <si>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</si>
  <si>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</si>
  <si>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</si>
  <si>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</si>
  <si>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</si>
  <si>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</si>
  <si>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</si>
  <si>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</si>
  <si>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</si>
  <si>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</si>
  <si>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</si>
  <si>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</si>
  <si>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</si>
  <si>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</si>
  <si>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</si>
  <si>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</si>
  <si>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</si>
  <si>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</si>
  <si>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</si>
  <si>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</si>
  <si>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</si>
  <si>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</si>
  <si>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</si>
  <si>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</si>
  <si>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</si>
  <si>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</si>
  <si>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</si>
  <si>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</si>
  <si>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</si>
  <si>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</si>
  <si>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</si>
  <si>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</si>
  <si>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</si>
  <si>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</si>
  <si>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</si>
  <si>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</si>
  <si>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</si>
  <si>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</si>
  <si>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</si>
  <si>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</si>
  <si>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</si>
  <si>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</si>
  <si>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</si>
  <si>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</si>
  <si>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</si>
  <si>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</si>
  <si>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</si>
  <si>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</si>
  <si>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</si>
  <si>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</si>
  <si>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</si>
  <si>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</si>
  <si>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</si>
  <si>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Locarnavirus</t>
  </si>
  <si>
    <t>Salisharnavirus</t>
  </si>
  <si>
    <t>Sogarnavirus</t>
  </si>
  <si>
    <t>Ailurivirus</t>
  </si>
  <si>
    <t>Anativirus</t>
  </si>
  <si>
    <t>Livupivirus</t>
  </si>
  <si>
    <t>Malagasivirus</t>
  </si>
  <si>
    <t>Poecivirus</t>
  </si>
  <si>
    <t>Rafivirus</t>
  </si>
  <si>
    <t>Tottorivirus</t>
  </si>
  <si>
    <t>Wamavirus</t>
  </si>
  <si>
    <t>Zybavirus</t>
  </si>
  <si>
    <t>Botourmiaviridae</t>
  </si>
  <si>
    <t>Botoulivirus</t>
  </si>
  <si>
    <t>Magoulivirus</t>
  </si>
  <si>
    <t>Scleroulivirus</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</si>
  <si>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</si>
  <si>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</si>
  <si>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</si>
  <si>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</si>
  <si>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</si>
  <si>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</si>
  <si>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</si>
  <si>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</si>
  <si>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</si>
  <si>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</si>
  <si>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</si>
  <si>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</si>
  <si>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</si>
  <si>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</si>
  <si>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</si>
  <si>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</si>
  <si>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</si>
  <si>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</si>
  <si>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</si>
  <si>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</si>
  <si>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</si>
  <si>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</si>
  <si>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</si>
  <si>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</si>
  <si>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</si>
  <si>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</si>
  <si>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</si>
  <si>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</si>
  <si>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</si>
  <si>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</si>
  <si>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</si>
  <si>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</si>
  <si>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</si>
  <si>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</si>
  <si>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</si>
  <si>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</si>
  <si>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</si>
  <si>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</si>
  <si>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</si>
  <si>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</si>
  <si>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</si>
  <si>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</si>
  <si>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</si>
  <si>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</si>
  <si>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</si>
  <si>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</si>
  <si>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</si>
  <si>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</si>
  <si>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</si>
  <si>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</si>
  <si>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</si>
  <si>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</si>
  <si>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</si>
  <si>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</si>
  <si>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</si>
  <si>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</si>
  <si>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</si>
  <si>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</si>
  <si>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</si>
  <si>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</si>
  <si>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</si>
  <si>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</si>
  <si>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</si>
  <si>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</si>
  <si>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</si>
  <si>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</si>
  <si>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</si>
  <si>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</si>
  <si>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</si>
  <si>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</si>
  <si>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</si>
  <si>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Nitunavirus</t>
  </si>
  <si>
    <t>Noxifervirus</t>
  </si>
  <si>
    <t>Obolenskvirus</t>
  </si>
  <si>
    <t>Otagovirus</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</si>
  <si>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</si>
  <si>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</si>
  <si>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</si>
  <si>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</si>
  <si>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</si>
  <si>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</si>
  <si>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</si>
  <si>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</si>
  <si>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</si>
  <si>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</si>
  <si>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</si>
  <si>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</si>
  <si>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</si>
  <si>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</si>
  <si>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</si>
  <si>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</si>
  <si>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</si>
  <si>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</si>
  <si>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</si>
  <si>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</si>
  <si>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</si>
  <si>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</si>
  <si>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</si>
  <si>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</si>
  <si>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</si>
  <si>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</si>
  <si>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</si>
  <si>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</si>
  <si>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</si>
  <si>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</si>
  <si>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</si>
  <si>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</si>
  <si>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</si>
  <si>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</si>
  <si>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</si>
  <si>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</si>
  <si>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</si>
  <si>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</si>
  <si>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</si>
  <si>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</si>
  <si>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</si>
  <si>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</si>
  <si>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</si>
  <si>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</si>
  <si>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</si>
  <si>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</si>
  <si>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</si>
  <si>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</si>
  <si>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</si>
  <si>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</si>
  <si>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</si>
  <si>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</si>
  <si>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</si>
  <si>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</si>
  <si>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</si>
  <si>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</si>
  <si>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</si>
  <si>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</si>
  <si>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</si>
  <si>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</si>
  <si>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</si>
  <si>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</si>
  <si>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</si>
  <si>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</si>
  <si>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</si>
  <si>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</si>
  <si>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</si>
  <si>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</si>
  <si>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</si>
  <si>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</si>
  <si>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</si>
  <si>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</si>
  <si>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</si>
  <si>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</si>
  <si>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</si>
  <si>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</si>
  <si>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Bantamvirus</t>
  </si>
  <si>
    <t>Beetrevirus</t>
  </si>
  <si>
    <t>Bendigovirus</t>
  </si>
  <si>
    <t>Bernalvirus</t>
  </si>
  <si>
    <t>Betterkatzvirus</t>
  </si>
  <si>
    <t>Bingvirus</t>
  </si>
  <si>
    <t>Bowservirus</t>
  </si>
  <si>
    <t>Britbratvirus</t>
  </si>
  <si>
    <t>Brussowvirus</t>
  </si>
  <si>
    <t>Casadabanvirus</t>
  </si>
  <si>
    <t>Ceduovirus</t>
  </si>
  <si>
    <t>Ceetrepovirus</t>
  </si>
  <si>
    <t>Cequinquevirus</t>
  </si>
  <si>
    <t>Cetovirus</t>
  </si>
  <si>
    <t>Chenonavirus</t>
  </si>
  <si>
    <t>Cheoctovirus</t>
  </si>
  <si>
    <t>Chunghsingvirus</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</si>
  <si>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</si>
  <si>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</si>
  <si>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</si>
  <si>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</si>
  <si>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</si>
  <si>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</si>
  <si>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</si>
  <si>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</si>
  <si>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</si>
  <si>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</si>
  <si>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</si>
  <si>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</si>
  <si>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</si>
  <si>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</si>
  <si>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</si>
  <si>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</si>
  <si>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</si>
  <si>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</si>
  <si>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</si>
  <si>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</si>
  <si>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</si>
  <si>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</si>
  <si>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</si>
  <si>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</si>
  <si>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</si>
  <si>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</si>
  <si>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</si>
  <si>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</si>
  <si>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</si>
  <si>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</si>
  <si>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</si>
  <si>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</si>
  <si>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</si>
  <si>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</si>
  <si>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</si>
  <si>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</si>
  <si>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</si>
  <si>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</si>
  <si>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</si>
  <si>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</si>
  <si>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</si>
  <si>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</si>
  <si>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</si>
  <si>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</si>
  <si>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</si>
  <si>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</si>
  <si>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</si>
  <si>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</si>
  <si>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</si>
  <si>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</si>
  <si>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</si>
  <si>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</si>
  <si>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</si>
  <si>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</si>
  <si>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</si>
  <si>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</si>
  <si>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</si>
  <si>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</si>
  <si>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</si>
  <si>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</si>
  <si>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</si>
  <si>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</si>
  <si>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</si>
  <si>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</si>
  <si>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</si>
  <si>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</si>
  <si>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</si>
  <si>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</si>
  <si>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</si>
  <si>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Saphexavirus</t>
  </si>
  <si>
    <t>Sasvirus</t>
  </si>
  <si>
    <t>Saundersvirus</t>
  </si>
  <si>
    <t>Scapunavirus</t>
  </si>
  <si>
    <t>Septimatrevirus</t>
  </si>
  <si>
    <t>Skunavirus</t>
  </si>
  <si>
    <t>Stanholtvirus</t>
  </si>
  <si>
    <t>Steinhofvirus</t>
  </si>
  <si>
    <t>Sugarlandvirus</t>
  </si>
  <si>
    <t>Tequintavirus</t>
  </si>
  <si>
    <t>Timquatrovirus</t>
  </si>
  <si>
    <t>Tinduovirus</t>
  </si>
  <si>
    <t>Tortellinivirus</t>
  </si>
  <si>
    <t>Trinavirus</t>
  </si>
  <si>
    <t>Unahavirus</t>
  </si>
  <si>
    <t>Vhulanivirus</t>
  </si>
  <si>
    <t>Vidquintavirus</t>
  </si>
  <si>
    <t>Vieuvirus</t>
  </si>
  <si>
    <t>Vividuovirus</t>
  </si>
  <si>
    <t>Weaselvirus</t>
  </si>
  <si>
    <t>Wilnyevirus</t>
  </si>
  <si>
    <t>Woodruffvirus</t>
  </si>
  <si>
    <t>Xiamenvirus</t>
  </si>
  <si>
    <t>Xipdecavirus</t>
  </si>
  <si>
    <t>Yvonnevirus</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</si>
  <si>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</si>
  <si>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</si>
  <si>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</si>
  <si>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</si>
  <si>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</si>
  <si>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</si>
  <si>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</si>
  <si>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</si>
  <si>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</si>
  <si>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</si>
  <si>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</si>
  <si>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</si>
  <si>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</si>
  <si>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</si>
  <si>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</si>
  <si>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</si>
  <si>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</si>
  <si>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</si>
  <si>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</si>
  <si>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</si>
  <si>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</si>
  <si>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</si>
  <si>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</si>
  <si>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</si>
  <si>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</si>
  <si>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</si>
  <si>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</si>
  <si>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</si>
  <si>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</si>
  <si>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</si>
  <si>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</si>
  <si>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</si>
  <si>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</si>
  <si>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</si>
  <si>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</si>
  <si>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</si>
  <si>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</si>
  <si>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</si>
  <si>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</si>
  <si>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</si>
  <si>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</si>
  <si>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</si>
  <si>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</si>
  <si>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</si>
  <si>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</si>
  <si>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</si>
  <si>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</si>
  <si>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</si>
  <si>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</si>
  <si>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</si>
  <si>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</si>
  <si>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</si>
  <si>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</si>
  <si>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</si>
  <si>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</si>
  <si>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</si>
  <si>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</si>
  <si>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</si>
  <si>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</si>
  <si>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</si>
  <si>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</si>
  <si>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</si>
  <si>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</si>
  <si>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</si>
  <si>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</si>
  <si>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</si>
  <si>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</si>
  <si>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</si>
  <si>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</si>
  <si>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</si>
  <si>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</si>
  <si>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</si>
  <si>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</si>
  <si>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</si>
  <si>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</si>
  <si>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</si>
  <si>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</si>
  <si>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</si>
  <si>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</si>
  <si>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</si>
  <si>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</si>
  <si>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</si>
  <si>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</si>
  <si>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</si>
  <si>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</si>
  <si>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</si>
  <si>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</si>
  <si>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</si>
  <si>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</si>
  <si>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</si>
  <si>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</si>
  <si>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</si>
  <si>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</si>
  <si>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</si>
  <si>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</si>
  <si>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</si>
  <si>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</si>
  <si>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</si>
  <si>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</si>
  <si>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</si>
  <si>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</si>
  <si>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</si>
  <si>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</si>
  <si>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</si>
  <si>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</si>
  <si>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</si>
  <si>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</si>
  <si>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</si>
  <si>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</si>
  <si>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</si>
  <si>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</si>
  <si>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</si>
  <si>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</si>
  <si>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</si>
  <si>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</si>
  <si>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</si>
  <si>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</si>
  <si>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</si>
  <si>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</si>
  <si>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</si>
  <si>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</si>
  <si>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</si>
  <si>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</si>
  <si>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</si>
  <si>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</si>
  <si>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</si>
  <si>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</si>
  <si>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</si>
  <si>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</si>
  <si>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</si>
  <si>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</si>
  <si>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</si>
  <si>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</si>
  <si>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</si>
  <si>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</si>
  <si>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</si>
  <si>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</si>
  <si>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</si>
  <si>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</si>
  <si>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</si>
  <si>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</si>
  <si>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</si>
  <si>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</si>
  <si>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</si>
  <si>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</si>
  <si>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</si>
  <si>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</si>
  <si>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</si>
  <si>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</si>
  <si>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</si>
  <si>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</si>
  <si>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</si>
  <si>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</si>
  <si>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</si>
  <si>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</si>
  <si>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</si>
  <si>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</si>
  <si>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</si>
  <si>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</si>
  <si>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</si>
  <si>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</si>
  <si>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</si>
  <si>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</si>
  <si>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</si>
  <si>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</si>
  <si>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</si>
  <si>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</si>
  <si>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</si>
  <si>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</si>
  <si>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</si>
  <si>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</si>
  <si>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</si>
  <si>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</si>
  <si>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</si>
  <si>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</si>
  <si>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</si>
  <si>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</si>
  <si>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</si>
  <si>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</si>
  <si>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</si>
  <si>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</si>
  <si>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</si>
  <si>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</si>
  <si>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</si>
  <si>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</si>
  <si>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</si>
  <si>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</si>
  <si>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</si>
  <si>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</si>
  <si>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</si>
  <si>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</si>
  <si>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</si>
  <si>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</si>
  <si>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</si>
  <si>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</si>
  <si>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</si>
  <si>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</si>
  <si>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</si>
  <si>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</si>
  <si>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</si>
  <si>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</si>
  <si>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</si>
  <si>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</si>
  <si>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</si>
  <si>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</si>
  <si>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</si>
  <si>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</si>
  <si>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</si>
  <si>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</si>
  <si>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</si>
  <si>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</si>
  <si>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</si>
  <si>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</si>
  <si>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</si>
  <si>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</si>
  <si>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</si>
  <si>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</si>
  <si>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</si>
  <si>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</si>
  <si>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</si>
  <si>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</si>
  <si>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</si>
  <si>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</si>
  <si>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</si>
  <si>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</si>
  <si>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</si>
  <si>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</si>
  <si>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</si>
  <si>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</si>
  <si>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</si>
  <si>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</si>
  <si>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</si>
  <si>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</si>
  <si>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</si>
  <si>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</si>
  <si>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</si>
  <si>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</si>
  <si>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</si>
  <si>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</si>
  <si>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</si>
  <si>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</si>
  <si>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</si>
  <si>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</si>
  <si>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</si>
  <si>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</si>
  <si>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</si>
  <si>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</si>
  <si>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</si>
  <si>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</si>
  <si>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</si>
  <si>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</si>
  <si>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</si>
  <si>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</si>
  <si>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</si>
  <si>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</si>
  <si>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</si>
  <si>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</si>
  <si>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</si>
  <si>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</si>
  <si>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</si>
  <si>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</si>
  <si>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</si>
  <si>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</si>
  <si>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</si>
  <si>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</si>
  <si>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</si>
  <si>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</si>
  <si>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</si>
  <si>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</si>
  <si>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</si>
  <si>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</si>
  <si>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</si>
  <si>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</si>
  <si>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</si>
  <si>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</si>
  <si>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</si>
  <si>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</si>
  <si>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</si>
  <si>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</si>
  <si>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</si>
  <si>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</si>
  <si>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</si>
  <si>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</si>
  <si>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</si>
  <si>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</si>
  <si>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</si>
  <si>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</si>
  <si>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</si>
  <si>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</si>
  <si>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</si>
  <si>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</si>
  <si>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</si>
  <si>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</si>
  <si>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</si>
  <si>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</si>
  <si>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</si>
  <si>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</si>
  <si>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</si>
  <si>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</si>
  <si>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</si>
  <si>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</si>
  <si>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</si>
  <si>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</si>
  <si>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</si>
  <si>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Armstrongvirus</t>
  </si>
  <si>
    <t>Attoomivirus</t>
  </si>
  <si>
    <t>Austintatiousvirus</t>
  </si>
  <si>
    <t>Bridgettevirus</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</si>
  <si>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</si>
  <si>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</si>
  <si>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</si>
  <si>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</si>
  <si>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</si>
  <si>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</si>
  <si>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</si>
  <si>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</si>
  <si>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</si>
  <si>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</si>
  <si>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</si>
  <si>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</si>
  <si>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</si>
  <si>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</si>
  <si>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</si>
  <si>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</si>
  <si>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</si>
  <si>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</si>
  <si>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</si>
  <si>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</si>
  <si>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</si>
  <si>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</si>
  <si>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</si>
  <si>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</si>
  <si>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</si>
  <si>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</si>
  <si>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</si>
  <si>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</si>
  <si>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</si>
  <si>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</si>
  <si>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</si>
  <si>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</si>
  <si>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</si>
  <si>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</si>
  <si>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</si>
  <si>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</si>
  <si>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</si>
  <si>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</si>
  <si>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</si>
  <si>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</si>
  <si>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Sashavirus</t>
  </si>
  <si>
    <t>Schnabeltiervirus</t>
  </si>
  <si>
    <t>Schubertvirus</t>
  </si>
  <si>
    <t>Seussvirus</t>
  </si>
  <si>
    <t>Sonalivirus</t>
  </si>
  <si>
    <t>Squashvirus</t>
  </si>
  <si>
    <t>Terapinvirus</t>
  </si>
  <si>
    <t>Tigunavirus</t>
  </si>
  <si>
    <t>Trinevirus</t>
  </si>
  <si>
    <t>Vashvirus</t>
  </si>
  <si>
    <t>Vojvodinavirus</t>
  </si>
  <si>
    <t>Yangvirus</t>
  </si>
  <si>
    <t>Zetavirus</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</si>
  <si>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</si>
  <si>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</si>
  <si>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</si>
  <si>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</si>
  <si>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</si>
  <si>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</si>
  <si>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</si>
  <si>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</si>
  <si>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</si>
  <si>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</si>
  <si>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</si>
  <si>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</si>
  <si>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</si>
  <si>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</si>
  <si>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</si>
  <si>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</si>
  <si>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</si>
  <si>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</si>
  <si>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</si>
  <si>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</si>
  <si>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</si>
  <si>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</si>
  <si>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</si>
  <si>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</si>
  <si>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</si>
  <si>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</si>
  <si>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</si>
  <si>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</si>
  <si>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</si>
  <si>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</si>
  <si>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</si>
  <si>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</si>
  <si>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</si>
  <si>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</si>
  <si>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</si>
  <si>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</si>
  <si>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</si>
  <si>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</si>
  <si>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</si>
  <si>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Pefuambidensovirus</t>
  </si>
  <si>
    <t>Protoambidensovirus</t>
  </si>
  <si>
    <t>Scindoambidensovirus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</si>
  <si>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</si>
  <si>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</si>
  <si>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</si>
  <si>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</si>
  <si>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</si>
  <si>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</si>
  <si>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</si>
  <si>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</si>
  <si>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</si>
  <si>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</si>
  <si>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</si>
  <si>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</si>
  <si>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</si>
  <si>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</si>
  <si>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</si>
  <si>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</si>
  <si>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</si>
  <si>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</si>
  <si>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</si>
  <si>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</si>
  <si>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</si>
  <si>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</si>
  <si>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</si>
  <si>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</si>
  <si>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</si>
  <si>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</si>
  <si>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</si>
  <si>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</si>
  <si>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</si>
  <si>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</si>
  <si>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</si>
  <si>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</si>
  <si>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</si>
  <si>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</si>
  <si>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</si>
  <si>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</si>
  <si>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</si>
  <si>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</si>
  <si>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</si>
  <si>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</si>
  <si>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</si>
  <si>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</si>
  <si>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</si>
  <si>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</si>
  <si>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</si>
  <si>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</si>
  <si>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</si>
  <si>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</si>
  <si>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</si>
  <si>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</si>
  <si>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</si>
  <si>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</si>
  <si>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</si>
  <si>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</si>
  <si>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</si>
  <si>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</si>
  <si>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</si>
  <si>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</si>
  <si>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</si>
  <si>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</si>
  <si>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</si>
  <si>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</si>
  <si>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</si>
  <si>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</si>
  <si>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</si>
  <si>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</si>
  <si>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</si>
  <si>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</si>
  <si>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</si>
  <si>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</si>
  <si>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</si>
  <si>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</si>
  <si>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</si>
  <si>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</si>
  <si>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</si>
  <si>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</si>
  <si>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</si>
  <si>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</si>
  <si>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</si>
  <si>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</si>
  <si>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</si>
  <si>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</si>
  <si>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</si>
  <si>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</si>
  <si>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</si>
  <si>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</si>
  <si>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</si>
  <si>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</si>
  <si>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</si>
  <si>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</si>
  <si>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</si>
  <si>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</si>
  <si>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</si>
  <si>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</si>
  <si>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</si>
  <si>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</si>
  <si>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</si>
  <si>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</si>
  <si>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</si>
  <si>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</si>
  <si>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</si>
  <si>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</si>
  <si>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</si>
  <si>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</si>
  <si>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</si>
  <si>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</si>
  <si>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</si>
  <si>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</si>
  <si>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</si>
  <si>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</si>
  <si>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</si>
  <si>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</si>
  <si>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</si>
  <si>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</si>
  <si>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</si>
  <si>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</si>
  <si>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</si>
  <si>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</si>
  <si>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</si>
  <si>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</si>
  <si>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</si>
  <si>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</si>
  <si>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</si>
  <si>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</si>
  <si>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</si>
  <si>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</si>
  <si>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</si>
  <si>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</si>
  <si>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</si>
  <si>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</si>
  <si>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</si>
  <si>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</si>
  <si>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</si>
  <si>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</si>
  <si>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</si>
  <si>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</si>
  <si>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</si>
  <si>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</si>
  <si>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</si>
  <si>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</si>
  <si>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</si>
  <si>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</si>
  <si>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</si>
  <si>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</si>
  <si>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</si>
  <si>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</si>
  <si>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</si>
  <si>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</si>
  <si>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</si>
  <si>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</si>
  <si>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</si>
  <si>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</si>
  <si>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</si>
  <si>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</si>
  <si>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</si>
  <si>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</si>
  <si>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</si>
  <si>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</si>
  <si>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</si>
  <si>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</si>
  <si>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</si>
  <si>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</si>
  <si>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</si>
  <si>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</si>
  <si>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</si>
  <si>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</si>
  <si>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</si>
  <si>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</si>
  <si>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</si>
  <si>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</si>
  <si>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</si>
  <si>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</si>
  <si>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</si>
  <si>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</si>
  <si>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</si>
  <si>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</si>
  <si>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</si>
  <si>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</si>
  <si>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</si>
  <si>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</si>
  <si>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</si>
  <si>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</si>
  <si>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</si>
  <si>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</si>
  <si>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</si>
  <si>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</si>
  <si>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</si>
  <si>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</si>
  <si>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</si>
  <si>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</si>
  <si>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</si>
  <si>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</si>
  <si>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</si>
  <si>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</si>
  <si>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</si>
  <si>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</si>
  <si>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</si>
  <si>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</si>
  <si>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</si>
  <si>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</si>
  <si>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</si>
  <si>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</si>
  <si>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</si>
  <si>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</si>
  <si>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</si>
  <si>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</si>
  <si>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</si>
  <si>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</si>
  <si>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</si>
  <si>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</si>
  <si>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</si>
  <si>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</si>
  <si>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</si>
  <si>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</si>
  <si>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</si>
  <si>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</si>
  <si>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</si>
  <si>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</si>
  <si>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</si>
  <si>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</si>
  <si>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</si>
  <si>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</si>
  <si>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</si>
  <si>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</si>
  <si>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</si>
  <si>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</si>
  <si>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</si>
  <si>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</si>
  <si>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</si>
  <si>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</si>
  <si>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</si>
  <si>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</si>
  <si>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</si>
  <si>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</si>
  <si>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</si>
  <si>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</si>
  <si>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</si>
  <si>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</si>
  <si>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</si>
  <si>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</si>
  <si>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</si>
  <si>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</si>
  <si>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</si>
  <si>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</si>
  <si>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</si>
  <si>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</si>
  <si>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</si>
  <si>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</si>
  <si>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</si>
  <si>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</si>
  <si>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</si>
  <si>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</si>
  <si>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</si>
  <si>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</si>
  <si>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</si>
  <si>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</si>
  <si>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</si>
  <si>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</si>
  <si>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</si>
  <si>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</si>
  <si>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</si>
  <si>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</si>
  <si>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</si>
  <si>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</si>
  <si>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</si>
  <si>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</si>
  <si>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</si>
  <si>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</si>
  <si>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</si>
  <si>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</si>
  <si>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</si>
  <si>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</si>
  <si>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</si>
  <si>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</si>
  <si>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</si>
  <si>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</si>
  <si>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</si>
  <si>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</si>
  <si>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</si>
  <si>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</si>
  <si>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</si>
  <si>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</si>
  <si>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</si>
  <si>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</si>
  <si>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</si>
  <si>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</si>
  <si>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</si>
  <si>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</si>
  <si>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</si>
  <si>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</si>
  <si>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</si>
  <si>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</si>
  <si>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</si>
  <si>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</si>
  <si>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</si>
  <si>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</si>
  <si>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</si>
  <si>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</si>
  <si>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</si>
  <si>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</si>
  <si>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</si>
  <si>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</si>
  <si>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</si>
  <si>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</si>
  <si>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</si>
  <si>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</si>
  <si>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</si>
  <si>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</si>
  <si>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</si>
  <si>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</si>
  <si>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</si>
  <si>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</si>
  <si>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</si>
  <si>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</si>
  <si>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</si>
  <si>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</si>
  <si>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</si>
  <si>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</si>
  <si>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</si>
  <si>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</si>
  <si>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</si>
  <si>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</si>
  <si>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</si>
  <si>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</si>
  <si>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</si>
  <si>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</si>
  <si>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</si>
  <si>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</si>
  <si>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</si>
  <si>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</si>
  <si>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</si>
  <si>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</si>
  <si>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</si>
  <si>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</si>
  <si>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</si>
  <si>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</si>
  <si>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</si>
  <si>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</si>
  <si>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</si>
  <si>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</si>
  <si>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</si>
  <si>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</si>
  <si>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</si>
  <si>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</si>
  <si>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</si>
  <si>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</si>
  <si>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</si>
  <si>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</si>
  <si>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</si>
  <si>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</si>
  <si>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</si>
  <si>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</si>
  <si>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</si>
  <si>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</si>
  <si>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</si>
  <si>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</si>
  <si>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</si>
  <si>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</si>
  <si>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</si>
  <si>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</si>
  <si>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</si>
  <si>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</si>
  <si>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</si>
  <si>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</si>
  <si>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</si>
  <si>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</si>
  <si>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</si>
  <si>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</si>
  <si>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</si>
  <si>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</si>
  <si>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</si>
  <si>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</si>
  <si>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</si>
  <si>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</si>
  <si>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</si>
  <si>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</si>
  <si>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</si>
  <si>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</si>
  <si>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</si>
  <si>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</si>
  <si>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</si>
  <si>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</si>
  <si>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</si>
  <si>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</si>
  <si>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</si>
  <si>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</si>
  <si>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</si>
  <si>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</si>
  <si>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</si>
  <si>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</si>
  <si>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</si>
  <si>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</si>
  <si>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</si>
  <si>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</si>
  <si>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</si>
  <si>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</si>
  <si>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</si>
  <si>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</si>
  <si>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</si>
  <si>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</si>
  <si>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</si>
  <si>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</si>
  <si>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</si>
  <si>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</si>
  <si>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</si>
  <si>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</si>
  <si>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</si>
  <si>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</si>
  <si>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</si>
  <si>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</si>
  <si>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</si>
  <si>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</si>
  <si>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Colunavirus</t>
  </si>
  <si>
    <t>Cornievirus</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</si>
  <si>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</si>
  <si>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</si>
  <si>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</si>
  <si>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</si>
  <si>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</si>
  <si>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</si>
  <si>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</si>
  <si>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</si>
  <si>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</si>
  <si>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</si>
  <si>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</si>
  <si>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</si>
  <si>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</si>
  <si>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</si>
  <si>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</si>
  <si>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</si>
  <si>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</si>
  <si>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</si>
  <si>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</si>
  <si>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</si>
  <si>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</si>
  <si>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Knuthellervirus</t>
  </si>
  <si>
    <t>Konstantinevirus</t>
  </si>
  <si>
    <t>Kuleanavirus</t>
  </si>
  <si>
    <t>Labanvirus</t>
  </si>
  <si>
    <t>Lacnuvirus</t>
  </si>
  <si>
    <t>Lafunavirus</t>
  </si>
  <si>
    <t>Lambovirus</t>
  </si>
  <si>
    <t>Larmunavirus</t>
  </si>
  <si>
    <t>Latrobevirus</t>
  </si>
  <si>
    <t>Leicestervirus</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</si>
  <si>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</si>
  <si>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</si>
  <si>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</si>
  <si>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</si>
  <si>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</si>
  <si>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</si>
  <si>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</si>
  <si>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</si>
  <si>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</si>
  <si>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</si>
  <si>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</si>
  <si>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</si>
  <si>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</si>
  <si>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</si>
  <si>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</si>
  <si>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</si>
  <si>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</si>
  <si>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</si>
  <si>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</si>
  <si>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</si>
  <si>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</si>
  <si>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</si>
  <si>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</si>
  <si>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Sukhumvitvirus</t>
  </si>
  <si>
    <t>Tandoganvirus</t>
  </si>
  <si>
    <t>Tantvirus</t>
  </si>
  <si>
    <t>Teubervirus</t>
  </si>
  <si>
    <t>Thetabobvirus</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</si>
  <si>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</si>
  <si>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</si>
  <si>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</si>
  <si>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</si>
  <si>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</si>
  <si>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</si>
  <si>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</si>
  <si>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</si>
  <si>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</si>
  <si>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</si>
  <si>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</si>
  <si>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</si>
  <si>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</si>
  <si>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</si>
  <si>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</si>
  <si>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</si>
  <si>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</si>
  <si>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</si>
  <si>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</si>
  <si>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</si>
  <si>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</si>
  <si>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</si>
  <si>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</si>
  <si>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</si>
  <si>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</si>
  <si>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</si>
  <si>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</si>
  <si>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</si>
  <si>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</si>
  <si>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</si>
  <si>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</si>
  <si>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</si>
  <si>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</si>
  <si>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</si>
  <si>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</si>
  <si>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</si>
  <si>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</si>
  <si>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</si>
  <si>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</si>
  <si>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</si>
  <si>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</si>
  <si>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</si>
  <si>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</si>
  <si>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</si>
  <si>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</si>
  <si>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</si>
  <si>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</si>
  <si>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</si>
  <si>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</si>
  <si>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</si>
  <si>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</si>
  <si>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</si>
  <si>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</si>
  <si>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</si>
  <si>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</si>
  <si>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</si>
  <si>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</si>
  <si>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</si>
  <si>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</si>
  <si>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</si>
  <si>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</si>
  <si>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</si>
  <si>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</si>
  <si>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</si>
  <si>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</si>
  <si>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</si>
  <si>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</si>
  <si>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</si>
  <si>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</si>
  <si>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</si>
  <si>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</si>
  <si>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</si>
  <si>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</si>
  <si>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</si>
  <si>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</si>
  <si>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</si>
  <si>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</si>
  <si>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</si>
  <si>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</si>
  <si>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</si>
  <si>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</si>
  <si>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</si>
  <si>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</si>
  <si>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</si>
  <si>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</si>
  <si>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</si>
  <si>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</si>
  <si>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</si>
  <si>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</si>
  <si>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</si>
  <si>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</si>
  <si>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</si>
  <si>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</si>
  <si>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</si>
  <si>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</si>
  <si>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</si>
  <si>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</si>
  <si>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</si>
  <si>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</si>
  <si>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</si>
  <si>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</si>
  <si>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</si>
  <si>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</si>
  <si>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</si>
  <si>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</si>
  <si>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</si>
  <si>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</si>
  <si>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</si>
  <si>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</si>
  <si>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</si>
  <si>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</si>
  <si>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</si>
  <si>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</si>
  <si>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</si>
  <si>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</si>
  <si>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</si>
  <si>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</si>
  <si>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</si>
  <si>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</si>
  <si>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</si>
  <si>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</si>
  <si>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</si>
  <si>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</si>
  <si>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</si>
  <si>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</si>
  <si>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</si>
  <si>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</si>
  <si>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</si>
  <si>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</si>
  <si>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</si>
  <si>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</si>
  <si>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</si>
  <si>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</si>
  <si>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</si>
  <si>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</si>
  <si>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</si>
  <si>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</si>
  <si>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</si>
  <si>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</si>
  <si>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</si>
  <si>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</si>
  <si>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</si>
  <si>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</si>
  <si>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</si>
  <si>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</si>
  <si>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</si>
  <si>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</si>
  <si>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</si>
  <si>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</si>
  <si>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</si>
  <si>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</si>
  <si>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</si>
  <si>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</si>
  <si>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</si>
  <si>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</si>
  <si>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</si>
  <si>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</si>
  <si>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</si>
  <si>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</si>
  <si>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</si>
  <si>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</si>
  <si>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</si>
  <si>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</si>
  <si>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</si>
  <si>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</si>
  <si>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</si>
  <si>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</si>
  <si>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</si>
  <si>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</si>
  <si>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</si>
  <si>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</si>
  <si>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</si>
  <si>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</si>
  <si>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</si>
  <si>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</si>
  <si>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</si>
  <si>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</si>
  <si>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</si>
  <si>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</si>
  <si>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</si>
  <si>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</si>
  <si>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</si>
  <si>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</si>
  <si>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</si>
  <si>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</si>
  <si>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</si>
  <si>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</si>
  <si>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</si>
  <si>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</si>
  <si>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</si>
  <si>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</si>
  <si>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</si>
  <si>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</si>
  <si>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</si>
  <si>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</si>
  <si>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</si>
  <si>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</si>
  <si>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</si>
  <si>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</si>
  <si>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</si>
  <si>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</si>
  <si>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</si>
  <si>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</si>
  <si>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</si>
  <si>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</si>
  <si>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</si>
  <si>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</si>
  <si>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</si>
  <si>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</si>
  <si>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</si>
  <si>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</si>
  <si>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</si>
  <si>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</si>
  <si>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</si>
  <si>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</si>
  <si>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</si>
  <si>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</si>
  <si>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</si>
  <si>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</si>
  <si>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</si>
  <si>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</si>
  <si>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</si>
  <si>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</si>
  <si>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</si>
  <si>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</si>
  <si>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</si>
  <si>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</si>
  <si>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</si>
  <si>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</si>
  <si>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</si>
  <si>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</si>
  <si>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</si>
  <si>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</si>
  <si>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</si>
  <si>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</si>
  <si>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</si>
  <si>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</si>
  <si>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</si>
  <si>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</si>
  <si>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</si>
  <si>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</si>
  <si>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</si>
  <si>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</si>
  <si>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</si>
  <si>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</si>
  <si>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</si>
  <si>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</si>
  <si>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</si>
  <si>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</si>
  <si>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</si>
  <si>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</si>
  <si>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</si>
  <si>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</si>
  <si>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</si>
  <si>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</si>
  <si>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</si>
  <si>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</si>
  <si>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</si>
  <si>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</si>
  <si>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</si>
  <si>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</si>
  <si>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</si>
  <si>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</si>
  <si>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</si>
  <si>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</si>
  <si>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</si>
  <si>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</si>
  <si>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</si>
  <si>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</si>
  <si>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</si>
  <si>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</si>
  <si>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</si>
  <si>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</si>
  <si>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</si>
  <si>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</si>
  <si>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</si>
  <si>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</si>
  <si>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</si>
  <si>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</si>
  <si>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</si>
  <si>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</si>
  <si>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</si>
  <si>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</si>
  <si>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</si>
  <si>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</si>
  <si>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</si>
  <si>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</si>
  <si>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</si>
  <si>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</si>
  <si>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</si>
  <si>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</si>
  <si>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</si>
  <si>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</si>
  <si>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</si>
  <si>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</si>
  <si>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</si>
  <si>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</si>
  <si>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</si>
  <si>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</si>
  <si>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</si>
  <si>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</si>
  <si>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</si>
  <si>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</si>
  <si>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</si>
  <si>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</si>
  <si>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</si>
  <si>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</si>
  <si>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</si>
  <si>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</si>
  <si>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</si>
  <si>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</si>
  <si>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</si>
  <si>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</si>
  <si>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</si>
  <si>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</si>
  <si>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</si>
  <si>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</si>
  <si>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</si>
  <si>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</si>
  <si>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</si>
  <si>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</si>
  <si>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</si>
  <si>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</si>
  <si>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</si>
  <si>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</si>
  <si>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</si>
  <si>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</si>
  <si>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</si>
  <si>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</si>
  <si>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</si>
  <si>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</si>
  <si>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</si>
  <si>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</si>
  <si>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</si>
  <si>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</si>
  <si>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</si>
  <si>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</si>
  <si>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</si>
  <si>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</si>
  <si>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</si>
  <si>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</si>
  <si>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</si>
  <si>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</si>
  <si>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</si>
  <si>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</si>
  <si>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</si>
  <si>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</si>
  <si>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</si>
  <si>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</si>
  <si>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</si>
  <si>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</si>
  <si>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</si>
  <si>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</si>
  <si>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</si>
  <si>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</si>
  <si>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</si>
  <si>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</si>
  <si>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</si>
  <si>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</si>
  <si>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</si>
  <si>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</si>
  <si>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</si>
  <si>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</si>
  <si>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</si>
  <si>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</si>
  <si>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</si>
  <si>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</si>
  <si>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</si>
  <si>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</si>
  <si>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</si>
  <si>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</si>
  <si>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</si>
  <si>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</si>
  <si>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</si>
  <si>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</si>
  <si>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</si>
  <si>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</si>
  <si>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</si>
  <si>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</si>
  <si>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</si>
  <si>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</si>
  <si>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</si>
  <si>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</si>
  <si>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</si>
  <si>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</si>
  <si>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</si>
  <si>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</si>
  <si>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</si>
  <si>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</si>
  <si>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</si>
  <si>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</si>
  <si>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</si>
  <si>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</si>
  <si>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</si>
  <si>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</si>
  <si>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</si>
  <si>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</si>
  <si>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</si>
  <si>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</si>
  <si>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</si>
  <si>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</si>
  <si>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</si>
  <si>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</si>
  <si>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</si>
  <si>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</si>
  <si>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</si>
  <si>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</si>
  <si>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</si>
  <si>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</si>
  <si>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</si>
  <si>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</si>
  <si>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</si>
  <si>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</si>
  <si>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</si>
  <si>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</si>
  <si>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</si>
  <si>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</si>
  <si>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</si>
  <si>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</si>
  <si>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</si>
  <si>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</si>
  <si>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</si>
  <si>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</si>
  <si>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</si>
  <si>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</si>
  <si>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</si>
  <si>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</si>
  <si>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</si>
  <si>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</si>
  <si>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</si>
  <si>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</si>
  <si>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</si>
  <si>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</si>
  <si>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</si>
  <si>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</si>
  <si>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</si>
  <si>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</si>
  <si>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</si>
  <si>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</si>
  <si>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</si>
  <si>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</si>
  <si>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</si>
  <si>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</si>
  <si>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</si>
  <si>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</si>
  <si>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</si>
  <si>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</si>
  <si>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</si>
  <si>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</si>
  <si>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</si>
  <si>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</si>
  <si>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</si>
  <si>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</si>
  <si>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</si>
  <si>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</si>
  <si>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</si>
  <si>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</si>
  <si>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</si>
  <si>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</si>
  <si>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</si>
  <si>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</si>
  <si>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</si>
  <si>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</si>
  <si>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</si>
  <si>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</si>
  <si>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</si>
  <si>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</si>
  <si>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</si>
  <si>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</si>
  <si>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</si>
  <si>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</si>
  <si>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</si>
  <si>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</si>
  <si>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</si>
  <si>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</si>
  <si>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</si>
  <si>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</si>
  <si>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</si>
  <si>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</si>
  <si>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</si>
  <si>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</si>
  <si>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</si>
  <si>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</si>
  <si>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</si>
  <si>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</si>
  <si>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</si>
  <si>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</si>
  <si>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</si>
  <si>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</si>
  <si>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</si>
  <si>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</si>
  <si>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</si>
  <si>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</si>
  <si>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</si>
  <si>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</si>
  <si>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</si>
  <si>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</si>
  <si>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</si>
  <si>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</si>
  <si>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</si>
  <si>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</si>
  <si>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</si>
  <si>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</si>
  <si>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</si>
  <si>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</si>
  <si>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</si>
  <si>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</si>
  <si>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</si>
  <si>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</si>
  <si>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</si>
  <si>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</si>
  <si>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</si>
  <si>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</si>
  <si>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</si>
  <si>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</si>
  <si>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</si>
  <si>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</si>
  <si>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</si>
  <si>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</si>
  <si>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</si>
  <si>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</si>
  <si>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</si>
  <si>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</si>
  <si>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</si>
  <si>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</si>
  <si>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</si>
  <si>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</si>
  <si>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</si>
  <si>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</si>
  <si>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</si>
  <si>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</si>
  <si>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</si>
  <si>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</si>
  <si>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</si>
  <si>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</si>
  <si>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</si>
  <si>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</si>
  <si>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</si>
  <si>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</si>
  <si>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</si>
  <si>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</si>
  <si>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</si>
  <si>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</si>
  <si>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</si>
  <si>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</si>
  <si>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</si>
  <si>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</si>
  <si>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</si>
  <si>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</si>
  <si>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</si>
  <si>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</si>
  <si>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</si>
  <si>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</si>
  <si>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</si>
  <si>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</si>
  <si>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</si>
  <si>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</si>
  <si>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</si>
  <si>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</si>
  <si>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</si>
  <si>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</si>
  <si>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</si>
  <si>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</si>
  <si>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</si>
  <si>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</si>
  <si>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</si>
  <si>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</si>
  <si>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</si>
  <si>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</si>
  <si>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</si>
  <si>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</si>
  <si>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</si>
  <si>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</si>
  <si>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</si>
  <si>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</si>
  <si>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</si>
  <si>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</si>
  <si>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</si>
  <si>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</si>
  <si>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</si>
  <si>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</si>
  <si>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</si>
  <si>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</si>
  <si>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</si>
  <si>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</si>
  <si>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</si>
  <si>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</si>
  <si>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</si>
  <si>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</si>
  <si>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</si>
  <si>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</si>
  <si>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</si>
  <si>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</si>
  <si>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</si>
  <si>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</si>
  <si>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</si>
  <si>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</si>
  <si>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</si>
  <si>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</si>
  <si>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</si>
  <si>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</si>
  <si>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</si>
  <si>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</si>
  <si>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</si>
  <si>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</si>
  <si>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</si>
  <si>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</si>
  <si>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</si>
  <si>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</si>
  <si>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</si>
  <si>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</si>
  <si>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</si>
  <si>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</si>
  <si>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</si>
  <si>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</si>
  <si>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</si>
  <si>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</si>
  <si>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</si>
  <si>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</si>
  <si>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</si>
  <si>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</si>
  <si>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</si>
  <si>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</si>
  <si>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</si>
  <si>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</si>
  <si>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</si>
  <si>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</si>
  <si>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</si>
  <si>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</si>
  <si>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</si>
  <si>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</si>
  <si>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</si>
  <si>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</si>
  <si>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</si>
  <si>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</si>
  <si>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</si>
  <si>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</si>
  <si>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</si>
  <si>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</si>
  <si>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</si>
  <si>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</si>
  <si>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</si>
  <si>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</si>
  <si>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</si>
  <si>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</si>
  <si>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</si>
  <si>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</si>
  <si>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</si>
  <si>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</si>
  <si>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</si>
  <si>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</si>
  <si>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</si>
  <si>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</si>
  <si>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</si>
  <si>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</si>
  <si>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</si>
  <si>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</si>
  <si>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</si>
  <si>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</si>
  <si>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</si>
  <si>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</si>
  <si>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</si>
  <si>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</si>
  <si>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</si>
  <si>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</si>
  <si>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</si>
  <si>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</si>
  <si>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</si>
  <si>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</si>
  <si>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</si>
  <si>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</si>
  <si>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</si>
  <si>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</si>
  <si>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</si>
  <si>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</si>
  <si>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</si>
  <si>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</si>
  <si>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</si>
  <si>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</si>
  <si>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</si>
  <si>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</si>
  <si>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</si>
  <si>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</si>
  <si>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</si>
  <si>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</si>
  <si>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</si>
  <si>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</si>
  <si>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</si>
  <si>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</si>
  <si>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</si>
  <si>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</si>
  <si>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</si>
  <si>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</si>
  <si>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</si>
  <si>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</si>
  <si>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</si>
  <si>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</si>
  <si>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</si>
  <si>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</si>
  <si>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</si>
  <si>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</si>
  <si>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</si>
  <si>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</si>
  <si>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</si>
  <si>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</si>
  <si>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</si>
  <si>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</si>
  <si>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</si>
  <si>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</si>
  <si>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</si>
  <si>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</si>
  <si>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</si>
  <si>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</si>
  <si>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</si>
  <si>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</si>
  <si>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</si>
  <si>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</si>
  <si>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</si>
  <si>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</si>
  <si>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</si>
  <si>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</si>
  <si>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</si>
  <si>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</si>
  <si>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</si>
  <si>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</si>
  <si>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</si>
  <si>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</si>
  <si>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</si>
  <si>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</si>
  <si>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</si>
  <si>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</si>
  <si>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</si>
  <si>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</si>
  <si>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</si>
  <si>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</si>
  <si>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</si>
  <si>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</si>
  <si>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</si>
  <si>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</si>
  <si>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</si>
  <si>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</si>
  <si>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</si>
  <si>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</si>
  <si>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</si>
  <si>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</si>
  <si>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</si>
  <si>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</si>
  <si>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</si>
  <si>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</si>
  <si>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</si>
  <si>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</si>
  <si>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</si>
  <si>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</si>
  <si>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</si>
  <si>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</si>
  <si>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</si>
  <si>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</si>
  <si>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</si>
  <si>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</si>
  <si>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</si>
  <si>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</si>
  <si>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</si>
  <si>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</si>
  <si>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</si>
  <si>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</si>
  <si>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</si>
  <si>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</si>
  <si>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</si>
  <si>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</si>
  <si>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</si>
  <si>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</si>
  <si>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</si>
  <si>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</si>
  <si>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</si>
  <si>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</si>
  <si>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</si>
  <si>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</si>
  <si>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</si>
  <si>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</si>
  <si>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</si>
  <si>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</si>
  <si>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</si>
  <si>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</si>
  <si>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</si>
  <si>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</si>
  <si>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</si>
  <si>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</si>
  <si>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</si>
  <si>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</si>
  <si>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</si>
  <si>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</si>
  <si>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</si>
  <si>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</si>
  <si>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</si>
  <si>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</si>
  <si>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</si>
  <si>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</si>
  <si>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</si>
  <si>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</si>
  <si>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</si>
  <si>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</si>
  <si>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</si>
  <si>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</si>
  <si>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</si>
  <si>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</si>
  <si>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</si>
  <si>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</si>
  <si>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</si>
  <si>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</si>
  <si>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</si>
  <si>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</si>
  <si>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</si>
  <si>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</si>
  <si>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</si>
  <si>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</si>
  <si>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</si>
  <si>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</si>
  <si>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</si>
  <si>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</si>
  <si>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</si>
  <si>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</si>
  <si>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</si>
  <si>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</si>
  <si>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</si>
  <si>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</si>
  <si>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</si>
  <si>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</si>
  <si>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</si>
  <si>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</si>
  <si>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</si>
  <si>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</si>
  <si>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</si>
  <si>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</si>
  <si>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</si>
  <si>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</si>
  <si>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</si>
  <si>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</si>
  <si>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</si>
  <si>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</si>
  <si>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</si>
  <si>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</si>
  <si>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</si>
  <si>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</si>
  <si>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</si>
  <si>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</si>
  <si>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</si>
  <si>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</si>
  <si>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</si>
  <si>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</si>
  <si>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</si>
  <si>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</si>
  <si>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</si>
  <si>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</si>
  <si>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</si>
  <si>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</si>
  <si>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</si>
  <si>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</si>
  <si>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</si>
  <si>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</si>
  <si>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</si>
  <si>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</si>
  <si>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</si>
  <si>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</si>
  <si>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</si>
  <si>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</si>
  <si>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</si>
  <si>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</si>
  <si>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</si>
  <si>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</si>
  <si>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</si>
  <si>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</si>
  <si>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</si>
  <si>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</si>
  <si>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</si>
  <si>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</si>
  <si>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</si>
  <si>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</si>
  <si>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</si>
  <si>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</si>
  <si>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</si>
  <si>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</si>
  <si>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</si>
  <si>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</si>
  <si>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</si>
  <si>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</si>
  <si>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</si>
  <si>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</si>
  <si>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</si>
  <si>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</si>
  <si>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</si>
  <si>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</si>
  <si>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</si>
  <si>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</si>
  <si>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</si>
  <si>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</si>
  <si>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</si>
  <si>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</si>
  <si>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</si>
  <si>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</si>
  <si>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</si>
  <si>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</si>
  <si>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</si>
  <si>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</si>
  <si>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</si>
  <si>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</si>
  <si>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</si>
  <si>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</si>
  <si>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</si>
  <si>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</si>
  <si>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</si>
  <si>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</si>
  <si>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</si>
  <si>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</si>
  <si>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</si>
  <si>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</si>
  <si>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</si>
  <si>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</si>
  <si>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</si>
  <si>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</si>
  <si>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</si>
  <si>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</si>
  <si>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</si>
  <si>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</si>
  <si>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</si>
  <si>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</si>
  <si>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</si>
  <si>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</si>
  <si>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</si>
  <si>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</si>
  <si>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</si>
  <si>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</si>
  <si>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</si>
  <si>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</si>
  <si>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</si>
  <si>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</si>
  <si>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</si>
  <si>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</si>
  <si>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</si>
  <si>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</si>
  <si>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</si>
  <si>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</si>
  <si>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</si>
  <si>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</si>
  <si>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</si>
  <si>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</si>
  <si>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</si>
  <si>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</si>
  <si>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</si>
  <si>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</si>
  <si>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</si>
  <si>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</si>
  <si>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</si>
  <si>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</si>
  <si>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</si>
  <si>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</si>
  <si>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</si>
  <si>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</si>
  <si>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</si>
  <si>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</si>
  <si>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</si>
  <si>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</si>
  <si>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</si>
  <si>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</si>
  <si>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</si>
  <si>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</si>
  <si>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</si>
  <si>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</si>
  <si>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</si>
  <si>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</si>
  <si>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</si>
  <si>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</si>
  <si>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</si>
  <si>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</si>
  <si>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</si>
  <si>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</si>
  <si>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</si>
  <si>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</si>
  <si>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</si>
  <si>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</si>
  <si>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</si>
  <si>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</si>
  <si>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</si>
  <si>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</si>
  <si>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</si>
  <si>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</si>
  <si>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</si>
  <si>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</si>
  <si>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</si>
  <si>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</si>
  <si>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</si>
  <si>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</si>
  <si>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</si>
  <si>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</si>
  <si>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</si>
  <si>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</si>
  <si>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</si>
  <si>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</si>
  <si>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</si>
  <si>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</si>
  <si>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</si>
  <si>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</si>
  <si>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</si>
  <si>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</si>
  <si>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</si>
  <si>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</si>
  <si>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</si>
  <si>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</si>
  <si>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</si>
  <si>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</si>
  <si>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</si>
  <si>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</si>
  <si>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</si>
  <si>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</si>
  <si>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</si>
  <si>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</si>
  <si>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</si>
  <si>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</si>
  <si>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</si>
  <si>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</si>
  <si>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</si>
  <si>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</si>
  <si>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</si>
  <si>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</si>
  <si>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</si>
  <si>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</si>
  <si>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</si>
  <si>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</si>
  <si>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</si>
  <si>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</si>
  <si>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</si>
  <si>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</si>
  <si>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</si>
  <si>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</si>
  <si>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</si>
  <si>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</si>
  <si>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</si>
  <si>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</si>
  <si>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</si>
  <si>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</si>
  <si>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</si>
  <si>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</si>
  <si>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</si>
  <si>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</si>
  <si>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</si>
  <si>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</si>
  <si>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</si>
  <si>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</si>
  <si>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</si>
  <si>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</si>
  <si>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</si>
  <si>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</si>
  <si>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</si>
  <si>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</si>
  <si>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</si>
  <si>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</si>
  <si>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</si>
  <si>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</si>
  <si>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</si>
  <si>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</si>
  <si>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</si>
  <si>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</si>
  <si>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</si>
  <si>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</si>
  <si>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</si>
  <si>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</si>
  <si>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</si>
  <si>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</si>
  <si>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</si>
  <si>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</si>
  <si>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</si>
  <si>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</si>
  <si>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</si>
  <si>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</si>
  <si>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</si>
  <si>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</si>
  <si>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</si>
  <si>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</si>
  <si>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</si>
  <si>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</si>
  <si>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</si>
  <si>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</si>
  <si>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</si>
  <si>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</si>
  <si>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</si>
  <si>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</si>
  <si>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</si>
  <si>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</si>
  <si>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</si>
  <si>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</si>
  <si>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</si>
  <si>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</si>
  <si>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</si>
  <si>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</si>
  <si>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</si>
  <si>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</si>
  <si>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</si>
  <si>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</si>
  <si>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</si>
  <si>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</si>
  <si>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</si>
  <si>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</si>
  <si>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</si>
  <si>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</si>
  <si>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</si>
  <si>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</si>
  <si>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</si>
  <si>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</si>
  <si>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</si>
  <si>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</si>
  <si>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</si>
  <si>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</si>
  <si>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</si>
  <si>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</si>
  <si>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</si>
  <si>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</si>
  <si>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</si>
  <si>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</si>
  <si>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</si>
  <si>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</si>
  <si>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</si>
  <si>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</si>
  <si>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</si>
  <si>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</si>
  <si>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</si>
  <si>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</si>
  <si>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</si>
  <si>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</si>
  <si>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</si>
  <si>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</si>
  <si>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</si>
  <si>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</si>
  <si>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</si>
  <si>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</si>
  <si>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</si>
  <si>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</si>
  <si>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</si>
  <si>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</si>
  <si>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</si>
  <si>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</si>
  <si>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</si>
  <si>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</si>
  <si>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</si>
  <si>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</si>
  <si>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</si>
  <si>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</si>
  <si>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</si>
  <si>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Penoulivirus</t>
  </si>
  <si>
    <t>Rhizoulivirus</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</si>
  <si>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</si>
  <si>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</si>
  <si>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</si>
  <si>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</si>
  <si>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</si>
  <si>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</si>
  <si>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</si>
  <si>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</si>
  <si>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</si>
  <si>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</si>
  <si>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</si>
  <si>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</si>
  <si>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</si>
  <si>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</si>
  <si>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</si>
  <si>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</si>
  <si>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</si>
  <si>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</si>
  <si>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</si>
  <si>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</si>
  <si>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</si>
  <si>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</si>
  <si>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</si>
  <si>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</si>
  <si>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</si>
  <si>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</si>
  <si>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</si>
  <si>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</si>
  <si>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</si>
  <si>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</si>
  <si>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</si>
  <si>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</si>
  <si>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</si>
  <si>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</si>
  <si>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</si>
  <si>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</si>
  <si>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</si>
  <si>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</si>
  <si>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</si>
  <si>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</si>
  <si>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</si>
  <si>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</si>
  <si>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</si>
  <si>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</si>
  <si>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</si>
  <si>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</si>
  <si>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</si>
  <si>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</si>
  <si>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</si>
  <si>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</si>
  <si>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</si>
  <si>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</si>
  <si>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</si>
  <si>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</si>
  <si>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</si>
  <si>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</si>
  <si>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</si>
  <si>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</si>
  <si>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</si>
  <si>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</si>
  <si>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</si>
  <si>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</si>
  <si>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</si>
  <si>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</si>
  <si>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</si>
  <si>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</si>
  <si>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</si>
  <si>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</si>
  <si>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</si>
  <si>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</si>
  <si>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</si>
  <si>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</si>
  <si>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</si>
  <si>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</si>
  <si>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</si>
  <si>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</si>
  <si>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</si>
  <si>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</si>
  <si>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</si>
  <si>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</si>
  <si>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</si>
  <si>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</si>
  <si>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</si>
  <si>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</si>
  <si>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</si>
  <si>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</si>
  <si>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</si>
  <si>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</si>
  <si>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</si>
  <si>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</si>
  <si>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</si>
  <si>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</si>
  <si>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</si>
  <si>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</si>
  <si>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</si>
  <si>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</si>
  <si>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</si>
  <si>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</si>
  <si>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</si>
  <si>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</si>
  <si>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</si>
  <si>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</si>
  <si>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</si>
  <si>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</si>
  <si>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</si>
  <si>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</si>
  <si>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</si>
  <si>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</si>
  <si>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</si>
  <si>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</si>
  <si>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</si>
  <si>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</si>
  <si>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</si>
  <si>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</si>
  <si>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</si>
  <si>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</si>
  <si>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</si>
  <si>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</si>
  <si>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</si>
  <si>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</si>
  <si>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</si>
  <si>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</si>
  <si>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</si>
  <si>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</si>
  <si>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</si>
  <si>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</si>
  <si>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</si>
  <si>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</si>
  <si>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</si>
  <si>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</si>
  <si>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</si>
  <si>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</si>
  <si>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</si>
  <si>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</si>
  <si>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</si>
  <si>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</si>
  <si>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</si>
  <si>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</si>
  <si>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</si>
  <si>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</si>
  <si>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</si>
  <si>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</si>
  <si>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</si>
  <si>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</si>
  <si>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</si>
  <si>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</si>
  <si>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</si>
  <si>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</si>
  <si>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</si>
  <si>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</si>
  <si>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</si>
  <si>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</si>
  <si>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</si>
  <si>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</si>
  <si>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</si>
  <si>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</si>
  <si>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</si>
  <si>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</si>
  <si>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</si>
  <si>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</si>
  <si>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</si>
  <si>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</si>
  <si>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</si>
  <si>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</si>
  <si>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</si>
  <si>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</si>
  <si>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</si>
  <si>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</si>
  <si>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</si>
  <si>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</si>
  <si>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</si>
  <si>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</si>
  <si>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</si>
  <si>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</si>
  <si>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</si>
  <si>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</si>
  <si>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</si>
  <si>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</si>
  <si>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</si>
  <si>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</si>
  <si>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</si>
  <si>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</si>
  <si>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</si>
  <si>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</si>
  <si>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</si>
  <si>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</si>
  <si>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</si>
  <si>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</si>
  <si>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</si>
  <si>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</si>
  <si>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</si>
  <si>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</si>
  <si>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</si>
  <si>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</si>
  <si>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</si>
  <si>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</si>
  <si>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</si>
  <si>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</si>
  <si>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</si>
  <si>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</si>
  <si>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</si>
  <si>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</si>
  <si>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</si>
  <si>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</si>
  <si>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</si>
  <si>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</si>
  <si>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</si>
  <si>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</si>
  <si>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</si>
  <si>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</si>
  <si>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</si>
  <si>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</si>
  <si>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</si>
  <si>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</si>
  <si>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</si>
  <si>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</si>
  <si>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</si>
  <si>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</si>
  <si>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</si>
  <si>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</si>
  <si>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</si>
  <si>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</si>
  <si>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</si>
  <si>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</si>
  <si>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</si>
  <si>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</si>
  <si>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</si>
  <si>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</si>
  <si>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</si>
  <si>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</si>
  <si>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</si>
  <si>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</si>
  <si>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</si>
  <si>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</si>
  <si>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</si>
  <si>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</si>
  <si>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</si>
  <si>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</si>
  <si>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</si>
  <si>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</si>
  <si>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</si>
  <si>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</si>
  <si>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</si>
  <si>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</si>
  <si>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</si>
  <si>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</si>
  <si>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</si>
  <si>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</si>
  <si>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</si>
  <si>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</si>
  <si>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</si>
  <si>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</si>
  <si>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</si>
  <si>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</si>
  <si>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</si>
  <si>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</si>
  <si>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</si>
  <si>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</si>
  <si>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</si>
  <si>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</si>
  <si>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</si>
  <si>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</si>
  <si>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</si>
  <si>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</si>
  <si>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</si>
  <si>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</si>
  <si>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</si>
  <si>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</si>
  <si>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</si>
  <si>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</si>
  <si>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</si>
  <si>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</si>
  <si>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</si>
  <si>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</si>
  <si>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</si>
  <si>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</si>
  <si>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</si>
  <si>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</si>
  <si>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</si>
  <si>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</si>
  <si>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</si>
  <si>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</si>
  <si>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</si>
  <si>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</si>
  <si>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</si>
  <si>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</si>
  <si>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</si>
  <si>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</si>
  <si>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</si>
  <si>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</si>
  <si>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</si>
  <si>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</si>
  <si>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</si>
  <si>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</si>
  <si>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</si>
  <si>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</si>
  <si>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</si>
  <si>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</si>
  <si>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</si>
  <si>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</si>
  <si>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</si>
  <si>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</si>
  <si>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</si>
  <si>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</si>
  <si>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</si>
  <si>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</si>
  <si>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</si>
  <si>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</si>
  <si>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</si>
  <si>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</si>
  <si>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</si>
  <si>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</si>
  <si>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</si>
  <si>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</si>
  <si>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</si>
  <si>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</si>
  <si>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</si>
  <si>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</si>
  <si>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</si>
  <si>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</si>
  <si>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</si>
  <si>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</si>
  <si>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</si>
  <si>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</si>
  <si>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</si>
  <si>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</si>
  <si>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</si>
  <si>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</si>
  <si>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</si>
  <si>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</si>
  <si>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</si>
  <si>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</si>
  <si>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</si>
  <si>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</si>
  <si>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</si>
  <si>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</si>
  <si>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</si>
  <si>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</si>
  <si>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</si>
  <si>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</si>
  <si>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</si>
  <si>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</si>
  <si>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</si>
  <si>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</si>
  <si>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</si>
  <si>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</si>
  <si>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</si>
  <si>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</si>
  <si>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</si>
  <si>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</si>
  <si>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</si>
  <si>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</si>
  <si>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</si>
  <si>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</si>
  <si>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</si>
  <si>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</si>
  <si>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</si>
  <si>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</si>
  <si>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</si>
  <si>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</si>
  <si>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</si>
  <si>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</si>
  <si>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</si>
  <si>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</si>
  <si>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</si>
  <si>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</si>
  <si>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</si>
  <si>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</si>
  <si>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</si>
  <si>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</si>
  <si>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</si>
  <si>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</si>
  <si>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copri</t>
  </si>
  <si>
    <t>Doltivirinae</t>
  </si>
  <si>
    <t>Kahucivirus</t>
  </si>
  <si>
    <t>Kahucivirus intestinalis</t>
  </si>
  <si>
    <t>Kingevirus</t>
  </si>
  <si>
    <t>Kingevirus communis</t>
  </si>
  <si>
    <t>Intestiviridae</t>
  </si>
  <si>
    <t>Churivirinae</t>
  </si>
  <si>
    <t>Jahgtovirus</t>
  </si>
  <si>
    <t>Jahgtovirus gastrointestinalis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</si>
  <si>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</si>
  <si>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</si>
  <si>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</si>
  <si>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</si>
  <si>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</si>
  <si>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</si>
  <si>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</si>
  <si>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</si>
  <si>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</si>
  <si>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</si>
  <si>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</si>
  <si>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</si>
  <si>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</si>
  <si>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</si>
  <si>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</si>
  <si>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</si>
  <si>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</si>
  <si>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</si>
  <si>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</si>
  <si>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</si>
  <si>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</si>
  <si>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</si>
  <si>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</si>
  <si>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</si>
  <si>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</si>
  <si>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</si>
  <si>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</si>
  <si>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</si>
  <si>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</si>
  <si>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</si>
  <si>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</si>
  <si>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</si>
  <si>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</si>
  <si>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</si>
  <si>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Kehishuvirus</t>
  </si>
  <si>
    <t>Kehishuvirus primarius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</si>
  <si>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</si>
  <si>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</si>
  <si>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</si>
  <si>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</si>
  <si>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</si>
  <si>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</si>
  <si>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</si>
  <si>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</si>
  <si>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</si>
  <si>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</si>
  <si>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</si>
  <si>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</si>
  <si>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</si>
  <si>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</si>
  <si>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</si>
  <si>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</si>
  <si>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</si>
  <si>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</si>
  <si>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</si>
  <si>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</si>
  <si>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</si>
  <si>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</si>
  <si>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faecalis</t>
  </si>
  <si>
    <t>Afonbuvirus intestinihominis</t>
  </si>
  <si>
    <t>Boorivirinae</t>
  </si>
  <si>
    <t>Canhaevirus</t>
  </si>
  <si>
    <t>Canhaevirus hiberniae</t>
  </si>
  <si>
    <t>Cohcovirus</t>
  </si>
  <si>
    <t>Cohcovirus hiberniae</t>
  </si>
  <si>
    <t>Cohcovirus splanchnicus</t>
  </si>
  <si>
    <t>Culoivirus</t>
  </si>
  <si>
    <t>Culoivirus faecalis</t>
  </si>
  <si>
    <t>Loutivirinae</t>
  </si>
  <si>
    <t>Blohavirus</t>
  </si>
  <si>
    <t>Blohavirus faecalis</t>
  </si>
  <si>
    <t>Buchavirus</t>
  </si>
  <si>
    <t>Buchavirus intestinalis</t>
  </si>
  <si>
    <t>Buorbuivirus</t>
  </si>
  <si>
    <t>Buorbuivirus hominis</t>
  </si>
  <si>
    <t>Oafivirinae</t>
  </si>
  <si>
    <t>Bohxovirus</t>
  </si>
  <si>
    <t>Bohxovirus oralis</t>
  </si>
  <si>
    <t>Buhlduvirus</t>
  </si>
  <si>
    <t>Buhlduvirus porcinus</t>
  </si>
  <si>
    <t>Burzaovirus</t>
  </si>
  <si>
    <t>Burzaovirus faecalis</t>
  </si>
  <si>
    <t>Cacepaovirus</t>
  </si>
  <si>
    <t>Cacepaovirus simiae</t>
  </si>
  <si>
    <t>Chuhaivirus</t>
  </si>
  <si>
    <t>Chuhaivirus simiae</t>
  </si>
  <si>
    <t>Uncouvirinae</t>
  </si>
  <si>
    <t>Aurodevirus</t>
  </si>
  <si>
    <t>Aurodevirus intestinalis</t>
  </si>
  <si>
    <t>Besingivirus</t>
  </si>
  <si>
    <t>Besingivirus coli</t>
  </si>
  <si>
    <t>Birpovirus</t>
  </si>
  <si>
    <t>Birpovirus hiberniae</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</si>
  <si>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</si>
  <si>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</si>
  <si>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</si>
  <si>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</si>
  <si>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</si>
  <si>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</si>
  <si>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</si>
  <si>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</si>
  <si>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</si>
  <si>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</si>
  <si>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</si>
  <si>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</si>
  <si>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</si>
  <si>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</si>
  <si>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</si>
  <si>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</si>
  <si>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</si>
  <si>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</si>
  <si>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</si>
  <si>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</si>
  <si>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</si>
  <si>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</si>
  <si>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</si>
  <si>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</si>
  <si>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</si>
  <si>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</si>
  <si>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</si>
  <si>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</si>
  <si>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</si>
  <si>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</si>
  <si>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</si>
  <si>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</si>
  <si>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</si>
  <si>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</si>
  <si>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</si>
  <si>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</si>
  <si>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</si>
  <si>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</si>
  <si>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</si>
  <si>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</si>
  <si>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</si>
  <si>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</si>
  <si>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</si>
  <si>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</si>
  <si>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</si>
  <si>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</si>
  <si>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</si>
  <si>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</si>
  <si>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</si>
  <si>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</si>
  <si>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</si>
  <si>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</si>
  <si>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</si>
  <si>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</si>
  <si>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</si>
  <si>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</si>
  <si>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</si>
  <si>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</si>
  <si>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</si>
  <si>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</si>
  <si>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</si>
  <si>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</si>
  <si>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</si>
  <si>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</si>
  <si>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</si>
  <si>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</si>
  <si>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</si>
  <si>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</si>
  <si>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</si>
  <si>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</si>
  <si>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</si>
  <si>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</si>
  <si>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</si>
  <si>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</si>
  <si>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</si>
  <si>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</si>
  <si>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</si>
  <si>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</si>
  <si>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</si>
  <si>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</si>
  <si>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</si>
  <si>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</si>
  <si>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</si>
  <si>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</si>
  <si>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</si>
  <si>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</si>
  <si>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</si>
  <si>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</si>
  <si>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</si>
  <si>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</si>
  <si>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</si>
  <si>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</si>
  <si>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</si>
  <si>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</si>
  <si>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</si>
  <si>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</si>
  <si>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</si>
  <si>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</si>
  <si>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</si>
  <si>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</si>
  <si>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</si>
  <si>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</si>
  <si>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</si>
  <si>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</si>
  <si>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</si>
  <si>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</si>
  <si>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</si>
  <si>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</si>
  <si>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</si>
  <si>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</si>
  <si>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</si>
  <si>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</si>
  <si>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</si>
  <si>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</si>
  <si>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</si>
  <si>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</si>
  <si>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</si>
  <si>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</si>
  <si>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</si>
  <si>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</si>
  <si>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</si>
  <si>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</si>
  <si>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</si>
  <si>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</si>
  <si>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</si>
  <si>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</si>
  <si>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</si>
  <si>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</si>
  <si>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</si>
  <si>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</si>
  <si>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</si>
  <si>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</si>
  <si>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</si>
  <si>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</si>
  <si>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</si>
  <si>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</si>
  <si>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</si>
  <si>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</si>
  <si>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</si>
  <si>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</si>
  <si>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</si>
  <si>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</si>
  <si>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</si>
  <si>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</si>
  <si>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</si>
  <si>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</si>
  <si>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</si>
  <si>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</si>
  <si>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</si>
  <si>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</si>
  <si>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</si>
  <si>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</si>
  <si>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</si>
  <si>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</si>
  <si>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</si>
  <si>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</si>
  <si>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</si>
  <si>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</si>
  <si>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</si>
  <si>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</si>
  <si>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</si>
  <si>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</si>
  <si>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</si>
  <si>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</si>
  <si>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</si>
  <si>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</si>
  <si>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</si>
  <si>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</si>
  <si>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</si>
  <si>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</si>
  <si>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</si>
  <si>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</si>
  <si>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</si>
  <si>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</si>
  <si>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</si>
  <si>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</si>
  <si>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</si>
  <si>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</si>
  <si>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</si>
  <si>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</si>
  <si>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</si>
  <si>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</si>
  <si>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</si>
  <si>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</si>
  <si>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</si>
  <si>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</si>
  <si>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</si>
  <si>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</si>
  <si>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</si>
  <si>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</si>
  <si>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</si>
  <si>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</si>
  <si>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</si>
  <si>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</si>
  <si>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</si>
  <si>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</si>
  <si>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</si>
  <si>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</si>
  <si>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</si>
  <si>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</si>
  <si>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</si>
  <si>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</si>
  <si>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</si>
  <si>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</si>
  <si>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</si>
  <si>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</si>
  <si>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</si>
  <si>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</si>
  <si>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</si>
  <si>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</si>
  <si>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</si>
  <si>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</si>
  <si>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</si>
  <si>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</si>
  <si>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</si>
  <si>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</si>
  <si>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</si>
  <si>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</si>
  <si>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</si>
  <si>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</si>
  <si>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</si>
  <si>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</si>
  <si>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</si>
  <si>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</si>
  <si>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</si>
  <si>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</si>
  <si>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</si>
  <si>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</si>
  <si>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</si>
  <si>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</si>
  <si>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</si>
  <si>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</si>
  <si>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</si>
  <si>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</si>
  <si>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</si>
  <si>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</si>
  <si>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</si>
  <si>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</si>
  <si>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</si>
  <si>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</si>
  <si>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</si>
  <si>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</si>
  <si>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</si>
  <si>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</si>
  <si>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</si>
  <si>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</si>
  <si>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</si>
  <si>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</si>
  <si>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</si>
  <si>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</si>
  <si>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</si>
  <si>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</si>
  <si>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</si>
  <si>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</si>
  <si>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</si>
  <si>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</si>
  <si>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</si>
  <si>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</si>
  <si>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</si>
  <si>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</si>
  <si>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</si>
  <si>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</si>
  <si>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</si>
  <si>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</si>
  <si>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</si>
  <si>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</si>
  <si>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</si>
  <si>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</si>
  <si>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</si>
  <si>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</si>
  <si>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</si>
  <si>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</si>
  <si>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</si>
  <si>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</si>
  <si>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</si>
  <si>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</si>
  <si>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</si>
  <si>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WCHABP5</t>
  </si>
  <si>
    <t>Pettyvirus petty</t>
  </si>
  <si>
    <t>Gutovirus Vc1</t>
  </si>
  <si>
    <t>Kaohsiungvirus A318</t>
  </si>
  <si>
    <t>Kaohsiungvirus Vp670</t>
  </si>
  <si>
    <t>Murciavirus CPP1m</t>
  </si>
  <si>
    <t>Trungvirus VEN</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</si>
  <si>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</si>
  <si>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</si>
  <si>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</si>
  <si>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</si>
  <si>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</si>
  <si>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</si>
  <si>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</si>
  <si>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</si>
  <si>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</si>
  <si>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</si>
  <si>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</si>
  <si>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</si>
  <si>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</si>
  <si>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</si>
  <si>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</si>
  <si>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</si>
  <si>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</si>
  <si>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</si>
  <si>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</si>
  <si>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</si>
  <si>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</si>
  <si>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</si>
  <si>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</si>
  <si>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</si>
  <si>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</si>
  <si>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</si>
  <si>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</si>
  <si>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</si>
  <si>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PAXYB1</t>
  </si>
  <si>
    <t>Phikmvvirus phiKMV</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</si>
  <si>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</si>
  <si>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</si>
  <si>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</si>
  <si>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</si>
  <si>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</si>
  <si>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</si>
  <si>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</si>
  <si>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</si>
  <si>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</si>
  <si>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</si>
  <si>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</si>
  <si>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</si>
  <si>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</si>
  <si>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</si>
  <si>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</si>
  <si>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</si>
  <si>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</si>
  <si>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</si>
  <si>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</si>
  <si>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</si>
  <si>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</si>
  <si>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</si>
  <si>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</si>
  <si>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</si>
  <si>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</si>
  <si>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</si>
  <si>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</si>
  <si>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</si>
  <si>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</si>
  <si>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</si>
  <si>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</si>
  <si>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K15</t>
  </si>
  <si>
    <t>Vectrevirus K1E</t>
  </si>
  <si>
    <t>Vectrevirus kay</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</si>
  <si>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</si>
  <si>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</si>
  <si>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</si>
  <si>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</si>
  <si>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</si>
  <si>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</si>
  <si>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</si>
  <si>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</si>
  <si>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</si>
  <si>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</si>
  <si>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</si>
  <si>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</si>
  <si>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</si>
  <si>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</si>
  <si>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</si>
  <si>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</si>
  <si>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</si>
  <si>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</si>
  <si>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</si>
  <si>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</si>
  <si>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</si>
  <si>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</si>
  <si>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</si>
  <si>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</si>
  <si>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</si>
  <si>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</si>
  <si>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</si>
  <si>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</si>
  <si>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</si>
  <si>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</si>
  <si>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</si>
  <si>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</si>
  <si>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</si>
  <si>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</si>
  <si>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</si>
  <si>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</si>
  <si>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</si>
  <si>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</si>
  <si>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</si>
  <si>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</si>
  <si>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</si>
  <si>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</si>
  <si>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</si>
  <si>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</si>
  <si>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</si>
  <si>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</si>
  <si>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</si>
  <si>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</si>
  <si>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</si>
  <si>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</si>
  <si>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</si>
  <si>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</si>
  <si>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</si>
  <si>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</si>
  <si>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</si>
  <si>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Caroctavirus CR8</t>
  </si>
  <si>
    <t>Chatterjeevirus ICP3</t>
  </si>
  <si>
    <t>Chatterjeevirus N4</t>
  </si>
  <si>
    <t>Chatterjeevirus VP4</t>
  </si>
  <si>
    <t>Eapunavirus Eap1</t>
  </si>
  <si>
    <t>Elunavirus L1</t>
  </si>
  <si>
    <t>Foetvirus SRT7</t>
  </si>
  <si>
    <t>Ghunavirus gh1</t>
  </si>
  <si>
    <t>Ghunavirus KNP</t>
  </si>
  <si>
    <t>Ghunavirus Pf1ERZ2017</t>
  </si>
  <si>
    <t>Ghunavirus PSA2</t>
  </si>
  <si>
    <t>Ghunavirus WRT</t>
  </si>
  <si>
    <t>Helsettvirus fPS9</t>
  </si>
  <si>
    <t>Helsettvirus fPS59</t>
  </si>
  <si>
    <t>Helsettvirus fPS54ocr</t>
  </si>
  <si>
    <t>Jarilovirus jarilo</t>
  </si>
  <si>
    <t>Kayfunavirus CR44b</t>
  </si>
  <si>
    <t>Kayfunavirus Dev2</t>
  </si>
  <si>
    <t>Kayfunavirus EcoDS1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</si>
  <si>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</si>
  <si>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</si>
  <si>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</si>
  <si>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</si>
  <si>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</si>
  <si>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</si>
  <si>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</si>
  <si>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</si>
  <si>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</si>
  <si>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</si>
  <si>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</si>
  <si>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</si>
  <si>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</si>
  <si>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</si>
  <si>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</si>
  <si>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</si>
  <si>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</si>
  <si>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</si>
  <si>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</si>
  <si>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</si>
  <si>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PPWS4</t>
  </si>
  <si>
    <t>Phutvirus PPpW4</t>
  </si>
  <si>
    <t>Pifdecavirus IBBPF7A</t>
  </si>
  <si>
    <t>Pifdecavirus Pf10</t>
  </si>
  <si>
    <t>Pifdecavirus PhiS1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</si>
  <si>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</si>
  <si>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</si>
  <si>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</si>
  <si>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</si>
  <si>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</si>
  <si>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</si>
  <si>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</si>
  <si>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</si>
  <si>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</si>
  <si>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</si>
  <si>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</si>
  <si>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</si>
  <si>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</si>
  <si>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</si>
  <si>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</si>
  <si>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</si>
  <si>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</si>
  <si>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</si>
  <si>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</si>
  <si>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</si>
  <si>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</si>
  <si>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</si>
  <si>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</si>
  <si>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</si>
  <si>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</si>
  <si>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</si>
  <si>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</si>
  <si>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</si>
  <si>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</si>
  <si>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</si>
  <si>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</si>
  <si>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</si>
  <si>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</si>
  <si>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</si>
  <si>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</si>
  <si>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</si>
  <si>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</si>
  <si>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</si>
  <si>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</si>
  <si>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</si>
  <si>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</si>
  <si>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</si>
  <si>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</si>
  <si>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</si>
  <si>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tv10164302</t>
  </si>
  <si>
    <t>Teetrevirus YeF10</t>
  </si>
  <si>
    <t>Teetrevirus YeO312</t>
  </si>
  <si>
    <t>Teseptimavirus 13a</t>
  </si>
  <si>
    <t>Teseptimavirus C5</t>
  </si>
  <si>
    <t>Teseptimavirus CICC80001</t>
  </si>
  <si>
    <t>Teseptimavirus EG1</t>
  </si>
  <si>
    <t>Teseptimavirus HZ2R8</t>
  </si>
  <si>
    <t>Teseptimavirus HZP2</t>
  </si>
  <si>
    <t>Teseptimavirus IME390</t>
  </si>
  <si>
    <t>Teseptimavirus N30</t>
  </si>
  <si>
    <t>Teseptimavirus NCA</t>
  </si>
  <si>
    <t>Teseptimavirus T7</t>
  </si>
  <si>
    <t>Teseptimavirus tv3A8767</t>
  </si>
  <si>
    <t>Teseptimavirus tv64795ec1</t>
  </si>
  <si>
    <t>Teseptimavirus Vi06</t>
  </si>
  <si>
    <t>Troedvirus Phi15</t>
  </si>
  <si>
    <t>Unyawovirus DUPPII</t>
  </si>
  <si>
    <t>Aegirvirus SCBP42</t>
  </si>
  <si>
    <t>Anchaingvirus anchaing</t>
  </si>
  <si>
    <t>Aqualcavirus P14</t>
  </si>
  <si>
    <t>Atuphduovirus atuph02</t>
  </si>
  <si>
    <t>Ayakvirus Ap1</t>
  </si>
  <si>
    <t>Banchanvirus SS1201</t>
  </si>
  <si>
    <t>Bifseptvirus andromeda</t>
  </si>
  <si>
    <t>Bifseptvirus Bf7</t>
  </si>
  <si>
    <t>Bonnellvirus J865</t>
  </si>
  <si>
    <t>Bonnellvirus lidtsur</t>
  </si>
  <si>
    <t>Cheungvirus NATL1A7</t>
  </si>
  <si>
    <t>Cuernavacavirus RHEph02</t>
  </si>
  <si>
    <t>Cuernavacavirus RHEph08</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</si>
  <si>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</si>
  <si>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</si>
  <si>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</si>
  <si>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</si>
  <si>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</si>
  <si>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</si>
  <si>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</si>
  <si>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</si>
  <si>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</si>
  <si>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</si>
  <si>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</si>
  <si>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</si>
  <si>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</si>
  <si>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</si>
  <si>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</si>
  <si>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</si>
  <si>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</si>
  <si>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</si>
  <si>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</si>
  <si>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</si>
  <si>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</si>
  <si>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</si>
  <si>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</si>
  <si>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</si>
  <si>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</si>
  <si>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</si>
  <si>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</si>
  <si>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</si>
  <si>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</si>
  <si>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</si>
  <si>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</si>
  <si>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</si>
  <si>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</si>
  <si>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</si>
  <si>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</si>
  <si>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</si>
  <si>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</si>
  <si>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</si>
  <si>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</si>
  <si>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</si>
  <si>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</si>
  <si>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</si>
  <si>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</si>
  <si>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</si>
  <si>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</si>
  <si>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</si>
  <si>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</si>
  <si>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</si>
  <si>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</si>
  <si>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</si>
  <si>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</si>
  <si>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</si>
  <si>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</si>
  <si>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</si>
  <si>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</si>
  <si>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</si>
  <si>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</si>
  <si>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</si>
  <si>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</si>
  <si>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</si>
  <si>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</si>
  <si>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</si>
  <si>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</si>
  <si>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</si>
  <si>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</si>
  <si>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</si>
  <si>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</si>
  <si>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</si>
  <si>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</si>
  <si>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</si>
  <si>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</si>
  <si>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</si>
  <si>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</si>
  <si>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</si>
  <si>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</si>
  <si>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</si>
  <si>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</si>
  <si>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</si>
  <si>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</si>
  <si>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</si>
  <si>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</si>
  <si>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</si>
  <si>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</si>
  <si>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</si>
  <si>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</si>
  <si>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</si>
  <si>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</si>
  <si>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</si>
  <si>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</si>
  <si>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</si>
  <si>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</si>
  <si>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</si>
  <si>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</si>
  <si>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</si>
  <si>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</si>
  <si>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</si>
  <si>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</si>
  <si>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</si>
  <si>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</si>
  <si>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</si>
  <si>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</si>
  <si>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</si>
  <si>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</si>
  <si>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</si>
  <si>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</si>
  <si>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</si>
  <si>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</si>
  <si>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</si>
  <si>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</si>
  <si>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</si>
  <si>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</si>
  <si>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</si>
  <si>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</si>
  <si>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</si>
  <si>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</si>
  <si>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</si>
  <si>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</si>
  <si>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</si>
  <si>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</si>
  <si>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</si>
  <si>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</si>
  <si>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</si>
  <si>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</si>
  <si>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</si>
  <si>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</si>
  <si>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</si>
  <si>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</si>
  <si>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</si>
  <si>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</si>
  <si>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</si>
  <si>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</si>
  <si>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</si>
  <si>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</si>
  <si>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</si>
  <si>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</si>
  <si>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</si>
  <si>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</si>
  <si>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</si>
  <si>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</si>
  <si>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</si>
  <si>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</si>
  <si>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</si>
  <si>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</si>
  <si>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</si>
  <si>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</si>
  <si>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</si>
  <si>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</si>
  <si>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</si>
  <si>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</si>
  <si>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</si>
  <si>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</si>
  <si>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</si>
  <si>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</si>
  <si>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</si>
  <si>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</si>
  <si>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</si>
  <si>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</si>
  <si>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</si>
  <si>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</si>
  <si>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</si>
  <si>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</si>
  <si>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</si>
  <si>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</si>
  <si>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</si>
  <si>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</si>
  <si>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</si>
  <si>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</si>
  <si>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</si>
  <si>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</si>
  <si>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</si>
  <si>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</si>
  <si>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</si>
  <si>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</si>
  <si>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</si>
  <si>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</si>
  <si>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</si>
  <si>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</si>
  <si>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</si>
  <si>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</si>
  <si>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</si>
  <si>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</si>
  <si>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</si>
  <si>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</si>
  <si>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</si>
  <si>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</si>
  <si>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</si>
  <si>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</si>
  <si>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</si>
  <si>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</si>
  <si>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</si>
  <si>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</si>
  <si>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</si>
  <si>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</si>
  <si>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</si>
  <si>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</si>
  <si>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</si>
  <si>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</si>
  <si>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</si>
  <si>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</si>
  <si>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</si>
  <si>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</si>
  <si>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</si>
  <si>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</si>
  <si>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</si>
  <si>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</si>
  <si>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</si>
  <si>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</si>
  <si>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</si>
  <si>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</si>
  <si>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</si>
  <si>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</si>
  <si>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</si>
  <si>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</si>
  <si>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</si>
  <si>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</si>
  <si>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</si>
  <si>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</si>
  <si>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</si>
  <si>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</si>
  <si>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</si>
  <si>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</si>
  <si>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</si>
  <si>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</si>
  <si>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</si>
  <si>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</si>
  <si>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</si>
  <si>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</si>
  <si>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</si>
  <si>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</si>
  <si>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</si>
  <si>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</si>
  <si>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</si>
  <si>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</si>
  <si>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</si>
  <si>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</si>
  <si>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</si>
  <si>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</si>
  <si>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</si>
  <si>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</si>
  <si>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</si>
  <si>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</si>
  <si>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</si>
  <si>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</si>
  <si>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</si>
  <si>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</si>
  <si>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</si>
  <si>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</si>
  <si>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</si>
  <si>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</si>
  <si>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</si>
  <si>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</si>
  <si>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</si>
  <si>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</si>
  <si>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</si>
  <si>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</si>
  <si>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</si>
  <si>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</si>
  <si>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</si>
  <si>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</si>
  <si>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</si>
  <si>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</si>
  <si>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</si>
  <si>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</si>
  <si>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</si>
  <si>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</si>
  <si>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</si>
  <si>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</si>
  <si>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</si>
  <si>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</si>
  <si>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</si>
  <si>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</si>
  <si>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</si>
  <si>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</si>
  <si>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</si>
  <si>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</si>
  <si>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</si>
  <si>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</si>
  <si>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</si>
  <si>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</si>
  <si>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</si>
  <si>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</si>
  <si>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</si>
  <si>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</si>
  <si>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</si>
  <si>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</si>
  <si>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</si>
  <si>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</si>
  <si>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</si>
  <si>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</si>
  <si>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</si>
  <si>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</si>
  <si>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</si>
  <si>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</si>
  <si>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</si>
  <si>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</si>
  <si>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</si>
  <si>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</si>
  <si>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</si>
  <si>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</si>
  <si>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</si>
  <si>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</si>
  <si>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</si>
  <si>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</si>
  <si>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</si>
  <si>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</si>
  <si>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</si>
  <si>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</si>
  <si>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</si>
  <si>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</si>
  <si>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</si>
  <si>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</si>
  <si>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</si>
  <si>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</si>
  <si>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</si>
  <si>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</si>
  <si>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</si>
  <si>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</si>
  <si>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</si>
  <si>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</si>
  <si>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</si>
  <si>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</si>
  <si>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</si>
  <si>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</si>
  <si>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</si>
  <si>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</si>
  <si>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</si>
  <si>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</si>
  <si>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</si>
  <si>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</si>
  <si>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</si>
  <si>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</si>
  <si>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</si>
  <si>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</si>
  <si>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</si>
  <si>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</si>
  <si>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</si>
  <si>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</si>
  <si>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</si>
  <si>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</si>
  <si>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</si>
  <si>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</si>
  <si>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</si>
  <si>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</si>
  <si>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</si>
  <si>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</si>
  <si>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</si>
  <si>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</si>
  <si>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</si>
  <si>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</si>
  <si>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</si>
  <si>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</si>
  <si>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</si>
  <si>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</si>
  <si>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</si>
  <si>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</si>
  <si>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</si>
  <si>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</si>
  <si>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</si>
  <si>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</si>
  <si>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</si>
  <si>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</si>
  <si>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</si>
  <si>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</si>
  <si>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</si>
  <si>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</si>
  <si>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</si>
  <si>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</si>
  <si>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</si>
  <si>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</si>
  <si>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</si>
  <si>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</si>
  <si>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</si>
  <si>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</si>
  <si>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</si>
  <si>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</si>
  <si>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</si>
  <si>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</si>
  <si>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</si>
  <si>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</si>
  <si>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</si>
  <si>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</si>
  <si>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</si>
  <si>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</si>
  <si>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</si>
  <si>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</si>
  <si>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</si>
  <si>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</si>
  <si>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</si>
  <si>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</si>
  <si>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</si>
  <si>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</si>
  <si>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</si>
  <si>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</si>
  <si>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</si>
  <si>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</si>
  <si>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</si>
  <si>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</si>
  <si>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</si>
  <si>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</si>
  <si>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</si>
  <si>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</si>
  <si>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</si>
  <si>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</si>
  <si>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</si>
  <si>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</si>
  <si>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</si>
  <si>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</si>
  <si>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</si>
  <si>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</si>
  <si>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</si>
  <si>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</si>
  <si>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</si>
  <si>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</si>
  <si>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</si>
  <si>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</si>
  <si>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</si>
  <si>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</si>
  <si>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</si>
  <si>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</si>
  <si>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</si>
  <si>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</si>
  <si>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</si>
  <si>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</si>
  <si>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</si>
  <si>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</si>
  <si>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</si>
  <si>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</si>
  <si>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</si>
  <si>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</si>
  <si>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</si>
  <si>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</si>
  <si>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</si>
  <si>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</si>
  <si>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</si>
  <si>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</si>
  <si>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</si>
  <si>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</si>
  <si>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</si>
  <si>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</si>
  <si>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</si>
  <si>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</si>
  <si>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</si>
  <si>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</si>
  <si>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</si>
  <si>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</si>
  <si>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</si>
  <si>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</si>
  <si>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</si>
  <si>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</si>
  <si>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</si>
  <si>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</si>
  <si>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</si>
  <si>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</si>
  <si>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</si>
  <si>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</si>
  <si>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</si>
  <si>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</si>
  <si>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</si>
  <si>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</si>
  <si>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</si>
  <si>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</si>
  <si>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</si>
  <si>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</si>
  <si>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</si>
  <si>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</si>
  <si>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</si>
  <si>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</si>
  <si>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</si>
  <si>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</si>
  <si>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</si>
  <si>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</si>
  <si>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</si>
  <si>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</si>
  <si>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</si>
  <si>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</si>
  <si>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</si>
  <si>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</si>
  <si>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</si>
  <si>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</si>
  <si>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</si>
  <si>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</si>
  <si>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</si>
  <si>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</si>
  <si>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</si>
  <si>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</si>
  <si>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</si>
  <si>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</si>
  <si>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</si>
  <si>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</si>
  <si>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</si>
  <si>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</si>
  <si>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</si>
  <si>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</si>
  <si>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</si>
  <si>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</si>
  <si>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</si>
  <si>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</si>
  <si>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</si>
  <si>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</si>
  <si>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</si>
  <si>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</si>
  <si>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</si>
  <si>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</si>
  <si>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</si>
  <si>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</si>
  <si>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</si>
  <si>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</si>
  <si>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</si>
  <si>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</si>
  <si>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</si>
  <si>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</si>
  <si>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</si>
  <si>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</si>
  <si>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</si>
  <si>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</si>
  <si>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</si>
  <si>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</si>
  <si>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</si>
  <si>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</si>
  <si>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</si>
  <si>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</si>
  <si>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</si>
  <si>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</si>
  <si>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</si>
  <si>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</si>
  <si>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</si>
  <si>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</si>
  <si>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</si>
  <si>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</si>
  <si>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</si>
  <si>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</si>
  <si>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</si>
  <si>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</si>
  <si>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</si>
  <si>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</si>
  <si>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</si>
  <si>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</si>
  <si>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</si>
  <si>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</si>
  <si>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</si>
  <si>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</si>
  <si>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</si>
  <si>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</si>
  <si>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</si>
  <si>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</si>
  <si>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</si>
  <si>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</si>
  <si>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</si>
  <si>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</si>
  <si>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</si>
  <si>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</si>
  <si>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</si>
  <si>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</si>
  <si>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</si>
  <si>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</si>
  <si>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</si>
  <si>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</si>
  <si>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</si>
  <si>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</si>
  <si>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</si>
  <si>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</si>
  <si>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</si>
  <si>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</si>
  <si>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</si>
  <si>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</si>
  <si>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</si>
  <si>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</si>
  <si>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</si>
  <si>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</si>
  <si>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</si>
  <si>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</si>
  <si>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</si>
  <si>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</si>
  <si>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</si>
  <si>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</si>
  <si>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</si>
  <si>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</si>
  <si>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</si>
  <si>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</si>
  <si>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</si>
  <si>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</si>
  <si>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</si>
  <si>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</si>
  <si>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</si>
  <si>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</si>
  <si>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</si>
  <si>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</si>
  <si>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</si>
  <si>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</si>
  <si>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</si>
  <si>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</si>
  <si>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</si>
  <si>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</si>
  <si>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</si>
  <si>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</si>
  <si>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</si>
  <si>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</si>
  <si>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</si>
  <si>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</si>
  <si>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</si>
  <si>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</si>
  <si>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</si>
  <si>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</si>
  <si>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</si>
  <si>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</si>
  <si>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</si>
  <si>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</si>
  <si>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</si>
  <si>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</si>
  <si>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</si>
  <si>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</si>
  <si>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</si>
  <si>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</si>
  <si>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Efekovirus</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</si>
  <si>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</si>
  <si>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</si>
  <si>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</si>
  <si>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</si>
  <si>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</si>
  <si>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</si>
  <si>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</si>
  <si>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</si>
  <si>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</si>
  <si>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</si>
  <si>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</si>
  <si>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</si>
  <si>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</si>
  <si>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</si>
  <si>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</si>
  <si>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</si>
  <si>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</si>
  <si>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</si>
  <si>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</si>
  <si>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</si>
  <si>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</si>
  <si>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</si>
  <si>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</si>
  <si>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</si>
  <si>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</si>
  <si>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</si>
  <si>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</si>
  <si>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</si>
  <si>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</si>
  <si>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</si>
  <si>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</si>
  <si>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</si>
  <si>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</si>
  <si>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</si>
  <si>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</si>
  <si>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</si>
  <si>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</si>
  <si>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</si>
  <si>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</si>
  <si>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</si>
  <si>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</si>
  <si>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</si>
  <si>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</si>
  <si>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</si>
  <si>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</si>
  <si>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</si>
  <si>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</si>
  <si>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</si>
  <si>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</si>
  <si>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</si>
  <si>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</si>
  <si>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</si>
  <si>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</si>
  <si>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</si>
  <si>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</si>
  <si>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</si>
  <si>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</si>
  <si>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</si>
  <si>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</si>
  <si>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</si>
  <si>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</si>
  <si>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</si>
  <si>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</si>
  <si>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</si>
  <si>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</si>
  <si>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</si>
  <si>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</si>
  <si>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</si>
  <si>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</si>
  <si>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</si>
  <si>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</si>
  <si>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</si>
  <si>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</si>
  <si>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</si>
  <si>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</si>
  <si>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</si>
  <si>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</si>
  <si>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</si>
  <si>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</si>
  <si>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</si>
  <si>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</si>
  <si>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</si>
  <si>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</si>
  <si>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</si>
  <si>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</si>
  <si>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</si>
  <si>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</si>
  <si>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</si>
  <si>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</si>
  <si>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</si>
  <si>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</si>
  <si>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</si>
  <si>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</si>
  <si>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</si>
  <si>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</si>
  <si>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</si>
  <si>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</si>
  <si>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</si>
  <si>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</si>
  <si>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</si>
  <si>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</si>
  <si>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</si>
  <si>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</si>
  <si>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</si>
  <si>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</si>
  <si>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</si>
  <si>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</si>
  <si>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</si>
  <si>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</si>
  <si>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</si>
  <si>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</si>
  <si>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</si>
  <si>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</si>
  <si>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</si>
  <si>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</si>
  <si>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</si>
  <si>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</si>
  <si>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</si>
  <si>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</si>
  <si>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</si>
  <si>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</si>
  <si>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</si>
  <si>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</si>
  <si>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</si>
  <si>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</si>
  <si>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</si>
  <si>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</si>
  <si>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</si>
  <si>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</si>
  <si>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</si>
  <si>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</si>
  <si>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</si>
  <si>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</si>
  <si>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</si>
  <si>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</si>
  <si>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</si>
  <si>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</si>
  <si>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</si>
  <si>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</si>
  <si>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</si>
  <si>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</si>
  <si>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</si>
  <si>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</si>
  <si>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</si>
  <si>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</si>
  <si>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</si>
  <si>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</si>
  <si>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</si>
  <si>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</si>
  <si>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</si>
  <si>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</si>
  <si>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</si>
  <si>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</si>
  <si>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</si>
  <si>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</si>
  <si>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</si>
  <si>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</si>
  <si>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</si>
  <si>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</si>
  <si>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</si>
  <si>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</si>
  <si>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</si>
  <si>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</si>
  <si>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</si>
  <si>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</si>
  <si>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</si>
  <si>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</si>
  <si>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</si>
  <si>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</si>
  <si>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</si>
  <si>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</si>
  <si>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</si>
  <si>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</si>
  <si>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</si>
  <si>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</si>
  <si>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</si>
  <si>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</si>
  <si>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</si>
  <si>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</si>
  <si>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</si>
  <si>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</si>
  <si>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</si>
  <si>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</si>
  <si>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</si>
  <si>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</si>
  <si>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</si>
  <si>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</si>
  <si>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</si>
  <si>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</si>
  <si>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</si>
  <si>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</si>
  <si>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</si>
  <si>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</si>
  <si>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</si>
  <si>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</si>
  <si>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</si>
  <si>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</si>
  <si>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</si>
  <si>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</si>
  <si>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</si>
  <si>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</si>
  <si>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</si>
  <si>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</si>
  <si>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</si>
  <si>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</si>
  <si>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</si>
  <si>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</si>
  <si>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</si>
  <si>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</si>
  <si>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</si>
  <si>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</si>
  <si>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</si>
  <si>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</si>
  <si>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</si>
  <si>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</si>
  <si>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</si>
  <si>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</si>
  <si>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</si>
  <si>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</si>
  <si>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</si>
  <si>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</si>
  <si>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</si>
  <si>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</si>
  <si>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</si>
  <si>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</si>
  <si>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</si>
  <si>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</si>
  <si>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</si>
  <si>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</si>
  <si>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</si>
  <si>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</si>
  <si>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</si>
  <si>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</si>
  <si>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</si>
  <si>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</si>
  <si>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</si>
  <si>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</si>
  <si>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</si>
  <si>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</si>
  <si>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</si>
  <si>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</si>
  <si>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</si>
  <si>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</si>
  <si>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</si>
  <si>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</si>
  <si>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</si>
  <si>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</si>
  <si>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</si>
  <si>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</si>
  <si>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</si>
  <si>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</si>
  <si>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</si>
  <si>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</si>
  <si>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</si>
  <si>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</si>
  <si>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</si>
  <si>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</si>
  <si>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</si>
  <si>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</si>
  <si>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</si>
  <si>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</si>
  <si>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</si>
  <si>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</si>
  <si>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</si>
  <si>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</si>
  <si>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</si>
  <si>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</si>
  <si>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</si>
  <si>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</si>
  <si>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</si>
  <si>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</si>
  <si>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</si>
  <si>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</si>
  <si>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</si>
  <si>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</si>
  <si>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</si>
  <si>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</si>
  <si>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</si>
  <si>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</si>
  <si>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</si>
  <si>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</si>
  <si>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</si>
  <si>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</si>
  <si>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</si>
  <si>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</si>
  <si>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</si>
  <si>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</si>
  <si>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</si>
  <si>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</si>
  <si>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</si>
  <si>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</si>
  <si>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</si>
  <si>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</si>
  <si>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</si>
  <si>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</si>
  <si>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</si>
  <si>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</si>
  <si>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</si>
  <si>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</si>
  <si>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</si>
  <si>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</si>
  <si>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</si>
  <si>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</si>
  <si>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</si>
  <si>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</si>
  <si>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</si>
  <si>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</si>
  <si>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</si>
  <si>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</si>
  <si>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</si>
  <si>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</si>
  <si>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</si>
  <si>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</si>
  <si>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</si>
  <si>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</si>
  <si>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</si>
  <si>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</si>
  <si>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</si>
  <si>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</si>
  <si>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</si>
  <si>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</si>
  <si>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</si>
  <si>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</si>
  <si>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</si>
  <si>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</si>
  <si>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</si>
  <si>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</si>
  <si>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</si>
  <si>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</si>
  <si>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</si>
  <si>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</si>
  <si>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</si>
  <si>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</si>
  <si>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</si>
  <si>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</si>
  <si>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</si>
  <si>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</si>
  <si>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</si>
  <si>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</si>
  <si>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</si>
  <si>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</si>
  <si>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</si>
  <si>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</si>
  <si>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</si>
  <si>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</si>
  <si>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</si>
  <si>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</si>
  <si>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</si>
  <si>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</si>
  <si>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</si>
  <si>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</si>
  <si>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</si>
  <si>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</si>
  <si>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</si>
  <si>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</si>
  <si>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</si>
  <si>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</si>
  <si>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</si>
  <si>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</si>
  <si>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</si>
  <si>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</si>
  <si>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</si>
  <si>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</si>
  <si>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</si>
  <si>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</si>
  <si>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</si>
  <si>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</si>
  <si>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</si>
  <si>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</si>
  <si>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</si>
  <si>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</si>
  <si>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</si>
  <si>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</si>
  <si>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</si>
  <si>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</si>
  <si>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</si>
  <si>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</si>
  <si>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</si>
  <si>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</si>
  <si>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</si>
  <si>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</si>
  <si>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</si>
  <si>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</si>
  <si>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</si>
  <si>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</si>
  <si>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</si>
  <si>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</si>
  <si>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</si>
  <si>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</si>
  <si>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</si>
  <si>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</si>
  <si>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</si>
  <si>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</si>
  <si>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</si>
  <si>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</si>
  <si>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</si>
  <si>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</si>
  <si>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</si>
  <si>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</si>
  <si>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</si>
  <si>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</si>
  <si>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</si>
  <si>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</si>
  <si>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</si>
  <si>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</si>
  <si>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</si>
  <si>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</si>
  <si>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</si>
  <si>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</si>
  <si>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</si>
  <si>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</si>
  <si>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</si>
  <si>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</si>
  <si>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</si>
  <si>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</si>
  <si>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</si>
  <si>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</si>
  <si>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</si>
  <si>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</si>
  <si>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</si>
  <si>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</si>
  <si>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</si>
  <si>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</si>
  <si>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</si>
  <si>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</si>
  <si>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</si>
  <si>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</si>
  <si>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</si>
  <si>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</si>
  <si>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</si>
  <si>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</si>
  <si>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</si>
  <si>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</si>
  <si>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</si>
  <si>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</si>
  <si>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</si>
  <si>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</si>
  <si>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</si>
  <si>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</si>
  <si>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</si>
  <si>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</si>
  <si>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</si>
  <si>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</si>
  <si>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</si>
  <si>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</si>
  <si>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</si>
  <si>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</si>
  <si>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</si>
  <si>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</si>
  <si>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</si>
  <si>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</si>
  <si>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</si>
  <si>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</si>
  <si>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</si>
  <si>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</si>
  <si>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</si>
  <si>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</si>
  <si>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</si>
  <si>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</si>
  <si>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</si>
  <si>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</si>
  <si>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</si>
  <si>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</si>
  <si>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</si>
  <si>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</si>
  <si>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</si>
  <si>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</si>
  <si>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</si>
  <si>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</si>
  <si>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</si>
  <si>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</si>
  <si>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</si>
  <si>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</si>
  <si>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</si>
  <si>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</si>
  <si>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</si>
  <si>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</si>
  <si>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</si>
  <si>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</si>
  <si>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</si>
  <si>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</si>
  <si>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</si>
  <si>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</si>
  <si>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</si>
  <si>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</si>
  <si>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</si>
  <si>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</si>
  <si>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</si>
  <si>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</si>
  <si>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</si>
  <si>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</si>
  <si>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</si>
  <si>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</si>
  <si>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</si>
  <si>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</si>
  <si>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</si>
  <si>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</si>
  <si>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</si>
  <si>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</si>
  <si>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</si>
  <si>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</si>
  <si>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</si>
  <si>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</si>
  <si>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</si>
  <si>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</si>
  <si>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</si>
  <si>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</si>
  <si>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</si>
  <si>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</si>
  <si>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</si>
  <si>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</si>
  <si>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</si>
  <si>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</si>
  <si>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</si>
  <si>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</si>
  <si>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</si>
  <si>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</si>
  <si>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</si>
  <si>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</si>
  <si>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</si>
  <si>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</si>
  <si>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</si>
  <si>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</si>
  <si>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</si>
  <si>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</si>
  <si>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</si>
  <si>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</si>
  <si>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</si>
  <si>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</si>
  <si>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</si>
  <si>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</si>
  <si>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</si>
  <si>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</si>
  <si>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</si>
  <si>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</si>
  <si>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</si>
  <si>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</si>
  <si>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</si>
  <si>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</si>
  <si>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</si>
  <si>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</si>
  <si>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</si>
  <si>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</si>
  <si>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</si>
  <si>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</si>
  <si>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</si>
  <si>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</si>
  <si>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</si>
  <si>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</si>
  <si>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</si>
  <si>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</si>
  <si>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</si>
  <si>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</si>
  <si>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</si>
  <si>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</si>
  <si>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</si>
  <si>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</si>
  <si>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</si>
  <si>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</si>
  <si>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</si>
  <si>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</si>
  <si>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</si>
  <si>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</si>
  <si>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</si>
  <si>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</si>
  <si>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</si>
  <si>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</si>
  <si>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</si>
  <si>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</si>
  <si>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</si>
  <si>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</si>
  <si>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</si>
  <si>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</si>
  <si>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</si>
  <si>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</si>
  <si>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</si>
  <si>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</si>
  <si>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</si>
  <si>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</si>
  <si>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</si>
  <si>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</si>
  <si>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</si>
  <si>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</si>
  <si>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</si>
  <si>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</si>
  <si>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</si>
  <si>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</si>
  <si>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</si>
  <si>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</si>
  <si>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</si>
  <si>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</si>
  <si>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</si>
  <si>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</si>
  <si>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</si>
  <si>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</si>
  <si>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</si>
  <si>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</si>
  <si>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</si>
  <si>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</si>
  <si>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</si>
  <si>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</si>
  <si>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</si>
  <si>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</si>
  <si>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</si>
  <si>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</si>
  <si>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</si>
  <si>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</si>
  <si>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</si>
  <si>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</si>
  <si>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</si>
  <si>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</si>
  <si>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</si>
  <si>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</si>
  <si>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</si>
  <si>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</si>
  <si>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</si>
  <si>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</si>
  <si>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</si>
  <si>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</si>
  <si>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</si>
  <si>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</si>
  <si>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</si>
  <si>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</si>
  <si>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</si>
  <si>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</si>
  <si>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</si>
  <si>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</si>
  <si>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</si>
  <si>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</si>
  <si>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</si>
  <si>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</si>
  <si>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</si>
  <si>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</si>
  <si>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</si>
  <si>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</si>
  <si>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</si>
  <si>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</si>
  <si>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</si>
  <si>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</si>
  <si>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</si>
  <si>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</si>
  <si>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</si>
  <si>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</si>
  <si>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</si>
  <si>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</si>
  <si>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</si>
  <si>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</si>
  <si>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</si>
  <si>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</si>
  <si>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</si>
  <si>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</si>
  <si>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</si>
  <si>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</si>
  <si>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</si>
  <si>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</si>
  <si>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</si>
  <si>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</si>
  <si>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</si>
  <si>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</si>
  <si>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</si>
  <si>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</si>
  <si>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</si>
  <si>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</si>
  <si>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</si>
  <si>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</si>
  <si>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</si>
  <si>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</si>
  <si>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</si>
  <si>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</si>
  <si>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</si>
  <si>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</si>
  <si>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</si>
  <si>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</si>
  <si>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</si>
  <si>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</si>
  <si>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</si>
  <si>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</si>
  <si>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</si>
  <si>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</si>
  <si>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</si>
  <si>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</si>
  <si>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</si>
  <si>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</si>
  <si>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</si>
  <si>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</si>
  <si>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</si>
  <si>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</si>
  <si>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</si>
  <si>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</si>
  <si>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</si>
  <si>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</si>
  <si>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</si>
  <si>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</si>
  <si>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</si>
  <si>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</si>
  <si>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</si>
  <si>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</si>
  <si>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</si>
  <si>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</si>
  <si>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</si>
  <si>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</si>
  <si>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</si>
  <si>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</si>
  <si>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</si>
  <si>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</si>
  <si>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</si>
  <si>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</si>
  <si>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</si>
  <si>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</si>
  <si>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</si>
  <si>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</si>
  <si>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</si>
  <si>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</si>
  <si>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</si>
  <si>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</si>
  <si>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</si>
  <si>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</si>
  <si>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</si>
  <si>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</si>
  <si>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</si>
  <si>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</si>
  <si>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</si>
  <si>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</si>
  <si>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</si>
  <si>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</si>
  <si>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</si>
  <si>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</si>
  <si>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</si>
  <si>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</si>
  <si>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</si>
  <si>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</si>
  <si>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</si>
  <si>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</si>
  <si>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</si>
  <si>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</si>
  <si>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</si>
  <si>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</si>
  <si>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</si>
  <si>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</si>
  <si>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</si>
  <si>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</si>
  <si>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</si>
  <si>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</si>
  <si>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</si>
  <si>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</si>
  <si>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</si>
  <si>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</si>
  <si>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</si>
  <si>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</si>
  <si>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</si>
  <si>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</si>
  <si>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</si>
  <si>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</si>
  <si>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</si>
  <si>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</si>
  <si>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</si>
  <si>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</si>
  <si>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</si>
  <si>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</si>
  <si>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</si>
  <si>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</si>
  <si>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</si>
  <si>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</si>
  <si>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</si>
  <si>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</si>
  <si>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</si>
  <si>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</si>
  <si>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</si>
  <si>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</si>
  <si>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</si>
  <si>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</si>
  <si>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</si>
  <si>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</si>
  <si>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</si>
  <si>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</si>
  <si>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</si>
  <si>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</si>
  <si>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</si>
  <si>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</si>
  <si>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</si>
  <si>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</si>
  <si>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</si>
  <si>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</si>
  <si>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</si>
  <si>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</si>
  <si>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</si>
  <si>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</si>
  <si>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</si>
  <si>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</si>
  <si>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</si>
  <si>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</si>
  <si>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</si>
  <si>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</si>
  <si>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</si>
  <si>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</si>
  <si>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</si>
  <si>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</si>
  <si>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</si>
  <si>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</si>
  <si>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</si>
  <si>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</si>
  <si>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</si>
  <si>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</si>
  <si>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</si>
  <si>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</si>
  <si>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</si>
  <si>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</si>
  <si>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</si>
  <si>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</si>
  <si>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</si>
  <si>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</si>
  <si>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</si>
  <si>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</si>
  <si>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</si>
  <si>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</si>
  <si>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</si>
  <si>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</si>
  <si>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</si>
  <si>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</si>
  <si>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</si>
  <si>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</si>
  <si>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</si>
  <si>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</si>
  <si>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</si>
  <si>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</si>
  <si>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</si>
  <si>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</si>
  <si>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</si>
  <si>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</si>
  <si>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</si>
  <si>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</si>
  <si>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</si>
  <si>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</si>
  <si>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</si>
  <si>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</si>
  <si>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</si>
  <si>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</si>
  <si>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</si>
  <si>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</si>
  <si>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</si>
  <si>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</si>
  <si>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</si>
  <si>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</si>
  <si>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</si>
  <si>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</si>
  <si>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</si>
  <si>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</si>
  <si>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</si>
  <si>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</si>
  <si>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</si>
  <si>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</si>
  <si>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</si>
  <si>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</si>
  <si>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</si>
  <si>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</si>
  <si>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</si>
  <si>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</si>
  <si>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</si>
  <si>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</si>
  <si>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</si>
  <si>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</si>
  <si>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</si>
  <si>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</si>
  <si>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</si>
  <si>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</si>
  <si>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</si>
  <si>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</si>
  <si>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</si>
  <si>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</si>
  <si>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</si>
  <si>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</si>
  <si>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</si>
  <si>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</si>
  <si>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</si>
  <si>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</si>
  <si>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</si>
  <si>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</si>
  <si>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</si>
  <si>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</si>
  <si>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</si>
  <si>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</si>
  <si>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</si>
  <si>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</si>
  <si>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</si>
  <si>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</si>
  <si>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</si>
  <si>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</si>
  <si>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</si>
  <si>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</si>
  <si>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</si>
  <si>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</si>
  <si>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</si>
  <si>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</si>
  <si>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</si>
  <si>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</si>
  <si>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</si>
  <si>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</si>
  <si>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</si>
  <si>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</si>
  <si>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</si>
  <si>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</si>
  <si>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</si>
  <si>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</si>
  <si>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</si>
  <si>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</si>
  <si>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</si>
  <si>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</si>
  <si>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</si>
  <si>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</si>
  <si>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</si>
  <si>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</si>
  <si>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</si>
  <si>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</si>
  <si>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</si>
  <si>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</si>
  <si>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</si>
  <si>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</si>
  <si>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</si>
  <si>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</si>
  <si>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</si>
  <si>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</si>
  <si>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</si>
  <si>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</si>
  <si>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</si>
  <si>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</si>
  <si>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</si>
  <si>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</si>
  <si>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</si>
  <si>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</si>
  <si>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</si>
  <si>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</si>
  <si>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</si>
  <si>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</si>
  <si>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</si>
  <si>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</si>
  <si>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</si>
  <si>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</si>
  <si>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</si>
  <si>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</si>
  <si>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</si>
  <si>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</si>
  <si>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</si>
  <si>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</si>
  <si>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</si>
  <si>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</si>
  <si>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</si>
  <si>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</si>
  <si>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</si>
  <si>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</si>
  <si>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</si>
  <si>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</si>
  <si>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</si>
  <si>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</si>
  <si>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</si>
  <si>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</si>
  <si>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</si>
  <si>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</si>
  <si>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</si>
  <si>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</si>
  <si>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</si>
  <si>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</si>
  <si>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</si>
  <si>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</si>
  <si>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</si>
  <si>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</si>
  <si>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</si>
  <si>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</si>
  <si>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</si>
  <si>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</si>
  <si>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</si>
  <si>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</si>
  <si>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</si>
  <si>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</si>
  <si>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</si>
  <si>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</si>
  <si>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</si>
  <si>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</si>
  <si>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</si>
  <si>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</si>
  <si>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</si>
  <si>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</si>
  <si>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</si>
  <si>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</si>
  <si>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</si>
  <si>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</si>
  <si>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</si>
  <si>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</si>
  <si>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</si>
  <si>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</si>
  <si>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</si>
  <si>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</si>
  <si>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</si>
  <si>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</si>
  <si>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</si>
  <si>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</si>
  <si>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</si>
  <si>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</si>
  <si>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</si>
  <si>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</si>
  <si>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</si>
  <si>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</si>
  <si>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</si>
  <si>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</si>
  <si>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</si>
  <si>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</si>
  <si>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</si>
  <si>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</si>
  <si>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</si>
  <si>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</si>
  <si>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</si>
  <si>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</si>
  <si>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</si>
  <si>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</si>
  <si>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</si>
  <si>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</si>
  <si>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</si>
  <si>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</si>
  <si>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</si>
  <si>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</si>
  <si>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</si>
  <si>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</si>
  <si>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</si>
  <si>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</si>
  <si>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</si>
  <si>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</si>
  <si>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</si>
  <si>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</si>
  <si>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</si>
  <si>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</si>
  <si>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</si>
  <si>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</si>
  <si>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</si>
  <si>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</si>
  <si>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</si>
  <si>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</si>
  <si>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</si>
  <si>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</si>
  <si>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</si>
  <si>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</si>
  <si>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</si>
  <si>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</si>
  <si>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</si>
  <si>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</si>
  <si>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</si>
  <si>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</si>
  <si>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</si>
  <si>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</si>
  <si>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</si>
  <si>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</si>
  <si>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</si>
  <si>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</si>
  <si>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</si>
  <si>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</si>
  <si>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</si>
  <si>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</si>
  <si>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</si>
  <si>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</si>
  <si>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</si>
  <si>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</si>
  <si>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</si>
  <si>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</si>
  <si>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</si>
  <si>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</si>
  <si>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</si>
  <si>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</si>
  <si>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</si>
  <si>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</si>
  <si>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</si>
  <si>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</si>
  <si>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</si>
  <si>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</si>
  <si>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</si>
  <si>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</si>
  <si>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</si>
  <si>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</si>
  <si>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</si>
  <si>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</si>
  <si>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</si>
  <si>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</si>
  <si>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</si>
  <si>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</si>
  <si>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</si>
  <si>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</si>
  <si>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</si>
  <si>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</si>
  <si>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</si>
  <si>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</si>
  <si>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</si>
  <si>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</si>
  <si>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</si>
  <si>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</si>
  <si>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</si>
  <si>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</si>
  <si>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</si>
  <si>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</si>
  <si>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</si>
  <si>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</si>
  <si>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</si>
  <si>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</si>
  <si>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</si>
  <si>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</si>
  <si>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</si>
  <si>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</si>
  <si>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</si>
  <si>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</si>
  <si>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</si>
  <si>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</si>
  <si>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</si>
  <si>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</si>
  <si>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</si>
  <si>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</si>
  <si>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</si>
  <si>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</si>
  <si>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</si>
  <si>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</si>
  <si>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</si>
  <si>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</si>
  <si>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</si>
  <si>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</si>
  <si>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</si>
  <si>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</si>
  <si>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</si>
  <si>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</si>
  <si>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</si>
  <si>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</si>
  <si>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</si>
  <si>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</si>
  <si>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</si>
  <si>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</si>
  <si>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</si>
  <si>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</si>
  <si>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</si>
  <si>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</si>
  <si>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</si>
  <si>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</si>
  <si>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</si>
  <si>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</si>
  <si>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</si>
  <si>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</si>
  <si>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</si>
  <si>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</si>
  <si>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</si>
  <si>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</si>
  <si>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</si>
  <si>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</si>
  <si>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</si>
  <si>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</si>
  <si>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</si>
  <si>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</si>
  <si>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</si>
  <si>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</si>
  <si>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</si>
  <si>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</si>
  <si>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</si>
  <si>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</si>
  <si>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</si>
  <si>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</si>
  <si>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</si>
  <si>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</si>
  <si>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</si>
  <si>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</si>
  <si>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</si>
  <si>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</si>
  <si>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</si>
  <si>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</si>
  <si>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</si>
  <si>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</si>
  <si>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</si>
  <si>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</si>
  <si>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</si>
  <si>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</si>
  <si>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</si>
  <si>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</si>
  <si>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</si>
  <si>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</si>
  <si>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</si>
  <si>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</si>
  <si>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</si>
  <si>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</si>
  <si>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</si>
  <si>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</si>
  <si>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</si>
  <si>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</si>
  <si>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</si>
  <si>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</si>
  <si>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</si>
  <si>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</si>
  <si>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</si>
  <si>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</si>
  <si>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</si>
  <si>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</si>
  <si>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</si>
  <si>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</si>
  <si>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</si>
  <si>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</si>
  <si>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</si>
  <si>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</si>
  <si>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</si>
  <si>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</si>
  <si>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</si>
  <si>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</si>
  <si>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</si>
  <si>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</si>
  <si>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</si>
  <si>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</si>
  <si>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</si>
  <si>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</si>
  <si>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</si>
  <si>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</si>
  <si>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</si>
  <si>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</si>
  <si>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</si>
  <si>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</si>
  <si>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</si>
  <si>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</si>
  <si>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</si>
  <si>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</si>
  <si>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</si>
  <si>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</si>
  <si>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</si>
  <si>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</si>
  <si>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</si>
  <si>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</si>
  <si>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</si>
  <si>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</si>
  <si>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</si>
  <si>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</si>
  <si>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</si>
  <si>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</si>
  <si>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</si>
  <si>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</si>
  <si>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</si>
  <si>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</si>
  <si>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</si>
  <si>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</si>
  <si>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</si>
  <si>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</si>
  <si>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</si>
  <si>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</si>
  <si>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</si>
  <si>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</si>
  <si>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</si>
  <si>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</si>
  <si>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</si>
  <si>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</si>
  <si>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</si>
  <si>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</si>
  <si>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</si>
  <si>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</si>
  <si>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</si>
  <si>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</si>
  <si>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</si>
  <si>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</si>
  <si>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</si>
  <si>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</si>
  <si>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</si>
  <si>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</si>
  <si>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</si>
  <si>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</si>
  <si>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</si>
  <si>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</si>
  <si>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</si>
  <si>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</si>
  <si>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</si>
  <si>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</si>
  <si>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</si>
  <si>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</si>
  <si>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</si>
  <si>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</si>
  <si>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</si>
  <si>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</si>
  <si>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</si>
  <si>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</si>
  <si>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</si>
  <si>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</si>
  <si>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</si>
  <si>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</si>
  <si>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</si>
  <si>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</si>
  <si>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</si>
  <si>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</si>
  <si>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</si>
  <si>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</si>
  <si>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</si>
  <si>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</si>
  <si>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</si>
  <si>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</si>
  <si>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</si>
  <si>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</si>
  <si>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</si>
  <si>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</si>
  <si>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</si>
  <si>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</si>
  <si>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</si>
  <si>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</si>
  <si>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</si>
  <si>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</si>
  <si>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</si>
  <si>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</si>
  <si>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</si>
  <si>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</si>
  <si>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</si>
  <si>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</si>
  <si>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</si>
  <si>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</si>
  <si>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</si>
  <si>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</si>
  <si>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</si>
  <si>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</si>
  <si>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</si>
  <si>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</si>
  <si>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</si>
  <si>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</si>
  <si>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</si>
  <si>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</si>
  <si>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</si>
  <si>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</si>
  <si>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</si>
  <si>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</si>
  <si>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</si>
  <si>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</si>
  <si>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</si>
  <si>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</si>
  <si>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</si>
  <si>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</si>
  <si>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</si>
  <si>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</si>
  <si>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</si>
  <si>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</si>
  <si>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</si>
  <si>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</si>
  <si>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</si>
  <si>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</si>
  <si>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</si>
  <si>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</si>
  <si>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</si>
  <si>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</si>
  <si>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</si>
  <si>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</si>
  <si>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</si>
  <si>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</si>
  <si>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</si>
  <si>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</si>
  <si>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</si>
  <si>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</si>
  <si>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</si>
  <si>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</si>
  <si>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</si>
  <si>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</si>
  <si>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</si>
  <si>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</si>
  <si>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</si>
  <si>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</si>
  <si>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</si>
  <si>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</si>
  <si>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</si>
  <si>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</si>
  <si>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</si>
  <si>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</si>
  <si>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</si>
  <si>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</si>
  <si>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</si>
  <si>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</si>
  <si>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</si>
  <si>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</si>
  <si>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</si>
  <si>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</si>
  <si>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</si>
  <si>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</si>
  <si>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</si>
  <si>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</si>
  <si>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</si>
  <si>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</si>
  <si>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</si>
  <si>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</si>
  <si>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</si>
  <si>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</si>
  <si>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</si>
  <si>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</si>
  <si>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</si>
  <si>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</si>
  <si>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</si>
  <si>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</si>
  <si>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</si>
  <si>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</si>
  <si>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</si>
  <si>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</si>
  <si>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</si>
  <si>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</si>
  <si>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</si>
  <si>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</si>
  <si>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</si>
  <si>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</si>
  <si>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</si>
  <si>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</si>
  <si>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</si>
  <si>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</si>
  <si>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</si>
  <si>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</si>
  <si>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</si>
  <si>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</si>
  <si>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</si>
  <si>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</si>
  <si>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</si>
  <si>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</si>
  <si>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</si>
  <si>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</si>
  <si>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</si>
  <si>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</si>
  <si>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</si>
  <si>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</si>
  <si>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</si>
  <si>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</si>
  <si>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</si>
  <si>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</si>
  <si>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</si>
  <si>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</si>
  <si>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</si>
  <si>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</si>
  <si>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</si>
  <si>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</si>
  <si>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</si>
  <si>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</si>
  <si>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</si>
  <si>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</si>
  <si>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</si>
  <si>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</si>
  <si>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</si>
  <si>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</si>
  <si>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</si>
  <si>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</si>
  <si>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</si>
  <si>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</si>
  <si>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</si>
  <si>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</si>
  <si>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</si>
  <si>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</si>
  <si>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</si>
  <si>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</si>
  <si>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</si>
  <si>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</si>
  <si>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</si>
  <si>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</si>
  <si>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</si>
  <si>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</si>
  <si>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</si>
  <si>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</si>
  <si>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</si>
  <si>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</si>
  <si>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</si>
  <si>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</si>
  <si>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</si>
  <si>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</si>
  <si>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</si>
  <si>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</si>
  <si>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</si>
  <si>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</si>
  <si>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</si>
  <si>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</si>
  <si>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</si>
  <si>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</si>
  <si>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</si>
  <si>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</si>
  <si>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</si>
  <si>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</si>
  <si>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</si>
  <si>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</si>
  <si>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</si>
  <si>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</si>
  <si>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</si>
  <si>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</si>
  <si>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</si>
  <si>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</si>
  <si>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</si>
  <si>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</si>
  <si>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</si>
  <si>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</si>
  <si>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</si>
  <si>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</si>
  <si>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</si>
  <si>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</si>
  <si>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</si>
  <si>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</si>
  <si>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</si>
  <si>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</si>
  <si>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</si>
  <si>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</si>
  <si>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</si>
  <si>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</si>
  <si>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</si>
  <si>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</si>
  <si>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</si>
  <si>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</si>
  <si>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</si>
  <si>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</si>
  <si>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</si>
  <si>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</si>
  <si>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</si>
  <si>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</si>
  <si>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</si>
  <si>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</si>
  <si>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</si>
  <si>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</si>
  <si>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</si>
  <si>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</si>
  <si>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</si>
  <si>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</si>
  <si>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</si>
  <si>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</si>
  <si>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</si>
  <si>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</si>
  <si>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</si>
  <si>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</si>
  <si>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</si>
  <si>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</si>
  <si>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</si>
  <si>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</si>
  <si>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</si>
  <si>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</si>
  <si>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</si>
  <si>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</si>
  <si>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</si>
  <si>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</si>
  <si>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</si>
  <si>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</si>
  <si>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</si>
  <si>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</si>
  <si>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</si>
  <si>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</si>
  <si>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</si>
  <si>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</si>
  <si>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</si>
  <si>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</si>
  <si>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</si>
  <si>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</si>
  <si>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</si>
  <si>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</si>
  <si>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</si>
  <si>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</si>
  <si>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</si>
  <si>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</si>
  <si>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</si>
  <si>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</si>
  <si>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</si>
  <si>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</si>
  <si>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</si>
  <si>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</si>
  <si>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</si>
  <si>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</si>
  <si>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</si>
  <si>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</si>
  <si>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</si>
  <si>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</si>
  <si>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</si>
  <si>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</si>
  <si>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</si>
  <si>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</si>
  <si>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</si>
  <si>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</si>
  <si>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</si>
  <si>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</si>
  <si>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</si>
  <si>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</si>
  <si>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</si>
  <si>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</si>
  <si>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</si>
  <si>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</si>
  <si>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</si>
  <si>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</si>
  <si>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</si>
  <si>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</si>
  <si>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</si>
  <si>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</si>
  <si>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</si>
  <si>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</si>
  <si>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</si>
  <si>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</si>
  <si>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</si>
  <si>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</si>
  <si>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</si>
  <si>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</si>
  <si>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</si>
  <si>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</si>
  <si>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</si>
  <si>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</si>
  <si>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</si>
  <si>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</si>
  <si>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</si>
  <si>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</si>
  <si>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</si>
  <si>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</si>
  <si>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</si>
  <si>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</si>
  <si>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</si>
  <si>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</si>
  <si>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</si>
  <si>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</si>
  <si>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</si>
  <si>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</si>
  <si>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</si>
  <si>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</si>
  <si>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</si>
  <si>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</si>
  <si>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</si>
  <si>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</si>
  <si>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</si>
  <si>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</si>
  <si>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</si>
  <si>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</si>
  <si>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</si>
  <si>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</si>
  <si>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</si>
  <si>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</si>
  <si>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</si>
  <si>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</si>
  <si>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</si>
  <si>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</si>
  <si>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</si>
  <si>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</si>
  <si>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</si>
  <si>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</si>
  <si>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</si>
  <si>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</si>
  <si>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</si>
  <si>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</si>
  <si>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</si>
  <si>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</si>
  <si>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</si>
  <si>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</si>
  <si>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</si>
  <si>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</si>
  <si>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</si>
  <si>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</si>
  <si>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</si>
  <si>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</si>
  <si>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</si>
  <si>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</si>
  <si>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</si>
  <si>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</si>
  <si>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</si>
  <si>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</si>
  <si>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</si>
  <si>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</si>
  <si>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</si>
  <si>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</si>
  <si>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</si>
  <si>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</si>
  <si>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</si>
  <si>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</si>
  <si>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</si>
  <si>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</si>
  <si>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</si>
  <si>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</si>
  <si>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</si>
  <si>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</si>
  <si>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</si>
  <si>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</si>
  <si>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</si>
  <si>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</si>
  <si>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</si>
  <si>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</si>
  <si>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</si>
  <si>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</si>
  <si>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</si>
  <si>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</si>
  <si>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</si>
  <si>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</si>
  <si>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</si>
  <si>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</si>
  <si>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</si>
  <si>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</si>
  <si>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</si>
  <si>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</si>
  <si>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</si>
  <si>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</si>
  <si>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</si>
  <si>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</si>
  <si>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</si>
  <si>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</si>
  <si>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</si>
  <si>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</si>
  <si>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</si>
  <si>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</si>
  <si>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</si>
  <si>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</si>
  <si>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</si>
  <si>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</si>
  <si>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</si>
  <si>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</si>
  <si>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</si>
  <si>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</si>
  <si>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</si>
  <si>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</si>
  <si>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</si>
  <si>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</si>
  <si>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</si>
  <si>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</si>
  <si>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</si>
  <si>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</si>
  <si>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</si>
  <si>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</si>
  <si>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</si>
  <si>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</si>
  <si>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</si>
  <si>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</si>
  <si>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</si>
  <si>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</si>
  <si>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</si>
  <si>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</si>
  <si>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</si>
  <si>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</si>
  <si>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</si>
  <si>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</si>
  <si>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</si>
  <si>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</si>
  <si>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</si>
  <si>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</si>
  <si>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</si>
  <si>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</si>
  <si>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</si>
  <si>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</si>
  <si>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</si>
  <si>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</si>
  <si>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</si>
  <si>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</si>
  <si>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</si>
  <si>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</si>
  <si>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</si>
  <si>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</si>
  <si>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</si>
  <si>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</si>
  <si>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</si>
  <si>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</si>
  <si>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</si>
  <si>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</si>
  <si>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</si>
  <si>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</si>
  <si>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</si>
  <si>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</si>
  <si>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</si>
  <si>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</si>
  <si>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</si>
  <si>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</si>
  <si>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</si>
  <si>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</si>
  <si>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</si>
  <si>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</si>
  <si>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</si>
  <si>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</si>
  <si>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</si>
  <si>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</si>
  <si>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</si>
  <si>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</si>
  <si>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</si>
  <si>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</si>
  <si>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</si>
  <si>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</si>
  <si>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</si>
  <si>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</si>
  <si>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</si>
  <si>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</si>
  <si>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</si>
  <si>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</si>
  <si>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</si>
  <si>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</si>
  <si>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</si>
  <si>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</si>
  <si>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</si>
  <si>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</si>
  <si>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</si>
  <si>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</si>
  <si>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</si>
  <si>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</si>
  <si>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</si>
  <si>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</si>
  <si>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</si>
  <si>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</si>
  <si>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</si>
  <si>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</si>
  <si>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</si>
  <si>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</si>
  <si>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</si>
  <si>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</si>
  <si>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</si>
  <si>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</si>
  <si>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</si>
  <si>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</si>
  <si>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</si>
  <si>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</si>
  <si>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</si>
  <si>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</si>
  <si>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</si>
  <si>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</si>
  <si>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</si>
  <si>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</si>
  <si>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</si>
  <si>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</si>
  <si>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</si>
  <si>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</si>
  <si>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</si>
  <si>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</si>
  <si>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</si>
  <si>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</si>
  <si>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</si>
  <si>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</si>
  <si>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</si>
  <si>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</si>
  <si>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</si>
  <si>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</si>
  <si>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</si>
  <si>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</si>
  <si>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</si>
  <si>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</si>
  <si>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</si>
  <si>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</si>
  <si>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</si>
  <si>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</si>
  <si>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</si>
  <si>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</si>
  <si>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</si>
  <si>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</si>
  <si>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</si>
  <si>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</si>
  <si>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</si>
  <si>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</si>
  <si>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</si>
  <si>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</si>
  <si>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</si>
  <si>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</si>
  <si>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</si>
  <si>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</si>
  <si>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</si>
  <si>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</si>
  <si>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</si>
  <si>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</si>
  <si>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</si>
  <si>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</si>
  <si>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</si>
  <si>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</si>
  <si>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</si>
  <si>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</si>
  <si>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</si>
  <si>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</si>
  <si>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</si>
  <si>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</si>
  <si>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</si>
  <si>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</si>
  <si>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</si>
  <si>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</si>
  <si>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</si>
  <si>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</si>
  <si>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</si>
  <si>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</si>
  <si>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</si>
  <si>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</si>
  <si>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</si>
  <si>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</si>
  <si>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</si>
  <si>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</si>
  <si>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</si>
  <si>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</si>
  <si>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</si>
  <si>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</si>
  <si>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</si>
  <si>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</si>
  <si>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</si>
  <si>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</si>
  <si>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</si>
  <si>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</si>
  <si>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</si>
  <si>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</si>
  <si>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</si>
  <si>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</si>
  <si>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</si>
  <si>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</si>
  <si>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</si>
  <si>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</si>
  <si>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</si>
  <si>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</si>
  <si>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</si>
  <si>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</si>
  <si>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</si>
  <si>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</si>
  <si>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</si>
  <si>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</si>
  <si>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</si>
  <si>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</si>
  <si>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</si>
  <si>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</si>
  <si>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</si>
  <si>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</si>
  <si>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</si>
  <si>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</si>
  <si>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</si>
  <si>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</si>
  <si>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</si>
  <si>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</si>
  <si>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</si>
  <si>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</si>
  <si>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</si>
  <si>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</si>
  <si>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</si>
  <si>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</si>
  <si>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</si>
  <si>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</si>
  <si>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</si>
  <si>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</si>
  <si>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</si>
  <si>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</si>
  <si>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</si>
  <si>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</si>
  <si>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</si>
  <si>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</si>
  <si>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</si>
  <si>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</si>
  <si>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</si>
  <si>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</si>
  <si>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</si>
  <si>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</si>
  <si>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</si>
  <si>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</si>
  <si>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</si>
  <si>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</si>
  <si>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</si>
  <si>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</si>
  <si>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</si>
  <si>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</si>
  <si>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</si>
  <si>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</si>
  <si>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</si>
  <si>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</si>
  <si>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</si>
  <si>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</si>
  <si>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</si>
  <si>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</si>
  <si>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</si>
  <si>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</si>
  <si>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</si>
  <si>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</si>
  <si>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</si>
  <si>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</si>
  <si>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</si>
  <si>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</si>
  <si>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</si>
  <si>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</si>
  <si>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</si>
  <si>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</si>
  <si>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</si>
  <si>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</si>
  <si>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</si>
  <si>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</si>
  <si>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</si>
  <si>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</si>
  <si>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</si>
  <si>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</si>
  <si>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</si>
  <si>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</si>
  <si>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</si>
  <si>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</si>
  <si>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</si>
  <si>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</si>
  <si>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</si>
  <si>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</si>
  <si>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</si>
  <si>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</si>
  <si>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</si>
  <si>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</si>
  <si>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</si>
  <si>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</si>
  <si>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</si>
  <si>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</si>
  <si>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</si>
  <si>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</si>
  <si>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</si>
  <si>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</si>
  <si>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</si>
  <si>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</si>
  <si>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</si>
  <si>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</si>
  <si>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</si>
  <si>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</si>
  <si>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</si>
  <si>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</si>
  <si>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</si>
  <si>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</si>
  <si>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</si>
  <si>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</si>
  <si>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</si>
  <si>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</si>
  <si>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</si>
  <si>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</si>
  <si>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</si>
  <si>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</si>
  <si>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</si>
  <si>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</si>
  <si>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</si>
  <si>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</si>
  <si>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</si>
  <si>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</si>
  <si>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</si>
  <si>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</si>
  <si>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</si>
  <si>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</si>
  <si>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</si>
  <si>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</si>
  <si>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</si>
  <si>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</si>
  <si>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</si>
  <si>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</si>
  <si>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</si>
  <si>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</si>
  <si>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</si>
  <si>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</si>
  <si>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</si>
  <si>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</si>
  <si>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</si>
  <si>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</si>
  <si>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</si>
  <si>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</si>
  <si>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</si>
  <si>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</si>
  <si>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</si>
  <si>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</si>
  <si>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</si>
  <si>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</si>
  <si>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</si>
  <si>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</si>
  <si>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</si>
  <si>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</si>
  <si>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</si>
  <si>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</si>
  <si>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</si>
  <si>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</si>
  <si>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</si>
  <si>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</si>
  <si>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</si>
  <si>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</si>
  <si>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</si>
  <si>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</si>
  <si>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</si>
  <si>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</si>
  <si>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</si>
  <si>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</si>
  <si>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</si>
  <si>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</si>
  <si>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</si>
  <si>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</si>
  <si>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</si>
  <si>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</si>
  <si>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</si>
  <si>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</si>
  <si>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</si>
  <si>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</si>
  <si>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</si>
  <si>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</si>
  <si>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</si>
  <si>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</si>
  <si>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</si>
  <si>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</si>
  <si>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</si>
  <si>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</si>
  <si>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</si>
  <si>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</si>
  <si>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</si>
  <si>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</si>
  <si>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</si>
  <si>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</si>
  <si>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</si>
  <si>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</si>
  <si>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</si>
  <si>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</si>
  <si>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</si>
  <si>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</si>
  <si>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</si>
  <si>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</si>
  <si>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</si>
  <si>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</si>
  <si>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</si>
  <si>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</si>
  <si>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</si>
  <si>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</si>
  <si>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</si>
  <si>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</si>
  <si>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</si>
  <si>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</si>
  <si>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</si>
  <si>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</si>
  <si>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</si>
  <si>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</si>
  <si>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</si>
  <si>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</si>
  <si>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</si>
  <si>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</si>
  <si>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</si>
  <si>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</si>
  <si>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</si>
  <si>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</si>
  <si>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</si>
  <si>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</si>
  <si>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</si>
  <si>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</si>
  <si>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</si>
  <si>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</si>
  <si>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</si>
  <si>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</si>
  <si>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</si>
  <si>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</si>
  <si>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</si>
  <si>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</si>
  <si>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</si>
  <si>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</si>
  <si>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</si>
  <si>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</si>
  <si>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</si>
  <si>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</si>
  <si>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</si>
  <si>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</si>
  <si>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</si>
  <si>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</si>
  <si>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</si>
  <si>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</si>
  <si>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</si>
  <si>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</si>
  <si>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</si>
  <si>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</si>
  <si>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</si>
  <si>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</si>
  <si>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</si>
  <si>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</si>
  <si>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</si>
  <si>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</si>
  <si>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</si>
  <si>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</si>
  <si>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</si>
  <si>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</si>
  <si>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</si>
  <si>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</si>
  <si>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</si>
  <si>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</si>
  <si>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</si>
  <si>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</si>
  <si>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</si>
  <si>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</si>
  <si>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</si>
  <si>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</si>
  <si>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</si>
  <si>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</si>
  <si>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</si>
  <si>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</si>
  <si>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</si>
  <si>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</si>
  <si>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</si>
  <si>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</si>
  <si>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</si>
  <si>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</si>
  <si>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</si>
  <si>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</si>
  <si>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</si>
  <si>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</si>
  <si>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</si>
  <si>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</si>
  <si>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</si>
  <si>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</si>
  <si>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</si>
  <si>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</si>
  <si>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</si>
  <si>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</si>
  <si>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</si>
  <si>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</si>
  <si>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</si>
  <si>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</si>
  <si>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</si>
  <si>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</si>
  <si>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</si>
  <si>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</si>
  <si>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</si>
  <si>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</si>
  <si>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</si>
  <si>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</si>
  <si>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</si>
  <si>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</si>
  <si>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</si>
  <si>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</si>
  <si>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</si>
  <si>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</si>
  <si>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</si>
  <si>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</si>
  <si>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</si>
  <si>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</si>
  <si>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</si>
  <si>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</si>
  <si>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</si>
  <si>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</si>
  <si>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</si>
  <si>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</si>
  <si>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</si>
  <si>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</si>
  <si>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</si>
  <si>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</si>
  <si>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</si>
  <si>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</si>
  <si>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</si>
  <si>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</si>
  <si>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</si>
  <si>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</si>
  <si>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</si>
  <si>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</si>
  <si>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</si>
  <si>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</si>
  <si>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</si>
  <si>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</si>
  <si>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</si>
  <si>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</si>
  <si>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</si>
  <si>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</si>
  <si>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</si>
  <si>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</si>
  <si>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</si>
  <si>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</si>
  <si>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</si>
  <si>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</si>
  <si>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</si>
  <si>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</si>
  <si>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</si>
  <si>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</si>
  <si>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</si>
  <si>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</si>
  <si>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</si>
  <si>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</si>
  <si>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</si>
  <si>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</si>
  <si>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</si>
  <si>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</si>
  <si>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</si>
  <si>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</si>
  <si>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</si>
  <si>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</si>
  <si>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</si>
  <si>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</si>
  <si>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</si>
  <si>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</si>
  <si>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</si>
  <si>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</si>
  <si>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</si>
  <si>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</si>
  <si>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</si>
  <si>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</si>
  <si>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</si>
  <si>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</si>
  <si>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</si>
  <si>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</si>
  <si>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</si>
  <si>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</si>
  <si>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</si>
  <si>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</si>
  <si>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</si>
  <si>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</si>
  <si>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</si>
  <si>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</si>
  <si>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</si>
  <si>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</si>
  <si>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</si>
  <si>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</si>
  <si>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</si>
  <si>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</si>
  <si>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</si>
  <si>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</si>
  <si>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</si>
  <si>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</si>
  <si>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</si>
  <si>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</si>
  <si>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</si>
  <si>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Lubbockvirus CD119</t>
  </si>
  <si>
    <t>Lubbockvirus CDHM19</t>
  </si>
  <si>
    <t>Luchadorvirus</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</si>
  <si>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</si>
  <si>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</si>
  <si>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</si>
  <si>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</si>
  <si>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</si>
  <si>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</si>
  <si>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</si>
  <si>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</si>
  <si>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</si>
  <si>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</si>
  <si>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</si>
  <si>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</si>
  <si>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</si>
  <si>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</si>
  <si>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</si>
  <si>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</si>
  <si>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</si>
  <si>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</si>
  <si>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</si>
  <si>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</si>
  <si>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</si>
  <si>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</si>
  <si>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</si>
  <si>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</si>
  <si>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</si>
  <si>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</si>
  <si>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</si>
  <si>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</si>
  <si>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</si>
  <si>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</si>
  <si>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</si>
  <si>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</si>
  <si>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martha</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</si>
  <si>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</si>
  <si>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</si>
  <si>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</si>
  <si>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</si>
  <si>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</si>
  <si>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</si>
  <si>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</si>
  <si>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</si>
  <si>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</si>
  <si>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</si>
  <si>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</si>
  <si>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</si>
  <si>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</si>
  <si>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</si>
  <si>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</si>
  <si>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</si>
  <si>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</si>
  <si>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</si>
  <si>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</si>
  <si>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</si>
  <si>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</si>
  <si>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</si>
  <si>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</si>
  <si>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</si>
  <si>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</si>
  <si>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</si>
  <si>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</si>
  <si>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</si>
  <si>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</si>
  <si>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</si>
  <si>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</si>
  <si>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</si>
  <si>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</si>
  <si>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</si>
  <si>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</si>
  <si>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</si>
  <si>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</si>
  <si>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</si>
  <si>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</si>
  <si>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</si>
  <si>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</si>
  <si>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</si>
  <si>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</si>
  <si>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</si>
  <si>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</si>
  <si>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</si>
  <si>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</si>
  <si>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</si>
  <si>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</si>
  <si>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</si>
  <si>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</si>
  <si>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</si>
  <si>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</si>
  <si>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</si>
  <si>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</si>
  <si>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</si>
  <si>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</si>
  <si>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</si>
  <si>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</si>
  <si>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</si>
  <si>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</si>
  <si>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</si>
  <si>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</si>
  <si>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</si>
  <si>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</si>
  <si>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</si>
  <si>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</si>
  <si>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</si>
  <si>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</si>
  <si>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</si>
  <si>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</si>
  <si>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</si>
  <si>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</si>
  <si>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</si>
  <si>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</si>
  <si>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</si>
  <si>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</si>
  <si>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</si>
  <si>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</si>
  <si>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</si>
  <si>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</si>
  <si>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</si>
  <si>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</si>
  <si>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</si>
  <si>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</si>
  <si>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</si>
  <si>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</si>
  <si>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</si>
  <si>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</si>
  <si>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</si>
  <si>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</si>
  <si>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</si>
  <si>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</si>
  <si>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</si>
  <si>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</si>
  <si>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</si>
  <si>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</si>
  <si>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</si>
  <si>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</si>
  <si>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</si>
  <si>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</si>
  <si>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</si>
  <si>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</si>
  <si>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</si>
  <si>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</si>
  <si>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</si>
  <si>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</si>
  <si>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</si>
  <si>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</si>
  <si>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</si>
  <si>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</si>
  <si>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</si>
  <si>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</si>
  <si>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</si>
  <si>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</si>
  <si>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</si>
  <si>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</si>
  <si>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</si>
  <si>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</si>
  <si>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AB2</t>
  </si>
  <si>
    <t>Obolenskvirus AbC62</t>
  </si>
  <si>
    <t>Obolenskvirus LZ35</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</si>
  <si>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</si>
  <si>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</si>
  <si>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</si>
  <si>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</si>
  <si>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</si>
  <si>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</si>
  <si>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</si>
  <si>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</si>
  <si>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</si>
  <si>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</si>
  <si>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</si>
  <si>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</si>
  <si>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</si>
  <si>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</si>
  <si>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</si>
  <si>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</si>
  <si>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</si>
  <si>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</si>
  <si>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</si>
  <si>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</si>
  <si>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</si>
  <si>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</si>
  <si>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</si>
  <si>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</si>
  <si>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</si>
  <si>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</si>
  <si>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</si>
  <si>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</si>
  <si>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</si>
  <si>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</si>
  <si>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</si>
  <si>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</si>
  <si>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</si>
  <si>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</si>
  <si>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</si>
  <si>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</si>
  <si>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</si>
  <si>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</si>
  <si>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</si>
  <si>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</si>
  <si>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</si>
  <si>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</si>
  <si>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</si>
  <si>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</si>
  <si>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</si>
  <si>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</si>
  <si>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</si>
  <si>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</si>
  <si>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</si>
  <si>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</si>
  <si>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</si>
  <si>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</si>
  <si>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</si>
  <si>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</si>
  <si>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</si>
  <si>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</si>
  <si>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</si>
  <si>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</si>
  <si>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</si>
  <si>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</si>
  <si>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</si>
  <si>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</si>
  <si>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</si>
  <si>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</si>
  <si>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</si>
  <si>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</si>
  <si>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</si>
  <si>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</si>
  <si>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</si>
  <si>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</si>
  <si>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</si>
  <si>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</si>
  <si>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</si>
  <si>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</si>
  <si>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</si>
  <si>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</si>
  <si>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</si>
  <si>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</si>
  <si>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</si>
  <si>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</si>
  <si>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</si>
  <si>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</si>
  <si>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</si>
  <si>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</si>
  <si>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</si>
  <si>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</si>
  <si>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</si>
  <si>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</si>
  <si>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</si>
  <si>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</si>
  <si>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</si>
  <si>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</si>
  <si>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</si>
  <si>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</si>
  <si>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</si>
  <si>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</si>
  <si>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</si>
  <si>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</si>
  <si>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</si>
  <si>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</si>
  <si>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</si>
  <si>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</si>
  <si>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</si>
  <si>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</si>
  <si>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</si>
  <si>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</si>
  <si>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</si>
  <si>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</si>
  <si>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</si>
  <si>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</si>
  <si>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</si>
  <si>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</si>
  <si>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</si>
  <si>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</si>
  <si>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</si>
  <si>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</si>
  <si>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</si>
  <si>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</si>
  <si>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</si>
  <si>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</si>
  <si>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</si>
  <si>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</si>
  <si>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</si>
  <si>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</si>
  <si>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</si>
  <si>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</si>
  <si>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</si>
  <si>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</si>
  <si>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</si>
  <si>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</si>
  <si>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</si>
  <si>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</si>
  <si>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</si>
  <si>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</si>
  <si>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</si>
  <si>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</si>
  <si>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</si>
  <si>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</si>
  <si>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</si>
  <si>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</si>
  <si>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</si>
  <si>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</si>
  <si>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</si>
  <si>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</si>
  <si>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</si>
  <si>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</si>
  <si>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</si>
  <si>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</si>
  <si>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</si>
  <si>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</si>
  <si>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</si>
  <si>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</si>
  <si>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</si>
  <si>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</si>
  <si>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</si>
  <si>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</si>
  <si>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</si>
  <si>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</si>
  <si>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</si>
  <si>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</si>
  <si>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</si>
  <si>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</si>
  <si>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</si>
  <si>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</si>
  <si>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</si>
  <si>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</si>
  <si>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</si>
  <si>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</si>
  <si>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</si>
  <si>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</si>
  <si>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</si>
  <si>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</si>
  <si>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</si>
  <si>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</si>
  <si>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</si>
  <si>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</si>
  <si>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</si>
  <si>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</si>
  <si>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</si>
  <si>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</si>
  <si>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</si>
  <si>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</si>
  <si>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</si>
  <si>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</si>
  <si>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</si>
  <si>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</si>
  <si>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</si>
  <si>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</si>
  <si>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</si>
  <si>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</si>
  <si>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</si>
  <si>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</si>
  <si>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</si>
  <si>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</si>
  <si>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</si>
  <si>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</si>
  <si>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</si>
  <si>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</si>
  <si>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</si>
  <si>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</si>
  <si>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</si>
  <si>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</si>
  <si>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</si>
  <si>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</si>
  <si>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</si>
  <si>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</si>
  <si>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</si>
  <si>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</si>
  <si>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</si>
  <si>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</si>
  <si>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</si>
  <si>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</si>
  <si>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</si>
  <si>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</si>
  <si>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</si>
  <si>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</si>
  <si>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</si>
  <si>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</si>
  <si>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</si>
  <si>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</si>
  <si>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</si>
  <si>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</si>
  <si>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</si>
  <si>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</si>
  <si>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</si>
  <si>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</si>
  <si>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</si>
  <si>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</si>
  <si>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</si>
  <si>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</si>
  <si>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</si>
  <si>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</si>
  <si>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</si>
  <si>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</si>
  <si>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</si>
  <si>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</si>
  <si>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</si>
  <si>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</si>
  <si>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</si>
  <si>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</si>
  <si>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</si>
  <si>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</si>
  <si>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</si>
  <si>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</si>
  <si>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</si>
  <si>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</si>
  <si>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</si>
  <si>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</si>
  <si>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</si>
  <si>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</si>
  <si>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</si>
  <si>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</si>
  <si>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</si>
  <si>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</si>
  <si>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</si>
  <si>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</si>
  <si>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</si>
  <si>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</si>
  <si>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</si>
  <si>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</si>
  <si>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</si>
  <si>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</si>
  <si>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</si>
  <si>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</si>
  <si>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</si>
  <si>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</si>
  <si>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</si>
  <si>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</si>
  <si>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</si>
  <si>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</si>
  <si>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</si>
  <si>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</si>
  <si>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</si>
  <si>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</si>
  <si>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</si>
  <si>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</si>
  <si>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</si>
  <si>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</si>
  <si>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</si>
  <si>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</si>
  <si>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</si>
  <si>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</si>
  <si>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</si>
  <si>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</si>
  <si>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</si>
  <si>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</si>
  <si>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</si>
  <si>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</si>
  <si>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</si>
  <si>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</si>
  <si>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</si>
  <si>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</si>
  <si>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</si>
  <si>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</si>
  <si>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</si>
  <si>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</si>
  <si>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</si>
  <si>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</si>
  <si>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</si>
  <si>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</si>
  <si>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</si>
  <si>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</si>
  <si>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</si>
  <si>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</si>
  <si>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</si>
  <si>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</si>
  <si>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</si>
  <si>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</si>
  <si>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</si>
  <si>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</si>
  <si>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</si>
  <si>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</si>
  <si>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</si>
  <si>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</si>
  <si>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</si>
  <si>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</si>
  <si>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</si>
  <si>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</si>
  <si>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</si>
  <si>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</si>
  <si>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</si>
  <si>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</si>
  <si>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</si>
  <si>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</si>
  <si>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</si>
  <si>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</si>
  <si>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</si>
  <si>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</si>
  <si>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</si>
  <si>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</si>
  <si>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</si>
  <si>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</si>
  <si>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</si>
  <si>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</si>
  <si>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</si>
  <si>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</si>
  <si>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</si>
  <si>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</si>
  <si>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</si>
  <si>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</si>
  <si>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</si>
  <si>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</si>
  <si>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</si>
  <si>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</si>
  <si>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</si>
  <si>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</si>
  <si>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</si>
  <si>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</si>
  <si>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</si>
  <si>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</si>
  <si>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</si>
  <si>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</si>
  <si>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</si>
  <si>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</si>
  <si>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</si>
  <si>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</si>
  <si>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</si>
  <si>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</si>
  <si>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</si>
  <si>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</si>
  <si>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</si>
  <si>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</si>
  <si>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</si>
  <si>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</si>
  <si>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</si>
  <si>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</si>
  <si>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</si>
  <si>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</si>
  <si>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</si>
  <si>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</si>
  <si>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</si>
  <si>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</si>
  <si>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</si>
  <si>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</si>
  <si>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</si>
  <si>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</si>
  <si>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</si>
  <si>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</si>
  <si>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</si>
  <si>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</si>
  <si>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</si>
  <si>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</si>
  <si>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</si>
  <si>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</si>
  <si>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</si>
  <si>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</si>
  <si>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</si>
  <si>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</si>
  <si>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</si>
  <si>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</si>
  <si>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</si>
  <si>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</si>
  <si>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</si>
  <si>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</si>
  <si>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</si>
  <si>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</si>
  <si>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</si>
  <si>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</si>
  <si>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</si>
  <si>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</si>
  <si>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</si>
  <si>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</si>
  <si>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</si>
  <si>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</si>
  <si>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</si>
  <si>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</si>
  <si>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</si>
  <si>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</si>
  <si>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</si>
  <si>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</si>
  <si>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</si>
  <si>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</si>
  <si>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</si>
  <si>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</si>
  <si>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</si>
  <si>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</si>
  <si>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</si>
  <si>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</si>
  <si>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</si>
  <si>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</si>
  <si>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</si>
  <si>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</si>
  <si>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</si>
  <si>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</si>
  <si>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</si>
  <si>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</si>
  <si>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</si>
  <si>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</si>
  <si>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</si>
  <si>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</si>
  <si>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</si>
  <si>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</si>
  <si>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</si>
  <si>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</si>
  <si>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</si>
  <si>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</si>
  <si>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</si>
  <si>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</si>
  <si>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</si>
  <si>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</si>
  <si>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</si>
  <si>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</si>
  <si>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</si>
  <si>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</si>
  <si>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</si>
  <si>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</si>
  <si>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</si>
  <si>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</si>
  <si>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</si>
  <si>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</si>
  <si>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</si>
  <si>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</si>
  <si>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</si>
  <si>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</si>
  <si>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</si>
  <si>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</si>
  <si>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</si>
  <si>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</si>
  <si>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</si>
  <si>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</si>
  <si>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</si>
  <si>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</si>
  <si>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</si>
  <si>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</si>
  <si>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</si>
  <si>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</si>
  <si>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</si>
  <si>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</si>
  <si>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</si>
  <si>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</si>
  <si>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</si>
  <si>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</si>
  <si>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</si>
  <si>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</si>
  <si>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</si>
  <si>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</si>
  <si>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</si>
  <si>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</si>
  <si>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</si>
  <si>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</si>
  <si>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</si>
  <si>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</si>
  <si>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</si>
  <si>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</si>
  <si>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</si>
  <si>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</si>
  <si>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</si>
  <si>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</si>
  <si>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</si>
  <si>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</si>
  <si>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</si>
  <si>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</si>
  <si>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</si>
  <si>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</si>
  <si>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</si>
  <si>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</si>
  <si>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</si>
  <si>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</si>
  <si>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</si>
  <si>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</si>
  <si>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</si>
  <si>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</si>
  <si>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</si>
  <si>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</si>
  <si>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</si>
  <si>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</si>
  <si>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</si>
  <si>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</si>
  <si>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</si>
  <si>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</si>
  <si>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</si>
  <si>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</si>
  <si>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</si>
  <si>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</si>
  <si>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</si>
  <si>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</si>
  <si>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</si>
  <si>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</si>
  <si>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</si>
  <si>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</si>
  <si>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</si>
  <si>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</si>
  <si>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</si>
  <si>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</si>
  <si>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</si>
  <si>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</si>
  <si>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</si>
  <si>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</si>
  <si>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</si>
  <si>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</si>
  <si>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</si>
  <si>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</si>
  <si>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</si>
  <si>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</si>
  <si>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</si>
  <si>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</si>
  <si>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</si>
  <si>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</si>
  <si>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</si>
  <si>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</si>
  <si>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</si>
  <si>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</si>
  <si>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</si>
  <si>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</si>
  <si>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</si>
  <si>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</si>
  <si>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</si>
  <si>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</si>
  <si>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</si>
  <si>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</si>
  <si>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</si>
  <si>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</si>
  <si>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</si>
  <si>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</si>
  <si>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</si>
  <si>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</si>
  <si>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</si>
  <si>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</si>
  <si>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</si>
  <si>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</si>
  <si>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</si>
  <si>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</si>
  <si>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</si>
  <si>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</si>
  <si>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</si>
  <si>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</si>
  <si>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</si>
  <si>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</si>
  <si>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</si>
  <si>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</si>
  <si>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</si>
  <si>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</si>
  <si>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</si>
  <si>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</si>
  <si>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</si>
  <si>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</si>
  <si>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</si>
  <si>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</si>
  <si>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</si>
  <si>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</si>
  <si>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</si>
  <si>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</si>
  <si>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</si>
  <si>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</si>
  <si>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</si>
  <si>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</si>
  <si>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</si>
  <si>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</si>
  <si>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</si>
  <si>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</si>
  <si>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</si>
  <si>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</si>
  <si>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</si>
  <si>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</si>
  <si>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</si>
  <si>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</si>
  <si>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</si>
  <si>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</si>
  <si>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</si>
  <si>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</si>
  <si>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</si>
  <si>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</si>
  <si>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</si>
  <si>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Vhulanivirus Shpa</t>
  </si>
  <si>
    <t>Vibakivirus vibaki</t>
  </si>
  <si>
    <t>Vicosavirus NV1</t>
  </si>
  <si>
    <t>Vicosavirus UFVP2</t>
  </si>
  <si>
    <t>Vidquintavirus Vid5</t>
  </si>
  <si>
    <t>Vieuvirus B1251</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</si>
  <si>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</si>
  <si>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</si>
  <si>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</si>
  <si>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</si>
  <si>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</si>
  <si>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</si>
  <si>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</si>
  <si>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</si>
  <si>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</si>
  <si>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</si>
  <si>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</si>
  <si>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</si>
  <si>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</si>
  <si>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</si>
  <si>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</si>
  <si>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</si>
  <si>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</si>
  <si>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</si>
  <si>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</si>
  <si>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</si>
  <si>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</si>
  <si>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</si>
  <si>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</si>
  <si>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</si>
  <si>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</si>
  <si>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</si>
  <si>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</si>
  <si>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</si>
  <si>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</si>
  <si>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</si>
  <si>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</si>
  <si>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</si>
  <si>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</si>
  <si>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</si>
  <si>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</si>
  <si>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</si>
  <si>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</si>
  <si>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</si>
  <si>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</si>
  <si>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</si>
  <si>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</si>
  <si>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</si>
  <si>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</si>
  <si>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</si>
  <si>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</si>
  <si>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</si>
  <si>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</si>
  <si>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</si>
  <si>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</si>
  <si>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</si>
  <si>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</si>
  <si>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</si>
  <si>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</si>
  <si>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</si>
  <si>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</si>
  <si>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</si>
  <si>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</si>
  <si>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</si>
  <si>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</si>
  <si>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</si>
  <si>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</si>
  <si>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</si>
  <si>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</si>
  <si>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</si>
  <si>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</si>
  <si>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</si>
  <si>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</si>
  <si>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</si>
  <si>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</si>
  <si>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</si>
  <si>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</si>
  <si>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</si>
  <si>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</si>
  <si>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</si>
  <si>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</si>
  <si>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</si>
  <si>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</si>
  <si>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</si>
  <si>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</si>
  <si>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</si>
  <si>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</si>
  <si>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</si>
  <si>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</si>
  <si>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</si>
  <si>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</si>
  <si>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</si>
  <si>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</si>
  <si>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</si>
  <si>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</si>
  <si>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</si>
  <si>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</si>
  <si>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</si>
  <si>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</si>
  <si>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</si>
  <si>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</si>
  <si>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</si>
  <si>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</si>
  <si>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</si>
  <si>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</si>
  <si>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</si>
  <si>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</si>
  <si>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</si>
  <si>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</si>
  <si>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</si>
  <si>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</si>
  <si>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</si>
  <si>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</si>
  <si>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</si>
  <si>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</si>
  <si>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</si>
  <si>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</si>
  <si>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</si>
  <si>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</si>
  <si>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</si>
  <si>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</si>
  <si>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</si>
  <si>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</si>
  <si>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</si>
  <si>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</si>
  <si>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</si>
  <si>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</si>
  <si>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</si>
  <si>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</si>
  <si>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</si>
  <si>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</si>
  <si>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</si>
  <si>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</si>
  <si>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</si>
  <si>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</si>
  <si>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</si>
  <si>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</si>
  <si>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</si>
  <si>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</si>
  <si>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</si>
  <si>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</si>
  <si>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</si>
  <si>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</si>
  <si>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</si>
  <si>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</si>
  <si>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</si>
  <si>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</si>
  <si>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</si>
  <si>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</si>
  <si>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</si>
  <si>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</si>
  <si>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</si>
  <si>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</si>
  <si>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</si>
  <si>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</si>
  <si>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</si>
  <si>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</si>
  <si>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</si>
  <si>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</si>
  <si>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</si>
  <si>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</si>
  <si>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</si>
  <si>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</si>
  <si>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</si>
  <si>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</si>
  <si>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</si>
  <si>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</si>
  <si>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</si>
  <si>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</si>
  <si>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</si>
  <si>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</si>
  <si>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</si>
  <si>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</si>
  <si>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</si>
  <si>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</si>
  <si>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</si>
  <si>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</si>
  <si>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</si>
  <si>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</si>
  <si>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</si>
  <si>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</si>
  <si>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</si>
  <si>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</si>
  <si>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</si>
  <si>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</si>
  <si>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</si>
  <si>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</si>
  <si>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</si>
  <si>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</si>
  <si>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</si>
  <si>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</si>
  <si>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</si>
  <si>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</si>
  <si>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</si>
  <si>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</si>
  <si>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</si>
  <si>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</si>
  <si>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</si>
  <si>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</si>
  <si>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</si>
  <si>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</si>
  <si>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</si>
  <si>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</si>
  <si>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</si>
  <si>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</si>
  <si>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</si>
  <si>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</si>
  <si>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</si>
  <si>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</si>
  <si>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</si>
  <si>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</si>
  <si>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</si>
  <si>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</si>
  <si>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</si>
  <si>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</si>
  <si>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</si>
  <si>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</si>
  <si>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</si>
  <si>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</si>
  <si>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</si>
  <si>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</si>
  <si>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</si>
  <si>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</si>
  <si>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</si>
  <si>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</si>
  <si>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</si>
  <si>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</si>
  <si>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</si>
  <si>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</si>
  <si>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</si>
  <si>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</si>
  <si>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</si>
  <si>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</si>
  <si>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</si>
  <si>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</si>
  <si>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</si>
  <si>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</si>
  <si>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</si>
  <si>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</si>
  <si>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</si>
  <si>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</si>
  <si>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</si>
  <si>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</si>
  <si>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</si>
  <si>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</si>
  <si>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</si>
  <si>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</si>
  <si>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</si>
  <si>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</si>
  <si>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</si>
  <si>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</si>
  <si>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</si>
  <si>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</si>
  <si>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</si>
  <si>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</si>
  <si>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</si>
  <si>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</si>
  <si>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</si>
  <si>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</si>
  <si>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</si>
  <si>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</si>
  <si>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</si>
  <si>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</si>
  <si>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</si>
  <si>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</si>
  <si>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</si>
  <si>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</si>
  <si>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</si>
  <si>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</si>
  <si>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</si>
  <si>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</si>
  <si>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</si>
  <si>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</si>
  <si>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</si>
  <si>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</si>
  <si>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</si>
  <si>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</si>
  <si>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</si>
  <si>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</si>
  <si>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</si>
  <si>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</si>
  <si>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</si>
  <si>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</si>
  <si>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</si>
  <si>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</si>
  <si>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</si>
  <si>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</si>
  <si>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</si>
  <si>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</si>
  <si>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</si>
  <si>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</si>
  <si>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</si>
  <si>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</si>
  <si>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</si>
  <si>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</si>
  <si>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</si>
  <si>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</si>
  <si>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</si>
  <si>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</si>
  <si>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</si>
  <si>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</si>
  <si>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</si>
  <si>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</si>
  <si>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</si>
  <si>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</si>
  <si>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</si>
  <si>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</si>
  <si>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</si>
  <si>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</si>
  <si>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</si>
  <si>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</si>
  <si>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</si>
  <si>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</si>
  <si>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</si>
  <si>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</si>
  <si>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</si>
  <si>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</si>
  <si>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</si>
  <si>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</si>
  <si>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</si>
  <si>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</si>
  <si>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</si>
  <si>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</si>
  <si>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</si>
  <si>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</si>
  <si>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</si>
  <si>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</si>
  <si>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</si>
  <si>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</si>
  <si>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</si>
  <si>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</si>
  <si>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</si>
  <si>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</si>
  <si>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</si>
  <si>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</si>
  <si>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</si>
  <si>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</si>
  <si>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</si>
  <si>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</si>
  <si>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</si>
  <si>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</si>
  <si>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</si>
  <si>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</si>
  <si>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</si>
  <si>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</si>
  <si>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</si>
  <si>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</si>
  <si>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</si>
  <si>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</si>
  <si>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</si>
  <si>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</si>
  <si>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</si>
  <si>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</si>
  <si>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</si>
  <si>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</si>
  <si>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</si>
  <si>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</si>
  <si>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</si>
  <si>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</si>
  <si>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</si>
  <si>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</si>
  <si>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</si>
  <si>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</si>
  <si>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</si>
  <si>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</si>
  <si>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</si>
  <si>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</si>
  <si>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</si>
  <si>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</si>
  <si>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</si>
  <si>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</si>
  <si>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</si>
  <si>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</si>
  <si>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</si>
  <si>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</si>
  <si>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</si>
  <si>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</si>
  <si>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</si>
  <si>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</si>
  <si>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</si>
  <si>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</si>
  <si>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</si>
  <si>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</si>
  <si>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</si>
  <si>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</si>
  <si>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</si>
  <si>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</si>
  <si>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</si>
  <si>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</si>
  <si>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</si>
  <si>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</si>
  <si>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</si>
  <si>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</si>
  <si>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</si>
  <si>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</si>
  <si>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</si>
  <si>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</si>
  <si>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</si>
  <si>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</si>
  <si>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</si>
  <si>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</si>
  <si>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</si>
  <si>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</si>
  <si>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</si>
  <si>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</si>
  <si>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</si>
  <si>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</si>
  <si>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</si>
  <si>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</si>
  <si>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</si>
  <si>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</si>
  <si>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</si>
  <si>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</si>
  <si>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</si>
  <si>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</si>
  <si>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</si>
  <si>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</si>
  <si>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</si>
  <si>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</si>
  <si>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</si>
  <si>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</si>
  <si>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</si>
  <si>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</si>
  <si>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</si>
  <si>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</si>
  <si>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</si>
  <si>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</si>
  <si>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</si>
  <si>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</si>
  <si>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</si>
  <si>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</si>
  <si>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</si>
  <si>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</si>
  <si>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</si>
  <si>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</si>
  <si>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</si>
  <si>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</si>
  <si>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</si>
  <si>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</si>
  <si>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</si>
  <si>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</si>
  <si>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</si>
  <si>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</si>
  <si>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</si>
  <si>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</si>
  <si>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</si>
  <si>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</si>
  <si>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</si>
  <si>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</si>
  <si>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</si>
  <si>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</si>
  <si>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</si>
  <si>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</si>
  <si>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</si>
  <si>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</si>
  <si>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</si>
  <si>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</si>
  <si>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</si>
  <si>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</si>
  <si>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</si>
  <si>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</si>
  <si>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</si>
  <si>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</si>
  <si>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</si>
  <si>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</si>
  <si>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</si>
  <si>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</si>
  <si>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</si>
  <si>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</si>
  <si>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</si>
  <si>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</si>
  <si>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</si>
  <si>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</si>
  <si>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</si>
  <si>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</si>
  <si>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</si>
  <si>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</si>
  <si>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</si>
  <si>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</si>
  <si>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</si>
  <si>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</si>
  <si>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</si>
  <si>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</si>
  <si>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</si>
  <si>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</si>
  <si>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</si>
  <si>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</si>
  <si>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</si>
  <si>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</si>
  <si>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</si>
  <si>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</si>
  <si>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</si>
  <si>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</si>
  <si>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</si>
  <si>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</si>
  <si>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</si>
  <si>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</si>
  <si>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</si>
  <si>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</si>
  <si>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</si>
  <si>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</si>
  <si>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</si>
  <si>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</si>
  <si>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</si>
  <si>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</si>
  <si>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</si>
  <si>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</si>
  <si>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</si>
  <si>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</si>
  <si>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</si>
  <si>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</si>
  <si>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</si>
  <si>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</si>
  <si>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</si>
  <si>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</si>
  <si>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</si>
  <si>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</si>
  <si>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</si>
  <si>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</si>
  <si>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</si>
  <si>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</si>
  <si>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</si>
  <si>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</si>
  <si>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</si>
  <si>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</si>
  <si>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</si>
  <si>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</si>
  <si>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</si>
  <si>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</si>
  <si>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</si>
  <si>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</si>
  <si>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</si>
  <si>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</si>
  <si>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</si>
  <si>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</si>
  <si>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</si>
  <si>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</si>
  <si>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</si>
  <si>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</si>
  <si>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</si>
  <si>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</si>
  <si>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</si>
  <si>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</si>
  <si>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</si>
  <si>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</si>
  <si>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</si>
  <si>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</si>
  <si>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</si>
  <si>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</si>
  <si>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</si>
  <si>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</si>
  <si>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</si>
  <si>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</si>
  <si>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</si>
  <si>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</si>
  <si>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</si>
  <si>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</si>
  <si>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</si>
  <si>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</si>
  <si>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</si>
  <si>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</si>
  <si>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</si>
  <si>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</si>
  <si>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</si>
  <si>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</si>
  <si>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</si>
  <si>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</si>
  <si>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</si>
  <si>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</si>
  <si>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</si>
  <si>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</si>
  <si>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</si>
  <si>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</si>
  <si>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</si>
  <si>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</si>
  <si>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</si>
  <si>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</si>
  <si>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</si>
  <si>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</si>
  <si>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</si>
  <si>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</si>
  <si>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</si>
  <si>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</si>
  <si>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</si>
  <si>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</si>
  <si>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</si>
  <si>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</si>
  <si>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</si>
  <si>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</si>
  <si>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</si>
  <si>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</si>
  <si>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</si>
  <si>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</si>
  <si>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</si>
  <si>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</si>
  <si>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</si>
  <si>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</si>
  <si>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</si>
  <si>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</si>
  <si>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</si>
  <si>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</si>
  <si>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</si>
  <si>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</si>
  <si>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</si>
  <si>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</si>
  <si>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</si>
  <si>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</si>
  <si>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</si>
  <si>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</si>
  <si>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</si>
  <si>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</si>
  <si>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</si>
  <si>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</si>
  <si>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</si>
  <si>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</si>
  <si>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</si>
  <si>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</si>
  <si>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</si>
  <si>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</si>
  <si>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</si>
  <si>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</si>
  <si>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</si>
  <si>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</si>
  <si>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</si>
  <si>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</si>
  <si>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</si>
  <si>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</si>
  <si>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</si>
  <si>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</si>
  <si>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</si>
  <si>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</si>
  <si>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</si>
  <si>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</si>
  <si>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</si>
  <si>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</si>
  <si>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</si>
  <si>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</si>
  <si>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</si>
  <si>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</si>
  <si>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</si>
  <si>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</si>
  <si>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</si>
  <si>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</si>
  <si>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</si>
  <si>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</si>
  <si>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</si>
  <si>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</si>
  <si>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</si>
  <si>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</si>
  <si>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</si>
  <si>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</si>
  <si>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</si>
  <si>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</si>
  <si>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</si>
  <si>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</si>
  <si>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</si>
  <si>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</si>
  <si>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</si>
  <si>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</si>
  <si>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</si>
  <si>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</si>
  <si>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</si>
  <si>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</si>
  <si>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</si>
  <si>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</si>
  <si>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</si>
  <si>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</si>
  <si>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</si>
  <si>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</si>
  <si>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</si>
  <si>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</si>
  <si>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</si>
  <si>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</si>
  <si>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</si>
  <si>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</si>
  <si>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</si>
  <si>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</si>
  <si>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</si>
  <si>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</si>
  <si>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</si>
  <si>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</si>
  <si>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</si>
  <si>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</si>
  <si>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</si>
  <si>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</si>
  <si>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</si>
  <si>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</si>
  <si>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</si>
  <si>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</si>
  <si>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</si>
  <si>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</si>
  <si>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</si>
  <si>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</si>
  <si>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</si>
  <si>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</si>
  <si>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</si>
  <si>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</si>
  <si>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</si>
  <si>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</si>
  <si>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</si>
  <si>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</si>
  <si>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</si>
  <si>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</si>
  <si>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</si>
  <si>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</si>
  <si>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</si>
  <si>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</si>
  <si>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</si>
  <si>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</si>
  <si>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</si>
  <si>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</si>
  <si>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</si>
  <si>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</si>
  <si>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</si>
  <si>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</si>
  <si>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</si>
  <si>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</si>
  <si>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</si>
  <si>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</si>
  <si>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</si>
  <si>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</si>
  <si>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</si>
  <si>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</si>
  <si>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</si>
  <si>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</si>
  <si>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</si>
  <si>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</si>
  <si>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</si>
  <si>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</si>
  <si>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</si>
  <si>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</si>
  <si>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</si>
  <si>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</si>
  <si>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</si>
  <si>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</si>
  <si>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</si>
  <si>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</si>
  <si>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</si>
  <si>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</si>
  <si>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</si>
  <si>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</si>
  <si>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</si>
  <si>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</si>
  <si>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</si>
  <si>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</si>
  <si>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</si>
  <si>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</si>
  <si>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</si>
  <si>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</si>
  <si>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</si>
  <si>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</si>
  <si>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</si>
  <si>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</si>
  <si>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</si>
  <si>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</si>
  <si>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</si>
  <si>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</si>
  <si>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</si>
  <si>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</si>
  <si>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</si>
  <si>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</si>
  <si>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</si>
  <si>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</si>
  <si>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</si>
  <si>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</si>
  <si>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</si>
  <si>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</si>
  <si>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</si>
  <si>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</si>
  <si>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</si>
  <si>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</si>
  <si>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</si>
  <si>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</si>
  <si>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</si>
  <si>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</si>
  <si>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</si>
  <si>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</si>
  <si>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</si>
  <si>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</si>
  <si>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</si>
  <si>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</si>
  <si>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</si>
  <si>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</si>
  <si>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</si>
  <si>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</si>
  <si>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</si>
  <si>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</si>
  <si>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</si>
  <si>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</si>
  <si>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</si>
  <si>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</si>
  <si>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</si>
  <si>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</si>
  <si>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</si>
  <si>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</si>
  <si>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</si>
  <si>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</si>
  <si>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</si>
  <si>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</si>
  <si>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</si>
  <si>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</si>
  <si>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</si>
  <si>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</si>
  <si>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</si>
  <si>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</si>
  <si>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</si>
  <si>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</si>
  <si>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</si>
  <si>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</si>
  <si>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</si>
  <si>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</si>
  <si>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</si>
  <si>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</si>
  <si>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</si>
  <si>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</si>
  <si>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</si>
  <si>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</si>
  <si>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</si>
  <si>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</si>
  <si>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</si>
  <si>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</si>
  <si>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</si>
  <si>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</si>
  <si>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</si>
  <si>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</si>
  <si>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</si>
  <si>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</si>
  <si>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</si>
  <si>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</si>
  <si>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</si>
  <si>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</si>
  <si>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</si>
  <si>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</si>
  <si>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</si>
  <si>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</si>
  <si>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</si>
  <si>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</si>
  <si>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</si>
  <si>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</si>
  <si>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</si>
  <si>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</si>
  <si>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</si>
  <si>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</si>
  <si>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</si>
  <si>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</si>
  <si>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</si>
  <si>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</si>
  <si>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</si>
  <si>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</si>
  <si>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</si>
  <si>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</si>
  <si>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</si>
  <si>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</si>
  <si>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</si>
  <si>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</si>
  <si>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</si>
  <si>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</si>
  <si>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</si>
  <si>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</si>
  <si>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</si>
  <si>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</si>
  <si>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</si>
  <si>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</si>
  <si>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</si>
  <si>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</si>
  <si>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</si>
  <si>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</si>
  <si>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</si>
  <si>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</si>
  <si>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</si>
  <si>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</si>
  <si>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</si>
  <si>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</si>
  <si>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</si>
  <si>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</si>
  <si>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</si>
  <si>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</si>
  <si>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</si>
  <si>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</si>
  <si>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</si>
  <si>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</si>
  <si>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</si>
  <si>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</si>
  <si>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</si>
  <si>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</si>
  <si>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</si>
  <si>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</si>
  <si>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</si>
  <si>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</si>
  <si>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</si>
  <si>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</si>
  <si>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</si>
  <si>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</si>
  <si>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</si>
  <si>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</si>
  <si>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</si>
  <si>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</si>
  <si>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</si>
  <si>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</si>
  <si>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</si>
  <si>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</si>
  <si>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</si>
  <si>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</si>
  <si>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</si>
  <si>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</si>
  <si>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</si>
  <si>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</si>
  <si>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</si>
  <si>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</si>
  <si>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</si>
  <si>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</si>
  <si>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</si>
  <si>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</si>
  <si>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</si>
  <si>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</si>
  <si>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</si>
  <si>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</si>
  <si>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</si>
  <si>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</si>
  <si>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</si>
  <si>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</si>
  <si>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</si>
  <si>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</si>
  <si>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</si>
  <si>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</si>
  <si>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</si>
  <si>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</si>
  <si>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</si>
  <si>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</si>
  <si>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</si>
  <si>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</si>
  <si>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</si>
  <si>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</si>
  <si>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</si>
  <si>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</si>
  <si>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</si>
  <si>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</si>
  <si>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</si>
  <si>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</si>
  <si>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</si>
  <si>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</si>
  <si>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</si>
  <si>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</si>
  <si>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</si>
  <si>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</si>
  <si>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</si>
  <si>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</si>
  <si>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</si>
  <si>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</si>
  <si>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</si>
  <si>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</si>
  <si>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</si>
  <si>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</si>
  <si>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</si>
  <si>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</si>
  <si>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</si>
  <si>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</si>
  <si>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</si>
  <si>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</si>
  <si>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</si>
  <si>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</si>
  <si>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</si>
  <si>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</si>
  <si>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</si>
  <si>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</si>
  <si>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</si>
  <si>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</si>
  <si>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</si>
  <si>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</si>
  <si>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</si>
  <si>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</si>
  <si>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</si>
  <si>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</si>
  <si>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</si>
  <si>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</si>
  <si>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</si>
  <si>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</si>
  <si>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</si>
  <si>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</si>
  <si>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</si>
  <si>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</si>
  <si>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</si>
  <si>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</si>
  <si>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</si>
  <si>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</si>
  <si>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</si>
  <si>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</si>
  <si>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</si>
  <si>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</si>
  <si>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</si>
  <si>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</si>
  <si>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</si>
  <si>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</si>
  <si>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</si>
  <si>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</si>
  <si>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</si>
  <si>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</si>
  <si>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</si>
  <si>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</si>
  <si>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</si>
  <si>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</si>
  <si>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</si>
  <si>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</si>
  <si>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</si>
  <si>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</si>
  <si>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</si>
  <si>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</si>
  <si>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</si>
  <si>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</si>
  <si>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</si>
  <si>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</si>
  <si>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</si>
  <si>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</si>
  <si>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</si>
  <si>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</si>
  <si>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</si>
  <si>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</si>
  <si>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</si>
  <si>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</si>
  <si>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</si>
  <si>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</si>
  <si>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</si>
  <si>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</si>
  <si>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</si>
  <si>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</si>
  <si>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</si>
  <si>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</si>
  <si>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</si>
  <si>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</si>
  <si>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</si>
  <si>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</si>
  <si>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</si>
  <si>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</si>
  <si>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</si>
  <si>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</si>
  <si>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</si>
  <si>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</si>
  <si>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</si>
  <si>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</si>
  <si>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</si>
  <si>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</si>
  <si>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</si>
  <si>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</si>
  <si>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</si>
  <si>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</si>
  <si>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</si>
  <si>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</si>
  <si>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</si>
  <si>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</si>
  <si>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</si>
  <si>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</si>
  <si>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</si>
  <si>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</si>
  <si>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</si>
  <si>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</si>
  <si>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</si>
  <si>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</si>
  <si>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</si>
  <si>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</si>
  <si>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</si>
  <si>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</si>
  <si>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</si>
  <si>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</si>
  <si>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</si>
  <si>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</si>
  <si>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</si>
  <si>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</si>
  <si>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</si>
  <si>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</si>
  <si>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</si>
  <si>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</si>
  <si>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</si>
  <si>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</si>
  <si>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</si>
  <si>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</si>
  <si>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</si>
  <si>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</si>
  <si>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</si>
  <si>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</si>
  <si>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</si>
  <si>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</si>
  <si>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</si>
  <si>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</si>
  <si>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</si>
  <si>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</si>
  <si>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</si>
  <si>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</si>
  <si>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</si>
  <si>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</si>
  <si>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</si>
  <si>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</si>
  <si>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</si>
  <si>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</si>
  <si>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</si>
  <si>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</si>
  <si>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</si>
  <si>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</si>
  <si>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</si>
  <si>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</si>
  <si>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</si>
  <si>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</si>
  <si>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</si>
  <si>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</si>
  <si>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</si>
  <si>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</si>
  <si>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</si>
  <si>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</si>
  <si>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</si>
  <si>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</si>
  <si>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</si>
  <si>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</si>
  <si>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</si>
  <si>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</si>
  <si>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</si>
  <si>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</si>
  <si>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</si>
  <si>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</si>
  <si>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</si>
  <si>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</si>
  <si>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</si>
  <si>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</si>
  <si>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</si>
  <si>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</si>
  <si>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</si>
  <si>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</si>
  <si>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</si>
  <si>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</si>
  <si>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</si>
  <si>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</si>
  <si>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</si>
  <si>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</si>
  <si>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</si>
  <si>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</si>
  <si>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</si>
  <si>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</si>
  <si>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</si>
  <si>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</si>
  <si>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</si>
  <si>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</si>
  <si>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</si>
  <si>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</si>
  <si>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</si>
  <si>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</si>
  <si>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</si>
  <si>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</si>
  <si>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</si>
  <si>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</si>
  <si>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</si>
  <si>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</si>
  <si>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</si>
  <si>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</si>
  <si>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</si>
  <si>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</si>
  <si>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</si>
  <si>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</si>
  <si>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</si>
  <si>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</si>
  <si>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</si>
  <si>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</si>
  <si>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</si>
  <si>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</si>
  <si>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</si>
  <si>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</si>
  <si>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</si>
  <si>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</si>
  <si>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</si>
  <si>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</si>
  <si>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</si>
  <si>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</si>
  <si>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</si>
  <si>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</si>
  <si>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</si>
  <si>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</si>
  <si>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</si>
  <si>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</si>
  <si>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</si>
  <si>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</si>
  <si>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</si>
  <si>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</si>
  <si>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</si>
  <si>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</si>
  <si>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</si>
  <si>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</si>
  <si>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</si>
  <si>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</si>
  <si>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</si>
  <si>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</si>
  <si>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</si>
  <si>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</si>
  <si>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</si>
  <si>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</si>
  <si>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</si>
  <si>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</si>
  <si>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</si>
  <si>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</si>
  <si>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</si>
  <si>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</si>
  <si>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</si>
  <si>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</si>
  <si>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</si>
  <si>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</si>
  <si>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</si>
  <si>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</si>
  <si>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</si>
  <si>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</si>
  <si>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</si>
  <si>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</si>
  <si>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</si>
  <si>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</si>
  <si>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</si>
  <si>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</si>
  <si>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</si>
  <si>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</si>
  <si>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</si>
  <si>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</si>
  <si>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</si>
  <si>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</si>
  <si>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</si>
  <si>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</si>
  <si>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</si>
  <si>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</si>
  <si>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</si>
  <si>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</si>
  <si>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</si>
  <si>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</si>
  <si>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</si>
  <si>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</si>
  <si>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</si>
  <si>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</si>
  <si>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</si>
  <si>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</si>
  <si>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</si>
  <si>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</si>
  <si>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</si>
  <si>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</si>
  <si>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</si>
  <si>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</si>
  <si>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</si>
  <si>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</si>
  <si>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</si>
  <si>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</si>
  <si>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</si>
  <si>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</si>
  <si>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</si>
  <si>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</si>
  <si>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</si>
  <si>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</si>
  <si>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</si>
  <si>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</si>
  <si>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</si>
  <si>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</si>
  <si>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</si>
  <si>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</si>
  <si>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</si>
  <si>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</si>
  <si>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</si>
  <si>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</si>
  <si>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</si>
  <si>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</si>
  <si>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</si>
  <si>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</si>
  <si>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</si>
  <si>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</si>
  <si>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</si>
  <si>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</si>
  <si>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</si>
  <si>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</si>
  <si>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</si>
  <si>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</si>
  <si>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</si>
  <si>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</si>
  <si>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</si>
  <si>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</si>
  <si>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</si>
  <si>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</si>
  <si>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</si>
  <si>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</si>
  <si>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</si>
  <si>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</si>
  <si>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</si>
  <si>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</si>
  <si>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</si>
  <si>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</si>
  <si>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</si>
  <si>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</si>
  <si>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</si>
  <si>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</si>
  <si>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</si>
  <si>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</si>
  <si>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</si>
  <si>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</si>
  <si>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</si>
  <si>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</si>
  <si>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</si>
  <si>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</si>
  <si>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</si>
  <si>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</si>
  <si>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</si>
  <si>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</si>
  <si>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</si>
  <si>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</si>
  <si>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</si>
  <si>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</si>
  <si>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</si>
  <si>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</si>
  <si>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</si>
  <si>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</si>
  <si>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</si>
  <si>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</si>
  <si>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</si>
  <si>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</si>
  <si>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</si>
  <si>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</si>
  <si>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</si>
  <si>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</si>
  <si>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</si>
  <si>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</si>
  <si>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</si>
  <si>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</si>
  <si>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</si>
  <si>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</si>
  <si>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</si>
  <si>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</si>
  <si>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</si>
  <si>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</si>
  <si>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</si>
  <si>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</si>
  <si>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</si>
  <si>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</si>
  <si>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</si>
  <si>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</si>
  <si>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</si>
  <si>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</si>
  <si>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</si>
  <si>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</si>
  <si>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</si>
  <si>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</si>
  <si>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</si>
  <si>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</si>
  <si>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</si>
  <si>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</si>
  <si>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</si>
  <si>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</si>
  <si>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</si>
  <si>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</si>
  <si>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</si>
  <si>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</si>
  <si>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</si>
  <si>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</si>
  <si>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</si>
  <si>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</si>
  <si>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</si>
  <si>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</si>
  <si>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</si>
  <si>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</si>
  <si>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</si>
  <si>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</si>
  <si>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</si>
  <si>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</si>
  <si>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</si>
  <si>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</si>
  <si>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</si>
  <si>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</si>
  <si>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</si>
  <si>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</si>
  <si>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</si>
  <si>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</si>
  <si>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</si>
  <si>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</si>
  <si>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</si>
  <si>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</si>
  <si>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</si>
  <si>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</si>
  <si>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</si>
  <si>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</si>
  <si>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</si>
  <si>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</si>
  <si>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</si>
  <si>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</si>
  <si>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</si>
  <si>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</si>
  <si>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</si>
  <si>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</si>
  <si>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</si>
  <si>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</si>
  <si>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</si>
  <si>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</si>
  <si>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</si>
  <si>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</si>
  <si>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</si>
  <si>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</si>
  <si>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</si>
  <si>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</si>
  <si>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</si>
  <si>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</si>
  <si>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</si>
  <si>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</si>
  <si>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</si>
  <si>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</si>
  <si>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</si>
  <si>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</si>
  <si>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</si>
  <si>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</si>
  <si>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</si>
  <si>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</si>
  <si>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</si>
  <si>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</si>
  <si>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</si>
  <si>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</si>
  <si>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</si>
  <si>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</si>
  <si>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</si>
  <si>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</si>
  <si>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</si>
  <si>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</si>
  <si>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</si>
  <si>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</si>
  <si>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</si>
  <si>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</si>
  <si>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</si>
  <si>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</si>
  <si>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</si>
  <si>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</si>
  <si>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</si>
  <si>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</si>
  <si>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</si>
  <si>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</si>
  <si>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</si>
  <si>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</si>
  <si>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</si>
  <si>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</si>
  <si>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</si>
  <si>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</si>
  <si>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</si>
  <si>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</si>
  <si>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</si>
  <si>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</si>
  <si>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</si>
  <si>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</si>
  <si>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</si>
  <si>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</si>
  <si>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</si>
  <si>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</si>
  <si>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</si>
  <si>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</si>
  <si>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</si>
  <si>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</si>
  <si>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</si>
  <si>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</si>
  <si>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</si>
  <si>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</si>
  <si>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</si>
  <si>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</si>
  <si>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</si>
  <si>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</si>
  <si>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</si>
  <si>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</si>
  <si>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</si>
  <si>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</si>
  <si>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</si>
  <si>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</si>
  <si>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</si>
  <si>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</si>
  <si>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</si>
  <si>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</si>
  <si>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</si>
  <si>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</si>
  <si>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</si>
  <si>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</si>
  <si>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</si>
  <si>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</si>
  <si>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</si>
  <si>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</si>
  <si>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</si>
  <si>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</si>
  <si>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</si>
  <si>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</si>
  <si>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</si>
  <si>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</si>
  <si>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</si>
  <si>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</si>
  <si>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</si>
  <si>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</si>
  <si>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</si>
  <si>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</si>
  <si>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</si>
  <si>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</si>
  <si>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</si>
  <si>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</si>
  <si>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</si>
  <si>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</si>
  <si>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</si>
  <si>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</si>
  <si>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</si>
  <si>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</si>
  <si>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</si>
  <si>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</si>
  <si>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</si>
  <si>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</si>
  <si>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</si>
  <si>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</si>
  <si>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</si>
  <si>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</si>
  <si>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</si>
  <si>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</si>
  <si>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</si>
  <si>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</si>
  <si>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</si>
  <si>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</si>
  <si>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</si>
  <si>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</si>
  <si>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</si>
  <si>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</si>
  <si>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</si>
  <si>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</si>
  <si>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</si>
  <si>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</si>
  <si>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</si>
  <si>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</si>
  <si>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</si>
  <si>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</si>
  <si>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</si>
  <si>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</si>
  <si>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</si>
  <si>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</si>
  <si>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</si>
  <si>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</si>
  <si>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</si>
  <si>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</si>
  <si>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</si>
  <si>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</si>
  <si>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</si>
  <si>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</si>
  <si>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</si>
  <si>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</si>
  <si>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</si>
  <si>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</si>
  <si>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</si>
  <si>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</si>
  <si>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</si>
  <si>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</si>
  <si>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</si>
  <si>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</si>
  <si>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</si>
  <si>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</si>
  <si>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</si>
  <si>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</si>
  <si>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</si>
  <si>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</si>
  <si>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</si>
  <si>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</si>
  <si>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</si>
  <si>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</si>
  <si>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</si>
  <si>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</si>
  <si>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</si>
  <si>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</si>
  <si>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</si>
  <si>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</si>
  <si>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</si>
  <si>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</si>
  <si>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</si>
  <si>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</si>
  <si>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</si>
  <si>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</si>
  <si>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</si>
  <si>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</si>
  <si>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</si>
  <si>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</si>
  <si>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</si>
  <si>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</si>
  <si>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</si>
  <si>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</si>
  <si>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</si>
  <si>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</si>
  <si>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</si>
  <si>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</si>
  <si>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</si>
  <si>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</si>
  <si>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</si>
  <si>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</si>
  <si>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</si>
  <si>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</si>
  <si>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</si>
  <si>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</si>
  <si>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</si>
  <si>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</si>
  <si>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</si>
  <si>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</si>
  <si>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</si>
  <si>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</si>
  <si>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</si>
  <si>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</si>
  <si>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</si>
  <si>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</si>
  <si>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</si>
  <si>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</si>
  <si>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</si>
  <si>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</si>
  <si>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</si>
  <si>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</si>
  <si>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</si>
  <si>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</si>
  <si>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</si>
  <si>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indiana</t>
  </si>
  <si>
    <t>Vesiculovirus isfahan</t>
  </si>
  <si>
    <t>Vesiculovirus jurona</t>
  </si>
  <si>
    <t>Vesiculovirus malpais</t>
  </si>
  <si>
    <t>Vesiculovirus maraba</t>
  </si>
  <si>
    <t>Vesiculovirus mejal</t>
  </si>
  <si>
    <t>Vesiculovirus morreton</t>
  </si>
  <si>
    <t>Vesiculovirus newjersey</t>
  </si>
  <si>
    <t>Vesiculovirus perinet</t>
  </si>
  <si>
    <t>Vesiculovirus piry</t>
  </si>
  <si>
    <t>Vesiculovirus radi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</si>
  <si>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</si>
  <si>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</si>
  <si>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</si>
  <si>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</si>
  <si>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</si>
  <si>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</si>
  <si>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</si>
  <si>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</si>
  <si>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</si>
  <si>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</si>
  <si>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</si>
  <si>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</si>
  <si>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</si>
  <si>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</si>
  <si>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</si>
  <si>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</si>
  <si>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</si>
  <si>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</si>
  <si>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</si>
  <si>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</si>
  <si>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</si>
  <si>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</si>
  <si>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</si>
  <si>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</si>
  <si>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</si>
  <si>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</si>
  <si>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</si>
  <si>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</si>
  <si>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</si>
  <si>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</si>
  <si>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</si>
  <si>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</si>
  <si>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</si>
  <si>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</si>
  <si>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</si>
  <si>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</si>
  <si>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</si>
  <si>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</si>
  <si>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</si>
  <si>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</si>
  <si>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</si>
  <si>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</si>
  <si>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</si>
  <si>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</si>
  <si>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</si>
  <si>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</si>
  <si>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</si>
  <si>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</si>
  <si>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</si>
  <si>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</si>
  <si>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</si>
  <si>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</si>
  <si>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</si>
  <si>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</si>
  <si>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</si>
  <si>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</si>
  <si>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</si>
  <si>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</si>
  <si>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</si>
  <si>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</si>
  <si>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</si>
  <si>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</si>
  <si>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</si>
  <si>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</si>
  <si>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</si>
  <si>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</si>
  <si>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</si>
  <si>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</si>
  <si>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</si>
  <si>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</si>
  <si>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</si>
  <si>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</si>
  <si>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</si>
  <si>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</si>
  <si>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</si>
  <si>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</si>
  <si>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</si>
  <si>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</si>
  <si>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</si>
  <si>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</si>
  <si>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</si>
  <si>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</si>
  <si>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</si>
  <si>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</si>
  <si>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</si>
  <si>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</si>
  <si>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</si>
  <si>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</si>
  <si>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</si>
  <si>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</si>
  <si>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</si>
  <si>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</si>
  <si>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</si>
  <si>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</si>
  <si>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</si>
  <si>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</si>
  <si>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</si>
  <si>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</si>
  <si>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</si>
  <si>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</si>
  <si>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</si>
  <si>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</si>
  <si>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</si>
  <si>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</si>
  <si>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</si>
  <si>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</si>
  <si>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</si>
  <si>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</si>
  <si>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</si>
  <si>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</si>
  <si>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</si>
  <si>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</si>
  <si>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</si>
  <si>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</si>
  <si>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</si>
  <si>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</si>
  <si>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</si>
  <si>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</si>
  <si>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</si>
  <si>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</si>
  <si>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</si>
  <si>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</si>
  <si>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</si>
  <si>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</si>
  <si>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</si>
  <si>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</si>
  <si>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</si>
  <si>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</si>
  <si>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</si>
  <si>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</si>
  <si>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</si>
  <si>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</si>
  <si>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</si>
  <si>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</si>
  <si>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</si>
  <si>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</si>
  <si>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</si>
  <si>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</si>
  <si>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</si>
  <si>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</si>
  <si>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</si>
  <si>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</si>
  <si>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</si>
  <si>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</si>
  <si>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</si>
  <si>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</si>
  <si>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</si>
  <si>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</si>
  <si>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</si>
  <si>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</si>
  <si>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</si>
  <si>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</si>
  <si>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</si>
  <si>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</si>
  <si>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</si>
  <si>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</si>
  <si>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</si>
  <si>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</si>
  <si>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</si>
  <si>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</si>
  <si>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</si>
  <si>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</si>
  <si>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</si>
  <si>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</si>
  <si>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</si>
  <si>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</si>
  <si>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</si>
  <si>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</si>
  <si>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</si>
  <si>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</si>
  <si>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</si>
  <si>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</si>
  <si>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</si>
  <si>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</si>
  <si>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</si>
  <si>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</si>
  <si>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</si>
  <si>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</si>
  <si>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</si>
  <si>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</si>
  <si>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</si>
  <si>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</si>
  <si>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</si>
  <si>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</si>
  <si>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</si>
  <si>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</si>
  <si>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</si>
  <si>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</si>
  <si>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</si>
  <si>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</si>
  <si>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</si>
  <si>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</si>
  <si>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</si>
  <si>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</si>
  <si>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</si>
  <si>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</si>
  <si>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</si>
  <si>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</si>
  <si>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</si>
  <si>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</si>
  <si>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</si>
  <si>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</si>
  <si>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</si>
  <si>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</si>
  <si>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</si>
  <si>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</si>
  <si>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</si>
  <si>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</si>
  <si>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</si>
  <si>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</si>
  <si>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</si>
  <si>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</si>
  <si>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</si>
  <si>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</si>
  <si>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</si>
  <si>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</si>
  <si>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</si>
  <si>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</si>
  <si>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</si>
  <si>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</si>
  <si>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</si>
  <si>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</si>
  <si>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</si>
  <si>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</si>
  <si>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</si>
  <si>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</si>
  <si>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</si>
  <si>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</si>
  <si>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</si>
  <si>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</si>
  <si>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</si>
  <si>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</si>
  <si>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</si>
  <si>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</si>
  <si>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</si>
  <si>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</si>
  <si>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</si>
  <si>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</si>
  <si>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</si>
  <si>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</si>
  <si>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</si>
  <si>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</si>
  <si>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</si>
  <si>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</si>
  <si>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</si>
  <si>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</si>
  <si>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</si>
  <si>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</si>
  <si>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</si>
  <si>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</si>
  <si>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</si>
  <si>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</si>
  <si>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</si>
  <si>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</si>
  <si>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</si>
  <si>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</si>
  <si>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</si>
  <si>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</si>
  <si>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</si>
  <si>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</si>
  <si>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</si>
  <si>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</si>
  <si>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</si>
  <si>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</si>
  <si>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</si>
  <si>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</si>
  <si>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</si>
  <si>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</si>
  <si>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</si>
  <si>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</si>
  <si>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</si>
  <si>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</si>
  <si>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</si>
  <si>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</si>
  <si>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</si>
  <si>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</si>
  <si>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</si>
  <si>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</si>
  <si>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</si>
  <si>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</si>
  <si>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</si>
  <si>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</si>
  <si>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</si>
  <si>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</si>
  <si>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</si>
  <si>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</si>
  <si>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</si>
  <si>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</si>
  <si>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</si>
  <si>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</si>
  <si>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</si>
  <si>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</si>
  <si>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</si>
  <si>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</si>
  <si>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</si>
  <si>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</si>
  <si>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</si>
  <si>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</si>
  <si>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</si>
  <si>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</si>
  <si>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</si>
  <si>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</si>
  <si>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</si>
  <si>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</si>
  <si>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</si>
  <si>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</si>
  <si>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</si>
  <si>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</si>
  <si>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</si>
  <si>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</si>
  <si>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</si>
  <si>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</si>
  <si>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</si>
  <si>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</si>
  <si>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</si>
  <si>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</si>
  <si>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</si>
  <si>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</si>
  <si>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</si>
  <si>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</si>
  <si>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</si>
  <si>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</si>
  <si>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</si>
  <si>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</si>
  <si>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</si>
  <si>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</si>
  <si>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</si>
  <si>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</si>
  <si>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</si>
  <si>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</si>
  <si>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</si>
  <si>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</si>
  <si>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</si>
  <si>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</si>
  <si>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</si>
  <si>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</si>
  <si>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</si>
  <si>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</si>
  <si>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</si>
  <si>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</si>
  <si>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</si>
  <si>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</si>
  <si>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</si>
  <si>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</si>
  <si>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</si>
  <si>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</si>
  <si>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</si>
  <si>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</si>
  <si>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</si>
  <si>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</si>
  <si>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</si>
  <si>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</si>
  <si>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</si>
  <si>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</si>
  <si>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</si>
  <si>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</si>
  <si>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</si>
  <si>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</si>
  <si>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</si>
  <si>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</si>
  <si>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</si>
  <si>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</si>
  <si>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</si>
  <si>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</si>
  <si>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</si>
  <si>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</si>
  <si>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</si>
  <si>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</si>
  <si>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</si>
  <si>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</si>
  <si>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</si>
  <si>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</si>
  <si>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</si>
  <si>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</si>
  <si>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</si>
  <si>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</si>
  <si>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</si>
  <si>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</si>
  <si>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</si>
  <si>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</si>
  <si>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</si>
  <si>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</si>
  <si>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</si>
  <si>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</si>
  <si>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</si>
  <si>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</si>
  <si>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</si>
  <si>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</si>
  <si>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</si>
  <si>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</si>
  <si>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</si>
  <si>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</si>
  <si>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</si>
  <si>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</si>
  <si>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</si>
  <si>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</si>
  <si>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</si>
  <si>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</si>
  <si>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</si>
  <si>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</si>
  <si>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</si>
  <si>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</si>
  <si>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</si>
  <si>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</si>
  <si>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</si>
  <si>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</si>
  <si>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</si>
  <si>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</si>
  <si>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</si>
  <si>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</si>
  <si>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</si>
  <si>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</si>
  <si>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</si>
  <si>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</si>
  <si>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</si>
  <si>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</si>
  <si>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</si>
  <si>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</si>
  <si>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</si>
  <si>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</si>
  <si>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</si>
  <si>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</si>
  <si>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</si>
  <si>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</si>
  <si>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</si>
  <si>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</si>
  <si>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</si>
  <si>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</si>
  <si>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</si>
  <si>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</si>
  <si>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</si>
  <si>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</si>
  <si>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</si>
  <si>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</si>
  <si>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</si>
  <si>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neuropterus</t>
  </si>
  <si>
    <t>Hymovirus chrysis</t>
  </si>
  <si>
    <t>Hymovirus chrysurae</t>
  </si>
  <si>
    <t>Jonvirus eboris</t>
  </si>
  <si>
    <t>Orthophasmavirus aedis</t>
  </si>
  <si>
    <t>Orthophasmavirus anophelae</t>
  </si>
  <si>
    <t>Orthophasmavirus chrysis</t>
  </si>
  <si>
    <t>Orthophasmavirus coredoense</t>
  </si>
  <si>
    <t>Orthophasmavirus culicis</t>
  </si>
  <si>
    <t>Orthophasmavirus fushunense</t>
  </si>
  <si>
    <t>Orthophasmavirus gandaense</t>
  </si>
  <si>
    <t>Orthophasmavirus hubeiense</t>
  </si>
  <si>
    <t>Orthophasmavirus kigluaikense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</si>
  <si>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</si>
  <si>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</si>
  <si>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</si>
  <si>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</si>
  <si>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</si>
  <si>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</si>
  <si>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</si>
  <si>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</si>
  <si>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</si>
  <si>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</si>
  <si>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</si>
  <si>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</si>
  <si>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</si>
  <si>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</si>
  <si>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</si>
  <si>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</si>
  <si>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</si>
  <si>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</si>
  <si>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</si>
  <si>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</si>
  <si>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</si>
  <si>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</si>
  <si>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</si>
  <si>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</si>
  <si>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</si>
  <si>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</si>
  <si>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</si>
  <si>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</si>
  <si>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</si>
  <si>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</si>
  <si>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</si>
  <si>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</si>
  <si>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</si>
  <si>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</si>
  <si>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</si>
  <si>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</si>
  <si>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</si>
  <si>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</si>
  <si>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</si>
  <si>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</si>
  <si>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</si>
  <si>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</si>
  <si>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</si>
  <si>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</si>
  <si>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</si>
  <si>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</si>
  <si>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</si>
  <si>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</si>
  <si>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</si>
  <si>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</si>
  <si>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</si>
  <si>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</si>
  <si>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</si>
  <si>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</si>
  <si>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</si>
  <si>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</si>
  <si>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</si>
  <si>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</si>
  <si>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</si>
  <si>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</si>
  <si>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</si>
  <si>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</si>
  <si>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</si>
  <si>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</si>
  <si>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</si>
  <si>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</si>
  <si>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</si>
  <si>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</si>
  <si>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</si>
  <si>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</si>
  <si>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</si>
  <si>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</si>
  <si>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</si>
  <si>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</si>
  <si>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</si>
  <si>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</si>
  <si>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</si>
  <si>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</si>
  <si>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</si>
  <si>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</si>
  <si>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</si>
  <si>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</si>
  <si>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</si>
  <si>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</si>
  <si>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</si>
  <si>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</si>
  <si>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</si>
  <si>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</si>
  <si>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</si>
  <si>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</si>
  <si>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</si>
  <si>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</si>
  <si>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</si>
  <si>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</si>
  <si>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</si>
  <si>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</si>
  <si>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</si>
  <si>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</si>
  <si>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</si>
  <si>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</si>
  <si>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</si>
  <si>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</si>
  <si>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</si>
  <si>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</si>
  <si>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</si>
  <si>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</si>
  <si>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</si>
  <si>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</si>
  <si>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</si>
  <si>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</si>
  <si>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</si>
  <si>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</si>
  <si>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</si>
  <si>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</si>
  <si>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</si>
  <si>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</si>
  <si>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</si>
  <si>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</si>
  <si>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</si>
  <si>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</si>
  <si>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</si>
  <si>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</si>
  <si>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</si>
  <si>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</si>
  <si>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</si>
  <si>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</si>
  <si>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</si>
  <si>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</si>
  <si>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</si>
  <si>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</si>
  <si>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</si>
  <si>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</si>
  <si>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</si>
  <si>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</si>
  <si>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</si>
  <si>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</si>
  <si>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</si>
  <si>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</si>
  <si>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</si>
  <si>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</si>
  <si>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</si>
  <si>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</si>
  <si>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</si>
  <si>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</si>
  <si>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</si>
  <si>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</si>
  <si>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</si>
  <si>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</si>
  <si>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</si>
  <si>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</si>
  <si>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</si>
  <si>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</si>
  <si>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</si>
  <si>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</si>
  <si>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</si>
  <si>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</si>
  <si>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</si>
  <si>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</si>
  <si>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</si>
  <si>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</si>
  <si>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</si>
  <si>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</si>
  <si>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</si>
  <si>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</si>
  <si>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</si>
  <si>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</si>
  <si>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</si>
  <si>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</si>
  <si>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</si>
  <si>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</si>
  <si>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</si>
  <si>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</si>
  <si>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</si>
  <si>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</si>
  <si>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</si>
  <si>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</si>
  <si>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</si>
  <si>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</si>
  <si>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</si>
  <si>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</si>
  <si>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</si>
  <si>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</si>
  <si>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</si>
  <si>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</si>
  <si>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</si>
  <si>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</si>
  <si>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</si>
  <si>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</si>
  <si>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</si>
  <si>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</si>
  <si>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</si>
  <si>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</si>
  <si>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</si>
  <si>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</si>
  <si>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</si>
  <si>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</si>
  <si>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</si>
  <si>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</si>
  <si>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</si>
  <si>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</si>
  <si>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</si>
  <si>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</si>
  <si>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</si>
  <si>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</si>
  <si>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</si>
  <si>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</si>
  <si>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</si>
  <si>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</si>
  <si>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</si>
  <si>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</si>
  <si>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</si>
  <si>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</si>
  <si>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</si>
  <si>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</si>
  <si>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</si>
  <si>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</si>
  <si>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</si>
  <si>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</si>
  <si>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</si>
  <si>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</si>
  <si>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</si>
  <si>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</si>
  <si>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</si>
  <si>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</si>
  <si>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</si>
  <si>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</si>
  <si>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</si>
  <si>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</si>
  <si>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</si>
  <si>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</si>
  <si>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</si>
  <si>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</si>
  <si>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</si>
  <si>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</si>
  <si>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</si>
  <si>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</si>
  <si>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</si>
  <si>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</si>
  <si>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</si>
  <si>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</si>
  <si>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</si>
  <si>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</si>
  <si>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</si>
  <si>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</si>
  <si>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</si>
  <si>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</si>
  <si>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</si>
  <si>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</si>
  <si>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</si>
  <si>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</si>
  <si>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</si>
  <si>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</si>
  <si>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</si>
  <si>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</si>
  <si>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</si>
  <si>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</si>
  <si>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</si>
  <si>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</si>
  <si>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</si>
  <si>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</si>
  <si>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</si>
  <si>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</si>
  <si>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</si>
  <si>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</si>
  <si>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</si>
  <si>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</si>
  <si>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</si>
  <si>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</si>
  <si>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</si>
  <si>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</si>
  <si>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</si>
  <si>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</si>
  <si>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</si>
  <si>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</si>
  <si>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</si>
  <si>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</si>
  <si>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</si>
  <si>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</si>
  <si>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</si>
  <si>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</si>
  <si>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</si>
  <si>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</si>
  <si>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</si>
  <si>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</si>
  <si>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</si>
  <si>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</si>
  <si>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</si>
  <si>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</si>
  <si>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</si>
  <si>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</si>
  <si>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</si>
  <si>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</si>
  <si>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</si>
  <si>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</si>
  <si>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</si>
  <si>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</si>
  <si>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</si>
  <si>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</si>
  <si>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</si>
  <si>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</si>
  <si>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</si>
  <si>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</si>
  <si>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</si>
  <si>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</si>
  <si>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</si>
  <si>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</si>
  <si>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</si>
  <si>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</si>
  <si>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</si>
  <si>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</si>
  <si>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</si>
  <si>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</si>
  <si>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</si>
  <si>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</si>
  <si>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</si>
  <si>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</si>
  <si>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</si>
  <si>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</si>
  <si>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</si>
  <si>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</si>
  <si>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</si>
  <si>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</si>
  <si>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</si>
  <si>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</si>
  <si>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</si>
  <si>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</si>
  <si>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</si>
  <si>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</si>
  <si>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</si>
  <si>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</si>
  <si>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</si>
  <si>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</si>
  <si>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</si>
  <si>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</si>
  <si>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</si>
  <si>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</si>
  <si>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</si>
  <si>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</si>
  <si>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</si>
  <si>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</si>
  <si>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</si>
  <si>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</si>
  <si>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</si>
  <si>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</si>
  <si>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</si>
  <si>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</si>
  <si>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</si>
  <si>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</si>
  <si>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</si>
  <si>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</si>
  <si>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</si>
  <si>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</si>
  <si>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</si>
  <si>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</si>
  <si>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</si>
  <si>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</si>
  <si>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</si>
  <si>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</si>
  <si>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</si>
  <si>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</si>
  <si>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</si>
  <si>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</si>
  <si>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</si>
  <si>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</si>
  <si>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</si>
  <si>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</si>
  <si>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</si>
  <si>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</si>
  <si>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</si>
  <si>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</si>
  <si>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</si>
  <si>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</si>
  <si>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</si>
  <si>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</si>
  <si>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</si>
  <si>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</si>
  <si>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</si>
  <si>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</si>
  <si>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</si>
  <si>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</si>
  <si>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</si>
  <si>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</si>
  <si>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</si>
  <si>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</si>
  <si>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</si>
  <si>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</si>
  <si>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</si>
  <si>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</si>
  <si>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</si>
  <si>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</si>
  <si>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</si>
  <si>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</si>
  <si>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</si>
  <si>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</si>
  <si>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</si>
  <si>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</si>
  <si>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</si>
  <si>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</si>
  <si>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</si>
  <si>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</si>
  <si>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</si>
  <si>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</si>
  <si>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</si>
  <si>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</si>
  <si>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</si>
  <si>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</si>
  <si>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</si>
  <si>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</si>
  <si>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</si>
  <si>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</si>
  <si>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</si>
  <si>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</si>
  <si>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</si>
  <si>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</si>
  <si>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</si>
  <si>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</si>
  <si>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</si>
  <si>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</si>
  <si>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</si>
  <si>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</si>
  <si>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</si>
  <si>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</si>
  <si>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anatoliense</t>
  </si>
  <si>
    <t>Nepovirus anemones</t>
  </si>
  <si>
    <t>Nepovirus arabis</t>
  </si>
  <si>
    <t>Nepovirus armeniacae</t>
  </si>
  <si>
    <t>Nepovirus arracaciae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</si>
  <si>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</si>
  <si>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</si>
  <si>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</si>
  <si>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</si>
  <si>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</si>
  <si>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</si>
  <si>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</si>
  <si>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</si>
  <si>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</si>
  <si>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</si>
  <si>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</si>
  <si>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</si>
  <si>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</si>
  <si>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</si>
  <si>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</si>
  <si>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</si>
  <si>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</si>
  <si>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</si>
  <si>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</si>
  <si>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</si>
  <si>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</si>
  <si>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</si>
  <si>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</si>
  <si>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</si>
  <si>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</si>
  <si>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</si>
  <si>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</si>
  <si>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</si>
  <si>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</si>
  <si>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</si>
  <si>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</si>
  <si>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</si>
  <si>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</si>
  <si>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</si>
  <si>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</si>
  <si>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</si>
  <si>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</si>
  <si>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</si>
  <si>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</si>
  <si>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</si>
  <si>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</si>
  <si>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</si>
  <si>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</si>
  <si>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</si>
  <si>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</si>
  <si>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</si>
  <si>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</si>
  <si>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</si>
  <si>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</si>
  <si>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</si>
  <si>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</si>
  <si>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</si>
  <si>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</si>
  <si>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</si>
  <si>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</si>
  <si>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</si>
  <si>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</si>
  <si>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</si>
  <si>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</si>
  <si>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</si>
  <si>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</si>
  <si>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</si>
  <si>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</si>
  <si>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</si>
  <si>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</si>
  <si>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</si>
  <si>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</si>
  <si>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</si>
  <si>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</si>
  <si>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</si>
  <si>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</si>
  <si>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</si>
  <si>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</si>
  <si>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</si>
  <si>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</si>
  <si>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</si>
  <si>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</si>
  <si>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</si>
  <si>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</si>
  <si>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</si>
  <si>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</si>
  <si>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</si>
  <si>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</si>
  <si>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</si>
  <si>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</si>
  <si>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</si>
  <si>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</si>
  <si>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</si>
  <si>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</si>
  <si>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</si>
  <si>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</si>
  <si>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</si>
  <si>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</si>
  <si>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</si>
  <si>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</si>
  <si>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</si>
  <si>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</si>
  <si>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</si>
  <si>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</si>
  <si>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</si>
  <si>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</si>
  <si>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</si>
  <si>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</si>
  <si>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</si>
  <si>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</si>
  <si>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</si>
  <si>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</si>
  <si>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</si>
  <si>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</si>
  <si>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</si>
  <si>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</si>
  <si>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</si>
  <si>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</si>
  <si>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</si>
  <si>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</si>
  <si>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</si>
  <si>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</si>
  <si>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</si>
  <si>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</si>
  <si>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</si>
  <si>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</si>
  <si>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</si>
  <si>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</si>
  <si>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</si>
  <si>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</si>
  <si>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</si>
  <si>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</si>
  <si>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</si>
  <si>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</si>
  <si>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</si>
  <si>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</si>
  <si>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</si>
  <si>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</si>
  <si>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</si>
  <si>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</si>
  <si>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</si>
  <si>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</si>
  <si>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</si>
  <si>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</si>
  <si>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</si>
  <si>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</si>
  <si>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</si>
  <si>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</si>
  <si>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</si>
  <si>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</si>
  <si>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</si>
  <si>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</si>
  <si>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</si>
  <si>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</si>
  <si>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</si>
  <si>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</si>
  <si>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</si>
  <si>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</si>
  <si>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</si>
  <si>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</si>
  <si>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</si>
  <si>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</si>
  <si>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</si>
  <si>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</si>
  <si>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</si>
  <si>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</si>
  <si>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</si>
  <si>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</si>
  <si>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</si>
  <si>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</si>
  <si>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</si>
  <si>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</si>
  <si>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</si>
  <si>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</si>
  <si>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</si>
  <si>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</si>
  <si>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</si>
  <si>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</si>
  <si>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</si>
  <si>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</si>
  <si>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</si>
  <si>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</si>
  <si>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</si>
  <si>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</si>
  <si>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</si>
  <si>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</si>
  <si>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</si>
  <si>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</si>
  <si>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</si>
  <si>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</si>
  <si>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</si>
  <si>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</si>
  <si>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</si>
  <si>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</si>
  <si>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</si>
  <si>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</si>
  <si>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</si>
  <si>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</si>
  <si>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</si>
  <si>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</si>
  <si>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</si>
  <si>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</si>
  <si>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</si>
  <si>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</si>
  <si>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</si>
  <si>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</si>
  <si>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</si>
  <si>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</si>
  <si>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</si>
  <si>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</si>
  <si>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</si>
  <si>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</si>
  <si>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</si>
  <si>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</si>
  <si>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</si>
  <si>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</si>
  <si>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</si>
  <si>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</si>
  <si>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</si>
  <si>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</si>
  <si>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</si>
  <si>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</si>
  <si>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</si>
  <si>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</si>
  <si>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</si>
  <si>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</si>
  <si>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</si>
  <si>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</si>
  <si>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</si>
  <si>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</si>
  <si>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</si>
  <si>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</si>
  <si>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</si>
  <si>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</si>
  <si>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</si>
  <si>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</si>
  <si>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</si>
  <si>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</si>
  <si>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</si>
  <si>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</si>
  <si>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</si>
  <si>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</si>
  <si>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</si>
  <si>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</si>
  <si>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</si>
  <si>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</si>
  <si>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</si>
  <si>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</si>
  <si>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</si>
  <si>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</si>
  <si>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</si>
  <si>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</si>
  <si>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</si>
  <si>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</si>
  <si>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</si>
  <si>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</si>
  <si>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</si>
  <si>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</si>
  <si>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</si>
  <si>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</si>
  <si>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</si>
  <si>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</si>
  <si>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</si>
  <si>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</si>
  <si>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</si>
  <si>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</si>
  <si>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</si>
  <si>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</si>
  <si>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</si>
  <si>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</si>
  <si>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</si>
  <si>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</si>
  <si>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</si>
  <si>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</si>
  <si>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</si>
  <si>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</si>
  <si>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</si>
  <si>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</si>
  <si>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</si>
  <si>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</si>
  <si>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</si>
  <si>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</si>
  <si>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</si>
  <si>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</si>
  <si>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</si>
  <si>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</si>
  <si>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</si>
  <si>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</si>
  <si>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</si>
  <si>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</si>
  <si>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</si>
  <si>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</si>
  <si>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</si>
  <si>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</si>
  <si>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</si>
  <si>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</si>
  <si>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</si>
  <si>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</si>
  <si>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</si>
  <si>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</si>
  <si>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</si>
  <si>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</si>
  <si>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</si>
  <si>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</si>
  <si>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</si>
  <si>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</si>
  <si>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</si>
  <si>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</si>
  <si>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</si>
  <si>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</si>
  <si>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</si>
  <si>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</si>
  <si>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</si>
  <si>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</si>
  <si>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</si>
  <si>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</si>
  <si>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</si>
  <si>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</si>
  <si>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</si>
  <si>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</si>
  <si>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</si>
  <si>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</si>
  <si>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</si>
  <si>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</si>
  <si>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</si>
  <si>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</si>
  <si>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</si>
  <si>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</si>
  <si>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</si>
  <si>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</si>
  <si>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</si>
  <si>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</si>
  <si>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</si>
  <si>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</si>
  <si>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</si>
  <si>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</si>
  <si>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</si>
  <si>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</si>
  <si>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</si>
  <si>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</si>
  <si>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</si>
  <si>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</si>
  <si>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</si>
  <si>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</si>
  <si>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</si>
  <si>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</si>
  <si>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</si>
  <si>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</si>
  <si>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</si>
  <si>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</si>
  <si>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</si>
  <si>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</si>
  <si>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</si>
  <si>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</si>
  <si>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</si>
  <si>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</si>
  <si>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</si>
  <si>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</si>
  <si>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</si>
  <si>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</si>
  <si>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</si>
  <si>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</si>
  <si>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</si>
  <si>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</si>
  <si>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</si>
  <si>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</si>
  <si>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</si>
  <si>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</si>
  <si>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</si>
  <si>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</si>
  <si>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</si>
  <si>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</si>
  <si>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</si>
  <si>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</si>
  <si>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</si>
  <si>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</si>
  <si>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</si>
  <si>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</si>
  <si>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</si>
  <si>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</si>
  <si>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</si>
  <si>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</si>
  <si>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</si>
  <si>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</si>
  <si>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</si>
  <si>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</si>
  <si>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</si>
  <si>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</si>
  <si>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</si>
  <si>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</si>
  <si>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</si>
  <si>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</si>
  <si>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</si>
  <si>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</si>
  <si>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</si>
  <si>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</si>
  <si>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</si>
  <si>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</si>
  <si>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</si>
  <si>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</si>
  <si>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</si>
  <si>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</si>
  <si>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</si>
  <si>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</si>
  <si>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</si>
  <si>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</si>
  <si>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</si>
  <si>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</si>
  <si>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</si>
  <si>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</si>
  <si>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</si>
  <si>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</si>
  <si>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</si>
  <si>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</si>
  <si>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</si>
  <si>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</si>
  <si>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</si>
  <si>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</si>
  <si>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</si>
  <si>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</si>
  <si>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</si>
  <si>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</si>
  <si>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</si>
  <si>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</si>
  <si>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</si>
  <si>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</si>
  <si>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</si>
  <si>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</si>
  <si>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</si>
  <si>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</si>
  <si>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</si>
  <si>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</si>
  <si>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</si>
  <si>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</si>
  <si>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</si>
  <si>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</si>
  <si>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</si>
  <si>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</si>
  <si>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</si>
  <si>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</si>
  <si>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</si>
  <si>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</si>
  <si>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</si>
  <si>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</si>
  <si>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</si>
  <si>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</si>
  <si>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</si>
  <si>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</si>
  <si>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</si>
  <si>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</si>
  <si>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</si>
  <si>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</si>
  <si>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</si>
  <si>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</si>
  <si>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</si>
  <si>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</si>
  <si>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</si>
  <si>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</si>
  <si>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</si>
  <si>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</si>
  <si>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</si>
  <si>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</si>
  <si>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</si>
  <si>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</si>
  <si>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</si>
  <si>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</si>
  <si>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</si>
  <si>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</si>
  <si>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</si>
  <si>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</si>
  <si>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</si>
  <si>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</si>
  <si>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</si>
  <si>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</si>
  <si>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</si>
  <si>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</si>
  <si>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</si>
  <si>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</si>
  <si>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</si>
  <si>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</si>
  <si>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</si>
  <si>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</si>
  <si>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</si>
  <si>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</si>
  <si>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</si>
  <si>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</si>
  <si>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</si>
  <si>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</si>
  <si>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</si>
  <si>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</si>
  <si>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</si>
  <si>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</si>
  <si>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</si>
  <si>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</si>
  <si>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</si>
  <si>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</si>
  <si>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</si>
  <si>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</si>
  <si>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</si>
  <si>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</si>
  <si>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</si>
  <si>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</si>
  <si>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</si>
  <si>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</si>
  <si>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</si>
  <si>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</si>
  <si>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</si>
  <si>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</si>
  <si>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</si>
  <si>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</si>
  <si>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</si>
  <si>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</si>
  <si>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</si>
  <si>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</si>
  <si>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</si>
  <si>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</si>
  <si>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</si>
  <si>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</si>
  <si>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</si>
  <si>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</si>
  <si>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</si>
  <si>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</si>
  <si>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</si>
  <si>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</si>
  <si>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</si>
  <si>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muste1</t>
  </si>
  <si>
    <t>Thetatorquevirus procy5</t>
  </si>
  <si>
    <t>Thetatorquevirus procy6</t>
  </si>
  <si>
    <t>Thetatorquevirus ursid1</t>
  </si>
  <si>
    <t>Thetatorquevirus ursid2</t>
  </si>
  <si>
    <t>Thetatorquevirus ursid3</t>
  </si>
  <si>
    <t>Thetatorquevirus ursid4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</si>
  <si>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</si>
  <si>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</si>
  <si>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</si>
  <si>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</si>
  <si>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</si>
  <si>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</si>
  <si>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</si>
  <si>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</si>
  <si>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</si>
  <si>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</si>
  <si>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</si>
  <si>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</si>
  <si>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</si>
  <si>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</si>
  <si>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</si>
  <si>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</si>
  <si>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</si>
  <si>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</si>
  <si>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</si>
  <si>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</si>
  <si>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</si>
  <si>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</si>
  <si>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</si>
  <si>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</si>
  <si>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</si>
  <si>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</si>
  <si>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</si>
  <si>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</si>
  <si>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</si>
  <si>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</si>
  <si>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</si>
  <si>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</si>
  <si>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</si>
  <si>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</si>
  <si>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</si>
  <si>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</si>
  <si>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</si>
  <si>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</si>
  <si>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</si>
  <si>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</si>
  <si>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</si>
  <si>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</si>
  <si>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</si>
  <si>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</si>
  <si>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</si>
  <si>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</si>
  <si>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</si>
  <si>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</si>
  <si>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</si>
  <si>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</si>
  <si>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</si>
  <si>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</si>
  <si>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</si>
  <si>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</si>
  <si>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</si>
  <si>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</si>
  <si>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</si>
  <si>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</si>
  <si>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</si>
  <si>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</si>
  <si>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</si>
  <si>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</si>
  <si>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</si>
  <si>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</si>
  <si>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</si>
  <si>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</si>
  <si>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</si>
  <si>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</si>
  <si>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</si>
  <si>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</si>
  <si>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</si>
  <si>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</si>
  <si>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</si>
  <si>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</si>
  <si>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</si>
  <si>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</si>
  <si>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</si>
  <si>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</si>
  <si>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</si>
  <si>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</si>
  <si>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</si>
  <si>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</si>
  <si>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</si>
  <si>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</si>
  <si>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</si>
  <si>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</si>
  <si>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</si>
  <si>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</si>
  <si>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</si>
  <si>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</si>
  <si>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</si>
  <si>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</si>
  <si>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</si>
  <si>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</si>
  <si>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</si>
  <si>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</si>
  <si>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</si>
  <si>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</si>
  <si>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</si>
  <si>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</si>
  <si>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</si>
  <si>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</si>
  <si>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</si>
  <si>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</si>
  <si>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</si>
  <si>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</si>
  <si>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</si>
  <si>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</si>
  <si>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</si>
  <si>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</si>
  <si>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</si>
  <si>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</si>
  <si>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</si>
  <si>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</si>
  <si>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</si>
  <si>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</si>
  <si>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</si>
  <si>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</si>
  <si>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5" type="noConversion"/>
  </si>
  <si>
    <t>Date</t>
    <phoneticPr fontId="5" type="noConversion"/>
  </si>
  <si>
    <t>Change:</t>
    <phoneticPr fontId="5" type="noConversion"/>
  </si>
  <si>
    <t>Original release</t>
    <phoneticPr fontId="5" type="noConversion"/>
  </si>
  <si>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</si>
  <si>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</si>
  <si>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</si>
  <si>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</si>
  <si>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</si>
  <si>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</si>
  <si>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</si>
  <si>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</si>
  <si>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</si>
  <si>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</si>
  <si>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</si>
  <si>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</si>
  <si>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</si>
  <si>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</si>
  <si>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</si>
  <si>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</si>
  <si>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</si>
  <si>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</si>
  <si>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</si>
  <si>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</si>
  <si>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</si>
  <si>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</si>
  <si>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</si>
  <si>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</si>
  <si>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</si>
  <si>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</si>
  <si>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</si>
  <si>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</si>
  <si>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</si>
  <si>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</si>
  <si>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</si>
  <si>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</si>
  <si>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</si>
  <si>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</si>
  <si>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</si>
  <si>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</si>
  <si>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</si>
  <si>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</si>
  <si>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</si>
  <si>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</si>
  <si>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</si>
  <si>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</si>
  <si>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</si>
  <si>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</si>
  <si>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</si>
  <si>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</si>
  <si>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</si>
  <si>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</si>
  <si>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</si>
  <si>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</si>
  <si>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</si>
  <si>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</si>
  <si>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</si>
  <si>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</si>
  <si>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</si>
  <si>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</si>
  <si>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</si>
  <si>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</si>
  <si>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</si>
  <si>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</si>
  <si>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</si>
  <si>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</si>
  <si>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</si>
  <si>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</si>
  <si>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</si>
  <si>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</si>
  <si>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</si>
  <si>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</si>
  <si>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</si>
  <si>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</si>
  <si>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</si>
  <si>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</si>
  <si>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</si>
  <si>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</si>
  <si>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</si>
  <si>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</si>
  <si>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</si>
  <si>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</si>
  <si>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</si>
  <si>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</si>
  <si>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</si>
  <si>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</si>
  <si>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</si>
  <si>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</si>
  <si>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</si>
  <si>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</si>
  <si>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</si>
  <si>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</si>
  <si>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</si>
  <si>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</si>
  <si>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</si>
  <si>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</si>
  <si>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</si>
  <si>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</si>
  <si>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</si>
  <si>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</si>
  <si>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</si>
  <si>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</si>
  <si>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</si>
  <si>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</si>
  <si>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</si>
  <si>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</si>
  <si>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</si>
  <si>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</si>
  <si>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</si>
  <si>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</si>
  <si>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</si>
  <si>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</si>
  <si>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</si>
  <si>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</si>
  <si>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</si>
  <si>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</si>
  <si>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</si>
  <si>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</si>
  <si>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</si>
  <si>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</si>
  <si>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</si>
  <si>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</si>
  <si>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</si>
  <si>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</si>
  <si>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</si>
  <si>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</si>
  <si>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</si>
  <si>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</si>
  <si>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</si>
  <si>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</si>
  <si>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</si>
  <si>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</si>
  <si>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</si>
  <si>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</si>
  <si>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</si>
  <si>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</si>
  <si>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</si>
  <si>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</si>
  <si>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</si>
  <si>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</si>
  <si>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</si>
  <si>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</si>
  <si>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</si>
  <si>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</si>
  <si>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</si>
  <si>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</si>
  <si>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</si>
  <si>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</si>
  <si>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</si>
  <si>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</si>
  <si>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</si>
  <si>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</si>
  <si>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</si>
  <si>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</si>
  <si>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</si>
  <si>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</si>
  <si>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</si>
  <si>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</si>
  <si>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</si>
  <si>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</si>
  <si>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</si>
  <si>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</si>
  <si>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</si>
  <si>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</si>
  <si>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</si>
  <si>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</si>
  <si>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</si>
  <si>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</si>
  <si>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</si>
  <si>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</si>
  <si>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</si>
  <si>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</si>
  <si>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</si>
  <si>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</si>
  <si>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</si>
  <si>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</si>
  <si>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</si>
  <si>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</si>
  <si>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</si>
  <si>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</si>
  <si>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</si>
  <si>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</si>
  <si>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</si>
  <si>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</si>
  <si>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</si>
  <si>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</si>
  <si>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</si>
  <si>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</si>
  <si>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</si>
  <si>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</si>
  <si>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</si>
  <si>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</si>
  <si>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</si>
  <si>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</si>
  <si>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</si>
  <si>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</si>
  <si>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</si>
  <si>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</si>
  <si>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</si>
  <si>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</si>
  <si>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</si>
  <si>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</si>
  <si>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</si>
  <si>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</si>
  <si>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</si>
  <si>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</si>
  <si>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</si>
  <si>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</si>
  <si>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</si>
  <si>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</si>
  <si>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</si>
  <si>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</si>
  <si>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</si>
  <si>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</si>
  <si>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</si>
  <si>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</si>
  <si>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</si>
  <si>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</si>
  <si>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</si>
  <si>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</si>
  <si>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</si>
  <si>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</si>
  <si>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</si>
  <si>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</si>
  <si>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</si>
  <si>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</si>
  <si>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</si>
  <si>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</si>
  <si>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</si>
  <si>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</si>
  <si>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</si>
  <si>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</si>
  <si>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</si>
  <si>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</si>
  <si>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</si>
  <si>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</si>
  <si>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</si>
  <si>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</si>
  <si>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</si>
  <si>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</si>
  <si>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</si>
  <si>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</si>
  <si>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</si>
  <si>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</si>
  <si>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</si>
  <si>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</si>
  <si>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</si>
  <si>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</si>
  <si>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</si>
  <si>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</si>
  <si>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</si>
  <si>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</si>
  <si>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</si>
  <si>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</si>
  <si>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</si>
  <si>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</si>
  <si>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</si>
  <si>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</si>
  <si>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</si>
  <si>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</si>
  <si>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</si>
  <si>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</si>
  <si>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</si>
  <si>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</si>
  <si>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</si>
  <si>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</si>
  <si>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</si>
  <si>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</si>
  <si>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</si>
  <si>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</si>
  <si>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</si>
  <si>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</si>
  <si>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</si>
  <si>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</si>
  <si>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</si>
  <si>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</si>
  <si>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</si>
  <si>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</si>
  <si>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</si>
  <si>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</si>
  <si>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</si>
  <si>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</si>
  <si>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</si>
  <si>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</si>
  <si>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</si>
  <si>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</si>
  <si>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</si>
  <si>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</si>
  <si>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</si>
  <si>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</si>
  <si>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</si>
  <si>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</si>
  <si>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</si>
  <si>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</si>
  <si>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</si>
  <si>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</si>
  <si>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</si>
  <si>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</si>
  <si>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</si>
  <si>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</si>
  <si>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</si>
  <si>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</si>
  <si>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</si>
  <si>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</si>
  <si>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</si>
  <si>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</si>
  <si>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</si>
  <si>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</si>
  <si>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</si>
  <si>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</si>
  <si>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</si>
  <si>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</si>
  <si>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</si>
  <si>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</si>
  <si>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</si>
  <si>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</si>
  <si>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</si>
  <si>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</si>
  <si>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</si>
  <si>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</si>
  <si>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</si>
  <si>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</si>
  <si>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</si>
  <si>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</si>
  <si>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</si>
  <si>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</si>
  <si>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</si>
  <si>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</si>
  <si>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</si>
  <si>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</si>
  <si>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</si>
  <si>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</si>
  <si>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</si>
  <si>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</si>
  <si>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</si>
  <si>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</si>
  <si>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</si>
  <si>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</si>
  <si>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</si>
  <si>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</si>
  <si>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</si>
  <si>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</si>
  <si>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</si>
  <si>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</si>
  <si>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</si>
  <si>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</si>
  <si>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</si>
  <si>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</si>
  <si>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</si>
  <si>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</si>
  <si>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</si>
  <si>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</si>
  <si>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</si>
  <si>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</si>
  <si>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</si>
  <si>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</si>
  <si>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</si>
  <si>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</si>
  <si>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</si>
  <si>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</si>
  <si>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</si>
  <si>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</si>
  <si>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</si>
  <si>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</si>
  <si>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</si>
  <si>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</si>
  <si>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</si>
  <si>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</si>
  <si>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</si>
  <si>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</si>
  <si>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</si>
  <si>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</si>
  <si>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</si>
  <si>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</si>
  <si>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</si>
  <si>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</si>
  <si>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</si>
  <si>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</si>
  <si>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</si>
  <si>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</si>
  <si>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</si>
  <si>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</si>
  <si>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</si>
  <si>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</si>
  <si>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</si>
  <si>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</si>
  <si>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</si>
  <si>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</si>
  <si>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</si>
  <si>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</si>
  <si>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</si>
  <si>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</si>
  <si>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</si>
  <si>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</si>
  <si>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</si>
  <si>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</si>
  <si>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</si>
  <si>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</si>
  <si>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</si>
  <si>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</si>
  <si>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</si>
  <si>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</si>
  <si>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</si>
  <si>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</si>
  <si>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</si>
  <si>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</si>
  <si>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</si>
  <si>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</si>
  <si>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</si>
  <si>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</si>
  <si>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</si>
  <si>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</si>
  <si>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</si>
  <si>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</si>
  <si>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</si>
  <si>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</si>
  <si>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</si>
  <si>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</si>
  <si>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</si>
  <si>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</si>
  <si>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</si>
  <si>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</si>
  <si>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</si>
  <si>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</si>
  <si>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</si>
  <si>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</si>
  <si>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</si>
  <si>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</si>
  <si>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</si>
  <si>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</si>
  <si>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</si>
  <si>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</si>
  <si>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</si>
  <si>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</si>
  <si>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</si>
  <si>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</si>
  <si>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</si>
  <si>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</si>
  <si>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</si>
  <si>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</si>
  <si>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</si>
  <si>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</si>
  <si>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</si>
  <si>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</si>
  <si>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</si>
  <si>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</si>
  <si>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</si>
  <si>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</si>
  <si>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</si>
  <si>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</si>
  <si>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</si>
  <si>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</si>
  <si>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</si>
  <si>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</si>
  <si>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</si>
  <si>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</si>
  <si>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</si>
  <si>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</si>
  <si>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</si>
  <si>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</si>
  <si>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</si>
  <si>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</si>
  <si>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</si>
  <si>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</si>
  <si>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</si>
  <si>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</si>
  <si>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</si>
  <si>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</si>
  <si>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</si>
  <si>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</si>
  <si>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</si>
  <si>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</si>
  <si>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</si>
  <si>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</si>
  <si>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</si>
  <si>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</si>
  <si>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</si>
  <si>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</si>
  <si>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</si>
  <si>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</si>
  <si>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</si>
  <si>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</si>
  <si>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</si>
  <si>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</si>
  <si>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</si>
  <si>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</si>
  <si>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</si>
  <si>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</si>
  <si>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</si>
  <si>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</si>
  <si>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</si>
  <si>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</si>
  <si>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</si>
  <si>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</si>
  <si>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</si>
  <si>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</si>
  <si>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</si>
  <si>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</si>
  <si>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</si>
  <si>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</si>
  <si>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</si>
  <si>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</si>
  <si>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</si>
  <si>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</si>
  <si>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</si>
  <si>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</si>
  <si>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</si>
  <si>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</si>
  <si>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</si>
  <si>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</si>
  <si>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</si>
  <si>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</si>
  <si>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</si>
  <si>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</si>
  <si>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</si>
  <si>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</si>
  <si>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</si>
  <si>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</si>
  <si>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</si>
  <si>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</si>
  <si>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</si>
  <si>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</si>
  <si>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</si>
  <si>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</si>
  <si>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</si>
  <si>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</si>
  <si>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</si>
  <si>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</si>
  <si>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</si>
  <si>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</si>
  <si>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</si>
  <si>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</si>
  <si>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</si>
  <si>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</si>
  <si>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</si>
  <si>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</si>
  <si>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</si>
  <si>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</si>
  <si>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</si>
  <si>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</si>
  <si>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</si>
  <si>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</si>
  <si>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</si>
  <si>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</si>
  <si>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</si>
  <si>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</si>
  <si>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</si>
  <si>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</si>
  <si>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</si>
  <si>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</si>
  <si>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</si>
  <si>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</si>
  <si>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</si>
  <si>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</si>
  <si>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</si>
  <si>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</si>
  <si>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</si>
  <si>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</si>
  <si>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</si>
  <si>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</si>
  <si>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</si>
  <si>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</si>
  <si>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</si>
  <si>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</si>
  <si>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</si>
  <si>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</si>
  <si>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</si>
  <si>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</si>
  <si>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</si>
  <si>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</si>
  <si>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</si>
  <si>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</si>
  <si>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</si>
  <si>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</si>
  <si>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</si>
  <si>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</si>
  <si>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</si>
  <si>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</si>
  <si>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</si>
  <si>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</si>
  <si>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</si>
  <si>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</si>
  <si>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</si>
  <si>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</si>
  <si>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</si>
  <si>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</si>
  <si>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</si>
  <si>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</si>
  <si>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</si>
  <si>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</si>
  <si>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</si>
  <si>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</si>
  <si>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</si>
  <si>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</si>
  <si>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</si>
  <si>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</si>
  <si>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</si>
  <si>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</si>
  <si>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</si>
  <si>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</si>
  <si>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</si>
  <si>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</si>
  <si>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</si>
  <si>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</si>
  <si>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</si>
  <si>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</si>
  <si>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</si>
  <si>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</si>
  <si>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</si>
  <si>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</si>
  <si>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</si>
  <si>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</si>
  <si>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</si>
  <si>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</si>
  <si>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</si>
  <si>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</si>
  <si>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</si>
  <si>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</si>
  <si>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</si>
  <si>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</si>
  <si>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</si>
  <si>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</si>
  <si>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</si>
  <si>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</si>
  <si>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</si>
  <si>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</si>
  <si>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</si>
  <si>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</si>
  <si>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</si>
  <si>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</si>
  <si>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</si>
  <si>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</si>
  <si>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</si>
  <si>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</si>
  <si>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</si>
  <si>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</si>
  <si>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</si>
  <si>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</si>
  <si>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</si>
  <si>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</si>
  <si>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</si>
  <si>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</si>
  <si>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</si>
  <si>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</si>
  <si>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</si>
  <si>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</si>
  <si>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</si>
  <si>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</si>
  <si>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</si>
  <si>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</si>
  <si>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</si>
  <si>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</si>
  <si>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</si>
  <si>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</si>
  <si>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</si>
  <si>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</si>
  <si>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</si>
  <si>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</si>
  <si>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</si>
  <si>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</si>
  <si>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</si>
  <si>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</si>
  <si>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</si>
  <si>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</si>
  <si>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</si>
  <si>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</si>
  <si>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</si>
  <si>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</si>
  <si>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</si>
  <si>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</si>
  <si>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</si>
  <si>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</si>
  <si>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</si>
  <si>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</si>
  <si>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</si>
  <si>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</si>
  <si>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</si>
  <si>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</si>
  <si>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</si>
  <si>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</si>
  <si>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matzah</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</si>
  <si>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</si>
  <si>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</si>
  <si>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</si>
  <si>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</si>
  <si>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</si>
  <si>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</si>
  <si>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</si>
  <si>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</si>
  <si>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</si>
  <si>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</si>
  <si>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</si>
  <si>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</si>
  <si>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</si>
  <si>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</si>
  <si>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</si>
  <si>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</si>
  <si>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</si>
  <si>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</si>
  <si>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</si>
  <si>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</si>
  <si>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</si>
  <si>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</si>
  <si>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</si>
  <si>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</si>
  <si>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</si>
  <si>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</si>
  <si>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</si>
  <si>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</si>
  <si>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</si>
  <si>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</si>
  <si>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</si>
  <si>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</si>
  <si>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</si>
  <si>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</si>
  <si>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</si>
  <si>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</si>
  <si>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</si>
  <si>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</si>
  <si>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</si>
  <si>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</si>
  <si>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</si>
  <si>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</si>
  <si>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</si>
  <si>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</si>
  <si>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</si>
  <si>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</si>
  <si>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</si>
  <si>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</si>
  <si>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</si>
  <si>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</si>
  <si>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</si>
  <si>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</si>
  <si>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</si>
  <si>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</si>
  <si>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</si>
  <si>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</si>
  <si>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</si>
  <si>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</si>
  <si>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</si>
  <si>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</si>
  <si>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</si>
  <si>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</si>
  <si>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</si>
  <si>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</si>
  <si>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</si>
  <si>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</si>
  <si>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</si>
  <si>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</si>
  <si>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</si>
  <si>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</si>
  <si>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</si>
  <si>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</si>
  <si>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</si>
  <si>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</si>
  <si>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</si>
  <si>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</si>
  <si>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</si>
  <si>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</si>
  <si>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</si>
  <si>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</si>
  <si>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</si>
  <si>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</si>
  <si>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</si>
  <si>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</si>
  <si>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</si>
  <si>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</si>
  <si>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</si>
  <si>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</si>
  <si>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</si>
  <si>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</si>
  <si>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</si>
  <si>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</si>
  <si>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</si>
  <si>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</si>
  <si>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</si>
  <si>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</si>
  <si>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</si>
  <si>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</si>
  <si>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</si>
  <si>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</si>
  <si>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</si>
  <si>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</si>
  <si>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</si>
  <si>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</si>
  <si>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</si>
  <si>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</si>
  <si>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</si>
  <si>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</si>
  <si>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</si>
  <si>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</si>
  <si>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</si>
  <si>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</si>
  <si>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</si>
  <si>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</si>
  <si>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</si>
  <si>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</si>
  <si>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</si>
  <si>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</si>
  <si>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</si>
  <si>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</si>
  <si>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</si>
  <si>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</si>
  <si>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</si>
  <si>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</si>
  <si>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</si>
  <si>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</si>
  <si>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</si>
  <si>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</si>
  <si>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</si>
  <si>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</si>
  <si>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</si>
  <si>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</si>
  <si>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</si>
  <si>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</si>
  <si>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</si>
  <si>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</si>
  <si>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</si>
  <si>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</si>
  <si>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</si>
  <si>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</si>
  <si>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</si>
  <si>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</si>
  <si>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</si>
  <si>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</si>
  <si>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</si>
  <si>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</si>
  <si>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</si>
  <si>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</si>
  <si>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</si>
  <si>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</si>
  <si>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</si>
  <si>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</si>
  <si>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</si>
  <si>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</si>
  <si>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</si>
  <si>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</si>
  <si>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</si>
  <si>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</si>
  <si>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</si>
  <si>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</si>
  <si>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</si>
  <si>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</si>
  <si>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</si>
  <si>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</si>
  <si>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</si>
  <si>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</si>
  <si>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</si>
  <si>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</si>
  <si>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</si>
  <si>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</si>
  <si>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</si>
  <si>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</si>
  <si>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</si>
  <si>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</si>
  <si>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</si>
  <si>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</si>
  <si>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</si>
  <si>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</si>
  <si>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</si>
  <si>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</si>
  <si>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</si>
  <si>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</si>
  <si>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</si>
  <si>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</si>
  <si>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</si>
  <si>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</si>
  <si>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</si>
  <si>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</si>
  <si>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</si>
  <si>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</si>
  <si>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</si>
  <si>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</si>
  <si>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</si>
  <si>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</si>
  <si>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</si>
  <si>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</si>
  <si>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</si>
  <si>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</si>
  <si>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</si>
  <si>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</si>
  <si>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</si>
  <si>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</si>
  <si>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</si>
  <si>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</si>
  <si>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</si>
  <si>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</si>
  <si>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</si>
  <si>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</si>
  <si>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</si>
  <si>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</si>
  <si>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</si>
  <si>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</si>
  <si>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</si>
  <si>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</si>
  <si>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</si>
  <si>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</si>
  <si>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</si>
  <si>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</si>
  <si>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</si>
  <si>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</si>
  <si>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</si>
  <si>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</si>
  <si>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</si>
  <si>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</si>
  <si>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</si>
  <si>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</si>
  <si>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</si>
  <si>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</si>
  <si>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</si>
  <si>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</si>
  <si>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</si>
  <si>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</si>
  <si>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</si>
  <si>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</si>
  <si>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</si>
  <si>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</si>
  <si>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</si>
  <si>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</si>
  <si>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</si>
  <si>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</si>
  <si>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</si>
  <si>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</si>
  <si>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</si>
  <si>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</si>
  <si>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</si>
  <si>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</si>
  <si>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</si>
  <si>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</si>
  <si>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</si>
  <si>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</si>
  <si>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</si>
  <si>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</si>
  <si>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</si>
  <si>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</si>
  <si>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</si>
  <si>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</si>
  <si>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</si>
  <si>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</si>
  <si>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</si>
  <si>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</si>
  <si>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</si>
  <si>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</si>
  <si>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</si>
  <si>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</si>
  <si>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</si>
  <si>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</si>
  <si>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</si>
  <si>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</si>
  <si>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</si>
  <si>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</si>
  <si>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</si>
  <si>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</si>
  <si>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</si>
  <si>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</si>
  <si>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</si>
  <si>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</si>
  <si>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</si>
  <si>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</si>
  <si>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</si>
  <si>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</si>
  <si>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</si>
  <si>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</si>
  <si>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</si>
  <si>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</si>
  <si>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</si>
  <si>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</si>
  <si>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</si>
  <si>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</si>
  <si>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</si>
  <si>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</si>
  <si>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</si>
  <si>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</si>
  <si>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</si>
  <si>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</si>
  <si>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</si>
  <si>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</si>
  <si>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</si>
  <si>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</si>
  <si>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</si>
  <si>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</si>
  <si>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</si>
  <si>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</si>
  <si>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</si>
  <si>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</si>
  <si>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</si>
  <si>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</si>
  <si>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</si>
  <si>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</si>
  <si>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</si>
  <si>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</si>
  <si>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</si>
  <si>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</si>
  <si>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</si>
  <si>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</si>
  <si>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</si>
  <si>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</si>
  <si>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</si>
  <si>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</si>
  <si>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</si>
  <si>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</si>
  <si>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</si>
  <si>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</si>
  <si>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</si>
  <si>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</si>
  <si>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</si>
  <si>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</si>
  <si>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</si>
  <si>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</si>
  <si>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</si>
  <si>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</si>
  <si>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</si>
  <si>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</si>
  <si>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</si>
  <si>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</si>
  <si>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</si>
  <si>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</si>
  <si>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</si>
  <si>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</si>
  <si>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</si>
  <si>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</si>
  <si>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</si>
  <si>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</si>
  <si>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</si>
  <si>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</si>
  <si>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</si>
  <si>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</si>
  <si>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</si>
  <si>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</si>
  <si>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</si>
  <si>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</si>
  <si>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</si>
  <si>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</si>
  <si>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</si>
  <si>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</si>
  <si>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</si>
  <si>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</si>
  <si>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</si>
  <si>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</si>
  <si>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</si>
  <si>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</si>
  <si>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</si>
  <si>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</si>
  <si>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</si>
  <si>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</si>
  <si>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</si>
  <si>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</si>
  <si>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</si>
  <si>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</si>
  <si>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</si>
  <si>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</si>
  <si>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</si>
  <si>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</si>
  <si>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</si>
  <si>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</si>
  <si>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</si>
  <si>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</si>
  <si>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</si>
  <si>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</si>
  <si>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</si>
  <si>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</si>
  <si>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</si>
  <si>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</si>
  <si>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</si>
  <si>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</si>
  <si>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</si>
  <si>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</si>
  <si>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</si>
  <si>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</si>
  <si>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</si>
  <si>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</si>
  <si>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</si>
  <si>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</si>
  <si>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</si>
  <si>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</si>
  <si>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</si>
  <si>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</si>
  <si>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</si>
  <si>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</si>
  <si>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</si>
  <si>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</si>
  <si>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</si>
  <si>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</si>
  <si>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</si>
  <si>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</si>
  <si>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</si>
  <si>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</si>
  <si>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</si>
  <si>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</si>
  <si>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</si>
  <si>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</si>
  <si>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</si>
  <si>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</si>
  <si>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</si>
  <si>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</si>
  <si>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</si>
  <si>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</si>
  <si>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</si>
  <si>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</si>
  <si>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</si>
  <si>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</si>
  <si>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</si>
  <si>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</si>
  <si>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</si>
  <si>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</si>
  <si>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</si>
  <si>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</si>
  <si>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</si>
  <si>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</si>
  <si>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</si>
  <si>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</si>
  <si>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</si>
  <si>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</si>
  <si>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</si>
  <si>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</si>
  <si>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</si>
  <si>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</si>
  <si>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</si>
  <si>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</si>
  <si>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</si>
  <si>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</si>
  <si>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</si>
  <si>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</si>
  <si>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</si>
  <si>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</si>
  <si>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</si>
  <si>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</si>
  <si>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</si>
  <si>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</si>
  <si>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</si>
  <si>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</si>
  <si>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</si>
  <si>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</si>
  <si>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</si>
  <si>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</si>
  <si>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</si>
  <si>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</si>
  <si>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</si>
  <si>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</si>
  <si>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</si>
  <si>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</si>
  <si>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</si>
  <si>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</si>
  <si>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</si>
  <si>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</si>
  <si>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</si>
  <si>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</si>
  <si>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</si>
  <si>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</si>
  <si>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</si>
  <si>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</si>
  <si>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</si>
  <si>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</si>
  <si>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</si>
  <si>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</si>
  <si>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</si>
  <si>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</si>
  <si>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</si>
  <si>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</si>
  <si>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</si>
  <si>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</si>
  <si>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</si>
  <si>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</si>
  <si>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</si>
  <si>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</si>
  <si>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</si>
  <si>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</si>
  <si>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</si>
  <si>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</si>
  <si>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</si>
  <si>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</si>
  <si>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</si>
  <si>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</si>
  <si>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</si>
  <si>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</si>
  <si>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</si>
  <si>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</si>
  <si>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</si>
  <si>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</si>
  <si>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</si>
  <si>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</si>
  <si>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</si>
  <si>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</si>
  <si>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</si>
  <si>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</si>
  <si>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</si>
  <si>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</si>
  <si>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</si>
  <si>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</si>
  <si>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</si>
  <si>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</si>
  <si>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</si>
  <si>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</si>
  <si>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</si>
  <si>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</si>
  <si>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</si>
  <si>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</si>
  <si>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</si>
  <si>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</si>
  <si>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</si>
  <si>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</si>
  <si>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</si>
  <si>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</si>
  <si>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</si>
  <si>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</si>
  <si>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</si>
  <si>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</si>
  <si>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</si>
  <si>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</si>
  <si>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</si>
  <si>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</si>
  <si>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</si>
  <si>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</si>
  <si>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</si>
  <si>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</si>
  <si>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</si>
  <si>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</si>
  <si>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</si>
  <si>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</si>
  <si>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</si>
  <si>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</si>
  <si>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</si>
  <si>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</si>
  <si>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</si>
  <si>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</si>
  <si>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</si>
  <si>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</si>
  <si>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</si>
  <si>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</si>
  <si>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</si>
  <si>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</si>
  <si>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</si>
  <si>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</si>
  <si>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</si>
  <si>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</si>
  <si>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</si>
  <si>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</si>
  <si>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</si>
  <si>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</si>
  <si>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</si>
  <si>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</si>
  <si>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</si>
  <si>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</si>
  <si>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</si>
  <si>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</si>
  <si>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</si>
  <si>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</si>
  <si>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</si>
  <si>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</si>
  <si>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</si>
  <si>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</si>
  <si>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</si>
  <si>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</si>
  <si>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</si>
  <si>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</si>
  <si>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</si>
  <si>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</si>
  <si>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</si>
  <si>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</si>
  <si>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</si>
  <si>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</si>
  <si>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</si>
  <si>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</si>
  <si>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</si>
  <si>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</si>
  <si>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</si>
  <si>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</si>
  <si>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</si>
  <si>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</si>
  <si>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</si>
  <si>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</si>
  <si>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</si>
  <si>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</si>
  <si>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</si>
  <si>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</si>
  <si>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</si>
  <si>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</si>
  <si>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</si>
  <si>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</si>
  <si>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</si>
  <si>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</si>
  <si>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</si>
  <si>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</si>
  <si>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</si>
  <si>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</si>
  <si>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</si>
  <si>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</si>
  <si>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</si>
  <si>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</si>
  <si>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</si>
  <si>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</si>
  <si>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</si>
  <si>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</si>
  <si>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</si>
  <si>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</si>
  <si>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</si>
  <si>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</si>
  <si>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</si>
  <si>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</si>
  <si>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</si>
  <si>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</si>
  <si>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</si>
  <si>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</si>
  <si>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</si>
  <si>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</si>
  <si>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</si>
  <si>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</si>
  <si>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</si>
  <si>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</si>
  <si>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</si>
  <si>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</si>
  <si>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</si>
  <si>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</si>
  <si>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</si>
  <si>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</si>
  <si>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</si>
  <si>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</si>
  <si>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</si>
  <si>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</si>
  <si>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</si>
  <si>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</si>
  <si>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</si>
  <si>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</si>
  <si>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</si>
  <si>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</si>
  <si>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</si>
  <si>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</si>
  <si>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</si>
  <si>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</si>
  <si>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</si>
  <si>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</si>
  <si>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</si>
  <si>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</si>
  <si>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</si>
  <si>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</si>
  <si>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</si>
  <si>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</si>
  <si>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</si>
  <si>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</si>
  <si>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</si>
  <si>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</si>
  <si>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</si>
  <si>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</si>
  <si>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</si>
  <si>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</si>
  <si>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</si>
  <si>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</si>
  <si>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</si>
  <si>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</si>
  <si>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</si>
  <si>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</si>
  <si>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</si>
  <si>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</si>
  <si>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</si>
  <si>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</si>
  <si>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</si>
  <si>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</si>
  <si>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</si>
  <si>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</si>
  <si>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</si>
  <si>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</si>
  <si>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</si>
  <si>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</si>
  <si>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</si>
  <si>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</si>
  <si>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</si>
  <si>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</si>
  <si>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</si>
  <si>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</si>
  <si>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</si>
  <si>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</si>
  <si>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</si>
  <si>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</si>
  <si>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</si>
  <si>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</si>
  <si>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</si>
  <si>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</si>
  <si>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</si>
  <si>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</si>
  <si>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</si>
  <si>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</si>
  <si>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</si>
  <si>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</si>
  <si>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</si>
  <si>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</si>
  <si>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</si>
  <si>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</si>
  <si>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</si>
  <si>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</si>
  <si>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</si>
  <si>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</si>
  <si>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</si>
  <si>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</si>
  <si>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</si>
  <si>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</si>
  <si>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</si>
  <si>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</si>
  <si>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</si>
  <si>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</si>
  <si>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</si>
  <si>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</si>
  <si>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</si>
  <si>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</si>
  <si>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</si>
  <si>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</si>
  <si>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</si>
  <si>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</si>
  <si>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</si>
  <si>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</si>
  <si>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</si>
  <si>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</si>
  <si>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</si>
  <si>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</si>
  <si>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</si>
  <si>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</si>
  <si>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</si>
  <si>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</si>
  <si>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</si>
  <si>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</si>
  <si>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</si>
  <si>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</si>
  <si>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</si>
  <si>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</si>
  <si>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</si>
  <si>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</si>
  <si>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</si>
  <si>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</si>
  <si>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</si>
  <si>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</si>
  <si>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</si>
  <si>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</si>
  <si>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</si>
  <si>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</si>
  <si>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</si>
  <si>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</si>
  <si>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</si>
  <si>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</si>
  <si>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</si>
  <si>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</si>
  <si>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</si>
  <si>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</si>
  <si>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</si>
  <si>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</si>
  <si>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</si>
  <si>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</si>
  <si>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</si>
  <si>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</si>
  <si>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</si>
  <si>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</si>
  <si>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</si>
  <si>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</si>
  <si>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</si>
  <si>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</si>
  <si>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</si>
  <si>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</si>
  <si>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</si>
  <si>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</si>
  <si>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</si>
  <si>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</si>
  <si>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</si>
  <si>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</si>
  <si>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</si>
  <si>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</si>
  <si>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</si>
  <si>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</si>
  <si>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</si>
  <si>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</si>
  <si>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</si>
  <si>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</si>
  <si>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</si>
  <si>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</si>
  <si>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</si>
  <si>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</si>
  <si>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</si>
  <si>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</si>
  <si>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</si>
  <si>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</si>
  <si>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</si>
  <si>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</si>
  <si>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</si>
  <si>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</si>
  <si>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</si>
  <si>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</si>
  <si>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</si>
  <si>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</si>
  <si>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</si>
  <si>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</si>
  <si>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</si>
  <si>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</si>
  <si>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</si>
  <si>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</si>
  <si>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</si>
  <si>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</si>
  <si>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</si>
  <si>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</si>
  <si>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</si>
  <si>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</si>
  <si>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</si>
  <si>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</si>
  <si>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</si>
  <si>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</si>
  <si>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</si>
  <si>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</si>
  <si>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</si>
  <si>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</si>
  <si>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</si>
  <si>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</si>
  <si>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</si>
  <si>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</si>
  <si>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</si>
  <si>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</si>
  <si>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</si>
  <si>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</si>
  <si>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</si>
  <si>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</si>
  <si>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</si>
  <si>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</si>
  <si>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</si>
  <si>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</si>
  <si>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</si>
  <si>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</si>
  <si>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</si>
  <si>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</si>
  <si>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</si>
  <si>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</si>
  <si>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</si>
  <si>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</si>
  <si>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</si>
  <si>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</si>
  <si>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</si>
  <si>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</si>
  <si>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</si>
  <si>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</si>
  <si>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</si>
  <si>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</si>
  <si>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</si>
  <si>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</si>
  <si>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</si>
  <si>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</si>
  <si>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</si>
  <si>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</si>
  <si>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</si>
  <si>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</si>
  <si>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</si>
  <si>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</si>
  <si>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</si>
  <si>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</si>
  <si>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</si>
  <si>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</si>
  <si>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</si>
  <si>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</si>
  <si>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</si>
  <si>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</si>
  <si>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</si>
  <si>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</si>
  <si>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</si>
  <si>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</si>
  <si>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</si>
  <si>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</si>
  <si>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</si>
  <si>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</si>
  <si>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</si>
  <si>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</si>
  <si>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</si>
  <si>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</si>
  <si>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</si>
  <si>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</si>
  <si>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</si>
  <si>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</si>
  <si>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</si>
  <si>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</si>
  <si>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</si>
  <si>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</si>
  <si>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</si>
  <si>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</si>
  <si>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</si>
  <si>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</si>
  <si>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</si>
  <si>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</si>
  <si>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</si>
  <si>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</si>
  <si>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</si>
  <si>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</si>
  <si>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</si>
  <si>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</si>
  <si>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</si>
  <si>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</si>
  <si>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</si>
  <si>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</si>
  <si>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</si>
  <si>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</si>
  <si>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</si>
  <si>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</si>
  <si>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</si>
  <si>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</si>
  <si>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</si>
  <si>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</si>
  <si>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</si>
  <si>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</si>
  <si>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</si>
  <si>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</si>
  <si>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</si>
  <si>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</si>
  <si>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</si>
  <si>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</si>
  <si>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</si>
  <si>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</si>
  <si>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</si>
  <si>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</si>
  <si>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</si>
  <si>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</si>
  <si>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</si>
  <si>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</si>
  <si>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</si>
  <si>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</si>
  <si>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</si>
  <si>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</si>
  <si>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</si>
  <si>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</si>
  <si>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</si>
  <si>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</si>
  <si>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</si>
  <si>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</si>
  <si>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</si>
  <si>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</si>
  <si>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</si>
  <si>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</si>
  <si>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</si>
  <si>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</si>
  <si>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</si>
  <si>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</si>
  <si>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</si>
  <si>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</si>
  <si>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</si>
  <si>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</si>
  <si>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</si>
  <si>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</si>
  <si>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</si>
  <si>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</si>
  <si>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</si>
  <si>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</si>
  <si>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</si>
  <si>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</si>
  <si>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</si>
  <si>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</si>
  <si>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</si>
  <si>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</si>
  <si>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</si>
  <si>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</si>
  <si>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</si>
  <si>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</si>
  <si>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</si>
  <si>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</si>
  <si>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</si>
  <si>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</si>
  <si>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</si>
  <si>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</si>
  <si>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</si>
  <si>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</si>
  <si>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</si>
  <si>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</si>
  <si>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</si>
  <si>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</si>
  <si>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</si>
  <si>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</si>
  <si>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</si>
  <si>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</si>
  <si>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</si>
  <si>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</si>
  <si>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</si>
  <si>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</si>
  <si>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</si>
  <si>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</si>
  <si>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</si>
  <si>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</si>
  <si>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</si>
  <si>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</si>
  <si>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</si>
  <si>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</si>
  <si>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</si>
  <si>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</si>
  <si>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</si>
  <si>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</si>
  <si>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</si>
  <si>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</si>
  <si>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</si>
  <si>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</si>
  <si>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</si>
  <si>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</si>
  <si>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</si>
  <si>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</si>
  <si>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</si>
  <si>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</si>
  <si>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</si>
  <si>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</si>
  <si>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</si>
  <si>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</si>
  <si>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</si>
  <si>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</si>
  <si>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</si>
  <si>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</si>
  <si>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</si>
  <si>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</si>
  <si>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</si>
  <si>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</si>
  <si>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</si>
  <si>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</si>
  <si>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</si>
  <si>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</si>
  <si>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</si>
  <si>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</si>
  <si>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</si>
  <si>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</si>
  <si>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</si>
  <si>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</si>
  <si>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</si>
  <si>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</si>
  <si>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</si>
  <si>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</si>
  <si>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</si>
  <si>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</si>
  <si>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</si>
  <si>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</si>
  <si>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</si>
  <si>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</si>
  <si>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</si>
  <si>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</si>
  <si>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</si>
  <si>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</si>
  <si>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</si>
  <si>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</si>
  <si>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</si>
  <si>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</si>
  <si>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</si>
  <si>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</si>
  <si>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</si>
  <si>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</si>
  <si>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</si>
  <si>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</si>
  <si>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</si>
  <si>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</si>
  <si>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</si>
  <si>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</si>
  <si>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</si>
  <si>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</si>
  <si>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</si>
  <si>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</si>
  <si>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</si>
  <si>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</si>
  <si>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</si>
  <si>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</si>
  <si>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</si>
  <si>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</si>
  <si>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</si>
  <si>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</si>
  <si>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</si>
  <si>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</si>
  <si>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</si>
  <si>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</si>
  <si>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</si>
  <si>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</si>
  <si>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</si>
  <si>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</si>
  <si>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</si>
  <si>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</si>
  <si>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</si>
  <si>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</si>
  <si>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</si>
  <si>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</si>
  <si>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</si>
  <si>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</si>
  <si>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</si>
  <si>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</si>
  <si>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</si>
  <si>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</si>
  <si>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</si>
  <si>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</si>
  <si>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</si>
  <si>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</si>
  <si>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</si>
  <si>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</si>
  <si>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</si>
  <si>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</si>
  <si>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</si>
  <si>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</si>
  <si>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</si>
  <si>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</si>
  <si>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</si>
  <si>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</si>
  <si>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</si>
  <si>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</si>
  <si>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</si>
  <si>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</si>
  <si>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</si>
  <si>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</si>
  <si>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</si>
  <si>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</si>
  <si>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</si>
  <si>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</si>
  <si>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</si>
  <si>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</si>
  <si>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</si>
  <si>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</si>
  <si>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</si>
  <si>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</si>
  <si>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</si>
  <si>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</si>
  <si>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</si>
  <si>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</si>
  <si>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</si>
  <si>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</si>
  <si>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</si>
  <si>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</si>
  <si>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</si>
  <si>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</si>
  <si>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</si>
  <si>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</si>
  <si>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</si>
  <si>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</si>
  <si>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</si>
  <si>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</si>
  <si>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</si>
  <si>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</si>
  <si>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</si>
  <si>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</si>
  <si>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</si>
  <si>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</si>
  <si>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</si>
  <si>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</si>
  <si>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</si>
  <si>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</si>
  <si>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</si>
  <si>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</si>
  <si>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</si>
  <si>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</si>
  <si>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</si>
  <si>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</si>
  <si>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</si>
  <si>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</si>
  <si>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</si>
  <si>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</si>
  <si>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</si>
  <si>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</si>
  <si>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</si>
  <si>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</si>
  <si>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</si>
  <si>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</si>
  <si>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</si>
  <si>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</si>
  <si>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</si>
  <si>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</si>
  <si>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</si>
  <si>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</si>
  <si>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</si>
  <si>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</si>
  <si>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</si>
  <si>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</si>
  <si>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</si>
  <si>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</si>
  <si>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</si>
  <si>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</si>
  <si>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</si>
  <si>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</si>
  <si>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</si>
  <si>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</si>
  <si>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</si>
  <si>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</si>
  <si>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</si>
  <si>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</si>
  <si>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</si>
  <si>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</si>
  <si>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</si>
  <si>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</si>
  <si>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</si>
  <si>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</si>
  <si>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</si>
  <si>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</si>
  <si>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</si>
  <si>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</si>
  <si>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</si>
  <si>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</si>
  <si>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</si>
  <si>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</si>
  <si>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</si>
  <si>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</si>
  <si>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</si>
  <si>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</si>
  <si>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</si>
  <si>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</si>
  <si>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</si>
  <si>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</si>
  <si>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</si>
  <si>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</si>
  <si>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</si>
  <si>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</si>
  <si>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</si>
  <si>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</si>
  <si>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</si>
  <si>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</si>
  <si>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</si>
  <si>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</si>
  <si>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</si>
  <si>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</si>
  <si>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</si>
  <si>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</si>
  <si>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</si>
  <si>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</si>
  <si>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</si>
  <si>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</si>
  <si>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</si>
  <si>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</si>
  <si>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</si>
  <si>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</si>
  <si>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</si>
  <si>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</si>
  <si>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</si>
  <si>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</si>
  <si>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</si>
  <si>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</si>
  <si>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</si>
  <si>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</si>
  <si>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</si>
  <si>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</si>
  <si>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</si>
  <si>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</si>
  <si>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</si>
  <si>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</si>
  <si>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</si>
  <si>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</si>
  <si>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</si>
  <si>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</si>
  <si>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</si>
  <si>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</si>
  <si>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</si>
  <si>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</si>
  <si>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</si>
  <si>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</si>
  <si>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</si>
  <si>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</si>
  <si>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</si>
  <si>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</si>
  <si>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</si>
  <si>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</si>
  <si>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</si>
  <si>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</si>
  <si>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</si>
  <si>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</si>
  <si>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</si>
  <si>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</si>
  <si>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</si>
  <si>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</si>
  <si>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</si>
  <si>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</si>
  <si>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</si>
  <si>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</si>
  <si>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</si>
  <si>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</si>
  <si>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</si>
  <si>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</si>
  <si>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</si>
  <si>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</si>
  <si>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</si>
  <si>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</si>
  <si>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</si>
  <si>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</si>
  <si>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</si>
  <si>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</si>
  <si>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</si>
  <si>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</si>
  <si>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</si>
  <si>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</si>
  <si>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</si>
  <si>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</si>
  <si>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</si>
  <si>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</si>
  <si>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</si>
  <si>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</si>
  <si>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</si>
  <si>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</si>
  <si>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</si>
  <si>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</si>
  <si>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</si>
  <si>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</si>
  <si>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</si>
  <si>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</si>
  <si>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</si>
  <si>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</si>
  <si>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</si>
  <si>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</si>
  <si>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</si>
  <si>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</si>
  <si>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</si>
  <si>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</si>
  <si>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</si>
  <si>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</si>
  <si>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</si>
  <si>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</si>
  <si>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</si>
  <si>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</si>
  <si>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</si>
  <si>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</si>
  <si>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</si>
  <si>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</si>
  <si>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</si>
  <si>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</si>
  <si>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</si>
  <si>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</si>
  <si>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</si>
  <si>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</si>
  <si>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</si>
  <si>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</si>
  <si>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</si>
  <si>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</si>
  <si>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</si>
  <si>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</si>
  <si>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</si>
  <si>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</si>
  <si>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</si>
  <si>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</si>
  <si>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</si>
  <si>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</si>
  <si>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</si>
  <si>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</si>
  <si>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</si>
  <si>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</si>
  <si>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</si>
  <si>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</si>
  <si>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</si>
  <si>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</si>
  <si>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</si>
  <si>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</si>
  <si>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</si>
  <si>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</si>
  <si>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</si>
  <si>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</si>
  <si>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</si>
  <si>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</si>
  <si>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</si>
  <si>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</si>
  <si>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</si>
  <si>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</si>
  <si>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</si>
  <si>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</si>
  <si>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</si>
  <si>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</si>
  <si>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</si>
  <si>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</si>
  <si>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</si>
  <si>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</si>
  <si>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</si>
  <si>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</si>
  <si>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</si>
  <si>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</si>
  <si>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</si>
  <si>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</si>
  <si>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</si>
  <si>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</si>
  <si>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</si>
  <si>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</si>
  <si>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</si>
  <si>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</si>
  <si>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</si>
  <si>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</si>
  <si>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</si>
  <si>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</si>
  <si>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</si>
  <si>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</si>
  <si>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</si>
  <si>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</si>
  <si>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</si>
  <si>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</si>
  <si>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</si>
  <si>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</si>
  <si>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</si>
  <si>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</si>
  <si>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</si>
  <si>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</si>
  <si>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</si>
  <si>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</si>
  <si>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</si>
  <si>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</si>
  <si>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</si>
  <si>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</si>
  <si>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</si>
  <si>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</si>
  <si>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</si>
  <si>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</si>
  <si>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</si>
  <si>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</si>
  <si>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</si>
  <si>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</si>
  <si>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</si>
  <si>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</si>
  <si>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</si>
  <si>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</si>
  <si>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</si>
  <si>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</si>
  <si>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</si>
  <si>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</si>
  <si>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</si>
  <si>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</si>
  <si>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</si>
  <si>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</si>
  <si>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</si>
  <si>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</si>
  <si>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</si>
  <si>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</si>
  <si>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</si>
  <si>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</si>
  <si>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</si>
  <si>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</si>
  <si>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</si>
  <si>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</si>
  <si>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</si>
  <si>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</si>
  <si>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</si>
  <si>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</si>
  <si>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</si>
  <si>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</si>
  <si>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</si>
  <si>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</si>
  <si>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</si>
  <si>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</si>
  <si>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</si>
  <si>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</si>
  <si>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</si>
  <si>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</si>
  <si>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</si>
  <si>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</si>
  <si>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</si>
  <si>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</si>
  <si>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</si>
  <si>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</si>
  <si>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</si>
  <si>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</si>
  <si>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</si>
  <si>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</si>
  <si>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</si>
  <si>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</si>
  <si>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</si>
  <si>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</si>
  <si>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</si>
  <si>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</si>
  <si>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</si>
  <si>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</si>
  <si>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</si>
  <si>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</si>
  <si>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</si>
  <si>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</si>
  <si>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</si>
  <si>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</si>
  <si>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</si>
  <si>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</si>
  <si>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</si>
  <si>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</si>
  <si>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</si>
  <si>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</si>
  <si>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</si>
  <si>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</si>
  <si>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</si>
  <si>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</si>
  <si>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</si>
  <si>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</si>
  <si>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</si>
  <si>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</si>
  <si>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</si>
  <si>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</si>
  <si>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</si>
  <si>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</si>
  <si>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</si>
  <si>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</si>
  <si>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</si>
  <si>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</si>
  <si>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</si>
  <si>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</si>
  <si>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</si>
  <si>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</si>
  <si>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</si>
  <si>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</si>
  <si>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</si>
  <si>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</si>
  <si>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</si>
  <si>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</si>
  <si>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</si>
  <si>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</si>
  <si>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</si>
  <si>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</si>
  <si>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</si>
  <si>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</si>
  <si>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</si>
  <si>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</si>
  <si>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</si>
  <si>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</si>
  <si>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</si>
  <si>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</si>
  <si>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</si>
  <si>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</si>
  <si>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</si>
  <si>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</si>
  <si>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</si>
  <si>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</si>
  <si>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</si>
  <si>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</si>
  <si>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</si>
  <si>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</si>
  <si>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</si>
  <si>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</si>
  <si>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</si>
  <si>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</si>
  <si>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</si>
  <si>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</si>
  <si>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</si>
  <si>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</si>
  <si>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</si>
  <si>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</si>
  <si>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</si>
  <si>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</si>
  <si>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</si>
  <si>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</si>
  <si>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</si>
  <si>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</si>
  <si>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</si>
  <si>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</si>
  <si>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</si>
  <si>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</si>
  <si>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</si>
  <si>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</si>
  <si>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</si>
  <si>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</si>
  <si>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</si>
  <si>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</si>
  <si>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</si>
  <si>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</si>
  <si>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</si>
  <si>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</si>
  <si>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</si>
  <si>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</si>
  <si>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</si>
  <si>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</si>
  <si>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</si>
  <si>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</si>
  <si>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</si>
  <si>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</si>
  <si>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</si>
  <si>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</si>
  <si>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</si>
  <si>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</si>
  <si>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</si>
  <si>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</si>
  <si>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</si>
  <si>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</si>
  <si>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</si>
  <si>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</si>
  <si>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</si>
  <si>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</si>
  <si>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</si>
  <si>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</si>
  <si>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</si>
  <si>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</si>
  <si>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</si>
  <si>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</si>
  <si>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</si>
  <si>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</si>
  <si>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</si>
  <si>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</si>
  <si>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</si>
  <si>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</si>
  <si>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</si>
  <si>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</si>
  <si>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</si>
  <si>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</si>
  <si>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</si>
  <si>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</si>
  <si>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</si>
  <si>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</si>
  <si>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</si>
  <si>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</si>
  <si>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</si>
  <si>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</si>
  <si>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</si>
  <si>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</si>
  <si>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</si>
  <si>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</si>
  <si>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</si>
  <si>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</si>
  <si>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</si>
  <si>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</si>
  <si>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</si>
  <si>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</si>
  <si>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</si>
  <si>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</si>
  <si>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</si>
  <si>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</si>
  <si>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</si>
  <si>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</si>
  <si>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</si>
  <si>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</si>
  <si>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</si>
  <si>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</si>
  <si>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</si>
  <si>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</si>
  <si>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</si>
  <si>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</si>
  <si>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</si>
  <si>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</si>
  <si>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</si>
  <si>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</si>
  <si>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</si>
  <si>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</si>
  <si>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</si>
  <si>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</si>
  <si>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</si>
  <si>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</si>
  <si>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</si>
  <si>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</si>
  <si>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</si>
  <si>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</si>
  <si>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</si>
  <si>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</si>
  <si>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</si>
  <si>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</si>
  <si>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</si>
  <si>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</si>
  <si>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</si>
  <si>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</si>
  <si>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</si>
  <si>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</si>
  <si>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</si>
  <si>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</si>
  <si>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</si>
  <si>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</si>
  <si>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</si>
  <si>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</si>
  <si>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</si>
  <si>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</si>
  <si>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</si>
  <si>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</si>
  <si>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</si>
  <si>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</si>
  <si>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</si>
  <si>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</si>
  <si>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</si>
  <si>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</si>
  <si>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</si>
  <si>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</si>
  <si>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</si>
  <si>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</si>
  <si>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</si>
  <si>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</si>
  <si>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</si>
  <si>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</si>
  <si>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</si>
  <si>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</si>
  <si>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</si>
  <si>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</si>
  <si>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</si>
  <si>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</si>
  <si>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</si>
  <si>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</si>
  <si>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</si>
  <si>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</si>
  <si>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</si>
  <si>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</si>
  <si>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</si>
  <si>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</si>
  <si>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</si>
  <si>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</si>
  <si>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</si>
  <si>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</si>
  <si>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</si>
  <si>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</si>
  <si>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</si>
  <si>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</si>
  <si>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</si>
  <si>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</si>
  <si>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</si>
  <si>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</si>
  <si>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</si>
  <si>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</si>
  <si>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</si>
  <si>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</si>
  <si>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</si>
  <si>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</si>
  <si>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</si>
  <si>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</si>
  <si>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</si>
  <si>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</si>
  <si>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</si>
  <si>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</si>
  <si>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</si>
  <si>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</si>
  <si>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</si>
  <si>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</si>
  <si>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</si>
  <si>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</si>
  <si>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</si>
  <si>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</si>
  <si>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</si>
  <si>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</si>
  <si>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</si>
  <si>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</si>
  <si>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</si>
  <si>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</si>
  <si>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</si>
  <si>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</si>
  <si>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</si>
  <si>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</si>
  <si>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</si>
  <si>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</si>
  <si>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</si>
  <si>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</si>
  <si>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</si>
  <si>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</si>
  <si>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</si>
  <si>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</si>
  <si>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</si>
  <si>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</si>
  <si>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</si>
  <si>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</si>
  <si>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</si>
  <si>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</si>
  <si>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</si>
  <si>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</si>
  <si>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</si>
  <si>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</si>
  <si>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</si>
  <si>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</si>
  <si>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</si>
  <si>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</si>
  <si>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</si>
  <si>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</si>
  <si>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</si>
  <si>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</si>
  <si>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</si>
  <si>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</si>
  <si>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</si>
  <si>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</si>
  <si>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</si>
  <si>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</si>
  <si>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</si>
  <si>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</si>
  <si>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</si>
  <si>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</si>
  <si>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</si>
  <si>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</si>
  <si>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</si>
  <si>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</si>
  <si>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</si>
  <si>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</si>
  <si>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</si>
  <si>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</si>
  <si>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</si>
  <si>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</si>
  <si>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</si>
  <si>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</si>
  <si>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</si>
  <si>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</si>
  <si>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</si>
  <si>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</si>
  <si>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</si>
  <si>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</si>
  <si>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</si>
  <si>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</si>
  <si>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</si>
  <si>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</si>
  <si>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</si>
  <si>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</si>
  <si>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</si>
  <si>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</si>
  <si>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</si>
  <si>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</si>
  <si>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</si>
  <si>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</si>
  <si>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</si>
  <si>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</si>
  <si>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</si>
  <si>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</si>
  <si>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</si>
  <si>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</si>
  <si>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</si>
  <si>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</si>
  <si>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</si>
  <si>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</si>
  <si>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</si>
  <si>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</si>
  <si>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</si>
  <si>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</si>
  <si>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</si>
  <si>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</si>
  <si>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</si>
  <si>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</si>
  <si>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</si>
  <si>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</si>
  <si>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</si>
  <si>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</si>
  <si>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</si>
  <si>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</si>
  <si>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</si>
  <si>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</si>
  <si>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</si>
  <si>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</si>
  <si>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</si>
  <si>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</si>
  <si>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</si>
  <si>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</si>
  <si>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</si>
  <si>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</si>
  <si>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</si>
  <si>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</si>
  <si>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</si>
  <si>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</si>
  <si>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</si>
  <si>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</si>
  <si>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</si>
  <si>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</si>
  <si>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</si>
  <si>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</si>
  <si>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</si>
  <si>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</si>
  <si>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</si>
  <si>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</si>
  <si>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</si>
  <si>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</si>
  <si>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</si>
  <si>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</si>
  <si>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</si>
  <si>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</si>
  <si>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</si>
  <si>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</si>
  <si>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</si>
  <si>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</si>
  <si>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</si>
  <si>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</si>
  <si>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</si>
  <si>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</si>
  <si>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</si>
  <si>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</si>
  <si>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</si>
  <si>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</si>
  <si>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</si>
  <si>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</si>
  <si>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</si>
  <si>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</si>
  <si>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</si>
  <si>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</si>
  <si>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</si>
  <si>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</si>
  <si>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</si>
  <si>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</si>
  <si>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</si>
  <si>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</si>
  <si>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</si>
  <si>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</si>
  <si>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</si>
  <si>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</si>
  <si>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</si>
  <si>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</si>
  <si>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</si>
  <si>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</si>
  <si>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</si>
  <si>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</si>
  <si>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</si>
  <si>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</si>
  <si>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</si>
  <si>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</si>
  <si>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</si>
  <si>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</si>
  <si>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</si>
  <si>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</si>
  <si>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</si>
  <si>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</si>
  <si>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</si>
  <si>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</si>
  <si>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</si>
  <si>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</si>
  <si>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</si>
  <si>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</si>
  <si>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</si>
  <si>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</si>
  <si>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</si>
  <si>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</si>
  <si>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</si>
  <si>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</si>
  <si>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</si>
  <si>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</si>
  <si>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</si>
  <si>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</si>
  <si>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</si>
  <si>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</si>
  <si>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</si>
  <si>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</si>
  <si>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</si>
  <si>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</si>
  <si>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</si>
  <si>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</si>
  <si>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</si>
  <si>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</si>
  <si>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</si>
  <si>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</si>
  <si>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</si>
  <si>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</si>
  <si>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</si>
  <si>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</si>
  <si>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</si>
  <si>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</si>
  <si>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</si>
  <si>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</si>
  <si>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</si>
  <si>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</si>
  <si>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</si>
  <si>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</si>
  <si>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</si>
  <si>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</si>
  <si>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</si>
  <si>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</si>
  <si>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</si>
  <si>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</si>
  <si>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</si>
  <si>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</si>
  <si>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</si>
  <si>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</si>
  <si>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</si>
  <si>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</si>
  <si>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</si>
  <si>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</si>
  <si>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</si>
  <si>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</si>
  <si>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</si>
  <si>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</si>
  <si>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</si>
  <si>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</si>
  <si>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</si>
  <si>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</si>
  <si>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</si>
  <si>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</si>
  <si>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</si>
  <si>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</si>
  <si>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</si>
  <si>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</si>
  <si>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</si>
  <si>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</si>
  <si>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</si>
  <si>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</si>
  <si>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</si>
  <si>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</si>
  <si>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</si>
  <si>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</si>
  <si>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</si>
  <si>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</si>
  <si>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</si>
  <si>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</si>
  <si>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</si>
  <si>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</si>
  <si>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</si>
  <si>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</si>
  <si>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</si>
  <si>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</si>
  <si>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</si>
  <si>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</si>
  <si>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</si>
  <si>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</si>
  <si>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</si>
  <si>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</si>
  <si>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</si>
  <si>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</si>
  <si>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</si>
  <si>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</si>
  <si>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</si>
  <si>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</si>
  <si>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</si>
  <si>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</si>
  <si>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</si>
  <si>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</si>
  <si>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</si>
  <si>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</si>
  <si>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</si>
  <si>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</si>
  <si>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</si>
  <si>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</si>
  <si>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</si>
  <si>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</si>
  <si>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</si>
  <si>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</si>
  <si>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</si>
  <si>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</si>
  <si>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</si>
  <si>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</si>
  <si>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</si>
  <si>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</si>
  <si>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</si>
  <si>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</si>
  <si>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</si>
  <si>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</si>
  <si>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</si>
  <si>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</si>
  <si>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</si>
  <si>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</si>
  <si>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</si>
  <si>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</si>
  <si>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</si>
  <si>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</si>
  <si>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</si>
  <si>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</si>
  <si>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</si>
  <si>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</si>
  <si>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</si>
  <si>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</si>
  <si>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</si>
  <si>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</si>
  <si>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</si>
  <si>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</si>
  <si>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</si>
  <si>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</si>
  <si>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</si>
  <si>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</si>
  <si>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</si>
  <si>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</si>
  <si>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</si>
  <si>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</si>
  <si>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</si>
  <si>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</si>
  <si>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</si>
  <si>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</si>
  <si>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</si>
  <si>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</si>
  <si>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</si>
  <si>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</si>
  <si>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</si>
  <si>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</si>
  <si>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</si>
  <si>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</si>
  <si>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</si>
  <si>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</si>
  <si>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</si>
  <si>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</si>
  <si>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</si>
  <si>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</si>
  <si>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</si>
  <si>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</si>
  <si>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</si>
  <si>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</si>
  <si>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</si>
  <si>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</si>
  <si>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</si>
  <si>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</si>
  <si>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</si>
  <si>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</si>
  <si>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</si>
  <si>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</si>
  <si>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</si>
  <si>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</si>
  <si>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</si>
  <si>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</si>
  <si>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</si>
  <si>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</si>
  <si>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</si>
  <si>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</si>
  <si>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</si>
  <si>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</si>
  <si>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</si>
  <si>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</si>
  <si>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</si>
  <si>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</si>
  <si>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</si>
  <si>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</si>
  <si>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</si>
  <si>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</si>
  <si>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</si>
  <si>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</si>
  <si>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</si>
  <si>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</si>
  <si>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</si>
  <si>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</si>
  <si>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</si>
  <si>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</si>
  <si>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</si>
  <si>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</si>
  <si>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</si>
  <si>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</si>
  <si>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</si>
  <si>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</si>
  <si>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</si>
  <si>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</si>
  <si>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</si>
  <si>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</si>
  <si>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</si>
  <si>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</si>
  <si>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</si>
  <si>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</si>
  <si>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</si>
  <si>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</si>
  <si>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</si>
  <si>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</si>
  <si>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</si>
  <si>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</si>
  <si>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</si>
  <si>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</si>
  <si>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</si>
  <si>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</si>
  <si>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</si>
  <si>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</si>
  <si>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</si>
  <si>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</si>
  <si>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</si>
  <si>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</si>
  <si>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</si>
  <si>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</si>
  <si>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</si>
  <si>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</si>
  <si>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</si>
  <si>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</si>
  <si>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</si>
  <si>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</si>
  <si>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</si>
  <si>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</si>
  <si>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</si>
  <si>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</si>
  <si>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</si>
  <si>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</si>
  <si>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</si>
  <si>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</si>
  <si>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</si>
  <si>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</si>
  <si>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</si>
  <si>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</si>
  <si>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</si>
  <si>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</si>
  <si>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</si>
  <si>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</si>
  <si>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</si>
  <si>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</si>
  <si>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</si>
  <si>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</si>
  <si>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</si>
  <si>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</si>
  <si>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</si>
  <si>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</si>
  <si>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</si>
  <si>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</si>
  <si>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</si>
  <si>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</si>
  <si>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</si>
  <si>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</si>
  <si>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</si>
  <si>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</si>
  <si>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</si>
  <si>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</si>
  <si>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</si>
  <si>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</si>
  <si>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</si>
  <si>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</si>
  <si>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</si>
  <si>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</si>
  <si>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</si>
  <si>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</si>
  <si>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</si>
  <si>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</si>
  <si>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</si>
  <si>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chisolani</t>
  </si>
  <si>
    <t>Carlavirus chloroipomoeae</t>
  </si>
  <si>
    <t>Carlavirus colei</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</si>
  <si>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</si>
  <si>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</si>
  <si>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</si>
  <si>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</si>
  <si>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</si>
  <si>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</si>
  <si>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</si>
  <si>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</si>
  <si>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</si>
  <si>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</si>
  <si>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</si>
  <si>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</si>
  <si>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</si>
  <si>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</si>
  <si>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</si>
  <si>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</si>
  <si>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</si>
  <si>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</si>
  <si>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</si>
  <si>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</si>
  <si>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</si>
  <si>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</si>
  <si>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</si>
  <si>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</si>
  <si>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</si>
  <si>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</si>
  <si>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</si>
  <si>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</si>
  <si>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</si>
  <si>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</si>
  <si>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</si>
  <si>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</si>
  <si>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</si>
  <si>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</si>
  <si>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</si>
  <si>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</si>
  <si>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</si>
  <si>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</si>
  <si>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</si>
  <si>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</si>
  <si>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</si>
  <si>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</si>
  <si>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</si>
  <si>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</si>
  <si>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</si>
  <si>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</si>
  <si>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</si>
  <si>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</si>
  <si>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</si>
  <si>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</si>
  <si>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</si>
  <si>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</si>
  <si>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</si>
  <si>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</si>
  <si>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</si>
  <si>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</si>
  <si>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</si>
  <si>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</si>
  <si>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</si>
  <si>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</si>
  <si>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</si>
  <si>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</si>
  <si>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</si>
  <si>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</si>
  <si>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</si>
  <si>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</si>
  <si>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</si>
  <si>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</si>
  <si>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</si>
  <si>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</si>
  <si>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</si>
  <si>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</si>
  <si>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</si>
  <si>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</si>
  <si>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</si>
  <si>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</si>
  <si>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</si>
  <si>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</si>
  <si>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</si>
  <si>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</si>
  <si>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</si>
  <si>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</si>
  <si>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</si>
  <si>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</si>
  <si>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</si>
  <si>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</si>
  <si>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</si>
  <si>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</si>
  <si>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</si>
  <si>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</si>
  <si>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</si>
  <si>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</si>
  <si>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</si>
  <si>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</si>
  <si>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</si>
  <si>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</si>
  <si>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</si>
  <si>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</si>
  <si>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</si>
  <si>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</si>
  <si>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</si>
  <si>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</si>
  <si>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</si>
  <si>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</si>
  <si>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</si>
  <si>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</si>
  <si>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</si>
  <si>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</si>
  <si>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</si>
  <si>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</si>
  <si>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</si>
  <si>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</si>
  <si>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</si>
  <si>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</si>
  <si>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</si>
  <si>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</si>
  <si>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</si>
  <si>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</si>
  <si>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</si>
  <si>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</si>
  <si>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</si>
  <si>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</si>
  <si>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</si>
  <si>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</si>
  <si>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</si>
  <si>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</si>
  <si>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</si>
  <si>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</si>
  <si>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</si>
  <si>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</si>
  <si>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</si>
  <si>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</si>
  <si>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</si>
  <si>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</si>
  <si>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</si>
  <si>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</si>
  <si>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</si>
  <si>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</si>
  <si>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</si>
  <si>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</si>
  <si>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</si>
  <si>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</si>
  <si>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</si>
  <si>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</si>
  <si>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</si>
  <si>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</si>
  <si>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</si>
  <si>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</si>
  <si>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</si>
  <si>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</si>
  <si>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</si>
  <si>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</si>
  <si>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</si>
  <si>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</si>
  <si>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</si>
  <si>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</si>
  <si>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</si>
  <si>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</si>
  <si>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</si>
  <si>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</si>
  <si>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</si>
  <si>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</si>
  <si>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</si>
  <si>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</si>
  <si>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</si>
  <si>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</si>
  <si>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</si>
  <si>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</si>
  <si>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</si>
  <si>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</si>
  <si>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</si>
  <si>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</si>
  <si>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</si>
  <si>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</si>
  <si>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</si>
  <si>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</si>
  <si>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</si>
  <si>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</si>
  <si>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</si>
  <si>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</si>
  <si>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</si>
  <si>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</si>
  <si>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</si>
  <si>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</si>
  <si>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</si>
  <si>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</si>
  <si>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</si>
  <si>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</si>
  <si>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</si>
  <si>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</si>
  <si>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</si>
  <si>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</si>
  <si>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</si>
  <si>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</si>
  <si>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</si>
  <si>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</si>
  <si>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</si>
  <si>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</si>
  <si>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</si>
  <si>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</si>
  <si>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</si>
  <si>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</si>
  <si>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</si>
  <si>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</si>
  <si>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</si>
  <si>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</si>
  <si>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</si>
  <si>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</si>
  <si>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</si>
  <si>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</si>
  <si>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</si>
  <si>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</si>
  <si>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</si>
  <si>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</si>
  <si>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</si>
  <si>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</si>
  <si>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</si>
  <si>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</si>
  <si>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</si>
  <si>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</si>
  <si>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</si>
  <si>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</si>
  <si>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</si>
  <si>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</si>
  <si>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</si>
  <si>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</si>
  <si>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</si>
  <si>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</si>
  <si>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</si>
  <si>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</si>
  <si>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</si>
  <si>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</si>
  <si>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</si>
  <si>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</si>
  <si>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</si>
  <si>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</si>
  <si>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</si>
  <si>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</si>
  <si>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</si>
  <si>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</si>
  <si>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</si>
  <si>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</si>
  <si>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</si>
  <si>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</si>
  <si>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</si>
  <si>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</si>
  <si>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</si>
  <si>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</si>
  <si>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</si>
  <si>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</si>
  <si>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</si>
  <si>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</si>
  <si>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</si>
  <si>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</si>
  <si>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</si>
  <si>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</si>
  <si>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</si>
  <si>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</si>
  <si>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</si>
  <si>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</si>
  <si>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</si>
  <si>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</si>
  <si>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</si>
  <si>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</si>
  <si>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</si>
  <si>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</si>
  <si>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</si>
  <si>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</si>
  <si>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</si>
  <si>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</si>
  <si>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</si>
  <si>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</si>
  <si>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</si>
  <si>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</si>
  <si>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</si>
  <si>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</si>
  <si>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</si>
  <si>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</si>
  <si>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</si>
  <si>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</si>
  <si>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</si>
  <si>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</si>
  <si>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</si>
  <si>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</si>
  <si>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</si>
  <si>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</si>
  <si>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</si>
  <si>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</si>
  <si>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</si>
  <si>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</si>
  <si>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</si>
  <si>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</si>
  <si>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</si>
  <si>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</si>
  <si>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</si>
  <si>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</si>
  <si>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</si>
  <si>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</si>
  <si>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</si>
  <si>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</si>
  <si>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</si>
  <si>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</si>
  <si>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</si>
  <si>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</si>
  <si>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</si>
  <si>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</si>
  <si>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</si>
  <si>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</si>
  <si>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</si>
  <si>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</si>
  <si>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</si>
  <si>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</si>
  <si>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</si>
  <si>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</si>
  <si>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</si>
  <si>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</si>
  <si>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</si>
  <si>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</si>
  <si>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</si>
  <si>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</si>
  <si>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</si>
  <si>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</si>
  <si>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</si>
  <si>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</si>
  <si>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</si>
  <si>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</si>
  <si>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</si>
  <si>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</si>
  <si>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</si>
  <si>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</si>
  <si>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</si>
  <si>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</si>
  <si>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</si>
  <si>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</si>
  <si>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</si>
  <si>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</si>
  <si>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</si>
  <si>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</si>
  <si>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</si>
  <si>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</si>
  <si>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</si>
  <si>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</si>
  <si>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</si>
  <si>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</si>
  <si>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</si>
  <si>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</si>
  <si>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</si>
  <si>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</si>
  <si>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</si>
  <si>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</si>
  <si>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</si>
  <si>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</si>
  <si>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</si>
  <si>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</si>
  <si>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</si>
  <si>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</si>
  <si>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</si>
  <si>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</si>
  <si>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</si>
  <si>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</si>
  <si>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</si>
  <si>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</si>
  <si>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</si>
  <si>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</si>
  <si>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</si>
  <si>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</si>
  <si>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</si>
  <si>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</si>
  <si>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</si>
  <si>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</si>
  <si>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</si>
  <si>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</si>
  <si>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</si>
  <si>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</si>
  <si>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</si>
  <si>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</si>
  <si>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</si>
  <si>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</si>
  <si>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</si>
  <si>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</si>
  <si>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</si>
  <si>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</si>
  <si>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</si>
  <si>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</si>
  <si>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</si>
  <si>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</si>
  <si>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</si>
  <si>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</si>
  <si>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</si>
  <si>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</si>
  <si>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</si>
  <si>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</si>
  <si>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</si>
  <si>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</si>
  <si>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</si>
  <si>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</si>
  <si>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</si>
  <si>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</si>
  <si>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</si>
  <si>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</si>
  <si>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</si>
  <si>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</si>
  <si>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</si>
  <si>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</si>
  <si>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</si>
  <si>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</si>
  <si>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</si>
  <si>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</si>
  <si>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</si>
  <si>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</si>
  <si>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</si>
  <si>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</si>
  <si>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</si>
  <si>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</si>
  <si>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</si>
  <si>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</si>
  <si>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</si>
  <si>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</si>
  <si>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</si>
  <si>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</si>
  <si>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</si>
  <si>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</si>
  <si>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</si>
  <si>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</si>
  <si>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</si>
  <si>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</si>
  <si>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</si>
  <si>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</si>
  <si>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</si>
  <si>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</si>
  <si>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</si>
  <si>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</si>
  <si>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</si>
  <si>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</si>
  <si>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</si>
  <si>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</si>
  <si>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</si>
  <si>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</si>
  <si>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</si>
  <si>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</si>
  <si>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</si>
  <si>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</si>
  <si>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</si>
  <si>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</si>
  <si>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</si>
  <si>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</si>
  <si>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</si>
  <si>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</si>
  <si>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</si>
  <si>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</si>
  <si>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</si>
  <si>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</si>
  <si>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</si>
  <si>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</si>
  <si>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</si>
  <si>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</si>
  <si>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</si>
  <si>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</si>
  <si>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</si>
  <si>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</si>
  <si>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</si>
  <si>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</si>
  <si>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</si>
  <si>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</si>
  <si>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</si>
  <si>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</si>
  <si>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</si>
  <si>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</si>
  <si>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</si>
  <si>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</si>
  <si>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</si>
  <si>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</si>
  <si>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</si>
  <si>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</si>
  <si>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</si>
  <si>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</si>
  <si>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</si>
  <si>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</si>
  <si>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</si>
  <si>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</si>
  <si>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</si>
  <si>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</si>
  <si>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</si>
  <si>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</si>
  <si>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</si>
  <si>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</si>
  <si>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</si>
  <si>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</si>
  <si>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</si>
  <si>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</si>
  <si>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</si>
  <si>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</si>
  <si>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</si>
  <si>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</si>
  <si>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</si>
  <si>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</si>
  <si>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</si>
  <si>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</si>
  <si>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</si>
  <si>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</si>
  <si>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</si>
  <si>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</si>
  <si>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</si>
  <si>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</si>
  <si>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</si>
  <si>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</si>
  <si>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</si>
  <si>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</si>
  <si>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</si>
  <si>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</si>
  <si>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</si>
  <si>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</si>
  <si>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</si>
  <si>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</si>
  <si>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</si>
  <si>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</si>
  <si>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</si>
  <si>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</si>
  <si>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</si>
  <si>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</si>
  <si>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</si>
  <si>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</si>
  <si>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</si>
  <si>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</si>
  <si>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</si>
  <si>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</si>
  <si>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</si>
  <si>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</si>
  <si>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</si>
  <si>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</si>
  <si>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</si>
  <si>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</si>
  <si>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</si>
  <si>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</si>
  <si>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</si>
  <si>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</si>
  <si>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</si>
  <si>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</si>
  <si>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</si>
  <si>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</si>
  <si>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</si>
  <si>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</si>
  <si>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</si>
  <si>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</si>
  <si>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</si>
  <si>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</si>
  <si>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</si>
  <si>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</si>
  <si>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</si>
  <si>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</si>
  <si>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</si>
  <si>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</si>
  <si>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</si>
  <si>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</si>
  <si>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</si>
  <si>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</si>
  <si>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</si>
  <si>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</si>
  <si>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</si>
  <si>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</si>
  <si>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</si>
  <si>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</si>
  <si>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</si>
  <si>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</si>
  <si>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</si>
  <si>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</si>
  <si>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</si>
  <si>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</si>
  <si>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</si>
  <si>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</si>
  <si>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</si>
  <si>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</si>
  <si>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</si>
  <si>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</si>
  <si>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</si>
  <si>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</si>
  <si>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</si>
  <si>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</si>
  <si>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</si>
  <si>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</si>
  <si>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</si>
  <si>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</si>
  <si>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</si>
  <si>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</si>
  <si>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</si>
  <si>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</si>
  <si>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</si>
  <si>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</si>
  <si>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</si>
  <si>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</si>
  <si>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</si>
  <si>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</si>
  <si>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</si>
  <si>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</si>
  <si>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</si>
  <si>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</si>
  <si>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</si>
  <si>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</si>
  <si>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</si>
  <si>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</si>
  <si>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</si>
  <si>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</si>
  <si>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</si>
  <si>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</si>
  <si>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</si>
  <si>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</si>
  <si>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</si>
  <si>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</si>
  <si>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</si>
  <si>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</si>
  <si>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</si>
  <si>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</si>
  <si>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</si>
  <si>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</si>
  <si>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</si>
  <si>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</si>
  <si>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</si>
  <si>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</si>
  <si>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</si>
  <si>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</si>
  <si>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</si>
  <si>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</si>
  <si>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</si>
  <si>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</si>
  <si>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</si>
  <si>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</si>
  <si>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</si>
  <si>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</si>
  <si>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</si>
  <si>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</si>
  <si>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</si>
  <si>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</si>
  <si>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</si>
  <si>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</si>
  <si>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</si>
  <si>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</si>
  <si>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</si>
  <si>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</si>
  <si>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</si>
  <si>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</si>
  <si>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</si>
  <si>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</si>
  <si>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</si>
  <si>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</si>
  <si>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</si>
  <si>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</si>
  <si>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</si>
  <si>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</si>
  <si>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</si>
  <si>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</si>
  <si>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</si>
  <si>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</si>
  <si>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</si>
  <si>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</si>
  <si>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</si>
  <si>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</si>
  <si>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</si>
  <si>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</si>
  <si>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</si>
  <si>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</si>
  <si>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</si>
  <si>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</si>
  <si>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</si>
  <si>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</si>
  <si>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</si>
  <si>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</si>
  <si>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</si>
  <si>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</si>
  <si>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</si>
  <si>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</si>
  <si>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</si>
  <si>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</si>
  <si>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</si>
  <si>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</si>
  <si>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</si>
  <si>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</si>
  <si>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</si>
  <si>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</si>
  <si>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</si>
  <si>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</si>
  <si>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</si>
  <si>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</si>
  <si>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</si>
  <si>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</si>
  <si>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</si>
  <si>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</si>
  <si>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</si>
  <si>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</si>
  <si>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</si>
  <si>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</si>
  <si>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</si>
  <si>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</si>
  <si>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</si>
  <si>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</si>
  <si>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</si>
  <si>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</si>
  <si>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</si>
  <si>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</si>
  <si>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</si>
  <si>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</si>
  <si>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</si>
  <si>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</si>
  <si>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</si>
  <si>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</si>
  <si>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</si>
  <si>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</si>
  <si>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</si>
  <si>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</si>
  <si>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</si>
  <si>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</si>
  <si>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</si>
  <si>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</si>
  <si>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</si>
  <si>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</si>
  <si>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</si>
  <si>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</si>
  <si>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</si>
  <si>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</si>
  <si>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</si>
  <si>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</si>
  <si>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</si>
  <si>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</si>
  <si>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</si>
  <si>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</si>
  <si>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</si>
  <si>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</si>
  <si>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</si>
  <si>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</si>
  <si>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</si>
  <si>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</si>
  <si>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</si>
  <si>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</si>
  <si>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</si>
  <si>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</si>
  <si>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</si>
  <si>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</si>
  <si>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</si>
  <si>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</si>
  <si>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</si>
  <si>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</si>
  <si>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</si>
  <si>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</si>
  <si>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</si>
  <si>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</si>
  <si>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</si>
  <si>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</si>
  <si>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</si>
  <si>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</si>
  <si>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</si>
  <si>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</si>
  <si>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</si>
  <si>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</si>
  <si>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</si>
  <si>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</si>
  <si>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</si>
  <si>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</si>
  <si>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</si>
  <si>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</si>
  <si>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</si>
  <si>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</si>
  <si>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</si>
  <si>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</si>
  <si>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</si>
  <si>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</si>
  <si>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</si>
  <si>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</si>
  <si>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</si>
  <si>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</si>
  <si>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</si>
  <si>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</si>
  <si>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</si>
  <si>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</si>
  <si>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</si>
  <si>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</si>
  <si>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</si>
  <si>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</si>
  <si>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</si>
  <si>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</si>
  <si>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</si>
  <si>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</si>
  <si>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</si>
  <si>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</si>
  <si>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</si>
  <si>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</si>
  <si>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</si>
  <si>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</si>
  <si>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</si>
  <si>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</si>
  <si>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</si>
  <si>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</si>
  <si>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</si>
  <si>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</si>
  <si>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</si>
  <si>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</si>
  <si>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</si>
  <si>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</si>
  <si>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</si>
  <si>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</si>
  <si>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</si>
  <si>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</si>
  <si>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</si>
  <si>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</si>
  <si>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</si>
  <si>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</si>
  <si>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</si>
  <si>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</si>
  <si>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</si>
  <si>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</si>
  <si>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</si>
  <si>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</si>
  <si>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</si>
  <si>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</si>
  <si>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</si>
  <si>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</si>
  <si>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</si>
  <si>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</si>
  <si>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</si>
  <si>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</si>
  <si>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</si>
  <si>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</si>
  <si>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</si>
  <si>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</si>
  <si>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</si>
  <si>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</si>
  <si>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</si>
  <si>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</si>
  <si>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</si>
  <si>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</si>
  <si>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</si>
  <si>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</si>
  <si>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</si>
  <si>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</si>
  <si>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</si>
  <si>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</si>
  <si>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</si>
  <si>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</si>
  <si>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</si>
  <si>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</si>
  <si>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</si>
  <si>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</si>
  <si>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</si>
  <si>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</si>
  <si>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</si>
  <si>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</si>
  <si>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</si>
  <si>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</si>
  <si>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</si>
  <si>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</si>
  <si>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</si>
  <si>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</si>
  <si>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</si>
  <si>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</si>
  <si>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</si>
  <si>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</si>
  <si>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</si>
  <si>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</si>
  <si>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</si>
  <si>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</si>
  <si>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</si>
  <si>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</si>
  <si>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</si>
  <si>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</si>
  <si>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</si>
  <si>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</si>
  <si>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</si>
  <si>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</si>
  <si>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</si>
  <si>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</si>
  <si>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</si>
  <si>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</si>
  <si>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</si>
  <si>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</si>
  <si>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</si>
  <si>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</si>
  <si>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</si>
  <si>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</si>
  <si>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</si>
  <si>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</si>
  <si>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</si>
  <si>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</si>
  <si>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</si>
  <si>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</si>
  <si>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</si>
  <si>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</si>
  <si>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</si>
  <si>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</si>
  <si>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</si>
  <si>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</si>
  <si>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</si>
  <si>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</si>
  <si>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</si>
  <si>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</si>
  <si>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</si>
  <si>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</si>
  <si>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</si>
  <si>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</si>
  <si>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</si>
  <si>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</si>
  <si>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</si>
  <si>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</si>
  <si>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</si>
  <si>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</si>
  <si>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</si>
  <si>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</si>
  <si>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</si>
  <si>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</si>
  <si>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</si>
  <si>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</si>
  <si>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</si>
  <si>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</si>
  <si>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</si>
  <si>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</si>
  <si>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</si>
  <si>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</si>
  <si>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</si>
  <si>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</si>
  <si>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</si>
  <si>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</si>
  <si>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</si>
  <si>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</si>
  <si>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</si>
  <si>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</si>
  <si>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</si>
  <si>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</si>
  <si>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</si>
  <si>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</si>
  <si>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</si>
  <si>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</si>
  <si>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</si>
  <si>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</si>
  <si>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</si>
  <si>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</si>
  <si>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</si>
  <si>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</si>
  <si>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</si>
  <si>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</si>
  <si>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</si>
  <si>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</si>
  <si>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</si>
  <si>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</si>
  <si>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</si>
  <si>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</si>
  <si>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</si>
  <si>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</si>
  <si>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</si>
  <si>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</si>
  <si>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</si>
  <si>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</si>
  <si>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</si>
  <si>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</si>
  <si>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</si>
  <si>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</si>
  <si>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</si>
  <si>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</si>
  <si>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</si>
  <si>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</si>
  <si>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</si>
  <si>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</si>
  <si>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</si>
  <si>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</si>
  <si>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</si>
  <si>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</si>
  <si>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</si>
  <si>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</si>
  <si>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</si>
  <si>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</si>
  <si>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</si>
  <si>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</si>
  <si>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</si>
  <si>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</si>
  <si>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</si>
  <si>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</si>
  <si>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</si>
  <si>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</si>
  <si>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</si>
  <si>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</si>
  <si>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</si>
  <si>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</si>
  <si>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</si>
  <si>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</si>
  <si>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</si>
  <si>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</si>
  <si>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</si>
  <si>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</si>
  <si>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</si>
  <si>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</si>
  <si>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</si>
  <si>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</si>
  <si>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</si>
  <si>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</si>
  <si>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</si>
  <si>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</si>
  <si>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</si>
  <si>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</si>
  <si>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</si>
  <si>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</si>
  <si>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</si>
  <si>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</si>
  <si>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</si>
  <si>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</si>
  <si>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</si>
  <si>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</si>
  <si>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</si>
  <si>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</si>
  <si>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</si>
  <si>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</si>
  <si>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</si>
  <si>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</si>
  <si>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</si>
  <si>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</si>
  <si>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</si>
  <si>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</si>
  <si>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</si>
  <si>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</si>
  <si>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</si>
  <si>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</si>
  <si>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</si>
  <si>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</si>
  <si>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</si>
  <si>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</si>
  <si>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</si>
  <si>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</si>
  <si>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</si>
  <si>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</si>
  <si>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</si>
  <si>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</si>
  <si>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</si>
  <si>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</si>
  <si>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</si>
  <si>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</si>
  <si>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</si>
  <si>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</si>
  <si>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</si>
  <si>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</si>
  <si>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</si>
  <si>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</si>
  <si>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</si>
  <si>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</si>
  <si>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</si>
  <si>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</si>
  <si>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</si>
  <si>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</si>
  <si>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</si>
  <si>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</si>
  <si>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</si>
  <si>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</si>
  <si>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</si>
  <si>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</si>
  <si>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</si>
  <si>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</si>
  <si>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</si>
  <si>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</si>
  <si>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</si>
  <si>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</si>
  <si>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</si>
  <si>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</si>
  <si>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</si>
  <si>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</si>
  <si>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</si>
  <si>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</si>
  <si>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</si>
  <si>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</si>
  <si>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</si>
  <si>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</si>
  <si>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</si>
  <si>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</si>
  <si>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</si>
  <si>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</si>
  <si>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</si>
  <si>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</si>
  <si>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</si>
  <si>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</si>
  <si>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</si>
  <si>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</si>
  <si>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</si>
  <si>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</si>
  <si>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</si>
  <si>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</si>
  <si>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</si>
  <si>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</si>
  <si>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</si>
  <si>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</si>
  <si>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</si>
  <si>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</si>
  <si>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</si>
  <si>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</si>
  <si>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</si>
  <si>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</si>
  <si>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</si>
  <si>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</si>
  <si>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</si>
  <si>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</si>
  <si>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</si>
  <si>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</si>
  <si>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</si>
  <si>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</si>
  <si>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</si>
  <si>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</si>
  <si>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</si>
  <si>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</si>
  <si>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</si>
  <si>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</si>
  <si>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</si>
  <si>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</si>
  <si>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</si>
  <si>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</si>
  <si>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</si>
  <si>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</si>
  <si>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</si>
  <si>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</si>
  <si>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</si>
  <si>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</si>
  <si>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</si>
  <si>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</si>
  <si>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</si>
  <si>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</si>
  <si>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</si>
  <si>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</si>
  <si>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</si>
  <si>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</si>
  <si>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</si>
  <si>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</si>
  <si>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</si>
  <si>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</si>
  <si>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</si>
  <si>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</si>
  <si>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</si>
  <si>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</si>
  <si>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</si>
  <si>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</si>
  <si>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</si>
  <si>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</si>
  <si>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</si>
  <si>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</si>
  <si>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</si>
  <si>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</si>
  <si>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</si>
  <si>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</si>
  <si>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</si>
  <si>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</si>
  <si>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</si>
  <si>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</si>
  <si>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</si>
  <si>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</si>
  <si>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</si>
  <si>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</si>
  <si>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</si>
  <si>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</si>
  <si>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</si>
  <si>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</si>
  <si>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</si>
  <si>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</si>
  <si>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</si>
  <si>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</si>
  <si>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</si>
  <si>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</si>
  <si>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</si>
  <si>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</si>
  <si>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</si>
  <si>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</si>
  <si>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</si>
  <si>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</si>
  <si>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</si>
  <si>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</si>
  <si>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</si>
  <si>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</si>
  <si>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</si>
  <si>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</si>
  <si>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</si>
  <si>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</si>
  <si>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</si>
  <si>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</si>
  <si>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</si>
  <si>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</si>
  <si>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</si>
  <si>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</si>
  <si>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</si>
  <si>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</si>
  <si>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</si>
  <si>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</si>
  <si>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</si>
  <si>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</si>
  <si>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</si>
  <si>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</si>
  <si>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</si>
  <si>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</si>
  <si>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</si>
  <si>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</si>
  <si>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</si>
  <si>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</si>
  <si>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</si>
  <si>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</si>
  <si>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</si>
  <si>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</si>
  <si>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</si>
  <si>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</si>
  <si>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</si>
  <si>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</si>
  <si>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</si>
  <si>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</si>
  <si>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</si>
  <si>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</si>
  <si>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</si>
  <si>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</si>
  <si>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</si>
  <si>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</si>
  <si>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</si>
  <si>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</si>
  <si>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</si>
  <si>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</si>
  <si>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</si>
  <si>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</si>
  <si>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</si>
  <si>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</si>
  <si>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</si>
  <si>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</si>
  <si>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</si>
  <si>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</si>
  <si>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</si>
  <si>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</si>
  <si>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</si>
  <si>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</si>
  <si>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</si>
  <si>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</si>
  <si>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</si>
  <si>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</si>
  <si>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</si>
  <si>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</si>
  <si>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</si>
  <si>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</si>
  <si>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</si>
  <si>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</si>
  <si>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</si>
  <si>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</si>
  <si>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</si>
  <si>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</si>
  <si>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</si>
  <si>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</si>
  <si>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</si>
  <si>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</si>
  <si>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</si>
  <si>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</si>
  <si>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</si>
  <si>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</si>
  <si>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</si>
  <si>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</si>
  <si>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</si>
  <si>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</si>
  <si>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</si>
  <si>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</si>
  <si>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</si>
  <si>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</si>
  <si>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</si>
  <si>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</si>
  <si>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</si>
  <si>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</si>
  <si>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</si>
  <si>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</si>
  <si>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</si>
  <si>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</si>
  <si>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</si>
  <si>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</si>
  <si>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</si>
  <si>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</si>
  <si>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</si>
  <si>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</si>
  <si>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</si>
  <si>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</si>
  <si>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</si>
  <si>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</si>
  <si>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</si>
  <si>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</si>
  <si>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</si>
  <si>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</si>
  <si>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</si>
  <si>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</si>
  <si>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</si>
  <si>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</si>
  <si>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</si>
  <si>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</si>
  <si>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</si>
  <si>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</si>
  <si>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</si>
  <si>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</si>
  <si>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</si>
  <si>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</si>
  <si>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</si>
  <si>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</si>
  <si>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</si>
  <si>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</si>
  <si>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</si>
  <si>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</si>
  <si>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</si>
  <si>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</si>
  <si>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</si>
  <si>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</si>
  <si>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</si>
  <si>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</si>
  <si>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</si>
  <si>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</si>
  <si>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</si>
  <si>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</si>
  <si>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</si>
  <si>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</si>
  <si>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</si>
  <si>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</si>
  <si>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</si>
  <si>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</si>
  <si>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</si>
  <si>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</si>
  <si>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</si>
  <si>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</si>
  <si>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</si>
  <si>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</si>
  <si>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</si>
  <si>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</si>
  <si>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</si>
  <si>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</si>
  <si>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</si>
  <si>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</si>
  <si>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</si>
  <si>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</si>
  <si>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</si>
  <si>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</si>
  <si>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</si>
  <si>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</si>
  <si>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</si>
  <si>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</si>
  <si>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</si>
  <si>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</si>
  <si>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</si>
  <si>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</si>
  <si>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</si>
  <si>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</si>
  <si>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</si>
  <si>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</si>
  <si>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</si>
  <si>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</si>
  <si>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</si>
  <si>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</si>
  <si>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</si>
  <si>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</si>
  <si>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</si>
  <si>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</si>
  <si>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</si>
  <si>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</si>
  <si>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</si>
  <si>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</si>
  <si>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</si>
  <si>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</si>
  <si>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</si>
  <si>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</si>
  <si>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</si>
  <si>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</si>
  <si>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</si>
  <si>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</si>
  <si>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</si>
  <si>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</si>
  <si>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</si>
  <si>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</si>
  <si>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</si>
  <si>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</si>
  <si>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</si>
  <si>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</si>
  <si>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</si>
  <si>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</si>
  <si>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</si>
  <si>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</si>
  <si>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</si>
  <si>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</si>
  <si>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</si>
  <si>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</si>
  <si>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</si>
  <si>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</si>
  <si>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</si>
  <si>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</si>
  <si>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</si>
  <si>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</si>
  <si>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</si>
  <si>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</si>
  <si>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</si>
  <si>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</si>
  <si>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</si>
  <si>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</si>
  <si>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</si>
  <si>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</si>
  <si>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</si>
  <si>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</si>
  <si>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</si>
  <si>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</si>
  <si>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</si>
  <si>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</si>
  <si>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</si>
  <si>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</si>
  <si>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</si>
  <si>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</si>
  <si>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</si>
  <si>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</si>
  <si>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</si>
  <si>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</si>
  <si>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</si>
  <si>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</si>
  <si>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</si>
  <si>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</si>
  <si>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</si>
  <si>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</si>
  <si>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</si>
  <si>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</si>
  <si>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</si>
  <si>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</si>
  <si>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</si>
  <si>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</si>
  <si>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</si>
  <si>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</si>
  <si>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</si>
  <si>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</si>
  <si>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</si>
  <si>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</si>
  <si>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</si>
  <si>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</si>
  <si>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</si>
  <si>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</si>
  <si>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</si>
  <si>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</si>
  <si>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</si>
  <si>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</si>
  <si>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</si>
  <si>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</si>
  <si>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</si>
  <si>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</si>
  <si>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</si>
  <si>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</si>
  <si>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</si>
  <si>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</si>
  <si>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</si>
  <si>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</si>
  <si>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</si>
  <si>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</si>
  <si>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</si>
  <si>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</si>
  <si>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</si>
  <si>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</si>
  <si>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</si>
  <si>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</si>
  <si>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</si>
  <si>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</si>
  <si>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</si>
  <si>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</si>
  <si>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</si>
  <si>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</si>
  <si>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</si>
  <si>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</si>
  <si>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</si>
  <si>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</si>
  <si>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</si>
  <si>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</si>
  <si>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</si>
  <si>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</si>
  <si>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</si>
  <si>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</si>
  <si>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</si>
  <si>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</si>
  <si>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</si>
  <si>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</si>
  <si>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</si>
  <si>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</si>
  <si>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</si>
  <si>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</si>
  <si>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</si>
  <si>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</si>
  <si>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</si>
  <si>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</si>
  <si>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</si>
  <si>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</si>
  <si>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</si>
  <si>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</si>
  <si>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</si>
  <si>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</si>
  <si>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</si>
  <si>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</si>
  <si>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</si>
  <si>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</si>
  <si>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</si>
  <si>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</si>
  <si>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</si>
  <si>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</si>
  <si>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</si>
  <si>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</si>
  <si>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</si>
  <si>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</si>
  <si>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</si>
  <si>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</si>
  <si>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</si>
  <si>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</si>
  <si>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</si>
  <si>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</si>
  <si>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</si>
  <si>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</si>
  <si>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</si>
  <si>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</si>
  <si>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</si>
  <si>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</si>
  <si>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</si>
  <si>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</si>
  <si>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</si>
  <si>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</si>
  <si>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</si>
  <si>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</si>
  <si>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</si>
  <si>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</si>
  <si>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</si>
  <si>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</si>
  <si>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</si>
  <si>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</si>
  <si>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</si>
  <si>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</si>
  <si>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</si>
  <si>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</si>
  <si>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</si>
  <si>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</si>
  <si>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</si>
  <si>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</si>
  <si>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</si>
  <si>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</si>
  <si>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</si>
  <si>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</si>
  <si>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</si>
  <si>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</si>
  <si>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</si>
  <si>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</si>
  <si>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</si>
  <si>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</si>
  <si>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</si>
  <si>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</si>
  <si>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</si>
  <si>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</si>
  <si>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</si>
  <si>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</si>
  <si>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</si>
  <si>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</si>
  <si>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</si>
  <si>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</si>
  <si>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</si>
  <si>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</si>
  <si>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</si>
  <si>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</si>
  <si>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</si>
  <si>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</si>
  <si>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</si>
  <si>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</si>
  <si>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</si>
  <si>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</si>
  <si>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</si>
  <si>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</si>
  <si>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</si>
  <si>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</si>
  <si>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</si>
  <si>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</si>
  <si>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</si>
  <si>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</si>
  <si>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</si>
  <si>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</si>
  <si>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</si>
  <si>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</si>
  <si>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</si>
  <si>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</si>
  <si>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</si>
  <si>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</si>
  <si>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</si>
  <si>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</si>
  <si>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</si>
  <si>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</si>
  <si>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</si>
  <si>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</si>
  <si>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</si>
  <si>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</si>
  <si>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</si>
  <si>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</si>
  <si>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</si>
  <si>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</si>
  <si>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</si>
  <si>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</si>
  <si>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</si>
  <si>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</si>
  <si>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</si>
  <si>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</si>
  <si>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</si>
  <si>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</si>
  <si>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</si>
  <si>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</si>
  <si>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</si>
  <si>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</si>
  <si>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</si>
  <si>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</si>
  <si>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</si>
  <si>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</si>
  <si>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</si>
  <si>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</si>
  <si>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</si>
  <si>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</si>
  <si>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</si>
  <si>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</si>
  <si>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</si>
  <si>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</si>
  <si>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</si>
  <si>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</si>
  <si>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</si>
  <si>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</si>
  <si>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</si>
  <si>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</si>
  <si>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</si>
  <si>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</si>
  <si>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</si>
  <si>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</si>
  <si>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</si>
  <si>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</si>
  <si>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</si>
  <si>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</si>
  <si>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</si>
  <si>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</si>
  <si>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</si>
  <si>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</si>
  <si>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</si>
  <si>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</si>
  <si>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</si>
  <si>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</si>
  <si>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</si>
  <si>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</si>
  <si>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</si>
  <si>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</si>
  <si>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</si>
  <si>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</si>
  <si>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</si>
  <si>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</si>
  <si>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</si>
  <si>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</si>
  <si>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</si>
  <si>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</si>
  <si>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</si>
  <si>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</si>
  <si>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</si>
  <si>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</si>
  <si>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</si>
  <si>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</si>
  <si>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</si>
  <si>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</si>
  <si>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</si>
  <si>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</si>
  <si>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</si>
  <si>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</si>
  <si>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</si>
  <si>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</si>
  <si>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</si>
  <si>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</si>
  <si>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</si>
  <si>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</si>
  <si>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</si>
  <si>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</si>
  <si>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</si>
  <si>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</si>
  <si>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</si>
  <si>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</si>
  <si>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</si>
  <si>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</si>
  <si>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</si>
  <si>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</si>
  <si>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</si>
  <si>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</si>
  <si>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</si>
  <si>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</si>
  <si>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</si>
  <si>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</si>
  <si>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</si>
  <si>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</si>
  <si>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</si>
  <si>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</si>
  <si>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</si>
  <si>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</si>
  <si>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</si>
  <si>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</si>
  <si>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</si>
  <si>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</si>
  <si>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</si>
  <si>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</si>
  <si>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</si>
  <si>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</si>
  <si>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</si>
  <si>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</si>
  <si>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</si>
  <si>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</si>
  <si>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</si>
  <si>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</si>
  <si>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</si>
  <si>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</si>
  <si>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</si>
  <si>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</si>
  <si>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</si>
  <si>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</si>
  <si>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</si>
  <si>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</si>
  <si>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</si>
  <si>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</si>
  <si>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</si>
  <si>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</si>
  <si>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</si>
  <si>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</si>
  <si>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</si>
  <si>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</si>
  <si>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</si>
  <si>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</si>
  <si>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</si>
  <si>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</si>
  <si>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</si>
  <si>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</si>
  <si>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</si>
  <si>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</si>
  <si>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</si>
  <si>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</si>
  <si>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</si>
  <si>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</si>
  <si>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</si>
  <si>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</si>
  <si>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</si>
  <si>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</si>
  <si>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</si>
  <si>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</si>
  <si>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</si>
  <si>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</si>
  <si>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</si>
  <si>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</si>
  <si>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</si>
  <si>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</si>
  <si>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</si>
  <si>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</si>
  <si>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</si>
  <si>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</si>
  <si>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</si>
  <si>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</si>
  <si>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</si>
  <si>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</si>
  <si>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</si>
  <si>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</si>
  <si>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</si>
  <si>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</si>
  <si>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</si>
  <si>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</si>
  <si>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</si>
  <si>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</si>
  <si>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</si>
  <si>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</si>
  <si>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</si>
  <si>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</si>
  <si>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</si>
  <si>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</si>
  <si>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</si>
  <si>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</si>
  <si>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</si>
  <si>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</si>
  <si>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</si>
  <si>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</si>
  <si>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</si>
  <si>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</si>
  <si>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</si>
  <si>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</si>
  <si>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</si>
  <si>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</si>
  <si>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</si>
  <si>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</si>
  <si>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</si>
  <si>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</si>
  <si>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</si>
  <si>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</si>
  <si>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</si>
  <si>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</si>
  <si>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</si>
  <si>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</si>
  <si>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</si>
  <si>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</si>
  <si>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</si>
  <si>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</si>
  <si>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</si>
  <si>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</si>
  <si>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</si>
  <si>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</si>
  <si>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</si>
  <si>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</si>
  <si>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</si>
  <si>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</si>
  <si>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</si>
  <si>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</si>
  <si>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</si>
  <si>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</si>
  <si>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</si>
  <si>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</si>
  <si>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</si>
  <si>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</si>
  <si>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</si>
  <si>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</si>
  <si>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</si>
  <si>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</si>
  <si>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</si>
  <si>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</si>
  <si>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</si>
  <si>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</si>
  <si>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</si>
  <si>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</si>
  <si>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</si>
  <si>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</si>
  <si>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</si>
  <si>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</si>
  <si>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</si>
  <si>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</si>
  <si>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</si>
  <si>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</si>
  <si>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</si>
  <si>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</si>
  <si>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</si>
  <si>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</si>
  <si>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</si>
  <si>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</si>
  <si>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</si>
  <si>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</si>
  <si>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</si>
  <si>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</si>
  <si>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</si>
  <si>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</si>
  <si>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</si>
  <si>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</si>
  <si>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</si>
  <si>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</si>
  <si>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</si>
  <si>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</si>
  <si>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</si>
  <si>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</si>
  <si>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</si>
  <si>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</si>
  <si>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</si>
  <si>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</si>
  <si>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</si>
  <si>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</si>
  <si>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</si>
  <si>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</si>
  <si>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</si>
  <si>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</si>
  <si>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</si>
  <si>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</si>
  <si>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</si>
  <si>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</si>
  <si>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</si>
  <si>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</si>
  <si>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</si>
  <si>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</si>
  <si>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</si>
  <si>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</si>
  <si>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</si>
  <si>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</si>
  <si>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</si>
  <si>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</si>
  <si>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</si>
  <si>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</si>
  <si>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</si>
  <si>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</si>
  <si>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</si>
  <si>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</si>
  <si>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</si>
  <si>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</si>
  <si>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</si>
  <si>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</si>
  <si>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</si>
  <si>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</si>
  <si>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</si>
  <si>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</si>
  <si>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</si>
  <si>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</si>
  <si>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</si>
  <si>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</si>
  <si>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</si>
  <si>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</si>
  <si>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</si>
  <si>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</si>
  <si>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</si>
  <si>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</si>
  <si>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</si>
  <si>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</si>
  <si>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</si>
  <si>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</si>
  <si>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</si>
  <si>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</si>
  <si>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</si>
  <si>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</si>
  <si>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</si>
  <si>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</si>
  <si>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</si>
  <si>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</si>
  <si>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</si>
  <si>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</si>
  <si>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</si>
  <si>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</si>
  <si>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</si>
  <si>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</si>
  <si>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</si>
  <si>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</si>
  <si>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</si>
  <si>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</si>
  <si>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</si>
  <si>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</si>
  <si>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</si>
  <si>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</si>
  <si>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</si>
  <si>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</si>
  <si>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</si>
  <si>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</si>
  <si>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</si>
  <si>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</si>
  <si>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</si>
  <si>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</si>
  <si>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</si>
  <si>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</si>
  <si>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</si>
  <si>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</si>
  <si>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</si>
  <si>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</si>
  <si>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</si>
  <si>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</si>
  <si>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</si>
  <si>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</si>
  <si>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</si>
  <si>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</si>
  <si>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</si>
  <si>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</si>
  <si>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</si>
  <si>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</si>
  <si>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</si>
  <si>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</si>
  <si>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</si>
  <si>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</si>
  <si>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</si>
  <si>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</si>
  <si>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</si>
  <si>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</si>
  <si>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</si>
  <si>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</si>
  <si>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</si>
  <si>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</si>
  <si>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</si>
  <si>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</si>
  <si>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</si>
  <si>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</si>
  <si>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</si>
  <si>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</si>
  <si>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</si>
  <si>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</si>
  <si>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</si>
  <si>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</si>
  <si>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</si>
  <si>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</si>
  <si>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</si>
  <si>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</si>
  <si>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</si>
  <si>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</si>
  <si>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</si>
  <si>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</si>
  <si>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</si>
  <si>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</si>
  <si>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</si>
  <si>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</si>
  <si>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</si>
  <si>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</si>
  <si>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</si>
  <si>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</si>
  <si>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</si>
  <si>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</si>
  <si>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</si>
  <si>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</si>
  <si>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</si>
  <si>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</si>
  <si>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</si>
  <si>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</si>
  <si>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</si>
  <si>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</si>
  <si>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</si>
  <si>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</si>
  <si>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</si>
  <si>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</si>
  <si>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</si>
  <si>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</si>
  <si>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</si>
  <si>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</si>
  <si>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</si>
  <si>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</si>
  <si>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</si>
  <si>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</si>
  <si>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</si>
  <si>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</si>
  <si>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</si>
  <si>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</si>
  <si>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</si>
  <si>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</si>
  <si>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</si>
  <si>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</si>
  <si>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</si>
  <si>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</si>
  <si>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</si>
  <si>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</si>
  <si>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</si>
  <si>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</si>
  <si>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</si>
  <si>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</si>
  <si>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</si>
  <si>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</si>
  <si>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</si>
  <si>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</si>
  <si>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</si>
  <si>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</si>
  <si>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</si>
  <si>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</si>
  <si>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</si>
  <si>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</si>
  <si>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</si>
  <si>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</si>
  <si>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</si>
  <si>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</si>
  <si>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</si>
  <si>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</si>
  <si>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</si>
  <si>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</si>
  <si>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</si>
  <si>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</si>
  <si>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</si>
  <si>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</si>
  <si>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</si>
  <si>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</si>
  <si>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</si>
  <si>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</si>
  <si>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</si>
  <si>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</si>
  <si>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</si>
  <si>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</si>
  <si>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</si>
  <si>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</si>
  <si>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</si>
  <si>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</si>
  <si>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</si>
  <si>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</si>
  <si>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</si>
  <si>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</si>
  <si>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</si>
  <si>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</si>
  <si>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</si>
  <si>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</si>
  <si>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</si>
  <si>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</si>
  <si>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</si>
  <si>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</si>
  <si>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</si>
  <si>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</si>
  <si>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</si>
  <si>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</si>
  <si>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</si>
  <si>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</si>
  <si>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</si>
  <si>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</si>
  <si>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</si>
  <si>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</si>
  <si>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</si>
  <si>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</si>
  <si>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</si>
  <si>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</si>
  <si>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</si>
  <si>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</si>
  <si>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</si>
  <si>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</si>
  <si>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</si>
  <si>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</si>
  <si>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</si>
  <si>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</si>
  <si>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</si>
  <si>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</si>
  <si>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</si>
  <si>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</si>
  <si>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</si>
  <si>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</si>
  <si>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</si>
  <si>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</si>
  <si>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</si>
  <si>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</si>
  <si>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</si>
  <si>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</si>
  <si>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</si>
  <si>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</si>
  <si>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</si>
  <si>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</si>
  <si>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</si>
  <si>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</si>
  <si>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</si>
  <si>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</si>
  <si>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</si>
  <si>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</si>
  <si>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</si>
  <si>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</si>
  <si>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</si>
  <si>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</si>
  <si>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</si>
  <si>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</si>
  <si>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</si>
  <si>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</si>
  <si>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</si>
  <si>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</si>
  <si>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</si>
  <si>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</si>
  <si>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</si>
  <si>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</si>
  <si>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</si>
  <si>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</si>
  <si>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</si>
  <si>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</si>
  <si>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</si>
  <si>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</si>
  <si>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</si>
  <si>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</si>
  <si>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</si>
  <si>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</si>
  <si>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</si>
  <si>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</si>
  <si>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</si>
  <si>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</si>
  <si>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</si>
  <si>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</si>
  <si>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</si>
  <si>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</si>
  <si>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</si>
  <si>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</si>
  <si>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</si>
  <si>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</si>
  <si>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</si>
  <si>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</si>
  <si>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</si>
  <si>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</si>
  <si>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</si>
  <si>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</si>
  <si>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</si>
  <si>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</si>
  <si>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</si>
  <si>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</si>
  <si>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</si>
  <si>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</si>
  <si>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</si>
  <si>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</si>
  <si>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</si>
  <si>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</si>
  <si>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</si>
  <si>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</si>
  <si>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</si>
  <si>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</si>
  <si>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</si>
  <si>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</si>
  <si>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</si>
  <si>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</si>
  <si>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</si>
  <si>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</si>
  <si>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</si>
  <si>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</si>
  <si>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</si>
  <si>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</si>
  <si>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</si>
  <si>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</si>
  <si>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</si>
  <si>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</si>
  <si>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</si>
  <si>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</si>
  <si>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</si>
  <si>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</si>
  <si>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</si>
  <si>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</si>
  <si>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</si>
  <si>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</si>
  <si>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</si>
  <si>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</si>
  <si>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</si>
  <si>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</si>
  <si>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</si>
  <si>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</si>
  <si>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</si>
  <si>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</si>
  <si>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</si>
  <si>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</si>
  <si>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</si>
  <si>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</si>
  <si>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</si>
  <si>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</si>
  <si>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</si>
  <si>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</si>
  <si>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</si>
  <si>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</si>
  <si>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</si>
  <si>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</si>
  <si>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</si>
  <si>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</si>
  <si>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</si>
  <si>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</si>
  <si>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</si>
  <si>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</si>
  <si>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</si>
  <si>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</si>
  <si>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</si>
  <si>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</si>
  <si>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</si>
  <si>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</si>
  <si>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</si>
  <si>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</si>
  <si>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</si>
  <si>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</si>
  <si>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</si>
  <si>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</si>
  <si>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</si>
  <si>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</si>
  <si>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</si>
  <si>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</si>
  <si>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</si>
  <si>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</si>
  <si>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</si>
  <si>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</si>
  <si>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</si>
  <si>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</si>
  <si>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</si>
  <si>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</si>
  <si>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</si>
  <si>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</si>
  <si>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</si>
  <si>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</si>
  <si>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</si>
  <si>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</si>
  <si>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</si>
  <si>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</si>
  <si>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</si>
  <si>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</si>
  <si>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</si>
  <si>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</si>
  <si>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</si>
  <si>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</si>
  <si>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</si>
  <si>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</si>
  <si>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</si>
  <si>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</si>
  <si>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</si>
  <si>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</si>
  <si>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</si>
  <si>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</si>
  <si>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</si>
  <si>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</si>
  <si>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</si>
  <si>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</si>
  <si>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</si>
  <si>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</si>
  <si>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</si>
  <si>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</si>
  <si>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</si>
  <si>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</si>
  <si>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</si>
  <si>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</si>
  <si>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</si>
  <si>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</si>
  <si>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</si>
  <si>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</si>
  <si>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</si>
  <si>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</si>
  <si>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</si>
  <si>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</si>
  <si>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</si>
  <si>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</si>
  <si>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</si>
  <si>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</si>
  <si>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</si>
  <si>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</si>
  <si>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</si>
  <si>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</si>
  <si>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</si>
  <si>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</si>
  <si>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</si>
  <si>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</si>
  <si>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</si>
  <si>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</si>
  <si>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</si>
  <si>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</si>
  <si>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</si>
  <si>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</si>
  <si>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</si>
  <si>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</si>
  <si>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</si>
  <si>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</si>
  <si>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</si>
  <si>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</si>
  <si>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</si>
  <si>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</si>
  <si>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</si>
  <si>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</si>
  <si>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</si>
  <si>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</si>
  <si>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</si>
  <si>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</si>
  <si>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</si>
  <si>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</si>
  <si>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</si>
  <si>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</si>
  <si>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</si>
  <si>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</si>
  <si>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</si>
  <si>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</si>
  <si>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</si>
  <si>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</si>
  <si>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</si>
  <si>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</si>
  <si>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</si>
  <si>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</si>
  <si>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</si>
  <si>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</si>
  <si>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</si>
  <si>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</si>
  <si>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</si>
  <si>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</si>
  <si>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</si>
  <si>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</si>
  <si>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</si>
  <si>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</si>
  <si>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</si>
  <si>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</si>
  <si>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</si>
  <si>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</si>
  <si>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</si>
  <si>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</si>
  <si>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</si>
  <si>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</si>
  <si>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</si>
  <si>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</si>
  <si>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</si>
  <si>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</si>
  <si>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</si>
  <si>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</si>
  <si>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</si>
  <si>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</si>
  <si>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</si>
  <si>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</si>
  <si>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</si>
  <si>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</si>
  <si>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</si>
  <si>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</si>
  <si>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</si>
  <si>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</si>
  <si>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</si>
  <si>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</si>
  <si>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</si>
  <si>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</si>
  <si>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</si>
  <si>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</si>
  <si>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</si>
  <si>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</si>
  <si>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</si>
  <si>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</si>
  <si>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</si>
  <si>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</si>
  <si>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</si>
  <si>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</si>
  <si>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</si>
  <si>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</si>
  <si>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</si>
  <si>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</si>
  <si>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</si>
  <si>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</si>
  <si>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</si>
  <si>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</si>
  <si>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</si>
  <si>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</si>
  <si>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</si>
  <si>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</si>
  <si>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</si>
  <si>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</si>
  <si>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</si>
  <si>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</si>
  <si>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</si>
  <si>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</si>
  <si>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</si>
  <si>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</si>
  <si>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</si>
  <si>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</si>
  <si>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</si>
  <si>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</si>
  <si>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</si>
  <si>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</si>
  <si>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</si>
  <si>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</si>
  <si>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</si>
  <si>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</si>
  <si>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</si>
  <si>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</si>
  <si>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</si>
  <si>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</si>
  <si>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</si>
  <si>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</si>
  <si>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</si>
  <si>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</si>
  <si>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</si>
  <si>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</si>
  <si>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</si>
  <si>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</si>
  <si>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</si>
  <si>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</si>
  <si>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</si>
  <si>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</si>
  <si>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</si>
  <si>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</si>
  <si>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</si>
  <si>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</si>
  <si>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</si>
  <si>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</si>
  <si>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</si>
  <si>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</si>
  <si>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</si>
  <si>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</si>
  <si>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</si>
  <si>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</si>
  <si>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</si>
  <si>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</si>
  <si>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</si>
  <si>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</si>
  <si>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</si>
  <si>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</si>
  <si>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</si>
  <si>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</si>
  <si>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</si>
  <si>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</si>
  <si>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</si>
  <si>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</si>
  <si>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</si>
  <si>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</si>
  <si>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</si>
  <si>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</si>
  <si>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</si>
  <si>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</si>
  <si>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</si>
  <si>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</si>
  <si>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</si>
  <si>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</si>
  <si>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</si>
  <si>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</si>
  <si>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</si>
  <si>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</si>
  <si>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</si>
  <si>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</si>
  <si>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</si>
  <si>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</si>
  <si>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</si>
  <si>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</si>
  <si>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</si>
  <si>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</si>
  <si>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</si>
  <si>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</si>
  <si>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</si>
  <si>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</si>
  <si>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</si>
  <si>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</si>
  <si>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</si>
  <si>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</si>
  <si>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</si>
  <si>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</si>
  <si>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</si>
  <si>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</si>
  <si>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</si>
  <si>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</si>
  <si>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</si>
  <si>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</si>
  <si>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</si>
  <si>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</si>
  <si>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</si>
  <si>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</si>
  <si>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</si>
  <si>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</si>
  <si>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</si>
  <si>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</si>
  <si>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</si>
  <si>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</si>
  <si>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</si>
  <si>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</si>
  <si>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</si>
  <si>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</si>
  <si>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</si>
  <si>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</si>
  <si>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</si>
  <si>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</si>
  <si>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</si>
  <si>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</si>
  <si>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</si>
  <si>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</si>
  <si>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</si>
  <si>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</si>
  <si>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</si>
  <si>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</si>
  <si>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</si>
  <si>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</si>
  <si>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</si>
  <si>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</si>
  <si>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</si>
  <si>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</si>
  <si>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</si>
  <si>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</si>
  <si>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</si>
  <si>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</si>
  <si>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</si>
  <si>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</si>
  <si>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</si>
  <si>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</si>
  <si>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</si>
  <si>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</si>
  <si>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</si>
  <si>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</si>
  <si>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</si>
  <si>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</si>
  <si>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</si>
  <si>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</si>
  <si>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</si>
  <si>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</si>
  <si>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</si>
  <si>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</si>
  <si>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</si>
  <si>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</si>
  <si>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</si>
  <si>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</si>
  <si>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</si>
  <si>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</si>
  <si>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</si>
  <si>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</si>
  <si>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</si>
  <si>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</si>
  <si>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</si>
  <si>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</si>
  <si>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</si>
  <si>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</si>
  <si>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</si>
  <si>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</si>
  <si>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</si>
  <si>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</si>
  <si>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</si>
  <si>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</si>
  <si>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</si>
  <si>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</si>
  <si>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</si>
  <si>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</si>
  <si>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</si>
  <si>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</si>
  <si>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</si>
  <si>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</si>
  <si>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</si>
  <si>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</si>
  <si>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</si>
  <si>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</si>
  <si>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</si>
  <si>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</si>
  <si>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</si>
  <si>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</si>
  <si>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</si>
  <si>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</si>
  <si>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</si>
  <si>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</si>
  <si>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</si>
  <si>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</si>
  <si>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</si>
  <si>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</si>
  <si>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</si>
  <si>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</si>
  <si>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</si>
  <si>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</si>
  <si>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</si>
  <si>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</si>
  <si>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</si>
  <si>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</si>
  <si>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</si>
  <si>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</si>
  <si>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</si>
  <si>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</si>
  <si>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</si>
  <si>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</si>
  <si>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</si>
  <si>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</si>
  <si>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</si>
  <si>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</si>
  <si>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</si>
  <si>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</si>
  <si>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</si>
  <si>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</si>
  <si>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</si>
  <si>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</si>
  <si>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</si>
  <si>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</si>
  <si>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</si>
  <si>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</si>
  <si>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</si>
  <si>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</si>
  <si>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</si>
  <si>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</si>
  <si>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</si>
  <si>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</si>
  <si>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</si>
  <si>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</si>
  <si>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</si>
  <si>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</si>
  <si>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</si>
  <si>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</si>
  <si>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</si>
  <si>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</si>
  <si>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</si>
  <si>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</si>
  <si>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</si>
  <si>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</si>
  <si>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</si>
  <si>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</si>
  <si>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</si>
  <si>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</si>
  <si>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</si>
  <si>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</si>
  <si>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</si>
  <si>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</si>
  <si>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</si>
  <si>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</si>
  <si>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</si>
  <si>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</si>
  <si>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</si>
  <si>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</si>
  <si>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</si>
  <si>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</si>
  <si>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</si>
  <si>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</si>
  <si>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</si>
  <si>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</si>
  <si>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</si>
  <si>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</si>
  <si>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</si>
  <si>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</si>
  <si>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</si>
  <si>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</si>
  <si>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</si>
  <si>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</si>
  <si>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</si>
  <si>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</si>
  <si>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</si>
  <si>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</si>
  <si>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</si>
  <si>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</si>
  <si>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</si>
  <si>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</si>
  <si>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</si>
  <si>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</si>
  <si>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</si>
  <si>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</si>
  <si>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</si>
  <si>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</si>
  <si>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</si>
  <si>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</si>
  <si>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</si>
  <si>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</si>
  <si>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</si>
  <si>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</si>
  <si>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</si>
  <si>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</si>
  <si>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</si>
  <si>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</si>
  <si>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</si>
  <si>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</si>
  <si>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</si>
  <si>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</si>
  <si>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</si>
  <si>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</si>
  <si>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</si>
  <si>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</si>
  <si>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</si>
  <si>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</si>
  <si>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</si>
  <si>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</si>
  <si>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</si>
  <si>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</si>
  <si>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</si>
  <si>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</si>
  <si>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</si>
  <si>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</si>
  <si>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</si>
  <si>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</si>
  <si>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</si>
  <si>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</si>
  <si>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</si>
  <si>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</si>
  <si>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</si>
  <si>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</si>
  <si>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</si>
  <si>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</si>
  <si>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</si>
  <si>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</si>
  <si>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</si>
  <si>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</si>
  <si>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</si>
  <si>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</si>
  <si>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</si>
  <si>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</si>
  <si>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</si>
  <si>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</si>
  <si>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</si>
  <si>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</si>
  <si>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</si>
  <si>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</si>
  <si>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</si>
  <si>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</si>
  <si>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</si>
  <si>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</si>
  <si>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</si>
  <si>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</si>
  <si>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</si>
  <si>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</si>
  <si>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</si>
  <si>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</si>
  <si>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</si>
  <si>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</si>
  <si>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</si>
  <si>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</si>
  <si>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</si>
  <si>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</si>
  <si>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</si>
  <si>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</si>
  <si>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</si>
  <si>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</si>
  <si>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</si>
  <si>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</si>
  <si>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</si>
  <si>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</si>
  <si>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</si>
  <si>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</si>
  <si>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</si>
  <si>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</si>
  <si>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</si>
  <si>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</si>
  <si>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</si>
  <si>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</si>
  <si>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</si>
  <si>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</si>
  <si>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</si>
  <si>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</si>
  <si>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</si>
  <si>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</si>
  <si>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</si>
  <si>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</si>
  <si>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</si>
  <si>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</si>
  <si>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</si>
  <si>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</si>
  <si>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</si>
  <si>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</si>
  <si>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</si>
  <si>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</si>
  <si>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</si>
  <si>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</si>
  <si>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</si>
  <si>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</si>
  <si>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</si>
  <si>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</si>
  <si>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</si>
  <si>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</si>
  <si>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</si>
  <si>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</si>
  <si>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</si>
  <si>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</si>
  <si>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</si>
  <si>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</si>
  <si>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</si>
  <si>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</si>
  <si>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</si>
  <si>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</si>
  <si>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</si>
  <si>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</si>
  <si>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</si>
  <si>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</si>
  <si>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</si>
  <si>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</si>
  <si>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</si>
  <si>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</si>
  <si>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</si>
  <si>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</si>
  <si>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</si>
  <si>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</si>
  <si>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</si>
  <si>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</si>
  <si>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</si>
  <si>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</si>
  <si>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</si>
  <si>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</si>
  <si>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</si>
  <si>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</si>
  <si>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</si>
  <si>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</si>
  <si>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</si>
  <si>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</si>
  <si>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</si>
  <si>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</si>
  <si>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</si>
  <si>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</si>
  <si>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</si>
  <si>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</si>
  <si>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</si>
  <si>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</si>
  <si>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</si>
  <si>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</si>
  <si>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</si>
  <si>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</si>
  <si>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</si>
  <si>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</si>
  <si>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</si>
  <si>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</si>
  <si>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</si>
  <si>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</si>
  <si>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</si>
  <si>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</si>
  <si>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</si>
  <si>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</si>
  <si>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</si>
  <si>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</si>
  <si>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</si>
  <si>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</si>
  <si>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</si>
  <si>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</si>
  <si>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</si>
  <si>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</si>
  <si>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</si>
  <si>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</si>
  <si>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</si>
  <si>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</si>
  <si>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</si>
  <si>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</si>
  <si>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</si>
  <si>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</si>
  <si>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</si>
  <si>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</si>
  <si>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</si>
  <si>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</si>
  <si>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</si>
  <si>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</si>
  <si>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</si>
  <si>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</si>
  <si>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</si>
  <si>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</si>
  <si>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</si>
  <si>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</si>
  <si>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</si>
  <si>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</si>
  <si>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</si>
  <si>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</si>
  <si>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</si>
  <si>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</si>
  <si>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</si>
  <si>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</si>
  <si>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</si>
  <si>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</si>
  <si>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</si>
  <si>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</si>
  <si>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</si>
  <si>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</si>
  <si>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</si>
  <si>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</si>
  <si>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</si>
  <si>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</si>
  <si>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</si>
  <si>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</si>
  <si>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</si>
  <si>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</si>
  <si>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</si>
  <si>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</si>
  <si>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</si>
  <si>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</si>
  <si>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</si>
  <si>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</si>
  <si>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</si>
  <si>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</si>
  <si>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</si>
  <si>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</si>
  <si>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</si>
  <si>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</si>
  <si>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</si>
  <si>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</si>
  <si>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</si>
  <si>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</si>
  <si>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</si>
  <si>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</si>
  <si>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</si>
  <si>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</si>
  <si>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</si>
  <si>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</si>
  <si>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</si>
  <si>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</si>
  <si>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</si>
  <si>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</si>
  <si>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</si>
  <si>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</si>
  <si>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</si>
  <si>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</si>
  <si>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</si>
  <si>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</si>
  <si>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</si>
  <si>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</si>
  <si>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</si>
  <si>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</si>
  <si>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</si>
  <si>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</si>
  <si>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</si>
  <si>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</si>
  <si>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</si>
  <si>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</si>
  <si>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</si>
  <si>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</si>
  <si>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</si>
  <si>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</si>
  <si>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</si>
  <si>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</si>
  <si>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</si>
  <si>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</si>
  <si>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</si>
  <si>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</si>
  <si>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</si>
  <si>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</si>
  <si>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</si>
  <si>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</si>
  <si>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</si>
  <si>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</si>
  <si>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</si>
  <si>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</si>
  <si>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</si>
  <si>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</si>
  <si>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</si>
  <si>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</si>
  <si>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</si>
  <si>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</si>
  <si>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</si>
  <si>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</si>
  <si>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</si>
  <si>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</si>
  <si>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</si>
  <si>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</si>
  <si>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</si>
  <si>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</si>
  <si>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</si>
  <si>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</si>
  <si>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</si>
  <si>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</si>
  <si>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</si>
  <si>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</si>
  <si>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</si>
  <si>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</si>
  <si>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</si>
  <si>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</si>
  <si>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</si>
  <si>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</si>
  <si>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</si>
  <si>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</si>
  <si>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</si>
  <si>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</si>
  <si>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</si>
  <si>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</si>
  <si>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</si>
  <si>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</si>
  <si>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</si>
  <si>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</si>
  <si>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</si>
  <si>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</si>
  <si>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</si>
  <si>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</si>
  <si>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</si>
  <si>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</si>
  <si>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</si>
  <si>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</si>
  <si>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</si>
  <si>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</si>
  <si>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</si>
  <si>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</si>
  <si>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</si>
  <si>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</si>
  <si>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</si>
  <si>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</si>
  <si>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</si>
  <si>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</si>
  <si>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</si>
  <si>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</si>
  <si>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</si>
  <si>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</si>
  <si>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</si>
  <si>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</si>
  <si>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</si>
  <si>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</si>
  <si>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</si>
  <si>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</si>
  <si>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</si>
  <si>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</si>
  <si>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</si>
  <si>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</si>
  <si>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</si>
  <si>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</si>
  <si>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</si>
  <si>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</si>
  <si>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</si>
  <si>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</si>
  <si>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</si>
  <si>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</si>
  <si>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</si>
  <si>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</si>
  <si>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</si>
  <si>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</si>
  <si>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</si>
  <si>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</si>
  <si>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</si>
  <si>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</si>
  <si>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</si>
  <si>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</si>
  <si>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</si>
  <si>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</si>
  <si>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</si>
  <si>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</si>
  <si>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</si>
  <si>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</si>
  <si>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</si>
  <si>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</si>
  <si>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</si>
  <si>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</si>
  <si>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</si>
  <si>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</si>
  <si>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</si>
  <si>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</si>
  <si>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</si>
  <si>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</si>
  <si>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</si>
  <si>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</si>
  <si>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</si>
  <si>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</si>
  <si>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</si>
  <si>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</si>
  <si>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</si>
  <si>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</si>
  <si>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</si>
  <si>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</si>
  <si>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</si>
  <si>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</si>
  <si>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</si>
  <si>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</si>
  <si>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</si>
  <si>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</si>
  <si>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</si>
  <si>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</si>
  <si>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</si>
  <si>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</si>
  <si>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</si>
  <si>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</si>
  <si>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</si>
  <si>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</si>
  <si>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</si>
  <si>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</si>
  <si>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</si>
  <si>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</si>
  <si>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</si>
  <si>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</si>
  <si>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</si>
  <si>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</si>
  <si>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</si>
  <si>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</si>
  <si>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</si>
  <si>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</si>
  <si>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</si>
  <si>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</si>
  <si>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</si>
  <si>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</si>
  <si>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</si>
  <si>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</si>
  <si>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</si>
  <si>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</si>
  <si>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</si>
  <si>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</si>
  <si>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</si>
  <si>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</si>
  <si>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</si>
  <si>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</si>
  <si>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</si>
  <si>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</si>
  <si>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</si>
  <si>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</si>
  <si>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</si>
  <si>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</si>
  <si>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</si>
  <si>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</si>
  <si>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</si>
  <si>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</si>
  <si>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</si>
  <si>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</si>
  <si>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</si>
  <si>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</si>
  <si>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</si>
  <si>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</si>
  <si>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</si>
  <si>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</si>
  <si>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</si>
  <si>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</si>
  <si>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</si>
  <si>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</si>
  <si>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</si>
  <si>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</si>
  <si>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</si>
  <si>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</si>
  <si>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</si>
  <si>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</si>
  <si>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</si>
  <si>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</si>
  <si>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</si>
  <si>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</si>
  <si>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</si>
  <si>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</si>
  <si>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</si>
  <si>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</si>
  <si>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</si>
  <si>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</si>
  <si>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</si>
  <si>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</si>
  <si>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</si>
  <si>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</si>
  <si>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</si>
  <si>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</si>
  <si>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</si>
  <si>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</si>
  <si>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</si>
  <si>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</si>
  <si>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</si>
  <si>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</si>
  <si>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</si>
  <si>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</si>
  <si>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</si>
  <si>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</si>
  <si>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</si>
  <si>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</si>
  <si>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</si>
  <si>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</si>
  <si>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</si>
  <si>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</si>
  <si>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</si>
  <si>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</si>
  <si>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</si>
  <si>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</si>
  <si>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</si>
  <si>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</si>
  <si>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</si>
  <si>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</si>
  <si>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</si>
  <si>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</si>
  <si>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</si>
  <si>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</si>
  <si>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</si>
  <si>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</si>
  <si>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</si>
  <si>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</si>
  <si>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</si>
  <si>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</si>
  <si>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</si>
  <si>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</si>
  <si>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</si>
  <si>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</si>
  <si>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</si>
  <si>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</si>
  <si>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</si>
  <si>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</si>
  <si>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</si>
  <si>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</si>
  <si>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</si>
  <si>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</si>
  <si>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</si>
  <si>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</si>
  <si>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</si>
  <si>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</si>
  <si>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</si>
  <si>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</si>
  <si>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</si>
  <si>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</si>
  <si>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</si>
  <si>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</si>
  <si>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</si>
  <si>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</si>
  <si>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</si>
  <si>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</si>
  <si>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</si>
  <si>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</si>
  <si>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</si>
  <si>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</si>
  <si>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</si>
  <si>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</si>
  <si>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</si>
  <si>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</si>
  <si>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</si>
  <si>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</si>
  <si>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</si>
  <si>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</si>
  <si>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</si>
  <si>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</si>
  <si>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</si>
  <si>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</si>
  <si>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</si>
  <si>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</si>
  <si>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</si>
  <si>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</si>
  <si>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</si>
  <si>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</si>
  <si>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</si>
  <si>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</si>
  <si>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</si>
  <si>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</si>
  <si>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</si>
  <si>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</si>
  <si>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</si>
  <si>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</si>
  <si>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</si>
  <si>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</si>
  <si>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</si>
  <si>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</si>
  <si>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</si>
  <si>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</si>
  <si>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</si>
  <si>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</si>
  <si>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</si>
  <si>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</si>
  <si>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</si>
  <si>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</si>
  <si>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</si>
  <si>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</si>
  <si>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</si>
  <si>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</si>
  <si>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</si>
  <si>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</si>
  <si>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</si>
  <si>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</si>
  <si>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</si>
  <si>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</si>
  <si>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</si>
  <si>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</si>
  <si>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</si>
  <si>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</si>
  <si>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</si>
  <si>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</si>
  <si>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</si>
  <si>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</si>
  <si>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</si>
  <si>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</si>
  <si>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</si>
  <si>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</si>
  <si>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</si>
  <si>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</si>
  <si>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</si>
  <si>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</si>
  <si>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</si>
  <si>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</si>
  <si>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</si>
  <si>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</si>
  <si>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</si>
  <si>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</si>
  <si>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</si>
  <si>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</si>
  <si>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</si>
  <si>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</si>
  <si>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</si>
  <si>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</si>
  <si>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</si>
  <si>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</si>
  <si>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</si>
  <si>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</si>
  <si>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</si>
  <si>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</si>
  <si>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</si>
  <si>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</si>
  <si>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</si>
  <si>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</si>
  <si>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</si>
  <si>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</si>
  <si>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</si>
  <si>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</si>
  <si>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</si>
  <si>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</si>
  <si>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</si>
  <si>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</si>
  <si>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</si>
  <si>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</si>
  <si>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</si>
  <si>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</si>
  <si>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</si>
  <si>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</si>
  <si>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</si>
  <si>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</si>
  <si>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</si>
  <si>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</si>
  <si>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</si>
  <si>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</si>
  <si>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</si>
  <si>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</si>
  <si>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</si>
  <si>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</si>
  <si>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</si>
  <si>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</si>
  <si>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</si>
  <si>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</si>
  <si>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</si>
  <si>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</si>
  <si>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</si>
  <si>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</si>
  <si>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</si>
  <si>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</si>
  <si>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</si>
  <si>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</si>
  <si>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</si>
  <si>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</si>
  <si>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</si>
  <si>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</si>
  <si>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</si>
  <si>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</si>
  <si>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</si>
  <si>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</si>
  <si>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</si>
  <si>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</si>
  <si>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</si>
  <si>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</si>
  <si>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</si>
  <si>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</si>
  <si>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</si>
  <si>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</si>
  <si>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</si>
  <si>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</si>
  <si>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</si>
  <si>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</si>
  <si>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</si>
  <si>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</si>
  <si>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</si>
  <si>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</si>
  <si>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</si>
  <si>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</si>
  <si>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</si>
  <si>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</si>
  <si>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</si>
  <si>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</si>
  <si>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</si>
  <si>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</si>
  <si>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</si>
  <si>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</si>
  <si>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</si>
  <si>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</si>
  <si>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</si>
  <si>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</si>
  <si>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</si>
  <si>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</si>
  <si>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</si>
  <si>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</si>
  <si>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</si>
  <si>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</si>
  <si>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</si>
  <si>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</si>
  <si>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</si>
  <si>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</si>
  <si>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</si>
  <si>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</si>
  <si>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</si>
  <si>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</si>
  <si>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</si>
  <si>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</si>
  <si>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</si>
  <si>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</si>
  <si>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</si>
  <si>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</si>
  <si>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</si>
  <si>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</si>
  <si>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</si>
  <si>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</si>
  <si>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</si>
  <si>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</si>
  <si>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</si>
  <si>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</si>
  <si>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</si>
  <si>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</si>
  <si>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</si>
  <si>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</si>
  <si>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</si>
  <si>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</si>
  <si>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</si>
  <si>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</si>
  <si>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</si>
  <si>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</si>
  <si>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</si>
  <si>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</si>
  <si>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</si>
  <si>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</si>
  <si>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</si>
  <si>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</si>
  <si>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</si>
  <si>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</si>
  <si>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</si>
  <si>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</si>
  <si>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</si>
  <si>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</si>
  <si>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</si>
  <si>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</si>
  <si>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</si>
  <si>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</si>
  <si>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</si>
  <si>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</si>
  <si>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</si>
  <si>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</si>
  <si>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</si>
  <si>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</si>
  <si>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</si>
  <si>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</si>
  <si>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</si>
  <si>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</si>
  <si>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</si>
  <si>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</si>
  <si>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</si>
  <si>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</si>
  <si>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</si>
  <si>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</si>
  <si>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</si>
  <si>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</si>
  <si>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</si>
  <si>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</si>
  <si>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</si>
  <si>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</si>
  <si>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</si>
  <si>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</si>
  <si>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</si>
  <si>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</si>
  <si>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</si>
  <si>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</si>
  <si>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</si>
  <si>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</si>
  <si>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</si>
  <si>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</si>
  <si>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</si>
  <si>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</si>
  <si>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</si>
  <si>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</si>
  <si>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</si>
  <si>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</si>
  <si>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</si>
  <si>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</si>
  <si>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</si>
  <si>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</si>
  <si>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</si>
  <si>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</si>
  <si>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</si>
  <si>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</si>
  <si>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</si>
  <si>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</si>
  <si>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</si>
  <si>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</si>
  <si>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</si>
  <si>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</si>
  <si>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</si>
  <si>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</si>
  <si>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</si>
  <si>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</si>
  <si>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</si>
  <si>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</si>
  <si>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</si>
  <si>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</si>
  <si>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</si>
  <si>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</si>
  <si>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</si>
  <si>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</si>
  <si>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</si>
  <si>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</si>
  <si>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</si>
  <si>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</si>
  <si>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</si>
  <si>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</si>
  <si>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</si>
  <si>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</si>
  <si>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</si>
  <si>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</si>
  <si>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</si>
  <si>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</si>
  <si>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</si>
  <si>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</si>
  <si>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</si>
  <si>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</si>
  <si>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</si>
  <si>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</si>
  <si>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</si>
  <si>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</si>
  <si>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</si>
  <si>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</si>
  <si>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</si>
  <si>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</si>
  <si>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</si>
  <si>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</si>
  <si>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</si>
  <si>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</si>
  <si>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</si>
  <si>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</si>
  <si>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</si>
  <si>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</si>
  <si>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</si>
  <si>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</si>
  <si>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</si>
  <si>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</si>
  <si>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</si>
  <si>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</si>
  <si>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</si>
  <si>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</si>
  <si>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</si>
  <si>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</si>
  <si>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</si>
  <si>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</si>
  <si>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</si>
  <si>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</si>
  <si>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</si>
  <si>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</si>
  <si>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</si>
  <si>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</si>
  <si>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</si>
  <si>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</si>
  <si>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</si>
  <si>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</si>
  <si>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</si>
  <si>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</si>
  <si>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</si>
  <si>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</si>
  <si>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</si>
  <si>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</si>
  <si>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</si>
  <si>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</si>
  <si>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</si>
  <si>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</si>
  <si>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</si>
  <si>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</si>
  <si>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</si>
  <si>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</si>
  <si>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</si>
  <si>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</si>
  <si>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</si>
  <si>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</si>
  <si>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</si>
  <si>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</si>
  <si>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</si>
  <si>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</si>
  <si>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</si>
  <si>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</si>
  <si>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</si>
  <si>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</si>
  <si>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</si>
  <si>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</si>
  <si>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</si>
  <si>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</si>
  <si>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</si>
  <si>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</si>
  <si>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</si>
  <si>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</si>
  <si>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</si>
  <si>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</si>
  <si>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</si>
  <si>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</si>
  <si>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</si>
  <si>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</si>
  <si>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</si>
  <si>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</si>
  <si>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</si>
  <si>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</si>
  <si>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</si>
  <si>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</si>
  <si>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</si>
  <si>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</si>
  <si>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</si>
  <si>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</si>
  <si>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</si>
  <si>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</si>
  <si>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</si>
  <si>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</si>
  <si>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</si>
  <si>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</si>
  <si>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</si>
  <si>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</si>
  <si>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</si>
  <si>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</si>
  <si>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</si>
  <si>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</si>
  <si>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</si>
  <si>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</si>
  <si>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</si>
  <si>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</si>
  <si>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</si>
  <si>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</si>
  <si>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</si>
  <si>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</si>
  <si>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</si>
  <si>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</si>
  <si>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</si>
  <si>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</si>
  <si>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</si>
  <si>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</si>
  <si>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</si>
  <si>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</si>
  <si>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</si>
  <si>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</si>
  <si>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</si>
  <si>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</si>
  <si>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</si>
  <si>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</si>
  <si>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</si>
  <si>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</si>
  <si>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</si>
  <si>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</si>
  <si>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</si>
  <si>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</si>
  <si>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</si>
  <si>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</si>
  <si>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</si>
  <si>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</si>
  <si>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</si>
  <si>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</si>
  <si>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</si>
  <si>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</si>
  <si>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</si>
  <si>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</si>
  <si>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</si>
  <si>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</si>
  <si>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</si>
  <si>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</si>
  <si>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</si>
  <si>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</si>
  <si>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</si>
  <si>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</si>
  <si>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</si>
  <si>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</si>
  <si>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</si>
  <si>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</si>
  <si>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</si>
  <si>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</si>
  <si>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</si>
  <si>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</si>
  <si>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</si>
  <si>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</si>
  <si>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</si>
  <si>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</si>
  <si>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</si>
  <si>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</si>
  <si>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</si>
  <si>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</si>
  <si>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</si>
  <si>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</si>
  <si>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</si>
  <si>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</si>
  <si>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</si>
  <si>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</si>
  <si>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</si>
  <si>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</si>
  <si>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</si>
  <si>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</si>
  <si>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</si>
  <si>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</si>
  <si>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</si>
  <si>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</si>
  <si>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</si>
  <si>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</si>
  <si>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</si>
  <si>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</si>
  <si>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</si>
  <si>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</si>
  <si>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</si>
  <si>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</si>
  <si>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</si>
  <si>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</si>
  <si>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</si>
  <si>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</si>
  <si>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</si>
  <si>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</si>
  <si>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</si>
  <si>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</si>
  <si>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</si>
  <si>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</si>
  <si>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</si>
  <si>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</si>
  <si>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</si>
  <si>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</si>
  <si>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</si>
  <si>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</si>
  <si>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</si>
  <si>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</si>
  <si>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</si>
  <si>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</si>
  <si>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</si>
  <si>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</si>
  <si>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</si>
  <si>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</si>
  <si>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</si>
  <si>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</si>
  <si>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</si>
  <si>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</si>
  <si>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</si>
  <si>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</si>
  <si>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</si>
  <si>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</si>
  <si>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</si>
  <si>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</si>
  <si>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</si>
  <si>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</si>
  <si>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</si>
  <si>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</si>
  <si>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</si>
  <si>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</si>
  <si>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</si>
  <si>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</si>
  <si>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</si>
  <si>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</si>
  <si>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</si>
  <si>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</si>
  <si>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</si>
  <si>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</si>
  <si>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</si>
  <si>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</si>
  <si>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</si>
  <si>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</si>
  <si>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</si>
  <si>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</si>
  <si>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</si>
  <si>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</si>
  <si>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</si>
  <si>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</si>
  <si>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</si>
  <si>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</si>
  <si>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</si>
  <si>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</si>
  <si>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</si>
  <si>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</si>
  <si>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</si>
  <si>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</si>
  <si>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</si>
  <si>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</si>
  <si>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</si>
  <si>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</si>
  <si>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</si>
  <si>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</si>
  <si>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</si>
  <si>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</si>
  <si>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</si>
  <si>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</si>
  <si>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</si>
  <si>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</si>
  <si>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</si>
  <si>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</si>
  <si>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</si>
  <si>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</si>
  <si>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</si>
  <si>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</si>
  <si>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</si>
  <si>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</si>
  <si>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</si>
  <si>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</si>
  <si>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</si>
  <si>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</si>
  <si>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</si>
  <si>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</si>
  <si>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</si>
  <si>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</si>
  <si>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</si>
  <si>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</si>
  <si>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</si>
  <si>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</si>
  <si>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</si>
  <si>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</si>
  <si>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</si>
  <si>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</si>
  <si>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</si>
  <si>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</si>
  <si>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</si>
  <si>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</si>
  <si>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</si>
  <si>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</si>
  <si>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</si>
  <si>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</si>
  <si>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</si>
  <si>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</si>
  <si>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</si>
  <si>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</si>
  <si>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</si>
  <si>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</si>
  <si>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</si>
  <si>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</si>
  <si>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</si>
  <si>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</si>
  <si>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</si>
  <si>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</si>
  <si>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</si>
  <si>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</si>
  <si>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</si>
  <si>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</si>
  <si>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</si>
  <si>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</si>
  <si>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</si>
  <si>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</si>
  <si>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</si>
  <si>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</si>
  <si>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</si>
  <si>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</si>
  <si>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</si>
  <si>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</si>
  <si>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</si>
  <si>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</si>
  <si>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</si>
  <si>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</si>
  <si>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</si>
  <si>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</si>
  <si>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</si>
  <si>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</si>
  <si>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</si>
  <si>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</si>
  <si>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</si>
  <si>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</si>
  <si>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</si>
  <si>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</si>
  <si>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</si>
  <si>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</si>
  <si>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</si>
  <si>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</si>
  <si>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</si>
  <si>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</si>
  <si>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</si>
  <si>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</si>
  <si>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</si>
  <si>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</si>
  <si>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</si>
  <si>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</si>
  <si>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</si>
  <si>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</si>
  <si>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</si>
  <si>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</si>
  <si>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</si>
  <si>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</si>
  <si>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</si>
  <si>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</si>
  <si>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</si>
  <si>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</si>
  <si>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</si>
  <si>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</si>
  <si>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</si>
  <si>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</si>
  <si>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</si>
  <si>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Polymycovirus beauveriae</t>
  </si>
  <si>
    <t>Polymycovirus cladosporii</t>
  </si>
  <si>
    <t>Polymycovirus colletotrichi</t>
  </si>
  <si>
    <t>Polymycovirus fusarii</t>
  </si>
  <si>
    <t>Polymycovirus penicompactii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</si>
  <si>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</si>
  <si>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</si>
  <si>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</si>
  <si>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</si>
  <si>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</si>
  <si>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</si>
  <si>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</si>
  <si>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</si>
  <si>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</si>
  <si>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</si>
  <si>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</si>
  <si>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</si>
  <si>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</si>
  <si>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</si>
  <si>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</si>
  <si>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</si>
  <si>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</si>
  <si>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</si>
  <si>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</si>
  <si>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</si>
  <si>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</si>
  <si>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</si>
  <si>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Alphacedratvirus</t>
  </si>
  <si>
    <t>Alphacedratvirus brasiliense</t>
  </si>
  <si>
    <t>Alphacedratvirus rossiense</t>
  </si>
  <si>
    <t>Lymphocystivirus micropogonias1</t>
  </si>
  <si>
    <t>Lymphocystivirus paralichthys1</t>
  </si>
  <si>
    <t>Lymphocystivirus platichthys1</t>
  </si>
  <si>
    <t>Lymphocystivirus sparus1</t>
  </si>
  <si>
    <t>Megalocytivirus lates1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</si>
  <si>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</si>
  <si>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</si>
  <si>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</si>
  <si>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</si>
  <si>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</si>
  <si>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</si>
  <si>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</si>
  <si>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</si>
  <si>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</si>
  <si>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</si>
  <si>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</si>
  <si>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</si>
  <si>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</si>
  <si>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</si>
  <si>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</si>
  <si>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</si>
  <si>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</si>
  <si>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</si>
  <si>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</si>
  <si>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</si>
  <si>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</si>
  <si>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</si>
  <si>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</si>
  <si>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</si>
  <si>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</si>
  <si>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</si>
  <si>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</si>
  <si>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</si>
  <si>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</si>
  <si>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</si>
  <si>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</si>
  <si>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</si>
  <si>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</si>
  <si>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</si>
  <si>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</si>
  <si>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</si>
  <si>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</si>
  <si>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</si>
  <si>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</si>
  <si>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</si>
  <si>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</si>
  <si>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</si>
  <si>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</si>
  <si>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</si>
  <si>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</si>
  <si>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</si>
  <si>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</si>
  <si>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</si>
  <si>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</si>
  <si>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</si>
  <si>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</si>
  <si>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</si>
  <si>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</si>
  <si>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</si>
  <si>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</si>
  <si>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</si>
  <si>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</si>
  <si>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</si>
  <si>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</si>
  <si>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</si>
  <si>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</si>
  <si>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</si>
  <si>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</si>
  <si>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</si>
  <si>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</si>
  <si>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</si>
  <si>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</si>
  <si>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</si>
  <si>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</si>
  <si>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</si>
  <si>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</si>
  <si>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</si>
  <si>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</si>
  <si>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</si>
  <si>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</si>
  <si>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</si>
  <si>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</si>
  <si>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</si>
  <si>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</si>
  <si>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</si>
  <si>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</si>
  <si>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</si>
  <si>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</si>
  <si>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</si>
  <si>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</si>
  <si>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</si>
  <si>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</si>
  <si>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</si>
  <si>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</si>
  <si>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</si>
  <si>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</si>
  <si>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</si>
  <si>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</si>
  <si>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</si>
  <si>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</si>
  <si>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</si>
  <si>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</si>
  <si>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</si>
  <si>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</si>
  <si>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</si>
  <si>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</si>
  <si>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</si>
  <si>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</si>
  <si>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</si>
  <si>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</si>
  <si>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</si>
  <si>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</si>
  <si>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</si>
  <si>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</si>
  <si>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</si>
  <si>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</si>
  <si>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</si>
  <si>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</si>
  <si>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</si>
  <si>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</si>
  <si>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</si>
  <si>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</si>
  <si>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</si>
  <si>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</si>
  <si>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</si>
  <si>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</si>
  <si>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</si>
  <si>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</si>
  <si>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</si>
  <si>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</si>
  <si>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</si>
  <si>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</si>
  <si>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</si>
  <si>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</si>
  <si>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</si>
  <si>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</si>
  <si>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</si>
  <si>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</si>
  <si>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</si>
  <si>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</si>
  <si>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</si>
  <si>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</si>
  <si>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</si>
  <si>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</si>
  <si>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</si>
  <si>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</si>
  <si>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</si>
  <si>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</si>
  <si>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</si>
  <si>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</si>
  <si>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</si>
  <si>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</si>
  <si>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</si>
  <si>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</si>
  <si>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</si>
  <si>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</si>
  <si>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</si>
  <si>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</si>
  <si>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</si>
  <si>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</si>
  <si>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</si>
  <si>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</si>
  <si>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</si>
  <si>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</si>
  <si>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</si>
  <si>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</si>
  <si>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</si>
  <si>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</si>
  <si>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</si>
  <si>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</si>
  <si>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</si>
  <si>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</si>
  <si>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</si>
  <si>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</si>
  <si>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</si>
  <si>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</si>
  <si>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</si>
  <si>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</si>
  <si>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</si>
  <si>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</si>
  <si>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</si>
  <si>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</si>
  <si>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</si>
  <si>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</si>
  <si>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</si>
  <si>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</si>
  <si>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</si>
  <si>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</si>
  <si>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</si>
  <si>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</si>
  <si>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</si>
  <si>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</si>
  <si>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</si>
  <si>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</si>
  <si>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</si>
  <si>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</si>
  <si>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</si>
  <si>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</si>
  <si>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</si>
  <si>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</si>
  <si>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</si>
  <si>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</si>
  <si>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</si>
  <si>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</si>
  <si>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</si>
  <si>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</si>
  <si>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</si>
  <si>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</si>
  <si>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</si>
  <si>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</si>
  <si>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</si>
  <si>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</si>
  <si>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</si>
  <si>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</si>
  <si>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</si>
  <si>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</si>
  <si>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</si>
  <si>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</si>
  <si>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</si>
  <si>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</si>
  <si>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</si>
  <si>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</si>
  <si>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</si>
  <si>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</si>
  <si>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</si>
  <si>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</si>
  <si>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</si>
  <si>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</si>
  <si>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</si>
  <si>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</si>
  <si>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</si>
  <si>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</si>
  <si>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</si>
  <si>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</si>
  <si>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</si>
  <si>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</si>
  <si>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</si>
  <si>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</si>
  <si>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</si>
  <si>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</si>
  <si>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</si>
  <si>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</si>
  <si>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</si>
  <si>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</si>
  <si>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</si>
  <si>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</si>
  <si>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</si>
  <si>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</si>
  <si>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</si>
  <si>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</si>
  <si>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</si>
  <si>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</si>
  <si>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</si>
  <si>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</si>
  <si>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</si>
  <si>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</si>
  <si>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</si>
  <si>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</si>
  <si>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</si>
  <si>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</si>
  <si>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</si>
  <si>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</si>
  <si>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</si>
  <si>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</si>
  <si>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</si>
  <si>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</si>
  <si>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</si>
  <si>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</si>
  <si>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</si>
  <si>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</si>
  <si>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</si>
  <si>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</si>
  <si>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</si>
  <si>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</si>
  <si>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</si>
  <si>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</si>
  <si>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</si>
  <si>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</si>
  <si>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</si>
  <si>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</si>
  <si>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</si>
  <si>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</si>
  <si>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</si>
  <si>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</si>
  <si>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</si>
  <si>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</si>
  <si>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</si>
  <si>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</si>
  <si>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</si>
  <si>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</si>
  <si>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</si>
  <si>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</si>
  <si>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</si>
  <si>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</si>
  <si>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</si>
  <si>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</si>
  <si>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</si>
  <si>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</si>
  <si>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</si>
  <si>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</si>
  <si>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</si>
  <si>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</si>
  <si>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</si>
  <si>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</si>
  <si>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</si>
  <si>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</si>
  <si>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</si>
  <si>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</si>
  <si>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</si>
  <si>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</si>
  <si>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</si>
  <si>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</si>
  <si>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</si>
  <si>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</si>
  <si>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</si>
  <si>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</si>
  <si>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</si>
  <si>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</si>
  <si>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</si>
  <si>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</si>
  <si>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</si>
  <si>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</si>
  <si>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</si>
  <si>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</si>
  <si>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</si>
  <si>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</si>
  <si>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</si>
  <si>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</si>
  <si>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</si>
  <si>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</si>
  <si>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</si>
  <si>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</si>
  <si>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</si>
  <si>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</si>
  <si>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</si>
  <si>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</si>
  <si>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</si>
  <si>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</si>
  <si>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</si>
  <si>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</si>
  <si>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</si>
  <si>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</si>
  <si>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</si>
  <si>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</si>
  <si>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</si>
  <si>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</si>
  <si>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</si>
  <si>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</si>
  <si>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</si>
  <si>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</si>
  <si>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</si>
  <si>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</si>
  <si>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</si>
  <si>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</si>
  <si>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</si>
  <si>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</si>
  <si>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</si>
  <si>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</si>
  <si>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</si>
  <si>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</si>
  <si>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</si>
  <si>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</si>
  <si>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</si>
  <si>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</si>
  <si>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</si>
  <si>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</si>
  <si>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</si>
  <si>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</si>
  <si>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</si>
  <si>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</si>
  <si>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</si>
  <si>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</si>
  <si>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</si>
  <si>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</si>
  <si>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</si>
  <si>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</si>
  <si>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</si>
  <si>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</si>
  <si>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</si>
  <si>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</si>
  <si>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</si>
  <si>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</si>
  <si>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</si>
  <si>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</si>
  <si>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</si>
  <si>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</si>
  <si>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</si>
  <si>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</si>
  <si>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</si>
  <si>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</si>
  <si>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</si>
  <si>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</si>
  <si>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</si>
  <si>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</si>
  <si>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</si>
  <si>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</si>
  <si>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</si>
  <si>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</si>
  <si>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</si>
  <si>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</si>
  <si>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</si>
  <si>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</si>
  <si>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</si>
  <si>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</si>
  <si>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</si>
  <si>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</si>
  <si>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</si>
  <si>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</si>
  <si>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</si>
  <si>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</si>
  <si>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</si>
  <si>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</si>
  <si>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</si>
  <si>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</si>
  <si>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</si>
  <si>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</si>
  <si>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</si>
  <si>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</si>
  <si>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</si>
  <si>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</si>
  <si>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</si>
  <si>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</si>
  <si>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</si>
  <si>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</si>
  <si>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</si>
  <si>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</si>
  <si>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</si>
  <si>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</si>
  <si>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</si>
  <si>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</si>
  <si>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</si>
  <si>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</si>
  <si>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</si>
  <si>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</si>
  <si>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</si>
  <si>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</si>
  <si>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</si>
  <si>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</si>
  <si>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</si>
  <si>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</si>
  <si>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</si>
  <si>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</si>
  <si>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</si>
  <si>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</si>
  <si>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</si>
  <si>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</si>
  <si>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</si>
  <si>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</si>
  <si>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</si>
  <si>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</si>
  <si>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</si>
  <si>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</si>
  <si>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</si>
  <si>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</si>
  <si>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</si>
  <si>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</si>
  <si>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</si>
  <si>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</si>
  <si>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</si>
  <si>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</si>
  <si>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</si>
  <si>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</si>
  <si>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</si>
  <si>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</si>
  <si>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</si>
  <si>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</si>
  <si>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</si>
  <si>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</si>
  <si>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</si>
  <si>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</si>
  <si>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</si>
  <si>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</si>
  <si>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</si>
  <si>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</si>
  <si>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</si>
  <si>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</si>
  <si>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</si>
  <si>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</si>
  <si>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</si>
  <si>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</si>
  <si>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</si>
  <si>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</si>
  <si>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</si>
  <si>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</si>
  <si>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</si>
  <si>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</si>
  <si>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</si>
  <si>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</si>
  <si>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</si>
  <si>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</si>
  <si>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</si>
  <si>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</si>
  <si>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</si>
  <si>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</si>
  <si>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</si>
  <si>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</si>
  <si>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</si>
  <si>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</si>
  <si>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</si>
  <si>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</si>
  <si>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</si>
  <si>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</si>
  <si>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</si>
  <si>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</si>
  <si>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</si>
  <si>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</si>
  <si>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</si>
  <si>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</si>
  <si>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</si>
  <si>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</si>
  <si>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</si>
  <si>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</si>
  <si>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</si>
  <si>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</si>
  <si>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</si>
  <si>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</si>
  <si>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</si>
  <si>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</si>
  <si>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</si>
  <si>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</si>
  <si>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</si>
  <si>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</si>
  <si>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</si>
  <si>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</si>
  <si>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</si>
  <si>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</si>
  <si>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</si>
  <si>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</si>
  <si>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</si>
  <si>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</si>
  <si>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</si>
  <si>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</si>
  <si>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</si>
  <si>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</si>
  <si>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order</t>
  </si>
  <si>
    <t>class</t>
  </si>
  <si>
    <t>Begomovirus oxalisflavi</t>
  </si>
  <si>
    <t>Bovispumavirus bostau</t>
  </si>
  <si>
    <t>Equispumavirus equcab</t>
  </si>
  <si>
    <t>Felispumavirus felcat</t>
  </si>
  <si>
    <t>Prosimiispumavirus otocra</t>
  </si>
  <si>
    <t>Simiispumavirus atespp</t>
  </si>
  <si>
    <t>Simiispumavirus caljac</t>
  </si>
  <si>
    <t>Simiispumavirus cernic</t>
  </si>
  <si>
    <t>Simiispumavirus chlaet</t>
  </si>
  <si>
    <t>Simiispumavirus gorgorgor</t>
  </si>
  <si>
    <t>Simiispumavirus maccyc</t>
  </si>
  <si>
    <t>Simiispumavirus macfas</t>
  </si>
  <si>
    <t>Simiispumavirus macfus</t>
  </si>
  <si>
    <t>Simiispumavirus macmul</t>
  </si>
  <si>
    <t>Simiispumavirus pantrosch</t>
  </si>
  <si>
    <t>Simiispumavirus pantrotro</t>
  </si>
  <si>
    <t>Simiispumavirus pantrover</t>
  </si>
  <si>
    <t>Simiispumavirus ponpygpyg</t>
  </si>
  <si>
    <t>Simiispumavirus saisci</t>
  </si>
  <si>
    <t>Simiispumavirus sapxan</t>
  </si>
  <si>
    <t>Megalocytivirus pagrus1</t>
  </si>
  <si>
    <t>Thyiavirus</t>
  </si>
  <si>
    <t>Thyiavirus flanatis</t>
  </si>
  <si>
    <t>Sanchirvirus</t>
  </si>
  <si>
    <t>Sanchirvirus lawatis</t>
  </si>
  <si>
    <t>Zohalivirus</t>
  </si>
  <si>
    <t>Zohalivirus maramis</t>
  </si>
  <si>
    <t>Genome</t>
  </si>
  <si>
    <t>Chiyouviridae</t>
  </si>
  <si>
    <t>Wargodvirus</t>
  </si>
  <si>
    <t>Wargodvirus xiongnu</t>
  </si>
  <si>
    <t>Adrikavirales</t>
  </si>
  <si>
    <t>Satyavativiridae</t>
  </si>
  <si>
    <t>Vyasavirus</t>
  </si>
  <si>
    <t>Vyasavirus brisbanense</t>
  </si>
  <si>
    <t>Autographivirales</t>
  </si>
  <si>
    <t>Autonotataviridae</t>
  </si>
  <si>
    <t>Gujervirinae</t>
  </si>
  <si>
    <t>Ceskevirus</t>
  </si>
  <si>
    <t>Ceskevirus SB4</t>
  </si>
  <si>
    <t>Maltophvirus</t>
  </si>
  <si>
    <t>Maltophvirus BUCT609</t>
  </si>
  <si>
    <t>Pazvirus</t>
  </si>
  <si>
    <t>Pazvirus 31</t>
  </si>
  <si>
    <t>Pazvirus paz</t>
  </si>
  <si>
    <t>Ponderosavirus</t>
  </si>
  <si>
    <t>Ponderosavirus pepon</t>
  </si>
  <si>
    <t>Ponderosavirus ponderosa</t>
  </si>
  <si>
    <t>Ponderosavirus ptah</t>
  </si>
  <si>
    <t>Ponderosavirus SB2</t>
  </si>
  <si>
    <t>Ponderosavirus TS10</t>
  </si>
  <si>
    <t>Pradovirus F5</t>
  </si>
  <si>
    <t>Pradovirus IVIADoCa2</t>
  </si>
  <si>
    <t>Pradovirus IVIADoCa4</t>
  </si>
  <si>
    <t>Pradovirus IVIADoCa9</t>
  </si>
  <si>
    <t>Pradovirus MUD8T1</t>
  </si>
  <si>
    <t>Pradovirus NED111</t>
  </si>
  <si>
    <t>Pradovirus P4</t>
  </si>
  <si>
    <t>Pradovirus pagan</t>
  </si>
  <si>
    <t>Pradovirus pXoo2106</t>
  </si>
  <si>
    <t>Pradovirus SB5</t>
  </si>
  <si>
    <t>Pradovirus titanX</t>
  </si>
  <si>
    <t>Smasvirus</t>
  </si>
  <si>
    <t>Smasvirus BUCT598</t>
  </si>
  <si>
    <t>Smasvirus BUCT700</t>
  </si>
  <si>
    <t>Smasvirus c9N</t>
  </si>
  <si>
    <t>Smasvirus P15</t>
  </si>
  <si>
    <t>Smasvirus SB1</t>
  </si>
  <si>
    <t>Ahphunavirus A014L</t>
  </si>
  <si>
    <t>Ahphunavirus AHPMCC7</t>
  </si>
  <si>
    <t>Ahphunavirus LAh1</t>
  </si>
  <si>
    <t>Ahphunavirus P2</t>
  </si>
  <si>
    <t>Ahphunavirus ST21</t>
  </si>
  <si>
    <t>Ahphunavirus yong1</t>
  </si>
  <si>
    <t>Atoyacvirus</t>
  </si>
  <si>
    <t>Atoyacvirus atoyac1</t>
  </si>
  <si>
    <t>Atoyacvirus atoyac15</t>
  </si>
  <si>
    <t>Cronosvirus EspYZU05</t>
  </si>
  <si>
    <t>Cronosvirus EspYZU13</t>
  </si>
  <si>
    <t>Cronosvirus GY3</t>
  </si>
  <si>
    <t>Cronosvirus Kc318</t>
  </si>
  <si>
    <t>Cullenvirus</t>
  </si>
  <si>
    <t>Cullenvirus 6937</t>
  </si>
  <si>
    <t>Cullenvirus K59PH2</t>
  </si>
  <si>
    <t>Cullenvirus KYP</t>
  </si>
  <si>
    <t>Daeravirus</t>
  </si>
  <si>
    <t>Daeravirus MA13</t>
  </si>
  <si>
    <t>Jimeivirus</t>
  </si>
  <si>
    <t>Jimeivirus LHP</t>
  </si>
  <si>
    <t>Higashivirus BHDTSo9</t>
  </si>
  <si>
    <t>Hongshanvirus</t>
  </si>
  <si>
    <t>Hongshanvirus BMB50</t>
  </si>
  <si>
    <t>Bifseptvirus BIMBV45</t>
  </si>
  <si>
    <t>Bifseptvirus SoKa</t>
  </si>
  <si>
    <t>Conareevirus</t>
  </si>
  <si>
    <t>Conareevirus babayka</t>
  </si>
  <si>
    <t>Conareevirus Cd1</t>
  </si>
  <si>
    <t>Conareevirus doublea</t>
  </si>
  <si>
    <t>Cotavirus</t>
  </si>
  <si>
    <t>Cotavirus cota</t>
  </si>
  <si>
    <t>Dcimvirus</t>
  </si>
  <si>
    <t>Dcimvirus DCM</t>
  </si>
  <si>
    <t>Euvesivirus</t>
  </si>
  <si>
    <t>Euvesivirus SB3</t>
  </si>
  <si>
    <t>Jeruvirus</t>
  </si>
  <si>
    <t>Jeruvirus PSTNGR1</t>
  </si>
  <si>
    <t>Lullwatervirus quill52</t>
  </si>
  <si>
    <t>Pakuvirus</t>
  </si>
  <si>
    <t>Pakuvirus paku</t>
  </si>
  <si>
    <t>Paternavirus</t>
  </si>
  <si>
    <t>Paternavirus doca7</t>
  </si>
  <si>
    <t>Percyvirus BL198</t>
  </si>
  <si>
    <t>Percyvirus ERS</t>
  </si>
  <si>
    <t>Percyvirus KSC</t>
  </si>
  <si>
    <t>Pollyceevirus Eisa9</t>
  </si>
  <si>
    <t>Autoscriptoviridae</t>
  </si>
  <si>
    <t>Aristophanesvirus</t>
  </si>
  <si>
    <t>Aristophanesvirus aristophanes</t>
  </si>
  <si>
    <t>Friunavirus 3043K38</t>
  </si>
  <si>
    <t>Friunavirus AbP7</t>
  </si>
  <si>
    <t>Friunavirus AbpL</t>
  </si>
  <si>
    <t>Friunavirus ABSZ6</t>
  </si>
  <si>
    <t>Friunavirus AbTP31</t>
  </si>
  <si>
    <t>Friunavirus ABWU2101</t>
  </si>
  <si>
    <t>Friunavirus Acba6</t>
  </si>
  <si>
    <t>Friunavirus AGC01</t>
  </si>
  <si>
    <t>Friunavirus AIIMSAbE5RC</t>
  </si>
  <si>
    <t>Friunavirus APK2</t>
  </si>
  <si>
    <t>Friunavirus APK09</t>
  </si>
  <si>
    <t>Friunavirus APK14</t>
  </si>
  <si>
    <t>Friunavirus APK15</t>
  </si>
  <si>
    <t>Friunavirus APK16</t>
  </si>
  <si>
    <t>Friunavirus APK20</t>
  </si>
  <si>
    <t>Friunavirus APK26</t>
  </si>
  <si>
    <t>Friunavirus APK32</t>
  </si>
  <si>
    <t>Friunavirus APK37</t>
  </si>
  <si>
    <t>Friunavirus APK48</t>
  </si>
  <si>
    <t>Friunavirus APK77</t>
  </si>
  <si>
    <t>Friunavirus APK81</t>
  </si>
  <si>
    <t>Friunavirus APK86</t>
  </si>
  <si>
    <t>Friunavirus APK87</t>
  </si>
  <si>
    <t>Friunavirus APK89</t>
  </si>
  <si>
    <t>Friunavirus APK116</t>
  </si>
  <si>
    <t>Friunavirus APK128</t>
  </si>
  <si>
    <t>Friunavirus APK371</t>
  </si>
  <si>
    <t>Friunavirus APK483</t>
  </si>
  <si>
    <t>Friunavirus APK127v</t>
  </si>
  <si>
    <t>Friunavirus ChT04</t>
  </si>
  <si>
    <t>Friunavirus F70K44</t>
  </si>
  <si>
    <t>Friunavirus fBenAci001</t>
  </si>
  <si>
    <t>Friunavirus fBenAci002</t>
  </si>
  <si>
    <t>Friunavirus fBenAci003</t>
  </si>
  <si>
    <t>Friunavirus Hep4</t>
  </si>
  <si>
    <t>Friunavirus IME546</t>
  </si>
  <si>
    <t>Friunavirus MRABP9</t>
  </si>
  <si>
    <t>Friunavirus P1489</t>
  </si>
  <si>
    <t>Friunavirus Paty</t>
  </si>
  <si>
    <t>Friunavirus pB3074</t>
  </si>
  <si>
    <t>Friunavirus Pipo</t>
  </si>
  <si>
    <t>Friunavirus PMK34</t>
  </si>
  <si>
    <t>Friunavirus WU2001</t>
  </si>
  <si>
    <t>Friunavirus YZ2</t>
  </si>
  <si>
    <t>Friunavirus ZHSHW</t>
  </si>
  <si>
    <t>Actinidiaevirus</t>
  </si>
  <si>
    <t>Actinidiaevirus Ep4</t>
  </si>
  <si>
    <t>Kotilavirus CX5</t>
  </si>
  <si>
    <t>Kotilavirus MA2</t>
  </si>
  <si>
    <t>Mojovirus</t>
  </si>
  <si>
    <t>Mojovirus MR5</t>
  </si>
  <si>
    <t>Phikmvvirus 551W</t>
  </si>
  <si>
    <t>Phikmvvirus AIIMSPaA1</t>
  </si>
  <si>
    <t>Phikmvvirus FBPa3</t>
  </si>
  <si>
    <t>Phikmvvirus HX1</t>
  </si>
  <si>
    <t>Phikmvvirus JB10</t>
  </si>
  <si>
    <t>Phikmvvirus MYY9</t>
  </si>
  <si>
    <t>Phikmvvirus P1G</t>
  </si>
  <si>
    <t>Phikmvvirus PA69</t>
  </si>
  <si>
    <t>Phikmvvirus PE3</t>
  </si>
  <si>
    <t>Phikmvvirus phipa2</t>
  </si>
  <si>
    <t>Phikmvvirus PJNP013</t>
  </si>
  <si>
    <t>Phikmvvirus pv401</t>
  </si>
  <si>
    <t>Phikmvvirus S1</t>
  </si>
  <si>
    <t>Phikmvvirus SB</t>
  </si>
  <si>
    <t>Phikmvvirus SEMA</t>
  </si>
  <si>
    <t>Torinorumvirus</t>
  </si>
  <si>
    <t>Torinorumvirus B11</t>
  </si>
  <si>
    <t>Cepavirus</t>
  </si>
  <si>
    <t>Cepavirus PAS7</t>
  </si>
  <si>
    <t>Drulisvirus BHU1</t>
  </si>
  <si>
    <t>Drulisvirus BHU2</t>
  </si>
  <si>
    <t>Drulisvirus BHU3</t>
  </si>
  <si>
    <t>Drulisvirus Bp5</t>
  </si>
  <si>
    <t>Drulisvirus BUCT86</t>
  </si>
  <si>
    <t>Drulisvirus BUCT631</t>
  </si>
  <si>
    <t>Drulisvirus cp48</t>
  </si>
  <si>
    <t>Drulisvirus CX1</t>
  </si>
  <si>
    <t>Drulisvirus Dlv622</t>
  </si>
  <si>
    <t>Drulisvirus dv6993</t>
  </si>
  <si>
    <t>Drulisvirus dv6995</t>
  </si>
  <si>
    <t>Drulisvirus FBKp18</t>
  </si>
  <si>
    <t>Drulisvirus fHeKpn01</t>
  </si>
  <si>
    <t>Drulisvirus FK1979</t>
  </si>
  <si>
    <t>Drulisvirus IME308</t>
  </si>
  <si>
    <t>Drulisvirus IME337</t>
  </si>
  <si>
    <t>Drulisvirus JKP2</t>
  </si>
  <si>
    <t>Drulisvirus K15PH90</t>
  </si>
  <si>
    <t>Drulisvirus K1PH164C1</t>
  </si>
  <si>
    <t>Drulisvirus K24PH164C1</t>
  </si>
  <si>
    <t>Drulisvirus K25PH129C1</t>
  </si>
  <si>
    <t>Drulisvirus K39PH122C2</t>
  </si>
  <si>
    <t>Drulisvirus K40PH129C1</t>
  </si>
  <si>
    <t>Drulisvirus K51PH129C1</t>
  </si>
  <si>
    <t>Drulisvirus K66PH128C1</t>
  </si>
  <si>
    <t>Drulisvirus K71PH129C1</t>
  </si>
  <si>
    <t>Drulisvirus K72PH164C2</t>
  </si>
  <si>
    <t>Drulisvirus KA</t>
  </si>
  <si>
    <t>Drulisvirus KMI3</t>
  </si>
  <si>
    <t>Drulisvirus KMI6</t>
  </si>
  <si>
    <t>Drulisvirus Kpn13</t>
  </si>
  <si>
    <t>Drulisvirus KPPK1081</t>
  </si>
  <si>
    <t>Drulisvirus KPPK1082</t>
  </si>
  <si>
    <t>Drulisvirus KPR2</t>
  </si>
  <si>
    <t>Drulisvirus KpV2883</t>
  </si>
  <si>
    <t>Drulisvirus KXP</t>
  </si>
  <si>
    <t>Drulisvirus LLY</t>
  </si>
  <si>
    <t>Drulisvirus M21221</t>
  </si>
  <si>
    <t>Drulisvirus NER40</t>
  </si>
  <si>
    <t>Drulisvirus P929</t>
  </si>
  <si>
    <t>Drulisvirus P1010</t>
  </si>
  <si>
    <t>Drulisvirus pKp11</t>
  </si>
  <si>
    <t>Drulisvirus pKPM18622</t>
  </si>
  <si>
    <t>Drulisvirus pokalde001</t>
  </si>
  <si>
    <t>Drulisvirus Pone</t>
  </si>
  <si>
    <t>Drulisvirus PWKp1</t>
  </si>
  <si>
    <t>Drulisvirus QL</t>
  </si>
  <si>
    <t>Drulisvirus SCNJ1Z</t>
  </si>
  <si>
    <t>Drulisvirus SKP1</t>
  </si>
  <si>
    <t>Drulisvirus SRD2021</t>
  </si>
  <si>
    <t>Drulisvirus VAC25</t>
  </si>
  <si>
    <t>Drulisvirus VLC1</t>
  </si>
  <si>
    <t>Drulisvirus VLC3</t>
  </si>
  <si>
    <t>Drulisvirus VLC4</t>
  </si>
  <si>
    <t>Drulisvirus VLC5</t>
  </si>
  <si>
    <t>Drulisvirus VLC6</t>
  </si>
  <si>
    <t>Drulisvirus VLCpiA1a</t>
  </si>
  <si>
    <t>Drulisvirus VLCpiA1b</t>
  </si>
  <si>
    <t>Drulisvirus VLCpiA1c</t>
  </si>
  <si>
    <t>Drulisvirus VLCpiA1d</t>
  </si>
  <si>
    <t>Drulisvirus VLCpiA1e</t>
  </si>
  <si>
    <t>Drulisvirus VLCpiA1f</t>
  </si>
  <si>
    <t>Drulisvirus VLCpiA1g</t>
  </si>
  <si>
    <t>Drulisvirus VLCpiA1h</t>
  </si>
  <si>
    <t>Drulisvirus VLCpiA1i</t>
  </si>
  <si>
    <t>Drulisvirus VLCpiA1j</t>
  </si>
  <si>
    <t>Drulisvirus VLCpiA1k</t>
  </si>
  <si>
    <t>Drulisvirus VLCpiA1l</t>
  </si>
  <si>
    <t>Drulisvirus VLCpiA1m</t>
  </si>
  <si>
    <t>Drulisvirus VLCpiA1n</t>
  </si>
  <si>
    <t>Drulisvirus VLCpiA1o</t>
  </si>
  <si>
    <t>Drulisvirus VLCpiA1q</t>
  </si>
  <si>
    <t>Drulisvirus VLCpiA1r</t>
  </si>
  <si>
    <t>Drulisvirus xx20</t>
  </si>
  <si>
    <t>Drulisvirus ZH5</t>
  </si>
  <si>
    <t>Drulisvirus ZX6</t>
  </si>
  <si>
    <t>Drulisvirus ZX11</t>
  </si>
  <si>
    <t>Kakivirus PSTRCR114</t>
  </si>
  <si>
    <t>Koutsourovirus EhYP</t>
  </si>
  <si>
    <t>Koutsourovirus KKP3828</t>
  </si>
  <si>
    <t>Koutsourovirus Pec</t>
  </si>
  <si>
    <t>Micantvirus</t>
  </si>
  <si>
    <t>Micantvirus loshitsa2</t>
  </si>
  <si>
    <t>Micantvirus micant</t>
  </si>
  <si>
    <t>Novosibovirus 309</t>
  </si>
  <si>
    <t>Novosibovirus RS1pmA</t>
  </si>
  <si>
    <t>Novosibovirus RS8pmA</t>
  </si>
  <si>
    <t>Zoomievirus</t>
  </si>
  <si>
    <t>Zoomievirus zoomie</t>
  </si>
  <si>
    <t>Stentvirinae</t>
  </si>
  <si>
    <t>Bonnellvirus altidsur</t>
  </si>
  <si>
    <t>Bonnellvirus glasur</t>
  </si>
  <si>
    <t>Bonnellvirus Kc261</t>
  </si>
  <si>
    <t>Bonnellvirus mellemsur</t>
  </si>
  <si>
    <t>Bonnellvirus RZ4</t>
  </si>
  <si>
    <t>Bonnellvirus smaasur</t>
  </si>
  <si>
    <t>Bonnellvirus usur</t>
  </si>
  <si>
    <t>Axyvirus</t>
  </si>
  <si>
    <t>Axyvirus 1932Axy09</t>
  </si>
  <si>
    <t>Axyvirus 1932Axy21</t>
  </si>
  <si>
    <t>Axyvirus 1932Axy23</t>
  </si>
  <si>
    <t>Bertilvirus</t>
  </si>
  <si>
    <t>Bertilvirus bertil</t>
  </si>
  <si>
    <t>Bolekvirus</t>
  </si>
  <si>
    <t>Bolekvirus bolek</t>
  </si>
  <si>
    <t>Bolekvirus lolek</t>
  </si>
  <si>
    <t>Catalonvirus</t>
  </si>
  <si>
    <t>Catalonvirus NF1</t>
  </si>
  <si>
    <t>Linggongvirus</t>
  </si>
  <si>
    <t>Linggongvirus VH5</t>
  </si>
  <si>
    <t>Maculvirus AC2</t>
  </si>
  <si>
    <t>Maculvirus BUCT233</t>
  </si>
  <si>
    <t>Maculvirus DE10</t>
  </si>
  <si>
    <t>Maculvirus DE17</t>
  </si>
  <si>
    <t>Maculvirus DE18</t>
  </si>
  <si>
    <t>Maculvirus F23s2</t>
  </si>
  <si>
    <t>Maculvirus FE11</t>
  </si>
  <si>
    <t>Maculvirus GHSM17</t>
  </si>
  <si>
    <t>Maculvirus H256D1</t>
  </si>
  <si>
    <t>Maculvirus HA1</t>
  </si>
  <si>
    <t>Maculvirus HA5</t>
  </si>
  <si>
    <t>Maculvirus MGD1</t>
  </si>
  <si>
    <t>Maculvirus SrVc9</t>
  </si>
  <si>
    <t>Maculvirus VP9</t>
  </si>
  <si>
    <t>Natansvirus</t>
  </si>
  <si>
    <t>Natansvirus SnaPR1</t>
  </si>
  <si>
    <t>Savitribaivirus</t>
  </si>
  <si>
    <t>Savitribaivirus PS</t>
  </si>
  <si>
    <t>Trelivelvirus</t>
  </si>
  <si>
    <t>Trelivelvirus VAC51</t>
  </si>
  <si>
    <t>Tunggulvirus GM223</t>
  </si>
  <si>
    <t>Autosignataviridae</t>
  </si>
  <si>
    <t>Daolivirus</t>
  </si>
  <si>
    <t>Daolivirus MJG</t>
  </si>
  <si>
    <t>Kaohsiungvirus MGD2</t>
  </si>
  <si>
    <t>Kaohsiungvirus R15Z</t>
  </si>
  <si>
    <t>Kaohsiungvirus VaZX1</t>
  </si>
  <si>
    <t>Kaohsiungvirus VPHS15</t>
  </si>
  <si>
    <t>Nerthusvirus</t>
  </si>
  <si>
    <t>Nerthusvirus achelous</t>
  </si>
  <si>
    <t>Nerthusvirus alpheus</t>
  </si>
  <si>
    <t>Nerthusvirus BUCT553</t>
  </si>
  <si>
    <t>Nerthusvirus nerthus</t>
  </si>
  <si>
    <t>Njordvirus</t>
  </si>
  <si>
    <t>Njordvirus njord</t>
  </si>
  <si>
    <t>Roscoffvirus</t>
  </si>
  <si>
    <t>Roscoffvirus rv15E36</t>
  </si>
  <si>
    <t>Acadevirus bigMiraUFV01</t>
  </si>
  <si>
    <t>Acadevirus premi</t>
  </si>
  <si>
    <t>Eracentumvirus Nifs112</t>
  </si>
  <si>
    <t>Gansuvirus</t>
  </si>
  <si>
    <t>Gansuvirus F4M1D</t>
  </si>
  <si>
    <t>Gansuvirus F5M1D</t>
  </si>
  <si>
    <t>Gansuvirus FBKp16</t>
  </si>
  <si>
    <t>Gansuvirus K13PH07C1L</t>
  </si>
  <si>
    <t>Gansuvirus K22PH164C1</t>
  </si>
  <si>
    <t>Gansuvirus K61PH164C1</t>
  </si>
  <si>
    <t>Gansuvirus Kp7</t>
  </si>
  <si>
    <t>Gansuvirus KPN7</t>
  </si>
  <si>
    <t>Gansuvirus pKVBS37531</t>
  </si>
  <si>
    <t>Gansuvirus PmP19</t>
  </si>
  <si>
    <t>Gansuvirus VLCpiA2a</t>
  </si>
  <si>
    <t>Gansuvirus VLCpiA2b</t>
  </si>
  <si>
    <t>Gansuvirus ZK1</t>
  </si>
  <si>
    <t>Guangxivirus</t>
  </si>
  <si>
    <t>Guangxivirus PSTH2</t>
  </si>
  <si>
    <t>Rodentiumvirus</t>
  </si>
  <si>
    <t>Rodentiumvirus CrRp3</t>
  </si>
  <si>
    <t>Rodentiumvirus LL11</t>
  </si>
  <si>
    <t>Rodentiumvirus NTNC80A</t>
  </si>
  <si>
    <t>Rodentiumvirus P101117UKE2</t>
  </si>
  <si>
    <t>Rodentiumvirus PP433</t>
  </si>
  <si>
    <t>Rodentiumvirus R4596</t>
  </si>
  <si>
    <t>Ulipvirus</t>
  </si>
  <si>
    <t>Ulipvirus cp4</t>
  </si>
  <si>
    <t>Ulipvirus IME184</t>
  </si>
  <si>
    <t>Ulipvirus K1ULIP33</t>
  </si>
  <si>
    <t>Ulipvirus K44PH129C1</t>
  </si>
  <si>
    <t>Ulipvirus pKPM18621</t>
  </si>
  <si>
    <t>Vectrevirus EC120</t>
  </si>
  <si>
    <t>Vectrevirus EEc2</t>
  </si>
  <si>
    <t>Vectrevirus KAW1A4500</t>
  </si>
  <si>
    <t>Vectrevirus Mt1B1P10</t>
  </si>
  <si>
    <t>Vectrevirus P101101UKE1</t>
  </si>
  <si>
    <t>Vectrevirus PUTI89UKE2</t>
  </si>
  <si>
    <t>Vectrevirus ULINTec4</t>
  </si>
  <si>
    <t>Vectrevirus ULINTec6</t>
  </si>
  <si>
    <t>Vectrevirus ULINTec7</t>
  </si>
  <si>
    <t>Vectrevirus vv6948</t>
  </si>
  <si>
    <t>Zindervirus GRNsp51</t>
  </si>
  <si>
    <t>Zindervirus kenyaK30</t>
  </si>
  <si>
    <t>Autotranscriptaviridae</t>
  </si>
  <si>
    <t>Apdecimavirus K12P11</t>
  </si>
  <si>
    <t>Armandvirus</t>
  </si>
  <si>
    <t>Armandvirus PT2</t>
  </si>
  <si>
    <t>Armandvirus PZLAh8</t>
  </si>
  <si>
    <t>Armandvirus PZLAh152</t>
  </si>
  <si>
    <t>Armandvirus T7Ah</t>
  </si>
  <si>
    <t>Bamvirus</t>
  </si>
  <si>
    <t>Bamvirus bam</t>
  </si>
  <si>
    <t>Benllochvirus</t>
  </si>
  <si>
    <t>Benllochvirus cmc355D</t>
  </si>
  <si>
    <t>Benllochvirus cp31</t>
  </si>
  <si>
    <t>Benllochvirus K10PH82C1</t>
  </si>
  <si>
    <t>Benllochvirus VLCpiA3a</t>
  </si>
  <si>
    <t>Berlinvirus carlspitteler</t>
  </si>
  <si>
    <t>Berlinvirus D226</t>
  </si>
  <si>
    <t>Berlinvirus ernstbeyeler</t>
  </si>
  <si>
    <t>Berlinvirus JSS1</t>
  </si>
  <si>
    <t>Berlinvirus JSS2</t>
  </si>
  <si>
    <t>Berlinvirus P151</t>
  </si>
  <si>
    <t>Berlinvirus PC127</t>
  </si>
  <si>
    <t>Berlinvirus PcCB251</t>
  </si>
  <si>
    <t>Berlinvirus pEaSNUABM57</t>
  </si>
  <si>
    <t>Berlinvirus pO103</t>
  </si>
  <si>
    <t>Berlinvirus PZJ0206</t>
  </si>
  <si>
    <t>Berlinvirus SalMLPST153</t>
  </si>
  <si>
    <t>Berlinvirus SEqdws315</t>
  </si>
  <si>
    <t>Berlinvirus SPLA4</t>
  </si>
  <si>
    <t>Berlinvirus SWJM03</t>
  </si>
  <si>
    <t>Berlinvirus V1</t>
  </si>
  <si>
    <t>Cankvirus</t>
  </si>
  <si>
    <t>Cankvirus cv10P302A</t>
  </si>
  <si>
    <t>Coryciavirus</t>
  </si>
  <si>
    <t>Coryciavirus A014S</t>
  </si>
  <si>
    <t>Ebriosvirus</t>
  </si>
  <si>
    <t>Ebriosvirus ebrios</t>
  </si>
  <si>
    <t>Ebriosvirus IME15</t>
  </si>
  <si>
    <t>Elunavirus PagPSK1</t>
  </si>
  <si>
    <t>Elunavirus stepyanka</t>
  </si>
  <si>
    <t>Foetvirus P1723</t>
  </si>
  <si>
    <t>Ghunavirus AH05</t>
  </si>
  <si>
    <t>Ghunavirus athelas</t>
  </si>
  <si>
    <t>Ghunavirus CHF1</t>
  </si>
  <si>
    <t>Ghunavirus CHF7</t>
  </si>
  <si>
    <t>Ghunavirus gv17A</t>
  </si>
  <si>
    <t>Ghunavirus PCW2</t>
  </si>
  <si>
    <t>Ghunavirus PstGIL1</t>
  </si>
  <si>
    <t>Gundecimvirus</t>
  </si>
  <si>
    <t>Gundecimvirus MG11</t>
  </si>
  <si>
    <t>Helsettvirus YpEc11</t>
  </si>
  <si>
    <t>Hennigervirus</t>
  </si>
  <si>
    <t>Hennigervirus henninger</t>
  </si>
  <si>
    <t>Hennigervirus MR1</t>
  </si>
  <si>
    <t>Hennigervirus MR2</t>
  </si>
  <si>
    <t>Hennigervirus PPPL1</t>
  </si>
  <si>
    <t>Hennigervirus shl2</t>
  </si>
  <si>
    <t>Jelgvirus</t>
  </si>
  <si>
    <t>Jelgvirus JELGKS1</t>
  </si>
  <si>
    <t>Kayfunavirus 6925</t>
  </si>
  <si>
    <t>Kayfunavirus 101118UKE1</t>
  </si>
  <si>
    <t>Kayfunavirus 216Ecol046PP</t>
  </si>
  <si>
    <t>Kayfunavirus 22664UKE32</t>
  </si>
  <si>
    <t>Kayfunavirus B1</t>
  </si>
  <si>
    <t>Kayfunavirus CLBP1</t>
  </si>
  <si>
    <t>Kayfunavirus CY1</t>
  </si>
  <si>
    <t>Kayfunavirus EcoPRo103C3lw</t>
  </si>
  <si>
    <t>Kayfunavirus emlis</t>
  </si>
  <si>
    <t>Kayfunavirus EP1</t>
  </si>
  <si>
    <t>Kayfunavirus EPr2</t>
  </si>
  <si>
    <t>Kayfunavirus EV1361</t>
  </si>
  <si>
    <t>Kayfunavirus HC12</t>
  </si>
  <si>
    <t>Kayfunavirus HC13</t>
  </si>
  <si>
    <t>Kayfunavirus IME177</t>
  </si>
  <si>
    <t>Kayfunavirus IME278</t>
  </si>
  <si>
    <t>Kayfunavirus IMEP24</t>
  </si>
  <si>
    <t>Kayfunavirus Kc166A</t>
  </si>
  <si>
    <t>Kayfunavirus KKP3263</t>
  </si>
  <si>
    <t>Kayfunavirus LET1</t>
  </si>
  <si>
    <t>Kayfunavirus LS2</t>
  </si>
  <si>
    <t>Kayfunavirus LS3</t>
  </si>
  <si>
    <t>Kayfunavirus midid</t>
  </si>
  <si>
    <t>Kayfunavirus milel</t>
  </si>
  <si>
    <t>Kayfunavirus Mt1B1P3</t>
  </si>
  <si>
    <t>Kayfunavirus NS1</t>
  </si>
  <si>
    <t>Kayfunavirus p02</t>
  </si>
  <si>
    <t>Kayfunavirus P762</t>
  </si>
  <si>
    <t>Kayfunavirus peacock</t>
  </si>
  <si>
    <t>Kayfunavirus penshu1</t>
  </si>
  <si>
    <t>Kayfunavirus PH1061</t>
  </si>
  <si>
    <t>Kayfunavirus pisces</t>
  </si>
  <si>
    <t>Kayfunavirus pO91</t>
  </si>
  <si>
    <t>Kayfunavirus PRFSP1</t>
  </si>
  <si>
    <t>Kayfunavirus R1</t>
  </si>
  <si>
    <t>Kayfunavirus SFP20</t>
  </si>
  <si>
    <t>Kayfunavirus SFP21A</t>
  </si>
  <si>
    <t>Kayfunavirus SFP21B</t>
  </si>
  <si>
    <t>Kayfunavirus SP7</t>
  </si>
  <si>
    <t>Kayfunavirus SR04</t>
  </si>
  <si>
    <t>Kayfunavirus ST10</t>
  </si>
  <si>
    <t>Kayfunavirus ST15</t>
  </si>
  <si>
    <t>Kayfunavirus ST16</t>
  </si>
  <si>
    <t>Kayfunavirus ST17</t>
  </si>
  <si>
    <t>Kayfunavirus ST20</t>
  </si>
  <si>
    <t>Kayfunavirus ST21</t>
  </si>
  <si>
    <t>Kayfunavirus ST57</t>
  </si>
  <si>
    <t>Kayfunavirus TM1</t>
  </si>
  <si>
    <t>Kayfunavirus U8</t>
  </si>
  <si>
    <t>Kayfunavirus yong1</t>
  </si>
  <si>
    <t>Kayfunavirus zappy</t>
  </si>
  <si>
    <t>Kayfunavirus ZH4</t>
  </si>
  <si>
    <t>Maklayavirus</t>
  </si>
  <si>
    <t>Maklayavirus Q19</t>
  </si>
  <si>
    <t>Minipunavirus lilpapawes</t>
  </si>
  <si>
    <t>Ningirsuvirus DchS19</t>
  </si>
  <si>
    <t>Ningirsuvirus nahilimali</t>
  </si>
  <si>
    <t>Ningirsuvirus pEpSNUABM12</t>
  </si>
  <si>
    <t>Ningirsuvirus sibilus</t>
  </si>
  <si>
    <t>Ningirsuvirus W2B</t>
  </si>
  <si>
    <t>Pfluvirus</t>
  </si>
  <si>
    <t>Pfluvirus PFP1</t>
  </si>
  <si>
    <t>Pfluvirus pv22PfluR64PP</t>
  </si>
  <si>
    <t>Phutvirus PSA6</t>
  </si>
  <si>
    <t>Pifdecavirus BIMBV46</t>
  </si>
  <si>
    <t>Pijolavirus Pf17397FPD1</t>
  </si>
  <si>
    <t>Pijolavirus UFJFPfSW6</t>
  </si>
  <si>
    <t>Przondovirus 066022</t>
  </si>
  <si>
    <t>Przondovirus 066046</t>
  </si>
  <si>
    <t>Przondovirus 175029</t>
  </si>
  <si>
    <t>Przondovirus 2146HW</t>
  </si>
  <si>
    <t>Przondovirus Adeo</t>
  </si>
  <si>
    <t>Przondovirus AmPhEK52</t>
  </si>
  <si>
    <t>Przondovirus BUCT3589</t>
  </si>
  <si>
    <t>Przondovirus cmc356</t>
  </si>
  <si>
    <t>Przondovirus cornelius</t>
  </si>
  <si>
    <t>Przondovirus cp6</t>
  </si>
  <si>
    <t>Przondovirus cp7</t>
  </si>
  <si>
    <t>Przondovirus cp8</t>
  </si>
  <si>
    <t>Przondovirus cp10</t>
  </si>
  <si>
    <t>Przondovirus cp11</t>
  </si>
  <si>
    <t>Przondovirus cp12</t>
  </si>
  <si>
    <t>Przondovirus cp26</t>
  </si>
  <si>
    <t>Przondovirus cp29</t>
  </si>
  <si>
    <t>Przondovirus cp30</t>
  </si>
  <si>
    <t>Przondovirus cp33</t>
  </si>
  <si>
    <t>Przondovirus cp43</t>
  </si>
  <si>
    <t>Przondovirus EKp2</t>
  </si>
  <si>
    <t>Przondovirus FZ12</t>
  </si>
  <si>
    <t>Przondovirus GWPA139</t>
  </si>
  <si>
    <t>Przondovirus GWPB35</t>
  </si>
  <si>
    <t>Przondovirus H5</t>
  </si>
  <si>
    <t>Przondovirus HZJ31</t>
  </si>
  <si>
    <t>Przondovirus IME264</t>
  </si>
  <si>
    <t>Przondovirus IME335</t>
  </si>
  <si>
    <t>Przondovirus IME531</t>
  </si>
  <si>
    <t>Przondovirus JB48</t>
  </si>
  <si>
    <t>Przondovirus K11PH164C1</t>
  </si>
  <si>
    <t>Przondovirus K16PH164C3</t>
  </si>
  <si>
    <t>Przondovirus K2044302</t>
  </si>
  <si>
    <t>Przondovirus K2044HW</t>
  </si>
  <si>
    <t>Przondovirus K26PH128C1</t>
  </si>
  <si>
    <t>Przondovirus K27PH129C1</t>
  </si>
  <si>
    <t>Przondovirus K35PH164C3</t>
  </si>
  <si>
    <t>Przondovirus K37PH164C1</t>
  </si>
  <si>
    <t>Przondovirus K42PH8</t>
  </si>
  <si>
    <t>Przondovirus K48PH164C1</t>
  </si>
  <si>
    <t>Przondovirus K56PH164C1</t>
  </si>
  <si>
    <t>Przondovirus K58PH129C2</t>
  </si>
  <si>
    <t>Przondovirus K74PH129C2</t>
  </si>
  <si>
    <t>Przondovirus K80PH1317a</t>
  </si>
  <si>
    <t>Przondovirus K8PH128</t>
  </si>
  <si>
    <t>Przondovirus KKP3708</t>
  </si>
  <si>
    <t>Przondovirus KMI1</t>
  </si>
  <si>
    <t>Przondovirus KMI2</t>
  </si>
  <si>
    <t>Przondovirus KMI4</t>
  </si>
  <si>
    <t>Przondovirus Kp9</t>
  </si>
  <si>
    <t>Przondovirus Kp11</t>
  </si>
  <si>
    <t>Przondovirus KPN3</t>
  </si>
  <si>
    <t>Przondovirus Kpn17</t>
  </si>
  <si>
    <t>Przondovirus KpnP1</t>
  </si>
  <si>
    <t>Przondovirus KpV92</t>
  </si>
  <si>
    <t>Przondovirus KundULIP47</t>
  </si>
  <si>
    <t>Przondovirus KundULIP54</t>
  </si>
  <si>
    <t>Przondovirus MUC100</t>
  </si>
  <si>
    <t>Przondovirus NK20</t>
  </si>
  <si>
    <t>Przondovirus NLZS1</t>
  </si>
  <si>
    <t>Przondovirus NLZS2</t>
  </si>
  <si>
    <t>Przondovirus P55</t>
  </si>
  <si>
    <t>Przondovirus P509</t>
  </si>
  <si>
    <t>Przondovirus P510</t>
  </si>
  <si>
    <t>Przondovirus P560</t>
  </si>
  <si>
    <t>Przondovirus P671</t>
  </si>
  <si>
    <t>Przondovirus P791</t>
  </si>
  <si>
    <t>Przondovirus pokalde002</t>
  </si>
  <si>
    <t>Przondovirus pv117</t>
  </si>
  <si>
    <t>Przondovirus pv066013</t>
  </si>
  <si>
    <t>Przondovirus pv066023</t>
  </si>
  <si>
    <t>Przondovirus pv066024</t>
  </si>
  <si>
    <t>Przondovirus pv066037</t>
  </si>
  <si>
    <t>Przondovirus pv066042</t>
  </si>
  <si>
    <t>Przondovirus pv066053</t>
  </si>
  <si>
    <t>Przondovirus pv066056</t>
  </si>
  <si>
    <t>Przondovirus pv150004</t>
  </si>
  <si>
    <t>Przondovirus pv175003</t>
  </si>
  <si>
    <t>Przondovirus pv175005</t>
  </si>
  <si>
    <t>Przondovirus pv175006</t>
  </si>
  <si>
    <t>Przondovirus pv175007</t>
  </si>
  <si>
    <t>Przondovirus pv175017</t>
  </si>
  <si>
    <t>Przondovirus pv175019</t>
  </si>
  <si>
    <t>Przondovirus pv175022</t>
  </si>
  <si>
    <t>Przondovirus pv175024</t>
  </si>
  <si>
    <t>Przondovirus pv175026</t>
  </si>
  <si>
    <t>Przondovirus pv175032</t>
  </si>
  <si>
    <t>Przondovirus SHKP152226</t>
  </si>
  <si>
    <t>Przondovirus TUN1</t>
  </si>
  <si>
    <t>Przondovirus VAC71</t>
  </si>
  <si>
    <t>Przondovirus VLCpiA3b</t>
  </si>
  <si>
    <t>Przondovirus VLCpiA3c</t>
  </si>
  <si>
    <t>Przondovirus VLCpiA3d</t>
  </si>
  <si>
    <t>Przondovirus W14TH13021</t>
  </si>
  <si>
    <t>Przondovirus ZK2</t>
  </si>
  <si>
    <t>Przondovirus ZX8</t>
  </si>
  <si>
    <t>Przondovirus ZX10</t>
  </si>
  <si>
    <t>Rambovirus</t>
  </si>
  <si>
    <t>Rambovirus rambo</t>
  </si>
  <si>
    <t>Rindgevirus</t>
  </si>
  <si>
    <t>Rindgevirus tarrare</t>
  </si>
  <si>
    <t>Sarmavirus</t>
  </si>
  <si>
    <t>Sarmavirus sarma103</t>
  </si>
  <si>
    <t>Snaubvirus</t>
  </si>
  <si>
    <t>Snaubvirus pEpSNUABM09</t>
  </si>
  <si>
    <t>Solymavirus</t>
  </si>
  <si>
    <t>Solymavirus PSTCR2</t>
  </si>
  <si>
    <t>Solymavirus PSTRCR120</t>
  </si>
  <si>
    <t>Teetrevirus bumbleweed</t>
  </si>
  <si>
    <t>Teetrevirus CT02</t>
  </si>
  <si>
    <t>Teetrevirus EF2</t>
  </si>
  <si>
    <t>Teetrevirus Emp27</t>
  </si>
  <si>
    <t>Teetrevirus F1M1C</t>
  </si>
  <si>
    <t>Teetrevirus F2M1C</t>
  </si>
  <si>
    <t>Teetrevirus F5M1C</t>
  </si>
  <si>
    <t>Teetrevirus glastosback</t>
  </si>
  <si>
    <t>Teetrevirus HMGUsm2</t>
  </si>
  <si>
    <t>Teetrevirus IME305</t>
  </si>
  <si>
    <t>Teetrevirus K19PH14C4P1</t>
  </si>
  <si>
    <t>Teetrevirus keithsmous</t>
  </si>
  <si>
    <t>Teetrevirus keithstache</t>
  </si>
  <si>
    <t>Teetrevirus Kp31</t>
  </si>
  <si>
    <t>Teetrevirus KP13MC52</t>
  </si>
  <si>
    <t>Teetrevirus Kpn11mx</t>
  </si>
  <si>
    <t>Teetrevirus KpnPVAC1</t>
  </si>
  <si>
    <t>Teetrevirus megaducksbill</t>
  </si>
  <si>
    <t>Teetrevirus mtp4</t>
  </si>
  <si>
    <t>Teetrevirus mtp8</t>
  </si>
  <si>
    <t>Teetrevirus mtp14</t>
  </si>
  <si>
    <t>Teetrevirus mtp15</t>
  </si>
  <si>
    <t>Teetrevirus NLZS3</t>
  </si>
  <si>
    <t>Teetrevirus patroon</t>
  </si>
  <si>
    <t>Teetrevirus SALSA</t>
  </si>
  <si>
    <t>Teetrevirus Seera</t>
  </si>
  <si>
    <t>Teetrevirus sekstaphage1</t>
  </si>
  <si>
    <t>Teetrevirus tv31</t>
  </si>
  <si>
    <t>Teetrevirus tv6996</t>
  </si>
  <si>
    <t>Teetrevirus tv6998</t>
  </si>
  <si>
    <t>Teetrevirus tv066044</t>
  </si>
  <si>
    <t>Teetrevirus vB8388</t>
  </si>
  <si>
    <t>Teseptimavirus A1122</t>
  </si>
  <si>
    <t>Teseptimavirus C2</t>
  </si>
  <si>
    <t>Teseptimavirus EFA2</t>
  </si>
  <si>
    <t>Teseptimavirus jacobburckhardt</t>
  </si>
  <si>
    <t>Teseptimavirus JB01</t>
  </si>
  <si>
    <t>Teseptimavirus jeantinguely</t>
  </si>
  <si>
    <t>Teseptimavirus PHB19</t>
  </si>
  <si>
    <t>Teseptimavirus pila</t>
  </si>
  <si>
    <t>Teseptimavirus pO111</t>
  </si>
  <si>
    <t>Teseptimavirus PVN09</t>
  </si>
  <si>
    <t>Teseptimavirus SYGE1</t>
  </si>
  <si>
    <t>Teseptimavirus tv04922B</t>
  </si>
  <si>
    <t>Teseptimavirus UFV01</t>
  </si>
  <si>
    <t>Teseptimavirus yanou</t>
  </si>
  <si>
    <t>Teseptimavirus YpYeO9</t>
  </si>
  <si>
    <t>Troedvirus stalingrad</t>
  </si>
  <si>
    <t>Unosvirus</t>
  </si>
  <si>
    <t>Unosvirus PCS4</t>
  </si>
  <si>
    <t>Unosvirus UNOSLW1</t>
  </si>
  <si>
    <t>Unyawovirus PC2B6</t>
  </si>
  <si>
    <t>Waldovirus</t>
  </si>
  <si>
    <t>Waldovirus plaquesplease</t>
  </si>
  <si>
    <t>Waldovirus waldo5</t>
  </si>
  <si>
    <t>Warsawvirus wv3MF5</t>
  </si>
  <si>
    <t>Wuhanvirus PS07</t>
  </si>
  <si>
    <t>Yuanmingyuanvirus</t>
  </si>
  <si>
    <t>Yuanmingyuanvirus NJ2</t>
  </si>
  <si>
    <t>Serkorvirus 10RS306A</t>
  </si>
  <si>
    <t>Serkorvirus p2106</t>
  </si>
  <si>
    <t>Serkorvirus RpY2</t>
  </si>
  <si>
    <t>Dunnvirinae</t>
  </si>
  <si>
    <t>Alfirinvirus</t>
  </si>
  <si>
    <t>Alfirinvirus alfirin</t>
  </si>
  <si>
    <t>Cuernavacavirus RHphI38</t>
  </si>
  <si>
    <t>Cuernavacavirus RHphN37</t>
  </si>
  <si>
    <t>Cuernavacavirus RHphTM33</t>
  </si>
  <si>
    <t>Mengvirus</t>
  </si>
  <si>
    <t>Mengvirus NMeng1</t>
  </si>
  <si>
    <t>Palovirus</t>
  </si>
  <si>
    <t>Palovirus palo</t>
  </si>
  <si>
    <t>Pasovirus</t>
  </si>
  <si>
    <t>Pasovirus paso</t>
  </si>
  <si>
    <t>Songlingvirus</t>
  </si>
  <si>
    <t>Songlingvirus SI01</t>
  </si>
  <si>
    <t>Tepoztlanvirus</t>
  </si>
  <si>
    <t>Tepoztlanvirus RHphTM34</t>
  </si>
  <si>
    <t>Tepoztlanvirus RHphY120</t>
  </si>
  <si>
    <t>Yautepecvirus</t>
  </si>
  <si>
    <t>Yautepecvirus RHphX39</t>
  </si>
  <si>
    <t>Sechaudvirinae</t>
  </si>
  <si>
    <t>Angmobvirus</t>
  </si>
  <si>
    <t>Angmobvirus SCBP1</t>
  </si>
  <si>
    <t>Dishuivirus</t>
  </si>
  <si>
    <t>Dishuivirus DSLLC07</t>
  </si>
  <si>
    <t>Nerivirus</t>
  </si>
  <si>
    <t>Nerivirus SSRP01</t>
  </si>
  <si>
    <t>Spiovirus</t>
  </si>
  <si>
    <t>Spiovirus sbp1</t>
  </si>
  <si>
    <t>Actaeavirus</t>
  </si>
  <si>
    <t>Actaeavirus CRP125</t>
  </si>
  <si>
    <t>Aequorvirus</t>
  </si>
  <si>
    <t>Aequorvirus HTVC041P</t>
  </si>
  <si>
    <t>Boesrvirus</t>
  </si>
  <si>
    <t>Boesrvirus BOESR1</t>
  </si>
  <si>
    <t>Chamilpavirus</t>
  </si>
  <si>
    <t>Chamilpavirus RHEph21</t>
  </si>
  <si>
    <t>Dynamenevirus</t>
  </si>
  <si>
    <t>Dynamenevirus CRP114</t>
  </si>
  <si>
    <t>Dynamenevirus CRP227</t>
  </si>
  <si>
    <t>Dynamenevirus CRP361</t>
  </si>
  <si>
    <t>Foturvirus R8W</t>
  </si>
  <si>
    <t>Fujianvirus</t>
  </si>
  <si>
    <t>Fujianvirus V141</t>
  </si>
  <si>
    <t>Gajwadongvirus MR4</t>
  </si>
  <si>
    <t>Gyeongsanvirus PPSG11</t>
  </si>
  <si>
    <t>Hapakavirus</t>
  </si>
  <si>
    <t>Hapakavirus Nufs112</t>
  </si>
  <si>
    <t>Jiaweivirus</t>
  </si>
  <si>
    <t>Jiaweivirus jiawei</t>
  </si>
  <si>
    <t>Kuwvirus</t>
  </si>
  <si>
    <t>Kuwvirus ParKuw1</t>
  </si>
  <si>
    <t>Luzcentumvirus</t>
  </si>
  <si>
    <t>Luzcentumvirus LUZ100</t>
  </si>
  <si>
    <t>Mallvirus</t>
  </si>
  <si>
    <t>Mallvirus ParMal1</t>
  </si>
  <si>
    <t>Morelosvirus</t>
  </si>
  <si>
    <t>Morelosvirus RHphI20</t>
  </si>
  <si>
    <t>Oceanidvirus</t>
  </si>
  <si>
    <t>Oceanidvirus CRP113</t>
  </si>
  <si>
    <t>Oceanidvirus CRP171</t>
  </si>
  <si>
    <t>Paadamvirus TRX321</t>
  </si>
  <si>
    <t>Pastovirus</t>
  </si>
  <si>
    <t>Pastovirus pasto</t>
  </si>
  <si>
    <t>Proddevirus</t>
  </si>
  <si>
    <t>Proddevirus proddE</t>
  </si>
  <si>
    <t>Reminisvirus</t>
  </si>
  <si>
    <t>Reminisvirus 6939</t>
  </si>
  <si>
    <t>Reminisvirus KL01</t>
  </si>
  <si>
    <t>Reminisvirus reminis</t>
  </si>
  <si>
    <t>Shangxiadianvirus</t>
  </si>
  <si>
    <t>Shangxiadianvirus CRP118</t>
  </si>
  <si>
    <t>Shangxiadianvirus CRP403</t>
  </si>
  <si>
    <t>Sumtervirus</t>
  </si>
  <si>
    <t>Sumtervirus S2B</t>
  </si>
  <si>
    <t>Thoosavirus</t>
  </si>
  <si>
    <t>Thoosavirus HTVC025P</t>
  </si>
  <si>
    <t>Tiranvirus</t>
  </si>
  <si>
    <t>Tiranvirus STIP28</t>
  </si>
  <si>
    <t>Tolavirus</t>
  </si>
  <si>
    <t>Tolavirus tola</t>
  </si>
  <si>
    <t>Triteiavirus</t>
  </si>
  <si>
    <t>Triteiavirus CRP804</t>
  </si>
  <si>
    <t>Vistulavirus</t>
  </si>
  <si>
    <t>Vistulavirus BB8</t>
  </si>
  <si>
    <t>Yinyavirus</t>
  </si>
  <si>
    <t>Yinyavirus AerP220</t>
  </si>
  <si>
    <t>Grandevirales</t>
  </si>
  <si>
    <t>Epsomviridae</t>
  </si>
  <si>
    <t>Sescentorumvirinae</t>
  </si>
  <si>
    <t>Wendovervirus</t>
  </si>
  <si>
    <t>Wendovervirus sonii</t>
  </si>
  <si>
    <t>Lakviridae</t>
  </si>
  <si>
    <t>Quadringentisvirinae</t>
  </si>
  <si>
    <t>Hatfieldvirus</t>
  </si>
  <si>
    <t>Hatfieldvirus porci</t>
  </si>
  <si>
    <t>Quingentivirinae</t>
  </si>
  <si>
    <t>Amboselivirus</t>
  </si>
  <si>
    <t>Amboselivirus simi</t>
  </si>
  <si>
    <t>Vetruanivirus</t>
  </si>
  <si>
    <t>Vetruanivirus dhakaense</t>
  </si>
  <si>
    <t>Vetruanivirus porcinprimi</t>
  </si>
  <si>
    <t>Vetruanivirus porcinsecundi</t>
  </si>
  <si>
    <t>Vetruanivirus primi</t>
  </si>
  <si>
    <t>Vetruanivirus secundi</t>
  </si>
  <si>
    <t>Apasviridae</t>
  </si>
  <si>
    <t>Agnivirus</t>
  </si>
  <si>
    <t>Agnivirus brisbanense</t>
  </si>
  <si>
    <t>Krittikaviridae</t>
  </si>
  <si>
    <t>Velanvirus</t>
  </si>
  <si>
    <t>Velanvirus brisbanense</t>
  </si>
  <si>
    <t>Usuviridae</t>
  </si>
  <si>
    <t>Hewusuvirus</t>
  </si>
  <si>
    <t>Hewusuvirus methanobrevibacteri</t>
  </si>
  <si>
    <t>Manusuvirus</t>
  </si>
  <si>
    <t>Manusuvirus methanobrevibacteri</t>
  </si>
  <si>
    <t>Pantevenvirales</t>
  </si>
  <si>
    <t>Centumtrigintavirus</t>
  </si>
  <si>
    <t>Centumtrigintavirus cv133</t>
  </si>
  <si>
    <t>Mosigvirus efftwo</t>
  </si>
  <si>
    <t>Mosigvirus jaykay</t>
  </si>
  <si>
    <t>Risoevirus</t>
  </si>
  <si>
    <t>Risoevirus cronus</t>
  </si>
  <si>
    <t>Tequatrovirus CF2</t>
  </si>
  <si>
    <t>Lasallevirus Acj61</t>
  </si>
  <si>
    <t>Tulanevirus ime13</t>
  </si>
  <si>
    <t>Alisviridae</t>
  </si>
  <si>
    <t>Honmavirus</t>
  </si>
  <si>
    <t>Honmavirus pging00B</t>
  </si>
  <si>
    <t>Honmavirus pging00C</t>
  </si>
  <si>
    <t>Honmavirus pging00D</t>
  </si>
  <si>
    <t>Honmavirus pging00E</t>
  </si>
  <si>
    <t>Honmavirus pging00F</t>
  </si>
  <si>
    <t>Honmavirus pging00G</t>
  </si>
  <si>
    <t>Honmavirus pging00H</t>
  </si>
  <si>
    <t>Honmavirus pging00I</t>
  </si>
  <si>
    <t>Andersonviridae</t>
  </si>
  <si>
    <t>Felixounavirus adrianh</t>
  </si>
  <si>
    <t>Felixounavirus allfine</t>
  </si>
  <si>
    <t>Felixounavirus andreotti</t>
  </si>
  <si>
    <t>Felixounavirus ASO1A</t>
  </si>
  <si>
    <t>Felixounavirus barry</t>
  </si>
  <si>
    <t>Felixounavirus BPSELC1</t>
  </si>
  <si>
    <t>Felixounavirus bumzen</t>
  </si>
  <si>
    <t>Felixounavirus CapYZU01</t>
  </si>
  <si>
    <t>Felixounavirus CL1</t>
  </si>
  <si>
    <t>Felixounavirus CRP22</t>
  </si>
  <si>
    <t>Felixounavirus D12</t>
  </si>
  <si>
    <t>Felixounavirus DE7</t>
  </si>
  <si>
    <t>Felixounavirus DE17</t>
  </si>
  <si>
    <t>Felixounavirus DR094</t>
  </si>
  <si>
    <t>Felixounavirus dune</t>
  </si>
  <si>
    <t>Felixounavirus EC106</t>
  </si>
  <si>
    <t>Felixounavirus ECOH1</t>
  </si>
  <si>
    <t>Felixounavirus EF202P1</t>
  </si>
  <si>
    <t>Felixounavirus ekra</t>
  </si>
  <si>
    <t>Felixounavirus ESCO45</t>
  </si>
  <si>
    <t>Felixounavirus ESCO49</t>
  </si>
  <si>
    <t>Felixounavirus ESCO50</t>
  </si>
  <si>
    <t>Felixounavirus ev035</t>
  </si>
  <si>
    <t>Felixounavirus ev78</t>
  </si>
  <si>
    <t>Felixounavirus ev108</t>
  </si>
  <si>
    <t>Felixounavirus finno</t>
  </si>
  <si>
    <t>Felixounavirus fjerdesal</t>
  </si>
  <si>
    <t>Felixounavirus fv1</t>
  </si>
  <si>
    <t>Felixounavirus fv35FD</t>
  </si>
  <si>
    <t>Felixounavirus garuso</t>
  </si>
  <si>
    <t>Felixounavirus GSP193</t>
  </si>
  <si>
    <t>Felixounavirus heid</t>
  </si>
  <si>
    <t>Felixounavirus humlepung</t>
  </si>
  <si>
    <t>Felixounavirus IME338</t>
  </si>
  <si>
    <t>Felixounavirus JK55</t>
  </si>
  <si>
    <t>Felixounavirus JLBYU28</t>
  </si>
  <si>
    <t>Felixounavirus JLBYU32</t>
  </si>
  <si>
    <t>Felixounavirus JN01</t>
  </si>
  <si>
    <t>Felixounavirus johannrwettstein</t>
  </si>
  <si>
    <t>Felixounavirus KhF1</t>
  </si>
  <si>
    <t>Felixounavirus L27</t>
  </si>
  <si>
    <t>Felixounavirus LMP25</t>
  </si>
  <si>
    <t>Felixounavirus MBP496116</t>
  </si>
  <si>
    <t>Felixounavirus meda</t>
  </si>
  <si>
    <t>Felixounavirus mio</t>
  </si>
  <si>
    <t>Felixounavirus momo</t>
  </si>
  <si>
    <t>Felixounavirus nataliec</t>
  </si>
  <si>
    <t>Felixounavirus NBEco004</t>
  </si>
  <si>
    <t>Felixounavirus NBEco005</t>
  </si>
  <si>
    <t>Felixounavirus NBSal004</t>
  </si>
  <si>
    <t>Felixounavirus NJ12</t>
  </si>
  <si>
    <t>Felixounavirus OPTSAL01</t>
  </si>
  <si>
    <t>Felixounavirus pEP20</t>
  </si>
  <si>
    <t>Felixounavirus ph22</t>
  </si>
  <si>
    <t>Felixounavirus PHB11</t>
  </si>
  <si>
    <t>Felixounavirus pinkbiff</t>
  </si>
  <si>
    <t>Felixounavirus Pr103Blw</t>
  </si>
  <si>
    <t>Felixounavirus pSJ21</t>
  </si>
  <si>
    <t>Felixounavirus radambza</t>
  </si>
  <si>
    <t>Felixounavirus REP5</t>
  </si>
  <si>
    <t>Felixounavirus REP8</t>
  </si>
  <si>
    <t>Felixounavirus Ro111lw</t>
  </si>
  <si>
    <t>Felixounavirus RP3</t>
  </si>
  <si>
    <t>Felixounavirus S19cd</t>
  </si>
  <si>
    <t>Felixounavirus SEP1</t>
  </si>
  <si>
    <t>Felixounavirus shy</t>
  </si>
  <si>
    <t>Felixounavirus skuden</t>
  </si>
  <si>
    <t>Felixounavirus SME50</t>
  </si>
  <si>
    <t>Felixounavirus Sp3Shan2021</t>
  </si>
  <si>
    <t>Felixounavirus SPJ41</t>
  </si>
  <si>
    <t>Felixounavirus ST11</t>
  </si>
  <si>
    <t>Felixounavirus SUTS720</t>
  </si>
  <si>
    <t>Felixounavirus SWJM02</t>
  </si>
  <si>
    <t>Felixounavirus tootiki</t>
  </si>
  <si>
    <t>Felixounavirus tribble</t>
  </si>
  <si>
    <t>Felixounavirus VSe11</t>
  </si>
  <si>
    <t>Felixounavirus warpig</t>
  </si>
  <si>
    <t>Felixounavirus Wec171</t>
  </si>
  <si>
    <t>Felixounavirus Z31</t>
  </si>
  <si>
    <t>Felixounavirus ZX4221</t>
  </si>
  <si>
    <t>Kolesnikvirus SE5</t>
  </si>
  <si>
    <t>Mooglevirus CHB7</t>
  </si>
  <si>
    <t>Mooglevirus EP1</t>
  </si>
  <si>
    <t>Mooglevirus Henu11</t>
  </si>
  <si>
    <t>Mooglevirus HP1</t>
  </si>
  <si>
    <t>Mooglevirus KMM2</t>
  </si>
  <si>
    <t>Mooglevirus KMM4</t>
  </si>
  <si>
    <t>Mooglevirus M7196WT1</t>
  </si>
  <si>
    <t>Mooglevirus mistaenkt</t>
  </si>
  <si>
    <t>Mooglevirus PC7913</t>
  </si>
  <si>
    <t>Mooglevirus SFPB</t>
  </si>
  <si>
    <t>Mooglevirus silverhawkium</t>
  </si>
  <si>
    <t>Mooglevirus susp1</t>
  </si>
  <si>
    <t>Mooglevirus susp2</t>
  </si>
  <si>
    <t>Arnovirus</t>
  </si>
  <si>
    <t>Arnovirus arno18</t>
  </si>
  <si>
    <t>Arnovirus arno162</t>
  </si>
  <si>
    <t>Arnovirus Wc4</t>
  </si>
  <si>
    <t>Daniellevirus</t>
  </si>
  <si>
    <t>Daniellevirus danielle</t>
  </si>
  <si>
    <t>Daniellevirus Zyzzx</t>
  </si>
  <si>
    <t>Berryhillviridae</t>
  </si>
  <si>
    <t>Altadenavirus</t>
  </si>
  <si>
    <t>Altadenavirus altadena</t>
  </si>
  <si>
    <t>Altadenavirus bumble</t>
  </si>
  <si>
    <t>Eastwestvirus</t>
  </si>
  <si>
    <t>Eastwestvirus eastwest</t>
  </si>
  <si>
    <t>Jawnskivirus</t>
  </si>
  <si>
    <t>Jawnskivirus beans</t>
  </si>
  <si>
    <t>Jawnskivirus brent</t>
  </si>
  <si>
    <t>Jawnskivirus jawnski</t>
  </si>
  <si>
    <t>Jawnskivirus king2</t>
  </si>
  <si>
    <t>Jawnskivirus piccoletto</t>
  </si>
  <si>
    <t>Jinkiesvirus</t>
  </si>
  <si>
    <t>Jinkiesvirus jinkies</t>
  </si>
  <si>
    <t>Lilmacvirus</t>
  </si>
  <si>
    <t>Lilmacvirus bolt007</t>
  </si>
  <si>
    <t>Lilmacvirus klevey</t>
  </si>
  <si>
    <t>Lilmacvirus lilmac1015</t>
  </si>
  <si>
    <t>Lilmacvirus prairie</t>
  </si>
  <si>
    <t>Sicariusvirus</t>
  </si>
  <si>
    <t>Sicariusvirus sicarius2</t>
  </si>
  <si>
    <t>Sicariusvirus wyborn</t>
  </si>
  <si>
    <t>Casidaviridae</t>
  </si>
  <si>
    <t>Baileybluvirus callinallbarbz</t>
  </si>
  <si>
    <t>Barnstormervirus</t>
  </si>
  <si>
    <t>Barnstormervirus barnstormer</t>
  </si>
  <si>
    <t>Barnstormervirus caron</t>
  </si>
  <si>
    <t>Cenunavirus</t>
  </si>
  <si>
    <t>Cenunavirus Cen1621</t>
  </si>
  <si>
    <t>Emotionvirus</t>
  </si>
  <si>
    <t>Emotionvirus emotion</t>
  </si>
  <si>
    <t>Gardenstatevirus</t>
  </si>
  <si>
    <t>Gardenstatevirus gardenstate</t>
  </si>
  <si>
    <t>Gardenstatevirus iamgroot</t>
  </si>
  <si>
    <t>Hilgardvirus</t>
  </si>
  <si>
    <t>Hilgardvirus vroomvroom</t>
  </si>
  <si>
    <t>Honkvirus</t>
  </si>
  <si>
    <t>Honkvirus honk</t>
  </si>
  <si>
    <t>Liebevirus liebe</t>
  </si>
  <si>
    <t>Liebevirus maguco</t>
  </si>
  <si>
    <t>Mabodamacavirus</t>
  </si>
  <si>
    <t>Mabodamacavirus mabodamaca</t>
  </si>
  <si>
    <t>Manhattanvirus vresidence</t>
  </si>
  <si>
    <t>Manhattanvirus wildwest</t>
  </si>
  <si>
    <t>Percivalvirus</t>
  </si>
  <si>
    <t>Percivalvirus floof</t>
  </si>
  <si>
    <t>Percivalvirus percival</t>
  </si>
  <si>
    <t>Swepdovirus</t>
  </si>
  <si>
    <t>Swepdovirus SWEP2</t>
  </si>
  <si>
    <t>Yangvirus ascela</t>
  </si>
  <si>
    <t>Yangvirus berrie</t>
  </si>
  <si>
    <t>Yangvirus cassia</t>
  </si>
  <si>
    <t>Yangvirus janeemi</t>
  </si>
  <si>
    <t>Yangvirus nitro</t>
  </si>
  <si>
    <t>Yangvirus tfortroy</t>
  </si>
  <si>
    <t>Yangvirus tuck</t>
  </si>
  <si>
    <t>Ahduovirus AH2</t>
  </si>
  <si>
    <t>Chivirus BP12C</t>
  </si>
  <si>
    <t>Lavrentievavirus E21</t>
  </si>
  <si>
    <t>Lavrentievavirus PM87</t>
  </si>
  <si>
    <t>Lavrentievavirus pPM01</t>
  </si>
  <si>
    <t>Nazgulvirus bcepnazgul</t>
  </si>
  <si>
    <t>Sanovirus sano</t>
  </si>
  <si>
    <t>Sharonstreetvirus xiamensis</t>
  </si>
  <si>
    <t>Colingsworthviridae</t>
  </si>
  <si>
    <t>Lomovskayavirus shawty</t>
  </si>
  <si>
    <t>Sebastisaurusvirus</t>
  </si>
  <si>
    <t>Sebastisaurusvirus heather</t>
  </si>
  <si>
    <t>Sebastisaurusvirus remusloopin</t>
  </si>
  <si>
    <t>Sebastisaurusvirus sebastisaurus</t>
  </si>
  <si>
    <t>Shadyvirus</t>
  </si>
  <si>
    <t>Shadyvirus shady</t>
  </si>
  <si>
    <t>Shaekyvirus</t>
  </si>
  <si>
    <t>Shaekyvirus shaeky</t>
  </si>
  <si>
    <t>Sycamorevirus</t>
  </si>
  <si>
    <t>Sycamorevirus sycamore</t>
  </si>
  <si>
    <t>Vashvirus euratis</t>
  </si>
  <si>
    <t>Connertonviridae</t>
  </si>
  <si>
    <t>Firehammervirus CJLB12</t>
  </si>
  <si>
    <t>Firehammervirus CJLB14</t>
  </si>
  <si>
    <t>Firehammervirus CJLB15</t>
  </si>
  <si>
    <t>Firehammervirus F379</t>
  </si>
  <si>
    <t>Fletchervirus CJLB7</t>
  </si>
  <si>
    <t>Fletchervirus CJLB10</t>
  </si>
  <si>
    <t>Fletchervirus F207</t>
  </si>
  <si>
    <t>Fletchervirus F336</t>
  </si>
  <si>
    <t>Fletchervirus F341</t>
  </si>
  <si>
    <t>Fletchervirus F372</t>
  </si>
  <si>
    <t>Fletchervirus PC5</t>
  </si>
  <si>
    <t>Fletchervirus QDYZ</t>
  </si>
  <si>
    <t>Epseptimavirus KKP3831</t>
  </si>
  <si>
    <t>Kononvirus</t>
  </si>
  <si>
    <t>Kononvirus KKP3711</t>
  </si>
  <si>
    <t>Ehrlichviridae</t>
  </si>
  <si>
    <t>Anathvirus</t>
  </si>
  <si>
    <t>Anathvirus anath</t>
  </si>
  <si>
    <t>Andromedavirus leo2</t>
  </si>
  <si>
    <t>Chennaivirus</t>
  </si>
  <si>
    <t>Chennaivirus MVCVPHSA1</t>
  </si>
  <si>
    <t>Dazunavirus</t>
  </si>
  <si>
    <t>Dazunavirus DZ1</t>
  </si>
  <si>
    <t>Gettysburgvirus</t>
  </si>
  <si>
    <t>Gettysburgvirus gv019DV002</t>
  </si>
  <si>
    <t>Gettysburgvirus gv056SW001B</t>
  </si>
  <si>
    <t>Gettysburgvirus gv268TH004</t>
  </si>
  <si>
    <t>Nairobivirus</t>
  </si>
  <si>
    <t>Nairobivirus nv36</t>
  </si>
  <si>
    <t>Suttonboningtonvirus</t>
  </si>
  <si>
    <t>Suttonboningtonvirus sv1ICo2020</t>
  </si>
  <si>
    <t>Felixviridae</t>
  </si>
  <si>
    <t>Maevirinae</t>
  </si>
  <si>
    <t>Chronisvirus</t>
  </si>
  <si>
    <t>Chronisvirus chronis</t>
  </si>
  <si>
    <t>Nakavirus</t>
  </si>
  <si>
    <t>Nakavirus sapi</t>
  </si>
  <si>
    <t>Fuxiviridae</t>
  </si>
  <si>
    <t>Taijivirus</t>
  </si>
  <si>
    <t>Taijivirus yinyang</t>
  </si>
  <si>
    <t>Lundtoftevirus</t>
  </si>
  <si>
    <t>Lundtoftevirus Lu221</t>
  </si>
  <si>
    <t>Hodgkinviridae</t>
  </si>
  <si>
    <t>Fuzzbustervirus</t>
  </si>
  <si>
    <t>Fuzzbustervirus fuzzbuster</t>
  </si>
  <si>
    <t>Margaeryvirus</t>
  </si>
  <si>
    <t>Margaeryvirus margaery</t>
  </si>
  <si>
    <t>Margaeryvirus terij</t>
  </si>
  <si>
    <t>Meganvirus nichole72</t>
  </si>
  <si>
    <t>Quhwahvirus littlefortune</t>
  </si>
  <si>
    <t>Quhwahvirus pulchra</t>
  </si>
  <si>
    <t>Jeanschmidtviridae</t>
  </si>
  <si>
    <t>Bajunvirus</t>
  </si>
  <si>
    <t>Bajunvirus bajun</t>
  </si>
  <si>
    <t>Kikimoravirus</t>
  </si>
  <si>
    <t>Kikimoravirus gurke</t>
  </si>
  <si>
    <t>Kikimoravirus kikimora</t>
  </si>
  <si>
    <t>Marchewkavirus</t>
  </si>
  <si>
    <t>Marchewkavirus domovoi</t>
  </si>
  <si>
    <t>Marchewkavirus kabachok</t>
  </si>
  <si>
    <t>Marchewkavirus marchewka</t>
  </si>
  <si>
    <t>Kruegerviridae</t>
  </si>
  <si>
    <t>Cafassovirus</t>
  </si>
  <si>
    <t>Cafassovirus aleemily</t>
  </si>
  <si>
    <t>Cafassovirus cafasso</t>
  </si>
  <si>
    <t>Cafassovirus morgana</t>
  </si>
  <si>
    <t>Cafassovirus obladi</t>
  </si>
  <si>
    <t>Kunpengviridae</t>
  </si>
  <si>
    <t>Dafengvirus</t>
  </si>
  <si>
    <t>Dafengvirus linsing</t>
  </si>
  <si>
    <t>Lindbergviridae</t>
  </si>
  <si>
    <t>Carpasinavirus FoX6</t>
  </si>
  <si>
    <t>Gladiolivirus</t>
  </si>
  <si>
    <t>Gladiolivirus maja</t>
  </si>
  <si>
    <t>Irusalimvirus</t>
  </si>
  <si>
    <t>Irusalimvirus BCSR52</t>
  </si>
  <si>
    <t>Myosmarvirus SMP</t>
  </si>
  <si>
    <t>Pbunavirus DL68</t>
  </si>
  <si>
    <t>Pbunavirus FBPa14</t>
  </si>
  <si>
    <t>Pbunavirus FBPa35</t>
  </si>
  <si>
    <t>Pbunavirus JG024</t>
  </si>
  <si>
    <t>Pbunavirus NH4</t>
  </si>
  <si>
    <t>Pbunavirus ph0031</t>
  </si>
  <si>
    <t>Pbunavirus PSA09</t>
  </si>
  <si>
    <t>Pbunavirus PSA25</t>
  </si>
  <si>
    <t>Pbunavirus pv109</t>
  </si>
  <si>
    <t>Pbunavirus SG1</t>
  </si>
  <si>
    <t>Pbunavirus TH15</t>
  </si>
  <si>
    <t>Pbunavirus victoria</t>
  </si>
  <si>
    <t>Pbunavirus wadjak13</t>
  </si>
  <si>
    <t>Plutovirus</t>
  </si>
  <si>
    <t>Plutovirus pluto</t>
  </si>
  <si>
    <t>Wifcevirus AV128</t>
  </si>
  <si>
    <t>Wifcevirus EC150</t>
  </si>
  <si>
    <t>Wifcevirus ECO71P1</t>
  </si>
  <si>
    <t>Wifcevirus mansfield</t>
  </si>
  <si>
    <t>Wifcevirus Ro157lw</t>
  </si>
  <si>
    <t>Wifcevirus SP13</t>
  </si>
  <si>
    <t>Ludisviridae</t>
  </si>
  <si>
    <t>Ludisvirus</t>
  </si>
  <si>
    <t>Ludisvirus pging00A</t>
  </si>
  <si>
    <t>Mazoviaviridae</t>
  </si>
  <si>
    <t>Dabrowskivirus</t>
  </si>
  <si>
    <t>Dabrowskivirus KKP3916</t>
  </si>
  <si>
    <t>Abidjanvirus Ab18</t>
  </si>
  <si>
    <t>Abidjanvirus Ab19</t>
  </si>
  <si>
    <t>Abidjanvirus PaMx11</t>
  </si>
  <si>
    <t>Vojvodinavirus CN1</t>
  </si>
  <si>
    <t>Vojvodinavirus CN2</t>
  </si>
  <si>
    <t>Vojvodinavirus FP1</t>
  </si>
  <si>
    <t>Vojvodinavirus MW2</t>
  </si>
  <si>
    <t>Yuavirus LKO4</t>
  </si>
  <si>
    <t>Yuavirus M6</t>
  </si>
  <si>
    <t>Yuavirus MP1412</t>
  </si>
  <si>
    <t>Yuavirus PAE1</t>
  </si>
  <si>
    <t>Yuavirus yua</t>
  </si>
  <si>
    <t>Kuravirus LAMP</t>
  </si>
  <si>
    <t>Kuravirus myPSH1131</t>
  </si>
  <si>
    <t>Kuravirus myPSH2311</t>
  </si>
  <si>
    <t>Kuravirus pECN12032Af1</t>
  </si>
  <si>
    <t>Kuravirus SDYTW1F1223</t>
  </si>
  <si>
    <t>Kuravirus SR02</t>
  </si>
  <si>
    <t>Kuravirus XT18</t>
  </si>
  <si>
    <t>Kuravirus YF01</t>
  </si>
  <si>
    <t>Suseptimavirus PAS59</t>
  </si>
  <si>
    <t>Suseptimavirus sv4E8</t>
  </si>
  <si>
    <t>Nixviridae</t>
  </si>
  <si>
    <t>Dewhirstvirus</t>
  </si>
  <si>
    <t>Dewhirstvirus pging00J</t>
  </si>
  <si>
    <t>Dewhirstvirus pging00K</t>
  </si>
  <si>
    <t>Dewhirstvirus pging00L</t>
  </si>
  <si>
    <t>Dewhirstvirus pging00M</t>
  </si>
  <si>
    <t>Excelsiorvirus</t>
  </si>
  <si>
    <t>Excelsiorvirus pging00S</t>
  </si>
  <si>
    <t>Haasevirus</t>
  </si>
  <si>
    <t>Haasevirus pging00R</t>
  </si>
  <si>
    <t>Haasevirus pging00T</t>
  </si>
  <si>
    <t>Haasevirus pging00U</t>
  </si>
  <si>
    <t>Haasevirus pging00V</t>
  </si>
  <si>
    <t>Haasevirus pging00W</t>
  </si>
  <si>
    <t>Nixvirus</t>
  </si>
  <si>
    <t>Nixvirus pging00X</t>
  </si>
  <si>
    <t>Schifferlevirus</t>
  </si>
  <si>
    <t>Schifferlevirus pging00N</t>
  </si>
  <si>
    <t>Schifferlevirus pging00O</t>
  </si>
  <si>
    <t>Schifferlevirus pging00P</t>
  </si>
  <si>
    <t>Schifferlevirus pging00Q</t>
  </si>
  <si>
    <t>Bonaevitaevirus bonaevitae</t>
  </si>
  <si>
    <t>Efekovirus efeko</t>
  </si>
  <si>
    <t>Sarkviridae</t>
  </si>
  <si>
    <t>Stackebrandtviridae</t>
  </si>
  <si>
    <t>Frickvirinae</t>
  </si>
  <si>
    <t>Wizardvirus halo3</t>
  </si>
  <si>
    <t>Schenleyvirinae</t>
  </si>
  <si>
    <t>Dexdertvirus kwekel</t>
  </si>
  <si>
    <t>Leonardvirus phauci</t>
  </si>
  <si>
    <t>Vividuovirus lennon</t>
  </si>
  <si>
    <t>Vividuovirus sitar</t>
  </si>
  <si>
    <t>Zitchvirus apunk</t>
  </si>
  <si>
    <t>Zitchvirus sampson</t>
  </si>
  <si>
    <t>Zitchvirus tardus</t>
  </si>
  <si>
    <t>Zitchvirus viaconlectus</t>
  </si>
  <si>
    <t>Karimacvirus karimac</t>
  </si>
  <si>
    <t>Karimacvirus lukecage</t>
  </si>
  <si>
    <t>Karimacvirus starplatinum</t>
  </si>
  <si>
    <t>Karimacvirus wofford</t>
  </si>
  <si>
    <t>Karimacvirus yaboi</t>
  </si>
  <si>
    <t>Trautnerviridae</t>
  </si>
  <si>
    <t>Polsinellivirinae</t>
  </si>
  <si>
    <t>Rivavirus</t>
  </si>
  <si>
    <t>Rivavirus rv000TH010</t>
  </si>
  <si>
    <t>Rivavirus rv049ML001</t>
  </si>
  <si>
    <t>Rivavirus SPP1</t>
  </si>
  <si>
    <t>Splendidredvirus</t>
  </si>
  <si>
    <t>Splendidredvirus ray17</t>
  </si>
  <si>
    <t>Splendidredvirus splendidred</t>
  </si>
  <si>
    <t>Prospektnaukivirus</t>
  </si>
  <si>
    <t>Prospektnaukivirus sam112</t>
  </si>
  <si>
    <t>Vandenendeviridae</t>
  </si>
  <si>
    <t>Omahavirus</t>
  </si>
  <si>
    <t>Omahavirus UNOG1W1</t>
  </si>
  <si>
    <t>Tartuvirus</t>
  </si>
  <si>
    <t>Tartuvirus amme3</t>
  </si>
  <si>
    <t>Tartuvirus kopa4</t>
  </si>
  <si>
    <t>Tartuvirus nopa</t>
  </si>
  <si>
    <t>Tartuvirus roomu2</t>
  </si>
  <si>
    <t>Torinovirus</t>
  </si>
  <si>
    <t>Torinovirus K7A1</t>
  </si>
  <si>
    <t>Uavernvirus</t>
  </si>
  <si>
    <t>Uavernvirus uavern</t>
  </si>
  <si>
    <t>Ventosusvirus</t>
  </si>
  <si>
    <t>Ventosusvirus ventosus</t>
  </si>
  <si>
    <t>Weillhallvirus</t>
  </si>
  <si>
    <t>Weillhallvirus wv16Q</t>
  </si>
  <si>
    <t>Yunamivirus</t>
  </si>
  <si>
    <t>Yunamivirus Y1MI</t>
  </si>
  <si>
    <t>Chemalvirus</t>
  </si>
  <si>
    <t>Chemalvirus PseuGes254</t>
  </si>
  <si>
    <t>Bronvirus bron</t>
  </si>
  <si>
    <t>Bronvirus joedirt</t>
  </si>
  <si>
    <t>Wildcatvirus wildcat</t>
  </si>
  <si>
    <t>Ceetrepovirus C3PO</t>
  </si>
  <si>
    <t>Ceetrepovirus darwin</t>
  </si>
  <si>
    <t>Ceetrepovirus zion</t>
  </si>
  <si>
    <t>Chunghsingvirus P1201</t>
  </si>
  <si>
    <t>Camvirus vanseggelen</t>
  </si>
  <si>
    <t>Camvirus verabelle</t>
  </si>
  <si>
    <t>Myrnavirus phabba</t>
  </si>
  <si>
    <t>Dovevirinae</t>
  </si>
  <si>
    <t>Lambovirus birthdayboy</t>
  </si>
  <si>
    <t>Lambovirus erutan</t>
  </si>
  <si>
    <t>Lambovirus fulcrum</t>
  </si>
  <si>
    <t>Lambovirus genamy16</t>
  </si>
  <si>
    <t>Lambovirus jalebi</t>
  </si>
  <si>
    <t>Lambovirus novasharks</t>
  </si>
  <si>
    <t>Lambovirus otterstedtS21</t>
  </si>
  <si>
    <t>Lambovirus parvustarda</t>
  </si>
  <si>
    <t>Lambovirus patos</t>
  </si>
  <si>
    <t>Lambovirus wojtek</t>
  </si>
  <si>
    <t>Lambovirus zany</t>
  </si>
  <si>
    <t>Xeniaduovirus</t>
  </si>
  <si>
    <t>Xeniaduovirus xenia2</t>
  </si>
  <si>
    <t>Ferrettivirinae</t>
  </si>
  <si>
    <t>Hinxtonvirus</t>
  </si>
  <si>
    <t>Hinxtonvirus ARI0004</t>
  </si>
  <si>
    <t>Hinxtonvirus ARI0031</t>
  </si>
  <si>
    <t>Hinxtonvirus ARI0462</t>
  </si>
  <si>
    <t>Hinxtonvirus ARI02851</t>
  </si>
  <si>
    <t>Hinxtonvirus ARI04681</t>
  </si>
  <si>
    <t>Hinxtonvirus ARI0468b3</t>
  </si>
  <si>
    <t>Hinxtonvirus ARI0831b</t>
  </si>
  <si>
    <t>Hinxtonvirus DCC1738</t>
  </si>
  <si>
    <t>Hinxtonvirus hv2167</t>
  </si>
  <si>
    <t>Hinxtonvirus hv8140</t>
  </si>
  <si>
    <t>Hinxtonvirus hv34117</t>
  </si>
  <si>
    <t>Hinxtonvirus IC1</t>
  </si>
  <si>
    <t>Hinxtonvirus IPP34</t>
  </si>
  <si>
    <t>Hinxtonvirus IPP46</t>
  </si>
  <si>
    <t>Hinxtonvirus IPP64</t>
  </si>
  <si>
    <t>Hinxtonvirus IPP69</t>
  </si>
  <si>
    <t>Hinxtonvirus K13</t>
  </si>
  <si>
    <t>Hinxtonvirus V22</t>
  </si>
  <si>
    <t>Norfolkplacevirus</t>
  </si>
  <si>
    <t>Norfolkplacevirus ARI0746</t>
  </si>
  <si>
    <t>Norfolkplacevirus IPP15</t>
  </si>
  <si>
    <t>Spinunavirus</t>
  </si>
  <si>
    <t>Spinunavirus ARI0399</t>
  </si>
  <si>
    <t>Spinunavirus ARI01311</t>
  </si>
  <si>
    <t>Spinunavirus ARI04601</t>
  </si>
  <si>
    <t>Spinunavirus ARI04602</t>
  </si>
  <si>
    <t>Spinunavirus ARI04682</t>
  </si>
  <si>
    <t>Spinunavirus IPP8</t>
  </si>
  <si>
    <t>Spinunavirus IPP9</t>
  </si>
  <si>
    <t>Spinunavirus IPP10</t>
  </si>
  <si>
    <t>Spinunavirus IPP31</t>
  </si>
  <si>
    <t>Spinunavirus IPP32</t>
  </si>
  <si>
    <t>Spinunavirus IPP36</t>
  </si>
  <si>
    <t>Spinunavirus IPP37</t>
  </si>
  <si>
    <t>Spinunavirus IPP50</t>
  </si>
  <si>
    <t>Spinunavirus IPP60</t>
  </si>
  <si>
    <t>Spinunavirus IPP61</t>
  </si>
  <si>
    <t>Spinunavirus SF39</t>
  </si>
  <si>
    <t>Spinunavirus Spn1</t>
  </si>
  <si>
    <t>Spinunavirus sv040922</t>
  </si>
  <si>
    <t>Liefievirus halo</t>
  </si>
  <si>
    <t>Liefievirus liefie</t>
  </si>
  <si>
    <t>Cheoctovirus ardmore</t>
  </si>
  <si>
    <t>Cheoctovirus boomer</t>
  </si>
  <si>
    <t>Cheoctovirus che8</t>
  </si>
  <si>
    <t>Cheoctovirus deadp</t>
  </si>
  <si>
    <t>Cheoctovirus dlane</t>
  </si>
  <si>
    <t>Cheoctovirus dorothy</t>
  </si>
  <si>
    <t>Cheoctovirus dotproduct</t>
  </si>
  <si>
    <t>Cheoctovirus drago</t>
  </si>
  <si>
    <t>Cheoctovirus fruitloop</t>
  </si>
  <si>
    <t>Cheoctovirus gumbie</t>
  </si>
  <si>
    <t>Cheoctovirus ibhubesi</t>
  </si>
  <si>
    <t>Cheoctovirus llij</t>
  </si>
  <si>
    <t>Cheoctovirus mozy</t>
  </si>
  <si>
    <t>Cheoctovirus mutaforma13</t>
  </si>
  <si>
    <t>Cheoctovirus pacc40</t>
  </si>
  <si>
    <t>Cheoctovirus PMC</t>
  </si>
  <si>
    <t>Cheoctovirus ramsey</t>
  </si>
  <si>
    <t>Cheoctovirus rockyhorror</t>
  </si>
  <si>
    <t>Cheoctovirus SG4</t>
  </si>
  <si>
    <t>Cheoctovirus shauna1</t>
  </si>
  <si>
    <t>Cheoctovirus shilan</t>
  </si>
  <si>
    <t>Cheoctovirus spartacus</t>
  </si>
  <si>
    <t>Cheoctovirus taj</t>
  </si>
  <si>
    <t>Cheoctovirus tweety</t>
  </si>
  <si>
    <t>Cheoctovirus wee</t>
  </si>
  <si>
    <t>Cornievirus cornie</t>
  </si>
  <si>
    <t>Squirtyvirus squirty</t>
  </si>
  <si>
    <t>Thetabobvirus renaud18</t>
  </si>
  <si>
    <t>Thetabobvirus tchen</t>
  </si>
  <si>
    <t>Thetabobvirus thetabob</t>
  </si>
  <si>
    <t>Kozievirus MO526</t>
  </si>
  <si>
    <t>Mcshanvirinae</t>
  </si>
  <si>
    <t>Adrianbuildvirus</t>
  </si>
  <si>
    <t>Adrianbuildvirus ARI0923</t>
  </si>
  <si>
    <t>Adrianbuildvirus IPP5</t>
  </si>
  <si>
    <t>Adrianbuildvirus IPP41</t>
  </si>
  <si>
    <t>Adrianbuildvirus IPP42</t>
  </si>
  <si>
    <t>Adrianbuildvirus IPP43</t>
  </si>
  <si>
    <t>Adrianbuildvirus IPP44</t>
  </si>
  <si>
    <t>Adrianbuildvirus IPP51</t>
  </si>
  <si>
    <t>Adrianbuildvirus SpSL1</t>
  </si>
  <si>
    <t>Medawarvirus</t>
  </si>
  <si>
    <t>Medawarvirus ARI01312</t>
  </si>
  <si>
    <t>Medawarvirus IPP11</t>
  </si>
  <si>
    <t>Medawarvirus IPP12</t>
  </si>
  <si>
    <t>Medawarvirus IPP17</t>
  </si>
  <si>
    <t>Medawarvirus IPP18</t>
  </si>
  <si>
    <t>Medawarvirus IPP19</t>
  </si>
  <si>
    <t>Medawarvirus IPP20</t>
  </si>
  <si>
    <t>Medawarvirus IPP21</t>
  </si>
  <si>
    <t>Medawarvirus IPP22</t>
  </si>
  <si>
    <t>Medawarvirus IPP28</t>
  </si>
  <si>
    <t>Medawarvirus IPP29</t>
  </si>
  <si>
    <t>Medawarvirus IPP30</t>
  </si>
  <si>
    <t>Medawarvirus IPP57</t>
  </si>
  <si>
    <t>Medawarvirus IPP63</t>
  </si>
  <si>
    <t>Phadecavirus</t>
  </si>
  <si>
    <t>Phadecavirus olisA1</t>
  </si>
  <si>
    <t>Phadecavirus PH10</t>
  </si>
  <si>
    <t>Phadecavirus pv23TH</t>
  </si>
  <si>
    <t>Baxterfoxvirus baxterfox</t>
  </si>
  <si>
    <t>Baxterfoxvirus yeezy</t>
  </si>
  <si>
    <t>Tortellinivirus tortellini</t>
  </si>
  <si>
    <t>Phapecoctavirus ESCO5</t>
  </si>
  <si>
    <t>Phapecoctavirus ESCO13</t>
  </si>
  <si>
    <t>Phapecoctavirus phAPEC8</t>
  </si>
  <si>
    <t>Phapecoctavirus schickermooser</t>
  </si>
  <si>
    <t>Phapecoctavirus ZCKP1</t>
  </si>
  <si>
    <t>Timquatrovirus TM4</t>
  </si>
  <si>
    <t>Edwardsroadvirus</t>
  </si>
  <si>
    <t>Edwardsroadvirus RRH1</t>
  </si>
  <si>
    <t>Kronosvirus</t>
  </si>
  <si>
    <t>Kronosvirus elgin</t>
  </si>
  <si>
    <t>Kronosvirus pelion</t>
  </si>
  <si>
    <t>Kronosvirus pomeria</t>
  </si>
  <si>
    <t>Lacfervirus</t>
  </si>
  <si>
    <t>Lacfervirus LFP01</t>
  </si>
  <si>
    <t>Lambdavirus DE3</t>
  </si>
  <si>
    <t>Loughboroughvirus ZCSE2</t>
  </si>
  <si>
    <t>Luchadorvirus gail</t>
  </si>
  <si>
    <t>Luchadorvirus jeeves</t>
  </si>
  <si>
    <t>Luchadorvirus luchador</t>
  </si>
  <si>
    <t>Malkevirus</t>
  </si>
  <si>
    <t>Malkevirus ARI02853</t>
  </si>
  <si>
    <t>Malkevirus IPP45</t>
  </si>
  <si>
    <t>Malkevirus IPP67</t>
  </si>
  <si>
    <t>Malkevirus mv11865</t>
  </si>
  <si>
    <t>Malkevirus mv23782</t>
  </si>
  <si>
    <t>Mboduovirus</t>
  </si>
  <si>
    <t>Mboduovirus mbo2</t>
  </si>
  <si>
    <t>Melbournevirus</t>
  </si>
  <si>
    <t>Melbournevirus REQ2</t>
  </si>
  <si>
    <t>Phrappuccinovirus phrappuccino</t>
  </si>
  <si>
    <t>Punavirus pv43</t>
  </si>
  <si>
    <t>Reqipinevirus</t>
  </si>
  <si>
    <t>Reqipinevirus reqipine5</t>
  </si>
  <si>
    <t>Reynauldvirus</t>
  </si>
  <si>
    <t>Reynauldvirus reynauld</t>
  </si>
  <si>
    <t>Sansavirus sansa</t>
  </si>
  <si>
    <t>Sepahanvirus</t>
  </si>
  <si>
    <t>Trogglehumpervirus</t>
  </si>
  <si>
    <t>Trogglehumpervirus trogglehumper</t>
  </si>
  <si>
    <t>Uetakevirus PAS61</t>
  </si>
  <si>
    <t>Wodongavirus</t>
  </si>
  <si>
    <t>Wodongavirus REQ3</t>
  </si>
  <si>
    <t>Yvonnevirus yvonnetastic</t>
  </si>
  <si>
    <t>Fibrovirus VP24</t>
  </si>
  <si>
    <t>Bifilivirus philemonii</t>
  </si>
  <si>
    <t>Commensaviricota</t>
  </si>
  <si>
    <t>Cardeaviricetes</t>
  </si>
  <si>
    <t>Sanitavirales</t>
  </si>
  <si>
    <t>Ayintorquevirus</t>
  </si>
  <si>
    <t>Ayintorquevirus ursid28</t>
  </si>
  <si>
    <t>Etatorquevirus felid17</t>
  </si>
  <si>
    <t>Etatorquevirus felid18</t>
  </si>
  <si>
    <t>Etatorquevirus felid19</t>
  </si>
  <si>
    <t>Etatorquevirus felid20</t>
  </si>
  <si>
    <t>Etatorquevirus felid21</t>
  </si>
  <si>
    <t>Etatorquevirus felid22</t>
  </si>
  <si>
    <t>Etatorquevirus felid24</t>
  </si>
  <si>
    <t>Etatorquevirus felid25</t>
  </si>
  <si>
    <t>Etatorquevirus felid26</t>
  </si>
  <si>
    <t>Etatorquevirus felid27</t>
  </si>
  <si>
    <t>Etatorquevirus felid28</t>
  </si>
  <si>
    <t>Etatorquevirus felid35</t>
  </si>
  <si>
    <t>Gimeltorquevirus ursid26</t>
  </si>
  <si>
    <t>Gimeltorquevirus ursid27</t>
  </si>
  <si>
    <t>Gyrovirus anas1</t>
  </si>
  <si>
    <t>Gyrovirus anas2</t>
  </si>
  <si>
    <t>Gyrovirus chauna1</t>
  </si>
  <si>
    <t>Iotatorquevirus ursid17</t>
  </si>
  <si>
    <t>Omicrontorquevirus ursid16</t>
  </si>
  <si>
    <t>Petorquevirus</t>
  </si>
  <si>
    <t>Petorquevirus canid1</t>
  </si>
  <si>
    <t>Petorquevirus ixodi1</t>
  </si>
  <si>
    <t>Petorquevirus viver4</t>
  </si>
  <si>
    <t>Pitorquevirus ursid18</t>
  </si>
  <si>
    <t>Pitorquevirus ursid19</t>
  </si>
  <si>
    <t>Pitorquevirus ursid20</t>
  </si>
  <si>
    <t>Pitorquevirus ursid21</t>
  </si>
  <si>
    <t>Pitorquevirus ursid22</t>
  </si>
  <si>
    <t>Pitorquevirus ursid23</t>
  </si>
  <si>
    <t>Pitorquevirus ursid24</t>
  </si>
  <si>
    <t>Pitorquevirus ursid25</t>
  </si>
  <si>
    <t>Pitorquevirus ursid29</t>
  </si>
  <si>
    <t>Qoptorquevirus</t>
  </si>
  <si>
    <t>Qoptorquevirus delphin1</t>
  </si>
  <si>
    <t>Qoptorquevirus delphin2</t>
  </si>
  <si>
    <t>Qoptorquevirus delphin3</t>
  </si>
  <si>
    <t>Qoptorquevirus delphin4</t>
  </si>
  <si>
    <t>Qoptorquevirus delphin5</t>
  </si>
  <si>
    <t>Qoptorquevirus delphin6</t>
  </si>
  <si>
    <t>Qoptorquevirus delphin7</t>
  </si>
  <si>
    <t>Qoptorquevirus delphin8</t>
  </si>
  <si>
    <t>Qoptorquevirus delphin9</t>
  </si>
  <si>
    <t>Qoptorquevirus delphin10</t>
  </si>
  <si>
    <t>Qoptorquevirus delphin11</t>
  </si>
  <si>
    <t>Qoptorquevirus delphin12</t>
  </si>
  <si>
    <t>Qoptorquevirus delphin13</t>
  </si>
  <si>
    <t>Qoptorquevirus delphin14</t>
  </si>
  <si>
    <t>Qoptorquevirus delphin15</t>
  </si>
  <si>
    <t>Qoptorquevirus delphin16</t>
  </si>
  <si>
    <t>Qoptorquevirus delphin17</t>
  </si>
  <si>
    <t>Qoptorquevirus delphin18</t>
  </si>
  <si>
    <t>Qoptorquevirus delphin19</t>
  </si>
  <si>
    <t>Qoptorquevirus delphin20</t>
  </si>
  <si>
    <t>Qoptorquevirus delphin21</t>
  </si>
  <si>
    <t>Qoptorquevirus delphin22</t>
  </si>
  <si>
    <t>Rhotorquevirus rodfelid1</t>
  </si>
  <si>
    <t>Sadetorquevirus</t>
  </si>
  <si>
    <t>Sadetorquevirus hominid7</t>
  </si>
  <si>
    <t>Sadetorquevirus hominid8</t>
  </si>
  <si>
    <t>Thetatorquevirus ursid14</t>
  </si>
  <si>
    <t>Thetatorquevirus ursid15</t>
  </si>
  <si>
    <t>Upsilontorquevirus ursid6</t>
  </si>
  <si>
    <t>Zayintorquevirus felid7</t>
  </si>
  <si>
    <t>Zayintorquevirus felid8</t>
  </si>
  <si>
    <t>Zayintorquevirus felid9</t>
  </si>
  <si>
    <t>Zayintorquevirus felid10</t>
  </si>
  <si>
    <t>Zayintorquevirus felid11</t>
  </si>
  <si>
    <t>Zayintorquevirus felid12</t>
  </si>
  <si>
    <t>Zayintorquevirus felid13</t>
  </si>
  <si>
    <t>Zayintorquevirus felid14</t>
  </si>
  <si>
    <t>Zayintorquevirus felid15</t>
  </si>
  <si>
    <t>Zayintorquevirus felid16</t>
  </si>
  <si>
    <t>Zayintorquevirus felid29</t>
  </si>
  <si>
    <t>Zayintorquevirus felid30</t>
  </si>
  <si>
    <t>Zayintorquevirus felid31</t>
  </si>
  <si>
    <t>Zayintorquevirus felid32</t>
  </si>
  <si>
    <t>Zayintorquevirus felid33</t>
  </si>
  <si>
    <t>Zayintorquevirus felid34</t>
  </si>
  <si>
    <t>Alphapolyomavirus castoris</t>
  </si>
  <si>
    <t>Alphapolyomavirus epserotini</t>
  </si>
  <si>
    <t>Alphapolyomavirus myodaubentonii</t>
  </si>
  <si>
    <t>Betapolyomavirus hipposideri</t>
  </si>
  <si>
    <t>Aquambidensovirus asteroid3</t>
  </si>
  <si>
    <t>Aquambidensovirus asteroid4</t>
  </si>
  <si>
    <t>Aquambidensovirus asteroid5</t>
  </si>
  <si>
    <t>Aquambidensovirus asteroid6</t>
  </si>
  <si>
    <t>Aquambidensovirus asteroid7</t>
  </si>
  <si>
    <t>Aquambidensovirus asteroid8</t>
  </si>
  <si>
    <t>Aquambidensovirus asteroid9</t>
  </si>
  <si>
    <t>Aquambidensovirus asteroid10</t>
  </si>
  <si>
    <t>Aquambidensovirus asteroid11</t>
  </si>
  <si>
    <t>Aquambidensovirus asteroid12</t>
  </si>
  <si>
    <t>Aquambidensovirus asteroid13</t>
  </si>
  <si>
    <t>Aquambidensovirus asteroid14</t>
  </si>
  <si>
    <t>Aquambidensovirus asteroid15</t>
  </si>
  <si>
    <t>Aquambidensovirus asteroid16</t>
  </si>
  <si>
    <t>Aquambidensovirus asteroid17</t>
  </si>
  <si>
    <t>Aquambidensovirus asteroid18</t>
  </si>
  <si>
    <t>Aquambidensovirus asteroid19</t>
  </si>
  <si>
    <t>Aquambidensovirus asteroid20</t>
  </si>
  <si>
    <t>Aquambidensovirus asteroid21</t>
  </si>
  <si>
    <t>Aquambidensovirus asteroid22</t>
  </si>
  <si>
    <t>Blattambidensovirus incertum5</t>
  </si>
  <si>
    <t>Protoambidensovirus incertum2</t>
  </si>
  <si>
    <t>Protoambidensovirus incertum3</t>
  </si>
  <si>
    <t>Protoambidensovirus incertum4</t>
  </si>
  <si>
    <t>Protoambidensovirus incertum5</t>
  </si>
  <si>
    <t>Scindoambidensovirus dipteran1</t>
  </si>
  <si>
    <t>Aveparvovirus anseriform1</t>
  </si>
  <si>
    <t>Aveparvovirus avian1</t>
  </si>
  <si>
    <t>Aveparvovirus galliform2</t>
  </si>
  <si>
    <t>Aveparvovirus passeriform2</t>
  </si>
  <si>
    <t>Aveparvovirus passeriform3</t>
  </si>
  <si>
    <t>Aveparvovirus psittacine1</t>
  </si>
  <si>
    <t>Aveparvovirus psittacine2</t>
  </si>
  <si>
    <t>Bocaparvovirus chiropteran6</t>
  </si>
  <si>
    <t>Bocaparvovirus incertum2</t>
  </si>
  <si>
    <t>Bocaparvovirus incertum3</t>
  </si>
  <si>
    <t>Bocaparvovirus incertum4</t>
  </si>
  <si>
    <t>Bocaparvovirus ungulate10</t>
  </si>
  <si>
    <t>Dependoparvovirus anseriform2</t>
  </si>
  <si>
    <t>Dependoparvovirus anseriform3</t>
  </si>
  <si>
    <t>Dependoparvovirus anseriform4</t>
  </si>
  <si>
    <t>Dependoparvovirus anseriform5</t>
  </si>
  <si>
    <t>Dependoparvovirus carnivoran2</t>
  </si>
  <si>
    <t>Dependoparvovirus carnivoran3</t>
  </si>
  <si>
    <t>Dependoparvovirus carnivoran4</t>
  </si>
  <si>
    <t>Dependoparvovirus carnivoran5</t>
  </si>
  <si>
    <t>Dependoparvovirus carnivoran6</t>
  </si>
  <si>
    <t>Dependoparvovirus passeriform1</t>
  </si>
  <si>
    <t>Dependoparvovirus passeriform2</t>
  </si>
  <si>
    <t>Dependoparvovirus rodent3</t>
  </si>
  <si>
    <t>Dependoparvovirus rodent4</t>
  </si>
  <si>
    <t>Protoparvovirus carnivoran6</t>
  </si>
  <si>
    <t>Protoparvovirus carnivoran7</t>
  </si>
  <si>
    <t>Protoparvovirus carnivoran8</t>
  </si>
  <si>
    <t>Protoparvovirus chiropteran2</t>
  </si>
  <si>
    <t>Circovirus baizhenhe</t>
  </si>
  <si>
    <t>Circovirus dever</t>
  </si>
  <si>
    <t>Circovirus patkany</t>
  </si>
  <si>
    <t>Circovirus python</t>
  </si>
  <si>
    <t>Circovirus razbora</t>
  </si>
  <si>
    <t>Lineavirales</t>
  </si>
  <si>
    <t>Oomyviridae</t>
  </si>
  <si>
    <t>Avoomyvirus</t>
  </si>
  <si>
    <t>Avoomyvirus amagae</t>
  </si>
  <si>
    <t>Avoomyvirus chiwundudzae</t>
  </si>
  <si>
    <t>Avoomyvirus homensis</t>
  </si>
  <si>
    <t>Avoomyvirus ibuensis</t>
  </si>
  <si>
    <t>Avoomyvirus kabensis</t>
  </si>
  <si>
    <t>Avoomyvirus kapangae</t>
  </si>
  <si>
    <t>Avoomyvirus kifensis</t>
  </si>
  <si>
    <t>Avoomyvirus kulapukae</t>
  </si>
  <si>
    <t>Avoomyvirus mantarae</t>
  </si>
  <si>
    <t>Avoomyvirus meijunae</t>
  </si>
  <si>
    <t>Avoomyvirus mocensis</t>
  </si>
  <si>
    <t>Avoomyvirus moengjensis</t>
  </si>
  <si>
    <t>Avoomyvirus mosidurae</t>
  </si>
  <si>
    <t>Avoomyvirus mouchlis</t>
  </si>
  <si>
    <t>Avoomyvirus mucegae</t>
  </si>
  <si>
    <t>Avoomyvirus myglensis</t>
  </si>
  <si>
    <t>Avoomyvirus qurwarae</t>
  </si>
  <si>
    <t>Avoomyvirus tavemmaltae</t>
  </si>
  <si>
    <t>Avoomyvirus tayumensis</t>
  </si>
  <si>
    <t>Avoomyvirus tchamosseurae</t>
  </si>
  <si>
    <t>Avoomyvirus tewensis</t>
  </si>
  <si>
    <t>Nicoomyvirus</t>
  </si>
  <si>
    <t>Nicoomyvirus beschimmelingae</t>
  </si>
  <si>
    <t>Nicoomyvirus bolorensis</t>
  </si>
  <si>
    <t>Nicoomyvirus floridurae</t>
  </si>
  <si>
    <t>Nicoomyvirus hallitusensis</t>
  </si>
  <si>
    <t>Nicoomyvirus lizumae</t>
  </si>
  <si>
    <t>Nicoomyvirus llwydnae</t>
  </si>
  <si>
    <t>Nicoomyvirus moegelae</t>
  </si>
  <si>
    <t>Nicoomyvirus mohonsis</t>
  </si>
  <si>
    <t>Nicoomyvirus moisissurensis</t>
  </si>
  <si>
    <t>Nicoomyvirus moldensis</t>
  </si>
  <si>
    <t>Nicoomyvirus muffae</t>
  </si>
  <si>
    <t>Nicoomyvirus peneszensis</t>
  </si>
  <si>
    <t>Nicoomyvirus plesenae</t>
  </si>
  <si>
    <t>Nicoomyvirus schimmelae</t>
  </si>
  <si>
    <t>Nicoomyvirus simensis</t>
  </si>
  <si>
    <t>Nicoomyvirus svampae</t>
  </si>
  <si>
    <t>Swoomyvirus</t>
  </si>
  <si>
    <t>Swoomyvirus plijesanensis</t>
  </si>
  <si>
    <t>Begomovirus alceacrispi</t>
  </si>
  <si>
    <t>Begomovirus caboniensis</t>
  </si>
  <si>
    <t>Begomovirus cajani</t>
  </si>
  <si>
    <t>Begomovirus chuxiongense</t>
  </si>
  <si>
    <t>Begomovirus flavintervenae</t>
  </si>
  <si>
    <t>Begomovirus galii</t>
  </si>
  <si>
    <t>Begomovirus hortuscrotoni</t>
  </si>
  <si>
    <t>Begomovirus hyptidis</t>
  </si>
  <si>
    <t>Begomovirus jatrophagunturense</t>
  </si>
  <si>
    <t>Begomovirus muntiflavi</t>
  </si>
  <si>
    <t>Begomovirus myanmarense</t>
  </si>
  <si>
    <t>Begomovirus puerense</t>
  </si>
  <si>
    <t>Begomovirus pyrenacanthae</t>
  </si>
  <si>
    <t>Begomovirus sidaflavitessellati</t>
  </si>
  <si>
    <t>Begomovirus solanumaureusreti</t>
  </si>
  <si>
    <t>Begomovirus solanumdistorsionis</t>
  </si>
  <si>
    <t>Begomovirus solanumflavusreti</t>
  </si>
  <si>
    <t>Begomovirus whitaniae</t>
  </si>
  <si>
    <t>Capulavirus trifolii</t>
  </si>
  <si>
    <t>Citlodavirus apijamaicaense</t>
  </si>
  <si>
    <t>Citlodavirus myricae</t>
  </si>
  <si>
    <t>Mastrevirus bothriochloae</t>
  </si>
  <si>
    <t>Mastrevirus brachypodiumprimi</t>
  </si>
  <si>
    <t>Mastrevirus brachypodiumsecundi</t>
  </si>
  <si>
    <t>Mastrevirus nomiae</t>
  </si>
  <si>
    <t>Mastrevirus urochloareunionense</t>
  </si>
  <si>
    <t>Calorviricota</t>
  </si>
  <si>
    <t>Caminiviricetes</t>
  </si>
  <si>
    <t>Ageovirales</t>
  </si>
  <si>
    <t>Thalassapleoviridae</t>
  </si>
  <si>
    <t>Aprofuvirus</t>
  </si>
  <si>
    <t>Aprofuvirus guaymasense</t>
  </si>
  <si>
    <t>Avenivirus</t>
  </si>
  <si>
    <t>Avenivirus atlanticense</t>
  </si>
  <si>
    <t>Geogavirus</t>
  </si>
  <si>
    <t>Geogavirus atlanticense</t>
  </si>
  <si>
    <t>Geogavirus guaymasense</t>
  </si>
  <si>
    <t>Geogavirus pacificense</t>
  </si>
  <si>
    <t>Artimaviricota</t>
  </si>
  <si>
    <t>Furtirnaviricetes</t>
  </si>
  <si>
    <t>Divaquavirales</t>
  </si>
  <si>
    <t>Hakuzoviridae</t>
  </si>
  <si>
    <t>Atsuirnavirus</t>
  </si>
  <si>
    <t>Atsuirnavirus caloris</t>
  </si>
  <si>
    <t>Cardoreovirus callinectes</t>
  </si>
  <si>
    <t>Crabreovirus</t>
  </si>
  <si>
    <t>Crabreovirus callinectes</t>
  </si>
  <si>
    <t>Crabreovirus eriocheiris</t>
  </si>
  <si>
    <t>Crabreovirus scylla</t>
  </si>
  <si>
    <t>Rotavirus kappagastroenteritidis</t>
  </si>
  <si>
    <t>Rotavirus lambdagastroenteritidis</t>
  </si>
  <si>
    <t>Alphacystovirus</t>
  </si>
  <si>
    <t>Alphacystovirus phi8</t>
  </si>
  <si>
    <t>Betacystovirus</t>
  </si>
  <si>
    <t>Betacystovirus phi12</t>
  </si>
  <si>
    <t>Deltacystovirus</t>
  </si>
  <si>
    <t>Deltacystovirus phi2954</t>
  </si>
  <si>
    <t>Epsiloncystovirus</t>
  </si>
  <si>
    <t>Epsiloncystovirus phiNY</t>
  </si>
  <si>
    <t>Gammacystovirus</t>
  </si>
  <si>
    <t>Gammacystovirus phi13</t>
  </si>
  <si>
    <t>Gammacystovirus phiYY</t>
  </si>
  <si>
    <t>Orthocystovirus</t>
  </si>
  <si>
    <t>Orthocystovirus phi6</t>
  </si>
  <si>
    <t>Orthocystovirus phiNN</t>
  </si>
  <si>
    <t>Zetacystovirus</t>
  </si>
  <si>
    <t>Zetacystovirus CAP</t>
  </si>
  <si>
    <t>Mycoalphaviridae</t>
  </si>
  <si>
    <t>Alphasclernavirus</t>
  </si>
  <si>
    <t>Alphasclernavirus alphasclerotiniae</t>
  </si>
  <si>
    <t>Alphasclernavirus betasclerotiniae</t>
  </si>
  <si>
    <t>Betasclernavirus</t>
  </si>
  <si>
    <t>Betasclernavirus alphafusarii</t>
  </si>
  <si>
    <t>Betasclernavirus alphasclerotii</t>
  </si>
  <si>
    <t>Betasclernavirus betafusarii</t>
  </si>
  <si>
    <t>Betasclernavirus betasclerotii</t>
  </si>
  <si>
    <t>Betasclernavirus botrytidis</t>
  </si>
  <si>
    <t>Ilarvirus ApNMV</t>
  </si>
  <si>
    <t>Ilarvirus BabIV1</t>
  </si>
  <si>
    <t>Ilarvirus TIV1</t>
  </si>
  <si>
    <t>Ilarvirus ToNSV</t>
  </si>
  <si>
    <t>Velarivirus gembloutense</t>
  </si>
  <si>
    <t>Cilevirus pistaciae</t>
  </si>
  <si>
    <t>Higrevirus amurense</t>
  </si>
  <si>
    <t>Higrevirus pistaciae</t>
  </si>
  <si>
    <t>Allexivirus rehmanniae</t>
  </si>
  <si>
    <t>Botrexvirus duosclerotiniae</t>
  </si>
  <si>
    <t>Botrexvirus unosclerotiniae</t>
  </si>
  <si>
    <t>Potexvirus chaenostomae</t>
  </si>
  <si>
    <t>Potexvirus ecsadenii</t>
  </si>
  <si>
    <t>Potexvirus ecscaricae</t>
  </si>
  <si>
    <t>Potexvirus ecshibisci</t>
  </si>
  <si>
    <t>Machlomovirus liegense</t>
  </si>
  <si>
    <t>Splipalmiviridae</t>
  </si>
  <si>
    <t>Delepalmivirus</t>
  </si>
  <si>
    <t>Delepalmivirus ibericum</t>
  </si>
  <si>
    <t>Delepalmivirus magnaporthae</t>
  </si>
  <si>
    <t>Delepalmivirus oidiodendri</t>
  </si>
  <si>
    <t>Delepalmivirus sclerotiniae</t>
  </si>
  <si>
    <t>Divipalmivirus</t>
  </si>
  <si>
    <t>Divipalmivirus aspergilli</t>
  </si>
  <si>
    <t>Divipalmivirus cryphonectriae</t>
  </si>
  <si>
    <t>Divipalmivirus diplodiae</t>
  </si>
  <si>
    <t>Divipalmivirus italiense</t>
  </si>
  <si>
    <t>Divipalmivirus japonicum</t>
  </si>
  <si>
    <t>Divipalmivirus suilli</t>
  </si>
  <si>
    <t>Jakapalmivirus</t>
  </si>
  <si>
    <t>Jakapalmivirus botritidis</t>
  </si>
  <si>
    <t>Jakapalmivirus bremiae</t>
  </si>
  <si>
    <t>Jakapalmivirus cinereae</t>
  </si>
  <si>
    <t>Jakapalmivirus ibericum</t>
  </si>
  <si>
    <t>Jakapalmivirus italiense</t>
  </si>
  <si>
    <t>Jakapalmivirus sclerotiniae</t>
  </si>
  <si>
    <t>Botoulivirus alphasclerotiniae</t>
  </si>
  <si>
    <t>Botoulivirus betasclerotiniae</t>
  </si>
  <si>
    <t>Botoulivirus botrytidis</t>
  </si>
  <si>
    <t>Botoulivirus epicocci</t>
  </si>
  <si>
    <t>Magoulivirus acremonii</t>
  </si>
  <si>
    <t>Magoulivirus cladosporii</t>
  </si>
  <si>
    <t>Magoulivirus colletotrichi</t>
  </si>
  <si>
    <t>Magoulivirus oryzae</t>
  </si>
  <si>
    <t>Magoulivirus penicillii</t>
  </si>
  <si>
    <t>Magoulivirus phaeoacremonii</t>
  </si>
  <si>
    <t>Magoulivirus plasmoparae</t>
  </si>
  <si>
    <t>Magoulivirus rhizoctoniae</t>
  </si>
  <si>
    <t>Ourmiavirus cucurbitae</t>
  </si>
  <si>
    <t>Ourmiavirus manihoti</t>
  </si>
  <si>
    <t>Ourmiavirus pruni</t>
  </si>
  <si>
    <t>Penoulivirus aspergilli</t>
  </si>
  <si>
    <t>Penoulivirus cladosporii</t>
  </si>
  <si>
    <t>Penoulivirus epicocci</t>
  </si>
  <si>
    <t>Penoulivirus neofusicocci</t>
  </si>
  <si>
    <t>Penoulivirus oryzae</t>
  </si>
  <si>
    <t>Penoulivirus penicillii</t>
  </si>
  <si>
    <t>Penoulivirus phaeoacremonii</t>
  </si>
  <si>
    <t>Penoulivirus phomae</t>
  </si>
  <si>
    <t>Penoulivirus phomopsis</t>
  </si>
  <si>
    <t>Penoulivirus pyriculariae</t>
  </si>
  <si>
    <t>Penoulivirus sclerotiniae</t>
  </si>
  <si>
    <t>Rhizoulivirus rhizoctoniae</t>
  </si>
  <si>
    <t>Scleroulivirus alphaglycinae</t>
  </si>
  <si>
    <t>Scleroulivirus betaglycinae</t>
  </si>
  <si>
    <t>Scleroulivirus cladosporii</t>
  </si>
  <si>
    <t>Scleroulivirus pyriculariae</t>
  </si>
  <si>
    <t>Scleroulivirus sclerotiniae</t>
  </si>
  <si>
    <t>Hexartovirus artemiae</t>
  </si>
  <si>
    <t>Hexartovirus caligi</t>
  </si>
  <si>
    <t>Peropuvirus pteropi</t>
  </si>
  <si>
    <t>Peropuvirus wufengense</t>
  </si>
  <si>
    <t>Cultervirus harpadoni</t>
  </si>
  <si>
    <t>Cultervirus poeciliae</t>
  </si>
  <si>
    <t>Orthobornavirus iridiscincum</t>
  </si>
  <si>
    <t>Dianlovirus dehongense</t>
  </si>
  <si>
    <t>Artemvirus</t>
  </si>
  <si>
    <t>Artemvirus bsaeighalis</t>
  </si>
  <si>
    <t>Artemvirus bsafalis</t>
  </si>
  <si>
    <t>Artemvirus bsafialis</t>
  </si>
  <si>
    <t>Artemvirus bsafivalis</t>
  </si>
  <si>
    <t>Artemvirus bsasecalis</t>
  </si>
  <si>
    <t>Artemvirus bsasialis</t>
  </si>
  <si>
    <t>Artemvirus bsathalis</t>
  </si>
  <si>
    <t>Canmovirus</t>
  </si>
  <si>
    <t>Canmovirus mahaense</t>
  </si>
  <si>
    <t>Coroavirus</t>
  </si>
  <si>
    <t>Coroavirus germense</t>
  </si>
  <si>
    <t>Robevirus</t>
  </si>
  <si>
    <t>Robevirus hanzense</t>
  </si>
  <si>
    <t>Weflthvirus</t>
  </si>
  <si>
    <t>Weflthvirus itaense</t>
  </si>
  <si>
    <t>Alphanemrhavirus wufeng</t>
  </si>
  <si>
    <t>Alphapaprhavirus gata</t>
  </si>
  <si>
    <t>Alphapaprhavirus orgi</t>
  </si>
  <si>
    <t>Alpharicinrhavirus heilongjiang</t>
  </si>
  <si>
    <t>Alphathriprhavirus</t>
  </si>
  <si>
    <t>Alphathriprhavirus intonsa</t>
  </si>
  <si>
    <t>Alphathriprhavirus tabaci</t>
  </si>
  <si>
    <t>Betathriprhavirus</t>
  </si>
  <si>
    <t>Betathriprhavirus midwest</t>
  </si>
  <si>
    <t>Betathriprhavirus variabilis</t>
  </si>
  <si>
    <t>Merhavirus cambodia</t>
  </si>
  <si>
    <t>Merhavirus subalbatus</t>
  </si>
  <si>
    <t>Sigmavirus dorsalis</t>
  </si>
  <si>
    <t>Sigmavirus hangzhou</t>
  </si>
  <si>
    <t>Tupavirus wufeng</t>
  </si>
  <si>
    <t>Alphacytorhabdovirus</t>
  </si>
  <si>
    <t>Alphacytorhabdovirus actinidiae</t>
  </si>
  <si>
    <t>Alphacytorhabdovirus allii</t>
  </si>
  <si>
    <t>Alphacytorhabdovirus alphaartemisiae</t>
  </si>
  <si>
    <t>Alphacytorhabdovirus alphachysanthemi</t>
  </si>
  <si>
    <t>Alphacytorhabdovirus alphafragariae</t>
  </si>
  <si>
    <t>Alphacytorhabdovirus alphamedicagonis</t>
  </si>
  <si>
    <t>Alphacytorhabdovirus alphapogostemi</t>
  </si>
  <si>
    <t>Alphacytorhabdovirus alphaprimulae</t>
  </si>
  <si>
    <t>Alphacytorhabdovirus alpharubi</t>
  </si>
  <si>
    <t>Alphacytorhabdovirus alphatrifolii</t>
  </si>
  <si>
    <t>Alphacytorhabdovirus alphawuhaninsectum</t>
  </si>
  <si>
    <t>Alphacytorhabdovirus arctii</t>
  </si>
  <si>
    <t>Alphacytorhabdovirus asclepiadis</t>
  </si>
  <si>
    <t>Alphacytorhabdovirus baccharis</t>
  </si>
  <si>
    <t>Alphacytorhabdovirus bacopae</t>
  </si>
  <si>
    <t>Alphacytorhabdovirus betaartemisiae</t>
  </si>
  <si>
    <t>Alphacytorhabdovirus betachrysanthemi</t>
  </si>
  <si>
    <t>Alphacytorhabdovirus betafragariae</t>
  </si>
  <si>
    <t>Alphacytorhabdovirus betamedicagonis</t>
  </si>
  <si>
    <t>Alphacytorhabdovirus betapogostemi</t>
  </si>
  <si>
    <t>Alphacytorhabdovirus betaprimulae</t>
  </si>
  <si>
    <t>Alphacytorhabdovirus betarubi</t>
  </si>
  <si>
    <t>Alphacytorhabdovirus betatrifolii</t>
  </si>
  <si>
    <t>Alphacytorhabdovirus betawuhaninsectum</t>
  </si>
  <si>
    <t>Alphacytorhabdovirus brassicicolae</t>
  </si>
  <si>
    <t>Alphacytorhabdovirus cardaminis</t>
  </si>
  <si>
    <t>Alphacytorhabdovirus chelidonii</t>
  </si>
  <si>
    <t>Alphacytorhabdovirus cnidii</t>
  </si>
  <si>
    <t>Alphacytorhabdovirus conopholis</t>
  </si>
  <si>
    <t>Alphacytorhabdovirus coriandri</t>
  </si>
  <si>
    <t>Alphacytorhabdovirus cynarae</t>
  </si>
  <si>
    <t>Alphacytorhabdovirus daphnis</t>
  </si>
  <si>
    <t>Alphacytorhabdovirus deltapogostemi</t>
  </si>
  <si>
    <t>Alphacytorhabdovirus euphorbiae</t>
  </si>
  <si>
    <t>Alphacytorhabdovirus fici</t>
  </si>
  <si>
    <t>Alphacytorhabdovirus fragariarugosus</t>
  </si>
  <si>
    <t>Alphacytorhabdovirus gammaartemisiae</t>
  </si>
  <si>
    <t>Alphacytorhabdovirus gammapogostemi</t>
  </si>
  <si>
    <t>Alphacytorhabdovirus gammawuhaninsectus</t>
  </si>
  <si>
    <t>Alphacytorhabdovirus gei</t>
  </si>
  <si>
    <t>Alphacytorhabdovirus glehniae</t>
  </si>
  <si>
    <t>Alphacytorhabdovirus hederae</t>
  </si>
  <si>
    <t>Alphacytorhabdovirus hyptisis</t>
  </si>
  <si>
    <t>Alphacytorhabdovirus ilicis</t>
  </si>
  <si>
    <t>Alphacytorhabdovirus kenyatuberosum</t>
  </si>
  <si>
    <t>Alphacytorhabdovirus lactucanecante</t>
  </si>
  <si>
    <t>Alphacytorhabdovirus lactumaculante</t>
  </si>
  <si>
    <t>Alphacytorhabdovirus lycopersici</t>
  </si>
  <si>
    <t>Alphacytorhabdovirus menthae</t>
  </si>
  <si>
    <t>Alphacytorhabdovirus morindae</t>
  </si>
  <si>
    <t>Alphacytorhabdovirus nymphaeae</t>
  </si>
  <si>
    <t>Alphacytorhabdovirus ocimi</t>
  </si>
  <si>
    <t>Alphacytorhabdovirus paludis</t>
  </si>
  <si>
    <t>Alphacytorhabdovirus pastinacae</t>
  </si>
  <si>
    <t>Alphacytorhabdovirus pelargonii</t>
  </si>
  <si>
    <t>Alphacytorhabdovirus persimmon</t>
  </si>
  <si>
    <t>Alphacytorhabdovirus phyllostachysis</t>
  </si>
  <si>
    <t>Alphacytorhabdovirus pinelliae</t>
  </si>
  <si>
    <t>Alphacytorhabdovirus plumagonis</t>
  </si>
  <si>
    <t>Alphacytorhabdovirus querci</t>
  </si>
  <si>
    <t>Alphacytorhabdovirus ribes</t>
  </si>
  <si>
    <t>Alphacytorhabdovirus rosae</t>
  </si>
  <si>
    <t>Alphacytorhabdovirus sambuci</t>
  </si>
  <si>
    <t>Alphacytorhabdovirus scutellariae</t>
  </si>
  <si>
    <t>Alphacytorhabdovirus taraxaci</t>
  </si>
  <si>
    <t>Alphacytorhabdovirus tolmieae</t>
  </si>
  <si>
    <t>Alphacytorhabdovirus trichonsathei</t>
  </si>
  <si>
    <t>Alphacytorhabdovirus tritici</t>
  </si>
  <si>
    <t>Alphacytorhabdovirus utriculariae</t>
  </si>
  <si>
    <t>Alphacytorhabdovirus wurfbainiae</t>
  </si>
  <si>
    <t>Alphacytorhabdovirus zeae</t>
  </si>
  <si>
    <t>Alphanucleorhabdovirus babaci</t>
  </si>
  <si>
    <t>Betacytorhabdovirus</t>
  </si>
  <si>
    <t>Betacytorhabdovirus alphabetulae</t>
  </si>
  <si>
    <t>Betacytorhabdovirus alphacucurbitae</t>
  </si>
  <si>
    <t>Betacytorhabdovirus alpharosae</t>
  </si>
  <si>
    <t>Betacytorhabdovirus alphaturbaesoli</t>
  </si>
  <si>
    <t>Betacytorhabdovirus alphazanthoxyli</t>
  </si>
  <si>
    <t>Betacytorhabdovirus anthurii</t>
  </si>
  <si>
    <t>Betacytorhabdovirus aristolochiae</t>
  </si>
  <si>
    <t>Betacytorhabdovirus artemisiae</t>
  </si>
  <si>
    <t>Betacytorhabdovirus begoniae</t>
  </si>
  <si>
    <t>Betacytorhabdovirus bemisiae</t>
  </si>
  <si>
    <t>Betacytorhabdovirus betabetulae</t>
  </si>
  <si>
    <t>Betacytorhabdovirus betacucurbitae</t>
  </si>
  <si>
    <t>Betacytorhabdovirus betarosae</t>
  </si>
  <si>
    <t>Betacytorhabdovirus betaturbaesoli</t>
  </si>
  <si>
    <t>Betacytorhabdovirus betazanthoxyli</t>
  </si>
  <si>
    <t>Betacytorhabdovirus bouteloae</t>
  </si>
  <si>
    <t>Betacytorhabdovirus broussonetiae</t>
  </si>
  <si>
    <t>Betacytorhabdovirus caricae</t>
  </si>
  <si>
    <t>Betacytorhabdovirus chrysanthemi</t>
  </si>
  <si>
    <t>Betacytorhabdovirus colocasiae</t>
  </si>
  <si>
    <t>Betacytorhabdovirus coryli</t>
  </si>
  <si>
    <t>Betacytorhabdovirus cypripedii</t>
  </si>
  <si>
    <t>Betacytorhabdovirus dryobalanopis</t>
  </si>
  <si>
    <t>Betacytorhabdovirus durionis</t>
  </si>
  <si>
    <t>Betacytorhabdovirus flaviyerbamate</t>
  </si>
  <si>
    <t>Betacytorhabdovirus gammazanthoxyli</t>
  </si>
  <si>
    <t>Betacytorhabdovirus gleditsiae</t>
  </si>
  <si>
    <t>Betacytorhabdovirus glycinis</t>
  </si>
  <si>
    <t>Betacytorhabdovirus glycyrrhizae</t>
  </si>
  <si>
    <t>Betacytorhabdovirus graminae</t>
  </si>
  <si>
    <t>Betacytorhabdovirus hepaticae</t>
  </si>
  <si>
    <t>Betacytorhabdovirus hordei</t>
  </si>
  <si>
    <t>Betacytorhabdovirus howeae</t>
  </si>
  <si>
    <t>Betacytorhabdovirus ipomoeae</t>
  </si>
  <si>
    <t>Betacytorhabdovirus ixeris</t>
  </si>
  <si>
    <t>Betacytorhabdovirus justiciae</t>
  </si>
  <si>
    <t>Betacytorhabdovirus kobresiae</t>
  </si>
  <si>
    <t>Betacytorhabdovirus leucadendri</t>
  </si>
  <si>
    <t>Betacytorhabdovirus lycii</t>
  </si>
  <si>
    <t>Betacytorhabdovirus mangonis</t>
  </si>
  <si>
    <t>Betacytorhabdovirus maydis</t>
  </si>
  <si>
    <t>Betacytorhabdovirus maysflavostriatis</t>
  </si>
  <si>
    <t>Betacytorhabdovirus mori</t>
  </si>
  <si>
    <t>Betacytorhabdovirus nitrariae</t>
  </si>
  <si>
    <t>Betacytorhabdovirus oryzae</t>
  </si>
  <si>
    <t>Betacytorhabdovirus panici</t>
  </si>
  <si>
    <t>Betacytorhabdovirus passiflorae</t>
  </si>
  <si>
    <t>Betacytorhabdovirus pentaphragmae</t>
  </si>
  <si>
    <t>Betacytorhabdovirus phellodendri</t>
  </si>
  <si>
    <t>Betacytorhabdovirus populi</t>
  </si>
  <si>
    <t>Betacytorhabdovirus puerariae</t>
  </si>
  <si>
    <t>Betacytorhabdovirus rudbeckiae</t>
  </si>
  <si>
    <t>Betacytorhabdovirus schiedeae</t>
  </si>
  <si>
    <t>Betacytorhabdovirus sesami</t>
  </si>
  <si>
    <t>Betacytorhabdovirus sophorae</t>
  </si>
  <si>
    <t>Betacytorhabdovirus tagetis</t>
  </si>
  <si>
    <t>Betacytorhabdovirus tiliae</t>
  </si>
  <si>
    <t>Betacytorhabdovirus trifolii</t>
  </si>
  <si>
    <t>Betacytorhabdovirus viciae</t>
  </si>
  <si>
    <t>Betacytorhabdovirus yerbamate</t>
  </si>
  <si>
    <t>Betanucleorhabdovirus paridis</t>
  </si>
  <si>
    <t>Gammacytorhabdovirus</t>
  </si>
  <si>
    <t>Gammacytorhabdovirus alphacuscutae</t>
  </si>
  <si>
    <t>Gammacytorhabdovirus alphafraxini</t>
  </si>
  <si>
    <t>Gammacytorhabdovirus apii</t>
  </si>
  <si>
    <t>Gammacytorhabdovirus argyranthemi</t>
  </si>
  <si>
    <t>Gammacytorhabdovirus betacuscutae</t>
  </si>
  <si>
    <t>Gammacytorhabdovirus betafraxini</t>
  </si>
  <si>
    <t>Gammacytorhabdovirus coptis</t>
  </si>
  <si>
    <t>Gammacytorhabdovirus cypripedii</t>
  </si>
  <si>
    <t>Gammacytorhabdovirus dauci</t>
  </si>
  <si>
    <t>Gammacytorhabdovirus epipactis</t>
  </si>
  <si>
    <t>Gammacytorhabdovirus gymnadeniae</t>
  </si>
  <si>
    <t>Gammacytorhabdovirus heliospermae</t>
  </si>
  <si>
    <t>Gammacytorhabdovirus hibisci</t>
  </si>
  <si>
    <t>Gammacytorhabdovirus lonatis</t>
  </si>
  <si>
    <t>Gammacytorhabdovirus lupinis</t>
  </si>
  <si>
    <t>Gammacytorhabdovirus rhopalocnemis</t>
  </si>
  <si>
    <t>Gammacytorhabdovirus silenis</t>
  </si>
  <si>
    <t>Gammacytorhabdovirus trachyspermi</t>
  </si>
  <si>
    <t>Trirhavirus</t>
  </si>
  <si>
    <t>Trirhavirus alni</t>
  </si>
  <si>
    <t>Trirhavirus chrysanthemi</t>
  </si>
  <si>
    <t>Trirhavirus erysimi</t>
  </si>
  <si>
    <t>Trirhavirus medicagonis</t>
  </si>
  <si>
    <t>Trirhavirus picridis</t>
  </si>
  <si>
    <t>Alphahymrhavirus ectemnius</t>
  </si>
  <si>
    <t>Alphahymrhavirus electrico</t>
  </si>
  <si>
    <t>Primrhavirus yunnan</t>
  </si>
  <si>
    <t>Stangrhavirus yunnan</t>
  </si>
  <si>
    <t>Alphaplatrhavirus</t>
  </si>
  <si>
    <t>Alphaplatrhavirus acutispina</t>
  </si>
  <si>
    <t>Alphaplatrhavirus chodsigoa</t>
  </si>
  <si>
    <t>Alphaplatrhavirus dendriticum</t>
  </si>
  <si>
    <t>Alphaplatrhavirus hubei</t>
  </si>
  <si>
    <t>Alphaplatrhavirus jingmen</t>
  </si>
  <si>
    <t>Alphaplatrhavirus langier</t>
  </si>
  <si>
    <t>Alphaplatrhavirus larvatus</t>
  </si>
  <si>
    <t>Alphaplatrhavirus microphallus</t>
  </si>
  <si>
    <t>Alphaplatrhavirus nodulosis</t>
  </si>
  <si>
    <t>Alphaplatrhavirus orientalis</t>
  </si>
  <si>
    <t>Alphaplatrhavirus pseudoglobulus</t>
  </si>
  <si>
    <t>Alphaplatrhavirus ricketti</t>
  </si>
  <si>
    <t>Alphaplatrhavirus smithii</t>
  </si>
  <si>
    <t>Alphaplatrhavirus solidus</t>
  </si>
  <si>
    <t>Alphaplatrhavirus turkestanicum</t>
  </si>
  <si>
    <t>Alphaplatrhavirus vulpes</t>
  </si>
  <si>
    <t>Alphaplatrhavirus wenzhou</t>
  </si>
  <si>
    <t>Alphaplatrhavirus wufeng</t>
  </si>
  <si>
    <t>Betaplatrhavirus</t>
  </si>
  <si>
    <t>Betaplatrhavirus abramus</t>
  </si>
  <si>
    <t>Betaplatrhavirus armiger</t>
  </si>
  <si>
    <t>Betaplatrhavirus beihai</t>
  </si>
  <si>
    <t>Betaplatrhavirus fujian</t>
  </si>
  <si>
    <t>Betaplatrhavirus fuscus</t>
  </si>
  <si>
    <t>Betaplatrhavirus himastelon</t>
  </si>
  <si>
    <t>Betaplatrhavirus nodulosus</t>
  </si>
  <si>
    <t>Betaplatrhavirus pseudoglobulus</t>
  </si>
  <si>
    <t>Betaplatrhavirus psilotrema</t>
  </si>
  <si>
    <t>Betaplatrhavirus simillimum</t>
  </si>
  <si>
    <t>Betaplatrhavirus sphaeroidotrema</t>
  </si>
  <si>
    <t>Betaplatrhavirus wenling</t>
  </si>
  <si>
    <t>Gammaplatrhavirus</t>
  </si>
  <si>
    <t>Gammaplatrhavirus beihai</t>
  </si>
  <si>
    <t>Gammaplatrhavirus dendriticum</t>
  </si>
  <si>
    <t>Gammaplatrhavirus jilin</t>
  </si>
  <si>
    <t>Gammaplatrhavirus orientalis</t>
  </si>
  <si>
    <t>Gammaplatrhavirus sinensis</t>
  </si>
  <si>
    <t>Gammaplatrhavirus wenzhou</t>
  </si>
  <si>
    <t>Emaravirus clematis</t>
  </si>
  <si>
    <t>Orthohantavirus ozarkense</t>
  </si>
  <si>
    <t>Orthohantavirus sagercreekense</t>
  </si>
  <si>
    <t>Orthobunyavirus indianense</t>
  </si>
  <si>
    <t>Orthobunyavirus lichuanense</t>
  </si>
  <si>
    <t>Orthobunyavirus taiense</t>
  </si>
  <si>
    <t>Orthobunyavirus taniyamense</t>
  </si>
  <si>
    <t>Jonvirus mikadosis</t>
  </si>
  <si>
    <t>Jonvirus spilikinsis</t>
  </si>
  <si>
    <t>Orthophasmavirus barstukorius</t>
  </si>
  <si>
    <t>Orthophasmavirus miglotalis</t>
  </si>
  <si>
    <t>Orthophasmavirus obscurae</t>
  </si>
  <si>
    <t>Orthophasmavirus stecellulae</t>
  </si>
  <si>
    <t>Orthotospovirus eustomae</t>
  </si>
  <si>
    <t>Orthotospovirus fatsiae</t>
  </si>
  <si>
    <t>Antennavirus trematomi</t>
  </si>
  <si>
    <t>Mammarenavirus vello</t>
  </si>
  <si>
    <t>Olpivirus lactucae</t>
  </si>
  <si>
    <t>Shilevirus alphablechomonadis</t>
  </si>
  <si>
    <t>Shilevirus alphamoraviense</t>
  </si>
  <si>
    <t>Shilevirus betablechomonadis</t>
  </si>
  <si>
    <t>Shilevirus betamoraviense</t>
  </si>
  <si>
    <t>Shilevirus crithidiaebombi</t>
  </si>
  <si>
    <t>Shilevirus gammablechomonadis</t>
  </si>
  <si>
    <t>Shilevirus martiniquense</t>
  </si>
  <si>
    <t>Shilevirus moramangoense</t>
  </si>
  <si>
    <t>Shilevirus otongatchiense</t>
  </si>
  <si>
    <t>Shilevirus puertonapoense</t>
  </si>
  <si>
    <t>Unirnavirus</t>
  </si>
  <si>
    <t>Unirnavirus aldianthicolae</t>
  </si>
  <si>
    <t>Unirnavirus allongipei</t>
  </si>
  <si>
    <t>Unirnavirus aspergilli</t>
  </si>
  <si>
    <t>Unirnavirus beauveriae</t>
  </si>
  <si>
    <t>Unirnavirus cogleosporioidei</t>
  </si>
  <si>
    <t>Unirnavirus cohigginsiani</t>
  </si>
  <si>
    <t>Unirnavirus combuense</t>
  </si>
  <si>
    <t>Unirnavirus fusarii</t>
  </si>
  <si>
    <t>Unirnavirus pripenicillii</t>
  </si>
  <si>
    <t>Unirnavirus prustilaginoideae</t>
  </si>
  <si>
    <t>Unirnavirus secupenicillii</t>
  </si>
  <si>
    <t>Unirnavirus secustilaginoideae</t>
  </si>
  <si>
    <t>Unirnavirus trichodermae</t>
  </si>
  <si>
    <t>Soropartitiviridae</t>
  </si>
  <si>
    <t>Caliparnavirus</t>
  </si>
  <si>
    <t>Caliparnavirus acidum</t>
  </si>
  <si>
    <t>Bacillarnavirus nagasakii</t>
  </si>
  <si>
    <t>Bacillarnavirus setoensis</t>
  </si>
  <si>
    <t>Bacillarnavirus yujii</t>
  </si>
  <si>
    <t>Kusarnavirus tomaruii</t>
  </si>
  <si>
    <t>Labyrnavirus takaoii</t>
  </si>
  <si>
    <t>Locarnavirus derisii</t>
  </si>
  <si>
    <t>Locarnavirus greningerii</t>
  </si>
  <si>
    <t>Locarnavirus jerichoensis</t>
  </si>
  <si>
    <t>Locarnavirus rohweri</t>
  </si>
  <si>
    <t>Marnavirus taichanarum</t>
  </si>
  <si>
    <t>Salisharnavirus britensis</t>
  </si>
  <si>
    <t>Salisharnavirus mirandaeae</t>
  </si>
  <si>
    <t>Salisharnavirus stewardii</t>
  </si>
  <si>
    <t>Salisharnavirus vlokiae</t>
  </si>
  <si>
    <t>Sogarnavirus culleyi</t>
  </si>
  <si>
    <t>Sogarnavirus gustavseniae</t>
  </si>
  <si>
    <t>Sogarnavirus kimuraei</t>
  </si>
  <si>
    <t>Sogarnavirus kitsilanoensis</t>
  </si>
  <si>
    <t>Sogarnavirus palmerensis</t>
  </si>
  <si>
    <t>Sogarnavirus tomaruii</t>
  </si>
  <si>
    <t>Fabavirus betavitis</t>
  </si>
  <si>
    <t>Fabavirus cirsii</t>
  </si>
  <si>
    <t>Mersevirus</t>
  </si>
  <si>
    <t>Mersevirus boehmeriae</t>
  </si>
  <si>
    <t>Mersevirus jujubae</t>
  </si>
  <si>
    <t>Mersevirus paris</t>
  </si>
  <si>
    <t>Nepovirus betaparis</t>
  </si>
  <si>
    <t>Nepovirus mirae</t>
  </si>
  <si>
    <t>Sadwavirus cattleyae</t>
  </si>
  <si>
    <t>Sadwavirus gymnemae</t>
  </si>
  <si>
    <t>Sadwavirus chysanthemi</t>
  </si>
  <si>
    <t>Torradovirus arctii</t>
  </si>
  <si>
    <t>Torradovirus nanorugosum</t>
  </si>
  <si>
    <t>Torradovirus physalis</t>
  </si>
  <si>
    <t>Actinidivirus</t>
  </si>
  <si>
    <t>Waikavirus betacamelliae</t>
  </si>
  <si>
    <t>Waikavirus carotae</t>
  </si>
  <si>
    <t>Waikavirus celtis</t>
  </si>
  <si>
    <t>Waikavirus hirtae</t>
  </si>
  <si>
    <t>Waikavirus juglandis</t>
  </si>
  <si>
    <t>Waikavirus pittospori</t>
  </si>
  <si>
    <t>Waikavirus populi</t>
  </si>
  <si>
    <t>Waikavirus querci</t>
  </si>
  <si>
    <t>Waikavirus trifoccidentale</t>
  </si>
  <si>
    <t>Ritunrivirus</t>
  </si>
  <si>
    <t>Waikavirus ajugae</t>
  </si>
  <si>
    <t>Waikavirus anacycli</t>
  </si>
  <si>
    <t>Waikavirus eleocharis</t>
  </si>
  <si>
    <t>Waikavirus ligustici</t>
  </si>
  <si>
    <t>Waikavirus mertensiae</t>
  </si>
  <si>
    <t>Waikavirus pedicularis</t>
  </si>
  <si>
    <t>Waikavirus primulae</t>
  </si>
  <si>
    <t>Waikavirus ranunculi</t>
  </si>
  <si>
    <t>Waikavirus thapsiae</t>
  </si>
  <si>
    <t>Waikavirus thymi</t>
  </si>
  <si>
    <t>Waikavirus violae</t>
  </si>
  <si>
    <t>Sobemovirus CFMV</t>
  </si>
  <si>
    <t>Sobemovirus SMAMV</t>
  </si>
  <si>
    <t>Phragmivirus</t>
  </si>
  <si>
    <t>Phragmivirus phragmii</t>
  </si>
  <si>
    <t>Phragmivirus spartinae</t>
  </si>
  <si>
    <t>Potyvirus aconiti</t>
  </si>
  <si>
    <t>Potyvirus alilii</t>
  </si>
  <si>
    <t>Potyvirus catharanthiflavitessellati</t>
  </si>
  <si>
    <t>Potyvirus crocitessellati</t>
  </si>
  <si>
    <t>Potyvirus galanthi</t>
  </si>
  <si>
    <t>Potyvirus parisflavitessellati</t>
  </si>
  <si>
    <t>Potyvirus polygonatimaculae</t>
  </si>
  <si>
    <t>Potyvirus puerariae</t>
  </si>
  <si>
    <t>Orpoviricetes</t>
  </si>
  <si>
    <t>Bormycovirales</t>
  </si>
  <si>
    <t>Alphaormycoviridae</t>
  </si>
  <si>
    <t>Dormycovirus</t>
  </si>
  <si>
    <t>Dormycovirus erysiphe</t>
  </si>
  <si>
    <t>Dormycovirus phytophthorae</t>
  </si>
  <si>
    <t>Dormycovirus plasmoparae</t>
  </si>
  <si>
    <t>Phormycovirus</t>
  </si>
  <si>
    <t>Phormycovirus duphytophthorae</t>
  </si>
  <si>
    <t>Phormycovirus phytophthorae</t>
  </si>
  <si>
    <t>Phormycovirus plasmoparae</t>
  </si>
  <si>
    <t>Phormycovirus quaphytophthorae</t>
  </si>
  <si>
    <t>Phormycovirus trephytophthorae</t>
  </si>
  <si>
    <t>Phormycovirus unphytophthorae</t>
  </si>
  <si>
    <t>Bormycovirus</t>
  </si>
  <si>
    <t>Bormycovirus duphytophthorae</t>
  </si>
  <si>
    <t>Bormycovirus trephytophthorae</t>
  </si>
  <si>
    <t>Bormycovirus unphytophthorae</t>
  </si>
  <si>
    <t>Bormycovirus verticilli</t>
  </si>
  <si>
    <t>Formycovirales</t>
  </si>
  <si>
    <t>Betaormycoviridae</t>
  </si>
  <si>
    <t>Stormycovirus</t>
  </si>
  <si>
    <t>Stormycovirus alariae</t>
  </si>
  <si>
    <t>Stormycovirus starmellariae</t>
  </si>
  <si>
    <t>Vormycovirus</t>
  </si>
  <si>
    <t>Vormycovirus duerysiphe</t>
  </si>
  <si>
    <t>Vormycovirus ophiocordyceps</t>
  </si>
  <si>
    <t>Vormycovirus plasmoparae</t>
  </si>
  <si>
    <t>Vormycovirus unerysiphe</t>
  </si>
  <si>
    <t>Vormycovirus verticilli</t>
  </si>
  <si>
    <t>Gammaormycoviridae</t>
  </si>
  <si>
    <t>Hormycovirus</t>
  </si>
  <si>
    <t>Hormycovirus hortiboleti</t>
  </si>
  <si>
    <t>Tormycovirus</t>
  </si>
  <si>
    <t>Tormycovirus duaplasmoparae</t>
  </si>
  <si>
    <t>Tormycovirus erysiphe</t>
  </si>
  <si>
    <t>Tormycovirus fusarii</t>
  </si>
  <si>
    <t>Tormycovirus thrichodermae</t>
  </si>
  <si>
    <t>Tormycovirus unplasmoparae</t>
  </si>
  <si>
    <t>Semotivirus beldrosophilae</t>
  </si>
  <si>
    <t>Semotivirus certredecimum</t>
  </si>
  <si>
    <t>Semotivirus maxdrosophilae</t>
  </si>
  <si>
    <t>Semotivirus mooseanophelae</t>
  </si>
  <si>
    <t>Semotivirus ninjadrosophilae</t>
  </si>
  <si>
    <t>Semotivirus paobombycis</t>
  </si>
  <si>
    <t>Semotivirus roodrosophilae</t>
  </si>
  <si>
    <t>Semotivirus sinbadschistosomae</t>
  </si>
  <si>
    <t>Semotivirus suzutakifugu</t>
  </si>
  <si>
    <t>Semotivirus tamyantheraeae</t>
  </si>
  <si>
    <t>Semotivirus tasascaridis</t>
  </si>
  <si>
    <t>Badnavirus fatsiae</t>
  </si>
  <si>
    <t>Badnavirus tetainflatheobromae</t>
  </si>
  <si>
    <t>Badnavirus ziziphi</t>
  </si>
  <si>
    <t>Tombendovirales</t>
  </si>
  <si>
    <t>Pamosaviridae</t>
  </si>
  <si>
    <t>Papanivirus panici</t>
  </si>
  <si>
    <t>Tomosaviridae</t>
  </si>
  <si>
    <t>Virtovirus tabaci</t>
  </si>
  <si>
    <t>Tonesaviridae</t>
  </si>
  <si>
    <t>Albetovirus alphatabaci</t>
  </si>
  <si>
    <t>Albetovirus betatabaci</t>
  </si>
  <si>
    <t>Albetovirus gammatabaci</t>
  </si>
  <si>
    <t>Aumaivirus maidis</t>
  </si>
  <si>
    <t>Singelaviria</t>
  </si>
  <si>
    <t>Abadenavirae</t>
  </si>
  <si>
    <t>Produgelaviricota</t>
  </si>
  <si>
    <t>Belvinaviricetes</t>
  </si>
  <si>
    <t>Asemoviridae</t>
  </si>
  <si>
    <t>Elsinorevirus</t>
  </si>
  <si>
    <t>Elsinorevirus NO16</t>
  </si>
  <si>
    <t>Rumoivirus</t>
  </si>
  <si>
    <t>Rumoivirus VruC</t>
  </si>
  <si>
    <t>Ameliavirus</t>
  </si>
  <si>
    <t>Ameliavirus viph1008o</t>
  </si>
  <si>
    <t>Oliviavirus</t>
  </si>
  <si>
    <t>Oliviavirus viph1020o</t>
  </si>
  <si>
    <t>Merivirus</t>
  </si>
  <si>
    <t>Merivirus Cr39582</t>
  </si>
  <si>
    <t>Merivirus PM2</t>
  </si>
  <si>
    <t>Mestraviridae</t>
  </si>
  <si>
    <t>Anticleavirus</t>
  </si>
  <si>
    <t>Anticleavirus jorvik</t>
  </si>
  <si>
    <t>Polymedevirus</t>
  </si>
  <si>
    <t>Polymedevirus YY</t>
  </si>
  <si>
    <t>Parnassusviridae</t>
  </si>
  <si>
    <t>Corycianvirus</t>
  </si>
  <si>
    <t>Corycianvirus MfV</t>
  </si>
  <si>
    <t>Ocovirineae</t>
  </si>
  <si>
    <t>Hydriviridae</t>
  </si>
  <si>
    <t>Alphahydrivirus</t>
  </si>
  <si>
    <t>Alphahydrivirus permafrostis</t>
  </si>
  <si>
    <t>Orthocedratvirinae</t>
  </si>
  <si>
    <t>Alphacedratvirus aljazairmassiliense</t>
  </si>
  <si>
    <t>Alphacedratvirus francolausannense</t>
  </si>
  <si>
    <t>Orthopithovirinae</t>
  </si>
  <si>
    <t>Mriyaviricetes</t>
  </si>
  <si>
    <t>Asfivirus haemorrhagiae</t>
  </si>
  <si>
    <t>Polisuviricotina</t>
  </si>
  <si>
    <t>Aquintoviricetes</t>
  </si>
  <si>
    <t>Archintovirales</t>
  </si>
  <si>
    <t>Phypoliviridae</t>
  </si>
  <si>
    <t>Tetrivirus</t>
  </si>
  <si>
    <t>Tetrivirus crimaeaense</t>
  </si>
  <si>
    <t>Pharingeaviricetes</t>
  </si>
  <si>
    <t>Aviadenovirus cerasi</t>
  </si>
  <si>
    <t>Aviadenovirus orioli</t>
  </si>
  <si>
    <t>Aviadenovirus oti</t>
  </si>
  <si>
    <t>Aviadenovirus phalacrocoracidae</t>
  </si>
  <si>
    <t>Aviadenovirus roseae</t>
  </si>
  <si>
    <t>Barthadenovirus gerygones</t>
  </si>
  <si>
    <t>Barthadenovirus varani</t>
  </si>
  <si>
    <t>Barthadenovirus zootherae</t>
  </si>
  <si>
    <t>Barthadenovirus zootocae</t>
  </si>
  <si>
    <t>Mastadenovirus arvicolinae</t>
  </si>
  <si>
    <t>Mastadenovirus capreoli</t>
  </si>
  <si>
    <t>Mastadenovirus cardiodermatis</t>
  </si>
  <si>
    <t>Mastadenovirus desmodi</t>
  </si>
  <si>
    <t>Mastadenovirus fructus</t>
  </si>
  <si>
    <t>Mastadenovirus marmotae</t>
  </si>
  <si>
    <t>Mastadenovirus vespertilionis</t>
  </si>
  <si>
    <t>Amphintovirales</t>
  </si>
  <si>
    <t>Eupolintoviridae</t>
  </si>
  <si>
    <t>Virophaviricetes</t>
  </si>
  <si>
    <t>Prepoliviricotina</t>
  </si>
  <si>
    <t>Alphabaculovirus alterhycuneae</t>
  </si>
  <si>
    <t>Alphabaculovirus pastagnalis</t>
  </si>
  <si>
    <t>Alphabaculovirus pavitrealis</t>
  </si>
  <si>
    <t>Alphabaculovirus spocosmioidis</t>
  </si>
  <si>
    <t>Betabaculovirus psincretae</t>
  </si>
  <si>
    <t>Filamentoviridae</t>
  </si>
  <si>
    <t>Alphafilamentovirus</t>
  </si>
  <si>
    <t>Alphafilamentovirus leboulardi</t>
  </si>
  <si>
    <t>Betafilamentovirus</t>
  </si>
  <si>
    <t>Betafilamentovirus altercocongregatae</t>
  </si>
  <si>
    <t>Betafilamentovirus cocongregatae</t>
  </si>
  <si>
    <t>Eurekaviridae</t>
  </si>
  <si>
    <t>Hesperidvirus</t>
  </si>
  <si>
    <t>Hesperidvirus aureum</t>
  </si>
  <si>
    <t>Huangdiviridae</t>
  </si>
  <si>
    <t>Xuanyuanvirus</t>
  </si>
  <si>
    <t>Xuanyuanvirus yandi</t>
  </si>
  <si>
    <t>Nipumfusiviridae</t>
  </si>
  <si>
    <t>Baiafusivirus</t>
  </si>
  <si>
    <t>Baiafusivirus chesapeakense</t>
  </si>
  <si>
    <t>Baiafusivirus delawarense</t>
  </si>
  <si>
    <t>Marefusivirus</t>
  </si>
  <si>
    <t>Marefusivirus columbiaense</t>
  </si>
  <si>
    <t>Marefusivirus helgoense</t>
  </si>
  <si>
    <t>Marefusivirus jervisense</t>
  </si>
  <si>
    <t>Marefusivirus montereyense</t>
  </si>
  <si>
    <t>Marefusivirus pacificense</t>
  </si>
  <si>
    <t>Terrafusivirus</t>
  </si>
  <si>
    <t>Terrafusivirus michiganense</t>
  </si>
  <si>
    <t>Terrafusivirus tennesseense</t>
  </si>
  <si>
    <t>Yangshanfusivirus</t>
  </si>
  <si>
    <t>Yangshanfusivirus mimetica</t>
  </si>
  <si>
    <t>Obscuriviridae</t>
  </si>
  <si>
    <t>Cebaduodecimvirus</t>
  </si>
  <si>
    <t>Cebaduodecimvirus phi12auna</t>
  </si>
  <si>
    <t>Cebaduodecimvirus phi12duo</t>
  </si>
  <si>
    <t>Omtjevirus</t>
  </si>
  <si>
    <t>Omtjevirus Omtje</t>
  </si>
  <si>
    <t>Promoted</t>
  </si>
  <si>
    <t>Demoted</t>
  </si>
  <si>
    <t>Newly Promoted</t>
  </si>
  <si>
    <t>Newly Demoted</t>
  </si>
  <si>
    <t>Merged</t>
  </si>
  <si>
    <t>New Splits</t>
  </si>
  <si>
    <t>Total Taxa</t>
  </si>
  <si>
    <t>Renamed,Moved</t>
  </si>
  <si>
    <t>Renamed,Promoted</t>
  </si>
  <si>
    <t>ICVD_ID</t>
  </si>
  <si>
    <t>Change</t>
  </si>
  <si>
    <t>ICTV_ID</t>
  </si>
  <si>
    <t xml:space="preserve">The file name of the taxonomic proposal that details the justification for the last change. Linked to a download URL on the ICTV website. Usually, this will download a .zip file that can be unpacked to access the proposal document (.docx), the taxonomic change list (.xlsx) and any supporitng figures, tables or other files. </t>
  </si>
  <si>
    <t xml:space="preserve">ICTV unique identifier for the species, across releases. The ICTV_ID for a taxon only changes if the taxon is split or merged. All other changes, including moves, renames and promotions and demotions (see Change Definitions, below), will not alter this identifier. This cell is linked to the taxon details and history page for that species, on the ICTV website. </t>
  </si>
  <si>
    <t>Change Definitions</t>
  </si>
  <si>
    <t>Begomovirus abelmoschusenation</t>
  </si>
  <si>
    <t>Begomovirus abelmoschusomanense</t>
  </si>
  <si>
    <t>Begomovirus abelmoschusmaculae</t>
  </si>
  <si>
    <t>Begomovirus abelmoschusretorridi</t>
  </si>
  <si>
    <t>Begomovirus abelmoschusmexicoense</t>
  </si>
  <si>
    <t>Drulisvirus tk2018</t>
  </si>
  <si>
    <t>Fussvirus eyrgjafa</t>
  </si>
  <si>
    <t>Mtkvariviridae</t>
  </si>
  <si>
    <t>Sepahanvirus yerA41</t>
  </si>
  <si>
    <t>Mersevirus mercurialis</t>
  </si>
  <si>
    <t>Sepahanvirus GN1</t>
  </si>
  <si>
    <t>dsDNA; ssDNA</t>
  </si>
  <si>
    <t>EC 57, Birmingham, Alabama, USA, August 2025</t>
  </si>
  <si>
    <t>ICTV 2025 Master Species List (MSL41)</t>
  </si>
  <si>
    <t>Email ratification February 2026 (MSL #41)</t>
  </si>
  <si>
    <t>Yumkaaxvirus juandefucaense</t>
  </si>
  <si>
    <t>Hirszfeldviridae</t>
  </si>
  <si>
    <t>Wenzhouvirus</t>
  </si>
  <si>
    <t>Wenzhouvirus AB1</t>
  </si>
  <si>
    <t>Theraphagusvirus</t>
  </si>
  <si>
    <t>Theraphagusvirus AP22</t>
  </si>
  <si>
    <t>Anamaviridae</t>
  </si>
  <si>
    <t>Mascarenevirinae</t>
  </si>
  <si>
    <t>Oonoonbavirus</t>
  </si>
  <si>
    <t>Oonoonbavirus mar</t>
  </si>
  <si>
    <t>Oonoonbavirus VHML</t>
  </si>
  <si>
    <t>Oonoonbavirus VP85</t>
  </si>
  <si>
    <t>Alphabravovirinae</t>
  </si>
  <si>
    <t>Alvaradovirinae</t>
  </si>
  <si>
    <t>Amaduovirus</t>
  </si>
  <si>
    <t>Amaduovirus sv8324</t>
  </si>
  <si>
    <t>Zimmerviridae</t>
  </si>
  <si>
    <t>Jacobvirinae</t>
  </si>
  <si>
    <t>Chiroprhavirus</t>
  </si>
  <si>
    <t>Chiroprhavirus epitesicus</t>
  </si>
  <si>
    <t>Dinornavirus heterocapsae</t>
  </si>
  <si>
    <t>Floreoviria</t>
  </si>
  <si>
    <t>Mamastrovirus suisorientalis</t>
  </si>
  <si>
    <t>Barnavirus agarici</t>
  </si>
  <si>
    <t>Bidensovirus bombymori</t>
  </si>
  <si>
    <t>Euflavivirus</t>
  </si>
  <si>
    <t>Hepaciviridae</t>
  </si>
  <si>
    <t>Orthohepacivirus</t>
  </si>
  <si>
    <t>Orthohepacivirus equi</t>
  </si>
  <si>
    <t>Orthohepacivirus platyrrhini</t>
  </si>
  <si>
    <t>Orthohepacivirus hominis</t>
  </si>
  <si>
    <t>Orthohepacivirus colobi</t>
  </si>
  <si>
    <t>Orthohepacivirus peromysci</t>
  </si>
  <si>
    <t>Orthohepacivirus myodae</t>
  </si>
  <si>
    <t>Orthohepacivirus ratti</t>
  </si>
  <si>
    <t>Orthohepacivirus norvegici</t>
  </si>
  <si>
    <t>Orthohepacivirus rhabdomysis</t>
  </si>
  <si>
    <t>Orthohepacivirus glareoli</t>
  </si>
  <si>
    <t>Orthohepacivirus macronycteridis</t>
  </si>
  <si>
    <t>Orthohepacivirus vittatae</t>
  </si>
  <si>
    <t>Orthohepacivirus otomopis</t>
  </si>
  <si>
    <t>Orthohepacivirus bovis</t>
  </si>
  <si>
    <t>Pestiviridae</t>
  </si>
  <si>
    <t>Orthopestivirus</t>
  </si>
  <si>
    <t>Orthopestivirus ovis</t>
  </si>
  <si>
    <t>Orthopestivirus bovis</t>
  </si>
  <si>
    <t>Orthopestivirus tauri</t>
  </si>
  <si>
    <t>Orthopestivirus suis</t>
  </si>
  <si>
    <t>Hypofuvirales</t>
  </si>
  <si>
    <t>Parahypoviridae</t>
  </si>
  <si>
    <t>Efunaviria</t>
  </si>
  <si>
    <t>Volvereviria</t>
  </si>
  <si>
    <t>Microviricetes</t>
  </si>
  <si>
    <t>Bullavirales</t>
  </si>
  <si>
    <t>Eubullaviridae</t>
  </si>
  <si>
    <t>Gokushovirales</t>
  </si>
  <si>
    <t>Betagokushoviridae</t>
  </si>
  <si>
    <t>Chlamydiaunovirus</t>
  </si>
  <si>
    <t>Chlamydiaunovirus Chp1</t>
  </si>
  <si>
    <t>Chlamydiaduovirus</t>
  </si>
  <si>
    <t>Chlamydiaduovirus Chp2</t>
  </si>
  <si>
    <t>Chlamydiaduovirus CPAR39</t>
  </si>
  <si>
    <t>Chlamydiaduovirus CPG1</t>
  </si>
  <si>
    <t>Alphagokushoviridae</t>
  </si>
  <si>
    <t>Orthomivirineae</t>
  </si>
  <si>
    <t>Whispovirus xiabaidian</t>
  </si>
  <si>
    <t>Miraophiovirus</t>
  </si>
  <si>
    <t>Miraophiovirus freesiae</t>
  </si>
  <si>
    <t>Miraophiovirus lactucae</t>
  </si>
  <si>
    <t>Miraophiovirus mirafioriense</t>
  </si>
  <si>
    <t>Miraophiovirus ranunculi</t>
  </si>
  <si>
    <t>Miraophiovirus tulipae</t>
  </si>
  <si>
    <t>Penbrevirinae</t>
  </si>
  <si>
    <t>Brevipenbrevirus</t>
  </si>
  <si>
    <t>Brevipenbrevirus dipteran1</t>
  </si>
  <si>
    <t>Brevipenbrevirus dipteran2</t>
  </si>
  <si>
    <t>Hepanvirinae</t>
  </si>
  <si>
    <t>Protohepanvirus</t>
  </si>
  <si>
    <t>Protohepanvirus decapod1</t>
  </si>
  <si>
    <t>Shripenbrevirus</t>
  </si>
  <si>
    <t>Shripenbrevirus decapod1</t>
  </si>
  <si>
    <t>Miniambidensovirus orthopteran1</t>
  </si>
  <si>
    <t>Gammachlorovirus</t>
  </si>
  <si>
    <t>Alphachlorovirus</t>
  </si>
  <si>
    <t>Betachlorovirus</t>
  </si>
  <si>
    <t>Pleomoviria</t>
  </si>
  <si>
    <t>Dinodnavirus heterocapsae</t>
  </si>
  <si>
    <t>Ourmiaviridae</t>
  </si>
  <si>
    <t>Sinaivirus apis</t>
  </si>
  <si>
    <t>Sinaivirus sinaiense</t>
  </si>
  <si>
    <t>Mastadenovirus rhinolophidae</t>
  </si>
  <si>
    <t>Orthopestivirus antilocaprae</t>
  </si>
  <si>
    <t>Orthopestivirus australiaense</t>
  </si>
  <si>
    <t>Orthopestivirus giraffae</t>
  </si>
  <si>
    <t>Orthopestivirus brazilense</t>
  </si>
  <si>
    <t>Orthopestivirus aydinense</t>
  </si>
  <si>
    <t>Orthopestivirus ratti</t>
  </si>
  <si>
    <t>Orthopestivirus scrofae</t>
  </si>
  <si>
    <t>Cratervirus</t>
  </si>
  <si>
    <t>Cratervirus orchid</t>
  </si>
  <si>
    <t>Ceeteevirinae</t>
  </si>
  <si>
    <t>Sichuanvirus</t>
  </si>
  <si>
    <t>Sichuanvirus WCHABP1</t>
  </si>
  <si>
    <t>Sichuanvirus WCHABP12</t>
  </si>
  <si>
    <t>Burnvirus</t>
  </si>
  <si>
    <t>Burnvirus AbP2</t>
  </si>
  <si>
    <t>Buchnerviridae</t>
  </si>
  <si>
    <t>Jauervirus</t>
  </si>
  <si>
    <t>Jauervirus R3177</t>
  </si>
  <si>
    <t>Santaclaravirinae</t>
  </si>
  <si>
    <t>Westmeadvirus</t>
  </si>
  <si>
    <t>Westmeadvirus sour</t>
  </si>
  <si>
    <t>Mastadenovirus asiense</t>
  </si>
  <si>
    <t>Hamavirinae</t>
  </si>
  <si>
    <t>Ichthamavirus</t>
  </si>
  <si>
    <t>Ichthamavirus syngnathid1</t>
  </si>
  <si>
    <t>Chaphamavirus</t>
  </si>
  <si>
    <t>Chaphamavirus ungulate1</t>
  </si>
  <si>
    <t>Chaphamavirus rodent1</t>
  </si>
  <si>
    <t>Chaphamavirus rodent2</t>
  </si>
  <si>
    <t>Chaphamavirus carnivoran1</t>
  </si>
  <si>
    <t>Chaphamavirus chiropteran1</t>
  </si>
  <si>
    <t>Chaphamavirus galliform1</t>
  </si>
  <si>
    <t>Chaphamavirus galliform2</t>
  </si>
  <si>
    <t>Chaphamavirus galliform3</t>
  </si>
  <si>
    <t>Frobishervirinae</t>
  </si>
  <si>
    <t>Luriaviridae</t>
  </si>
  <si>
    <t>Mycopleornaviricetes</t>
  </si>
  <si>
    <t>Xenadelphovirales</t>
  </si>
  <si>
    <t>Multimycovirus</t>
  </si>
  <si>
    <t>Multimycovirus aspergilli</t>
  </si>
  <si>
    <t>Multimycovirus aspelaei</t>
  </si>
  <si>
    <t>Multimycovirus botryosphaeriae</t>
  </si>
  <si>
    <t>Multimycovirus magnaporthis</t>
  </si>
  <si>
    <t>Plurimycovirus</t>
  </si>
  <si>
    <t>Plurimycovirus penidigitati</t>
  </si>
  <si>
    <t>Kampevirus</t>
  </si>
  <si>
    <t>Kampevirus apricot</t>
  </si>
  <si>
    <t>Rhizouliviridae</t>
  </si>
  <si>
    <t>Chiroprhavirus rhinolophus</t>
  </si>
  <si>
    <t>Chaphamavirus carnivoran2</t>
  </si>
  <si>
    <t>Chaphamavirus dasyurid1</t>
  </si>
  <si>
    <t>Chaphamavirus dasyurid2</t>
  </si>
  <si>
    <t>Chaphamavirus dasyurid3</t>
  </si>
  <si>
    <t>Chaphamavirus galliform4</t>
  </si>
  <si>
    <t>Chaphamavirus galliform5</t>
  </si>
  <si>
    <t>Chaphamavirus primate1</t>
  </si>
  <si>
    <t>Chaphamavirus psittacine1</t>
  </si>
  <si>
    <t>Waldeevirinae</t>
  </si>
  <si>
    <t>Gaffkyvirinae</t>
  </si>
  <si>
    <t>Gebvirinae</t>
  </si>
  <si>
    <t>Cervivirus</t>
  </si>
  <si>
    <t>Cervivirus coli</t>
  </si>
  <si>
    <t>Chiroprhavirus mediterranean</t>
  </si>
  <si>
    <t>Chiroprhavirus yinshui</t>
  </si>
  <si>
    <t>Epsilonnudivirus</t>
  </si>
  <si>
    <t>Epsilonnudivirus cracrangonis</t>
  </si>
  <si>
    <t>Taduhovirus</t>
  </si>
  <si>
    <t>Taduhovirus hiberniae</t>
  </si>
  <si>
    <t>Snuvovirus</t>
  </si>
  <si>
    <t>Snuvovirus hominis</t>
  </si>
  <si>
    <t>Ibumevirus</t>
  </si>
  <si>
    <t>Ibumevirus hominis</t>
  </si>
  <si>
    <t>Sulruvirus</t>
  </si>
  <si>
    <t>Sulruvirus americanus</t>
  </si>
  <si>
    <t>Darmviridae</t>
  </si>
  <si>
    <t>Horekuvirus</t>
  </si>
  <si>
    <t>Horekuvirus hiberniae</t>
  </si>
  <si>
    <t>Ildiruevirus</t>
  </si>
  <si>
    <t>Ildiruevirus oralis</t>
  </si>
  <si>
    <t>Ildiruevirus coli</t>
  </si>
  <si>
    <t>Ildiruevirus splanchnicus</t>
  </si>
  <si>
    <t>Horekuvirus hominis</t>
  </si>
  <si>
    <t>Ponsivirus</t>
  </si>
  <si>
    <t>Ponsivirus faecalis</t>
  </si>
  <si>
    <t>Shuolduvirus</t>
  </si>
  <si>
    <t>Shuolduvirus copri</t>
  </si>
  <si>
    <t>Scendivirus</t>
  </si>
  <si>
    <t>Scendivirus animalis</t>
  </si>
  <si>
    <t>Smehivirus</t>
  </si>
  <si>
    <t>Smehivirus intestinihominis</t>
  </si>
  <si>
    <t>Sdahravirus</t>
  </si>
  <si>
    <t>Sdahravirus coli</t>
  </si>
  <si>
    <t>Trofluuvirus</t>
  </si>
  <si>
    <t>Trofluuvirus faecalis</t>
  </si>
  <si>
    <t>Shelovirus</t>
  </si>
  <si>
    <t>Shelovirus americanus</t>
  </si>
  <si>
    <t>Shelovirus intestinalis</t>
  </si>
  <si>
    <t>Wiibonovirus</t>
  </si>
  <si>
    <t>Wiibonovirus intestinalis</t>
  </si>
  <si>
    <t>Arseivirus</t>
  </si>
  <si>
    <t>Arseivirus communis</t>
  </si>
  <si>
    <t>Flerehovirus</t>
  </si>
  <si>
    <t>Flerehovirus oralis</t>
  </si>
  <si>
    <t>Snepbuvirus</t>
  </si>
  <si>
    <t>Snepbuvirus splanchnicus</t>
  </si>
  <si>
    <t>Brisouvirinae</t>
  </si>
  <si>
    <t>Orthopestivirus steiermarkense</t>
  </si>
  <si>
    <t>Orthopestivirus phocoenae</t>
  </si>
  <si>
    <t>Orthopestivirus caprinae</t>
  </si>
  <si>
    <t>Orthopestivirus agnis</t>
  </si>
  <si>
    <t>Orthopestivirus manidae</t>
  </si>
  <si>
    <t>Orthopestivirus niviventris</t>
  </si>
  <si>
    <t>Orthopestivirus apodemuris</t>
  </si>
  <si>
    <t>Orthopestivirus scotophili</t>
  </si>
  <si>
    <t>Metallovirinae</t>
  </si>
  <si>
    <t>Protometallovirus</t>
  </si>
  <si>
    <t>Protometallovirus decapod1</t>
  </si>
  <si>
    <t>Chaphamavirus perciform1</t>
  </si>
  <si>
    <t>Chaphamavirus primate2</t>
  </si>
  <si>
    <t>Chaphamavirus carnivoran3</t>
  </si>
  <si>
    <t>Chaphamavirus anseriform3</t>
  </si>
  <si>
    <t>Chaphamavirus anseriform4</t>
  </si>
  <si>
    <t>Chaphamavirus anseriform2</t>
  </si>
  <si>
    <t>Chaphamavirus anseriform1</t>
  </si>
  <si>
    <t>Chaphamavirus anseriform5</t>
  </si>
  <si>
    <t>Chaphamavirus anseriform6</t>
  </si>
  <si>
    <t>Chaphamavirus gruiform1</t>
  </si>
  <si>
    <t>Chaphamavirus gruiform2</t>
  </si>
  <si>
    <t>Chaphamavirus gruiform3</t>
  </si>
  <si>
    <t>Chaphamavirus gruiform4</t>
  </si>
  <si>
    <t>Chaphamavirus strigiform1</t>
  </si>
  <si>
    <t>Chaphamavirus psittacine2</t>
  </si>
  <si>
    <t>Chaphamavirus avian1</t>
  </si>
  <si>
    <t>Chiroprhavirus wufeng</t>
  </si>
  <si>
    <t>Paramivirineae</t>
  </si>
  <si>
    <t>Chaphamavirus galliform6</t>
  </si>
  <si>
    <t>Chaphamavirus galliform7</t>
  </si>
  <si>
    <t>Chaphamavirus pholidota1</t>
  </si>
  <si>
    <t>Chaphamavirus chiropteran2</t>
  </si>
  <si>
    <t>Brevipenbrevirus orthopteran1</t>
  </si>
  <si>
    <t>Miraophiovirus capsici</t>
  </si>
  <si>
    <t>Alphapithovirus siberiense</t>
  </si>
  <si>
    <t>Deltaormycoviridae</t>
  </si>
  <si>
    <t>Nigolovirus</t>
  </si>
  <si>
    <t>Nigolovirus 219</t>
  </si>
  <si>
    <t>Phargevirus</t>
  </si>
  <si>
    <t>Phargevirus 213</t>
  </si>
  <si>
    <t>Ramphavirus</t>
  </si>
  <si>
    <t>Ramphavirus 80</t>
  </si>
  <si>
    <t>Pilosavirus</t>
  </si>
  <si>
    <t>Pilosavirus PMBT54</t>
  </si>
  <si>
    <t>Pythonevirus</t>
  </si>
  <si>
    <t>Pythonevirus WXY</t>
  </si>
  <si>
    <t>Serpentivirus</t>
  </si>
  <si>
    <t>Serpentivirus dolos</t>
  </si>
  <si>
    <t>Scytalavirus</t>
  </si>
  <si>
    <t>Scytalavirus 6</t>
  </si>
  <si>
    <t>Senectutivirus</t>
  </si>
  <si>
    <t>Senectutivirus 138</t>
  </si>
  <si>
    <t>Femenvirus</t>
  </si>
  <si>
    <t>Femenvirus 11</t>
  </si>
  <si>
    <t>Femenvirus 13</t>
  </si>
  <si>
    <t>Vittavirus</t>
  </si>
  <si>
    <t>Vittavirus Vaf1</t>
  </si>
  <si>
    <t>Amentovirus</t>
  </si>
  <si>
    <t>Amentovirus 10</t>
  </si>
  <si>
    <t>Amentovirus 39</t>
  </si>
  <si>
    <t>Amentovirus 42</t>
  </si>
  <si>
    <t>Fasceasvirus</t>
  </si>
  <si>
    <t>Fasceasvirus 1</t>
  </si>
  <si>
    <t>Fasceasvirus 25</t>
  </si>
  <si>
    <t>Fasceasvirus 30</t>
  </si>
  <si>
    <t>Adiligaturavirus</t>
  </si>
  <si>
    <t>Adiligaturavirus 24</t>
  </si>
  <si>
    <t>Antiavirus</t>
  </si>
  <si>
    <t>Antiavirus 20</t>
  </si>
  <si>
    <t>Aclydivirus</t>
  </si>
  <si>
    <t>Aclydivirus 6</t>
  </si>
  <si>
    <t>Strophivirus</t>
  </si>
  <si>
    <t>Strophivirus 33</t>
  </si>
  <si>
    <t>Strophivirus 31</t>
  </si>
  <si>
    <t>Strophivirus 32</t>
  </si>
  <si>
    <t>Strophivirus 36</t>
  </si>
  <si>
    <t>Strophivirus 37</t>
  </si>
  <si>
    <t>Strophivirus 34</t>
  </si>
  <si>
    <t>Meandervirus</t>
  </si>
  <si>
    <t>Meandervirus 44</t>
  </si>
  <si>
    <t>Meandervirus 40</t>
  </si>
  <si>
    <t>Semitavirus</t>
  </si>
  <si>
    <t>Semitavirus 43</t>
  </si>
  <si>
    <t>Itinerivirus</t>
  </si>
  <si>
    <t>Itinerivirus 12</t>
  </si>
  <si>
    <t>Actovirus</t>
  </si>
  <si>
    <t>Actovirus 45</t>
  </si>
  <si>
    <t>Actovirus 41</t>
  </si>
  <si>
    <t>Aspidivirus</t>
  </si>
  <si>
    <t>Aspidivirus 14</t>
  </si>
  <si>
    <t>Aspidivirus 19</t>
  </si>
  <si>
    <t>Galbavirus</t>
  </si>
  <si>
    <t>Galbavirus 17</t>
  </si>
  <si>
    <t>Reticulivirus</t>
  </si>
  <si>
    <t>Reticulivirus 11</t>
  </si>
  <si>
    <t>Pubesvirus</t>
  </si>
  <si>
    <t>Pubesvirus 29</t>
  </si>
  <si>
    <t>Prolivirus</t>
  </si>
  <si>
    <t>Prolivirus 37</t>
  </si>
  <si>
    <t>Plantarivirus</t>
  </si>
  <si>
    <t>Plantarivirus 147</t>
  </si>
  <si>
    <t>Propagovirus</t>
  </si>
  <si>
    <t>Propagovirus nuni</t>
  </si>
  <si>
    <t>Sarmentivirus</t>
  </si>
  <si>
    <t>Sarmentivirus 25</t>
  </si>
  <si>
    <t>Acontivirus</t>
  </si>
  <si>
    <t>Acontivirus 21</t>
  </si>
  <si>
    <t>Abaestuovirus</t>
  </si>
  <si>
    <t>Abaestuovirus 8</t>
  </si>
  <si>
    <t>Xiphivirus</t>
  </si>
  <si>
    <t>Xiphivirus 2</t>
  </si>
  <si>
    <t>Catenatiovirus</t>
  </si>
  <si>
    <t>Catenatiovirus 32</t>
  </si>
  <si>
    <t>Staminivirus 6</t>
  </si>
  <si>
    <t>Circumitovirus</t>
  </si>
  <si>
    <t>Circumitovirus 48</t>
  </si>
  <si>
    <t>Viscerivirus</t>
  </si>
  <si>
    <t>Viscerivirus 525</t>
  </si>
  <si>
    <t>Thomixvirus zuza</t>
  </si>
  <si>
    <t>Basaltiviridae</t>
  </si>
  <si>
    <t>Tsigisvirus</t>
  </si>
  <si>
    <t>Tsigisvirus beckeri</t>
  </si>
  <si>
    <t>Tsigisvirus orcuttae</t>
  </si>
  <si>
    <t>Seadebiviridae</t>
  </si>
  <si>
    <t>Hacxwiqakvirus</t>
  </si>
  <si>
    <t>Hacxwiqakvirus coweni</t>
  </si>
  <si>
    <t>Hacxwiqakvirus wheati</t>
  </si>
  <si>
    <t>Hacxwiqakvirus orphanae</t>
  </si>
  <si>
    <t>Altumviridae</t>
  </si>
  <si>
    <t>Calorvirus</t>
  </si>
  <si>
    <t>Calorvirus huberae</t>
  </si>
  <si>
    <t>Calorvirus bachi</t>
  </si>
  <si>
    <t>Jasonviridae</t>
  </si>
  <si>
    <t>Obscurovirus</t>
  </si>
  <si>
    <t>Obscurovirus verheini</t>
  </si>
  <si>
    <t>Infernusviridae</t>
  </si>
  <si>
    <t>Tanggwanvirus</t>
  </si>
  <si>
    <t>Tanggwanvirus davisi</t>
  </si>
  <si>
    <t>Tenebraviridae</t>
  </si>
  <si>
    <t>Caldusvirus</t>
  </si>
  <si>
    <t>Caldusvirus fisheri</t>
  </si>
  <si>
    <t>Siouxcentervirus</t>
  </si>
  <si>
    <t>Siouxcentervirus jacoren57</t>
  </si>
  <si>
    <t>Merionvirus</t>
  </si>
  <si>
    <t>Merionvirus boshow</t>
  </si>
  <si>
    <t>Alphabaculovirus calabietis</t>
  </si>
  <si>
    <t>Alphabaculovirus mysequacis</t>
  </si>
  <si>
    <t>Alphabaculovirus plidaeusalis</t>
  </si>
  <si>
    <t>Betabaculovirus plidaeusalis</t>
  </si>
  <si>
    <t>Artemrhavirus</t>
  </si>
  <si>
    <t>Artemrhavirus blanca</t>
  </si>
  <si>
    <t>Sigmavirus cucurbitae</t>
  </si>
  <si>
    <t>Sigmavirus bangalore</t>
  </si>
  <si>
    <t>Merhavirus corixo</t>
  </si>
  <si>
    <t>Ohlsrhavirus bafoussam</t>
  </si>
  <si>
    <t>Ohlsrhavirus halifaxii</t>
  </si>
  <si>
    <t>Ephemerovirus hefer</t>
  </si>
  <si>
    <t>Ephemerovirus hardee</t>
  </si>
  <si>
    <t>Alpharicinrhavirus marginatum</t>
  </si>
  <si>
    <t>Alpharicinrhavirus isaaci</t>
  </si>
  <si>
    <t>Betathriprhavirus pamplona</t>
  </si>
  <si>
    <t>Betathriprhavirus oviedo</t>
  </si>
  <si>
    <t>Lyssavirus phala</t>
  </si>
  <si>
    <t>Ledantevirus hipposideros</t>
  </si>
  <si>
    <t>Ophiovirus allii</t>
  </si>
  <si>
    <t>Ophiovirus arctotis</t>
  </si>
  <si>
    <t>Ophiovirus chrysanthemi</t>
  </si>
  <si>
    <t>Ophiovirus citrulli</t>
  </si>
  <si>
    <t>Ophiovirus daturae</t>
  </si>
  <si>
    <t>Ophiovirus gentianae</t>
  </si>
  <si>
    <t>Ophiovirus osteospermi</t>
  </si>
  <si>
    <t>Miraophiovirus caladeniae</t>
  </si>
  <si>
    <t>Miraophiovirus carotae</t>
  </si>
  <si>
    <t>Miraophiovirus cyrtomii</t>
  </si>
  <si>
    <t>Miraophiovirus erythranthis</t>
  </si>
  <si>
    <t>Miraophiovirus lepidoziae</t>
  </si>
  <si>
    <t>Miraophiovirus violae</t>
  </si>
  <si>
    <t>Miraophiovirus xerochrysi</t>
  </si>
  <si>
    <t>Avastrovirus marecae</t>
  </si>
  <si>
    <t>Danacaviridae</t>
  </si>
  <si>
    <t>Gablavirus</t>
  </si>
  <si>
    <t>Gablavirus danakilense</t>
  </si>
  <si>
    <t>Dallocaviridae</t>
  </si>
  <si>
    <t>Kalovirus</t>
  </si>
  <si>
    <t>Kalovirus danakilense</t>
  </si>
  <si>
    <t>Assalcaviridae</t>
  </si>
  <si>
    <t>Karumvirus</t>
  </si>
  <si>
    <t>Karumvirus danakilense</t>
  </si>
  <si>
    <t>Quasboviridae</t>
  </si>
  <si>
    <t>Cusbovirus</t>
  </si>
  <si>
    <t>Cusbovirus danakilense</t>
  </si>
  <si>
    <t>Gulliviridae</t>
  </si>
  <si>
    <t>Lemuelvirus</t>
  </si>
  <si>
    <t>Lemuelvirus danakilense</t>
  </si>
  <si>
    <t>Latyvirus</t>
  </si>
  <si>
    <t>Latyvirus nanohalovivens</t>
  </si>
  <si>
    <t>Lilliviridae</t>
  </si>
  <si>
    <t>Mildendovirus</t>
  </si>
  <si>
    <t>Mildendovirus danakilense</t>
  </si>
  <si>
    <t>Blefusviridae</t>
  </si>
  <si>
    <t>Wecalvirus</t>
  </si>
  <si>
    <t>Wecalvirus danakilense</t>
  </si>
  <si>
    <t>Saladoviridae</t>
  </si>
  <si>
    <t>Crypovirus</t>
  </si>
  <si>
    <t>Crypovirus alicantense</t>
  </si>
  <si>
    <t>Crypovirus chilense</t>
  </si>
  <si>
    <t>Morpovirus</t>
  </si>
  <si>
    <t>Morpovirus danakilense</t>
  </si>
  <si>
    <t>Traglyvirus</t>
  </si>
  <si>
    <t>Traglyvirus danakilense</t>
  </si>
  <si>
    <t>Haroovirus</t>
  </si>
  <si>
    <t>Haroovirus danakilense</t>
  </si>
  <si>
    <t>Ethicavirus</t>
  </si>
  <si>
    <t>Ethicavirus danakilense</t>
  </si>
  <si>
    <t>Steinhofvirus SE2</t>
  </si>
  <si>
    <t>Amaduovirus AMA2</t>
  </si>
  <si>
    <t>Nyaakvirus</t>
  </si>
  <si>
    <t>Nyaakvirus tuull</t>
  </si>
  <si>
    <t>Nyaakvirus Axy06</t>
  </si>
  <si>
    <t>Nyaakvirus ehaak</t>
  </si>
  <si>
    <t>Nyaakvirus emuu</t>
  </si>
  <si>
    <t>Nyaakvirus ama1</t>
  </si>
  <si>
    <t>Nyaakvirus maay</t>
  </si>
  <si>
    <t>Nyaakvirus Axy14</t>
  </si>
  <si>
    <t>Nyaakvirus nyaak</t>
  </si>
  <si>
    <t>Nyaakvirus ART</t>
  </si>
  <si>
    <t>Alphanudivirus apimelliferae</t>
  </si>
  <si>
    <t>Gammanudivirus memercanariae</t>
  </si>
  <si>
    <t>Gammanudivirus casapidi</t>
  </si>
  <si>
    <t>Gammanudivirus marosenbergii</t>
  </si>
  <si>
    <t>Gammanudivirus arapsonii</t>
  </si>
  <si>
    <t>Gammanudivirus pevannamei</t>
  </si>
  <si>
    <t>Epsilonnudivirus dikhaemobaphes</t>
  </si>
  <si>
    <t>Epsilonnudivirus faxopropinqui</t>
  </si>
  <si>
    <t>Epsilonnudivirus faxovirilis</t>
  </si>
  <si>
    <t>Epsilonnudivirus faxorustici</t>
  </si>
  <si>
    <t>Zetanudivirus</t>
  </si>
  <si>
    <t>Zetanudivirus hespinigeri</t>
  </si>
  <si>
    <t>Zetanudivirus laperplexi</t>
  </si>
  <si>
    <t>Zetanudivirus cucafricani</t>
  </si>
  <si>
    <t>Zetanudivirus echiclaytoni</t>
  </si>
  <si>
    <t>Zetanudivirus fraroseicapillae</t>
  </si>
  <si>
    <t>Zetanudivirus myptilorhynchi</t>
  </si>
  <si>
    <t>Crustavirus jasusedwardsii</t>
  </si>
  <si>
    <t>Allexivirus sauroandrogyni</t>
  </si>
  <si>
    <t>Mamastrovirus suisencephalomyelitidis</t>
  </si>
  <si>
    <t>Mamastrovirus suisvulgaris</t>
  </si>
  <si>
    <t>Mamastrovirus rodentiamericaense</t>
  </si>
  <si>
    <t>Mamastrovirus rattorientalis</t>
  </si>
  <si>
    <t>Mamastrovirus bovisamericaense</t>
  </si>
  <si>
    <t>Mamastrovirus bubali</t>
  </si>
  <si>
    <t>Mamastrovirus bovisorientalis</t>
  </si>
  <si>
    <t>Mamastrovirus bovisencephalitidis</t>
  </si>
  <si>
    <t>Salinicovirales</t>
  </si>
  <si>
    <t>Halicoviridae</t>
  </si>
  <si>
    <t>Ertavirus</t>
  </si>
  <si>
    <t>Ertavirus danakilense</t>
  </si>
  <si>
    <t>Ducavirales</t>
  </si>
  <si>
    <t>Nanicoviridae</t>
  </si>
  <si>
    <t>Alevirus</t>
  </si>
  <si>
    <t>Alevirus danakilense</t>
  </si>
  <si>
    <t>Bivalveiridovirus</t>
  </si>
  <si>
    <t>Bivalveiridovirus cerastoderma1</t>
  </si>
  <si>
    <t>Badnavirus urticae</t>
  </si>
  <si>
    <t>Paslahepevirus crocidurae</t>
  </si>
  <si>
    <t>Betapleolipovirus danakilense</t>
  </si>
  <si>
    <t>Nanopleoviridae</t>
  </si>
  <si>
    <t>Milaagivirus</t>
  </si>
  <si>
    <t>Milaagivirus danakilense</t>
  </si>
  <si>
    <t>Shangdongvirus baskent</t>
  </si>
  <si>
    <t>Shangdongvirus kolkata</t>
  </si>
  <si>
    <t>Shangdongvirus braunschweig</t>
  </si>
  <si>
    <t>Mastadenovirus hylobatidae</t>
  </si>
  <si>
    <t>Mastadenovirus pollicis</t>
  </si>
  <si>
    <t>Mastadenovirus bestiae</t>
  </si>
  <si>
    <t>Mastadenovirus aethiopiense</t>
  </si>
  <si>
    <t>Mastadenovirus sanguineicordis</t>
  </si>
  <si>
    <t>Mastadenovirus geladae</t>
  </si>
  <si>
    <t>Mastadenovirus mastomysis</t>
  </si>
  <si>
    <t>Mastadenovirus eliomysis</t>
  </si>
  <si>
    <t>Mastadenovirus rattasiense</t>
  </si>
  <si>
    <t>Mastadenovirus eothenomysis</t>
  </si>
  <si>
    <t>Mastadenovirus kuhlii</t>
  </si>
  <si>
    <t>Mastadenovirus ferrumequini</t>
  </si>
  <si>
    <t>Mastadenovirus noctulae</t>
  </si>
  <si>
    <t>Mastadenovirus portugalense</t>
  </si>
  <si>
    <t>Mastadenovirus himalaiense</t>
  </si>
  <si>
    <t>Mastadenovirus arundinis</t>
  </si>
  <si>
    <t>Siadenovirus columbae</t>
  </si>
  <si>
    <t>Siadenovirus sulawense</t>
  </si>
  <si>
    <t>Siadenovirus coturnicis</t>
  </si>
  <si>
    <t>Aviadenovirus cinerei</t>
  </si>
  <si>
    <t>Crocevirus</t>
  </si>
  <si>
    <t>Crocevirus donghaiense</t>
  </si>
  <si>
    <t>Coroavirus crysecense</t>
  </si>
  <si>
    <t>Copasivirus macbelense</t>
  </si>
  <si>
    <t>Copasivirus macnatense</t>
  </si>
  <si>
    <t>Copasivirus macsubense</t>
  </si>
  <si>
    <t>Robevirus illinense</t>
  </si>
  <si>
    <t>Cilevirus chilense</t>
  </si>
  <si>
    <t>Blunervirus cinnamomi</t>
  </si>
  <si>
    <t>Blunervirus torreyae</t>
  </si>
  <si>
    <t>Blunervirus chrysanthemi</t>
  </si>
  <si>
    <t>Blunervirus cupressus</t>
  </si>
  <si>
    <t>Blunervirus festucae</t>
  </si>
  <si>
    <t>Blunervirus quercus</t>
  </si>
  <si>
    <t>Blunervirus portulacae</t>
  </si>
  <si>
    <t>Blunervirus liquidambarum</t>
  </si>
  <si>
    <t>Blunervirus tritici</t>
  </si>
  <si>
    <t>Blunervirus paulowniae</t>
  </si>
  <si>
    <t>Blunervirus ulmi</t>
  </si>
  <si>
    <t>Blunervirus mali</t>
  </si>
  <si>
    <t>Xigoviridae</t>
  </si>
  <si>
    <t>Ispindelvirus</t>
  </si>
  <si>
    <t>Ispindelvirus danakilense</t>
  </si>
  <si>
    <t>Lomiviridae</t>
  </si>
  <si>
    <t>Gomizavirus</t>
  </si>
  <si>
    <t>Gomizavirus danakilense</t>
  </si>
  <si>
    <t>Gomizavirus assalense</t>
  </si>
  <si>
    <t>Aussievirus</t>
  </si>
  <si>
    <t>Aussievirus aussie</t>
  </si>
  <si>
    <t>Aussievirus stopsmel</t>
  </si>
  <si>
    <t>Brevipenbrevirus orthopteran2</t>
  </si>
  <si>
    <t>Chaphamavirus pelecaniform1</t>
  </si>
  <si>
    <t>Chaphamavirus galliform8</t>
  </si>
  <si>
    <t>Chaphamavirus anseriform7</t>
  </si>
  <si>
    <t>Chaphamavirus anseriform8</t>
  </si>
  <si>
    <t>Chaphamavirus anseriform9</t>
  </si>
  <si>
    <t>Chaphamavirus anseriform10</t>
  </si>
  <si>
    <t>Chaphamavirus anseriform11</t>
  </si>
  <si>
    <t>Chaphamavirus passeriform1</t>
  </si>
  <si>
    <t>Chaphamavirus passeriform2</t>
  </si>
  <si>
    <t>Chaphamavirus passeriform3</t>
  </si>
  <si>
    <t>Chaphamavirus passeriform4</t>
  </si>
  <si>
    <t>Chaphamavirus passeriform5</t>
  </si>
  <si>
    <t>Chaphamavirus passeriform6</t>
  </si>
  <si>
    <t>Chaphamavirus passeriform7</t>
  </si>
  <si>
    <t>Chaphamavirus passeriform8</t>
  </si>
  <si>
    <t>Chaphamavirus passeriform9</t>
  </si>
  <si>
    <t>Chaphamavirus passeriform10</t>
  </si>
  <si>
    <t>Chaphamavirus passeriform11</t>
  </si>
  <si>
    <t>Chaphamavirus passeriform12</t>
  </si>
  <si>
    <t>Chaphamavirus passeriform13</t>
  </si>
  <si>
    <t>Chaphamavirus passeriform14</t>
  </si>
  <si>
    <t>Chaphamavirus passeriform15</t>
  </si>
  <si>
    <t>Chaphamavirus passeriform16</t>
  </si>
  <si>
    <t>Chaphamavirus passeriform17</t>
  </si>
  <si>
    <t>Chaphamavirus psittacine3</t>
  </si>
  <si>
    <t>Chaphamavirus gruiform5</t>
  </si>
  <si>
    <t>Chaphamavirus pelicaniform2</t>
  </si>
  <si>
    <t>Chaphamavirus gruiform6</t>
  </si>
  <si>
    <t>Chaphamavirus carnivoran4</t>
  </si>
  <si>
    <t>Chaphamavirus carnivoran5</t>
  </si>
  <si>
    <t>Chaphamavirus chiropteran3</t>
  </si>
  <si>
    <t>Chaphamavirus eulipotyphla1</t>
  </si>
  <si>
    <t>Chaphamavirus psittacine4</t>
  </si>
  <si>
    <t>Chaphamavirus squamatid1</t>
  </si>
  <si>
    <t>Embehamavirus</t>
  </si>
  <si>
    <t>Embehamavirus passeriform1</t>
  </si>
  <si>
    <t>Coluhamavirus</t>
  </si>
  <si>
    <t>Coluhamavirus columbiform1</t>
  </si>
  <si>
    <t>Diciambidensovirus incertum2</t>
  </si>
  <si>
    <t>Ambiguiviridae</t>
  </si>
  <si>
    <t>Alphambiguivirus</t>
  </si>
  <si>
    <t>Alphambiguivirus alternariae</t>
  </si>
  <si>
    <t>Alphambiguivirus botriensis</t>
  </si>
  <si>
    <t>Alphambiguivirus colletotrichae</t>
  </si>
  <si>
    <t>Alphambiguivirus curvulariae</t>
  </si>
  <si>
    <t>Alphambiguivirus diaporthensis</t>
  </si>
  <si>
    <t>Alphambiguivirus diplodiae</t>
  </si>
  <si>
    <t>Alphambiguivirus alphaerysiphae</t>
  </si>
  <si>
    <t>Alphambiguivirus betaerysphae</t>
  </si>
  <si>
    <t>Alphambiguivirus gammaerysiphae</t>
  </si>
  <si>
    <t>Alphambiguivirus deltaerysiphae</t>
  </si>
  <si>
    <t>Alphambiguivirus alphasetosphaerae</t>
  </si>
  <si>
    <t>Alphambiguivirus fusarii</t>
  </si>
  <si>
    <t>Alphambiguivirus guiyanense</t>
  </si>
  <si>
    <t>Alphambiguivirus alphaviticolae</t>
  </si>
  <si>
    <t>Alphambiguivirus betaviticolae</t>
  </si>
  <si>
    <t>Alphambiguivirus magnaporthensis</t>
  </si>
  <si>
    <t>Alphambiguivirus penicilliae</t>
  </si>
  <si>
    <t>Alphambiguivirus periconiae</t>
  </si>
  <si>
    <t>Alphambiguivirus phomae</t>
  </si>
  <si>
    <t>Alphambiguivirus plasmoporae</t>
  </si>
  <si>
    <t>Alphambiguivirus ixodidae</t>
  </si>
  <si>
    <t>Alphambiguivirus alphahoplandiae</t>
  </si>
  <si>
    <t>Alphambiguivirus betahoplandiae</t>
  </si>
  <si>
    <t>Alphambiguivirus gammahoplandiae</t>
  </si>
  <si>
    <t>Alphambiguivirus ripopyrdae</t>
  </si>
  <si>
    <t>Alphambiguivirus betasetosphaerae</t>
  </si>
  <si>
    <t>Alphambiguivirus trichodermae</t>
  </si>
  <si>
    <t>Alphambiguivirus alphaverticillii</t>
  </si>
  <si>
    <t>Alphambiguivirus betaverticillii</t>
  </si>
  <si>
    <t>Betambiguivirus</t>
  </si>
  <si>
    <t>Betambiguivirus diaporthensis</t>
  </si>
  <si>
    <t>Betambiguivirus glycineae</t>
  </si>
  <si>
    <t>Betambiguivirus oryzae</t>
  </si>
  <si>
    <t>Betambiguivirus alphaviticolae</t>
  </si>
  <si>
    <t>Betambiguivirus betaviticolae</t>
  </si>
  <si>
    <t>Betambiguivirus nigrosporae</t>
  </si>
  <si>
    <t>Betambiguivirus alphabotriensis</t>
  </si>
  <si>
    <t>Betambiguivirus sclerotiniae</t>
  </si>
  <si>
    <t>Betambiguivirus betabotriensis</t>
  </si>
  <si>
    <t>Gammambiguivirus</t>
  </si>
  <si>
    <t>Gammambiguivirus erysiphae</t>
  </si>
  <si>
    <t>Gammambiguivirus phomae</t>
  </si>
  <si>
    <t>Gammambiguivirus alphamacrophominae</t>
  </si>
  <si>
    <t>Gammambiguivirus betamacrophominae</t>
  </si>
  <si>
    <t>Peropuvirus crocidurae</t>
  </si>
  <si>
    <t>Benyvirus tritici</t>
  </si>
  <si>
    <t>Yamazakiviridae</t>
  </si>
  <si>
    <t>Kodayamazakivirus</t>
  </si>
  <si>
    <t>Kodayamazakivirus kyodaii</t>
  </si>
  <si>
    <t>Slezavirus</t>
  </si>
  <si>
    <t>Slezavirus Ab1052phi</t>
  </si>
  <si>
    <t>Olaviavirus</t>
  </si>
  <si>
    <t>Olaviavirus phi5013M1</t>
  </si>
  <si>
    <t>Olaviavirus phi4197</t>
  </si>
  <si>
    <t>Olaviavirus phi5013M2</t>
  </si>
  <si>
    <t>Olaviavirus Ab11510phi</t>
  </si>
  <si>
    <t>Olaviavirus phi503811536</t>
  </si>
  <si>
    <t>Olaviavirus phi503811551</t>
  </si>
  <si>
    <t>Valdenburkvirus</t>
  </si>
  <si>
    <t>Valdenburkvirus Acba23</t>
  </si>
  <si>
    <t>Svidnicavirus</t>
  </si>
  <si>
    <t>Svidnicavirus Ftm</t>
  </si>
  <si>
    <t>Svidnicavirus Eva</t>
  </si>
  <si>
    <t>Lubinvirus</t>
  </si>
  <si>
    <t>Lubinvirus Ab16562</t>
  </si>
  <si>
    <t>Vieuvirus A24903</t>
  </si>
  <si>
    <t>Polymycovirus aspeflavi</t>
  </si>
  <si>
    <t>Polymycovirus metarhizae</t>
  </si>
  <si>
    <t>Polymycovirus turcicalternatae</t>
  </si>
  <si>
    <t>Polymycovirus erynecati</t>
  </si>
  <si>
    <t>Multimycovirus secuphyllostictae</t>
  </si>
  <si>
    <t>Multimycovirus priphyllostictae</t>
  </si>
  <si>
    <t>Multimycovirus metabrunnei</t>
  </si>
  <si>
    <t>Multimycovirus talaromyci</t>
  </si>
  <si>
    <t>Multimycovirus miniphaeocremonii</t>
  </si>
  <si>
    <t>Multimycovirus magnaporyzae</t>
  </si>
  <si>
    <t>Multimycovirus cladosplasmoniae</t>
  </si>
  <si>
    <t>Multimycovirus erynecati</t>
  </si>
  <si>
    <t>Multimycovirus beauvessiana</t>
  </si>
  <si>
    <t>Multimycovirus trichodermae</t>
  </si>
  <si>
    <t>Multimycovirus turcicae</t>
  </si>
  <si>
    <t>Multimycovirus alternatae</t>
  </si>
  <si>
    <t>Multimycovirus camesinensis</t>
  </si>
  <si>
    <t>Plurimycovirus cladosporidae</t>
  </si>
  <si>
    <t>Wuhivirus inferensa</t>
  </si>
  <si>
    <t>Orthophasmavirus vrasenense</t>
  </si>
  <si>
    <t>Orthophasmavirus vitinea</t>
  </si>
  <si>
    <t>Orthophasmavirus lycotinea</t>
  </si>
  <si>
    <t>Olpivirus freesiae</t>
  </si>
  <si>
    <t>Olpivirus lachenaliae</t>
  </si>
  <si>
    <t>Olpivirus soli</t>
  </si>
  <si>
    <t>Olpivirus tripterocalicis</t>
  </si>
  <si>
    <t>Olpivirus waitziae</t>
  </si>
  <si>
    <t>Crangovirus</t>
  </si>
  <si>
    <t>Orthoflavivirus aphei</t>
  </si>
  <si>
    <t>Fusivirus</t>
  </si>
  <si>
    <t>Orthoflavivirus iunctionis</t>
  </si>
  <si>
    <t>Jingmenvirus</t>
  </si>
  <si>
    <t>Jingmenvirus rhipicephali</t>
  </si>
  <si>
    <t>Guaicovirus</t>
  </si>
  <si>
    <t>Guaicovirus culicis</t>
  </si>
  <si>
    <t>Tamanavirus</t>
  </si>
  <si>
    <t>Tamanavirus parnelli</t>
  </si>
  <si>
    <t>Termitovirus</t>
  </si>
  <si>
    <t>Termitovirus isopterae</t>
  </si>
  <si>
    <t>Arachnivirus</t>
  </si>
  <si>
    <t>Arachnivirus neosconae</t>
  </si>
  <si>
    <t>Boletivirus</t>
  </si>
  <si>
    <t>Boletivirus hyalommae</t>
  </si>
  <si>
    <t>Chrysopivirus</t>
  </si>
  <si>
    <t>Chrysopivirus vittae</t>
  </si>
  <si>
    <t>Koshovirus</t>
  </si>
  <si>
    <t>Koshovirus sonchi</t>
  </si>
  <si>
    <t>Cardingvirinae</t>
  </si>
  <si>
    <t>Kherlenvirus</t>
  </si>
  <si>
    <t>Kherlenvirus BF486P1</t>
  </si>
  <si>
    <t>Kherlenvirus BK649P1</t>
  </si>
  <si>
    <t>Kherlenvirus BF695P2</t>
  </si>
  <si>
    <t>Kherlenvirus BF698P1</t>
  </si>
  <si>
    <t>Kherlenvirus BF698P3</t>
  </si>
  <si>
    <t>Gotuavirus</t>
  </si>
  <si>
    <t>Gotuavirus B408</t>
  </si>
  <si>
    <t>Gotuavirus BF10P2</t>
  </si>
  <si>
    <t>Gotuavirus BF10P3</t>
  </si>
  <si>
    <t>Gotuavirus BF766P1</t>
  </si>
  <si>
    <t>Gotuavirus VA7</t>
  </si>
  <si>
    <t>Gotuavirus Barc2635</t>
  </si>
  <si>
    <t>Gotuavirus NCTC</t>
  </si>
  <si>
    <t>Gotuavirus BF344P1</t>
  </si>
  <si>
    <t>Gotuavirus BF766P4</t>
  </si>
  <si>
    <t>Gotuavirus BF702P1</t>
  </si>
  <si>
    <t>Gotuavirus B12414</t>
  </si>
  <si>
    <t>Gotuavirus gv23</t>
  </si>
  <si>
    <t>Gotuavirus UZM3</t>
  </si>
  <si>
    <t>Whispovirus lacteolymphae</t>
  </si>
  <si>
    <t>Fusavirus</t>
  </si>
  <si>
    <t>Fusavirus alternariae</t>
  </si>
  <si>
    <t>Fusavirus yangzi</t>
  </si>
  <si>
    <t>Fusavirus sclerotiniae</t>
  </si>
  <si>
    <t>Orthotospovirus tomatonecroanuli</t>
  </si>
  <si>
    <t>Orthotospovirus limonii</t>
  </si>
  <si>
    <t>Orthotospovirus barlerichlorosis</t>
  </si>
  <si>
    <t>Orthotospovirus scadoxiflavianuli</t>
  </si>
  <si>
    <t>Orthotospovirus macadamianuli</t>
  </si>
  <si>
    <t>Orthotospovirus mercurialis</t>
  </si>
  <si>
    <t>Orthotospovirus capsiciflavianuli</t>
  </si>
  <si>
    <t>Orthotospovirus tomatonecromaculae</t>
  </si>
  <si>
    <t>Maaswegvirus centimanus</t>
  </si>
  <si>
    <t>Efquatrovirus MFDL</t>
  </si>
  <si>
    <t>Kuravirus PE006</t>
  </si>
  <si>
    <t>Gilesvirus ZM2</t>
  </si>
  <si>
    <t>Karamvirus id4496</t>
  </si>
  <si>
    <t>Nanditavirus quinnavery</t>
  </si>
  <si>
    <t>Corndogvirus vagabond</t>
  </si>
  <si>
    <t>Birdsnestvirus hashim76</t>
  </si>
  <si>
    <t>Przondovirus HJK2</t>
  </si>
  <si>
    <t>Rosenblumvirus cap046</t>
  </si>
  <si>
    <t>Tequatrovirus BMB16</t>
  </si>
  <si>
    <t>Tobaliviridae</t>
  </si>
  <si>
    <t>Tobalivirus</t>
  </si>
  <si>
    <t>Tobalivirus acidomyci</t>
  </si>
  <si>
    <t>Tobalivirus armillariae</t>
  </si>
  <si>
    <t>Tobalivirus auricolariae</t>
  </si>
  <si>
    <t>Tobalivirus macrophominae</t>
  </si>
  <si>
    <t>Tobalivirus lentinulae</t>
  </si>
  <si>
    <t>Tobalivirus nigrosporae</t>
  </si>
  <si>
    <t>Tobalivirus podosphaerae</t>
  </si>
  <si>
    <t>Tobalivirus ibericum</t>
  </si>
  <si>
    <t>Tobalivirus uromyci</t>
  </si>
  <si>
    <t>Beidivirus drosophilae</t>
  </si>
  <si>
    <t>Beidivirus ischnurae</t>
  </si>
  <si>
    <t>Beidivirus liriomyzae</t>
  </si>
  <si>
    <t>Bocivirus flakkebjergense</t>
  </si>
  <si>
    <t>Bocivirus gibberellae</t>
  </si>
  <si>
    <t>Bocivirus sanyaense</t>
  </si>
  <si>
    <t>Coguvirus rubi</t>
  </si>
  <si>
    <t>Entovirus guangxiense</t>
  </si>
  <si>
    <t>Entovirus neimengguense</t>
  </si>
  <si>
    <t>Entovirus jiangsuense</t>
  </si>
  <si>
    <t>Entovirus yunnanense</t>
  </si>
  <si>
    <t>Goukovirus blattellae</t>
  </si>
  <si>
    <t>Goukovirus culicis</t>
  </si>
  <si>
    <t>Goukovirus hodotermopsidis</t>
  </si>
  <si>
    <t>Goukovirus taiense</t>
  </si>
  <si>
    <t>Goukovirus shahense</t>
  </si>
  <si>
    <t>Goukovirus reticulitermitidis</t>
  </si>
  <si>
    <t>Hudovirus culicis</t>
  </si>
  <si>
    <t>Hudovirus pectinophorae</t>
  </si>
  <si>
    <t>Ixovirus gakugsaense</t>
  </si>
  <si>
    <t>Ixovirus antarcticaense</t>
  </si>
  <si>
    <t>Ixovirus paradisense</t>
  </si>
  <si>
    <t>Ixovirus yichunense</t>
  </si>
  <si>
    <t>Ixovirus garrapataense</t>
  </si>
  <si>
    <t>Laulavirus cordycipitis</t>
  </si>
  <si>
    <t>Laulavirus panici</t>
  </si>
  <si>
    <t>Laulavirus valsae</t>
  </si>
  <si>
    <t>Lentinuvirus alphaarmillariae</t>
  </si>
  <si>
    <t>Lentinuvirus betaarmillariae</t>
  </si>
  <si>
    <t>Lentinuvirus adlentinulae</t>
  </si>
  <si>
    <t>Mobuvirus anophelae</t>
  </si>
  <si>
    <t>Mobuvirus alphabafoussamense</t>
  </si>
  <si>
    <t>Mobuvirus betabafoussamense</t>
  </si>
  <si>
    <t>Mobuvirus coquillettidiae</t>
  </si>
  <si>
    <t>Mobuvirus cotesiae</t>
  </si>
  <si>
    <t>Mobuvirus alamedaense</t>
  </si>
  <si>
    <t>Mobuvirus isahayaense</t>
  </si>
  <si>
    <t>Mobuvirus culicis</t>
  </si>
  <si>
    <t>Mobuvirus sanyaense</t>
  </si>
  <si>
    <t>Mobuvirus shuangaoense</t>
  </si>
  <si>
    <t>Phasivirus siavongaense</t>
  </si>
  <si>
    <t>Phasivirus zambiaense</t>
  </si>
  <si>
    <t>Phasivirus alamedaense</t>
  </si>
  <si>
    <t>Phlebovirus alxaense</t>
  </si>
  <si>
    <t>Phlebovirus baishanense</t>
  </si>
  <si>
    <t>Phlebovirus manidae</t>
  </si>
  <si>
    <t>Phlebovirus wuxiangense</t>
  </si>
  <si>
    <t>Uukuvirus boleense</t>
  </si>
  <si>
    <t>Uukuvirus trinidadense</t>
  </si>
  <si>
    <t>Uukuvirus tobagoense</t>
  </si>
  <si>
    <t>Uukuvirus changpingense</t>
  </si>
  <si>
    <t>Uukuvirus shandongense</t>
  </si>
  <si>
    <t>Uukuvirus croatiaense</t>
  </si>
  <si>
    <t>Uukuvirus addermacentoris</t>
  </si>
  <si>
    <t>Uukuvirus iftinense</t>
  </si>
  <si>
    <t>Uukuvirus mbalambalaense</t>
  </si>
  <si>
    <t>Uukuvirus akirunoense</t>
  </si>
  <si>
    <t>Uukuvirus okutamaense</t>
  </si>
  <si>
    <t>Uukuvirus qinghaiense</t>
  </si>
  <si>
    <t>Uukuvirus anatoliaense</t>
  </si>
  <si>
    <t>Uukuvirus xinjiangense</t>
  </si>
  <si>
    <t>Wenrivirus huanghaiense</t>
  </si>
  <si>
    <t>Banmivirus miscanthi</t>
  </si>
  <si>
    <t>Carlavirus menthae</t>
  </si>
  <si>
    <t>Robigovirus menthae</t>
  </si>
  <si>
    <t>Capillovirus paris</t>
  </si>
  <si>
    <t>Chordovirus angelicae</t>
  </si>
  <si>
    <t>Citrivirus rudbeckiae</t>
  </si>
  <si>
    <t>Vitivirus muviti</t>
  </si>
  <si>
    <t>Vitivirus rhoviti</t>
  </si>
  <si>
    <t>Vitivirus gammactinidiae</t>
  </si>
  <si>
    <t>Aziravirus fribs8</t>
  </si>
  <si>
    <t>Aziravirus nibbles</t>
  </si>
  <si>
    <t>Ponsvirus manor</t>
  </si>
  <si>
    <t>Ponsvirus summitacademy</t>
  </si>
  <si>
    <t>Ponsvirus elinal</t>
  </si>
  <si>
    <t>Emalynvirus swatntears</t>
  </si>
  <si>
    <t>Emalynvirus billdoor</t>
  </si>
  <si>
    <t>Emalynvirus tolls</t>
  </si>
  <si>
    <t>Margaretvirus</t>
  </si>
  <si>
    <t>Margaretvirus orla</t>
  </si>
  <si>
    <t>Margaretvirus yakult</t>
  </si>
  <si>
    <t>Margaretvirus margaret</t>
  </si>
  <si>
    <t>Margaretvirus ranchparmcat</t>
  </si>
  <si>
    <t>Margaretvirus GiKK</t>
  </si>
  <si>
    <t>Margaretvirus button</t>
  </si>
  <si>
    <t>Margaretvirus jamzy</t>
  </si>
  <si>
    <t>Potyliviridae</t>
  </si>
  <si>
    <t>Potylivirus</t>
  </si>
  <si>
    <t>Potylivirus italicum</t>
  </si>
  <si>
    <t>Potylivirus uromyci</t>
  </si>
  <si>
    <t>Novirhabdovirus carpione</t>
  </si>
  <si>
    <t>Alphacrustrhavirus vison</t>
  </si>
  <si>
    <t>Betaplatrhavirus pipistrellus</t>
  </si>
  <si>
    <t>Betaplatrhavirus robustula</t>
  </si>
  <si>
    <t>Arepavirus karnatakense</t>
  </si>
  <si>
    <t>Macluravirus amomi</t>
  </si>
  <si>
    <t>Poacevirus avenae</t>
  </si>
  <si>
    <t>Potyvirus heraclei</t>
  </si>
  <si>
    <t>Potyvirus shilinense</t>
  </si>
  <si>
    <t>Chlorovirus primosyngense</t>
  </si>
  <si>
    <t>Chlorovirus alphanebraskense</t>
  </si>
  <si>
    <t>Chlorovirus syngense</t>
  </si>
  <si>
    <t>Chlorovirus alphaalkalinus</t>
  </si>
  <si>
    <t>Chlorovirus alphagardense</t>
  </si>
  <si>
    <t>Chlorovirus longinquus</t>
  </si>
  <si>
    <t>Chlorovirus betanebraskense</t>
  </si>
  <si>
    <t>Chlorovirus novaeterrae</t>
  </si>
  <si>
    <t>Chlorovirus guatemalense</t>
  </si>
  <si>
    <t>Chlorovirus gammanebraskense</t>
  </si>
  <si>
    <t>Chlorovirus arcticum</t>
  </si>
  <si>
    <t>Chlorovirus solusgardense</t>
  </si>
  <si>
    <t>Chlorovirus gammagardense</t>
  </si>
  <si>
    <t>Chlorovirus multilacus</t>
  </si>
  <si>
    <t>Chlorovirus insulalacus</t>
  </si>
  <si>
    <t>Chlorovirus minnesotense</t>
  </si>
  <si>
    <t>Tupavirus delphini</t>
  </si>
  <si>
    <t>Begomovirus clitoriae</t>
  </si>
  <si>
    <t>Begomovirus melochiasecundi</t>
  </si>
  <si>
    <t>Begomovirus citharexyli</t>
  </si>
  <si>
    <t>Fifivirus EaPF7</t>
  </si>
  <si>
    <t>Fifivirus aioli</t>
  </si>
  <si>
    <t>Fifivirus SNUABM27</t>
  </si>
  <si>
    <t>Loessnervirus papaline</t>
  </si>
  <si>
    <t>Loessnervirus fougasse</t>
  </si>
  <si>
    <t>Carltongylesvirus YSF</t>
  </si>
  <si>
    <t>Carltongylesvirus FXie2024a</t>
  </si>
  <si>
    <t>Carltongylesvirus JL1</t>
  </si>
  <si>
    <t>Carltongylesvirus EcoM1</t>
  </si>
  <si>
    <t>Qiaoyingvirus</t>
  </si>
  <si>
    <t>Qiaoyingvirus A050</t>
  </si>
  <si>
    <t>Longwangvirus h1</t>
  </si>
  <si>
    <t>Shantouvirus LA93P1</t>
  </si>
  <si>
    <t>Catovirus</t>
  </si>
  <si>
    <t>Catovirus klosterense</t>
  </si>
  <si>
    <t>Moumouvirus maliense</t>
  </si>
  <si>
    <t>Moumouvirus lavasanguinense</t>
  </si>
  <si>
    <t>Megavirus caiporense</t>
  </si>
  <si>
    <t>Budvirus</t>
  </si>
  <si>
    <t>Budvirus rimovense</t>
  </si>
  <si>
    <t>Punuivirus</t>
  </si>
  <si>
    <t>Punuivirus latens</t>
  </si>
  <si>
    <t>Tethysvirus bergenense</t>
  </si>
  <si>
    <t>Tethysvirus norvegense</t>
  </si>
  <si>
    <t>Criusvirus</t>
  </si>
  <si>
    <t>Criusvirus kaneoense</t>
  </si>
  <si>
    <t>Dorsavirus</t>
  </si>
  <si>
    <t>Dorsavirus hainanense</t>
  </si>
  <si>
    <t>Yahinvirus</t>
  </si>
  <si>
    <t>Yahinvirus chinaense</t>
  </si>
  <si>
    <t>Hyatvirus</t>
  </si>
  <si>
    <t>Hyatvirus russiaense</t>
  </si>
  <si>
    <t>Opavirus</t>
  </si>
  <si>
    <t>Opavirus hayense</t>
  </si>
  <si>
    <t>Omyavirus</t>
  </si>
  <si>
    <t>Omyavirus bahiaense</t>
  </si>
  <si>
    <t>Capulavirus betae</t>
  </si>
  <si>
    <t>Comeauvirus</t>
  </si>
  <si>
    <t>Comeauvirus cv138</t>
  </si>
  <si>
    <t>Comeauvirus CPT1</t>
  </si>
  <si>
    <t>Alphafusarivirus alternariae</t>
  </si>
  <si>
    <t>Alphafusarivirus betaspergilli</t>
  </si>
  <si>
    <t>Alphafusarivirus corynesporae</t>
  </si>
  <si>
    <t>Alphafusarivirus luoyangii</t>
  </si>
  <si>
    <t>Alphafusarivirus phomopsis</t>
  </si>
  <si>
    <t>Alphafusarivirus setosphaeriae</t>
  </si>
  <si>
    <t>Alphafusarivirus sodiomyci</t>
  </si>
  <si>
    <t>Alphafusarivirus gaeumannomyci</t>
  </si>
  <si>
    <t>Alphafusarivirus betabotrydis</t>
  </si>
  <si>
    <t>Betafusarivirus moniliniae</t>
  </si>
  <si>
    <t>Betafusarivirus esculentus</t>
  </si>
  <si>
    <t>Betafusarivirus importunus</t>
  </si>
  <si>
    <t>Betafusarivirus nigrosporae</t>
  </si>
  <si>
    <t>Betafusarivirus unarhizoctoniae</t>
  </si>
  <si>
    <t>Gammafusarivirus heterobasidii</t>
  </si>
  <si>
    <t>Gammafusarivirus dualentinualea</t>
  </si>
  <si>
    <t>Gammafusarivirus muschii</t>
  </si>
  <si>
    <t>Gammafusarivirus phlebiopsii</t>
  </si>
  <si>
    <t>Deltafusarivirus</t>
  </si>
  <si>
    <t>Deltafusarivirus pithii</t>
  </si>
  <si>
    <t>Alphahypovirus unoapis</t>
  </si>
  <si>
    <t>Alphahypovirus duoapis</t>
  </si>
  <si>
    <t>Alphahypovirus triapis</t>
  </si>
  <si>
    <t>Alphahypovirus betae</t>
  </si>
  <si>
    <t>Alphahypovirus ixodidae</t>
  </si>
  <si>
    <t>Alphahypovirus duafusarii</t>
  </si>
  <si>
    <t>Alphahypovirus lignumvitis</t>
  </si>
  <si>
    <t>Alphahypovirus duoixodidae</t>
  </si>
  <si>
    <t>Alphahypovirus nigrosporae</t>
  </si>
  <si>
    <t>Alphahypovirus pestalotiopsis</t>
  </si>
  <si>
    <t>Alphahypovirus sclerotiniae</t>
  </si>
  <si>
    <t>Deltahypovirus sedimentii</t>
  </si>
  <si>
    <t>Deltahypovirus duosedimentii</t>
  </si>
  <si>
    <t>Etahypovirus rizoctoniae</t>
  </si>
  <si>
    <t>Gammahypovirus lentinulae</t>
  </si>
  <si>
    <t>Gammahypovirus duolentinulae</t>
  </si>
  <si>
    <t>Gammahypovirus rhizoctoniae</t>
  </si>
  <si>
    <t>Zetahypovirus rhizograni</t>
  </si>
  <si>
    <t>Zetahypovirus duorhizograni</t>
  </si>
  <si>
    <t>Iotahypovirus</t>
  </si>
  <si>
    <t>Iotahypovirus rhizomaidis</t>
  </si>
  <si>
    <t>Iotahypovirus duorhizomaidis</t>
  </si>
  <si>
    <t>Iotahypovirus acari</t>
  </si>
  <si>
    <t>Iotahypovirus grani</t>
  </si>
  <si>
    <t>Iotahypovirus rhizoctoniae</t>
  </si>
  <si>
    <t>Iotahypovirus suilli</t>
  </si>
  <si>
    <t>Iotahypovirus duorhizoctoniae</t>
  </si>
  <si>
    <t>Iotahypovirus triarhizoctoniae</t>
  </si>
  <si>
    <t>Betahypovirus colletotrici</t>
  </si>
  <si>
    <t>Betahypovirus ibericus</t>
  </si>
  <si>
    <t>Betahypovirus valsapiri</t>
  </si>
  <si>
    <t>Betahypovirus exserohili</t>
  </si>
  <si>
    <t>Betahypovirus annulohypoxyli</t>
  </si>
  <si>
    <t>Dinovernavirus albopictus</t>
  </si>
  <si>
    <t>Mastrevirus cenchri</t>
  </si>
  <si>
    <t>Mastrevirus croci</t>
  </si>
  <si>
    <t>Mastrevirus mexicoense</t>
  </si>
  <si>
    <t>Mastrevirus purpurei</t>
  </si>
  <si>
    <t>Mastrevirus tripterygii</t>
  </si>
  <si>
    <t>Afonbuvirus oralis</t>
  </si>
  <si>
    <t>Arseivirus intestinalis</t>
  </si>
  <si>
    <t>Arseivirus coprocoli</t>
  </si>
  <si>
    <t>Blohavirus intracoli</t>
  </si>
  <si>
    <t>Buchavirus salivaria</t>
  </si>
  <si>
    <t>Buorbuivirus palatobuccalis</t>
  </si>
  <si>
    <t>Canhaevirus mutabilis</t>
  </si>
  <si>
    <t>Canhaevirus hostihominis</t>
  </si>
  <si>
    <t>Carjivirus coprohirae</t>
  </si>
  <si>
    <t>Carjivirus coli</t>
  </si>
  <si>
    <t>Carjivirus salivaria</t>
  </si>
  <si>
    <t>Carjivirus rectalis</t>
  </si>
  <si>
    <t>Carjivirus palatobuccalis</t>
  </si>
  <si>
    <t>Carjivirus buccosalivaria</t>
  </si>
  <si>
    <t>Carjivirus autochthophagica</t>
  </si>
  <si>
    <t>Carjivirus alvocoli</t>
  </si>
  <si>
    <t>Carjivirus homonienterica</t>
  </si>
  <si>
    <t>Carjivirus vaga</t>
  </si>
  <si>
    <t>Carjivirus colonirectalis</t>
  </si>
  <si>
    <t>Cohcovirus endomedialis</t>
  </si>
  <si>
    <t>Cohcovirus anthropoanthropica</t>
  </si>
  <si>
    <t>Cohcovirus alvomedialis</t>
  </si>
  <si>
    <t>Cohcovirus hominis</t>
  </si>
  <si>
    <t>Cohcovirus residohominis</t>
  </si>
  <si>
    <t>Metacrassvirales</t>
  </si>
  <si>
    <t>Tripviridae</t>
  </si>
  <si>
    <t>Crabavirus</t>
  </si>
  <si>
    <t>Crabavirus typica</t>
  </si>
  <si>
    <t>Dilkevirus</t>
  </si>
  <si>
    <t>Dilkevirus oralis</t>
  </si>
  <si>
    <t>Dilupovirus</t>
  </si>
  <si>
    <t>Dilupovirus colonicoli</t>
  </si>
  <si>
    <t>Diorhovirus coli</t>
  </si>
  <si>
    <t>Drivevirus stomatis</t>
  </si>
  <si>
    <t>Paracrassvirales</t>
  </si>
  <si>
    <t>Tinaiviridae</t>
  </si>
  <si>
    <t>Fahrevirus</t>
  </si>
  <si>
    <t>Fahrevirus anthropointestinalis</t>
  </si>
  <si>
    <t>Fohxhuevirus mutabilis</t>
  </si>
  <si>
    <t>Glikeavirus</t>
  </si>
  <si>
    <t>Glikeavirus copralis</t>
  </si>
  <si>
    <t>Grauhtavirus</t>
  </si>
  <si>
    <t>Grauhtavirus rectalis</t>
  </si>
  <si>
    <t>Grauhtavirus mutabilis</t>
  </si>
  <si>
    <t>Horekuvirus stomatis</t>
  </si>
  <si>
    <t>Jahgtovirus autochthomedialis</t>
  </si>
  <si>
    <t>Jahgtovirus autochthodiversa</t>
  </si>
  <si>
    <t>Jahgtovirus medialis</t>
  </si>
  <si>
    <t>Jahgtovirus homonidigestiva</t>
  </si>
  <si>
    <t>Junduvirus hostitypica</t>
  </si>
  <si>
    <t>Kehishuvirus intestinalimedialis</t>
  </si>
  <si>
    <t>Kehishuvirus anthropica</t>
  </si>
  <si>
    <t>Kehishuvirus enterocopralis</t>
  </si>
  <si>
    <t>Kehishuvirus hominis</t>
  </si>
  <si>
    <t>Kehishuvirus phagica</t>
  </si>
  <si>
    <t>Kehishuvirus intestinalis</t>
  </si>
  <si>
    <t>Kingevirus oricola</t>
  </si>
  <si>
    <t>Kingevirus coli</t>
  </si>
  <si>
    <t>Kumbuvirus</t>
  </si>
  <si>
    <t>Kumbuvirus medialis</t>
  </si>
  <si>
    <t>Lebriduvirus intestinalis</t>
  </si>
  <si>
    <t>Madkivirus</t>
  </si>
  <si>
    <t>Madkivirus diversa</t>
  </si>
  <si>
    <t>Madkivirus intestinalis</t>
  </si>
  <si>
    <t>Pelduvirus</t>
  </si>
  <si>
    <t>Pelduvirus vaga</t>
  </si>
  <si>
    <t>Polaswivirus</t>
  </si>
  <si>
    <t>Polaswivirus diversa</t>
  </si>
  <si>
    <t>Polaswivirus buccotypica</t>
  </si>
  <si>
    <t>Shedivirus</t>
  </si>
  <si>
    <t>Shedivirus diversa</t>
  </si>
  <si>
    <t>Shedivirus hominis</t>
  </si>
  <si>
    <t>Shelovirus rectalis</t>
  </si>
  <si>
    <t>Smehivirus digestiva</t>
  </si>
  <si>
    <t>Snuvovirus oralis</t>
  </si>
  <si>
    <t>Sovupevirus</t>
  </si>
  <si>
    <t>Sovupevirus hostirectalis</t>
  </si>
  <si>
    <t>Spihruvirus</t>
  </si>
  <si>
    <t>Spihruvirus rectalis</t>
  </si>
  <si>
    <t>Spihruvirus diversa</t>
  </si>
  <si>
    <t>Spihruvirus palatalis</t>
  </si>
  <si>
    <t>Sulruvirus homonivaga</t>
  </si>
  <si>
    <t>Taduhovirus oricola</t>
  </si>
  <si>
    <t>Taduhovirus medialis</t>
  </si>
  <si>
    <t>Tahdivirus</t>
  </si>
  <si>
    <t>Tahdivirus hominis</t>
  </si>
  <si>
    <t>Trofluuvirus stomatis</t>
  </si>
  <si>
    <t>Alphaourmiavirus</t>
  </si>
  <si>
    <t>Alphaourmiavirus crustaceae</t>
  </si>
  <si>
    <t>Alphaourmiavirus fluminis</t>
  </si>
  <si>
    <t>Alphaourmiavirus octopi</t>
  </si>
  <si>
    <t>Alphaourmiavirus penaeus</t>
  </si>
  <si>
    <t>Betaourmiavirus</t>
  </si>
  <si>
    <t>Betaourmiavirus fluminis</t>
  </si>
  <si>
    <t>Betaourmiavirus mollusci</t>
  </si>
  <si>
    <t>Betaourmiavirus conchyli</t>
  </si>
  <si>
    <t>Gammaourmiavirus</t>
  </si>
  <si>
    <t>Gammaourmiavirus conchyli</t>
  </si>
  <si>
    <t>Deltaourmiavirus</t>
  </si>
  <si>
    <t>Deltaourmiavirus fluminis</t>
  </si>
  <si>
    <t>Epsilonourmiavirus</t>
  </si>
  <si>
    <t>Epsilonourmiavirus striata</t>
  </si>
  <si>
    <t>Epsilonourmiavirus lespedezae</t>
  </si>
  <si>
    <t>Epsilonourmiavirus croci</t>
  </si>
  <si>
    <t>Zetaourmiavirus</t>
  </si>
  <si>
    <t>Zetaourmiavirus culex</t>
  </si>
  <si>
    <t>Zetaourmiavirus insecti</t>
  </si>
  <si>
    <t>Etaourmiavirus</t>
  </si>
  <si>
    <t>Etaourmiavirus humi</t>
  </si>
  <si>
    <t>Etaourmiavirus agri</t>
  </si>
  <si>
    <t>Thetaourmiavirus</t>
  </si>
  <si>
    <t>Thetaourmiavirus pasti</t>
  </si>
  <si>
    <t>Thetaourmiavirus fluminis</t>
  </si>
  <si>
    <t>Thetaourmiavirus terrae</t>
  </si>
  <si>
    <t>Thetaourmiavirus agri</t>
  </si>
  <si>
    <t>Iotaourmiavirus</t>
  </si>
  <si>
    <t>Iotaourmiavirus agri</t>
  </si>
  <si>
    <t>Iotaourmiavirus mollusci</t>
  </si>
  <si>
    <t>Iotaourmiavirus fluminis</t>
  </si>
  <si>
    <t>Kappaourmiavirus</t>
  </si>
  <si>
    <t>Kappaourmiavirus terrae</t>
  </si>
  <si>
    <t>Banaphisatellite</t>
  </si>
  <si>
    <t>Banaphisatellite alphamusae</t>
  </si>
  <si>
    <t>Banaphisatellite betamusae</t>
  </si>
  <si>
    <t>Banaphisatellite gammamusae</t>
  </si>
  <si>
    <t>Whedwasatellite</t>
  </si>
  <si>
    <t>Whedwasatellite triticiparvi</t>
  </si>
  <si>
    <t>Colecusatellite asystasiae</t>
  </si>
  <si>
    <t>Gosmusatellite asystasiae</t>
  </si>
  <si>
    <t>Gosmusatellite lactucae</t>
  </si>
  <si>
    <t>Clecrusatellite solanumbrasiliense</t>
  </si>
  <si>
    <t>Dravavirinae</t>
  </si>
  <si>
    <t>Hualiencityvirus</t>
  </si>
  <si>
    <t>Hualiencityvirus TCUEAP2</t>
  </si>
  <si>
    <t>Tongtianvirus</t>
  </si>
  <si>
    <t>Tongtianvirus AS73P1</t>
  </si>
  <si>
    <t>Rodicavirus</t>
  </si>
  <si>
    <t>Rodicavirus PD491P1</t>
  </si>
  <si>
    <t>Rodicavirus PDS1</t>
  </si>
  <si>
    <t>Rodicavirus C185S2P</t>
  </si>
  <si>
    <t>Betasatellite trigonellae</t>
  </si>
  <si>
    <t>Drulisvirus workingina</t>
  </si>
  <si>
    <t>Deltasatellite brassicae</t>
  </si>
  <si>
    <t>Durvirinae</t>
  </si>
  <si>
    <t>Ligmavirus</t>
  </si>
  <si>
    <t>Ligmavirus ligma</t>
  </si>
  <si>
    <t>Ligmavirus mariokart</t>
  </si>
  <si>
    <t>Mossrosevirus</t>
  </si>
  <si>
    <t>Mossrosevirus mossrose</t>
  </si>
  <si>
    <t>Mossrosevirus caib</t>
  </si>
  <si>
    <t>Mossrosevirus makomanhole</t>
  </si>
  <si>
    <t>Nhagosvirus</t>
  </si>
  <si>
    <t>Nhagosvirus nhagos</t>
  </si>
  <si>
    <t>Anclarvirus</t>
  </si>
  <si>
    <t>Anclarvirus anclar</t>
  </si>
  <si>
    <t>Anclarvirus biggitybass</t>
  </si>
  <si>
    <t>Duluthvirus</t>
  </si>
  <si>
    <t>Duluthvirus littlemuchkin</t>
  </si>
  <si>
    <t>Cobecusvirus</t>
  </si>
  <si>
    <t>Cobecusvirus phaseoli</t>
  </si>
  <si>
    <t>Oleurovirus</t>
  </si>
  <si>
    <t>Oleurovirus oleae</t>
  </si>
  <si>
    <t>Pylecuvirus</t>
  </si>
  <si>
    <t>Pylecuvirus petroselini</t>
  </si>
  <si>
    <t>Evaavirus</t>
  </si>
  <si>
    <t>Evaavirus evaa</t>
  </si>
  <si>
    <t>Comovirus caricae</t>
  </si>
  <si>
    <t>Comovirus cardaminis</t>
  </si>
  <si>
    <t>Cheravirus lagerstroemiae</t>
  </si>
  <si>
    <t>Cheravirus corymbii</t>
  </si>
  <si>
    <t>Cheravirus pternopetali</t>
  </si>
  <si>
    <t>Fabavirus phipiperis</t>
  </si>
  <si>
    <t>Fabavirus camphorae</t>
  </si>
  <si>
    <t>Fabavirus reaumuriae</t>
  </si>
  <si>
    <t>Fabavirus multiflorum</t>
  </si>
  <si>
    <t>Fabavirus squamellariae</t>
  </si>
  <si>
    <t>Nepovirus alphacucumis</t>
  </si>
  <si>
    <t>Nepovirus thymi</t>
  </si>
  <si>
    <t>Nepovirus paeoniae</t>
  </si>
  <si>
    <t>Nepovirus chrysanthemi</t>
  </si>
  <si>
    <t>Nepovirus pinnatifolium</t>
  </si>
  <si>
    <t>Nepovirus glycyrrhizae</t>
  </si>
  <si>
    <t>Nepovirus pholismae</t>
  </si>
  <si>
    <t>Nepovirus berberidopsis</t>
  </si>
  <si>
    <t>Nepovirus silenis</t>
  </si>
  <si>
    <t>Nepovirus galax</t>
  </si>
  <si>
    <t>Nepovirus saururi</t>
  </si>
  <si>
    <t>Nepovirus musae</t>
  </si>
  <si>
    <t>Nepovirus cenchri</t>
  </si>
  <si>
    <t>Nepovirus hypolepsis</t>
  </si>
  <si>
    <t>Nepovirus pogonati</t>
  </si>
  <si>
    <t>Nepovirus begoniae</t>
  </si>
  <si>
    <t>Nepovirus caladeniae</t>
  </si>
  <si>
    <t>Nepovirus astragali</t>
  </si>
  <si>
    <t>Nepovirus gentianae</t>
  </si>
  <si>
    <t>Nepovirus leucadendri</t>
  </si>
  <si>
    <t>Nepovirus yunnanense</t>
  </si>
  <si>
    <t>Nepovirus rhododendri</t>
  </si>
  <si>
    <t>Nepovirus hanseniae</t>
  </si>
  <si>
    <t>Nepovirus beldersayense</t>
  </si>
  <si>
    <t>Nepovirus jasmini</t>
  </si>
  <si>
    <t>Sadwavirus kappananas</t>
  </si>
  <si>
    <t>Sadwavirus morifolii</t>
  </si>
  <si>
    <t>Stralarivirus beldersayense</t>
  </si>
  <si>
    <t>Stralarivirus scaevolae</t>
  </si>
  <si>
    <t>Torradovirus rorippae</t>
  </si>
  <si>
    <t>Torradovirus ophistopappi</t>
  </si>
  <si>
    <t>Torradovirus lophophyti</t>
  </si>
  <si>
    <t>Torradovirus sesami</t>
  </si>
  <si>
    <t>Sequivirus primulae</t>
  </si>
  <si>
    <t>Waikavirus convallariae</t>
  </si>
  <si>
    <t>Waikavirus euphorbiae</t>
  </si>
  <si>
    <t>Waikavirus swalleniae</t>
  </si>
  <si>
    <t>Waikavirus gentianae</t>
  </si>
  <si>
    <t>Waikavirus lycopi</t>
  </si>
  <si>
    <t>Waikavirus pagodae</t>
  </si>
  <si>
    <t>Waikavirus artemisiae</t>
  </si>
  <si>
    <t>Waikavirus duoplantae</t>
  </si>
  <si>
    <t>Waikavirus heveae</t>
  </si>
  <si>
    <t>Felixounavirus vipecomarii</t>
  </si>
  <si>
    <t>Felixounavirus vipecomesa</t>
  </si>
  <si>
    <t>Felixounavirus vipecohospii</t>
  </si>
  <si>
    <t>Rimosavirus</t>
  </si>
  <si>
    <t>Rimosavirus zeae</t>
  </si>
  <si>
    <t>Rimosavirus plasmoparae</t>
  </si>
  <si>
    <t>Rimosavirus haemaphysalis</t>
  </si>
  <si>
    <t>Rimosavirus rhipicephali</t>
  </si>
  <si>
    <t>Rimosavirus unhubeiense</t>
  </si>
  <si>
    <t>Rimosavirus duohubeiense</t>
  </si>
  <si>
    <t>Rimosavirus brassicae</t>
  </si>
  <si>
    <t>Rimosavirus zizaniae</t>
  </si>
  <si>
    <t>Rimosavirus sphenodonis</t>
  </si>
  <si>
    <t>Fenglinvirus</t>
  </si>
  <si>
    <t>Fenglinvirus BalMu1</t>
  </si>
  <si>
    <t>Ampelovirus allamandae</t>
  </si>
  <si>
    <t>Ampelovirus alpiniae</t>
  </si>
  <si>
    <t>Ampelovirus unesculentae</t>
  </si>
  <si>
    <t>Ampelovirus duesculentae</t>
  </si>
  <si>
    <t>Ampelovirus unocitri</t>
  </si>
  <si>
    <t>Ampelovirus duocitri</t>
  </si>
  <si>
    <t>Ampelovirus odontonemae</t>
  </si>
  <si>
    <t>Ampelovirus pentananas</t>
  </si>
  <si>
    <t>Ampelovirus hexananas</t>
  </si>
  <si>
    <t>Ampelovirus septananas</t>
  </si>
  <si>
    <t>Ampelovirus sacchari</t>
  </si>
  <si>
    <t>Ampelovirus croton</t>
  </si>
  <si>
    <t>Ampelovirus alphaolivae</t>
  </si>
  <si>
    <t>Ampelovirus kaki</t>
  </si>
  <si>
    <t>Ampelovirus perseae</t>
  </si>
  <si>
    <t>Closterovirus alphafici</t>
  </si>
  <si>
    <t>Closterovirus betafici</t>
  </si>
  <si>
    <t>Closterovirus cnidi</t>
  </si>
  <si>
    <t>Closterovirus duocarotae</t>
  </si>
  <si>
    <t>Closterovirus thesii</t>
  </si>
  <si>
    <t>Closterovirus stellariae</t>
  </si>
  <si>
    <t>Closterovirus tritici</t>
  </si>
  <si>
    <t>Closterovirus dregeae</t>
  </si>
  <si>
    <t>Crinivirus kurdistanfragariae</t>
  </si>
  <si>
    <t>Crinivirus dioscoreae</t>
  </si>
  <si>
    <t>Crinivirus mori</t>
  </si>
  <si>
    <t>Crinivirus papyriferae</t>
  </si>
  <si>
    <t>Crinivirus arracaciae</t>
  </si>
  <si>
    <t>Olivavirus oleae</t>
  </si>
  <si>
    <t>Velarivirus agapanthi</t>
  </si>
  <si>
    <t>Velarivirus oleae</t>
  </si>
  <si>
    <t>Branvirus</t>
  </si>
  <si>
    <t>Branvirus bran</t>
  </si>
  <si>
    <t>Enamovirus BUBEV</t>
  </si>
  <si>
    <t>Enamovirus CAEV</t>
  </si>
  <si>
    <t>Enamovirus CTEV</t>
  </si>
  <si>
    <t>Enamovirus CSEV</t>
  </si>
  <si>
    <t>Enamovirus DEGEV</t>
  </si>
  <si>
    <t>Enamovirus FTEV</t>
  </si>
  <si>
    <t>Enamovirus ORAEV</t>
  </si>
  <si>
    <t>Enamovirus RAEV</t>
  </si>
  <si>
    <t>Enamovirus WSEV</t>
  </si>
  <si>
    <t>Enamovirus YPEV</t>
  </si>
  <si>
    <t>Gelderlandvirus SEA1</t>
  </si>
  <si>
    <t>Sobemovirus OLVS</t>
  </si>
  <si>
    <t>Polerovirus AGV</t>
  </si>
  <si>
    <t>Polerovirus ARMOV</t>
  </si>
  <si>
    <t>Polerovirus CALRV</t>
  </si>
  <si>
    <t>Polerovirus CAPV</t>
  </si>
  <si>
    <t>Polerovirus CHDV</t>
  </si>
  <si>
    <t>Polerovirus CYMAV</t>
  </si>
  <si>
    <t>Polerovirus IXYMAV</t>
  </si>
  <si>
    <t>Polerovirus PEVYV10</t>
  </si>
  <si>
    <t>Polerovirus RDPV</t>
  </si>
  <si>
    <t>Polerovirus VPPV</t>
  </si>
  <si>
    <t>Polerovirus ACTPV</t>
  </si>
  <si>
    <t>Polerovirus FEQPV</t>
  </si>
  <si>
    <t>Polerovirus GLPV</t>
  </si>
  <si>
    <t>Polerovirus MUSPV</t>
  </si>
  <si>
    <t>Polerovirus NBPV</t>
  </si>
  <si>
    <t>Polerovirus SPRPV</t>
  </si>
  <si>
    <t>Polerovirus SLBPV</t>
  </si>
  <si>
    <t>Illiduovirus</t>
  </si>
  <si>
    <t>Illiduovirus peetri</t>
  </si>
  <si>
    <t>Illiduovirus voja6</t>
  </si>
  <si>
    <t>Illiduovirus lauda</t>
  </si>
  <si>
    <t>Trirhavirus rubi</t>
  </si>
  <si>
    <t>Huairouvirus</t>
  </si>
  <si>
    <t>Huairouvirus P31</t>
  </si>
  <si>
    <t>Betanucleorhabdovirus alpiniae</t>
  </si>
  <si>
    <t>Betanucleorhabdovirus betae</t>
  </si>
  <si>
    <t>Betanucleorhabdovirus alphasambuci</t>
  </si>
  <si>
    <t>Betanucleorhabdovirus betasambuci</t>
  </si>
  <si>
    <t>Betanucleorhabdovirus gammasambuci</t>
  </si>
  <si>
    <t>Betanucleorhabdovirus deltasambuci</t>
  </si>
  <si>
    <t>Betanucleorhabdovirus epsilonsambuci</t>
  </si>
  <si>
    <t>Pakpunavirus mediocris</t>
  </si>
  <si>
    <t>Pakpunavirus js</t>
  </si>
  <si>
    <t>Pakpunavirus hhbs181</t>
  </si>
  <si>
    <t>Pakpunavirus hhbs91</t>
  </si>
  <si>
    <t>Pbunavirus hhbs511</t>
  </si>
  <si>
    <t>Pbunavirus hhbs122</t>
  </si>
  <si>
    <t>Webervirus gbh029</t>
  </si>
  <si>
    <t>Drulisvirus gbh038</t>
  </si>
  <si>
    <t>Drulisvirus gbh001</t>
  </si>
  <si>
    <t>Przondovirus gbh014</t>
  </si>
  <si>
    <t>Alphacytorhabdovirus lonicerae</t>
  </si>
  <si>
    <t>Betacytorhabdovirus dioscoreae</t>
  </si>
  <si>
    <t>Betacytorhabdovirus pyri</t>
  </si>
  <si>
    <t>Varicosavirus agastachi</t>
  </si>
  <si>
    <t>Varicosavirus orychophragmi</t>
  </si>
  <si>
    <t>Varicosavirus rubi</t>
  </si>
  <si>
    <t>Jianjiangvirinae</t>
  </si>
  <si>
    <t>Luojiangvirus</t>
  </si>
  <si>
    <t>Luojiangvirus BC679P5</t>
  </si>
  <si>
    <t>Luojiangvirus BC669P1</t>
  </si>
  <si>
    <t>Luojiangvirus BC669P2</t>
  </si>
  <si>
    <t>Luojiangvirus BC679P1</t>
  </si>
  <si>
    <t>Luojiangvirus BC679P2</t>
  </si>
  <si>
    <t>Luojiangvirus BC669P3</t>
  </si>
  <si>
    <t>Luojiangvirus BC679P3</t>
  </si>
  <si>
    <t>Caojiangvirus</t>
  </si>
  <si>
    <t>Caojiangvirus BO668P2</t>
  </si>
  <si>
    <t>Caojiangvirus BK687P4</t>
  </si>
  <si>
    <t>Caojiangvirus BK687P2</t>
  </si>
  <si>
    <t>Caojiangvirus BK687P3</t>
  </si>
  <si>
    <t>Caojiangvirus BK745P1</t>
  </si>
  <si>
    <t>Caojiangvirus BK745P4</t>
  </si>
  <si>
    <t>Caojiangvirus BC422P2</t>
  </si>
  <si>
    <t>Caojiangvirus BK687P1</t>
  </si>
  <si>
    <t>Caojiangvirus BK687P5</t>
  </si>
  <si>
    <t>Caojiangvirus BK745P3</t>
  </si>
  <si>
    <t>Caojiangvirus BK735P2</t>
  </si>
  <si>
    <t>Caojiangvirus BK735P3</t>
  </si>
  <si>
    <t>Caojiangvirus BO668P1</t>
  </si>
  <si>
    <t>Caojiangvirus BK735P1</t>
  </si>
  <si>
    <t>Caojiangvirus BK735P4</t>
  </si>
  <si>
    <t>Dichorhavirus chilense</t>
  </si>
  <si>
    <t>Dichorhavirus piracicabense</t>
  </si>
  <si>
    <t>Justusliebigvirus cardinal</t>
  </si>
  <si>
    <t>Kagunavirus ohbeberoi</t>
  </si>
  <si>
    <t>Kagunavirus ligaya</t>
  </si>
  <si>
    <t>Kagunavirus malou</t>
  </si>
  <si>
    <t>Kanagawavirus KLB31</t>
  </si>
  <si>
    <t>Kanagawavirus ENC9</t>
  </si>
  <si>
    <t>Kanagawavirus Entb45</t>
  </si>
  <si>
    <t>Kanagawavirus ZX14</t>
  </si>
  <si>
    <t>Karamvirus KMB20</t>
  </si>
  <si>
    <t>Karamvirus KMB17</t>
  </si>
  <si>
    <t>Karamvirus EnC07</t>
  </si>
  <si>
    <t>Karamvirus PS49</t>
  </si>
  <si>
    <t>Karamvirus RZH</t>
  </si>
  <si>
    <t>Karamvirus CW742</t>
  </si>
  <si>
    <t>Karamvirus EnC15</t>
  </si>
  <si>
    <t>Karamvirus Entb43</t>
  </si>
  <si>
    <t>Karamvirus VPA32</t>
  </si>
  <si>
    <t>Karamvirus UFV01</t>
  </si>
  <si>
    <t>Karamvirus Ent31</t>
  </si>
  <si>
    <t>Karamvirus AS6</t>
  </si>
  <si>
    <t>Karamvirus fGhEcl01</t>
  </si>
  <si>
    <t>Karamvirus EnA02</t>
  </si>
  <si>
    <t>Irusalimvirus karilmokiny1</t>
  </si>
  <si>
    <t>Kayfunavirus rjtwin</t>
  </si>
  <si>
    <t>Koserivirus</t>
  </si>
  <si>
    <t>Koserivirus CkP1</t>
  </si>
  <si>
    <t>Lingdingyangvirus</t>
  </si>
  <si>
    <t>Lingdingyangvirus BT61P1</t>
  </si>
  <si>
    <t>Lingdingyangvirus HNL05</t>
  </si>
  <si>
    <t>Lingdingyangvirus BT47P1</t>
  </si>
  <si>
    <t>Lingdingyangvirus BT638P5</t>
  </si>
  <si>
    <t>Lingdingyangvirus SJC22</t>
  </si>
  <si>
    <t>Lingdingyangvirus SJC13</t>
  </si>
  <si>
    <t>Lingdingyangvirus SJC12</t>
  </si>
  <si>
    <t>Lingdingyangvirus ARB14</t>
  </si>
  <si>
    <t>Lingdingyangvirus SJC10</t>
  </si>
  <si>
    <t>Lingdingyangvirus SJC25</t>
  </si>
  <si>
    <t>Lingdingyangvirus BT401P3</t>
  </si>
  <si>
    <t>Lingdingyangvirus BT709P1</t>
  </si>
  <si>
    <t>Lingdingyangvirus BT638P7</t>
  </si>
  <si>
    <t>Lingdingyangvirus BT638P1</t>
  </si>
  <si>
    <t>Lingdingyangvirus BT638P2</t>
  </si>
  <si>
    <t>Lingdingyangvirus BT638P8</t>
  </si>
  <si>
    <t>Lingdingyangvirus BT638P6</t>
  </si>
  <si>
    <t>Lingdingyangvirus BT638P3</t>
  </si>
  <si>
    <t>Lingdingyangvirus BT681P2</t>
  </si>
  <si>
    <t>Lingdingyangvirus BT681P4</t>
  </si>
  <si>
    <t>Lingdingyangvirus BT498P1</t>
  </si>
  <si>
    <t>Lingdingyangvirus BT566P2</t>
  </si>
  <si>
    <t>Lowersilesiavirus</t>
  </si>
  <si>
    <t>Lowersilesiavirus Acba3</t>
  </si>
  <si>
    <t>Lowersilesiavirus Acba4</t>
  </si>
  <si>
    <t>Lowersilesiavirus Acba11</t>
  </si>
  <si>
    <t>Lowersilesiavirus Acba13</t>
  </si>
  <si>
    <t>Lowersilesiavirus Acba14</t>
  </si>
  <si>
    <t>Lowersilesiavirus Acba15</t>
  </si>
  <si>
    <t>Luojiashanvirus</t>
  </si>
  <si>
    <t>Luojiashanvirus phiSHP3</t>
  </si>
  <si>
    <t>Luojiashanvirus Bhz63</t>
  </si>
  <si>
    <t>Lutzviridae</t>
  </si>
  <si>
    <t>Lutzvirus</t>
  </si>
  <si>
    <t>Lutzvirus UFV02</t>
  </si>
  <si>
    <t>Mariborvirus</t>
  </si>
  <si>
    <t>Mariborvirus bacuniF1</t>
  </si>
  <si>
    <t>Mariniviridae</t>
  </si>
  <si>
    <t>Pelagimarinivirus</t>
  </si>
  <si>
    <t>Pelagimarinivirus ubique</t>
  </si>
  <si>
    <t>Alpavirales</t>
  </si>
  <si>
    <t>Lilleviridae</t>
  </si>
  <si>
    <t>Algophervirus</t>
  </si>
  <si>
    <t>Algophervirus faecalis</t>
  </si>
  <si>
    <t>Alnafnavirus</t>
  </si>
  <si>
    <t>Alnafnavirus faecalis</t>
  </si>
  <si>
    <t>Alnifnivirus</t>
  </si>
  <si>
    <t>Alnifnivirus faecalis</t>
  </si>
  <si>
    <t>Litenviridae</t>
  </si>
  <si>
    <t>Alcanfavirus</t>
  </si>
  <si>
    <t>Alcanfavirus faecalis</t>
  </si>
  <si>
    <t>Alcanivirus</t>
  </si>
  <si>
    <t>Alcanivirus faecalis</t>
  </si>
  <si>
    <t>Algomorvirus</t>
  </si>
  <si>
    <t>Algomorvirus faecalis</t>
  </si>
  <si>
    <t>Algopmovirus</t>
  </si>
  <si>
    <t>Algopmovirus faecalis</t>
  </si>
  <si>
    <t>Alimacvirus</t>
  </si>
  <si>
    <t>Alimacvirus faecalis</t>
  </si>
  <si>
    <t>Almumusvirus</t>
  </si>
  <si>
    <t>Almumusvirus tissus</t>
  </si>
  <si>
    <t>Alnoufnouvirus</t>
  </si>
  <si>
    <t>Alnoufnouvirus faecalis</t>
  </si>
  <si>
    <t>Alpecorivirus</t>
  </si>
  <si>
    <t>Alpecorivirus sanguineae</t>
  </si>
  <si>
    <t>Litilviridae</t>
  </si>
  <si>
    <t>Alcafavirus</t>
  </si>
  <si>
    <t>Alcafavirus faecalis</t>
  </si>
  <si>
    <t>Alciorovirus</t>
  </si>
  <si>
    <t>Alciorovirus intestinalis</t>
  </si>
  <si>
    <t>Alcryvirus</t>
  </si>
  <si>
    <t>Alcryvirus antarcticaense</t>
  </si>
  <si>
    <t>Alhyhydvirus</t>
  </si>
  <si>
    <t>Alhyhydvirus faecalis</t>
  </si>
  <si>
    <t>Alpaglavirus</t>
  </si>
  <si>
    <t>Alpaglavirus faecalis</t>
  </si>
  <si>
    <t>Pieniviridae</t>
  </si>
  <si>
    <t>Alepusivirus</t>
  </si>
  <si>
    <t>Alepusivirus faecalis</t>
  </si>
  <si>
    <t>Almusivirus</t>
  </si>
  <si>
    <t>Almusivirus animavivens</t>
  </si>
  <si>
    <t>Alpecusivirus</t>
  </si>
  <si>
    <t>Alpecusivirus jiangsuense</t>
  </si>
  <si>
    <t>Alydrochavirus</t>
  </si>
  <si>
    <t>Alydrochavirus faecalis</t>
  </si>
  <si>
    <t>Pikkuviridae</t>
  </si>
  <si>
    <t>Alcapybaravirus</t>
  </si>
  <si>
    <t>Alcapybaravirus parvus</t>
  </si>
  <si>
    <t>Almacaqusvirus</t>
  </si>
  <si>
    <t>Almacaqusvirus entericus</t>
  </si>
  <si>
    <t>Almaoniuvirus</t>
  </si>
  <si>
    <t>Almaoniuvirus tibetanicus</t>
  </si>
  <si>
    <t>Almiluvirus</t>
  </si>
  <si>
    <t>Almiluvirus faecalis</t>
  </si>
  <si>
    <t>Alpacinvirus</t>
  </si>
  <si>
    <t>Alpacinvirus sinensis</t>
  </si>
  <si>
    <t>Alzhudosvirus</t>
  </si>
  <si>
    <t>Alzhudosvirus choerus</t>
  </si>
  <si>
    <t>Alzhuvirus</t>
  </si>
  <si>
    <t>Alzhuvirus porcinus</t>
  </si>
  <si>
    <t>Amoyvirales</t>
  </si>
  <si>
    <t>Liberviridae</t>
  </si>
  <si>
    <t>Largivirus</t>
  </si>
  <si>
    <t>Largivirus asiaticus</t>
  </si>
  <si>
    <t>Mazaviridae</t>
  </si>
  <si>
    <t>Aminivirus</t>
  </si>
  <si>
    <t>Aminivirus ruegeriae</t>
  </si>
  <si>
    <t>Avacavirus</t>
  </si>
  <si>
    <t>Avacavirus tissus</t>
  </si>
  <si>
    <t>Minimarinivirus</t>
  </si>
  <si>
    <t>Minimarinivirus citromicrobii</t>
  </si>
  <si>
    <t>Piticivirus</t>
  </si>
  <si>
    <t>Piticivirus americanense</t>
  </si>
  <si>
    <t>Sonoravirus</t>
  </si>
  <si>
    <t>Sonoravirus desertense</t>
  </si>
  <si>
    <t>Vimicrovirus</t>
  </si>
  <si>
    <t>Vimicrovirus vibrionis</t>
  </si>
  <si>
    <t>Pequenoviridae</t>
  </si>
  <si>
    <t>Pseudophixvirus</t>
  </si>
  <si>
    <t>Pseudophixvirus profundis</t>
  </si>
  <si>
    <t>Piccoloviridae</t>
  </si>
  <si>
    <t>Paraphixvirus</t>
  </si>
  <si>
    <t>Paraphixvirus bathycus</t>
  </si>
  <si>
    <t>Piticuviridae</t>
  </si>
  <si>
    <t>Periphixvirus</t>
  </si>
  <si>
    <t>Periphixvirus piscinus</t>
  </si>
  <si>
    <t>Gokucipiengivirus</t>
  </si>
  <si>
    <t>Gokucipiengivirus nigerianus</t>
  </si>
  <si>
    <t>Gokugallopavovirus</t>
  </si>
  <si>
    <t>Gokugallopavovirus exiguus</t>
  </si>
  <si>
    <t>Gokumacromysvirus</t>
  </si>
  <si>
    <t>Gokumacromysvirus microtus</t>
  </si>
  <si>
    <t>Gokumagnusmusvirus</t>
  </si>
  <si>
    <t>Gokumagnusmusvirus minimus</t>
  </si>
  <si>
    <t>Huficovirus</t>
  </si>
  <si>
    <t>Huficovirus zhenjiangense</t>
  </si>
  <si>
    <t>Khonivirus</t>
  </si>
  <si>
    <t>Khonivirus shangense</t>
  </si>
  <si>
    <t>Cionrobuvirus</t>
  </si>
  <si>
    <t>Cionrobuvirus intraciae</t>
  </si>
  <si>
    <t>Crownevirus</t>
  </si>
  <si>
    <t>Crownevirus crochiae</t>
  </si>
  <si>
    <t>Cypriminnovirus</t>
  </si>
  <si>
    <t>Cypriminnovirus animagenonis</t>
  </si>
  <si>
    <t>Eelrivirus</t>
  </si>
  <si>
    <t>Eelrivirus metsediae</t>
  </si>
  <si>
    <t>Hulichivirus</t>
  </si>
  <si>
    <t>Hulichivirus shiae</t>
  </si>
  <si>
    <t>Leuciminnovirus</t>
  </si>
  <si>
    <t>Leuciminnovirus minnonis</t>
  </si>
  <si>
    <t>Mellcarnivirus</t>
  </si>
  <si>
    <t>Mellcarnivirus hemonis</t>
  </si>
  <si>
    <t>Melllinguisvirus</t>
  </si>
  <si>
    <t>Melllinguisvirus molysis</t>
  </si>
  <si>
    <t>Minnosuevirus</t>
  </si>
  <si>
    <t>Minnosuevirus metae</t>
  </si>
  <si>
    <t>Minnowtisvirus</t>
  </si>
  <si>
    <t>Minnowtisvirus animetae</t>
  </si>
  <si>
    <t>Minsuevirus</t>
  </si>
  <si>
    <t>Minsuevirus tissus</t>
  </si>
  <si>
    <t>Paruchinvirus</t>
  </si>
  <si>
    <t>Paruchinvirus fabiaonis</t>
  </si>
  <si>
    <t>Renleivirus</t>
  </si>
  <si>
    <t>Renleivirus checis</t>
  </si>
  <si>
    <t>Saanivirus</t>
  </si>
  <si>
    <t>Saanivirus lacunae</t>
  </si>
  <si>
    <t>Sahondenvirus</t>
  </si>
  <si>
    <t>Sahondenvirus ancense</t>
  </si>
  <si>
    <t>Pichoviridae</t>
  </si>
  <si>
    <t>Sbenevirus</t>
  </si>
  <si>
    <t>Sbenevirus ronchense</t>
  </si>
  <si>
    <t>Shuntenvirus</t>
  </si>
  <si>
    <t>Shuntenvirus chomettense</t>
  </si>
  <si>
    <t>Sontinvirus</t>
  </si>
  <si>
    <t>Sontinvirus epinatense</t>
  </si>
  <si>
    <t>Sphagnuvirus</t>
  </si>
  <si>
    <t>Sphagnuvirus macicentrae</t>
  </si>
  <si>
    <t>Sphignavirus</t>
  </si>
  <si>
    <t>Sphignavirus magoutense</t>
  </si>
  <si>
    <t>Storgivirus</t>
  </si>
  <si>
    <t>Storgivirus baiae</t>
  </si>
  <si>
    <t>Wastmicvirus</t>
  </si>
  <si>
    <t>Wastmicvirus thoreclae</t>
  </si>
  <si>
    <t>Wiyavirus</t>
  </si>
  <si>
    <t>Wiyavirus colsediae</t>
  </si>
  <si>
    <t>Groupodiviridae</t>
  </si>
  <si>
    <t>Mohgevirus</t>
  </si>
  <si>
    <t>Mohgevirus testudinis</t>
  </si>
  <si>
    <t>Sehtuvirus</t>
  </si>
  <si>
    <t>Sehtuvirus meseepiae</t>
  </si>
  <si>
    <t>Tramlacvirus</t>
  </si>
  <si>
    <t>Tramlacvirus saintpetis</t>
  </si>
  <si>
    <t>Pacdirvirus</t>
  </si>
  <si>
    <t>Pacdirvirus facealis</t>
  </si>
  <si>
    <t>Piapivirus</t>
  </si>
  <si>
    <t>Piapivirus hemonis</t>
  </si>
  <si>
    <t>Picaglacivirus</t>
  </si>
  <si>
    <t>Picaglacivirus Antarcticense</t>
  </si>
  <si>
    <t>Picionavirus</t>
  </si>
  <si>
    <t>Picionavirus intestinalis</t>
  </si>
  <si>
    <t>Piciorovirus</t>
  </si>
  <si>
    <t>Piciorovirus intestinalis</t>
  </si>
  <si>
    <t>Picominovirus</t>
  </si>
  <si>
    <t>Picominovirus tissus</t>
  </si>
  <si>
    <t>Picryovirus</t>
  </si>
  <si>
    <t>Picryovirus Antarcticense</t>
  </si>
  <si>
    <t>Piglaglavirus</t>
  </si>
  <si>
    <t>Piglaglavirus Antarcticense</t>
  </si>
  <si>
    <t>Pigophevirus</t>
  </si>
  <si>
    <t>Pigophevirus faecalis</t>
  </si>
  <si>
    <t>Pimethasivirus</t>
  </si>
  <si>
    <t>Pimethasivirus fortunaense</t>
  </si>
  <si>
    <t>Sahondevirus</t>
  </si>
  <si>
    <t>Sahondevirus altiligeriense</t>
  </si>
  <si>
    <t>Sphegnavirus</t>
  </si>
  <si>
    <t>Sphegnavirus ronelense</t>
  </si>
  <si>
    <t>Sphinavirus</t>
  </si>
  <si>
    <t>Sphinavirus crozetense</t>
  </si>
  <si>
    <t>Sukshmaviridae</t>
  </si>
  <si>
    <t>Subabevirus</t>
  </si>
  <si>
    <t>Subabevirus faecalis</t>
  </si>
  <si>
    <t>Subethovenvirus</t>
  </si>
  <si>
    <t>Subethovenvirus faecalis</t>
  </si>
  <si>
    <t>Sucapyvirus</t>
  </si>
  <si>
    <t>Sucapyvirus faecalis</t>
  </si>
  <si>
    <t>Sutorvirus</t>
  </si>
  <si>
    <t>Sutorvirus faecalis</t>
  </si>
  <si>
    <t>Suydrochavirus</t>
  </si>
  <si>
    <t>Suydrochavirus faecalis</t>
  </si>
  <si>
    <t>Reekeekeevirales</t>
  </si>
  <si>
    <t>Osikeviridae</t>
  </si>
  <si>
    <t>Nanosedivirus</t>
  </si>
  <si>
    <t>Nanosedivirus sydnense</t>
  </si>
  <si>
    <t>Vastaquavirus</t>
  </si>
  <si>
    <t>Vastaquavirus cincinatense</t>
  </si>
  <si>
    <t>Vastumavirus</t>
  </si>
  <si>
    <t>Vastumavirus cincinatense</t>
  </si>
  <si>
    <t>Roodoodoovirales</t>
  </si>
  <si>
    <t>Kidogoviridae</t>
  </si>
  <si>
    <t>Rofluviavirus</t>
  </si>
  <si>
    <t>Rofluviavirus milanense</t>
  </si>
  <si>
    <t>Romarinivirus</t>
  </si>
  <si>
    <t>Romarinivirus longbichense</t>
  </si>
  <si>
    <t>Rominovirus</t>
  </si>
  <si>
    <t>Rominovirus tissus</t>
  </si>
  <si>
    <t>Roporiferavirus</t>
  </si>
  <si>
    <t>Roporiferavirus australense</t>
  </si>
  <si>
    <t>Rosaltivirus</t>
  </si>
  <si>
    <t>Rosaltivirus savanense</t>
  </si>
  <si>
    <t>Secretvirales</t>
  </si>
  <si>
    <t>Chicoviridae</t>
  </si>
  <si>
    <t>Chaparrovirus</t>
  </si>
  <si>
    <t>Chaparrovirus phaseoli</t>
  </si>
  <si>
    <t>Chaparrovirus rhizobi</t>
  </si>
  <si>
    <t>Chaparrovirus tepoztlanense</t>
  </si>
  <si>
    <t>Cumcionavirus</t>
  </si>
  <si>
    <t>Cumcionavirus ventris</t>
  </si>
  <si>
    <t>Faseolivirus</t>
  </si>
  <si>
    <t>Faseolivirus fabavivens</t>
  </si>
  <si>
    <t>Faseolivirus mexicanense</t>
  </si>
  <si>
    <t>Microsonovirus</t>
  </si>
  <si>
    <t>Microsonovirus testudinis</t>
  </si>
  <si>
    <t>Oceanivirus</t>
  </si>
  <si>
    <t>Oceanivirus unius</t>
  </si>
  <si>
    <t>Petitsonovirus</t>
  </si>
  <si>
    <t>Petitsonovirus testudinis</t>
  </si>
  <si>
    <t>Planktonivirus</t>
  </si>
  <si>
    <t>Planktonivirus quarti</t>
  </si>
  <si>
    <t>Seavirus</t>
  </si>
  <si>
    <t>Seavirus roseobacteriae</t>
  </si>
  <si>
    <t>Occultatumviridae</t>
  </si>
  <si>
    <t>Micisonovirus</t>
  </si>
  <si>
    <t>Micisonovirus desertense</t>
  </si>
  <si>
    <t>Tainaviridae</t>
  </si>
  <si>
    <t>Ascunsovirus</t>
  </si>
  <si>
    <t>Ascunsovirus oldenburgi</t>
  </si>
  <si>
    <t>Circularivirus</t>
  </si>
  <si>
    <t>Circularivirus animaliense</t>
  </si>
  <si>
    <t>Pentonivirus</t>
  </si>
  <si>
    <t>Pentonivirus florentiae</t>
  </si>
  <si>
    <t>Miyazakivirus</t>
  </si>
  <si>
    <t>Miyazakivirus NSI</t>
  </si>
  <si>
    <t>Mosigvirus lindsay</t>
  </si>
  <si>
    <t>Motookavirus</t>
  </si>
  <si>
    <t>Motookavirus edson</t>
  </si>
  <si>
    <t>Motookavirus WH1</t>
  </si>
  <si>
    <t>Mweyongvirus</t>
  </si>
  <si>
    <t>Mweyongvirus yong1121</t>
  </si>
  <si>
    <t>Peetremavirus</t>
  </si>
  <si>
    <t>Peetremavirus P3MA</t>
  </si>
  <si>
    <t>Peetremavirus prophi621</t>
  </si>
  <si>
    <t>Peetremavirus phiGD342</t>
  </si>
  <si>
    <t>Peetremavirus prophiGD211</t>
  </si>
  <si>
    <t>Peetremavirus prophiDG112</t>
  </si>
  <si>
    <t>Peetremavirus prophiGD161</t>
  </si>
  <si>
    <t>Peetremavirus prophiGD43A2</t>
  </si>
  <si>
    <t>Peetremavirus phiGD891</t>
  </si>
  <si>
    <t>Myosmarvirus Spe5P4</t>
  </si>
  <si>
    <t>Nanchangvirus</t>
  </si>
  <si>
    <t>Nanchangvirus NC1</t>
  </si>
  <si>
    <t>Nanosmitevirus</t>
  </si>
  <si>
    <t>Nanosmitevirus nanosmite</t>
  </si>
  <si>
    <t>Nitrunavirus</t>
  </si>
  <si>
    <t>Nitrunavirus NTR1</t>
  </si>
  <si>
    <t>Nubrunavirus</t>
  </si>
  <si>
    <t>Nubrunavirus NBR1</t>
  </si>
  <si>
    <t>Nubrunavirus KYD2</t>
  </si>
  <si>
    <t>Nosocomialisvirus</t>
  </si>
  <si>
    <t>Nosocomialisvirus XC1</t>
  </si>
  <si>
    <t>Nosocomialisvirus QH4</t>
  </si>
  <si>
    <t>Beijingvirus</t>
  </si>
  <si>
    <t>Beijingvirus IME284</t>
  </si>
  <si>
    <t>Guangzhouvirus</t>
  </si>
  <si>
    <t>Guangzhouvirus AB3P2</t>
  </si>
  <si>
    <t>Chinavirus</t>
  </si>
  <si>
    <t>Chinavirus BUCT628</t>
  </si>
  <si>
    <t>Pittiivirus</t>
  </si>
  <si>
    <t>Pittiivirus IMEAp7</t>
  </si>
  <si>
    <t>Obolenskvirus A8321</t>
  </si>
  <si>
    <t>Obolenskvirus R2919</t>
  </si>
  <si>
    <t>Obolenskvirus R1888</t>
  </si>
  <si>
    <t>Obolenskvirus IME285</t>
  </si>
  <si>
    <t>Ganjingzivirus</t>
  </si>
  <si>
    <t>Ganjingzivirus BP10</t>
  </si>
  <si>
    <t>Guizhouvirus</t>
  </si>
  <si>
    <t>Guizhouvirus Abp95</t>
  </si>
  <si>
    <t>Brutusvirus</t>
  </si>
  <si>
    <t>Brutusvirus Brutus</t>
  </si>
  <si>
    <t>Walailakvirus</t>
  </si>
  <si>
    <t>Walailakvirus WUPSU</t>
  </si>
  <si>
    <t>Scipiovirus</t>
  </si>
  <si>
    <t>Scipiovirus Scipio</t>
  </si>
  <si>
    <t>Wenzhouvirus Acb75</t>
  </si>
  <si>
    <t>Burnvirus P1068</t>
  </si>
  <si>
    <t>Burnvirus Arbor</t>
  </si>
  <si>
    <t>Burnvirus MRABphi22</t>
  </si>
  <si>
    <t>Burnvirus Aba01</t>
  </si>
  <si>
    <t>Burnvirus A72</t>
  </si>
  <si>
    <t>Burnvirus HZY2308</t>
  </si>
  <si>
    <t>Burnvirus phi1092006</t>
  </si>
  <si>
    <t>Burnvirus BUCT629</t>
  </si>
  <si>
    <t>Burnvirus NJ02</t>
  </si>
  <si>
    <t>Burnvirus IME512</t>
  </si>
  <si>
    <t>Ankaravirus</t>
  </si>
  <si>
    <t>Ankaravirus Ab69</t>
  </si>
  <si>
    <t>Polandvirus</t>
  </si>
  <si>
    <t>Polandvirus Acba21</t>
  </si>
  <si>
    <t>Polandvirus YNAF</t>
  </si>
  <si>
    <t>Kenyavirus</t>
  </si>
  <si>
    <t>Kenyavirus 01KEN01</t>
  </si>
  <si>
    <t>Cairovirus</t>
  </si>
  <si>
    <t>Cairovirus RMA1</t>
  </si>
  <si>
    <t>Cairovirus RMA2</t>
  </si>
  <si>
    <t>Helsinkivirus</t>
  </si>
  <si>
    <t>Helsinkivirus fThrA</t>
  </si>
  <si>
    <t>Helsinkivirus AQ1</t>
  </si>
  <si>
    <t>Sichuanvirus ZC3</t>
  </si>
  <si>
    <t>Sichuanvirus 02KEN02</t>
  </si>
  <si>
    <t>Sichuanvirus SPA</t>
  </si>
  <si>
    <t>Sichuanvirus Abp9</t>
  </si>
  <si>
    <t>Pakistanvirus</t>
  </si>
  <si>
    <t>Pakistanvirus SR</t>
  </si>
  <si>
    <t>Miklukhovirus</t>
  </si>
  <si>
    <t>Miklukhovirus Cato</t>
  </si>
  <si>
    <t>Theraphagusvirus SPB</t>
  </si>
  <si>
    <t>Peeyeiunavirus</t>
  </si>
  <si>
    <t>Peeyeiunavirus Pyei1</t>
  </si>
  <si>
    <t>Peethiunavirus</t>
  </si>
  <si>
    <t>Peethiunavirus Pthi1</t>
  </si>
  <si>
    <t>Peebenunavirus</t>
  </si>
  <si>
    <t>Peebenunavirus Pben1</t>
  </si>
  <si>
    <t>Peesulunavirus</t>
  </si>
  <si>
    <t>Peesulunavirus Psul1</t>
  </si>
  <si>
    <t>Peekonunavirus</t>
  </si>
  <si>
    <t>Peekonunavirus Pkon1</t>
  </si>
  <si>
    <t>Klepvirus</t>
  </si>
  <si>
    <t>Klepvirus KLEP181</t>
  </si>
  <si>
    <t>Pearlrivervirinae</t>
  </si>
  <si>
    <t>Dongjiangvirus</t>
  </si>
  <si>
    <t>Dongjiangvirus BV737P2</t>
  </si>
  <si>
    <t>Dongjiangvirus BV741P1</t>
  </si>
  <si>
    <t>Dongjiangvirus BV674P5</t>
  </si>
  <si>
    <t>Dongjiangvirus BV741P4</t>
  </si>
  <si>
    <t>Dongjiangvirus BV57P2</t>
  </si>
  <si>
    <t>Dongjiangvirus BV737P3</t>
  </si>
  <si>
    <t>Dongjiangvirus BV739P1</t>
  </si>
  <si>
    <t>Dongjiangvirus BV185P1</t>
  </si>
  <si>
    <t>Dongjiangvirus BV200P1</t>
  </si>
  <si>
    <t>Dongjiangvirus BV283P3</t>
  </si>
  <si>
    <t>Dongjiangvirus BV741P2</t>
  </si>
  <si>
    <t>Dongjiangvirus BV57P1</t>
  </si>
  <si>
    <t>Dongjiangvirus BD26P1</t>
  </si>
  <si>
    <t>Dongjiangvirus BD166P1</t>
  </si>
  <si>
    <t>Dongjiangvirus BV57P3</t>
  </si>
  <si>
    <t>Xijiangvirus</t>
  </si>
  <si>
    <t>Xijiangvirus BM127P1</t>
  </si>
  <si>
    <t>Marchandvirus</t>
  </si>
  <si>
    <t>Marchandvirus ZF40</t>
  </si>
  <si>
    <t>Minyavirus</t>
  </si>
  <si>
    <t>Minyavirus P2EGY</t>
  </si>
  <si>
    <t>Frederiksbergvirus</t>
  </si>
  <si>
    <t>Frederiksbergvirus pappous</t>
  </si>
  <si>
    <t>Frederiksbergvirus koroua</t>
  </si>
  <si>
    <t>Frederiksbergvirus amona</t>
  </si>
  <si>
    <t>Frederiksbergvirus sabo</t>
  </si>
  <si>
    <t>Peggyvirus</t>
  </si>
  <si>
    <t>Peggyvirus peggy</t>
  </si>
  <si>
    <t>Pepevirus persistens</t>
  </si>
  <si>
    <t>Pituviridae</t>
  </si>
  <si>
    <t>Pituvirus</t>
  </si>
  <si>
    <t>Pituvirus akira</t>
  </si>
  <si>
    <t>Oxavirus</t>
  </si>
  <si>
    <t>Oxavirus ST13OXA48phi124</t>
  </si>
  <si>
    <t>Corunyavirus</t>
  </si>
  <si>
    <t>Corunyavirus ST13OXA48phi122</t>
  </si>
  <si>
    <t>Vimivirus</t>
  </si>
  <si>
    <t>Vimivirus ST147VIM1phi72</t>
  </si>
  <si>
    <t>Vimivirus Kp48873</t>
  </si>
  <si>
    <t>Xubiasivirus</t>
  </si>
  <si>
    <t>Xubiasivirus EcoS733R5</t>
  </si>
  <si>
    <t>Keypisivirus</t>
  </si>
  <si>
    <t>Keypisivirus ST101KPC2phi63</t>
  </si>
  <si>
    <t>Samsivirus</t>
  </si>
  <si>
    <t>Samsivirus Kp48802</t>
  </si>
  <si>
    <t>Rcapmuvirus</t>
  </si>
  <si>
    <t>Rcapmuvirus capmu</t>
  </si>
  <si>
    <t>Rcapmuvirus waterboi</t>
  </si>
  <si>
    <t>Docdeeseptimavirus</t>
  </si>
  <si>
    <t>Docdeeseptimavirus Doc7</t>
  </si>
  <si>
    <t>Eetrevirus</t>
  </si>
  <si>
    <t>Eetrevirus E3</t>
  </si>
  <si>
    <t>Ribunavirus</t>
  </si>
  <si>
    <t>Ribunavirus RR1B</t>
  </si>
  <si>
    <t>Ricunavirus</t>
  </si>
  <si>
    <t>Ricunavirus RC1</t>
  </si>
  <si>
    <t>Riverraidervirus</t>
  </si>
  <si>
    <t>Riverraidervirus riverraider</t>
  </si>
  <si>
    <t>Westmeadvirus pJN226</t>
  </si>
  <si>
    <t>Suquintavirus</t>
  </si>
  <si>
    <t>Suquintavirus SSU5</t>
  </si>
  <si>
    <t>Cyranovirus</t>
  </si>
  <si>
    <t>Cyranovirus cryano</t>
  </si>
  <si>
    <t>Cyranovirus CMS2020a</t>
  </si>
  <si>
    <t>Cyranovirus CMS2020b</t>
  </si>
  <si>
    <t>Pacinivirus pv12vc501</t>
  </si>
  <si>
    <t>Dowsonvirus</t>
  </si>
  <si>
    <t>Dowsonvirus Pb119</t>
  </si>
  <si>
    <t>Nacbunavirus</t>
  </si>
  <si>
    <t>Nacbunavirus nacb1</t>
  </si>
  <si>
    <t>Atduovirus</t>
  </si>
  <si>
    <t>Atduovirus At2</t>
  </si>
  <si>
    <t>Efbeekayvirus P19618</t>
  </si>
  <si>
    <t>Efbeekayvirus Bm32711</t>
  </si>
  <si>
    <t>Efbeekayvirus Hs106</t>
  </si>
  <si>
    <t>Efbeekayvirus cp20</t>
  </si>
  <si>
    <t>Efbeekayvirus K17alpha62</t>
  </si>
  <si>
    <t>Efbeekayvirus Bm32712</t>
  </si>
  <si>
    <t>Efbeekayvirus Tribbleer49</t>
  </si>
  <si>
    <t>Efbeekayvirus Gadu21</t>
  </si>
  <si>
    <t>Mifoctavirus</t>
  </si>
  <si>
    <t>Mifoctavirus Mif8</t>
  </si>
  <si>
    <t>Sabivirus</t>
  </si>
  <si>
    <t>Sabivirus sabi</t>
  </si>
  <si>
    <t>Ekoctavirus</t>
  </si>
  <si>
    <t>Ekoctavirus Ek8</t>
  </si>
  <si>
    <t>Axvirus</t>
  </si>
  <si>
    <t>Axvirus Ax</t>
  </si>
  <si>
    <t>Pastisvirus</t>
  </si>
  <si>
    <t>Pastisvirus patis</t>
  </si>
  <si>
    <t>Dongfangvirus</t>
  </si>
  <si>
    <t>Dongfangvirus Hn01</t>
  </si>
  <si>
    <t>Dongfangvirus Hn05</t>
  </si>
  <si>
    <t>Dongfangvirus Hn02</t>
  </si>
  <si>
    <t>Dongfangvirus Hn03</t>
  </si>
  <si>
    <t>Aracevirus</t>
  </si>
  <si>
    <t>Aracevirus Arace01</t>
  </si>
  <si>
    <t>Viundeviginityvirus</t>
  </si>
  <si>
    <t>Viundeviginityvirus V19</t>
  </si>
  <si>
    <t>Peegeeundecimvirus</t>
  </si>
  <si>
    <t>Peegeeundecimvirus Pg11</t>
  </si>
  <si>
    <t>Aquintavirus</t>
  </si>
  <si>
    <t>Aquintavirus A5</t>
  </si>
  <si>
    <t>Geeundevigintivirus</t>
  </si>
  <si>
    <t>Geeundevigintivirus G19</t>
  </si>
  <si>
    <t>Manannanvirus</t>
  </si>
  <si>
    <t>Manannanvirus D456g1</t>
  </si>
  <si>
    <t>Roskoffvirus</t>
  </si>
  <si>
    <t>Roskoffvirus D500</t>
  </si>
  <si>
    <t>Litunavirus pavob</t>
  </si>
  <si>
    <t>Litunavirus Ps28</t>
  </si>
  <si>
    <t>Litunavirus Fbpa1</t>
  </si>
  <si>
    <t>Litunavirus Plst</t>
  </si>
  <si>
    <t>Litunavirus L15</t>
  </si>
  <si>
    <t>Litunavirus Pa14</t>
  </si>
  <si>
    <t>Litunavirus Pa13</t>
  </si>
  <si>
    <t>Litunavirus Fmd5</t>
  </si>
  <si>
    <t>Litunavirus Hmku23</t>
  </si>
  <si>
    <t>Litunavirus Pasb7</t>
  </si>
  <si>
    <t>Litunavirus Ps1jh</t>
  </si>
  <si>
    <t>Gamaleyavirus Cu10ec</t>
  </si>
  <si>
    <t>Gamaleyavirus An24p2</t>
  </si>
  <si>
    <t>Gamaleyavirus K57alpha12</t>
  </si>
  <si>
    <t>Gamaleyavirus Nan33p5</t>
  </si>
  <si>
    <t>Gamaleyavirus mimir124</t>
  </si>
  <si>
    <t>Gamaleyavirus moonfish</t>
  </si>
  <si>
    <t>Gamaleyavirus St4</t>
  </si>
  <si>
    <t>Gamaleyavirus Kkp3715</t>
  </si>
  <si>
    <t>Gamaleyavirus E20</t>
  </si>
  <si>
    <t>Gamaleyavirus rudolfbernhard</t>
  </si>
  <si>
    <t>Gamaleyavirus nithesis</t>
  </si>
  <si>
    <t>Gamaleyavirus Shww44</t>
  </si>
  <si>
    <t>Gamaleyavirus Hk2</t>
  </si>
  <si>
    <t>Gamaleyavirus Vtccbpa322</t>
  </si>
  <si>
    <t>Gamaleyavirus Pbm2</t>
  </si>
  <si>
    <t>Gamaleyavirus Pbm3</t>
  </si>
  <si>
    <t>Gamaleyavirus Ues5a</t>
  </si>
  <si>
    <t>Gamaleyavirus Pw8</t>
  </si>
  <si>
    <t>Gamaleyavirus Pd205</t>
  </si>
  <si>
    <t>Gamaleyavirus Uz1</t>
  </si>
  <si>
    <t>Kaypoctavirus baqkoxi</t>
  </si>
  <si>
    <t>Kaypoctavirus kv1146050</t>
  </si>
  <si>
    <t>Kaypoctavirus Pw7</t>
  </si>
  <si>
    <t>Kaypoctavirus k60ph164c1</t>
  </si>
  <si>
    <t>Kaypoctavirus Jzbo1</t>
  </si>
  <si>
    <t>Kaypoctavirus Vlcpip4a</t>
  </si>
  <si>
    <t>Kaypoctavirus Vlcpi4b</t>
  </si>
  <si>
    <t>Kaypoctavirus P2</t>
  </si>
  <si>
    <t>Zurivirus Holyagarpour</t>
  </si>
  <si>
    <t>Zurivirus Ebordelon</t>
  </si>
  <si>
    <t>Pylasvirus My01</t>
  </si>
  <si>
    <t>Ithacavirus B2</t>
  </si>
  <si>
    <t>Ithacavirus Utk0001</t>
  </si>
  <si>
    <t>Ithacavirus As2</t>
  </si>
  <si>
    <t>Ithacavirus Utk0002</t>
  </si>
  <si>
    <t>Ithacavirus S5</t>
  </si>
  <si>
    <t>Varunavirus philmva1</t>
  </si>
  <si>
    <t>Varunavirus Ms02</t>
  </si>
  <si>
    <t>Stoningtonvirus Pjn101</t>
  </si>
  <si>
    <t>Tabiovirus</t>
  </si>
  <si>
    <t>Tabiovirus JUN5</t>
  </si>
  <si>
    <t>Tabiovirus tenjo</t>
  </si>
  <si>
    <t>Tabiovirus tabio</t>
  </si>
  <si>
    <t>Tabiovirus 10KY502B</t>
  </si>
  <si>
    <t>Tabiovirus MET23P3</t>
  </si>
  <si>
    <t>Tabiovirus olaya</t>
  </si>
  <si>
    <t>Tabiovirus Cp2</t>
  </si>
  <si>
    <t>Tabiovirus SAC</t>
  </si>
  <si>
    <t>Tequintavirus vipecosubii</t>
  </si>
  <si>
    <t>Strymvirus</t>
  </si>
  <si>
    <t>Strymvirus H2</t>
  </si>
  <si>
    <t>Strymvirus strym</t>
  </si>
  <si>
    <t>Baybaevirus</t>
  </si>
  <si>
    <t>Baybaevirus baybae</t>
  </si>
  <si>
    <t>Wallmarkvirinae</t>
  </si>
  <si>
    <t>Machiasvirus</t>
  </si>
  <si>
    <t>Machiasvirus AH12</t>
  </si>
  <si>
    <t>Machiasvirus machias</t>
  </si>
  <si>
    <t>Machiasvirus PB50</t>
  </si>
  <si>
    <t>Lentusvirus</t>
  </si>
  <si>
    <t>Lentusvirus SA1</t>
  </si>
  <si>
    <t>Madawaskavirus</t>
  </si>
  <si>
    <t>Madawaskavirus LY01</t>
  </si>
  <si>
    <t>Madawaskavirus PALS2</t>
  </si>
  <si>
    <t>Madawaskavirus DC4</t>
  </si>
  <si>
    <t>Madawaskavirus marshill</t>
  </si>
  <si>
    <t>Madawaskavirus madawaska</t>
  </si>
  <si>
    <t>Justusliebigvirus UAB1</t>
  </si>
  <si>
    <t>Justusliebigvirus SD2</t>
  </si>
  <si>
    <t>Justusliebigvirus KKP3264</t>
  </si>
  <si>
    <t>Justusliebigvirus JLBYU50</t>
  </si>
  <si>
    <t>Yuavirus PC1</t>
  </si>
  <si>
    <t>Yuavirus bella</t>
  </si>
  <si>
    <t>Yuavirus jack</t>
  </si>
  <si>
    <t>Yuavirus JM2</t>
  </si>
  <si>
    <t>Yuavirus PAC4</t>
  </si>
  <si>
    <t>Yuavirus PAC6</t>
  </si>
  <si>
    <t>Yuavirus Epa38</t>
  </si>
  <si>
    <t>Yuavirus PSA20</t>
  </si>
  <si>
    <t>Yuavirus PSP2</t>
  </si>
  <si>
    <t>Yuavirus NEU2024</t>
  </si>
  <si>
    <t>Yuavirus clover</t>
  </si>
  <si>
    <t>Yuavirus HLL23</t>
  </si>
  <si>
    <t>Yuavirus vanta</t>
  </si>
  <si>
    <t>Yuavirus luminis</t>
  </si>
  <si>
    <t>Wollmanvirinae</t>
  </si>
  <si>
    <t>Limmatquaivirus</t>
  </si>
  <si>
    <t>Limmatquaivirus mEp460</t>
  </si>
  <si>
    <t>Limmatquaivirus mEp460-4F5</t>
  </si>
  <si>
    <t>Dotonborivirus</t>
  </si>
  <si>
    <t>Dotonborivirus cdtl</t>
  </si>
  <si>
    <t>Dotonborivirus Ayreon</t>
  </si>
  <si>
    <t>Vilvertvirus</t>
  </si>
  <si>
    <t>Vilvertvirus mEp460ev081</t>
  </si>
  <si>
    <t>Yvettevirus</t>
  </si>
  <si>
    <t>Yvettevirus Gifsy1</t>
  </si>
  <si>
    <t>Essonnevirus</t>
  </si>
  <si>
    <t>Essonnevirus Gifsy2</t>
  </si>
  <si>
    <t>Schuylkillvirus</t>
  </si>
  <si>
    <t>Schuylkillvirus Fels1</t>
  </si>
  <si>
    <t>Zizhuyuanvirus</t>
  </si>
  <si>
    <t>Zizhuyuanvirus JY19</t>
  </si>
  <si>
    <t>Friunavirus 1137KEN02</t>
  </si>
  <si>
    <t>Friunavirus 1137KEN05</t>
  </si>
  <si>
    <t>Friunavirus 1137KEN03</t>
  </si>
  <si>
    <t>Friunavirus 5899STDY8049184</t>
  </si>
  <si>
    <t>Friunavirus NC12</t>
  </si>
  <si>
    <t>Friunavirus 5899STDY8049183</t>
  </si>
  <si>
    <t>Friunavirus TCUAN2</t>
  </si>
  <si>
    <t>Friunavirus 5899STDY8049180</t>
  </si>
  <si>
    <t>Friunavirus 1137KEN06</t>
  </si>
  <si>
    <t>Friunavirus Margaret</t>
  </si>
  <si>
    <t>Friunavirus phiAB440</t>
  </si>
  <si>
    <t>Friunavirus Tama</t>
  </si>
  <si>
    <t>Friunavirus Fanak</t>
  </si>
  <si>
    <t>Friunavirus Bhz16</t>
  </si>
  <si>
    <t>Friunavirus A43Y</t>
  </si>
  <si>
    <t>Friunavirus Acba19</t>
  </si>
  <si>
    <t>Friunavirus APK44</t>
  </si>
  <si>
    <t>Friunavirus ZC2</t>
  </si>
  <si>
    <t>Friunavirus 164KEN02</t>
  </si>
  <si>
    <t>Friunavirus 5899STDY8049177</t>
  </si>
  <si>
    <t>Friunavirus 5899STDY8049181</t>
  </si>
  <si>
    <t>Friunavirus Fishpie</t>
  </si>
  <si>
    <t>Friunavirus EAB11</t>
  </si>
  <si>
    <t>Friunavirus 02KEN01</t>
  </si>
  <si>
    <t>Friunavirus ABW132</t>
  </si>
  <si>
    <t>Friunavirus A31Y</t>
  </si>
  <si>
    <t>Friunavirus ABW311</t>
  </si>
  <si>
    <t>Friunavirus W8</t>
  </si>
  <si>
    <t>Friunavirus Ab11</t>
  </si>
  <si>
    <t>Friunavirus AbaSI4</t>
  </si>
  <si>
    <t>Queenastridvirus</t>
  </si>
  <si>
    <t>Queenastridvirus Acibel004</t>
  </si>
  <si>
    <t>Wulsvirus</t>
  </si>
  <si>
    <t>Wulsvirus Acba22</t>
  </si>
  <si>
    <t>Wulsvirus KissB</t>
  </si>
  <si>
    <t>Wulsvirus Rocket</t>
  </si>
  <si>
    <t>Saclayvirus Ab121</t>
  </si>
  <si>
    <t>Saclayvirus CP14</t>
  </si>
  <si>
    <t>Saclayvirus Liucustia</t>
  </si>
  <si>
    <t>Saclayvirus phi1092033</t>
  </si>
  <si>
    <t>Saclayvirus TAC1</t>
  </si>
  <si>
    <t>Saclayvirus 14CRR8</t>
  </si>
  <si>
    <t>Liaodongvirus</t>
  </si>
  <si>
    <t>Liaodongvirus D22</t>
  </si>
  <si>
    <t>Liaodongvirus P1</t>
  </si>
  <si>
    <t>Odravirus</t>
  </si>
  <si>
    <t>Odravirus Acjo20</t>
  </si>
  <si>
    <t>Solivirus</t>
  </si>
  <si>
    <t>Solivirus phiAC1</t>
  </si>
  <si>
    <t>Acarajevirus</t>
  </si>
  <si>
    <t>Acarajevirus bahia</t>
  </si>
  <si>
    <t>Cocadavirus</t>
  </si>
  <si>
    <t>Cocadavirus alagoinhas</t>
  </si>
  <si>
    <t>Bakolyvirus elie</t>
  </si>
  <si>
    <t>Bakolyvirus adzire</t>
  </si>
  <si>
    <t>Bakolyvirus sarlave</t>
  </si>
  <si>
    <t>Bakolyvirus jenny</t>
  </si>
  <si>
    <t>Tsukubavirus xpp6</t>
  </si>
  <si>
    <t>Tsukubavirus xpp2</t>
  </si>
  <si>
    <t>Tsukubavirus xpp3</t>
  </si>
  <si>
    <t>Tsukubavirus xpp8</t>
  </si>
  <si>
    <t>Tsukubavirus xpp9</t>
  </si>
  <si>
    <t>Tsukubavirus pxoo2107</t>
  </si>
  <si>
    <t>Tsukubavirus x2</t>
  </si>
  <si>
    <t>Tsukubavirus xpv3</t>
  </si>
  <si>
    <t>Tsukubavirus xpv2</t>
  </si>
  <si>
    <t>Beograduvirus BsXeu</t>
  </si>
  <si>
    <t>Beograduvirus myk3</t>
  </si>
  <si>
    <t>Xanthovirus</t>
  </si>
  <si>
    <t>Xanthovirus neb7</t>
  </si>
  <si>
    <t>Orthoflavivirus zilberi</t>
  </si>
  <si>
    <t>Split,Moved,</t>
  </si>
  <si>
    <t>Orthoflavivirus neudoerflense</t>
  </si>
  <si>
    <t>Orthoflavivirus mediterranense</t>
  </si>
  <si>
    <t>Moved,</t>
  </si>
  <si>
    <t>Renamed,Moved,</t>
  </si>
  <si>
    <t>Renamed,Promoted,</t>
  </si>
  <si>
    <t>Renamed,Removed as Type Species,</t>
  </si>
  <si>
    <t>Renamed,Moved,Removed as Type Species,</t>
  </si>
  <si>
    <t>Split,</t>
  </si>
  <si>
    <t>Removed as Type Species,</t>
  </si>
  <si>
    <t>Merged,</t>
  </si>
  <si>
    <t>Merged,Moved,</t>
  </si>
  <si>
    <t>Renamed,Demoted,</t>
  </si>
  <si>
    <t>MSL41v1</t>
  </si>
  <si>
    <t>Duplodnaviria;Heunggongvirae;Uroviricota;Caudoviricetes;Lindbergviridae;Pbunavirus;Pbunavirus PA8P1</t>
  </si>
  <si>
    <t>Monodnaviria;Sangervirae;Phixviricota;Malgrandaviricetes</t>
  </si>
  <si>
    <t>Monodnaviria;Sangervirae;Phixviricota;Malgrandaviricetes;Petitvirales</t>
  </si>
  <si>
    <t>Monodnaviria;Sangervirae;Phixviricota;Malgrandaviricetes;Petitvirales;Microviridae;Gokushovirinae;Bdellomicrovirus;Bdellovibrio virus MAC1</t>
  </si>
  <si>
    <t>Riboviria;Orthornavirae;Kitrinoviricota;Alsuviricetes;Martellivirales;Closteroviridae;Closterovirus;Closterovirus flavarctii</t>
  </si>
  <si>
    <t>Riboviria;Orthornavirae;Kitrinoviricota;Alsuviricetes;Tymovirales;Betaflexiviridae;Quinvirinae;Carlavirus;Carlavirus cacti</t>
  </si>
  <si>
    <t>Riboviria;Orthornavirae;Kitrinoviricota;Alsuviricetes;Tymovirales;Betaflexiviridae;Quinvirinae;Carlavirus;Carlavirus cornutum</t>
  </si>
  <si>
    <t>Riboviria;Orthornavirae;Negarnaviricota;Polyploviricotina;Bunyaviricetes;Hareavirales;Phenuiviridae;Laulavirus;Laulavirus wardellense</t>
  </si>
  <si>
    <t>Riboviria;Orthornavirae;Pisuviricota;Pisoniviricetes;Picornavirales;Secoviridae;Comovirinae;Nepovirus;Nepovirus americaense</t>
  </si>
  <si>
    <t>Riboviria;Orthornavirae;Pisuviricota;Pisoniviricetes;Picornavirales;Secoviridae;Comovirinae;Nepovirus;Nepovirus australiaense</t>
  </si>
  <si>
    <t>Riboviria;Orthornavirae;Pisuviricota;Pisoniviricetes;Picornavirales;Secoviridae;Waikavirus;Waikavirus anthrisci</t>
  </si>
  <si>
    <t>Naldaviricetes;Lefavirales;Baculoviridae;Betabaculovirus;Betabaculovirus trini</t>
  </si>
  <si>
    <t>Rhizidiovirus</t>
  </si>
  <si>
    <t>Rhizidiovirus;Rhizidiomyces virus</t>
  </si>
  <si>
    <t>Duplodnaviria;Heunggongvirae;Uroviricota;Caudoviricetes;Crassvirales;Crevaviridae;Coarsevirinae;Junduvirus;Junduvirus communis</t>
  </si>
  <si>
    <t>Duplodnaviria;Heunggongvirae;Uroviricota;Caudoviricetes;Crassvirales;Crevaviridae;Arseivirus;Arseivirus communis</t>
  </si>
  <si>
    <t>Duplodnaviria;Heunggongvirae;Uroviricota;Caudoviricetes;Crassvirales;Suoliviridae;Oafivirinae;Buhlduvirus;Buhlduvirus animalis</t>
  </si>
  <si>
    <t>Duplodnaviria;Heunggongvirae;Uroviricota;Caudoviricetes;Crassvirales;Darmviridae;Scendivirus;Scendivirus animalis</t>
  </si>
  <si>
    <t>Duplodnaviria;Heunggongvirae;Uroviricota;Caudoviricetes;Crassvirales;Suoliviridae;Oafivirinae;Burzaovirus;Burzaovirus coli</t>
  </si>
  <si>
    <t>Duplodnaviria;Heunggongvirae;Uroviricota;Caudoviricetes;Crassvirales;Darmviridae;Sdahravirus;Sdahravirus coli</t>
  </si>
  <si>
    <t>Duplodnaviria;Heunggongvirae;Uroviricota;Caudoviricetes;Crassvirales;Suoliviridae;Oafivirinae;Burzaovirus;Burzaovirus intestinihominis</t>
  </si>
  <si>
    <t>Duplodnaviria;Heunggongvirae;Uroviricota;Caudoviricetes;Crassvirales;Darmviridae;Smehivirus;Smehivirus intestinihominis</t>
  </si>
  <si>
    <t>Duplodnaviria;Heunggongvirae;Uroviricota;Caudoviricetes;Crassvirales;Intestiviridae;Churivirinae;Jahgtovirus;Jahgtovirus intestinalis</t>
  </si>
  <si>
    <t>Duplodnaviria;Heunggongvirae;Uroviricota;Caudoviricetes;Crassvirales;Intestiviridae;Wiibonovirus;Wiibonovirus intestinalis</t>
  </si>
  <si>
    <t>Duplodnaviria;Heunggongvirae;Uroviricota;Caudoviricetes;Crassvirales;Steigviridae;Asinivirinae;Kahnovirus;Kahnovirus oralis</t>
  </si>
  <si>
    <t>Duplodnaviria;Heunggongvirae;Uroviricota;Caudoviricetes;Crassvirales;Steigviridae;Flerehovirus;Flerehovirus oralis</t>
  </si>
  <si>
    <t>Duplodnaviria;Heunggongvirae;Uroviricota;Caudoviricetes;Crassvirales;Steigviridae;Asinivirinae;Kehishuvirus;Kehishuvirus splanchnicus</t>
  </si>
  <si>
    <t>Duplodnaviria;Heunggongvirae;Uroviricota;Caudoviricetes;Crassvirales;Steigviridae;Snepbuvirus;Snepbuvirus splanchnicus</t>
  </si>
  <si>
    <t>Duplodnaviria;Heunggongvirae;Uroviricota;Caudoviricetes;Crassvirales;Suoliviridae;Bearivirinae;Afonbuvirus;Afonbuvirus coli</t>
  </si>
  <si>
    <t>Duplodnaviria;Heunggongvirae;Uroviricota;Caudoviricetes;Crassvirales;Suoliviridae;Cervivirus;Cervivirus coli</t>
  </si>
  <si>
    <t>Duplodnaviria;Heunggongvirae;Uroviricota;Caudoviricetes;Crassvirales;Suoliviridae;Loutivirinae;Buchavirus;Buchavirus hiberniae</t>
  </si>
  <si>
    <t>Duplodnaviria;Heunggongvirae;Uroviricota;Caudoviricetes;Crassvirales;Suoliviridae;Horekuvirus;Horekuvirus hiberniae</t>
  </si>
  <si>
    <t>Duplodnaviria;Heunggongvirae;Uroviricota;Caudoviricetes;Crassvirales;Suoliviridae;Loutivirinae;Buchavirus;Buchavirus hominis</t>
  </si>
  <si>
    <t>Duplodnaviria;Heunggongvirae;Uroviricota;Caudoviricetes;Crassvirales;Suoliviridae;Horekuvirus;Horekuvirus hominis</t>
  </si>
  <si>
    <t>Duplodnaviria;Heunggongvirae;Uroviricota;Caudoviricetes;Crassvirales;Suoliviridae;Uncouvirinae;Birpovirus;Birpovirus hominis</t>
  </si>
  <si>
    <t>Duplodnaviria;Heunggongvirae;Uroviricota;Caudoviricetes;Crassvirales;Suoliviridae;Ibumevirus;Ibumevirus hominis</t>
  </si>
  <si>
    <t>Duplodnaviria;Heunggongvirae;Uroviricota;Caudoviricetes;Crassvirales;Suoliviridae;Loutivirinae;Buchavirus;Buchavirus coli</t>
  </si>
  <si>
    <t>Duplodnaviria;Heunggongvirae;Uroviricota;Caudoviricetes;Crassvirales;Suoliviridae;Ildiruevirus;Ildiruevirus coli</t>
  </si>
  <si>
    <t>Duplodnaviria;Heunggongvirae;Uroviricota;Caudoviricetes;Crassvirales;Suoliviridae;Loutivirinae;Buchavirus;Buchavirus oralis</t>
  </si>
  <si>
    <t>Duplodnaviria;Heunggongvirae;Uroviricota;Caudoviricetes;Crassvirales;Suoliviridae;Ildiruevirus;Ildiruevirus oralis</t>
  </si>
  <si>
    <t>Duplodnaviria;Heunggongvirae;Uroviricota;Caudoviricetes;Crassvirales;Suoliviridae;Loutivirinae;Buchavirus;Buchavirus splanchnicus</t>
  </si>
  <si>
    <t>Duplodnaviria;Heunggongvirae;Uroviricota;Caudoviricetes;Crassvirales;Suoliviridae;Ildiruevirus;Ildiruevirus splanchnicus</t>
  </si>
  <si>
    <t>Duplodnaviria;Heunggongvirae;Uroviricota;Caudoviricetes;Crassvirales;Suoliviridae;Loutivirinae;Buchavirus;Buchavirus faecalis</t>
  </si>
  <si>
    <t>Duplodnaviria;Heunggongvirae;Uroviricota;Caudoviricetes;Crassvirales;Suoliviridae;Ponsivirus;Ponsivirus faecalis</t>
  </si>
  <si>
    <t>Duplodnaviria;Heunggongvirae;Uroviricota;Caudoviricetes;Crassvirales;Suoliviridae;Boorivirinae;Culoivirus;Culoivirus americanus</t>
  </si>
  <si>
    <t>Duplodnaviria;Heunggongvirae;Uroviricota;Caudoviricetes;Crassvirales;Suoliviridae;Shelovirus;Shelovirus americanus</t>
  </si>
  <si>
    <t>Duplodnaviria;Heunggongvirae;Uroviricota;Caudoviricetes;Crassvirales;Suoliviridae;Boorivirinae;Culoivirus;Culoivirus intestinalis</t>
  </si>
  <si>
    <t>Duplodnaviria;Heunggongvirae;Uroviricota;Caudoviricetes;Crassvirales;Suoliviridae;Shelovirus;Shelovirus intestinalis</t>
  </si>
  <si>
    <t>Duplodnaviria;Heunggongvirae;Uroviricota;Caudoviricetes;Crassvirales;Suoliviridae;Loutivirinae;Buchavirus;Buchavirus copri</t>
  </si>
  <si>
    <t>Duplodnaviria;Heunggongvirae;Uroviricota;Caudoviricetes;Crassvirales;Suoliviridae;Shuolduvirus;Shuolduvirus copri</t>
  </si>
  <si>
    <t>Duplodnaviria;Heunggongvirae;Uroviricota;Caudoviricetes;Crassvirales;Suoliviridae;Uncouvirinae;Aurodevirus;Aurodevirus hominis</t>
  </si>
  <si>
    <t>Duplodnaviria;Heunggongvirae;Uroviricota;Caudoviricetes;Crassvirales;Suoliviridae;Snuvovirus;Snuvovirus hominis</t>
  </si>
  <si>
    <t>Duplodnaviria;Heunggongvirae;Uroviricota;Caudoviricetes;Crassvirales;Suoliviridae;Loutivirinae;Blohavirus;Blohavirus americanus</t>
  </si>
  <si>
    <t>Duplodnaviria;Heunggongvirae;Uroviricota;Caudoviricetes;Crassvirales;Suoliviridae;Sulruvirus;Sulruvirus americanus</t>
  </si>
  <si>
    <t>Duplodnaviria;Heunggongvirae;Uroviricota;Caudoviricetes;Crassvirales;Suoliviridae;Uncouvirinae;Aurodevirus;Aurodevirus hiberniae</t>
  </si>
  <si>
    <t>Duplodnaviria;Heunggongvirae;Uroviricota;Caudoviricetes;Crassvirales;Suoliviridae;Taduhovirus;Taduhovirus hiberniae</t>
  </si>
  <si>
    <t>Duplodnaviria;Heunggongvirae;Uroviricota;Caudoviricetes;Crassvirales;Suoliviridae;Boorivirinae;Canhaevirus;Canhaevirus faecalis</t>
  </si>
  <si>
    <t>Duplodnaviria;Heunggongvirae;Uroviricota;Caudoviricetes;Crassvirales;Suoliviridae;Trofluuvirus;Trofluuvirus faecalis</t>
  </si>
  <si>
    <t>Duplodnaviria;Heunggongvirae;Uroviricota;Caudoviricetes;Vieuvirus;Vieuvirus R3177</t>
  </si>
  <si>
    <t>Duplodnaviria;Heunggongvirae;Uroviricota;Caudoviricetes;Buchnerviridae;Jauervirus;Jauervirus R3177</t>
  </si>
  <si>
    <t>Duplodnaviria;Heunggongvirae;Uroviricota;Caudoviricetes;Obolenskvirus;Obolenskvirus AbP2</t>
  </si>
  <si>
    <t>Duplodnaviria;Heunggongvirae;Uroviricota;Caudoviricetes;Hirszfeldviridae;Burnvirus;Burnvirus AbP2</t>
  </si>
  <si>
    <t>Duplodnaviria;Heunggongvirae;Uroviricota;Caudoviricetes;Obolenskvirus;Obolenskvirus WCHABP1</t>
  </si>
  <si>
    <t>Duplodnaviria;Heunggongvirae;Uroviricota;Caudoviricetes;Hirszfeldviridae;Sichuanvirus;Sichuanvirus WCHABP1</t>
  </si>
  <si>
    <t>Duplodnaviria;Heunggongvirae;Uroviricota;Caudoviricetes;Obolenskvirus;Obolenskvirus WCHABP12</t>
  </si>
  <si>
    <t>Duplodnaviria;Heunggongvirae;Uroviricota;Caudoviricetes;Hirszfeldviridae;Sichuanvirus;Sichuanvirus WCHABP12</t>
  </si>
  <si>
    <t>Duplodnaviria;Heunggongvirae;Uroviricota;Caudoviricetes;Obolenskvirus;Obolenskvirus AP22</t>
  </si>
  <si>
    <t>Duplodnaviria;Heunggongvirae;Uroviricota;Caudoviricetes;Hirszfeldviridae;Theraphagusvirus;Theraphagusvirus AP22</t>
  </si>
  <si>
    <t>Duplodnaviria;Heunggongvirae;Uroviricota;Caudoviricetes;Obolenskvirus;Obolenskvirus AB1</t>
  </si>
  <si>
    <t>Duplodnaviria;Heunggongvirae;Uroviricota;Caudoviricetes;Hirszfeldviridae;Wenzhouvirus;Wenzhouvirus AB1</t>
  </si>
  <si>
    <t>Duplodnaviria;Heunggongvirae;Uroviricota;Caudoviricetes;Steinhofvirus;Steinhofvirus sv8324</t>
  </si>
  <si>
    <t>Duplodnaviria;Heunggongvirae;Uroviricota;Caudoviricetes;Alvaradovirinae;Amaduovirus;Amaduovirus sv8324</t>
  </si>
  <si>
    <t>Duplodnaviria;Heunggongvirae;Uroviricota;Caudoviricetes;Sourvirus</t>
  </si>
  <si>
    <t>Duplodnaviria;Heunggongvirae;Uroviricota;Caudoviricetes;Santaclaravirinae;Westmeadvirus</t>
  </si>
  <si>
    <t>Duplodnaviria;Heunggongvirae;Uroviricota;Caudoviricetes;Sourvirus;Sourvirus sour</t>
  </si>
  <si>
    <t>Duplodnaviria;Heunggongvirae;Uroviricota;Caudoviricetes;Santaclaravirinae;Westmeadvirus;Westmeadvirus sour</t>
  </si>
  <si>
    <t>Duplodnaviria;Heunggongvirae;Uroviricota;Caudoviricetes;Orchidvirus</t>
  </si>
  <si>
    <t>Duplodnaviria;Heunggongvirae;Uroviricota;Caudoviricetes;Cratervirus</t>
  </si>
  <si>
    <t>Duplodnaviria;Heunggongvirae;Uroviricota;Caudoviricetes;Orchidvirus;Orchidvirus orchid</t>
  </si>
  <si>
    <t>Duplodnaviria;Heunggongvirae;Uroviricota;Caudoviricetes;Cratervirus;Cratervirus orchid</t>
  </si>
  <si>
    <t>Duplodnaviria;Heunggongvirae;Uroviricota;Caudoviricetes;Apricotvirus</t>
  </si>
  <si>
    <t>Duplodnaviria;Heunggongvirae;Uroviricota;Caudoviricetes;Kampevirus</t>
  </si>
  <si>
    <t>Duplodnaviria;Heunggongvirae;Uroviricota;Caudoviricetes;Apricotvirus;Apricotvirus apricot</t>
  </si>
  <si>
    <t>Duplodnaviria;Heunggongvirae;Uroviricota;Caudoviricetes;Kampevirus;Kampevirus apricot</t>
  </si>
  <si>
    <t>Duplodnaviria;Heunggongvirae;Uroviricota;Caudoviricetes;Vhmlvirus</t>
  </si>
  <si>
    <t>Duplodnaviria;Heunggongvirae;Uroviricota;Caudoviricetes;Oonoonbavirus</t>
  </si>
  <si>
    <t>Duplodnaviria;Heunggongvirae;Uroviricota;Caudoviricetes;Vhmlvirus;Vhmlvirus mar</t>
  </si>
  <si>
    <t>Duplodnaviria;Heunggongvirae;Uroviricota;Caudoviricetes;Oonoonbavirus;Oonoonbavirus mar</t>
  </si>
  <si>
    <t>Duplodnaviria;Heunggongvirae;Uroviricota;Caudoviricetes;Vhmlvirus;Vhmlvirus VHML</t>
  </si>
  <si>
    <t>Duplodnaviria;Heunggongvirae;Uroviricota;Caudoviricetes;Oonoonbavirus;Oonoonbavirus VHML</t>
  </si>
  <si>
    <t>Duplodnaviria;Heunggongvirae;Uroviricota;Caudoviricetes;Vhmlvirus;Vhmlvirus VP585</t>
  </si>
  <si>
    <t>Duplodnaviria;Heunggongvirae;Uroviricota;Caudoviricetes;Oonoonbavirus;Oonoonbavirus VP85</t>
  </si>
  <si>
    <t>realm</t>
  </si>
  <si>
    <t>Monodnaviria</t>
  </si>
  <si>
    <t>Monodnaviria;Shotokuvirae;Cossaviricota;Mouviricetes;Polivirales;Bidnaviridae;Bidensovirus;Bombyx mori bidensovirus</t>
  </si>
  <si>
    <t>Floreoviria;Shotokuvirae;Cossaviricota;Mouviricetes;Polivirales;Bidnaviridae;Bidensovirus;Bidensovirus bombymori</t>
  </si>
  <si>
    <t>Monodnaviria;Shotokuvirae;Cossaviricota;Quintoviricetes;Piccovirales;Parvoviridae;Densovirinae;Miniambidensovirus;Orthopteran miniambidensovirus 1</t>
  </si>
  <si>
    <t>Floreoviria;Shotokuvirae;Cossaviricota;Quintoviricetes;Piccovirales;Parvoviridae;Densovirinae;Miniambidensovirus;Miniambidensovirus orthopteran1</t>
  </si>
  <si>
    <t>Monodnaviria;Shotokuvirae;Cossaviricota;Quintoviricetes;Piccovirales;Parvoviridae;Hamaparvovirinae;Chaphamaparvovirus</t>
  </si>
  <si>
    <t>Floreoviria;Shotokuvirae;Cossaviricota;Quintoviricetes;Piccovirales;Parvoviridae;Hamavirinae;Chaphamavirus</t>
  </si>
  <si>
    <t>Monodnaviria;Shotokuvirae;Cossaviricota;Quintoviricetes;Piccovirales;Parvoviridae;Hamaparvovirinae;Chaphamaparvovirus;Chaphamaparvovirus anseriform1</t>
  </si>
  <si>
    <t>Floreoviria;Shotokuvirae;Cossaviricota;Quintoviricetes;Piccovirales;Parvoviridae;Hamavirinae;Chaphamavirus;Chaphamavirus anseriform1</t>
  </si>
  <si>
    <t>Monodnaviria;Shotokuvirae;Cossaviricota;Quintoviricetes;Piccovirales;Parvoviridae;Hamaparvovirinae;Chaphamaparvovirus;Chaphamaparvovirus anseriform2</t>
  </si>
  <si>
    <t>Floreoviria;Shotokuvirae;Cossaviricota;Quintoviricetes;Piccovirales;Parvoviridae;Hamavirinae;Chaphamavirus;Chaphamavirus anseriform2</t>
  </si>
  <si>
    <t>Monodnaviria;Shotokuvirae;Cossaviricota;Quintoviricetes;Piccovirales;Parvoviridae;Hamaparvovirinae;Chaphamaparvovirus;Chaphamaparvovirus anseriform3</t>
  </si>
  <si>
    <t>Floreoviria;Shotokuvirae;Cossaviricota;Quintoviricetes;Piccovirales;Parvoviridae;Hamavirinae;Chaphamavirus;Chaphamavirus anseriform3</t>
  </si>
  <si>
    <t>Monodnaviria;Shotokuvirae;Cossaviricota;Quintoviricetes;Piccovirales;Parvoviridae;Hamaparvovirinae;Chaphamaparvovirus;Chaphamaparvovirus anseriform4</t>
  </si>
  <si>
    <t>Floreoviria;Shotokuvirae;Cossaviricota;Quintoviricetes;Piccovirales;Parvoviridae;Hamavirinae;Chaphamavirus;Chaphamavirus anseriform4</t>
  </si>
  <si>
    <t>Monodnaviria;Shotokuvirae;Cossaviricota;Quintoviricetes;Piccovirales;Parvoviridae;Hamaparvovirinae;Chaphamaparvovirus;Chaphamaparvovirus anseriform5</t>
  </si>
  <si>
    <t>Floreoviria;Shotokuvirae;Cossaviricota;Quintoviricetes;Piccovirales;Parvoviridae;Hamavirinae;Chaphamavirus;Chaphamavirus anseriform5</t>
  </si>
  <si>
    <t>Monodnaviria;Shotokuvirae;Cossaviricota;Quintoviricetes;Piccovirales;Parvoviridae;Hamaparvovirinae;Chaphamaparvovirus;Chaphamaparvovirus anseriform6</t>
  </si>
  <si>
    <t>Floreoviria;Shotokuvirae;Cossaviricota;Quintoviricetes;Piccovirales;Parvoviridae;Hamavirinae;Chaphamavirus;Chaphamavirus anseriform6</t>
  </si>
  <si>
    <t>Monodnaviria;Shotokuvirae;Cossaviricota;Quintoviricetes;Piccovirales;Parvoviridae;Hamaparvovirinae;Chaphamaparvovirus;Chaphamaparvovirus avian1</t>
  </si>
  <si>
    <t>Floreoviria;Shotokuvirae;Cossaviricota;Quintoviricetes;Piccovirales;Parvoviridae;Hamavirinae;Chaphamavirus;Chaphamavirus avian1</t>
  </si>
  <si>
    <t>Monodnaviria;Shotokuvirae;Cossaviricota;Quintoviricetes;Piccovirales;Parvoviridae;Hamaparvovirinae;Chaphamaparvovirus;Chaphamaparvovirus carnivoran1</t>
  </si>
  <si>
    <t>Floreoviria;Shotokuvirae;Cossaviricota;Quintoviricetes;Piccovirales;Parvoviridae;Hamavirinae;Chaphamavirus;Chaphamavirus carnivoran1</t>
  </si>
  <si>
    <t>Monodnaviria;Shotokuvirae;Cossaviricota;Quintoviricetes;Piccovirales;Parvoviridae;Hamaparvovirinae;Chaphamaparvovirus;Chaphamaparvovirus carnivoran2</t>
  </si>
  <si>
    <t>Floreoviria;Shotokuvirae;Cossaviricota;Quintoviricetes;Piccovirales;Parvoviridae;Hamavirinae;Chaphamavirus;Chaphamavirus carnivoran2</t>
  </si>
  <si>
    <t>Monodnaviria;Shotokuvirae;Cossaviricota;Quintoviricetes;Piccovirales;Parvoviridae;Hamaparvovirinae;Chaphamaparvovirus;Chaphamaparvovirus carnivoran3</t>
  </si>
  <si>
    <t>Floreoviria;Shotokuvirae;Cossaviricota;Quintoviricetes;Piccovirales;Parvoviridae;Hamavirinae;Chaphamavirus;Chaphamavirus carnivoran3</t>
  </si>
  <si>
    <t>Monodnaviria;Shotokuvirae;Cossaviricota;Quintoviricetes;Piccovirales;Parvoviridae;Hamaparvovirinae;Chaphamaparvovirus;Chaphamaparvovirus chiropteran1</t>
  </si>
  <si>
    <t>Floreoviria;Shotokuvirae;Cossaviricota;Quintoviricetes;Piccovirales;Parvoviridae;Hamavirinae;Chaphamavirus;Chaphamavirus chiropteran1</t>
  </si>
  <si>
    <t>Monodnaviria;Shotokuvirae;Cossaviricota;Quintoviricetes;Piccovirales;Parvoviridae;Hamaparvovirinae;Chaphamaparvovirus;Chaphamaparvovirus chiropteran2</t>
  </si>
  <si>
    <t>Floreoviria;Shotokuvirae;Cossaviricota;Quintoviricetes;Piccovirales;Parvoviridae;Hamavirinae;Chaphamavirus;Chaphamavirus chiropteran2</t>
  </si>
  <si>
    <t>Monodnaviria;Shotokuvirae;Cossaviricota;Quintoviricetes;Piccovirales;Parvoviridae;Hamaparvovirinae;Chaphamaparvovirus;Chaphamaparvovirus dasyurid1</t>
  </si>
  <si>
    <t>Floreoviria;Shotokuvirae;Cossaviricota;Quintoviricetes;Piccovirales;Parvoviridae;Hamavirinae;Chaphamavirus;Chaphamavirus dasyurid1</t>
  </si>
  <si>
    <t>Monodnaviria;Shotokuvirae;Cossaviricota;Quintoviricetes;Piccovirales;Parvoviridae;Hamaparvovirinae;Chaphamaparvovirus;Chaphamaparvovirus dasyurid2</t>
  </si>
  <si>
    <t>Floreoviria;Shotokuvirae;Cossaviricota;Quintoviricetes;Piccovirales;Parvoviridae;Hamavirinae;Chaphamavirus;Chaphamavirus dasyurid2</t>
  </si>
  <si>
    <t>Monodnaviria;Shotokuvirae;Cossaviricota;Quintoviricetes;Piccovirales;Parvoviridae;Hamaparvovirinae;Chaphamaparvovirus;Chaphamaparvovirus dasyurid3</t>
  </si>
  <si>
    <t>Floreoviria;Shotokuvirae;Cossaviricota;Quintoviricetes;Piccovirales;Parvoviridae;Hamavirinae;Chaphamavirus;Chaphamavirus dasyurid3</t>
  </si>
  <si>
    <t>Monodnaviria;Shotokuvirae;Cossaviricota;Quintoviricetes;Piccovirales;Parvoviridae;Hamaparvovirinae;Chaphamaparvovirus;Chaphamaparvovirus galliform1</t>
  </si>
  <si>
    <t>Floreoviria;Shotokuvirae;Cossaviricota;Quintoviricetes;Piccovirales;Parvoviridae;Hamavirinae;Chaphamavirus;Chaphamavirus galliform1</t>
  </si>
  <si>
    <t>Monodnaviria;Shotokuvirae;Cossaviricota;Quintoviricetes;Piccovirales;Parvoviridae;Hamaparvovirinae;Chaphamaparvovirus;Chaphamaparvovirus galliform2</t>
  </si>
  <si>
    <t>Floreoviria;Shotokuvirae;Cossaviricota;Quintoviricetes;Piccovirales;Parvoviridae;Hamavirinae;Chaphamavirus;Chaphamavirus galliform2</t>
  </si>
  <si>
    <t>Monodnaviria;Shotokuvirae;Cossaviricota;Quintoviricetes;Piccovirales;Parvoviridae;Hamaparvovirinae;Chaphamaparvovirus;Chaphamaparvovirus galliform3</t>
  </si>
  <si>
    <t>Floreoviria;Shotokuvirae;Cossaviricota;Quintoviricetes;Piccovirales;Parvoviridae;Hamavirinae;Chaphamavirus;Chaphamavirus galliform3</t>
  </si>
  <si>
    <t>Monodnaviria;Shotokuvirae;Cossaviricota;Quintoviricetes;Piccovirales;Parvoviridae;Hamaparvovirinae;Chaphamaparvovirus;Chaphamaparvovirus galliform4</t>
  </si>
  <si>
    <t>Floreoviria;Shotokuvirae;Cossaviricota;Quintoviricetes;Piccovirales;Parvoviridae;Hamavirinae;Chaphamavirus;Chaphamavirus galliform4</t>
  </si>
  <si>
    <t>Monodnaviria;Shotokuvirae;Cossaviricota;Quintoviricetes;Piccovirales;Parvoviridae;Hamaparvovirinae;Chaphamaparvovirus;Chaphamaparvovirus galliform5</t>
  </si>
  <si>
    <t>Floreoviria;Shotokuvirae;Cossaviricota;Quintoviricetes;Piccovirales;Parvoviridae;Hamavirinae;Chaphamavirus;Chaphamavirus galliform5</t>
  </si>
  <si>
    <t>Monodnaviria;Shotokuvirae;Cossaviricota;Quintoviricetes;Piccovirales;Parvoviridae;Hamaparvovirinae;Chaphamaparvovirus;Chaphamaparvovirus galliform6</t>
  </si>
  <si>
    <t>Floreoviria;Shotokuvirae;Cossaviricota;Quintoviricetes;Piccovirales;Parvoviridae;Hamavirinae;Chaphamavirus;Chaphamavirus galliform6</t>
  </si>
  <si>
    <t>Monodnaviria;Shotokuvirae;Cossaviricota;Quintoviricetes;Piccovirales;Parvoviridae;Hamaparvovirinae;Chaphamaparvovirus;Chaphamaparvovirus galliform7</t>
  </si>
  <si>
    <t>Floreoviria;Shotokuvirae;Cossaviricota;Quintoviricetes;Piccovirales;Parvoviridae;Hamavirinae;Chaphamavirus;Chaphamavirus galliform7</t>
  </si>
  <si>
    <t>Monodnaviria;Shotokuvirae;Cossaviricota;Quintoviricetes;Piccovirales;Parvoviridae;Hamaparvovirinae;Chaphamaparvovirus;Chaphamaparvovirus gruiform1</t>
  </si>
  <si>
    <t>Floreoviria;Shotokuvirae;Cossaviricota;Quintoviricetes;Piccovirales;Parvoviridae;Hamavirinae;Chaphamavirus;Chaphamavirus gruiform1</t>
  </si>
  <si>
    <t>Monodnaviria;Shotokuvirae;Cossaviricota;Quintoviricetes;Piccovirales;Parvoviridae;Hamaparvovirinae;Chaphamaparvovirus;Chaphamaparvovirus gruiform2</t>
  </si>
  <si>
    <t>Floreoviria;Shotokuvirae;Cossaviricota;Quintoviricetes;Piccovirales;Parvoviridae;Hamavirinae;Chaphamavirus;Chaphamavirus gruiform2</t>
  </si>
  <si>
    <t>Monodnaviria;Shotokuvirae;Cossaviricota;Quintoviricetes;Piccovirales;Parvoviridae;Hamaparvovirinae;Chaphamaparvovirus;Chaphamaparvovirus gruiform3</t>
  </si>
  <si>
    <t>Floreoviria;Shotokuvirae;Cossaviricota;Quintoviricetes;Piccovirales;Parvoviridae;Hamavirinae;Chaphamavirus;Chaphamavirus gruiform3</t>
  </si>
  <si>
    <t>Monodnaviria;Shotokuvirae;Cossaviricota;Quintoviricetes;Piccovirales;Parvoviridae;Hamaparvovirinae;Chaphamaparvovirus;Chaphamaparvovirus gruiform4</t>
  </si>
  <si>
    <t>Floreoviria;Shotokuvirae;Cossaviricota;Quintoviricetes;Piccovirales;Parvoviridae;Hamavirinae;Chaphamavirus;Chaphamavirus gruiform4</t>
  </si>
  <si>
    <t>Monodnaviria;Shotokuvirae;Cossaviricota;Quintoviricetes;Piccovirales;Parvoviridae;Hamaparvovirinae;Chaphamaparvovirus;Chaphamaparvovirus perciform1</t>
  </si>
  <si>
    <t>Floreoviria;Shotokuvirae;Cossaviricota;Quintoviricetes;Piccovirales;Parvoviridae;Hamavirinae;Chaphamavirus;Chaphamavirus perciform1</t>
  </si>
  <si>
    <t>Monodnaviria;Shotokuvirae;Cossaviricota;Quintoviricetes;Piccovirales;Parvoviridae;Hamaparvovirinae;Chaphamaparvovirus;Chaphamaparvovirus pholidota1</t>
  </si>
  <si>
    <t>Floreoviria;Shotokuvirae;Cossaviricota;Quintoviricetes;Piccovirales;Parvoviridae;Hamavirinae;Chaphamavirus;Chaphamavirus pholidota1</t>
  </si>
  <si>
    <t>Monodnaviria;Shotokuvirae;Cossaviricota;Quintoviricetes;Piccovirales;Parvoviridae;Hamaparvovirinae;Chaphamaparvovirus;Chaphamaparvovirus primate1</t>
  </si>
  <si>
    <t>Floreoviria;Shotokuvirae;Cossaviricota;Quintoviricetes;Piccovirales;Parvoviridae;Hamavirinae;Chaphamavirus;Chaphamavirus primate1</t>
  </si>
  <si>
    <t>Monodnaviria;Shotokuvirae;Cossaviricota;Quintoviricetes;Piccovirales;Parvoviridae;Hamaparvovirinae;Chaphamaparvovirus;Chaphamaparvovirus primate2</t>
  </si>
  <si>
    <t>Floreoviria;Shotokuvirae;Cossaviricota;Quintoviricetes;Piccovirales;Parvoviridae;Hamavirinae;Chaphamavirus;Chaphamavirus primate2</t>
  </si>
  <si>
    <t>Monodnaviria;Shotokuvirae;Cossaviricota;Quintoviricetes;Piccovirales;Parvoviridae;Hamaparvovirinae;Chaphamaparvovirus;Chaphamaparvovirus psittacine1</t>
  </si>
  <si>
    <t>Floreoviria;Shotokuvirae;Cossaviricota;Quintoviricetes;Piccovirales;Parvoviridae;Hamavirinae;Chaphamavirus;Chaphamavirus psittacine1</t>
  </si>
  <si>
    <t>Monodnaviria;Shotokuvirae;Cossaviricota;Quintoviricetes;Piccovirales;Parvoviridae;Hamaparvovirinae;Chaphamaparvovirus;Chaphamaparvovirus psittacine2</t>
  </si>
  <si>
    <t>Floreoviria;Shotokuvirae;Cossaviricota;Quintoviricetes;Piccovirales;Parvoviridae;Hamavirinae;Chaphamavirus;Chaphamavirus psittacine2</t>
  </si>
  <si>
    <t>Monodnaviria;Shotokuvirae;Cossaviricota;Quintoviricetes;Piccovirales;Parvoviridae;Hamaparvovirinae;Chaphamaparvovirus;Chaphamaparvovirus rodent1</t>
  </si>
  <si>
    <t>Floreoviria;Shotokuvirae;Cossaviricota;Quintoviricetes;Piccovirales;Parvoviridae;Hamavirinae;Chaphamavirus;Chaphamavirus rodent1</t>
  </si>
  <si>
    <t>Monodnaviria;Shotokuvirae;Cossaviricota;Quintoviricetes;Piccovirales;Parvoviridae;Hamaparvovirinae;Chaphamaparvovirus;Chaphamaparvovirus rodent2</t>
  </si>
  <si>
    <t>Floreoviria;Shotokuvirae;Cossaviricota;Quintoviricetes;Piccovirales;Parvoviridae;Hamavirinae;Chaphamavirus;Chaphamavirus rodent2</t>
  </si>
  <si>
    <t>Monodnaviria;Shotokuvirae;Cossaviricota;Quintoviricetes;Piccovirales;Parvoviridae;Hamaparvovirinae;Chaphamaparvovirus;Chaphamaparvovirus strigiform1</t>
  </si>
  <si>
    <t>Floreoviria;Shotokuvirae;Cossaviricota;Quintoviricetes;Piccovirales;Parvoviridae;Hamavirinae;Chaphamavirus;Chaphamavirus strigiform1</t>
  </si>
  <si>
    <t>Monodnaviria;Shotokuvirae;Cossaviricota;Quintoviricetes;Piccovirales;Parvoviridae;Hamaparvovirinae;Chaphamaparvovirus;Chaphamaparvovirus ungulate1</t>
  </si>
  <si>
    <t>Floreoviria;Shotokuvirae;Cossaviricota;Quintoviricetes;Piccovirales;Parvoviridae;Hamavirinae;Chaphamavirus;Chaphamavirus ungulate1</t>
  </si>
  <si>
    <t>Monodnaviria;Shotokuvirae;Cossaviricota;Quintoviricetes;Piccovirales;Parvoviridae;Hamaparvovirinae;Ichtchaphamaparvovirus</t>
  </si>
  <si>
    <t>Floreoviria;Shotokuvirae;Cossaviricota;Quintoviricetes;Piccovirales;Parvoviridae;Hamavirinae;Ichthamavirus</t>
  </si>
  <si>
    <t>Monodnaviria;Shotokuvirae;Cossaviricota;Quintoviricetes;Piccovirales;Parvoviridae;Hamaparvovirinae;Ichtchaphamaparvovirus;Ichtchaphamaparvovirus syngnathid1</t>
  </si>
  <si>
    <t>Floreoviria;Shotokuvirae;Cossaviricota;Quintoviricetes;Piccovirales;Parvoviridae;Hamavirinae;Ichthamavirus;Ichthamavirus syngnathid1</t>
  </si>
  <si>
    <t>Monodnaviria;Shotokuvirae;Cossaviricota;Quintoviricetes;Piccovirales;Parvoviridae;Hamaparvovirinae;Hepanhamaparvovirus</t>
  </si>
  <si>
    <t>Floreoviria;Shotokuvirae;Cossaviricota;Quintoviricetes;Piccovirales;Parvoviridae;Hepanvirinae;Protohepanvirus</t>
  </si>
  <si>
    <t>Monodnaviria;Shotokuvirae;Cossaviricota;Quintoviricetes;Piccovirales;Parvoviridae;Hamaparvovirinae;Hepanhamaparvovirus;Hepanhamaparvovirus decapod1</t>
  </si>
  <si>
    <t>Floreoviria;Shotokuvirae;Cossaviricota;Quintoviricetes;Piccovirales;Parvoviridae;Hepanvirinae;Protohepanvirus;Protohepanvirus decapod1</t>
  </si>
  <si>
    <t>Monodnaviria;Shotokuvirae;Cossaviricota;Quintoviricetes;Piccovirales;Parvoviridae;Metalloincertoparvovirus</t>
  </si>
  <si>
    <t>Floreoviria;Shotokuvirae;Cossaviricota;Quintoviricetes;Piccovirales;Parvoviridae;Metallovirinae;Protometallovirus</t>
  </si>
  <si>
    <t>Monodnaviria;Shotokuvirae;Cossaviricota;Quintoviricetes;Piccovirales;Parvoviridae;Metalloincertoparvovirus;Metalloincertoparvovirus decapod1</t>
  </si>
  <si>
    <t>Floreoviria;Shotokuvirae;Cossaviricota;Quintoviricetes;Piccovirales;Parvoviridae;Metallovirinae;Protometallovirus;Protometallovirus decapod1</t>
  </si>
  <si>
    <t>Monodnaviria;Shotokuvirae;Cossaviricota;Quintoviricetes;Piccovirales;Parvoviridae;Hamaparvovirinae;Brevihamaparvovirus</t>
  </si>
  <si>
    <t>Floreoviria;Shotokuvirae;Cossaviricota;Quintoviricetes;Piccovirales;Parvoviridae;Penbrevirinae;Brevipenbrevirus</t>
  </si>
  <si>
    <t>Monodnaviria;Shotokuvirae;Cossaviricota;Quintoviricetes;Piccovirales;Parvoviridae;Hamaparvovirinae;Brevihamaparvovirus;Brevihamaparvovirus dipteran1</t>
  </si>
  <si>
    <t>Floreoviria;Shotokuvirae;Cossaviricota;Quintoviricetes;Piccovirales;Parvoviridae;Penbrevirinae;Brevipenbrevirus;Brevipenbrevirus dipteran1</t>
  </si>
  <si>
    <t>Monodnaviria;Shotokuvirae;Cossaviricota;Quintoviricetes;Piccovirales;Parvoviridae;Hamaparvovirinae;Brevihamaparvovirus;Brevihamaparvovirus dipteran2</t>
  </si>
  <si>
    <t>Floreoviria;Shotokuvirae;Cossaviricota;Quintoviricetes;Piccovirales;Parvoviridae;Penbrevirinae;Brevipenbrevirus;Brevipenbrevirus dipteran2</t>
  </si>
  <si>
    <t>Monodnaviria;Shotokuvirae;Cossaviricota;Quintoviricetes;Piccovirales;Parvoviridae;Hamaparvovirinae;Brevihamaparvovirus;Brevihamaparvovirus orthopteran1</t>
  </si>
  <si>
    <t>Floreoviria;Shotokuvirae;Cossaviricota;Quintoviricetes;Piccovirales;Parvoviridae;Penbrevirinae;Brevipenbrevirus;Brevipenbrevirus orthopteran1</t>
  </si>
  <si>
    <t>Monodnaviria;Shotokuvirae;Cossaviricota;Quintoviricetes;Piccovirales;Parvoviridae;Hamaparvovirinae;Penstylhamaparvovirus</t>
  </si>
  <si>
    <t>Floreoviria;Shotokuvirae;Cossaviricota;Quintoviricetes;Piccovirales;Parvoviridae;Penbrevirinae;Shripenbrevirus</t>
  </si>
  <si>
    <t>Monodnaviria;Shotokuvirae;Cossaviricota;Quintoviricetes;Piccovirales;Parvoviridae;Hamaparvovirinae;Penstylhamaparvovirus;Penstylhamaparvovirus decapod1</t>
  </si>
  <si>
    <t>Floreoviria;Shotokuvirae;Cossaviricota;Quintoviricetes;Piccovirales;Parvoviridae;Penbrevirinae;Shripenbrevirus;Shripenbrevirus decapod1</t>
  </si>
  <si>
    <t>Riboviria;Orthornavirae;Kitrinoviricota;Flasuviricetes;Amarillovirales;Flaviviridae;Hepacivirus</t>
  </si>
  <si>
    <t>Riboviria;Orthornavirae;Kitrinoviricota;Flasuviricetes;Amarillovirales;Hepaciviridae;Orthohepacivirus</t>
  </si>
  <si>
    <t>Riboviria;Orthornavirae;Kitrinoviricota;Flasuviricetes;Amarillovirales;Flaviviridae;Hepacivirus;Hepacivirus bovis</t>
  </si>
  <si>
    <t>Riboviria;Orthornavirae;Kitrinoviricota;Flasuviricetes;Amarillovirales;Hepaciviridae;Orthohepacivirus;Orthohepacivirus bovis</t>
  </si>
  <si>
    <t>Riboviria;Orthornavirae;Kitrinoviricota;Flasuviricetes;Amarillovirales;Flaviviridae;Hepacivirus;Hepacivirus colobi</t>
  </si>
  <si>
    <t>Riboviria;Orthornavirae;Kitrinoviricota;Flasuviricetes;Amarillovirales;Hepaciviridae;Orthohepacivirus;Orthohepacivirus colobi</t>
  </si>
  <si>
    <t>Riboviria;Orthornavirae;Kitrinoviricota;Flasuviricetes;Amarillovirales;Flaviviridae;Hepacivirus;Hepacivirus equi</t>
  </si>
  <si>
    <t>Riboviria;Orthornavirae;Kitrinoviricota;Flasuviricetes;Amarillovirales;Hepaciviridae;Orthohepacivirus;Orthohepacivirus equi</t>
  </si>
  <si>
    <t>Riboviria;Orthornavirae;Kitrinoviricota;Flasuviricetes;Amarillovirales;Flaviviridae;Hepacivirus;Hepacivirus glareoli</t>
  </si>
  <si>
    <t>Riboviria;Orthornavirae;Kitrinoviricota;Flasuviricetes;Amarillovirales;Hepaciviridae;Orthohepacivirus;Orthohepacivirus glareoli</t>
  </si>
  <si>
    <t>Riboviria;Orthornavirae;Kitrinoviricota;Flasuviricetes;Amarillovirales;Flaviviridae;Hepacivirus;Hepacivirus hominis</t>
  </si>
  <si>
    <t>Riboviria;Orthornavirae;Kitrinoviricota;Flasuviricetes;Amarillovirales;Hepaciviridae;Orthohepacivirus;Orthohepacivirus hominis</t>
  </si>
  <si>
    <t>Riboviria;Orthornavirae;Kitrinoviricota;Flasuviricetes;Amarillovirales;Flaviviridae;Hepacivirus;Hepacivirus macronycteridis</t>
  </si>
  <si>
    <t>Riboviria;Orthornavirae;Kitrinoviricota;Flasuviricetes;Amarillovirales;Hepaciviridae;Orthohepacivirus;Orthohepacivirus macronycteridis</t>
  </si>
  <si>
    <t>Riboviria;Orthornavirae;Kitrinoviricota;Flasuviricetes;Amarillovirales;Flaviviridae;Hepacivirus;Hepacivirus myodae</t>
  </si>
  <si>
    <t>Riboviria;Orthornavirae;Kitrinoviricota;Flasuviricetes;Amarillovirales;Hepaciviridae;Orthohepacivirus;Orthohepacivirus myodae</t>
  </si>
  <si>
    <t>Riboviria;Orthornavirae;Kitrinoviricota;Flasuviricetes;Amarillovirales;Flaviviridae;Hepacivirus;Hepacivirus norvegici</t>
  </si>
  <si>
    <t>Riboviria;Orthornavirae;Kitrinoviricota;Flasuviricetes;Amarillovirales;Hepaciviridae;Orthohepacivirus;Orthohepacivirus norvegici</t>
  </si>
  <si>
    <t>Riboviria;Orthornavirae;Kitrinoviricota;Flasuviricetes;Amarillovirales;Flaviviridae;Hepacivirus;Hepacivirus otomopis</t>
  </si>
  <si>
    <t>Riboviria;Orthornavirae;Kitrinoviricota;Flasuviricetes;Amarillovirales;Hepaciviridae;Orthohepacivirus;Orthohepacivirus otomopis</t>
  </si>
  <si>
    <t>Riboviria;Orthornavirae;Kitrinoviricota;Flasuviricetes;Amarillovirales;Flaviviridae;Hepacivirus;Hepacivirus peromysci</t>
  </si>
  <si>
    <t>Riboviria;Orthornavirae;Kitrinoviricota;Flasuviricetes;Amarillovirales;Hepaciviridae;Orthohepacivirus;Orthohepacivirus peromysci</t>
  </si>
  <si>
    <t>Riboviria;Orthornavirae;Kitrinoviricota;Flasuviricetes;Amarillovirales;Flaviviridae;Hepacivirus;Hepacivirus platyrrhini</t>
  </si>
  <si>
    <t>Riboviria;Orthornavirae;Kitrinoviricota;Flasuviricetes;Amarillovirales;Hepaciviridae;Orthohepacivirus;Orthohepacivirus platyrrhini</t>
  </si>
  <si>
    <t>Riboviria;Orthornavirae;Kitrinoviricota;Flasuviricetes;Amarillovirales;Flaviviridae;Hepacivirus;Hepacivirus ratti</t>
  </si>
  <si>
    <t>Riboviria;Orthornavirae;Kitrinoviricota;Flasuviricetes;Amarillovirales;Hepaciviridae;Orthohepacivirus;Orthohepacivirus ratti</t>
  </si>
  <si>
    <t>Riboviria;Orthornavirae;Kitrinoviricota;Flasuviricetes;Amarillovirales;Flaviviridae;Hepacivirus;Hepacivirus rhabdomysis</t>
  </si>
  <si>
    <t>Riboviria;Orthornavirae;Kitrinoviricota;Flasuviricetes;Amarillovirales;Hepaciviridae;Orthohepacivirus;Orthohepacivirus rhabdomysis</t>
  </si>
  <si>
    <t>Riboviria;Orthornavirae;Kitrinoviricota;Flasuviricetes;Amarillovirales;Flaviviridae;Hepacivirus;Hepacivirus vittatae</t>
  </si>
  <si>
    <t>Riboviria;Orthornavirae;Kitrinoviricota;Flasuviricetes;Amarillovirales;Hepaciviridae;Orthohepacivirus;Orthohepacivirus vittatae</t>
  </si>
  <si>
    <t>Riboviria;Orthornavirae;Kitrinoviricota;Flasuviricetes;Amarillovirales;Flaviviridae;Pestivirus</t>
  </si>
  <si>
    <t>Riboviria;Orthornavirae;Kitrinoviricota;Flasuviricetes;Amarillovirales;Pestiviridae;Orthopestivirus</t>
  </si>
  <si>
    <t>Riboviria;Orthornavirae;Kitrinoviricota;Flasuviricetes;Amarillovirales;Flaviviridae;Pestivirus;Pestivirus O</t>
  </si>
  <si>
    <t>Riboviria;Orthornavirae;Kitrinoviricota;Flasuviricetes;Amarillovirales;Pestiviridae;Orthopestivirus;Orthopestivirus agnis</t>
  </si>
  <si>
    <t>Riboviria;Orthornavirae;Kitrinoviricota;Flasuviricetes;Amarillovirales;Flaviviridae;Pestivirus;Pestivirus antilocaprae</t>
  </si>
  <si>
    <t>Riboviria;Orthornavirae;Kitrinoviricota;Flasuviricetes;Amarillovirales;Pestiviridae;Orthopestivirus;Orthopestivirus antilocaprae</t>
  </si>
  <si>
    <t>Riboviria;Orthornavirae;Kitrinoviricota;Flasuviricetes;Amarillovirales;Flaviviridae;Pestivirus;Pestivirus R</t>
  </si>
  <si>
    <t>Riboviria;Orthornavirae;Kitrinoviricota;Flasuviricetes;Amarillovirales;Pestiviridae;Orthopestivirus;Orthopestivirus apodemuris</t>
  </si>
  <si>
    <t>Riboviria;Orthornavirae;Kitrinoviricota;Flasuviricetes;Amarillovirales;Flaviviridae;Pestivirus;Pestivirus australiaense</t>
  </si>
  <si>
    <t>Riboviria;Orthornavirae;Kitrinoviricota;Flasuviricetes;Amarillovirales;Pestiviridae;Orthopestivirus;Orthopestivirus australiaense</t>
  </si>
  <si>
    <t>Riboviria;Orthornavirae;Kitrinoviricota;Flasuviricetes;Amarillovirales;Flaviviridae;Pestivirus;Pestivirus aydinense</t>
  </si>
  <si>
    <t>Riboviria;Orthornavirae;Kitrinoviricota;Flasuviricetes;Amarillovirales;Pestiviridae;Orthopestivirus;Orthopestivirus aydinense</t>
  </si>
  <si>
    <t>Riboviria;Orthornavirae;Kitrinoviricota;Flasuviricetes;Amarillovirales;Flaviviridae;Pestivirus;Pestivirus bovis</t>
  </si>
  <si>
    <t>Riboviria;Orthornavirae;Kitrinoviricota;Flasuviricetes;Amarillovirales;Pestiviridae;Orthopestivirus;Orthopestivirus bovis</t>
  </si>
  <si>
    <t>Riboviria;Orthornavirae;Kitrinoviricota;Flasuviricetes;Amarillovirales;Flaviviridae;Pestivirus;Pestivirus brazilense</t>
  </si>
  <si>
    <t>Riboviria;Orthornavirae;Kitrinoviricota;Flasuviricetes;Amarillovirales;Pestiviridae;Orthopestivirus;Orthopestivirus brazilense</t>
  </si>
  <si>
    <t>Riboviria;Orthornavirae;Kitrinoviricota;Flasuviricetes;Amarillovirales;Flaviviridae;Pestivirus;Pestivirus N</t>
  </si>
  <si>
    <t>Riboviria;Orthornavirae;Kitrinoviricota;Flasuviricetes;Amarillovirales;Pestiviridae;Orthopestivirus;Orthopestivirus caprinae</t>
  </si>
  <si>
    <t>Riboviria;Orthornavirae;Kitrinoviricota;Flasuviricetes;Amarillovirales;Flaviviridae;Pestivirus;Pestivirus giraffae</t>
  </si>
  <si>
    <t>Riboviria;Orthornavirae;Kitrinoviricota;Flasuviricetes;Amarillovirales;Pestiviridae;Orthopestivirus;Orthopestivirus giraffae</t>
  </si>
  <si>
    <t>Riboviria;Orthornavirae;Kitrinoviricota;Flasuviricetes;Amarillovirales;Flaviviridae;Pestivirus;Pestivirus P</t>
  </si>
  <si>
    <t>Riboviria;Orthornavirae;Kitrinoviricota;Flasuviricetes;Amarillovirales;Pestiviridae;Orthopestivirus;Orthopestivirus manidae</t>
  </si>
  <si>
    <t>Riboviria;Orthornavirae;Kitrinoviricota;Flasuviricetes;Amarillovirales;Flaviviridae;Pestivirus;Pestivirus Q</t>
  </si>
  <si>
    <t>Riboviria;Orthornavirae;Kitrinoviricota;Flasuviricetes;Amarillovirales;Pestiviridae;Orthopestivirus;Orthopestivirus niviventris</t>
  </si>
  <si>
    <t>Riboviria;Orthornavirae;Kitrinoviricota;Flasuviricetes;Amarillovirales;Flaviviridae;Pestivirus;Pestivirus ovis</t>
  </si>
  <si>
    <t>Riboviria;Orthornavirae;Kitrinoviricota;Flasuviricetes;Amarillovirales;Pestiviridae;Orthopestivirus;Orthopestivirus ovis</t>
  </si>
  <si>
    <t>Riboviria;Orthornavirae;Kitrinoviricota;Flasuviricetes;Amarillovirales;Flaviviridae;Pestivirus;Pestivirus M</t>
  </si>
  <si>
    <t>Riboviria;Orthornavirae;Kitrinoviricota;Flasuviricetes;Amarillovirales;Pestiviridae;Orthopestivirus;Orthopestivirus phocoenae</t>
  </si>
  <si>
    <t>Riboviria;Orthornavirae;Kitrinoviricota;Flasuviricetes;Amarillovirales;Flaviviridae;Pestivirus;Pestivirus ratti</t>
  </si>
  <si>
    <t>Riboviria;Orthornavirae;Kitrinoviricota;Flasuviricetes;Amarillovirales;Pestiviridae;Orthopestivirus;Orthopestivirus ratti</t>
  </si>
  <si>
    <t>Riboviria;Orthornavirae;Kitrinoviricota;Flasuviricetes;Amarillovirales;Flaviviridae;Pestivirus;Pestivirus S</t>
  </si>
  <si>
    <t>Riboviria;Orthornavirae;Kitrinoviricota;Flasuviricetes;Amarillovirales;Pestiviridae;Orthopestivirus;Orthopestivirus scotophili</t>
  </si>
  <si>
    <t>Riboviria;Orthornavirae;Kitrinoviricota;Flasuviricetes;Amarillovirales;Flaviviridae;Pestivirus;Pestivirus scrofae</t>
  </si>
  <si>
    <t>Riboviria;Orthornavirae;Kitrinoviricota;Flasuviricetes;Amarillovirales;Pestiviridae;Orthopestivirus;Orthopestivirus scrofae</t>
  </si>
  <si>
    <t>Riboviria;Orthornavirae;Kitrinoviricota;Flasuviricetes;Amarillovirales;Flaviviridae;Pestivirus;Pestivirus L</t>
  </si>
  <si>
    <t>Riboviria;Orthornavirae;Kitrinoviricota;Flasuviricetes;Amarillovirales;Pestiviridae;Orthopestivirus;Orthopestivirus steiermarkense</t>
  </si>
  <si>
    <t>Riboviria;Orthornavirae;Kitrinoviricota;Flasuviricetes;Amarillovirales;Flaviviridae;Pestivirus;Pestivirus suis</t>
  </si>
  <si>
    <t>Riboviria;Orthornavirae;Kitrinoviricota;Flasuviricetes;Amarillovirales;Pestiviridae;Orthopestivirus;Orthopestivirus suis</t>
  </si>
  <si>
    <t>Riboviria;Orthornavirae;Kitrinoviricota;Flasuviricetes;Amarillovirales;Flaviviridae;Pestivirus;Pestivirus tauri</t>
  </si>
  <si>
    <t>Riboviria;Orthornavirae;Kitrinoviricota;Flasuviricetes;Amarillovirales;Pestiviridae;Orthopestivirus;Orthopestivirus tauri</t>
  </si>
  <si>
    <t>Riboviria;Orthornavirae;Kitrinoviricota;Magsaviricetes;Nodamuvirales;Sinhaliviridae;Sinaivirus;Lake Sinai virus 1</t>
  </si>
  <si>
    <t>Riboviria;Orthornavirae;Kitrinoviricota;Magsaviricetes;Nodamuvirales;Sinhaliviridae;Sinaivirus;Sinaivirus apis</t>
  </si>
  <si>
    <t>Riboviria;Orthornavirae;Kitrinoviricota;Magsaviricetes;Nodamuvirales;Sinhaliviridae;Sinaivirus;Lake Sinai virus 2</t>
  </si>
  <si>
    <t>Riboviria;Orthornavirae;Kitrinoviricota;Magsaviricetes;Nodamuvirales;Sinhaliviridae;Sinaivirus;Sinaivirus sinaiense</t>
  </si>
  <si>
    <t>Riboviria;Orthornavirae;Negarnaviricota;Haploviricotina;Milneviricetes;Naedrevirales;Aspiviridae;Ophiovirus;Ophiovirus capsici</t>
  </si>
  <si>
    <t>Riboviria;Orthornavirae;Negarnaviricota;Haploviricotina;Milneviricetes;Naedrevirales;Aspiviridae;Miraophiovirus;Miraophiovirus capsici</t>
  </si>
  <si>
    <t>Riboviria;Orthornavirae;Negarnaviricota;Haploviricotina;Milneviricetes;Naedrevirales;Aspiviridae;Ophiovirus;Ophiovirus freesiae</t>
  </si>
  <si>
    <t>Riboviria;Orthornavirae;Negarnaviricota;Haploviricotina;Milneviricetes;Naedrevirales;Aspiviridae;Miraophiovirus;Miraophiovirus freesiae</t>
  </si>
  <si>
    <t>Riboviria;Orthornavirae;Negarnaviricota;Haploviricotina;Milneviricetes;Naedrevirales;Aspiviridae;Ophiovirus;Ophiovirus lactucae</t>
  </si>
  <si>
    <t>Riboviria;Orthornavirae;Negarnaviricota;Haploviricotina;Milneviricetes;Naedrevirales;Aspiviridae;Miraophiovirus;Miraophiovirus lactucae</t>
  </si>
  <si>
    <t>Riboviria;Orthornavirae;Negarnaviricota;Haploviricotina;Milneviricetes;Naedrevirales;Aspiviridae;Ophiovirus;Ophiovirus mirafioriense</t>
  </si>
  <si>
    <t>Riboviria;Orthornavirae;Negarnaviricota;Haploviricotina;Milneviricetes;Naedrevirales;Aspiviridae;Miraophiovirus;Miraophiovirus mirafioriense</t>
  </si>
  <si>
    <t>Riboviria;Orthornavirae;Negarnaviricota;Haploviricotina;Milneviricetes;Naedrevirales;Aspiviridae;Ophiovirus;Ophiovirus ranunculi</t>
  </si>
  <si>
    <t>Riboviria;Orthornavirae;Negarnaviricota;Haploviricotina;Milneviricetes;Naedrevirales;Aspiviridae;Miraophiovirus;Miraophiovirus ranunculi</t>
  </si>
  <si>
    <t>Riboviria;Orthornavirae;Negarnaviricota;Haploviricotina;Milneviricetes;Naedrevirales;Aspiviridae;Ophiovirus;Ophiovirus tulipae</t>
  </si>
  <si>
    <t>Riboviria;Orthornavirae;Negarnaviricota;Haploviricotina;Milneviricetes;Naedrevirales;Aspiviridae;Miraophiovirus;Miraophiovirus tulipae</t>
  </si>
  <si>
    <t>Riboviria;Orthornavirae;Negarnaviricota;Haploviricotina;Monjiviricetes;Mononegavirales;Rhabdoviridae;Alpharhabdovirinae;Vesiculovirus;Vesiculovirus eptesicus</t>
  </si>
  <si>
    <t>Riboviria;Orthornavirae;Negarnaviricota;Haploviricotina;Monjiviricetes;Mononegavirales;Rhabdoviridae;Alpharhabdovirinae;Chiroprhavirus;Chiroprhavirus epitesicus</t>
  </si>
  <si>
    <t>Riboviria;Orthornavirae;Negarnaviricota;Haploviricotina;Monjiviricetes;Mononegavirales;Rhabdoviridae;Alpharhabdovirinae;Vesiculovirus;Vesiculovirus mediterranean</t>
  </si>
  <si>
    <t>Riboviria;Orthornavirae;Negarnaviricota;Haploviricotina;Monjiviricetes;Mononegavirales;Rhabdoviridae;Alpharhabdovirinae;Chiroprhavirus;Chiroprhavirus mediterranean</t>
  </si>
  <si>
    <t>Riboviria;Orthornavirae;Negarnaviricota;Haploviricotina;Monjiviricetes;Mononegavirales;Rhabdoviridae;Alpharhabdovirinae;Vesiculovirus;Vesiculovirus rhinolophus</t>
  </si>
  <si>
    <t>Riboviria;Orthornavirae;Negarnaviricota;Haploviricotina;Monjiviricetes;Mononegavirales;Rhabdoviridae;Alpharhabdovirinae;Chiroprhavirus;Chiroprhavirus rhinolophus</t>
  </si>
  <si>
    <t>Riboviria;Orthornavirae;Negarnaviricota;Haploviricotina;Monjiviricetes;Mononegavirales;Rhabdoviridae;Alpharhabdovirinae;Vesiculovirus;Vesiculovirus wufeng</t>
  </si>
  <si>
    <t>Riboviria;Orthornavirae;Negarnaviricota;Haploviricotina;Monjiviricetes;Mononegavirales;Rhabdoviridae;Alpharhabdovirinae;Chiroprhavirus;Chiroprhavirus wufeng</t>
  </si>
  <si>
    <t>Riboviria;Orthornavirae;Negarnaviricota;Haploviricotina;Monjiviricetes;Mononegavirales;Rhabdoviridae;Alpharhabdovirinae;Vesiculovirus;Vesiculovirus yinshui</t>
  </si>
  <si>
    <t>Riboviria;Orthornavirae;Negarnaviricota;Haploviricotina;Monjiviricetes;Mononegavirales;Rhabdoviridae;Alpharhabdovirinae;Chiroprhavirus;Chiroprhavirus yinshui</t>
  </si>
  <si>
    <t>Riboviria;Polymycoviridae;Polymycovirus;Polymycovirus aspelaei</t>
  </si>
  <si>
    <t>Riboviria;Orthornavirae;Pisuviricota;Mycopleornaviricetes;Xenadelphovirales;Polymycoviridae;Multimycovirus;Multimycovirus aspelaei</t>
  </si>
  <si>
    <t>Riboviria;Polymycoviridae;Polymycovirus;Polymycovirus aspergilli</t>
  </si>
  <si>
    <t>Riboviria;Orthornavirae;Pisuviricota;Mycopleornaviricetes;Xenadelphovirales;Polymycoviridae;Multimycovirus;Multimycovirus aspergilli</t>
  </si>
  <si>
    <t>Riboviria;Polymycoviridae;Polymycovirus;Polymycovirus botryosphaeriae</t>
  </si>
  <si>
    <t>Riboviria;Orthornavirae;Pisuviricota;Mycopleornaviricetes;Xenadelphovirales;Polymycoviridae;Multimycovirus;Multimycovirus botryosphaeriae</t>
  </si>
  <si>
    <t>Riboviria;Polymycoviridae;Polymycovirus;Polymycovirus magnaporthis</t>
  </si>
  <si>
    <t>Riboviria;Orthornavirae;Pisuviricota;Mycopleornaviricetes;Xenadelphovirales;Polymycoviridae;Multimycovirus;Multimycovirus magnaporthis</t>
  </si>
  <si>
    <t>Riboviria;Polymycoviridae;Polymycovirus;Polymycovirus penidigitati</t>
  </si>
  <si>
    <t>Riboviria;Orthornavirae;Pisuviricota;Mycopleornaviricetes;Xenadelphovirales;Polymycoviridae;Plurimycovirus;Plurimycovirus penidigitati</t>
  </si>
  <si>
    <t>Riboviria;Orthornavirae;Pisuviricota;Pisoniviricetes;Sobelivirales;Alvernaviridae;Dinornavirus;Heterocapsa circularisquama RNA virus 01</t>
  </si>
  <si>
    <t>Riboviria;Orthornavirae;Pisuviricota;Pisoniviricetes;Sobelivirales;Alvernaviridae;Dinornavirus;Dinornavirus heterocapsae</t>
  </si>
  <si>
    <t>Riboviria;Orthornavirae;Pisuviricota;Pisoniviricetes;Sobelivirales;Barnaviridae;Barnavirus;Mushroom bacilliform virus</t>
  </si>
  <si>
    <t>Riboviria;Orthornavirae;Pisuviricota;Pisoniviricetes;Sobelivirales;Barnaviridae;Barnavirus;Barnavirus agarici</t>
  </si>
  <si>
    <t>Riboviria;Orthornavirae;Pisuviricota;Stelpaviricetes;Stellavirales;Astroviridae;Mamastrovirus;Mamastrovirus suis</t>
  </si>
  <si>
    <t>Riboviria;Orthornavirae;Pisuviricota;Stelpaviricetes;Stellavirales;Astroviridae;Mamastrovirus;Mamastrovirus suisorientalis</t>
  </si>
  <si>
    <t>Riboviria;Orthornavirae;Orpoviricetes;Bormycovirales;Deltanormycoviridae</t>
  </si>
  <si>
    <t>Riboviria;Orthornavirae;Orpoviricetes;Bormycovirales;Deltaormycoviridae</t>
  </si>
  <si>
    <t>Varidnaviria;Bamfordvirae;Nucleocytoviricota;Megaviricetes;Pimascovirales;Ocovirineae;Pithoviridae;Orthopithovirinae;Alphapithovirus;Alphapithovirus sibericum</t>
  </si>
  <si>
    <t>Varidnaviria;Bamfordvirae;Nucleocytoviricota;Megaviricetes;Pimascovirales;Ocovirineae;Pithoviridae;Orthopithovirinae;Alphapithovirus;Alphapithovirus siberiense</t>
  </si>
  <si>
    <t>Varidnaviria;Bamfordvirae;Preplasmiviricota;Polisuviricotina;Pharingeaviricetes;Rowavirales;Adenoviridae;Mastadenovirus;Mastadenovirus asiensse</t>
  </si>
  <si>
    <t>Varidnaviria;Bamfordvirae;Preplasmiviricota;Polisuviricotina;Pharingeaviricetes;Rowavirales;Adenoviridae;Mastadenovirus;Mastadenovirus asiense</t>
  </si>
  <si>
    <t>Varidnaviria;Bamfordvirae;Preplasmiviricota;Polisuviricotina;Pharingeaviricetes;Rowavirales;Adenoviridae;Mastadenovirus;Mastadenovirus rhinolopidae</t>
  </si>
  <si>
    <t>Varidnaviria;Bamfordvirae;Preplasmiviricota;Polisuviricotina;Pharingeaviricetes;Rowavirales;Adenoviridae;Mastadenovirus;Mastadenovirus rhinolophidae</t>
  </si>
  <si>
    <t>Monodnaviria;Sangervirae;Phixviricota;Malgrandaviricetes;Petitvirales;Microviridae</t>
  </si>
  <si>
    <t>Volvereviria;Sangervirae;Phixviricota;Microviricetes</t>
  </si>
  <si>
    <t>Monodnaviria;Sangervirae;Phixviricota;Malgrandaviricetes;Petitvirales;Microviridae;Bullavirinae</t>
  </si>
  <si>
    <t>Volvereviria;Sangervirae;Phixviricota;Microviricetes;Bullavirales</t>
  </si>
  <si>
    <t>Monodnaviria;Sangervirae;Phixviricota;Malgrandaviricetes;Petitvirales;Microviridae;Gokushovirinae</t>
  </si>
  <si>
    <t>Volvereviria;Sangervirae;Phixviricota;Microviricetes;Gokushovirales</t>
  </si>
  <si>
    <t>Monodnaviria;Sangervirae;Phixviricota;Malgrandaviricetes;Petitvirales;Microviridae;Gokushovirinae;Chlamydiamicrovirus</t>
  </si>
  <si>
    <t>Volvereviria;Sangervirae;Phixviricota;Microviricetes;Gokushovirales;Betagokushoviridae;Chlamydiaduovirus</t>
  </si>
  <si>
    <t>Monodnaviria;Sangervirae;Phixviricota;Malgrandaviricetes;Petitvirales;Microviridae;Gokushovirinae;Chlamydiamicrovirus;Chlamydiamicrovirus Chp2</t>
  </si>
  <si>
    <t>Volvereviria;Sangervirae;Phixviricota;Microviricetes;Gokushovirales;Betagokushoviridae;Chlamydiaduovirus;Chlamydiaduovirus Chp2</t>
  </si>
  <si>
    <t>Monodnaviria;Sangervirae;Phixviricota;Malgrandaviricetes;Petitvirales;Microviridae;Gokushovirinae;Chlamydiamicrovirus;Chlamydiamicrovirus CPAR39</t>
  </si>
  <si>
    <t>Volvereviria;Sangervirae;Phixviricota;Microviricetes;Gokushovirales;Betagokushoviridae;Chlamydiaduovirus;Chlamydiaduovirus CPAR39</t>
  </si>
  <si>
    <t>Monodnaviria;Sangervirae;Phixviricota;Malgrandaviricetes;Petitvirales;Microviridae;Gokushovirinae;Chlamydiamicrovirus;Chlamydiamicrovirus CPG1</t>
  </si>
  <si>
    <t>Volvereviria;Sangervirae;Phixviricota;Microviricetes;Gokushovirales;Betagokushoviridae;Chlamydiaduovirus;Chlamydiaduovirus CPG1</t>
  </si>
  <si>
    <t>Monodnaviria;Sangervirae;Phixviricota;Malgrandaviricetes;Petitvirales;Microviridae;Gokushovirinae;Chlamydiamicrovirus;Chlamydiamicrovirus Chp1</t>
  </si>
  <si>
    <t>Volvereviria;Sangervirae;Phixviricota;Microviricetes;Gokushovirales;Betagokushoviridae;Chlamydiaunovirus;Chlamydiaunovirus Chp1</t>
  </si>
  <si>
    <t>Naldaviricetes;Lefavirales;Nudiviridae;Gammanudivirus;Gammanudivirus cracrangonis</t>
  </si>
  <si>
    <t>Naldaviricetes;Lefavirales;Nudiviridae;Epsilonnudivirus;Epsilonnudivirus cracrangonis</t>
  </si>
  <si>
    <t>Naldaviricetes;Nimaviridae;Whispovirus;White spot syndrome virus</t>
  </si>
  <si>
    <t>Naldaviricetes;Nimaviridae;Whispovirus;Whispovirus xiabaidian</t>
  </si>
  <si>
    <t>Dinodnavirus;Heterocapsa circularisquama DNA virus 01</t>
  </si>
  <si>
    <t>Dinodnavirus;Dinodnavirus heterocapsae</t>
  </si>
  <si>
    <t>MSL40 Total</t>
  </si>
  <si>
    <t>MSL.41 Total</t>
  </si>
  <si>
    <t>family&gt;class</t>
  </si>
  <si>
    <t>subfamily&gt;order</t>
  </si>
  <si>
    <t>New MSL including all taxa updates since the 2024 release</t>
  </si>
  <si>
    <t>DOI:</t>
  </si>
  <si>
    <t>10.5281/zenodo.19154110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</si>
</sst>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8">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sz val="12"/>
      <color rgb="FF006100"/>
      <name val="Calibri"/>
      <family val="2"/>
      <scheme val="minor"/>
    </font>
    <font>
      <sz val="12"/>
      <color rgb="FF9C0006"/>
      <name val="Calibri"/>
      <family val="2"/>
      <scheme val="minor"/>
    </font>
    <font>
      <i/>
      <sz val="12"/>
      <color theme="1"/>
      <name val="Calibri"/>
      <family val="2"/>
      <scheme val="minor"/>
    </font>
    <font>
      <sz val="12"/>
      <name val="Calibri"/>
      <family val="2"/>
      <scheme val="minor"/>
    </font>
    <font>
      <u/>
      <sz val="12"/>
      <color theme="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s>
  <borders count="20">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indexed="64"/>
      </right>
      <top/>
      <bottom style="medium">
        <color indexed="64"/>
      </bottom>
      <diagonal/>
    </border>
  </borders>
  <cellStyleXfs count="7">
    <xf numFmtId="0" fontId="0" fillId="0" borderId="0"/>
    <xf numFmtId="0" fontId="12" fillId="0" borderId="0"/>
    <xf numFmtId="0" fontId="18" fillId="0" borderId="0" applyNumberFormat="0" applyFill="0" applyBorder="0" applyAlignment="0" applyProtection="0"/>
    <xf numFmtId="0" fontId="5" fillId="0" borderId="0"/>
    <xf numFmtId="0" fontId="4" fillId="0" borderId="0"/>
    <xf numFmtId="0" fontId="23" fillId="4" borderId="0" applyNumberFormat="0" applyBorder="0" applyAlignment="0" applyProtection="0"/>
    <xf numFmtId="0" fontId="24" fillId="5" borderId="0" applyNumberFormat="0" applyBorder="0" applyAlignment="0" applyProtection="0"/>
  </cellStyleXfs>
  <cellXfs count="56">
    <xf numFmtId="0" fontId="0" fillId="0" borderId="0" xfId="0"/>
    <xf numFmtId="0" fontId="0" fillId="0" borderId="0" xfId="0" applyAlignment="1">
      <alignment horizontal="left"/>
    </xf>
    <xf numFmtId="0" fontId="7" fillId="0" borderId="0" xfId="0" applyFont="1"/>
    <xf numFmtId="0" fontId="9" fillId="0" borderId="0" xfId="0" applyFont="1"/>
    <xf numFmtId="15" fontId="9" fillId="0" borderId="0" xfId="0" applyNumberFormat="1" applyFont="1"/>
    <xf numFmtId="15" fontId="9" fillId="0" borderId="0" xfId="0" applyNumberFormat="1" applyFont="1" applyAlignment="1">
      <alignment horizontal="right"/>
    </xf>
    <xf numFmtId="0" fontId="8" fillId="0" borderId="1" xfId="0" applyFont="1" applyBorder="1" applyAlignment="1">
      <alignment horizontal="right"/>
    </xf>
    <xf numFmtId="0" fontId="8" fillId="2" borderId="4" xfId="0" applyFont="1" applyFill="1" applyBorder="1" applyAlignment="1">
      <alignment horizontal="right"/>
    </xf>
    <xf numFmtId="0" fontId="9" fillId="2" borderId="5" xfId="0" applyFont="1" applyFill="1" applyBorder="1"/>
    <xf numFmtId="0" fontId="0" fillId="0" borderId="0" xfId="0" applyAlignment="1">
      <alignment horizontal="left" vertical="center"/>
    </xf>
    <xf numFmtId="49" fontId="8" fillId="0" borderId="9" xfId="0" applyNumberFormat="1" applyFont="1" applyBorder="1" applyAlignment="1">
      <alignment horizontal="left" vertical="center"/>
    </xf>
    <xf numFmtId="0" fontId="9" fillId="0" borderId="0" xfId="0" applyFont="1" applyAlignment="1">
      <alignment horizontal="left" vertical="center"/>
    </xf>
    <xf numFmtId="0" fontId="9" fillId="2" borderId="9" xfId="0" applyFont="1" applyFill="1" applyBorder="1" applyAlignment="1">
      <alignment horizontal="left" vertical="center"/>
    </xf>
    <xf numFmtId="0" fontId="9" fillId="0" borderId="11" xfId="0" applyFont="1" applyBorder="1" applyAlignment="1">
      <alignment horizontal="left" vertical="center"/>
    </xf>
    <xf numFmtId="164" fontId="9" fillId="0" borderId="8" xfId="0" applyNumberFormat="1" applyFont="1" applyBorder="1" applyAlignment="1">
      <alignment horizontal="right"/>
    </xf>
    <xf numFmtId="0" fontId="18" fillId="0" borderId="10" xfId="2" applyFill="1" applyBorder="1" applyAlignment="1">
      <alignment horizontal="left" vertical="center"/>
    </xf>
    <xf numFmtId="49" fontId="15" fillId="0" borderId="13" xfId="3" applyNumberFormat="1" applyFont="1" applyBorder="1" applyAlignment="1">
      <alignment vertical="top" wrapText="1"/>
    </xf>
    <xf numFmtId="49" fontId="13" fillId="0" borderId="0" xfId="3" applyNumberFormat="1" applyFont="1" applyAlignment="1">
      <alignment vertical="top" wrapText="1"/>
    </xf>
    <xf numFmtId="49" fontId="15" fillId="0" borderId="0" xfId="3" applyNumberFormat="1" applyFont="1" applyAlignment="1">
      <alignment vertical="top" wrapText="1"/>
    </xf>
    <xf numFmtId="49" fontId="14" fillId="0" borderId="13" xfId="3" applyNumberFormat="1" applyFont="1" applyBorder="1" applyAlignment="1">
      <alignment horizontal="right" vertical="top" wrapText="1"/>
    </xf>
    <xf numFmtId="49" fontId="15" fillId="0" borderId="13" xfId="3" quotePrefix="1" applyNumberFormat="1" applyFont="1" applyBorder="1" applyAlignment="1">
      <alignment vertical="top" wrapText="1"/>
    </xf>
    <xf numFmtId="0" fontId="4" fillId="0" borderId="0" xfId="4"/>
    <xf numFmtId="0" fontId="20" fillId="0" borderId="0" xfId="4" applyFont="1"/>
    <xf numFmtId="0" fontId="4" fillId="0" borderId="0" xfId="4" applyAlignment="1">
      <alignment horizontal="left"/>
    </xf>
    <xf numFmtId="0" fontId="3" fillId="0" borderId="13" xfId="4" applyFont="1" applyBorder="1"/>
    <xf numFmtId="0" fontId="3" fillId="0" borderId="15" xfId="4" applyFont="1" applyBorder="1"/>
    <xf numFmtId="0" fontId="18" fillId="0" borderId="0" xfId="2"/>
    <xf numFmtId="0" fontId="21" fillId="0" borderId="0" xfId="0" applyFont="1"/>
    <xf numFmtId="0" fontId="19" fillId="2" borderId="12" xfId="0" applyFont="1" applyFill="1" applyBorder="1"/>
    <xf numFmtId="0" fontId="11" fillId="2" borderId="7" xfId="0" applyFont="1" applyFill="1" applyBorder="1" applyAlignment="1">
      <alignment horizontal="left" vertical="center"/>
    </xf>
    <xf numFmtId="0" fontId="10" fillId="2" borderId="6" xfId="0" applyFont="1" applyFill="1" applyBorder="1" applyAlignment="1">
      <alignment horizontal="left" vertical="center"/>
    </xf>
    <xf numFmtId="0" fontId="20" fillId="2" borderId="0" xfId="4" applyFont="1" applyFill="1"/>
    <xf numFmtId="49" fontId="10" fillId="2" borderId="13" xfId="3" applyNumberFormat="1" applyFont="1" applyFill="1" applyBorder="1" applyAlignment="1">
      <alignment vertical="top" wrapText="1"/>
    </xf>
    <xf numFmtId="0" fontId="20" fillId="2" borderId="4" xfId="4" applyFont="1" applyFill="1" applyBorder="1" applyAlignment="1">
      <alignment horizontal="left"/>
    </xf>
    <xf numFmtId="0" fontId="20" fillId="2" borderId="14" xfId="4" applyFont="1" applyFill="1" applyBorder="1" applyAlignment="1">
      <alignment horizontal="left"/>
    </xf>
    <xf numFmtId="0" fontId="20" fillId="2" borderId="5" xfId="4" applyFont="1" applyFill="1" applyBorder="1" applyAlignment="1">
      <alignment horizontal="left"/>
    </xf>
    <xf numFmtId="0" fontId="20" fillId="3" borderId="8" xfId="4" applyFont="1" applyFill="1" applyBorder="1"/>
    <xf numFmtId="0" fontId="20" fillId="3" borderId="3" xfId="4" applyFont="1" applyFill="1" applyBorder="1"/>
    <xf numFmtId="0" fontId="20" fillId="0" borderId="1" xfId="4" applyFont="1" applyBorder="1"/>
    <xf numFmtId="0" fontId="20" fillId="0" borderId="2" xfId="4" applyFont="1" applyBorder="1"/>
    <xf numFmtId="0" fontId="22" fillId="0" borderId="0" xfId="0" applyFont="1"/>
    <xf numFmtId="0" fontId="11" fillId="2" borderId="16" xfId="0" applyFont="1" applyFill="1" applyBorder="1" applyAlignment="1">
      <alignment horizontal="left" vertical="center"/>
    </xf>
    <xf numFmtId="0" fontId="23" fillId="4" borderId="14" xfId="5" applyBorder="1" applyAlignment="1">
      <alignment horizontal="left"/>
    </xf>
    <xf numFmtId="0" fontId="24" fillId="5" borderId="14" xfId="6" applyBorder="1" applyAlignment="1">
      <alignment horizontal="left"/>
    </xf>
    <xf numFmtId="0" fontId="2" fillId="0" borderId="0" xfId="4" applyFont="1"/>
    <xf numFmtId="0" fontId="25" fillId="0" borderId="17" xfId="4" applyFont="1" applyBorder="1"/>
    <xf numFmtId="0" fontId="25" fillId="0" borderId="12" xfId="4" applyFont="1" applyBorder="1"/>
    <xf numFmtId="0" fontId="25" fillId="0" borderId="18" xfId="4" applyFont="1" applyBorder="1"/>
    <xf numFmtId="0" fontId="26" fillId="0" borderId="0" xfId="0" applyFont="1"/>
    <xf numFmtId="0" fontId="27" fillId="0" borderId="0" xfId="2" applyFont="1"/>
    <xf numFmtId="0" fontId="19" fillId="2" borderId="19" xfId="0" applyFont="1" applyFill="1" applyBorder="1"/>
    <xf numFmtId="0" fontId="18" fillId="0" borderId="0" xfId="2" applyBorder="1"/>
    <xf numFmtId="0" fontId="1" fillId="0" borderId="0" xfId="4" applyFont="1" applyAlignment="1">
      <alignment horizontal="left"/>
    </xf>
    <xf numFmtId="0" fontId="8" fillId="0" borderId="17" xfId="0" applyFont="1" applyBorder="1" applyAlignment="1">
      <alignment horizontal="right"/>
    </xf>
    <xf numFmtId="15" fontId="9" fillId="0" borderId="18" xfId="0" applyNumberFormat="1" applyFont="1" applyBorder="1" applyAlignment="1">
      <alignment horizontal="right"/>
    </xf>
    <xf numFmtId="15" fontId="9" fillId="0" borderId="8" xfId="0" applyNumberFormat="1" applyFont="1" applyBorder="1" applyAlignment="1">
      <alignment horizontal="right"/>
    </xf>
  </cellXfs>
  <cellStyles count="7">
    <cellStyle name="Bad" xfId="6" builtinId="27"/>
    <cellStyle name="Good" xfId="5" builtinId="26"/>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5">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4"/>
      <tableStyleElement type="headerRow" dxfId="3"/>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showGridLines="0" zoomScale="120" zoomScaleNormal="120" workbookViewId="0"/>
  </sheetViews>
  <sheetFormatPr baseColWidth="10" defaultColWidth="11.5" defaultRowHeight="13"/>
  <cols>
    <col min="1" max="1" width="3.33203125" customWidth="1"/>
    <col min="2" max="2" width="11.83203125" customWidth="1"/>
    <col min="3" max="3" width="26" customWidth="1"/>
    <col min="4" max="4" width="4.6640625" customWidth="1"/>
    <col min="5" max="5" width="93.83203125" style="9" customWidth="1"/>
    <col min="6" max="6" width="54.6640625" customWidth="1"/>
    <col min="7" max="7" width="10.83203125" customWidth="1"/>
  </cols>
  <sheetData>
    <row r="1" spans="1:6" ht="14" thickBot="1"/>
    <row r="2" spans="1:6" s="2" customFormat="1" ht="19" thickBot="1">
      <c r="B2" s="30" t="s">
        <v>20756</v>
      </c>
      <c r="C2" s="29"/>
      <c r="D2" s="29"/>
      <c r="E2" s="41"/>
      <c r="F2" s="1"/>
    </row>
    <row r="3" spans="1:6" ht="12" customHeight="1" thickBot="1">
      <c r="C3" s="40"/>
      <c r="E3"/>
    </row>
    <row r="4" spans="1:6" ht="18">
      <c r="A4" s="2"/>
      <c r="B4" s="7" t="s">
        <v>11242</v>
      </c>
      <c r="C4" s="8">
        <v>1</v>
      </c>
      <c r="D4" s="3"/>
      <c r="E4" s="12" t="str">
        <f>CONCATENATE("Version ",C4)</f>
        <v>Version 1</v>
      </c>
    </row>
    <row r="5" spans="1:6" ht="16">
      <c r="A5" s="3"/>
      <c r="B5" s="6" t="s">
        <v>11243</v>
      </c>
      <c r="C5" s="14">
        <v>46101</v>
      </c>
      <c r="D5" s="4"/>
      <c r="E5" s="10" t="s">
        <v>23116</v>
      </c>
    </row>
    <row r="6" spans="1:6" ht="16">
      <c r="A6" s="3"/>
      <c r="B6" s="6" t="s">
        <v>11244</v>
      </c>
      <c r="C6" s="55" t="s">
        <v>11245</v>
      </c>
      <c r="D6" s="5"/>
      <c r="E6" s="13" t="s">
        <v>20755</v>
      </c>
    </row>
    <row r="7" spans="1:6" ht="17" thickBot="1">
      <c r="A7" s="3"/>
      <c r="B7" s="53" t="s">
        <v>23117</v>
      </c>
      <c r="C7" s="54" t="s">
        <v>23118</v>
      </c>
      <c r="D7" s="5"/>
      <c r="E7" s="13" t="s">
        <v>20757</v>
      </c>
    </row>
    <row r="8" spans="1:6" ht="16">
      <c r="A8" s="3"/>
      <c r="B8" s="3"/>
      <c r="C8" s="3"/>
      <c r="D8" s="3"/>
      <c r="E8" s="15" t="str">
        <f>HYPERLINK("https://ictv.global/","For more information see: https://ictv.global/")</f>
        <v>For more information see: https://ictv.global/</v>
      </c>
    </row>
    <row r="9" spans="1:6" ht="16">
      <c r="B9" s="3"/>
      <c r="C9" s="3"/>
      <c r="D9" s="3"/>
      <c r="E9" s="11"/>
    </row>
  </sheetData>
  <phoneticPr fontId="6"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7555"/>
  <sheetViews>
    <sheetView tabSelected="1" zoomScale="120" zoomScaleNormal="120" workbookViewId="0">
      <pane ySplit="1" topLeftCell="A2" activePane="bottomLeft" state="frozen"/>
      <selection activeCell="N1" sqref="N1"/>
      <selection pane="bottomLeft" activeCell="A2" sqref="A2"/>
    </sheetView>
  </sheetViews>
  <sheetFormatPr baseColWidth="10" defaultRowHeight="13"/>
  <cols>
    <col min="1" max="1" width="6.1640625" bestFit="1" customWidth="1"/>
    <col min="2" max="2" width="12" style="27" customWidth="1"/>
    <col min="3" max="3" width="10.1640625" style="27" customWidth="1"/>
    <col min="4" max="4" width="14.33203125" style="27" customWidth="1"/>
    <col min="5" max="5" width="12.83203125" style="27" customWidth="1"/>
    <col min="6" max="6" width="15.33203125" style="27" customWidth="1"/>
    <col min="7" max="7" width="13.83203125" style="27" customWidth="1"/>
    <col min="8" max="8" width="15.83203125" style="27" customWidth="1"/>
    <col min="9" max="9" width="9.33203125" style="27" customWidth="1"/>
    <col min="10" max="10" width="15.83203125" style="27" customWidth="1"/>
    <col min="11" max="11" width="14" style="27" customWidth="1"/>
    <col min="12" max="12" width="18.1640625" style="27" customWidth="1"/>
    <col min="13" max="13" width="20.6640625" style="27" customWidth="1"/>
    <col min="14" max="14" width="16" style="27" bestFit="1" customWidth="1"/>
    <col min="15" max="15" width="13.6640625" style="27" customWidth="1"/>
    <col min="16" max="16" width="46.1640625" style="27" bestFit="1" customWidth="1"/>
    <col min="17" max="17" width="21.33203125" style="51" customWidth="1"/>
    <col min="18" max="18" width="21.5" bestFit="1" customWidth="1"/>
    <col min="19" max="19" width="21.6640625" customWidth="1"/>
    <col min="20" max="20" width="19.33203125" bestFit="1" customWidth="1"/>
    <col min="21" max="21" width="57.33203125" customWidth="1"/>
  </cols>
  <sheetData>
    <row r="1" spans="1:21" s="40" customFormat="1" ht="14" thickBot="1">
      <c r="A1" s="28" t="s">
        <v>1448</v>
      </c>
      <c r="B1" s="28" t="s">
        <v>928</v>
      </c>
      <c r="C1" s="28" t="s">
        <v>929</v>
      </c>
      <c r="D1" s="28" t="s">
        <v>930</v>
      </c>
      <c r="E1" s="28" t="s">
        <v>931</v>
      </c>
      <c r="F1" s="28" t="s">
        <v>932</v>
      </c>
      <c r="G1" s="28" t="s">
        <v>933</v>
      </c>
      <c r="H1" s="28" t="s">
        <v>934</v>
      </c>
      <c r="I1" s="28" t="s">
        <v>935</v>
      </c>
      <c r="J1" s="28" t="s">
        <v>251</v>
      </c>
      <c r="K1" s="28" t="s">
        <v>936</v>
      </c>
      <c r="L1" s="28" t="s">
        <v>404</v>
      </c>
      <c r="M1" s="28" t="s">
        <v>405</v>
      </c>
      <c r="N1" s="28" t="s">
        <v>406</v>
      </c>
      <c r="O1" s="28" t="s">
        <v>937</v>
      </c>
      <c r="P1" s="28" t="s">
        <v>407</v>
      </c>
      <c r="Q1" s="50" t="s">
        <v>20739</v>
      </c>
      <c r="R1" s="28" t="s">
        <v>18539</v>
      </c>
      <c r="S1" s="28" t="s">
        <v>585</v>
      </c>
      <c r="T1" s="28" t="s">
        <v>722</v>
      </c>
      <c r="U1" s="28" t="s">
        <v>850</v>
      </c>
    </row>
    <row r="2" spans="1:21">
      <c r="A2">
        <v>1</v>
      </c>
      <c r="B2" s="27" t="s">
        <v>2019</v>
      </c>
      <c r="D2" s="27" t="s">
        <v>2020</v>
      </c>
      <c r="F2" s="27" t="s">
        <v>2021</v>
      </c>
      <c r="H2" s="27" t="s">
        <v>2022</v>
      </c>
      <c r="J2" s="27" t="s">
        <v>468</v>
      </c>
      <c r="L2" s="27" t="s">
        <v>18540</v>
      </c>
      <c r="N2" s="27" t="s">
        <v>18541</v>
      </c>
      <c r="P2" s="27" t="s">
        <v>18542</v>
      </c>
      <c r="Q2" s="26" t="str">
        <f>HYPERLINK("https://ictv.global/taxonomy/taxondetails?taxnode_id=202520188&amp;ictv_id=ICTV202420188","ICTV202420188")</f>
        <v>ICTV202420188</v>
      </c>
      <c r="R2" t="s">
        <v>579</v>
      </c>
      <c r="S2" t="s">
        <v>823</v>
      </c>
      <c r="T2">
        <v>40</v>
      </c>
      <c r="U2" s="26" t="str">
        <f>HYPERLINK("https://ictv.global/ictv/proposals/2024.005A.Bathyarchaeia_4newfam.zip","2024.005A.Bathyarchaeia_4newfam.zip")</f>
        <v>2024.005A.Bathyarchaeia_4newfam.zip</v>
      </c>
    </row>
    <row r="3" spans="1:21">
      <c r="A3">
        <v>2</v>
      </c>
      <c r="B3" s="27" t="s">
        <v>2019</v>
      </c>
      <c r="D3" s="27" t="s">
        <v>2020</v>
      </c>
      <c r="F3" s="27" t="s">
        <v>2021</v>
      </c>
      <c r="H3" s="27" t="s">
        <v>2022</v>
      </c>
      <c r="J3" s="27" t="s">
        <v>468</v>
      </c>
      <c r="L3" s="27" t="s">
        <v>364</v>
      </c>
      <c r="N3" s="27" t="s">
        <v>2009</v>
      </c>
      <c r="P3" s="27" t="s">
        <v>11246</v>
      </c>
      <c r="Q3" s="26" t="str">
        <f>HYPERLINK("https://ictv.global/taxonomy/taxondetails?taxnode_id=202508643&amp;ictv_id=ICTV201908643","ICTV201908643")</f>
        <v>ICTV201908643</v>
      </c>
      <c r="R3" t="s">
        <v>579</v>
      </c>
      <c r="S3" t="s">
        <v>824</v>
      </c>
      <c r="T3">
        <v>39</v>
      </c>
      <c r="U3" s="26" t="str">
        <f t="shared" ref="U3:U30" si="0">HYPERLINK("https://ictv.global/ictv/proposals/2023.001A.Archaeal_binomials.zip","2023.001A.Archaeal_binomials.zip")</f>
        <v>2023.001A.Archaeal_binomials.zip</v>
      </c>
    </row>
    <row r="4" spans="1:21">
      <c r="A4">
        <v>3</v>
      </c>
      <c r="B4" s="27" t="s">
        <v>2019</v>
      </c>
      <c r="D4" s="27" t="s">
        <v>2020</v>
      </c>
      <c r="F4" s="27" t="s">
        <v>2021</v>
      </c>
      <c r="H4" s="27" t="s">
        <v>2022</v>
      </c>
      <c r="J4" s="27" t="s">
        <v>468</v>
      </c>
      <c r="L4" s="27" t="s">
        <v>364</v>
      </c>
      <c r="N4" s="27" t="s">
        <v>2009</v>
      </c>
      <c r="P4" s="27" t="s">
        <v>11247</v>
      </c>
      <c r="Q4" s="26" t="str">
        <f>HYPERLINK("https://ictv.global/taxonomy/taxondetails?taxnode_id=202508644&amp;ictv_id=ICTV201908644","ICTV201908644")</f>
        <v>ICTV201908644</v>
      </c>
      <c r="R4" t="s">
        <v>579</v>
      </c>
      <c r="S4" t="s">
        <v>824</v>
      </c>
      <c r="T4">
        <v>39</v>
      </c>
      <c r="U4" s="26" t="str">
        <f t="shared" si="0"/>
        <v>2023.001A.Archaeal_binomials.zip</v>
      </c>
    </row>
    <row r="5" spans="1:21">
      <c r="A5">
        <v>4</v>
      </c>
      <c r="B5" s="27" t="s">
        <v>2019</v>
      </c>
      <c r="D5" s="27" t="s">
        <v>2020</v>
      </c>
      <c r="F5" s="27" t="s">
        <v>2021</v>
      </c>
      <c r="H5" s="27" t="s">
        <v>2022</v>
      </c>
      <c r="J5" s="27" t="s">
        <v>468</v>
      </c>
      <c r="L5" s="27" t="s">
        <v>364</v>
      </c>
      <c r="N5" s="27" t="s">
        <v>365</v>
      </c>
      <c r="P5" s="27" t="s">
        <v>11248</v>
      </c>
      <c r="Q5" s="26" t="str">
        <f>HYPERLINK("https://ictv.global/taxonomy/taxondetails?taxnode_id=202501532&amp;ictv_id=ICTV20094000","ICTV20094000")</f>
        <v>ICTV20094000</v>
      </c>
      <c r="R5" t="s">
        <v>579</v>
      </c>
      <c r="S5" t="s">
        <v>824</v>
      </c>
      <c r="T5">
        <v>39</v>
      </c>
      <c r="U5" s="26" t="str">
        <f t="shared" si="0"/>
        <v>2023.001A.Archaeal_binomials.zip</v>
      </c>
    </row>
    <row r="6" spans="1:21">
      <c r="A6">
        <v>5</v>
      </c>
      <c r="B6" s="27" t="s">
        <v>2019</v>
      </c>
      <c r="D6" s="27" t="s">
        <v>2020</v>
      </c>
      <c r="F6" s="27" t="s">
        <v>2021</v>
      </c>
      <c r="H6" s="27" t="s">
        <v>2022</v>
      </c>
      <c r="J6" s="27" t="s">
        <v>468</v>
      </c>
      <c r="L6" s="27" t="s">
        <v>364</v>
      </c>
      <c r="N6" s="27" t="s">
        <v>365</v>
      </c>
      <c r="P6" s="27" t="s">
        <v>11249</v>
      </c>
      <c r="Q6" s="26" t="str">
        <f>HYPERLINK("https://ictv.global/taxonomy/taxondetails?taxnode_id=202501537&amp;ictv_id=ICTV20041365","ICTV20041365")</f>
        <v>ICTV20041365</v>
      </c>
      <c r="R6" t="s">
        <v>579</v>
      </c>
      <c r="S6" t="s">
        <v>824</v>
      </c>
      <c r="T6">
        <v>39</v>
      </c>
      <c r="U6" s="26" t="str">
        <f t="shared" si="0"/>
        <v>2023.001A.Archaeal_binomials.zip</v>
      </c>
    </row>
    <row r="7" spans="1:21">
      <c r="A7">
        <v>6</v>
      </c>
      <c r="B7" s="27" t="s">
        <v>2019</v>
      </c>
      <c r="D7" s="27" t="s">
        <v>2020</v>
      </c>
      <c r="F7" s="27" t="s">
        <v>2021</v>
      </c>
      <c r="H7" s="27" t="s">
        <v>2022</v>
      </c>
      <c r="J7" s="27" t="s">
        <v>468</v>
      </c>
      <c r="L7" s="27" t="s">
        <v>364</v>
      </c>
      <c r="N7" s="27" t="s">
        <v>365</v>
      </c>
      <c r="P7" s="27" t="s">
        <v>11250</v>
      </c>
      <c r="Q7" s="26" t="str">
        <f>HYPERLINK("https://ictv.global/taxonomy/taxondetails?taxnode_id=202501534&amp;ictv_id=ICTV20094002","ICTV20094002")</f>
        <v>ICTV20094002</v>
      </c>
      <c r="R7" t="s">
        <v>579</v>
      </c>
      <c r="S7" t="s">
        <v>824</v>
      </c>
      <c r="T7">
        <v>39</v>
      </c>
      <c r="U7" s="26" t="str">
        <f t="shared" si="0"/>
        <v>2023.001A.Archaeal_binomials.zip</v>
      </c>
    </row>
    <row r="8" spans="1:21">
      <c r="A8">
        <v>7</v>
      </c>
      <c r="B8" s="27" t="s">
        <v>2019</v>
      </c>
      <c r="D8" s="27" t="s">
        <v>2020</v>
      </c>
      <c r="F8" s="27" t="s">
        <v>2021</v>
      </c>
      <c r="H8" s="27" t="s">
        <v>2022</v>
      </c>
      <c r="J8" s="27" t="s">
        <v>468</v>
      </c>
      <c r="L8" s="27" t="s">
        <v>364</v>
      </c>
      <c r="N8" s="27" t="s">
        <v>365</v>
      </c>
      <c r="P8" s="27" t="s">
        <v>11251</v>
      </c>
      <c r="Q8" s="26" t="str">
        <f>HYPERLINK("https://ictv.global/taxonomy/taxondetails?taxnode_id=202501533&amp;ictv_id=ICTV20094001","ICTV20094001")</f>
        <v>ICTV20094001</v>
      </c>
      <c r="R8" t="s">
        <v>579</v>
      </c>
      <c r="S8" t="s">
        <v>824</v>
      </c>
      <c r="T8">
        <v>39</v>
      </c>
      <c r="U8" s="26" t="str">
        <f t="shared" si="0"/>
        <v>2023.001A.Archaeal_binomials.zip</v>
      </c>
    </row>
    <row r="9" spans="1:21">
      <c r="A9">
        <v>8</v>
      </c>
      <c r="B9" s="27" t="s">
        <v>2019</v>
      </c>
      <c r="D9" s="27" t="s">
        <v>2020</v>
      </c>
      <c r="F9" s="27" t="s">
        <v>2021</v>
      </c>
      <c r="H9" s="27" t="s">
        <v>2022</v>
      </c>
      <c r="J9" s="27" t="s">
        <v>468</v>
      </c>
      <c r="L9" s="27" t="s">
        <v>364</v>
      </c>
      <c r="N9" s="27" t="s">
        <v>365</v>
      </c>
      <c r="P9" s="27" t="s">
        <v>11252</v>
      </c>
      <c r="Q9" s="26" t="str">
        <f>HYPERLINK("https://ictv.global/taxonomy/taxondetails?taxnode_id=202501535&amp;ictv_id=ICTV20094003","ICTV20094003")</f>
        <v>ICTV20094003</v>
      </c>
      <c r="R9" t="s">
        <v>579</v>
      </c>
      <c r="S9" t="s">
        <v>824</v>
      </c>
      <c r="T9">
        <v>39</v>
      </c>
      <c r="U9" s="26" t="str">
        <f t="shared" si="0"/>
        <v>2023.001A.Archaeal_binomials.zip</v>
      </c>
    </row>
    <row r="10" spans="1:21">
      <c r="A10">
        <v>9</v>
      </c>
      <c r="B10" s="27" t="s">
        <v>2019</v>
      </c>
      <c r="D10" s="27" t="s">
        <v>2020</v>
      </c>
      <c r="F10" s="27" t="s">
        <v>2021</v>
      </c>
      <c r="H10" s="27" t="s">
        <v>2022</v>
      </c>
      <c r="J10" s="27" t="s">
        <v>468</v>
      </c>
      <c r="L10" s="27" t="s">
        <v>364</v>
      </c>
      <c r="N10" s="27" t="s">
        <v>365</v>
      </c>
      <c r="P10" s="27" t="s">
        <v>11253</v>
      </c>
      <c r="Q10" s="26" t="str">
        <f>HYPERLINK("https://ictv.global/taxonomy/taxondetails?taxnode_id=202501536&amp;ictv_id=ICTV20094004","ICTV20094004")</f>
        <v>ICTV20094004</v>
      </c>
      <c r="R10" t="s">
        <v>579</v>
      </c>
      <c r="S10" t="s">
        <v>824</v>
      </c>
      <c r="T10">
        <v>39</v>
      </c>
      <c r="U10" s="26" t="str">
        <f t="shared" si="0"/>
        <v>2023.001A.Archaeal_binomials.zip</v>
      </c>
    </row>
    <row r="11" spans="1:21">
      <c r="A11">
        <v>10</v>
      </c>
      <c r="B11" s="27" t="s">
        <v>2019</v>
      </c>
      <c r="D11" s="27" t="s">
        <v>2020</v>
      </c>
      <c r="F11" s="27" t="s">
        <v>2021</v>
      </c>
      <c r="H11" s="27" t="s">
        <v>2022</v>
      </c>
      <c r="J11" s="27" t="s">
        <v>468</v>
      </c>
      <c r="L11" s="27" t="s">
        <v>364</v>
      </c>
      <c r="N11" s="27" t="s">
        <v>277</v>
      </c>
      <c r="P11" s="27" t="s">
        <v>11254</v>
      </c>
      <c r="Q11" s="26" t="str">
        <f>HYPERLINK("https://ictv.global/taxonomy/taxondetails?taxnode_id=202508645&amp;ictv_id=ICTV201908645","ICTV201908645")</f>
        <v>ICTV201908645</v>
      </c>
      <c r="R11" t="s">
        <v>579</v>
      </c>
      <c r="S11" t="s">
        <v>824</v>
      </c>
      <c r="T11">
        <v>39</v>
      </c>
      <c r="U11" s="26" t="str">
        <f t="shared" si="0"/>
        <v>2023.001A.Archaeal_binomials.zip</v>
      </c>
    </row>
    <row r="12" spans="1:21">
      <c r="A12">
        <v>11</v>
      </c>
      <c r="B12" s="27" t="s">
        <v>2019</v>
      </c>
      <c r="D12" s="27" t="s">
        <v>2020</v>
      </c>
      <c r="F12" s="27" t="s">
        <v>2021</v>
      </c>
      <c r="H12" s="27" t="s">
        <v>2022</v>
      </c>
      <c r="J12" s="27" t="s">
        <v>468</v>
      </c>
      <c r="L12" s="27" t="s">
        <v>364</v>
      </c>
      <c r="N12" s="27" t="s">
        <v>277</v>
      </c>
      <c r="P12" s="27" t="s">
        <v>11255</v>
      </c>
      <c r="Q12" s="26" t="str">
        <f>HYPERLINK("https://ictv.global/taxonomy/taxondetails?taxnode_id=202501539&amp;ictv_id=ICTV20084110","ICTV20084110")</f>
        <v>ICTV20084110</v>
      </c>
      <c r="R12" t="s">
        <v>579</v>
      </c>
      <c r="S12" t="s">
        <v>824</v>
      </c>
      <c r="T12">
        <v>39</v>
      </c>
      <c r="U12" s="26" t="str">
        <f t="shared" si="0"/>
        <v>2023.001A.Archaeal_binomials.zip</v>
      </c>
    </row>
    <row r="13" spans="1:21">
      <c r="A13">
        <v>12</v>
      </c>
      <c r="B13" s="27" t="s">
        <v>2019</v>
      </c>
      <c r="D13" s="27" t="s">
        <v>2020</v>
      </c>
      <c r="F13" s="27" t="s">
        <v>2021</v>
      </c>
      <c r="H13" s="27" t="s">
        <v>2022</v>
      </c>
      <c r="J13" s="27" t="s">
        <v>468</v>
      </c>
      <c r="L13" s="27" t="s">
        <v>311</v>
      </c>
      <c r="N13" s="27" t="s">
        <v>2023</v>
      </c>
      <c r="P13" s="27" t="s">
        <v>11256</v>
      </c>
      <c r="Q13" s="26" t="str">
        <f>HYPERLINK("https://ictv.global/taxonomy/taxondetails?taxnode_id=202511720&amp;ictv_id=ICTV202011720","ICTV202011720")</f>
        <v>ICTV202011720</v>
      </c>
      <c r="R13" t="s">
        <v>579</v>
      </c>
      <c r="S13" t="s">
        <v>824</v>
      </c>
      <c r="T13">
        <v>39</v>
      </c>
      <c r="U13" s="26" t="str">
        <f t="shared" si="0"/>
        <v>2023.001A.Archaeal_binomials.zip</v>
      </c>
    </row>
    <row r="14" spans="1:21">
      <c r="A14">
        <v>13</v>
      </c>
      <c r="B14" s="27" t="s">
        <v>2019</v>
      </c>
      <c r="D14" s="27" t="s">
        <v>2020</v>
      </c>
      <c r="F14" s="27" t="s">
        <v>2021</v>
      </c>
      <c r="H14" s="27" t="s">
        <v>2022</v>
      </c>
      <c r="J14" s="27" t="s">
        <v>468</v>
      </c>
      <c r="L14" s="27" t="s">
        <v>311</v>
      </c>
      <c r="N14" s="27" t="s">
        <v>2024</v>
      </c>
      <c r="P14" s="27" t="s">
        <v>11257</v>
      </c>
      <c r="Q14" s="26" t="str">
        <f>HYPERLINK("https://ictv.global/taxonomy/taxondetails?taxnode_id=202511717&amp;ictv_id=ICTV202011717","ICTV202011717")</f>
        <v>ICTV202011717</v>
      </c>
      <c r="R14" t="s">
        <v>579</v>
      </c>
      <c r="S14" t="s">
        <v>824</v>
      </c>
      <c r="T14">
        <v>39</v>
      </c>
      <c r="U14" s="26" t="str">
        <f t="shared" si="0"/>
        <v>2023.001A.Archaeal_binomials.zip</v>
      </c>
    </row>
    <row r="15" spans="1:21">
      <c r="A15">
        <v>14</v>
      </c>
      <c r="B15" s="27" t="s">
        <v>2019</v>
      </c>
      <c r="D15" s="27" t="s">
        <v>2020</v>
      </c>
      <c r="F15" s="27" t="s">
        <v>2021</v>
      </c>
      <c r="H15" s="27" t="s">
        <v>2022</v>
      </c>
      <c r="J15" s="27" t="s">
        <v>468</v>
      </c>
      <c r="L15" s="27" t="s">
        <v>311</v>
      </c>
      <c r="N15" s="27" t="s">
        <v>2024</v>
      </c>
      <c r="P15" s="27" t="s">
        <v>11258</v>
      </c>
      <c r="Q15" s="26" t="str">
        <f>HYPERLINK("https://ictv.global/taxonomy/taxondetails?taxnode_id=202511718&amp;ictv_id=ICTV202011718","ICTV202011718")</f>
        <v>ICTV202011718</v>
      </c>
      <c r="R15" t="s">
        <v>579</v>
      </c>
      <c r="S15" t="s">
        <v>824</v>
      </c>
      <c r="T15">
        <v>39</v>
      </c>
      <c r="U15" s="26" t="str">
        <f t="shared" si="0"/>
        <v>2023.001A.Archaeal_binomials.zip</v>
      </c>
    </row>
    <row r="16" spans="1:21">
      <c r="A16">
        <v>15</v>
      </c>
      <c r="B16" s="27" t="s">
        <v>2019</v>
      </c>
      <c r="D16" s="27" t="s">
        <v>2020</v>
      </c>
      <c r="F16" s="27" t="s">
        <v>2021</v>
      </c>
      <c r="H16" s="27" t="s">
        <v>2022</v>
      </c>
      <c r="J16" s="27" t="s">
        <v>468</v>
      </c>
      <c r="L16" s="27" t="s">
        <v>311</v>
      </c>
      <c r="N16" s="27" t="s">
        <v>2024</v>
      </c>
      <c r="P16" s="27" t="s">
        <v>11259</v>
      </c>
      <c r="Q16" s="26" t="str">
        <f>HYPERLINK("https://ictv.global/taxonomy/taxondetails?taxnode_id=202511716&amp;ictv_id=ICTV202011716","ICTV202011716")</f>
        <v>ICTV202011716</v>
      </c>
      <c r="R16" t="s">
        <v>579</v>
      </c>
      <c r="S16" t="s">
        <v>824</v>
      </c>
      <c r="T16">
        <v>39</v>
      </c>
      <c r="U16" s="26" t="str">
        <f t="shared" si="0"/>
        <v>2023.001A.Archaeal_binomials.zip</v>
      </c>
    </row>
    <row r="17" spans="1:21">
      <c r="A17">
        <v>16</v>
      </c>
      <c r="B17" s="27" t="s">
        <v>2019</v>
      </c>
      <c r="D17" s="27" t="s">
        <v>2020</v>
      </c>
      <c r="F17" s="27" t="s">
        <v>2021</v>
      </c>
      <c r="H17" s="27" t="s">
        <v>2022</v>
      </c>
      <c r="J17" s="27" t="s">
        <v>468</v>
      </c>
      <c r="L17" s="27" t="s">
        <v>311</v>
      </c>
      <c r="N17" s="27" t="s">
        <v>2024</v>
      </c>
      <c r="P17" s="27" t="s">
        <v>11260</v>
      </c>
      <c r="Q17" s="26" t="str">
        <f>HYPERLINK("https://ictv.global/taxonomy/taxondetails?taxnode_id=202511719&amp;ictv_id=ICTV202011719","ICTV202011719")</f>
        <v>ICTV202011719</v>
      </c>
      <c r="R17" t="s">
        <v>579</v>
      </c>
      <c r="S17" t="s">
        <v>824</v>
      </c>
      <c r="T17">
        <v>39</v>
      </c>
      <c r="U17" s="26" t="str">
        <f t="shared" si="0"/>
        <v>2023.001A.Archaeal_binomials.zip</v>
      </c>
    </row>
    <row r="18" spans="1:21">
      <c r="A18">
        <v>17</v>
      </c>
      <c r="B18" s="27" t="s">
        <v>2019</v>
      </c>
      <c r="D18" s="27" t="s">
        <v>2020</v>
      </c>
      <c r="F18" s="27" t="s">
        <v>2021</v>
      </c>
      <c r="H18" s="27" t="s">
        <v>2022</v>
      </c>
      <c r="J18" s="27" t="s">
        <v>468</v>
      </c>
      <c r="L18" s="27" t="s">
        <v>311</v>
      </c>
      <c r="N18" s="27" t="s">
        <v>2025</v>
      </c>
      <c r="P18" s="27" t="s">
        <v>11261</v>
      </c>
      <c r="Q18" s="26" t="str">
        <f>HYPERLINK("https://ictv.global/taxonomy/taxondetails?taxnode_id=202511709&amp;ictv_id=ICTV202011709","ICTV202011709")</f>
        <v>ICTV202011709</v>
      </c>
      <c r="R18" t="s">
        <v>579</v>
      </c>
      <c r="S18" t="s">
        <v>824</v>
      </c>
      <c r="T18">
        <v>39</v>
      </c>
      <c r="U18" s="26" t="str">
        <f t="shared" si="0"/>
        <v>2023.001A.Archaeal_binomials.zip</v>
      </c>
    </row>
    <row r="19" spans="1:21">
      <c r="A19">
        <v>18</v>
      </c>
      <c r="B19" s="27" t="s">
        <v>2019</v>
      </c>
      <c r="D19" s="27" t="s">
        <v>2020</v>
      </c>
      <c r="F19" s="27" t="s">
        <v>2021</v>
      </c>
      <c r="H19" s="27" t="s">
        <v>2022</v>
      </c>
      <c r="J19" s="27" t="s">
        <v>468</v>
      </c>
      <c r="L19" s="27" t="s">
        <v>311</v>
      </c>
      <c r="N19" s="27" t="s">
        <v>2025</v>
      </c>
      <c r="P19" s="27" t="s">
        <v>11262</v>
      </c>
      <c r="Q19" s="26" t="str">
        <f>HYPERLINK("https://ictv.global/taxonomy/taxondetails?taxnode_id=202501547&amp;ictv_id=ICTV19991653","ICTV19991653")</f>
        <v>ICTV19991653</v>
      </c>
      <c r="R19" t="s">
        <v>579</v>
      </c>
      <c r="S19" t="s">
        <v>824</v>
      </c>
      <c r="T19">
        <v>39</v>
      </c>
      <c r="U19" s="26" t="str">
        <f t="shared" si="0"/>
        <v>2023.001A.Archaeal_binomials.zip</v>
      </c>
    </row>
    <row r="20" spans="1:21">
      <c r="A20">
        <v>19</v>
      </c>
      <c r="B20" s="27" t="s">
        <v>2019</v>
      </c>
      <c r="D20" s="27" t="s">
        <v>2020</v>
      </c>
      <c r="F20" s="27" t="s">
        <v>2021</v>
      </c>
      <c r="H20" s="27" t="s">
        <v>2022</v>
      </c>
      <c r="J20" s="27" t="s">
        <v>468</v>
      </c>
      <c r="L20" s="27" t="s">
        <v>311</v>
      </c>
      <c r="N20" s="27" t="s">
        <v>2025</v>
      </c>
      <c r="P20" s="27" t="s">
        <v>11263</v>
      </c>
      <c r="Q20" s="26" t="str">
        <f>HYPERLINK("https://ictv.global/taxonomy/taxondetails?taxnode_id=202501546&amp;ictv_id=ICTV19972219","ICTV19972219")</f>
        <v>ICTV19972219</v>
      </c>
      <c r="R20" t="s">
        <v>579</v>
      </c>
      <c r="S20" t="s">
        <v>824</v>
      </c>
      <c r="T20">
        <v>39</v>
      </c>
      <c r="U20" s="26" t="str">
        <f t="shared" si="0"/>
        <v>2023.001A.Archaeal_binomials.zip</v>
      </c>
    </row>
    <row r="21" spans="1:21">
      <c r="A21">
        <v>20</v>
      </c>
      <c r="B21" s="27" t="s">
        <v>2019</v>
      </c>
      <c r="D21" s="27" t="s">
        <v>2020</v>
      </c>
      <c r="F21" s="27" t="s">
        <v>2021</v>
      </c>
      <c r="H21" s="27" t="s">
        <v>2022</v>
      </c>
      <c r="J21" s="27" t="s">
        <v>468</v>
      </c>
      <c r="L21" s="27" t="s">
        <v>311</v>
      </c>
      <c r="N21" s="27" t="s">
        <v>2026</v>
      </c>
      <c r="P21" s="27" t="s">
        <v>11264</v>
      </c>
      <c r="Q21" s="26" t="str">
        <f>HYPERLINK("https://ictv.global/taxonomy/taxondetails?taxnode_id=202501545&amp;ictv_id=ICTV20084855","ICTV20084855")</f>
        <v>ICTV20084855</v>
      </c>
      <c r="R21" t="s">
        <v>579</v>
      </c>
      <c r="S21" t="s">
        <v>824</v>
      </c>
      <c r="T21">
        <v>39</v>
      </c>
      <c r="U21" s="26" t="str">
        <f t="shared" si="0"/>
        <v>2023.001A.Archaeal_binomials.zip</v>
      </c>
    </row>
    <row r="22" spans="1:21">
      <c r="A22">
        <v>21</v>
      </c>
      <c r="B22" s="27" t="s">
        <v>2019</v>
      </c>
      <c r="D22" s="27" t="s">
        <v>2020</v>
      </c>
      <c r="F22" s="27" t="s">
        <v>2021</v>
      </c>
      <c r="H22" s="27" t="s">
        <v>2022</v>
      </c>
      <c r="J22" s="27" t="s">
        <v>468</v>
      </c>
      <c r="L22" s="27" t="s">
        <v>311</v>
      </c>
      <c r="N22" s="27" t="s">
        <v>2027</v>
      </c>
      <c r="P22" s="27" t="s">
        <v>11265</v>
      </c>
      <c r="Q22" s="26" t="str">
        <f>HYPERLINK("https://ictv.global/taxonomy/taxondetails?taxnode_id=202511721&amp;ictv_id=ICTV202011721","ICTV202011721")</f>
        <v>ICTV202011721</v>
      </c>
      <c r="R22" t="s">
        <v>579</v>
      </c>
      <c r="S22" t="s">
        <v>824</v>
      </c>
      <c r="T22">
        <v>39</v>
      </c>
      <c r="U22" s="26" t="str">
        <f t="shared" si="0"/>
        <v>2023.001A.Archaeal_binomials.zip</v>
      </c>
    </row>
    <row r="23" spans="1:21">
      <c r="A23">
        <v>22</v>
      </c>
      <c r="B23" s="27" t="s">
        <v>2019</v>
      </c>
      <c r="D23" s="27" t="s">
        <v>2020</v>
      </c>
      <c r="F23" s="27" t="s">
        <v>2021</v>
      </c>
      <c r="H23" s="27" t="s">
        <v>2022</v>
      </c>
      <c r="J23" s="27" t="s">
        <v>468</v>
      </c>
      <c r="L23" s="27" t="s">
        <v>311</v>
      </c>
      <c r="N23" s="27" t="s">
        <v>2028</v>
      </c>
      <c r="P23" s="27" t="s">
        <v>11266</v>
      </c>
      <c r="Q23" s="26" t="str">
        <f>HYPERLINK("https://ictv.global/taxonomy/taxondetails?taxnode_id=202511722&amp;ictv_id=ICTV202011722","ICTV202011722")</f>
        <v>ICTV202011722</v>
      </c>
      <c r="R23" t="s">
        <v>579</v>
      </c>
      <c r="S23" t="s">
        <v>824</v>
      </c>
      <c r="T23">
        <v>39</v>
      </c>
      <c r="U23" s="26" t="str">
        <f t="shared" si="0"/>
        <v>2023.001A.Archaeal_binomials.zip</v>
      </c>
    </row>
    <row r="24" spans="1:21">
      <c r="A24">
        <v>23</v>
      </c>
      <c r="B24" s="27" t="s">
        <v>2019</v>
      </c>
      <c r="D24" s="27" t="s">
        <v>2020</v>
      </c>
      <c r="F24" s="27" t="s">
        <v>2021</v>
      </c>
      <c r="H24" s="27" t="s">
        <v>2022</v>
      </c>
      <c r="J24" s="27" t="s">
        <v>468</v>
      </c>
      <c r="L24" s="27" t="s">
        <v>311</v>
      </c>
      <c r="N24" s="27" t="s">
        <v>2029</v>
      </c>
      <c r="P24" s="27" t="s">
        <v>11267</v>
      </c>
      <c r="Q24" s="26" t="str">
        <f>HYPERLINK("https://ictv.global/taxonomy/taxondetails?taxnode_id=202511714&amp;ictv_id=ICTV202011714","ICTV202011714")</f>
        <v>ICTV202011714</v>
      </c>
      <c r="R24" t="s">
        <v>579</v>
      </c>
      <c r="S24" t="s">
        <v>824</v>
      </c>
      <c r="T24">
        <v>39</v>
      </c>
      <c r="U24" s="26" t="str">
        <f t="shared" si="0"/>
        <v>2023.001A.Archaeal_binomials.zip</v>
      </c>
    </row>
    <row r="25" spans="1:21">
      <c r="A25">
        <v>24</v>
      </c>
      <c r="B25" s="27" t="s">
        <v>2019</v>
      </c>
      <c r="D25" s="27" t="s">
        <v>2020</v>
      </c>
      <c r="F25" s="27" t="s">
        <v>2021</v>
      </c>
      <c r="H25" s="27" t="s">
        <v>2022</v>
      </c>
      <c r="J25" s="27" t="s">
        <v>468</v>
      </c>
      <c r="L25" s="27" t="s">
        <v>311</v>
      </c>
      <c r="N25" s="27" t="s">
        <v>2029</v>
      </c>
      <c r="P25" s="27" t="s">
        <v>11268</v>
      </c>
      <c r="Q25" s="26" t="str">
        <f>HYPERLINK("https://ictv.global/taxonomy/taxondetails?taxnode_id=202511713&amp;ictv_id=ICTV202011713","ICTV202011713")</f>
        <v>ICTV202011713</v>
      </c>
      <c r="R25" t="s">
        <v>579</v>
      </c>
      <c r="S25" t="s">
        <v>824</v>
      </c>
      <c r="T25">
        <v>39</v>
      </c>
      <c r="U25" s="26" t="str">
        <f t="shared" si="0"/>
        <v>2023.001A.Archaeal_binomials.zip</v>
      </c>
    </row>
    <row r="26" spans="1:21">
      <c r="A26">
        <v>25</v>
      </c>
      <c r="B26" s="27" t="s">
        <v>2019</v>
      </c>
      <c r="D26" s="27" t="s">
        <v>2020</v>
      </c>
      <c r="F26" s="27" t="s">
        <v>2021</v>
      </c>
      <c r="H26" s="27" t="s">
        <v>2022</v>
      </c>
      <c r="J26" s="27" t="s">
        <v>468</v>
      </c>
      <c r="L26" s="27" t="s">
        <v>311</v>
      </c>
      <c r="N26" s="27" t="s">
        <v>2029</v>
      </c>
      <c r="P26" s="27" t="s">
        <v>11269</v>
      </c>
      <c r="Q26" s="26" t="str">
        <f>HYPERLINK("https://ictv.global/taxonomy/taxondetails?taxnode_id=202511712&amp;ictv_id=ICTV202011712","ICTV202011712")</f>
        <v>ICTV202011712</v>
      </c>
      <c r="R26" t="s">
        <v>579</v>
      </c>
      <c r="S26" t="s">
        <v>824</v>
      </c>
      <c r="T26">
        <v>39</v>
      </c>
      <c r="U26" s="26" t="str">
        <f t="shared" si="0"/>
        <v>2023.001A.Archaeal_binomials.zip</v>
      </c>
    </row>
    <row r="27" spans="1:21">
      <c r="A27">
        <v>26</v>
      </c>
      <c r="B27" s="27" t="s">
        <v>2019</v>
      </c>
      <c r="D27" s="27" t="s">
        <v>2020</v>
      </c>
      <c r="F27" s="27" t="s">
        <v>2021</v>
      </c>
      <c r="H27" s="27" t="s">
        <v>2022</v>
      </c>
      <c r="J27" s="27" t="s">
        <v>468</v>
      </c>
      <c r="L27" s="27" t="s">
        <v>311</v>
      </c>
      <c r="N27" s="27" t="s">
        <v>2029</v>
      </c>
      <c r="P27" s="27" t="s">
        <v>11270</v>
      </c>
      <c r="Q27" s="26" t="str">
        <f>HYPERLINK("https://ictv.global/taxonomy/taxondetails?taxnode_id=202511715&amp;ictv_id=ICTV202011715","ICTV202011715")</f>
        <v>ICTV202011715</v>
      </c>
      <c r="R27" t="s">
        <v>579</v>
      </c>
      <c r="S27" t="s">
        <v>824</v>
      </c>
      <c r="T27">
        <v>39</v>
      </c>
      <c r="U27" s="26" t="str">
        <f t="shared" si="0"/>
        <v>2023.001A.Archaeal_binomials.zip</v>
      </c>
    </row>
    <row r="28" spans="1:21">
      <c r="A28">
        <v>27</v>
      </c>
      <c r="B28" s="27" t="s">
        <v>2019</v>
      </c>
      <c r="D28" s="27" t="s">
        <v>2020</v>
      </c>
      <c r="F28" s="27" t="s">
        <v>2021</v>
      </c>
      <c r="H28" s="27" t="s">
        <v>2022</v>
      </c>
      <c r="J28" s="27" t="s">
        <v>468</v>
      </c>
      <c r="L28" s="27" t="s">
        <v>311</v>
      </c>
      <c r="N28" s="27" t="s">
        <v>2029</v>
      </c>
      <c r="P28" s="27" t="s">
        <v>11271</v>
      </c>
      <c r="Q28" s="26" t="str">
        <f>HYPERLINK("https://ictv.global/taxonomy/taxondetails?taxnode_id=202511711&amp;ictv_id=ICTV202011711","ICTV202011711")</f>
        <v>ICTV202011711</v>
      </c>
      <c r="R28" t="s">
        <v>579</v>
      </c>
      <c r="S28" t="s">
        <v>824</v>
      </c>
      <c r="T28">
        <v>39</v>
      </c>
      <c r="U28" s="26" t="str">
        <f t="shared" si="0"/>
        <v>2023.001A.Archaeal_binomials.zip</v>
      </c>
    </row>
    <row r="29" spans="1:21">
      <c r="A29">
        <v>28</v>
      </c>
      <c r="B29" s="27" t="s">
        <v>2019</v>
      </c>
      <c r="D29" s="27" t="s">
        <v>2020</v>
      </c>
      <c r="F29" s="27" t="s">
        <v>2021</v>
      </c>
      <c r="H29" s="27" t="s">
        <v>2022</v>
      </c>
      <c r="J29" s="27" t="s">
        <v>468</v>
      </c>
      <c r="L29" s="27" t="s">
        <v>311</v>
      </c>
      <c r="N29" s="27" t="s">
        <v>2029</v>
      </c>
      <c r="P29" s="27" t="s">
        <v>11272</v>
      </c>
      <c r="Q29" s="26" t="str">
        <f>HYPERLINK("https://ictv.global/taxonomy/taxondetails?taxnode_id=202511710&amp;ictv_id=ICTV202011710","ICTV202011710")</f>
        <v>ICTV202011710</v>
      </c>
      <c r="R29" t="s">
        <v>579</v>
      </c>
      <c r="S29" t="s">
        <v>824</v>
      </c>
      <c r="T29">
        <v>39</v>
      </c>
      <c r="U29" s="26" t="str">
        <f t="shared" si="0"/>
        <v>2023.001A.Archaeal_binomials.zip</v>
      </c>
    </row>
    <row r="30" spans="1:21">
      <c r="A30">
        <v>29</v>
      </c>
      <c r="B30" s="27" t="s">
        <v>2019</v>
      </c>
      <c r="D30" s="27" t="s">
        <v>2020</v>
      </c>
      <c r="F30" s="27" t="s">
        <v>2021</v>
      </c>
      <c r="H30" s="27" t="s">
        <v>2022</v>
      </c>
      <c r="J30" s="27" t="s">
        <v>468</v>
      </c>
      <c r="L30" s="27" t="s">
        <v>3687</v>
      </c>
      <c r="N30" s="27" t="s">
        <v>3688</v>
      </c>
      <c r="P30" s="27" t="s">
        <v>11273</v>
      </c>
      <c r="Q30" s="26" t="str">
        <f>HYPERLINK("https://ictv.global/taxonomy/taxondetails?taxnode_id=202501541&amp;ictv_id=ICTV20041366","ICTV20041366")</f>
        <v>ICTV20041366</v>
      </c>
      <c r="R30" t="s">
        <v>579</v>
      </c>
      <c r="S30" t="s">
        <v>824</v>
      </c>
      <c r="T30">
        <v>39</v>
      </c>
      <c r="U30" s="26" t="str">
        <f t="shared" si="0"/>
        <v>2023.001A.Archaeal_binomials.zip</v>
      </c>
    </row>
    <row r="31" spans="1:21">
      <c r="A31">
        <v>30</v>
      </c>
      <c r="B31" s="27" t="s">
        <v>2019</v>
      </c>
      <c r="D31" s="27" t="s">
        <v>2020</v>
      </c>
      <c r="F31" s="27" t="s">
        <v>2021</v>
      </c>
      <c r="H31" s="27" t="s">
        <v>2022</v>
      </c>
      <c r="J31" s="27" t="s">
        <v>3689</v>
      </c>
      <c r="L31" s="27" t="s">
        <v>3690</v>
      </c>
      <c r="N31" s="27" t="s">
        <v>3691</v>
      </c>
      <c r="P31" s="27" t="s">
        <v>20758</v>
      </c>
      <c r="Q31" s="26" t="str">
        <f>HYPERLINK("https://ictv.global/taxonomy/taxondetails?taxnode_id=202522027&amp;ictv_id=ICTV202522027","ICTV202522027")</f>
        <v>ICTV202522027</v>
      </c>
      <c r="R31" t="s">
        <v>579</v>
      </c>
      <c r="S31" t="s">
        <v>823</v>
      </c>
      <c r="T31">
        <v>41</v>
      </c>
      <c r="U31" s="26" t="str">
        <f>HYPERLINK("https://ictv.global/ictv/proposals/2025.001A.Crust_viruses_6nf.zip","2025.001A.Crust_viruses_6nf.zip")</f>
        <v>2025.001A.Crust_viruses_6nf.zip</v>
      </c>
    </row>
    <row r="32" spans="1:21">
      <c r="A32">
        <v>31</v>
      </c>
      <c r="B32" s="27" t="s">
        <v>2019</v>
      </c>
      <c r="D32" s="27" t="s">
        <v>2020</v>
      </c>
      <c r="F32" s="27" t="s">
        <v>2021</v>
      </c>
      <c r="H32" s="27" t="s">
        <v>2022</v>
      </c>
      <c r="J32" s="27" t="s">
        <v>3689</v>
      </c>
      <c r="L32" s="27" t="s">
        <v>3690</v>
      </c>
      <c r="N32" s="27" t="s">
        <v>3691</v>
      </c>
      <c r="P32" s="27" t="s">
        <v>3692</v>
      </c>
      <c r="Q32" s="26" t="str">
        <f>HYPERLINK("https://ictv.global/taxonomy/taxondetails?taxnode_id=202514297&amp;ictv_id=ICTV202214297","ICTV202214297")</f>
        <v>ICTV202214297</v>
      </c>
      <c r="R32" t="s">
        <v>579</v>
      </c>
      <c r="S32" t="s">
        <v>823</v>
      </c>
      <c r="T32">
        <v>38</v>
      </c>
      <c r="U32" s="26" t="str">
        <f>HYPERLINK("https://ictv.global/ictv/proposals/2022.001A.Nakonvirales_Maximonvirales_Coyopavirales_3no.zip","2022.001A.Nakonvirales_Maximonvirales_Coyopavirales_3no.zip")</f>
        <v>2022.001A.Nakonvirales_Maximonvirales_Coyopavirales_3no.zip</v>
      </c>
    </row>
    <row r="33" spans="1:21">
      <c r="A33">
        <v>32</v>
      </c>
      <c r="B33" s="27" t="s">
        <v>2019</v>
      </c>
      <c r="D33" s="27" t="s">
        <v>2020</v>
      </c>
      <c r="F33" s="27" t="s">
        <v>2021</v>
      </c>
      <c r="H33" s="27" t="s">
        <v>2022</v>
      </c>
      <c r="J33" s="27" t="s">
        <v>2030</v>
      </c>
      <c r="L33" s="27" t="s">
        <v>751</v>
      </c>
      <c r="N33" s="27" t="s">
        <v>752</v>
      </c>
      <c r="P33" s="27" t="s">
        <v>11274</v>
      </c>
      <c r="Q33" s="26" t="str">
        <f>HYPERLINK("https://ictv.global/taxonomy/taxondetails?taxnode_id=202505323&amp;ictv_id=ICTV20165504","ICTV20165504")</f>
        <v>ICTV20165504</v>
      </c>
      <c r="R33" t="s">
        <v>579</v>
      </c>
      <c r="S33" t="s">
        <v>824</v>
      </c>
      <c r="T33">
        <v>39</v>
      </c>
      <c r="U33" s="26" t="str">
        <f>HYPERLINK("https://ictv.global/ictv/proposals/2023.001A.Archaeal_binomials.zip","2023.001A.Archaeal_binomials.zip")</f>
        <v>2023.001A.Archaeal_binomials.zip</v>
      </c>
    </row>
    <row r="34" spans="1:21">
      <c r="A34">
        <v>33</v>
      </c>
      <c r="B34" s="27" t="s">
        <v>2019</v>
      </c>
      <c r="D34" s="27" t="s">
        <v>2020</v>
      </c>
      <c r="F34" s="27" t="s">
        <v>2021</v>
      </c>
      <c r="H34" s="27" t="s">
        <v>2022</v>
      </c>
      <c r="J34" s="27" t="s">
        <v>2030</v>
      </c>
      <c r="L34" s="27" t="s">
        <v>751</v>
      </c>
      <c r="N34" s="27" t="s">
        <v>752</v>
      </c>
      <c r="P34" s="27" t="s">
        <v>11275</v>
      </c>
      <c r="Q34" s="26" t="str">
        <f>HYPERLINK("https://ictv.global/taxonomy/taxondetails?taxnode_id=202512054&amp;ictv_id=ICTV202012054","ICTV202012054")</f>
        <v>ICTV202012054</v>
      </c>
      <c r="R34" t="s">
        <v>579</v>
      </c>
      <c r="S34" t="s">
        <v>824</v>
      </c>
      <c r="T34">
        <v>39</v>
      </c>
      <c r="U34" s="26" t="str">
        <f>HYPERLINK("https://ictv.global/ictv/proposals/2023.001A.Archaeal_binomials.zip","2023.001A.Archaeal_binomials.zip")</f>
        <v>2023.001A.Archaeal_binomials.zip</v>
      </c>
    </row>
    <row r="35" spans="1:21">
      <c r="A35">
        <v>34</v>
      </c>
      <c r="B35" s="27" t="s">
        <v>2019</v>
      </c>
      <c r="D35" s="27" t="s">
        <v>2020</v>
      </c>
      <c r="F35" s="27" t="s">
        <v>2021</v>
      </c>
      <c r="H35" s="27" t="s">
        <v>2022</v>
      </c>
      <c r="J35" s="27" t="s">
        <v>2030</v>
      </c>
      <c r="L35" s="27" t="s">
        <v>751</v>
      </c>
      <c r="N35" s="27" t="s">
        <v>2031</v>
      </c>
      <c r="P35" s="27" t="s">
        <v>11276</v>
      </c>
      <c r="Q35" s="26" t="str">
        <f>HYPERLINK("https://ictv.global/taxonomy/taxondetails?taxnode_id=202505324&amp;ictv_id=ICTV19871208","ICTV19871208")</f>
        <v>ICTV19871208</v>
      </c>
      <c r="R35" t="s">
        <v>579</v>
      </c>
      <c r="S35" t="s">
        <v>824</v>
      </c>
      <c r="T35">
        <v>39</v>
      </c>
      <c r="U35" s="26" t="str">
        <f>HYPERLINK("https://ictv.global/ictv/proposals/2023.001A.Archaeal_binomials.zip","2023.001A.Archaeal_binomials.zip")</f>
        <v>2023.001A.Archaeal_binomials.zip</v>
      </c>
    </row>
    <row r="36" spans="1:21">
      <c r="A36">
        <v>35</v>
      </c>
      <c r="B36" s="27" t="s">
        <v>1449</v>
      </c>
      <c r="D36" s="27" t="s">
        <v>1450</v>
      </c>
      <c r="F36" s="27" t="s">
        <v>1451</v>
      </c>
      <c r="H36" s="27" t="s">
        <v>1452</v>
      </c>
      <c r="J36" s="27" t="s">
        <v>219</v>
      </c>
      <c r="L36" s="27" t="s">
        <v>220</v>
      </c>
      <c r="N36" s="27" t="s">
        <v>3693</v>
      </c>
      <c r="P36" s="27" t="s">
        <v>3694</v>
      </c>
      <c r="Q36" s="26" t="str">
        <f>HYPERLINK("https://ictv.global/taxonomy/taxondetails?taxnode_id=202501396&amp;ictv_id=ICTV20093038","ICTV20093038")</f>
        <v>ICTV20093038</v>
      </c>
      <c r="R36" t="s">
        <v>579</v>
      </c>
      <c r="S36" t="s">
        <v>824</v>
      </c>
      <c r="T36">
        <v>38</v>
      </c>
      <c r="U36" s="26" t="str">
        <f t="shared" ref="U36:U50" si="1">HYPERLINK("https://ictv.global/ictv/proposals/2022.001D.Herpesvirales_1renfam_4rengen_124rensp_6absp.zip","2022.001D.Herpesvirales_1renfam_4rengen_124rensp_6absp.zip")</f>
        <v>2022.001D.Herpesvirales_1renfam_4rengen_124rensp_6absp.zip</v>
      </c>
    </row>
    <row r="37" spans="1:21">
      <c r="A37">
        <v>36</v>
      </c>
      <c r="B37" s="27" t="s">
        <v>1449</v>
      </c>
      <c r="D37" s="27" t="s">
        <v>1450</v>
      </c>
      <c r="F37" s="27" t="s">
        <v>1451</v>
      </c>
      <c r="H37" s="27" t="s">
        <v>1452</v>
      </c>
      <c r="J37" s="27" t="s">
        <v>219</v>
      </c>
      <c r="L37" s="27" t="s">
        <v>220</v>
      </c>
      <c r="N37" s="27" t="s">
        <v>3693</v>
      </c>
      <c r="P37" s="27" t="s">
        <v>3695</v>
      </c>
      <c r="Q37" s="26" t="str">
        <f>HYPERLINK("https://ictv.global/taxonomy/taxondetails?taxnode_id=202501397&amp;ictv_id=ICTV20093039","ICTV20093039")</f>
        <v>ICTV20093039</v>
      </c>
      <c r="R37" t="s">
        <v>579</v>
      </c>
      <c r="S37" t="s">
        <v>824</v>
      </c>
      <c r="T37">
        <v>38</v>
      </c>
      <c r="U37" s="26" t="str">
        <f t="shared" si="1"/>
        <v>2022.001D.Herpesvirales_1renfam_4rengen_124rensp_6absp.zip</v>
      </c>
    </row>
    <row r="38" spans="1:21">
      <c r="A38">
        <v>37</v>
      </c>
      <c r="B38" s="27" t="s">
        <v>1449</v>
      </c>
      <c r="D38" s="27" t="s">
        <v>1450</v>
      </c>
      <c r="F38" s="27" t="s">
        <v>1451</v>
      </c>
      <c r="H38" s="27" t="s">
        <v>1452</v>
      </c>
      <c r="J38" s="27" t="s">
        <v>219</v>
      </c>
      <c r="L38" s="27" t="s">
        <v>220</v>
      </c>
      <c r="N38" s="27" t="s">
        <v>3693</v>
      </c>
      <c r="P38" s="27" t="s">
        <v>3696</v>
      </c>
      <c r="Q38" s="26" t="str">
        <f>HYPERLINK("https://ictv.global/taxonomy/taxondetails?taxnode_id=202505570&amp;ictv_id=ICTV20175570","ICTV20175570")</f>
        <v>ICTV20175570</v>
      </c>
      <c r="R38" t="s">
        <v>579</v>
      </c>
      <c r="S38" t="s">
        <v>824</v>
      </c>
      <c r="T38">
        <v>38</v>
      </c>
      <c r="U38" s="26" t="str">
        <f t="shared" si="1"/>
        <v>2022.001D.Herpesvirales_1renfam_4rengen_124rensp_6absp.zip</v>
      </c>
    </row>
    <row r="39" spans="1:21">
      <c r="A39">
        <v>38</v>
      </c>
      <c r="B39" s="27" t="s">
        <v>1449</v>
      </c>
      <c r="D39" s="27" t="s">
        <v>1450</v>
      </c>
      <c r="F39" s="27" t="s">
        <v>1451</v>
      </c>
      <c r="H39" s="27" t="s">
        <v>1452</v>
      </c>
      <c r="J39" s="27" t="s">
        <v>219</v>
      </c>
      <c r="L39" s="27" t="s">
        <v>220</v>
      </c>
      <c r="N39" s="27" t="s">
        <v>3697</v>
      </c>
      <c r="P39" s="27" t="s">
        <v>3698</v>
      </c>
      <c r="Q39" s="26" t="str">
        <f>HYPERLINK("https://ictv.global/taxonomy/taxondetails?taxnode_id=202501399&amp;ictv_id=ICTV20115694","ICTV20115694")</f>
        <v>ICTV20115694</v>
      </c>
      <c r="R39" t="s">
        <v>579</v>
      </c>
      <c r="S39" t="s">
        <v>824</v>
      </c>
      <c r="T39">
        <v>38</v>
      </c>
      <c r="U39" s="26" t="str">
        <f t="shared" si="1"/>
        <v>2022.001D.Herpesvirales_1renfam_4rengen_124rensp_6absp.zip</v>
      </c>
    </row>
    <row r="40" spans="1:21">
      <c r="A40">
        <v>39</v>
      </c>
      <c r="B40" s="27" t="s">
        <v>1449</v>
      </c>
      <c r="D40" s="27" t="s">
        <v>1450</v>
      </c>
      <c r="F40" s="27" t="s">
        <v>1451</v>
      </c>
      <c r="H40" s="27" t="s">
        <v>1452</v>
      </c>
      <c r="J40" s="27" t="s">
        <v>219</v>
      </c>
      <c r="L40" s="27" t="s">
        <v>220</v>
      </c>
      <c r="N40" s="27" t="s">
        <v>3697</v>
      </c>
      <c r="P40" s="27" t="s">
        <v>3699</v>
      </c>
      <c r="Q40" s="26" t="str">
        <f>HYPERLINK("https://ictv.global/taxonomy/taxondetails?taxnode_id=202501400&amp;ictv_id=ICTV20093040","ICTV20093040")</f>
        <v>ICTV20093040</v>
      </c>
      <c r="R40" t="s">
        <v>579</v>
      </c>
      <c r="S40" t="s">
        <v>824</v>
      </c>
      <c r="T40">
        <v>38</v>
      </c>
      <c r="U40" s="26" t="str">
        <f t="shared" si="1"/>
        <v>2022.001D.Herpesvirales_1renfam_4rengen_124rensp_6absp.zip</v>
      </c>
    </row>
    <row r="41" spans="1:21">
      <c r="A41">
        <v>40</v>
      </c>
      <c r="B41" s="27" t="s">
        <v>1449</v>
      </c>
      <c r="D41" s="27" t="s">
        <v>1450</v>
      </c>
      <c r="F41" s="27" t="s">
        <v>1451</v>
      </c>
      <c r="H41" s="27" t="s">
        <v>1452</v>
      </c>
      <c r="J41" s="27" t="s">
        <v>219</v>
      </c>
      <c r="L41" s="27" t="s">
        <v>220</v>
      </c>
      <c r="N41" s="27" t="s">
        <v>3697</v>
      </c>
      <c r="P41" s="27" t="s">
        <v>3700</v>
      </c>
      <c r="Q41" s="26" t="str">
        <f>HYPERLINK("https://ictv.global/taxonomy/taxondetails?taxnode_id=202501401&amp;ictv_id=ICTV20093041","ICTV20093041")</f>
        <v>ICTV20093041</v>
      </c>
      <c r="R41" t="s">
        <v>579</v>
      </c>
      <c r="S41" t="s">
        <v>824</v>
      </c>
      <c r="T41">
        <v>38</v>
      </c>
      <c r="U41" s="26" t="str">
        <f t="shared" si="1"/>
        <v>2022.001D.Herpesvirales_1renfam_4rengen_124rensp_6absp.zip</v>
      </c>
    </row>
    <row r="42" spans="1:21">
      <c r="A42">
        <v>41</v>
      </c>
      <c r="B42" s="27" t="s">
        <v>1449</v>
      </c>
      <c r="D42" s="27" t="s">
        <v>1450</v>
      </c>
      <c r="F42" s="27" t="s">
        <v>1451</v>
      </c>
      <c r="H42" s="27" t="s">
        <v>1452</v>
      </c>
      <c r="J42" s="27" t="s">
        <v>219</v>
      </c>
      <c r="L42" s="27" t="s">
        <v>220</v>
      </c>
      <c r="N42" s="27" t="s">
        <v>3697</v>
      </c>
      <c r="P42" s="27" t="s">
        <v>3701</v>
      </c>
      <c r="Q42" s="26" t="str">
        <f>HYPERLINK("https://ictv.global/taxonomy/taxondetails?taxnode_id=202501402&amp;ictv_id=ICTV20083037","ICTV20083037")</f>
        <v>ICTV20083037</v>
      </c>
      <c r="R42" t="s">
        <v>579</v>
      </c>
      <c r="S42" t="s">
        <v>824</v>
      </c>
      <c r="T42">
        <v>38</v>
      </c>
      <c r="U42" s="26" t="str">
        <f t="shared" si="1"/>
        <v>2022.001D.Herpesvirales_1renfam_4rengen_124rensp_6absp.zip</v>
      </c>
    </row>
    <row r="43" spans="1:21">
      <c r="A43">
        <v>42</v>
      </c>
      <c r="B43" s="27" t="s">
        <v>1449</v>
      </c>
      <c r="D43" s="27" t="s">
        <v>1450</v>
      </c>
      <c r="F43" s="27" t="s">
        <v>1451</v>
      </c>
      <c r="H43" s="27" t="s">
        <v>1452</v>
      </c>
      <c r="J43" s="27" t="s">
        <v>219</v>
      </c>
      <c r="L43" s="27" t="s">
        <v>220</v>
      </c>
      <c r="N43" s="27" t="s">
        <v>3702</v>
      </c>
      <c r="P43" s="27" t="s">
        <v>3703</v>
      </c>
      <c r="Q43" s="26" t="str">
        <f>HYPERLINK("https://ictv.global/taxonomy/taxondetails?taxnode_id=202501404&amp;ictv_id=ICTV20093043","ICTV20093043")</f>
        <v>ICTV20093043</v>
      </c>
      <c r="R43" t="s">
        <v>579</v>
      </c>
      <c r="S43" t="s">
        <v>824</v>
      </c>
      <c r="T43">
        <v>38</v>
      </c>
      <c r="U43" s="26" t="str">
        <f t="shared" si="1"/>
        <v>2022.001D.Herpesvirales_1renfam_4rengen_124rensp_6absp.zip</v>
      </c>
    </row>
    <row r="44" spans="1:21">
      <c r="A44">
        <v>43</v>
      </c>
      <c r="B44" s="27" t="s">
        <v>1449</v>
      </c>
      <c r="D44" s="27" t="s">
        <v>1450</v>
      </c>
      <c r="F44" s="27" t="s">
        <v>1451</v>
      </c>
      <c r="H44" s="27" t="s">
        <v>1452</v>
      </c>
      <c r="J44" s="27" t="s">
        <v>219</v>
      </c>
      <c r="L44" s="27" t="s">
        <v>220</v>
      </c>
      <c r="N44" s="27" t="s">
        <v>3702</v>
      </c>
      <c r="P44" s="27" t="s">
        <v>3704</v>
      </c>
      <c r="Q44" s="26" t="str">
        <f>HYPERLINK("https://ictv.global/taxonomy/taxondetails?taxnode_id=202501405&amp;ictv_id=ICTV19981539","ICTV19981539")</f>
        <v>ICTV19981539</v>
      </c>
      <c r="R44" t="s">
        <v>579</v>
      </c>
      <c r="S44" t="s">
        <v>824</v>
      </c>
      <c r="T44">
        <v>38</v>
      </c>
      <c r="U44" s="26" t="str">
        <f t="shared" si="1"/>
        <v>2022.001D.Herpesvirales_1renfam_4rengen_124rensp_6absp.zip</v>
      </c>
    </row>
    <row r="45" spans="1:21">
      <c r="A45">
        <v>44</v>
      </c>
      <c r="B45" s="27" t="s">
        <v>1449</v>
      </c>
      <c r="D45" s="27" t="s">
        <v>1450</v>
      </c>
      <c r="F45" s="27" t="s">
        <v>1451</v>
      </c>
      <c r="H45" s="27" t="s">
        <v>1452</v>
      </c>
      <c r="J45" s="27" t="s">
        <v>219</v>
      </c>
      <c r="L45" s="27" t="s">
        <v>220</v>
      </c>
      <c r="N45" s="27" t="s">
        <v>3702</v>
      </c>
      <c r="P45" s="27" t="s">
        <v>3705</v>
      </c>
      <c r="Q45" s="26" t="str">
        <f>HYPERLINK("https://ictv.global/taxonomy/taxondetails?taxnode_id=202501406&amp;ictv_id=ICTV20093045","ICTV20093045")</f>
        <v>ICTV20093045</v>
      </c>
      <c r="R45" t="s">
        <v>579</v>
      </c>
      <c r="S45" t="s">
        <v>824</v>
      </c>
      <c r="T45">
        <v>38</v>
      </c>
      <c r="U45" s="26" t="str">
        <f t="shared" si="1"/>
        <v>2022.001D.Herpesvirales_1renfam_4rengen_124rensp_6absp.zip</v>
      </c>
    </row>
    <row r="46" spans="1:21">
      <c r="A46">
        <v>45</v>
      </c>
      <c r="B46" s="27" t="s">
        <v>1449</v>
      </c>
      <c r="D46" s="27" t="s">
        <v>1450</v>
      </c>
      <c r="F46" s="27" t="s">
        <v>1451</v>
      </c>
      <c r="H46" s="27" t="s">
        <v>1452</v>
      </c>
      <c r="J46" s="27" t="s">
        <v>219</v>
      </c>
      <c r="L46" s="27" t="s">
        <v>220</v>
      </c>
      <c r="N46" s="27" t="s">
        <v>3706</v>
      </c>
      <c r="P46" s="27" t="s">
        <v>3707</v>
      </c>
      <c r="Q46" s="26" t="str">
        <f>HYPERLINK("https://ictv.global/taxonomy/taxondetails?taxnode_id=202501408&amp;ictv_id=ICTV20093046","ICTV20093046")</f>
        <v>ICTV20093046</v>
      </c>
      <c r="R46" t="s">
        <v>579</v>
      </c>
      <c r="S46" t="s">
        <v>824</v>
      </c>
      <c r="T46">
        <v>38</v>
      </c>
      <c r="U46" s="26" t="str">
        <f t="shared" si="1"/>
        <v>2022.001D.Herpesvirales_1renfam_4rengen_124rensp_6absp.zip</v>
      </c>
    </row>
    <row r="47" spans="1:21">
      <c r="A47">
        <v>46</v>
      </c>
      <c r="B47" s="27" t="s">
        <v>1449</v>
      </c>
      <c r="D47" s="27" t="s">
        <v>1450</v>
      </c>
      <c r="F47" s="27" t="s">
        <v>1451</v>
      </c>
      <c r="H47" s="27" t="s">
        <v>1452</v>
      </c>
      <c r="J47" s="27" t="s">
        <v>219</v>
      </c>
      <c r="L47" s="27" t="s">
        <v>220</v>
      </c>
      <c r="N47" s="27" t="s">
        <v>3706</v>
      </c>
      <c r="P47" s="27" t="s">
        <v>3708</v>
      </c>
      <c r="Q47" s="26" t="str">
        <f>HYPERLINK("https://ictv.global/taxonomy/taxondetails?taxnode_id=202501409&amp;ictv_id=ICTV20093047","ICTV20093047")</f>
        <v>ICTV20093047</v>
      </c>
      <c r="R47" t="s">
        <v>579</v>
      </c>
      <c r="S47" t="s">
        <v>824</v>
      </c>
      <c r="T47">
        <v>38</v>
      </c>
      <c r="U47" s="26" t="str">
        <f t="shared" si="1"/>
        <v>2022.001D.Herpesvirales_1renfam_4rengen_124rensp_6absp.zip</v>
      </c>
    </row>
    <row r="48" spans="1:21">
      <c r="A48">
        <v>47</v>
      </c>
      <c r="B48" s="27" t="s">
        <v>1449</v>
      </c>
      <c r="D48" s="27" t="s">
        <v>1450</v>
      </c>
      <c r="F48" s="27" t="s">
        <v>1451</v>
      </c>
      <c r="H48" s="27" t="s">
        <v>1452</v>
      </c>
      <c r="J48" s="27" t="s">
        <v>219</v>
      </c>
      <c r="L48" s="27" t="s">
        <v>220</v>
      </c>
      <c r="N48" s="27" t="s">
        <v>3706</v>
      </c>
      <c r="P48" s="27" t="s">
        <v>3709</v>
      </c>
      <c r="Q48" s="26" t="str">
        <f>HYPERLINK("https://ictv.global/taxonomy/taxondetails?taxnode_id=202501410&amp;ictv_id=ICTV20095288","ICTV20095288")</f>
        <v>ICTV20095288</v>
      </c>
      <c r="R48" t="s">
        <v>579</v>
      </c>
      <c r="S48" t="s">
        <v>824</v>
      </c>
      <c r="T48">
        <v>38</v>
      </c>
      <c r="U48" s="26" t="str">
        <f t="shared" si="1"/>
        <v>2022.001D.Herpesvirales_1renfam_4rengen_124rensp_6absp.zip</v>
      </c>
    </row>
    <row r="49" spans="1:21">
      <c r="A49">
        <v>48</v>
      </c>
      <c r="B49" s="27" t="s">
        <v>1449</v>
      </c>
      <c r="D49" s="27" t="s">
        <v>1450</v>
      </c>
      <c r="F49" s="27" t="s">
        <v>1451</v>
      </c>
      <c r="H49" s="27" t="s">
        <v>1452</v>
      </c>
      <c r="J49" s="27" t="s">
        <v>219</v>
      </c>
      <c r="L49" s="27" t="s">
        <v>262</v>
      </c>
      <c r="N49" s="27" t="s">
        <v>467</v>
      </c>
      <c r="P49" s="27" t="s">
        <v>3710</v>
      </c>
      <c r="Q49" s="26" t="str">
        <f>HYPERLINK("https://ictv.global/taxonomy/taxondetails?taxnode_id=202501525&amp;ictv_id=ICTV20125911","ICTV20125911")</f>
        <v>ICTV20125911</v>
      </c>
      <c r="R49" t="s">
        <v>579</v>
      </c>
      <c r="S49" t="s">
        <v>824</v>
      </c>
      <c r="T49">
        <v>38</v>
      </c>
      <c r="U49" s="26" t="str">
        <f t="shared" si="1"/>
        <v>2022.001D.Herpesvirales_1renfam_4rengen_124rensp_6absp.zip</v>
      </c>
    </row>
    <row r="50" spans="1:21">
      <c r="A50">
        <v>49</v>
      </c>
      <c r="B50" s="27" t="s">
        <v>1449</v>
      </c>
      <c r="D50" s="27" t="s">
        <v>1450</v>
      </c>
      <c r="F50" s="27" t="s">
        <v>1451</v>
      </c>
      <c r="H50" s="27" t="s">
        <v>1452</v>
      </c>
      <c r="J50" s="27" t="s">
        <v>219</v>
      </c>
      <c r="L50" s="27" t="s">
        <v>262</v>
      </c>
      <c r="N50" s="27" t="s">
        <v>237</v>
      </c>
      <c r="P50" s="27" t="s">
        <v>3711</v>
      </c>
      <c r="Q50" s="26" t="str">
        <f>HYPERLINK("https://ictv.global/taxonomy/taxondetails?taxnode_id=202501527&amp;ictv_id=ICTV20083116","ICTV20083116")</f>
        <v>ICTV20083116</v>
      </c>
      <c r="R50" t="s">
        <v>579</v>
      </c>
      <c r="S50" t="s">
        <v>824</v>
      </c>
      <c r="T50">
        <v>38</v>
      </c>
      <c r="U50" s="26" t="str">
        <f t="shared" si="1"/>
        <v>2022.001D.Herpesvirales_1renfam_4rengen_124rensp_6absp.zip</v>
      </c>
    </row>
    <row r="51" spans="1:21">
      <c r="A51">
        <v>50</v>
      </c>
      <c r="B51" s="27" t="s">
        <v>1449</v>
      </c>
      <c r="D51" s="27" t="s">
        <v>1450</v>
      </c>
      <c r="F51" s="27" t="s">
        <v>1451</v>
      </c>
      <c r="H51" s="27" t="s">
        <v>1452</v>
      </c>
      <c r="J51" s="27" t="s">
        <v>219</v>
      </c>
      <c r="L51" s="27" t="s">
        <v>3712</v>
      </c>
      <c r="M51" s="27" t="s">
        <v>221</v>
      </c>
      <c r="N51" s="27" t="s">
        <v>222</v>
      </c>
      <c r="P51" s="27" t="s">
        <v>3713</v>
      </c>
      <c r="Q51" s="26" t="str">
        <f>HYPERLINK("https://ictv.global/taxonomy/taxondetails?taxnode_id=202514013&amp;ictv_id=ICTV202214013","ICTV202214013")</f>
        <v>ICTV202214013</v>
      </c>
      <c r="R51" t="s">
        <v>579</v>
      </c>
      <c r="S51" t="s">
        <v>823</v>
      </c>
      <c r="T51">
        <v>38</v>
      </c>
      <c r="U51" s="26" t="str">
        <f>HYPERLINK("https://ictv.global/ictv/proposals/2022.002D.Herpesvirales_9nsp.zip","2022.002D.Herpesvirales_9nsp.zip")</f>
        <v>2022.002D.Herpesvirales_9nsp.zip</v>
      </c>
    </row>
    <row r="52" spans="1:21">
      <c r="A52">
        <v>51</v>
      </c>
      <c r="B52" s="27" t="s">
        <v>1449</v>
      </c>
      <c r="D52" s="27" t="s">
        <v>1450</v>
      </c>
      <c r="F52" s="27" t="s">
        <v>1451</v>
      </c>
      <c r="H52" s="27" t="s">
        <v>1452</v>
      </c>
      <c r="J52" s="27" t="s">
        <v>219</v>
      </c>
      <c r="L52" s="27" t="s">
        <v>3712</v>
      </c>
      <c r="M52" s="27" t="s">
        <v>221</v>
      </c>
      <c r="N52" s="27" t="s">
        <v>222</v>
      </c>
      <c r="P52" s="27" t="s">
        <v>3714</v>
      </c>
      <c r="Q52" s="26" t="str">
        <f>HYPERLINK("https://ictv.global/taxonomy/taxondetails?taxnode_id=202501414&amp;ictv_id=ICTV19951033","ICTV19951033")</f>
        <v>ICTV19951033</v>
      </c>
      <c r="R52" t="s">
        <v>579</v>
      </c>
      <c r="S52" t="s">
        <v>824</v>
      </c>
      <c r="T52">
        <v>38</v>
      </c>
      <c r="U52" s="26" t="str">
        <f>HYPERLINK("https://ictv.global/ictv/proposals/2022.001D.Herpesvirales_1renfam_4rengen_124rensp_6absp.zip","2022.001D.Herpesvirales_1renfam_4rengen_124rensp_6absp.zip")</f>
        <v>2022.001D.Herpesvirales_1renfam_4rengen_124rensp_6absp.zip</v>
      </c>
    </row>
    <row r="53" spans="1:21">
      <c r="A53">
        <v>52</v>
      </c>
      <c r="B53" s="27" t="s">
        <v>1449</v>
      </c>
      <c r="D53" s="27" t="s">
        <v>1450</v>
      </c>
      <c r="F53" s="27" t="s">
        <v>1451</v>
      </c>
      <c r="H53" s="27" t="s">
        <v>1452</v>
      </c>
      <c r="J53" s="27" t="s">
        <v>219</v>
      </c>
      <c r="L53" s="27" t="s">
        <v>3712</v>
      </c>
      <c r="M53" s="27" t="s">
        <v>221</v>
      </c>
      <c r="N53" s="27" t="s">
        <v>222</v>
      </c>
      <c r="P53" s="27" t="s">
        <v>3715</v>
      </c>
      <c r="Q53" s="26" t="str">
        <f>HYPERLINK("https://ictv.global/taxonomy/taxondetails?taxnode_id=202501415&amp;ictv_id=ICTV20073819","ICTV20073819")</f>
        <v>ICTV20073819</v>
      </c>
      <c r="R53" t="s">
        <v>579</v>
      </c>
      <c r="S53" t="s">
        <v>824</v>
      </c>
      <c r="T53">
        <v>38</v>
      </c>
      <c r="U53" s="26" t="str">
        <f>HYPERLINK("https://ictv.global/ictv/proposals/2022.001D.Herpesvirales_1renfam_4rengen_124rensp_6absp.zip","2022.001D.Herpesvirales_1renfam_4rengen_124rensp_6absp.zip")</f>
        <v>2022.001D.Herpesvirales_1renfam_4rengen_124rensp_6absp.zip</v>
      </c>
    </row>
    <row r="54" spans="1:21">
      <c r="A54">
        <v>53</v>
      </c>
      <c r="B54" s="27" t="s">
        <v>1449</v>
      </c>
      <c r="D54" s="27" t="s">
        <v>1450</v>
      </c>
      <c r="F54" s="27" t="s">
        <v>1451</v>
      </c>
      <c r="H54" s="27" t="s">
        <v>1452</v>
      </c>
      <c r="J54" s="27" t="s">
        <v>219</v>
      </c>
      <c r="L54" s="27" t="s">
        <v>3712</v>
      </c>
      <c r="M54" s="27" t="s">
        <v>221</v>
      </c>
      <c r="N54" s="27" t="s">
        <v>222</v>
      </c>
      <c r="P54" s="27" t="s">
        <v>3716</v>
      </c>
      <c r="Q54" s="26" t="str">
        <f>HYPERLINK("https://ictv.global/taxonomy/taxondetails?taxnode_id=202514014&amp;ictv_id=ICTV202214014","ICTV202214014")</f>
        <v>ICTV202214014</v>
      </c>
      <c r="R54" t="s">
        <v>579</v>
      </c>
      <c r="S54" t="s">
        <v>823</v>
      </c>
      <c r="T54">
        <v>38</v>
      </c>
      <c r="U54" s="26" t="str">
        <f>HYPERLINK("https://ictv.global/ictv/proposals/2022.002D.Herpesvirales_9nsp.zip","2022.002D.Herpesvirales_9nsp.zip")</f>
        <v>2022.002D.Herpesvirales_9nsp.zip</v>
      </c>
    </row>
    <row r="55" spans="1:21">
      <c r="A55">
        <v>54</v>
      </c>
      <c r="B55" s="27" t="s">
        <v>1449</v>
      </c>
      <c r="D55" s="27" t="s">
        <v>1450</v>
      </c>
      <c r="F55" s="27" t="s">
        <v>1451</v>
      </c>
      <c r="H55" s="27" t="s">
        <v>1452</v>
      </c>
      <c r="J55" s="27" t="s">
        <v>219</v>
      </c>
      <c r="L55" s="27" t="s">
        <v>3712</v>
      </c>
      <c r="M55" s="27" t="s">
        <v>221</v>
      </c>
      <c r="N55" s="27" t="s">
        <v>333</v>
      </c>
      <c r="P55" s="27" t="s">
        <v>3717</v>
      </c>
      <c r="Q55" s="26" t="str">
        <f>HYPERLINK("https://ictv.global/taxonomy/taxondetails?taxnode_id=202501417&amp;ictv_id=ICTV20115693","ICTV20115693")</f>
        <v>ICTV20115693</v>
      </c>
      <c r="R55" t="s">
        <v>579</v>
      </c>
      <c r="S55" t="s">
        <v>824</v>
      </c>
      <c r="T55">
        <v>38</v>
      </c>
      <c r="U55" s="26" t="str">
        <f t="shared" ref="U55:U73" si="2">HYPERLINK("https://ictv.global/ictv/proposals/2022.001D.Herpesvirales_1renfam_4rengen_124rensp_6absp.zip","2022.001D.Herpesvirales_1renfam_4rengen_124rensp_6absp.zip")</f>
        <v>2022.001D.Herpesvirales_1renfam_4rengen_124rensp_6absp.zip</v>
      </c>
    </row>
    <row r="56" spans="1:21">
      <c r="A56">
        <v>55</v>
      </c>
      <c r="B56" s="27" t="s">
        <v>1449</v>
      </c>
      <c r="D56" s="27" t="s">
        <v>1450</v>
      </c>
      <c r="F56" s="27" t="s">
        <v>1451</v>
      </c>
      <c r="H56" s="27" t="s">
        <v>1452</v>
      </c>
      <c r="J56" s="27" t="s">
        <v>219</v>
      </c>
      <c r="L56" s="27" t="s">
        <v>3712</v>
      </c>
      <c r="M56" s="27" t="s">
        <v>221</v>
      </c>
      <c r="N56" s="27" t="s">
        <v>333</v>
      </c>
      <c r="P56" s="27" t="s">
        <v>3718</v>
      </c>
      <c r="Q56" s="26" t="str">
        <f>HYPERLINK("https://ictv.global/taxonomy/taxondetails?taxnode_id=202501418&amp;ictv_id=ICTV20083040","ICTV20083040")</f>
        <v>ICTV20083040</v>
      </c>
      <c r="R56" t="s">
        <v>579</v>
      </c>
      <c r="S56" t="s">
        <v>824</v>
      </c>
      <c r="T56">
        <v>38</v>
      </c>
      <c r="U56" s="26" t="str">
        <f t="shared" si="2"/>
        <v>2022.001D.Herpesvirales_1renfam_4rengen_124rensp_6absp.zip</v>
      </c>
    </row>
    <row r="57" spans="1:21">
      <c r="A57">
        <v>56</v>
      </c>
      <c r="B57" s="27" t="s">
        <v>1449</v>
      </c>
      <c r="D57" s="27" t="s">
        <v>1450</v>
      </c>
      <c r="F57" s="27" t="s">
        <v>1451</v>
      </c>
      <c r="H57" s="27" t="s">
        <v>1452</v>
      </c>
      <c r="J57" s="27" t="s">
        <v>219</v>
      </c>
      <c r="L57" s="27" t="s">
        <v>3712</v>
      </c>
      <c r="M57" s="27" t="s">
        <v>221</v>
      </c>
      <c r="N57" s="27" t="s">
        <v>333</v>
      </c>
      <c r="P57" s="27" t="s">
        <v>3719</v>
      </c>
      <c r="Q57" s="26" t="str">
        <f>HYPERLINK("https://ictv.global/taxonomy/taxondetails?taxnode_id=202501419&amp;ictv_id=ICTV19981472","ICTV19981472")</f>
        <v>ICTV19981472</v>
      </c>
      <c r="R57" t="s">
        <v>579</v>
      </c>
      <c r="S57" t="s">
        <v>824</v>
      </c>
      <c r="T57">
        <v>38</v>
      </c>
      <c r="U57" s="26" t="str">
        <f t="shared" si="2"/>
        <v>2022.001D.Herpesvirales_1renfam_4rengen_124rensp_6absp.zip</v>
      </c>
    </row>
    <row r="58" spans="1:21">
      <c r="A58">
        <v>57</v>
      </c>
      <c r="B58" s="27" t="s">
        <v>1449</v>
      </c>
      <c r="D58" s="27" t="s">
        <v>1450</v>
      </c>
      <c r="F58" s="27" t="s">
        <v>1451</v>
      </c>
      <c r="H58" s="27" t="s">
        <v>1452</v>
      </c>
      <c r="J58" s="27" t="s">
        <v>219</v>
      </c>
      <c r="L58" s="27" t="s">
        <v>3712</v>
      </c>
      <c r="M58" s="27" t="s">
        <v>221</v>
      </c>
      <c r="N58" s="27" t="s">
        <v>333</v>
      </c>
      <c r="P58" s="27" t="s">
        <v>3720</v>
      </c>
      <c r="Q58" s="26" t="str">
        <f>HYPERLINK("https://ictv.global/taxonomy/taxondetails?taxnode_id=202501420&amp;ictv_id=ICTV19981473","ICTV19981473")</f>
        <v>ICTV19981473</v>
      </c>
      <c r="R58" t="s">
        <v>579</v>
      </c>
      <c r="S58" t="s">
        <v>824</v>
      </c>
      <c r="T58">
        <v>38</v>
      </c>
      <c r="U58" s="26" t="str">
        <f t="shared" si="2"/>
        <v>2022.001D.Herpesvirales_1renfam_4rengen_124rensp_6absp.zip</v>
      </c>
    </row>
    <row r="59" spans="1:21">
      <c r="A59">
        <v>58</v>
      </c>
      <c r="B59" s="27" t="s">
        <v>1449</v>
      </c>
      <c r="D59" s="27" t="s">
        <v>1450</v>
      </c>
      <c r="F59" s="27" t="s">
        <v>1451</v>
      </c>
      <c r="H59" s="27" t="s">
        <v>1452</v>
      </c>
      <c r="J59" s="27" t="s">
        <v>219</v>
      </c>
      <c r="L59" s="27" t="s">
        <v>3712</v>
      </c>
      <c r="M59" s="27" t="s">
        <v>221</v>
      </c>
      <c r="N59" s="27" t="s">
        <v>333</v>
      </c>
      <c r="P59" s="27" t="s">
        <v>3721</v>
      </c>
      <c r="Q59" s="26" t="str">
        <f>HYPERLINK("https://ictv.global/taxonomy/taxondetails?taxnode_id=202501421&amp;ictv_id=ICTV19951077","ICTV19951077")</f>
        <v>ICTV19951077</v>
      </c>
      <c r="R59" t="s">
        <v>579</v>
      </c>
      <c r="S59" t="s">
        <v>824</v>
      </c>
      <c r="T59">
        <v>38</v>
      </c>
      <c r="U59" s="26" t="str">
        <f t="shared" si="2"/>
        <v>2022.001D.Herpesvirales_1renfam_4rengen_124rensp_6absp.zip</v>
      </c>
    </row>
    <row r="60" spans="1:21">
      <c r="A60">
        <v>59</v>
      </c>
      <c r="B60" s="27" t="s">
        <v>1449</v>
      </c>
      <c r="D60" s="27" t="s">
        <v>1450</v>
      </c>
      <c r="F60" s="27" t="s">
        <v>1451</v>
      </c>
      <c r="H60" s="27" t="s">
        <v>1452</v>
      </c>
      <c r="J60" s="27" t="s">
        <v>219</v>
      </c>
      <c r="L60" s="27" t="s">
        <v>3712</v>
      </c>
      <c r="M60" s="27" t="s">
        <v>221</v>
      </c>
      <c r="N60" s="27" t="s">
        <v>333</v>
      </c>
      <c r="P60" s="27" t="s">
        <v>3722</v>
      </c>
      <c r="Q60" s="26" t="str">
        <f>HYPERLINK("https://ictv.global/taxonomy/taxondetails?taxnode_id=202506397&amp;ictv_id=ICTV201856397","ICTV201856397")</f>
        <v>ICTV201856397</v>
      </c>
      <c r="R60" t="s">
        <v>579</v>
      </c>
      <c r="S60" t="s">
        <v>824</v>
      </c>
      <c r="T60">
        <v>38</v>
      </c>
      <c r="U60" s="26" t="str">
        <f t="shared" si="2"/>
        <v>2022.001D.Herpesvirales_1renfam_4rengen_124rensp_6absp.zip</v>
      </c>
    </row>
    <row r="61" spans="1:21">
      <c r="A61">
        <v>60</v>
      </c>
      <c r="B61" s="27" t="s">
        <v>1449</v>
      </c>
      <c r="D61" s="27" t="s">
        <v>1450</v>
      </c>
      <c r="F61" s="27" t="s">
        <v>1451</v>
      </c>
      <c r="H61" s="27" t="s">
        <v>1452</v>
      </c>
      <c r="J61" s="27" t="s">
        <v>219</v>
      </c>
      <c r="L61" s="27" t="s">
        <v>3712</v>
      </c>
      <c r="M61" s="27" t="s">
        <v>221</v>
      </c>
      <c r="N61" s="27" t="s">
        <v>325</v>
      </c>
      <c r="P61" s="27" t="s">
        <v>3723</v>
      </c>
      <c r="Q61" s="26" t="str">
        <f>HYPERLINK("https://ictv.global/taxonomy/taxondetails?taxnode_id=202501423&amp;ictv_id=ICTV20083054","ICTV20083054")</f>
        <v>ICTV20083054</v>
      </c>
      <c r="R61" t="s">
        <v>579</v>
      </c>
      <c r="S61" t="s">
        <v>824</v>
      </c>
      <c r="T61">
        <v>38</v>
      </c>
      <c r="U61" s="26" t="str">
        <f t="shared" si="2"/>
        <v>2022.001D.Herpesvirales_1renfam_4rengen_124rensp_6absp.zip</v>
      </c>
    </row>
    <row r="62" spans="1:21">
      <c r="A62">
        <v>61</v>
      </c>
      <c r="B62" s="27" t="s">
        <v>1449</v>
      </c>
      <c r="D62" s="27" t="s">
        <v>1450</v>
      </c>
      <c r="F62" s="27" t="s">
        <v>1451</v>
      </c>
      <c r="H62" s="27" t="s">
        <v>1452</v>
      </c>
      <c r="J62" s="27" t="s">
        <v>219</v>
      </c>
      <c r="L62" s="27" t="s">
        <v>3712</v>
      </c>
      <c r="M62" s="27" t="s">
        <v>221</v>
      </c>
      <c r="N62" s="27" t="s">
        <v>325</v>
      </c>
      <c r="P62" s="27" t="s">
        <v>3724</v>
      </c>
      <c r="Q62" s="26" t="str">
        <f>HYPERLINK("https://ictv.global/taxonomy/taxondetails?taxnode_id=202506398&amp;ictv_id=ICTV201856398","ICTV201856398")</f>
        <v>ICTV201856398</v>
      </c>
      <c r="R62" t="s">
        <v>579</v>
      </c>
      <c r="S62" t="s">
        <v>824</v>
      </c>
      <c r="T62">
        <v>38</v>
      </c>
      <c r="U62" s="26" t="str">
        <f t="shared" si="2"/>
        <v>2022.001D.Herpesvirales_1renfam_4rengen_124rensp_6absp.zip</v>
      </c>
    </row>
    <row r="63" spans="1:21">
      <c r="A63">
        <v>62</v>
      </c>
      <c r="B63" s="27" t="s">
        <v>1449</v>
      </c>
      <c r="D63" s="27" t="s">
        <v>1450</v>
      </c>
      <c r="F63" s="27" t="s">
        <v>1451</v>
      </c>
      <c r="H63" s="27" t="s">
        <v>1452</v>
      </c>
      <c r="J63" s="27" t="s">
        <v>219</v>
      </c>
      <c r="L63" s="27" t="s">
        <v>3712</v>
      </c>
      <c r="M63" s="27" t="s">
        <v>221</v>
      </c>
      <c r="N63" s="27" t="s">
        <v>309</v>
      </c>
      <c r="P63" s="27" t="s">
        <v>3725</v>
      </c>
      <c r="Q63" s="26" t="str">
        <f>HYPERLINK("https://ictv.global/taxonomy/taxondetails?taxnode_id=202501425&amp;ictv_id=ICTV19951019","ICTV19951019")</f>
        <v>ICTV19951019</v>
      </c>
      <c r="R63" t="s">
        <v>579</v>
      </c>
      <c r="S63" t="s">
        <v>824</v>
      </c>
      <c r="T63">
        <v>38</v>
      </c>
      <c r="U63" s="26" t="str">
        <f t="shared" si="2"/>
        <v>2022.001D.Herpesvirales_1renfam_4rengen_124rensp_6absp.zip</v>
      </c>
    </row>
    <row r="64" spans="1:21">
      <c r="A64">
        <v>63</v>
      </c>
      <c r="B64" s="27" t="s">
        <v>1449</v>
      </c>
      <c r="D64" s="27" t="s">
        <v>1450</v>
      </c>
      <c r="F64" s="27" t="s">
        <v>1451</v>
      </c>
      <c r="H64" s="27" t="s">
        <v>1452</v>
      </c>
      <c r="J64" s="27" t="s">
        <v>219</v>
      </c>
      <c r="L64" s="27" t="s">
        <v>3712</v>
      </c>
      <c r="M64" s="27" t="s">
        <v>221</v>
      </c>
      <c r="N64" s="27" t="s">
        <v>309</v>
      </c>
      <c r="P64" s="27" t="s">
        <v>3726</v>
      </c>
      <c r="Q64" s="26" t="str">
        <f>HYPERLINK("https://ictv.global/taxonomy/taxondetails?taxnode_id=202501426&amp;ictv_id=ICTV19790328","ICTV19790328")</f>
        <v>ICTV19790328</v>
      </c>
      <c r="R64" t="s">
        <v>579</v>
      </c>
      <c r="S64" t="s">
        <v>824</v>
      </c>
      <c r="T64">
        <v>38</v>
      </c>
      <c r="U64" s="26" t="str">
        <f t="shared" si="2"/>
        <v>2022.001D.Herpesvirales_1renfam_4rengen_124rensp_6absp.zip</v>
      </c>
    </row>
    <row r="65" spans="1:21">
      <c r="A65">
        <v>64</v>
      </c>
      <c r="B65" s="27" t="s">
        <v>1449</v>
      </c>
      <c r="D65" s="27" t="s">
        <v>1450</v>
      </c>
      <c r="F65" s="27" t="s">
        <v>1451</v>
      </c>
      <c r="H65" s="27" t="s">
        <v>1452</v>
      </c>
      <c r="J65" s="27" t="s">
        <v>219</v>
      </c>
      <c r="L65" s="27" t="s">
        <v>3712</v>
      </c>
      <c r="M65" s="27" t="s">
        <v>221</v>
      </c>
      <c r="N65" s="27" t="s">
        <v>309</v>
      </c>
      <c r="P65" s="27" t="s">
        <v>3727</v>
      </c>
      <c r="Q65" s="26" t="str">
        <f>HYPERLINK("https://ictv.global/taxonomy/taxondetails?taxnode_id=202501427&amp;ictv_id=ICTV19951023","ICTV19951023")</f>
        <v>ICTV19951023</v>
      </c>
      <c r="R65" t="s">
        <v>579</v>
      </c>
      <c r="S65" t="s">
        <v>824</v>
      </c>
      <c r="T65">
        <v>38</v>
      </c>
      <c r="U65" s="26" t="str">
        <f t="shared" si="2"/>
        <v>2022.001D.Herpesvirales_1renfam_4rengen_124rensp_6absp.zip</v>
      </c>
    </row>
    <row r="66" spans="1:21">
      <c r="A66">
        <v>65</v>
      </c>
      <c r="B66" s="27" t="s">
        <v>1449</v>
      </c>
      <c r="D66" s="27" t="s">
        <v>1450</v>
      </c>
      <c r="F66" s="27" t="s">
        <v>1451</v>
      </c>
      <c r="H66" s="27" t="s">
        <v>1452</v>
      </c>
      <c r="J66" s="27" t="s">
        <v>219</v>
      </c>
      <c r="L66" s="27" t="s">
        <v>3712</v>
      </c>
      <c r="M66" s="27" t="s">
        <v>221</v>
      </c>
      <c r="N66" s="27" t="s">
        <v>309</v>
      </c>
      <c r="P66" s="27" t="s">
        <v>3728</v>
      </c>
      <c r="Q66" s="26" t="str">
        <f>HYPERLINK("https://ictv.global/taxonomy/taxondetails?taxnode_id=202501428&amp;ictv_id=ICTV19710176","ICTV19710176")</f>
        <v>ICTV19710176</v>
      </c>
      <c r="R66" t="s">
        <v>579</v>
      </c>
      <c r="S66" t="s">
        <v>824</v>
      </c>
      <c r="T66">
        <v>38</v>
      </c>
      <c r="U66" s="26" t="str">
        <f t="shared" si="2"/>
        <v>2022.001D.Herpesvirales_1renfam_4rengen_124rensp_6absp.zip</v>
      </c>
    </row>
    <row r="67" spans="1:21">
      <c r="A67">
        <v>66</v>
      </c>
      <c r="B67" s="27" t="s">
        <v>1449</v>
      </c>
      <c r="D67" s="27" t="s">
        <v>1450</v>
      </c>
      <c r="F67" s="27" t="s">
        <v>1451</v>
      </c>
      <c r="H67" s="27" t="s">
        <v>1452</v>
      </c>
      <c r="J67" s="27" t="s">
        <v>219</v>
      </c>
      <c r="L67" s="27" t="s">
        <v>3712</v>
      </c>
      <c r="M67" s="27" t="s">
        <v>221</v>
      </c>
      <c r="N67" s="27" t="s">
        <v>309</v>
      </c>
      <c r="P67" s="27" t="s">
        <v>3729</v>
      </c>
      <c r="Q67" s="26" t="str">
        <f>HYPERLINK("https://ictv.global/taxonomy/taxondetails?taxnode_id=202501429&amp;ictv_id=ICTV19760237","ICTV19760237")</f>
        <v>ICTV19760237</v>
      </c>
      <c r="R67" t="s">
        <v>579</v>
      </c>
      <c r="S67" t="s">
        <v>824</v>
      </c>
      <c r="T67">
        <v>38</v>
      </c>
      <c r="U67" s="26" t="str">
        <f t="shared" si="2"/>
        <v>2022.001D.Herpesvirales_1renfam_4rengen_124rensp_6absp.zip</v>
      </c>
    </row>
    <row r="68" spans="1:21">
      <c r="A68">
        <v>67</v>
      </c>
      <c r="B68" s="27" t="s">
        <v>1449</v>
      </c>
      <c r="D68" s="27" t="s">
        <v>1450</v>
      </c>
      <c r="F68" s="27" t="s">
        <v>1451</v>
      </c>
      <c r="H68" s="27" t="s">
        <v>1452</v>
      </c>
      <c r="J68" s="27" t="s">
        <v>219</v>
      </c>
      <c r="L68" s="27" t="s">
        <v>3712</v>
      </c>
      <c r="M68" s="27" t="s">
        <v>221</v>
      </c>
      <c r="N68" s="27" t="s">
        <v>309</v>
      </c>
      <c r="P68" s="27" t="s">
        <v>3730</v>
      </c>
      <c r="Q68" s="26" t="str">
        <f>HYPERLINK("https://ictv.global/taxonomy/taxondetails?taxnode_id=202501430&amp;ictv_id=ICTV20093863","ICTV20093863")</f>
        <v>ICTV20093863</v>
      </c>
      <c r="R68" t="s">
        <v>579</v>
      </c>
      <c r="S68" t="s">
        <v>824</v>
      </c>
      <c r="T68">
        <v>38</v>
      </c>
      <c r="U68" s="26" t="str">
        <f t="shared" si="2"/>
        <v>2022.001D.Herpesvirales_1renfam_4rengen_124rensp_6absp.zip</v>
      </c>
    </row>
    <row r="69" spans="1:21">
      <c r="A69">
        <v>68</v>
      </c>
      <c r="B69" s="27" t="s">
        <v>1449</v>
      </c>
      <c r="D69" s="27" t="s">
        <v>1450</v>
      </c>
      <c r="F69" s="27" t="s">
        <v>1451</v>
      </c>
      <c r="H69" s="27" t="s">
        <v>1452</v>
      </c>
      <c r="J69" s="27" t="s">
        <v>219</v>
      </c>
      <c r="L69" s="27" t="s">
        <v>3712</v>
      </c>
      <c r="M69" s="27" t="s">
        <v>221</v>
      </c>
      <c r="N69" s="27" t="s">
        <v>309</v>
      </c>
      <c r="P69" s="27" t="s">
        <v>3731</v>
      </c>
      <c r="Q69" s="26" t="str">
        <f>HYPERLINK("https://ictv.global/taxonomy/taxondetails?taxnode_id=202501431&amp;ictv_id=ICTV19951015","ICTV19951015")</f>
        <v>ICTV19951015</v>
      </c>
      <c r="R69" t="s">
        <v>579</v>
      </c>
      <c r="S69" t="s">
        <v>824</v>
      </c>
      <c r="T69">
        <v>38</v>
      </c>
      <c r="U69" s="26" t="str">
        <f t="shared" si="2"/>
        <v>2022.001D.Herpesvirales_1renfam_4rengen_124rensp_6absp.zip</v>
      </c>
    </row>
    <row r="70" spans="1:21">
      <c r="A70">
        <v>69</v>
      </c>
      <c r="B70" s="27" t="s">
        <v>1449</v>
      </c>
      <c r="D70" s="27" t="s">
        <v>1450</v>
      </c>
      <c r="F70" s="27" t="s">
        <v>1451</v>
      </c>
      <c r="H70" s="27" t="s">
        <v>1452</v>
      </c>
      <c r="J70" s="27" t="s">
        <v>219</v>
      </c>
      <c r="L70" s="27" t="s">
        <v>3712</v>
      </c>
      <c r="M70" s="27" t="s">
        <v>221</v>
      </c>
      <c r="N70" s="27" t="s">
        <v>309</v>
      </c>
      <c r="P70" s="27" t="s">
        <v>3732</v>
      </c>
      <c r="Q70" s="26" t="str">
        <f>HYPERLINK("https://ictv.global/taxonomy/taxondetails?taxnode_id=202508779&amp;ictv_id=ICTV202008779","ICTV202008779")</f>
        <v>ICTV202008779</v>
      </c>
      <c r="R70" t="s">
        <v>579</v>
      </c>
      <c r="S70" t="s">
        <v>824</v>
      </c>
      <c r="T70">
        <v>38</v>
      </c>
      <c r="U70" s="26" t="str">
        <f t="shared" si="2"/>
        <v>2022.001D.Herpesvirales_1renfam_4rengen_124rensp_6absp.zip</v>
      </c>
    </row>
    <row r="71" spans="1:21">
      <c r="A71">
        <v>70</v>
      </c>
      <c r="B71" s="27" t="s">
        <v>1449</v>
      </c>
      <c r="D71" s="27" t="s">
        <v>1450</v>
      </c>
      <c r="F71" s="27" t="s">
        <v>1451</v>
      </c>
      <c r="H71" s="27" t="s">
        <v>1452</v>
      </c>
      <c r="J71" s="27" t="s">
        <v>219</v>
      </c>
      <c r="L71" s="27" t="s">
        <v>3712</v>
      </c>
      <c r="M71" s="27" t="s">
        <v>221</v>
      </c>
      <c r="N71" s="27" t="s">
        <v>309</v>
      </c>
      <c r="P71" s="27" t="s">
        <v>3733</v>
      </c>
      <c r="Q71" s="26" t="str">
        <f>HYPERLINK("https://ictv.global/taxonomy/taxondetails?taxnode_id=202508780&amp;ictv_id=ICTV202008780","ICTV202008780")</f>
        <v>ICTV202008780</v>
      </c>
      <c r="R71" t="s">
        <v>579</v>
      </c>
      <c r="S71" t="s">
        <v>824</v>
      </c>
      <c r="T71">
        <v>38</v>
      </c>
      <c r="U71" s="26" t="str">
        <f t="shared" si="2"/>
        <v>2022.001D.Herpesvirales_1renfam_4rengen_124rensp_6absp.zip</v>
      </c>
    </row>
    <row r="72" spans="1:21">
      <c r="A72">
        <v>71</v>
      </c>
      <c r="B72" s="27" t="s">
        <v>1449</v>
      </c>
      <c r="D72" s="27" t="s">
        <v>1450</v>
      </c>
      <c r="F72" s="27" t="s">
        <v>1451</v>
      </c>
      <c r="H72" s="27" t="s">
        <v>1452</v>
      </c>
      <c r="J72" s="27" t="s">
        <v>219</v>
      </c>
      <c r="L72" s="27" t="s">
        <v>3712</v>
      </c>
      <c r="M72" s="27" t="s">
        <v>221</v>
      </c>
      <c r="N72" s="27" t="s">
        <v>309</v>
      </c>
      <c r="P72" s="27" t="s">
        <v>3734</v>
      </c>
      <c r="Q72" s="26" t="str">
        <f>HYPERLINK("https://ictv.global/taxonomy/taxondetails?taxnode_id=202501432&amp;ictv_id=ICTV20041256","ICTV20041256")</f>
        <v>ICTV20041256</v>
      </c>
      <c r="R72" t="s">
        <v>579</v>
      </c>
      <c r="S72" t="s">
        <v>824</v>
      </c>
      <c r="T72">
        <v>38</v>
      </c>
      <c r="U72" s="26" t="str">
        <f t="shared" si="2"/>
        <v>2022.001D.Herpesvirales_1renfam_4rengen_124rensp_6absp.zip</v>
      </c>
    </row>
    <row r="73" spans="1:21">
      <c r="A73">
        <v>72</v>
      </c>
      <c r="B73" s="27" t="s">
        <v>1449</v>
      </c>
      <c r="D73" s="27" t="s">
        <v>1450</v>
      </c>
      <c r="F73" s="27" t="s">
        <v>1451</v>
      </c>
      <c r="H73" s="27" t="s">
        <v>1452</v>
      </c>
      <c r="J73" s="27" t="s">
        <v>219</v>
      </c>
      <c r="L73" s="27" t="s">
        <v>3712</v>
      </c>
      <c r="M73" s="27" t="s">
        <v>221</v>
      </c>
      <c r="N73" s="27" t="s">
        <v>309</v>
      </c>
      <c r="P73" s="27" t="s">
        <v>3735</v>
      </c>
      <c r="Q73" s="26" t="str">
        <f>HYPERLINK("https://ictv.global/taxonomy/taxondetails?taxnode_id=202501433&amp;ictv_id=ICTV20041257","ICTV20041257")</f>
        <v>ICTV20041257</v>
      </c>
      <c r="R73" t="s">
        <v>579</v>
      </c>
      <c r="S73" t="s">
        <v>824</v>
      </c>
      <c r="T73">
        <v>38</v>
      </c>
      <c r="U73" s="26" t="str">
        <f t="shared" si="2"/>
        <v>2022.001D.Herpesvirales_1renfam_4rengen_124rensp_6absp.zip</v>
      </c>
    </row>
    <row r="74" spans="1:21">
      <c r="A74">
        <v>73</v>
      </c>
      <c r="B74" s="27" t="s">
        <v>1449</v>
      </c>
      <c r="D74" s="27" t="s">
        <v>1450</v>
      </c>
      <c r="F74" s="27" t="s">
        <v>1451</v>
      </c>
      <c r="H74" s="27" t="s">
        <v>1452</v>
      </c>
      <c r="J74" s="27" t="s">
        <v>219</v>
      </c>
      <c r="L74" s="27" t="s">
        <v>3712</v>
      </c>
      <c r="M74" s="27" t="s">
        <v>221</v>
      </c>
      <c r="N74" s="27" t="s">
        <v>309</v>
      </c>
      <c r="P74" s="27" t="s">
        <v>3736</v>
      </c>
      <c r="Q74" s="26" t="str">
        <f>HYPERLINK("https://ictv.global/taxonomy/taxondetails?taxnode_id=202514015&amp;ictv_id=ICTV202214015","ICTV202214015")</f>
        <v>ICTV202214015</v>
      </c>
      <c r="R74" t="s">
        <v>579</v>
      </c>
      <c r="S74" t="s">
        <v>823</v>
      </c>
      <c r="T74">
        <v>38</v>
      </c>
      <c r="U74" s="26" t="str">
        <f>HYPERLINK("https://ictv.global/ictv/proposals/2022.002D.Herpesvirales_9nsp.zip","2022.002D.Herpesvirales_9nsp.zip")</f>
        <v>2022.002D.Herpesvirales_9nsp.zip</v>
      </c>
    </row>
    <row r="75" spans="1:21">
      <c r="A75">
        <v>74</v>
      </c>
      <c r="B75" s="27" t="s">
        <v>1449</v>
      </c>
      <c r="D75" s="27" t="s">
        <v>1450</v>
      </c>
      <c r="F75" s="27" t="s">
        <v>1451</v>
      </c>
      <c r="H75" s="27" t="s">
        <v>1452</v>
      </c>
      <c r="J75" s="27" t="s">
        <v>219</v>
      </c>
      <c r="L75" s="27" t="s">
        <v>3712</v>
      </c>
      <c r="M75" s="27" t="s">
        <v>221</v>
      </c>
      <c r="N75" s="27" t="s">
        <v>309</v>
      </c>
      <c r="P75" s="27" t="s">
        <v>3737</v>
      </c>
      <c r="Q75" s="26" t="str">
        <f>HYPERLINK("https://ictv.global/taxonomy/taxondetails?taxnode_id=202501434&amp;ictv_id=ICTV20150869","ICTV20150869")</f>
        <v>ICTV20150869</v>
      </c>
      <c r="R75" t="s">
        <v>579</v>
      </c>
      <c r="S75" t="s">
        <v>824</v>
      </c>
      <c r="T75">
        <v>38</v>
      </c>
      <c r="U75" s="26" t="str">
        <f>HYPERLINK("https://ictv.global/ictv/proposals/2022.001D.Herpesvirales_1renfam_4rengen_124rensp_6absp.zip","2022.001D.Herpesvirales_1renfam_4rengen_124rensp_6absp.zip")</f>
        <v>2022.001D.Herpesvirales_1renfam_4rengen_124rensp_6absp.zip</v>
      </c>
    </row>
    <row r="76" spans="1:21">
      <c r="A76">
        <v>75</v>
      </c>
      <c r="B76" s="27" t="s">
        <v>1449</v>
      </c>
      <c r="D76" s="27" t="s">
        <v>1450</v>
      </c>
      <c r="F76" s="27" t="s">
        <v>1451</v>
      </c>
      <c r="H76" s="27" t="s">
        <v>1452</v>
      </c>
      <c r="J76" s="27" t="s">
        <v>219</v>
      </c>
      <c r="L76" s="27" t="s">
        <v>3712</v>
      </c>
      <c r="M76" s="27" t="s">
        <v>221</v>
      </c>
      <c r="N76" s="27" t="s">
        <v>309</v>
      </c>
      <c r="P76" s="27" t="s">
        <v>3738</v>
      </c>
      <c r="Q76" s="26" t="str">
        <f>HYPERLINK("https://ictv.global/taxonomy/taxondetails?taxnode_id=202501435&amp;ictv_id=ICTV19990975","ICTV19990975")</f>
        <v>ICTV19990975</v>
      </c>
      <c r="R76" t="s">
        <v>579</v>
      </c>
      <c r="S76" t="s">
        <v>824</v>
      </c>
      <c r="T76">
        <v>38</v>
      </c>
      <c r="U76" s="26" t="str">
        <f>HYPERLINK("https://ictv.global/ictv/proposals/2022.001D.Herpesvirales_1renfam_4rengen_124rensp_6absp.zip","2022.001D.Herpesvirales_1renfam_4rengen_124rensp_6absp.zip")</f>
        <v>2022.001D.Herpesvirales_1renfam_4rengen_124rensp_6absp.zip</v>
      </c>
    </row>
    <row r="77" spans="1:21">
      <c r="A77">
        <v>76</v>
      </c>
      <c r="B77" s="27" t="s">
        <v>1449</v>
      </c>
      <c r="D77" s="27" t="s">
        <v>1450</v>
      </c>
      <c r="F77" s="27" t="s">
        <v>1451</v>
      </c>
      <c r="H77" s="27" t="s">
        <v>1452</v>
      </c>
      <c r="J77" s="27" t="s">
        <v>219</v>
      </c>
      <c r="L77" s="27" t="s">
        <v>3712</v>
      </c>
      <c r="M77" s="27" t="s">
        <v>221</v>
      </c>
      <c r="N77" s="27" t="s">
        <v>309</v>
      </c>
      <c r="P77" s="27" t="s">
        <v>3739</v>
      </c>
      <c r="Q77" s="26" t="str">
        <f>HYPERLINK("https://ictv.global/taxonomy/taxondetails?taxnode_id=202506395&amp;ictv_id=ICTV201856395","ICTV201856395")</f>
        <v>ICTV201856395</v>
      </c>
      <c r="R77" t="s">
        <v>579</v>
      </c>
      <c r="S77" t="s">
        <v>824</v>
      </c>
      <c r="T77">
        <v>38</v>
      </c>
      <c r="U77" s="26" t="str">
        <f>HYPERLINK("https://ictv.global/ictv/proposals/2022.001D.Herpesvirales_1renfam_4rengen_124rensp_6absp.zip","2022.001D.Herpesvirales_1renfam_4rengen_124rensp_6absp.zip")</f>
        <v>2022.001D.Herpesvirales_1renfam_4rengen_124rensp_6absp.zip</v>
      </c>
    </row>
    <row r="78" spans="1:21">
      <c r="A78">
        <v>77</v>
      </c>
      <c r="B78" s="27" t="s">
        <v>1449</v>
      </c>
      <c r="D78" s="27" t="s">
        <v>1450</v>
      </c>
      <c r="F78" s="27" t="s">
        <v>1451</v>
      </c>
      <c r="H78" s="27" t="s">
        <v>1452</v>
      </c>
      <c r="J78" s="27" t="s">
        <v>219</v>
      </c>
      <c r="L78" s="27" t="s">
        <v>3712</v>
      </c>
      <c r="M78" s="27" t="s">
        <v>221</v>
      </c>
      <c r="N78" s="27" t="s">
        <v>309</v>
      </c>
      <c r="P78" s="27" t="s">
        <v>3740</v>
      </c>
      <c r="Q78" s="26" t="str">
        <f>HYPERLINK("https://ictv.global/taxonomy/taxondetails?taxnode_id=202514016&amp;ictv_id=ICTV202214016","ICTV202214016")</f>
        <v>ICTV202214016</v>
      </c>
      <c r="R78" t="s">
        <v>579</v>
      </c>
      <c r="S78" t="s">
        <v>823</v>
      </c>
      <c r="T78">
        <v>38</v>
      </c>
      <c r="U78" s="26" t="str">
        <f>HYPERLINK("https://ictv.global/ictv/proposals/2022.002D.Herpesvirales_9nsp.zip","2022.002D.Herpesvirales_9nsp.zip")</f>
        <v>2022.002D.Herpesvirales_9nsp.zip</v>
      </c>
    </row>
    <row r="79" spans="1:21">
      <c r="A79">
        <v>78</v>
      </c>
      <c r="B79" s="27" t="s">
        <v>1449</v>
      </c>
      <c r="D79" s="27" t="s">
        <v>1450</v>
      </c>
      <c r="F79" s="27" t="s">
        <v>1451</v>
      </c>
      <c r="H79" s="27" t="s">
        <v>1452</v>
      </c>
      <c r="J79" s="27" t="s">
        <v>219</v>
      </c>
      <c r="L79" s="27" t="s">
        <v>3712</v>
      </c>
      <c r="M79" s="27" t="s">
        <v>221</v>
      </c>
      <c r="N79" s="27" t="s">
        <v>309</v>
      </c>
      <c r="P79" s="27" t="s">
        <v>3741</v>
      </c>
      <c r="Q79" s="26" t="str">
        <f>HYPERLINK("https://ictv.global/taxonomy/taxondetails?taxnode_id=202501436&amp;ictv_id=ICTV19951036","ICTV19951036")</f>
        <v>ICTV19951036</v>
      </c>
      <c r="R79" t="s">
        <v>579</v>
      </c>
      <c r="S79" t="s">
        <v>824</v>
      </c>
      <c r="T79">
        <v>38</v>
      </c>
      <c r="U79" s="26" t="str">
        <f t="shared" ref="U79:U91" si="3">HYPERLINK("https://ictv.global/ictv/proposals/2022.001D.Herpesvirales_1renfam_4rengen_124rensp_6absp.zip","2022.001D.Herpesvirales_1renfam_4rengen_124rensp_6absp.zip")</f>
        <v>2022.001D.Herpesvirales_1renfam_4rengen_124rensp_6absp.zip</v>
      </c>
    </row>
    <row r="80" spans="1:21">
      <c r="A80">
        <v>79</v>
      </c>
      <c r="B80" s="27" t="s">
        <v>1449</v>
      </c>
      <c r="D80" s="27" t="s">
        <v>1450</v>
      </c>
      <c r="F80" s="27" t="s">
        <v>1451</v>
      </c>
      <c r="H80" s="27" t="s">
        <v>1452</v>
      </c>
      <c r="J80" s="27" t="s">
        <v>219</v>
      </c>
      <c r="L80" s="27" t="s">
        <v>3712</v>
      </c>
      <c r="M80" s="27" t="s">
        <v>221</v>
      </c>
      <c r="N80" s="27" t="s">
        <v>310</v>
      </c>
      <c r="P80" s="27" t="s">
        <v>3742</v>
      </c>
      <c r="Q80" s="26" t="str">
        <f>HYPERLINK("https://ictv.global/taxonomy/taxondetails?taxnode_id=202501440&amp;ictv_id=ICTV19870546","ICTV19870546")</f>
        <v>ICTV19870546</v>
      </c>
      <c r="R80" t="s">
        <v>579</v>
      </c>
      <c r="S80" t="s">
        <v>824</v>
      </c>
      <c r="T80">
        <v>38</v>
      </c>
      <c r="U80" s="26" t="str">
        <f t="shared" si="3"/>
        <v>2022.001D.Herpesvirales_1renfam_4rengen_124rensp_6absp.zip</v>
      </c>
    </row>
    <row r="81" spans="1:21">
      <c r="A81">
        <v>80</v>
      </c>
      <c r="B81" s="27" t="s">
        <v>1449</v>
      </c>
      <c r="D81" s="27" t="s">
        <v>1450</v>
      </c>
      <c r="F81" s="27" t="s">
        <v>1451</v>
      </c>
      <c r="H81" s="27" t="s">
        <v>1452</v>
      </c>
      <c r="J81" s="27" t="s">
        <v>219</v>
      </c>
      <c r="L81" s="27" t="s">
        <v>3712</v>
      </c>
      <c r="M81" s="27" t="s">
        <v>221</v>
      </c>
      <c r="N81" s="27" t="s">
        <v>310</v>
      </c>
      <c r="P81" s="27" t="s">
        <v>3743</v>
      </c>
      <c r="Q81" s="26" t="str">
        <f>HYPERLINK("https://ictv.global/taxonomy/taxondetails?taxnode_id=202501441&amp;ictv_id=ICTV19951020","ICTV19951020")</f>
        <v>ICTV19951020</v>
      </c>
      <c r="R81" t="s">
        <v>579</v>
      </c>
      <c r="S81" t="s">
        <v>824</v>
      </c>
      <c r="T81">
        <v>38</v>
      </c>
      <c r="U81" s="26" t="str">
        <f t="shared" si="3"/>
        <v>2022.001D.Herpesvirales_1renfam_4rengen_124rensp_6absp.zip</v>
      </c>
    </row>
    <row r="82" spans="1:21">
      <c r="A82">
        <v>81</v>
      </c>
      <c r="B82" s="27" t="s">
        <v>1449</v>
      </c>
      <c r="D82" s="27" t="s">
        <v>1450</v>
      </c>
      <c r="F82" s="27" t="s">
        <v>1451</v>
      </c>
      <c r="H82" s="27" t="s">
        <v>1452</v>
      </c>
      <c r="J82" s="27" t="s">
        <v>219</v>
      </c>
      <c r="L82" s="27" t="s">
        <v>3712</v>
      </c>
      <c r="M82" s="27" t="s">
        <v>221</v>
      </c>
      <c r="N82" s="27" t="s">
        <v>310</v>
      </c>
      <c r="P82" s="27" t="s">
        <v>3744</v>
      </c>
      <c r="Q82" s="26" t="str">
        <f>HYPERLINK("https://ictv.global/taxonomy/taxondetails?taxnode_id=202501442&amp;ictv_id=ICTV19990982","ICTV19990982")</f>
        <v>ICTV19990982</v>
      </c>
      <c r="R82" t="s">
        <v>579</v>
      </c>
      <c r="S82" t="s">
        <v>824</v>
      </c>
      <c r="T82">
        <v>38</v>
      </c>
      <c r="U82" s="26" t="str">
        <f t="shared" si="3"/>
        <v>2022.001D.Herpesvirales_1renfam_4rengen_124rensp_6absp.zip</v>
      </c>
    </row>
    <row r="83" spans="1:21">
      <c r="A83">
        <v>82</v>
      </c>
      <c r="B83" s="27" t="s">
        <v>1449</v>
      </c>
      <c r="D83" s="27" t="s">
        <v>1450</v>
      </c>
      <c r="F83" s="27" t="s">
        <v>1451</v>
      </c>
      <c r="H83" s="27" t="s">
        <v>1452</v>
      </c>
      <c r="J83" s="27" t="s">
        <v>219</v>
      </c>
      <c r="L83" s="27" t="s">
        <v>3712</v>
      </c>
      <c r="M83" s="27" t="s">
        <v>221</v>
      </c>
      <c r="N83" s="27" t="s">
        <v>310</v>
      </c>
      <c r="P83" s="27" t="s">
        <v>3745</v>
      </c>
      <c r="Q83" s="26" t="str">
        <f>HYPERLINK("https://ictv.global/taxonomy/taxondetails?taxnode_id=202501443&amp;ictv_id=ICTV19951021","ICTV19951021")</f>
        <v>ICTV19951021</v>
      </c>
      <c r="R83" t="s">
        <v>579</v>
      </c>
      <c r="S83" t="s">
        <v>824</v>
      </c>
      <c r="T83">
        <v>38</v>
      </c>
      <c r="U83" s="26" t="str">
        <f t="shared" si="3"/>
        <v>2022.001D.Herpesvirales_1renfam_4rengen_124rensp_6absp.zip</v>
      </c>
    </row>
    <row r="84" spans="1:21">
      <c r="A84">
        <v>83</v>
      </c>
      <c r="B84" s="27" t="s">
        <v>1449</v>
      </c>
      <c r="D84" s="27" t="s">
        <v>1450</v>
      </c>
      <c r="F84" s="27" t="s">
        <v>1451</v>
      </c>
      <c r="H84" s="27" t="s">
        <v>1452</v>
      </c>
      <c r="J84" s="27" t="s">
        <v>219</v>
      </c>
      <c r="L84" s="27" t="s">
        <v>3712</v>
      </c>
      <c r="M84" s="27" t="s">
        <v>221</v>
      </c>
      <c r="N84" s="27" t="s">
        <v>310</v>
      </c>
      <c r="P84" s="27" t="s">
        <v>3746</v>
      </c>
      <c r="Q84" s="26" t="str">
        <f>HYPERLINK("https://ictv.global/taxonomy/taxondetails?taxnode_id=202501444&amp;ictv_id=ICTV19951022","ICTV19951022")</f>
        <v>ICTV19951022</v>
      </c>
      <c r="R84" t="s">
        <v>579</v>
      </c>
      <c r="S84" t="s">
        <v>824</v>
      </c>
      <c r="T84">
        <v>38</v>
      </c>
      <c r="U84" s="26" t="str">
        <f t="shared" si="3"/>
        <v>2022.001D.Herpesvirales_1renfam_4rengen_124rensp_6absp.zip</v>
      </c>
    </row>
    <row r="85" spans="1:21">
      <c r="A85">
        <v>84</v>
      </c>
      <c r="B85" s="27" t="s">
        <v>1449</v>
      </c>
      <c r="D85" s="27" t="s">
        <v>1450</v>
      </c>
      <c r="F85" s="27" t="s">
        <v>1451</v>
      </c>
      <c r="H85" s="27" t="s">
        <v>1452</v>
      </c>
      <c r="J85" s="27" t="s">
        <v>219</v>
      </c>
      <c r="L85" s="27" t="s">
        <v>3712</v>
      </c>
      <c r="M85" s="27" t="s">
        <v>221</v>
      </c>
      <c r="N85" s="27" t="s">
        <v>310</v>
      </c>
      <c r="P85" s="27" t="s">
        <v>3747</v>
      </c>
      <c r="Q85" s="26" t="str">
        <f>HYPERLINK("https://ictv.global/taxonomy/taxondetails?taxnode_id=202501445&amp;ictv_id=ICTV19951026","ICTV19951026")</f>
        <v>ICTV19951026</v>
      </c>
      <c r="R85" t="s">
        <v>579</v>
      </c>
      <c r="S85" t="s">
        <v>824</v>
      </c>
      <c r="T85">
        <v>38</v>
      </c>
      <c r="U85" s="26" t="str">
        <f t="shared" si="3"/>
        <v>2022.001D.Herpesvirales_1renfam_4rengen_124rensp_6absp.zip</v>
      </c>
    </row>
    <row r="86" spans="1:21">
      <c r="A86">
        <v>85</v>
      </c>
      <c r="B86" s="27" t="s">
        <v>1449</v>
      </c>
      <c r="D86" s="27" t="s">
        <v>1450</v>
      </c>
      <c r="F86" s="27" t="s">
        <v>1451</v>
      </c>
      <c r="H86" s="27" t="s">
        <v>1452</v>
      </c>
      <c r="J86" s="27" t="s">
        <v>219</v>
      </c>
      <c r="L86" s="27" t="s">
        <v>3712</v>
      </c>
      <c r="M86" s="27" t="s">
        <v>221</v>
      </c>
      <c r="N86" s="27" t="s">
        <v>310</v>
      </c>
      <c r="P86" s="27" t="s">
        <v>3748</v>
      </c>
      <c r="Q86" s="26" t="str">
        <f>HYPERLINK("https://ictv.global/taxonomy/taxondetails?taxnode_id=202501446&amp;ictv_id=ICTV19951027","ICTV19951027")</f>
        <v>ICTV19951027</v>
      </c>
      <c r="R86" t="s">
        <v>579</v>
      </c>
      <c r="S86" t="s">
        <v>824</v>
      </c>
      <c r="T86">
        <v>38</v>
      </c>
      <c r="U86" s="26" t="str">
        <f t="shared" si="3"/>
        <v>2022.001D.Herpesvirales_1renfam_4rengen_124rensp_6absp.zip</v>
      </c>
    </row>
    <row r="87" spans="1:21">
      <c r="A87">
        <v>86</v>
      </c>
      <c r="B87" s="27" t="s">
        <v>1449</v>
      </c>
      <c r="D87" s="27" t="s">
        <v>1450</v>
      </c>
      <c r="F87" s="27" t="s">
        <v>1451</v>
      </c>
      <c r="H87" s="27" t="s">
        <v>1452</v>
      </c>
      <c r="J87" s="27" t="s">
        <v>219</v>
      </c>
      <c r="L87" s="27" t="s">
        <v>3712</v>
      </c>
      <c r="M87" s="27" t="s">
        <v>221</v>
      </c>
      <c r="N87" s="27" t="s">
        <v>310</v>
      </c>
      <c r="P87" s="27" t="s">
        <v>3749</v>
      </c>
      <c r="Q87" s="26" t="str">
        <f>HYPERLINK("https://ictv.global/taxonomy/taxondetails?taxnode_id=202501447&amp;ictv_id=ICTV19951028","ICTV19951028")</f>
        <v>ICTV19951028</v>
      </c>
      <c r="R87" t="s">
        <v>579</v>
      </c>
      <c r="S87" t="s">
        <v>824</v>
      </c>
      <c r="T87">
        <v>38</v>
      </c>
      <c r="U87" s="26" t="str">
        <f t="shared" si="3"/>
        <v>2022.001D.Herpesvirales_1renfam_4rengen_124rensp_6absp.zip</v>
      </c>
    </row>
    <row r="88" spans="1:21">
      <c r="A88">
        <v>87</v>
      </c>
      <c r="B88" s="27" t="s">
        <v>1449</v>
      </c>
      <c r="D88" s="27" t="s">
        <v>1450</v>
      </c>
      <c r="F88" s="27" t="s">
        <v>1451</v>
      </c>
      <c r="H88" s="27" t="s">
        <v>1452</v>
      </c>
      <c r="J88" s="27" t="s">
        <v>219</v>
      </c>
      <c r="L88" s="27" t="s">
        <v>3712</v>
      </c>
      <c r="M88" s="27" t="s">
        <v>221</v>
      </c>
      <c r="N88" s="27" t="s">
        <v>310</v>
      </c>
      <c r="P88" s="27" t="s">
        <v>3750</v>
      </c>
      <c r="Q88" s="26" t="str">
        <f>HYPERLINK("https://ictv.global/taxonomy/taxondetails?taxnode_id=202509143&amp;ictv_id=ICTV202009143","ICTV202009143")</f>
        <v>ICTV202009143</v>
      </c>
      <c r="R88" t="s">
        <v>579</v>
      </c>
      <c r="S88" t="s">
        <v>824</v>
      </c>
      <c r="T88">
        <v>38</v>
      </c>
      <c r="U88" s="26" t="str">
        <f t="shared" si="3"/>
        <v>2022.001D.Herpesvirales_1renfam_4rengen_124rensp_6absp.zip</v>
      </c>
    </row>
    <row r="89" spans="1:21">
      <c r="A89">
        <v>88</v>
      </c>
      <c r="B89" s="27" t="s">
        <v>1449</v>
      </c>
      <c r="D89" s="27" t="s">
        <v>1450</v>
      </c>
      <c r="F89" s="27" t="s">
        <v>1451</v>
      </c>
      <c r="H89" s="27" t="s">
        <v>1452</v>
      </c>
      <c r="J89" s="27" t="s">
        <v>219</v>
      </c>
      <c r="L89" s="27" t="s">
        <v>3712</v>
      </c>
      <c r="M89" s="27" t="s">
        <v>221</v>
      </c>
      <c r="N89" s="27" t="s">
        <v>310</v>
      </c>
      <c r="P89" s="27" t="s">
        <v>3751</v>
      </c>
      <c r="Q89" s="26" t="str">
        <f>HYPERLINK("https://ictv.global/taxonomy/taxondetails?taxnode_id=202501448&amp;ictv_id=ICTV19790331","ICTV19790331")</f>
        <v>ICTV19790331</v>
      </c>
      <c r="R89" t="s">
        <v>579</v>
      </c>
      <c r="S89" t="s">
        <v>824</v>
      </c>
      <c r="T89">
        <v>38</v>
      </c>
      <c r="U89" s="26" t="str">
        <f t="shared" si="3"/>
        <v>2022.001D.Herpesvirales_1renfam_4rengen_124rensp_6absp.zip</v>
      </c>
    </row>
    <row r="90" spans="1:21">
      <c r="A90">
        <v>89</v>
      </c>
      <c r="B90" s="27" t="s">
        <v>1449</v>
      </c>
      <c r="D90" s="27" t="s">
        <v>1450</v>
      </c>
      <c r="F90" s="27" t="s">
        <v>1451</v>
      </c>
      <c r="H90" s="27" t="s">
        <v>1452</v>
      </c>
      <c r="J90" s="27" t="s">
        <v>219</v>
      </c>
      <c r="L90" s="27" t="s">
        <v>3712</v>
      </c>
      <c r="M90" s="27" t="s">
        <v>221</v>
      </c>
      <c r="N90" s="27" t="s">
        <v>310</v>
      </c>
      <c r="P90" s="27" t="s">
        <v>3752</v>
      </c>
      <c r="Q90" s="26" t="str">
        <f>HYPERLINK("https://ictv.global/taxonomy/taxondetails?taxnode_id=202501449&amp;ictv_id=ICTV20041268","ICTV20041268")</f>
        <v>ICTV20041268</v>
      </c>
      <c r="R90" t="s">
        <v>579</v>
      </c>
      <c r="S90" t="s">
        <v>824</v>
      </c>
      <c r="T90">
        <v>38</v>
      </c>
      <c r="U90" s="26" t="str">
        <f t="shared" si="3"/>
        <v>2022.001D.Herpesvirales_1renfam_4rengen_124rensp_6absp.zip</v>
      </c>
    </row>
    <row r="91" spans="1:21">
      <c r="A91">
        <v>90</v>
      </c>
      <c r="B91" s="27" t="s">
        <v>1449</v>
      </c>
      <c r="D91" s="27" t="s">
        <v>1450</v>
      </c>
      <c r="F91" s="27" t="s">
        <v>1451</v>
      </c>
      <c r="H91" s="27" t="s">
        <v>1452</v>
      </c>
      <c r="J91" s="27" t="s">
        <v>219</v>
      </c>
      <c r="L91" s="27" t="s">
        <v>3712</v>
      </c>
      <c r="M91" s="27" t="s">
        <v>221</v>
      </c>
      <c r="N91" s="27" t="s">
        <v>310</v>
      </c>
      <c r="P91" s="27" t="s">
        <v>3753</v>
      </c>
      <c r="Q91" s="26" t="str">
        <f>HYPERLINK("https://ictv.global/taxonomy/taxondetails?taxnode_id=202501450&amp;ictv_id=ICTV19870548","ICTV19870548")</f>
        <v>ICTV19870548</v>
      </c>
      <c r="R91" t="s">
        <v>579</v>
      </c>
      <c r="S91" t="s">
        <v>824</v>
      </c>
      <c r="T91">
        <v>38</v>
      </c>
      <c r="U91" s="26" t="str">
        <f t="shared" si="3"/>
        <v>2022.001D.Herpesvirales_1renfam_4rengen_124rensp_6absp.zip</v>
      </c>
    </row>
    <row r="92" spans="1:21">
      <c r="A92">
        <v>91</v>
      </c>
      <c r="B92" s="27" t="s">
        <v>1449</v>
      </c>
      <c r="D92" s="27" t="s">
        <v>1450</v>
      </c>
      <c r="F92" s="27" t="s">
        <v>1451</v>
      </c>
      <c r="H92" s="27" t="s">
        <v>1452</v>
      </c>
      <c r="J92" s="27" t="s">
        <v>219</v>
      </c>
      <c r="L92" s="27" t="s">
        <v>3712</v>
      </c>
      <c r="M92" s="27" t="s">
        <v>221</v>
      </c>
      <c r="N92" s="27" t="s">
        <v>310</v>
      </c>
      <c r="P92" s="27" t="s">
        <v>3754</v>
      </c>
      <c r="Q92" s="26" t="str">
        <f>HYPERLINK("https://ictv.global/taxonomy/taxondetails?taxnode_id=202514017&amp;ictv_id=ICTV202214017","ICTV202214017")</f>
        <v>ICTV202214017</v>
      </c>
      <c r="R92" t="s">
        <v>579</v>
      </c>
      <c r="S92" t="s">
        <v>823</v>
      </c>
      <c r="T92">
        <v>38</v>
      </c>
      <c r="U92" s="26" t="str">
        <f>HYPERLINK("https://ictv.global/ictv/proposals/2022.002D.Herpesvirales_9nsp.zip","2022.002D.Herpesvirales_9nsp.zip")</f>
        <v>2022.002D.Herpesvirales_9nsp.zip</v>
      </c>
    </row>
    <row r="93" spans="1:21">
      <c r="A93">
        <v>92</v>
      </c>
      <c r="B93" s="27" t="s">
        <v>1449</v>
      </c>
      <c r="D93" s="27" t="s">
        <v>1450</v>
      </c>
      <c r="F93" s="27" t="s">
        <v>1451</v>
      </c>
      <c r="H93" s="27" t="s">
        <v>1452</v>
      </c>
      <c r="J93" s="27" t="s">
        <v>219</v>
      </c>
      <c r="L93" s="27" t="s">
        <v>3712</v>
      </c>
      <c r="M93" s="27" t="s">
        <v>221</v>
      </c>
      <c r="N93" s="27" t="s">
        <v>310</v>
      </c>
      <c r="P93" s="27" t="s">
        <v>3755</v>
      </c>
      <c r="Q93" s="26" t="str">
        <f>HYPERLINK("https://ictv.global/taxonomy/taxondetails?taxnode_id=202501451&amp;ictv_id=ICTV19951031","ICTV19951031")</f>
        <v>ICTV19951031</v>
      </c>
      <c r="R93" t="s">
        <v>579</v>
      </c>
      <c r="S93" t="s">
        <v>824</v>
      </c>
      <c r="T93">
        <v>38</v>
      </c>
      <c r="U93" s="26" t="str">
        <f t="shared" ref="U93:U114" si="4">HYPERLINK("https://ictv.global/ictv/proposals/2022.001D.Herpesvirales_1renfam_4rengen_124rensp_6absp.zip","2022.001D.Herpesvirales_1renfam_4rengen_124rensp_6absp.zip")</f>
        <v>2022.001D.Herpesvirales_1renfam_4rengen_124rensp_6absp.zip</v>
      </c>
    </row>
    <row r="94" spans="1:21">
      <c r="A94">
        <v>93</v>
      </c>
      <c r="B94" s="27" t="s">
        <v>1449</v>
      </c>
      <c r="D94" s="27" t="s">
        <v>1450</v>
      </c>
      <c r="F94" s="27" t="s">
        <v>1451</v>
      </c>
      <c r="H94" s="27" t="s">
        <v>1452</v>
      </c>
      <c r="J94" s="27" t="s">
        <v>219</v>
      </c>
      <c r="L94" s="27" t="s">
        <v>3712</v>
      </c>
      <c r="M94" s="27" t="s">
        <v>221</v>
      </c>
      <c r="N94" s="27" t="s">
        <v>310</v>
      </c>
      <c r="P94" s="27" t="s">
        <v>3756</v>
      </c>
      <c r="Q94" s="26" t="str">
        <f>HYPERLINK("https://ictv.global/taxonomy/taxondetails?taxnode_id=202501452&amp;ictv_id=ICTV19990991","ICTV19990991")</f>
        <v>ICTV19990991</v>
      </c>
      <c r="R94" t="s">
        <v>579</v>
      </c>
      <c r="S94" t="s">
        <v>824</v>
      </c>
      <c r="T94">
        <v>38</v>
      </c>
      <c r="U94" s="26" t="str">
        <f t="shared" si="4"/>
        <v>2022.001D.Herpesvirales_1renfam_4rengen_124rensp_6absp.zip</v>
      </c>
    </row>
    <row r="95" spans="1:21">
      <c r="A95">
        <v>94</v>
      </c>
      <c r="B95" s="27" t="s">
        <v>1449</v>
      </c>
      <c r="D95" s="27" t="s">
        <v>1450</v>
      </c>
      <c r="F95" s="27" t="s">
        <v>1451</v>
      </c>
      <c r="H95" s="27" t="s">
        <v>1452</v>
      </c>
      <c r="J95" s="27" t="s">
        <v>219</v>
      </c>
      <c r="L95" s="27" t="s">
        <v>3712</v>
      </c>
      <c r="M95" s="27" t="s">
        <v>221</v>
      </c>
      <c r="N95" s="27" t="s">
        <v>310</v>
      </c>
      <c r="P95" s="27" t="s">
        <v>3757</v>
      </c>
      <c r="Q95" s="26" t="str">
        <f>HYPERLINK("https://ictv.global/taxonomy/taxondetails?taxnode_id=202501453&amp;ictv_id=ICTV19951032","ICTV19951032")</f>
        <v>ICTV19951032</v>
      </c>
      <c r="R95" t="s">
        <v>579</v>
      </c>
      <c r="S95" t="s">
        <v>824</v>
      </c>
      <c r="T95">
        <v>38</v>
      </c>
      <c r="U95" s="26" t="str">
        <f t="shared" si="4"/>
        <v>2022.001D.Herpesvirales_1renfam_4rengen_124rensp_6absp.zip</v>
      </c>
    </row>
    <row r="96" spans="1:21">
      <c r="A96">
        <v>95</v>
      </c>
      <c r="B96" s="27" t="s">
        <v>1449</v>
      </c>
      <c r="D96" s="27" t="s">
        <v>1450</v>
      </c>
      <c r="F96" s="27" t="s">
        <v>1451</v>
      </c>
      <c r="H96" s="27" t="s">
        <v>1452</v>
      </c>
      <c r="J96" s="27" t="s">
        <v>219</v>
      </c>
      <c r="L96" s="27" t="s">
        <v>3712</v>
      </c>
      <c r="M96" s="27" t="s">
        <v>221</v>
      </c>
      <c r="N96" s="27" t="s">
        <v>310</v>
      </c>
      <c r="P96" s="27" t="s">
        <v>3758</v>
      </c>
      <c r="Q96" s="26" t="str">
        <f>HYPERLINK("https://ictv.global/taxonomy/taxondetails?taxnode_id=202501454&amp;ictv_id=ICTV19840518","ICTV19840518")</f>
        <v>ICTV19840518</v>
      </c>
      <c r="R96" t="s">
        <v>579</v>
      </c>
      <c r="S96" t="s">
        <v>824</v>
      </c>
      <c r="T96">
        <v>38</v>
      </c>
      <c r="U96" s="26" t="str">
        <f t="shared" si="4"/>
        <v>2022.001D.Herpesvirales_1renfam_4rengen_124rensp_6absp.zip</v>
      </c>
    </row>
    <row r="97" spans="1:21">
      <c r="A97">
        <v>96</v>
      </c>
      <c r="B97" s="27" t="s">
        <v>1449</v>
      </c>
      <c r="D97" s="27" t="s">
        <v>1450</v>
      </c>
      <c r="F97" s="27" t="s">
        <v>1451</v>
      </c>
      <c r="H97" s="27" t="s">
        <v>1452</v>
      </c>
      <c r="J97" s="27" t="s">
        <v>219</v>
      </c>
      <c r="L97" s="27" t="s">
        <v>3712</v>
      </c>
      <c r="M97" s="27" t="s">
        <v>221</v>
      </c>
      <c r="N97" s="27" t="s">
        <v>310</v>
      </c>
      <c r="P97" s="27" t="s">
        <v>3759</v>
      </c>
      <c r="Q97" s="26" t="str">
        <f>HYPERLINK("https://ictv.global/taxonomy/taxondetails?taxnode_id=202506396&amp;ictv_id=ICTV201856396","ICTV201856396")</f>
        <v>ICTV201856396</v>
      </c>
      <c r="R97" t="s">
        <v>579</v>
      </c>
      <c r="S97" t="s">
        <v>824</v>
      </c>
      <c r="T97">
        <v>38</v>
      </c>
      <c r="U97" s="26" t="str">
        <f t="shared" si="4"/>
        <v>2022.001D.Herpesvirales_1renfam_4rengen_124rensp_6absp.zip</v>
      </c>
    </row>
    <row r="98" spans="1:21">
      <c r="A98">
        <v>97</v>
      </c>
      <c r="B98" s="27" t="s">
        <v>1449</v>
      </c>
      <c r="D98" s="27" t="s">
        <v>1450</v>
      </c>
      <c r="F98" s="27" t="s">
        <v>1451</v>
      </c>
      <c r="H98" s="27" t="s">
        <v>1452</v>
      </c>
      <c r="J98" s="27" t="s">
        <v>219</v>
      </c>
      <c r="L98" s="27" t="s">
        <v>3712</v>
      </c>
      <c r="M98" s="27" t="s">
        <v>221</v>
      </c>
      <c r="N98" s="27" t="s">
        <v>310</v>
      </c>
      <c r="P98" s="27" t="s">
        <v>3760</v>
      </c>
      <c r="Q98" s="26" t="str">
        <f>HYPERLINK("https://ictv.global/taxonomy/taxondetails?taxnode_id=202501455&amp;ictv_id=ICTV19990994","ICTV19990994")</f>
        <v>ICTV19990994</v>
      </c>
      <c r="R98" t="s">
        <v>579</v>
      </c>
      <c r="S98" t="s">
        <v>824</v>
      </c>
      <c r="T98">
        <v>38</v>
      </c>
      <c r="U98" s="26" t="str">
        <f t="shared" si="4"/>
        <v>2022.001D.Herpesvirales_1renfam_4rengen_124rensp_6absp.zip</v>
      </c>
    </row>
    <row r="99" spans="1:21">
      <c r="A99">
        <v>98</v>
      </c>
      <c r="B99" s="27" t="s">
        <v>1449</v>
      </c>
      <c r="D99" s="27" t="s">
        <v>1450</v>
      </c>
      <c r="F99" s="27" t="s">
        <v>1451</v>
      </c>
      <c r="H99" s="27" t="s">
        <v>1452</v>
      </c>
      <c r="J99" s="27" t="s">
        <v>219</v>
      </c>
      <c r="L99" s="27" t="s">
        <v>3712</v>
      </c>
      <c r="M99" s="27" t="s">
        <v>221</v>
      </c>
      <c r="N99" s="27" t="s">
        <v>310</v>
      </c>
      <c r="P99" s="27" t="s">
        <v>3761</v>
      </c>
      <c r="Q99" s="26" t="str">
        <f>HYPERLINK("https://ictv.global/taxonomy/taxondetails?taxnode_id=202501456&amp;ictv_id=ICTV19790332","ICTV19790332")</f>
        <v>ICTV19790332</v>
      </c>
      <c r="R99" t="s">
        <v>579</v>
      </c>
      <c r="S99" t="s">
        <v>824</v>
      </c>
      <c r="T99">
        <v>38</v>
      </c>
      <c r="U99" s="26" t="str">
        <f t="shared" si="4"/>
        <v>2022.001D.Herpesvirales_1renfam_4rengen_124rensp_6absp.zip</v>
      </c>
    </row>
    <row r="100" spans="1:21">
      <c r="A100">
        <v>99</v>
      </c>
      <c r="B100" s="27" t="s">
        <v>1449</v>
      </c>
      <c r="D100" s="27" t="s">
        <v>1450</v>
      </c>
      <c r="F100" s="27" t="s">
        <v>1451</v>
      </c>
      <c r="H100" s="27" t="s">
        <v>1452</v>
      </c>
      <c r="J100" s="27" t="s">
        <v>219</v>
      </c>
      <c r="L100" s="27" t="s">
        <v>3712</v>
      </c>
      <c r="M100" s="27" t="s">
        <v>336</v>
      </c>
      <c r="N100" s="27" t="s">
        <v>180</v>
      </c>
      <c r="P100" s="27" t="s">
        <v>3762</v>
      </c>
      <c r="Q100" s="26" t="str">
        <f>HYPERLINK("https://ictv.global/taxonomy/taxondetails?taxnode_id=202501459&amp;ictv_id=ICTV20125918","ICTV20125918")</f>
        <v>ICTV20125918</v>
      </c>
      <c r="R100" t="s">
        <v>579</v>
      </c>
      <c r="S100" t="s">
        <v>824</v>
      </c>
      <c r="T100">
        <v>38</v>
      </c>
      <c r="U100" s="26" t="str">
        <f t="shared" si="4"/>
        <v>2022.001D.Herpesvirales_1renfam_4rengen_124rensp_6absp.zip</v>
      </c>
    </row>
    <row r="101" spans="1:21">
      <c r="A101">
        <v>100</v>
      </c>
      <c r="B101" s="27" t="s">
        <v>1449</v>
      </c>
      <c r="D101" s="27" t="s">
        <v>1450</v>
      </c>
      <c r="F101" s="27" t="s">
        <v>1451</v>
      </c>
      <c r="H101" s="27" t="s">
        <v>1452</v>
      </c>
      <c r="J101" s="27" t="s">
        <v>219</v>
      </c>
      <c r="L101" s="27" t="s">
        <v>3712</v>
      </c>
      <c r="M101" s="27" t="s">
        <v>336</v>
      </c>
      <c r="N101" s="27" t="s">
        <v>180</v>
      </c>
      <c r="P101" s="27" t="s">
        <v>3763</v>
      </c>
      <c r="Q101" s="26" t="str">
        <f>HYPERLINK("https://ictv.global/taxonomy/taxondetails?taxnode_id=202501460&amp;ictv_id=ICTV20125920","ICTV20125920")</f>
        <v>ICTV20125920</v>
      </c>
      <c r="R101" t="s">
        <v>579</v>
      </c>
      <c r="S101" t="s">
        <v>824</v>
      </c>
      <c r="T101">
        <v>38</v>
      </c>
      <c r="U101" s="26" t="str">
        <f t="shared" si="4"/>
        <v>2022.001D.Herpesvirales_1renfam_4rengen_124rensp_6absp.zip</v>
      </c>
    </row>
    <row r="102" spans="1:21">
      <c r="A102">
        <v>101</v>
      </c>
      <c r="B102" s="27" t="s">
        <v>1449</v>
      </c>
      <c r="D102" s="27" t="s">
        <v>1450</v>
      </c>
      <c r="F102" s="27" t="s">
        <v>1451</v>
      </c>
      <c r="H102" s="27" t="s">
        <v>1452</v>
      </c>
      <c r="J102" s="27" t="s">
        <v>219</v>
      </c>
      <c r="L102" s="27" t="s">
        <v>3712</v>
      </c>
      <c r="M102" s="27" t="s">
        <v>336</v>
      </c>
      <c r="N102" s="27" t="s">
        <v>180</v>
      </c>
      <c r="P102" s="27" t="s">
        <v>3764</v>
      </c>
      <c r="Q102" s="26" t="str">
        <f>HYPERLINK("https://ictv.global/taxonomy/taxondetails?taxnode_id=202501461&amp;ictv_id=ICTV19990996","ICTV19990996")</f>
        <v>ICTV19990996</v>
      </c>
      <c r="R102" t="s">
        <v>579</v>
      </c>
      <c r="S102" t="s">
        <v>824</v>
      </c>
      <c r="T102">
        <v>38</v>
      </c>
      <c r="U102" s="26" t="str">
        <f t="shared" si="4"/>
        <v>2022.001D.Herpesvirales_1renfam_4rengen_124rensp_6absp.zip</v>
      </c>
    </row>
    <row r="103" spans="1:21">
      <c r="A103">
        <v>102</v>
      </c>
      <c r="B103" s="27" t="s">
        <v>1449</v>
      </c>
      <c r="D103" s="27" t="s">
        <v>1450</v>
      </c>
      <c r="F103" s="27" t="s">
        <v>1451</v>
      </c>
      <c r="H103" s="27" t="s">
        <v>1452</v>
      </c>
      <c r="J103" s="27" t="s">
        <v>219</v>
      </c>
      <c r="L103" s="27" t="s">
        <v>3712</v>
      </c>
      <c r="M103" s="27" t="s">
        <v>336</v>
      </c>
      <c r="N103" s="27" t="s">
        <v>180</v>
      </c>
      <c r="P103" s="27" t="s">
        <v>3765</v>
      </c>
      <c r="Q103" s="26" t="str">
        <f>HYPERLINK("https://ictv.global/taxonomy/taxondetails?taxnode_id=202501462&amp;ictv_id=ICTV19790333","ICTV19790333")</f>
        <v>ICTV19790333</v>
      </c>
      <c r="R103" t="s">
        <v>579</v>
      </c>
      <c r="S103" t="s">
        <v>824</v>
      </c>
      <c r="T103">
        <v>38</v>
      </c>
      <c r="U103" s="26" t="str">
        <f t="shared" si="4"/>
        <v>2022.001D.Herpesvirales_1renfam_4rengen_124rensp_6absp.zip</v>
      </c>
    </row>
    <row r="104" spans="1:21">
      <c r="A104">
        <v>103</v>
      </c>
      <c r="B104" s="27" t="s">
        <v>1449</v>
      </c>
      <c r="D104" s="27" t="s">
        <v>1450</v>
      </c>
      <c r="F104" s="27" t="s">
        <v>1451</v>
      </c>
      <c r="H104" s="27" t="s">
        <v>1452</v>
      </c>
      <c r="J104" s="27" t="s">
        <v>219</v>
      </c>
      <c r="L104" s="27" t="s">
        <v>3712</v>
      </c>
      <c r="M104" s="27" t="s">
        <v>336</v>
      </c>
      <c r="N104" s="27" t="s">
        <v>180</v>
      </c>
      <c r="P104" s="27" t="s">
        <v>3766</v>
      </c>
      <c r="Q104" s="26" t="str">
        <f>HYPERLINK("https://ictv.global/taxonomy/taxondetails?taxnode_id=202501463&amp;ictv_id=ICTV19990997","ICTV19990997")</f>
        <v>ICTV19990997</v>
      </c>
      <c r="R104" t="s">
        <v>579</v>
      </c>
      <c r="S104" t="s">
        <v>824</v>
      </c>
      <c r="T104">
        <v>38</v>
      </c>
      <c r="U104" s="26" t="str">
        <f t="shared" si="4"/>
        <v>2022.001D.Herpesvirales_1renfam_4rengen_124rensp_6absp.zip</v>
      </c>
    </row>
    <row r="105" spans="1:21">
      <c r="A105">
        <v>104</v>
      </c>
      <c r="B105" s="27" t="s">
        <v>1449</v>
      </c>
      <c r="D105" s="27" t="s">
        <v>1450</v>
      </c>
      <c r="F105" s="27" t="s">
        <v>1451</v>
      </c>
      <c r="H105" s="27" t="s">
        <v>1452</v>
      </c>
      <c r="J105" s="27" t="s">
        <v>219</v>
      </c>
      <c r="L105" s="27" t="s">
        <v>3712</v>
      </c>
      <c r="M105" s="27" t="s">
        <v>336</v>
      </c>
      <c r="N105" s="27" t="s">
        <v>180</v>
      </c>
      <c r="P105" s="27" t="s">
        <v>3767</v>
      </c>
      <c r="Q105" s="26" t="str">
        <f>HYPERLINK("https://ictv.global/taxonomy/taxondetails?taxnode_id=202506399&amp;ictv_id=ICTV201856399","ICTV201856399")</f>
        <v>ICTV201856399</v>
      </c>
      <c r="R105" t="s">
        <v>579</v>
      </c>
      <c r="S105" t="s">
        <v>824</v>
      </c>
      <c r="T105">
        <v>38</v>
      </c>
      <c r="U105" s="26" t="str">
        <f t="shared" si="4"/>
        <v>2022.001D.Herpesvirales_1renfam_4rengen_124rensp_6absp.zip</v>
      </c>
    </row>
    <row r="106" spans="1:21">
      <c r="A106">
        <v>105</v>
      </c>
      <c r="B106" s="27" t="s">
        <v>1449</v>
      </c>
      <c r="D106" s="27" t="s">
        <v>1450</v>
      </c>
      <c r="F106" s="27" t="s">
        <v>1451</v>
      </c>
      <c r="H106" s="27" t="s">
        <v>1452</v>
      </c>
      <c r="J106" s="27" t="s">
        <v>219</v>
      </c>
      <c r="L106" s="27" t="s">
        <v>3712</v>
      </c>
      <c r="M106" s="27" t="s">
        <v>336</v>
      </c>
      <c r="N106" s="27" t="s">
        <v>180</v>
      </c>
      <c r="P106" s="27" t="s">
        <v>3768</v>
      </c>
      <c r="Q106" s="26" t="str">
        <f>HYPERLINK("https://ictv.global/taxonomy/taxondetails?taxnode_id=202506400&amp;ictv_id=ICTV201856400","ICTV201856400")</f>
        <v>ICTV201856400</v>
      </c>
      <c r="R106" t="s">
        <v>579</v>
      </c>
      <c r="S106" t="s">
        <v>824</v>
      </c>
      <c r="T106">
        <v>38</v>
      </c>
      <c r="U106" s="26" t="str">
        <f t="shared" si="4"/>
        <v>2022.001D.Herpesvirales_1renfam_4rengen_124rensp_6absp.zip</v>
      </c>
    </row>
    <row r="107" spans="1:21">
      <c r="A107">
        <v>106</v>
      </c>
      <c r="B107" s="27" t="s">
        <v>1449</v>
      </c>
      <c r="D107" s="27" t="s">
        <v>1450</v>
      </c>
      <c r="F107" s="27" t="s">
        <v>1451</v>
      </c>
      <c r="H107" s="27" t="s">
        <v>1452</v>
      </c>
      <c r="J107" s="27" t="s">
        <v>219</v>
      </c>
      <c r="L107" s="27" t="s">
        <v>3712</v>
      </c>
      <c r="M107" s="27" t="s">
        <v>336</v>
      </c>
      <c r="N107" s="27" t="s">
        <v>180</v>
      </c>
      <c r="P107" s="27" t="s">
        <v>3769</v>
      </c>
      <c r="Q107" s="26" t="str">
        <f>HYPERLINK("https://ictv.global/taxonomy/taxondetails?taxnode_id=202501464&amp;ictv_id=ICTV20041279","ICTV20041279")</f>
        <v>ICTV20041279</v>
      </c>
      <c r="R107" t="s">
        <v>579</v>
      </c>
      <c r="S107" t="s">
        <v>824</v>
      </c>
      <c r="T107">
        <v>38</v>
      </c>
      <c r="U107" s="26" t="str">
        <f t="shared" si="4"/>
        <v>2022.001D.Herpesvirales_1renfam_4rengen_124rensp_6absp.zip</v>
      </c>
    </row>
    <row r="108" spans="1:21">
      <c r="A108">
        <v>107</v>
      </c>
      <c r="B108" s="27" t="s">
        <v>1449</v>
      </c>
      <c r="D108" s="27" t="s">
        <v>1450</v>
      </c>
      <c r="F108" s="27" t="s">
        <v>1451</v>
      </c>
      <c r="H108" s="27" t="s">
        <v>1452</v>
      </c>
      <c r="J108" s="27" t="s">
        <v>219</v>
      </c>
      <c r="L108" s="27" t="s">
        <v>3712</v>
      </c>
      <c r="M108" s="27" t="s">
        <v>336</v>
      </c>
      <c r="N108" s="27" t="s">
        <v>180</v>
      </c>
      <c r="P108" s="27" t="s">
        <v>3770</v>
      </c>
      <c r="Q108" s="26" t="str">
        <f>HYPERLINK("https://ictv.global/taxonomy/taxondetails?taxnode_id=202501465&amp;ictv_id=ICTV20125917","ICTV20125917")</f>
        <v>ICTV20125917</v>
      </c>
      <c r="R108" t="s">
        <v>579</v>
      </c>
      <c r="S108" t="s">
        <v>824</v>
      </c>
      <c r="T108">
        <v>38</v>
      </c>
      <c r="U108" s="26" t="str">
        <f t="shared" si="4"/>
        <v>2022.001D.Herpesvirales_1renfam_4rengen_124rensp_6absp.zip</v>
      </c>
    </row>
    <row r="109" spans="1:21">
      <c r="A109">
        <v>108</v>
      </c>
      <c r="B109" s="27" t="s">
        <v>1449</v>
      </c>
      <c r="D109" s="27" t="s">
        <v>1450</v>
      </c>
      <c r="F109" s="27" t="s">
        <v>1451</v>
      </c>
      <c r="H109" s="27" t="s">
        <v>1452</v>
      </c>
      <c r="J109" s="27" t="s">
        <v>219</v>
      </c>
      <c r="L109" s="27" t="s">
        <v>3712</v>
      </c>
      <c r="M109" s="27" t="s">
        <v>336</v>
      </c>
      <c r="N109" s="27" t="s">
        <v>180</v>
      </c>
      <c r="P109" s="27" t="s">
        <v>3771</v>
      </c>
      <c r="Q109" s="26" t="str">
        <f>HYPERLINK("https://ictv.global/taxonomy/taxondetails?taxnode_id=202506401&amp;ictv_id=ICTV201856401","ICTV201856401")</f>
        <v>ICTV201856401</v>
      </c>
      <c r="R109" t="s">
        <v>579</v>
      </c>
      <c r="S109" t="s">
        <v>824</v>
      </c>
      <c r="T109">
        <v>38</v>
      </c>
      <c r="U109" s="26" t="str">
        <f t="shared" si="4"/>
        <v>2022.001D.Herpesvirales_1renfam_4rengen_124rensp_6absp.zip</v>
      </c>
    </row>
    <row r="110" spans="1:21">
      <c r="A110">
        <v>109</v>
      </c>
      <c r="B110" s="27" t="s">
        <v>1449</v>
      </c>
      <c r="D110" s="27" t="s">
        <v>1450</v>
      </c>
      <c r="F110" s="27" t="s">
        <v>1451</v>
      </c>
      <c r="H110" s="27" t="s">
        <v>1452</v>
      </c>
      <c r="J110" s="27" t="s">
        <v>219</v>
      </c>
      <c r="L110" s="27" t="s">
        <v>3712</v>
      </c>
      <c r="M110" s="27" t="s">
        <v>336</v>
      </c>
      <c r="N110" s="27" t="s">
        <v>180</v>
      </c>
      <c r="P110" s="27" t="s">
        <v>3772</v>
      </c>
      <c r="Q110" s="26" t="str">
        <f>HYPERLINK("https://ictv.global/taxonomy/taxondetails?taxnode_id=202501466&amp;ictv_id=ICTV20125919","ICTV20125919")</f>
        <v>ICTV20125919</v>
      </c>
      <c r="R110" t="s">
        <v>579</v>
      </c>
      <c r="S110" t="s">
        <v>824</v>
      </c>
      <c r="T110">
        <v>38</v>
      </c>
      <c r="U110" s="26" t="str">
        <f t="shared" si="4"/>
        <v>2022.001D.Herpesvirales_1renfam_4rengen_124rensp_6absp.zip</v>
      </c>
    </row>
    <row r="111" spans="1:21">
      <c r="A111">
        <v>110</v>
      </c>
      <c r="B111" s="27" t="s">
        <v>1449</v>
      </c>
      <c r="D111" s="27" t="s">
        <v>1450</v>
      </c>
      <c r="F111" s="27" t="s">
        <v>1451</v>
      </c>
      <c r="H111" s="27" t="s">
        <v>1452</v>
      </c>
      <c r="J111" s="27" t="s">
        <v>219</v>
      </c>
      <c r="L111" s="27" t="s">
        <v>3712</v>
      </c>
      <c r="M111" s="27" t="s">
        <v>336</v>
      </c>
      <c r="N111" s="27" t="s">
        <v>181</v>
      </c>
      <c r="P111" s="27" t="s">
        <v>3773</v>
      </c>
      <c r="Q111" s="26" t="str">
        <f>HYPERLINK("https://ictv.global/taxonomy/taxondetails?taxnode_id=202501468&amp;ictv_id=ICTV19790334","ICTV19790334")</f>
        <v>ICTV19790334</v>
      </c>
      <c r="R111" t="s">
        <v>579</v>
      </c>
      <c r="S111" t="s">
        <v>824</v>
      </c>
      <c r="T111">
        <v>38</v>
      </c>
      <c r="U111" s="26" t="str">
        <f t="shared" si="4"/>
        <v>2022.001D.Herpesvirales_1renfam_4rengen_124rensp_6absp.zip</v>
      </c>
    </row>
    <row r="112" spans="1:21">
      <c r="A112">
        <v>111</v>
      </c>
      <c r="B112" s="27" t="s">
        <v>1449</v>
      </c>
      <c r="D112" s="27" t="s">
        <v>1450</v>
      </c>
      <c r="F112" s="27" t="s">
        <v>1451</v>
      </c>
      <c r="H112" s="27" t="s">
        <v>1452</v>
      </c>
      <c r="J112" s="27" t="s">
        <v>219</v>
      </c>
      <c r="L112" s="27" t="s">
        <v>3712</v>
      </c>
      <c r="M112" s="27" t="s">
        <v>336</v>
      </c>
      <c r="N112" s="27" t="s">
        <v>181</v>
      </c>
      <c r="P112" s="27" t="s">
        <v>3774</v>
      </c>
      <c r="Q112" s="26" t="str">
        <f>HYPERLINK("https://ictv.global/taxonomy/taxondetails?taxnode_id=202501469&amp;ictv_id=ICTV19991000","ICTV19991000")</f>
        <v>ICTV19991000</v>
      </c>
      <c r="R112" t="s">
        <v>579</v>
      </c>
      <c r="S112" t="s">
        <v>824</v>
      </c>
      <c r="T112">
        <v>38</v>
      </c>
      <c r="U112" s="26" t="str">
        <f t="shared" si="4"/>
        <v>2022.001D.Herpesvirales_1renfam_4rengen_124rensp_6absp.zip</v>
      </c>
    </row>
    <row r="113" spans="1:21">
      <c r="A113">
        <v>112</v>
      </c>
      <c r="B113" s="27" t="s">
        <v>1449</v>
      </c>
      <c r="D113" s="27" t="s">
        <v>1450</v>
      </c>
      <c r="F113" s="27" t="s">
        <v>1451</v>
      </c>
      <c r="H113" s="27" t="s">
        <v>1452</v>
      </c>
      <c r="J113" s="27" t="s">
        <v>219</v>
      </c>
      <c r="L113" s="27" t="s">
        <v>3712</v>
      </c>
      <c r="M113" s="27" t="s">
        <v>336</v>
      </c>
      <c r="N113" s="27" t="s">
        <v>181</v>
      </c>
      <c r="P113" s="27" t="s">
        <v>3775</v>
      </c>
      <c r="Q113" s="26" t="str">
        <f>HYPERLINK("https://ictv.global/taxonomy/taxondetails?taxnode_id=202501470&amp;ictv_id=ICTV20115686","ICTV20115686")</f>
        <v>ICTV20115686</v>
      </c>
      <c r="R113" t="s">
        <v>579</v>
      </c>
      <c r="S113" t="s">
        <v>824</v>
      </c>
      <c r="T113">
        <v>38</v>
      </c>
      <c r="U113" s="26" t="str">
        <f t="shared" si="4"/>
        <v>2022.001D.Herpesvirales_1renfam_4rengen_124rensp_6absp.zip</v>
      </c>
    </row>
    <row r="114" spans="1:21">
      <c r="A114">
        <v>113</v>
      </c>
      <c r="B114" s="27" t="s">
        <v>1449</v>
      </c>
      <c r="D114" s="27" t="s">
        <v>1450</v>
      </c>
      <c r="F114" s="27" t="s">
        <v>1451</v>
      </c>
      <c r="H114" s="27" t="s">
        <v>1452</v>
      </c>
      <c r="J114" s="27" t="s">
        <v>219</v>
      </c>
      <c r="L114" s="27" t="s">
        <v>3712</v>
      </c>
      <c r="M114" s="27" t="s">
        <v>336</v>
      </c>
      <c r="N114" s="27" t="s">
        <v>337</v>
      </c>
      <c r="P114" s="27" t="s">
        <v>3776</v>
      </c>
      <c r="Q114" s="26" t="str">
        <f>HYPERLINK("https://ictv.global/taxonomy/taxondetails?taxnode_id=202501472&amp;ictv_id=ICTV20083079","ICTV20083079")</f>
        <v>ICTV20083079</v>
      </c>
      <c r="R114" t="s">
        <v>579</v>
      </c>
      <c r="S114" t="s">
        <v>824</v>
      </c>
      <c r="T114">
        <v>38</v>
      </c>
      <c r="U114" s="26" t="str">
        <f t="shared" si="4"/>
        <v>2022.001D.Herpesvirales_1renfam_4rengen_124rensp_6absp.zip</v>
      </c>
    </row>
    <row r="115" spans="1:21">
      <c r="A115">
        <v>114</v>
      </c>
      <c r="B115" s="27" t="s">
        <v>1449</v>
      </c>
      <c r="D115" s="27" t="s">
        <v>1450</v>
      </c>
      <c r="F115" s="27" t="s">
        <v>1451</v>
      </c>
      <c r="H115" s="27" t="s">
        <v>1452</v>
      </c>
      <c r="J115" s="27" t="s">
        <v>219</v>
      </c>
      <c r="L115" s="27" t="s">
        <v>3712</v>
      </c>
      <c r="M115" s="27" t="s">
        <v>336</v>
      </c>
      <c r="N115" s="27" t="s">
        <v>337</v>
      </c>
      <c r="P115" s="27" t="s">
        <v>3777</v>
      </c>
      <c r="Q115" s="26" t="str">
        <f>HYPERLINK("https://ictv.global/taxonomy/taxondetails?taxnode_id=202514018&amp;ictv_id=ICTV202214018","ICTV202214018")</f>
        <v>ICTV202214018</v>
      </c>
      <c r="R115" t="s">
        <v>579</v>
      </c>
      <c r="S115" t="s">
        <v>823</v>
      </c>
      <c r="T115">
        <v>38</v>
      </c>
      <c r="U115" s="26" t="str">
        <f>HYPERLINK("https://ictv.global/ictv/proposals/2022.002D.Herpesvirales_9nsp.zip","2022.002D.Herpesvirales_9nsp.zip")</f>
        <v>2022.002D.Herpesvirales_9nsp.zip</v>
      </c>
    </row>
    <row r="116" spans="1:21">
      <c r="A116">
        <v>115</v>
      </c>
      <c r="B116" s="27" t="s">
        <v>1449</v>
      </c>
      <c r="D116" s="27" t="s">
        <v>1450</v>
      </c>
      <c r="F116" s="27" t="s">
        <v>1451</v>
      </c>
      <c r="H116" s="27" t="s">
        <v>1452</v>
      </c>
      <c r="J116" s="27" t="s">
        <v>219</v>
      </c>
      <c r="L116" s="27" t="s">
        <v>3712</v>
      </c>
      <c r="M116" s="27" t="s">
        <v>336</v>
      </c>
      <c r="N116" s="27" t="s">
        <v>337</v>
      </c>
      <c r="P116" s="27" t="s">
        <v>3778</v>
      </c>
      <c r="Q116" s="26" t="str">
        <f>HYPERLINK("https://ictv.global/taxonomy/taxondetails?taxnode_id=202506404&amp;ictv_id=ICTV201856404","ICTV201856404")</f>
        <v>ICTV201856404</v>
      </c>
      <c r="R116" t="s">
        <v>579</v>
      </c>
      <c r="S116" t="s">
        <v>824</v>
      </c>
      <c r="T116">
        <v>38</v>
      </c>
      <c r="U116" s="26" t="str">
        <f t="shared" ref="U116:U132" si="5">HYPERLINK("https://ictv.global/ictv/proposals/2022.001D.Herpesvirales_1renfam_4rengen_124rensp_6absp.zip","2022.001D.Herpesvirales_1renfam_4rengen_124rensp_6absp.zip")</f>
        <v>2022.001D.Herpesvirales_1renfam_4rengen_124rensp_6absp.zip</v>
      </c>
    </row>
    <row r="117" spans="1:21">
      <c r="A117">
        <v>116</v>
      </c>
      <c r="B117" s="27" t="s">
        <v>1449</v>
      </c>
      <c r="D117" s="27" t="s">
        <v>1450</v>
      </c>
      <c r="F117" s="27" t="s">
        <v>1451</v>
      </c>
      <c r="H117" s="27" t="s">
        <v>1452</v>
      </c>
      <c r="J117" s="27" t="s">
        <v>219</v>
      </c>
      <c r="L117" s="27" t="s">
        <v>3712</v>
      </c>
      <c r="M117" s="27" t="s">
        <v>336</v>
      </c>
      <c r="N117" s="27" t="s">
        <v>337</v>
      </c>
      <c r="P117" s="27" t="s">
        <v>3779</v>
      </c>
      <c r="Q117" s="26" t="str">
        <f>HYPERLINK("https://ictv.global/taxonomy/taxondetails?taxnode_id=202506405&amp;ictv_id=ICTV201856405","ICTV201856405")</f>
        <v>ICTV201856405</v>
      </c>
      <c r="R117" t="s">
        <v>579</v>
      </c>
      <c r="S117" t="s">
        <v>824</v>
      </c>
      <c r="T117">
        <v>38</v>
      </c>
      <c r="U117" s="26" t="str">
        <f t="shared" si="5"/>
        <v>2022.001D.Herpesvirales_1renfam_4rengen_124rensp_6absp.zip</v>
      </c>
    </row>
    <row r="118" spans="1:21">
      <c r="A118">
        <v>117</v>
      </c>
      <c r="B118" s="27" t="s">
        <v>1449</v>
      </c>
      <c r="D118" s="27" t="s">
        <v>1450</v>
      </c>
      <c r="F118" s="27" t="s">
        <v>1451</v>
      </c>
      <c r="H118" s="27" t="s">
        <v>1452</v>
      </c>
      <c r="J118" s="27" t="s">
        <v>219</v>
      </c>
      <c r="L118" s="27" t="s">
        <v>3712</v>
      </c>
      <c r="M118" s="27" t="s">
        <v>336</v>
      </c>
      <c r="N118" s="27" t="s">
        <v>2032</v>
      </c>
      <c r="P118" s="27" t="s">
        <v>3780</v>
      </c>
      <c r="Q118" s="26" t="str">
        <f>HYPERLINK("https://ictv.global/taxonomy/taxondetails?taxnode_id=202501478&amp;ictv_id=ICTV20073845","ICTV20073845")</f>
        <v>ICTV20073845</v>
      </c>
      <c r="R118" t="s">
        <v>579</v>
      </c>
      <c r="S118" t="s">
        <v>824</v>
      </c>
      <c r="T118">
        <v>38</v>
      </c>
      <c r="U118" s="26" t="str">
        <f t="shared" si="5"/>
        <v>2022.001D.Herpesvirales_1renfam_4rengen_124rensp_6absp.zip</v>
      </c>
    </row>
    <row r="119" spans="1:21">
      <c r="A119">
        <v>118</v>
      </c>
      <c r="B119" s="27" t="s">
        <v>1449</v>
      </c>
      <c r="D119" s="27" t="s">
        <v>1450</v>
      </c>
      <c r="F119" s="27" t="s">
        <v>1451</v>
      </c>
      <c r="H119" s="27" t="s">
        <v>1452</v>
      </c>
      <c r="J119" s="27" t="s">
        <v>219</v>
      </c>
      <c r="L119" s="27" t="s">
        <v>3712</v>
      </c>
      <c r="M119" s="27" t="s">
        <v>336</v>
      </c>
      <c r="N119" s="27" t="s">
        <v>2032</v>
      </c>
      <c r="P119" s="27" t="s">
        <v>3781</v>
      </c>
      <c r="Q119" s="26" t="str">
        <f>HYPERLINK("https://ictv.global/taxonomy/taxondetails?taxnode_id=202509145&amp;ictv_id=ICTV202009145","ICTV202009145")</f>
        <v>ICTV202009145</v>
      </c>
      <c r="R119" t="s">
        <v>579</v>
      </c>
      <c r="S119" t="s">
        <v>824</v>
      </c>
      <c r="T119">
        <v>38</v>
      </c>
      <c r="U119" s="26" t="str">
        <f t="shared" si="5"/>
        <v>2022.001D.Herpesvirales_1renfam_4rengen_124rensp_6absp.zip</v>
      </c>
    </row>
    <row r="120" spans="1:21">
      <c r="A120">
        <v>119</v>
      </c>
      <c r="B120" s="27" t="s">
        <v>1449</v>
      </c>
      <c r="D120" s="27" t="s">
        <v>1450</v>
      </c>
      <c r="F120" s="27" t="s">
        <v>1451</v>
      </c>
      <c r="H120" s="27" t="s">
        <v>1452</v>
      </c>
      <c r="J120" s="27" t="s">
        <v>219</v>
      </c>
      <c r="L120" s="27" t="s">
        <v>3712</v>
      </c>
      <c r="M120" s="27" t="s">
        <v>336</v>
      </c>
      <c r="N120" s="27" t="s">
        <v>2032</v>
      </c>
      <c r="P120" s="27" t="s">
        <v>3782</v>
      </c>
      <c r="Q120" s="26" t="str">
        <f>HYPERLINK("https://ictv.global/taxonomy/taxondetails?taxnode_id=202501480&amp;ictv_id=ICTV20041284","ICTV20041284")</f>
        <v>ICTV20041284</v>
      </c>
      <c r="R120" t="s">
        <v>579</v>
      </c>
      <c r="S120" t="s">
        <v>824</v>
      </c>
      <c r="T120">
        <v>38</v>
      </c>
      <c r="U120" s="26" t="str">
        <f t="shared" si="5"/>
        <v>2022.001D.Herpesvirales_1renfam_4rengen_124rensp_6absp.zip</v>
      </c>
    </row>
    <row r="121" spans="1:21">
      <c r="A121">
        <v>120</v>
      </c>
      <c r="B121" s="27" t="s">
        <v>1449</v>
      </c>
      <c r="D121" s="27" t="s">
        <v>1450</v>
      </c>
      <c r="F121" s="27" t="s">
        <v>1451</v>
      </c>
      <c r="H121" s="27" t="s">
        <v>1452</v>
      </c>
      <c r="J121" s="27" t="s">
        <v>219</v>
      </c>
      <c r="L121" s="27" t="s">
        <v>3712</v>
      </c>
      <c r="M121" s="27" t="s">
        <v>336</v>
      </c>
      <c r="N121" s="27" t="s">
        <v>338</v>
      </c>
      <c r="P121" s="27" t="s">
        <v>3783</v>
      </c>
      <c r="Q121" s="26" t="str">
        <f>HYPERLINK("https://ictv.global/taxonomy/taxondetails?taxnode_id=202501474&amp;ictv_id=ICTV19991002","ICTV19991002")</f>
        <v>ICTV19991002</v>
      </c>
      <c r="R121" t="s">
        <v>579</v>
      </c>
      <c r="S121" t="s">
        <v>824</v>
      </c>
      <c r="T121">
        <v>38</v>
      </c>
      <c r="U121" s="26" t="str">
        <f t="shared" si="5"/>
        <v>2022.001D.Herpesvirales_1renfam_4rengen_124rensp_6absp.zip</v>
      </c>
    </row>
    <row r="122" spans="1:21">
      <c r="A122">
        <v>121</v>
      </c>
      <c r="B122" s="27" t="s">
        <v>1449</v>
      </c>
      <c r="D122" s="27" t="s">
        <v>1450</v>
      </c>
      <c r="F122" s="27" t="s">
        <v>1451</v>
      </c>
      <c r="H122" s="27" t="s">
        <v>1452</v>
      </c>
      <c r="J122" s="27" t="s">
        <v>219</v>
      </c>
      <c r="L122" s="27" t="s">
        <v>3712</v>
      </c>
      <c r="M122" s="27" t="s">
        <v>336</v>
      </c>
      <c r="N122" s="27" t="s">
        <v>338</v>
      </c>
      <c r="P122" s="27" t="s">
        <v>3784</v>
      </c>
      <c r="Q122" s="26" t="str">
        <f>HYPERLINK("https://ictv.global/taxonomy/taxondetails?taxnode_id=202501475&amp;ictv_id=ICTV20115682","ICTV20115682")</f>
        <v>ICTV20115682</v>
      </c>
      <c r="R122" t="s">
        <v>579</v>
      </c>
      <c r="S122" t="s">
        <v>824</v>
      </c>
      <c r="T122">
        <v>38</v>
      </c>
      <c r="U122" s="26" t="str">
        <f t="shared" si="5"/>
        <v>2022.001D.Herpesvirales_1renfam_4rengen_124rensp_6absp.zip</v>
      </c>
    </row>
    <row r="123" spans="1:21">
      <c r="A123">
        <v>122</v>
      </c>
      <c r="B123" s="27" t="s">
        <v>1449</v>
      </c>
      <c r="D123" s="27" t="s">
        <v>1450</v>
      </c>
      <c r="F123" s="27" t="s">
        <v>1451</v>
      </c>
      <c r="H123" s="27" t="s">
        <v>1452</v>
      </c>
      <c r="J123" s="27" t="s">
        <v>219</v>
      </c>
      <c r="L123" s="27" t="s">
        <v>3712</v>
      </c>
      <c r="M123" s="27" t="s">
        <v>336</v>
      </c>
      <c r="N123" s="27" t="s">
        <v>338</v>
      </c>
      <c r="P123" s="27" t="s">
        <v>3785</v>
      </c>
      <c r="Q123" s="26" t="str">
        <f>HYPERLINK("https://ictv.global/taxonomy/taxondetails?taxnode_id=202501476&amp;ictv_id=ICTV20115683","ICTV20115683")</f>
        <v>ICTV20115683</v>
      </c>
      <c r="R123" t="s">
        <v>579</v>
      </c>
      <c r="S123" t="s">
        <v>824</v>
      </c>
      <c r="T123">
        <v>38</v>
      </c>
      <c r="U123" s="26" t="str">
        <f t="shared" si="5"/>
        <v>2022.001D.Herpesvirales_1renfam_4rengen_124rensp_6absp.zip</v>
      </c>
    </row>
    <row r="124" spans="1:21">
      <c r="A124">
        <v>123</v>
      </c>
      <c r="B124" s="27" t="s">
        <v>1449</v>
      </c>
      <c r="D124" s="27" t="s">
        <v>1450</v>
      </c>
      <c r="F124" s="27" t="s">
        <v>1451</v>
      </c>
      <c r="H124" s="27" t="s">
        <v>1452</v>
      </c>
      <c r="J124" s="27" t="s">
        <v>219</v>
      </c>
      <c r="L124" s="27" t="s">
        <v>3712</v>
      </c>
      <c r="M124" s="27" t="s">
        <v>336</v>
      </c>
      <c r="N124" s="27" t="s">
        <v>338</v>
      </c>
      <c r="P124" s="27" t="s">
        <v>3786</v>
      </c>
      <c r="Q124" s="26" t="str">
        <f>HYPERLINK("https://ictv.global/taxonomy/taxondetails?taxnode_id=202506402&amp;ictv_id=ICTV201856402","ICTV201856402")</f>
        <v>ICTV201856402</v>
      </c>
      <c r="R124" t="s">
        <v>579</v>
      </c>
      <c r="S124" t="s">
        <v>824</v>
      </c>
      <c r="T124">
        <v>38</v>
      </c>
      <c r="U124" s="26" t="str">
        <f t="shared" si="5"/>
        <v>2022.001D.Herpesvirales_1renfam_4rengen_124rensp_6absp.zip</v>
      </c>
    </row>
    <row r="125" spans="1:21">
      <c r="A125">
        <v>124</v>
      </c>
      <c r="B125" s="27" t="s">
        <v>1449</v>
      </c>
      <c r="D125" s="27" t="s">
        <v>1450</v>
      </c>
      <c r="F125" s="27" t="s">
        <v>1451</v>
      </c>
      <c r="H125" s="27" t="s">
        <v>1452</v>
      </c>
      <c r="J125" s="27" t="s">
        <v>219</v>
      </c>
      <c r="L125" s="27" t="s">
        <v>3712</v>
      </c>
      <c r="M125" s="27" t="s">
        <v>336</v>
      </c>
      <c r="N125" s="27" t="s">
        <v>338</v>
      </c>
      <c r="P125" s="27" t="s">
        <v>3787</v>
      </c>
      <c r="Q125" s="26" t="str">
        <f>HYPERLINK("https://ictv.global/taxonomy/taxondetails?taxnode_id=202506403&amp;ictv_id=ICTV201856403","ICTV201856403")</f>
        <v>ICTV201856403</v>
      </c>
      <c r="R125" t="s">
        <v>579</v>
      </c>
      <c r="S125" t="s">
        <v>824</v>
      </c>
      <c r="T125">
        <v>38</v>
      </c>
      <c r="U125" s="26" t="str">
        <f t="shared" si="5"/>
        <v>2022.001D.Herpesvirales_1renfam_4rengen_124rensp_6absp.zip</v>
      </c>
    </row>
    <row r="126" spans="1:21">
      <c r="A126">
        <v>125</v>
      </c>
      <c r="B126" s="27" t="s">
        <v>1449</v>
      </c>
      <c r="D126" s="27" t="s">
        <v>1450</v>
      </c>
      <c r="F126" s="27" t="s">
        <v>1451</v>
      </c>
      <c r="H126" s="27" t="s">
        <v>1452</v>
      </c>
      <c r="J126" s="27" t="s">
        <v>219</v>
      </c>
      <c r="L126" s="27" t="s">
        <v>3712</v>
      </c>
      <c r="M126" s="27" t="s">
        <v>336</v>
      </c>
      <c r="N126" s="27" t="s">
        <v>338</v>
      </c>
      <c r="P126" s="27" t="s">
        <v>3788</v>
      </c>
      <c r="Q126" s="26" t="str">
        <f>HYPERLINK("https://ictv.global/taxonomy/taxondetails?taxnode_id=202501479&amp;ictv_id=ICTV20083083","ICTV20083083")</f>
        <v>ICTV20083083</v>
      </c>
      <c r="R126" t="s">
        <v>579</v>
      </c>
      <c r="S126" t="s">
        <v>824</v>
      </c>
      <c r="T126">
        <v>38</v>
      </c>
      <c r="U126" s="26" t="str">
        <f t="shared" si="5"/>
        <v>2022.001D.Herpesvirales_1renfam_4rengen_124rensp_6absp.zip</v>
      </c>
    </row>
    <row r="127" spans="1:21">
      <c r="A127">
        <v>126</v>
      </c>
      <c r="B127" s="27" t="s">
        <v>1449</v>
      </c>
      <c r="D127" s="27" t="s">
        <v>1450</v>
      </c>
      <c r="F127" s="27" t="s">
        <v>1451</v>
      </c>
      <c r="H127" s="27" t="s">
        <v>1452</v>
      </c>
      <c r="J127" s="27" t="s">
        <v>219</v>
      </c>
      <c r="L127" s="27" t="s">
        <v>3712</v>
      </c>
      <c r="M127" s="27" t="s">
        <v>339</v>
      </c>
      <c r="N127" s="27" t="s">
        <v>2033</v>
      </c>
      <c r="P127" s="27" t="s">
        <v>3789</v>
      </c>
      <c r="Q127" s="26" t="str">
        <f>HYPERLINK("https://ictv.global/taxonomy/taxondetails?taxnode_id=202509147&amp;ictv_id=ICTV202009147","ICTV202009147")</f>
        <v>ICTV202009147</v>
      </c>
      <c r="R127" t="s">
        <v>579</v>
      </c>
      <c r="S127" t="s">
        <v>824</v>
      </c>
      <c r="T127">
        <v>38</v>
      </c>
      <c r="U127" s="26" t="str">
        <f t="shared" si="5"/>
        <v>2022.001D.Herpesvirales_1renfam_4rengen_124rensp_6absp.zip</v>
      </c>
    </row>
    <row r="128" spans="1:21">
      <c r="A128">
        <v>127</v>
      </c>
      <c r="B128" s="27" t="s">
        <v>1449</v>
      </c>
      <c r="D128" s="27" t="s">
        <v>1450</v>
      </c>
      <c r="F128" s="27" t="s">
        <v>1451</v>
      </c>
      <c r="H128" s="27" t="s">
        <v>1452</v>
      </c>
      <c r="J128" s="27" t="s">
        <v>219</v>
      </c>
      <c r="L128" s="27" t="s">
        <v>3712</v>
      </c>
      <c r="M128" s="27" t="s">
        <v>339</v>
      </c>
      <c r="N128" s="27" t="s">
        <v>312</v>
      </c>
      <c r="P128" s="27" t="s">
        <v>3790</v>
      </c>
      <c r="Q128" s="26" t="str">
        <f>HYPERLINK("https://ictv.global/taxonomy/taxondetails?taxnode_id=202501483&amp;ictv_id=ICTV20041285","ICTV20041285")</f>
        <v>ICTV20041285</v>
      </c>
      <c r="R128" t="s">
        <v>579</v>
      </c>
      <c r="S128" t="s">
        <v>824</v>
      </c>
      <c r="T128">
        <v>38</v>
      </c>
      <c r="U128" s="26" t="str">
        <f t="shared" si="5"/>
        <v>2022.001D.Herpesvirales_1renfam_4rengen_124rensp_6absp.zip</v>
      </c>
    </row>
    <row r="129" spans="1:21">
      <c r="A129">
        <v>128</v>
      </c>
      <c r="B129" s="27" t="s">
        <v>1449</v>
      </c>
      <c r="D129" s="27" t="s">
        <v>1450</v>
      </c>
      <c r="F129" s="27" t="s">
        <v>1451</v>
      </c>
      <c r="H129" s="27" t="s">
        <v>1452</v>
      </c>
      <c r="J129" s="27" t="s">
        <v>219</v>
      </c>
      <c r="L129" s="27" t="s">
        <v>3712</v>
      </c>
      <c r="M129" s="27" t="s">
        <v>339</v>
      </c>
      <c r="N129" s="27" t="s">
        <v>312</v>
      </c>
      <c r="P129" s="27" t="s">
        <v>3791</v>
      </c>
      <c r="Q129" s="26" t="str">
        <f>HYPERLINK("https://ictv.global/taxonomy/taxondetails?taxnode_id=202501485&amp;ictv_id=ICTV19951068","ICTV19951068")</f>
        <v>ICTV19951068</v>
      </c>
      <c r="R129" t="s">
        <v>579</v>
      </c>
      <c r="S129" t="s">
        <v>824</v>
      </c>
      <c r="T129">
        <v>38</v>
      </c>
      <c r="U129" s="26" t="str">
        <f t="shared" si="5"/>
        <v>2022.001D.Herpesvirales_1renfam_4rengen_124rensp_6absp.zip</v>
      </c>
    </row>
    <row r="130" spans="1:21">
      <c r="A130">
        <v>129</v>
      </c>
      <c r="B130" s="27" t="s">
        <v>1449</v>
      </c>
      <c r="D130" s="27" t="s">
        <v>1450</v>
      </c>
      <c r="F130" s="27" t="s">
        <v>1451</v>
      </c>
      <c r="H130" s="27" t="s">
        <v>1452</v>
      </c>
      <c r="J130" s="27" t="s">
        <v>219</v>
      </c>
      <c r="L130" s="27" t="s">
        <v>3712</v>
      </c>
      <c r="M130" s="27" t="s">
        <v>339</v>
      </c>
      <c r="N130" s="27" t="s">
        <v>312</v>
      </c>
      <c r="P130" s="27" t="s">
        <v>3792</v>
      </c>
      <c r="Q130" s="26" t="str">
        <f>HYPERLINK("https://ictv.global/taxonomy/taxondetails?taxnode_id=202501486&amp;ictv_id=ICTV19710173","ICTV19710173")</f>
        <v>ICTV19710173</v>
      </c>
      <c r="R130" t="s">
        <v>579</v>
      </c>
      <c r="S130" t="s">
        <v>824</v>
      </c>
      <c r="T130">
        <v>38</v>
      </c>
      <c r="U130" s="26" t="str">
        <f t="shared" si="5"/>
        <v>2022.001D.Herpesvirales_1renfam_4rengen_124rensp_6absp.zip</v>
      </c>
    </row>
    <row r="131" spans="1:21">
      <c r="A131">
        <v>130</v>
      </c>
      <c r="B131" s="27" t="s">
        <v>1449</v>
      </c>
      <c r="D131" s="27" t="s">
        <v>1450</v>
      </c>
      <c r="F131" s="27" t="s">
        <v>1451</v>
      </c>
      <c r="H131" s="27" t="s">
        <v>1452</v>
      </c>
      <c r="J131" s="27" t="s">
        <v>219</v>
      </c>
      <c r="L131" s="27" t="s">
        <v>3712</v>
      </c>
      <c r="M131" s="27" t="s">
        <v>339</v>
      </c>
      <c r="N131" s="27" t="s">
        <v>312</v>
      </c>
      <c r="P131" s="27" t="s">
        <v>3793</v>
      </c>
      <c r="Q131" s="26" t="str">
        <f>HYPERLINK("https://ictv.global/taxonomy/taxondetails?taxnode_id=202501487&amp;ictv_id=ICTV19951064","ICTV19951064")</f>
        <v>ICTV19951064</v>
      </c>
      <c r="R131" t="s">
        <v>579</v>
      </c>
      <c r="S131" t="s">
        <v>824</v>
      </c>
      <c r="T131">
        <v>38</v>
      </c>
      <c r="U131" s="26" t="str">
        <f t="shared" si="5"/>
        <v>2022.001D.Herpesvirales_1renfam_4rengen_124rensp_6absp.zip</v>
      </c>
    </row>
    <row r="132" spans="1:21">
      <c r="A132">
        <v>131</v>
      </c>
      <c r="B132" s="27" t="s">
        <v>1449</v>
      </c>
      <c r="D132" s="27" t="s">
        <v>1450</v>
      </c>
      <c r="F132" s="27" t="s">
        <v>1451</v>
      </c>
      <c r="H132" s="27" t="s">
        <v>1452</v>
      </c>
      <c r="J132" s="27" t="s">
        <v>219</v>
      </c>
      <c r="L132" s="27" t="s">
        <v>3712</v>
      </c>
      <c r="M132" s="27" t="s">
        <v>339</v>
      </c>
      <c r="N132" s="27" t="s">
        <v>312</v>
      </c>
      <c r="P132" s="27" t="s">
        <v>3794</v>
      </c>
      <c r="Q132" s="26" t="str">
        <f>HYPERLINK("https://ictv.global/taxonomy/taxondetails?taxnode_id=202506406&amp;ictv_id=ICTV201856406","ICTV201856406")</f>
        <v>ICTV201856406</v>
      </c>
      <c r="R132" t="s">
        <v>579</v>
      </c>
      <c r="S132" t="s">
        <v>824</v>
      </c>
      <c r="T132">
        <v>38</v>
      </c>
      <c r="U132" s="26" t="str">
        <f t="shared" si="5"/>
        <v>2022.001D.Herpesvirales_1renfam_4rengen_124rensp_6absp.zip</v>
      </c>
    </row>
    <row r="133" spans="1:21">
      <c r="A133">
        <v>132</v>
      </c>
      <c r="B133" s="27" t="s">
        <v>1449</v>
      </c>
      <c r="D133" s="27" t="s">
        <v>1450</v>
      </c>
      <c r="F133" s="27" t="s">
        <v>1451</v>
      </c>
      <c r="H133" s="27" t="s">
        <v>1452</v>
      </c>
      <c r="J133" s="27" t="s">
        <v>219</v>
      </c>
      <c r="L133" s="27" t="s">
        <v>3712</v>
      </c>
      <c r="M133" s="27" t="s">
        <v>339</v>
      </c>
      <c r="N133" s="27" t="s">
        <v>312</v>
      </c>
      <c r="P133" s="27" t="s">
        <v>3795</v>
      </c>
      <c r="Q133" s="26" t="str">
        <f>HYPERLINK("https://ictv.global/taxonomy/taxondetails?taxnode_id=202514019&amp;ictv_id=ICTV202214019","ICTV202214019")</f>
        <v>ICTV202214019</v>
      </c>
      <c r="R133" t="s">
        <v>579</v>
      </c>
      <c r="S133" t="s">
        <v>823</v>
      </c>
      <c r="T133">
        <v>38</v>
      </c>
      <c r="U133" s="26" t="str">
        <f>HYPERLINK("https://ictv.global/ictv/proposals/2022.002D.Herpesvirales_9nsp.zip","2022.002D.Herpesvirales_9nsp.zip")</f>
        <v>2022.002D.Herpesvirales_9nsp.zip</v>
      </c>
    </row>
    <row r="134" spans="1:21">
      <c r="A134">
        <v>133</v>
      </c>
      <c r="B134" s="27" t="s">
        <v>1449</v>
      </c>
      <c r="D134" s="27" t="s">
        <v>1450</v>
      </c>
      <c r="F134" s="27" t="s">
        <v>1451</v>
      </c>
      <c r="H134" s="27" t="s">
        <v>1452</v>
      </c>
      <c r="J134" s="27" t="s">
        <v>219</v>
      </c>
      <c r="L134" s="27" t="s">
        <v>3712</v>
      </c>
      <c r="M134" s="27" t="s">
        <v>339</v>
      </c>
      <c r="N134" s="27" t="s">
        <v>312</v>
      </c>
      <c r="P134" s="27" t="s">
        <v>3796</v>
      </c>
      <c r="Q134" s="26" t="str">
        <f>HYPERLINK("https://ictv.global/taxonomy/taxondetails?taxnode_id=202501488&amp;ictv_id=ICTV19840527","ICTV19840527")</f>
        <v>ICTV19840527</v>
      </c>
      <c r="R134" t="s">
        <v>579</v>
      </c>
      <c r="S134" t="s">
        <v>824</v>
      </c>
      <c r="T134">
        <v>38</v>
      </c>
      <c r="U134" s="26" t="str">
        <f t="shared" ref="U134:U153" si="6">HYPERLINK("https://ictv.global/ictv/proposals/2022.001D.Herpesvirales_1renfam_4rengen_124rensp_6absp.zip","2022.001D.Herpesvirales_1renfam_4rengen_124rensp_6absp.zip")</f>
        <v>2022.001D.Herpesvirales_1renfam_4rengen_124rensp_6absp.zip</v>
      </c>
    </row>
    <row r="135" spans="1:21">
      <c r="A135">
        <v>134</v>
      </c>
      <c r="B135" s="27" t="s">
        <v>1449</v>
      </c>
      <c r="D135" s="27" t="s">
        <v>1450</v>
      </c>
      <c r="F135" s="27" t="s">
        <v>1451</v>
      </c>
      <c r="H135" s="27" t="s">
        <v>1452</v>
      </c>
      <c r="J135" s="27" t="s">
        <v>219</v>
      </c>
      <c r="L135" s="27" t="s">
        <v>3712</v>
      </c>
      <c r="M135" s="27" t="s">
        <v>339</v>
      </c>
      <c r="N135" s="27" t="s">
        <v>312</v>
      </c>
      <c r="P135" s="27" t="s">
        <v>3797</v>
      </c>
      <c r="Q135" s="26" t="str">
        <f>HYPERLINK("https://ictv.global/taxonomy/taxondetails?taxnode_id=202501489&amp;ictv_id=ICTV19840525","ICTV19840525")</f>
        <v>ICTV19840525</v>
      </c>
      <c r="R135" t="s">
        <v>579</v>
      </c>
      <c r="S135" t="s">
        <v>824</v>
      </c>
      <c r="T135">
        <v>38</v>
      </c>
      <c r="U135" s="26" t="str">
        <f t="shared" si="6"/>
        <v>2022.001D.Herpesvirales_1renfam_4rengen_124rensp_6absp.zip</v>
      </c>
    </row>
    <row r="136" spans="1:21">
      <c r="A136">
        <v>135</v>
      </c>
      <c r="B136" s="27" t="s">
        <v>1449</v>
      </c>
      <c r="D136" s="27" t="s">
        <v>1450</v>
      </c>
      <c r="F136" s="27" t="s">
        <v>1451</v>
      </c>
      <c r="H136" s="27" t="s">
        <v>1452</v>
      </c>
      <c r="J136" s="27" t="s">
        <v>219</v>
      </c>
      <c r="L136" s="27" t="s">
        <v>3712</v>
      </c>
      <c r="M136" s="27" t="s">
        <v>339</v>
      </c>
      <c r="N136" s="27" t="s">
        <v>312</v>
      </c>
      <c r="P136" s="27" t="s">
        <v>3798</v>
      </c>
      <c r="Q136" s="26" t="str">
        <f>HYPERLINK("https://ictv.global/taxonomy/taxondetails?taxnode_id=202501490&amp;ictv_id=ICTV19951067","ICTV19951067")</f>
        <v>ICTV19951067</v>
      </c>
      <c r="R136" t="s">
        <v>579</v>
      </c>
      <c r="S136" t="s">
        <v>824</v>
      </c>
      <c r="T136">
        <v>38</v>
      </c>
      <c r="U136" s="26" t="str">
        <f t="shared" si="6"/>
        <v>2022.001D.Herpesvirales_1renfam_4rengen_124rensp_6absp.zip</v>
      </c>
    </row>
    <row r="137" spans="1:21">
      <c r="A137">
        <v>136</v>
      </c>
      <c r="B137" s="27" t="s">
        <v>1449</v>
      </c>
      <c r="D137" s="27" t="s">
        <v>1450</v>
      </c>
      <c r="F137" s="27" t="s">
        <v>1451</v>
      </c>
      <c r="H137" s="27" t="s">
        <v>1452</v>
      </c>
      <c r="J137" s="27" t="s">
        <v>219</v>
      </c>
      <c r="L137" s="27" t="s">
        <v>3712</v>
      </c>
      <c r="M137" s="27" t="s">
        <v>339</v>
      </c>
      <c r="N137" s="27" t="s">
        <v>315</v>
      </c>
      <c r="P137" s="27" t="s">
        <v>3799</v>
      </c>
      <c r="Q137" s="26" t="str">
        <f>HYPERLINK("https://ictv.global/taxonomy/taxondetails?taxnode_id=202501492&amp;ictv_id=ICTV19951070","ICTV19951070")</f>
        <v>ICTV19951070</v>
      </c>
      <c r="R137" t="s">
        <v>579</v>
      </c>
      <c r="S137" t="s">
        <v>824</v>
      </c>
      <c r="T137">
        <v>38</v>
      </c>
      <c r="U137" s="26" t="str">
        <f t="shared" si="6"/>
        <v>2022.001D.Herpesvirales_1renfam_4rengen_124rensp_6absp.zip</v>
      </c>
    </row>
    <row r="138" spans="1:21">
      <c r="A138">
        <v>137</v>
      </c>
      <c r="B138" s="27" t="s">
        <v>1449</v>
      </c>
      <c r="D138" s="27" t="s">
        <v>1450</v>
      </c>
      <c r="F138" s="27" t="s">
        <v>1451</v>
      </c>
      <c r="H138" s="27" t="s">
        <v>1452</v>
      </c>
      <c r="J138" s="27" t="s">
        <v>219</v>
      </c>
      <c r="L138" s="27" t="s">
        <v>3712</v>
      </c>
      <c r="M138" s="27" t="s">
        <v>339</v>
      </c>
      <c r="N138" s="27" t="s">
        <v>315</v>
      </c>
      <c r="P138" s="27" t="s">
        <v>3800</v>
      </c>
      <c r="Q138" s="26" t="str">
        <f>HYPERLINK("https://ictv.global/taxonomy/taxondetails?taxnode_id=202501493&amp;ictv_id=ICTV19951071","ICTV19951071")</f>
        <v>ICTV19951071</v>
      </c>
      <c r="R138" t="s">
        <v>579</v>
      </c>
      <c r="S138" t="s">
        <v>824</v>
      </c>
      <c r="T138">
        <v>38</v>
      </c>
      <c r="U138" s="26" t="str">
        <f t="shared" si="6"/>
        <v>2022.001D.Herpesvirales_1renfam_4rengen_124rensp_6absp.zip</v>
      </c>
    </row>
    <row r="139" spans="1:21">
      <c r="A139">
        <v>138</v>
      </c>
      <c r="B139" s="27" t="s">
        <v>1449</v>
      </c>
      <c r="D139" s="27" t="s">
        <v>1450</v>
      </c>
      <c r="F139" s="27" t="s">
        <v>1451</v>
      </c>
      <c r="H139" s="27" t="s">
        <v>1452</v>
      </c>
      <c r="J139" s="27" t="s">
        <v>219</v>
      </c>
      <c r="L139" s="27" t="s">
        <v>3712</v>
      </c>
      <c r="M139" s="27" t="s">
        <v>339</v>
      </c>
      <c r="N139" s="27" t="s">
        <v>315</v>
      </c>
      <c r="P139" s="27" t="s">
        <v>3801</v>
      </c>
      <c r="Q139" s="26" t="str">
        <f>HYPERLINK("https://ictv.global/taxonomy/taxondetails?taxnode_id=202501494&amp;ictv_id=ICTV20083095","ICTV20083095")</f>
        <v>ICTV20083095</v>
      </c>
      <c r="R139" t="s">
        <v>579</v>
      </c>
      <c r="S139" t="s">
        <v>824</v>
      </c>
      <c r="T139">
        <v>38</v>
      </c>
      <c r="U139" s="26" t="str">
        <f t="shared" si="6"/>
        <v>2022.001D.Herpesvirales_1renfam_4rengen_124rensp_6absp.zip</v>
      </c>
    </row>
    <row r="140" spans="1:21">
      <c r="A140">
        <v>139</v>
      </c>
      <c r="B140" s="27" t="s">
        <v>1449</v>
      </c>
      <c r="D140" s="27" t="s">
        <v>1450</v>
      </c>
      <c r="F140" s="27" t="s">
        <v>1451</v>
      </c>
      <c r="H140" s="27" t="s">
        <v>1452</v>
      </c>
      <c r="J140" s="27" t="s">
        <v>219</v>
      </c>
      <c r="L140" s="27" t="s">
        <v>3712</v>
      </c>
      <c r="M140" s="27" t="s">
        <v>339</v>
      </c>
      <c r="N140" s="27" t="s">
        <v>315</v>
      </c>
      <c r="P140" s="27" t="s">
        <v>3802</v>
      </c>
      <c r="Q140" s="26" t="str">
        <f>HYPERLINK("https://ictv.global/taxonomy/taxondetails?taxnode_id=202501495&amp;ictv_id=ICTV20083096","ICTV20083096")</f>
        <v>ICTV20083096</v>
      </c>
      <c r="R140" t="s">
        <v>579</v>
      </c>
      <c r="S140" t="s">
        <v>824</v>
      </c>
      <c r="T140">
        <v>38</v>
      </c>
      <c r="U140" s="26" t="str">
        <f t="shared" si="6"/>
        <v>2022.001D.Herpesvirales_1renfam_4rengen_124rensp_6absp.zip</v>
      </c>
    </row>
    <row r="141" spans="1:21">
      <c r="A141">
        <v>140</v>
      </c>
      <c r="B141" s="27" t="s">
        <v>1449</v>
      </c>
      <c r="D141" s="27" t="s">
        <v>1450</v>
      </c>
      <c r="F141" s="27" t="s">
        <v>1451</v>
      </c>
      <c r="H141" s="27" t="s">
        <v>1452</v>
      </c>
      <c r="J141" s="27" t="s">
        <v>219</v>
      </c>
      <c r="L141" s="27" t="s">
        <v>3712</v>
      </c>
      <c r="M141" s="27" t="s">
        <v>339</v>
      </c>
      <c r="N141" s="27" t="s">
        <v>315</v>
      </c>
      <c r="P141" s="27" t="s">
        <v>3803</v>
      </c>
      <c r="Q141" s="26" t="str">
        <f>HYPERLINK("https://ictv.global/taxonomy/taxondetails?taxnode_id=202501496&amp;ictv_id=ICTV19991018","ICTV19991018")</f>
        <v>ICTV19991018</v>
      </c>
      <c r="R141" t="s">
        <v>579</v>
      </c>
      <c r="S141" t="s">
        <v>824</v>
      </c>
      <c r="T141">
        <v>38</v>
      </c>
      <c r="U141" s="26" t="str">
        <f t="shared" si="6"/>
        <v>2022.001D.Herpesvirales_1renfam_4rengen_124rensp_6absp.zip</v>
      </c>
    </row>
    <row r="142" spans="1:21">
      <c r="A142">
        <v>141</v>
      </c>
      <c r="B142" s="27" t="s">
        <v>1449</v>
      </c>
      <c r="D142" s="27" t="s">
        <v>1450</v>
      </c>
      <c r="F142" s="27" t="s">
        <v>1451</v>
      </c>
      <c r="H142" s="27" t="s">
        <v>1452</v>
      </c>
      <c r="J142" s="27" t="s">
        <v>219</v>
      </c>
      <c r="L142" s="27" t="s">
        <v>3712</v>
      </c>
      <c r="M142" s="27" t="s">
        <v>339</v>
      </c>
      <c r="N142" s="27" t="s">
        <v>315</v>
      </c>
      <c r="P142" s="27" t="s">
        <v>3804</v>
      </c>
      <c r="Q142" s="26" t="str">
        <f>HYPERLINK("https://ictv.global/taxonomy/taxondetails?taxnode_id=202501497&amp;ictv_id=ICTV19951079","ICTV19951079")</f>
        <v>ICTV19951079</v>
      </c>
      <c r="R142" t="s">
        <v>579</v>
      </c>
      <c r="S142" t="s">
        <v>824</v>
      </c>
      <c r="T142">
        <v>38</v>
      </c>
      <c r="U142" s="26" t="str">
        <f t="shared" si="6"/>
        <v>2022.001D.Herpesvirales_1renfam_4rengen_124rensp_6absp.zip</v>
      </c>
    </row>
    <row r="143" spans="1:21">
      <c r="A143">
        <v>142</v>
      </c>
      <c r="B143" s="27" t="s">
        <v>1449</v>
      </c>
      <c r="D143" s="27" t="s">
        <v>1450</v>
      </c>
      <c r="F143" s="27" t="s">
        <v>1451</v>
      </c>
      <c r="H143" s="27" t="s">
        <v>1452</v>
      </c>
      <c r="J143" s="27" t="s">
        <v>219</v>
      </c>
      <c r="L143" s="27" t="s">
        <v>3712</v>
      </c>
      <c r="M143" s="27" t="s">
        <v>339</v>
      </c>
      <c r="N143" s="27" t="s">
        <v>315</v>
      </c>
      <c r="P143" s="27" t="s">
        <v>3805</v>
      </c>
      <c r="Q143" s="26" t="str">
        <f>HYPERLINK("https://ictv.global/taxonomy/taxondetails?taxnode_id=202501498&amp;ictv_id=ICTV20083099","ICTV20083099")</f>
        <v>ICTV20083099</v>
      </c>
      <c r="R143" t="s">
        <v>579</v>
      </c>
      <c r="S143" t="s">
        <v>824</v>
      </c>
      <c r="T143">
        <v>38</v>
      </c>
      <c r="U143" s="26" t="str">
        <f t="shared" si="6"/>
        <v>2022.001D.Herpesvirales_1renfam_4rengen_124rensp_6absp.zip</v>
      </c>
    </row>
    <row r="144" spans="1:21">
      <c r="A144">
        <v>143</v>
      </c>
      <c r="B144" s="27" t="s">
        <v>1449</v>
      </c>
      <c r="D144" s="27" t="s">
        <v>1450</v>
      </c>
      <c r="F144" s="27" t="s">
        <v>1451</v>
      </c>
      <c r="H144" s="27" t="s">
        <v>1452</v>
      </c>
      <c r="J144" s="27" t="s">
        <v>219</v>
      </c>
      <c r="L144" s="27" t="s">
        <v>3712</v>
      </c>
      <c r="M144" s="27" t="s">
        <v>339</v>
      </c>
      <c r="N144" s="27" t="s">
        <v>315</v>
      </c>
      <c r="P144" s="27" t="s">
        <v>3806</v>
      </c>
      <c r="Q144" s="26" t="str">
        <f>HYPERLINK("https://ictv.global/taxonomy/taxondetails?taxnode_id=202501499&amp;ictv_id=ICTV20083100","ICTV20083100")</f>
        <v>ICTV20083100</v>
      </c>
      <c r="R144" t="s">
        <v>579</v>
      </c>
      <c r="S144" t="s">
        <v>824</v>
      </c>
      <c r="T144">
        <v>38</v>
      </c>
      <c r="U144" s="26" t="str">
        <f t="shared" si="6"/>
        <v>2022.001D.Herpesvirales_1renfam_4rengen_124rensp_6absp.zip</v>
      </c>
    </row>
    <row r="145" spans="1:21">
      <c r="A145">
        <v>144</v>
      </c>
      <c r="B145" s="27" t="s">
        <v>1449</v>
      </c>
      <c r="D145" s="27" t="s">
        <v>1450</v>
      </c>
      <c r="F145" s="27" t="s">
        <v>1451</v>
      </c>
      <c r="H145" s="27" t="s">
        <v>1452</v>
      </c>
      <c r="J145" s="27" t="s">
        <v>219</v>
      </c>
      <c r="L145" s="27" t="s">
        <v>3712</v>
      </c>
      <c r="M145" s="27" t="s">
        <v>339</v>
      </c>
      <c r="N145" s="27" t="s">
        <v>315</v>
      </c>
      <c r="P145" s="27" t="s">
        <v>3807</v>
      </c>
      <c r="Q145" s="26" t="str">
        <f>HYPERLINK("https://ictv.global/taxonomy/taxondetails?taxnode_id=202501500&amp;ictv_id=ICTV20083101","ICTV20083101")</f>
        <v>ICTV20083101</v>
      </c>
      <c r="R145" t="s">
        <v>579</v>
      </c>
      <c r="S145" t="s">
        <v>824</v>
      </c>
      <c r="T145">
        <v>38</v>
      </c>
      <c r="U145" s="26" t="str">
        <f t="shared" si="6"/>
        <v>2022.001D.Herpesvirales_1renfam_4rengen_124rensp_6absp.zip</v>
      </c>
    </row>
    <row r="146" spans="1:21">
      <c r="A146">
        <v>145</v>
      </c>
      <c r="B146" s="27" t="s">
        <v>1449</v>
      </c>
      <c r="D146" s="27" t="s">
        <v>1450</v>
      </c>
      <c r="F146" s="27" t="s">
        <v>1451</v>
      </c>
      <c r="H146" s="27" t="s">
        <v>1452</v>
      </c>
      <c r="J146" s="27" t="s">
        <v>219</v>
      </c>
      <c r="L146" s="27" t="s">
        <v>3712</v>
      </c>
      <c r="M146" s="27" t="s">
        <v>339</v>
      </c>
      <c r="N146" s="27" t="s">
        <v>2034</v>
      </c>
      <c r="P146" s="27" t="s">
        <v>3808</v>
      </c>
      <c r="Q146" s="26" t="str">
        <f>HYPERLINK("https://ictv.global/taxonomy/taxondetails?taxnode_id=202509151&amp;ictv_id=ICTV202009151","ICTV202009151")</f>
        <v>ICTV202009151</v>
      </c>
      <c r="R146" t="s">
        <v>579</v>
      </c>
      <c r="S146" t="s">
        <v>824</v>
      </c>
      <c r="T146">
        <v>38</v>
      </c>
      <c r="U146" s="26" t="str">
        <f t="shared" si="6"/>
        <v>2022.001D.Herpesvirales_1renfam_4rengen_124rensp_6absp.zip</v>
      </c>
    </row>
    <row r="147" spans="1:21">
      <c r="A147">
        <v>146</v>
      </c>
      <c r="B147" s="27" t="s">
        <v>1449</v>
      </c>
      <c r="D147" s="27" t="s">
        <v>1450</v>
      </c>
      <c r="F147" s="27" t="s">
        <v>1451</v>
      </c>
      <c r="H147" s="27" t="s">
        <v>1452</v>
      </c>
      <c r="J147" s="27" t="s">
        <v>219</v>
      </c>
      <c r="L147" s="27" t="s">
        <v>3712</v>
      </c>
      <c r="M147" s="27" t="s">
        <v>339</v>
      </c>
      <c r="N147" s="27" t="s">
        <v>2034</v>
      </c>
      <c r="P147" s="27" t="s">
        <v>3809</v>
      </c>
      <c r="Q147" s="26" t="str">
        <f>HYPERLINK("https://ictv.global/taxonomy/taxondetails?taxnode_id=202509152&amp;ictv_id=ICTV202009152","ICTV202009152")</f>
        <v>ICTV202009152</v>
      </c>
      <c r="R147" t="s">
        <v>579</v>
      </c>
      <c r="S147" t="s">
        <v>824</v>
      </c>
      <c r="T147">
        <v>38</v>
      </c>
      <c r="U147" s="26" t="str">
        <f t="shared" si="6"/>
        <v>2022.001D.Herpesvirales_1renfam_4rengen_124rensp_6absp.zip</v>
      </c>
    </row>
    <row r="148" spans="1:21">
      <c r="A148">
        <v>147</v>
      </c>
      <c r="B148" s="27" t="s">
        <v>1449</v>
      </c>
      <c r="D148" s="27" t="s">
        <v>1450</v>
      </c>
      <c r="F148" s="27" t="s">
        <v>1451</v>
      </c>
      <c r="H148" s="27" t="s">
        <v>1452</v>
      </c>
      <c r="J148" s="27" t="s">
        <v>219</v>
      </c>
      <c r="L148" s="27" t="s">
        <v>3712</v>
      </c>
      <c r="M148" s="27" t="s">
        <v>339</v>
      </c>
      <c r="N148" s="27" t="s">
        <v>2035</v>
      </c>
      <c r="P148" s="27" t="s">
        <v>3810</v>
      </c>
      <c r="Q148" s="26" t="str">
        <f>HYPERLINK("https://ictv.global/taxonomy/taxondetails?taxnode_id=202509149&amp;ictv_id=ICTV202009149","ICTV202009149")</f>
        <v>ICTV202009149</v>
      </c>
      <c r="R148" t="s">
        <v>579</v>
      </c>
      <c r="S148" t="s">
        <v>824</v>
      </c>
      <c r="T148">
        <v>38</v>
      </c>
      <c r="U148" s="26" t="str">
        <f t="shared" si="6"/>
        <v>2022.001D.Herpesvirales_1renfam_4rengen_124rensp_6absp.zip</v>
      </c>
    </row>
    <row r="149" spans="1:21">
      <c r="A149">
        <v>148</v>
      </c>
      <c r="B149" s="27" t="s">
        <v>1449</v>
      </c>
      <c r="D149" s="27" t="s">
        <v>1450</v>
      </c>
      <c r="F149" s="27" t="s">
        <v>1451</v>
      </c>
      <c r="H149" s="27" t="s">
        <v>1452</v>
      </c>
      <c r="J149" s="27" t="s">
        <v>219</v>
      </c>
      <c r="L149" s="27" t="s">
        <v>3712</v>
      </c>
      <c r="M149" s="27" t="s">
        <v>339</v>
      </c>
      <c r="N149" s="27" t="s">
        <v>307</v>
      </c>
      <c r="P149" s="27" t="s">
        <v>3811</v>
      </c>
      <c r="Q149" s="26" t="str">
        <f>HYPERLINK("https://ictv.global/taxonomy/taxondetails?taxnode_id=202501502&amp;ictv_id=ICTV19951056","ICTV19951056")</f>
        <v>ICTV19951056</v>
      </c>
      <c r="R149" t="s">
        <v>579</v>
      </c>
      <c r="S149" t="s">
        <v>824</v>
      </c>
      <c r="T149">
        <v>38</v>
      </c>
      <c r="U149" s="26" t="str">
        <f t="shared" si="6"/>
        <v>2022.001D.Herpesvirales_1renfam_4rengen_124rensp_6absp.zip</v>
      </c>
    </row>
    <row r="150" spans="1:21">
      <c r="A150">
        <v>149</v>
      </c>
      <c r="B150" s="27" t="s">
        <v>1449</v>
      </c>
      <c r="D150" s="27" t="s">
        <v>1450</v>
      </c>
      <c r="F150" s="27" t="s">
        <v>1451</v>
      </c>
      <c r="H150" s="27" t="s">
        <v>1452</v>
      </c>
      <c r="J150" s="27" t="s">
        <v>219</v>
      </c>
      <c r="L150" s="27" t="s">
        <v>3712</v>
      </c>
      <c r="M150" s="27" t="s">
        <v>339</v>
      </c>
      <c r="N150" s="27" t="s">
        <v>307</v>
      </c>
      <c r="P150" s="27" t="s">
        <v>3812</v>
      </c>
      <c r="Q150" s="26" t="str">
        <f>HYPERLINK("https://ictv.global/taxonomy/taxondetails?taxnode_id=202501503&amp;ictv_id=ICTV19951057","ICTV19951057")</f>
        <v>ICTV19951057</v>
      </c>
      <c r="R150" t="s">
        <v>579</v>
      </c>
      <c r="S150" t="s">
        <v>824</v>
      </c>
      <c r="T150">
        <v>38</v>
      </c>
      <c r="U150" s="26" t="str">
        <f t="shared" si="6"/>
        <v>2022.001D.Herpesvirales_1renfam_4rengen_124rensp_6absp.zip</v>
      </c>
    </row>
    <row r="151" spans="1:21">
      <c r="A151">
        <v>150</v>
      </c>
      <c r="B151" s="27" t="s">
        <v>1449</v>
      </c>
      <c r="D151" s="27" t="s">
        <v>1450</v>
      </c>
      <c r="F151" s="27" t="s">
        <v>1451</v>
      </c>
      <c r="H151" s="27" t="s">
        <v>1452</v>
      </c>
      <c r="J151" s="27" t="s">
        <v>219</v>
      </c>
      <c r="L151" s="27" t="s">
        <v>3712</v>
      </c>
      <c r="M151" s="27" t="s">
        <v>339</v>
      </c>
      <c r="N151" s="27" t="s">
        <v>307</v>
      </c>
      <c r="P151" s="27" t="s">
        <v>3813</v>
      </c>
      <c r="Q151" s="26" t="str">
        <f>HYPERLINK("https://ictv.global/taxonomy/taxondetails?taxnode_id=202506410&amp;ictv_id=ICTV201856410","ICTV201856410")</f>
        <v>ICTV201856410</v>
      </c>
      <c r="R151" t="s">
        <v>579</v>
      </c>
      <c r="S151" t="s">
        <v>824</v>
      </c>
      <c r="T151">
        <v>38</v>
      </c>
      <c r="U151" s="26" t="str">
        <f t="shared" si="6"/>
        <v>2022.001D.Herpesvirales_1renfam_4rengen_124rensp_6absp.zip</v>
      </c>
    </row>
    <row r="152" spans="1:21">
      <c r="A152">
        <v>151</v>
      </c>
      <c r="B152" s="27" t="s">
        <v>1449</v>
      </c>
      <c r="D152" s="27" t="s">
        <v>1450</v>
      </c>
      <c r="F152" s="27" t="s">
        <v>1451</v>
      </c>
      <c r="H152" s="27" t="s">
        <v>1452</v>
      </c>
      <c r="J152" s="27" t="s">
        <v>219</v>
      </c>
      <c r="L152" s="27" t="s">
        <v>3712</v>
      </c>
      <c r="M152" s="27" t="s">
        <v>339</v>
      </c>
      <c r="N152" s="27" t="s">
        <v>307</v>
      </c>
      <c r="P152" s="27" t="s">
        <v>3814</v>
      </c>
      <c r="Q152" s="26" t="str">
        <f>HYPERLINK("https://ictv.global/taxonomy/taxondetails?taxnode_id=202501504&amp;ictv_id=ICTV20041304","ICTV20041304")</f>
        <v>ICTV20041304</v>
      </c>
      <c r="R152" t="s">
        <v>579</v>
      </c>
      <c r="S152" t="s">
        <v>824</v>
      </c>
      <c r="T152">
        <v>38</v>
      </c>
      <c r="U152" s="26" t="str">
        <f t="shared" si="6"/>
        <v>2022.001D.Herpesvirales_1renfam_4rengen_124rensp_6absp.zip</v>
      </c>
    </row>
    <row r="153" spans="1:21">
      <c r="A153">
        <v>152</v>
      </c>
      <c r="B153" s="27" t="s">
        <v>1449</v>
      </c>
      <c r="D153" s="27" t="s">
        <v>1450</v>
      </c>
      <c r="F153" s="27" t="s">
        <v>1451</v>
      </c>
      <c r="H153" s="27" t="s">
        <v>1452</v>
      </c>
      <c r="J153" s="27" t="s">
        <v>219</v>
      </c>
      <c r="L153" s="27" t="s">
        <v>3712</v>
      </c>
      <c r="M153" s="27" t="s">
        <v>339</v>
      </c>
      <c r="N153" s="27" t="s">
        <v>307</v>
      </c>
      <c r="P153" s="27" t="s">
        <v>3815</v>
      </c>
      <c r="Q153" s="26" t="str">
        <f>HYPERLINK("https://ictv.global/taxonomy/taxondetails?taxnode_id=202506411&amp;ictv_id=ICTV201856411","ICTV201856411")</f>
        <v>ICTV201856411</v>
      </c>
      <c r="R153" t="s">
        <v>579</v>
      </c>
      <c r="S153" t="s">
        <v>824</v>
      </c>
      <c r="T153">
        <v>38</v>
      </c>
      <c r="U153" s="26" t="str">
        <f t="shared" si="6"/>
        <v>2022.001D.Herpesvirales_1renfam_4rengen_124rensp_6absp.zip</v>
      </c>
    </row>
    <row r="154" spans="1:21">
      <c r="A154">
        <v>153</v>
      </c>
      <c r="B154" s="27" t="s">
        <v>1449</v>
      </c>
      <c r="D154" s="27" t="s">
        <v>1450</v>
      </c>
      <c r="F154" s="27" t="s">
        <v>1451</v>
      </c>
      <c r="H154" s="27" t="s">
        <v>1452</v>
      </c>
      <c r="J154" s="27" t="s">
        <v>219</v>
      </c>
      <c r="L154" s="27" t="s">
        <v>3712</v>
      </c>
      <c r="M154" s="27" t="s">
        <v>339</v>
      </c>
      <c r="N154" s="27" t="s">
        <v>307</v>
      </c>
      <c r="P154" s="27" t="s">
        <v>3816</v>
      </c>
      <c r="Q154" s="26" t="str">
        <f>HYPERLINK("https://ictv.global/taxonomy/taxondetails?taxnode_id=202514020&amp;ictv_id=ICTV202214020","ICTV202214020")</f>
        <v>ICTV202214020</v>
      </c>
      <c r="R154" t="s">
        <v>579</v>
      </c>
      <c r="S154" t="s">
        <v>823</v>
      </c>
      <c r="T154">
        <v>38</v>
      </c>
      <c r="U154" s="26" t="str">
        <f>HYPERLINK("https://ictv.global/ictv/proposals/2022.002D.Herpesvirales_9nsp.zip","2022.002D.Herpesvirales_9nsp.zip")</f>
        <v>2022.002D.Herpesvirales_9nsp.zip</v>
      </c>
    </row>
    <row r="155" spans="1:21">
      <c r="A155">
        <v>154</v>
      </c>
      <c r="B155" s="27" t="s">
        <v>1449</v>
      </c>
      <c r="D155" s="27" t="s">
        <v>1450</v>
      </c>
      <c r="F155" s="27" t="s">
        <v>1451</v>
      </c>
      <c r="H155" s="27" t="s">
        <v>1452</v>
      </c>
      <c r="J155" s="27" t="s">
        <v>219</v>
      </c>
      <c r="L155" s="27" t="s">
        <v>3712</v>
      </c>
      <c r="M155" s="27" t="s">
        <v>339</v>
      </c>
      <c r="N155" s="27" t="s">
        <v>307</v>
      </c>
      <c r="P155" s="27" t="s">
        <v>3817</v>
      </c>
      <c r="Q155" s="26" t="str">
        <f>HYPERLINK("https://ictv.global/taxonomy/taxondetails?taxnode_id=202506412&amp;ictv_id=ICTV201856412","ICTV201856412")</f>
        <v>ICTV201856412</v>
      </c>
      <c r="R155" t="s">
        <v>579</v>
      </c>
      <c r="S155" t="s">
        <v>824</v>
      </c>
      <c r="T155">
        <v>38</v>
      </c>
      <c r="U155" s="26" t="str">
        <f>HYPERLINK("https://ictv.global/ictv/proposals/2022.001D.Herpesvirales_1renfam_4rengen_124rensp_6absp.zip","2022.001D.Herpesvirales_1renfam_4rengen_124rensp_6absp.zip")</f>
        <v>2022.001D.Herpesvirales_1renfam_4rengen_124rensp_6absp.zip</v>
      </c>
    </row>
    <row r="156" spans="1:21">
      <c r="A156">
        <v>155</v>
      </c>
      <c r="B156" s="27" t="s">
        <v>1449</v>
      </c>
      <c r="D156" s="27" t="s">
        <v>1450</v>
      </c>
      <c r="F156" s="27" t="s">
        <v>1451</v>
      </c>
      <c r="H156" s="27" t="s">
        <v>1452</v>
      </c>
      <c r="J156" s="27" t="s">
        <v>219</v>
      </c>
      <c r="L156" s="27" t="s">
        <v>3712</v>
      </c>
      <c r="M156" s="27" t="s">
        <v>339</v>
      </c>
      <c r="N156" s="27" t="s">
        <v>308</v>
      </c>
      <c r="P156" s="27" t="s">
        <v>3818</v>
      </c>
      <c r="Q156" s="26" t="str">
        <f>HYPERLINK("https://ictv.global/taxonomy/taxondetails?taxnode_id=202501506&amp;ictv_id=ICTV19840528","ICTV19840528")</f>
        <v>ICTV19840528</v>
      </c>
      <c r="R156" t="s">
        <v>579</v>
      </c>
      <c r="S156" t="s">
        <v>824</v>
      </c>
      <c r="T156">
        <v>38</v>
      </c>
      <c r="U156" s="26" t="str">
        <f>HYPERLINK("https://ictv.global/ictv/proposals/2022.001D.Herpesvirales_1renfam_4rengen_124rensp_6absp.zip","2022.001D.Herpesvirales_1renfam_4rengen_124rensp_6absp.zip")</f>
        <v>2022.001D.Herpesvirales_1renfam_4rengen_124rensp_6absp.zip</v>
      </c>
    </row>
    <row r="157" spans="1:21">
      <c r="A157">
        <v>156</v>
      </c>
      <c r="B157" s="27" t="s">
        <v>1449</v>
      </c>
      <c r="D157" s="27" t="s">
        <v>1450</v>
      </c>
      <c r="F157" s="27" t="s">
        <v>1451</v>
      </c>
      <c r="H157" s="27" t="s">
        <v>1452</v>
      </c>
      <c r="J157" s="27" t="s">
        <v>219</v>
      </c>
      <c r="L157" s="27" t="s">
        <v>3712</v>
      </c>
      <c r="M157" s="27" t="s">
        <v>339</v>
      </c>
      <c r="N157" s="27" t="s">
        <v>308</v>
      </c>
      <c r="P157" s="27" t="s">
        <v>3819</v>
      </c>
      <c r="Q157" s="26" t="str">
        <f>HYPERLINK("https://ictv.global/taxonomy/taxondetails?taxnode_id=202501507&amp;ictv_id=ICTV20083106","ICTV20083106")</f>
        <v>ICTV20083106</v>
      </c>
      <c r="R157" t="s">
        <v>579</v>
      </c>
      <c r="S157" t="s">
        <v>824</v>
      </c>
      <c r="T157">
        <v>38</v>
      </c>
      <c r="U157" s="26" t="str">
        <f>HYPERLINK("https://ictv.global/ictv/proposals/2022.001D.Herpesvirales_1renfam_4rengen_124rensp_6absp.zip","2022.001D.Herpesvirales_1renfam_4rengen_124rensp_6absp.zip")</f>
        <v>2022.001D.Herpesvirales_1renfam_4rengen_124rensp_6absp.zip</v>
      </c>
    </row>
    <row r="158" spans="1:21">
      <c r="A158">
        <v>157</v>
      </c>
      <c r="B158" s="27" t="s">
        <v>1449</v>
      </c>
      <c r="D158" s="27" t="s">
        <v>1450</v>
      </c>
      <c r="F158" s="27" t="s">
        <v>1451</v>
      </c>
      <c r="H158" s="27" t="s">
        <v>1452</v>
      </c>
      <c r="J158" s="27" t="s">
        <v>219</v>
      </c>
      <c r="L158" s="27" t="s">
        <v>3712</v>
      </c>
      <c r="M158" s="27" t="s">
        <v>339</v>
      </c>
      <c r="N158" s="27" t="s">
        <v>308</v>
      </c>
      <c r="P158" s="27" t="s">
        <v>3820</v>
      </c>
      <c r="Q158" s="26" t="str">
        <f>HYPERLINK("https://ictv.global/taxonomy/taxondetails?taxnode_id=202501508&amp;ictv_id=ICTV19951072","ICTV19951072")</f>
        <v>ICTV19951072</v>
      </c>
      <c r="R158" t="s">
        <v>579</v>
      </c>
      <c r="S158" t="s">
        <v>824</v>
      </c>
      <c r="T158">
        <v>38</v>
      </c>
      <c r="U158" s="26" t="str">
        <f>HYPERLINK("https://ictv.global/ictv/proposals/2022.001D.Herpesvirales_1renfam_4rengen_124rensp_6absp.zip","2022.001D.Herpesvirales_1renfam_4rengen_124rensp_6absp.zip")</f>
        <v>2022.001D.Herpesvirales_1renfam_4rengen_124rensp_6absp.zip</v>
      </c>
    </row>
    <row r="159" spans="1:21">
      <c r="A159">
        <v>158</v>
      </c>
      <c r="B159" s="27" t="s">
        <v>1449</v>
      </c>
      <c r="D159" s="27" t="s">
        <v>1450</v>
      </c>
      <c r="F159" s="27" t="s">
        <v>1451</v>
      </c>
      <c r="H159" s="27" t="s">
        <v>1452</v>
      </c>
      <c r="J159" s="27" t="s">
        <v>219</v>
      </c>
      <c r="L159" s="27" t="s">
        <v>3712</v>
      </c>
      <c r="M159" s="27" t="s">
        <v>339</v>
      </c>
      <c r="N159" s="27" t="s">
        <v>308</v>
      </c>
      <c r="P159" s="27" t="s">
        <v>3821</v>
      </c>
      <c r="Q159" s="26" t="str">
        <f>HYPERLINK("https://ictv.global/taxonomy/taxondetails?taxnode_id=202514021&amp;ictv_id=ICTV202214021","ICTV202214021")</f>
        <v>ICTV202214021</v>
      </c>
      <c r="R159" t="s">
        <v>579</v>
      </c>
      <c r="S159" t="s">
        <v>823</v>
      </c>
      <c r="T159">
        <v>38</v>
      </c>
      <c r="U159" s="26" t="str">
        <f>HYPERLINK("https://ictv.global/ictv/proposals/2022.002D.Herpesvirales_9nsp.zip","2022.002D.Herpesvirales_9nsp.zip")</f>
        <v>2022.002D.Herpesvirales_9nsp.zip</v>
      </c>
    </row>
    <row r="160" spans="1:21">
      <c r="A160">
        <v>159</v>
      </c>
      <c r="B160" s="27" t="s">
        <v>1449</v>
      </c>
      <c r="D160" s="27" t="s">
        <v>1450</v>
      </c>
      <c r="F160" s="27" t="s">
        <v>1451</v>
      </c>
      <c r="H160" s="27" t="s">
        <v>1452</v>
      </c>
      <c r="J160" s="27" t="s">
        <v>219</v>
      </c>
      <c r="L160" s="27" t="s">
        <v>3712</v>
      </c>
      <c r="M160" s="27" t="s">
        <v>339</v>
      </c>
      <c r="N160" s="27" t="s">
        <v>308</v>
      </c>
      <c r="P160" s="27" t="s">
        <v>3822</v>
      </c>
      <c r="Q160" s="26" t="str">
        <f>HYPERLINK("https://ictv.global/taxonomy/taxondetails?taxnode_id=202501509&amp;ictv_id=ICTV20115685","ICTV20115685")</f>
        <v>ICTV20115685</v>
      </c>
      <c r="R160" t="s">
        <v>579</v>
      </c>
      <c r="S160" t="s">
        <v>824</v>
      </c>
      <c r="T160">
        <v>38</v>
      </c>
      <c r="U160" s="26" t="str">
        <f t="shared" ref="U160:U168" si="7">HYPERLINK("https://ictv.global/ictv/proposals/2022.001D.Herpesvirales_1renfam_4rengen_124rensp_6absp.zip","2022.001D.Herpesvirales_1renfam_4rengen_124rensp_6absp.zip")</f>
        <v>2022.001D.Herpesvirales_1renfam_4rengen_124rensp_6absp.zip</v>
      </c>
    </row>
    <row r="161" spans="1:21">
      <c r="A161">
        <v>160</v>
      </c>
      <c r="B161" s="27" t="s">
        <v>1449</v>
      </c>
      <c r="D161" s="27" t="s">
        <v>1450</v>
      </c>
      <c r="F161" s="27" t="s">
        <v>1451</v>
      </c>
      <c r="H161" s="27" t="s">
        <v>1452</v>
      </c>
      <c r="J161" s="27" t="s">
        <v>219</v>
      </c>
      <c r="L161" s="27" t="s">
        <v>3712</v>
      </c>
      <c r="M161" s="27" t="s">
        <v>339</v>
      </c>
      <c r="N161" s="27" t="s">
        <v>308</v>
      </c>
      <c r="P161" s="27" t="s">
        <v>3823</v>
      </c>
      <c r="Q161" s="26" t="str">
        <f>HYPERLINK("https://ictv.global/taxonomy/taxondetails?taxnode_id=202501510&amp;ictv_id=ICTV19991019","ICTV19991019")</f>
        <v>ICTV19991019</v>
      </c>
      <c r="R161" t="s">
        <v>579</v>
      </c>
      <c r="S161" t="s">
        <v>824</v>
      </c>
      <c r="T161">
        <v>38</v>
      </c>
      <c r="U161" s="26" t="str">
        <f t="shared" si="7"/>
        <v>2022.001D.Herpesvirales_1renfam_4rengen_124rensp_6absp.zip</v>
      </c>
    </row>
    <row r="162" spans="1:21">
      <c r="A162">
        <v>161</v>
      </c>
      <c r="B162" s="27" t="s">
        <v>1449</v>
      </c>
      <c r="D162" s="27" t="s">
        <v>1450</v>
      </c>
      <c r="F162" s="27" t="s">
        <v>1451</v>
      </c>
      <c r="H162" s="27" t="s">
        <v>1452</v>
      </c>
      <c r="J162" s="27" t="s">
        <v>219</v>
      </c>
      <c r="L162" s="27" t="s">
        <v>3712</v>
      </c>
      <c r="M162" s="27" t="s">
        <v>339</v>
      </c>
      <c r="N162" s="27" t="s">
        <v>308</v>
      </c>
      <c r="P162" s="27" t="s">
        <v>3824</v>
      </c>
      <c r="Q162" s="26" t="str">
        <f>HYPERLINK("https://ictv.global/taxonomy/taxondetails?taxnode_id=202501511&amp;ictv_id=ICTV19991014","ICTV19991014")</f>
        <v>ICTV19991014</v>
      </c>
      <c r="R162" t="s">
        <v>579</v>
      </c>
      <c r="S162" t="s">
        <v>824</v>
      </c>
      <c r="T162">
        <v>38</v>
      </c>
      <c r="U162" s="26" t="str">
        <f t="shared" si="7"/>
        <v>2022.001D.Herpesvirales_1renfam_4rengen_124rensp_6absp.zip</v>
      </c>
    </row>
    <row r="163" spans="1:21">
      <c r="A163">
        <v>162</v>
      </c>
      <c r="B163" s="27" t="s">
        <v>1449</v>
      </c>
      <c r="D163" s="27" t="s">
        <v>1450</v>
      </c>
      <c r="F163" s="27" t="s">
        <v>1451</v>
      </c>
      <c r="H163" s="27" t="s">
        <v>1452</v>
      </c>
      <c r="J163" s="27" t="s">
        <v>219</v>
      </c>
      <c r="L163" s="27" t="s">
        <v>3712</v>
      </c>
      <c r="M163" s="27" t="s">
        <v>339</v>
      </c>
      <c r="N163" s="27" t="s">
        <v>308</v>
      </c>
      <c r="P163" s="27" t="s">
        <v>3825</v>
      </c>
      <c r="Q163" s="26" t="str">
        <f>HYPERLINK("https://ictv.global/taxonomy/taxondetails?taxnode_id=202506407&amp;ictv_id=ICTV201856407","ICTV201856407")</f>
        <v>ICTV201856407</v>
      </c>
      <c r="R163" t="s">
        <v>579</v>
      </c>
      <c r="S163" t="s">
        <v>824</v>
      </c>
      <c r="T163">
        <v>38</v>
      </c>
      <c r="U163" s="26" t="str">
        <f t="shared" si="7"/>
        <v>2022.001D.Herpesvirales_1renfam_4rengen_124rensp_6absp.zip</v>
      </c>
    </row>
    <row r="164" spans="1:21">
      <c r="A164">
        <v>163</v>
      </c>
      <c r="B164" s="27" t="s">
        <v>1449</v>
      </c>
      <c r="D164" s="27" t="s">
        <v>1450</v>
      </c>
      <c r="F164" s="27" t="s">
        <v>1451</v>
      </c>
      <c r="H164" s="27" t="s">
        <v>1452</v>
      </c>
      <c r="J164" s="27" t="s">
        <v>219</v>
      </c>
      <c r="L164" s="27" t="s">
        <v>3712</v>
      </c>
      <c r="M164" s="27" t="s">
        <v>339</v>
      </c>
      <c r="N164" s="27" t="s">
        <v>308</v>
      </c>
      <c r="P164" s="27" t="s">
        <v>3826</v>
      </c>
      <c r="Q164" s="26" t="str">
        <f>HYPERLINK("https://ictv.global/taxonomy/taxondetails?taxnode_id=202506408&amp;ictv_id=ICTV201856408","ICTV201856408")</f>
        <v>ICTV201856408</v>
      </c>
      <c r="R164" t="s">
        <v>579</v>
      </c>
      <c r="S164" t="s">
        <v>824</v>
      </c>
      <c r="T164">
        <v>38</v>
      </c>
      <c r="U164" s="26" t="str">
        <f t="shared" si="7"/>
        <v>2022.001D.Herpesvirales_1renfam_4rengen_124rensp_6absp.zip</v>
      </c>
    </row>
    <row r="165" spans="1:21">
      <c r="A165">
        <v>164</v>
      </c>
      <c r="B165" s="27" t="s">
        <v>1449</v>
      </c>
      <c r="D165" s="27" t="s">
        <v>1450</v>
      </c>
      <c r="F165" s="27" t="s">
        <v>1451</v>
      </c>
      <c r="H165" s="27" t="s">
        <v>1452</v>
      </c>
      <c r="J165" s="27" t="s">
        <v>219</v>
      </c>
      <c r="L165" s="27" t="s">
        <v>3712</v>
      </c>
      <c r="M165" s="27" t="s">
        <v>339</v>
      </c>
      <c r="N165" s="27" t="s">
        <v>308</v>
      </c>
      <c r="P165" s="27" t="s">
        <v>3827</v>
      </c>
      <c r="Q165" s="26" t="str">
        <f>HYPERLINK("https://ictv.global/taxonomy/taxondetails?taxnode_id=202506409&amp;ictv_id=ICTV201856409","ICTV201856409")</f>
        <v>ICTV201856409</v>
      </c>
      <c r="R165" t="s">
        <v>579</v>
      </c>
      <c r="S165" t="s">
        <v>824</v>
      </c>
      <c r="T165">
        <v>38</v>
      </c>
      <c r="U165" s="26" t="str">
        <f t="shared" si="7"/>
        <v>2022.001D.Herpesvirales_1renfam_4rengen_124rensp_6absp.zip</v>
      </c>
    </row>
    <row r="166" spans="1:21">
      <c r="A166">
        <v>165</v>
      </c>
      <c r="B166" s="27" t="s">
        <v>1449</v>
      </c>
      <c r="D166" s="27" t="s">
        <v>1450</v>
      </c>
      <c r="F166" s="27" t="s">
        <v>1451</v>
      </c>
      <c r="H166" s="27" t="s">
        <v>1452</v>
      </c>
      <c r="J166" s="27" t="s">
        <v>219</v>
      </c>
      <c r="L166" s="27" t="s">
        <v>3712</v>
      </c>
      <c r="M166" s="27" t="s">
        <v>339</v>
      </c>
      <c r="N166" s="27" t="s">
        <v>308</v>
      </c>
      <c r="P166" s="27" t="s">
        <v>3828</v>
      </c>
      <c r="Q166" s="26" t="str">
        <f>HYPERLINK("https://ictv.global/taxonomy/taxondetails?taxnode_id=202501512&amp;ictv_id=ICTV19951078","ICTV19951078")</f>
        <v>ICTV19951078</v>
      </c>
      <c r="R166" t="s">
        <v>579</v>
      </c>
      <c r="S166" t="s">
        <v>824</v>
      </c>
      <c r="T166">
        <v>38</v>
      </c>
      <c r="U166" s="26" t="str">
        <f t="shared" si="7"/>
        <v>2022.001D.Herpesvirales_1renfam_4rengen_124rensp_6absp.zip</v>
      </c>
    </row>
    <row r="167" spans="1:21">
      <c r="A167">
        <v>166</v>
      </c>
      <c r="B167" s="27" t="s">
        <v>1449</v>
      </c>
      <c r="D167" s="27" t="s">
        <v>1450</v>
      </c>
      <c r="F167" s="27" t="s">
        <v>1451</v>
      </c>
      <c r="H167" s="27" t="s">
        <v>1452</v>
      </c>
      <c r="J167" s="27" t="s">
        <v>219</v>
      </c>
      <c r="L167" s="27" t="s">
        <v>3712</v>
      </c>
      <c r="M167" s="27" t="s">
        <v>339</v>
      </c>
      <c r="N167" s="27" t="s">
        <v>308</v>
      </c>
      <c r="P167" s="27" t="s">
        <v>3829</v>
      </c>
      <c r="Q167" s="26" t="str">
        <f>HYPERLINK("https://ictv.global/taxonomy/taxondetails?taxnode_id=202501513&amp;ictv_id=ICTV20115681","ICTV20115681")</f>
        <v>ICTV20115681</v>
      </c>
      <c r="R167" t="s">
        <v>579</v>
      </c>
      <c r="S167" t="s">
        <v>824</v>
      </c>
      <c r="T167">
        <v>38</v>
      </c>
      <c r="U167" s="26" t="str">
        <f t="shared" si="7"/>
        <v>2022.001D.Herpesvirales_1renfam_4rengen_124rensp_6absp.zip</v>
      </c>
    </row>
    <row r="168" spans="1:21">
      <c r="A168">
        <v>167</v>
      </c>
      <c r="B168" s="27" t="s">
        <v>1449</v>
      </c>
      <c r="D168" s="27" t="s">
        <v>1450</v>
      </c>
      <c r="F168" s="27" t="s">
        <v>1451</v>
      </c>
      <c r="H168" s="27" t="s">
        <v>1452</v>
      </c>
      <c r="J168" s="27" t="s">
        <v>219</v>
      </c>
      <c r="L168" s="27" t="s">
        <v>3712</v>
      </c>
      <c r="M168" s="27" t="s">
        <v>339</v>
      </c>
      <c r="N168" s="27" t="s">
        <v>308</v>
      </c>
      <c r="P168" s="27" t="s">
        <v>3830</v>
      </c>
      <c r="Q168" s="26" t="str">
        <f>HYPERLINK("https://ictv.global/taxonomy/taxondetails?taxnode_id=202501514&amp;ictv_id=ICTV19991022","ICTV19991022")</f>
        <v>ICTV19991022</v>
      </c>
      <c r="R168" t="s">
        <v>579</v>
      </c>
      <c r="S168" t="s">
        <v>824</v>
      </c>
      <c r="T168">
        <v>38</v>
      </c>
      <c r="U168" s="26" t="str">
        <f t="shared" si="7"/>
        <v>2022.001D.Herpesvirales_1renfam_4rengen_124rensp_6absp.zip</v>
      </c>
    </row>
    <row r="169" spans="1:21">
      <c r="A169">
        <v>168</v>
      </c>
      <c r="B169" s="27" t="s">
        <v>1449</v>
      </c>
      <c r="D169" s="27" t="s">
        <v>1450</v>
      </c>
      <c r="F169" s="27" t="s">
        <v>1453</v>
      </c>
      <c r="H169" s="27" t="s">
        <v>1454</v>
      </c>
      <c r="J169" s="27" t="s">
        <v>18543</v>
      </c>
      <c r="L169" s="27" t="s">
        <v>18544</v>
      </c>
      <c r="N169" s="27" t="s">
        <v>18545</v>
      </c>
      <c r="P169" s="27" t="s">
        <v>18546</v>
      </c>
      <c r="Q169" s="26" t="str">
        <f>HYPERLINK("https://ictv.global/taxonomy/taxondetails?taxnode_id=202519965&amp;ictv_id=ICTV202419965","ICTV202419965")</f>
        <v>ICTV202419965</v>
      </c>
      <c r="R169" t="s">
        <v>579</v>
      </c>
      <c r="S169" t="s">
        <v>823</v>
      </c>
      <c r="T169">
        <v>40</v>
      </c>
      <c r="U169" s="26" t="str">
        <f>HYPERLINK("https://ictv.global/ictv/proposals/2024.002A.Adrikaivirales_neworder_2newfam.zip","2024.002A.Adrikaivirales_neworder_2newfam.zip")</f>
        <v>2024.002A.Adrikaivirales_neworder_2newfam.zip</v>
      </c>
    </row>
    <row r="170" spans="1:21">
      <c r="A170">
        <v>169</v>
      </c>
      <c r="B170" s="27" t="s">
        <v>1449</v>
      </c>
      <c r="D170" s="27" t="s">
        <v>1450</v>
      </c>
      <c r="F170" s="27" t="s">
        <v>1453</v>
      </c>
      <c r="H170" s="27" t="s">
        <v>1454</v>
      </c>
      <c r="J170" s="27" t="s">
        <v>18547</v>
      </c>
      <c r="L170" s="27" t="s">
        <v>18548</v>
      </c>
      <c r="M170" s="27" t="s">
        <v>18549</v>
      </c>
      <c r="N170" s="27" t="s">
        <v>18550</v>
      </c>
      <c r="P170" s="27" t="s">
        <v>18551</v>
      </c>
      <c r="Q170" s="26" t="str">
        <f>HYPERLINK("https://ictv.global/taxonomy/taxondetails?taxnode_id=202521147&amp;ictv_id=ICTV202421147","ICTV202421147")</f>
        <v>ICTV202421147</v>
      </c>
      <c r="R170" t="s">
        <v>579</v>
      </c>
      <c r="S170" t="s">
        <v>823</v>
      </c>
      <c r="T170">
        <v>40</v>
      </c>
      <c r="U170" s="26" t="str">
        <f t="shared" ref="U170:U201" si="8">HYPERLINK("https://ictv.global/ictv/proposals/2024.045B.Autographivirales.zip","2024.045B.Autographivirales.zip")</f>
        <v>2024.045B.Autographivirales.zip</v>
      </c>
    </row>
    <row r="171" spans="1:21">
      <c r="A171">
        <v>170</v>
      </c>
      <c r="B171" s="27" t="s">
        <v>1449</v>
      </c>
      <c r="D171" s="27" t="s">
        <v>1450</v>
      </c>
      <c r="F171" s="27" t="s">
        <v>1453</v>
      </c>
      <c r="H171" s="27" t="s">
        <v>1454</v>
      </c>
      <c r="J171" s="27" t="s">
        <v>18547</v>
      </c>
      <c r="L171" s="27" t="s">
        <v>18548</v>
      </c>
      <c r="M171" s="27" t="s">
        <v>18549</v>
      </c>
      <c r="N171" s="27" t="s">
        <v>18552</v>
      </c>
      <c r="P171" s="27" t="s">
        <v>18553</v>
      </c>
      <c r="Q171" s="26" t="str">
        <f>HYPERLINK("https://ictv.global/taxonomy/taxondetails?taxnode_id=202521146&amp;ictv_id=ICTV202421146","ICTV202421146")</f>
        <v>ICTV202421146</v>
      </c>
      <c r="R171" t="s">
        <v>579</v>
      </c>
      <c r="S171" t="s">
        <v>823</v>
      </c>
      <c r="T171">
        <v>40</v>
      </c>
      <c r="U171" s="26" t="str">
        <f t="shared" si="8"/>
        <v>2024.045B.Autographivirales.zip</v>
      </c>
    </row>
    <row r="172" spans="1:21">
      <c r="A172">
        <v>171</v>
      </c>
      <c r="B172" s="27" t="s">
        <v>1449</v>
      </c>
      <c r="D172" s="27" t="s">
        <v>1450</v>
      </c>
      <c r="F172" s="27" t="s">
        <v>1453</v>
      </c>
      <c r="H172" s="27" t="s">
        <v>1454</v>
      </c>
      <c r="J172" s="27" t="s">
        <v>18547</v>
      </c>
      <c r="L172" s="27" t="s">
        <v>18548</v>
      </c>
      <c r="M172" s="27" t="s">
        <v>18549</v>
      </c>
      <c r="N172" s="27" t="s">
        <v>18554</v>
      </c>
      <c r="P172" s="27" t="s">
        <v>18555</v>
      </c>
      <c r="Q172" s="26" t="str">
        <f>HYPERLINK("https://ictv.global/taxonomy/taxondetails?taxnode_id=202521145&amp;ictv_id=ICTV202421145","ICTV202421145")</f>
        <v>ICTV202421145</v>
      </c>
      <c r="R172" t="s">
        <v>579</v>
      </c>
      <c r="S172" t="s">
        <v>823</v>
      </c>
      <c r="T172">
        <v>40</v>
      </c>
      <c r="U172" s="26" t="str">
        <f t="shared" si="8"/>
        <v>2024.045B.Autographivirales.zip</v>
      </c>
    </row>
    <row r="173" spans="1:21">
      <c r="A173">
        <v>172</v>
      </c>
      <c r="B173" s="27" t="s">
        <v>1449</v>
      </c>
      <c r="D173" s="27" t="s">
        <v>1450</v>
      </c>
      <c r="F173" s="27" t="s">
        <v>1453</v>
      </c>
      <c r="H173" s="27" t="s">
        <v>1454</v>
      </c>
      <c r="J173" s="27" t="s">
        <v>18547</v>
      </c>
      <c r="L173" s="27" t="s">
        <v>18548</v>
      </c>
      <c r="M173" s="27" t="s">
        <v>18549</v>
      </c>
      <c r="N173" s="27" t="s">
        <v>18554</v>
      </c>
      <c r="P173" s="27" t="s">
        <v>18556</v>
      </c>
      <c r="Q173" s="26" t="str">
        <f>HYPERLINK("https://ictv.global/taxonomy/taxondetails?taxnode_id=202521144&amp;ictv_id=ICTV202421144","ICTV202421144")</f>
        <v>ICTV202421144</v>
      </c>
      <c r="R173" t="s">
        <v>579</v>
      </c>
      <c r="S173" t="s">
        <v>823</v>
      </c>
      <c r="T173">
        <v>40</v>
      </c>
      <c r="U173" s="26" t="str">
        <f t="shared" si="8"/>
        <v>2024.045B.Autographivirales.zip</v>
      </c>
    </row>
    <row r="174" spans="1:21">
      <c r="A174">
        <v>173</v>
      </c>
      <c r="B174" s="27" t="s">
        <v>1449</v>
      </c>
      <c r="D174" s="27" t="s">
        <v>1450</v>
      </c>
      <c r="F174" s="27" t="s">
        <v>1453</v>
      </c>
      <c r="H174" s="27" t="s">
        <v>1454</v>
      </c>
      <c r="J174" s="27" t="s">
        <v>18547</v>
      </c>
      <c r="L174" s="27" t="s">
        <v>18548</v>
      </c>
      <c r="M174" s="27" t="s">
        <v>18549</v>
      </c>
      <c r="N174" s="27" t="s">
        <v>18557</v>
      </c>
      <c r="P174" s="27" t="s">
        <v>18558</v>
      </c>
      <c r="Q174" s="26" t="str">
        <f>HYPERLINK("https://ictv.global/taxonomy/taxondetails?taxnode_id=202521143&amp;ictv_id=ICTV202421143","ICTV202421143")</f>
        <v>ICTV202421143</v>
      </c>
      <c r="R174" t="s">
        <v>579</v>
      </c>
      <c r="S174" t="s">
        <v>823</v>
      </c>
      <c r="T174">
        <v>40</v>
      </c>
      <c r="U174" s="26" t="str">
        <f t="shared" si="8"/>
        <v>2024.045B.Autographivirales.zip</v>
      </c>
    </row>
    <row r="175" spans="1:21">
      <c r="A175">
        <v>174</v>
      </c>
      <c r="B175" s="27" t="s">
        <v>1449</v>
      </c>
      <c r="D175" s="27" t="s">
        <v>1450</v>
      </c>
      <c r="F175" s="27" t="s">
        <v>1453</v>
      </c>
      <c r="H175" s="27" t="s">
        <v>1454</v>
      </c>
      <c r="J175" s="27" t="s">
        <v>18547</v>
      </c>
      <c r="L175" s="27" t="s">
        <v>18548</v>
      </c>
      <c r="M175" s="27" t="s">
        <v>18549</v>
      </c>
      <c r="N175" s="27" t="s">
        <v>18557</v>
      </c>
      <c r="P175" s="27" t="s">
        <v>18559</v>
      </c>
      <c r="Q175" s="26" t="str">
        <f>HYPERLINK("https://ictv.global/taxonomy/taxondetails?taxnode_id=202521142&amp;ictv_id=ICTV202421142","ICTV202421142")</f>
        <v>ICTV202421142</v>
      </c>
      <c r="R175" t="s">
        <v>579</v>
      </c>
      <c r="S175" t="s">
        <v>823</v>
      </c>
      <c r="T175">
        <v>40</v>
      </c>
      <c r="U175" s="26" t="str">
        <f t="shared" si="8"/>
        <v>2024.045B.Autographivirales.zip</v>
      </c>
    </row>
    <row r="176" spans="1:21">
      <c r="A176">
        <v>175</v>
      </c>
      <c r="B176" s="27" t="s">
        <v>1449</v>
      </c>
      <c r="D176" s="27" t="s">
        <v>1450</v>
      </c>
      <c r="F176" s="27" t="s">
        <v>1453</v>
      </c>
      <c r="H176" s="27" t="s">
        <v>1454</v>
      </c>
      <c r="J176" s="27" t="s">
        <v>18547</v>
      </c>
      <c r="L176" s="27" t="s">
        <v>18548</v>
      </c>
      <c r="M176" s="27" t="s">
        <v>18549</v>
      </c>
      <c r="N176" s="27" t="s">
        <v>18557</v>
      </c>
      <c r="P176" s="27" t="s">
        <v>18560</v>
      </c>
      <c r="Q176" s="26" t="str">
        <f>HYPERLINK("https://ictv.global/taxonomy/taxondetails?taxnode_id=202521139&amp;ictv_id=ICTV202421139","ICTV202421139")</f>
        <v>ICTV202421139</v>
      </c>
      <c r="R176" t="s">
        <v>579</v>
      </c>
      <c r="S176" t="s">
        <v>823</v>
      </c>
      <c r="T176">
        <v>40</v>
      </c>
      <c r="U176" s="26" t="str">
        <f t="shared" si="8"/>
        <v>2024.045B.Autographivirales.zip</v>
      </c>
    </row>
    <row r="177" spans="1:21">
      <c r="A177">
        <v>176</v>
      </c>
      <c r="B177" s="27" t="s">
        <v>1449</v>
      </c>
      <c r="D177" s="27" t="s">
        <v>1450</v>
      </c>
      <c r="F177" s="27" t="s">
        <v>1453</v>
      </c>
      <c r="H177" s="27" t="s">
        <v>1454</v>
      </c>
      <c r="J177" s="27" t="s">
        <v>18547</v>
      </c>
      <c r="L177" s="27" t="s">
        <v>18548</v>
      </c>
      <c r="M177" s="27" t="s">
        <v>18549</v>
      </c>
      <c r="N177" s="27" t="s">
        <v>18557</v>
      </c>
      <c r="P177" s="27" t="s">
        <v>18561</v>
      </c>
      <c r="Q177" s="26" t="str">
        <f>HYPERLINK("https://ictv.global/taxonomy/taxondetails?taxnode_id=202521141&amp;ictv_id=ICTV202421141","ICTV202421141")</f>
        <v>ICTV202421141</v>
      </c>
      <c r="R177" t="s">
        <v>579</v>
      </c>
      <c r="S177" t="s">
        <v>823</v>
      </c>
      <c r="T177">
        <v>40</v>
      </c>
      <c r="U177" s="26" t="str">
        <f t="shared" si="8"/>
        <v>2024.045B.Autographivirales.zip</v>
      </c>
    </row>
    <row r="178" spans="1:21">
      <c r="A178">
        <v>177</v>
      </c>
      <c r="B178" s="27" t="s">
        <v>1449</v>
      </c>
      <c r="D178" s="27" t="s">
        <v>1450</v>
      </c>
      <c r="F178" s="27" t="s">
        <v>1453</v>
      </c>
      <c r="H178" s="27" t="s">
        <v>1454</v>
      </c>
      <c r="J178" s="27" t="s">
        <v>18547</v>
      </c>
      <c r="L178" s="27" t="s">
        <v>18548</v>
      </c>
      <c r="M178" s="27" t="s">
        <v>18549</v>
      </c>
      <c r="N178" s="27" t="s">
        <v>18557</v>
      </c>
      <c r="P178" s="27" t="s">
        <v>18562</v>
      </c>
      <c r="Q178" s="26" t="str">
        <f>HYPERLINK("https://ictv.global/taxonomy/taxondetails?taxnode_id=202521140&amp;ictv_id=ICTV202421140","ICTV202421140")</f>
        <v>ICTV202421140</v>
      </c>
      <c r="R178" t="s">
        <v>579</v>
      </c>
      <c r="S178" t="s">
        <v>823</v>
      </c>
      <c r="T178">
        <v>40</v>
      </c>
      <c r="U178" s="26" t="str">
        <f t="shared" si="8"/>
        <v>2024.045B.Autographivirales.zip</v>
      </c>
    </row>
    <row r="179" spans="1:21">
      <c r="A179">
        <v>178</v>
      </c>
      <c r="B179" s="27" t="s">
        <v>1449</v>
      </c>
      <c r="D179" s="27" t="s">
        <v>1450</v>
      </c>
      <c r="F179" s="27" t="s">
        <v>1453</v>
      </c>
      <c r="H179" s="27" t="s">
        <v>1454</v>
      </c>
      <c r="J179" s="27" t="s">
        <v>18547</v>
      </c>
      <c r="L179" s="27" t="s">
        <v>18548</v>
      </c>
      <c r="M179" s="27" t="s">
        <v>18549</v>
      </c>
      <c r="N179" s="27" t="s">
        <v>764</v>
      </c>
      <c r="P179" s="27" t="s">
        <v>18563</v>
      </c>
      <c r="Q179" s="26" t="str">
        <f>HYPERLINK("https://ictv.global/taxonomy/taxondetails?taxnode_id=202521080&amp;ictv_id=ICTV202421080","ICTV202421080")</f>
        <v>ICTV202421080</v>
      </c>
      <c r="R179" t="s">
        <v>579</v>
      </c>
      <c r="S179" t="s">
        <v>823</v>
      </c>
      <c r="T179">
        <v>40</v>
      </c>
      <c r="U179" s="26" t="str">
        <f t="shared" si="8"/>
        <v>2024.045B.Autographivirales.zip</v>
      </c>
    </row>
    <row r="180" spans="1:21">
      <c r="A180">
        <v>179</v>
      </c>
      <c r="B180" s="27" t="s">
        <v>1449</v>
      </c>
      <c r="D180" s="27" t="s">
        <v>1450</v>
      </c>
      <c r="F180" s="27" t="s">
        <v>1453</v>
      </c>
      <c r="H180" s="27" t="s">
        <v>1454</v>
      </c>
      <c r="J180" s="27" t="s">
        <v>18547</v>
      </c>
      <c r="L180" s="27" t="s">
        <v>18548</v>
      </c>
      <c r="M180" s="27" t="s">
        <v>18549</v>
      </c>
      <c r="N180" s="27" t="s">
        <v>764</v>
      </c>
      <c r="P180" s="27" t="s">
        <v>4492</v>
      </c>
      <c r="Q180" s="26" t="str">
        <f>HYPERLINK("https://ictv.global/taxonomy/taxondetails?taxnode_id=202500573&amp;ictv_id=ICTV20164905","ICTV20164905")</f>
        <v>ICTV20164905</v>
      </c>
      <c r="R180" t="s">
        <v>579</v>
      </c>
      <c r="S180" t="s">
        <v>22763</v>
      </c>
      <c r="T180">
        <v>40</v>
      </c>
      <c r="U180" s="26" t="str">
        <f t="shared" si="8"/>
        <v>2024.045B.Autographivirales.zip</v>
      </c>
    </row>
    <row r="181" spans="1:21">
      <c r="A181">
        <v>180</v>
      </c>
      <c r="B181" s="27" t="s">
        <v>1449</v>
      </c>
      <c r="D181" s="27" t="s">
        <v>1450</v>
      </c>
      <c r="F181" s="27" t="s">
        <v>1453</v>
      </c>
      <c r="H181" s="27" t="s">
        <v>1454</v>
      </c>
      <c r="J181" s="27" t="s">
        <v>18547</v>
      </c>
      <c r="L181" s="27" t="s">
        <v>18548</v>
      </c>
      <c r="M181" s="27" t="s">
        <v>18549</v>
      </c>
      <c r="N181" s="27" t="s">
        <v>764</v>
      </c>
      <c r="P181" s="27" t="s">
        <v>4493</v>
      </c>
      <c r="Q181" s="26" t="str">
        <f>HYPERLINK("https://ictv.global/taxonomy/taxondetails?taxnode_id=202500574&amp;ictv_id=ICTV20164906","ICTV20164906")</f>
        <v>ICTV20164906</v>
      </c>
      <c r="R181" t="s">
        <v>579</v>
      </c>
      <c r="S181" t="s">
        <v>22763</v>
      </c>
      <c r="T181">
        <v>40</v>
      </c>
      <c r="U181" s="26" t="str">
        <f t="shared" si="8"/>
        <v>2024.045B.Autographivirales.zip</v>
      </c>
    </row>
    <row r="182" spans="1:21">
      <c r="A182">
        <v>181</v>
      </c>
      <c r="B182" s="27" t="s">
        <v>1449</v>
      </c>
      <c r="D182" s="27" t="s">
        <v>1450</v>
      </c>
      <c r="F182" s="27" t="s">
        <v>1453</v>
      </c>
      <c r="H182" s="27" t="s">
        <v>1454</v>
      </c>
      <c r="J182" s="27" t="s">
        <v>18547</v>
      </c>
      <c r="L182" s="27" t="s">
        <v>18548</v>
      </c>
      <c r="M182" s="27" t="s">
        <v>18549</v>
      </c>
      <c r="N182" s="27" t="s">
        <v>764</v>
      </c>
      <c r="P182" s="27" t="s">
        <v>18564</v>
      </c>
      <c r="Q182" s="26" t="str">
        <f>HYPERLINK("https://ictv.global/taxonomy/taxondetails?taxnode_id=202521076&amp;ictv_id=ICTV202421076","ICTV202421076")</f>
        <v>ICTV202421076</v>
      </c>
      <c r="R182" t="s">
        <v>579</v>
      </c>
      <c r="S182" t="s">
        <v>823</v>
      </c>
      <c r="T182">
        <v>40</v>
      </c>
      <c r="U182" s="26" t="str">
        <f t="shared" si="8"/>
        <v>2024.045B.Autographivirales.zip</v>
      </c>
    </row>
    <row r="183" spans="1:21">
      <c r="A183">
        <v>182</v>
      </c>
      <c r="B183" s="27" t="s">
        <v>1449</v>
      </c>
      <c r="D183" s="27" t="s">
        <v>1450</v>
      </c>
      <c r="F183" s="27" t="s">
        <v>1453</v>
      </c>
      <c r="H183" s="27" t="s">
        <v>1454</v>
      </c>
      <c r="J183" s="27" t="s">
        <v>18547</v>
      </c>
      <c r="L183" s="27" t="s">
        <v>18548</v>
      </c>
      <c r="M183" s="27" t="s">
        <v>18549</v>
      </c>
      <c r="N183" s="27" t="s">
        <v>764</v>
      </c>
      <c r="P183" s="27" t="s">
        <v>18565</v>
      </c>
      <c r="Q183" s="26" t="str">
        <f>HYPERLINK("https://ictv.global/taxonomy/taxondetails?taxnode_id=202521079&amp;ictv_id=ICTV202421079","ICTV202421079")</f>
        <v>ICTV202421079</v>
      </c>
      <c r="R183" t="s">
        <v>579</v>
      </c>
      <c r="S183" t="s">
        <v>823</v>
      </c>
      <c r="T183">
        <v>40</v>
      </c>
      <c r="U183" s="26" t="str">
        <f t="shared" si="8"/>
        <v>2024.045B.Autographivirales.zip</v>
      </c>
    </row>
    <row r="184" spans="1:21">
      <c r="A184">
        <v>183</v>
      </c>
      <c r="B184" s="27" t="s">
        <v>1449</v>
      </c>
      <c r="D184" s="27" t="s">
        <v>1450</v>
      </c>
      <c r="F184" s="27" t="s">
        <v>1453</v>
      </c>
      <c r="H184" s="27" t="s">
        <v>1454</v>
      </c>
      <c r="J184" s="27" t="s">
        <v>18547</v>
      </c>
      <c r="L184" s="27" t="s">
        <v>18548</v>
      </c>
      <c r="M184" s="27" t="s">
        <v>18549</v>
      </c>
      <c r="N184" s="27" t="s">
        <v>764</v>
      </c>
      <c r="P184" s="27" t="s">
        <v>18566</v>
      </c>
      <c r="Q184" s="26" t="str">
        <f>HYPERLINK("https://ictv.global/taxonomy/taxondetails?taxnode_id=202521077&amp;ictv_id=ICTV202421077","ICTV202421077")</f>
        <v>ICTV202421077</v>
      </c>
      <c r="R184" t="s">
        <v>579</v>
      </c>
      <c r="S184" t="s">
        <v>823</v>
      </c>
      <c r="T184">
        <v>40</v>
      </c>
      <c r="U184" s="26" t="str">
        <f t="shared" si="8"/>
        <v>2024.045B.Autographivirales.zip</v>
      </c>
    </row>
    <row r="185" spans="1:21">
      <c r="A185">
        <v>184</v>
      </c>
      <c r="B185" s="27" t="s">
        <v>1449</v>
      </c>
      <c r="D185" s="27" t="s">
        <v>1450</v>
      </c>
      <c r="F185" s="27" t="s">
        <v>1453</v>
      </c>
      <c r="H185" s="27" t="s">
        <v>1454</v>
      </c>
      <c r="J185" s="27" t="s">
        <v>18547</v>
      </c>
      <c r="L185" s="27" t="s">
        <v>18548</v>
      </c>
      <c r="M185" s="27" t="s">
        <v>18549</v>
      </c>
      <c r="N185" s="27" t="s">
        <v>764</v>
      </c>
      <c r="P185" s="27" t="s">
        <v>18567</v>
      </c>
      <c r="Q185" s="26" t="str">
        <f>HYPERLINK("https://ictv.global/taxonomy/taxondetails?taxnode_id=202521082&amp;ictv_id=ICTV202421082","ICTV202421082")</f>
        <v>ICTV202421082</v>
      </c>
      <c r="R185" t="s">
        <v>579</v>
      </c>
      <c r="S185" t="s">
        <v>823</v>
      </c>
      <c r="T185">
        <v>40</v>
      </c>
      <c r="U185" s="26" t="str">
        <f t="shared" si="8"/>
        <v>2024.045B.Autographivirales.zip</v>
      </c>
    </row>
    <row r="186" spans="1:21">
      <c r="A186">
        <v>185</v>
      </c>
      <c r="B186" s="27" t="s">
        <v>1449</v>
      </c>
      <c r="D186" s="27" t="s">
        <v>1450</v>
      </c>
      <c r="F186" s="27" t="s">
        <v>1453</v>
      </c>
      <c r="H186" s="27" t="s">
        <v>1454</v>
      </c>
      <c r="J186" s="27" t="s">
        <v>18547</v>
      </c>
      <c r="L186" s="27" t="s">
        <v>18548</v>
      </c>
      <c r="M186" s="27" t="s">
        <v>18549</v>
      </c>
      <c r="N186" s="27" t="s">
        <v>764</v>
      </c>
      <c r="P186" s="27" t="s">
        <v>18568</v>
      </c>
      <c r="Q186" s="26" t="str">
        <f>HYPERLINK("https://ictv.global/taxonomy/taxondetails?taxnode_id=202521083&amp;ictv_id=ICTV202421083","ICTV202421083")</f>
        <v>ICTV202421083</v>
      </c>
      <c r="R186" t="s">
        <v>579</v>
      </c>
      <c r="S186" t="s">
        <v>823</v>
      </c>
      <c r="T186">
        <v>40</v>
      </c>
      <c r="U186" s="26" t="str">
        <f t="shared" si="8"/>
        <v>2024.045B.Autographivirales.zip</v>
      </c>
    </row>
    <row r="187" spans="1:21">
      <c r="A187">
        <v>186</v>
      </c>
      <c r="B187" s="27" t="s">
        <v>1449</v>
      </c>
      <c r="D187" s="27" t="s">
        <v>1450</v>
      </c>
      <c r="F187" s="27" t="s">
        <v>1453</v>
      </c>
      <c r="H187" s="27" t="s">
        <v>1454</v>
      </c>
      <c r="J187" s="27" t="s">
        <v>18547</v>
      </c>
      <c r="L187" s="27" t="s">
        <v>18548</v>
      </c>
      <c r="M187" s="27" t="s">
        <v>18549</v>
      </c>
      <c r="N187" s="27" t="s">
        <v>764</v>
      </c>
      <c r="P187" s="27" t="s">
        <v>18569</v>
      </c>
      <c r="Q187" s="26" t="str">
        <f>HYPERLINK("https://ictv.global/taxonomy/taxondetails?taxnode_id=202521081&amp;ictv_id=ICTV202421081","ICTV202421081")</f>
        <v>ICTV202421081</v>
      </c>
      <c r="R187" t="s">
        <v>579</v>
      </c>
      <c r="S187" t="s">
        <v>823</v>
      </c>
      <c r="T187">
        <v>40</v>
      </c>
      <c r="U187" s="26" t="str">
        <f t="shared" si="8"/>
        <v>2024.045B.Autographivirales.zip</v>
      </c>
    </row>
    <row r="188" spans="1:21">
      <c r="A188">
        <v>187</v>
      </c>
      <c r="B188" s="27" t="s">
        <v>1449</v>
      </c>
      <c r="D188" s="27" t="s">
        <v>1450</v>
      </c>
      <c r="F188" s="27" t="s">
        <v>1453</v>
      </c>
      <c r="H188" s="27" t="s">
        <v>1454</v>
      </c>
      <c r="J188" s="27" t="s">
        <v>18547</v>
      </c>
      <c r="L188" s="27" t="s">
        <v>18548</v>
      </c>
      <c r="M188" s="27" t="s">
        <v>18549</v>
      </c>
      <c r="N188" s="27" t="s">
        <v>764</v>
      </c>
      <c r="P188" s="27" t="s">
        <v>18570</v>
      </c>
      <c r="Q188" s="26" t="str">
        <f>HYPERLINK("https://ictv.global/taxonomy/taxondetails?taxnode_id=202521084&amp;ictv_id=ICTV202421084","ICTV202421084")</f>
        <v>ICTV202421084</v>
      </c>
      <c r="R188" t="s">
        <v>579</v>
      </c>
      <c r="S188" t="s">
        <v>823</v>
      </c>
      <c r="T188">
        <v>40</v>
      </c>
      <c r="U188" s="26" t="str">
        <f t="shared" si="8"/>
        <v>2024.045B.Autographivirales.zip</v>
      </c>
    </row>
    <row r="189" spans="1:21">
      <c r="A189">
        <v>188</v>
      </c>
      <c r="B189" s="27" t="s">
        <v>1449</v>
      </c>
      <c r="D189" s="27" t="s">
        <v>1450</v>
      </c>
      <c r="F189" s="27" t="s">
        <v>1453</v>
      </c>
      <c r="H189" s="27" t="s">
        <v>1454</v>
      </c>
      <c r="J189" s="27" t="s">
        <v>18547</v>
      </c>
      <c r="L189" s="27" t="s">
        <v>18548</v>
      </c>
      <c r="M189" s="27" t="s">
        <v>18549</v>
      </c>
      <c r="N189" s="27" t="s">
        <v>764</v>
      </c>
      <c r="P189" s="27" t="s">
        <v>4494</v>
      </c>
      <c r="Q189" s="26" t="str">
        <f>HYPERLINK("https://ictv.global/taxonomy/taxondetails?taxnode_id=202500575&amp;ictv_id=ICTV20164907","ICTV20164907")</f>
        <v>ICTV20164907</v>
      </c>
      <c r="R189" t="s">
        <v>579</v>
      </c>
      <c r="S189" t="s">
        <v>22763</v>
      </c>
      <c r="T189">
        <v>40</v>
      </c>
      <c r="U189" s="26" t="str">
        <f t="shared" si="8"/>
        <v>2024.045B.Autographivirales.zip</v>
      </c>
    </row>
    <row r="190" spans="1:21">
      <c r="A190">
        <v>189</v>
      </c>
      <c r="B190" s="27" t="s">
        <v>1449</v>
      </c>
      <c r="D190" s="27" t="s">
        <v>1450</v>
      </c>
      <c r="F190" s="27" t="s">
        <v>1453</v>
      </c>
      <c r="H190" s="27" t="s">
        <v>1454</v>
      </c>
      <c r="J190" s="27" t="s">
        <v>18547</v>
      </c>
      <c r="L190" s="27" t="s">
        <v>18548</v>
      </c>
      <c r="M190" s="27" t="s">
        <v>18549</v>
      </c>
      <c r="N190" s="27" t="s">
        <v>764</v>
      </c>
      <c r="P190" s="27" t="s">
        <v>18571</v>
      </c>
      <c r="Q190" s="26" t="str">
        <f>HYPERLINK("https://ictv.global/taxonomy/taxondetails?taxnode_id=202521086&amp;ictv_id=ICTV202421086","ICTV202421086")</f>
        <v>ICTV202421086</v>
      </c>
      <c r="R190" t="s">
        <v>579</v>
      </c>
      <c r="S190" t="s">
        <v>823</v>
      </c>
      <c r="T190">
        <v>40</v>
      </c>
      <c r="U190" s="26" t="str">
        <f t="shared" si="8"/>
        <v>2024.045B.Autographivirales.zip</v>
      </c>
    </row>
    <row r="191" spans="1:21">
      <c r="A191">
        <v>190</v>
      </c>
      <c r="B191" s="27" t="s">
        <v>1449</v>
      </c>
      <c r="D191" s="27" t="s">
        <v>1450</v>
      </c>
      <c r="F191" s="27" t="s">
        <v>1453</v>
      </c>
      <c r="H191" s="27" t="s">
        <v>1454</v>
      </c>
      <c r="J191" s="27" t="s">
        <v>18547</v>
      </c>
      <c r="L191" s="27" t="s">
        <v>18548</v>
      </c>
      <c r="M191" s="27" t="s">
        <v>18549</v>
      </c>
      <c r="N191" s="27" t="s">
        <v>764</v>
      </c>
      <c r="P191" s="27" t="s">
        <v>18572</v>
      </c>
      <c r="Q191" s="26" t="str">
        <f>HYPERLINK("https://ictv.global/taxonomy/taxondetails?taxnode_id=202521078&amp;ictv_id=ICTV202421078","ICTV202421078")</f>
        <v>ICTV202421078</v>
      </c>
      <c r="R191" t="s">
        <v>579</v>
      </c>
      <c r="S191" t="s">
        <v>823</v>
      </c>
      <c r="T191">
        <v>40</v>
      </c>
      <c r="U191" s="26" t="str">
        <f t="shared" si="8"/>
        <v>2024.045B.Autographivirales.zip</v>
      </c>
    </row>
    <row r="192" spans="1:21">
      <c r="A192">
        <v>191</v>
      </c>
      <c r="B192" s="27" t="s">
        <v>1449</v>
      </c>
      <c r="D192" s="27" t="s">
        <v>1450</v>
      </c>
      <c r="F192" s="27" t="s">
        <v>1453</v>
      </c>
      <c r="H192" s="27" t="s">
        <v>1454</v>
      </c>
      <c r="J192" s="27" t="s">
        <v>18547</v>
      </c>
      <c r="L192" s="27" t="s">
        <v>18548</v>
      </c>
      <c r="M192" s="27" t="s">
        <v>18549</v>
      </c>
      <c r="N192" s="27" t="s">
        <v>764</v>
      </c>
      <c r="P192" s="27" t="s">
        <v>18573</v>
      </c>
      <c r="Q192" s="26" t="str">
        <f>HYPERLINK("https://ictv.global/taxonomy/taxondetails?taxnode_id=202521085&amp;ictv_id=ICTV202421085","ICTV202421085")</f>
        <v>ICTV202421085</v>
      </c>
      <c r="R192" t="s">
        <v>579</v>
      </c>
      <c r="S192" t="s">
        <v>823</v>
      </c>
      <c r="T192">
        <v>40</v>
      </c>
      <c r="U192" s="26" t="str">
        <f t="shared" si="8"/>
        <v>2024.045B.Autographivirales.zip</v>
      </c>
    </row>
    <row r="193" spans="1:21">
      <c r="A193">
        <v>192</v>
      </c>
      <c r="B193" s="27" t="s">
        <v>1449</v>
      </c>
      <c r="D193" s="27" t="s">
        <v>1450</v>
      </c>
      <c r="F193" s="27" t="s">
        <v>1453</v>
      </c>
      <c r="H193" s="27" t="s">
        <v>1454</v>
      </c>
      <c r="J193" s="27" t="s">
        <v>18547</v>
      </c>
      <c r="L193" s="27" t="s">
        <v>18548</v>
      </c>
      <c r="M193" s="27" t="s">
        <v>18549</v>
      </c>
      <c r="N193" s="27" t="s">
        <v>764</v>
      </c>
      <c r="P193" s="27" t="s">
        <v>4495</v>
      </c>
      <c r="Q193" s="26" t="str">
        <f>HYPERLINK("https://ictv.global/taxonomy/taxondetails?taxnode_id=202508242&amp;ictv_id=ICTV201908242","ICTV201908242")</f>
        <v>ICTV201908242</v>
      </c>
      <c r="R193" t="s">
        <v>579</v>
      </c>
      <c r="S193" t="s">
        <v>22763</v>
      </c>
      <c r="T193">
        <v>40</v>
      </c>
      <c r="U193" s="26" t="str">
        <f t="shared" si="8"/>
        <v>2024.045B.Autographivirales.zip</v>
      </c>
    </row>
    <row r="194" spans="1:21">
      <c r="A194">
        <v>193</v>
      </c>
      <c r="B194" s="27" t="s">
        <v>1449</v>
      </c>
      <c r="D194" s="27" t="s">
        <v>1450</v>
      </c>
      <c r="F194" s="27" t="s">
        <v>1453</v>
      </c>
      <c r="H194" s="27" t="s">
        <v>1454</v>
      </c>
      <c r="J194" s="27" t="s">
        <v>18547</v>
      </c>
      <c r="L194" s="27" t="s">
        <v>18548</v>
      </c>
      <c r="M194" s="27" t="s">
        <v>18549</v>
      </c>
      <c r="N194" s="27" t="s">
        <v>764</v>
      </c>
      <c r="P194" s="27" t="s">
        <v>4496</v>
      </c>
      <c r="Q194" s="26" t="str">
        <f>HYPERLINK("https://ictv.global/taxonomy/taxondetails?taxnode_id=202508243&amp;ictv_id=ICTV201908243","ICTV201908243")</f>
        <v>ICTV201908243</v>
      </c>
      <c r="R194" t="s">
        <v>579</v>
      </c>
      <c r="S194" t="s">
        <v>22763</v>
      </c>
      <c r="T194">
        <v>40</v>
      </c>
      <c r="U194" s="26" t="str">
        <f t="shared" si="8"/>
        <v>2024.045B.Autographivirales.zip</v>
      </c>
    </row>
    <row r="195" spans="1:21">
      <c r="A195">
        <v>194</v>
      </c>
      <c r="B195" s="27" t="s">
        <v>1449</v>
      </c>
      <c r="D195" s="27" t="s">
        <v>1450</v>
      </c>
      <c r="F195" s="27" t="s">
        <v>1453</v>
      </c>
      <c r="H195" s="27" t="s">
        <v>1454</v>
      </c>
      <c r="J195" s="27" t="s">
        <v>18547</v>
      </c>
      <c r="L195" s="27" t="s">
        <v>18548</v>
      </c>
      <c r="M195" s="27" t="s">
        <v>18549</v>
      </c>
      <c r="N195" s="27" t="s">
        <v>18574</v>
      </c>
      <c r="P195" s="27" t="s">
        <v>18575</v>
      </c>
      <c r="Q195" s="26" t="str">
        <f>HYPERLINK("https://ictv.global/taxonomy/taxondetails?taxnode_id=202521134&amp;ictv_id=ICTV202421134","ICTV202421134")</f>
        <v>ICTV202421134</v>
      </c>
      <c r="R195" t="s">
        <v>579</v>
      </c>
      <c r="S195" t="s">
        <v>823</v>
      </c>
      <c r="T195">
        <v>40</v>
      </c>
      <c r="U195" s="26" t="str">
        <f t="shared" si="8"/>
        <v>2024.045B.Autographivirales.zip</v>
      </c>
    </row>
    <row r="196" spans="1:21">
      <c r="A196">
        <v>195</v>
      </c>
      <c r="B196" s="27" t="s">
        <v>1449</v>
      </c>
      <c r="D196" s="27" t="s">
        <v>1450</v>
      </c>
      <c r="F196" s="27" t="s">
        <v>1453</v>
      </c>
      <c r="H196" s="27" t="s">
        <v>1454</v>
      </c>
      <c r="J196" s="27" t="s">
        <v>18547</v>
      </c>
      <c r="L196" s="27" t="s">
        <v>18548</v>
      </c>
      <c r="M196" s="27" t="s">
        <v>18549</v>
      </c>
      <c r="N196" s="27" t="s">
        <v>18574</v>
      </c>
      <c r="P196" s="27" t="s">
        <v>18576</v>
      </c>
      <c r="Q196" s="26" t="str">
        <f>HYPERLINK("https://ictv.global/taxonomy/taxondetails?taxnode_id=202521138&amp;ictv_id=ICTV202421138","ICTV202421138")</f>
        <v>ICTV202421138</v>
      </c>
      <c r="R196" t="s">
        <v>579</v>
      </c>
      <c r="S196" t="s">
        <v>823</v>
      </c>
      <c r="T196">
        <v>40</v>
      </c>
      <c r="U196" s="26" t="str">
        <f t="shared" si="8"/>
        <v>2024.045B.Autographivirales.zip</v>
      </c>
    </row>
    <row r="197" spans="1:21">
      <c r="A197">
        <v>196</v>
      </c>
      <c r="B197" s="27" t="s">
        <v>1449</v>
      </c>
      <c r="D197" s="27" t="s">
        <v>1450</v>
      </c>
      <c r="F197" s="27" t="s">
        <v>1453</v>
      </c>
      <c r="H197" s="27" t="s">
        <v>1454</v>
      </c>
      <c r="J197" s="27" t="s">
        <v>18547</v>
      </c>
      <c r="L197" s="27" t="s">
        <v>18548</v>
      </c>
      <c r="M197" s="27" t="s">
        <v>18549</v>
      </c>
      <c r="N197" s="27" t="s">
        <v>18574</v>
      </c>
      <c r="P197" s="27" t="s">
        <v>18577</v>
      </c>
      <c r="Q197" s="26" t="str">
        <f>HYPERLINK("https://ictv.global/taxonomy/taxondetails?taxnode_id=202521137&amp;ictv_id=ICTV202421137","ICTV202421137")</f>
        <v>ICTV202421137</v>
      </c>
      <c r="R197" t="s">
        <v>579</v>
      </c>
      <c r="S197" t="s">
        <v>823</v>
      </c>
      <c r="T197">
        <v>40</v>
      </c>
      <c r="U197" s="26" t="str">
        <f t="shared" si="8"/>
        <v>2024.045B.Autographivirales.zip</v>
      </c>
    </row>
    <row r="198" spans="1:21">
      <c r="A198">
        <v>197</v>
      </c>
      <c r="B198" s="27" t="s">
        <v>1449</v>
      </c>
      <c r="D198" s="27" t="s">
        <v>1450</v>
      </c>
      <c r="F198" s="27" t="s">
        <v>1453</v>
      </c>
      <c r="H198" s="27" t="s">
        <v>1454</v>
      </c>
      <c r="J198" s="27" t="s">
        <v>18547</v>
      </c>
      <c r="L198" s="27" t="s">
        <v>18548</v>
      </c>
      <c r="M198" s="27" t="s">
        <v>18549</v>
      </c>
      <c r="N198" s="27" t="s">
        <v>18574</v>
      </c>
      <c r="P198" s="27" t="s">
        <v>18578</v>
      </c>
      <c r="Q198" s="26" t="str">
        <f>HYPERLINK("https://ictv.global/taxonomy/taxondetails?taxnode_id=202521135&amp;ictv_id=ICTV202421135","ICTV202421135")</f>
        <v>ICTV202421135</v>
      </c>
      <c r="R198" t="s">
        <v>579</v>
      </c>
      <c r="S198" t="s">
        <v>823</v>
      </c>
      <c r="T198">
        <v>40</v>
      </c>
      <c r="U198" s="26" t="str">
        <f t="shared" si="8"/>
        <v>2024.045B.Autographivirales.zip</v>
      </c>
    </row>
    <row r="199" spans="1:21">
      <c r="A199">
        <v>198</v>
      </c>
      <c r="B199" s="27" t="s">
        <v>1449</v>
      </c>
      <c r="D199" s="27" t="s">
        <v>1450</v>
      </c>
      <c r="F199" s="27" t="s">
        <v>1453</v>
      </c>
      <c r="H199" s="27" t="s">
        <v>1454</v>
      </c>
      <c r="J199" s="27" t="s">
        <v>18547</v>
      </c>
      <c r="L199" s="27" t="s">
        <v>18548</v>
      </c>
      <c r="M199" s="27" t="s">
        <v>18549</v>
      </c>
      <c r="N199" s="27" t="s">
        <v>18574</v>
      </c>
      <c r="P199" s="27" t="s">
        <v>18579</v>
      </c>
      <c r="Q199" s="26" t="str">
        <f>HYPERLINK("https://ictv.global/taxonomy/taxondetails?taxnode_id=202521136&amp;ictv_id=ICTV202421136","ICTV202421136")</f>
        <v>ICTV202421136</v>
      </c>
      <c r="R199" t="s">
        <v>579</v>
      </c>
      <c r="S199" t="s">
        <v>823</v>
      </c>
      <c r="T199">
        <v>40</v>
      </c>
      <c r="U199" s="26" t="str">
        <f t="shared" si="8"/>
        <v>2024.045B.Autographivirales.zip</v>
      </c>
    </row>
    <row r="200" spans="1:21">
      <c r="A200">
        <v>199</v>
      </c>
      <c r="B200" s="27" t="s">
        <v>1449</v>
      </c>
      <c r="D200" s="27" t="s">
        <v>1450</v>
      </c>
      <c r="F200" s="27" t="s">
        <v>1453</v>
      </c>
      <c r="H200" s="27" t="s">
        <v>1454</v>
      </c>
      <c r="J200" s="27" t="s">
        <v>18547</v>
      </c>
      <c r="L200" s="27" t="s">
        <v>18548</v>
      </c>
      <c r="M200" s="27" t="s">
        <v>1472</v>
      </c>
      <c r="N200" s="27" t="s">
        <v>1474</v>
      </c>
      <c r="P200" s="27" t="s">
        <v>4261</v>
      </c>
      <c r="Q200" s="26" t="str">
        <f>HYPERLINK("https://ictv.global/taxonomy/taxondetails?taxnode_id=202508612&amp;ictv_id=ICTV201908612","ICTV201908612")</f>
        <v>ICTV201908612</v>
      </c>
      <c r="R200" t="s">
        <v>579</v>
      </c>
      <c r="S200" t="s">
        <v>22763</v>
      </c>
      <c r="T200">
        <v>40</v>
      </c>
      <c r="U200" s="26" t="str">
        <f t="shared" si="8"/>
        <v>2024.045B.Autographivirales.zip</v>
      </c>
    </row>
    <row r="201" spans="1:21">
      <c r="A201">
        <v>200</v>
      </c>
      <c r="B201" s="27" t="s">
        <v>1449</v>
      </c>
      <c r="D201" s="27" t="s">
        <v>1450</v>
      </c>
      <c r="F201" s="27" t="s">
        <v>1453</v>
      </c>
      <c r="H201" s="27" t="s">
        <v>1454</v>
      </c>
      <c r="J201" s="27" t="s">
        <v>18547</v>
      </c>
      <c r="L201" s="27" t="s">
        <v>18548</v>
      </c>
      <c r="M201" s="27" t="s">
        <v>1472</v>
      </c>
      <c r="N201" s="27" t="s">
        <v>1475</v>
      </c>
      <c r="P201" s="27" t="s">
        <v>18580</v>
      </c>
      <c r="Q201" s="26" t="str">
        <f>HYPERLINK("https://ictv.global/taxonomy/taxondetails?taxnode_id=202521096&amp;ictv_id=ICTV202421096","ICTV202421096")</f>
        <v>ICTV202421096</v>
      </c>
      <c r="R201" t="s">
        <v>579</v>
      </c>
      <c r="S201" t="s">
        <v>823</v>
      </c>
      <c r="T201">
        <v>40</v>
      </c>
      <c r="U201" s="26" t="str">
        <f t="shared" si="8"/>
        <v>2024.045B.Autographivirales.zip</v>
      </c>
    </row>
    <row r="202" spans="1:21">
      <c r="A202">
        <v>201</v>
      </c>
      <c r="B202" s="27" t="s">
        <v>1449</v>
      </c>
      <c r="D202" s="27" t="s">
        <v>1450</v>
      </c>
      <c r="F202" s="27" t="s">
        <v>1453</v>
      </c>
      <c r="H202" s="27" t="s">
        <v>1454</v>
      </c>
      <c r="J202" s="27" t="s">
        <v>18547</v>
      </c>
      <c r="L202" s="27" t="s">
        <v>18548</v>
      </c>
      <c r="M202" s="27" t="s">
        <v>1472</v>
      </c>
      <c r="N202" s="27" t="s">
        <v>1475</v>
      </c>
      <c r="P202" s="27" t="s">
        <v>4262</v>
      </c>
      <c r="Q202" s="26" t="str">
        <f>HYPERLINK("https://ictv.global/taxonomy/taxondetails?taxnode_id=202508597&amp;ictv_id=ICTV201908597","ICTV201908597")</f>
        <v>ICTV201908597</v>
      </c>
      <c r="R202" t="s">
        <v>579</v>
      </c>
      <c r="S202" t="s">
        <v>22763</v>
      </c>
      <c r="T202">
        <v>40</v>
      </c>
      <c r="U202" s="26" t="str">
        <f t="shared" ref="U202:U233" si="9">HYPERLINK("https://ictv.global/ictv/proposals/2024.045B.Autographivirales.zip","2024.045B.Autographivirales.zip")</f>
        <v>2024.045B.Autographivirales.zip</v>
      </c>
    </row>
    <row r="203" spans="1:21">
      <c r="A203">
        <v>202</v>
      </c>
      <c r="B203" s="27" t="s">
        <v>1449</v>
      </c>
      <c r="D203" s="27" t="s">
        <v>1450</v>
      </c>
      <c r="F203" s="27" t="s">
        <v>1453</v>
      </c>
      <c r="H203" s="27" t="s">
        <v>1454</v>
      </c>
      <c r="J203" s="27" t="s">
        <v>18547</v>
      </c>
      <c r="L203" s="27" t="s">
        <v>18548</v>
      </c>
      <c r="M203" s="27" t="s">
        <v>1472</v>
      </c>
      <c r="N203" s="27" t="s">
        <v>1475</v>
      </c>
      <c r="P203" s="27" t="s">
        <v>18581</v>
      </c>
      <c r="Q203" s="26" t="str">
        <f>HYPERLINK("https://ictv.global/taxonomy/taxondetails?taxnode_id=202521094&amp;ictv_id=ICTV202421094","ICTV202421094")</f>
        <v>ICTV202421094</v>
      </c>
      <c r="R203" t="s">
        <v>579</v>
      </c>
      <c r="S203" t="s">
        <v>823</v>
      </c>
      <c r="T203">
        <v>40</v>
      </c>
      <c r="U203" s="26" t="str">
        <f t="shared" si="9"/>
        <v>2024.045B.Autographivirales.zip</v>
      </c>
    </row>
    <row r="204" spans="1:21">
      <c r="A204">
        <v>203</v>
      </c>
      <c r="B204" s="27" t="s">
        <v>1449</v>
      </c>
      <c r="D204" s="27" t="s">
        <v>1450</v>
      </c>
      <c r="F204" s="27" t="s">
        <v>1453</v>
      </c>
      <c r="H204" s="27" t="s">
        <v>1454</v>
      </c>
      <c r="J204" s="27" t="s">
        <v>18547</v>
      </c>
      <c r="L204" s="27" t="s">
        <v>18548</v>
      </c>
      <c r="M204" s="27" t="s">
        <v>1472</v>
      </c>
      <c r="N204" s="27" t="s">
        <v>1475</v>
      </c>
      <c r="P204" s="27" t="s">
        <v>4263</v>
      </c>
      <c r="Q204" s="26" t="str">
        <f>HYPERLINK("https://ictv.global/taxonomy/taxondetails?taxnode_id=202508596&amp;ictv_id=ICTV201908596","ICTV201908596")</f>
        <v>ICTV201908596</v>
      </c>
      <c r="R204" t="s">
        <v>579</v>
      </c>
      <c r="S204" t="s">
        <v>22763</v>
      </c>
      <c r="T204">
        <v>40</v>
      </c>
      <c r="U204" s="26" t="str">
        <f t="shared" si="9"/>
        <v>2024.045B.Autographivirales.zip</v>
      </c>
    </row>
    <row r="205" spans="1:21">
      <c r="A205">
        <v>204</v>
      </c>
      <c r="B205" s="27" t="s">
        <v>1449</v>
      </c>
      <c r="D205" s="27" t="s">
        <v>1450</v>
      </c>
      <c r="F205" s="27" t="s">
        <v>1453</v>
      </c>
      <c r="H205" s="27" t="s">
        <v>1454</v>
      </c>
      <c r="J205" s="27" t="s">
        <v>18547</v>
      </c>
      <c r="L205" s="27" t="s">
        <v>18548</v>
      </c>
      <c r="M205" s="27" t="s">
        <v>1472</v>
      </c>
      <c r="N205" s="27" t="s">
        <v>1475</v>
      </c>
      <c r="P205" s="27" t="s">
        <v>18582</v>
      </c>
      <c r="Q205" s="26" t="str">
        <f>HYPERLINK("https://ictv.global/taxonomy/taxondetails?taxnode_id=202521093&amp;ictv_id=ICTV202421093","ICTV202421093")</f>
        <v>ICTV202421093</v>
      </c>
      <c r="R205" t="s">
        <v>579</v>
      </c>
      <c r="S205" t="s">
        <v>823</v>
      </c>
      <c r="T205">
        <v>40</v>
      </c>
      <c r="U205" s="26" t="str">
        <f t="shared" si="9"/>
        <v>2024.045B.Autographivirales.zip</v>
      </c>
    </row>
    <row r="206" spans="1:21">
      <c r="A206">
        <v>205</v>
      </c>
      <c r="B206" s="27" t="s">
        <v>1449</v>
      </c>
      <c r="D206" s="27" t="s">
        <v>1450</v>
      </c>
      <c r="F206" s="27" t="s">
        <v>1453</v>
      </c>
      <c r="H206" s="27" t="s">
        <v>1454</v>
      </c>
      <c r="J206" s="27" t="s">
        <v>18547</v>
      </c>
      <c r="L206" s="27" t="s">
        <v>18548</v>
      </c>
      <c r="M206" s="27" t="s">
        <v>1472</v>
      </c>
      <c r="N206" s="27" t="s">
        <v>1475</v>
      </c>
      <c r="P206" s="27" t="s">
        <v>18583</v>
      </c>
      <c r="Q206" s="26" t="str">
        <f>HYPERLINK("https://ictv.global/taxonomy/taxondetails?taxnode_id=202521095&amp;ictv_id=ICTV202421095","ICTV202421095")</f>
        <v>ICTV202421095</v>
      </c>
      <c r="R206" t="s">
        <v>579</v>
      </c>
      <c r="S206" t="s">
        <v>823</v>
      </c>
      <c r="T206">
        <v>40</v>
      </c>
      <c r="U206" s="26" t="str">
        <f t="shared" si="9"/>
        <v>2024.045B.Autographivirales.zip</v>
      </c>
    </row>
    <row r="207" spans="1:21">
      <c r="A207">
        <v>206</v>
      </c>
      <c r="B207" s="27" t="s">
        <v>1449</v>
      </c>
      <c r="D207" s="27" t="s">
        <v>1450</v>
      </c>
      <c r="F207" s="27" t="s">
        <v>1453</v>
      </c>
      <c r="H207" s="27" t="s">
        <v>1454</v>
      </c>
      <c r="J207" s="27" t="s">
        <v>18547</v>
      </c>
      <c r="L207" s="27" t="s">
        <v>18548</v>
      </c>
      <c r="M207" s="27" t="s">
        <v>1472</v>
      </c>
      <c r="N207" s="27" t="s">
        <v>1475</v>
      </c>
      <c r="P207" s="27" t="s">
        <v>18584</v>
      </c>
      <c r="Q207" s="26" t="str">
        <f>HYPERLINK("https://ictv.global/taxonomy/taxondetails?taxnode_id=202521098&amp;ictv_id=ICTV202421098","ICTV202421098")</f>
        <v>ICTV202421098</v>
      </c>
      <c r="R207" t="s">
        <v>579</v>
      </c>
      <c r="S207" t="s">
        <v>823</v>
      </c>
      <c r="T207">
        <v>40</v>
      </c>
      <c r="U207" s="26" t="str">
        <f t="shared" si="9"/>
        <v>2024.045B.Autographivirales.zip</v>
      </c>
    </row>
    <row r="208" spans="1:21">
      <c r="A208">
        <v>207</v>
      </c>
      <c r="B208" s="27" t="s">
        <v>1449</v>
      </c>
      <c r="D208" s="27" t="s">
        <v>1450</v>
      </c>
      <c r="F208" s="27" t="s">
        <v>1453</v>
      </c>
      <c r="H208" s="27" t="s">
        <v>1454</v>
      </c>
      <c r="J208" s="27" t="s">
        <v>18547</v>
      </c>
      <c r="L208" s="27" t="s">
        <v>18548</v>
      </c>
      <c r="M208" s="27" t="s">
        <v>1472</v>
      </c>
      <c r="N208" s="27" t="s">
        <v>1475</v>
      </c>
      <c r="P208" s="27" t="s">
        <v>18585</v>
      </c>
      <c r="Q208" s="26" t="str">
        <f>HYPERLINK("https://ictv.global/taxonomy/taxondetails?taxnode_id=202521097&amp;ictv_id=ICTV202421097","ICTV202421097")</f>
        <v>ICTV202421097</v>
      </c>
      <c r="R208" t="s">
        <v>579</v>
      </c>
      <c r="S208" t="s">
        <v>823</v>
      </c>
      <c r="T208">
        <v>40</v>
      </c>
      <c r="U208" s="26" t="str">
        <f t="shared" si="9"/>
        <v>2024.045B.Autographivirales.zip</v>
      </c>
    </row>
    <row r="209" spans="1:21">
      <c r="A209">
        <v>208</v>
      </c>
      <c r="B209" s="27" t="s">
        <v>1449</v>
      </c>
      <c r="D209" s="27" t="s">
        <v>1450</v>
      </c>
      <c r="F209" s="27" t="s">
        <v>1453</v>
      </c>
      <c r="H209" s="27" t="s">
        <v>1454</v>
      </c>
      <c r="J209" s="27" t="s">
        <v>18547</v>
      </c>
      <c r="L209" s="27" t="s">
        <v>18548</v>
      </c>
      <c r="M209" s="27" t="s">
        <v>1472</v>
      </c>
      <c r="N209" s="27" t="s">
        <v>18586</v>
      </c>
      <c r="P209" s="27" t="s">
        <v>18587</v>
      </c>
      <c r="Q209" s="26" t="str">
        <f>HYPERLINK("https://ictv.global/taxonomy/taxondetails?taxnode_id=202521100&amp;ictv_id=ICTV202421100","ICTV202421100")</f>
        <v>ICTV202421100</v>
      </c>
      <c r="R209" t="s">
        <v>579</v>
      </c>
      <c r="S209" t="s">
        <v>823</v>
      </c>
      <c r="T209">
        <v>40</v>
      </c>
      <c r="U209" s="26" t="str">
        <f t="shared" si="9"/>
        <v>2024.045B.Autographivirales.zip</v>
      </c>
    </row>
    <row r="210" spans="1:21">
      <c r="A210">
        <v>209</v>
      </c>
      <c r="B210" s="27" t="s">
        <v>1449</v>
      </c>
      <c r="D210" s="27" t="s">
        <v>1450</v>
      </c>
      <c r="F210" s="27" t="s">
        <v>1453</v>
      </c>
      <c r="H210" s="27" t="s">
        <v>1454</v>
      </c>
      <c r="J210" s="27" t="s">
        <v>18547</v>
      </c>
      <c r="L210" s="27" t="s">
        <v>18548</v>
      </c>
      <c r="M210" s="27" t="s">
        <v>1472</v>
      </c>
      <c r="N210" s="27" t="s">
        <v>18586</v>
      </c>
      <c r="P210" s="27" t="s">
        <v>18588</v>
      </c>
      <c r="Q210" s="26" t="str">
        <f>HYPERLINK("https://ictv.global/taxonomy/taxondetails?taxnode_id=202521099&amp;ictv_id=ICTV202421099","ICTV202421099")</f>
        <v>ICTV202421099</v>
      </c>
      <c r="R210" t="s">
        <v>579</v>
      </c>
      <c r="S210" t="s">
        <v>823</v>
      </c>
      <c r="T210">
        <v>40</v>
      </c>
      <c r="U210" s="26" t="str">
        <f t="shared" si="9"/>
        <v>2024.045B.Autographivirales.zip</v>
      </c>
    </row>
    <row r="211" spans="1:21">
      <c r="A211">
        <v>210</v>
      </c>
      <c r="B211" s="27" t="s">
        <v>1449</v>
      </c>
      <c r="D211" s="27" t="s">
        <v>1450</v>
      </c>
      <c r="F211" s="27" t="s">
        <v>1453</v>
      </c>
      <c r="H211" s="27" t="s">
        <v>1454</v>
      </c>
      <c r="J211" s="27" t="s">
        <v>18547</v>
      </c>
      <c r="L211" s="27" t="s">
        <v>18548</v>
      </c>
      <c r="M211" s="27" t="s">
        <v>1472</v>
      </c>
      <c r="N211" s="27" t="s">
        <v>1476</v>
      </c>
      <c r="P211" s="27" t="s">
        <v>4264</v>
      </c>
      <c r="Q211" s="26" t="str">
        <f>HYPERLINK("https://ictv.global/taxonomy/taxondetails?taxnode_id=202508606&amp;ictv_id=ICTV201908606","ICTV201908606")</f>
        <v>ICTV201908606</v>
      </c>
      <c r="R211" t="s">
        <v>579</v>
      </c>
      <c r="S211" t="s">
        <v>22763</v>
      </c>
      <c r="T211">
        <v>40</v>
      </c>
      <c r="U211" s="26" t="str">
        <f t="shared" si="9"/>
        <v>2024.045B.Autographivirales.zip</v>
      </c>
    </row>
    <row r="212" spans="1:21">
      <c r="A212">
        <v>211</v>
      </c>
      <c r="B212" s="27" t="s">
        <v>1449</v>
      </c>
      <c r="D212" s="27" t="s">
        <v>1450</v>
      </c>
      <c r="F212" s="27" t="s">
        <v>1453</v>
      </c>
      <c r="H212" s="27" t="s">
        <v>1454</v>
      </c>
      <c r="J212" s="27" t="s">
        <v>18547</v>
      </c>
      <c r="L212" s="27" t="s">
        <v>18548</v>
      </c>
      <c r="M212" s="27" t="s">
        <v>1472</v>
      </c>
      <c r="N212" s="27" t="s">
        <v>1476</v>
      </c>
      <c r="P212" s="27" t="s">
        <v>18589</v>
      </c>
      <c r="Q212" s="26" t="str">
        <f>HYPERLINK("https://ictv.global/taxonomy/taxondetails?taxnode_id=202521104&amp;ictv_id=ICTV202421104","ICTV202421104")</f>
        <v>ICTV202421104</v>
      </c>
      <c r="R212" t="s">
        <v>579</v>
      </c>
      <c r="S212" t="s">
        <v>823</v>
      </c>
      <c r="T212">
        <v>40</v>
      </c>
      <c r="U212" s="26" t="str">
        <f t="shared" si="9"/>
        <v>2024.045B.Autographivirales.zip</v>
      </c>
    </row>
    <row r="213" spans="1:21">
      <c r="A213">
        <v>212</v>
      </c>
      <c r="B213" s="27" t="s">
        <v>1449</v>
      </c>
      <c r="D213" s="27" t="s">
        <v>1450</v>
      </c>
      <c r="F213" s="27" t="s">
        <v>1453</v>
      </c>
      <c r="H213" s="27" t="s">
        <v>1454</v>
      </c>
      <c r="J213" s="27" t="s">
        <v>18547</v>
      </c>
      <c r="L213" s="27" t="s">
        <v>18548</v>
      </c>
      <c r="M213" s="27" t="s">
        <v>1472</v>
      </c>
      <c r="N213" s="27" t="s">
        <v>1476</v>
      </c>
      <c r="P213" s="27" t="s">
        <v>18590</v>
      </c>
      <c r="Q213" s="26" t="str">
        <f>HYPERLINK("https://ictv.global/taxonomy/taxondetails?taxnode_id=202521101&amp;ictv_id=ICTV202421101","ICTV202421101")</f>
        <v>ICTV202421101</v>
      </c>
      <c r="R213" t="s">
        <v>579</v>
      </c>
      <c r="S213" t="s">
        <v>823</v>
      </c>
      <c r="T213">
        <v>40</v>
      </c>
      <c r="U213" s="26" t="str">
        <f t="shared" si="9"/>
        <v>2024.045B.Autographivirales.zip</v>
      </c>
    </row>
    <row r="214" spans="1:21">
      <c r="A214">
        <v>213</v>
      </c>
      <c r="B214" s="27" t="s">
        <v>1449</v>
      </c>
      <c r="D214" s="27" t="s">
        <v>1450</v>
      </c>
      <c r="F214" s="27" t="s">
        <v>1453</v>
      </c>
      <c r="H214" s="27" t="s">
        <v>1454</v>
      </c>
      <c r="J214" s="27" t="s">
        <v>18547</v>
      </c>
      <c r="L214" s="27" t="s">
        <v>18548</v>
      </c>
      <c r="M214" s="27" t="s">
        <v>1472</v>
      </c>
      <c r="N214" s="27" t="s">
        <v>1476</v>
      </c>
      <c r="P214" s="27" t="s">
        <v>4265</v>
      </c>
      <c r="Q214" s="26" t="str">
        <f>HYPERLINK("https://ictv.global/taxonomy/taxondetails?taxnode_id=202508607&amp;ictv_id=ICTV201908607","ICTV201908607")</f>
        <v>ICTV201908607</v>
      </c>
      <c r="R214" t="s">
        <v>579</v>
      </c>
      <c r="S214" t="s">
        <v>22763</v>
      </c>
      <c r="T214">
        <v>40</v>
      </c>
      <c r="U214" s="26" t="str">
        <f t="shared" si="9"/>
        <v>2024.045B.Autographivirales.zip</v>
      </c>
    </row>
    <row r="215" spans="1:21">
      <c r="A215">
        <v>214</v>
      </c>
      <c r="B215" s="27" t="s">
        <v>1449</v>
      </c>
      <c r="D215" s="27" t="s">
        <v>1450</v>
      </c>
      <c r="F215" s="27" t="s">
        <v>1453</v>
      </c>
      <c r="H215" s="27" t="s">
        <v>1454</v>
      </c>
      <c r="J215" s="27" t="s">
        <v>18547</v>
      </c>
      <c r="L215" s="27" t="s">
        <v>18548</v>
      </c>
      <c r="M215" s="27" t="s">
        <v>1472</v>
      </c>
      <c r="N215" s="27" t="s">
        <v>1476</v>
      </c>
      <c r="P215" s="27" t="s">
        <v>18591</v>
      </c>
      <c r="Q215" s="26" t="str">
        <f>HYPERLINK("https://ictv.global/taxonomy/taxondetails?taxnode_id=202521103&amp;ictv_id=ICTV202421103","ICTV202421103")</f>
        <v>ICTV202421103</v>
      </c>
      <c r="R215" t="s">
        <v>579</v>
      </c>
      <c r="S215" t="s">
        <v>823</v>
      </c>
      <c r="T215">
        <v>40</v>
      </c>
      <c r="U215" s="26" t="str">
        <f t="shared" si="9"/>
        <v>2024.045B.Autographivirales.zip</v>
      </c>
    </row>
    <row r="216" spans="1:21">
      <c r="A216">
        <v>215</v>
      </c>
      <c r="B216" s="27" t="s">
        <v>1449</v>
      </c>
      <c r="D216" s="27" t="s">
        <v>1450</v>
      </c>
      <c r="F216" s="27" t="s">
        <v>1453</v>
      </c>
      <c r="H216" s="27" t="s">
        <v>1454</v>
      </c>
      <c r="J216" s="27" t="s">
        <v>18547</v>
      </c>
      <c r="L216" s="27" t="s">
        <v>18548</v>
      </c>
      <c r="M216" s="27" t="s">
        <v>1472</v>
      </c>
      <c r="N216" s="27" t="s">
        <v>1476</v>
      </c>
      <c r="P216" s="27" t="s">
        <v>18592</v>
      </c>
      <c r="Q216" s="26" t="str">
        <f>HYPERLINK("https://ictv.global/taxonomy/taxondetails?taxnode_id=202521102&amp;ictv_id=ICTV202421102","ICTV202421102")</f>
        <v>ICTV202421102</v>
      </c>
      <c r="R216" t="s">
        <v>579</v>
      </c>
      <c r="S216" t="s">
        <v>823</v>
      </c>
      <c r="T216">
        <v>40</v>
      </c>
      <c r="U216" s="26" t="str">
        <f t="shared" si="9"/>
        <v>2024.045B.Autographivirales.zip</v>
      </c>
    </row>
    <row r="217" spans="1:21">
      <c r="A217">
        <v>216</v>
      </c>
      <c r="B217" s="27" t="s">
        <v>1449</v>
      </c>
      <c r="D217" s="27" t="s">
        <v>1450</v>
      </c>
      <c r="F217" s="27" t="s">
        <v>1453</v>
      </c>
      <c r="H217" s="27" t="s">
        <v>1454</v>
      </c>
      <c r="J217" s="27" t="s">
        <v>18547</v>
      </c>
      <c r="L217" s="27" t="s">
        <v>18548</v>
      </c>
      <c r="M217" s="27" t="s">
        <v>1472</v>
      </c>
      <c r="N217" s="27" t="s">
        <v>18593</v>
      </c>
      <c r="P217" s="27" t="s">
        <v>18594</v>
      </c>
      <c r="Q217" s="26" t="str">
        <f>HYPERLINK("https://ictv.global/taxonomy/taxondetails?taxnode_id=202521106&amp;ictv_id=ICTV202421106","ICTV202421106")</f>
        <v>ICTV202421106</v>
      </c>
      <c r="R217" t="s">
        <v>579</v>
      </c>
      <c r="S217" t="s">
        <v>823</v>
      </c>
      <c r="T217">
        <v>40</v>
      </c>
      <c r="U217" s="26" t="str">
        <f t="shared" si="9"/>
        <v>2024.045B.Autographivirales.zip</v>
      </c>
    </row>
    <row r="218" spans="1:21">
      <c r="A218">
        <v>217</v>
      </c>
      <c r="B218" s="27" t="s">
        <v>1449</v>
      </c>
      <c r="D218" s="27" t="s">
        <v>1450</v>
      </c>
      <c r="F218" s="27" t="s">
        <v>1453</v>
      </c>
      <c r="H218" s="27" t="s">
        <v>1454</v>
      </c>
      <c r="J218" s="27" t="s">
        <v>18547</v>
      </c>
      <c r="L218" s="27" t="s">
        <v>18548</v>
      </c>
      <c r="M218" s="27" t="s">
        <v>1472</v>
      </c>
      <c r="N218" s="27" t="s">
        <v>18593</v>
      </c>
      <c r="P218" s="27" t="s">
        <v>18595</v>
      </c>
      <c r="Q218" s="26" t="str">
        <f>HYPERLINK("https://ictv.global/taxonomy/taxondetails?taxnode_id=202521108&amp;ictv_id=ICTV202421108","ICTV202421108")</f>
        <v>ICTV202421108</v>
      </c>
      <c r="R218" t="s">
        <v>579</v>
      </c>
      <c r="S218" t="s">
        <v>823</v>
      </c>
      <c r="T218">
        <v>40</v>
      </c>
      <c r="U218" s="26" t="str">
        <f t="shared" si="9"/>
        <v>2024.045B.Autographivirales.zip</v>
      </c>
    </row>
    <row r="219" spans="1:21">
      <c r="A219">
        <v>218</v>
      </c>
      <c r="B219" s="27" t="s">
        <v>1449</v>
      </c>
      <c r="D219" s="27" t="s">
        <v>1450</v>
      </c>
      <c r="F219" s="27" t="s">
        <v>1453</v>
      </c>
      <c r="H219" s="27" t="s">
        <v>1454</v>
      </c>
      <c r="J219" s="27" t="s">
        <v>18547</v>
      </c>
      <c r="L219" s="27" t="s">
        <v>18548</v>
      </c>
      <c r="M219" s="27" t="s">
        <v>1472</v>
      </c>
      <c r="N219" s="27" t="s">
        <v>18593</v>
      </c>
      <c r="P219" s="27" t="s">
        <v>18596</v>
      </c>
      <c r="Q219" s="26" t="str">
        <f>HYPERLINK("https://ictv.global/taxonomy/taxondetails?taxnode_id=202521107&amp;ictv_id=ICTV202421107","ICTV202421107")</f>
        <v>ICTV202421107</v>
      </c>
      <c r="R219" t="s">
        <v>579</v>
      </c>
      <c r="S219" t="s">
        <v>823</v>
      </c>
      <c r="T219">
        <v>40</v>
      </c>
      <c r="U219" s="26" t="str">
        <f t="shared" si="9"/>
        <v>2024.045B.Autographivirales.zip</v>
      </c>
    </row>
    <row r="220" spans="1:21">
      <c r="A220">
        <v>219</v>
      </c>
      <c r="B220" s="27" t="s">
        <v>1449</v>
      </c>
      <c r="D220" s="27" t="s">
        <v>1450</v>
      </c>
      <c r="F220" s="27" t="s">
        <v>1453</v>
      </c>
      <c r="H220" s="27" t="s">
        <v>1454</v>
      </c>
      <c r="J220" s="27" t="s">
        <v>18547</v>
      </c>
      <c r="L220" s="27" t="s">
        <v>18548</v>
      </c>
      <c r="M220" s="27" t="s">
        <v>1472</v>
      </c>
      <c r="N220" s="27" t="s">
        <v>18597</v>
      </c>
      <c r="P220" s="27" t="s">
        <v>18598</v>
      </c>
      <c r="Q220" s="26" t="str">
        <f>HYPERLINK("https://ictv.global/taxonomy/taxondetails?taxnode_id=202521109&amp;ictv_id=ICTV202421109","ICTV202421109")</f>
        <v>ICTV202421109</v>
      </c>
      <c r="R220" t="s">
        <v>579</v>
      </c>
      <c r="S220" t="s">
        <v>823</v>
      </c>
      <c r="T220">
        <v>40</v>
      </c>
      <c r="U220" s="26" t="str">
        <f t="shared" si="9"/>
        <v>2024.045B.Autographivirales.zip</v>
      </c>
    </row>
    <row r="221" spans="1:21">
      <c r="A221">
        <v>220</v>
      </c>
      <c r="B221" s="27" t="s">
        <v>1449</v>
      </c>
      <c r="D221" s="27" t="s">
        <v>1450</v>
      </c>
      <c r="F221" s="27" t="s">
        <v>1453</v>
      </c>
      <c r="H221" s="27" t="s">
        <v>1454</v>
      </c>
      <c r="J221" s="27" t="s">
        <v>18547</v>
      </c>
      <c r="L221" s="27" t="s">
        <v>18548</v>
      </c>
      <c r="M221" s="27" t="s">
        <v>1472</v>
      </c>
      <c r="N221" s="27" t="s">
        <v>18599</v>
      </c>
      <c r="P221" s="27" t="s">
        <v>18600</v>
      </c>
      <c r="Q221" s="26" t="str">
        <f>HYPERLINK("https://ictv.global/taxonomy/taxondetails?taxnode_id=202521105&amp;ictv_id=ICTV202421105","ICTV202421105")</f>
        <v>ICTV202421105</v>
      </c>
      <c r="R221" t="s">
        <v>579</v>
      </c>
      <c r="S221" t="s">
        <v>823</v>
      </c>
      <c r="T221">
        <v>40</v>
      </c>
      <c r="U221" s="26" t="str">
        <f t="shared" si="9"/>
        <v>2024.045B.Autographivirales.zip</v>
      </c>
    </row>
    <row r="222" spans="1:21">
      <c r="A222">
        <v>221</v>
      </c>
      <c r="B222" s="27" t="s">
        <v>1449</v>
      </c>
      <c r="D222" s="27" t="s">
        <v>1450</v>
      </c>
      <c r="F222" s="27" t="s">
        <v>1453</v>
      </c>
      <c r="H222" s="27" t="s">
        <v>1454</v>
      </c>
      <c r="J222" s="27" t="s">
        <v>18547</v>
      </c>
      <c r="L222" s="27" t="s">
        <v>18548</v>
      </c>
      <c r="M222" s="27" t="s">
        <v>1472</v>
      </c>
      <c r="N222" s="27" t="s">
        <v>1477</v>
      </c>
      <c r="P222" s="27" t="s">
        <v>4266</v>
      </c>
      <c r="Q222" s="26" t="str">
        <f>HYPERLINK("https://ictv.global/taxonomy/taxondetails?taxnode_id=202508616&amp;ictv_id=ICTV201908616","ICTV201908616")</f>
        <v>ICTV201908616</v>
      </c>
      <c r="R222" t="s">
        <v>579</v>
      </c>
      <c r="S222" t="s">
        <v>22763</v>
      </c>
      <c r="T222">
        <v>40</v>
      </c>
      <c r="U222" s="26" t="str">
        <f t="shared" si="9"/>
        <v>2024.045B.Autographivirales.zip</v>
      </c>
    </row>
    <row r="223" spans="1:21">
      <c r="A223">
        <v>222</v>
      </c>
      <c r="B223" s="27" t="s">
        <v>1449</v>
      </c>
      <c r="D223" s="27" t="s">
        <v>1450</v>
      </c>
      <c r="F223" s="27" t="s">
        <v>1453</v>
      </c>
      <c r="H223" s="27" t="s">
        <v>1454</v>
      </c>
      <c r="J223" s="27" t="s">
        <v>18547</v>
      </c>
      <c r="L223" s="27" t="s">
        <v>18548</v>
      </c>
      <c r="M223" s="27" t="s">
        <v>1472</v>
      </c>
      <c r="N223" s="27" t="s">
        <v>1478</v>
      </c>
      <c r="P223" s="27" t="s">
        <v>4267</v>
      </c>
      <c r="Q223" s="26" t="str">
        <f>HYPERLINK("https://ictv.global/taxonomy/taxondetails?taxnode_id=202508614&amp;ictv_id=ICTV201908614","ICTV201908614")</f>
        <v>ICTV201908614</v>
      </c>
      <c r="R223" t="s">
        <v>579</v>
      </c>
      <c r="S223" t="s">
        <v>22763</v>
      </c>
      <c r="T223">
        <v>40</v>
      </c>
      <c r="U223" s="26" t="str">
        <f t="shared" si="9"/>
        <v>2024.045B.Autographivirales.zip</v>
      </c>
    </row>
    <row r="224" spans="1:21">
      <c r="A224">
        <v>223</v>
      </c>
      <c r="B224" s="27" t="s">
        <v>1449</v>
      </c>
      <c r="D224" s="27" t="s">
        <v>1450</v>
      </c>
      <c r="F224" s="27" t="s">
        <v>1453</v>
      </c>
      <c r="H224" s="27" t="s">
        <v>1454</v>
      </c>
      <c r="J224" s="27" t="s">
        <v>18547</v>
      </c>
      <c r="L224" s="27" t="s">
        <v>18548</v>
      </c>
      <c r="M224" s="27" t="s">
        <v>1472</v>
      </c>
      <c r="N224" s="27" t="s">
        <v>1479</v>
      </c>
      <c r="P224" s="27" t="s">
        <v>4268</v>
      </c>
      <c r="Q224" s="26" t="str">
        <f>HYPERLINK("https://ictv.global/taxonomy/taxondetails?taxnode_id=202508599&amp;ictv_id=ICTV201908599","ICTV201908599")</f>
        <v>ICTV201908599</v>
      </c>
      <c r="R224" t="s">
        <v>579</v>
      </c>
      <c r="S224" t="s">
        <v>22763</v>
      </c>
      <c r="T224">
        <v>40</v>
      </c>
      <c r="U224" s="26" t="str">
        <f t="shared" si="9"/>
        <v>2024.045B.Autographivirales.zip</v>
      </c>
    </row>
    <row r="225" spans="1:21">
      <c r="A225">
        <v>224</v>
      </c>
      <c r="B225" s="27" t="s">
        <v>1449</v>
      </c>
      <c r="D225" s="27" t="s">
        <v>1450</v>
      </c>
      <c r="F225" s="27" t="s">
        <v>1453</v>
      </c>
      <c r="H225" s="27" t="s">
        <v>1454</v>
      </c>
      <c r="J225" s="27" t="s">
        <v>18547</v>
      </c>
      <c r="L225" s="27" t="s">
        <v>18548</v>
      </c>
      <c r="M225" s="27" t="s">
        <v>1472</v>
      </c>
      <c r="N225" s="27" t="s">
        <v>1479</v>
      </c>
      <c r="P225" s="27" t="s">
        <v>4269</v>
      </c>
      <c r="Q225" s="26" t="str">
        <f>HYPERLINK("https://ictv.global/taxonomy/taxondetails?taxnode_id=202508600&amp;ictv_id=ICTV201908600","ICTV201908600")</f>
        <v>ICTV201908600</v>
      </c>
      <c r="R225" t="s">
        <v>579</v>
      </c>
      <c r="S225" t="s">
        <v>22763</v>
      </c>
      <c r="T225">
        <v>40</v>
      </c>
      <c r="U225" s="26" t="str">
        <f t="shared" si="9"/>
        <v>2024.045B.Autographivirales.zip</v>
      </c>
    </row>
    <row r="226" spans="1:21">
      <c r="A226">
        <v>225</v>
      </c>
      <c r="B226" s="27" t="s">
        <v>1449</v>
      </c>
      <c r="D226" s="27" t="s">
        <v>1450</v>
      </c>
      <c r="F226" s="27" t="s">
        <v>1453</v>
      </c>
      <c r="H226" s="27" t="s">
        <v>1454</v>
      </c>
      <c r="J226" s="27" t="s">
        <v>18547</v>
      </c>
      <c r="L226" s="27" t="s">
        <v>18548</v>
      </c>
      <c r="M226" s="27" t="s">
        <v>1472</v>
      </c>
      <c r="N226" s="27" t="s">
        <v>1480</v>
      </c>
      <c r="P226" s="27" t="s">
        <v>4270</v>
      </c>
      <c r="Q226" s="26" t="str">
        <f>HYPERLINK("https://ictv.global/taxonomy/taxondetails?taxnode_id=202508609&amp;ictv_id=ICTV201908609","ICTV201908609")</f>
        <v>ICTV201908609</v>
      </c>
      <c r="R226" t="s">
        <v>579</v>
      </c>
      <c r="S226" t="s">
        <v>22763</v>
      </c>
      <c r="T226">
        <v>40</v>
      </c>
      <c r="U226" s="26" t="str">
        <f t="shared" si="9"/>
        <v>2024.045B.Autographivirales.zip</v>
      </c>
    </row>
    <row r="227" spans="1:21">
      <c r="A227">
        <v>226</v>
      </c>
      <c r="B227" s="27" t="s">
        <v>1449</v>
      </c>
      <c r="D227" s="27" t="s">
        <v>1450</v>
      </c>
      <c r="F227" s="27" t="s">
        <v>1453</v>
      </c>
      <c r="H227" s="27" t="s">
        <v>1454</v>
      </c>
      <c r="J227" s="27" t="s">
        <v>18547</v>
      </c>
      <c r="L227" s="27" t="s">
        <v>18548</v>
      </c>
      <c r="M227" s="27" t="s">
        <v>1472</v>
      </c>
      <c r="N227" s="27" t="s">
        <v>1480</v>
      </c>
      <c r="P227" s="27" t="s">
        <v>4271</v>
      </c>
      <c r="Q227" s="26" t="str">
        <f>HYPERLINK("https://ictv.global/taxonomy/taxondetails?taxnode_id=202508610&amp;ictv_id=ICTV201908610","ICTV201908610")</f>
        <v>ICTV201908610</v>
      </c>
      <c r="R227" t="s">
        <v>579</v>
      </c>
      <c r="S227" t="s">
        <v>22763</v>
      </c>
      <c r="T227">
        <v>40</v>
      </c>
      <c r="U227" s="26" t="str">
        <f t="shared" si="9"/>
        <v>2024.045B.Autographivirales.zip</v>
      </c>
    </row>
    <row r="228" spans="1:21">
      <c r="A228">
        <v>227</v>
      </c>
      <c r="B228" s="27" t="s">
        <v>1449</v>
      </c>
      <c r="D228" s="27" t="s">
        <v>1450</v>
      </c>
      <c r="F228" s="27" t="s">
        <v>1453</v>
      </c>
      <c r="H228" s="27" t="s">
        <v>1454</v>
      </c>
      <c r="J228" s="27" t="s">
        <v>18547</v>
      </c>
      <c r="L228" s="27" t="s">
        <v>18548</v>
      </c>
      <c r="M228" s="27" t="s">
        <v>1487</v>
      </c>
      <c r="N228" s="27" t="s">
        <v>1489</v>
      </c>
      <c r="P228" s="27" t="s">
        <v>18601</v>
      </c>
      <c r="Q228" s="26" t="str">
        <f>HYPERLINK("https://ictv.global/taxonomy/taxondetails?taxnode_id=202521148&amp;ictv_id=ICTV202421148","ICTV202421148")</f>
        <v>ICTV202421148</v>
      </c>
      <c r="R228" t="s">
        <v>579</v>
      </c>
      <c r="S228" t="s">
        <v>823</v>
      </c>
      <c r="T228">
        <v>40</v>
      </c>
      <c r="U228" s="26" t="str">
        <f t="shared" si="9"/>
        <v>2024.045B.Autographivirales.zip</v>
      </c>
    </row>
    <row r="229" spans="1:21">
      <c r="A229">
        <v>228</v>
      </c>
      <c r="B229" s="27" t="s">
        <v>1449</v>
      </c>
      <c r="D229" s="27" t="s">
        <v>1450</v>
      </c>
      <c r="F229" s="27" t="s">
        <v>1453</v>
      </c>
      <c r="H229" s="27" t="s">
        <v>1454</v>
      </c>
      <c r="J229" s="27" t="s">
        <v>18547</v>
      </c>
      <c r="L229" s="27" t="s">
        <v>18548</v>
      </c>
      <c r="M229" s="27" t="s">
        <v>1487</v>
      </c>
      <c r="N229" s="27" t="s">
        <v>1489</v>
      </c>
      <c r="P229" s="27" t="s">
        <v>4293</v>
      </c>
      <c r="Q229" s="26" t="str">
        <f>HYPERLINK("https://ictv.global/taxonomy/taxondetails?taxnode_id=202508334&amp;ictv_id=ICTV201908334","ICTV201908334")</f>
        <v>ICTV201908334</v>
      </c>
      <c r="R229" t="s">
        <v>579</v>
      </c>
      <c r="S229" t="s">
        <v>22763</v>
      </c>
      <c r="T229">
        <v>40</v>
      </c>
      <c r="U229" s="26" t="str">
        <f t="shared" si="9"/>
        <v>2024.045B.Autographivirales.zip</v>
      </c>
    </row>
    <row r="230" spans="1:21">
      <c r="A230">
        <v>229</v>
      </c>
      <c r="B230" s="27" t="s">
        <v>1449</v>
      </c>
      <c r="D230" s="27" t="s">
        <v>1450</v>
      </c>
      <c r="F230" s="27" t="s">
        <v>1453</v>
      </c>
      <c r="H230" s="27" t="s">
        <v>1454</v>
      </c>
      <c r="J230" s="27" t="s">
        <v>18547</v>
      </c>
      <c r="L230" s="27" t="s">
        <v>18548</v>
      </c>
      <c r="M230" s="27" t="s">
        <v>1487</v>
      </c>
      <c r="N230" s="27" t="s">
        <v>1489</v>
      </c>
      <c r="P230" s="27" t="s">
        <v>4294</v>
      </c>
      <c r="Q230" s="26" t="str">
        <f>HYPERLINK("https://ictv.global/taxonomy/taxondetails?taxnode_id=202508335&amp;ictv_id=ICTV201908335","ICTV201908335")</f>
        <v>ICTV201908335</v>
      </c>
      <c r="R230" t="s">
        <v>579</v>
      </c>
      <c r="S230" t="s">
        <v>22763</v>
      </c>
      <c r="T230">
        <v>40</v>
      </c>
      <c r="U230" s="26" t="str">
        <f t="shared" si="9"/>
        <v>2024.045B.Autographivirales.zip</v>
      </c>
    </row>
    <row r="231" spans="1:21">
      <c r="A231">
        <v>230</v>
      </c>
      <c r="B231" s="27" t="s">
        <v>1449</v>
      </c>
      <c r="D231" s="27" t="s">
        <v>1450</v>
      </c>
      <c r="F231" s="27" t="s">
        <v>1453</v>
      </c>
      <c r="H231" s="27" t="s">
        <v>1454</v>
      </c>
      <c r="J231" s="27" t="s">
        <v>18547</v>
      </c>
      <c r="L231" s="27" t="s">
        <v>18548</v>
      </c>
      <c r="M231" s="27" t="s">
        <v>1487</v>
      </c>
      <c r="N231" s="27" t="s">
        <v>18602</v>
      </c>
      <c r="P231" s="27" t="s">
        <v>18603</v>
      </c>
      <c r="Q231" s="26" t="str">
        <f>HYPERLINK("https://ictv.global/taxonomy/taxondetails?taxnode_id=202521149&amp;ictv_id=ICTV202421149","ICTV202421149")</f>
        <v>ICTV202421149</v>
      </c>
      <c r="R231" t="s">
        <v>579</v>
      </c>
      <c r="S231" t="s">
        <v>823</v>
      </c>
      <c r="T231">
        <v>40</v>
      </c>
      <c r="U231" s="26" t="str">
        <f t="shared" si="9"/>
        <v>2024.045B.Autographivirales.zip</v>
      </c>
    </row>
    <row r="232" spans="1:21">
      <c r="A232">
        <v>231</v>
      </c>
      <c r="B232" s="27" t="s">
        <v>1449</v>
      </c>
      <c r="D232" s="27" t="s">
        <v>1450</v>
      </c>
      <c r="F232" s="27" t="s">
        <v>1453</v>
      </c>
      <c r="H232" s="27" t="s">
        <v>1454</v>
      </c>
      <c r="J232" s="27" t="s">
        <v>18547</v>
      </c>
      <c r="L232" s="27" t="s">
        <v>18548</v>
      </c>
      <c r="N232" s="27" t="s">
        <v>1473</v>
      </c>
      <c r="P232" s="27" t="s">
        <v>4258</v>
      </c>
      <c r="Q232" s="26" t="str">
        <f>HYPERLINK("https://ictv.global/taxonomy/taxondetails?taxnode_id=202508604&amp;ictv_id=ICTV201908604","ICTV201908604")</f>
        <v>ICTV201908604</v>
      </c>
      <c r="R232" t="s">
        <v>579</v>
      </c>
      <c r="S232" t="s">
        <v>22763</v>
      </c>
      <c r="T232">
        <v>40</v>
      </c>
      <c r="U232" s="26" t="str">
        <f t="shared" si="9"/>
        <v>2024.045B.Autographivirales.zip</v>
      </c>
    </row>
    <row r="233" spans="1:21">
      <c r="A233">
        <v>232</v>
      </c>
      <c r="B233" s="27" t="s">
        <v>1449</v>
      </c>
      <c r="D233" s="27" t="s">
        <v>1450</v>
      </c>
      <c r="F233" s="27" t="s">
        <v>1453</v>
      </c>
      <c r="H233" s="27" t="s">
        <v>1454</v>
      </c>
      <c r="J233" s="27" t="s">
        <v>18547</v>
      </c>
      <c r="L233" s="27" t="s">
        <v>18548</v>
      </c>
      <c r="N233" s="27" t="s">
        <v>1473</v>
      </c>
      <c r="P233" s="27" t="s">
        <v>4259</v>
      </c>
      <c r="Q233" s="26" t="str">
        <f>HYPERLINK("https://ictv.global/taxonomy/taxondetails?taxnode_id=202508602&amp;ictv_id=ICTV201908602","ICTV201908602")</f>
        <v>ICTV201908602</v>
      </c>
      <c r="R233" t="s">
        <v>579</v>
      </c>
      <c r="S233" t="s">
        <v>22763</v>
      </c>
      <c r="T233">
        <v>40</v>
      </c>
      <c r="U233" s="26" t="str">
        <f t="shared" si="9"/>
        <v>2024.045B.Autographivirales.zip</v>
      </c>
    </row>
    <row r="234" spans="1:21">
      <c r="A234">
        <v>233</v>
      </c>
      <c r="B234" s="27" t="s">
        <v>1449</v>
      </c>
      <c r="D234" s="27" t="s">
        <v>1450</v>
      </c>
      <c r="F234" s="27" t="s">
        <v>1453</v>
      </c>
      <c r="H234" s="27" t="s">
        <v>1454</v>
      </c>
      <c r="J234" s="27" t="s">
        <v>18547</v>
      </c>
      <c r="L234" s="27" t="s">
        <v>18548</v>
      </c>
      <c r="N234" s="27" t="s">
        <v>1473</v>
      </c>
      <c r="P234" s="27" t="s">
        <v>4260</v>
      </c>
      <c r="Q234" s="26" t="str">
        <f>HYPERLINK("https://ictv.global/taxonomy/taxondetails?taxnode_id=202508603&amp;ictv_id=ICTV201908603","ICTV201908603")</f>
        <v>ICTV201908603</v>
      </c>
      <c r="R234" t="s">
        <v>579</v>
      </c>
      <c r="S234" t="s">
        <v>22763</v>
      </c>
      <c r="T234">
        <v>40</v>
      </c>
      <c r="U234" s="26" t="str">
        <f t="shared" ref="U234:U270" si="10">HYPERLINK("https://ictv.global/ictv/proposals/2024.045B.Autographivirales.zip","2024.045B.Autographivirales.zip")</f>
        <v>2024.045B.Autographivirales.zip</v>
      </c>
    </row>
    <row r="235" spans="1:21">
      <c r="A235">
        <v>234</v>
      </c>
      <c r="B235" s="27" t="s">
        <v>1449</v>
      </c>
      <c r="D235" s="27" t="s">
        <v>1450</v>
      </c>
      <c r="F235" s="27" t="s">
        <v>1453</v>
      </c>
      <c r="H235" s="27" t="s">
        <v>1454</v>
      </c>
      <c r="J235" s="27" t="s">
        <v>18547</v>
      </c>
      <c r="L235" s="27" t="s">
        <v>18548</v>
      </c>
      <c r="N235" s="27" t="s">
        <v>1488</v>
      </c>
      <c r="P235" s="27" t="s">
        <v>4291</v>
      </c>
      <c r="Q235" s="26" t="str">
        <f>HYPERLINK("https://ictv.global/taxonomy/taxondetails?taxnode_id=202508337&amp;ictv_id=ICTV201908337","ICTV201908337")</f>
        <v>ICTV201908337</v>
      </c>
      <c r="R235" t="s">
        <v>579</v>
      </c>
      <c r="S235" t="s">
        <v>22763</v>
      </c>
      <c r="T235">
        <v>40</v>
      </c>
      <c r="U235" s="26" t="str">
        <f t="shared" si="10"/>
        <v>2024.045B.Autographivirales.zip</v>
      </c>
    </row>
    <row r="236" spans="1:21">
      <c r="A236">
        <v>235</v>
      </c>
      <c r="B236" s="27" t="s">
        <v>1449</v>
      </c>
      <c r="D236" s="27" t="s">
        <v>1450</v>
      </c>
      <c r="F236" s="27" t="s">
        <v>1453</v>
      </c>
      <c r="H236" s="27" t="s">
        <v>1454</v>
      </c>
      <c r="J236" s="27" t="s">
        <v>18547</v>
      </c>
      <c r="L236" s="27" t="s">
        <v>18548</v>
      </c>
      <c r="N236" s="27" t="s">
        <v>1488</v>
      </c>
      <c r="P236" s="27" t="s">
        <v>4292</v>
      </c>
      <c r="Q236" s="26" t="str">
        <f>HYPERLINK("https://ictv.global/taxonomy/taxondetails?taxnode_id=202508338&amp;ictv_id=ICTV201908338","ICTV201908338")</f>
        <v>ICTV201908338</v>
      </c>
      <c r="R236" t="s">
        <v>579</v>
      </c>
      <c r="S236" t="s">
        <v>22763</v>
      </c>
      <c r="T236">
        <v>40</v>
      </c>
      <c r="U236" s="26" t="str">
        <f t="shared" si="10"/>
        <v>2024.045B.Autographivirales.zip</v>
      </c>
    </row>
    <row r="237" spans="1:21">
      <c r="A237">
        <v>236</v>
      </c>
      <c r="B237" s="27" t="s">
        <v>1449</v>
      </c>
      <c r="D237" s="27" t="s">
        <v>1450</v>
      </c>
      <c r="F237" s="27" t="s">
        <v>1453</v>
      </c>
      <c r="H237" s="27" t="s">
        <v>1454</v>
      </c>
      <c r="J237" s="27" t="s">
        <v>18547</v>
      </c>
      <c r="L237" s="27" t="s">
        <v>18548</v>
      </c>
      <c r="N237" s="27" t="s">
        <v>2043</v>
      </c>
      <c r="P237" s="27" t="s">
        <v>4448</v>
      </c>
      <c r="Q237" s="26" t="str">
        <f>HYPERLINK("https://ictv.global/taxonomy/taxondetails?taxnode_id=202511647&amp;ictv_id=ICTV202011647","ICTV202011647")</f>
        <v>ICTV202011647</v>
      </c>
      <c r="R237" t="s">
        <v>579</v>
      </c>
      <c r="S237" t="s">
        <v>22763</v>
      </c>
      <c r="T237">
        <v>40</v>
      </c>
      <c r="U237" s="26" t="str">
        <f t="shared" si="10"/>
        <v>2024.045B.Autographivirales.zip</v>
      </c>
    </row>
    <row r="238" spans="1:21">
      <c r="A238">
        <v>237</v>
      </c>
      <c r="B238" s="27" t="s">
        <v>1449</v>
      </c>
      <c r="D238" s="27" t="s">
        <v>1450</v>
      </c>
      <c r="F238" s="27" t="s">
        <v>1453</v>
      </c>
      <c r="H238" s="27" t="s">
        <v>1454</v>
      </c>
      <c r="J238" s="27" t="s">
        <v>18547</v>
      </c>
      <c r="L238" s="27" t="s">
        <v>18548</v>
      </c>
      <c r="N238" s="27" t="s">
        <v>1285</v>
      </c>
      <c r="P238" s="27" t="s">
        <v>4449</v>
      </c>
      <c r="Q238" s="26" t="str">
        <f>HYPERLINK("https://ictv.global/taxonomy/taxondetails?taxnode_id=202506761&amp;ictv_id=ICTV201856761","ICTV201856761")</f>
        <v>ICTV201856761</v>
      </c>
      <c r="R238" t="s">
        <v>579</v>
      </c>
      <c r="S238" t="s">
        <v>22763</v>
      </c>
      <c r="T238">
        <v>40</v>
      </c>
      <c r="U238" s="26" t="str">
        <f t="shared" si="10"/>
        <v>2024.045B.Autographivirales.zip</v>
      </c>
    </row>
    <row r="239" spans="1:21">
      <c r="A239">
        <v>238</v>
      </c>
      <c r="B239" s="27" t="s">
        <v>1449</v>
      </c>
      <c r="D239" s="27" t="s">
        <v>1450</v>
      </c>
      <c r="F239" s="27" t="s">
        <v>1453</v>
      </c>
      <c r="H239" s="27" t="s">
        <v>1454</v>
      </c>
      <c r="J239" s="27" t="s">
        <v>18547</v>
      </c>
      <c r="L239" s="27" t="s">
        <v>18548</v>
      </c>
      <c r="N239" s="27" t="s">
        <v>1287</v>
      </c>
      <c r="P239" s="27" t="s">
        <v>4453</v>
      </c>
      <c r="Q239" s="26" t="str">
        <f>HYPERLINK("https://ictv.global/taxonomy/taxondetails?taxnode_id=202506804&amp;ictv_id=ICTV201856804","ICTV201856804")</f>
        <v>ICTV201856804</v>
      </c>
      <c r="R239" t="s">
        <v>579</v>
      </c>
      <c r="S239" t="s">
        <v>22763</v>
      </c>
      <c r="T239">
        <v>40</v>
      </c>
      <c r="U239" s="26" t="str">
        <f t="shared" si="10"/>
        <v>2024.045B.Autographivirales.zip</v>
      </c>
    </row>
    <row r="240" spans="1:21">
      <c r="A240">
        <v>239</v>
      </c>
      <c r="B240" s="27" t="s">
        <v>1449</v>
      </c>
      <c r="D240" s="27" t="s">
        <v>1450</v>
      </c>
      <c r="F240" s="27" t="s">
        <v>1453</v>
      </c>
      <c r="H240" s="27" t="s">
        <v>1454</v>
      </c>
      <c r="J240" s="27" t="s">
        <v>18547</v>
      </c>
      <c r="L240" s="27" t="s">
        <v>18548</v>
      </c>
      <c r="N240" s="27" t="s">
        <v>1287</v>
      </c>
      <c r="P240" s="27" t="s">
        <v>4454</v>
      </c>
      <c r="Q240" s="26" t="str">
        <f>HYPERLINK("https://ictv.global/taxonomy/taxondetails?taxnode_id=202506803&amp;ictv_id=ICTV201856803","ICTV201856803")</f>
        <v>ICTV201856803</v>
      </c>
      <c r="R240" t="s">
        <v>579</v>
      </c>
      <c r="S240" t="s">
        <v>22763</v>
      </c>
      <c r="T240">
        <v>40</v>
      </c>
      <c r="U240" s="26" t="str">
        <f t="shared" si="10"/>
        <v>2024.045B.Autographivirales.zip</v>
      </c>
    </row>
    <row r="241" spans="1:21">
      <c r="A241">
        <v>240</v>
      </c>
      <c r="B241" s="27" t="s">
        <v>1449</v>
      </c>
      <c r="D241" s="27" t="s">
        <v>1450</v>
      </c>
      <c r="F241" s="27" t="s">
        <v>1453</v>
      </c>
      <c r="H241" s="27" t="s">
        <v>1454</v>
      </c>
      <c r="J241" s="27" t="s">
        <v>18547</v>
      </c>
      <c r="L241" s="27" t="s">
        <v>18548</v>
      </c>
      <c r="N241" s="27" t="s">
        <v>1287</v>
      </c>
      <c r="P241" s="27" t="s">
        <v>18604</v>
      </c>
      <c r="Q241" s="26" t="str">
        <f>HYPERLINK("https://ictv.global/taxonomy/taxondetails?taxnode_id=202521202&amp;ictv_id=ICTV202421202","ICTV202421202")</f>
        <v>ICTV202421202</v>
      </c>
      <c r="R241" t="s">
        <v>579</v>
      </c>
      <c r="S241" t="s">
        <v>823</v>
      </c>
      <c r="T241">
        <v>40</v>
      </c>
      <c r="U241" s="26" t="str">
        <f t="shared" si="10"/>
        <v>2024.045B.Autographivirales.zip</v>
      </c>
    </row>
    <row r="242" spans="1:21">
      <c r="A242">
        <v>241</v>
      </c>
      <c r="B242" s="27" t="s">
        <v>1449</v>
      </c>
      <c r="D242" s="27" t="s">
        <v>1450</v>
      </c>
      <c r="F242" s="27" t="s">
        <v>1453</v>
      </c>
      <c r="H242" s="27" t="s">
        <v>1454</v>
      </c>
      <c r="J242" s="27" t="s">
        <v>18547</v>
      </c>
      <c r="L242" s="27" t="s">
        <v>18548</v>
      </c>
      <c r="N242" s="27" t="s">
        <v>1287</v>
      </c>
      <c r="P242" s="27" t="s">
        <v>18605</v>
      </c>
      <c r="Q242" s="26" t="str">
        <f>HYPERLINK("https://ictv.global/taxonomy/taxondetails?taxnode_id=202521203&amp;ictv_id=ICTV202421203","ICTV202421203")</f>
        <v>ICTV202421203</v>
      </c>
      <c r="R242" t="s">
        <v>579</v>
      </c>
      <c r="S242" t="s">
        <v>823</v>
      </c>
      <c r="T242">
        <v>40</v>
      </c>
      <c r="U242" s="26" t="str">
        <f t="shared" si="10"/>
        <v>2024.045B.Autographivirales.zip</v>
      </c>
    </row>
    <row r="243" spans="1:21">
      <c r="A243">
        <v>242</v>
      </c>
      <c r="B243" s="27" t="s">
        <v>1449</v>
      </c>
      <c r="D243" s="27" t="s">
        <v>1450</v>
      </c>
      <c r="F243" s="27" t="s">
        <v>1453</v>
      </c>
      <c r="H243" s="27" t="s">
        <v>1454</v>
      </c>
      <c r="J243" s="27" t="s">
        <v>18547</v>
      </c>
      <c r="L243" s="27" t="s">
        <v>18548</v>
      </c>
      <c r="N243" s="27" t="s">
        <v>18606</v>
      </c>
      <c r="P243" s="27" t="s">
        <v>18607</v>
      </c>
      <c r="Q243" s="26" t="str">
        <f>HYPERLINK("https://ictv.global/taxonomy/taxondetails?taxnode_id=202521207&amp;ictv_id=ICTV202421207","ICTV202421207")</f>
        <v>ICTV202421207</v>
      </c>
      <c r="R243" t="s">
        <v>579</v>
      </c>
      <c r="S243" t="s">
        <v>823</v>
      </c>
      <c r="T243">
        <v>40</v>
      </c>
      <c r="U243" s="26" t="str">
        <f t="shared" si="10"/>
        <v>2024.045B.Autographivirales.zip</v>
      </c>
    </row>
    <row r="244" spans="1:21">
      <c r="A244">
        <v>243</v>
      </c>
      <c r="B244" s="27" t="s">
        <v>1449</v>
      </c>
      <c r="D244" s="27" t="s">
        <v>1450</v>
      </c>
      <c r="F244" s="27" t="s">
        <v>1453</v>
      </c>
      <c r="H244" s="27" t="s">
        <v>1454</v>
      </c>
      <c r="J244" s="27" t="s">
        <v>18547</v>
      </c>
      <c r="L244" s="27" t="s">
        <v>18548</v>
      </c>
      <c r="N244" s="27" t="s">
        <v>18606</v>
      </c>
      <c r="P244" s="27" t="s">
        <v>18608</v>
      </c>
      <c r="Q244" s="26" t="str">
        <f>HYPERLINK("https://ictv.global/taxonomy/taxondetails?taxnode_id=202521206&amp;ictv_id=ICTV202421206","ICTV202421206")</f>
        <v>ICTV202421206</v>
      </c>
      <c r="R244" t="s">
        <v>579</v>
      </c>
      <c r="S244" t="s">
        <v>823</v>
      </c>
      <c r="T244">
        <v>40</v>
      </c>
      <c r="U244" s="26" t="str">
        <f t="shared" si="10"/>
        <v>2024.045B.Autographivirales.zip</v>
      </c>
    </row>
    <row r="245" spans="1:21">
      <c r="A245">
        <v>244</v>
      </c>
      <c r="B245" s="27" t="s">
        <v>1449</v>
      </c>
      <c r="D245" s="27" t="s">
        <v>1450</v>
      </c>
      <c r="F245" s="27" t="s">
        <v>1453</v>
      </c>
      <c r="H245" s="27" t="s">
        <v>1454</v>
      </c>
      <c r="J245" s="27" t="s">
        <v>18547</v>
      </c>
      <c r="L245" s="27" t="s">
        <v>18548</v>
      </c>
      <c r="N245" s="27" t="s">
        <v>18606</v>
      </c>
      <c r="P245" s="27" t="s">
        <v>18609</v>
      </c>
      <c r="Q245" s="26" t="str">
        <f>HYPERLINK("https://ictv.global/taxonomy/taxondetails?taxnode_id=202521205&amp;ictv_id=ICTV202421205","ICTV202421205")</f>
        <v>ICTV202421205</v>
      </c>
      <c r="R245" t="s">
        <v>579</v>
      </c>
      <c r="S245" t="s">
        <v>823</v>
      </c>
      <c r="T245">
        <v>40</v>
      </c>
      <c r="U245" s="26" t="str">
        <f t="shared" si="10"/>
        <v>2024.045B.Autographivirales.zip</v>
      </c>
    </row>
    <row r="246" spans="1:21">
      <c r="A246">
        <v>245</v>
      </c>
      <c r="B246" s="27" t="s">
        <v>1449</v>
      </c>
      <c r="D246" s="27" t="s">
        <v>1450</v>
      </c>
      <c r="F246" s="27" t="s">
        <v>1453</v>
      </c>
      <c r="H246" s="27" t="s">
        <v>1454</v>
      </c>
      <c r="J246" s="27" t="s">
        <v>18547</v>
      </c>
      <c r="L246" s="27" t="s">
        <v>18548</v>
      </c>
      <c r="N246" s="27" t="s">
        <v>18610</v>
      </c>
      <c r="P246" s="27" t="s">
        <v>18611</v>
      </c>
      <c r="Q246" s="26" t="str">
        <f>HYPERLINK("https://ictv.global/taxonomy/taxondetails?taxnode_id=202521214&amp;ictv_id=ICTV202421214","ICTV202421214")</f>
        <v>ICTV202421214</v>
      </c>
      <c r="R246" t="s">
        <v>579</v>
      </c>
      <c r="S246" t="s">
        <v>823</v>
      </c>
      <c r="T246">
        <v>40</v>
      </c>
      <c r="U246" s="26" t="str">
        <f t="shared" si="10"/>
        <v>2024.045B.Autographivirales.zip</v>
      </c>
    </row>
    <row r="247" spans="1:21">
      <c r="A247">
        <v>246</v>
      </c>
      <c r="B247" s="27" t="s">
        <v>1449</v>
      </c>
      <c r="D247" s="27" t="s">
        <v>1450</v>
      </c>
      <c r="F247" s="27" t="s">
        <v>1453</v>
      </c>
      <c r="H247" s="27" t="s">
        <v>1454</v>
      </c>
      <c r="J247" s="27" t="s">
        <v>18547</v>
      </c>
      <c r="L247" s="27" t="s">
        <v>18548</v>
      </c>
      <c r="N247" s="27" t="s">
        <v>18612</v>
      </c>
      <c r="P247" s="27" t="s">
        <v>18613</v>
      </c>
      <c r="Q247" s="26" t="str">
        <f>HYPERLINK("https://ictv.global/taxonomy/taxondetails?taxnode_id=202521208&amp;ictv_id=ICTV202421208","ICTV202421208")</f>
        <v>ICTV202421208</v>
      </c>
      <c r="R247" t="s">
        <v>579</v>
      </c>
      <c r="S247" t="s">
        <v>823</v>
      </c>
      <c r="T247">
        <v>40</v>
      </c>
      <c r="U247" s="26" t="str">
        <f t="shared" si="10"/>
        <v>2024.045B.Autographivirales.zip</v>
      </c>
    </row>
    <row r="248" spans="1:21">
      <c r="A248">
        <v>247</v>
      </c>
      <c r="B248" s="27" t="s">
        <v>1449</v>
      </c>
      <c r="D248" s="27" t="s">
        <v>1450</v>
      </c>
      <c r="F248" s="27" t="s">
        <v>1453</v>
      </c>
      <c r="H248" s="27" t="s">
        <v>1454</v>
      </c>
      <c r="J248" s="27" t="s">
        <v>18547</v>
      </c>
      <c r="L248" s="27" t="s">
        <v>18548</v>
      </c>
      <c r="N248" s="27" t="s">
        <v>1533</v>
      </c>
      <c r="P248" s="27" t="s">
        <v>4461</v>
      </c>
      <c r="Q248" s="26" t="str">
        <f>HYPERLINK("https://ictv.global/taxonomy/taxondetails?taxnode_id=202508211&amp;ictv_id=ICTV201908211","ICTV201908211")</f>
        <v>ICTV201908211</v>
      </c>
      <c r="R248" t="s">
        <v>579</v>
      </c>
      <c r="S248" t="s">
        <v>22763</v>
      </c>
      <c r="T248">
        <v>40</v>
      </c>
      <c r="U248" s="26" t="str">
        <f t="shared" si="10"/>
        <v>2024.045B.Autographivirales.zip</v>
      </c>
    </row>
    <row r="249" spans="1:21">
      <c r="A249">
        <v>248</v>
      </c>
      <c r="B249" s="27" t="s">
        <v>1449</v>
      </c>
      <c r="D249" s="27" t="s">
        <v>1450</v>
      </c>
      <c r="F249" s="27" t="s">
        <v>1453</v>
      </c>
      <c r="H249" s="27" t="s">
        <v>1454</v>
      </c>
      <c r="J249" s="27" t="s">
        <v>18547</v>
      </c>
      <c r="L249" s="27" t="s">
        <v>18548</v>
      </c>
      <c r="N249" s="27" t="s">
        <v>1533</v>
      </c>
      <c r="P249" s="27" t="s">
        <v>4462</v>
      </c>
      <c r="Q249" s="26" t="str">
        <f>HYPERLINK("https://ictv.global/taxonomy/taxondetails?taxnode_id=202508210&amp;ictv_id=ICTV201908210","ICTV201908210")</f>
        <v>ICTV201908210</v>
      </c>
      <c r="R249" t="s">
        <v>579</v>
      </c>
      <c r="S249" t="s">
        <v>22763</v>
      </c>
      <c r="T249">
        <v>40</v>
      </c>
      <c r="U249" s="26" t="str">
        <f t="shared" si="10"/>
        <v>2024.045B.Autographivirales.zip</v>
      </c>
    </row>
    <row r="250" spans="1:21">
      <c r="A250">
        <v>249</v>
      </c>
      <c r="B250" s="27" t="s">
        <v>1449</v>
      </c>
      <c r="D250" s="27" t="s">
        <v>1450</v>
      </c>
      <c r="F250" s="27" t="s">
        <v>1453</v>
      </c>
      <c r="H250" s="27" t="s">
        <v>1454</v>
      </c>
      <c r="J250" s="27" t="s">
        <v>18547</v>
      </c>
      <c r="L250" s="27" t="s">
        <v>18548</v>
      </c>
      <c r="N250" s="27" t="s">
        <v>18614</v>
      </c>
      <c r="P250" s="27" t="s">
        <v>18615</v>
      </c>
      <c r="Q250" s="26" t="str">
        <f>HYPERLINK("https://ictv.global/taxonomy/taxondetails?taxnode_id=202521213&amp;ictv_id=ICTV202421213","ICTV202421213")</f>
        <v>ICTV202421213</v>
      </c>
      <c r="R250" t="s">
        <v>579</v>
      </c>
      <c r="S250" t="s">
        <v>823</v>
      </c>
      <c r="T250">
        <v>40</v>
      </c>
      <c r="U250" s="26" t="str">
        <f t="shared" si="10"/>
        <v>2024.045B.Autographivirales.zip</v>
      </c>
    </row>
    <row r="251" spans="1:21">
      <c r="A251">
        <v>250</v>
      </c>
      <c r="B251" s="27" t="s">
        <v>1449</v>
      </c>
      <c r="D251" s="27" t="s">
        <v>1450</v>
      </c>
      <c r="F251" s="27" t="s">
        <v>1453</v>
      </c>
      <c r="H251" s="27" t="s">
        <v>1454</v>
      </c>
      <c r="J251" s="27" t="s">
        <v>18547</v>
      </c>
      <c r="L251" s="27" t="s">
        <v>18548</v>
      </c>
      <c r="N251" s="27" t="s">
        <v>18616</v>
      </c>
      <c r="P251" s="27" t="s">
        <v>18617</v>
      </c>
      <c r="Q251" s="26" t="str">
        <f>HYPERLINK("https://ictv.global/taxonomy/taxondetails?taxnode_id=202521216&amp;ictv_id=ICTV202421216","ICTV202421216")</f>
        <v>ICTV202421216</v>
      </c>
      <c r="R251" t="s">
        <v>579</v>
      </c>
      <c r="S251" t="s">
        <v>823</v>
      </c>
      <c r="T251">
        <v>40</v>
      </c>
      <c r="U251" s="26" t="str">
        <f t="shared" si="10"/>
        <v>2024.045B.Autographivirales.zip</v>
      </c>
    </row>
    <row r="252" spans="1:21">
      <c r="A252">
        <v>251</v>
      </c>
      <c r="B252" s="27" t="s">
        <v>1449</v>
      </c>
      <c r="D252" s="27" t="s">
        <v>1450</v>
      </c>
      <c r="F252" s="27" t="s">
        <v>1453</v>
      </c>
      <c r="H252" s="27" t="s">
        <v>1454</v>
      </c>
      <c r="J252" s="27" t="s">
        <v>18547</v>
      </c>
      <c r="L252" s="27" t="s">
        <v>18548</v>
      </c>
      <c r="N252" s="27" t="s">
        <v>1548</v>
      </c>
      <c r="P252" s="27" t="s">
        <v>4473</v>
      </c>
      <c r="Q252" s="26" t="str">
        <f>HYPERLINK("https://ictv.global/taxonomy/taxondetails?taxnode_id=202508265&amp;ictv_id=ICTV201908265","ICTV201908265")</f>
        <v>ICTV201908265</v>
      </c>
      <c r="R252" t="s">
        <v>579</v>
      </c>
      <c r="S252" t="s">
        <v>22763</v>
      </c>
      <c r="T252">
        <v>40</v>
      </c>
      <c r="U252" s="26" t="str">
        <f t="shared" si="10"/>
        <v>2024.045B.Autographivirales.zip</v>
      </c>
    </row>
    <row r="253" spans="1:21">
      <c r="A253">
        <v>252</v>
      </c>
      <c r="B253" s="27" t="s">
        <v>1449</v>
      </c>
      <c r="D253" s="27" t="s">
        <v>1450</v>
      </c>
      <c r="F253" s="27" t="s">
        <v>1453</v>
      </c>
      <c r="H253" s="27" t="s">
        <v>1454</v>
      </c>
      <c r="J253" s="27" t="s">
        <v>18547</v>
      </c>
      <c r="L253" s="27" t="s">
        <v>18548</v>
      </c>
      <c r="N253" s="27" t="s">
        <v>1557</v>
      </c>
      <c r="P253" s="27" t="s">
        <v>4480</v>
      </c>
      <c r="Q253" s="26" t="str">
        <f>HYPERLINK("https://ictv.global/taxonomy/taxondetails?taxnode_id=202508267&amp;ictv_id=ICTV201908267","ICTV201908267")</f>
        <v>ICTV201908267</v>
      </c>
      <c r="R253" t="s">
        <v>579</v>
      </c>
      <c r="S253" t="s">
        <v>22763</v>
      </c>
      <c r="T253">
        <v>40</v>
      </c>
      <c r="U253" s="26" t="str">
        <f t="shared" si="10"/>
        <v>2024.045B.Autographivirales.zip</v>
      </c>
    </row>
    <row r="254" spans="1:21">
      <c r="A254">
        <v>253</v>
      </c>
      <c r="B254" s="27" t="s">
        <v>1449</v>
      </c>
      <c r="D254" s="27" t="s">
        <v>1450</v>
      </c>
      <c r="F254" s="27" t="s">
        <v>1453</v>
      </c>
      <c r="H254" s="27" t="s">
        <v>1454</v>
      </c>
      <c r="J254" s="27" t="s">
        <v>18547</v>
      </c>
      <c r="L254" s="27" t="s">
        <v>18548</v>
      </c>
      <c r="N254" s="27" t="s">
        <v>1557</v>
      </c>
      <c r="P254" s="27" t="s">
        <v>18618</v>
      </c>
      <c r="Q254" s="26" t="str">
        <f>HYPERLINK("https://ictv.global/taxonomy/taxondetails?taxnode_id=202521217&amp;ictv_id=ICTV202421217","ICTV202421217")</f>
        <v>ICTV202421217</v>
      </c>
      <c r="R254" t="s">
        <v>579</v>
      </c>
      <c r="S254" t="s">
        <v>823</v>
      </c>
      <c r="T254">
        <v>40</v>
      </c>
      <c r="U254" s="26" t="str">
        <f t="shared" si="10"/>
        <v>2024.045B.Autographivirales.zip</v>
      </c>
    </row>
    <row r="255" spans="1:21">
      <c r="A255">
        <v>254</v>
      </c>
      <c r="B255" s="27" t="s">
        <v>1449</v>
      </c>
      <c r="D255" s="27" t="s">
        <v>1450</v>
      </c>
      <c r="F255" s="27" t="s">
        <v>1453</v>
      </c>
      <c r="H255" s="27" t="s">
        <v>1454</v>
      </c>
      <c r="J255" s="27" t="s">
        <v>18547</v>
      </c>
      <c r="L255" s="27" t="s">
        <v>18548</v>
      </c>
      <c r="N255" s="27" t="s">
        <v>1490</v>
      </c>
      <c r="P255" s="27" t="s">
        <v>4295</v>
      </c>
      <c r="Q255" s="26" t="str">
        <f>HYPERLINK("https://ictv.global/taxonomy/taxondetails?taxnode_id=202508342&amp;ictv_id=ICTV201908342","ICTV201908342")</f>
        <v>ICTV201908342</v>
      </c>
      <c r="R255" t="s">
        <v>579</v>
      </c>
      <c r="S255" t="s">
        <v>22763</v>
      </c>
      <c r="T255">
        <v>40</v>
      </c>
      <c r="U255" s="26" t="str">
        <f t="shared" si="10"/>
        <v>2024.045B.Autographivirales.zip</v>
      </c>
    </row>
    <row r="256" spans="1:21">
      <c r="A256">
        <v>255</v>
      </c>
      <c r="B256" s="27" t="s">
        <v>1449</v>
      </c>
      <c r="D256" s="27" t="s">
        <v>1450</v>
      </c>
      <c r="F256" s="27" t="s">
        <v>1453</v>
      </c>
      <c r="H256" s="27" t="s">
        <v>1454</v>
      </c>
      <c r="J256" s="27" t="s">
        <v>18547</v>
      </c>
      <c r="L256" s="27" t="s">
        <v>18548</v>
      </c>
      <c r="N256" s="27" t="s">
        <v>1272</v>
      </c>
      <c r="P256" s="27" t="s">
        <v>4484</v>
      </c>
      <c r="Q256" s="26" t="str">
        <f>HYPERLINK("https://ictv.global/taxonomy/taxondetails?taxnode_id=202506881&amp;ictv_id=ICTV201856881","ICTV201856881")</f>
        <v>ICTV201856881</v>
      </c>
      <c r="R256" t="s">
        <v>579</v>
      </c>
      <c r="S256" t="s">
        <v>22763</v>
      </c>
      <c r="T256">
        <v>40</v>
      </c>
      <c r="U256" s="26" t="str">
        <f t="shared" si="10"/>
        <v>2024.045B.Autographivirales.zip</v>
      </c>
    </row>
    <row r="257" spans="1:21">
      <c r="A257">
        <v>256</v>
      </c>
      <c r="B257" s="27" t="s">
        <v>1449</v>
      </c>
      <c r="D257" s="27" t="s">
        <v>1450</v>
      </c>
      <c r="F257" s="27" t="s">
        <v>1453</v>
      </c>
      <c r="H257" s="27" t="s">
        <v>1454</v>
      </c>
      <c r="J257" s="27" t="s">
        <v>18547</v>
      </c>
      <c r="L257" s="27" t="s">
        <v>18548</v>
      </c>
      <c r="N257" s="27" t="s">
        <v>18619</v>
      </c>
      <c r="P257" s="27" t="s">
        <v>18620</v>
      </c>
      <c r="Q257" s="26" t="str">
        <f>HYPERLINK("https://ictv.global/taxonomy/taxondetails?taxnode_id=202521215&amp;ictv_id=ICTV202421215","ICTV202421215")</f>
        <v>ICTV202421215</v>
      </c>
      <c r="R257" t="s">
        <v>579</v>
      </c>
      <c r="S257" t="s">
        <v>823</v>
      </c>
      <c r="T257">
        <v>40</v>
      </c>
      <c r="U257" s="26" t="str">
        <f t="shared" si="10"/>
        <v>2024.045B.Autographivirales.zip</v>
      </c>
    </row>
    <row r="258" spans="1:21">
      <c r="A258">
        <v>257</v>
      </c>
      <c r="B258" s="27" t="s">
        <v>1449</v>
      </c>
      <c r="D258" s="27" t="s">
        <v>1450</v>
      </c>
      <c r="F258" s="27" t="s">
        <v>1453</v>
      </c>
      <c r="H258" s="27" t="s">
        <v>1454</v>
      </c>
      <c r="J258" s="27" t="s">
        <v>18547</v>
      </c>
      <c r="L258" s="27" t="s">
        <v>18548</v>
      </c>
      <c r="N258" s="27" t="s">
        <v>18621</v>
      </c>
      <c r="P258" s="27" t="s">
        <v>18622</v>
      </c>
      <c r="Q258" s="26" t="str">
        <f>HYPERLINK("https://ictv.global/taxonomy/taxondetails?taxnode_id=202521212&amp;ictv_id=ICTV202421212","ICTV202421212")</f>
        <v>ICTV202421212</v>
      </c>
      <c r="R258" t="s">
        <v>579</v>
      </c>
      <c r="S258" t="s">
        <v>823</v>
      </c>
      <c r="T258">
        <v>40</v>
      </c>
      <c r="U258" s="26" t="str">
        <f t="shared" si="10"/>
        <v>2024.045B.Autographivirales.zip</v>
      </c>
    </row>
    <row r="259" spans="1:21">
      <c r="A259">
        <v>258</v>
      </c>
      <c r="B259" s="27" t="s">
        <v>1449</v>
      </c>
      <c r="D259" s="27" t="s">
        <v>1450</v>
      </c>
      <c r="F259" s="27" t="s">
        <v>1453</v>
      </c>
      <c r="H259" s="27" t="s">
        <v>1454</v>
      </c>
      <c r="J259" s="27" t="s">
        <v>18547</v>
      </c>
      <c r="L259" s="27" t="s">
        <v>18548</v>
      </c>
      <c r="N259" s="27" t="s">
        <v>1573</v>
      </c>
      <c r="P259" s="27" t="s">
        <v>18623</v>
      </c>
      <c r="Q259" s="26" t="str">
        <f>HYPERLINK("https://ictv.global/taxonomy/taxondetails?taxnode_id=202521209&amp;ictv_id=ICTV202421209","ICTV202421209")</f>
        <v>ICTV202421209</v>
      </c>
      <c r="R259" t="s">
        <v>579</v>
      </c>
      <c r="S259" t="s">
        <v>823</v>
      </c>
      <c r="T259">
        <v>40</v>
      </c>
      <c r="U259" s="26" t="str">
        <f t="shared" si="10"/>
        <v>2024.045B.Autographivirales.zip</v>
      </c>
    </row>
    <row r="260" spans="1:21">
      <c r="A260">
        <v>259</v>
      </c>
      <c r="B260" s="27" t="s">
        <v>1449</v>
      </c>
      <c r="D260" s="27" t="s">
        <v>1450</v>
      </c>
      <c r="F260" s="27" t="s">
        <v>1453</v>
      </c>
      <c r="H260" s="27" t="s">
        <v>1454</v>
      </c>
      <c r="J260" s="27" t="s">
        <v>18547</v>
      </c>
      <c r="L260" s="27" t="s">
        <v>18548</v>
      </c>
      <c r="N260" s="27" t="s">
        <v>1573</v>
      </c>
      <c r="P260" s="27" t="s">
        <v>18624</v>
      </c>
      <c r="Q260" s="26" t="str">
        <f>HYPERLINK("https://ictv.global/taxonomy/taxondetails?taxnode_id=202521210&amp;ictv_id=ICTV202421210","ICTV202421210")</f>
        <v>ICTV202421210</v>
      </c>
      <c r="R260" t="s">
        <v>579</v>
      </c>
      <c r="S260" t="s">
        <v>823</v>
      </c>
      <c r="T260">
        <v>40</v>
      </c>
      <c r="U260" s="26" t="str">
        <f t="shared" si="10"/>
        <v>2024.045B.Autographivirales.zip</v>
      </c>
    </row>
    <row r="261" spans="1:21">
      <c r="A261">
        <v>260</v>
      </c>
      <c r="B261" s="27" t="s">
        <v>1449</v>
      </c>
      <c r="D261" s="27" t="s">
        <v>1450</v>
      </c>
      <c r="F261" s="27" t="s">
        <v>1453</v>
      </c>
      <c r="H261" s="27" t="s">
        <v>1454</v>
      </c>
      <c r="J261" s="27" t="s">
        <v>18547</v>
      </c>
      <c r="L261" s="27" t="s">
        <v>18548</v>
      </c>
      <c r="N261" s="27" t="s">
        <v>1573</v>
      </c>
      <c r="P261" s="27" t="s">
        <v>18625</v>
      </c>
      <c r="Q261" s="26" t="str">
        <f>HYPERLINK("https://ictv.global/taxonomy/taxondetails?taxnode_id=202521211&amp;ictv_id=ICTV202421211","ICTV202421211")</f>
        <v>ICTV202421211</v>
      </c>
      <c r="R261" t="s">
        <v>579</v>
      </c>
      <c r="S261" t="s">
        <v>823</v>
      </c>
      <c r="T261">
        <v>40</v>
      </c>
      <c r="U261" s="26" t="str">
        <f t="shared" si="10"/>
        <v>2024.045B.Autographivirales.zip</v>
      </c>
    </row>
    <row r="262" spans="1:21">
      <c r="A262">
        <v>261</v>
      </c>
      <c r="B262" s="27" t="s">
        <v>1449</v>
      </c>
      <c r="D262" s="27" t="s">
        <v>1450</v>
      </c>
      <c r="F262" s="27" t="s">
        <v>1453</v>
      </c>
      <c r="H262" s="27" t="s">
        <v>1454</v>
      </c>
      <c r="J262" s="27" t="s">
        <v>18547</v>
      </c>
      <c r="L262" s="27" t="s">
        <v>18548</v>
      </c>
      <c r="N262" s="27" t="s">
        <v>1573</v>
      </c>
      <c r="P262" s="27" t="s">
        <v>4488</v>
      </c>
      <c r="Q262" s="26" t="str">
        <f>HYPERLINK("https://ictv.global/taxonomy/taxondetails?taxnode_id=202508263&amp;ictv_id=ICTV201908263","ICTV201908263")</f>
        <v>ICTV201908263</v>
      </c>
      <c r="R262" t="s">
        <v>579</v>
      </c>
      <c r="S262" t="s">
        <v>22763</v>
      </c>
      <c r="T262">
        <v>40</v>
      </c>
      <c r="U262" s="26" t="str">
        <f t="shared" si="10"/>
        <v>2024.045B.Autographivirales.zip</v>
      </c>
    </row>
    <row r="263" spans="1:21">
      <c r="A263">
        <v>262</v>
      </c>
      <c r="B263" s="27" t="s">
        <v>1449</v>
      </c>
      <c r="D263" s="27" t="s">
        <v>1450</v>
      </c>
      <c r="F263" s="27" t="s">
        <v>1453</v>
      </c>
      <c r="H263" s="27" t="s">
        <v>1454</v>
      </c>
      <c r="J263" s="27" t="s">
        <v>18547</v>
      </c>
      <c r="L263" s="27" t="s">
        <v>18548</v>
      </c>
      <c r="N263" s="27" t="s">
        <v>1274</v>
      </c>
      <c r="P263" s="27" t="s">
        <v>18626</v>
      </c>
      <c r="Q263" s="26" t="str">
        <f>HYPERLINK("https://ictv.global/taxonomy/taxondetails?taxnode_id=202521204&amp;ictv_id=ICTV202421204","ICTV202421204")</f>
        <v>ICTV202421204</v>
      </c>
      <c r="R263" t="s">
        <v>579</v>
      </c>
      <c r="S263" t="s">
        <v>823</v>
      </c>
      <c r="T263">
        <v>40</v>
      </c>
      <c r="U263" s="26" t="str">
        <f t="shared" si="10"/>
        <v>2024.045B.Autographivirales.zip</v>
      </c>
    </row>
    <row r="264" spans="1:21">
      <c r="A264">
        <v>263</v>
      </c>
      <c r="B264" s="27" t="s">
        <v>1449</v>
      </c>
      <c r="D264" s="27" t="s">
        <v>1450</v>
      </c>
      <c r="F264" s="27" t="s">
        <v>1453</v>
      </c>
      <c r="H264" s="27" t="s">
        <v>1454</v>
      </c>
      <c r="J264" s="27" t="s">
        <v>18547</v>
      </c>
      <c r="L264" s="27" t="s">
        <v>18548</v>
      </c>
      <c r="N264" s="27" t="s">
        <v>1274</v>
      </c>
      <c r="P264" s="27" t="s">
        <v>4490</v>
      </c>
      <c r="Q264" s="26" t="str">
        <f>HYPERLINK("https://ictv.global/taxonomy/taxondetails?taxnode_id=202506861&amp;ictv_id=ICTV201856861","ICTV201856861")</f>
        <v>ICTV201856861</v>
      </c>
      <c r="R264" t="s">
        <v>579</v>
      </c>
      <c r="S264" t="s">
        <v>22763</v>
      </c>
      <c r="T264">
        <v>40</v>
      </c>
      <c r="U264" s="26" t="str">
        <f t="shared" si="10"/>
        <v>2024.045B.Autographivirales.zip</v>
      </c>
    </row>
    <row r="265" spans="1:21">
      <c r="A265">
        <v>264</v>
      </c>
      <c r="B265" s="27" t="s">
        <v>1449</v>
      </c>
      <c r="D265" s="27" t="s">
        <v>1450</v>
      </c>
      <c r="F265" s="27" t="s">
        <v>1453</v>
      </c>
      <c r="H265" s="27" t="s">
        <v>1454</v>
      </c>
      <c r="J265" s="27" t="s">
        <v>18547</v>
      </c>
      <c r="L265" s="27" t="s">
        <v>18548</v>
      </c>
      <c r="N265" s="27" t="s">
        <v>1491</v>
      </c>
      <c r="P265" s="27" t="s">
        <v>4296</v>
      </c>
      <c r="Q265" s="26" t="str">
        <f>HYPERLINK("https://ictv.global/taxonomy/taxondetails?taxnode_id=202508332&amp;ictv_id=ICTV201908332","ICTV201908332")</f>
        <v>ICTV201908332</v>
      </c>
      <c r="R265" t="s">
        <v>579</v>
      </c>
      <c r="S265" t="s">
        <v>22763</v>
      </c>
      <c r="T265">
        <v>40</v>
      </c>
      <c r="U265" s="26" t="str">
        <f t="shared" si="10"/>
        <v>2024.045B.Autographivirales.zip</v>
      </c>
    </row>
    <row r="266" spans="1:21">
      <c r="A266">
        <v>265</v>
      </c>
      <c r="B266" s="27" t="s">
        <v>1449</v>
      </c>
      <c r="D266" s="27" t="s">
        <v>1450</v>
      </c>
      <c r="F266" s="27" t="s">
        <v>1453</v>
      </c>
      <c r="H266" s="27" t="s">
        <v>1454</v>
      </c>
      <c r="J266" s="27" t="s">
        <v>18547</v>
      </c>
      <c r="L266" s="27" t="s">
        <v>18548</v>
      </c>
      <c r="N266" s="27" t="s">
        <v>1491</v>
      </c>
      <c r="P266" s="27" t="s">
        <v>4297</v>
      </c>
      <c r="Q266" s="26" t="str">
        <f>HYPERLINK("https://ictv.global/taxonomy/taxondetails?taxnode_id=202508331&amp;ictv_id=ICTV201908331","ICTV201908331")</f>
        <v>ICTV201908331</v>
      </c>
      <c r="R266" t="s">
        <v>579</v>
      </c>
      <c r="S266" t="s">
        <v>22763</v>
      </c>
      <c r="T266">
        <v>40</v>
      </c>
      <c r="U266" s="26" t="str">
        <f t="shared" si="10"/>
        <v>2024.045B.Autographivirales.zip</v>
      </c>
    </row>
    <row r="267" spans="1:21">
      <c r="A267">
        <v>266</v>
      </c>
      <c r="B267" s="27" t="s">
        <v>1449</v>
      </c>
      <c r="D267" s="27" t="s">
        <v>1450</v>
      </c>
      <c r="F267" s="27" t="s">
        <v>1453</v>
      </c>
      <c r="H267" s="27" t="s">
        <v>1454</v>
      </c>
      <c r="J267" s="27" t="s">
        <v>18547</v>
      </c>
      <c r="L267" s="27" t="s">
        <v>18548</v>
      </c>
      <c r="N267" s="27" t="s">
        <v>1581</v>
      </c>
      <c r="P267" s="27" t="s">
        <v>4498</v>
      </c>
      <c r="Q267" s="26" t="str">
        <f>HYPERLINK("https://ictv.global/taxonomy/taxondetails?taxnode_id=202508269&amp;ictv_id=ICTV201908269","ICTV201908269")</f>
        <v>ICTV201908269</v>
      </c>
      <c r="R267" t="s">
        <v>579</v>
      </c>
      <c r="S267" t="s">
        <v>22763</v>
      </c>
      <c r="T267">
        <v>40</v>
      </c>
      <c r="U267" s="26" t="str">
        <f t="shared" si="10"/>
        <v>2024.045B.Autographivirales.zip</v>
      </c>
    </row>
    <row r="268" spans="1:21">
      <c r="A268">
        <v>267</v>
      </c>
      <c r="B268" s="27" t="s">
        <v>1449</v>
      </c>
      <c r="D268" s="27" t="s">
        <v>1450</v>
      </c>
      <c r="F268" s="27" t="s">
        <v>1453</v>
      </c>
      <c r="H268" s="27" t="s">
        <v>1454</v>
      </c>
      <c r="J268" s="27" t="s">
        <v>18547</v>
      </c>
      <c r="L268" s="27" t="s">
        <v>18548</v>
      </c>
      <c r="N268" s="27" t="s">
        <v>1492</v>
      </c>
      <c r="P268" s="27" t="s">
        <v>4298</v>
      </c>
      <c r="Q268" s="26" t="str">
        <f>HYPERLINK("https://ictv.global/taxonomy/taxondetails?taxnode_id=202508340&amp;ictv_id=ICTV201908340","ICTV201908340")</f>
        <v>ICTV201908340</v>
      </c>
      <c r="R268" t="s">
        <v>579</v>
      </c>
      <c r="S268" t="s">
        <v>22763</v>
      </c>
      <c r="T268">
        <v>40</v>
      </c>
      <c r="U268" s="26" t="str">
        <f t="shared" si="10"/>
        <v>2024.045B.Autographivirales.zip</v>
      </c>
    </row>
    <row r="269" spans="1:21">
      <c r="A269">
        <v>268</v>
      </c>
      <c r="B269" s="27" t="s">
        <v>1449</v>
      </c>
      <c r="D269" s="27" t="s">
        <v>1450</v>
      </c>
      <c r="F269" s="27" t="s">
        <v>1453</v>
      </c>
      <c r="H269" s="27" t="s">
        <v>1454</v>
      </c>
      <c r="J269" s="27" t="s">
        <v>18547</v>
      </c>
      <c r="L269" s="27" t="s">
        <v>18627</v>
      </c>
      <c r="M269" s="27" t="s">
        <v>1456</v>
      </c>
      <c r="N269" s="27" t="s">
        <v>18628</v>
      </c>
      <c r="P269" s="27" t="s">
        <v>18629</v>
      </c>
      <c r="Q269" s="26" t="str">
        <f>HYPERLINK("https://ictv.global/taxonomy/taxondetails?taxnode_id=202521219&amp;ictv_id=ICTV202421219","ICTV202421219")</f>
        <v>ICTV202421219</v>
      </c>
      <c r="R269" t="s">
        <v>579</v>
      </c>
      <c r="S269" t="s">
        <v>823</v>
      </c>
      <c r="T269">
        <v>40</v>
      </c>
      <c r="U269" s="26" t="str">
        <f t="shared" si="10"/>
        <v>2024.045B.Autographivirales.zip</v>
      </c>
    </row>
    <row r="270" spans="1:21">
      <c r="A270">
        <v>269</v>
      </c>
      <c r="B270" s="27" t="s">
        <v>1449</v>
      </c>
      <c r="D270" s="27" t="s">
        <v>1450</v>
      </c>
      <c r="F270" s="27" t="s">
        <v>1453</v>
      </c>
      <c r="H270" s="27" t="s">
        <v>1454</v>
      </c>
      <c r="J270" s="27" t="s">
        <v>18547</v>
      </c>
      <c r="L270" s="27" t="s">
        <v>18627</v>
      </c>
      <c r="M270" s="27" t="s">
        <v>1456</v>
      </c>
      <c r="N270" s="27" t="s">
        <v>1457</v>
      </c>
      <c r="P270" s="27" t="s">
        <v>4195</v>
      </c>
      <c r="Q270" s="26" t="str">
        <f>HYPERLINK("https://ictv.global/taxonomy/taxondetails?taxnode_id=202508513&amp;ictv_id=ICTV201908513","ICTV201908513")</f>
        <v>ICTV201908513</v>
      </c>
      <c r="R270" t="s">
        <v>579</v>
      </c>
      <c r="S270" t="s">
        <v>22763</v>
      </c>
      <c r="T270">
        <v>40</v>
      </c>
      <c r="U270" s="26" t="str">
        <f t="shared" si="10"/>
        <v>2024.045B.Autographivirales.zip</v>
      </c>
    </row>
    <row r="271" spans="1:21">
      <c r="A271">
        <v>270</v>
      </c>
      <c r="B271" s="27" t="s">
        <v>1449</v>
      </c>
      <c r="D271" s="27" t="s">
        <v>1450</v>
      </c>
      <c r="F271" s="27" t="s">
        <v>1453</v>
      </c>
      <c r="H271" s="27" t="s">
        <v>1454</v>
      </c>
      <c r="J271" s="27" t="s">
        <v>18547</v>
      </c>
      <c r="L271" s="27" t="s">
        <v>18627</v>
      </c>
      <c r="M271" s="27" t="s">
        <v>1456</v>
      </c>
      <c r="N271" s="27" t="s">
        <v>1271</v>
      </c>
      <c r="P271" s="27" t="s">
        <v>22712</v>
      </c>
      <c r="Q271" s="26" t="str">
        <f>HYPERLINK("https://ictv.global/taxonomy/taxondetails?taxnode_id=202523289&amp;ictv_id=ICTV202523289","ICTV202523289")</f>
        <v>ICTV202523289</v>
      </c>
      <c r="R271" t="s">
        <v>579</v>
      </c>
      <c r="S271" t="s">
        <v>823</v>
      </c>
      <c r="T271">
        <v>41</v>
      </c>
      <c r="U271" s="26" t="str">
        <f t="shared" ref="U271:U276" si="11">HYPERLINK("https://ictv.global/ictv/proposals/2025.085B.Friunavirus_32ns.zip","2025.085B.Friunavirus_32ns.zip")</f>
        <v>2025.085B.Friunavirus_32ns.zip</v>
      </c>
    </row>
    <row r="272" spans="1:21">
      <c r="A272">
        <v>271</v>
      </c>
      <c r="B272" s="27" t="s">
        <v>1449</v>
      </c>
      <c r="D272" s="27" t="s">
        <v>1450</v>
      </c>
      <c r="F272" s="27" t="s">
        <v>1453</v>
      </c>
      <c r="H272" s="27" t="s">
        <v>1454</v>
      </c>
      <c r="J272" s="27" t="s">
        <v>18547</v>
      </c>
      <c r="L272" s="27" t="s">
        <v>18627</v>
      </c>
      <c r="M272" s="27" t="s">
        <v>1456</v>
      </c>
      <c r="N272" s="27" t="s">
        <v>1271</v>
      </c>
      <c r="P272" s="27" t="s">
        <v>22689</v>
      </c>
      <c r="Q272" s="26" t="str">
        <f>HYPERLINK("https://ictv.global/taxonomy/taxondetails?taxnode_id=202523266&amp;ictv_id=ICTV202523266","ICTV202523266")</f>
        <v>ICTV202523266</v>
      </c>
      <c r="R272" t="s">
        <v>579</v>
      </c>
      <c r="S272" t="s">
        <v>823</v>
      </c>
      <c r="T272">
        <v>41</v>
      </c>
      <c r="U272" s="26" t="str">
        <f t="shared" si="11"/>
        <v>2025.085B.Friunavirus_32ns.zip</v>
      </c>
    </row>
    <row r="273" spans="1:21">
      <c r="A273">
        <v>272</v>
      </c>
      <c r="B273" s="27" t="s">
        <v>1449</v>
      </c>
      <c r="D273" s="27" t="s">
        <v>1450</v>
      </c>
      <c r="F273" s="27" t="s">
        <v>1453</v>
      </c>
      <c r="H273" s="27" t="s">
        <v>1454</v>
      </c>
      <c r="J273" s="27" t="s">
        <v>18547</v>
      </c>
      <c r="L273" s="27" t="s">
        <v>18627</v>
      </c>
      <c r="M273" s="27" t="s">
        <v>1456</v>
      </c>
      <c r="N273" s="27" t="s">
        <v>1271</v>
      </c>
      <c r="P273" s="27" t="s">
        <v>22691</v>
      </c>
      <c r="Q273" s="26" t="str">
        <f>HYPERLINK("https://ictv.global/taxonomy/taxondetails?taxnode_id=202523268&amp;ictv_id=ICTV202523268","ICTV202523268")</f>
        <v>ICTV202523268</v>
      </c>
      <c r="R273" t="s">
        <v>579</v>
      </c>
      <c r="S273" t="s">
        <v>823</v>
      </c>
      <c r="T273">
        <v>41</v>
      </c>
      <c r="U273" s="26" t="str">
        <f t="shared" si="11"/>
        <v>2025.085B.Friunavirus_32ns.zip</v>
      </c>
    </row>
    <row r="274" spans="1:21">
      <c r="A274">
        <v>273</v>
      </c>
      <c r="B274" s="27" t="s">
        <v>1449</v>
      </c>
      <c r="D274" s="27" t="s">
        <v>1450</v>
      </c>
      <c r="F274" s="27" t="s">
        <v>1453</v>
      </c>
      <c r="H274" s="27" t="s">
        <v>1454</v>
      </c>
      <c r="J274" s="27" t="s">
        <v>18547</v>
      </c>
      <c r="L274" s="27" t="s">
        <v>18627</v>
      </c>
      <c r="M274" s="27" t="s">
        <v>1456</v>
      </c>
      <c r="N274" s="27" t="s">
        <v>1271</v>
      </c>
      <c r="P274" s="27" t="s">
        <v>22690</v>
      </c>
      <c r="Q274" s="26" t="str">
        <f>HYPERLINK("https://ictv.global/taxonomy/taxondetails?taxnode_id=202523267&amp;ictv_id=ICTV202523267","ICTV202523267")</f>
        <v>ICTV202523267</v>
      </c>
      <c r="R274" t="s">
        <v>579</v>
      </c>
      <c r="S274" t="s">
        <v>823</v>
      </c>
      <c r="T274">
        <v>41</v>
      </c>
      <c r="U274" s="26" t="str">
        <f t="shared" si="11"/>
        <v>2025.085B.Friunavirus_32ns.zip</v>
      </c>
    </row>
    <row r="275" spans="1:21">
      <c r="A275">
        <v>274</v>
      </c>
      <c r="B275" s="27" t="s">
        <v>1449</v>
      </c>
      <c r="D275" s="27" t="s">
        <v>1450</v>
      </c>
      <c r="F275" s="27" t="s">
        <v>1453</v>
      </c>
      <c r="H275" s="27" t="s">
        <v>1454</v>
      </c>
      <c r="J275" s="27" t="s">
        <v>18547</v>
      </c>
      <c r="L275" s="27" t="s">
        <v>18627</v>
      </c>
      <c r="M275" s="27" t="s">
        <v>1456</v>
      </c>
      <c r="N275" s="27" t="s">
        <v>1271</v>
      </c>
      <c r="P275" s="27" t="s">
        <v>22697</v>
      </c>
      <c r="Q275" s="26" t="str">
        <f>HYPERLINK("https://ictv.global/taxonomy/taxondetails?taxnode_id=202523274&amp;ictv_id=ICTV202523274","ICTV202523274")</f>
        <v>ICTV202523274</v>
      </c>
      <c r="R275" t="s">
        <v>579</v>
      </c>
      <c r="S275" t="s">
        <v>823</v>
      </c>
      <c r="T275">
        <v>41</v>
      </c>
      <c r="U275" s="26" t="str">
        <f t="shared" si="11"/>
        <v>2025.085B.Friunavirus_32ns.zip</v>
      </c>
    </row>
    <row r="276" spans="1:21">
      <c r="A276">
        <v>275</v>
      </c>
      <c r="B276" s="27" t="s">
        <v>1449</v>
      </c>
      <c r="D276" s="27" t="s">
        <v>1450</v>
      </c>
      <c r="F276" s="27" t="s">
        <v>1453</v>
      </c>
      <c r="H276" s="27" t="s">
        <v>1454</v>
      </c>
      <c r="J276" s="27" t="s">
        <v>18547</v>
      </c>
      <c r="L276" s="27" t="s">
        <v>18627</v>
      </c>
      <c r="M276" s="27" t="s">
        <v>1456</v>
      </c>
      <c r="N276" s="27" t="s">
        <v>1271</v>
      </c>
      <c r="P276" s="27" t="s">
        <v>22707</v>
      </c>
      <c r="Q276" s="26" t="str">
        <f>HYPERLINK("https://ictv.global/taxonomy/taxondetails?taxnode_id=202523284&amp;ictv_id=ICTV202523284","ICTV202523284")</f>
        <v>ICTV202523284</v>
      </c>
      <c r="R276" t="s">
        <v>579</v>
      </c>
      <c r="S276" t="s">
        <v>823</v>
      </c>
      <c r="T276">
        <v>41</v>
      </c>
      <c r="U276" s="26" t="str">
        <f t="shared" si="11"/>
        <v>2025.085B.Friunavirus_32ns.zip</v>
      </c>
    </row>
    <row r="277" spans="1:21">
      <c r="A277">
        <v>276</v>
      </c>
      <c r="B277" s="27" t="s">
        <v>1449</v>
      </c>
      <c r="D277" s="27" t="s">
        <v>1450</v>
      </c>
      <c r="F277" s="27" t="s">
        <v>1453</v>
      </c>
      <c r="H277" s="27" t="s">
        <v>1454</v>
      </c>
      <c r="J277" s="27" t="s">
        <v>18547</v>
      </c>
      <c r="L277" s="27" t="s">
        <v>18627</v>
      </c>
      <c r="M277" s="27" t="s">
        <v>1456</v>
      </c>
      <c r="N277" s="27" t="s">
        <v>1271</v>
      </c>
      <c r="P277" s="27" t="s">
        <v>18630</v>
      </c>
      <c r="Q277" s="26" t="str">
        <f>HYPERLINK("https://ictv.global/taxonomy/taxondetails?taxnode_id=202520988&amp;ictv_id=ICTV202420988","ICTV202420988")</f>
        <v>ICTV202420988</v>
      </c>
      <c r="R277" t="s">
        <v>579</v>
      </c>
      <c r="S277" t="s">
        <v>823</v>
      </c>
      <c r="T277">
        <v>40</v>
      </c>
      <c r="U277" s="26" t="str">
        <f>HYPERLINK("https://ictv.global/ictv/proposals/2024.045B.Autographivirales.zip","2024.045B.Autographivirales.zip")</f>
        <v>2024.045B.Autographivirales.zip</v>
      </c>
    </row>
    <row r="278" spans="1:21">
      <c r="A278">
        <v>277</v>
      </c>
      <c r="B278" s="27" t="s">
        <v>1449</v>
      </c>
      <c r="D278" s="27" t="s">
        <v>1450</v>
      </c>
      <c r="F278" s="27" t="s">
        <v>1453</v>
      </c>
      <c r="H278" s="27" t="s">
        <v>1454</v>
      </c>
      <c r="J278" s="27" t="s">
        <v>18547</v>
      </c>
      <c r="L278" s="27" t="s">
        <v>18627</v>
      </c>
      <c r="M278" s="27" t="s">
        <v>1456</v>
      </c>
      <c r="N278" s="27" t="s">
        <v>1271</v>
      </c>
      <c r="P278" s="27" t="s">
        <v>22708</v>
      </c>
      <c r="Q278" s="26" t="str">
        <f>HYPERLINK("https://ictv.global/taxonomy/taxondetails?taxnode_id=202523285&amp;ictv_id=ICTV202523285","ICTV202523285")</f>
        <v>ICTV202523285</v>
      </c>
      <c r="R278" t="s">
        <v>579</v>
      </c>
      <c r="S278" t="s">
        <v>823</v>
      </c>
      <c r="T278">
        <v>41</v>
      </c>
      <c r="U278" s="26" t="str">
        <f t="shared" ref="U278:U284" si="12">HYPERLINK("https://ictv.global/ictv/proposals/2025.085B.Friunavirus_32ns.zip","2025.085B.Friunavirus_32ns.zip")</f>
        <v>2025.085B.Friunavirus_32ns.zip</v>
      </c>
    </row>
    <row r="279" spans="1:21">
      <c r="A279">
        <v>278</v>
      </c>
      <c r="B279" s="27" t="s">
        <v>1449</v>
      </c>
      <c r="D279" s="27" t="s">
        <v>1450</v>
      </c>
      <c r="F279" s="27" t="s">
        <v>1453</v>
      </c>
      <c r="H279" s="27" t="s">
        <v>1454</v>
      </c>
      <c r="J279" s="27" t="s">
        <v>18547</v>
      </c>
      <c r="L279" s="27" t="s">
        <v>18627</v>
      </c>
      <c r="M279" s="27" t="s">
        <v>1456</v>
      </c>
      <c r="N279" s="27" t="s">
        <v>1271</v>
      </c>
      <c r="P279" s="27" t="s">
        <v>22696</v>
      </c>
      <c r="Q279" s="26" t="str">
        <f>HYPERLINK("https://ictv.global/taxonomy/taxondetails?taxnode_id=202523273&amp;ictv_id=ICTV202523273","ICTV202523273")</f>
        <v>ICTV202523273</v>
      </c>
      <c r="R279" t="s">
        <v>579</v>
      </c>
      <c r="S279" t="s">
        <v>823</v>
      </c>
      <c r="T279">
        <v>41</v>
      </c>
      <c r="U279" s="26" t="str">
        <f t="shared" si="12"/>
        <v>2025.085B.Friunavirus_32ns.zip</v>
      </c>
    </row>
    <row r="280" spans="1:21">
      <c r="A280">
        <v>279</v>
      </c>
      <c r="B280" s="27" t="s">
        <v>1449</v>
      </c>
      <c r="D280" s="27" t="s">
        <v>1450</v>
      </c>
      <c r="F280" s="27" t="s">
        <v>1453</v>
      </c>
      <c r="H280" s="27" t="s">
        <v>1454</v>
      </c>
      <c r="J280" s="27" t="s">
        <v>18547</v>
      </c>
      <c r="L280" s="27" t="s">
        <v>18627</v>
      </c>
      <c r="M280" s="27" t="s">
        <v>1456</v>
      </c>
      <c r="N280" s="27" t="s">
        <v>1271</v>
      </c>
      <c r="P280" s="27" t="s">
        <v>22709</v>
      </c>
      <c r="Q280" s="26" t="str">
        <f>HYPERLINK("https://ictv.global/taxonomy/taxondetails?taxnode_id=202523286&amp;ictv_id=ICTV202523286","ICTV202523286")</f>
        <v>ICTV202523286</v>
      </c>
      <c r="R280" t="s">
        <v>579</v>
      </c>
      <c r="S280" t="s">
        <v>823</v>
      </c>
      <c r="T280">
        <v>41</v>
      </c>
      <c r="U280" s="26" t="str">
        <f t="shared" si="12"/>
        <v>2025.085B.Friunavirus_32ns.zip</v>
      </c>
    </row>
    <row r="281" spans="1:21">
      <c r="A281">
        <v>280</v>
      </c>
      <c r="B281" s="27" t="s">
        <v>1449</v>
      </c>
      <c r="D281" s="27" t="s">
        <v>1450</v>
      </c>
      <c r="F281" s="27" t="s">
        <v>1453</v>
      </c>
      <c r="H281" s="27" t="s">
        <v>1454</v>
      </c>
      <c r="J281" s="27" t="s">
        <v>18547</v>
      </c>
      <c r="L281" s="27" t="s">
        <v>18627</v>
      </c>
      <c r="M281" s="27" t="s">
        <v>1456</v>
      </c>
      <c r="N281" s="27" t="s">
        <v>1271</v>
      </c>
      <c r="P281" s="27" t="s">
        <v>22694</v>
      </c>
      <c r="Q281" s="26" t="str">
        <f>HYPERLINK("https://ictv.global/taxonomy/taxondetails?taxnode_id=202523271&amp;ictv_id=ICTV202523271","ICTV202523271")</f>
        <v>ICTV202523271</v>
      </c>
      <c r="R281" t="s">
        <v>579</v>
      </c>
      <c r="S281" t="s">
        <v>823</v>
      </c>
      <c r="T281">
        <v>41</v>
      </c>
      <c r="U281" s="26" t="str">
        <f t="shared" si="12"/>
        <v>2025.085B.Friunavirus_32ns.zip</v>
      </c>
    </row>
    <row r="282" spans="1:21">
      <c r="A282">
        <v>281</v>
      </c>
      <c r="B282" s="27" t="s">
        <v>1449</v>
      </c>
      <c r="D282" s="27" t="s">
        <v>1450</v>
      </c>
      <c r="F282" s="27" t="s">
        <v>1453</v>
      </c>
      <c r="H282" s="27" t="s">
        <v>1454</v>
      </c>
      <c r="J282" s="27" t="s">
        <v>18547</v>
      </c>
      <c r="L282" s="27" t="s">
        <v>18627</v>
      </c>
      <c r="M282" s="27" t="s">
        <v>1456</v>
      </c>
      <c r="N282" s="27" t="s">
        <v>1271</v>
      </c>
      <c r="P282" s="27" t="s">
        <v>22692</v>
      </c>
      <c r="Q282" s="26" t="str">
        <f>HYPERLINK("https://ictv.global/taxonomy/taxondetails?taxnode_id=202523269&amp;ictv_id=ICTV202523269","ICTV202523269")</f>
        <v>ICTV202523269</v>
      </c>
      <c r="R282" t="s">
        <v>579</v>
      </c>
      <c r="S282" t="s">
        <v>823</v>
      </c>
      <c r="T282">
        <v>41</v>
      </c>
      <c r="U282" s="26" t="str">
        <f t="shared" si="12"/>
        <v>2025.085B.Friunavirus_32ns.zip</v>
      </c>
    </row>
    <row r="283" spans="1:21">
      <c r="A283">
        <v>282</v>
      </c>
      <c r="B283" s="27" t="s">
        <v>1449</v>
      </c>
      <c r="D283" s="27" t="s">
        <v>1450</v>
      </c>
      <c r="F283" s="27" t="s">
        <v>1453</v>
      </c>
      <c r="H283" s="27" t="s">
        <v>1454</v>
      </c>
      <c r="J283" s="27" t="s">
        <v>18547</v>
      </c>
      <c r="L283" s="27" t="s">
        <v>18627</v>
      </c>
      <c r="M283" s="27" t="s">
        <v>1456</v>
      </c>
      <c r="N283" s="27" t="s">
        <v>1271</v>
      </c>
      <c r="P283" s="27" t="s">
        <v>22714</v>
      </c>
      <c r="Q283" s="26" t="str">
        <f>HYPERLINK("https://ictv.global/taxonomy/taxondetails?taxnode_id=202523291&amp;ictv_id=ICTV202523291","ICTV202523291")</f>
        <v>ICTV202523291</v>
      </c>
      <c r="R283" t="s">
        <v>579</v>
      </c>
      <c r="S283" t="s">
        <v>823</v>
      </c>
      <c r="T283">
        <v>41</v>
      </c>
      <c r="U283" s="26" t="str">
        <f t="shared" si="12"/>
        <v>2025.085B.Friunavirus_32ns.zip</v>
      </c>
    </row>
    <row r="284" spans="1:21">
      <c r="A284">
        <v>283</v>
      </c>
      <c r="B284" s="27" t="s">
        <v>1449</v>
      </c>
      <c r="D284" s="27" t="s">
        <v>1450</v>
      </c>
      <c r="F284" s="27" t="s">
        <v>1453</v>
      </c>
      <c r="H284" s="27" t="s">
        <v>1454</v>
      </c>
      <c r="J284" s="27" t="s">
        <v>18547</v>
      </c>
      <c r="L284" s="27" t="s">
        <v>18627</v>
      </c>
      <c r="M284" s="27" t="s">
        <v>1456</v>
      </c>
      <c r="N284" s="27" t="s">
        <v>1271</v>
      </c>
      <c r="P284" s="27" t="s">
        <v>22703</v>
      </c>
      <c r="Q284" s="26" t="str">
        <f>HYPERLINK("https://ictv.global/taxonomy/taxondetails?taxnode_id=202523280&amp;ictv_id=ICTV202523280","ICTV202523280")</f>
        <v>ICTV202523280</v>
      </c>
      <c r="R284" t="s">
        <v>579</v>
      </c>
      <c r="S284" t="s">
        <v>823</v>
      </c>
      <c r="T284">
        <v>41</v>
      </c>
      <c r="U284" s="26" t="str">
        <f t="shared" si="12"/>
        <v>2025.085B.Friunavirus_32ns.zip</v>
      </c>
    </row>
    <row r="285" spans="1:21">
      <c r="A285">
        <v>284</v>
      </c>
      <c r="B285" s="27" t="s">
        <v>1449</v>
      </c>
      <c r="D285" s="27" t="s">
        <v>1450</v>
      </c>
      <c r="F285" s="27" t="s">
        <v>1453</v>
      </c>
      <c r="H285" s="27" t="s">
        <v>1454</v>
      </c>
      <c r="J285" s="27" t="s">
        <v>18547</v>
      </c>
      <c r="L285" s="27" t="s">
        <v>18627</v>
      </c>
      <c r="M285" s="27" t="s">
        <v>1456</v>
      </c>
      <c r="N285" s="27" t="s">
        <v>1271</v>
      </c>
      <c r="P285" s="27" t="s">
        <v>4196</v>
      </c>
      <c r="Q285" s="26" t="str">
        <f>HYPERLINK("https://ictv.global/taxonomy/taxondetails?taxnode_id=202500549&amp;ictv_id=ICTV20164894","ICTV20164894")</f>
        <v>ICTV20164894</v>
      </c>
      <c r="R285" t="s">
        <v>579</v>
      </c>
      <c r="S285" t="s">
        <v>22763</v>
      </c>
      <c r="T285">
        <v>40</v>
      </c>
      <c r="U285" s="26" t="str">
        <f>HYPERLINK("https://ictv.global/ictv/proposals/2024.045B.Autographivirales.zip","2024.045B.Autographivirales.zip")</f>
        <v>2024.045B.Autographivirales.zip</v>
      </c>
    </row>
    <row r="286" spans="1:21">
      <c r="A286">
        <v>285</v>
      </c>
      <c r="B286" s="27" t="s">
        <v>1449</v>
      </c>
      <c r="D286" s="27" t="s">
        <v>1450</v>
      </c>
      <c r="F286" s="27" t="s">
        <v>1453</v>
      </c>
      <c r="H286" s="27" t="s">
        <v>1454</v>
      </c>
      <c r="J286" s="27" t="s">
        <v>18547</v>
      </c>
      <c r="L286" s="27" t="s">
        <v>18627</v>
      </c>
      <c r="M286" s="27" t="s">
        <v>1456</v>
      </c>
      <c r="N286" s="27" t="s">
        <v>1271</v>
      </c>
      <c r="P286" s="27" t="s">
        <v>4197</v>
      </c>
      <c r="Q286" s="26" t="str">
        <f>HYPERLINK("https://ictv.global/taxonomy/taxondetails?taxnode_id=202506913&amp;ictv_id=ICTV201856913","ICTV201856913")</f>
        <v>ICTV201856913</v>
      </c>
      <c r="R286" t="s">
        <v>579</v>
      </c>
      <c r="S286" t="s">
        <v>22763</v>
      </c>
      <c r="T286">
        <v>40</v>
      </c>
      <c r="U286" s="26" t="str">
        <f>HYPERLINK("https://ictv.global/ictv/proposals/2024.045B.Autographivirales.zip","2024.045B.Autographivirales.zip")</f>
        <v>2024.045B.Autographivirales.zip</v>
      </c>
    </row>
    <row r="287" spans="1:21">
      <c r="A287">
        <v>286</v>
      </c>
      <c r="B287" s="27" t="s">
        <v>1449</v>
      </c>
      <c r="D287" s="27" t="s">
        <v>1450</v>
      </c>
      <c r="F287" s="27" t="s">
        <v>1453</v>
      </c>
      <c r="H287" s="27" t="s">
        <v>1454</v>
      </c>
      <c r="J287" s="27" t="s">
        <v>18547</v>
      </c>
      <c r="L287" s="27" t="s">
        <v>18627</v>
      </c>
      <c r="M287" s="27" t="s">
        <v>1456</v>
      </c>
      <c r="N287" s="27" t="s">
        <v>1271</v>
      </c>
      <c r="P287" s="27" t="s">
        <v>22717</v>
      </c>
      <c r="Q287" s="26" t="str">
        <f>HYPERLINK("https://ictv.global/taxonomy/taxondetails?taxnode_id=202523294&amp;ictv_id=ICTV202523294","ICTV202523294")</f>
        <v>ICTV202523294</v>
      </c>
      <c r="R287" t="s">
        <v>579</v>
      </c>
      <c r="S287" t="s">
        <v>823</v>
      </c>
      <c r="T287">
        <v>41</v>
      </c>
      <c r="U287" s="26" t="str">
        <f>HYPERLINK("https://ictv.global/ictv/proposals/2025.085B.Friunavirus_32ns.zip","2025.085B.Friunavirus_32ns.zip")</f>
        <v>2025.085B.Friunavirus_32ns.zip</v>
      </c>
    </row>
    <row r="288" spans="1:21">
      <c r="A288">
        <v>287</v>
      </c>
      <c r="B288" s="27" t="s">
        <v>1449</v>
      </c>
      <c r="D288" s="27" t="s">
        <v>1450</v>
      </c>
      <c r="F288" s="27" t="s">
        <v>1453</v>
      </c>
      <c r="H288" s="27" t="s">
        <v>1454</v>
      </c>
      <c r="J288" s="27" t="s">
        <v>18547</v>
      </c>
      <c r="L288" s="27" t="s">
        <v>18627</v>
      </c>
      <c r="M288" s="27" t="s">
        <v>1456</v>
      </c>
      <c r="N288" s="27" t="s">
        <v>1271</v>
      </c>
      <c r="P288" s="27" t="s">
        <v>22718</v>
      </c>
      <c r="Q288" s="26" t="str">
        <f>HYPERLINK("https://ictv.global/taxonomy/taxondetails?taxnode_id=202523295&amp;ictv_id=ICTV202523295","ICTV202523295")</f>
        <v>ICTV202523295</v>
      </c>
      <c r="R288" t="s">
        <v>579</v>
      </c>
      <c r="S288" t="s">
        <v>823</v>
      </c>
      <c r="T288">
        <v>41</v>
      </c>
      <c r="U288" s="26" t="str">
        <f>HYPERLINK("https://ictv.global/ictv/proposals/2025.085B.Friunavirus_32ns.zip","2025.085B.Friunavirus_32ns.zip")</f>
        <v>2025.085B.Friunavirus_32ns.zip</v>
      </c>
    </row>
    <row r="289" spans="1:21">
      <c r="A289">
        <v>288</v>
      </c>
      <c r="B289" s="27" t="s">
        <v>1449</v>
      </c>
      <c r="D289" s="27" t="s">
        <v>1450</v>
      </c>
      <c r="F289" s="27" t="s">
        <v>1453</v>
      </c>
      <c r="H289" s="27" t="s">
        <v>1454</v>
      </c>
      <c r="J289" s="27" t="s">
        <v>18547</v>
      </c>
      <c r="L289" s="27" t="s">
        <v>18627</v>
      </c>
      <c r="M289" s="27" t="s">
        <v>1456</v>
      </c>
      <c r="N289" s="27" t="s">
        <v>1271</v>
      </c>
      <c r="P289" s="27" t="s">
        <v>4198</v>
      </c>
      <c r="Q289" s="26" t="str">
        <f>HYPERLINK("https://ictv.global/taxonomy/taxondetails?taxnode_id=202508507&amp;ictv_id=ICTV201908507","ICTV201908507")</f>
        <v>ICTV201908507</v>
      </c>
      <c r="R289" t="s">
        <v>579</v>
      </c>
      <c r="S289" t="s">
        <v>22763</v>
      </c>
      <c r="T289">
        <v>40</v>
      </c>
      <c r="U289" s="26" t="str">
        <f t="shared" ref="U289:U294" si="13">HYPERLINK("https://ictv.global/ictv/proposals/2024.045B.Autographivirales.zip","2024.045B.Autographivirales.zip")</f>
        <v>2024.045B.Autographivirales.zip</v>
      </c>
    </row>
    <row r="290" spans="1:21">
      <c r="A290">
        <v>289</v>
      </c>
      <c r="B290" s="27" t="s">
        <v>1449</v>
      </c>
      <c r="D290" s="27" t="s">
        <v>1450</v>
      </c>
      <c r="F290" s="27" t="s">
        <v>1453</v>
      </c>
      <c r="H290" s="27" t="s">
        <v>1454</v>
      </c>
      <c r="J290" s="27" t="s">
        <v>18547</v>
      </c>
      <c r="L290" s="27" t="s">
        <v>18627</v>
      </c>
      <c r="M290" s="27" t="s">
        <v>1456</v>
      </c>
      <c r="N290" s="27" t="s">
        <v>1271</v>
      </c>
      <c r="P290" s="27" t="s">
        <v>4199</v>
      </c>
      <c r="Q290" s="26" t="str">
        <f>HYPERLINK("https://ictv.global/taxonomy/taxondetails?taxnode_id=202500544&amp;ictv_id=ICTV20164889","ICTV20164889")</f>
        <v>ICTV20164889</v>
      </c>
      <c r="R290" t="s">
        <v>579</v>
      </c>
      <c r="S290" t="s">
        <v>22763</v>
      </c>
      <c r="T290">
        <v>40</v>
      </c>
      <c r="U290" s="26" t="str">
        <f t="shared" si="13"/>
        <v>2024.045B.Autographivirales.zip</v>
      </c>
    </row>
    <row r="291" spans="1:21">
      <c r="A291">
        <v>290</v>
      </c>
      <c r="B291" s="27" t="s">
        <v>1449</v>
      </c>
      <c r="D291" s="27" t="s">
        <v>1450</v>
      </c>
      <c r="F291" s="27" t="s">
        <v>1453</v>
      </c>
      <c r="H291" s="27" t="s">
        <v>1454</v>
      </c>
      <c r="J291" s="27" t="s">
        <v>18547</v>
      </c>
      <c r="L291" s="27" t="s">
        <v>18627</v>
      </c>
      <c r="M291" s="27" t="s">
        <v>1456</v>
      </c>
      <c r="N291" s="27" t="s">
        <v>1271</v>
      </c>
      <c r="P291" s="27" t="s">
        <v>18631</v>
      </c>
      <c r="Q291" s="26" t="str">
        <f>HYPERLINK("https://ictv.global/taxonomy/taxondetails?taxnode_id=202520985&amp;ictv_id=ICTV202420985","ICTV202420985")</f>
        <v>ICTV202420985</v>
      </c>
      <c r="R291" t="s">
        <v>579</v>
      </c>
      <c r="S291" t="s">
        <v>823</v>
      </c>
      <c r="T291">
        <v>40</v>
      </c>
      <c r="U291" s="26" t="str">
        <f t="shared" si="13"/>
        <v>2024.045B.Autographivirales.zip</v>
      </c>
    </row>
    <row r="292" spans="1:21">
      <c r="A292">
        <v>291</v>
      </c>
      <c r="B292" s="27" t="s">
        <v>1449</v>
      </c>
      <c r="D292" s="27" t="s">
        <v>1450</v>
      </c>
      <c r="F292" s="27" t="s">
        <v>1453</v>
      </c>
      <c r="H292" s="27" t="s">
        <v>1454</v>
      </c>
      <c r="J292" s="27" t="s">
        <v>18547</v>
      </c>
      <c r="L292" s="27" t="s">
        <v>18627</v>
      </c>
      <c r="M292" s="27" t="s">
        <v>1456</v>
      </c>
      <c r="N292" s="27" t="s">
        <v>1271</v>
      </c>
      <c r="P292" s="27" t="s">
        <v>18632</v>
      </c>
      <c r="Q292" s="26" t="str">
        <f>HYPERLINK("https://ictv.global/taxonomy/taxondetails?taxnode_id=202520968&amp;ictv_id=ICTV202420968","ICTV202420968")</f>
        <v>ICTV202420968</v>
      </c>
      <c r="R292" t="s">
        <v>579</v>
      </c>
      <c r="S292" t="s">
        <v>823</v>
      </c>
      <c r="T292">
        <v>40</v>
      </c>
      <c r="U292" s="26" t="str">
        <f t="shared" si="13"/>
        <v>2024.045B.Autographivirales.zip</v>
      </c>
    </row>
    <row r="293" spans="1:21">
      <c r="A293">
        <v>292</v>
      </c>
      <c r="B293" s="27" t="s">
        <v>1449</v>
      </c>
      <c r="D293" s="27" t="s">
        <v>1450</v>
      </c>
      <c r="F293" s="27" t="s">
        <v>1453</v>
      </c>
      <c r="H293" s="27" t="s">
        <v>1454</v>
      </c>
      <c r="J293" s="27" t="s">
        <v>18547</v>
      </c>
      <c r="L293" s="27" t="s">
        <v>18627</v>
      </c>
      <c r="M293" s="27" t="s">
        <v>1456</v>
      </c>
      <c r="N293" s="27" t="s">
        <v>1271</v>
      </c>
      <c r="P293" s="27" t="s">
        <v>18633</v>
      </c>
      <c r="Q293" s="26" t="str">
        <f>HYPERLINK("https://ictv.global/taxonomy/taxondetails?taxnode_id=202520992&amp;ictv_id=ICTV202420992","ICTV202420992")</f>
        <v>ICTV202420992</v>
      </c>
      <c r="R293" t="s">
        <v>579</v>
      </c>
      <c r="S293" t="s">
        <v>823</v>
      </c>
      <c r="T293">
        <v>40</v>
      </c>
      <c r="U293" s="26" t="str">
        <f t="shared" si="13"/>
        <v>2024.045B.Autographivirales.zip</v>
      </c>
    </row>
    <row r="294" spans="1:21">
      <c r="A294">
        <v>293</v>
      </c>
      <c r="B294" s="27" t="s">
        <v>1449</v>
      </c>
      <c r="D294" s="27" t="s">
        <v>1450</v>
      </c>
      <c r="F294" s="27" t="s">
        <v>1453</v>
      </c>
      <c r="H294" s="27" t="s">
        <v>1454</v>
      </c>
      <c r="J294" s="27" t="s">
        <v>18547</v>
      </c>
      <c r="L294" s="27" t="s">
        <v>18627</v>
      </c>
      <c r="M294" s="27" t="s">
        <v>1456</v>
      </c>
      <c r="N294" s="27" t="s">
        <v>1271</v>
      </c>
      <c r="P294" s="27" t="s">
        <v>18634</v>
      </c>
      <c r="Q294" s="26" t="str">
        <f>HYPERLINK("https://ictv.global/taxonomy/taxondetails?taxnode_id=202520996&amp;ictv_id=ICTV202420996","ICTV202420996")</f>
        <v>ICTV202420996</v>
      </c>
      <c r="R294" t="s">
        <v>579</v>
      </c>
      <c r="S294" t="s">
        <v>823</v>
      </c>
      <c r="T294">
        <v>40</v>
      </c>
      <c r="U294" s="26" t="str">
        <f t="shared" si="13"/>
        <v>2024.045B.Autographivirales.zip</v>
      </c>
    </row>
    <row r="295" spans="1:21">
      <c r="A295">
        <v>294</v>
      </c>
      <c r="B295" s="27" t="s">
        <v>1449</v>
      </c>
      <c r="D295" s="27" t="s">
        <v>1450</v>
      </c>
      <c r="F295" s="27" t="s">
        <v>1453</v>
      </c>
      <c r="H295" s="27" t="s">
        <v>1454</v>
      </c>
      <c r="J295" s="27" t="s">
        <v>18547</v>
      </c>
      <c r="L295" s="27" t="s">
        <v>18627</v>
      </c>
      <c r="M295" s="27" t="s">
        <v>1456</v>
      </c>
      <c r="N295" s="27" t="s">
        <v>1271</v>
      </c>
      <c r="P295" s="27" t="s">
        <v>22713</v>
      </c>
      <c r="Q295" s="26" t="str">
        <f>HYPERLINK("https://ictv.global/taxonomy/taxondetails?taxnode_id=202523290&amp;ictv_id=ICTV202523290","ICTV202523290")</f>
        <v>ICTV202523290</v>
      </c>
      <c r="R295" t="s">
        <v>579</v>
      </c>
      <c r="S295" t="s">
        <v>823</v>
      </c>
      <c r="T295">
        <v>41</v>
      </c>
      <c r="U295" s="26" t="str">
        <f>HYPERLINK("https://ictv.global/ictv/proposals/2025.085B.Friunavirus_32ns.zip","2025.085B.Friunavirus_32ns.zip")</f>
        <v>2025.085B.Friunavirus_32ns.zip</v>
      </c>
    </row>
    <row r="296" spans="1:21">
      <c r="A296">
        <v>295</v>
      </c>
      <c r="B296" s="27" t="s">
        <v>1449</v>
      </c>
      <c r="D296" s="27" t="s">
        <v>1450</v>
      </c>
      <c r="F296" s="27" t="s">
        <v>1453</v>
      </c>
      <c r="H296" s="27" t="s">
        <v>1454</v>
      </c>
      <c r="J296" s="27" t="s">
        <v>18547</v>
      </c>
      <c r="L296" s="27" t="s">
        <v>18627</v>
      </c>
      <c r="M296" s="27" t="s">
        <v>1456</v>
      </c>
      <c r="N296" s="27" t="s">
        <v>1271</v>
      </c>
      <c r="P296" s="27" t="s">
        <v>22715</v>
      </c>
      <c r="Q296" s="26" t="str">
        <f>HYPERLINK("https://ictv.global/taxonomy/taxondetails?taxnode_id=202523292&amp;ictv_id=ICTV202523292","ICTV202523292")</f>
        <v>ICTV202523292</v>
      </c>
      <c r="R296" t="s">
        <v>579</v>
      </c>
      <c r="S296" t="s">
        <v>823</v>
      </c>
      <c r="T296">
        <v>41</v>
      </c>
      <c r="U296" s="26" t="str">
        <f>HYPERLINK("https://ictv.global/ictv/proposals/2025.085B.Friunavirus_32ns.zip","2025.085B.Friunavirus_32ns.zip")</f>
        <v>2025.085B.Friunavirus_32ns.zip</v>
      </c>
    </row>
    <row r="297" spans="1:21">
      <c r="A297">
        <v>296</v>
      </c>
      <c r="B297" s="27" t="s">
        <v>1449</v>
      </c>
      <c r="D297" s="27" t="s">
        <v>1450</v>
      </c>
      <c r="F297" s="27" t="s">
        <v>1453</v>
      </c>
      <c r="H297" s="27" t="s">
        <v>1454</v>
      </c>
      <c r="J297" s="27" t="s">
        <v>18547</v>
      </c>
      <c r="L297" s="27" t="s">
        <v>18627</v>
      </c>
      <c r="M297" s="27" t="s">
        <v>1456</v>
      </c>
      <c r="N297" s="27" t="s">
        <v>1271</v>
      </c>
      <c r="P297" s="27" t="s">
        <v>18635</v>
      </c>
      <c r="Q297" s="26" t="str">
        <f>HYPERLINK("https://ictv.global/taxonomy/taxondetails?taxnode_id=202520970&amp;ictv_id=ICTV202420970","ICTV202420970")</f>
        <v>ICTV202420970</v>
      </c>
      <c r="R297" t="s">
        <v>579</v>
      </c>
      <c r="S297" t="s">
        <v>823</v>
      </c>
      <c r="T297">
        <v>40</v>
      </c>
      <c r="U297" s="26" t="str">
        <f>HYPERLINK("https://ictv.global/ictv/proposals/2024.045B.Autographivirales.zip","2024.045B.Autographivirales.zip")</f>
        <v>2024.045B.Autographivirales.zip</v>
      </c>
    </row>
    <row r="298" spans="1:21">
      <c r="A298">
        <v>297</v>
      </c>
      <c r="B298" s="27" t="s">
        <v>1449</v>
      </c>
      <c r="D298" s="27" t="s">
        <v>1450</v>
      </c>
      <c r="F298" s="27" t="s">
        <v>1453</v>
      </c>
      <c r="H298" s="27" t="s">
        <v>1454</v>
      </c>
      <c r="J298" s="27" t="s">
        <v>18547</v>
      </c>
      <c r="L298" s="27" t="s">
        <v>18627</v>
      </c>
      <c r="M298" s="27" t="s">
        <v>1456</v>
      </c>
      <c r="N298" s="27" t="s">
        <v>1271</v>
      </c>
      <c r="P298" s="27" t="s">
        <v>18636</v>
      </c>
      <c r="Q298" s="26" t="str">
        <f>HYPERLINK("https://ictv.global/taxonomy/taxondetails?taxnode_id=202520986&amp;ictv_id=ICTV202420986","ICTV202420986")</f>
        <v>ICTV202420986</v>
      </c>
      <c r="R298" t="s">
        <v>579</v>
      </c>
      <c r="S298" t="s">
        <v>823</v>
      </c>
      <c r="T298">
        <v>40</v>
      </c>
      <c r="U298" s="26" t="str">
        <f>HYPERLINK("https://ictv.global/ictv/proposals/2024.045B.Autographivirales.zip","2024.045B.Autographivirales.zip")</f>
        <v>2024.045B.Autographivirales.zip</v>
      </c>
    </row>
    <row r="299" spans="1:21">
      <c r="A299">
        <v>298</v>
      </c>
      <c r="B299" s="27" t="s">
        <v>1449</v>
      </c>
      <c r="D299" s="27" t="s">
        <v>1450</v>
      </c>
      <c r="F299" s="27" t="s">
        <v>1453</v>
      </c>
      <c r="H299" s="27" t="s">
        <v>1454</v>
      </c>
      <c r="J299" s="27" t="s">
        <v>18547</v>
      </c>
      <c r="L299" s="27" t="s">
        <v>18627</v>
      </c>
      <c r="M299" s="27" t="s">
        <v>1456</v>
      </c>
      <c r="N299" s="27" t="s">
        <v>1271</v>
      </c>
      <c r="P299" s="27" t="s">
        <v>22704</v>
      </c>
      <c r="Q299" s="26" t="str">
        <f>HYPERLINK("https://ictv.global/taxonomy/taxondetails?taxnode_id=202523281&amp;ictv_id=ICTV202523281","ICTV202523281")</f>
        <v>ICTV202523281</v>
      </c>
      <c r="R299" t="s">
        <v>579</v>
      </c>
      <c r="S299" t="s">
        <v>823</v>
      </c>
      <c r="T299">
        <v>41</v>
      </c>
      <c r="U299" s="26" t="str">
        <f>HYPERLINK("https://ictv.global/ictv/proposals/2025.085B.Friunavirus_32ns.zip","2025.085B.Friunavirus_32ns.zip")</f>
        <v>2025.085B.Friunavirus_32ns.zip</v>
      </c>
    </row>
    <row r="300" spans="1:21">
      <c r="A300">
        <v>299</v>
      </c>
      <c r="B300" s="27" t="s">
        <v>1449</v>
      </c>
      <c r="D300" s="27" t="s">
        <v>1450</v>
      </c>
      <c r="F300" s="27" t="s">
        <v>1453</v>
      </c>
      <c r="H300" s="27" t="s">
        <v>1454</v>
      </c>
      <c r="J300" s="27" t="s">
        <v>18547</v>
      </c>
      <c r="L300" s="27" t="s">
        <v>18627</v>
      </c>
      <c r="M300" s="27" t="s">
        <v>1456</v>
      </c>
      <c r="N300" s="27" t="s">
        <v>1271</v>
      </c>
      <c r="P300" s="27" t="s">
        <v>4200</v>
      </c>
      <c r="Q300" s="26" t="str">
        <f>HYPERLINK("https://ictv.global/taxonomy/taxondetails?taxnode_id=202508506&amp;ictv_id=ICTV201908506","ICTV201908506")</f>
        <v>ICTV201908506</v>
      </c>
      <c r="R300" t="s">
        <v>579</v>
      </c>
      <c r="S300" t="s">
        <v>22763</v>
      </c>
      <c r="T300">
        <v>40</v>
      </c>
      <c r="U300" s="26" t="str">
        <f t="shared" ref="U300:U312" si="14">HYPERLINK("https://ictv.global/ictv/proposals/2024.045B.Autographivirales.zip","2024.045B.Autographivirales.zip")</f>
        <v>2024.045B.Autographivirales.zip</v>
      </c>
    </row>
    <row r="301" spans="1:21">
      <c r="A301">
        <v>300</v>
      </c>
      <c r="B301" s="27" t="s">
        <v>1449</v>
      </c>
      <c r="D301" s="27" t="s">
        <v>1450</v>
      </c>
      <c r="F301" s="27" t="s">
        <v>1453</v>
      </c>
      <c r="H301" s="27" t="s">
        <v>1454</v>
      </c>
      <c r="J301" s="27" t="s">
        <v>18547</v>
      </c>
      <c r="L301" s="27" t="s">
        <v>18627</v>
      </c>
      <c r="M301" s="27" t="s">
        <v>1456</v>
      </c>
      <c r="N301" s="27" t="s">
        <v>1271</v>
      </c>
      <c r="P301" s="27" t="s">
        <v>4201</v>
      </c>
      <c r="Q301" s="26" t="str">
        <f>HYPERLINK("https://ictv.global/taxonomy/taxondetails?taxnode_id=202508505&amp;ictv_id=ICTV201908505","ICTV201908505")</f>
        <v>ICTV201908505</v>
      </c>
      <c r="R301" t="s">
        <v>579</v>
      </c>
      <c r="S301" t="s">
        <v>22763</v>
      </c>
      <c r="T301">
        <v>40</v>
      </c>
      <c r="U301" s="26" t="str">
        <f t="shared" si="14"/>
        <v>2024.045B.Autographivirales.zip</v>
      </c>
    </row>
    <row r="302" spans="1:21">
      <c r="A302">
        <v>301</v>
      </c>
      <c r="B302" s="27" t="s">
        <v>1449</v>
      </c>
      <c r="D302" s="27" t="s">
        <v>1450</v>
      </c>
      <c r="F302" s="27" t="s">
        <v>1453</v>
      </c>
      <c r="H302" s="27" t="s">
        <v>1454</v>
      </c>
      <c r="J302" s="27" t="s">
        <v>18547</v>
      </c>
      <c r="L302" s="27" t="s">
        <v>18627</v>
      </c>
      <c r="M302" s="27" t="s">
        <v>1456</v>
      </c>
      <c r="N302" s="27" t="s">
        <v>1271</v>
      </c>
      <c r="P302" s="27" t="s">
        <v>18637</v>
      </c>
      <c r="Q302" s="26" t="str">
        <f>HYPERLINK("https://ictv.global/taxonomy/taxondetails?taxnode_id=202520972&amp;ictv_id=ICTV202420972","ICTV202420972")</f>
        <v>ICTV202420972</v>
      </c>
      <c r="R302" t="s">
        <v>579</v>
      </c>
      <c r="S302" t="s">
        <v>823</v>
      </c>
      <c r="T302">
        <v>40</v>
      </c>
      <c r="U302" s="26" t="str">
        <f t="shared" si="14"/>
        <v>2024.045B.Autographivirales.zip</v>
      </c>
    </row>
    <row r="303" spans="1:21">
      <c r="A303">
        <v>302</v>
      </c>
      <c r="B303" s="27" t="s">
        <v>1449</v>
      </c>
      <c r="D303" s="27" t="s">
        <v>1450</v>
      </c>
      <c r="F303" s="27" t="s">
        <v>1453</v>
      </c>
      <c r="H303" s="27" t="s">
        <v>1454</v>
      </c>
      <c r="J303" s="27" t="s">
        <v>18547</v>
      </c>
      <c r="L303" s="27" t="s">
        <v>18627</v>
      </c>
      <c r="M303" s="27" t="s">
        <v>1456</v>
      </c>
      <c r="N303" s="27" t="s">
        <v>1271</v>
      </c>
      <c r="P303" s="27" t="s">
        <v>18638</v>
      </c>
      <c r="Q303" s="26" t="str">
        <f>HYPERLINK("https://ictv.global/taxonomy/taxondetails?taxnode_id=202520963&amp;ictv_id=ICTV202420963","ICTV202420963")</f>
        <v>ICTV202420963</v>
      </c>
      <c r="R303" t="s">
        <v>579</v>
      </c>
      <c r="S303" t="s">
        <v>823</v>
      </c>
      <c r="T303">
        <v>40</v>
      </c>
      <c r="U303" s="26" t="str">
        <f t="shared" si="14"/>
        <v>2024.045B.Autographivirales.zip</v>
      </c>
    </row>
    <row r="304" spans="1:21">
      <c r="A304">
        <v>303</v>
      </c>
      <c r="B304" s="27" t="s">
        <v>1449</v>
      </c>
      <c r="D304" s="27" t="s">
        <v>1450</v>
      </c>
      <c r="F304" s="27" t="s">
        <v>1453</v>
      </c>
      <c r="H304" s="27" t="s">
        <v>1454</v>
      </c>
      <c r="J304" s="27" t="s">
        <v>18547</v>
      </c>
      <c r="L304" s="27" t="s">
        <v>18627</v>
      </c>
      <c r="M304" s="27" t="s">
        <v>1456</v>
      </c>
      <c r="N304" s="27" t="s">
        <v>1271</v>
      </c>
      <c r="P304" s="27" t="s">
        <v>18639</v>
      </c>
      <c r="Q304" s="26" t="str">
        <f>HYPERLINK("https://ictv.global/taxonomy/taxondetails?taxnode_id=202520973&amp;ictv_id=ICTV202420973","ICTV202420973")</f>
        <v>ICTV202420973</v>
      </c>
      <c r="R304" t="s">
        <v>579</v>
      </c>
      <c r="S304" t="s">
        <v>823</v>
      </c>
      <c r="T304">
        <v>40</v>
      </c>
      <c r="U304" s="26" t="str">
        <f t="shared" si="14"/>
        <v>2024.045B.Autographivirales.zip</v>
      </c>
    </row>
    <row r="305" spans="1:21">
      <c r="A305">
        <v>304</v>
      </c>
      <c r="B305" s="27" t="s">
        <v>1449</v>
      </c>
      <c r="D305" s="27" t="s">
        <v>1450</v>
      </c>
      <c r="F305" s="27" t="s">
        <v>1453</v>
      </c>
      <c r="H305" s="27" t="s">
        <v>1454</v>
      </c>
      <c r="J305" s="27" t="s">
        <v>18547</v>
      </c>
      <c r="L305" s="27" t="s">
        <v>18627</v>
      </c>
      <c r="M305" s="27" t="s">
        <v>1456</v>
      </c>
      <c r="N305" s="27" t="s">
        <v>1271</v>
      </c>
      <c r="P305" s="27" t="s">
        <v>18640</v>
      </c>
      <c r="Q305" s="26" t="str">
        <f>HYPERLINK("https://ictv.global/taxonomy/taxondetails?taxnode_id=202521007&amp;ictv_id=ICTV202421007","ICTV202421007")</f>
        <v>ICTV202421007</v>
      </c>
      <c r="R305" t="s">
        <v>579</v>
      </c>
      <c r="S305" t="s">
        <v>823</v>
      </c>
      <c r="T305">
        <v>40</v>
      </c>
      <c r="U305" s="26" t="str">
        <f t="shared" si="14"/>
        <v>2024.045B.Autographivirales.zip</v>
      </c>
    </row>
    <row r="306" spans="1:21">
      <c r="A306">
        <v>305</v>
      </c>
      <c r="B306" s="27" t="s">
        <v>1449</v>
      </c>
      <c r="D306" s="27" t="s">
        <v>1450</v>
      </c>
      <c r="F306" s="27" t="s">
        <v>1453</v>
      </c>
      <c r="H306" s="27" t="s">
        <v>1454</v>
      </c>
      <c r="J306" s="27" t="s">
        <v>18547</v>
      </c>
      <c r="L306" s="27" t="s">
        <v>18627</v>
      </c>
      <c r="M306" s="27" t="s">
        <v>1456</v>
      </c>
      <c r="N306" s="27" t="s">
        <v>1271</v>
      </c>
      <c r="P306" s="27" t="s">
        <v>18641</v>
      </c>
      <c r="Q306" s="26" t="str">
        <f>HYPERLINK("https://ictv.global/taxonomy/taxondetails?taxnode_id=202521004&amp;ictv_id=ICTV202421004","ICTV202421004")</f>
        <v>ICTV202421004</v>
      </c>
      <c r="R306" t="s">
        <v>579</v>
      </c>
      <c r="S306" t="s">
        <v>823</v>
      </c>
      <c r="T306">
        <v>40</v>
      </c>
      <c r="U306" s="26" t="str">
        <f t="shared" si="14"/>
        <v>2024.045B.Autographivirales.zip</v>
      </c>
    </row>
    <row r="307" spans="1:21">
      <c r="A307">
        <v>306</v>
      </c>
      <c r="B307" s="27" t="s">
        <v>1449</v>
      </c>
      <c r="D307" s="27" t="s">
        <v>1450</v>
      </c>
      <c r="F307" s="27" t="s">
        <v>1453</v>
      </c>
      <c r="H307" s="27" t="s">
        <v>1454</v>
      </c>
      <c r="J307" s="27" t="s">
        <v>18547</v>
      </c>
      <c r="L307" s="27" t="s">
        <v>18627</v>
      </c>
      <c r="M307" s="27" t="s">
        <v>1456</v>
      </c>
      <c r="N307" s="27" t="s">
        <v>1271</v>
      </c>
      <c r="P307" s="27" t="s">
        <v>18642</v>
      </c>
      <c r="Q307" s="26" t="str">
        <f>HYPERLINK("https://ictv.global/taxonomy/taxondetails?taxnode_id=202520998&amp;ictv_id=ICTV202420998","ICTV202420998")</f>
        <v>ICTV202420998</v>
      </c>
      <c r="R307" t="s">
        <v>579</v>
      </c>
      <c r="S307" t="s">
        <v>823</v>
      </c>
      <c r="T307">
        <v>40</v>
      </c>
      <c r="U307" s="26" t="str">
        <f t="shared" si="14"/>
        <v>2024.045B.Autographivirales.zip</v>
      </c>
    </row>
    <row r="308" spans="1:21">
      <c r="A308">
        <v>307</v>
      </c>
      <c r="B308" s="27" t="s">
        <v>1449</v>
      </c>
      <c r="D308" s="27" t="s">
        <v>1450</v>
      </c>
      <c r="F308" s="27" t="s">
        <v>1453</v>
      </c>
      <c r="H308" s="27" t="s">
        <v>1454</v>
      </c>
      <c r="J308" s="27" t="s">
        <v>18547</v>
      </c>
      <c r="L308" s="27" t="s">
        <v>18627</v>
      </c>
      <c r="M308" s="27" t="s">
        <v>1456</v>
      </c>
      <c r="N308" s="27" t="s">
        <v>1271</v>
      </c>
      <c r="P308" s="27" t="s">
        <v>18643</v>
      </c>
      <c r="Q308" s="26" t="str">
        <f>HYPERLINK("https://ictv.global/taxonomy/taxondetails?taxnode_id=202520997&amp;ictv_id=ICTV202420997","ICTV202420997")</f>
        <v>ICTV202420997</v>
      </c>
      <c r="R308" t="s">
        <v>579</v>
      </c>
      <c r="S308" t="s">
        <v>823</v>
      </c>
      <c r="T308">
        <v>40</v>
      </c>
      <c r="U308" s="26" t="str">
        <f t="shared" si="14"/>
        <v>2024.045B.Autographivirales.zip</v>
      </c>
    </row>
    <row r="309" spans="1:21">
      <c r="A309">
        <v>308</v>
      </c>
      <c r="B309" s="27" t="s">
        <v>1449</v>
      </c>
      <c r="D309" s="27" t="s">
        <v>1450</v>
      </c>
      <c r="F309" s="27" t="s">
        <v>1453</v>
      </c>
      <c r="H309" s="27" t="s">
        <v>1454</v>
      </c>
      <c r="J309" s="27" t="s">
        <v>18547</v>
      </c>
      <c r="L309" s="27" t="s">
        <v>18627</v>
      </c>
      <c r="M309" s="27" t="s">
        <v>1456</v>
      </c>
      <c r="N309" s="27" t="s">
        <v>1271</v>
      </c>
      <c r="P309" s="27" t="s">
        <v>18644</v>
      </c>
      <c r="Q309" s="26" t="str">
        <f>HYPERLINK("https://ictv.global/taxonomy/taxondetails?taxnode_id=202520991&amp;ictv_id=ICTV202420991","ICTV202420991")</f>
        <v>ICTV202420991</v>
      </c>
      <c r="R309" t="s">
        <v>579</v>
      </c>
      <c r="S309" t="s">
        <v>823</v>
      </c>
      <c r="T309">
        <v>40</v>
      </c>
      <c r="U309" s="26" t="str">
        <f t="shared" si="14"/>
        <v>2024.045B.Autographivirales.zip</v>
      </c>
    </row>
    <row r="310" spans="1:21">
      <c r="A310">
        <v>309</v>
      </c>
      <c r="B310" s="27" t="s">
        <v>1449</v>
      </c>
      <c r="D310" s="27" t="s">
        <v>1450</v>
      </c>
      <c r="F310" s="27" t="s">
        <v>1453</v>
      </c>
      <c r="H310" s="27" t="s">
        <v>1454</v>
      </c>
      <c r="J310" s="27" t="s">
        <v>18547</v>
      </c>
      <c r="L310" s="27" t="s">
        <v>18627</v>
      </c>
      <c r="M310" s="27" t="s">
        <v>1456</v>
      </c>
      <c r="N310" s="27" t="s">
        <v>1271</v>
      </c>
      <c r="P310" s="27" t="s">
        <v>18645</v>
      </c>
      <c r="Q310" s="26" t="str">
        <f>HYPERLINK("https://ictv.global/taxonomy/taxondetails?taxnode_id=202521003&amp;ictv_id=ICTV202421003","ICTV202421003")</f>
        <v>ICTV202421003</v>
      </c>
      <c r="R310" t="s">
        <v>579</v>
      </c>
      <c r="S310" t="s">
        <v>823</v>
      </c>
      <c r="T310">
        <v>40</v>
      </c>
      <c r="U310" s="26" t="str">
        <f t="shared" si="14"/>
        <v>2024.045B.Autographivirales.zip</v>
      </c>
    </row>
    <row r="311" spans="1:21">
      <c r="A311">
        <v>310</v>
      </c>
      <c r="B311" s="27" t="s">
        <v>1449</v>
      </c>
      <c r="D311" s="27" t="s">
        <v>1450</v>
      </c>
      <c r="F311" s="27" t="s">
        <v>1453</v>
      </c>
      <c r="H311" s="27" t="s">
        <v>1454</v>
      </c>
      <c r="J311" s="27" t="s">
        <v>18547</v>
      </c>
      <c r="L311" s="27" t="s">
        <v>18627</v>
      </c>
      <c r="M311" s="27" t="s">
        <v>1456</v>
      </c>
      <c r="N311" s="27" t="s">
        <v>1271</v>
      </c>
      <c r="P311" s="27" t="s">
        <v>18646</v>
      </c>
      <c r="Q311" s="26" t="str">
        <f>HYPERLINK("https://ictv.global/taxonomy/taxondetails?taxnode_id=202520982&amp;ictv_id=ICTV202420982","ICTV202420982")</f>
        <v>ICTV202420982</v>
      </c>
      <c r="R311" t="s">
        <v>579</v>
      </c>
      <c r="S311" t="s">
        <v>823</v>
      </c>
      <c r="T311">
        <v>40</v>
      </c>
      <c r="U311" s="26" t="str">
        <f t="shared" si="14"/>
        <v>2024.045B.Autographivirales.zip</v>
      </c>
    </row>
    <row r="312" spans="1:21">
      <c r="A312">
        <v>311</v>
      </c>
      <c r="B312" s="27" t="s">
        <v>1449</v>
      </c>
      <c r="D312" s="27" t="s">
        <v>1450</v>
      </c>
      <c r="F312" s="27" t="s">
        <v>1453</v>
      </c>
      <c r="H312" s="27" t="s">
        <v>1454</v>
      </c>
      <c r="J312" s="27" t="s">
        <v>18547</v>
      </c>
      <c r="L312" s="27" t="s">
        <v>18627</v>
      </c>
      <c r="M312" s="27" t="s">
        <v>1456</v>
      </c>
      <c r="N312" s="27" t="s">
        <v>1271</v>
      </c>
      <c r="P312" s="27" t="s">
        <v>18647</v>
      </c>
      <c r="Q312" s="26" t="str">
        <f>HYPERLINK("https://ictv.global/taxonomy/taxondetails?taxnode_id=202520995&amp;ictv_id=ICTV202420995","ICTV202420995")</f>
        <v>ICTV202420995</v>
      </c>
      <c r="R312" t="s">
        <v>579</v>
      </c>
      <c r="S312" t="s">
        <v>823</v>
      </c>
      <c r="T312">
        <v>40</v>
      </c>
      <c r="U312" s="26" t="str">
        <f t="shared" si="14"/>
        <v>2024.045B.Autographivirales.zip</v>
      </c>
    </row>
    <row r="313" spans="1:21">
      <c r="A313">
        <v>312</v>
      </c>
      <c r="B313" s="27" t="s">
        <v>1449</v>
      </c>
      <c r="D313" s="27" t="s">
        <v>1450</v>
      </c>
      <c r="F313" s="27" t="s">
        <v>1453</v>
      </c>
      <c r="H313" s="27" t="s">
        <v>1454</v>
      </c>
      <c r="J313" s="27" t="s">
        <v>18547</v>
      </c>
      <c r="L313" s="27" t="s">
        <v>18627</v>
      </c>
      <c r="M313" s="27" t="s">
        <v>1456</v>
      </c>
      <c r="N313" s="27" t="s">
        <v>1271</v>
      </c>
      <c r="P313" s="27" t="s">
        <v>22705</v>
      </c>
      <c r="Q313" s="26" t="str">
        <f>HYPERLINK("https://ictv.global/taxonomy/taxondetails?taxnode_id=202523282&amp;ictv_id=ICTV202523282","ICTV202523282")</f>
        <v>ICTV202523282</v>
      </c>
      <c r="R313" t="s">
        <v>579</v>
      </c>
      <c r="S313" t="s">
        <v>823</v>
      </c>
      <c r="T313">
        <v>41</v>
      </c>
      <c r="U313" s="26" t="str">
        <f>HYPERLINK("https://ictv.global/ictv/proposals/2025.085B.Friunavirus_32ns.zip","2025.085B.Friunavirus_32ns.zip")</f>
        <v>2025.085B.Friunavirus_32ns.zip</v>
      </c>
    </row>
    <row r="314" spans="1:21">
      <c r="A314">
        <v>313</v>
      </c>
      <c r="B314" s="27" t="s">
        <v>1449</v>
      </c>
      <c r="D314" s="27" t="s">
        <v>1450</v>
      </c>
      <c r="F314" s="27" t="s">
        <v>1453</v>
      </c>
      <c r="H314" s="27" t="s">
        <v>1454</v>
      </c>
      <c r="J314" s="27" t="s">
        <v>18547</v>
      </c>
      <c r="L314" s="27" t="s">
        <v>18627</v>
      </c>
      <c r="M314" s="27" t="s">
        <v>1456</v>
      </c>
      <c r="N314" s="27" t="s">
        <v>1271</v>
      </c>
      <c r="P314" s="27" t="s">
        <v>18648</v>
      </c>
      <c r="Q314" s="26" t="str">
        <f>HYPERLINK("https://ictv.global/taxonomy/taxondetails?taxnode_id=202520978&amp;ictv_id=ICTV202420978","ICTV202420978")</f>
        <v>ICTV202420978</v>
      </c>
      <c r="R314" t="s">
        <v>579</v>
      </c>
      <c r="S314" t="s">
        <v>823</v>
      </c>
      <c r="T314">
        <v>40</v>
      </c>
      <c r="U314" s="26" t="str">
        <f t="shared" ref="U314:U329" si="15">HYPERLINK("https://ictv.global/ictv/proposals/2024.045B.Autographivirales.zip","2024.045B.Autographivirales.zip")</f>
        <v>2024.045B.Autographivirales.zip</v>
      </c>
    </row>
    <row r="315" spans="1:21">
      <c r="A315">
        <v>314</v>
      </c>
      <c r="B315" s="27" t="s">
        <v>1449</v>
      </c>
      <c r="D315" s="27" t="s">
        <v>1450</v>
      </c>
      <c r="F315" s="27" t="s">
        <v>1453</v>
      </c>
      <c r="H315" s="27" t="s">
        <v>1454</v>
      </c>
      <c r="J315" s="27" t="s">
        <v>18547</v>
      </c>
      <c r="L315" s="27" t="s">
        <v>18627</v>
      </c>
      <c r="M315" s="27" t="s">
        <v>1456</v>
      </c>
      <c r="N315" s="27" t="s">
        <v>1271</v>
      </c>
      <c r="P315" s="27" t="s">
        <v>18649</v>
      </c>
      <c r="Q315" s="26" t="str">
        <f>HYPERLINK("https://ictv.global/taxonomy/taxondetails?taxnode_id=202520981&amp;ictv_id=ICTV202420981","ICTV202420981")</f>
        <v>ICTV202420981</v>
      </c>
      <c r="R315" t="s">
        <v>579</v>
      </c>
      <c r="S315" t="s">
        <v>823</v>
      </c>
      <c r="T315">
        <v>40</v>
      </c>
      <c r="U315" s="26" t="str">
        <f t="shared" si="15"/>
        <v>2024.045B.Autographivirales.zip</v>
      </c>
    </row>
    <row r="316" spans="1:21">
      <c r="A316">
        <v>315</v>
      </c>
      <c r="B316" s="27" t="s">
        <v>1449</v>
      </c>
      <c r="D316" s="27" t="s">
        <v>1450</v>
      </c>
      <c r="F316" s="27" t="s">
        <v>1453</v>
      </c>
      <c r="H316" s="27" t="s">
        <v>1454</v>
      </c>
      <c r="J316" s="27" t="s">
        <v>18547</v>
      </c>
      <c r="L316" s="27" t="s">
        <v>18627</v>
      </c>
      <c r="M316" s="27" t="s">
        <v>1456</v>
      </c>
      <c r="N316" s="27" t="s">
        <v>1271</v>
      </c>
      <c r="P316" s="27" t="s">
        <v>18650</v>
      </c>
      <c r="Q316" s="26" t="str">
        <f>HYPERLINK("https://ictv.global/taxonomy/taxondetails?taxnode_id=202520974&amp;ictv_id=ICTV202420974","ICTV202420974")</f>
        <v>ICTV202420974</v>
      </c>
      <c r="R316" t="s">
        <v>579</v>
      </c>
      <c r="S316" t="s">
        <v>823</v>
      </c>
      <c r="T316">
        <v>40</v>
      </c>
      <c r="U316" s="26" t="str">
        <f t="shared" si="15"/>
        <v>2024.045B.Autographivirales.zip</v>
      </c>
    </row>
    <row r="317" spans="1:21">
      <c r="A317">
        <v>316</v>
      </c>
      <c r="B317" s="27" t="s">
        <v>1449</v>
      </c>
      <c r="D317" s="27" t="s">
        <v>1450</v>
      </c>
      <c r="F317" s="27" t="s">
        <v>1453</v>
      </c>
      <c r="H317" s="27" t="s">
        <v>1454</v>
      </c>
      <c r="J317" s="27" t="s">
        <v>18547</v>
      </c>
      <c r="L317" s="27" t="s">
        <v>18627</v>
      </c>
      <c r="M317" s="27" t="s">
        <v>1456</v>
      </c>
      <c r="N317" s="27" t="s">
        <v>1271</v>
      </c>
      <c r="P317" s="27" t="s">
        <v>18651</v>
      </c>
      <c r="Q317" s="26" t="str">
        <f>HYPERLINK("https://ictv.global/taxonomy/taxondetails?taxnode_id=202520977&amp;ictv_id=ICTV202420977","ICTV202420977")</f>
        <v>ICTV202420977</v>
      </c>
      <c r="R317" t="s">
        <v>579</v>
      </c>
      <c r="S317" t="s">
        <v>823</v>
      </c>
      <c r="T317">
        <v>40</v>
      </c>
      <c r="U317" s="26" t="str">
        <f t="shared" si="15"/>
        <v>2024.045B.Autographivirales.zip</v>
      </c>
    </row>
    <row r="318" spans="1:21">
      <c r="A318">
        <v>317</v>
      </c>
      <c r="B318" s="27" t="s">
        <v>1449</v>
      </c>
      <c r="D318" s="27" t="s">
        <v>1450</v>
      </c>
      <c r="F318" s="27" t="s">
        <v>1453</v>
      </c>
      <c r="H318" s="27" t="s">
        <v>1454</v>
      </c>
      <c r="J318" s="27" t="s">
        <v>18547</v>
      </c>
      <c r="L318" s="27" t="s">
        <v>18627</v>
      </c>
      <c r="M318" s="27" t="s">
        <v>1456</v>
      </c>
      <c r="N318" s="27" t="s">
        <v>1271</v>
      </c>
      <c r="P318" s="27" t="s">
        <v>18652</v>
      </c>
      <c r="Q318" s="26" t="str">
        <f>HYPERLINK("https://ictv.global/taxonomy/taxondetails?taxnode_id=202520987&amp;ictv_id=ICTV202420987","ICTV202420987")</f>
        <v>ICTV202420987</v>
      </c>
      <c r="R318" t="s">
        <v>579</v>
      </c>
      <c r="S318" t="s">
        <v>823</v>
      </c>
      <c r="T318">
        <v>40</v>
      </c>
      <c r="U318" s="26" t="str">
        <f t="shared" si="15"/>
        <v>2024.045B.Autographivirales.zip</v>
      </c>
    </row>
    <row r="319" spans="1:21">
      <c r="A319">
        <v>318</v>
      </c>
      <c r="B319" s="27" t="s">
        <v>1449</v>
      </c>
      <c r="D319" s="27" t="s">
        <v>1450</v>
      </c>
      <c r="F319" s="27" t="s">
        <v>1453</v>
      </c>
      <c r="H319" s="27" t="s">
        <v>1454</v>
      </c>
      <c r="J319" s="27" t="s">
        <v>18547</v>
      </c>
      <c r="L319" s="27" t="s">
        <v>18627</v>
      </c>
      <c r="M319" s="27" t="s">
        <v>1456</v>
      </c>
      <c r="N319" s="27" t="s">
        <v>1271</v>
      </c>
      <c r="P319" s="27" t="s">
        <v>18653</v>
      </c>
      <c r="Q319" s="26" t="str">
        <f>HYPERLINK("https://ictv.global/taxonomy/taxondetails?taxnode_id=202521006&amp;ictv_id=ICTV202421006","ICTV202421006")</f>
        <v>ICTV202421006</v>
      </c>
      <c r="R319" t="s">
        <v>579</v>
      </c>
      <c r="S319" t="s">
        <v>823</v>
      </c>
      <c r="T319">
        <v>40</v>
      </c>
      <c r="U319" s="26" t="str">
        <f t="shared" si="15"/>
        <v>2024.045B.Autographivirales.zip</v>
      </c>
    </row>
    <row r="320" spans="1:21">
      <c r="A320">
        <v>319</v>
      </c>
      <c r="B320" s="27" t="s">
        <v>1449</v>
      </c>
      <c r="D320" s="27" t="s">
        <v>1450</v>
      </c>
      <c r="F320" s="27" t="s">
        <v>1453</v>
      </c>
      <c r="H320" s="27" t="s">
        <v>1454</v>
      </c>
      <c r="J320" s="27" t="s">
        <v>18547</v>
      </c>
      <c r="L320" s="27" t="s">
        <v>18627</v>
      </c>
      <c r="M320" s="27" t="s">
        <v>1456</v>
      </c>
      <c r="N320" s="27" t="s">
        <v>1271</v>
      </c>
      <c r="P320" s="27" t="s">
        <v>18654</v>
      </c>
      <c r="Q320" s="26" t="str">
        <f>HYPERLINK("https://ictv.global/taxonomy/taxondetails?taxnode_id=202521000&amp;ictv_id=ICTV202421000","ICTV202421000")</f>
        <v>ICTV202421000</v>
      </c>
      <c r="R320" t="s">
        <v>579</v>
      </c>
      <c r="S320" t="s">
        <v>823</v>
      </c>
      <c r="T320">
        <v>40</v>
      </c>
      <c r="U320" s="26" t="str">
        <f t="shared" si="15"/>
        <v>2024.045B.Autographivirales.zip</v>
      </c>
    </row>
    <row r="321" spans="1:21">
      <c r="A321">
        <v>320</v>
      </c>
      <c r="B321" s="27" t="s">
        <v>1449</v>
      </c>
      <c r="D321" s="27" t="s">
        <v>1450</v>
      </c>
      <c r="F321" s="27" t="s">
        <v>1453</v>
      </c>
      <c r="H321" s="27" t="s">
        <v>1454</v>
      </c>
      <c r="J321" s="27" t="s">
        <v>18547</v>
      </c>
      <c r="L321" s="27" t="s">
        <v>18627</v>
      </c>
      <c r="M321" s="27" t="s">
        <v>1456</v>
      </c>
      <c r="N321" s="27" t="s">
        <v>1271</v>
      </c>
      <c r="P321" s="27" t="s">
        <v>18655</v>
      </c>
      <c r="Q321" s="26" t="str">
        <f>HYPERLINK("https://ictv.global/taxonomy/taxondetails?taxnode_id=202521001&amp;ictv_id=ICTV202421001","ICTV202421001")</f>
        <v>ICTV202421001</v>
      </c>
      <c r="R321" t="s">
        <v>579</v>
      </c>
      <c r="S321" t="s">
        <v>823</v>
      </c>
      <c r="T321">
        <v>40</v>
      </c>
      <c r="U321" s="26" t="str">
        <f t="shared" si="15"/>
        <v>2024.045B.Autographivirales.zip</v>
      </c>
    </row>
    <row r="322" spans="1:21">
      <c r="A322">
        <v>321</v>
      </c>
      <c r="B322" s="27" t="s">
        <v>1449</v>
      </c>
      <c r="D322" s="27" t="s">
        <v>1450</v>
      </c>
      <c r="F322" s="27" t="s">
        <v>1453</v>
      </c>
      <c r="H322" s="27" t="s">
        <v>1454</v>
      </c>
      <c r="J322" s="27" t="s">
        <v>18547</v>
      </c>
      <c r="L322" s="27" t="s">
        <v>18627</v>
      </c>
      <c r="M322" s="27" t="s">
        <v>1456</v>
      </c>
      <c r="N322" s="27" t="s">
        <v>1271</v>
      </c>
      <c r="P322" s="27" t="s">
        <v>18656</v>
      </c>
      <c r="Q322" s="26" t="str">
        <f>HYPERLINK("https://ictv.global/taxonomy/taxondetails?taxnode_id=202521005&amp;ictv_id=ICTV202421005","ICTV202421005")</f>
        <v>ICTV202421005</v>
      </c>
      <c r="R322" t="s">
        <v>579</v>
      </c>
      <c r="S322" t="s">
        <v>823</v>
      </c>
      <c r="T322">
        <v>40</v>
      </c>
      <c r="U322" s="26" t="str">
        <f t="shared" si="15"/>
        <v>2024.045B.Autographivirales.zip</v>
      </c>
    </row>
    <row r="323" spans="1:21">
      <c r="A323">
        <v>322</v>
      </c>
      <c r="B323" s="27" t="s">
        <v>1449</v>
      </c>
      <c r="D323" s="27" t="s">
        <v>1450</v>
      </c>
      <c r="F323" s="27" t="s">
        <v>1453</v>
      </c>
      <c r="H323" s="27" t="s">
        <v>1454</v>
      </c>
      <c r="J323" s="27" t="s">
        <v>18547</v>
      </c>
      <c r="L323" s="27" t="s">
        <v>18627</v>
      </c>
      <c r="M323" s="27" t="s">
        <v>1456</v>
      </c>
      <c r="N323" s="27" t="s">
        <v>1271</v>
      </c>
      <c r="P323" s="27" t="s">
        <v>18657</v>
      </c>
      <c r="Q323" s="26" t="str">
        <f>HYPERLINK("https://ictv.global/taxonomy/taxondetails?taxnode_id=202521002&amp;ictv_id=ICTV202421002","ICTV202421002")</f>
        <v>ICTV202421002</v>
      </c>
      <c r="R323" t="s">
        <v>579</v>
      </c>
      <c r="S323" t="s">
        <v>823</v>
      </c>
      <c r="T323">
        <v>40</v>
      </c>
      <c r="U323" s="26" t="str">
        <f t="shared" si="15"/>
        <v>2024.045B.Autographivirales.zip</v>
      </c>
    </row>
    <row r="324" spans="1:21">
      <c r="A324">
        <v>323</v>
      </c>
      <c r="B324" s="27" t="s">
        <v>1449</v>
      </c>
      <c r="D324" s="27" t="s">
        <v>1450</v>
      </c>
      <c r="F324" s="27" t="s">
        <v>1453</v>
      </c>
      <c r="H324" s="27" t="s">
        <v>1454</v>
      </c>
      <c r="J324" s="27" t="s">
        <v>18547</v>
      </c>
      <c r="L324" s="27" t="s">
        <v>18627</v>
      </c>
      <c r="M324" s="27" t="s">
        <v>1456</v>
      </c>
      <c r="N324" s="27" t="s">
        <v>1271</v>
      </c>
      <c r="P324" s="27" t="s">
        <v>18658</v>
      </c>
      <c r="Q324" s="26" t="str">
        <f>HYPERLINK("https://ictv.global/taxonomy/taxondetails?taxnode_id=202520999&amp;ictv_id=ICTV202420999","ICTV202420999")</f>
        <v>ICTV202420999</v>
      </c>
      <c r="R324" t="s">
        <v>579</v>
      </c>
      <c r="S324" t="s">
        <v>823</v>
      </c>
      <c r="T324">
        <v>40</v>
      </c>
      <c r="U324" s="26" t="str">
        <f t="shared" si="15"/>
        <v>2024.045B.Autographivirales.zip</v>
      </c>
    </row>
    <row r="325" spans="1:21">
      <c r="A325">
        <v>324</v>
      </c>
      <c r="B325" s="27" t="s">
        <v>1449</v>
      </c>
      <c r="D325" s="27" t="s">
        <v>1450</v>
      </c>
      <c r="F325" s="27" t="s">
        <v>1453</v>
      </c>
      <c r="H325" s="27" t="s">
        <v>1454</v>
      </c>
      <c r="J325" s="27" t="s">
        <v>18547</v>
      </c>
      <c r="L325" s="27" t="s">
        <v>18627</v>
      </c>
      <c r="M325" s="27" t="s">
        <v>1456</v>
      </c>
      <c r="N325" s="27" t="s">
        <v>1271</v>
      </c>
      <c r="P325" s="27" t="s">
        <v>4202</v>
      </c>
      <c r="Q325" s="26" t="str">
        <f>HYPERLINK("https://ictv.global/taxonomy/taxondetails?taxnode_id=202506909&amp;ictv_id=ICTV201856909","ICTV201856909")</f>
        <v>ICTV201856909</v>
      </c>
      <c r="R325" t="s">
        <v>579</v>
      </c>
      <c r="S325" t="s">
        <v>22763</v>
      </c>
      <c r="T325">
        <v>40</v>
      </c>
      <c r="U325" s="26" t="str">
        <f t="shared" si="15"/>
        <v>2024.045B.Autographivirales.zip</v>
      </c>
    </row>
    <row r="326" spans="1:21">
      <c r="A326">
        <v>325</v>
      </c>
      <c r="B326" s="27" t="s">
        <v>1449</v>
      </c>
      <c r="D326" s="27" t="s">
        <v>1450</v>
      </c>
      <c r="F326" s="27" t="s">
        <v>1453</v>
      </c>
      <c r="H326" s="27" t="s">
        <v>1454</v>
      </c>
      <c r="J326" s="27" t="s">
        <v>18547</v>
      </c>
      <c r="L326" s="27" t="s">
        <v>18627</v>
      </c>
      <c r="M326" s="27" t="s">
        <v>1456</v>
      </c>
      <c r="N326" s="27" t="s">
        <v>1271</v>
      </c>
      <c r="P326" s="27" t="s">
        <v>4203</v>
      </c>
      <c r="Q326" s="26" t="str">
        <f>HYPERLINK("https://ictv.global/taxonomy/taxondetails?taxnode_id=202506910&amp;ictv_id=ICTV201856910","ICTV201856910")</f>
        <v>ICTV201856910</v>
      </c>
      <c r="R326" t="s">
        <v>579</v>
      </c>
      <c r="S326" t="s">
        <v>22763</v>
      </c>
      <c r="T326">
        <v>40</v>
      </c>
      <c r="U326" s="26" t="str">
        <f t="shared" si="15"/>
        <v>2024.045B.Autographivirales.zip</v>
      </c>
    </row>
    <row r="327" spans="1:21">
      <c r="A327">
        <v>326</v>
      </c>
      <c r="B327" s="27" t="s">
        <v>1449</v>
      </c>
      <c r="D327" s="27" t="s">
        <v>1450</v>
      </c>
      <c r="F327" s="27" t="s">
        <v>1453</v>
      </c>
      <c r="H327" s="27" t="s">
        <v>1454</v>
      </c>
      <c r="J327" s="27" t="s">
        <v>18547</v>
      </c>
      <c r="L327" s="27" t="s">
        <v>18627</v>
      </c>
      <c r="M327" s="27" t="s">
        <v>1456</v>
      </c>
      <c r="N327" s="27" t="s">
        <v>1271</v>
      </c>
      <c r="P327" s="27" t="s">
        <v>4204</v>
      </c>
      <c r="Q327" s="26" t="str">
        <f>HYPERLINK("https://ictv.global/taxonomy/taxondetails?taxnode_id=202506903&amp;ictv_id=ICTV201856903","ICTV201856903")</f>
        <v>ICTV201856903</v>
      </c>
      <c r="R327" t="s">
        <v>579</v>
      </c>
      <c r="S327" t="s">
        <v>22763</v>
      </c>
      <c r="T327">
        <v>40</v>
      </c>
      <c r="U327" s="26" t="str">
        <f t="shared" si="15"/>
        <v>2024.045B.Autographivirales.zip</v>
      </c>
    </row>
    <row r="328" spans="1:21">
      <c r="A328">
        <v>327</v>
      </c>
      <c r="B328" s="27" t="s">
        <v>1449</v>
      </c>
      <c r="D328" s="27" t="s">
        <v>1450</v>
      </c>
      <c r="F328" s="27" t="s">
        <v>1453</v>
      </c>
      <c r="H328" s="27" t="s">
        <v>1454</v>
      </c>
      <c r="J328" s="27" t="s">
        <v>18547</v>
      </c>
      <c r="L328" s="27" t="s">
        <v>18627</v>
      </c>
      <c r="M328" s="27" t="s">
        <v>1456</v>
      </c>
      <c r="N328" s="27" t="s">
        <v>1271</v>
      </c>
      <c r="P328" s="27" t="s">
        <v>4205</v>
      </c>
      <c r="Q328" s="26" t="str">
        <f>HYPERLINK("https://ictv.global/taxonomy/taxondetails?taxnode_id=202506904&amp;ictv_id=ICTV201856904","ICTV201856904")</f>
        <v>ICTV201856904</v>
      </c>
      <c r="R328" t="s">
        <v>579</v>
      </c>
      <c r="S328" t="s">
        <v>22763</v>
      </c>
      <c r="T328">
        <v>40</v>
      </c>
      <c r="U328" s="26" t="str">
        <f t="shared" si="15"/>
        <v>2024.045B.Autographivirales.zip</v>
      </c>
    </row>
    <row r="329" spans="1:21">
      <c r="A329">
        <v>328</v>
      </c>
      <c r="B329" s="27" t="s">
        <v>1449</v>
      </c>
      <c r="D329" s="27" t="s">
        <v>1450</v>
      </c>
      <c r="F329" s="27" t="s">
        <v>1453</v>
      </c>
      <c r="H329" s="27" t="s">
        <v>1454</v>
      </c>
      <c r="J329" s="27" t="s">
        <v>18547</v>
      </c>
      <c r="L329" s="27" t="s">
        <v>18627</v>
      </c>
      <c r="M329" s="27" t="s">
        <v>1456</v>
      </c>
      <c r="N329" s="27" t="s">
        <v>1271</v>
      </c>
      <c r="P329" s="27" t="s">
        <v>4206</v>
      </c>
      <c r="Q329" s="26" t="str">
        <f>HYPERLINK("https://ictv.global/taxonomy/taxondetails?taxnode_id=202506905&amp;ictv_id=ICTV201856905","ICTV201856905")</f>
        <v>ICTV201856905</v>
      </c>
      <c r="R329" t="s">
        <v>579</v>
      </c>
      <c r="S329" t="s">
        <v>22763</v>
      </c>
      <c r="T329">
        <v>40</v>
      </c>
      <c r="U329" s="26" t="str">
        <f t="shared" si="15"/>
        <v>2024.045B.Autographivirales.zip</v>
      </c>
    </row>
    <row r="330" spans="1:21">
      <c r="A330">
        <v>329</v>
      </c>
      <c r="B330" s="27" t="s">
        <v>1449</v>
      </c>
      <c r="D330" s="27" t="s">
        <v>1450</v>
      </c>
      <c r="F330" s="27" t="s">
        <v>1453</v>
      </c>
      <c r="H330" s="27" t="s">
        <v>1454</v>
      </c>
      <c r="J330" s="27" t="s">
        <v>18547</v>
      </c>
      <c r="L330" s="27" t="s">
        <v>18627</v>
      </c>
      <c r="M330" s="27" t="s">
        <v>1456</v>
      </c>
      <c r="N330" s="27" t="s">
        <v>1271</v>
      </c>
      <c r="P330" s="27" t="s">
        <v>22702</v>
      </c>
      <c r="Q330" s="26" t="str">
        <f>HYPERLINK("https://ictv.global/taxonomy/taxondetails?taxnode_id=202523279&amp;ictv_id=ICTV202523279","ICTV202523279")</f>
        <v>ICTV202523279</v>
      </c>
      <c r="R330" t="s">
        <v>579</v>
      </c>
      <c r="S330" t="s">
        <v>823</v>
      </c>
      <c r="T330">
        <v>41</v>
      </c>
      <c r="U330" s="26" t="str">
        <f>HYPERLINK("https://ictv.global/ictv/proposals/2025.085B.Friunavirus_32ns.zip","2025.085B.Friunavirus_32ns.zip")</f>
        <v>2025.085B.Friunavirus_32ns.zip</v>
      </c>
    </row>
    <row r="331" spans="1:21">
      <c r="A331">
        <v>330</v>
      </c>
      <c r="B331" s="27" t="s">
        <v>1449</v>
      </c>
      <c r="D331" s="27" t="s">
        <v>1450</v>
      </c>
      <c r="F331" s="27" t="s">
        <v>1453</v>
      </c>
      <c r="H331" s="27" t="s">
        <v>1454</v>
      </c>
      <c r="J331" s="27" t="s">
        <v>18547</v>
      </c>
      <c r="L331" s="27" t="s">
        <v>18627</v>
      </c>
      <c r="M331" s="27" t="s">
        <v>1456</v>
      </c>
      <c r="N331" s="27" t="s">
        <v>1271</v>
      </c>
      <c r="P331" s="27" t="s">
        <v>18659</v>
      </c>
      <c r="Q331" s="26" t="str">
        <f>HYPERLINK("https://ictv.global/taxonomy/taxondetails?taxnode_id=202520965&amp;ictv_id=ICTV202420965","ICTV202420965")</f>
        <v>ICTV202420965</v>
      </c>
      <c r="R331" t="s">
        <v>579</v>
      </c>
      <c r="S331" t="s">
        <v>823</v>
      </c>
      <c r="T331">
        <v>40</v>
      </c>
      <c r="U331" s="26" t="str">
        <f>HYPERLINK("https://ictv.global/ictv/proposals/2024.045B.Autographivirales.zip","2024.045B.Autographivirales.zip")</f>
        <v>2024.045B.Autographivirales.zip</v>
      </c>
    </row>
    <row r="332" spans="1:21">
      <c r="A332">
        <v>331</v>
      </c>
      <c r="B332" s="27" t="s">
        <v>1449</v>
      </c>
      <c r="D332" s="27" t="s">
        <v>1450</v>
      </c>
      <c r="F332" s="27" t="s">
        <v>1453</v>
      </c>
      <c r="H332" s="27" t="s">
        <v>1454</v>
      </c>
      <c r="J332" s="27" t="s">
        <v>18547</v>
      </c>
      <c r="L332" s="27" t="s">
        <v>18627</v>
      </c>
      <c r="M332" s="27" t="s">
        <v>1456</v>
      </c>
      <c r="N332" s="27" t="s">
        <v>1271</v>
      </c>
      <c r="P332" s="27" t="s">
        <v>4207</v>
      </c>
      <c r="Q332" s="26" t="str">
        <f>HYPERLINK("https://ictv.global/taxonomy/taxondetails?taxnode_id=202506912&amp;ictv_id=ICTV201856912","ICTV201856912")</f>
        <v>ICTV201856912</v>
      </c>
      <c r="R332" t="s">
        <v>579</v>
      </c>
      <c r="S332" t="s">
        <v>22763</v>
      </c>
      <c r="T332">
        <v>40</v>
      </c>
      <c r="U332" s="26" t="str">
        <f>HYPERLINK("https://ictv.global/ictv/proposals/2024.045B.Autographivirales.zip","2024.045B.Autographivirales.zip")</f>
        <v>2024.045B.Autographivirales.zip</v>
      </c>
    </row>
    <row r="333" spans="1:21">
      <c r="A333">
        <v>332</v>
      </c>
      <c r="B333" s="27" t="s">
        <v>1449</v>
      </c>
      <c r="D333" s="27" t="s">
        <v>1450</v>
      </c>
      <c r="F333" s="27" t="s">
        <v>1453</v>
      </c>
      <c r="H333" s="27" t="s">
        <v>1454</v>
      </c>
      <c r="J333" s="27" t="s">
        <v>18547</v>
      </c>
      <c r="L333" s="27" t="s">
        <v>18627</v>
      </c>
      <c r="M333" s="27" t="s">
        <v>1456</v>
      </c>
      <c r="N333" s="27" t="s">
        <v>1271</v>
      </c>
      <c r="P333" s="27" t="s">
        <v>22711</v>
      </c>
      <c r="Q333" s="26" t="str">
        <f>HYPERLINK("https://ictv.global/taxonomy/taxondetails?taxnode_id=202523288&amp;ictv_id=ICTV202523288","ICTV202523288")</f>
        <v>ICTV202523288</v>
      </c>
      <c r="R333" t="s">
        <v>579</v>
      </c>
      <c r="S333" t="s">
        <v>823</v>
      </c>
      <c r="T333">
        <v>41</v>
      </c>
      <c r="U333" s="26" t="str">
        <f>HYPERLINK("https://ictv.global/ictv/proposals/2025.085B.Friunavirus_32ns.zip","2025.085B.Friunavirus_32ns.zip")</f>
        <v>2025.085B.Friunavirus_32ns.zip</v>
      </c>
    </row>
    <row r="334" spans="1:21">
      <c r="A334">
        <v>333</v>
      </c>
      <c r="B334" s="27" t="s">
        <v>1449</v>
      </c>
      <c r="D334" s="27" t="s">
        <v>1450</v>
      </c>
      <c r="F334" s="27" t="s">
        <v>1453</v>
      </c>
      <c r="H334" s="27" t="s">
        <v>1454</v>
      </c>
      <c r="J334" s="27" t="s">
        <v>18547</v>
      </c>
      <c r="L334" s="27" t="s">
        <v>18627</v>
      </c>
      <c r="M334" s="27" t="s">
        <v>1456</v>
      </c>
      <c r="N334" s="27" t="s">
        <v>1271</v>
      </c>
      <c r="P334" s="27" t="s">
        <v>18660</v>
      </c>
      <c r="Q334" s="26" t="str">
        <f>HYPERLINK("https://ictv.global/taxonomy/taxondetails?taxnode_id=202520976&amp;ictv_id=ICTV202420976","ICTV202420976")</f>
        <v>ICTV202420976</v>
      </c>
      <c r="R334" t="s">
        <v>579</v>
      </c>
      <c r="S334" t="s">
        <v>823</v>
      </c>
      <c r="T334">
        <v>40</v>
      </c>
      <c r="U334" s="26" t="str">
        <f>HYPERLINK("https://ictv.global/ictv/proposals/2024.045B.Autographivirales.zip","2024.045B.Autographivirales.zip")</f>
        <v>2024.045B.Autographivirales.zip</v>
      </c>
    </row>
    <row r="335" spans="1:21">
      <c r="A335">
        <v>334</v>
      </c>
      <c r="B335" s="27" t="s">
        <v>1449</v>
      </c>
      <c r="D335" s="27" t="s">
        <v>1450</v>
      </c>
      <c r="F335" s="27" t="s">
        <v>1453</v>
      </c>
      <c r="H335" s="27" t="s">
        <v>1454</v>
      </c>
      <c r="J335" s="27" t="s">
        <v>18547</v>
      </c>
      <c r="L335" s="27" t="s">
        <v>18627</v>
      </c>
      <c r="M335" s="27" t="s">
        <v>1456</v>
      </c>
      <c r="N335" s="27" t="s">
        <v>1271</v>
      </c>
      <c r="P335" s="27" t="s">
        <v>22701</v>
      </c>
      <c r="Q335" s="26" t="str">
        <f>HYPERLINK("https://ictv.global/taxonomy/taxondetails?taxnode_id=202523278&amp;ictv_id=ICTV202523278","ICTV202523278")</f>
        <v>ICTV202523278</v>
      </c>
      <c r="R335" t="s">
        <v>579</v>
      </c>
      <c r="S335" t="s">
        <v>823</v>
      </c>
      <c r="T335">
        <v>41</v>
      </c>
      <c r="U335" s="26" t="str">
        <f>HYPERLINK("https://ictv.global/ictv/proposals/2025.085B.Friunavirus_32ns.zip","2025.085B.Friunavirus_32ns.zip")</f>
        <v>2025.085B.Friunavirus_32ns.zip</v>
      </c>
    </row>
    <row r="336" spans="1:21">
      <c r="A336">
        <v>335</v>
      </c>
      <c r="B336" s="27" t="s">
        <v>1449</v>
      </c>
      <c r="D336" s="27" t="s">
        <v>1450</v>
      </c>
      <c r="F336" s="27" t="s">
        <v>1453</v>
      </c>
      <c r="H336" s="27" t="s">
        <v>1454</v>
      </c>
      <c r="J336" s="27" t="s">
        <v>18547</v>
      </c>
      <c r="L336" s="27" t="s">
        <v>18627</v>
      </c>
      <c r="M336" s="27" t="s">
        <v>1456</v>
      </c>
      <c r="N336" s="27" t="s">
        <v>1271</v>
      </c>
      <c r="P336" s="27" t="s">
        <v>18661</v>
      </c>
      <c r="Q336" s="26" t="str">
        <f>HYPERLINK("https://ictv.global/taxonomy/taxondetails?taxnode_id=202520980&amp;ictv_id=ICTV202420980","ICTV202420980")</f>
        <v>ICTV202420980</v>
      </c>
      <c r="R336" t="s">
        <v>579</v>
      </c>
      <c r="S336" t="s">
        <v>823</v>
      </c>
      <c r="T336">
        <v>40</v>
      </c>
      <c r="U336" s="26" t="str">
        <f>HYPERLINK("https://ictv.global/ictv/proposals/2024.045B.Autographivirales.zip","2024.045B.Autographivirales.zip")</f>
        <v>2024.045B.Autographivirales.zip</v>
      </c>
    </row>
    <row r="337" spans="1:21">
      <c r="A337">
        <v>336</v>
      </c>
      <c r="B337" s="27" t="s">
        <v>1449</v>
      </c>
      <c r="D337" s="27" t="s">
        <v>1450</v>
      </c>
      <c r="F337" s="27" t="s">
        <v>1453</v>
      </c>
      <c r="H337" s="27" t="s">
        <v>1454</v>
      </c>
      <c r="J337" s="27" t="s">
        <v>18547</v>
      </c>
      <c r="L337" s="27" t="s">
        <v>18627</v>
      </c>
      <c r="M337" s="27" t="s">
        <v>1456</v>
      </c>
      <c r="N337" s="27" t="s">
        <v>1271</v>
      </c>
      <c r="P337" s="27" t="s">
        <v>18662</v>
      </c>
      <c r="Q337" s="26" t="str">
        <f>HYPERLINK("https://ictv.global/taxonomy/taxondetails?taxnode_id=202520990&amp;ictv_id=ICTV202420990","ICTV202420990")</f>
        <v>ICTV202420990</v>
      </c>
      <c r="R337" t="s">
        <v>579</v>
      </c>
      <c r="S337" t="s">
        <v>823</v>
      </c>
      <c r="T337">
        <v>40</v>
      </c>
      <c r="U337" s="26" t="str">
        <f>HYPERLINK("https://ictv.global/ictv/proposals/2024.045B.Autographivirales.zip","2024.045B.Autographivirales.zip")</f>
        <v>2024.045B.Autographivirales.zip</v>
      </c>
    </row>
    <row r="338" spans="1:21">
      <c r="A338">
        <v>337</v>
      </c>
      <c r="B338" s="27" t="s">
        <v>1449</v>
      </c>
      <c r="D338" s="27" t="s">
        <v>1450</v>
      </c>
      <c r="F338" s="27" t="s">
        <v>1453</v>
      </c>
      <c r="H338" s="27" t="s">
        <v>1454</v>
      </c>
      <c r="J338" s="27" t="s">
        <v>18547</v>
      </c>
      <c r="L338" s="27" t="s">
        <v>18627</v>
      </c>
      <c r="M338" s="27" t="s">
        <v>1456</v>
      </c>
      <c r="N338" s="27" t="s">
        <v>1271</v>
      </c>
      <c r="P338" s="27" t="s">
        <v>18663</v>
      </c>
      <c r="Q338" s="26" t="str">
        <f>HYPERLINK("https://ictv.global/taxonomy/taxondetails?taxnode_id=202520975&amp;ictv_id=ICTV202420975","ICTV202420975")</f>
        <v>ICTV202420975</v>
      </c>
      <c r="R338" t="s">
        <v>579</v>
      </c>
      <c r="S338" t="s">
        <v>823</v>
      </c>
      <c r="T338">
        <v>40</v>
      </c>
      <c r="U338" s="26" t="str">
        <f>HYPERLINK("https://ictv.global/ictv/proposals/2024.045B.Autographivirales.zip","2024.045B.Autographivirales.zip")</f>
        <v>2024.045B.Autographivirales.zip</v>
      </c>
    </row>
    <row r="339" spans="1:21">
      <c r="A339">
        <v>338</v>
      </c>
      <c r="B339" s="27" t="s">
        <v>1449</v>
      </c>
      <c r="D339" s="27" t="s">
        <v>1450</v>
      </c>
      <c r="F339" s="27" t="s">
        <v>1453</v>
      </c>
      <c r="H339" s="27" t="s">
        <v>1454</v>
      </c>
      <c r="J339" s="27" t="s">
        <v>18547</v>
      </c>
      <c r="L339" s="27" t="s">
        <v>18627</v>
      </c>
      <c r="M339" s="27" t="s">
        <v>1456</v>
      </c>
      <c r="N339" s="27" t="s">
        <v>1271</v>
      </c>
      <c r="P339" s="27" t="s">
        <v>22710</v>
      </c>
      <c r="Q339" s="26" t="str">
        <f>HYPERLINK("https://ictv.global/taxonomy/taxondetails?taxnode_id=202523287&amp;ictv_id=ICTV202523287","ICTV202523287")</f>
        <v>ICTV202523287</v>
      </c>
      <c r="R339" t="s">
        <v>579</v>
      </c>
      <c r="S339" t="s">
        <v>823</v>
      </c>
      <c r="T339">
        <v>41</v>
      </c>
      <c r="U339" s="26" t="str">
        <f>HYPERLINK("https://ictv.global/ictv/proposals/2025.085B.Friunavirus_32ns.zip","2025.085B.Friunavirus_32ns.zip")</f>
        <v>2025.085B.Friunavirus_32ns.zip</v>
      </c>
    </row>
    <row r="340" spans="1:21">
      <c r="A340">
        <v>339</v>
      </c>
      <c r="B340" s="27" t="s">
        <v>1449</v>
      </c>
      <c r="D340" s="27" t="s">
        <v>1450</v>
      </c>
      <c r="F340" s="27" t="s">
        <v>1453</v>
      </c>
      <c r="H340" s="27" t="s">
        <v>1454</v>
      </c>
      <c r="J340" s="27" t="s">
        <v>18547</v>
      </c>
      <c r="L340" s="27" t="s">
        <v>18627</v>
      </c>
      <c r="M340" s="27" t="s">
        <v>1456</v>
      </c>
      <c r="N340" s="27" t="s">
        <v>1271</v>
      </c>
      <c r="P340" s="27" t="s">
        <v>4208</v>
      </c>
      <c r="Q340" s="26" t="str">
        <f>HYPERLINK("https://ictv.global/taxonomy/taxondetails?taxnode_id=202500545&amp;ictv_id=ICTV20164890","ICTV20164890")</f>
        <v>ICTV20164890</v>
      </c>
      <c r="R340" t="s">
        <v>579</v>
      </c>
      <c r="S340" t="s">
        <v>22763</v>
      </c>
      <c r="T340">
        <v>40</v>
      </c>
      <c r="U340" s="26" t="str">
        <f>HYPERLINK("https://ictv.global/ictv/proposals/2024.045B.Autographivirales.zip","2024.045B.Autographivirales.zip")</f>
        <v>2024.045B.Autographivirales.zip</v>
      </c>
    </row>
    <row r="341" spans="1:21">
      <c r="A341">
        <v>340</v>
      </c>
      <c r="B341" s="27" t="s">
        <v>1449</v>
      </c>
      <c r="D341" s="27" t="s">
        <v>1450</v>
      </c>
      <c r="F341" s="27" t="s">
        <v>1453</v>
      </c>
      <c r="H341" s="27" t="s">
        <v>1454</v>
      </c>
      <c r="J341" s="27" t="s">
        <v>18547</v>
      </c>
      <c r="L341" s="27" t="s">
        <v>18627</v>
      </c>
      <c r="M341" s="27" t="s">
        <v>1456</v>
      </c>
      <c r="N341" s="27" t="s">
        <v>1271</v>
      </c>
      <c r="P341" s="27" t="s">
        <v>4209</v>
      </c>
      <c r="Q341" s="26" t="str">
        <f>HYPERLINK("https://ictv.global/taxonomy/taxondetails?taxnode_id=202506911&amp;ictv_id=ICTV201856911","ICTV201856911")</f>
        <v>ICTV201856911</v>
      </c>
      <c r="R341" t="s">
        <v>579</v>
      </c>
      <c r="S341" t="s">
        <v>22763</v>
      </c>
      <c r="T341">
        <v>40</v>
      </c>
      <c r="U341" s="26" t="str">
        <f>HYPERLINK("https://ictv.global/ictv/proposals/2024.045B.Autographivirales.zip","2024.045B.Autographivirales.zip")</f>
        <v>2024.045B.Autographivirales.zip</v>
      </c>
    </row>
    <row r="342" spans="1:21">
      <c r="A342">
        <v>341</v>
      </c>
      <c r="B342" s="27" t="s">
        <v>1449</v>
      </c>
      <c r="D342" s="27" t="s">
        <v>1450</v>
      </c>
      <c r="F342" s="27" t="s">
        <v>1453</v>
      </c>
      <c r="H342" s="27" t="s">
        <v>1454</v>
      </c>
      <c r="J342" s="27" t="s">
        <v>18547</v>
      </c>
      <c r="L342" s="27" t="s">
        <v>18627</v>
      </c>
      <c r="M342" s="27" t="s">
        <v>1456</v>
      </c>
      <c r="N342" s="27" t="s">
        <v>1271</v>
      </c>
      <c r="P342" s="27" t="s">
        <v>18664</v>
      </c>
      <c r="Q342" s="26" t="str">
        <f>HYPERLINK("https://ictv.global/taxonomy/taxondetails?taxnode_id=202520994&amp;ictv_id=ICTV202420994","ICTV202420994")</f>
        <v>ICTV202420994</v>
      </c>
      <c r="R342" t="s">
        <v>579</v>
      </c>
      <c r="S342" t="s">
        <v>823</v>
      </c>
      <c r="T342">
        <v>40</v>
      </c>
      <c r="U342" s="26" t="str">
        <f>HYPERLINK("https://ictv.global/ictv/proposals/2024.045B.Autographivirales.zip","2024.045B.Autographivirales.zip")</f>
        <v>2024.045B.Autographivirales.zip</v>
      </c>
    </row>
    <row r="343" spans="1:21">
      <c r="A343">
        <v>342</v>
      </c>
      <c r="B343" s="27" t="s">
        <v>1449</v>
      </c>
      <c r="D343" s="27" t="s">
        <v>1450</v>
      </c>
      <c r="F343" s="27" t="s">
        <v>1453</v>
      </c>
      <c r="H343" s="27" t="s">
        <v>1454</v>
      </c>
      <c r="J343" s="27" t="s">
        <v>18547</v>
      </c>
      <c r="L343" s="27" t="s">
        <v>18627</v>
      </c>
      <c r="M343" s="27" t="s">
        <v>1456</v>
      </c>
      <c r="N343" s="27" t="s">
        <v>1271</v>
      </c>
      <c r="P343" s="27" t="s">
        <v>4210</v>
      </c>
      <c r="Q343" s="26" t="str">
        <f>HYPERLINK("https://ictv.global/taxonomy/taxondetails?taxnode_id=202500546&amp;ictv_id=ICTV20164891","ICTV20164891")</f>
        <v>ICTV20164891</v>
      </c>
      <c r="R343" t="s">
        <v>579</v>
      </c>
      <c r="S343" t="s">
        <v>22763</v>
      </c>
      <c r="T343">
        <v>40</v>
      </c>
      <c r="U343" s="26" t="str">
        <f>HYPERLINK("https://ictv.global/ictv/proposals/2024.045B.Autographivirales.zip","2024.045B.Autographivirales.zip")</f>
        <v>2024.045B.Autographivirales.zip</v>
      </c>
    </row>
    <row r="344" spans="1:21">
      <c r="A344">
        <v>343</v>
      </c>
      <c r="B344" s="27" t="s">
        <v>1449</v>
      </c>
      <c r="D344" s="27" t="s">
        <v>1450</v>
      </c>
      <c r="F344" s="27" t="s">
        <v>1453</v>
      </c>
      <c r="H344" s="27" t="s">
        <v>1454</v>
      </c>
      <c r="J344" s="27" t="s">
        <v>18547</v>
      </c>
      <c r="L344" s="27" t="s">
        <v>18627</v>
      </c>
      <c r="M344" s="27" t="s">
        <v>1456</v>
      </c>
      <c r="N344" s="27" t="s">
        <v>1271</v>
      </c>
      <c r="P344" s="27" t="s">
        <v>18665</v>
      </c>
      <c r="Q344" s="26" t="str">
        <f>HYPERLINK("https://ictv.global/taxonomy/taxondetails?taxnode_id=202520964&amp;ictv_id=ICTV202420964","ICTV202420964")</f>
        <v>ICTV202420964</v>
      </c>
      <c r="R344" t="s">
        <v>579</v>
      </c>
      <c r="S344" t="s">
        <v>823</v>
      </c>
      <c r="T344">
        <v>40</v>
      </c>
      <c r="U344" s="26" t="str">
        <f>HYPERLINK("https://ictv.global/ictv/proposals/2024.045B.Autographivirales.zip","2024.045B.Autographivirales.zip")</f>
        <v>2024.045B.Autographivirales.zip</v>
      </c>
    </row>
    <row r="345" spans="1:21">
      <c r="A345">
        <v>344</v>
      </c>
      <c r="B345" s="27" t="s">
        <v>1449</v>
      </c>
      <c r="D345" s="27" t="s">
        <v>1450</v>
      </c>
      <c r="F345" s="27" t="s">
        <v>1453</v>
      </c>
      <c r="H345" s="27" t="s">
        <v>1454</v>
      </c>
      <c r="J345" s="27" t="s">
        <v>18547</v>
      </c>
      <c r="L345" s="27" t="s">
        <v>18627</v>
      </c>
      <c r="M345" s="27" t="s">
        <v>1456</v>
      </c>
      <c r="N345" s="27" t="s">
        <v>1271</v>
      </c>
      <c r="P345" s="27" t="s">
        <v>22698</v>
      </c>
      <c r="Q345" s="26" t="str">
        <f>HYPERLINK("https://ictv.global/taxonomy/taxondetails?taxnode_id=202523275&amp;ictv_id=ICTV202523275","ICTV202523275")</f>
        <v>ICTV202523275</v>
      </c>
      <c r="R345" t="s">
        <v>579</v>
      </c>
      <c r="S345" t="s">
        <v>823</v>
      </c>
      <c r="T345">
        <v>41</v>
      </c>
      <c r="U345" s="26" t="str">
        <f>HYPERLINK("https://ictv.global/ictv/proposals/2025.085B.Friunavirus_32ns.zip","2025.085B.Friunavirus_32ns.zip")</f>
        <v>2025.085B.Friunavirus_32ns.zip</v>
      </c>
    </row>
    <row r="346" spans="1:21">
      <c r="A346">
        <v>345</v>
      </c>
      <c r="B346" s="27" t="s">
        <v>1449</v>
      </c>
      <c r="D346" s="27" t="s">
        <v>1450</v>
      </c>
      <c r="F346" s="27" t="s">
        <v>1453</v>
      </c>
      <c r="H346" s="27" t="s">
        <v>1454</v>
      </c>
      <c r="J346" s="27" t="s">
        <v>18547</v>
      </c>
      <c r="L346" s="27" t="s">
        <v>18627</v>
      </c>
      <c r="M346" s="27" t="s">
        <v>1456</v>
      </c>
      <c r="N346" s="27" t="s">
        <v>1271</v>
      </c>
      <c r="P346" s="27" t="s">
        <v>18666</v>
      </c>
      <c r="Q346" s="26" t="str">
        <f>HYPERLINK("https://ictv.global/taxonomy/taxondetails?taxnode_id=202520967&amp;ictv_id=ICTV202420967","ICTV202420967")</f>
        <v>ICTV202420967</v>
      </c>
      <c r="R346" t="s">
        <v>579</v>
      </c>
      <c r="S346" t="s">
        <v>823</v>
      </c>
      <c r="T346">
        <v>40</v>
      </c>
      <c r="U346" s="26" t="str">
        <f>HYPERLINK("https://ictv.global/ictv/proposals/2024.045B.Autographivirales.zip","2024.045B.Autographivirales.zip")</f>
        <v>2024.045B.Autographivirales.zip</v>
      </c>
    </row>
    <row r="347" spans="1:21">
      <c r="A347">
        <v>346</v>
      </c>
      <c r="B347" s="27" t="s">
        <v>1449</v>
      </c>
      <c r="D347" s="27" t="s">
        <v>1450</v>
      </c>
      <c r="F347" s="27" t="s">
        <v>1453</v>
      </c>
      <c r="H347" s="27" t="s">
        <v>1454</v>
      </c>
      <c r="J347" s="27" t="s">
        <v>18547</v>
      </c>
      <c r="L347" s="27" t="s">
        <v>18627</v>
      </c>
      <c r="M347" s="27" t="s">
        <v>1456</v>
      </c>
      <c r="N347" s="27" t="s">
        <v>1271</v>
      </c>
      <c r="P347" s="27" t="s">
        <v>22693</v>
      </c>
      <c r="Q347" s="26" t="str">
        <f>HYPERLINK("https://ictv.global/taxonomy/taxondetails?taxnode_id=202523270&amp;ictv_id=ICTV202523270","ICTV202523270")</f>
        <v>ICTV202523270</v>
      </c>
      <c r="R347" t="s">
        <v>579</v>
      </c>
      <c r="S347" t="s">
        <v>823</v>
      </c>
      <c r="T347">
        <v>41</v>
      </c>
      <c r="U347" s="26" t="str">
        <f>HYPERLINK("https://ictv.global/ictv/proposals/2025.085B.Friunavirus_32ns.zip","2025.085B.Friunavirus_32ns.zip")</f>
        <v>2025.085B.Friunavirus_32ns.zip</v>
      </c>
    </row>
    <row r="348" spans="1:21">
      <c r="A348">
        <v>347</v>
      </c>
      <c r="B348" s="27" t="s">
        <v>1449</v>
      </c>
      <c r="D348" s="27" t="s">
        <v>1450</v>
      </c>
      <c r="F348" s="27" t="s">
        <v>1453</v>
      </c>
      <c r="H348" s="27" t="s">
        <v>1454</v>
      </c>
      <c r="J348" s="27" t="s">
        <v>18547</v>
      </c>
      <c r="L348" s="27" t="s">
        <v>18627</v>
      </c>
      <c r="M348" s="27" t="s">
        <v>1456</v>
      </c>
      <c r="N348" s="27" t="s">
        <v>1271</v>
      </c>
      <c r="P348" s="27" t="s">
        <v>4211</v>
      </c>
      <c r="Q348" s="26" t="str">
        <f>HYPERLINK("https://ictv.global/taxonomy/taxondetails?taxnode_id=202506906&amp;ictv_id=ICTV201856906","ICTV201856906")</f>
        <v>ICTV201856906</v>
      </c>
      <c r="R348" t="s">
        <v>579</v>
      </c>
      <c r="S348" t="s">
        <v>22763</v>
      </c>
      <c r="T348">
        <v>40</v>
      </c>
      <c r="U348" s="26" t="str">
        <f t="shared" ref="U348:U354" si="16">HYPERLINK("https://ictv.global/ictv/proposals/2024.045B.Autographivirales.zip","2024.045B.Autographivirales.zip")</f>
        <v>2024.045B.Autographivirales.zip</v>
      </c>
    </row>
    <row r="349" spans="1:21">
      <c r="A349">
        <v>348</v>
      </c>
      <c r="B349" s="27" t="s">
        <v>1449</v>
      </c>
      <c r="D349" s="27" t="s">
        <v>1450</v>
      </c>
      <c r="F349" s="27" t="s">
        <v>1453</v>
      </c>
      <c r="H349" s="27" t="s">
        <v>1454</v>
      </c>
      <c r="J349" s="27" t="s">
        <v>18547</v>
      </c>
      <c r="L349" s="27" t="s">
        <v>18627</v>
      </c>
      <c r="M349" s="27" t="s">
        <v>1456</v>
      </c>
      <c r="N349" s="27" t="s">
        <v>1271</v>
      </c>
      <c r="P349" s="27" t="s">
        <v>4212</v>
      </c>
      <c r="Q349" s="26" t="str">
        <f>HYPERLINK("https://ictv.global/taxonomy/taxondetails?taxnode_id=202506907&amp;ictv_id=ICTV201856907","ICTV201856907")</f>
        <v>ICTV201856907</v>
      </c>
      <c r="R349" t="s">
        <v>579</v>
      </c>
      <c r="S349" t="s">
        <v>22763</v>
      </c>
      <c r="T349">
        <v>40</v>
      </c>
      <c r="U349" s="26" t="str">
        <f t="shared" si="16"/>
        <v>2024.045B.Autographivirales.zip</v>
      </c>
    </row>
    <row r="350" spans="1:21">
      <c r="A350">
        <v>349</v>
      </c>
      <c r="B350" s="27" t="s">
        <v>1449</v>
      </c>
      <c r="D350" s="27" t="s">
        <v>1450</v>
      </c>
      <c r="F350" s="27" t="s">
        <v>1453</v>
      </c>
      <c r="H350" s="27" t="s">
        <v>1454</v>
      </c>
      <c r="J350" s="27" t="s">
        <v>18547</v>
      </c>
      <c r="L350" s="27" t="s">
        <v>18627</v>
      </c>
      <c r="M350" s="27" t="s">
        <v>1456</v>
      </c>
      <c r="N350" s="27" t="s">
        <v>1271</v>
      </c>
      <c r="P350" s="27" t="s">
        <v>18667</v>
      </c>
      <c r="Q350" s="26" t="str">
        <f>HYPERLINK("https://ictv.global/taxonomy/taxondetails?taxnode_id=202520989&amp;ictv_id=ICTV202420989","ICTV202420989")</f>
        <v>ICTV202420989</v>
      </c>
      <c r="R350" t="s">
        <v>579</v>
      </c>
      <c r="S350" t="s">
        <v>823</v>
      </c>
      <c r="T350">
        <v>40</v>
      </c>
      <c r="U350" s="26" t="str">
        <f t="shared" si="16"/>
        <v>2024.045B.Autographivirales.zip</v>
      </c>
    </row>
    <row r="351" spans="1:21">
      <c r="A351">
        <v>350</v>
      </c>
      <c r="B351" s="27" t="s">
        <v>1449</v>
      </c>
      <c r="D351" s="27" t="s">
        <v>1450</v>
      </c>
      <c r="F351" s="27" t="s">
        <v>1453</v>
      </c>
      <c r="H351" s="27" t="s">
        <v>1454</v>
      </c>
      <c r="J351" s="27" t="s">
        <v>18547</v>
      </c>
      <c r="L351" s="27" t="s">
        <v>18627</v>
      </c>
      <c r="M351" s="27" t="s">
        <v>1456</v>
      </c>
      <c r="N351" s="27" t="s">
        <v>1271</v>
      </c>
      <c r="P351" s="27" t="s">
        <v>18668</v>
      </c>
      <c r="Q351" s="26" t="str">
        <f>HYPERLINK("https://ictv.global/taxonomy/taxondetails?taxnode_id=202520984&amp;ictv_id=ICTV202420984","ICTV202420984")</f>
        <v>ICTV202420984</v>
      </c>
      <c r="R351" t="s">
        <v>579</v>
      </c>
      <c r="S351" t="s">
        <v>823</v>
      </c>
      <c r="T351">
        <v>40</v>
      </c>
      <c r="U351" s="26" t="str">
        <f t="shared" si="16"/>
        <v>2024.045B.Autographivirales.zip</v>
      </c>
    </row>
    <row r="352" spans="1:21">
      <c r="A352">
        <v>351</v>
      </c>
      <c r="B352" s="27" t="s">
        <v>1449</v>
      </c>
      <c r="D352" s="27" t="s">
        <v>1450</v>
      </c>
      <c r="F352" s="27" t="s">
        <v>1453</v>
      </c>
      <c r="H352" s="27" t="s">
        <v>1454</v>
      </c>
      <c r="J352" s="27" t="s">
        <v>18547</v>
      </c>
      <c r="L352" s="27" t="s">
        <v>18627</v>
      </c>
      <c r="M352" s="27" t="s">
        <v>1456</v>
      </c>
      <c r="N352" s="27" t="s">
        <v>1271</v>
      </c>
      <c r="P352" s="27" t="s">
        <v>18669</v>
      </c>
      <c r="Q352" s="26" t="str">
        <f>HYPERLINK("https://ictv.global/taxonomy/taxondetails?taxnode_id=202520971&amp;ictv_id=ICTV202420971","ICTV202420971")</f>
        <v>ICTV202420971</v>
      </c>
      <c r="R352" t="s">
        <v>579</v>
      </c>
      <c r="S352" t="s">
        <v>823</v>
      </c>
      <c r="T352">
        <v>40</v>
      </c>
      <c r="U352" s="26" t="str">
        <f t="shared" si="16"/>
        <v>2024.045B.Autographivirales.zip</v>
      </c>
    </row>
    <row r="353" spans="1:21">
      <c r="A353">
        <v>352</v>
      </c>
      <c r="B353" s="27" t="s">
        <v>1449</v>
      </c>
      <c r="D353" s="27" t="s">
        <v>1450</v>
      </c>
      <c r="F353" s="27" t="s">
        <v>1453</v>
      </c>
      <c r="H353" s="27" t="s">
        <v>1454</v>
      </c>
      <c r="J353" s="27" t="s">
        <v>18547</v>
      </c>
      <c r="L353" s="27" t="s">
        <v>18627</v>
      </c>
      <c r="M353" s="27" t="s">
        <v>1456</v>
      </c>
      <c r="N353" s="27" t="s">
        <v>1271</v>
      </c>
      <c r="P353" s="27" t="s">
        <v>4213</v>
      </c>
      <c r="Q353" s="26" t="str">
        <f>HYPERLINK("https://ictv.global/taxonomy/taxondetails?taxnode_id=202500547&amp;ictv_id=ICTV20164892","ICTV20164892")</f>
        <v>ICTV20164892</v>
      </c>
      <c r="R353" t="s">
        <v>579</v>
      </c>
      <c r="S353" t="s">
        <v>22763</v>
      </c>
      <c r="T353">
        <v>40</v>
      </c>
      <c r="U353" s="26" t="str">
        <f t="shared" si="16"/>
        <v>2024.045B.Autographivirales.zip</v>
      </c>
    </row>
    <row r="354" spans="1:21">
      <c r="A354">
        <v>353</v>
      </c>
      <c r="B354" s="27" t="s">
        <v>1449</v>
      </c>
      <c r="D354" s="27" t="s">
        <v>1450</v>
      </c>
      <c r="F354" s="27" t="s">
        <v>1453</v>
      </c>
      <c r="H354" s="27" t="s">
        <v>1454</v>
      </c>
      <c r="J354" s="27" t="s">
        <v>18547</v>
      </c>
      <c r="L354" s="27" t="s">
        <v>18627</v>
      </c>
      <c r="M354" s="27" t="s">
        <v>1456</v>
      </c>
      <c r="N354" s="27" t="s">
        <v>1271</v>
      </c>
      <c r="P354" s="27" t="s">
        <v>4214</v>
      </c>
      <c r="Q354" s="26" t="str">
        <f>HYPERLINK("https://ictv.global/taxonomy/taxondetails?taxnode_id=202500548&amp;ictv_id=ICTV20164893","ICTV20164893")</f>
        <v>ICTV20164893</v>
      </c>
      <c r="R354" t="s">
        <v>579</v>
      </c>
      <c r="S354" t="s">
        <v>22763</v>
      </c>
      <c r="T354">
        <v>40</v>
      </c>
      <c r="U354" s="26" t="str">
        <f t="shared" si="16"/>
        <v>2024.045B.Autographivirales.zip</v>
      </c>
    </row>
    <row r="355" spans="1:21">
      <c r="A355">
        <v>354</v>
      </c>
      <c r="B355" s="27" t="s">
        <v>1449</v>
      </c>
      <c r="D355" s="27" t="s">
        <v>1450</v>
      </c>
      <c r="F355" s="27" t="s">
        <v>1453</v>
      </c>
      <c r="H355" s="27" t="s">
        <v>1454</v>
      </c>
      <c r="J355" s="27" t="s">
        <v>18547</v>
      </c>
      <c r="L355" s="27" t="s">
        <v>18627</v>
      </c>
      <c r="M355" s="27" t="s">
        <v>1456</v>
      </c>
      <c r="N355" s="27" t="s">
        <v>1271</v>
      </c>
      <c r="P355" s="27" t="s">
        <v>22699</v>
      </c>
      <c r="Q355" s="26" t="str">
        <f>HYPERLINK("https://ictv.global/taxonomy/taxondetails?taxnode_id=202523276&amp;ictv_id=ICTV202523276","ICTV202523276")</f>
        <v>ICTV202523276</v>
      </c>
      <c r="R355" t="s">
        <v>579</v>
      </c>
      <c r="S355" t="s">
        <v>823</v>
      </c>
      <c r="T355">
        <v>41</v>
      </c>
      <c r="U355" s="26" t="str">
        <f>HYPERLINK("https://ictv.global/ictv/proposals/2025.085B.Friunavirus_32ns.zip","2025.085B.Friunavirus_32ns.zip")</f>
        <v>2025.085B.Friunavirus_32ns.zip</v>
      </c>
    </row>
    <row r="356" spans="1:21">
      <c r="A356">
        <v>355</v>
      </c>
      <c r="B356" s="27" t="s">
        <v>1449</v>
      </c>
      <c r="D356" s="27" t="s">
        <v>1450</v>
      </c>
      <c r="F356" s="27" t="s">
        <v>1453</v>
      </c>
      <c r="H356" s="27" t="s">
        <v>1454</v>
      </c>
      <c r="J356" s="27" t="s">
        <v>18547</v>
      </c>
      <c r="L356" s="27" t="s">
        <v>18627</v>
      </c>
      <c r="M356" s="27" t="s">
        <v>1456</v>
      </c>
      <c r="N356" s="27" t="s">
        <v>1271</v>
      </c>
      <c r="P356" s="27" t="s">
        <v>18670</v>
      </c>
      <c r="Q356" s="26" t="str">
        <f>HYPERLINK("https://ictv.global/taxonomy/taxondetails?taxnode_id=202520983&amp;ictv_id=ICTV202420983","ICTV202420983")</f>
        <v>ICTV202420983</v>
      </c>
      <c r="R356" t="s">
        <v>579</v>
      </c>
      <c r="S356" t="s">
        <v>823</v>
      </c>
      <c r="T356">
        <v>40</v>
      </c>
      <c r="U356" s="26" t="str">
        <f>HYPERLINK("https://ictv.global/ictv/proposals/2024.045B.Autographivirales.zip","2024.045B.Autographivirales.zip")</f>
        <v>2024.045B.Autographivirales.zip</v>
      </c>
    </row>
    <row r="357" spans="1:21">
      <c r="A357">
        <v>356</v>
      </c>
      <c r="B357" s="27" t="s">
        <v>1449</v>
      </c>
      <c r="D357" s="27" t="s">
        <v>1450</v>
      </c>
      <c r="F357" s="27" t="s">
        <v>1453</v>
      </c>
      <c r="H357" s="27" t="s">
        <v>1454</v>
      </c>
      <c r="J357" s="27" t="s">
        <v>18547</v>
      </c>
      <c r="L357" s="27" t="s">
        <v>18627</v>
      </c>
      <c r="M357" s="27" t="s">
        <v>1456</v>
      </c>
      <c r="N357" s="27" t="s">
        <v>1271</v>
      </c>
      <c r="P357" s="27" t="s">
        <v>18671</v>
      </c>
      <c r="Q357" s="26" t="str">
        <f>HYPERLINK("https://ictv.global/taxonomy/taxondetails?taxnode_id=202520979&amp;ictv_id=ICTV202420979","ICTV202420979")</f>
        <v>ICTV202420979</v>
      </c>
      <c r="R357" t="s">
        <v>579</v>
      </c>
      <c r="S357" t="s">
        <v>823</v>
      </c>
      <c r="T357">
        <v>40</v>
      </c>
      <c r="U357" s="26" t="str">
        <f>HYPERLINK("https://ictv.global/ictv/proposals/2024.045B.Autographivirales.zip","2024.045B.Autographivirales.zip")</f>
        <v>2024.045B.Autographivirales.zip</v>
      </c>
    </row>
    <row r="358" spans="1:21">
      <c r="A358">
        <v>357</v>
      </c>
      <c r="B358" s="27" t="s">
        <v>1449</v>
      </c>
      <c r="D358" s="27" t="s">
        <v>1450</v>
      </c>
      <c r="F358" s="27" t="s">
        <v>1453</v>
      </c>
      <c r="H358" s="27" t="s">
        <v>1454</v>
      </c>
      <c r="J358" s="27" t="s">
        <v>18547</v>
      </c>
      <c r="L358" s="27" t="s">
        <v>18627</v>
      </c>
      <c r="M358" s="27" t="s">
        <v>1456</v>
      </c>
      <c r="N358" s="27" t="s">
        <v>1271</v>
      </c>
      <c r="P358" s="27" t="s">
        <v>22700</v>
      </c>
      <c r="Q358" s="26" t="str">
        <f>HYPERLINK("https://ictv.global/taxonomy/taxondetails?taxnode_id=202523277&amp;ictv_id=ICTV202523277","ICTV202523277")</f>
        <v>ICTV202523277</v>
      </c>
      <c r="R358" t="s">
        <v>579</v>
      </c>
      <c r="S358" t="s">
        <v>823</v>
      </c>
      <c r="T358">
        <v>41</v>
      </c>
      <c r="U358" s="26" t="str">
        <f>HYPERLINK("https://ictv.global/ictv/proposals/2025.085B.Friunavirus_32ns.zip","2025.085B.Friunavirus_32ns.zip")</f>
        <v>2025.085B.Friunavirus_32ns.zip</v>
      </c>
    </row>
    <row r="359" spans="1:21">
      <c r="A359">
        <v>358</v>
      </c>
      <c r="B359" s="27" t="s">
        <v>1449</v>
      </c>
      <c r="D359" s="27" t="s">
        <v>1450</v>
      </c>
      <c r="F359" s="27" t="s">
        <v>1453</v>
      </c>
      <c r="H359" s="27" t="s">
        <v>1454</v>
      </c>
      <c r="J359" s="27" t="s">
        <v>18547</v>
      </c>
      <c r="L359" s="27" t="s">
        <v>18627</v>
      </c>
      <c r="M359" s="27" t="s">
        <v>1456</v>
      </c>
      <c r="N359" s="27" t="s">
        <v>1271</v>
      </c>
      <c r="P359" s="27" t="s">
        <v>22695</v>
      </c>
      <c r="Q359" s="26" t="str">
        <f>HYPERLINK("https://ictv.global/taxonomy/taxondetails?taxnode_id=202523272&amp;ictv_id=ICTV202523272","ICTV202523272")</f>
        <v>ICTV202523272</v>
      </c>
      <c r="R359" t="s">
        <v>579</v>
      </c>
      <c r="S359" t="s">
        <v>823</v>
      </c>
      <c r="T359">
        <v>41</v>
      </c>
      <c r="U359" s="26" t="str">
        <f>HYPERLINK("https://ictv.global/ictv/proposals/2025.085B.Friunavirus_32ns.zip","2025.085B.Friunavirus_32ns.zip")</f>
        <v>2025.085B.Friunavirus_32ns.zip</v>
      </c>
    </row>
    <row r="360" spans="1:21">
      <c r="A360">
        <v>359</v>
      </c>
      <c r="B360" s="27" t="s">
        <v>1449</v>
      </c>
      <c r="D360" s="27" t="s">
        <v>1450</v>
      </c>
      <c r="F360" s="27" t="s">
        <v>1453</v>
      </c>
      <c r="H360" s="27" t="s">
        <v>1454</v>
      </c>
      <c r="J360" s="27" t="s">
        <v>18547</v>
      </c>
      <c r="L360" s="27" t="s">
        <v>18627</v>
      </c>
      <c r="M360" s="27" t="s">
        <v>1456</v>
      </c>
      <c r="N360" s="27" t="s">
        <v>1271</v>
      </c>
      <c r="P360" s="27" t="s">
        <v>22716</v>
      </c>
      <c r="Q360" s="26" t="str">
        <f>HYPERLINK("https://ictv.global/taxonomy/taxondetails?taxnode_id=202523293&amp;ictv_id=ICTV202523293","ICTV202523293")</f>
        <v>ICTV202523293</v>
      </c>
      <c r="R360" t="s">
        <v>579</v>
      </c>
      <c r="S360" t="s">
        <v>823</v>
      </c>
      <c r="T360">
        <v>41</v>
      </c>
      <c r="U360" s="26" t="str">
        <f>HYPERLINK("https://ictv.global/ictv/proposals/2025.085B.Friunavirus_32ns.zip","2025.085B.Friunavirus_32ns.zip")</f>
        <v>2025.085B.Friunavirus_32ns.zip</v>
      </c>
    </row>
    <row r="361" spans="1:21">
      <c r="A361">
        <v>360</v>
      </c>
      <c r="B361" s="27" t="s">
        <v>1449</v>
      </c>
      <c r="D361" s="27" t="s">
        <v>1450</v>
      </c>
      <c r="F361" s="27" t="s">
        <v>1453</v>
      </c>
      <c r="H361" s="27" t="s">
        <v>1454</v>
      </c>
      <c r="J361" s="27" t="s">
        <v>18547</v>
      </c>
      <c r="L361" s="27" t="s">
        <v>18627</v>
      </c>
      <c r="M361" s="27" t="s">
        <v>1456</v>
      </c>
      <c r="N361" s="27" t="s">
        <v>1271</v>
      </c>
      <c r="P361" s="27" t="s">
        <v>4215</v>
      </c>
      <c r="Q361" s="26" t="str">
        <f>HYPERLINK("https://ictv.global/taxonomy/taxondetails?taxnode_id=202506908&amp;ictv_id=ICTV201856908","ICTV201856908")</f>
        <v>ICTV201856908</v>
      </c>
      <c r="R361" t="s">
        <v>579</v>
      </c>
      <c r="S361" t="s">
        <v>22763</v>
      </c>
      <c r="T361">
        <v>40</v>
      </c>
      <c r="U361" s="26" t="str">
        <f>HYPERLINK("https://ictv.global/ictv/proposals/2024.045B.Autographivirales.zip","2024.045B.Autographivirales.zip")</f>
        <v>2024.045B.Autographivirales.zip</v>
      </c>
    </row>
    <row r="362" spans="1:21">
      <c r="A362">
        <v>361</v>
      </c>
      <c r="B362" s="27" t="s">
        <v>1449</v>
      </c>
      <c r="D362" s="27" t="s">
        <v>1450</v>
      </c>
      <c r="F362" s="27" t="s">
        <v>1453</v>
      </c>
      <c r="H362" s="27" t="s">
        <v>1454</v>
      </c>
      <c r="J362" s="27" t="s">
        <v>18547</v>
      </c>
      <c r="L362" s="27" t="s">
        <v>18627</v>
      </c>
      <c r="M362" s="27" t="s">
        <v>1456</v>
      </c>
      <c r="N362" s="27" t="s">
        <v>1271</v>
      </c>
      <c r="P362" s="27" t="s">
        <v>18672</v>
      </c>
      <c r="Q362" s="26" t="str">
        <f>HYPERLINK("https://ictv.global/taxonomy/taxondetails?taxnode_id=202520966&amp;ictv_id=ICTV202420966","ICTV202420966")</f>
        <v>ICTV202420966</v>
      </c>
      <c r="R362" t="s">
        <v>579</v>
      </c>
      <c r="S362" t="s">
        <v>823</v>
      </c>
      <c r="T362">
        <v>40</v>
      </c>
      <c r="U362" s="26" t="str">
        <f>HYPERLINK("https://ictv.global/ictv/proposals/2024.045B.Autographivirales.zip","2024.045B.Autographivirales.zip")</f>
        <v>2024.045B.Autographivirales.zip</v>
      </c>
    </row>
    <row r="363" spans="1:21">
      <c r="A363">
        <v>362</v>
      </c>
      <c r="B363" s="27" t="s">
        <v>1449</v>
      </c>
      <c r="D363" s="27" t="s">
        <v>1450</v>
      </c>
      <c r="F363" s="27" t="s">
        <v>1453</v>
      </c>
      <c r="H363" s="27" t="s">
        <v>1454</v>
      </c>
      <c r="J363" s="27" t="s">
        <v>18547</v>
      </c>
      <c r="L363" s="27" t="s">
        <v>18627</v>
      </c>
      <c r="M363" s="27" t="s">
        <v>1456</v>
      </c>
      <c r="N363" s="27" t="s">
        <v>1271</v>
      </c>
      <c r="P363" s="27" t="s">
        <v>18673</v>
      </c>
      <c r="Q363" s="26" t="str">
        <f>HYPERLINK("https://ictv.global/taxonomy/taxondetails?taxnode_id=202520969&amp;ictv_id=ICTV202420969","ICTV202420969")</f>
        <v>ICTV202420969</v>
      </c>
      <c r="R363" t="s">
        <v>579</v>
      </c>
      <c r="S363" t="s">
        <v>823</v>
      </c>
      <c r="T363">
        <v>40</v>
      </c>
      <c r="U363" s="26" t="str">
        <f>HYPERLINK("https://ictv.global/ictv/proposals/2024.045B.Autographivirales.zip","2024.045B.Autographivirales.zip")</f>
        <v>2024.045B.Autographivirales.zip</v>
      </c>
    </row>
    <row r="364" spans="1:21">
      <c r="A364">
        <v>363</v>
      </c>
      <c r="B364" s="27" t="s">
        <v>1449</v>
      </c>
      <c r="D364" s="27" t="s">
        <v>1450</v>
      </c>
      <c r="F364" s="27" t="s">
        <v>1453</v>
      </c>
      <c r="H364" s="27" t="s">
        <v>1454</v>
      </c>
      <c r="J364" s="27" t="s">
        <v>18547</v>
      </c>
      <c r="L364" s="27" t="s">
        <v>18627</v>
      </c>
      <c r="M364" s="27" t="s">
        <v>1456</v>
      </c>
      <c r="N364" s="27" t="s">
        <v>1271</v>
      </c>
      <c r="P364" s="27" t="s">
        <v>22706</v>
      </c>
      <c r="Q364" s="26" t="str">
        <f>HYPERLINK("https://ictv.global/taxonomy/taxondetails?taxnode_id=202523283&amp;ictv_id=ICTV202523283","ICTV202523283")</f>
        <v>ICTV202523283</v>
      </c>
      <c r="R364" t="s">
        <v>579</v>
      </c>
      <c r="S364" t="s">
        <v>823</v>
      </c>
      <c r="T364">
        <v>41</v>
      </c>
      <c r="U364" s="26" t="str">
        <f>HYPERLINK("https://ictv.global/ictv/proposals/2025.085B.Friunavirus_32ns.zip","2025.085B.Friunavirus_32ns.zip")</f>
        <v>2025.085B.Friunavirus_32ns.zip</v>
      </c>
    </row>
    <row r="365" spans="1:21">
      <c r="A365">
        <v>364</v>
      </c>
      <c r="B365" s="27" t="s">
        <v>1449</v>
      </c>
      <c r="D365" s="27" t="s">
        <v>1450</v>
      </c>
      <c r="F365" s="27" t="s">
        <v>1453</v>
      </c>
      <c r="H365" s="27" t="s">
        <v>1454</v>
      </c>
      <c r="J365" s="27" t="s">
        <v>18547</v>
      </c>
      <c r="L365" s="27" t="s">
        <v>18627</v>
      </c>
      <c r="M365" s="27" t="s">
        <v>1456</v>
      </c>
      <c r="N365" s="27" t="s">
        <v>1271</v>
      </c>
      <c r="P365" s="27" t="s">
        <v>18674</v>
      </c>
      <c r="Q365" s="26" t="str">
        <f>HYPERLINK("https://ictv.global/taxonomy/taxondetails?taxnode_id=202520993&amp;ictv_id=ICTV202420993","ICTV202420993")</f>
        <v>ICTV202420993</v>
      </c>
      <c r="R365" t="s">
        <v>579</v>
      </c>
      <c r="S365" t="s">
        <v>823</v>
      </c>
      <c r="T365">
        <v>40</v>
      </c>
      <c r="U365" s="26" t="str">
        <f t="shared" ref="U365:U396" si="17">HYPERLINK("https://ictv.global/ictv/proposals/2024.045B.Autographivirales.zip","2024.045B.Autographivirales.zip")</f>
        <v>2024.045B.Autographivirales.zip</v>
      </c>
    </row>
    <row r="366" spans="1:21">
      <c r="A366">
        <v>365</v>
      </c>
      <c r="B366" s="27" t="s">
        <v>1449</v>
      </c>
      <c r="D366" s="27" t="s">
        <v>1450</v>
      </c>
      <c r="F366" s="27" t="s">
        <v>1453</v>
      </c>
      <c r="H366" s="27" t="s">
        <v>1454</v>
      </c>
      <c r="J366" s="27" t="s">
        <v>18547</v>
      </c>
      <c r="L366" s="27" t="s">
        <v>18627</v>
      </c>
      <c r="M366" s="27" t="s">
        <v>1456</v>
      </c>
      <c r="N366" s="27" t="s">
        <v>1458</v>
      </c>
      <c r="P366" s="27" t="s">
        <v>4216</v>
      </c>
      <c r="Q366" s="26" t="str">
        <f>HYPERLINK("https://ictv.global/taxonomy/taxondetails?taxnode_id=202508511&amp;ictv_id=ICTV201908511","ICTV201908511")</f>
        <v>ICTV201908511</v>
      </c>
      <c r="R366" t="s">
        <v>579</v>
      </c>
      <c r="S366" t="s">
        <v>22763</v>
      </c>
      <c r="T366">
        <v>40</v>
      </c>
      <c r="U366" s="26" t="str">
        <f t="shared" si="17"/>
        <v>2024.045B.Autographivirales.zip</v>
      </c>
    </row>
    <row r="367" spans="1:21">
      <c r="A367">
        <v>366</v>
      </c>
      <c r="B367" s="27" t="s">
        <v>1449</v>
      </c>
      <c r="D367" s="27" t="s">
        <v>1450</v>
      </c>
      <c r="F367" s="27" t="s">
        <v>1453</v>
      </c>
      <c r="H367" s="27" t="s">
        <v>1454</v>
      </c>
      <c r="J367" s="27" t="s">
        <v>18547</v>
      </c>
      <c r="L367" s="27" t="s">
        <v>18627</v>
      </c>
      <c r="M367" s="27" t="s">
        <v>1465</v>
      </c>
      <c r="N367" s="27" t="s">
        <v>18675</v>
      </c>
      <c r="P367" s="27" t="s">
        <v>18676</v>
      </c>
      <c r="Q367" s="26" t="str">
        <f>HYPERLINK("https://ictv.global/taxonomy/taxondetails?taxnode_id=202521160&amp;ictv_id=ICTV202421160","ICTV202421160")</f>
        <v>ICTV202421160</v>
      </c>
      <c r="R367" t="s">
        <v>579</v>
      </c>
      <c r="S367" t="s">
        <v>823</v>
      </c>
      <c r="T367">
        <v>40</v>
      </c>
      <c r="U367" s="26" t="str">
        <f t="shared" si="17"/>
        <v>2024.045B.Autographivirales.zip</v>
      </c>
    </row>
    <row r="368" spans="1:21">
      <c r="A368">
        <v>367</v>
      </c>
      <c r="B368" s="27" t="s">
        <v>1449</v>
      </c>
      <c r="D368" s="27" t="s">
        <v>1450</v>
      </c>
      <c r="F368" s="27" t="s">
        <v>1453</v>
      </c>
      <c r="H368" s="27" t="s">
        <v>1454</v>
      </c>
      <c r="J368" s="27" t="s">
        <v>18547</v>
      </c>
      <c r="L368" s="27" t="s">
        <v>18627</v>
      </c>
      <c r="M368" s="27" t="s">
        <v>1465</v>
      </c>
      <c r="N368" s="27" t="s">
        <v>1466</v>
      </c>
      <c r="P368" s="27" t="s">
        <v>4223</v>
      </c>
      <c r="Q368" s="26" t="str">
        <f>HYPERLINK("https://ictv.global/taxonomy/taxondetails?taxnode_id=202508569&amp;ictv_id=ICTV201908569","ICTV201908569")</f>
        <v>ICTV201908569</v>
      </c>
      <c r="R368" t="s">
        <v>579</v>
      </c>
      <c r="S368" t="s">
        <v>22763</v>
      </c>
      <c r="T368">
        <v>40</v>
      </c>
      <c r="U368" s="26" t="str">
        <f t="shared" si="17"/>
        <v>2024.045B.Autographivirales.zip</v>
      </c>
    </row>
    <row r="369" spans="1:21">
      <c r="A369">
        <v>368</v>
      </c>
      <c r="B369" s="27" t="s">
        <v>1449</v>
      </c>
      <c r="D369" s="27" t="s">
        <v>1450</v>
      </c>
      <c r="F369" s="27" t="s">
        <v>1453</v>
      </c>
      <c r="H369" s="27" t="s">
        <v>1454</v>
      </c>
      <c r="J369" s="27" t="s">
        <v>18547</v>
      </c>
      <c r="L369" s="27" t="s">
        <v>18627</v>
      </c>
      <c r="M369" s="27" t="s">
        <v>1465</v>
      </c>
      <c r="N369" s="27" t="s">
        <v>1467</v>
      </c>
      <c r="P369" s="27" t="s">
        <v>18677</v>
      </c>
      <c r="Q369" s="26" t="str">
        <f>HYPERLINK("https://ictv.global/taxonomy/taxondetails?taxnode_id=202521074&amp;ictv_id=ICTV202421074","ICTV202421074")</f>
        <v>ICTV202421074</v>
      </c>
      <c r="R369" t="s">
        <v>579</v>
      </c>
      <c r="S369" t="s">
        <v>823</v>
      </c>
      <c r="T369">
        <v>40</v>
      </c>
      <c r="U369" s="26" t="str">
        <f t="shared" si="17"/>
        <v>2024.045B.Autographivirales.zip</v>
      </c>
    </row>
    <row r="370" spans="1:21">
      <c r="A370">
        <v>369</v>
      </c>
      <c r="B370" s="27" t="s">
        <v>1449</v>
      </c>
      <c r="D370" s="27" t="s">
        <v>1450</v>
      </c>
      <c r="F370" s="27" t="s">
        <v>1453</v>
      </c>
      <c r="H370" s="27" t="s">
        <v>1454</v>
      </c>
      <c r="J370" s="27" t="s">
        <v>18547</v>
      </c>
      <c r="L370" s="27" t="s">
        <v>18627</v>
      </c>
      <c r="M370" s="27" t="s">
        <v>1465</v>
      </c>
      <c r="N370" s="27" t="s">
        <v>1467</v>
      </c>
      <c r="P370" s="27" t="s">
        <v>18678</v>
      </c>
      <c r="Q370" s="26" t="str">
        <f>HYPERLINK("https://ictv.global/taxonomy/taxondetails?taxnode_id=202521075&amp;ictv_id=ICTV202421075","ICTV202421075")</f>
        <v>ICTV202421075</v>
      </c>
      <c r="R370" t="s">
        <v>579</v>
      </c>
      <c r="S370" t="s">
        <v>823</v>
      </c>
      <c r="T370">
        <v>40</v>
      </c>
      <c r="U370" s="26" t="str">
        <f t="shared" si="17"/>
        <v>2024.045B.Autographivirales.zip</v>
      </c>
    </row>
    <row r="371" spans="1:21">
      <c r="A371">
        <v>370</v>
      </c>
      <c r="B371" s="27" t="s">
        <v>1449</v>
      </c>
      <c r="D371" s="27" t="s">
        <v>1450</v>
      </c>
      <c r="F371" s="27" t="s">
        <v>1453</v>
      </c>
      <c r="H371" s="27" t="s">
        <v>1454</v>
      </c>
      <c r="J371" s="27" t="s">
        <v>18547</v>
      </c>
      <c r="L371" s="27" t="s">
        <v>18627</v>
      </c>
      <c r="M371" s="27" t="s">
        <v>1465</v>
      </c>
      <c r="N371" s="27" t="s">
        <v>1467</v>
      </c>
      <c r="P371" s="27" t="s">
        <v>4224</v>
      </c>
      <c r="Q371" s="26" t="str">
        <f>HYPERLINK("https://ictv.global/taxonomy/taxondetails?taxnode_id=202508557&amp;ictv_id=ICTV201908557","ICTV201908557")</f>
        <v>ICTV201908557</v>
      </c>
      <c r="R371" t="s">
        <v>579</v>
      </c>
      <c r="S371" t="s">
        <v>22763</v>
      </c>
      <c r="T371">
        <v>40</v>
      </c>
      <c r="U371" s="26" t="str">
        <f t="shared" si="17"/>
        <v>2024.045B.Autographivirales.zip</v>
      </c>
    </row>
    <row r="372" spans="1:21">
      <c r="A372">
        <v>371</v>
      </c>
      <c r="B372" s="27" t="s">
        <v>1449</v>
      </c>
      <c r="D372" s="27" t="s">
        <v>1450</v>
      </c>
      <c r="F372" s="27" t="s">
        <v>1453</v>
      </c>
      <c r="H372" s="27" t="s">
        <v>1454</v>
      </c>
      <c r="J372" s="27" t="s">
        <v>18547</v>
      </c>
      <c r="L372" s="27" t="s">
        <v>18627</v>
      </c>
      <c r="M372" s="27" t="s">
        <v>1465</v>
      </c>
      <c r="N372" s="27" t="s">
        <v>1467</v>
      </c>
      <c r="P372" s="27" t="s">
        <v>4225</v>
      </c>
      <c r="Q372" s="26" t="str">
        <f>HYPERLINK("https://ictv.global/taxonomy/taxondetails?taxnode_id=202508555&amp;ictv_id=ICTV201908555","ICTV201908555")</f>
        <v>ICTV201908555</v>
      </c>
      <c r="R372" t="s">
        <v>579</v>
      </c>
      <c r="S372" t="s">
        <v>22763</v>
      </c>
      <c r="T372">
        <v>40</v>
      </c>
      <c r="U372" s="26" t="str">
        <f t="shared" si="17"/>
        <v>2024.045B.Autographivirales.zip</v>
      </c>
    </row>
    <row r="373" spans="1:21">
      <c r="A373">
        <v>372</v>
      </c>
      <c r="B373" s="27" t="s">
        <v>1449</v>
      </c>
      <c r="D373" s="27" t="s">
        <v>1450</v>
      </c>
      <c r="F373" s="27" t="s">
        <v>1453</v>
      </c>
      <c r="H373" s="27" t="s">
        <v>1454</v>
      </c>
      <c r="J373" s="27" t="s">
        <v>18547</v>
      </c>
      <c r="L373" s="27" t="s">
        <v>18627</v>
      </c>
      <c r="M373" s="27" t="s">
        <v>1465</v>
      </c>
      <c r="N373" s="27" t="s">
        <v>1467</v>
      </c>
      <c r="P373" s="27" t="s">
        <v>4226</v>
      </c>
      <c r="Q373" s="26" t="str">
        <f>HYPERLINK("https://ictv.global/taxonomy/taxondetails?taxnode_id=202508556&amp;ictv_id=ICTV201908556","ICTV201908556")</f>
        <v>ICTV201908556</v>
      </c>
      <c r="R373" t="s">
        <v>579</v>
      </c>
      <c r="S373" t="s">
        <v>22763</v>
      </c>
      <c r="T373">
        <v>40</v>
      </c>
      <c r="U373" s="26" t="str">
        <f t="shared" si="17"/>
        <v>2024.045B.Autographivirales.zip</v>
      </c>
    </row>
    <row r="374" spans="1:21">
      <c r="A374">
        <v>373</v>
      </c>
      <c r="B374" s="27" t="s">
        <v>1449</v>
      </c>
      <c r="D374" s="27" t="s">
        <v>1450</v>
      </c>
      <c r="F374" s="27" t="s">
        <v>1453</v>
      </c>
      <c r="H374" s="27" t="s">
        <v>1454</v>
      </c>
      <c r="J374" s="27" t="s">
        <v>18547</v>
      </c>
      <c r="L374" s="27" t="s">
        <v>18627</v>
      </c>
      <c r="M374" s="27" t="s">
        <v>1465</v>
      </c>
      <c r="N374" s="27" t="s">
        <v>1273</v>
      </c>
      <c r="P374" s="27" t="s">
        <v>4227</v>
      </c>
      <c r="Q374" s="26" t="str">
        <f>HYPERLINK("https://ictv.global/taxonomy/taxondetails?taxnode_id=202506925&amp;ictv_id=ICTV201856925","ICTV201856925")</f>
        <v>ICTV201856925</v>
      </c>
      <c r="R374" t="s">
        <v>579</v>
      </c>
      <c r="S374" t="s">
        <v>22763</v>
      </c>
      <c r="T374">
        <v>40</v>
      </c>
      <c r="U374" s="26" t="str">
        <f t="shared" si="17"/>
        <v>2024.045B.Autographivirales.zip</v>
      </c>
    </row>
    <row r="375" spans="1:21">
      <c r="A375">
        <v>374</v>
      </c>
      <c r="B375" s="27" t="s">
        <v>1449</v>
      </c>
      <c r="D375" s="27" t="s">
        <v>1450</v>
      </c>
      <c r="F375" s="27" t="s">
        <v>1453</v>
      </c>
      <c r="H375" s="27" t="s">
        <v>1454</v>
      </c>
      <c r="J375" s="27" t="s">
        <v>18547</v>
      </c>
      <c r="L375" s="27" t="s">
        <v>18627</v>
      </c>
      <c r="M375" s="27" t="s">
        <v>1465</v>
      </c>
      <c r="N375" s="27" t="s">
        <v>1273</v>
      </c>
      <c r="P375" s="27" t="s">
        <v>4228</v>
      </c>
      <c r="Q375" s="26" t="str">
        <f>HYPERLINK("https://ictv.global/taxonomy/taxondetails?taxnode_id=202508561&amp;ictv_id=ICTV201908561","ICTV201908561")</f>
        <v>ICTV201908561</v>
      </c>
      <c r="R375" t="s">
        <v>579</v>
      </c>
      <c r="S375" t="s">
        <v>22763</v>
      </c>
      <c r="T375">
        <v>40</v>
      </c>
      <c r="U375" s="26" t="str">
        <f t="shared" si="17"/>
        <v>2024.045B.Autographivirales.zip</v>
      </c>
    </row>
    <row r="376" spans="1:21">
      <c r="A376">
        <v>375</v>
      </c>
      <c r="B376" s="27" t="s">
        <v>1449</v>
      </c>
      <c r="D376" s="27" t="s">
        <v>1450</v>
      </c>
      <c r="F376" s="27" t="s">
        <v>1453</v>
      </c>
      <c r="H376" s="27" t="s">
        <v>1454</v>
      </c>
      <c r="J376" s="27" t="s">
        <v>18547</v>
      </c>
      <c r="L376" s="27" t="s">
        <v>18627</v>
      </c>
      <c r="M376" s="27" t="s">
        <v>1465</v>
      </c>
      <c r="N376" s="27" t="s">
        <v>1273</v>
      </c>
      <c r="P376" s="27" t="s">
        <v>4229</v>
      </c>
      <c r="Q376" s="26" t="str">
        <f>HYPERLINK("https://ictv.global/taxonomy/taxondetails?taxnode_id=202506924&amp;ictv_id=ICTV201856924","ICTV201856924")</f>
        <v>ICTV201856924</v>
      </c>
      <c r="R376" t="s">
        <v>579</v>
      </c>
      <c r="S376" t="s">
        <v>22763</v>
      </c>
      <c r="T376">
        <v>40</v>
      </c>
      <c r="U376" s="26" t="str">
        <f t="shared" si="17"/>
        <v>2024.045B.Autographivirales.zip</v>
      </c>
    </row>
    <row r="377" spans="1:21">
      <c r="A377">
        <v>376</v>
      </c>
      <c r="B377" s="27" t="s">
        <v>1449</v>
      </c>
      <c r="D377" s="27" t="s">
        <v>1450</v>
      </c>
      <c r="F377" s="27" t="s">
        <v>1453</v>
      </c>
      <c r="H377" s="27" t="s">
        <v>1454</v>
      </c>
      <c r="J377" s="27" t="s">
        <v>18547</v>
      </c>
      <c r="L377" s="27" t="s">
        <v>18627</v>
      </c>
      <c r="M377" s="27" t="s">
        <v>1465</v>
      </c>
      <c r="N377" s="27" t="s">
        <v>1273</v>
      </c>
      <c r="P377" s="27" t="s">
        <v>4230</v>
      </c>
      <c r="Q377" s="26" t="str">
        <f>HYPERLINK("https://ictv.global/taxonomy/taxondetails?taxnode_id=202508558&amp;ictv_id=ICTV201908558","ICTV201908558")</f>
        <v>ICTV201908558</v>
      </c>
      <c r="R377" t="s">
        <v>579</v>
      </c>
      <c r="S377" t="s">
        <v>22763</v>
      </c>
      <c r="T377">
        <v>40</v>
      </c>
      <c r="U377" s="26" t="str">
        <f t="shared" si="17"/>
        <v>2024.045B.Autographivirales.zip</v>
      </c>
    </row>
    <row r="378" spans="1:21">
      <c r="A378">
        <v>377</v>
      </c>
      <c r="B378" s="27" t="s">
        <v>1449</v>
      </c>
      <c r="D378" s="27" t="s">
        <v>1450</v>
      </c>
      <c r="F378" s="27" t="s">
        <v>1453</v>
      </c>
      <c r="H378" s="27" t="s">
        <v>1454</v>
      </c>
      <c r="J378" s="27" t="s">
        <v>18547</v>
      </c>
      <c r="L378" s="27" t="s">
        <v>18627</v>
      </c>
      <c r="M378" s="27" t="s">
        <v>1465</v>
      </c>
      <c r="N378" s="27" t="s">
        <v>1273</v>
      </c>
      <c r="P378" s="27" t="s">
        <v>4231</v>
      </c>
      <c r="Q378" s="26" t="str">
        <f>HYPERLINK("https://ictv.global/taxonomy/taxondetails?taxnode_id=202508562&amp;ictv_id=ICTV201908562","ICTV201908562")</f>
        <v>ICTV201908562</v>
      </c>
      <c r="R378" t="s">
        <v>579</v>
      </c>
      <c r="S378" t="s">
        <v>22763</v>
      </c>
      <c r="T378">
        <v>40</v>
      </c>
      <c r="U378" s="26" t="str">
        <f t="shared" si="17"/>
        <v>2024.045B.Autographivirales.zip</v>
      </c>
    </row>
    <row r="379" spans="1:21">
      <c r="A379">
        <v>378</v>
      </c>
      <c r="B379" s="27" t="s">
        <v>1449</v>
      </c>
      <c r="D379" s="27" t="s">
        <v>1450</v>
      </c>
      <c r="F379" s="27" t="s">
        <v>1453</v>
      </c>
      <c r="H379" s="27" t="s">
        <v>1454</v>
      </c>
      <c r="J379" s="27" t="s">
        <v>18547</v>
      </c>
      <c r="L379" s="27" t="s">
        <v>18627</v>
      </c>
      <c r="M379" s="27" t="s">
        <v>1465</v>
      </c>
      <c r="N379" s="27" t="s">
        <v>1273</v>
      </c>
      <c r="P379" s="27" t="s">
        <v>4232</v>
      </c>
      <c r="Q379" s="26" t="str">
        <f>HYPERLINK("https://ictv.global/taxonomy/taxondetails?taxnode_id=202508563&amp;ictv_id=ICTV201908563","ICTV201908563")</f>
        <v>ICTV201908563</v>
      </c>
      <c r="R379" t="s">
        <v>579</v>
      </c>
      <c r="S379" t="s">
        <v>22763</v>
      </c>
      <c r="T379">
        <v>40</v>
      </c>
      <c r="U379" s="26" t="str">
        <f t="shared" si="17"/>
        <v>2024.045B.Autographivirales.zip</v>
      </c>
    </row>
    <row r="380" spans="1:21">
      <c r="A380">
        <v>379</v>
      </c>
      <c r="B380" s="27" t="s">
        <v>1449</v>
      </c>
      <c r="D380" s="27" t="s">
        <v>1450</v>
      </c>
      <c r="F380" s="27" t="s">
        <v>1453</v>
      </c>
      <c r="H380" s="27" t="s">
        <v>1454</v>
      </c>
      <c r="J380" s="27" t="s">
        <v>18547</v>
      </c>
      <c r="L380" s="27" t="s">
        <v>18627</v>
      </c>
      <c r="M380" s="27" t="s">
        <v>1465</v>
      </c>
      <c r="N380" s="27" t="s">
        <v>1273</v>
      </c>
      <c r="P380" s="27" t="s">
        <v>4233</v>
      </c>
      <c r="Q380" s="26" t="str">
        <f>HYPERLINK("https://ictv.global/taxonomy/taxondetails?taxnode_id=202508559&amp;ictv_id=ICTV201908559","ICTV201908559")</f>
        <v>ICTV201908559</v>
      </c>
      <c r="R380" t="s">
        <v>579</v>
      </c>
      <c r="S380" t="s">
        <v>22763</v>
      </c>
      <c r="T380">
        <v>40</v>
      </c>
      <c r="U380" s="26" t="str">
        <f t="shared" si="17"/>
        <v>2024.045B.Autographivirales.zip</v>
      </c>
    </row>
    <row r="381" spans="1:21">
      <c r="A381">
        <v>380</v>
      </c>
      <c r="B381" s="27" t="s">
        <v>1449</v>
      </c>
      <c r="D381" s="27" t="s">
        <v>1450</v>
      </c>
      <c r="F381" s="27" t="s">
        <v>1453</v>
      </c>
      <c r="H381" s="27" t="s">
        <v>1454</v>
      </c>
      <c r="J381" s="27" t="s">
        <v>18547</v>
      </c>
      <c r="L381" s="27" t="s">
        <v>18627</v>
      </c>
      <c r="M381" s="27" t="s">
        <v>1465</v>
      </c>
      <c r="N381" s="27" t="s">
        <v>1273</v>
      </c>
      <c r="P381" s="27" t="s">
        <v>4234</v>
      </c>
      <c r="Q381" s="26" t="str">
        <f>HYPERLINK("https://ictv.global/taxonomy/taxondetails?taxnode_id=202508560&amp;ictv_id=ICTV201908560","ICTV201908560")</f>
        <v>ICTV201908560</v>
      </c>
      <c r="R381" t="s">
        <v>579</v>
      </c>
      <c r="S381" t="s">
        <v>22763</v>
      </c>
      <c r="T381">
        <v>40</v>
      </c>
      <c r="U381" s="26" t="str">
        <f t="shared" si="17"/>
        <v>2024.045B.Autographivirales.zip</v>
      </c>
    </row>
    <row r="382" spans="1:21">
      <c r="A382">
        <v>381</v>
      </c>
      <c r="B382" s="27" t="s">
        <v>1449</v>
      </c>
      <c r="D382" s="27" t="s">
        <v>1450</v>
      </c>
      <c r="F382" s="27" t="s">
        <v>1453</v>
      </c>
      <c r="H382" s="27" t="s">
        <v>1454</v>
      </c>
      <c r="J382" s="27" t="s">
        <v>18547</v>
      </c>
      <c r="L382" s="27" t="s">
        <v>18627</v>
      </c>
      <c r="M382" s="27" t="s">
        <v>1465</v>
      </c>
      <c r="N382" s="27" t="s">
        <v>1273</v>
      </c>
      <c r="P382" s="27" t="s">
        <v>4235</v>
      </c>
      <c r="Q382" s="26" t="str">
        <f>HYPERLINK("https://ictv.global/taxonomy/taxondetails?taxnode_id=202506926&amp;ictv_id=ICTV201856926","ICTV201856926")</f>
        <v>ICTV201856926</v>
      </c>
      <c r="R382" t="s">
        <v>579</v>
      </c>
      <c r="S382" t="s">
        <v>22763</v>
      </c>
      <c r="T382">
        <v>40</v>
      </c>
      <c r="U382" s="26" t="str">
        <f t="shared" si="17"/>
        <v>2024.045B.Autographivirales.zip</v>
      </c>
    </row>
    <row r="383" spans="1:21">
      <c r="A383">
        <v>382</v>
      </c>
      <c r="B383" s="27" t="s">
        <v>1449</v>
      </c>
      <c r="D383" s="27" t="s">
        <v>1450</v>
      </c>
      <c r="F383" s="27" t="s">
        <v>1453</v>
      </c>
      <c r="H383" s="27" t="s">
        <v>1454</v>
      </c>
      <c r="J383" s="27" t="s">
        <v>18547</v>
      </c>
      <c r="L383" s="27" t="s">
        <v>18627</v>
      </c>
      <c r="M383" s="27" t="s">
        <v>1465</v>
      </c>
      <c r="N383" s="27" t="s">
        <v>1273</v>
      </c>
      <c r="P383" s="27" t="s">
        <v>4236</v>
      </c>
      <c r="Q383" s="26" t="str">
        <f>HYPERLINK("https://ictv.global/taxonomy/taxondetails?taxnode_id=202508564&amp;ictv_id=ICTV201908564","ICTV201908564")</f>
        <v>ICTV201908564</v>
      </c>
      <c r="R383" t="s">
        <v>579</v>
      </c>
      <c r="S383" t="s">
        <v>22763</v>
      </c>
      <c r="T383">
        <v>40</v>
      </c>
      <c r="U383" s="26" t="str">
        <f t="shared" si="17"/>
        <v>2024.045B.Autographivirales.zip</v>
      </c>
    </row>
    <row r="384" spans="1:21">
      <c r="A384">
        <v>383</v>
      </c>
      <c r="B384" s="27" t="s">
        <v>1449</v>
      </c>
      <c r="D384" s="27" t="s">
        <v>1450</v>
      </c>
      <c r="F384" s="27" t="s">
        <v>1453</v>
      </c>
      <c r="H384" s="27" t="s">
        <v>1454</v>
      </c>
      <c r="J384" s="27" t="s">
        <v>18547</v>
      </c>
      <c r="L384" s="27" t="s">
        <v>18627</v>
      </c>
      <c r="M384" s="27" t="s">
        <v>1465</v>
      </c>
      <c r="N384" s="27" t="s">
        <v>1273</v>
      </c>
      <c r="P384" s="27" t="s">
        <v>4237</v>
      </c>
      <c r="Q384" s="26" t="str">
        <f>HYPERLINK("https://ictv.global/taxonomy/taxondetails?taxnode_id=202506927&amp;ictv_id=ICTV201856927","ICTV201856927")</f>
        <v>ICTV201856927</v>
      </c>
      <c r="R384" t="s">
        <v>579</v>
      </c>
      <c r="S384" t="s">
        <v>22763</v>
      </c>
      <c r="T384">
        <v>40</v>
      </c>
      <c r="U384" s="26" t="str">
        <f t="shared" si="17"/>
        <v>2024.045B.Autographivirales.zip</v>
      </c>
    </row>
    <row r="385" spans="1:21">
      <c r="A385">
        <v>384</v>
      </c>
      <c r="B385" s="27" t="s">
        <v>1449</v>
      </c>
      <c r="D385" s="27" t="s">
        <v>1450</v>
      </c>
      <c r="F385" s="27" t="s">
        <v>1453</v>
      </c>
      <c r="H385" s="27" t="s">
        <v>1454</v>
      </c>
      <c r="J385" s="27" t="s">
        <v>18547</v>
      </c>
      <c r="L385" s="27" t="s">
        <v>18627</v>
      </c>
      <c r="M385" s="27" t="s">
        <v>1465</v>
      </c>
      <c r="N385" s="27" t="s">
        <v>1273</v>
      </c>
      <c r="P385" s="27" t="s">
        <v>4238</v>
      </c>
      <c r="Q385" s="26" t="str">
        <f>HYPERLINK("https://ictv.global/taxonomy/taxondetails?taxnode_id=202508565&amp;ictv_id=ICTV201908565","ICTV201908565")</f>
        <v>ICTV201908565</v>
      </c>
      <c r="R385" t="s">
        <v>579</v>
      </c>
      <c r="S385" t="s">
        <v>22763</v>
      </c>
      <c r="T385">
        <v>40</v>
      </c>
      <c r="U385" s="26" t="str">
        <f t="shared" si="17"/>
        <v>2024.045B.Autographivirales.zip</v>
      </c>
    </row>
    <row r="386" spans="1:21">
      <c r="A386">
        <v>385</v>
      </c>
      <c r="B386" s="27" t="s">
        <v>1449</v>
      </c>
      <c r="D386" s="27" t="s">
        <v>1450</v>
      </c>
      <c r="F386" s="27" t="s">
        <v>1453</v>
      </c>
      <c r="H386" s="27" t="s">
        <v>1454</v>
      </c>
      <c r="J386" s="27" t="s">
        <v>18547</v>
      </c>
      <c r="L386" s="27" t="s">
        <v>18627</v>
      </c>
      <c r="M386" s="27" t="s">
        <v>1465</v>
      </c>
      <c r="N386" s="27" t="s">
        <v>1468</v>
      </c>
      <c r="P386" s="27" t="s">
        <v>4239</v>
      </c>
      <c r="Q386" s="26" t="str">
        <f>HYPERLINK("https://ictv.global/taxonomy/taxondetails?taxnode_id=202508567&amp;ictv_id=ICTV201908567","ICTV201908567")</f>
        <v>ICTV201908567</v>
      </c>
      <c r="R386" t="s">
        <v>579</v>
      </c>
      <c r="S386" t="s">
        <v>22763</v>
      </c>
      <c r="T386">
        <v>40</v>
      </c>
      <c r="U386" s="26" t="str">
        <f t="shared" si="17"/>
        <v>2024.045B.Autographivirales.zip</v>
      </c>
    </row>
    <row r="387" spans="1:21">
      <c r="A387">
        <v>386</v>
      </c>
      <c r="B387" s="27" t="s">
        <v>1449</v>
      </c>
      <c r="D387" s="27" t="s">
        <v>1450</v>
      </c>
      <c r="F387" s="27" t="s">
        <v>1453</v>
      </c>
      <c r="H387" s="27" t="s">
        <v>1454</v>
      </c>
      <c r="J387" s="27" t="s">
        <v>18547</v>
      </c>
      <c r="L387" s="27" t="s">
        <v>18627</v>
      </c>
      <c r="M387" s="27" t="s">
        <v>1469</v>
      </c>
      <c r="N387" s="27" t="s">
        <v>1470</v>
      </c>
      <c r="P387" s="27" t="s">
        <v>4240</v>
      </c>
      <c r="Q387" s="26" t="str">
        <f>HYPERLINK("https://ictv.global/taxonomy/taxondetails?taxnode_id=202508534&amp;ictv_id=ICTV201908534","ICTV201908534")</f>
        <v>ICTV201908534</v>
      </c>
      <c r="R387" t="s">
        <v>579</v>
      </c>
      <c r="S387" t="s">
        <v>22763</v>
      </c>
      <c r="T387">
        <v>40</v>
      </c>
      <c r="U387" s="26" t="str">
        <f t="shared" si="17"/>
        <v>2024.045B.Autographivirales.zip</v>
      </c>
    </row>
    <row r="388" spans="1:21">
      <c r="A388">
        <v>387</v>
      </c>
      <c r="B388" s="27" t="s">
        <v>1449</v>
      </c>
      <c r="D388" s="27" t="s">
        <v>1450</v>
      </c>
      <c r="F388" s="27" t="s">
        <v>1453</v>
      </c>
      <c r="H388" s="27" t="s">
        <v>1454</v>
      </c>
      <c r="J388" s="27" t="s">
        <v>18547</v>
      </c>
      <c r="L388" s="27" t="s">
        <v>18627</v>
      </c>
      <c r="M388" s="27" t="s">
        <v>1469</v>
      </c>
      <c r="N388" s="27" t="s">
        <v>18679</v>
      </c>
      <c r="P388" s="27" t="s">
        <v>18680</v>
      </c>
      <c r="Q388" s="26" t="str">
        <f>HYPERLINK("https://ictv.global/taxonomy/taxondetails?taxnode_id=202521111&amp;ictv_id=ICTV202421111","ICTV202421111")</f>
        <v>ICTV202421111</v>
      </c>
      <c r="R388" t="s">
        <v>579</v>
      </c>
      <c r="S388" t="s">
        <v>823</v>
      </c>
      <c r="T388">
        <v>40</v>
      </c>
      <c r="U388" s="26" t="str">
        <f t="shared" si="17"/>
        <v>2024.045B.Autographivirales.zip</v>
      </c>
    </row>
    <row r="389" spans="1:21">
      <c r="A389">
        <v>388</v>
      </c>
      <c r="B389" s="27" t="s">
        <v>1449</v>
      </c>
      <c r="D389" s="27" t="s">
        <v>1450</v>
      </c>
      <c r="F389" s="27" t="s">
        <v>1453</v>
      </c>
      <c r="H389" s="27" t="s">
        <v>1454</v>
      </c>
      <c r="J389" s="27" t="s">
        <v>18547</v>
      </c>
      <c r="L389" s="27" t="s">
        <v>18627</v>
      </c>
      <c r="M389" s="27" t="s">
        <v>1469</v>
      </c>
      <c r="N389" s="27" t="s">
        <v>601</v>
      </c>
      <c r="P389" s="27" t="s">
        <v>4241</v>
      </c>
      <c r="Q389" s="26" t="str">
        <f>HYPERLINK("https://ictv.global/taxonomy/taxondetails?taxnode_id=202508527&amp;ictv_id=ICTV201908527","ICTV201908527")</f>
        <v>ICTV201908527</v>
      </c>
      <c r="R389" t="s">
        <v>579</v>
      </c>
      <c r="S389" t="s">
        <v>22763</v>
      </c>
      <c r="T389">
        <v>40</v>
      </c>
      <c r="U389" s="26" t="str">
        <f t="shared" si="17"/>
        <v>2024.045B.Autographivirales.zip</v>
      </c>
    </row>
    <row r="390" spans="1:21">
      <c r="A390">
        <v>389</v>
      </c>
      <c r="B390" s="27" t="s">
        <v>1449</v>
      </c>
      <c r="D390" s="27" t="s">
        <v>1450</v>
      </c>
      <c r="F390" s="27" t="s">
        <v>1453</v>
      </c>
      <c r="H390" s="27" t="s">
        <v>1454</v>
      </c>
      <c r="J390" s="27" t="s">
        <v>18547</v>
      </c>
      <c r="L390" s="27" t="s">
        <v>18627</v>
      </c>
      <c r="M390" s="27" t="s">
        <v>1469</v>
      </c>
      <c r="N390" s="27" t="s">
        <v>601</v>
      </c>
      <c r="P390" s="27" t="s">
        <v>18681</v>
      </c>
      <c r="Q390" s="26" t="str">
        <f>HYPERLINK("https://ictv.global/taxonomy/taxondetails?taxnode_id=202521011&amp;ictv_id=ICTV202421011","ICTV202421011")</f>
        <v>ICTV202421011</v>
      </c>
      <c r="R390" t="s">
        <v>579</v>
      </c>
      <c r="S390" t="s">
        <v>823</v>
      </c>
      <c r="T390">
        <v>40</v>
      </c>
      <c r="U390" s="26" t="str">
        <f t="shared" si="17"/>
        <v>2024.045B.Autographivirales.zip</v>
      </c>
    </row>
    <row r="391" spans="1:21">
      <c r="A391">
        <v>390</v>
      </c>
      <c r="B391" s="27" t="s">
        <v>1449</v>
      </c>
      <c r="D391" s="27" t="s">
        <v>1450</v>
      </c>
      <c r="F391" s="27" t="s">
        <v>1453</v>
      </c>
      <c r="H391" s="27" t="s">
        <v>1454</v>
      </c>
      <c r="J391" s="27" t="s">
        <v>18547</v>
      </c>
      <c r="L391" s="27" t="s">
        <v>18627</v>
      </c>
      <c r="M391" s="27" t="s">
        <v>1469</v>
      </c>
      <c r="N391" s="27" t="s">
        <v>601</v>
      </c>
      <c r="P391" s="27" t="s">
        <v>4242</v>
      </c>
      <c r="Q391" s="26" t="str">
        <f>HYPERLINK("https://ictv.global/taxonomy/taxondetails?taxnode_id=202508526&amp;ictv_id=ICTV201908526","ICTV201908526")</f>
        <v>ICTV201908526</v>
      </c>
      <c r="R391" t="s">
        <v>579</v>
      </c>
      <c r="S391" t="s">
        <v>22763</v>
      </c>
      <c r="T391">
        <v>40</v>
      </c>
      <c r="U391" s="26" t="str">
        <f t="shared" si="17"/>
        <v>2024.045B.Autographivirales.zip</v>
      </c>
    </row>
    <row r="392" spans="1:21">
      <c r="A392">
        <v>391</v>
      </c>
      <c r="B392" s="27" t="s">
        <v>1449</v>
      </c>
      <c r="D392" s="27" t="s">
        <v>1450</v>
      </c>
      <c r="F392" s="27" t="s">
        <v>1453</v>
      </c>
      <c r="H392" s="27" t="s">
        <v>1454</v>
      </c>
      <c r="J392" s="27" t="s">
        <v>18547</v>
      </c>
      <c r="L392" s="27" t="s">
        <v>18627</v>
      </c>
      <c r="M392" s="27" t="s">
        <v>1469</v>
      </c>
      <c r="N392" s="27" t="s">
        <v>601</v>
      </c>
      <c r="P392" s="27" t="s">
        <v>4243</v>
      </c>
      <c r="Q392" s="26" t="str">
        <f>HYPERLINK("https://ictv.global/taxonomy/taxondetails?taxnode_id=202508522&amp;ictv_id=ICTV201908522","ICTV201908522")</f>
        <v>ICTV201908522</v>
      </c>
      <c r="R392" t="s">
        <v>579</v>
      </c>
      <c r="S392" t="s">
        <v>22763</v>
      </c>
      <c r="T392">
        <v>40</v>
      </c>
      <c r="U392" s="26" t="str">
        <f t="shared" si="17"/>
        <v>2024.045B.Autographivirales.zip</v>
      </c>
    </row>
    <row r="393" spans="1:21">
      <c r="A393">
        <v>392</v>
      </c>
      <c r="B393" s="27" t="s">
        <v>1449</v>
      </c>
      <c r="D393" s="27" t="s">
        <v>1450</v>
      </c>
      <c r="F393" s="27" t="s">
        <v>1453</v>
      </c>
      <c r="H393" s="27" t="s">
        <v>1454</v>
      </c>
      <c r="J393" s="27" t="s">
        <v>18547</v>
      </c>
      <c r="L393" s="27" t="s">
        <v>18627</v>
      </c>
      <c r="M393" s="27" t="s">
        <v>1469</v>
      </c>
      <c r="N393" s="27" t="s">
        <v>601</v>
      </c>
      <c r="P393" s="27" t="s">
        <v>18682</v>
      </c>
      <c r="Q393" s="26" t="str">
        <f>HYPERLINK("https://ictv.global/taxonomy/taxondetails?taxnode_id=202521009&amp;ictv_id=ICTV202421009","ICTV202421009")</f>
        <v>ICTV202421009</v>
      </c>
      <c r="R393" t="s">
        <v>579</v>
      </c>
      <c r="S393" t="s">
        <v>823</v>
      </c>
      <c r="T393">
        <v>40</v>
      </c>
      <c r="U393" s="26" t="str">
        <f t="shared" si="17"/>
        <v>2024.045B.Autographivirales.zip</v>
      </c>
    </row>
    <row r="394" spans="1:21">
      <c r="A394">
        <v>393</v>
      </c>
      <c r="B394" s="27" t="s">
        <v>1449</v>
      </c>
      <c r="D394" s="27" t="s">
        <v>1450</v>
      </c>
      <c r="F394" s="27" t="s">
        <v>1453</v>
      </c>
      <c r="H394" s="27" t="s">
        <v>1454</v>
      </c>
      <c r="J394" s="27" t="s">
        <v>18547</v>
      </c>
      <c r="L394" s="27" t="s">
        <v>18627</v>
      </c>
      <c r="M394" s="27" t="s">
        <v>1469</v>
      </c>
      <c r="N394" s="27" t="s">
        <v>601</v>
      </c>
      <c r="P394" s="27" t="s">
        <v>4244</v>
      </c>
      <c r="Q394" s="26" t="str">
        <f>HYPERLINK("https://ictv.global/taxonomy/taxondetails?taxnode_id=202508523&amp;ictv_id=ICTV201908523","ICTV201908523")</f>
        <v>ICTV201908523</v>
      </c>
      <c r="R394" t="s">
        <v>579</v>
      </c>
      <c r="S394" t="s">
        <v>22763</v>
      </c>
      <c r="T394">
        <v>40</v>
      </c>
      <c r="U394" s="26" t="str">
        <f t="shared" si="17"/>
        <v>2024.045B.Autographivirales.zip</v>
      </c>
    </row>
    <row r="395" spans="1:21">
      <c r="A395">
        <v>394</v>
      </c>
      <c r="B395" s="27" t="s">
        <v>1449</v>
      </c>
      <c r="D395" s="27" t="s">
        <v>1450</v>
      </c>
      <c r="F395" s="27" t="s">
        <v>1453</v>
      </c>
      <c r="H395" s="27" t="s">
        <v>1454</v>
      </c>
      <c r="J395" s="27" t="s">
        <v>18547</v>
      </c>
      <c r="L395" s="27" t="s">
        <v>18627</v>
      </c>
      <c r="M395" s="27" t="s">
        <v>1469</v>
      </c>
      <c r="N395" s="27" t="s">
        <v>601</v>
      </c>
      <c r="P395" s="27" t="s">
        <v>18683</v>
      </c>
      <c r="Q395" s="26" t="str">
        <f>HYPERLINK("https://ictv.global/taxonomy/taxondetails?taxnode_id=202521010&amp;ictv_id=ICTV202421010","ICTV202421010")</f>
        <v>ICTV202421010</v>
      </c>
      <c r="R395" t="s">
        <v>579</v>
      </c>
      <c r="S395" t="s">
        <v>823</v>
      </c>
      <c r="T395">
        <v>40</v>
      </c>
      <c r="U395" s="26" t="str">
        <f t="shared" si="17"/>
        <v>2024.045B.Autographivirales.zip</v>
      </c>
    </row>
    <row r="396" spans="1:21">
      <c r="A396">
        <v>395</v>
      </c>
      <c r="B396" s="27" t="s">
        <v>1449</v>
      </c>
      <c r="D396" s="27" t="s">
        <v>1450</v>
      </c>
      <c r="F396" s="27" t="s">
        <v>1453</v>
      </c>
      <c r="H396" s="27" t="s">
        <v>1454</v>
      </c>
      <c r="J396" s="27" t="s">
        <v>18547</v>
      </c>
      <c r="L396" s="27" t="s">
        <v>18627</v>
      </c>
      <c r="M396" s="27" t="s">
        <v>1469</v>
      </c>
      <c r="N396" s="27" t="s">
        <v>601</v>
      </c>
      <c r="P396" s="27" t="s">
        <v>18684</v>
      </c>
      <c r="Q396" s="26" t="str">
        <f>HYPERLINK("https://ictv.global/taxonomy/taxondetails?taxnode_id=202521017&amp;ictv_id=ICTV202421017","ICTV202421017")</f>
        <v>ICTV202421017</v>
      </c>
      <c r="R396" t="s">
        <v>579</v>
      </c>
      <c r="S396" t="s">
        <v>823</v>
      </c>
      <c r="T396">
        <v>40</v>
      </c>
      <c r="U396" s="26" t="str">
        <f t="shared" si="17"/>
        <v>2024.045B.Autographivirales.zip</v>
      </c>
    </row>
    <row r="397" spans="1:21">
      <c r="A397">
        <v>396</v>
      </c>
      <c r="B397" s="27" t="s">
        <v>1449</v>
      </c>
      <c r="D397" s="27" t="s">
        <v>1450</v>
      </c>
      <c r="F397" s="27" t="s">
        <v>1453</v>
      </c>
      <c r="H397" s="27" t="s">
        <v>1454</v>
      </c>
      <c r="J397" s="27" t="s">
        <v>18547</v>
      </c>
      <c r="L397" s="27" t="s">
        <v>18627</v>
      </c>
      <c r="M397" s="27" t="s">
        <v>1469</v>
      </c>
      <c r="N397" s="27" t="s">
        <v>601</v>
      </c>
      <c r="P397" s="27" t="s">
        <v>18685</v>
      </c>
      <c r="Q397" s="26" t="str">
        <f>HYPERLINK("https://ictv.global/taxonomy/taxondetails?taxnode_id=202521020&amp;ictv_id=ICTV202421020","ICTV202421020")</f>
        <v>ICTV202421020</v>
      </c>
      <c r="R397" t="s">
        <v>579</v>
      </c>
      <c r="S397" t="s">
        <v>823</v>
      </c>
      <c r="T397">
        <v>40</v>
      </c>
      <c r="U397" s="26" t="str">
        <f t="shared" ref="U397:U419" si="18">HYPERLINK("https://ictv.global/ictv/proposals/2024.045B.Autographivirales.zip","2024.045B.Autographivirales.zip")</f>
        <v>2024.045B.Autographivirales.zip</v>
      </c>
    </row>
    <row r="398" spans="1:21">
      <c r="A398">
        <v>397</v>
      </c>
      <c r="B398" s="27" t="s">
        <v>1449</v>
      </c>
      <c r="D398" s="27" t="s">
        <v>1450</v>
      </c>
      <c r="F398" s="27" t="s">
        <v>1453</v>
      </c>
      <c r="H398" s="27" t="s">
        <v>1454</v>
      </c>
      <c r="J398" s="27" t="s">
        <v>18547</v>
      </c>
      <c r="L398" s="27" t="s">
        <v>18627</v>
      </c>
      <c r="M398" s="27" t="s">
        <v>1469</v>
      </c>
      <c r="N398" s="27" t="s">
        <v>601</v>
      </c>
      <c r="P398" s="27" t="s">
        <v>4245</v>
      </c>
      <c r="Q398" s="26" t="str">
        <f>HYPERLINK("https://ictv.global/taxonomy/taxondetails?taxnode_id=202508519&amp;ictv_id=ICTV201908519","ICTV201908519")</f>
        <v>ICTV201908519</v>
      </c>
      <c r="R398" t="s">
        <v>579</v>
      </c>
      <c r="S398" t="s">
        <v>22763</v>
      </c>
      <c r="T398">
        <v>40</v>
      </c>
      <c r="U398" s="26" t="str">
        <f t="shared" si="18"/>
        <v>2024.045B.Autographivirales.zip</v>
      </c>
    </row>
    <row r="399" spans="1:21">
      <c r="A399">
        <v>398</v>
      </c>
      <c r="B399" s="27" t="s">
        <v>1449</v>
      </c>
      <c r="D399" s="27" t="s">
        <v>1450</v>
      </c>
      <c r="F399" s="27" t="s">
        <v>1453</v>
      </c>
      <c r="H399" s="27" t="s">
        <v>1454</v>
      </c>
      <c r="J399" s="27" t="s">
        <v>18547</v>
      </c>
      <c r="L399" s="27" t="s">
        <v>18627</v>
      </c>
      <c r="M399" s="27" t="s">
        <v>1469</v>
      </c>
      <c r="N399" s="27" t="s">
        <v>601</v>
      </c>
      <c r="P399" s="27" t="s">
        <v>4246</v>
      </c>
      <c r="Q399" s="26" t="str">
        <f>HYPERLINK("https://ictv.global/taxonomy/taxondetails?taxnode_id=202508515&amp;ictv_id=ICTV201908515","ICTV201908515")</f>
        <v>ICTV201908515</v>
      </c>
      <c r="R399" t="s">
        <v>579</v>
      </c>
      <c r="S399" t="s">
        <v>22763</v>
      </c>
      <c r="T399">
        <v>40</v>
      </c>
      <c r="U399" s="26" t="str">
        <f t="shared" si="18"/>
        <v>2024.045B.Autographivirales.zip</v>
      </c>
    </row>
    <row r="400" spans="1:21">
      <c r="A400">
        <v>399</v>
      </c>
      <c r="B400" s="27" t="s">
        <v>1449</v>
      </c>
      <c r="D400" s="27" t="s">
        <v>1450</v>
      </c>
      <c r="F400" s="27" t="s">
        <v>1453</v>
      </c>
      <c r="H400" s="27" t="s">
        <v>1454</v>
      </c>
      <c r="J400" s="27" t="s">
        <v>18547</v>
      </c>
      <c r="L400" s="27" t="s">
        <v>18627</v>
      </c>
      <c r="M400" s="27" t="s">
        <v>1469</v>
      </c>
      <c r="N400" s="27" t="s">
        <v>601</v>
      </c>
      <c r="P400" s="27" t="s">
        <v>4247</v>
      </c>
      <c r="Q400" s="26" t="str">
        <f>HYPERLINK("https://ictv.global/taxonomy/taxondetails?taxnode_id=202508516&amp;ictv_id=ICTV201908516","ICTV201908516")</f>
        <v>ICTV201908516</v>
      </c>
      <c r="R400" t="s">
        <v>579</v>
      </c>
      <c r="S400" t="s">
        <v>22763</v>
      </c>
      <c r="T400">
        <v>40</v>
      </c>
      <c r="U400" s="26" t="str">
        <f t="shared" si="18"/>
        <v>2024.045B.Autographivirales.zip</v>
      </c>
    </row>
    <row r="401" spans="1:21">
      <c r="A401">
        <v>400</v>
      </c>
      <c r="B401" s="27" t="s">
        <v>1449</v>
      </c>
      <c r="D401" s="27" t="s">
        <v>1450</v>
      </c>
      <c r="F401" s="27" t="s">
        <v>1453</v>
      </c>
      <c r="H401" s="27" t="s">
        <v>1454</v>
      </c>
      <c r="J401" s="27" t="s">
        <v>18547</v>
      </c>
      <c r="L401" s="27" t="s">
        <v>18627</v>
      </c>
      <c r="M401" s="27" t="s">
        <v>1469</v>
      </c>
      <c r="N401" s="27" t="s">
        <v>601</v>
      </c>
      <c r="P401" s="27" t="s">
        <v>4248</v>
      </c>
      <c r="Q401" s="26" t="str">
        <f>HYPERLINK("https://ictv.global/taxonomy/taxondetails?taxnode_id=202508521&amp;ictv_id=ICTV201908521","ICTV201908521")</f>
        <v>ICTV201908521</v>
      </c>
      <c r="R401" t="s">
        <v>579</v>
      </c>
      <c r="S401" t="s">
        <v>22763</v>
      </c>
      <c r="T401">
        <v>40</v>
      </c>
      <c r="U401" s="26" t="str">
        <f t="shared" si="18"/>
        <v>2024.045B.Autographivirales.zip</v>
      </c>
    </row>
    <row r="402" spans="1:21">
      <c r="A402">
        <v>401</v>
      </c>
      <c r="B402" s="27" t="s">
        <v>1449</v>
      </c>
      <c r="D402" s="27" t="s">
        <v>1450</v>
      </c>
      <c r="F402" s="27" t="s">
        <v>1453</v>
      </c>
      <c r="H402" s="27" t="s">
        <v>1454</v>
      </c>
      <c r="J402" s="27" t="s">
        <v>18547</v>
      </c>
      <c r="L402" s="27" t="s">
        <v>18627</v>
      </c>
      <c r="M402" s="27" t="s">
        <v>1469</v>
      </c>
      <c r="N402" s="27" t="s">
        <v>601</v>
      </c>
      <c r="P402" s="27" t="s">
        <v>4249</v>
      </c>
      <c r="Q402" s="26" t="str">
        <f>HYPERLINK("https://ictv.global/taxonomy/taxondetails?taxnode_id=202508520&amp;ictv_id=ICTV201908520","ICTV201908520")</f>
        <v>ICTV201908520</v>
      </c>
      <c r="R402" t="s">
        <v>579</v>
      </c>
      <c r="S402" t="s">
        <v>22763</v>
      </c>
      <c r="T402">
        <v>40</v>
      </c>
      <c r="U402" s="26" t="str">
        <f t="shared" si="18"/>
        <v>2024.045B.Autographivirales.zip</v>
      </c>
    </row>
    <row r="403" spans="1:21">
      <c r="A403">
        <v>402</v>
      </c>
      <c r="B403" s="27" t="s">
        <v>1449</v>
      </c>
      <c r="D403" s="27" t="s">
        <v>1450</v>
      </c>
      <c r="F403" s="27" t="s">
        <v>1453</v>
      </c>
      <c r="H403" s="27" t="s">
        <v>1454</v>
      </c>
      <c r="J403" s="27" t="s">
        <v>18547</v>
      </c>
      <c r="L403" s="27" t="s">
        <v>18627</v>
      </c>
      <c r="M403" s="27" t="s">
        <v>1469</v>
      </c>
      <c r="N403" s="27" t="s">
        <v>601</v>
      </c>
      <c r="P403" s="27" t="s">
        <v>18686</v>
      </c>
      <c r="Q403" s="26" t="str">
        <f>HYPERLINK("https://ictv.global/taxonomy/taxondetails?taxnode_id=202521012&amp;ictv_id=ICTV202421012","ICTV202421012")</f>
        <v>ICTV202421012</v>
      </c>
      <c r="R403" t="s">
        <v>579</v>
      </c>
      <c r="S403" t="s">
        <v>823</v>
      </c>
      <c r="T403">
        <v>40</v>
      </c>
      <c r="U403" s="26" t="str">
        <f t="shared" si="18"/>
        <v>2024.045B.Autographivirales.zip</v>
      </c>
    </row>
    <row r="404" spans="1:21">
      <c r="A404">
        <v>403</v>
      </c>
      <c r="B404" s="27" t="s">
        <v>1449</v>
      </c>
      <c r="D404" s="27" t="s">
        <v>1450</v>
      </c>
      <c r="F404" s="27" t="s">
        <v>1453</v>
      </c>
      <c r="H404" s="27" t="s">
        <v>1454</v>
      </c>
      <c r="J404" s="27" t="s">
        <v>18547</v>
      </c>
      <c r="L404" s="27" t="s">
        <v>18627</v>
      </c>
      <c r="M404" s="27" t="s">
        <v>1469</v>
      </c>
      <c r="N404" s="27" t="s">
        <v>601</v>
      </c>
      <c r="P404" s="27" t="s">
        <v>18687</v>
      </c>
      <c r="Q404" s="26" t="str">
        <f>HYPERLINK("https://ictv.global/taxonomy/taxondetails?taxnode_id=202521021&amp;ictv_id=ICTV202421021","ICTV202421021")</f>
        <v>ICTV202421021</v>
      </c>
      <c r="R404" t="s">
        <v>579</v>
      </c>
      <c r="S404" t="s">
        <v>823</v>
      </c>
      <c r="T404">
        <v>40</v>
      </c>
      <c r="U404" s="26" t="str">
        <f t="shared" si="18"/>
        <v>2024.045B.Autographivirales.zip</v>
      </c>
    </row>
    <row r="405" spans="1:21">
      <c r="A405">
        <v>404</v>
      </c>
      <c r="B405" s="27" t="s">
        <v>1449</v>
      </c>
      <c r="D405" s="27" t="s">
        <v>1450</v>
      </c>
      <c r="F405" s="27" t="s">
        <v>1453</v>
      </c>
      <c r="H405" s="27" t="s">
        <v>1454</v>
      </c>
      <c r="J405" s="27" t="s">
        <v>18547</v>
      </c>
      <c r="L405" s="27" t="s">
        <v>18627</v>
      </c>
      <c r="M405" s="27" t="s">
        <v>1469</v>
      </c>
      <c r="N405" s="27" t="s">
        <v>601</v>
      </c>
      <c r="P405" s="27" t="s">
        <v>18688</v>
      </c>
      <c r="Q405" s="26" t="str">
        <f>HYPERLINK("https://ictv.global/taxonomy/taxondetails?taxnode_id=202521014&amp;ictv_id=ICTV202421014","ICTV202421014")</f>
        <v>ICTV202421014</v>
      </c>
      <c r="R405" t="s">
        <v>579</v>
      </c>
      <c r="S405" t="s">
        <v>823</v>
      </c>
      <c r="T405">
        <v>40</v>
      </c>
      <c r="U405" s="26" t="str">
        <f t="shared" si="18"/>
        <v>2024.045B.Autographivirales.zip</v>
      </c>
    </row>
    <row r="406" spans="1:21">
      <c r="A406">
        <v>405</v>
      </c>
      <c r="B406" s="27" t="s">
        <v>1449</v>
      </c>
      <c r="D406" s="27" t="s">
        <v>1450</v>
      </c>
      <c r="F406" s="27" t="s">
        <v>1453</v>
      </c>
      <c r="H406" s="27" t="s">
        <v>1454</v>
      </c>
      <c r="J406" s="27" t="s">
        <v>18547</v>
      </c>
      <c r="L406" s="27" t="s">
        <v>18627</v>
      </c>
      <c r="M406" s="27" t="s">
        <v>1469</v>
      </c>
      <c r="N406" s="27" t="s">
        <v>601</v>
      </c>
      <c r="P406" s="27" t="s">
        <v>4250</v>
      </c>
      <c r="Q406" s="26" t="str">
        <f>HYPERLINK("https://ictv.global/taxonomy/taxondetails?taxnode_id=202508525&amp;ictv_id=ICTV201908525","ICTV201908525")</f>
        <v>ICTV201908525</v>
      </c>
      <c r="R406" t="s">
        <v>579</v>
      </c>
      <c r="S406" t="s">
        <v>22763</v>
      </c>
      <c r="T406">
        <v>40</v>
      </c>
      <c r="U406" s="26" t="str">
        <f t="shared" si="18"/>
        <v>2024.045B.Autographivirales.zip</v>
      </c>
    </row>
    <row r="407" spans="1:21">
      <c r="A407">
        <v>406</v>
      </c>
      <c r="B407" s="27" t="s">
        <v>1449</v>
      </c>
      <c r="D407" s="27" t="s">
        <v>1450</v>
      </c>
      <c r="F407" s="27" t="s">
        <v>1453</v>
      </c>
      <c r="H407" s="27" t="s">
        <v>1454</v>
      </c>
      <c r="J407" s="27" t="s">
        <v>18547</v>
      </c>
      <c r="L407" s="27" t="s">
        <v>18627</v>
      </c>
      <c r="M407" s="27" t="s">
        <v>1469</v>
      </c>
      <c r="N407" s="27" t="s">
        <v>601</v>
      </c>
      <c r="P407" s="27" t="s">
        <v>18689</v>
      </c>
      <c r="Q407" s="26" t="str">
        <f>HYPERLINK("https://ictv.global/taxonomy/taxondetails?taxnode_id=202521015&amp;ictv_id=ICTV202421015","ICTV202421015")</f>
        <v>ICTV202421015</v>
      </c>
      <c r="R407" t="s">
        <v>579</v>
      </c>
      <c r="S407" t="s">
        <v>823</v>
      </c>
      <c r="T407">
        <v>40</v>
      </c>
      <c r="U407" s="26" t="str">
        <f t="shared" si="18"/>
        <v>2024.045B.Autographivirales.zip</v>
      </c>
    </row>
    <row r="408" spans="1:21">
      <c r="A408">
        <v>407</v>
      </c>
      <c r="B408" s="27" t="s">
        <v>1449</v>
      </c>
      <c r="D408" s="27" t="s">
        <v>1450</v>
      </c>
      <c r="F408" s="27" t="s">
        <v>1453</v>
      </c>
      <c r="H408" s="27" t="s">
        <v>1454</v>
      </c>
      <c r="J408" s="27" t="s">
        <v>18547</v>
      </c>
      <c r="L408" s="27" t="s">
        <v>18627</v>
      </c>
      <c r="M408" s="27" t="s">
        <v>1469</v>
      </c>
      <c r="N408" s="27" t="s">
        <v>601</v>
      </c>
      <c r="P408" s="27" t="s">
        <v>4251</v>
      </c>
      <c r="Q408" s="26" t="str">
        <f>HYPERLINK("https://ictv.global/taxonomy/taxondetails?taxnode_id=202500571&amp;ictv_id=ICTV20095338","ICTV20095338")</f>
        <v>ICTV20095338</v>
      </c>
      <c r="R408" t="s">
        <v>579</v>
      </c>
      <c r="S408" t="s">
        <v>22763</v>
      </c>
      <c r="T408">
        <v>40</v>
      </c>
      <c r="U408" s="26" t="str">
        <f t="shared" si="18"/>
        <v>2024.045B.Autographivirales.zip</v>
      </c>
    </row>
    <row r="409" spans="1:21">
      <c r="A409">
        <v>408</v>
      </c>
      <c r="B409" s="27" t="s">
        <v>1449</v>
      </c>
      <c r="D409" s="27" t="s">
        <v>1450</v>
      </c>
      <c r="F409" s="27" t="s">
        <v>1453</v>
      </c>
      <c r="H409" s="27" t="s">
        <v>1454</v>
      </c>
      <c r="J409" s="27" t="s">
        <v>18547</v>
      </c>
      <c r="L409" s="27" t="s">
        <v>18627</v>
      </c>
      <c r="M409" s="27" t="s">
        <v>1469</v>
      </c>
      <c r="N409" s="27" t="s">
        <v>601</v>
      </c>
      <c r="P409" s="27" t="s">
        <v>18690</v>
      </c>
      <c r="Q409" s="26" t="str">
        <f>HYPERLINK("https://ictv.global/taxonomy/taxondetails?taxnode_id=202521013&amp;ictv_id=ICTV202421013","ICTV202421013")</f>
        <v>ICTV202421013</v>
      </c>
      <c r="R409" t="s">
        <v>579</v>
      </c>
      <c r="S409" t="s">
        <v>823</v>
      </c>
      <c r="T409">
        <v>40</v>
      </c>
      <c r="U409" s="26" t="str">
        <f t="shared" si="18"/>
        <v>2024.045B.Autographivirales.zip</v>
      </c>
    </row>
    <row r="410" spans="1:21">
      <c r="A410">
        <v>409</v>
      </c>
      <c r="B410" s="27" t="s">
        <v>1449</v>
      </c>
      <c r="D410" s="27" t="s">
        <v>1450</v>
      </c>
      <c r="F410" s="27" t="s">
        <v>1453</v>
      </c>
      <c r="H410" s="27" t="s">
        <v>1454</v>
      </c>
      <c r="J410" s="27" t="s">
        <v>18547</v>
      </c>
      <c r="L410" s="27" t="s">
        <v>18627</v>
      </c>
      <c r="M410" s="27" t="s">
        <v>1469</v>
      </c>
      <c r="N410" s="27" t="s">
        <v>601</v>
      </c>
      <c r="P410" s="27" t="s">
        <v>18691</v>
      </c>
      <c r="Q410" s="26" t="str">
        <f>HYPERLINK("https://ictv.global/taxonomy/taxondetails?taxnode_id=202521008&amp;ictv_id=ICTV202421008","ICTV202421008")</f>
        <v>ICTV202421008</v>
      </c>
      <c r="R410" t="s">
        <v>579</v>
      </c>
      <c r="S410" t="s">
        <v>823</v>
      </c>
      <c r="T410">
        <v>40</v>
      </c>
      <c r="U410" s="26" t="str">
        <f t="shared" si="18"/>
        <v>2024.045B.Autographivirales.zip</v>
      </c>
    </row>
    <row r="411" spans="1:21">
      <c r="A411">
        <v>410</v>
      </c>
      <c r="B411" s="27" t="s">
        <v>1449</v>
      </c>
      <c r="D411" s="27" t="s">
        <v>1450</v>
      </c>
      <c r="F411" s="27" t="s">
        <v>1453</v>
      </c>
      <c r="H411" s="27" t="s">
        <v>1454</v>
      </c>
      <c r="J411" s="27" t="s">
        <v>18547</v>
      </c>
      <c r="L411" s="27" t="s">
        <v>18627</v>
      </c>
      <c r="M411" s="27" t="s">
        <v>1469</v>
      </c>
      <c r="N411" s="27" t="s">
        <v>601</v>
      </c>
      <c r="P411" s="27" t="s">
        <v>4252</v>
      </c>
      <c r="Q411" s="26" t="str">
        <f>HYPERLINK("https://ictv.global/taxonomy/taxondetails?taxnode_id=202508517&amp;ictv_id=ICTV201908517","ICTV201908517")</f>
        <v>ICTV201908517</v>
      </c>
      <c r="R411" t="s">
        <v>579</v>
      </c>
      <c r="S411" t="s">
        <v>22763</v>
      </c>
      <c r="T411">
        <v>40</v>
      </c>
      <c r="U411" s="26" t="str">
        <f t="shared" si="18"/>
        <v>2024.045B.Autographivirales.zip</v>
      </c>
    </row>
    <row r="412" spans="1:21">
      <c r="A412">
        <v>411</v>
      </c>
      <c r="B412" s="27" t="s">
        <v>1449</v>
      </c>
      <c r="D412" s="27" t="s">
        <v>1450</v>
      </c>
      <c r="F412" s="27" t="s">
        <v>1453</v>
      </c>
      <c r="H412" s="27" t="s">
        <v>1454</v>
      </c>
      <c r="J412" s="27" t="s">
        <v>18547</v>
      </c>
      <c r="L412" s="27" t="s">
        <v>18627</v>
      </c>
      <c r="M412" s="27" t="s">
        <v>1469</v>
      </c>
      <c r="N412" s="27" t="s">
        <v>601</v>
      </c>
      <c r="P412" s="27" t="s">
        <v>18692</v>
      </c>
      <c r="Q412" s="26" t="str">
        <f>HYPERLINK("https://ictv.global/taxonomy/taxondetails?taxnode_id=202521019&amp;ictv_id=ICTV202421019","ICTV202421019")</f>
        <v>ICTV202421019</v>
      </c>
      <c r="R412" t="s">
        <v>579</v>
      </c>
      <c r="S412" t="s">
        <v>823</v>
      </c>
      <c r="T412">
        <v>40</v>
      </c>
      <c r="U412" s="26" t="str">
        <f t="shared" si="18"/>
        <v>2024.045B.Autographivirales.zip</v>
      </c>
    </row>
    <row r="413" spans="1:21">
      <c r="A413">
        <v>412</v>
      </c>
      <c r="B413" s="27" t="s">
        <v>1449</v>
      </c>
      <c r="D413" s="27" t="s">
        <v>1450</v>
      </c>
      <c r="F413" s="27" t="s">
        <v>1453</v>
      </c>
      <c r="H413" s="27" t="s">
        <v>1454</v>
      </c>
      <c r="J413" s="27" t="s">
        <v>18547</v>
      </c>
      <c r="L413" s="27" t="s">
        <v>18627</v>
      </c>
      <c r="M413" s="27" t="s">
        <v>1469</v>
      </c>
      <c r="N413" s="27" t="s">
        <v>601</v>
      </c>
      <c r="P413" s="27" t="s">
        <v>4253</v>
      </c>
      <c r="Q413" s="26" t="str">
        <f>HYPERLINK("https://ictv.global/taxonomy/taxondetails?taxnode_id=202508528&amp;ictv_id=ICTV201908528","ICTV201908528")</f>
        <v>ICTV201908528</v>
      </c>
      <c r="R413" t="s">
        <v>579</v>
      </c>
      <c r="S413" t="s">
        <v>22763</v>
      </c>
      <c r="T413">
        <v>40</v>
      </c>
      <c r="U413" s="26" t="str">
        <f t="shared" si="18"/>
        <v>2024.045B.Autographivirales.zip</v>
      </c>
    </row>
    <row r="414" spans="1:21">
      <c r="A414">
        <v>413</v>
      </c>
      <c r="B414" s="27" t="s">
        <v>1449</v>
      </c>
      <c r="D414" s="27" t="s">
        <v>1450</v>
      </c>
      <c r="F414" s="27" t="s">
        <v>1453</v>
      </c>
      <c r="H414" s="27" t="s">
        <v>1454</v>
      </c>
      <c r="J414" s="27" t="s">
        <v>18547</v>
      </c>
      <c r="L414" s="27" t="s">
        <v>18627</v>
      </c>
      <c r="M414" s="27" t="s">
        <v>1469</v>
      </c>
      <c r="N414" s="27" t="s">
        <v>601</v>
      </c>
      <c r="P414" s="27" t="s">
        <v>4254</v>
      </c>
      <c r="Q414" s="26" t="str">
        <f>HYPERLINK("https://ictv.global/taxonomy/taxondetails?taxnode_id=202508529&amp;ictv_id=ICTV201908529","ICTV201908529")</f>
        <v>ICTV201908529</v>
      </c>
      <c r="R414" t="s">
        <v>579</v>
      </c>
      <c r="S414" t="s">
        <v>22763</v>
      </c>
      <c r="T414">
        <v>40</v>
      </c>
      <c r="U414" s="26" t="str">
        <f t="shared" si="18"/>
        <v>2024.045B.Autographivirales.zip</v>
      </c>
    </row>
    <row r="415" spans="1:21">
      <c r="A415">
        <v>414</v>
      </c>
      <c r="B415" s="27" t="s">
        <v>1449</v>
      </c>
      <c r="D415" s="27" t="s">
        <v>1450</v>
      </c>
      <c r="F415" s="27" t="s">
        <v>1453</v>
      </c>
      <c r="H415" s="27" t="s">
        <v>1454</v>
      </c>
      <c r="J415" s="27" t="s">
        <v>18547</v>
      </c>
      <c r="L415" s="27" t="s">
        <v>18627</v>
      </c>
      <c r="M415" s="27" t="s">
        <v>1469</v>
      </c>
      <c r="N415" s="27" t="s">
        <v>601</v>
      </c>
      <c r="P415" s="27" t="s">
        <v>18693</v>
      </c>
      <c r="Q415" s="26" t="str">
        <f>HYPERLINK("https://ictv.global/taxonomy/taxondetails?taxnode_id=202521018&amp;ictv_id=ICTV202421018","ICTV202421018")</f>
        <v>ICTV202421018</v>
      </c>
      <c r="R415" t="s">
        <v>579</v>
      </c>
      <c r="S415" t="s">
        <v>823</v>
      </c>
      <c r="T415">
        <v>40</v>
      </c>
      <c r="U415" s="26" t="str">
        <f t="shared" si="18"/>
        <v>2024.045B.Autographivirales.zip</v>
      </c>
    </row>
    <row r="416" spans="1:21">
      <c r="A416">
        <v>415</v>
      </c>
      <c r="B416" s="27" t="s">
        <v>1449</v>
      </c>
      <c r="D416" s="27" t="s">
        <v>1450</v>
      </c>
      <c r="F416" s="27" t="s">
        <v>1453</v>
      </c>
      <c r="H416" s="27" t="s">
        <v>1454</v>
      </c>
      <c r="J416" s="27" t="s">
        <v>18547</v>
      </c>
      <c r="L416" s="27" t="s">
        <v>18627</v>
      </c>
      <c r="M416" s="27" t="s">
        <v>1469</v>
      </c>
      <c r="N416" s="27" t="s">
        <v>601</v>
      </c>
      <c r="P416" s="27" t="s">
        <v>18694</v>
      </c>
      <c r="Q416" s="26" t="str">
        <f>HYPERLINK("https://ictv.global/taxonomy/taxondetails?taxnode_id=202521022&amp;ictv_id=ICTV202421022","ICTV202421022")</f>
        <v>ICTV202421022</v>
      </c>
      <c r="R416" t="s">
        <v>579</v>
      </c>
      <c r="S416" t="s">
        <v>823</v>
      </c>
      <c r="T416">
        <v>40</v>
      </c>
      <c r="U416" s="26" t="str">
        <f t="shared" si="18"/>
        <v>2024.045B.Autographivirales.zip</v>
      </c>
    </row>
    <row r="417" spans="1:21">
      <c r="A417">
        <v>416</v>
      </c>
      <c r="B417" s="27" t="s">
        <v>1449</v>
      </c>
      <c r="D417" s="27" t="s">
        <v>1450</v>
      </c>
      <c r="F417" s="27" t="s">
        <v>1453</v>
      </c>
      <c r="H417" s="27" t="s">
        <v>1454</v>
      </c>
      <c r="J417" s="27" t="s">
        <v>18547</v>
      </c>
      <c r="L417" s="27" t="s">
        <v>18627</v>
      </c>
      <c r="M417" s="27" t="s">
        <v>1469</v>
      </c>
      <c r="N417" s="27" t="s">
        <v>601</v>
      </c>
      <c r="P417" s="27" t="s">
        <v>18695</v>
      </c>
      <c r="Q417" s="26" t="str">
        <f>HYPERLINK("https://ictv.global/taxonomy/taxondetails?taxnode_id=202521016&amp;ictv_id=ICTV202421016","ICTV202421016")</f>
        <v>ICTV202421016</v>
      </c>
      <c r="R417" t="s">
        <v>579</v>
      </c>
      <c r="S417" t="s">
        <v>823</v>
      </c>
      <c r="T417">
        <v>40</v>
      </c>
      <c r="U417" s="26" t="str">
        <f t="shared" si="18"/>
        <v>2024.045B.Autographivirales.zip</v>
      </c>
    </row>
    <row r="418" spans="1:21">
      <c r="A418">
        <v>417</v>
      </c>
      <c r="B418" s="27" t="s">
        <v>1449</v>
      </c>
      <c r="D418" s="27" t="s">
        <v>1450</v>
      </c>
      <c r="F418" s="27" t="s">
        <v>1453</v>
      </c>
      <c r="H418" s="27" t="s">
        <v>1454</v>
      </c>
      <c r="J418" s="27" t="s">
        <v>18547</v>
      </c>
      <c r="L418" s="27" t="s">
        <v>18627</v>
      </c>
      <c r="M418" s="27" t="s">
        <v>1469</v>
      </c>
      <c r="N418" s="27" t="s">
        <v>18696</v>
      </c>
      <c r="P418" s="27" t="s">
        <v>18697</v>
      </c>
      <c r="Q418" s="26" t="str">
        <f>HYPERLINK("https://ictv.global/taxonomy/taxondetails?taxnode_id=202521110&amp;ictv_id=ICTV202421110","ICTV202421110")</f>
        <v>ICTV202421110</v>
      </c>
      <c r="R418" t="s">
        <v>579</v>
      </c>
      <c r="S418" t="s">
        <v>823</v>
      </c>
      <c r="T418">
        <v>40</v>
      </c>
      <c r="U418" s="26" t="str">
        <f t="shared" si="18"/>
        <v>2024.045B.Autographivirales.zip</v>
      </c>
    </row>
    <row r="419" spans="1:21">
      <c r="A419">
        <v>418</v>
      </c>
      <c r="B419" s="27" t="s">
        <v>1449</v>
      </c>
      <c r="D419" s="27" t="s">
        <v>1450</v>
      </c>
      <c r="F419" s="27" t="s">
        <v>1453</v>
      </c>
      <c r="H419" s="27" t="s">
        <v>1454</v>
      </c>
      <c r="J419" s="27" t="s">
        <v>18547</v>
      </c>
      <c r="L419" s="27" t="s">
        <v>18627</v>
      </c>
      <c r="M419" s="27" t="s">
        <v>1493</v>
      </c>
      <c r="N419" s="27" t="s">
        <v>1494</v>
      </c>
      <c r="P419" s="27" t="s">
        <v>4299</v>
      </c>
      <c r="Q419" s="26" t="str">
        <f>HYPERLINK("https://ictv.global/taxonomy/taxondetails?taxnode_id=202508550&amp;ictv_id=ICTV201908550","ICTV201908550")</f>
        <v>ICTV201908550</v>
      </c>
      <c r="R419" t="s">
        <v>579</v>
      </c>
      <c r="S419" t="s">
        <v>22763</v>
      </c>
      <c r="T419">
        <v>40</v>
      </c>
      <c r="U419" s="26" t="str">
        <f t="shared" si="18"/>
        <v>2024.045B.Autographivirales.zip</v>
      </c>
    </row>
    <row r="420" spans="1:21">
      <c r="A420">
        <v>419</v>
      </c>
      <c r="B420" s="27" t="s">
        <v>1449</v>
      </c>
      <c r="D420" s="27" t="s">
        <v>1450</v>
      </c>
      <c r="F420" s="27" t="s">
        <v>1453</v>
      </c>
      <c r="H420" s="27" t="s">
        <v>1454</v>
      </c>
      <c r="J420" s="27" t="s">
        <v>18547</v>
      </c>
      <c r="L420" s="27" t="s">
        <v>18627</v>
      </c>
      <c r="M420" s="27" t="s">
        <v>1493</v>
      </c>
      <c r="N420" s="27" t="s">
        <v>18698</v>
      </c>
      <c r="P420" s="27" t="s">
        <v>18699</v>
      </c>
      <c r="Q420" s="26" t="str">
        <f>HYPERLINK("https://ictv.global/taxonomy/taxondetails?taxnode_id=202520224&amp;ictv_id=ICTV202420224","ICTV202420224")</f>
        <v>ICTV202420224</v>
      </c>
      <c r="R420" t="s">
        <v>579</v>
      </c>
      <c r="S420" t="s">
        <v>823</v>
      </c>
      <c r="T420">
        <v>40</v>
      </c>
      <c r="U420" s="26" t="str">
        <f>HYPERLINK("https://ictv.global/ictv/proposals/2024.006B.Cepavirus_Suseptimavirus_Uetakevirus_1ng_3ns.zip","2024.006B.Cepavirus_Suseptimavirus_Uetakevirus_1ng_3ns.zip")</f>
        <v>2024.006B.Cepavirus_Suseptimavirus_Uetakevirus_1ng_3ns.zip</v>
      </c>
    </row>
    <row r="421" spans="1:21">
      <c r="A421">
        <v>420</v>
      </c>
      <c r="B421" s="27" t="s">
        <v>1449</v>
      </c>
      <c r="D421" s="27" t="s">
        <v>1450</v>
      </c>
      <c r="F421" s="27" t="s">
        <v>1453</v>
      </c>
      <c r="H421" s="27" t="s">
        <v>1454</v>
      </c>
      <c r="J421" s="27" t="s">
        <v>18547</v>
      </c>
      <c r="L421" s="27" t="s">
        <v>18627</v>
      </c>
      <c r="M421" s="27" t="s">
        <v>1493</v>
      </c>
      <c r="N421" s="27" t="s">
        <v>1270</v>
      </c>
      <c r="P421" s="27" t="s">
        <v>4300</v>
      </c>
      <c r="Q421" s="26" t="str">
        <f>HYPERLINK("https://ictv.global/taxonomy/taxondetails?taxnode_id=202508543&amp;ictv_id=ICTV201908543","ICTV201908543")</f>
        <v>ICTV201908543</v>
      </c>
      <c r="R421" t="s">
        <v>579</v>
      </c>
      <c r="S421" t="s">
        <v>22763</v>
      </c>
      <c r="T421">
        <v>40</v>
      </c>
      <c r="U421" s="26" t="str">
        <f t="shared" ref="U421:U437" si="19">HYPERLINK("https://ictv.global/ictv/proposals/2024.045B.Autographivirales.zip","2024.045B.Autographivirales.zip")</f>
        <v>2024.045B.Autographivirales.zip</v>
      </c>
    </row>
    <row r="422" spans="1:21">
      <c r="A422">
        <v>421</v>
      </c>
      <c r="B422" s="27" t="s">
        <v>1449</v>
      </c>
      <c r="D422" s="27" t="s">
        <v>1450</v>
      </c>
      <c r="F422" s="27" t="s">
        <v>1453</v>
      </c>
      <c r="H422" s="27" t="s">
        <v>1454</v>
      </c>
      <c r="J422" s="27" t="s">
        <v>18547</v>
      </c>
      <c r="L422" s="27" t="s">
        <v>18627</v>
      </c>
      <c r="M422" s="27" t="s">
        <v>1493</v>
      </c>
      <c r="N422" s="27" t="s">
        <v>1270</v>
      </c>
      <c r="P422" s="27" t="s">
        <v>18700</v>
      </c>
      <c r="Q422" s="26" t="str">
        <f>HYPERLINK("https://ictv.global/taxonomy/taxondetails?taxnode_id=202520895&amp;ictv_id=ICTV202420895","ICTV202420895")</f>
        <v>ICTV202420895</v>
      </c>
      <c r="R422" t="s">
        <v>579</v>
      </c>
      <c r="S422" t="s">
        <v>823</v>
      </c>
      <c r="T422">
        <v>40</v>
      </c>
      <c r="U422" s="26" t="str">
        <f t="shared" si="19"/>
        <v>2024.045B.Autographivirales.zip</v>
      </c>
    </row>
    <row r="423" spans="1:21">
      <c r="A423">
        <v>422</v>
      </c>
      <c r="B423" s="27" t="s">
        <v>1449</v>
      </c>
      <c r="D423" s="27" t="s">
        <v>1450</v>
      </c>
      <c r="F423" s="27" t="s">
        <v>1453</v>
      </c>
      <c r="H423" s="27" t="s">
        <v>1454</v>
      </c>
      <c r="J423" s="27" t="s">
        <v>18547</v>
      </c>
      <c r="L423" s="27" t="s">
        <v>18627</v>
      </c>
      <c r="M423" s="27" t="s">
        <v>1493</v>
      </c>
      <c r="N423" s="27" t="s">
        <v>1270</v>
      </c>
      <c r="P423" s="27" t="s">
        <v>18701</v>
      </c>
      <c r="Q423" s="26" t="str">
        <f>HYPERLINK("https://ictv.global/taxonomy/taxondetails?taxnode_id=202520893&amp;ictv_id=ICTV202420893","ICTV202420893")</f>
        <v>ICTV202420893</v>
      </c>
      <c r="R423" t="s">
        <v>579</v>
      </c>
      <c r="S423" t="s">
        <v>823</v>
      </c>
      <c r="T423">
        <v>40</v>
      </c>
      <c r="U423" s="26" t="str">
        <f t="shared" si="19"/>
        <v>2024.045B.Autographivirales.zip</v>
      </c>
    </row>
    <row r="424" spans="1:21">
      <c r="A424">
        <v>423</v>
      </c>
      <c r="B424" s="27" t="s">
        <v>1449</v>
      </c>
      <c r="D424" s="27" t="s">
        <v>1450</v>
      </c>
      <c r="F424" s="27" t="s">
        <v>1453</v>
      </c>
      <c r="H424" s="27" t="s">
        <v>1454</v>
      </c>
      <c r="J424" s="27" t="s">
        <v>18547</v>
      </c>
      <c r="L424" s="27" t="s">
        <v>18627</v>
      </c>
      <c r="M424" s="27" t="s">
        <v>1493</v>
      </c>
      <c r="N424" s="27" t="s">
        <v>1270</v>
      </c>
      <c r="P424" s="27" t="s">
        <v>18702</v>
      </c>
      <c r="Q424" s="26" t="str">
        <f>HYPERLINK("https://ictv.global/taxonomy/taxondetails?taxnode_id=202520894&amp;ictv_id=ICTV202420894","ICTV202420894")</f>
        <v>ICTV202420894</v>
      </c>
      <c r="R424" t="s">
        <v>579</v>
      </c>
      <c r="S424" t="s">
        <v>823</v>
      </c>
      <c r="T424">
        <v>40</v>
      </c>
      <c r="U424" s="26" t="str">
        <f t="shared" si="19"/>
        <v>2024.045B.Autographivirales.zip</v>
      </c>
    </row>
    <row r="425" spans="1:21">
      <c r="A425">
        <v>424</v>
      </c>
      <c r="B425" s="27" t="s">
        <v>1449</v>
      </c>
      <c r="D425" s="27" t="s">
        <v>1450</v>
      </c>
      <c r="F425" s="27" t="s">
        <v>1453</v>
      </c>
      <c r="H425" s="27" t="s">
        <v>1454</v>
      </c>
      <c r="J425" s="27" t="s">
        <v>18547</v>
      </c>
      <c r="L425" s="27" t="s">
        <v>18627</v>
      </c>
      <c r="M425" s="27" t="s">
        <v>1493</v>
      </c>
      <c r="N425" s="27" t="s">
        <v>1270</v>
      </c>
      <c r="P425" s="27" t="s">
        <v>4301</v>
      </c>
      <c r="Q425" s="26" t="str">
        <f>HYPERLINK("https://ictv.global/taxonomy/taxondetails?taxnode_id=202508536&amp;ictv_id=ICTV201908536","ICTV201908536")</f>
        <v>ICTV201908536</v>
      </c>
      <c r="R425" t="s">
        <v>579</v>
      </c>
      <c r="S425" t="s">
        <v>22763</v>
      </c>
      <c r="T425">
        <v>40</v>
      </c>
      <c r="U425" s="26" t="str">
        <f t="shared" si="19"/>
        <v>2024.045B.Autographivirales.zip</v>
      </c>
    </row>
    <row r="426" spans="1:21">
      <c r="A426">
        <v>425</v>
      </c>
      <c r="B426" s="27" t="s">
        <v>1449</v>
      </c>
      <c r="D426" s="27" t="s">
        <v>1450</v>
      </c>
      <c r="F426" s="27" t="s">
        <v>1453</v>
      </c>
      <c r="H426" s="27" t="s">
        <v>1454</v>
      </c>
      <c r="J426" s="27" t="s">
        <v>18547</v>
      </c>
      <c r="L426" s="27" t="s">
        <v>18627</v>
      </c>
      <c r="M426" s="27" t="s">
        <v>1493</v>
      </c>
      <c r="N426" s="27" t="s">
        <v>1270</v>
      </c>
      <c r="P426" s="27" t="s">
        <v>18703</v>
      </c>
      <c r="Q426" s="26" t="str">
        <f>HYPERLINK("https://ictv.global/taxonomy/taxondetails?taxnode_id=202520961&amp;ictv_id=ICTV202420961","ICTV202420961")</f>
        <v>ICTV202420961</v>
      </c>
      <c r="R426" t="s">
        <v>579</v>
      </c>
      <c r="S426" t="s">
        <v>823</v>
      </c>
      <c r="T426">
        <v>40</v>
      </c>
      <c r="U426" s="26" t="str">
        <f t="shared" si="19"/>
        <v>2024.045B.Autographivirales.zip</v>
      </c>
    </row>
    <row r="427" spans="1:21">
      <c r="A427">
        <v>426</v>
      </c>
      <c r="B427" s="27" t="s">
        <v>1449</v>
      </c>
      <c r="D427" s="27" t="s">
        <v>1450</v>
      </c>
      <c r="F427" s="27" t="s">
        <v>1453</v>
      </c>
      <c r="H427" s="27" t="s">
        <v>1454</v>
      </c>
      <c r="J427" s="27" t="s">
        <v>18547</v>
      </c>
      <c r="L427" s="27" t="s">
        <v>18627</v>
      </c>
      <c r="M427" s="27" t="s">
        <v>1493</v>
      </c>
      <c r="N427" s="27" t="s">
        <v>1270</v>
      </c>
      <c r="P427" s="27" t="s">
        <v>18704</v>
      </c>
      <c r="Q427" s="26" t="str">
        <f>HYPERLINK("https://ictv.global/taxonomy/taxondetails?taxnode_id=202520953&amp;ictv_id=ICTV202420953","ICTV202420953")</f>
        <v>ICTV202420953</v>
      </c>
      <c r="R427" t="s">
        <v>579</v>
      </c>
      <c r="S427" t="s">
        <v>823</v>
      </c>
      <c r="T427">
        <v>40</v>
      </c>
      <c r="U427" s="26" t="str">
        <f t="shared" si="19"/>
        <v>2024.045B.Autographivirales.zip</v>
      </c>
    </row>
    <row r="428" spans="1:21">
      <c r="A428">
        <v>427</v>
      </c>
      <c r="B428" s="27" t="s">
        <v>1449</v>
      </c>
      <c r="D428" s="27" t="s">
        <v>1450</v>
      </c>
      <c r="F428" s="27" t="s">
        <v>1453</v>
      </c>
      <c r="H428" s="27" t="s">
        <v>1454</v>
      </c>
      <c r="J428" s="27" t="s">
        <v>18547</v>
      </c>
      <c r="L428" s="27" t="s">
        <v>18627</v>
      </c>
      <c r="M428" s="27" t="s">
        <v>1493</v>
      </c>
      <c r="N428" s="27" t="s">
        <v>1270</v>
      </c>
      <c r="P428" s="27" t="s">
        <v>18705</v>
      </c>
      <c r="Q428" s="26" t="str">
        <f>HYPERLINK("https://ictv.global/taxonomy/taxondetails?taxnode_id=202520928&amp;ictv_id=ICTV202420928","ICTV202420928")</f>
        <v>ICTV202420928</v>
      </c>
      <c r="R428" t="s">
        <v>579</v>
      </c>
      <c r="S428" t="s">
        <v>823</v>
      </c>
      <c r="T428">
        <v>40</v>
      </c>
      <c r="U428" s="26" t="str">
        <f t="shared" si="19"/>
        <v>2024.045B.Autographivirales.zip</v>
      </c>
    </row>
    <row r="429" spans="1:21">
      <c r="A429">
        <v>428</v>
      </c>
      <c r="B429" s="27" t="s">
        <v>1449</v>
      </c>
      <c r="D429" s="27" t="s">
        <v>1450</v>
      </c>
      <c r="F429" s="27" t="s">
        <v>1453</v>
      </c>
      <c r="H429" s="27" t="s">
        <v>1454</v>
      </c>
      <c r="J429" s="27" t="s">
        <v>18547</v>
      </c>
      <c r="L429" s="27" t="s">
        <v>18627</v>
      </c>
      <c r="M429" s="27" t="s">
        <v>1493</v>
      </c>
      <c r="N429" s="27" t="s">
        <v>1270</v>
      </c>
      <c r="P429" s="27" t="s">
        <v>18706</v>
      </c>
      <c r="Q429" s="26" t="str">
        <f>HYPERLINK("https://ictv.global/taxonomy/taxondetails?taxnode_id=202520926&amp;ictv_id=ICTV202420926","ICTV202420926")</f>
        <v>ICTV202420926</v>
      </c>
      <c r="R429" t="s">
        <v>579</v>
      </c>
      <c r="S429" t="s">
        <v>823</v>
      </c>
      <c r="T429">
        <v>40</v>
      </c>
      <c r="U429" s="26" t="str">
        <f t="shared" si="19"/>
        <v>2024.045B.Autographivirales.zip</v>
      </c>
    </row>
    <row r="430" spans="1:21">
      <c r="A430">
        <v>429</v>
      </c>
      <c r="B430" s="27" t="s">
        <v>1449</v>
      </c>
      <c r="D430" s="27" t="s">
        <v>1450</v>
      </c>
      <c r="F430" s="27" t="s">
        <v>1453</v>
      </c>
      <c r="H430" s="27" t="s">
        <v>1454</v>
      </c>
      <c r="J430" s="27" t="s">
        <v>18547</v>
      </c>
      <c r="L430" s="27" t="s">
        <v>18627</v>
      </c>
      <c r="M430" s="27" t="s">
        <v>1493</v>
      </c>
      <c r="N430" s="27" t="s">
        <v>1270</v>
      </c>
      <c r="P430" s="27" t="s">
        <v>18707</v>
      </c>
      <c r="Q430" s="26" t="str">
        <f>HYPERLINK("https://ictv.global/taxonomy/taxondetails?taxnode_id=202520955&amp;ictv_id=ICTV202420955","ICTV202420955")</f>
        <v>ICTV202420955</v>
      </c>
      <c r="R430" t="s">
        <v>579</v>
      </c>
      <c r="S430" t="s">
        <v>823</v>
      </c>
      <c r="T430">
        <v>40</v>
      </c>
      <c r="U430" s="26" t="str">
        <f t="shared" si="19"/>
        <v>2024.045B.Autographivirales.zip</v>
      </c>
    </row>
    <row r="431" spans="1:21">
      <c r="A431">
        <v>430</v>
      </c>
      <c r="B431" s="27" t="s">
        <v>1449</v>
      </c>
      <c r="D431" s="27" t="s">
        <v>1450</v>
      </c>
      <c r="F431" s="27" t="s">
        <v>1453</v>
      </c>
      <c r="H431" s="27" t="s">
        <v>1454</v>
      </c>
      <c r="J431" s="27" t="s">
        <v>18547</v>
      </c>
      <c r="L431" s="27" t="s">
        <v>18627</v>
      </c>
      <c r="M431" s="27" t="s">
        <v>1493</v>
      </c>
      <c r="N431" s="27" t="s">
        <v>1270</v>
      </c>
      <c r="P431" s="27" t="s">
        <v>18708</v>
      </c>
      <c r="Q431" s="26" t="str">
        <f>HYPERLINK("https://ictv.global/taxonomy/taxondetails?taxnode_id=202520950&amp;ictv_id=ICTV202420950","ICTV202420950")</f>
        <v>ICTV202420950</v>
      </c>
      <c r="R431" t="s">
        <v>579</v>
      </c>
      <c r="S431" t="s">
        <v>823</v>
      </c>
      <c r="T431">
        <v>40</v>
      </c>
      <c r="U431" s="26" t="str">
        <f t="shared" si="19"/>
        <v>2024.045B.Autographivirales.zip</v>
      </c>
    </row>
    <row r="432" spans="1:21">
      <c r="A432">
        <v>431</v>
      </c>
      <c r="B432" s="27" t="s">
        <v>1449</v>
      </c>
      <c r="D432" s="27" t="s">
        <v>1450</v>
      </c>
      <c r="F432" s="27" t="s">
        <v>1453</v>
      </c>
      <c r="H432" s="27" t="s">
        <v>1454</v>
      </c>
      <c r="J432" s="27" t="s">
        <v>18547</v>
      </c>
      <c r="L432" s="27" t="s">
        <v>18627</v>
      </c>
      <c r="M432" s="27" t="s">
        <v>1493</v>
      </c>
      <c r="N432" s="27" t="s">
        <v>1270</v>
      </c>
      <c r="P432" s="27" t="s">
        <v>18709</v>
      </c>
      <c r="Q432" s="26" t="str">
        <f>HYPERLINK("https://ictv.global/taxonomy/taxondetails?taxnode_id=202520932&amp;ictv_id=ICTV202420932","ICTV202420932")</f>
        <v>ICTV202420932</v>
      </c>
      <c r="R432" t="s">
        <v>579</v>
      </c>
      <c r="S432" t="s">
        <v>823</v>
      </c>
      <c r="T432">
        <v>40</v>
      </c>
      <c r="U432" s="26" t="str">
        <f t="shared" si="19"/>
        <v>2024.045B.Autographivirales.zip</v>
      </c>
    </row>
    <row r="433" spans="1:21">
      <c r="A433">
        <v>432</v>
      </c>
      <c r="B433" s="27" t="s">
        <v>1449</v>
      </c>
      <c r="D433" s="27" t="s">
        <v>1450</v>
      </c>
      <c r="F433" s="27" t="s">
        <v>1453</v>
      </c>
      <c r="H433" s="27" t="s">
        <v>1454</v>
      </c>
      <c r="J433" s="27" t="s">
        <v>18547</v>
      </c>
      <c r="L433" s="27" t="s">
        <v>18627</v>
      </c>
      <c r="M433" s="27" t="s">
        <v>1493</v>
      </c>
      <c r="N433" s="27" t="s">
        <v>1270</v>
      </c>
      <c r="P433" s="27" t="s">
        <v>18710</v>
      </c>
      <c r="Q433" s="26" t="str">
        <f>HYPERLINK("https://ictv.global/taxonomy/taxondetails?taxnode_id=202520933&amp;ictv_id=ICTV202420933","ICTV202420933")</f>
        <v>ICTV202420933</v>
      </c>
      <c r="R433" t="s">
        <v>579</v>
      </c>
      <c r="S433" t="s">
        <v>823</v>
      </c>
      <c r="T433">
        <v>40</v>
      </c>
      <c r="U433" s="26" t="str">
        <f t="shared" si="19"/>
        <v>2024.045B.Autographivirales.zip</v>
      </c>
    </row>
    <row r="434" spans="1:21">
      <c r="A434">
        <v>433</v>
      </c>
      <c r="B434" s="27" t="s">
        <v>1449</v>
      </c>
      <c r="D434" s="27" t="s">
        <v>1450</v>
      </c>
      <c r="F434" s="27" t="s">
        <v>1453</v>
      </c>
      <c r="H434" s="27" t="s">
        <v>1454</v>
      </c>
      <c r="J434" s="27" t="s">
        <v>18547</v>
      </c>
      <c r="L434" s="27" t="s">
        <v>18627</v>
      </c>
      <c r="M434" s="27" t="s">
        <v>1493</v>
      </c>
      <c r="N434" s="27" t="s">
        <v>1270</v>
      </c>
      <c r="P434" s="27" t="s">
        <v>4302</v>
      </c>
      <c r="Q434" s="26" t="str">
        <f>HYPERLINK("https://ictv.global/taxonomy/taxondetails?taxnode_id=202500558&amp;ictv_id=ICTV20150290","ICTV20150290")</f>
        <v>ICTV20150290</v>
      </c>
      <c r="R434" t="s">
        <v>579</v>
      </c>
      <c r="S434" t="s">
        <v>22763</v>
      </c>
      <c r="T434">
        <v>40</v>
      </c>
      <c r="U434" s="26" t="str">
        <f t="shared" si="19"/>
        <v>2024.045B.Autographivirales.zip</v>
      </c>
    </row>
    <row r="435" spans="1:21">
      <c r="A435">
        <v>434</v>
      </c>
      <c r="B435" s="27" t="s">
        <v>1449</v>
      </c>
      <c r="D435" s="27" t="s">
        <v>1450</v>
      </c>
      <c r="F435" s="27" t="s">
        <v>1453</v>
      </c>
      <c r="H435" s="27" t="s">
        <v>1454</v>
      </c>
      <c r="J435" s="27" t="s">
        <v>18547</v>
      </c>
      <c r="L435" s="27" t="s">
        <v>18627</v>
      </c>
      <c r="M435" s="27" t="s">
        <v>1493</v>
      </c>
      <c r="N435" s="27" t="s">
        <v>1270</v>
      </c>
      <c r="P435" s="27" t="s">
        <v>18711</v>
      </c>
      <c r="Q435" s="26" t="str">
        <f>HYPERLINK("https://ictv.global/taxonomy/taxondetails?taxnode_id=202520940&amp;ictv_id=ICTV202420940","ICTV202420940")</f>
        <v>ICTV202420940</v>
      </c>
      <c r="R435" t="s">
        <v>579</v>
      </c>
      <c r="S435" t="s">
        <v>823</v>
      </c>
      <c r="T435">
        <v>40</v>
      </c>
      <c r="U435" s="26" t="str">
        <f t="shared" si="19"/>
        <v>2024.045B.Autographivirales.zip</v>
      </c>
    </row>
    <row r="436" spans="1:21">
      <c r="A436">
        <v>435</v>
      </c>
      <c r="B436" s="27" t="s">
        <v>1449</v>
      </c>
      <c r="D436" s="27" t="s">
        <v>1450</v>
      </c>
      <c r="F436" s="27" t="s">
        <v>1453</v>
      </c>
      <c r="H436" s="27" t="s">
        <v>1454</v>
      </c>
      <c r="J436" s="27" t="s">
        <v>18547</v>
      </c>
      <c r="L436" s="27" t="s">
        <v>18627</v>
      </c>
      <c r="M436" s="27" t="s">
        <v>1493</v>
      </c>
      <c r="N436" s="27" t="s">
        <v>1270</v>
      </c>
      <c r="P436" s="27" t="s">
        <v>18712</v>
      </c>
      <c r="Q436" s="26" t="str">
        <f>HYPERLINK("https://ictv.global/taxonomy/taxondetails?taxnode_id=202520947&amp;ictv_id=ICTV202420947","ICTV202420947")</f>
        <v>ICTV202420947</v>
      </c>
      <c r="R436" t="s">
        <v>579</v>
      </c>
      <c r="S436" t="s">
        <v>823</v>
      </c>
      <c r="T436">
        <v>40</v>
      </c>
      <c r="U436" s="26" t="str">
        <f t="shared" si="19"/>
        <v>2024.045B.Autographivirales.zip</v>
      </c>
    </row>
    <row r="437" spans="1:21">
      <c r="A437">
        <v>436</v>
      </c>
      <c r="B437" s="27" t="s">
        <v>1449</v>
      </c>
      <c r="D437" s="27" t="s">
        <v>1450</v>
      </c>
      <c r="F437" s="27" t="s">
        <v>1453</v>
      </c>
      <c r="H437" s="27" t="s">
        <v>1454</v>
      </c>
      <c r="J437" s="27" t="s">
        <v>18547</v>
      </c>
      <c r="L437" s="27" t="s">
        <v>18627</v>
      </c>
      <c r="M437" s="27" t="s">
        <v>1493</v>
      </c>
      <c r="N437" s="27" t="s">
        <v>1270</v>
      </c>
      <c r="P437" s="27" t="s">
        <v>18713</v>
      </c>
      <c r="Q437" s="26" t="str">
        <f>HYPERLINK("https://ictv.global/taxonomy/taxondetails?taxnode_id=202520899&amp;ictv_id=ICTV202420899","ICTV202420899")</f>
        <v>ICTV202420899</v>
      </c>
      <c r="R437" t="s">
        <v>579</v>
      </c>
      <c r="S437" t="s">
        <v>823</v>
      </c>
      <c r="T437">
        <v>40</v>
      </c>
      <c r="U437" s="26" t="str">
        <f t="shared" si="19"/>
        <v>2024.045B.Autographivirales.zip</v>
      </c>
    </row>
    <row r="438" spans="1:21">
      <c r="A438">
        <v>437</v>
      </c>
      <c r="B438" s="27" t="s">
        <v>1449</v>
      </c>
      <c r="D438" s="27" t="s">
        <v>1450</v>
      </c>
      <c r="F438" s="27" t="s">
        <v>1453</v>
      </c>
      <c r="H438" s="27" t="s">
        <v>1454</v>
      </c>
      <c r="J438" s="27" t="s">
        <v>18547</v>
      </c>
      <c r="L438" s="27" t="s">
        <v>18627</v>
      </c>
      <c r="M438" s="27" t="s">
        <v>1493</v>
      </c>
      <c r="N438" s="27" t="s">
        <v>1270</v>
      </c>
      <c r="P438" s="27" t="s">
        <v>22026</v>
      </c>
      <c r="Q438" s="26" t="str">
        <f>HYPERLINK("https://ictv.global/taxonomy/taxondetails?taxnode_id=202522830&amp;ictv_id=ICTV202522830","ICTV202522830")</f>
        <v>ICTV202522830</v>
      </c>
      <c r="R438" t="s">
        <v>579</v>
      </c>
      <c r="S438" t="s">
        <v>823</v>
      </c>
      <c r="T438">
        <v>41</v>
      </c>
      <c r="U438" s="26" t="str">
        <f>HYPERLINK("https://ictv.global/ictv/proposals/2025.025B.Caudoviricetes_10ns_1rms.zip","2025.025B.Caudoviricetes_10ns_1rms.zip")</f>
        <v>2025.025B.Caudoviricetes_10ns_1rms.zip</v>
      </c>
    </row>
    <row r="439" spans="1:21">
      <c r="A439">
        <v>438</v>
      </c>
      <c r="B439" s="27" t="s">
        <v>1449</v>
      </c>
      <c r="D439" s="27" t="s">
        <v>1450</v>
      </c>
      <c r="F439" s="27" t="s">
        <v>1453</v>
      </c>
      <c r="H439" s="27" t="s">
        <v>1454</v>
      </c>
      <c r="J439" s="27" t="s">
        <v>18547</v>
      </c>
      <c r="L439" s="27" t="s">
        <v>18627</v>
      </c>
      <c r="M439" s="27" t="s">
        <v>1493</v>
      </c>
      <c r="N439" s="27" t="s">
        <v>1270</v>
      </c>
      <c r="P439" s="27" t="s">
        <v>22025</v>
      </c>
      <c r="Q439" s="26" t="str">
        <f>HYPERLINK("https://ictv.global/taxonomy/taxondetails?taxnode_id=202522829&amp;ictv_id=ICTV202522829","ICTV202522829")</f>
        <v>ICTV202522829</v>
      </c>
      <c r="R439" t="s">
        <v>579</v>
      </c>
      <c r="S439" t="s">
        <v>823</v>
      </c>
      <c r="T439">
        <v>41</v>
      </c>
      <c r="U439" s="26" t="str">
        <f>HYPERLINK("https://ictv.global/ictv/proposals/2025.025B.Caudoviricetes_10ns_1rms.zip","2025.025B.Caudoviricetes_10ns_1rms.zip")</f>
        <v>2025.025B.Caudoviricetes_10ns_1rms.zip</v>
      </c>
    </row>
    <row r="440" spans="1:21">
      <c r="A440">
        <v>439</v>
      </c>
      <c r="B440" s="27" t="s">
        <v>1449</v>
      </c>
      <c r="D440" s="27" t="s">
        <v>1450</v>
      </c>
      <c r="F440" s="27" t="s">
        <v>1453</v>
      </c>
      <c r="H440" s="27" t="s">
        <v>1454</v>
      </c>
      <c r="J440" s="27" t="s">
        <v>18547</v>
      </c>
      <c r="L440" s="27" t="s">
        <v>18627</v>
      </c>
      <c r="M440" s="27" t="s">
        <v>1493</v>
      </c>
      <c r="N440" s="27" t="s">
        <v>1270</v>
      </c>
      <c r="P440" s="27" t="s">
        <v>18714</v>
      </c>
      <c r="Q440" s="26" t="str">
        <f>HYPERLINK("https://ictv.global/taxonomy/taxondetails?taxnode_id=202520896&amp;ictv_id=ICTV202420896","ICTV202420896")</f>
        <v>ICTV202420896</v>
      </c>
      <c r="R440" t="s">
        <v>579</v>
      </c>
      <c r="S440" t="s">
        <v>823</v>
      </c>
      <c r="T440">
        <v>40</v>
      </c>
      <c r="U440" s="26" t="str">
        <f t="shared" ref="U440:U471" si="20">HYPERLINK("https://ictv.global/ictv/proposals/2024.045B.Autographivirales.zip","2024.045B.Autographivirales.zip")</f>
        <v>2024.045B.Autographivirales.zip</v>
      </c>
    </row>
    <row r="441" spans="1:21">
      <c r="A441">
        <v>440</v>
      </c>
      <c r="B441" s="27" t="s">
        <v>1449</v>
      </c>
      <c r="D441" s="27" t="s">
        <v>1450</v>
      </c>
      <c r="F441" s="27" t="s">
        <v>1453</v>
      </c>
      <c r="H441" s="27" t="s">
        <v>1454</v>
      </c>
      <c r="J441" s="27" t="s">
        <v>18547</v>
      </c>
      <c r="L441" s="27" t="s">
        <v>18627</v>
      </c>
      <c r="M441" s="27" t="s">
        <v>1493</v>
      </c>
      <c r="N441" s="27" t="s">
        <v>1270</v>
      </c>
      <c r="P441" s="27" t="s">
        <v>18715</v>
      </c>
      <c r="Q441" s="26" t="str">
        <f>HYPERLINK("https://ictv.global/taxonomy/taxondetails?taxnode_id=202520903&amp;ictv_id=ICTV202420903","ICTV202420903")</f>
        <v>ICTV202420903</v>
      </c>
      <c r="R441" t="s">
        <v>579</v>
      </c>
      <c r="S441" t="s">
        <v>823</v>
      </c>
      <c r="T441">
        <v>40</v>
      </c>
      <c r="U441" s="26" t="str">
        <f t="shared" si="20"/>
        <v>2024.045B.Autographivirales.zip</v>
      </c>
    </row>
    <row r="442" spans="1:21">
      <c r="A442">
        <v>441</v>
      </c>
      <c r="B442" s="27" t="s">
        <v>1449</v>
      </c>
      <c r="D442" s="27" t="s">
        <v>1450</v>
      </c>
      <c r="F442" s="27" t="s">
        <v>1453</v>
      </c>
      <c r="H442" s="27" t="s">
        <v>1454</v>
      </c>
      <c r="J442" s="27" t="s">
        <v>18547</v>
      </c>
      <c r="L442" s="27" t="s">
        <v>18627</v>
      </c>
      <c r="M442" s="27" t="s">
        <v>1493</v>
      </c>
      <c r="N442" s="27" t="s">
        <v>1270</v>
      </c>
      <c r="P442" s="27" t="s">
        <v>18716</v>
      </c>
      <c r="Q442" s="26" t="str">
        <f>HYPERLINK("https://ictv.global/taxonomy/taxondetails?taxnode_id=202520962&amp;ictv_id=ICTV202420962","ICTV202420962")</f>
        <v>ICTV202420962</v>
      </c>
      <c r="R442" t="s">
        <v>579</v>
      </c>
      <c r="S442" t="s">
        <v>823</v>
      </c>
      <c r="T442">
        <v>40</v>
      </c>
      <c r="U442" s="26" t="str">
        <f t="shared" si="20"/>
        <v>2024.045B.Autographivirales.zip</v>
      </c>
    </row>
    <row r="443" spans="1:21">
      <c r="A443">
        <v>442</v>
      </c>
      <c r="B443" s="27" t="s">
        <v>1449</v>
      </c>
      <c r="D443" s="27" t="s">
        <v>1450</v>
      </c>
      <c r="F443" s="27" t="s">
        <v>1453</v>
      </c>
      <c r="H443" s="27" t="s">
        <v>1454</v>
      </c>
      <c r="J443" s="27" t="s">
        <v>18547</v>
      </c>
      <c r="L443" s="27" t="s">
        <v>18627</v>
      </c>
      <c r="M443" s="27" t="s">
        <v>1493</v>
      </c>
      <c r="N443" s="27" t="s">
        <v>1270</v>
      </c>
      <c r="P443" s="27" t="s">
        <v>4303</v>
      </c>
      <c r="Q443" s="26" t="str">
        <f>HYPERLINK("https://ictv.global/taxonomy/taxondetails?taxnode_id=202500559&amp;ictv_id=ICTV20150291","ICTV20150291")</f>
        <v>ICTV20150291</v>
      </c>
      <c r="R443" t="s">
        <v>579</v>
      </c>
      <c r="S443" t="s">
        <v>22763</v>
      </c>
      <c r="T443">
        <v>40</v>
      </c>
      <c r="U443" s="26" t="str">
        <f t="shared" si="20"/>
        <v>2024.045B.Autographivirales.zip</v>
      </c>
    </row>
    <row r="444" spans="1:21">
      <c r="A444">
        <v>443</v>
      </c>
      <c r="B444" s="27" t="s">
        <v>1449</v>
      </c>
      <c r="D444" s="27" t="s">
        <v>1450</v>
      </c>
      <c r="F444" s="27" t="s">
        <v>1453</v>
      </c>
      <c r="H444" s="27" t="s">
        <v>1454</v>
      </c>
      <c r="J444" s="27" t="s">
        <v>18547</v>
      </c>
      <c r="L444" s="27" t="s">
        <v>18627</v>
      </c>
      <c r="M444" s="27" t="s">
        <v>1493</v>
      </c>
      <c r="N444" s="27" t="s">
        <v>1270</v>
      </c>
      <c r="P444" s="27" t="s">
        <v>18717</v>
      </c>
      <c r="Q444" s="26" t="str">
        <f>HYPERLINK("https://ictv.global/taxonomy/taxondetails?taxnode_id=202520959&amp;ictv_id=ICTV202420959","ICTV202420959")</f>
        <v>ICTV202420959</v>
      </c>
      <c r="R444" t="s">
        <v>579</v>
      </c>
      <c r="S444" t="s">
        <v>823</v>
      </c>
      <c r="T444">
        <v>40</v>
      </c>
      <c r="U444" s="26" t="str">
        <f t="shared" si="20"/>
        <v>2024.045B.Autographivirales.zip</v>
      </c>
    </row>
    <row r="445" spans="1:21">
      <c r="A445">
        <v>444</v>
      </c>
      <c r="B445" s="27" t="s">
        <v>1449</v>
      </c>
      <c r="D445" s="27" t="s">
        <v>1450</v>
      </c>
      <c r="F445" s="27" t="s">
        <v>1453</v>
      </c>
      <c r="H445" s="27" t="s">
        <v>1454</v>
      </c>
      <c r="J445" s="27" t="s">
        <v>18547</v>
      </c>
      <c r="L445" s="27" t="s">
        <v>18627</v>
      </c>
      <c r="M445" s="27" t="s">
        <v>1493</v>
      </c>
      <c r="N445" s="27" t="s">
        <v>1270</v>
      </c>
      <c r="P445" s="27" t="s">
        <v>18718</v>
      </c>
      <c r="Q445" s="26" t="str">
        <f>HYPERLINK("https://ictv.global/taxonomy/taxondetails?taxnode_id=202520930&amp;ictv_id=ICTV202420930","ICTV202420930")</f>
        <v>ICTV202420930</v>
      </c>
      <c r="R445" t="s">
        <v>579</v>
      </c>
      <c r="S445" t="s">
        <v>823</v>
      </c>
      <c r="T445">
        <v>40</v>
      </c>
      <c r="U445" s="26" t="str">
        <f t="shared" si="20"/>
        <v>2024.045B.Autographivirales.zip</v>
      </c>
    </row>
    <row r="446" spans="1:21">
      <c r="A446">
        <v>445</v>
      </c>
      <c r="B446" s="27" t="s">
        <v>1449</v>
      </c>
      <c r="D446" s="27" t="s">
        <v>1450</v>
      </c>
      <c r="F446" s="27" t="s">
        <v>1453</v>
      </c>
      <c r="H446" s="27" t="s">
        <v>1454</v>
      </c>
      <c r="J446" s="27" t="s">
        <v>18547</v>
      </c>
      <c r="L446" s="27" t="s">
        <v>18627</v>
      </c>
      <c r="M446" s="27" t="s">
        <v>1493</v>
      </c>
      <c r="N446" s="27" t="s">
        <v>1270</v>
      </c>
      <c r="P446" s="27" t="s">
        <v>18719</v>
      </c>
      <c r="Q446" s="26" t="str">
        <f>HYPERLINK("https://ictv.global/taxonomy/taxondetails?taxnode_id=202520958&amp;ictv_id=ICTV202420958","ICTV202420958")</f>
        <v>ICTV202420958</v>
      </c>
      <c r="R446" t="s">
        <v>579</v>
      </c>
      <c r="S446" t="s">
        <v>823</v>
      </c>
      <c r="T446">
        <v>40</v>
      </c>
      <c r="U446" s="26" t="str">
        <f t="shared" si="20"/>
        <v>2024.045B.Autographivirales.zip</v>
      </c>
    </row>
    <row r="447" spans="1:21">
      <c r="A447">
        <v>446</v>
      </c>
      <c r="B447" s="27" t="s">
        <v>1449</v>
      </c>
      <c r="D447" s="27" t="s">
        <v>1450</v>
      </c>
      <c r="F447" s="27" t="s">
        <v>1453</v>
      </c>
      <c r="H447" s="27" t="s">
        <v>1454</v>
      </c>
      <c r="J447" s="27" t="s">
        <v>18547</v>
      </c>
      <c r="L447" s="27" t="s">
        <v>18627</v>
      </c>
      <c r="M447" s="27" t="s">
        <v>1493</v>
      </c>
      <c r="N447" s="27" t="s">
        <v>1270</v>
      </c>
      <c r="P447" s="27" t="s">
        <v>18720</v>
      </c>
      <c r="Q447" s="26" t="str">
        <f>HYPERLINK("https://ictv.global/taxonomy/taxondetails?taxnode_id=202520946&amp;ictv_id=ICTV202420946","ICTV202420946")</f>
        <v>ICTV202420946</v>
      </c>
      <c r="R447" t="s">
        <v>579</v>
      </c>
      <c r="S447" t="s">
        <v>823</v>
      </c>
      <c r="T447">
        <v>40</v>
      </c>
      <c r="U447" s="26" t="str">
        <f t="shared" si="20"/>
        <v>2024.045B.Autographivirales.zip</v>
      </c>
    </row>
    <row r="448" spans="1:21">
      <c r="A448">
        <v>447</v>
      </c>
      <c r="B448" s="27" t="s">
        <v>1449</v>
      </c>
      <c r="D448" s="27" t="s">
        <v>1450</v>
      </c>
      <c r="F448" s="27" t="s">
        <v>1453</v>
      </c>
      <c r="H448" s="27" t="s">
        <v>1454</v>
      </c>
      <c r="J448" s="27" t="s">
        <v>18547</v>
      </c>
      <c r="L448" s="27" t="s">
        <v>18627</v>
      </c>
      <c r="M448" s="27" t="s">
        <v>1493</v>
      </c>
      <c r="N448" s="27" t="s">
        <v>1270</v>
      </c>
      <c r="P448" s="27" t="s">
        <v>18721</v>
      </c>
      <c r="Q448" s="26" t="str">
        <f>HYPERLINK("https://ictv.global/taxonomy/taxondetails?taxnode_id=202520920&amp;ictv_id=ICTV202420920","ICTV202420920")</f>
        <v>ICTV202420920</v>
      </c>
      <c r="R448" t="s">
        <v>579</v>
      </c>
      <c r="S448" t="s">
        <v>823</v>
      </c>
      <c r="T448">
        <v>40</v>
      </c>
      <c r="U448" s="26" t="str">
        <f t="shared" si="20"/>
        <v>2024.045B.Autographivirales.zip</v>
      </c>
    </row>
    <row r="449" spans="1:21">
      <c r="A449">
        <v>448</v>
      </c>
      <c r="B449" s="27" t="s">
        <v>1449</v>
      </c>
      <c r="D449" s="27" t="s">
        <v>1450</v>
      </c>
      <c r="F449" s="27" t="s">
        <v>1453</v>
      </c>
      <c r="H449" s="27" t="s">
        <v>1454</v>
      </c>
      <c r="J449" s="27" t="s">
        <v>18547</v>
      </c>
      <c r="L449" s="27" t="s">
        <v>18627</v>
      </c>
      <c r="M449" s="27" t="s">
        <v>1493</v>
      </c>
      <c r="N449" s="27" t="s">
        <v>1270</v>
      </c>
      <c r="P449" s="27" t="s">
        <v>18722</v>
      </c>
      <c r="Q449" s="26" t="str">
        <f>HYPERLINK("https://ictv.global/taxonomy/taxondetails?taxnode_id=202520905&amp;ictv_id=ICTV202420905","ICTV202420905")</f>
        <v>ICTV202420905</v>
      </c>
      <c r="R449" t="s">
        <v>579</v>
      </c>
      <c r="S449" t="s">
        <v>823</v>
      </c>
      <c r="T449">
        <v>40</v>
      </c>
      <c r="U449" s="26" t="str">
        <f t="shared" si="20"/>
        <v>2024.045B.Autographivirales.zip</v>
      </c>
    </row>
    <row r="450" spans="1:21">
      <c r="A450">
        <v>449</v>
      </c>
      <c r="B450" s="27" t="s">
        <v>1449</v>
      </c>
      <c r="D450" s="27" t="s">
        <v>1450</v>
      </c>
      <c r="F450" s="27" t="s">
        <v>1453</v>
      </c>
      <c r="H450" s="27" t="s">
        <v>1454</v>
      </c>
      <c r="J450" s="27" t="s">
        <v>18547</v>
      </c>
      <c r="L450" s="27" t="s">
        <v>18627</v>
      </c>
      <c r="M450" s="27" t="s">
        <v>1493</v>
      </c>
      <c r="N450" s="27" t="s">
        <v>1270</v>
      </c>
      <c r="P450" s="27" t="s">
        <v>18723</v>
      </c>
      <c r="Q450" s="26" t="str">
        <f>HYPERLINK("https://ictv.global/taxonomy/taxondetails?taxnode_id=202520948&amp;ictv_id=ICTV202420948","ICTV202420948")</f>
        <v>ICTV202420948</v>
      </c>
      <c r="R450" t="s">
        <v>579</v>
      </c>
      <c r="S450" t="s">
        <v>823</v>
      </c>
      <c r="T450">
        <v>40</v>
      </c>
      <c r="U450" s="26" t="str">
        <f t="shared" si="20"/>
        <v>2024.045B.Autographivirales.zip</v>
      </c>
    </row>
    <row r="451" spans="1:21">
      <c r="A451">
        <v>450</v>
      </c>
      <c r="B451" s="27" t="s">
        <v>1449</v>
      </c>
      <c r="D451" s="27" t="s">
        <v>1450</v>
      </c>
      <c r="F451" s="27" t="s">
        <v>1453</v>
      </c>
      <c r="H451" s="27" t="s">
        <v>1454</v>
      </c>
      <c r="J451" s="27" t="s">
        <v>18547</v>
      </c>
      <c r="L451" s="27" t="s">
        <v>18627</v>
      </c>
      <c r="M451" s="27" t="s">
        <v>1493</v>
      </c>
      <c r="N451" s="27" t="s">
        <v>1270</v>
      </c>
      <c r="P451" s="27" t="s">
        <v>18724</v>
      </c>
      <c r="Q451" s="26" t="str">
        <f>HYPERLINK("https://ictv.global/taxonomy/taxondetails?taxnode_id=202520890&amp;ictv_id=ICTV202420890","ICTV202420890")</f>
        <v>ICTV202420890</v>
      </c>
      <c r="R451" t="s">
        <v>579</v>
      </c>
      <c r="S451" t="s">
        <v>823</v>
      </c>
      <c r="T451">
        <v>40</v>
      </c>
      <c r="U451" s="26" t="str">
        <f t="shared" si="20"/>
        <v>2024.045B.Autographivirales.zip</v>
      </c>
    </row>
    <row r="452" spans="1:21">
      <c r="A452">
        <v>451</v>
      </c>
      <c r="B452" s="27" t="s">
        <v>1449</v>
      </c>
      <c r="D452" s="27" t="s">
        <v>1450</v>
      </c>
      <c r="F452" s="27" t="s">
        <v>1453</v>
      </c>
      <c r="H452" s="27" t="s">
        <v>1454</v>
      </c>
      <c r="J452" s="27" t="s">
        <v>18547</v>
      </c>
      <c r="L452" s="27" t="s">
        <v>18627</v>
      </c>
      <c r="M452" s="27" t="s">
        <v>1493</v>
      </c>
      <c r="N452" s="27" t="s">
        <v>1270</v>
      </c>
      <c r="P452" s="27" t="s">
        <v>18725</v>
      </c>
      <c r="Q452" s="26" t="str">
        <f>HYPERLINK("https://ictv.global/taxonomy/taxondetails?taxnode_id=202520944&amp;ictv_id=ICTV202420944","ICTV202420944")</f>
        <v>ICTV202420944</v>
      </c>
      <c r="R452" t="s">
        <v>579</v>
      </c>
      <c r="S452" t="s">
        <v>823</v>
      </c>
      <c r="T452">
        <v>40</v>
      </c>
      <c r="U452" s="26" t="str">
        <f t="shared" si="20"/>
        <v>2024.045B.Autographivirales.zip</v>
      </c>
    </row>
    <row r="453" spans="1:21">
      <c r="A453">
        <v>452</v>
      </c>
      <c r="B453" s="27" t="s">
        <v>1449</v>
      </c>
      <c r="D453" s="27" t="s">
        <v>1450</v>
      </c>
      <c r="F453" s="27" t="s">
        <v>1453</v>
      </c>
      <c r="H453" s="27" t="s">
        <v>1454</v>
      </c>
      <c r="J453" s="27" t="s">
        <v>18547</v>
      </c>
      <c r="L453" s="27" t="s">
        <v>18627</v>
      </c>
      <c r="M453" s="27" t="s">
        <v>1493</v>
      </c>
      <c r="N453" s="27" t="s">
        <v>1270</v>
      </c>
      <c r="P453" s="27" t="s">
        <v>18726</v>
      </c>
      <c r="Q453" s="26" t="str">
        <f>HYPERLINK("https://ictv.global/taxonomy/taxondetails?taxnode_id=202520892&amp;ictv_id=ICTV202420892","ICTV202420892")</f>
        <v>ICTV202420892</v>
      </c>
      <c r="R453" t="s">
        <v>579</v>
      </c>
      <c r="S453" t="s">
        <v>823</v>
      </c>
      <c r="T453">
        <v>40</v>
      </c>
      <c r="U453" s="26" t="str">
        <f t="shared" si="20"/>
        <v>2024.045B.Autographivirales.zip</v>
      </c>
    </row>
    <row r="454" spans="1:21">
      <c r="A454">
        <v>453</v>
      </c>
      <c r="B454" s="27" t="s">
        <v>1449</v>
      </c>
      <c r="D454" s="27" t="s">
        <v>1450</v>
      </c>
      <c r="F454" s="27" t="s">
        <v>1453</v>
      </c>
      <c r="H454" s="27" t="s">
        <v>1454</v>
      </c>
      <c r="J454" s="27" t="s">
        <v>18547</v>
      </c>
      <c r="L454" s="27" t="s">
        <v>18627</v>
      </c>
      <c r="M454" s="27" t="s">
        <v>1493</v>
      </c>
      <c r="N454" s="27" t="s">
        <v>1270</v>
      </c>
      <c r="P454" s="27" t="s">
        <v>18727</v>
      </c>
      <c r="Q454" s="26" t="str">
        <f>HYPERLINK("https://ictv.global/taxonomy/taxondetails?taxnode_id=202520904&amp;ictv_id=ICTV202420904","ICTV202420904")</f>
        <v>ICTV202420904</v>
      </c>
      <c r="R454" t="s">
        <v>579</v>
      </c>
      <c r="S454" t="s">
        <v>823</v>
      </c>
      <c r="T454">
        <v>40</v>
      </c>
      <c r="U454" s="26" t="str">
        <f t="shared" si="20"/>
        <v>2024.045B.Autographivirales.zip</v>
      </c>
    </row>
    <row r="455" spans="1:21">
      <c r="A455">
        <v>454</v>
      </c>
      <c r="B455" s="27" t="s">
        <v>1449</v>
      </c>
      <c r="D455" s="27" t="s">
        <v>1450</v>
      </c>
      <c r="F455" s="27" t="s">
        <v>1453</v>
      </c>
      <c r="H455" s="27" t="s">
        <v>1454</v>
      </c>
      <c r="J455" s="27" t="s">
        <v>18547</v>
      </c>
      <c r="L455" s="27" t="s">
        <v>18627</v>
      </c>
      <c r="M455" s="27" t="s">
        <v>1493</v>
      </c>
      <c r="N455" s="27" t="s">
        <v>1270</v>
      </c>
      <c r="P455" s="27" t="s">
        <v>18728</v>
      </c>
      <c r="Q455" s="26" t="str">
        <f>HYPERLINK("https://ictv.global/taxonomy/taxondetails?taxnode_id=202520889&amp;ictv_id=ICTV202420889","ICTV202420889")</f>
        <v>ICTV202420889</v>
      </c>
      <c r="R455" t="s">
        <v>579</v>
      </c>
      <c r="S455" t="s">
        <v>823</v>
      </c>
      <c r="T455">
        <v>40</v>
      </c>
      <c r="U455" s="26" t="str">
        <f t="shared" si="20"/>
        <v>2024.045B.Autographivirales.zip</v>
      </c>
    </row>
    <row r="456" spans="1:21">
      <c r="A456">
        <v>455</v>
      </c>
      <c r="B456" s="27" t="s">
        <v>1449</v>
      </c>
      <c r="D456" s="27" t="s">
        <v>1450</v>
      </c>
      <c r="F456" s="27" t="s">
        <v>1453</v>
      </c>
      <c r="H456" s="27" t="s">
        <v>1454</v>
      </c>
      <c r="J456" s="27" t="s">
        <v>18547</v>
      </c>
      <c r="L456" s="27" t="s">
        <v>18627</v>
      </c>
      <c r="M456" s="27" t="s">
        <v>1493</v>
      </c>
      <c r="N456" s="27" t="s">
        <v>1270</v>
      </c>
      <c r="P456" s="27" t="s">
        <v>18729</v>
      </c>
      <c r="Q456" s="26" t="str">
        <f>HYPERLINK("https://ictv.global/taxonomy/taxondetails?taxnode_id=202520888&amp;ictv_id=ICTV202420888","ICTV202420888")</f>
        <v>ICTV202420888</v>
      </c>
      <c r="R456" t="s">
        <v>579</v>
      </c>
      <c r="S456" t="s">
        <v>823</v>
      </c>
      <c r="T456">
        <v>40</v>
      </c>
      <c r="U456" s="26" t="str">
        <f t="shared" si="20"/>
        <v>2024.045B.Autographivirales.zip</v>
      </c>
    </row>
    <row r="457" spans="1:21">
      <c r="A457">
        <v>456</v>
      </c>
      <c r="B457" s="27" t="s">
        <v>1449</v>
      </c>
      <c r="D457" s="27" t="s">
        <v>1450</v>
      </c>
      <c r="F457" s="27" t="s">
        <v>1453</v>
      </c>
      <c r="H457" s="27" t="s">
        <v>1454</v>
      </c>
      <c r="J457" s="27" t="s">
        <v>18547</v>
      </c>
      <c r="L457" s="27" t="s">
        <v>18627</v>
      </c>
      <c r="M457" s="27" t="s">
        <v>1493</v>
      </c>
      <c r="N457" s="27" t="s">
        <v>1270</v>
      </c>
      <c r="P457" s="27" t="s">
        <v>4304</v>
      </c>
      <c r="Q457" s="26" t="str">
        <f>HYPERLINK("https://ictv.global/taxonomy/taxondetails?taxnode_id=202500560&amp;ictv_id=ICTV20164901","ICTV20164901")</f>
        <v>ICTV20164901</v>
      </c>
      <c r="R457" t="s">
        <v>579</v>
      </c>
      <c r="S457" t="s">
        <v>22763</v>
      </c>
      <c r="T457">
        <v>40</v>
      </c>
      <c r="U457" s="26" t="str">
        <f t="shared" si="20"/>
        <v>2024.045B.Autographivirales.zip</v>
      </c>
    </row>
    <row r="458" spans="1:21">
      <c r="A458">
        <v>457</v>
      </c>
      <c r="B458" s="27" t="s">
        <v>1449</v>
      </c>
      <c r="D458" s="27" t="s">
        <v>1450</v>
      </c>
      <c r="F458" s="27" t="s">
        <v>1453</v>
      </c>
      <c r="H458" s="27" t="s">
        <v>1454</v>
      </c>
      <c r="J458" s="27" t="s">
        <v>18547</v>
      </c>
      <c r="L458" s="27" t="s">
        <v>18627</v>
      </c>
      <c r="M458" s="27" t="s">
        <v>1493</v>
      </c>
      <c r="N458" s="27" t="s">
        <v>1270</v>
      </c>
      <c r="P458" s="27" t="s">
        <v>4305</v>
      </c>
      <c r="Q458" s="26" t="str">
        <f>HYPERLINK("https://ictv.global/taxonomy/taxondetails?taxnode_id=202500561&amp;ictv_id=ICTV20150287","ICTV20150287")</f>
        <v>ICTV20150287</v>
      </c>
      <c r="R458" t="s">
        <v>579</v>
      </c>
      <c r="S458" t="s">
        <v>22763</v>
      </c>
      <c r="T458">
        <v>40</v>
      </c>
      <c r="U458" s="26" t="str">
        <f t="shared" si="20"/>
        <v>2024.045B.Autographivirales.zip</v>
      </c>
    </row>
    <row r="459" spans="1:21">
      <c r="A459">
        <v>458</v>
      </c>
      <c r="B459" s="27" t="s">
        <v>1449</v>
      </c>
      <c r="D459" s="27" t="s">
        <v>1450</v>
      </c>
      <c r="F459" s="27" t="s">
        <v>1453</v>
      </c>
      <c r="H459" s="27" t="s">
        <v>1454</v>
      </c>
      <c r="J459" s="27" t="s">
        <v>18547</v>
      </c>
      <c r="L459" s="27" t="s">
        <v>18627</v>
      </c>
      <c r="M459" s="27" t="s">
        <v>1493</v>
      </c>
      <c r="N459" s="27" t="s">
        <v>1270</v>
      </c>
      <c r="P459" s="27" t="s">
        <v>18730</v>
      </c>
      <c r="Q459" s="26" t="str">
        <f>HYPERLINK("https://ictv.global/taxonomy/taxondetails?taxnode_id=202520887&amp;ictv_id=ICTV202420887","ICTV202420887")</f>
        <v>ICTV202420887</v>
      </c>
      <c r="R459" t="s">
        <v>579</v>
      </c>
      <c r="S459" t="s">
        <v>823</v>
      </c>
      <c r="T459">
        <v>40</v>
      </c>
      <c r="U459" s="26" t="str">
        <f t="shared" si="20"/>
        <v>2024.045B.Autographivirales.zip</v>
      </c>
    </row>
    <row r="460" spans="1:21">
      <c r="A460">
        <v>459</v>
      </c>
      <c r="B460" s="27" t="s">
        <v>1449</v>
      </c>
      <c r="D460" s="27" t="s">
        <v>1450</v>
      </c>
      <c r="F460" s="27" t="s">
        <v>1453</v>
      </c>
      <c r="H460" s="27" t="s">
        <v>1454</v>
      </c>
      <c r="J460" s="27" t="s">
        <v>18547</v>
      </c>
      <c r="L460" s="27" t="s">
        <v>18627</v>
      </c>
      <c r="M460" s="27" t="s">
        <v>1493</v>
      </c>
      <c r="N460" s="27" t="s">
        <v>1270</v>
      </c>
      <c r="P460" s="27" t="s">
        <v>18731</v>
      </c>
      <c r="Q460" s="26" t="str">
        <f>HYPERLINK("https://ictv.global/taxonomy/taxondetails?taxnode_id=202520908&amp;ictv_id=ICTV202420908","ICTV202420908")</f>
        <v>ICTV202420908</v>
      </c>
      <c r="R460" t="s">
        <v>579</v>
      </c>
      <c r="S460" t="s">
        <v>823</v>
      </c>
      <c r="T460">
        <v>40</v>
      </c>
      <c r="U460" s="26" t="str">
        <f t="shared" si="20"/>
        <v>2024.045B.Autographivirales.zip</v>
      </c>
    </row>
    <row r="461" spans="1:21">
      <c r="A461">
        <v>460</v>
      </c>
      <c r="B461" s="27" t="s">
        <v>1449</v>
      </c>
      <c r="D461" s="27" t="s">
        <v>1450</v>
      </c>
      <c r="F461" s="27" t="s">
        <v>1453</v>
      </c>
      <c r="H461" s="27" t="s">
        <v>1454</v>
      </c>
      <c r="J461" s="27" t="s">
        <v>18547</v>
      </c>
      <c r="L461" s="27" t="s">
        <v>18627</v>
      </c>
      <c r="M461" s="27" t="s">
        <v>1493</v>
      </c>
      <c r="N461" s="27" t="s">
        <v>1270</v>
      </c>
      <c r="P461" s="27" t="s">
        <v>18732</v>
      </c>
      <c r="Q461" s="26" t="str">
        <f>HYPERLINK("https://ictv.global/taxonomy/taxondetails?taxnode_id=202520909&amp;ictv_id=ICTV202420909","ICTV202420909")</f>
        <v>ICTV202420909</v>
      </c>
      <c r="R461" t="s">
        <v>579</v>
      </c>
      <c r="S461" t="s">
        <v>823</v>
      </c>
      <c r="T461">
        <v>40</v>
      </c>
      <c r="U461" s="26" t="str">
        <f t="shared" si="20"/>
        <v>2024.045B.Autographivirales.zip</v>
      </c>
    </row>
    <row r="462" spans="1:21">
      <c r="A462">
        <v>461</v>
      </c>
      <c r="B462" s="27" t="s">
        <v>1449</v>
      </c>
      <c r="D462" s="27" t="s">
        <v>1450</v>
      </c>
      <c r="F462" s="27" t="s">
        <v>1453</v>
      </c>
      <c r="H462" s="27" t="s">
        <v>1454</v>
      </c>
      <c r="J462" s="27" t="s">
        <v>18547</v>
      </c>
      <c r="L462" s="27" t="s">
        <v>18627</v>
      </c>
      <c r="M462" s="27" t="s">
        <v>1493</v>
      </c>
      <c r="N462" s="27" t="s">
        <v>1270</v>
      </c>
      <c r="P462" s="27" t="s">
        <v>18733</v>
      </c>
      <c r="Q462" s="26" t="str">
        <f>HYPERLINK("https://ictv.global/taxonomy/taxondetails?taxnode_id=202520945&amp;ictv_id=ICTV202420945","ICTV202420945")</f>
        <v>ICTV202420945</v>
      </c>
      <c r="R462" t="s">
        <v>579</v>
      </c>
      <c r="S462" t="s">
        <v>823</v>
      </c>
      <c r="T462">
        <v>40</v>
      </c>
      <c r="U462" s="26" t="str">
        <f t="shared" si="20"/>
        <v>2024.045B.Autographivirales.zip</v>
      </c>
    </row>
    <row r="463" spans="1:21">
      <c r="A463">
        <v>462</v>
      </c>
      <c r="B463" s="27" t="s">
        <v>1449</v>
      </c>
      <c r="D463" s="27" t="s">
        <v>1450</v>
      </c>
      <c r="F463" s="27" t="s">
        <v>1453</v>
      </c>
      <c r="H463" s="27" t="s">
        <v>1454</v>
      </c>
      <c r="J463" s="27" t="s">
        <v>18547</v>
      </c>
      <c r="L463" s="27" t="s">
        <v>18627</v>
      </c>
      <c r="M463" s="27" t="s">
        <v>1493</v>
      </c>
      <c r="N463" s="27" t="s">
        <v>1270</v>
      </c>
      <c r="P463" s="27" t="s">
        <v>4306</v>
      </c>
      <c r="Q463" s="26" t="str">
        <f>HYPERLINK("https://ictv.global/taxonomy/taxondetails?taxnode_id=202508539&amp;ictv_id=ICTV201908539","ICTV201908539")</f>
        <v>ICTV201908539</v>
      </c>
      <c r="R463" t="s">
        <v>579</v>
      </c>
      <c r="S463" t="s">
        <v>22763</v>
      </c>
      <c r="T463">
        <v>40</v>
      </c>
      <c r="U463" s="26" t="str">
        <f t="shared" si="20"/>
        <v>2024.045B.Autographivirales.zip</v>
      </c>
    </row>
    <row r="464" spans="1:21">
      <c r="A464">
        <v>463</v>
      </c>
      <c r="B464" s="27" t="s">
        <v>1449</v>
      </c>
      <c r="D464" s="27" t="s">
        <v>1450</v>
      </c>
      <c r="F464" s="27" t="s">
        <v>1453</v>
      </c>
      <c r="H464" s="27" t="s">
        <v>1454</v>
      </c>
      <c r="J464" s="27" t="s">
        <v>18547</v>
      </c>
      <c r="L464" s="27" t="s">
        <v>18627</v>
      </c>
      <c r="M464" s="27" t="s">
        <v>1493</v>
      </c>
      <c r="N464" s="27" t="s">
        <v>1270</v>
      </c>
      <c r="P464" s="27" t="s">
        <v>4307</v>
      </c>
      <c r="Q464" s="26" t="str">
        <f>HYPERLINK("https://ictv.global/taxonomy/taxondetails?taxnode_id=202508538&amp;ictv_id=ICTV201908538","ICTV201908538")</f>
        <v>ICTV201908538</v>
      </c>
      <c r="R464" t="s">
        <v>579</v>
      </c>
      <c r="S464" t="s">
        <v>22763</v>
      </c>
      <c r="T464">
        <v>40</v>
      </c>
      <c r="U464" s="26" t="str">
        <f t="shared" si="20"/>
        <v>2024.045B.Autographivirales.zip</v>
      </c>
    </row>
    <row r="465" spans="1:21">
      <c r="A465">
        <v>464</v>
      </c>
      <c r="B465" s="27" t="s">
        <v>1449</v>
      </c>
      <c r="D465" s="27" t="s">
        <v>1450</v>
      </c>
      <c r="F465" s="27" t="s">
        <v>1453</v>
      </c>
      <c r="H465" s="27" t="s">
        <v>1454</v>
      </c>
      <c r="J465" s="27" t="s">
        <v>18547</v>
      </c>
      <c r="L465" s="27" t="s">
        <v>18627</v>
      </c>
      <c r="M465" s="27" t="s">
        <v>1493</v>
      </c>
      <c r="N465" s="27" t="s">
        <v>1270</v>
      </c>
      <c r="P465" s="27" t="s">
        <v>4308</v>
      </c>
      <c r="Q465" s="26" t="str">
        <f>HYPERLINK("https://ictv.global/taxonomy/taxondetails?taxnode_id=202500562&amp;ictv_id=ICTV20164902","ICTV20164902")</f>
        <v>ICTV20164902</v>
      </c>
      <c r="R465" t="s">
        <v>579</v>
      </c>
      <c r="S465" t="s">
        <v>22763</v>
      </c>
      <c r="T465">
        <v>40</v>
      </c>
      <c r="U465" s="26" t="str">
        <f t="shared" si="20"/>
        <v>2024.045B.Autographivirales.zip</v>
      </c>
    </row>
    <row r="466" spans="1:21">
      <c r="A466">
        <v>465</v>
      </c>
      <c r="B466" s="27" t="s">
        <v>1449</v>
      </c>
      <c r="D466" s="27" t="s">
        <v>1450</v>
      </c>
      <c r="F466" s="27" t="s">
        <v>1453</v>
      </c>
      <c r="H466" s="27" t="s">
        <v>1454</v>
      </c>
      <c r="J466" s="27" t="s">
        <v>18547</v>
      </c>
      <c r="L466" s="27" t="s">
        <v>18627</v>
      </c>
      <c r="M466" s="27" t="s">
        <v>1493</v>
      </c>
      <c r="N466" s="27" t="s">
        <v>1270</v>
      </c>
      <c r="P466" s="27" t="s">
        <v>4309</v>
      </c>
      <c r="Q466" s="26" t="str">
        <f>HYPERLINK("https://ictv.global/taxonomy/taxondetails?taxnode_id=202508537&amp;ictv_id=ICTV201908537","ICTV201908537")</f>
        <v>ICTV201908537</v>
      </c>
      <c r="R466" t="s">
        <v>579</v>
      </c>
      <c r="S466" t="s">
        <v>22763</v>
      </c>
      <c r="T466">
        <v>40</v>
      </c>
      <c r="U466" s="26" t="str">
        <f t="shared" si="20"/>
        <v>2024.045B.Autographivirales.zip</v>
      </c>
    </row>
    <row r="467" spans="1:21">
      <c r="A467">
        <v>466</v>
      </c>
      <c r="B467" s="27" t="s">
        <v>1449</v>
      </c>
      <c r="D467" s="27" t="s">
        <v>1450</v>
      </c>
      <c r="F467" s="27" t="s">
        <v>1453</v>
      </c>
      <c r="H467" s="27" t="s">
        <v>1454</v>
      </c>
      <c r="J467" s="27" t="s">
        <v>18547</v>
      </c>
      <c r="L467" s="27" t="s">
        <v>18627</v>
      </c>
      <c r="M467" s="27" t="s">
        <v>1493</v>
      </c>
      <c r="N467" s="27" t="s">
        <v>1270</v>
      </c>
      <c r="P467" s="27" t="s">
        <v>4310</v>
      </c>
      <c r="Q467" s="26" t="str">
        <f>HYPERLINK("https://ictv.global/taxonomy/taxondetails?taxnode_id=202500563&amp;ictv_id=ICTV20164904","ICTV20164904")</f>
        <v>ICTV20164904</v>
      </c>
      <c r="R467" t="s">
        <v>579</v>
      </c>
      <c r="S467" t="s">
        <v>22763</v>
      </c>
      <c r="T467">
        <v>40</v>
      </c>
      <c r="U467" s="26" t="str">
        <f t="shared" si="20"/>
        <v>2024.045B.Autographivirales.zip</v>
      </c>
    </row>
    <row r="468" spans="1:21">
      <c r="A468">
        <v>467</v>
      </c>
      <c r="B468" s="27" t="s">
        <v>1449</v>
      </c>
      <c r="D468" s="27" t="s">
        <v>1450</v>
      </c>
      <c r="F468" s="27" t="s">
        <v>1453</v>
      </c>
      <c r="H468" s="27" t="s">
        <v>1454</v>
      </c>
      <c r="J468" s="27" t="s">
        <v>18547</v>
      </c>
      <c r="L468" s="27" t="s">
        <v>18627</v>
      </c>
      <c r="M468" s="27" t="s">
        <v>1493</v>
      </c>
      <c r="N468" s="27" t="s">
        <v>1270</v>
      </c>
      <c r="P468" s="27" t="s">
        <v>4311</v>
      </c>
      <c r="Q468" s="26" t="str">
        <f>HYPERLINK("https://ictv.global/taxonomy/taxondetails?taxnode_id=202508541&amp;ictv_id=ICTV201908541","ICTV201908541")</f>
        <v>ICTV201908541</v>
      </c>
      <c r="R468" t="s">
        <v>579</v>
      </c>
      <c r="S468" t="s">
        <v>22763</v>
      </c>
      <c r="T468">
        <v>40</v>
      </c>
      <c r="U468" s="26" t="str">
        <f t="shared" si="20"/>
        <v>2024.045B.Autographivirales.zip</v>
      </c>
    </row>
    <row r="469" spans="1:21">
      <c r="A469">
        <v>468</v>
      </c>
      <c r="B469" s="27" t="s">
        <v>1449</v>
      </c>
      <c r="D469" s="27" t="s">
        <v>1450</v>
      </c>
      <c r="F469" s="27" t="s">
        <v>1453</v>
      </c>
      <c r="H469" s="27" t="s">
        <v>1454</v>
      </c>
      <c r="J469" s="27" t="s">
        <v>18547</v>
      </c>
      <c r="L469" s="27" t="s">
        <v>18627</v>
      </c>
      <c r="M469" s="27" t="s">
        <v>1493</v>
      </c>
      <c r="N469" s="27" t="s">
        <v>1270</v>
      </c>
      <c r="P469" s="27" t="s">
        <v>4312</v>
      </c>
      <c r="Q469" s="26" t="str">
        <f>HYPERLINK("https://ictv.global/taxonomy/taxondetails?taxnode_id=202500564&amp;ictv_id=ICTV20164903","ICTV20164903")</f>
        <v>ICTV20164903</v>
      </c>
      <c r="R469" t="s">
        <v>579</v>
      </c>
      <c r="S469" t="s">
        <v>22763</v>
      </c>
      <c r="T469">
        <v>40</v>
      </c>
      <c r="U469" s="26" t="str">
        <f t="shared" si="20"/>
        <v>2024.045B.Autographivirales.zip</v>
      </c>
    </row>
    <row r="470" spans="1:21">
      <c r="A470">
        <v>469</v>
      </c>
      <c r="B470" s="27" t="s">
        <v>1449</v>
      </c>
      <c r="D470" s="27" t="s">
        <v>1450</v>
      </c>
      <c r="F470" s="27" t="s">
        <v>1453</v>
      </c>
      <c r="H470" s="27" t="s">
        <v>1454</v>
      </c>
      <c r="J470" s="27" t="s">
        <v>18547</v>
      </c>
      <c r="L470" s="27" t="s">
        <v>18627</v>
      </c>
      <c r="M470" s="27" t="s">
        <v>1493</v>
      </c>
      <c r="N470" s="27" t="s">
        <v>1270</v>
      </c>
      <c r="P470" s="27" t="s">
        <v>4313</v>
      </c>
      <c r="Q470" s="26" t="str">
        <f>HYPERLINK("https://ictv.global/taxonomy/taxondetails?taxnode_id=202508540&amp;ictv_id=ICTV201908540","ICTV201908540")</f>
        <v>ICTV201908540</v>
      </c>
      <c r="R470" t="s">
        <v>579</v>
      </c>
      <c r="S470" t="s">
        <v>22763</v>
      </c>
      <c r="T470">
        <v>40</v>
      </c>
      <c r="U470" s="26" t="str">
        <f t="shared" si="20"/>
        <v>2024.045B.Autographivirales.zip</v>
      </c>
    </row>
    <row r="471" spans="1:21">
      <c r="A471">
        <v>470</v>
      </c>
      <c r="B471" s="27" t="s">
        <v>1449</v>
      </c>
      <c r="D471" s="27" t="s">
        <v>1450</v>
      </c>
      <c r="F471" s="27" t="s">
        <v>1453</v>
      </c>
      <c r="H471" s="27" t="s">
        <v>1454</v>
      </c>
      <c r="J471" s="27" t="s">
        <v>18547</v>
      </c>
      <c r="L471" s="27" t="s">
        <v>18627</v>
      </c>
      <c r="M471" s="27" t="s">
        <v>1493</v>
      </c>
      <c r="N471" s="27" t="s">
        <v>1270</v>
      </c>
      <c r="P471" s="27" t="s">
        <v>18734</v>
      </c>
      <c r="Q471" s="26" t="str">
        <f>HYPERLINK("https://ictv.global/taxonomy/taxondetails?taxnode_id=202520937&amp;ictv_id=ICTV202420937","ICTV202420937")</f>
        <v>ICTV202420937</v>
      </c>
      <c r="R471" t="s">
        <v>579</v>
      </c>
      <c r="S471" t="s">
        <v>823</v>
      </c>
      <c r="T471">
        <v>40</v>
      </c>
      <c r="U471" s="26" t="str">
        <f t="shared" si="20"/>
        <v>2024.045B.Autographivirales.zip</v>
      </c>
    </row>
    <row r="472" spans="1:21">
      <c r="A472">
        <v>471</v>
      </c>
      <c r="B472" s="27" t="s">
        <v>1449</v>
      </c>
      <c r="D472" s="27" t="s">
        <v>1450</v>
      </c>
      <c r="F472" s="27" t="s">
        <v>1453</v>
      </c>
      <c r="H472" s="27" t="s">
        <v>1454</v>
      </c>
      <c r="J472" s="27" t="s">
        <v>18547</v>
      </c>
      <c r="L472" s="27" t="s">
        <v>18627</v>
      </c>
      <c r="M472" s="27" t="s">
        <v>1493</v>
      </c>
      <c r="N472" s="27" t="s">
        <v>1270</v>
      </c>
      <c r="P472" s="27" t="s">
        <v>18735</v>
      </c>
      <c r="Q472" s="26" t="str">
        <f>HYPERLINK("https://ictv.global/taxonomy/taxondetails?taxnode_id=202520931&amp;ictv_id=ICTV202420931","ICTV202420931")</f>
        <v>ICTV202420931</v>
      </c>
      <c r="R472" t="s">
        <v>579</v>
      </c>
      <c r="S472" t="s">
        <v>823</v>
      </c>
      <c r="T472">
        <v>40</v>
      </c>
      <c r="U472" s="26" t="str">
        <f t="shared" ref="U472:U491" si="21">HYPERLINK("https://ictv.global/ictv/proposals/2024.045B.Autographivirales.zip","2024.045B.Autographivirales.zip")</f>
        <v>2024.045B.Autographivirales.zip</v>
      </c>
    </row>
    <row r="473" spans="1:21">
      <c r="A473">
        <v>472</v>
      </c>
      <c r="B473" s="27" t="s">
        <v>1449</v>
      </c>
      <c r="D473" s="27" t="s">
        <v>1450</v>
      </c>
      <c r="F473" s="27" t="s">
        <v>1453</v>
      </c>
      <c r="H473" s="27" t="s">
        <v>1454</v>
      </c>
      <c r="J473" s="27" t="s">
        <v>18547</v>
      </c>
      <c r="L473" s="27" t="s">
        <v>18627</v>
      </c>
      <c r="M473" s="27" t="s">
        <v>1493</v>
      </c>
      <c r="N473" s="27" t="s">
        <v>1270</v>
      </c>
      <c r="P473" s="27" t="s">
        <v>18736</v>
      </c>
      <c r="Q473" s="26" t="str">
        <f>HYPERLINK("https://ictv.global/taxonomy/taxondetails?taxnode_id=202520900&amp;ictv_id=ICTV202420900","ICTV202420900")</f>
        <v>ICTV202420900</v>
      </c>
      <c r="R473" t="s">
        <v>579</v>
      </c>
      <c r="S473" t="s">
        <v>823</v>
      </c>
      <c r="T473">
        <v>40</v>
      </c>
      <c r="U473" s="26" t="str">
        <f t="shared" si="21"/>
        <v>2024.045B.Autographivirales.zip</v>
      </c>
    </row>
    <row r="474" spans="1:21">
      <c r="A474">
        <v>473</v>
      </c>
      <c r="B474" s="27" t="s">
        <v>1449</v>
      </c>
      <c r="D474" s="27" t="s">
        <v>1450</v>
      </c>
      <c r="F474" s="27" t="s">
        <v>1453</v>
      </c>
      <c r="H474" s="27" t="s">
        <v>1454</v>
      </c>
      <c r="J474" s="27" t="s">
        <v>18547</v>
      </c>
      <c r="L474" s="27" t="s">
        <v>18627</v>
      </c>
      <c r="M474" s="27" t="s">
        <v>1493</v>
      </c>
      <c r="N474" s="27" t="s">
        <v>1270</v>
      </c>
      <c r="P474" s="27" t="s">
        <v>18737</v>
      </c>
      <c r="Q474" s="26" t="str">
        <f>HYPERLINK("https://ictv.global/taxonomy/taxondetails?taxnode_id=202520902&amp;ictv_id=ICTV202420902","ICTV202420902")</f>
        <v>ICTV202420902</v>
      </c>
      <c r="R474" t="s">
        <v>579</v>
      </c>
      <c r="S474" t="s">
        <v>823</v>
      </c>
      <c r="T474">
        <v>40</v>
      </c>
      <c r="U474" s="26" t="str">
        <f t="shared" si="21"/>
        <v>2024.045B.Autographivirales.zip</v>
      </c>
    </row>
    <row r="475" spans="1:21">
      <c r="A475">
        <v>474</v>
      </c>
      <c r="B475" s="27" t="s">
        <v>1449</v>
      </c>
      <c r="D475" s="27" t="s">
        <v>1450</v>
      </c>
      <c r="F475" s="27" t="s">
        <v>1453</v>
      </c>
      <c r="H475" s="27" t="s">
        <v>1454</v>
      </c>
      <c r="J475" s="27" t="s">
        <v>18547</v>
      </c>
      <c r="L475" s="27" t="s">
        <v>18627</v>
      </c>
      <c r="M475" s="27" t="s">
        <v>1493</v>
      </c>
      <c r="N475" s="27" t="s">
        <v>1270</v>
      </c>
      <c r="P475" s="27" t="s">
        <v>4314</v>
      </c>
      <c r="Q475" s="26" t="str">
        <f>HYPERLINK("https://ictv.global/taxonomy/taxondetails?taxnode_id=202508545&amp;ictv_id=ICTV201908545","ICTV201908545")</f>
        <v>ICTV201908545</v>
      </c>
      <c r="R475" t="s">
        <v>579</v>
      </c>
      <c r="S475" t="s">
        <v>22763</v>
      </c>
      <c r="T475">
        <v>40</v>
      </c>
      <c r="U475" s="26" t="str">
        <f t="shared" si="21"/>
        <v>2024.045B.Autographivirales.zip</v>
      </c>
    </row>
    <row r="476" spans="1:21">
      <c r="A476">
        <v>475</v>
      </c>
      <c r="B476" s="27" t="s">
        <v>1449</v>
      </c>
      <c r="D476" s="27" t="s">
        <v>1450</v>
      </c>
      <c r="F476" s="27" t="s">
        <v>1453</v>
      </c>
      <c r="H476" s="27" t="s">
        <v>1454</v>
      </c>
      <c r="J476" s="27" t="s">
        <v>18547</v>
      </c>
      <c r="L476" s="27" t="s">
        <v>18627</v>
      </c>
      <c r="M476" s="27" t="s">
        <v>1493</v>
      </c>
      <c r="N476" s="27" t="s">
        <v>1270</v>
      </c>
      <c r="P476" s="27" t="s">
        <v>4315</v>
      </c>
      <c r="Q476" s="26" t="str">
        <f>HYPERLINK("https://ictv.global/taxonomy/taxondetails?taxnode_id=202508544&amp;ictv_id=ICTV201908544","ICTV201908544")</f>
        <v>ICTV201908544</v>
      </c>
      <c r="R476" t="s">
        <v>579</v>
      </c>
      <c r="S476" t="s">
        <v>22763</v>
      </c>
      <c r="T476">
        <v>40</v>
      </c>
      <c r="U476" s="26" t="str">
        <f t="shared" si="21"/>
        <v>2024.045B.Autographivirales.zip</v>
      </c>
    </row>
    <row r="477" spans="1:21">
      <c r="A477">
        <v>476</v>
      </c>
      <c r="B477" s="27" t="s">
        <v>1449</v>
      </c>
      <c r="D477" s="27" t="s">
        <v>1450</v>
      </c>
      <c r="F477" s="27" t="s">
        <v>1453</v>
      </c>
      <c r="H477" s="27" t="s">
        <v>1454</v>
      </c>
      <c r="J477" s="27" t="s">
        <v>18547</v>
      </c>
      <c r="L477" s="27" t="s">
        <v>18627</v>
      </c>
      <c r="M477" s="27" t="s">
        <v>1493</v>
      </c>
      <c r="N477" s="27" t="s">
        <v>1270</v>
      </c>
      <c r="P477" s="27" t="s">
        <v>18738</v>
      </c>
      <c r="Q477" s="26" t="str">
        <f>HYPERLINK("https://ictv.global/taxonomy/taxondetails?taxnode_id=202520934&amp;ictv_id=ICTV202420934","ICTV202420934")</f>
        <v>ICTV202420934</v>
      </c>
      <c r="R477" t="s">
        <v>579</v>
      </c>
      <c r="S477" t="s">
        <v>823</v>
      </c>
      <c r="T477">
        <v>40</v>
      </c>
      <c r="U477" s="26" t="str">
        <f t="shared" si="21"/>
        <v>2024.045B.Autographivirales.zip</v>
      </c>
    </row>
    <row r="478" spans="1:21">
      <c r="A478">
        <v>477</v>
      </c>
      <c r="B478" s="27" t="s">
        <v>1449</v>
      </c>
      <c r="D478" s="27" t="s">
        <v>1450</v>
      </c>
      <c r="F478" s="27" t="s">
        <v>1453</v>
      </c>
      <c r="H478" s="27" t="s">
        <v>1454</v>
      </c>
      <c r="J478" s="27" t="s">
        <v>18547</v>
      </c>
      <c r="L478" s="27" t="s">
        <v>18627</v>
      </c>
      <c r="M478" s="27" t="s">
        <v>1493</v>
      </c>
      <c r="N478" s="27" t="s">
        <v>1270</v>
      </c>
      <c r="P478" s="27" t="s">
        <v>18739</v>
      </c>
      <c r="Q478" s="26" t="str">
        <f>HYPERLINK("https://ictv.global/taxonomy/taxondetails?taxnode_id=202520952&amp;ictv_id=ICTV202420952","ICTV202420952")</f>
        <v>ICTV202420952</v>
      </c>
      <c r="R478" t="s">
        <v>579</v>
      </c>
      <c r="S478" t="s">
        <v>823</v>
      </c>
      <c r="T478">
        <v>40</v>
      </c>
      <c r="U478" s="26" t="str">
        <f t="shared" si="21"/>
        <v>2024.045B.Autographivirales.zip</v>
      </c>
    </row>
    <row r="479" spans="1:21">
      <c r="A479">
        <v>478</v>
      </c>
      <c r="B479" s="27" t="s">
        <v>1449</v>
      </c>
      <c r="D479" s="27" t="s">
        <v>1450</v>
      </c>
      <c r="F479" s="27" t="s">
        <v>1453</v>
      </c>
      <c r="H479" s="27" t="s">
        <v>1454</v>
      </c>
      <c r="J479" s="27" t="s">
        <v>18547</v>
      </c>
      <c r="L479" s="27" t="s">
        <v>18627</v>
      </c>
      <c r="M479" s="27" t="s">
        <v>1493</v>
      </c>
      <c r="N479" s="27" t="s">
        <v>1270</v>
      </c>
      <c r="P479" s="27" t="s">
        <v>18740</v>
      </c>
      <c r="Q479" s="26" t="str">
        <f>HYPERLINK("https://ictv.global/taxonomy/taxondetails?taxnode_id=202520951&amp;ictv_id=ICTV202420951","ICTV202420951")</f>
        <v>ICTV202420951</v>
      </c>
      <c r="R479" t="s">
        <v>579</v>
      </c>
      <c r="S479" t="s">
        <v>823</v>
      </c>
      <c r="T479">
        <v>40</v>
      </c>
      <c r="U479" s="26" t="str">
        <f t="shared" si="21"/>
        <v>2024.045B.Autographivirales.zip</v>
      </c>
    </row>
    <row r="480" spans="1:21">
      <c r="A480">
        <v>479</v>
      </c>
      <c r="B480" s="27" t="s">
        <v>1449</v>
      </c>
      <c r="D480" s="27" t="s">
        <v>1450</v>
      </c>
      <c r="F480" s="27" t="s">
        <v>1453</v>
      </c>
      <c r="H480" s="27" t="s">
        <v>1454</v>
      </c>
      <c r="J480" s="27" t="s">
        <v>18547</v>
      </c>
      <c r="L480" s="27" t="s">
        <v>18627</v>
      </c>
      <c r="M480" s="27" t="s">
        <v>1493</v>
      </c>
      <c r="N480" s="27" t="s">
        <v>1270</v>
      </c>
      <c r="P480" s="27" t="s">
        <v>18741</v>
      </c>
      <c r="Q480" s="26" t="str">
        <f>HYPERLINK("https://ictv.global/taxonomy/taxondetails?taxnode_id=202520929&amp;ictv_id=ICTV202420929","ICTV202420929")</f>
        <v>ICTV202420929</v>
      </c>
      <c r="R480" t="s">
        <v>579</v>
      </c>
      <c r="S480" t="s">
        <v>823</v>
      </c>
      <c r="T480">
        <v>40</v>
      </c>
      <c r="U480" s="26" t="str">
        <f t="shared" si="21"/>
        <v>2024.045B.Autographivirales.zip</v>
      </c>
    </row>
    <row r="481" spans="1:21">
      <c r="A481">
        <v>480</v>
      </c>
      <c r="B481" s="27" t="s">
        <v>1449</v>
      </c>
      <c r="D481" s="27" t="s">
        <v>1450</v>
      </c>
      <c r="F481" s="27" t="s">
        <v>1453</v>
      </c>
      <c r="H481" s="27" t="s">
        <v>1454</v>
      </c>
      <c r="J481" s="27" t="s">
        <v>18547</v>
      </c>
      <c r="L481" s="27" t="s">
        <v>18627</v>
      </c>
      <c r="M481" s="27" t="s">
        <v>1493</v>
      </c>
      <c r="N481" s="27" t="s">
        <v>1270</v>
      </c>
      <c r="P481" s="27" t="s">
        <v>18742</v>
      </c>
      <c r="Q481" s="26" t="str">
        <f>HYPERLINK("https://ictv.global/taxonomy/taxondetails?taxnode_id=202520949&amp;ictv_id=ICTV202420949","ICTV202420949")</f>
        <v>ICTV202420949</v>
      </c>
      <c r="R481" t="s">
        <v>579</v>
      </c>
      <c r="S481" t="s">
        <v>823</v>
      </c>
      <c r="T481">
        <v>40</v>
      </c>
      <c r="U481" s="26" t="str">
        <f t="shared" si="21"/>
        <v>2024.045B.Autographivirales.zip</v>
      </c>
    </row>
    <row r="482" spans="1:21">
      <c r="A482">
        <v>481</v>
      </c>
      <c r="B482" s="27" t="s">
        <v>1449</v>
      </c>
      <c r="D482" s="27" t="s">
        <v>1450</v>
      </c>
      <c r="F482" s="27" t="s">
        <v>1453</v>
      </c>
      <c r="H482" s="27" t="s">
        <v>1454</v>
      </c>
      <c r="J482" s="27" t="s">
        <v>18547</v>
      </c>
      <c r="L482" s="27" t="s">
        <v>18627</v>
      </c>
      <c r="M482" s="27" t="s">
        <v>1493</v>
      </c>
      <c r="N482" s="27" t="s">
        <v>1270</v>
      </c>
      <c r="P482" s="27" t="s">
        <v>18743</v>
      </c>
      <c r="Q482" s="26" t="str">
        <f>HYPERLINK("https://ictv.global/taxonomy/taxondetails?taxnode_id=202520954&amp;ictv_id=ICTV202420954","ICTV202420954")</f>
        <v>ICTV202420954</v>
      </c>
      <c r="R482" t="s">
        <v>579</v>
      </c>
      <c r="S482" t="s">
        <v>823</v>
      </c>
      <c r="T482">
        <v>40</v>
      </c>
      <c r="U482" s="26" t="str">
        <f t="shared" si="21"/>
        <v>2024.045B.Autographivirales.zip</v>
      </c>
    </row>
    <row r="483" spans="1:21">
      <c r="A483">
        <v>482</v>
      </c>
      <c r="B483" s="27" t="s">
        <v>1449</v>
      </c>
      <c r="D483" s="27" t="s">
        <v>1450</v>
      </c>
      <c r="F483" s="27" t="s">
        <v>1453</v>
      </c>
      <c r="H483" s="27" t="s">
        <v>1454</v>
      </c>
      <c r="J483" s="27" t="s">
        <v>18547</v>
      </c>
      <c r="L483" s="27" t="s">
        <v>18627</v>
      </c>
      <c r="M483" s="27" t="s">
        <v>1493</v>
      </c>
      <c r="N483" s="27" t="s">
        <v>1270</v>
      </c>
      <c r="P483" s="27" t="s">
        <v>18744</v>
      </c>
      <c r="Q483" s="26" t="str">
        <f>HYPERLINK("https://ictv.global/taxonomy/taxondetails?taxnode_id=202520936&amp;ictv_id=ICTV202420936","ICTV202420936")</f>
        <v>ICTV202420936</v>
      </c>
      <c r="R483" t="s">
        <v>579</v>
      </c>
      <c r="S483" t="s">
        <v>823</v>
      </c>
      <c r="T483">
        <v>40</v>
      </c>
      <c r="U483" s="26" t="str">
        <f t="shared" si="21"/>
        <v>2024.045B.Autographivirales.zip</v>
      </c>
    </row>
    <row r="484" spans="1:21">
      <c r="A484">
        <v>483</v>
      </c>
      <c r="B484" s="27" t="s">
        <v>1449</v>
      </c>
      <c r="D484" s="27" t="s">
        <v>1450</v>
      </c>
      <c r="F484" s="27" t="s">
        <v>1453</v>
      </c>
      <c r="H484" s="27" t="s">
        <v>1454</v>
      </c>
      <c r="J484" s="27" t="s">
        <v>18547</v>
      </c>
      <c r="L484" s="27" t="s">
        <v>18627</v>
      </c>
      <c r="M484" s="27" t="s">
        <v>1493</v>
      </c>
      <c r="N484" s="27" t="s">
        <v>1270</v>
      </c>
      <c r="P484" s="27" t="s">
        <v>18745</v>
      </c>
      <c r="Q484" s="26" t="str">
        <f>HYPERLINK("https://ictv.global/taxonomy/taxondetails?taxnode_id=202520925&amp;ictv_id=ICTV202420925","ICTV202420925")</f>
        <v>ICTV202420925</v>
      </c>
      <c r="R484" t="s">
        <v>579</v>
      </c>
      <c r="S484" t="s">
        <v>823</v>
      </c>
      <c r="T484">
        <v>40</v>
      </c>
      <c r="U484" s="26" t="str">
        <f t="shared" si="21"/>
        <v>2024.045B.Autographivirales.zip</v>
      </c>
    </row>
    <row r="485" spans="1:21">
      <c r="A485">
        <v>484</v>
      </c>
      <c r="B485" s="27" t="s">
        <v>1449</v>
      </c>
      <c r="D485" s="27" t="s">
        <v>1450</v>
      </c>
      <c r="F485" s="27" t="s">
        <v>1453</v>
      </c>
      <c r="H485" s="27" t="s">
        <v>1454</v>
      </c>
      <c r="J485" s="27" t="s">
        <v>18547</v>
      </c>
      <c r="L485" s="27" t="s">
        <v>18627</v>
      </c>
      <c r="M485" s="27" t="s">
        <v>1493</v>
      </c>
      <c r="N485" s="27" t="s">
        <v>1270</v>
      </c>
      <c r="P485" s="27" t="s">
        <v>18746</v>
      </c>
      <c r="Q485" s="26" t="str">
        <f>HYPERLINK("https://ictv.global/taxonomy/taxondetails?taxnode_id=202520897&amp;ictv_id=ICTV202420897","ICTV202420897")</f>
        <v>ICTV202420897</v>
      </c>
      <c r="R485" t="s">
        <v>579</v>
      </c>
      <c r="S485" t="s">
        <v>823</v>
      </c>
      <c r="T485">
        <v>40</v>
      </c>
      <c r="U485" s="26" t="str">
        <f t="shared" si="21"/>
        <v>2024.045B.Autographivirales.zip</v>
      </c>
    </row>
    <row r="486" spans="1:21">
      <c r="A486">
        <v>485</v>
      </c>
      <c r="B486" s="27" t="s">
        <v>1449</v>
      </c>
      <c r="D486" s="27" t="s">
        <v>1450</v>
      </c>
      <c r="F486" s="27" t="s">
        <v>1453</v>
      </c>
      <c r="H486" s="27" t="s">
        <v>1454</v>
      </c>
      <c r="J486" s="27" t="s">
        <v>18547</v>
      </c>
      <c r="L486" s="27" t="s">
        <v>18627</v>
      </c>
      <c r="M486" s="27" t="s">
        <v>1493</v>
      </c>
      <c r="N486" s="27" t="s">
        <v>1270</v>
      </c>
      <c r="P486" s="27" t="s">
        <v>18747</v>
      </c>
      <c r="Q486" s="26" t="str">
        <f>HYPERLINK("https://ictv.global/taxonomy/taxondetails?taxnode_id=202520938&amp;ictv_id=ICTV202420938","ICTV202420938")</f>
        <v>ICTV202420938</v>
      </c>
      <c r="R486" t="s">
        <v>579</v>
      </c>
      <c r="S486" t="s">
        <v>823</v>
      </c>
      <c r="T486">
        <v>40</v>
      </c>
      <c r="U486" s="26" t="str">
        <f t="shared" si="21"/>
        <v>2024.045B.Autographivirales.zip</v>
      </c>
    </row>
    <row r="487" spans="1:21">
      <c r="A487">
        <v>486</v>
      </c>
      <c r="B487" s="27" t="s">
        <v>1449</v>
      </c>
      <c r="D487" s="27" t="s">
        <v>1450</v>
      </c>
      <c r="F487" s="27" t="s">
        <v>1453</v>
      </c>
      <c r="H487" s="27" t="s">
        <v>1454</v>
      </c>
      <c r="J487" s="27" t="s">
        <v>18547</v>
      </c>
      <c r="L487" s="27" t="s">
        <v>18627</v>
      </c>
      <c r="M487" s="27" t="s">
        <v>1493</v>
      </c>
      <c r="N487" s="27" t="s">
        <v>1270</v>
      </c>
      <c r="P487" s="27" t="s">
        <v>4316</v>
      </c>
      <c r="Q487" s="26" t="str">
        <f>HYPERLINK("https://ictv.global/taxonomy/taxondetails?taxnode_id=202508542&amp;ictv_id=ICTV201908542","ICTV201908542")</f>
        <v>ICTV201908542</v>
      </c>
      <c r="R487" t="s">
        <v>579</v>
      </c>
      <c r="S487" t="s">
        <v>22763</v>
      </c>
      <c r="T487">
        <v>40</v>
      </c>
      <c r="U487" s="26" t="str">
        <f t="shared" si="21"/>
        <v>2024.045B.Autographivirales.zip</v>
      </c>
    </row>
    <row r="488" spans="1:21">
      <c r="A488">
        <v>487</v>
      </c>
      <c r="B488" s="27" t="s">
        <v>1449</v>
      </c>
      <c r="D488" s="27" t="s">
        <v>1450</v>
      </c>
      <c r="F488" s="27" t="s">
        <v>1453</v>
      </c>
      <c r="H488" s="27" t="s">
        <v>1454</v>
      </c>
      <c r="J488" s="27" t="s">
        <v>18547</v>
      </c>
      <c r="L488" s="27" t="s">
        <v>18627</v>
      </c>
      <c r="M488" s="27" t="s">
        <v>1493</v>
      </c>
      <c r="N488" s="27" t="s">
        <v>1270</v>
      </c>
      <c r="P488" s="27" t="s">
        <v>18748</v>
      </c>
      <c r="Q488" s="26" t="str">
        <f>HYPERLINK("https://ictv.global/taxonomy/taxondetails?taxnode_id=202520960&amp;ictv_id=ICTV202420960","ICTV202420960")</f>
        <v>ICTV202420960</v>
      </c>
      <c r="R488" t="s">
        <v>579</v>
      </c>
      <c r="S488" t="s">
        <v>823</v>
      </c>
      <c r="T488">
        <v>40</v>
      </c>
      <c r="U488" s="26" t="str">
        <f t="shared" si="21"/>
        <v>2024.045B.Autographivirales.zip</v>
      </c>
    </row>
    <row r="489" spans="1:21">
      <c r="A489">
        <v>488</v>
      </c>
      <c r="B489" s="27" t="s">
        <v>1449</v>
      </c>
      <c r="D489" s="27" t="s">
        <v>1450</v>
      </c>
      <c r="F489" s="27" t="s">
        <v>1453</v>
      </c>
      <c r="H489" s="27" t="s">
        <v>1454</v>
      </c>
      <c r="J489" s="27" t="s">
        <v>18547</v>
      </c>
      <c r="L489" s="27" t="s">
        <v>18627</v>
      </c>
      <c r="M489" s="27" t="s">
        <v>1493</v>
      </c>
      <c r="N489" s="27" t="s">
        <v>1270</v>
      </c>
      <c r="P489" s="27" t="s">
        <v>18749</v>
      </c>
      <c r="Q489" s="26" t="str">
        <f>HYPERLINK("https://ictv.global/taxonomy/taxondetails?taxnode_id=202520956&amp;ictv_id=ICTV202420956","ICTV202420956")</f>
        <v>ICTV202420956</v>
      </c>
      <c r="R489" t="s">
        <v>579</v>
      </c>
      <c r="S489" t="s">
        <v>823</v>
      </c>
      <c r="T489">
        <v>40</v>
      </c>
      <c r="U489" s="26" t="str">
        <f t="shared" si="21"/>
        <v>2024.045B.Autographivirales.zip</v>
      </c>
    </row>
    <row r="490" spans="1:21">
      <c r="A490">
        <v>489</v>
      </c>
      <c r="B490" s="27" t="s">
        <v>1449</v>
      </c>
      <c r="D490" s="27" t="s">
        <v>1450</v>
      </c>
      <c r="F490" s="27" t="s">
        <v>1453</v>
      </c>
      <c r="H490" s="27" t="s">
        <v>1454</v>
      </c>
      <c r="J490" s="27" t="s">
        <v>18547</v>
      </c>
      <c r="L490" s="27" t="s">
        <v>18627</v>
      </c>
      <c r="M490" s="27" t="s">
        <v>1493</v>
      </c>
      <c r="N490" s="27" t="s">
        <v>1270</v>
      </c>
      <c r="P490" s="27" t="s">
        <v>4317</v>
      </c>
      <c r="Q490" s="26" t="str">
        <f>HYPERLINK("https://ictv.global/taxonomy/taxondetails?taxnode_id=202500565&amp;ictv_id=ICTV20150288","ICTV20150288")</f>
        <v>ICTV20150288</v>
      </c>
      <c r="R490" t="s">
        <v>579</v>
      </c>
      <c r="S490" t="s">
        <v>22763</v>
      </c>
      <c r="T490">
        <v>40</v>
      </c>
      <c r="U490" s="26" t="str">
        <f t="shared" si="21"/>
        <v>2024.045B.Autographivirales.zip</v>
      </c>
    </row>
    <row r="491" spans="1:21">
      <c r="A491">
        <v>490</v>
      </c>
      <c r="B491" s="27" t="s">
        <v>1449</v>
      </c>
      <c r="D491" s="27" t="s">
        <v>1450</v>
      </c>
      <c r="F491" s="27" t="s">
        <v>1453</v>
      </c>
      <c r="H491" s="27" t="s">
        <v>1454</v>
      </c>
      <c r="J491" s="27" t="s">
        <v>18547</v>
      </c>
      <c r="L491" s="27" t="s">
        <v>18627</v>
      </c>
      <c r="M491" s="27" t="s">
        <v>1493</v>
      </c>
      <c r="N491" s="27" t="s">
        <v>1270</v>
      </c>
      <c r="P491" s="27" t="s">
        <v>4318</v>
      </c>
      <c r="Q491" s="26" t="str">
        <f>HYPERLINK("https://ictv.global/taxonomy/taxondetails?taxnode_id=202500566&amp;ictv_id=ICTV20150289","ICTV20150289")</f>
        <v>ICTV20150289</v>
      </c>
      <c r="R491" t="s">
        <v>579</v>
      </c>
      <c r="S491" t="s">
        <v>22763</v>
      </c>
      <c r="T491">
        <v>40</v>
      </c>
      <c r="U491" s="26" t="str">
        <f t="shared" si="21"/>
        <v>2024.045B.Autographivirales.zip</v>
      </c>
    </row>
    <row r="492" spans="1:21">
      <c r="A492">
        <v>491</v>
      </c>
      <c r="B492" s="27" t="s">
        <v>1449</v>
      </c>
      <c r="D492" s="27" t="s">
        <v>1450</v>
      </c>
      <c r="F492" s="27" t="s">
        <v>1453</v>
      </c>
      <c r="H492" s="27" t="s">
        <v>1454</v>
      </c>
      <c r="J492" s="27" t="s">
        <v>18547</v>
      </c>
      <c r="L492" s="27" t="s">
        <v>18627</v>
      </c>
      <c r="M492" s="27" t="s">
        <v>1493</v>
      </c>
      <c r="N492" s="27" t="s">
        <v>1270</v>
      </c>
      <c r="P492" s="27" t="s">
        <v>20748</v>
      </c>
      <c r="Q492" s="26" t="str">
        <f>HYPERLINK("https://ictv.global/taxonomy/taxondetails?taxnode_id=202520957&amp;ictv_id=ICTV202420957","ICTV202420957")</f>
        <v>ICTV202420957</v>
      </c>
      <c r="R492" t="s">
        <v>579</v>
      </c>
      <c r="S492" t="s">
        <v>823</v>
      </c>
      <c r="T492">
        <v>40</v>
      </c>
      <c r="U492" s="26" t="str">
        <f>HYPERLINK("https://ictv.global/ictv/proposals/2024.045BX.Autographivirales_Error_Correction.zip","2024.045BX.Autographivirales_Error_Correction.zip")</f>
        <v>2024.045BX.Autographivirales_Error_Correction.zip</v>
      </c>
    </row>
    <row r="493" spans="1:21">
      <c r="A493">
        <v>492</v>
      </c>
      <c r="B493" s="27" t="s">
        <v>1449</v>
      </c>
      <c r="D493" s="27" t="s">
        <v>1450</v>
      </c>
      <c r="F493" s="27" t="s">
        <v>1453</v>
      </c>
      <c r="H493" s="27" t="s">
        <v>1454</v>
      </c>
      <c r="J493" s="27" t="s">
        <v>18547</v>
      </c>
      <c r="L493" s="27" t="s">
        <v>18627</v>
      </c>
      <c r="M493" s="27" t="s">
        <v>1493</v>
      </c>
      <c r="N493" s="27" t="s">
        <v>1270</v>
      </c>
      <c r="P493" s="27" t="s">
        <v>18750</v>
      </c>
      <c r="Q493" s="26" t="str">
        <f>HYPERLINK("https://ictv.global/taxonomy/taxondetails?taxnode_id=202520914&amp;ictv_id=ICTV202420914","ICTV202420914")</f>
        <v>ICTV202420914</v>
      </c>
      <c r="R493" t="s">
        <v>579</v>
      </c>
      <c r="S493" t="s">
        <v>823</v>
      </c>
      <c r="T493">
        <v>40</v>
      </c>
      <c r="U493" s="26" t="str">
        <f t="shared" ref="U493:U515" si="22">HYPERLINK("https://ictv.global/ictv/proposals/2024.045B.Autographivirales.zip","2024.045B.Autographivirales.zip")</f>
        <v>2024.045B.Autographivirales.zip</v>
      </c>
    </row>
    <row r="494" spans="1:21">
      <c r="A494">
        <v>493</v>
      </c>
      <c r="B494" s="27" t="s">
        <v>1449</v>
      </c>
      <c r="D494" s="27" t="s">
        <v>1450</v>
      </c>
      <c r="F494" s="27" t="s">
        <v>1453</v>
      </c>
      <c r="H494" s="27" t="s">
        <v>1454</v>
      </c>
      <c r="J494" s="27" t="s">
        <v>18547</v>
      </c>
      <c r="L494" s="27" t="s">
        <v>18627</v>
      </c>
      <c r="M494" s="27" t="s">
        <v>1493</v>
      </c>
      <c r="N494" s="27" t="s">
        <v>1270</v>
      </c>
      <c r="P494" s="27" t="s">
        <v>18751</v>
      </c>
      <c r="Q494" s="26" t="str">
        <f>HYPERLINK("https://ictv.global/taxonomy/taxondetails?taxnode_id=202520915&amp;ictv_id=ICTV202420915","ICTV202420915")</f>
        <v>ICTV202420915</v>
      </c>
      <c r="R494" t="s">
        <v>579</v>
      </c>
      <c r="S494" t="s">
        <v>823</v>
      </c>
      <c r="T494">
        <v>40</v>
      </c>
      <c r="U494" s="26" t="str">
        <f t="shared" si="22"/>
        <v>2024.045B.Autographivirales.zip</v>
      </c>
    </row>
    <row r="495" spans="1:21">
      <c r="A495">
        <v>494</v>
      </c>
      <c r="B495" s="27" t="s">
        <v>1449</v>
      </c>
      <c r="D495" s="27" t="s">
        <v>1450</v>
      </c>
      <c r="F495" s="27" t="s">
        <v>1453</v>
      </c>
      <c r="H495" s="27" t="s">
        <v>1454</v>
      </c>
      <c r="J495" s="27" t="s">
        <v>18547</v>
      </c>
      <c r="L495" s="27" t="s">
        <v>18627</v>
      </c>
      <c r="M495" s="27" t="s">
        <v>1493</v>
      </c>
      <c r="N495" s="27" t="s">
        <v>1270</v>
      </c>
      <c r="P495" s="27" t="s">
        <v>18752</v>
      </c>
      <c r="Q495" s="26" t="str">
        <f>HYPERLINK("https://ictv.global/taxonomy/taxondetails?taxnode_id=202520916&amp;ictv_id=ICTV202420916","ICTV202420916")</f>
        <v>ICTV202420916</v>
      </c>
      <c r="R495" t="s">
        <v>579</v>
      </c>
      <c r="S495" t="s">
        <v>823</v>
      </c>
      <c r="T495">
        <v>40</v>
      </c>
      <c r="U495" s="26" t="str">
        <f t="shared" si="22"/>
        <v>2024.045B.Autographivirales.zip</v>
      </c>
    </row>
    <row r="496" spans="1:21">
      <c r="A496">
        <v>495</v>
      </c>
      <c r="B496" s="27" t="s">
        <v>1449</v>
      </c>
      <c r="D496" s="27" t="s">
        <v>1450</v>
      </c>
      <c r="F496" s="27" t="s">
        <v>1453</v>
      </c>
      <c r="H496" s="27" t="s">
        <v>1454</v>
      </c>
      <c r="J496" s="27" t="s">
        <v>18547</v>
      </c>
      <c r="L496" s="27" t="s">
        <v>18627</v>
      </c>
      <c r="M496" s="27" t="s">
        <v>1493</v>
      </c>
      <c r="N496" s="27" t="s">
        <v>1270</v>
      </c>
      <c r="P496" s="27" t="s">
        <v>18753</v>
      </c>
      <c r="Q496" s="26" t="str">
        <f>HYPERLINK("https://ictv.global/taxonomy/taxondetails?taxnode_id=202520913&amp;ictv_id=ICTV202420913","ICTV202420913")</f>
        <v>ICTV202420913</v>
      </c>
      <c r="R496" t="s">
        <v>579</v>
      </c>
      <c r="S496" t="s">
        <v>823</v>
      </c>
      <c r="T496">
        <v>40</v>
      </c>
      <c r="U496" s="26" t="str">
        <f t="shared" si="22"/>
        <v>2024.045B.Autographivirales.zip</v>
      </c>
    </row>
    <row r="497" spans="1:21">
      <c r="A497">
        <v>496</v>
      </c>
      <c r="B497" s="27" t="s">
        <v>1449</v>
      </c>
      <c r="D497" s="27" t="s">
        <v>1450</v>
      </c>
      <c r="F497" s="27" t="s">
        <v>1453</v>
      </c>
      <c r="H497" s="27" t="s">
        <v>1454</v>
      </c>
      <c r="J497" s="27" t="s">
        <v>18547</v>
      </c>
      <c r="L497" s="27" t="s">
        <v>18627</v>
      </c>
      <c r="M497" s="27" t="s">
        <v>1493</v>
      </c>
      <c r="N497" s="27" t="s">
        <v>1270</v>
      </c>
      <c r="P497" s="27" t="s">
        <v>18754</v>
      </c>
      <c r="Q497" s="26" t="str">
        <f>HYPERLINK("https://ictv.global/taxonomy/taxondetails?taxnode_id=202520919&amp;ictv_id=ICTV202420919","ICTV202420919")</f>
        <v>ICTV202420919</v>
      </c>
      <c r="R497" t="s">
        <v>579</v>
      </c>
      <c r="S497" t="s">
        <v>823</v>
      </c>
      <c r="T497">
        <v>40</v>
      </c>
      <c r="U497" s="26" t="str">
        <f t="shared" si="22"/>
        <v>2024.045B.Autographivirales.zip</v>
      </c>
    </row>
    <row r="498" spans="1:21">
      <c r="A498">
        <v>497</v>
      </c>
      <c r="B498" s="27" t="s">
        <v>1449</v>
      </c>
      <c r="D498" s="27" t="s">
        <v>1450</v>
      </c>
      <c r="F498" s="27" t="s">
        <v>1453</v>
      </c>
      <c r="H498" s="27" t="s">
        <v>1454</v>
      </c>
      <c r="J498" s="27" t="s">
        <v>18547</v>
      </c>
      <c r="L498" s="27" t="s">
        <v>18627</v>
      </c>
      <c r="M498" s="27" t="s">
        <v>1493</v>
      </c>
      <c r="N498" s="27" t="s">
        <v>1270</v>
      </c>
      <c r="P498" s="27" t="s">
        <v>18755</v>
      </c>
      <c r="Q498" s="26" t="str">
        <f>HYPERLINK("https://ictv.global/taxonomy/taxondetails?taxnode_id=202520918&amp;ictv_id=ICTV202420918","ICTV202420918")</f>
        <v>ICTV202420918</v>
      </c>
      <c r="R498" t="s">
        <v>579</v>
      </c>
      <c r="S498" t="s">
        <v>823</v>
      </c>
      <c r="T498">
        <v>40</v>
      </c>
      <c r="U498" s="26" t="str">
        <f t="shared" si="22"/>
        <v>2024.045B.Autographivirales.zip</v>
      </c>
    </row>
    <row r="499" spans="1:21">
      <c r="A499">
        <v>498</v>
      </c>
      <c r="B499" s="27" t="s">
        <v>1449</v>
      </c>
      <c r="D499" s="27" t="s">
        <v>1450</v>
      </c>
      <c r="F499" s="27" t="s">
        <v>1453</v>
      </c>
      <c r="H499" s="27" t="s">
        <v>1454</v>
      </c>
      <c r="J499" s="27" t="s">
        <v>18547</v>
      </c>
      <c r="L499" s="27" t="s">
        <v>18627</v>
      </c>
      <c r="M499" s="27" t="s">
        <v>1493</v>
      </c>
      <c r="N499" s="27" t="s">
        <v>1270</v>
      </c>
      <c r="P499" s="27" t="s">
        <v>18756</v>
      </c>
      <c r="Q499" s="26" t="str">
        <f>HYPERLINK("https://ictv.global/taxonomy/taxondetails?taxnode_id=202520886&amp;ictv_id=ICTV202420886","ICTV202420886")</f>
        <v>ICTV202420886</v>
      </c>
      <c r="R499" t="s">
        <v>579</v>
      </c>
      <c r="S499" t="s">
        <v>823</v>
      </c>
      <c r="T499">
        <v>40</v>
      </c>
      <c r="U499" s="26" t="str">
        <f t="shared" si="22"/>
        <v>2024.045B.Autographivirales.zip</v>
      </c>
    </row>
    <row r="500" spans="1:21">
      <c r="A500">
        <v>499</v>
      </c>
      <c r="B500" s="27" t="s">
        <v>1449</v>
      </c>
      <c r="D500" s="27" t="s">
        <v>1450</v>
      </c>
      <c r="F500" s="27" t="s">
        <v>1453</v>
      </c>
      <c r="H500" s="27" t="s">
        <v>1454</v>
      </c>
      <c r="J500" s="27" t="s">
        <v>18547</v>
      </c>
      <c r="L500" s="27" t="s">
        <v>18627</v>
      </c>
      <c r="M500" s="27" t="s">
        <v>1493</v>
      </c>
      <c r="N500" s="27" t="s">
        <v>1270</v>
      </c>
      <c r="P500" s="27" t="s">
        <v>18757</v>
      </c>
      <c r="Q500" s="26" t="str">
        <f>HYPERLINK("https://ictv.global/taxonomy/taxondetails?taxnode_id=202520891&amp;ictv_id=ICTV202420891","ICTV202420891")</f>
        <v>ICTV202420891</v>
      </c>
      <c r="R500" t="s">
        <v>579</v>
      </c>
      <c r="S500" t="s">
        <v>823</v>
      </c>
      <c r="T500">
        <v>40</v>
      </c>
      <c r="U500" s="26" t="str">
        <f t="shared" si="22"/>
        <v>2024.045B.Autographivirales.zip</v>
      </c>
    </row>
    <row r="501" spans="1:21">
      <c r="A501">
        <v>500</v>
      </c>
      <c r="B501" s="27" t="s">
        <v>1449</v>
      </c>
      <c r="D501" s="27" t="s">
        <v>1450</v>
      </c>
      <c r="F501" s="27" t="s">
        <v>1453</v>
      </c>
      <c r="H501" s="27" t="s">
        <v>1454</v>
      </c>
      <c r="J501" s="27" t="s">
        <v>18547</v>
      </c>
      <c r="L501" s="27" t="s">
        <v>18627</v>
      </c>
      <c r="M501" s="27" t="s">
        <v>1493</v>
      </c>
      <c r="N501" s="27" t="s">
        <v>1270</v>
      </c>
      <c r="P501" s="27" t="s">
        <v>18758</v>
      </c>
      <c r="Q501" s="26" t="str">
        <f>HYPERLINK("https://ictv.global/taxonomy/taxondetails?taxnode_id=202520901&amp;ictv_id=ICTV202420901","ICTV202420901")</f>
        <v>ICTV202420901</v>
      </c>
      <c r="R501" t="s">
        <v>579</v>
      </c>
      <c r="S501" t="s">
        <v>823</v>
      </c>
      <c r="T501">
        <v>40</v>
      </c>
      <c r="U501" s="26" t="str">
        <f t="shared" si="22"/>
        <v>2024.045B.Autographivirales.zip</v>
      </c>
    </row>
    <row r="502" spans="1:21">
      <c r="A502">
        <v>501</v>
      </c>
      <c r="B502" s="27" t="s">
        <v>1449</v>
      </c>
      <c r="D502" s="27" t="s">
        <v>1450</v>
      </c>
      <c r="F502" s="27" t="s">
        <v>1453</v>
      </c>
      <c r="H502" s="27" t="s">
        <v>1454</v>
      </c>
      <c r="J502" s="27" t="s">
        <v>18547</v>
      </c>
      <c r="L502" s="27" t="s">
        <v>18627</v>
      </c>
      <c r="M502" s="27" t="s">
        <v>1493</v>
      </c>
      <c r="N502" s="27" t="s">
        <v>1270</v>
      </c>
      <c r="P502" s="27" t="s">
        <v>18759</v>
      </c>
      <c r="Q502" s="26" t="str">
        <f>HYPERLINK("https://ictv.global/taxonomy/taxondetails?taxnode_id=202520943&amp;ictv_id=ICTV202420943","ICTV202420943")</f>
        <v>ICTV202420943</v>
      </c>
      <c r="R502" t="s">
        <v>579</v>
      </c>
      <c r="S502" t="s">
        <v>823</v>
      </c>
      <c r="T502">
        <v>40</v>
      </c>
      <c r="U502" s="26" t="str">
        <f t="shared" si="22"/>
        <v>2024.045B.Autographivirales.zip</v>
      </c>
    </row>
    <row r="503" spans="1:21">
      <c r="A503">
        <v>502</v>
      </c>
      <c r="B503" s="27" t="s">
        <v>1449</v>
      </c>
      <c r="D503" s="27" t="s">
        <v>1450</v>
      </c>
      <c r="F503" s="27" t="s">
        <v>1453</v>
      </c>
      <c r="H503" s="27" t="s">
        <v>1454</v>
      </c>
      <c r="J503" s="27" t="s">
        <v>18547</v>
      </c>
      <c r="L503" s="27" t="s">
        <v>18627</v>
      </c>
      <c r="M503" s="27" t="s">
        <v>1493</v>
      </c>
      <c r="N503" s="27" t="s">
        <v>1270</v>
      </c>
      <c r="P503" s="27" t="s">
        <v>18760</v>
      </c>
      <c r="Q503" s="26" t="str">
        <f>HYPERLINK("https://ictv.global/taxonomy/taxondetails?taxnode_id=202520907&amp;ictv_id=ICTV202420907","ICTV202420907")</f>
        <v>ICTV202420907</v>
      </c>
      <c r="R503" t="s">
        <v>579</v>
      </c>
      <c r="S503" t="s">
        <v>823</v>
      </c>
      <c r="T503">
        <v>40</v>
      </c>
      <c r="U503" s="26" t="str">
        <f t="shared" si="22"/>
        <v>2024.045B.Autographivirales.zip</v>
      </c>
    </row>
    <row r="504" spans="1:21">
      <c r="A504">
        <v>503</v>
      </c>
      <c r="B504" s="27" t="s">
        <v>1449</v>
      </c>
      <c r="D504" s="27" t="s">
        <v>1450</v>
      </c>
      <c r="F504" s="27" t="s">
        <v>1453</v>
      </c>
      <c r="H504" s="27" t="s">
        <v>1454</v>
      </c>
      <c r="J504" s="27" t="s">
        <v>18547</v>
      </c>
      <c r="L504" s="27" t="s">
        <v>18627</v>
      </c>
      <c r="M504" s="27" t="s">
        <v>1493</v>
      </c>
      <c r="N504" s="27" t="s">
        <v>1270</v>
      </c>
      <c r="P504" s="27" t="s">
        <v>18761</v>
      </c>
      <c r="Q504" s="26" t="str">
        <f>HYPERLINK("https://ictv.global/taxonomy/taxondetails?taxnode_id=202520906&amp;ictv_id=ICTV202420906","ICTV202420906")</f>
        <v>ICTV202420906</v>
      </c>
      <c r="R504" t="s">
        <v>579</v>
      </c>
      <c r="S504" t="s">
        <v>823</v>
      </c>
      <c r="T504">
        <v>40</v>
      </c>
      <c r="U504" s="26" t="str">
        <f t="shared" si="22"/>
        <v>2024.045B.Autographivirales.zip</v>
      </c>
    </row>
    <row r="505" spans="1:21">
      <c r="A505">
        <v>504</v>
      </c>
      <c r="B505" s="27" t="s">
        <v>1449</v>
      </c>
      <c r="D505" s="27" t="s">
        <v>1450</v>
      </c>
      <c r="F505" s="27" t="s">
        <v>1453</v>
      </c>
      <c r="H505" s="27" t="s">
        <v>1454</v>
      </c>
      <c r="J505" s="27" t="s">
        <v>18547</v>
      </c>
      <c r="L505" s="27" t="s">
        <v>18627</v>
      </c>
      <c r="M505" s="27" t="s">
        <v>1493</v>
      </c>
      <c r="N505" s="27" t="s">
        <v>1270</v>
      </c>
      <c r="P505" s="27" t="s">
        <v>18762</v>
      </c>
      <c r="Q505" s="26" t="str">
        <f>HYPERLINK("https://ictv.global/taxonomy/taxondetails?taxnode_id=202520939&amp;ictv_id=ICTV202420939","ICTV202420939")</f>
        <v>ICTV202420939</v>
      </c>
      <c r="R505" t="s">
        <v>579</v>
      </c>
      <c r="S505" t="s">
        <v>823</v>
      </c>
      <c r="T505">
        <v>40</v>
      </c>
      <c r="U505" s="26" t="str">
        <f t="shared" si="22"/>
        <v>2024.045B.Autographivirales.zip</v>
      </c>
    </row>
    <row r="506" spans="1:21">
      <c r="A506">
        <v>505</v>
      </c>
      <c r="B506" s="27" t="s">
        <v>1449</v>
      </c>
      <c r="D506" s="27" t="s">
        <v>1450</v>
      </c>
      <c r="F506" s="27" t="s">
        <v>1453</v>
      </c>
      <c r="H506" s="27" t="s">
        <v>1454</v>
      </c>
      <c r="J506" s="27" t="s">
        <v>18547</v>
      </c>
      <c r="L506" s="27" t="s">
        <v>18627</v>
      </c>
      <c r="M506" s="27" t="s">
        <v>1493</v>
      </c>
      <c r="N506" s="27" t="s">
        <v>1270</v>
      </c>
      <c r="P506" s="27" t="s">
        <v>18763</v>
      </c>
      <c r="Q506" s="26" t="str">
        <f>HYPERLINK("https://ictv.global/taxonomy/taxondetails?taxnode_id=202520935&amp;ictv_id=ICTV202420935","ICTV202420935")</f>
        <v>ICTV202420935</v>
      </c>
      <c r="R506" t="s">
        <v>579</v>
      </c>
      <c r="S506" t="s">
        <v>823</v>
      </c>
      <c r="T506">
        <v>40</v>
      </c>
      <c r="U506" s="26" t="str">
        <f t="shared" si="22"/>
        <v>2024.045B.Autographivirales.zip</v>
      </c>
    </row>
    <row r="507" spans="1:21">
      <c r="A507">
        <v>506</v>
      </c>
      <c r="B507" s="27" t="s">
        <v>1449</v>
      </c>
      <c r="D507" s="27" t="s">
        <v>1450</v>
      </c>
      <c r="F507" s="27" t="s">
        <v>1453</v>
      </c>
      <c r="H507" s="27" t="s">
        <v>1454</v>
      </c>
      <c r="J507" s="27" t="s">
        <v>18547</v>
      </c>
      <c r="L507" s="27" t="s">
        <v>18627</v>
      </c>
      <c r="M507" s="27" t="s">
        <v>1493</v>
      </c>
      <c r="N507" s="27" t="s">
        <v>1270</v>
      </c>
      <c r="P507" s="27" t="s">
        <v>18764</v>
      </c>
      <c r="Q507" s="26" t="str">
        <f>HYPERLINK("https://ictv.global/taxonomy/taxondetails?taxnode_id=202520942&amp;ictv_id=ICTV202420942","ICTV202420942")</f>
        <v>ICTV202420942</v>
      </c>
      <c r="R507" t="s">
        <v>579</v>
      </c>
      <c r="S507" t="s">
        <v>823</v>
      </c>
      <c r="T507">
        <v>40</v>
      </c>
      <c r="U507" s="26" t="str">
        <f t="shared" si="22"/>
        <v>2024.045B.Autographivirales.zip</v>
      </c>
    </row>
    <row r="508" spans="1:21">
      <c r="A508">
        <v>507</v>
      </c>
      <c r="B508" s="27" t="s">
        <v>1449</v>
      </c>
      <c r="D508" s="27" t="s">
        <v>1450</v>
      </c>
      <c r="F508" s="27" t="s">
        <v>1453</v>
      </c>
      <c r="H508" s="27" t="s">
        <v>1454</v>
      </c>
      <c r="J508" s="27" t="s">
        <v>18547</v>
      </c>
      <c r="L508" s="27" t="s">
        <v>18627</v>
      </c>
      <c r="M508" s="27" t="s">
        <v>1493</v>
      </c>
      <c r="N508" s="27" t="s">
        <v>1270</v>
      </c>
      <c r="P508" s="27" t="s">
        <v>18765</v>
      </c>
      <c r="Q508" s="26" t="str">
        <f>HYPERLINK("https://ictv.global/taxonomy/taxondetails?taxnode_id=202520941&amp;ictv_id=ICTV202420941","ICTV202420941")</f>
        <v>ICTV202420941</v>
      </c>
      <c r="R508" t="s">
        <v>579</v>
      </c>
      <c r="S508" t="s">
        <v>823</v>
      </c>
      <c r="T508">
        <v>40</v>
      </c>
      <c r="U508" s="26" t="str">
        <f t="shared" si="22"/>
        <v>2024.045B.Autographivirales.zip</v>
      </c>
    </row>
    <row r="509" spans="1:21">
      <c r="A509">
        <v>508</v>
      </c>
      <c r="B509" s="27" t="s">
        <v>1449</v>
      </c>
      <c r="D509" s="27" t="s">
        <v>1450</v>
      </c>
      <c r="F509" s="27" t="s">
        <v>1453</v>
      </c>
      <c r="H509" s="27" t="s">
        <v>1454</v>
      </c>
      <c r="J509" s="27" t="s">
        <v>18547</v>
      </c>
      <c r="L509" s="27" t="s">
        <v>18627</v>
      </c>
      <c r="M509" s="27" t="s">
        <v>1493</v>
      </c>
      <c r="N509" s="27" t="s">
        <v>1270</v>
      </c>
      <c r="P509" s="27" t="s">
        <v>18766</v>
      </c>
      <c r="Q509" s="26" t="str">
        <f>HYPERLINK("https://ictv.global/taxonomy/taxondetails?taxnode_id=202520921&amp;ictv_id=ICTV202420921","ICTV202420921")</f>
        <v>ICTV202420921</v>
      </c>
      <c r="R509" t="s">
        <v>579</v>
      </c>
      <c r="S509" t="s">
        <v>823</v>
      </c>
      <c r="T509">
        <v>40</v>
      </c>
      <c r="U509" s="26" t="str">
        <f t="shared" si="22"/>
        <v>2024.045B.Autographivirales.zip</v>
      </c>
    </row>
    <row r="510" spans="1:21">
      <c r="A510">
        <v>509</v>
      </c>
      <c r="B510" s="27" t="s">
        <v>1449</v>
      </c>
      <c r="D510" s="27" t="s">
        <v>1450</v>
      </c>
      <c r="F510" s="27" t="s">
        <v>1453</v>
      </c>
      <c r="H510" s="27" t="s">
        <v>1454</v>
      </c>
      <c r="J510" s="27" t="s">
        <v>18547</v>
      </c>
      <c r="L510" s="27" t="s">
        <v>18627</v>
      </c>
      <c r="M510" s="27" t="s">
        <v>1493</v>
      </c>
      <c r="N510" s="27" t="s">
        <v>1270</v>
      </c>
      <c r="P510" s="27" t="s">
        <v>18767</v>
      </c>
      <c r="Q510" s="26" t="str">
        <f>HYPERLINK("https://ictv.global/taxonomy/taxondetails?taxnode_id=202520924&amp;ictv_id=ICTV202420924","ICTV202420924")</f>
        <v>ICTV202420924</v>
      </c>
      <c r="R510" t="s">
        <v>579</v>
      </c>
      <c r="S510" t="s">
        <v>823</v>
      </c>
      <c r="T510">
        <v>40</v>
      </c>
      <c r="U510" s="26" t="str">
        <f t="shared" si="22"/>
        <v>2024.045B.Autographivirales.zip</v>
      </c>
    </row>
    <row r="511" spans="1:21">
      <c r="A511">
        <v>510</v>
      </c>
      <c r="B511" s="27" t="s">
        <v>1449</v>
      </c>
      <c r="D511" s="27" t="s">
        <v>1450</v>
      </c>
      <c r="F511" s="27" t="s">
        <v>1453</v>
      </c>
      <c r="H511" s="27" t="s">
        <v>1454</v>
      </c>
      <c r="J511" s="27" t="s">
        <v>18547</v>
      </c>
      <c r="L511" s="27" t="s">
        <v>18627</v>
      </c>
      <c r="M511" s="27" t="s">
        <v>1493</v>
      </c>
      <c r="N511" s="27" t="s">
        <v>1270</v>
      </c>
      <c r="P511" s="27" t="s">
        <v>18768</v>
      </c>
      <c r="Q511" s="26" t="str">
        <f>HYPERLINK("https://ictv.global/taxonomy/taxondetails?taxnode_id=202520922&amp;ictv_id=ICTV202420922","ICTV202420922")</f>
        <v>ICTV202420922</v>
      </c>
      <c r="R511" t="s">
        <v>579</v>
      </c>
      <c r="S511" t="s">
        <v>823</v>
      </c>
      <c r="T511">
        <v>40</v>
      </c>
      <c r="U511" s="26" t="str">
        <f t="shared" si="22"/>
        <v>2024.045B.Autographivirales.zip</v>
      </c>
    </row>
    <row r="512" spans="1:21">
      <c r="A512">
        <v>511</v>
      </c>
      <c r="B512" s="27" t="s">
        <v>1449</v>
      </c>
      <c r="D512" s="27" t="s">
        <v>1450</v>
      </c>
      <c r="F512" s="27" t="s">
        <v>1453</v>
      </c>
      <c r="H512" s="27" t="s">
        <v>1454</v>
      </c>
      <c r="J512" s="27" t="s">
        <v>18547</v>
      </c>
      <c r="L512" s="27" t="s">
        <v>18627</v>
      </c>
      <c r="M512" s="27" t="s">
        <v>1493</v>
      </c>
      <c r="N512" s="27" t="s">
        <v>1270</v>
      </c>
      <c r="P512" s="27" t="s">
        <v>18769</v>
      </c>
      <c r="Q512" s="26" t="str">
        <f>HYPERLINK("https://ictv.global/taxonomy/taxondetails?taxnode_id=202520917&amp;ictv_id=ICTV202420917","ICTV202420917")</f>
        <v>ICTV202420917</v>
      </c>
      <c r="R512" t="s">
        <v>579</v>
      </c>
      <c r="S512" t="s">
        <v>823</v>
      </c>
      <c r="T512">
        <v>40</v>
      </c>
      <c r="U512" s="26" t="str">
        <f t="shared" si="22"/>
        <v>2024.045B.Autographivirales.zip</v>
      </c>
    </row>
    <row r="513" spans="1:21">
      <c r="A513">
        <v>512</v>
      </c>
      <c r="B513" s="27" t="s">
        <v>1449</v>
      </c>
      <c r="D513" s="27" t="s">
        <v>1450</v>
      </c>
      <c r="F513" s="27" t="s">
        <v>1453</v>
      </c>
      <c r="H513" s="27" t="s">
        <v>1454</v>
      </c>
      <c r="J513" s="27" t="s">
        <v>18547</v>
      </c>
      <c r="L513" s="27" t="s">
        <v>18627</v>
      </c>
      <c r="M513" s="27" t="s">
        <v>1493</v>
      </c>
      <c r="N513" s="27" t="s">
        <v>1270</v>
      </c>
      <c r="P513" s="27" t="s">
        <v>18770</v>
      </c>
      <c r="Q513" s="26" t="str">
        <f>HYPERLINK("https://ictv.global/taxonomy/taxondetails?taxnode_id=202520923&amp;ictv_id=ICTV202420923","ICTV202420923")</f>
        <v>ICTV202420923</v>
      </c>
      <c r="R513" t="s">
        <v>579</v>
      </c>
      <c r="S513" t="s">
        <v>823</v>
      </c>
      <c r="T513">
        <v>40</v>
      </c>
      <c r="U513" s="26" t="str">
        <f t="shared" si="22"/>
        <v>2024.045B.Autographivirales.zip</v>
      </c>
    </row>
    <row r="514" spans="1:21">
      <c r="A514">
        <v>513</v>
      </c>
      <c r="B514" s="27" t="s">
        <v>1449</v>
      </c>
      <c r="D514" s="27" t="s">
        <v>1450</v>
      </c>
      <c r="F514" s="27" t="s">
        <v>1453</v>
      </c>
      <c r="H514" s="27" t="s">
        <v>1454</v>
      </c>
      <c r="J514" s="27" t="s">
        <v>18547</v>
      </c>
      <c r="L514" s="27" t="s">
        <v>18627</v>
      </c>
      <c r="M514" s="27" t="s">
        <v>1493</v>
      </c>
      <c r="N514" s="27" t="s">
        <v>1270</v>
      </c>
      <c r="P514" s="27" t="s">
        <v>18771</v>
      </c>
      <c r="Q514" s="26" t="str">
        <f>HYPERLINK("https://ictv.global/taxonomy/taxondetails?taxnode_id=202520912&amp;ictv_id=ICTV202420912","ICTV202420912")</f>
        <v>ICTV202420912</v>
      </c>
      <c r="R514" t="s">
        <v>579</v>
      </c>
      <c r="S514" t="s">
        <v>823</v>
      </c>
      <c r="T514">
        <v>40</v>
      </c>
      <c r="U514" s="26" t="str">
        <f t="shared" si="22"/>
        <v>2024.045B.Autographivirales.zip</v>
      </c>
    </row>
    <row r="515" spans="1:21">
      <c r="A515">
        <v>514</v>
      </c>
      <c r="B515" s="27" t="s">
        <v>1449</v>
      </c>
      <c r="D515" s="27" t="s">
        <v>1450</v>
      </c>
      <c r="F515" s="27" t="s">
        <v>1453</v>
      </c>
      <c r="H515" s="27" t="s">
        <v>1454</v>
      </c>
      <c r="J515" s="27" t="s">
        <v>18547</v>
      </c>
      <c r="L515" s="27" t="s">
        <v>18627</v>
      </c>
      <c r="M515" s="27" t="s">
        <v>1493</v>
      </c>
      <c r="N515" s="27" t="s">
        <v>1270</v>
      </c>
      <c r="P515" s="27" t="s">
        <v>18772</v>
      </c>
      <c r="Q515" s="26" t="str">
        <f>HYPERLINK("https://ictv.global/taxonomy/taxondetails?taxnode_id=202520911&amp;ictv_id=ICTV202420911","ICTV202420911")</f>
        <v>ICTV202420911</v>
      </c>
      <c r="R515" t="s">
        <v>579</v>
      </c>
      <c r="S515" t="s">
        <v>823</v>
      </c>
      <c r="T515">
        <v>40</v>
      </c>
      <c r="U515" s="26" t="str">
        <f t="shared" si="22"/>
        <v>2024.045B.Autographivirales.zip</v>
      </c>
    </row>
    <row r="516" spans="1:21">
      <c r="A516">
        <v>515</v>
      </c>
      <c r="B516" s="27" t="s">
        <v>1449</v>
      </c>
      <c r="D516" s="27" t="s">
        <v>1450</v>
      </c>
      <c r="F516" s="27" t="s">
        <v>1453</v>
      </c>
      <c r="H516" s="27" t="s">
        <v>1454</v>
      </c>
      <c r="J516" s="27" t="s">
        <v>18547</v>
      </c>
      <c r="L516" s="27" t="s">
        <v>18627</v>
      </c>
      <c r="M516" s="27" t="s">
        <v>1493</v>
      </c>
      <c r="N516" s="27" t="s">
        <v>1270</v>
      </c>
      <c r="P516" s="27" t="s">
        <v>21849</v>
      </c>
      <c r="Q516" s="26" t="str">
        <f>HYPERLINK("https://ictv.global/taxonomy/taxondetails?taxnode_id=202522668&amp;ictv_id=ICTV202522668","ICTV202522668")</f>
        <v>ICTV202522668</v>
      </c>
      <c r="R516" t="s">
        <v>579</v>
      </c>
      <c r="S516" t="s">
        <v>823</v>
      </c>
      <c r="T516">
        <v>41</v>
      </c>
      <c r="U516" s="26" t="str">
        <f>HYPERLINK("https://ictv.global/ictv/proposals/2025.015B.Drulisvirus_1ns.zip","2025.015B.Drulisvirus_1ns.zip")</f>
        <v>2025.015B.Drulisvirus_1ns.zip</v>
      </c>
    </row>
    <row r="517" spans="1:21">
      <c r="A517">
        <v>516</v>
      </c>
      <c r="B517" s="27" t="s">
        <v>1449</v>
      </c>
      <c r="D517" s="27" t="s">
        <v>1450</v>
      </c>
      <c r="F517" s="27" t="s">
        <v>1453</v>
      </c>
      <c r="H517" s="27" t="s">
        <v>1454</v>
      </c>
      <c r="J517" s="27" t="s">
        <v>18547</v>
      </c>
      <c r="L517" s="27" t="s">
        <v>18627</v>
      </c>
      <c r="M517" s="27" t="s">
        <v>1493</v>
      </c>
      <c r="N517" s="27" t="s">
        <v>1270</v>
      </c>
      <c r="P517" s="27" t="s">
        <v>18773</v>
      </c>
      <c r="Q517" s="26" t="str">
        <f>HYPERLINK("https://ictv.global/taxonomy/taxondetails?taxnode_id=202520927&amp;ictv_id=ICTV202420927","ICTV202420927")</f>
        <v>ICTV202420927</v>
      </c>
      <c r="R517" t="s">
        <v>579</v>
      </c>
      <c r="S517" t="s">
        <v>823</v>
      </c>
      <c r="T517">
        <v>40</v>
      </c>
      <c r="U517" s="26" t="str">
        <f t="shared" ref="U517:U534" si="23">HYPERLINK("https://ictv.global/ictv/proposals/2024.045B.Autographivirales.zip","2024.045B.Autographivirales.zip")</f>
        <v>2024.045B.Autographivirales.zip</v>
      </c>
    </row>
    <row r="518" spans="1:21">
      <c r="A518">
        <v>517</v>
      </c>
      <c r="B518" s="27" t="s">
        <v>1449</v>
      </c>
      <c r="D518" s="27" t="s">
        <v>1450</v>
      </c>
      <c r="F518" s="27" t="s">
        <v>1453</v>
      </c>
      <c r="H518" s="27" t="s">
        <v>1454</v>
      </c>
      <c r="J518" s="27" t="s">
        <v>18547</v>
      </c>
      <c r="L518" s="27" t="s">
        <v>18627</v>
      </c>
      <c r="M518" s="27" t="s">
        <v>1493</v>
      </c>
      <c r="N518" s="27" t="s">
        <v>1270</v>
      </c>
      <c r="P518" s="27" t="s">
        <v>18774</v>
      </c>
      <c r="Q518" s="26" t="str">
        <f>HYPERLINK("https://ictv.global/taxonomy/taxondetails?taxnode_id=202520885&amp;ictv_id=ICTV202420885","ICTV202420885")</f>
        <v>ICTV202420885</v>
      </c>
      <c r="R518" t="s">
        <v>579</v>
      </c>
      <c r="S518" t="s">
        <v>823</v>
      </c>
      <c r="T518">
        <v>40</v>
      </c>
      <c r="U518" s="26" t="str">
        <f t="shared" si="23"/>
        <v>2024.045B.Autographivirales.zip</v>
      </c>
    </row>
    <row r="519" spans="1:21">
      <c r="A519">
        <v>518</v>
      </c>
      <c r="B519" s="27" t="s">
        <v>1449</v>
      </c>
      <c r="D519" s="27" t="s">
        <v>1450</v>
      </c>
      <c r="F519" s="27" t="s">
        <v>1453</v>
      </c>
      <c r="H519" s="27" t="s">
        <v>1454</v>
      </c>
      <c r="J519" s="27" t="s">
        <v>18547</v>
      </c>
      <c r="L519" s="27" t="s">
        <v>18627</v>
      </c>
      <c r="M519" s="27" t="s">
        <v>1493</v>
      </c>
      <c r="N519" s="27" t="s">
        <v>1270</v>
      </c>
      <c r="P519" s="27" t="s">
        <v>18775</v>
      </c>
      <c r="Q519" s="26" t="str">
        <f>HYPERLINK("https://ictv.global/taxonomy/taxondetails?taxnode_id=202520898&amp;ictv_id=ICTV202420898","ICTV202420898")</f>
        <v>ICTV202420898</v>
      </c>
      <c r="R519" t="s">
        <v>579</v>
      </c>
      <c r="S519" t="s">
        <v>823</v>
      </c>
      <c r="T519">
        <v>40</v>
      </c>
      <c r="U519" s="26" t="str">
        <f t="shared" si="23"/>
        <v>2024.045B.Autographivirales.zip</v>
      </c>
    </row>
    <row r="520" spans="1:21">
      <c r="A520">
        <v>519</v>
      </c>
      <c r="B520" s="27" t="s">
        <v>1449</v>
      </c>
      <c r="D520" s="27" t="s">
        <v>1450</v>
      </c>
      <c r="F520" s="27" t="s">
        <v>1453</v>
      </c>
      <c r="H520" s="27" t="s">
        <v>1454</v>
      </c>
      <c r="J520" s="27" t="s">
        <v>18547</v>
      </c>
      <c r="L520" s="27" t="s">
        <v>18627</v>
      </c>
      <c r="M520" s="27" t="s">
        <v>1493</v>
      </c>
      <c r="N520" s="27" t="s">
        <v>1270</v>
      </c>
      <c r="P520" s="27" t="s">
        <v>18776</v>
      </c>
      <c r="Q520" s="26" t="str">
        <f>HYPERLINK("https://ictv.global/taxonomy/taxondetails?taxnode_id=202520910&amp;ictv_id=ICTV202420910","ICTV202420910")</f>
        <v>ICTV202420910</v>
      </c>
      <c r="R520" t="s">
        <v>579</v>
      </c>
      <c r="S520" t="s">
        <v>823</v>
      </c>
      <c r="T520">
        <v>40</v>
      </c>
      <c r="U520" s="26" t="str">
        <f t="shared" si="23"/>
        <v>2024.045B.Autographivirales.zip</v>
      </c>
    </row>
    <row r="521" spans="1:21">
      <c r="A521">
        <v>520</v>
      </c>
      <c r="B521" s="27" t="s">
        <v>1449</v>
      </c>
      <c r="D521" s="27" t="s">
        <v>1450</v>
      </c>
      <c r="F521" s="27" t="s">
        <v>1453</v>
      </c>
      <c r="H521" s="27" t="s">
        <v>1454</v>
      </c>
      <c r="J521" s="27" t="s">
        <v>18547</v>
      </c>
      <c r="L521" s="27" t="s">
        <v>18627</v>
      </c>
      <c r="M521" s="27" t="s">
        <v>1493</v>
      </c>
      <c r="N521" s="27" t="s">
        <v>1547</v>
      </c>
      <c r="P521" s="27" t="s">
        <v>4472</v>
      </c>
      <c r="Q521" s="26" t="str">
        <f>HYPERLINK("https://ictv.global/taxonomy/taxondetails?taxnode_id=202508312&amp;ictv_id=ICTV201908312","ICTV201908312")</f>
        <v>ICTV201908312</v>
      </c>
      <c r="R521" t="s">
        <v>579</v>
      </c>
      <c r="S521" t="s">
        <v>22763</v>
      </c>
      <c r="T521">
        <v>40</v>
      </c>
      <c r="U521" s="26" t="str">
        <f t="shared" si="23"/>
        <v>2024.045B.Autographivirales.zip</v>
      </c>
    </row>
    <row r="522" spans="1:21">
      <c r="A522">
        <v>521</v>
      </c>
      <c r="B522" s="27" t="s">
        <v>1449</v>
      </c>
      <c r="D522" s="27" t="s">
        <v>1450</v>
      </c>
      <c r="F522" s="27" t="s">
        <v>1453</v>
      </c>
      <c r="H522" s="27" t="s">
        <v>1454</v>
      </c>
      <c r="J522" s="27" t="s">
        <v>18547</v>
      </c>
      <c r="L522" s="27" t="s">
        <v>18627</v>
      </c>
      <c r="M522" s="27" t="s">
        <v>1493</v>
      </c>
      <c r="N522" s="27" t="s">
        <v>1547</v>
      </c>
      <c r="P522" s="27" t="s">
        <v>18777</v>
      </c>
      <c r="Q522" s="26" t="str">
        <f>HYPERLINK("https://ictv.global/taxonomy/taxondetails?taxnode_id=202521223&amp;ictv_id=ICTV202421223","ICTV202421223")</f>
        <v>ICTV202421223</v>
      </c>
      <c r="R522" t="s">
        <v>579</v>
      </c>
      <c r="S522" t="s">
        <v>823</v>
      </c>
      <c r="T522">
        <v>40</v>
      </c>
      <c r="U522" s="26" t="str">
        <f t="shared" si="23"/>
        <v>2024.045B.Autographivirales.zip</v>
      </c>
    </row>
    <row r="523" spans="1:21">
      <c r="A523">
        <v>522</v>
      </c>
      <c r="B523" s="27" t="s">
        <v>1449</v>
      </c>
      <c r="D523" s="27" t="s">
        <v>1450</v>
      </c>
      <c r="F523" s="27" t="s">
        <v>1453</v>
      </c>
      <c r="H523" s="27" t="s">
        <v>1454</v>
      </c>
      <c r="J523" s="27" t="s">
        <v>18547</v>
      </c>
      <c r="L523" s="27" t="s">
        <v>18627</v>
      </c>
      <c r="M523" s="27" t="s">
        <v>1493</v>
      </c>
      <c r="N523" s="27" t="s">
        <v>1495</v>
      </c>
      <c r="P523" s="27" t="s">
        <v>18778</v>
      </c>
      <c r="Q523" s="26" t="str">
        <f>HYPERLINK("https://ictv.global/taxonomy/taxondetails?taxnode_id=202520882&amp;ictv_id=ICTV202420882","ICTV202420882")</f>
        <v>ICTV202420882</v>
      </c>
      <c r="R523" t="s">
        <v>579</v>
      </c>
      <c r="S523" t="s">
        <v>823</v>
      </c>
      <c r="T523">
        <v>40</v>
      </c>
      <c r="U523" s="26" t="str">
        <f t="shared" si="23"/>
        <v>2024.045B.Autographivirales.zip</v>
      </c>
    </row>
    <row r="524" spans="1:21">
      <c r="A524">
        <v>523</v>
      </c>
      <c r="B524" s="27" t="s">
        <v>1449</v>
      </c>
      <c r="D524" s="27" t="s">
        <v>1450</v>
      </c>
      <c r="F524" s="27" t="s">
        <v>1453</v>
      </c>
      <c r="H524" s="27" t="s">
        <v>1454</v>
      </c>
      <c r="J524" s="27" t="s">
        <v>18547</v>
      </c>
      <c r="L524" s="27" t="s">
        <v>18627</v>
      </c>
      <c r="M524" s="27" t="s">
        <v>1493</v>
      </c>
      <c r="N524" s="27" t="s">
        <v>1495</v>
      </c>
      <c r="P524" s="27" t="s">
        <v>4319</v>
      </c>
      <c r="Q524" s="26" t="str">
        <f>HYPERLINK("https://ictv.global/taxonomy/taxondetails?taxnode_id=202508552&amp;ictv_id=ICTV201908552","ICTV201908552")</f>
        <v>ICTV201908552</v>
      </c>
      <c r="R524" t="s">
        <v>579</v>
      </c>
      <c r="S524" t="s">
        <v>22763</v>
      </c>
      <c r="T524">
        <v>40</v>
      </c>
      <c r="U524" s="26" t="str">
        <f t="shared" si="23"/>
        <v>2024.045B.Autographivirales.zip</v>
      </c>
    </row>
    <row r="525" spans="1:21">
      <c r="A525">
        <v>524</v>
      </c>
      <c r="B525" s="27" t="s">
        <v>1449</v>
      </c>
      <c r="D525" s="27" t="s">
        <v>1450</v>
      </c>
      <c r="F525" s="27" t="s">
        <v>1453</v>
      </c>
      <c r="H525" s="27" t="s">
        <v>1454</v>
      </c>
      <c r="J525" s="27" t="s">
        <v>18547</v>
      </c>
      <c r="L525" s="27" t="s">
        <v>18627</v>
      </c>
      <c r="M525" s="27" t="s">
        <v>1493</v>
      </c>
      <c r="N525" s="27" t="s">
        <v>1495</v>
      </c>
      <c r="P525" s="27" t="s">
        <v>18779</v>
      </c>
      <c r="Q525" s="26" t="str">
        <f>HYPERLINK("https://ictv.global/taxonomy/taxondetails?taxnode_id=202520884&amp;ictv_id=ICTV202420884","ICTV202420884")</f>
        <v>ICTV202420884</v>
      </c>
      <c r="R525" t="s">
        <v>579</v>
      </c>
      <c r="S525" t="s">
        <v>823</v>
      </c>
      <c r="T525">
        <v>40</v>
      </c>
      <c r="U525" s="26" t="str">
        <f t="shared" si="23"/>
        <v>2024.045B.Autographivirales.zip</v>
      </c>
    </row>
    <row r="526" spans="1:21">
      <c r="A526">
        <v>525</v>
      </c>
      <c r="B526" s="27" t="s">
        <v>1449</v>
      </c>
      <c r="D526" s="27" t="s">
        <v>1450</v>
      </c>
      <c r="F526" s="27" t="s">
        <v>1453</v>
      </c>
      <c r="H526" s="27" t="s">
        <v>1454</v>
      </c>
      <c r="J526" s="27" t="s">
        <v>18547</v>
      </c>
      <c r="L526" s="27" t="s">
        <v>18627</v>
      </c>
      <c r="M526" s="27" t="s">
        <v>1493</v>
      </c>
      <c r="N526" s="27" t="s">
        <v>1495</v>
      </c>
      <c r="P526" s="27" t="s">
        <v>18780</v>
      </c>
      <c r="Q526" s="26" t="str">
        <f>HYPERLINK("https://ictv.global/taxonomy/taxondetails?taxnode_id=202520883&amp;ictv_id=ICTV202420883","ICTV202420883")</f>
        <v>ICTV202420883</v>
      </c>
      <c r="R526" t="s">
        <v>579</v>
      </c>
      <c r="S526" t="s">
        <v>823</v>
      </c>
      <c r="T526">
        <v>40</v>
      </c>
      <c r="U526" s="26" t="str">
        <f t="shared" si="23"/>
        <v>2024.045B.Autographivirales.zip</v>
      </c>
    </row>
    <row r="527" spans="1:21">
      <c r="A527">
        <v>526</v>
      </c>
      <c r="B527" s="27" t="s">
        <v>1449</v>
      </c>
      <c r="D527" s="27" t="s">
        <v>1450</v>
      </c>
      <c r="F527" s="27" t="s">
        <v>1453</v>
      </c>
      <c r="H527" s="27" t="s">
        <v>1454</v>
      </c>
      <c r="J527" s="27" t="s">
        <v>18547</v>
      </c>
      <c r="L527" s="27" t="s">
        <v>18627</v>
      </c>
      <c r="M527" s="27" t="s">
        <v>1493</v>
      </c>
      <c r="N527" s="27" t="s">
        <v>1554</v>
      </c>
      <c r="P527" s="27" t="s">
        <v>4477</v>
      </c>
      <c r="Q527" s="26" t="str">
        <f>HYPERLINK("https://ictv.global/taxonomy/taxondetails?taxnode_id=202500568&amp;ictv_id=ICTV20125859","ICTV20125859")</f>
        <v>ICTV20125859</v>
      </c>
      <c r="R527" t="s">
        <v>579</v>
      </c>
      <c r="S527" t="s">
        <v>22763</v>
      </c>
      <c r="T527">
        <v>40</v>
      </c>
      <c r="U527" s="26" t="str">
        <f t="shared" si="23"/>
        <v>2024.045B.Autographivirales.zip</v>
      </c>
    </row>
    <row r="528" spans="1:21">
      <c r="A528">
        <v>527</v>
      </c>
      <c r="B528" s="27" t="s">
        <v>1449</v>
      </c>
      <c r="D528" s="27" t="s">
        <v>1450</v>
      </c>
      <c r="F528" s="27" t="s">
        <v>1453</v>
      </c>
      <c r="H528" s="27" t="s">
        <v>1454</v>
      </c>
      <c r="J528" s="27" t="s">
        <v>18547</v>
      </c>
      <c r="L528" s="27" t="s">
        <v>18627</v>
      </c>
      <c r="M528" s="27" t="s">
        <v>1493</v>
      </c>
      <c r="N528" s="27" t="s">
        <v>18781</v>
      </c>
      <c r="P528" s="27" t="s">
        <v>18782</v>
      </c>
      <c r="Q528" s="26" t="str">
        <f>HYPERLINK("https://ictv.global/taxonomy/taxondetails?taxnode_id=202521221&amp;ictv_id=ICTV202421221","ICTV202421221")</f>
        <v>ICTV202421221</v>
      </c>
      <c r="R528" t="s">
        <v>579</v>
      </c>
      <c r="S528" t="s">
        <v>823</v>
      </c>
      <c r="T528">
        <v>40</v>
      </c>
      <c r="U528" s="26" t="str">
        <f t="shared" si="23"/>
        <v>2024.045B.Autographivirales.zip</v>
      </c>
    </row>
    <row r="529" spans="1:21">
      <c r="A529">
        <v>528</v>
      </c>
      <c r="B529" s="27" t="s">
        <v>1449</v>
      </c>
      <c r="D529" s="27" t="s">
        <v>1450</v>
      </c>
      <c r="F529" s="27" t="s">
        <v>1453</v>
      </c>
      <c r="H529" s="27" t="s">
        <v>1454</v>
      </c>
      <c r="J529" s="27" t="s">
        <v>18547</v>
      </c>
      <c r="L529" s="27" t="s">
        <v>18627</v>
      </c>
      <c r="M529" s="27" t="s">
        <v>1493</v>
      </c>
      <c r="N529" s="27" t="s">
        <v>18781</v>
      </c>
      <c r="P529" s="27" t="s">
        <v>18783</v>
      </c>
      <c r="Q529" s="26" t="str">
        <f>HYPERLINK("https://ictv.global/taxonomy/taxondetails?taxnode_id=202521220&amp;ictv_id=ICTV202421220","ICTV202421220")</f>
        <v>ICTV202421220</v>
      </c>
      <c r="R529" t="s">
        <v>579</v>
      </c>
      <c r="S529" t="s">
        <v>823</v>
      </c>
      <c r="T529">
        <v>40</v>
      </c>
      <c r="U529" s="26" t="str">
        <f t="shared" si="23"/>
        <v>2024.045B.Autographivirales.zip</v>
      </c>
    </row>
    <row r="530" spans="1:21">
      <c r="A530">
        <v>529</v>
      </c>
      <c r="B530" s="27" t="s">
        <v>1449</v>
      </c>
      <c r="D530" s="27" t="s">
        <v>1450</v>
      </c>
      <c r="F530" s="27" t="s">
        <v>1453</v>
      </c>
      <c r="H530" s="27" t="s">
        <v>1454</v>
      </c>
      <c r="J530" s="27" t="s">
        <v>18547</v>
      </c>
      <c r="L530" s="27" t="s">
        <v>18627</v>
      </c>
      <c r="M530" s="27" t="s">
        <v>1493</v>
      </c>
      <c r="N530" s="27" t="s">
        <v>1496</v>
      </c>
      <c r="P530" s="27" t="s">
        <v>18784</v>
      </c>
      <c r="Q530" s="26" t="str">
        <f>HYPERLINK("https://ictv.global/taxonomy/taxondetails?taxnode_id=202521224&amp;ictv_id=ICTV202421224","ICTV202421224")</f>
        <v>ICTV202421224</v>
      </c>
      <c r="R530" t="s">
        <v>579</v>
      </c>
      <c r="S530" t="s">
        <v>823</v>
      </c>
      <c r="T530">
        <v>40</v>
      </c>
      <c r="U530" s="26" t="str">
        <f t="shared" si="23"/>
        <v>2024.045B.Autographivirales.zip</v>
      </c>
    </row>
    <row r="531" spans="1:21">
      <c r="A531">
        <v>530</v>
      </c>
      <c r="B531" s="27" t="s">
        <v>1449</v>
      </c>
      <c r="D531" s="27" t="s">
        <v>1450</v>
      </c>
      <c r="F531" s="27" t="s">
        <v>1453</v>
      </c>
      <c r="H531" s="27" t="s">
        <v>1454</v>
      </c>
      <c r="J531" s="27" t="s">
        <v>18547</v>
      </c>
      <c r="L531" s="27" t="s">
        <v>18627</v>
      </c>
      <c r="M531" s="27" t="s">
        <v>1493</v>
      </c>
      <c r="N531" s="27" t="s">
        <v>1496</v>
      </c>
      <c r="P531" s="27" t="s">
        <v>4320</v>
      </c>
      <c r="Q531" s="26" t="str">
        <f>HYPERLINK("https://ictv.global/taxonomy/taxondetails?taxnode_id=202508547&amp;ictv_id=ICTV201908547","ICTV201908547")</f>
        <v>ICTV201908547</v>
      </c>
      <c r="R531" t="s">
        <v>579</v>
      </c>
      <c r="S531" t="s">
        <v>22763</v>
      </c>
      <c r="T531">
        <v>40</v>
      </c>
      <c r="U531" s="26" t="str">
        <f t="shared" si="23"/>
        <v>2024.045B.Autographivirales.zip</v>
      </c>
    </row>
    <row r="532" spans="1:21">
      <c r="A532">
        <v>531</v>
      </c>
      <c r="B532" s="27" t="s">
        <v>1449</v>
      </c>
      <c r="D532" s="27" t="s">
        <v>1450</v>
      </c>
      <c r="F532" s="27" t="s">
        <v>1453</v>
      </c>
      <c r="H532" s="27" t="s">
        <v>1454</v>
      </c>
      <c r="J532" s="27" t="s">
        <v>18547</v>
      </c>
      <c r="L532" s="27" t="s">
        <v>18627</v>
      </c>
      <c r="M532" s="27" t="s">
        <v>1493</v>
      </c>
      <c r="N532" s="27" t="s">
        <v>1496</v>
      </c>
      <c r="P532" s="27" t="s">
        <v>4321</v>
      </c>
      <c r="Q532" s="26" t="str">
        <f>HYPERLINK("https://ictv.global/taxonomy/taxondetails?taxnode_id=202508548&amp;ictv_id=ICTV201908548","ICTV201908548")</f>
        <v>ICTV201908548</v>
      </c>
      <c r="R532" t="s">
        <v>579</v>
      </c>
      <c r="S532" t="s">
        <v>22763</v>
      </c>
      <c r="T532">
        <v>40</v>
      </c>
      <c r="U532" s="26" t="str">
        <f t="shared" si="23"/>
        <v>2024.045B.Autographivirales.zip</v>
      </c>
    </row>
    <row r="533" spans="1:21">
      <c r="A533">
        <v>532</v>
      </c>
      <c r="B533" s="27" t="s">
        <v>1449</v>
      </c>
      <c r="D533" s="27" t="s">
        <v>1450</v>
      </c>
      <c r="F533" s="27" t="s">
        <v>1453</v>
      </c>
      <c r="H533" s="27" t="s">
        <v>1454</v>
      </c>
      <c r="J533" s="27" t="s">
        <v>18547</v>
      </c>
      <c r="L533" s="27" t="s">
        <v>18627</v>
      </c>
      <c r="M533" s="27" t="s">
        <v>1493</v>
      </c>
      <c r="N533" s="27" t="s">
        <v>1496</v>
      </c>
      <c r="P533" s="27" t="s">
        <v>18785</v>
      </c>
      <c r="Q533" s="26" t="str">
        <f>HYPERLINK("https://ictv.global/taxonomy/taxondetails?taxnode_id=202521225&amp;ictv_id=ICTV202421225","ICTV202421225")</f>
        <v>ICTV202421225</v>
      </c>
      <c r="R533" t="s">
        <v>579</v>
      </c>
      <c r="S533" t="s">
        <v>823</v>
      </c>
      <c r="T533">
        <v>40</v>
      </c>
      <c r="U533" s="26" t="str">
        <f t="shared" si="23"/>
        <v>2024.045B.Autographivirales.zip</v>
      </c>
    </row>
    <row r="534" spans="1:21">
      <c r="A534">
        <v>533</v>
      </c>
      <c r="B534" s="27" t="s">
        <v>1449</v>
      </c>
      <c r="D534" s="27" t="s">
        <v>1450</v>
      </c>
      <c r="F534" s="27" t="s">
        <v>1453</v>
      </c>
      <c r="H534" s="27" t="s">
        <v>1454</v>
      </c>
      <c r="J534" s="27" t="s">
        <v>18547</v>
      </c>
      <c r="L534" s="27" t="s">
        <v>18627</v>
      </c>
      <c r="M534" s="27" t="s">
        <v>1493</v>
      </c>
      <c r="N534" s="27" t="s">
        <v>1496</v>
      </c>
      <c r="P534" s="27" t="s">
        <v>18786</v>
      </c>
      <c r="Q534" s="26" t="str">
        <f>HYPERLINK("https://ictv.global/taxonomy/taxondetails?taxnode_id=202521226&amp;ictv_id=ICTV202421226","ICTV202421226")</f>
        <v>ICTV202421226</v>
      </c>
      <c r="R534" t="s">
        <v>579</v>
      </c>
      <c r="S534" t="s">
        <v>823</v>
      </c>
      <c r="T534">
        <v>40</v>
      </c>
      <c r="U534" s="26" t="str">
        <f t="shared" si="23"/>
        <v>2024.045B.Autographivirales.zip</v>
      </c>
    </row>
    <row r="535" spans="1:21">
      <c r="A535">
        <v>534</v>
      </c>
      <c r="B535" s="27" t="s">
        <v>1449</v>
      </c>
      <c r="D535" s="27" t="s">
        <v>1450</v>
      </c>
      <c r="F535" s="27" t="s">
        <v>1453</v>
      </c>
      <c r="H535" s="27" t="s">
        <v>1454</v>
      </c>
      <c r="J535" s="27" t="s">
        <v>18547</v>
      </c>
      <c r="L535" s="27" t="s">
        <v>18627</v>
      </c>
      <c r="M535" s="27" t="s">
        <v>1493</v>
      </c>
      <c r="N535" s="27" t="s">
        <v>22493</v>
      </c>
      <c r="P535" s="27" t="s">
        <v>22494</v>
      </c>
      <c r="Q535" s="26" t="str">
        <f>HYPERLINK("https://ictv.global/taxonomy/taxondetails?taxnode_id=202523118&amp;ictv_id=ICTV202523118","ICTV202523118")</f>
        <v>ICTV202523118</v>
      </c>
      <c r="R535" t="s">
        <v>579</v>
      </c>
      <c r="S535" t="s">
        <v>823</v>
      </c>
      <c r="T535">
        <v>41</v>
      </c>
      <c r="U535" s="26" t="str">
        <f>HYPERLINK("https://ictv.global/ictv/proposals/2025.059B.Peggyvirus_1ng_1ns.zip","2025.059B.Peggyvirus_1ng_1ns.zip")</f>
        <v>2025.059B.Peggyvirus_1ng_1ns.zip</v>
      </c>
    </row>
    <row r="536" spans="1:21">
      <c r="A536">
        <v>535</v>
      </c>
      <c r="B536" s="27" t="s">
        <v>1449</v>
      </c>
      <c r="D536" s="27" t="s">
        <v>1450</v>
      </c>
      <c r="F536" s="27" t="s">
        <v>1453</v>
      </c>
      <c r="H536" s="27" t="s">
        <v>1454</v>
      </c>
      <c r="J536" s="27" t="s">
        <v>18547</v>
      </c>
      <c r="L536" s="27" t="s">
        <v>18627</v>
      </c>
      <c r="M536" s="27" t="s">
        <v>1493</v>
      </c>
      <c r="N536" s="27" t="s">
        <v>18787</v>
      </c>
      <c r="P536" s="27" t="s">
        <v>18788</v>
      </c>
      <c r="Q536" s="26" t="str">
        <f>HYPERLINK("https://ictv.global/taxonomy/taxondetails?taxnode_id=202521222&amp;ictv_id=ICTV202421222","ICTV202421222")</f>
        <v>ICTV202421222</v>
      </c>
      <c r="R536" t="s">
        <v>579</v>
      </c>
      <c r="S536" t="s">
        <v>823</v>
      </c>
      <c r="T536">
        <v>40</v>
      </c>
      <c r="U536" s="26" t="str">
        <f t="shared" ref="U536:U599" si="24">HYPERLINK("https://ictv.global/ictv/proposals/2024.045B.Autographivirales.zip","2024.045B.Autographivirales.zip")</f>
        <v>2024.045B.Autographivirales.zip</v>
      </c>
    </row>
    <row r="537" spans="1:21">
      <c r="A537">
        <v>536</v>
      </c>
      <c r="B537" s="27" t="s">
        <v>1449</v>
      </c>
      <c r="D537" s="27" t="s">
        <v>1450</v>
      </c>
      <c r="F537" s="27" t="s">
        <v>1453</v>
      </c>
      <c r="H537" s="27" t="s">
        <v>1454</v>
      </c>
      <c r="J537" s="27" t="s">
        <v>18547</v>
      </c>
      <c r="L537" s="27" t="s">
        <v>18627</v>
      </c>
      <c r="M537" s="27" t="s">
        <v>18789</v>
      </c>
      <c r="N537" s="27" t="s">
        <v>1527</v>
      </c>
      <c r="P537" s="27" t="s">
        <v>18790</v>
      </c>
      <c r="Q537" s="26" t="str">
        <f>HYPERLINK("https://ictv.global/taxonomy/taxondetails?taxnode_id=202521116&amp;ictv_id=ICTV202421116","ICTV202421116")</f>
        <v>ICTV202421116</v>
      </c>
      <c r="R537" t="s">
        <v>579</v>
      </c>
      <c r="S537" t="s">
        <v>823</v>
      </c>
      <c r="T537">
        <v>40</v>
      </c>
      <c r="U537" s="26" t="str">
        <f t="shared" si="24"/>
        <v>2024.045B.Autographivirales.zip</v>
      </c>
    </row>
    <row r="538" spans="1:21">
      <c r="A538">
        <v>537</v>
      </c>
      <c r="B538" s="27" t="s">
        <v>1449</v>
      </c>
      <c r="D538" s="27" t="s">
        <v>1450</v>
      </c>
      <c r="F538" s="27" t="s">
        <v>1453</v>
      </c>
      <c r="H538" s="27" t="s">
        <v>1454</v>
      </c>
      <c r="J538" s="27" t="s">
        <v>18547</v>
      </c>
      <c r="L538" s="27" t="s">
        <v>18627</v>
      </c>
      <c r="M538" s="27" t="s">
        <v>18789</v>
      </c>
      <c r="N538" s="27" t="s">
        <v>1527</v>
      </c>
      <c r="P538" s="27" t="s">
        <v>18791</v>
      </c>
      <c r="Q538" s="26" t="str">
        <f>HYPERLINK("https://ictv.global/taxonomy/taxondetails?taxnode_id=202521115&amp;ictv_id=ICTV202421115","ICTV202421115")</f>
        <v>ICTV202421115</v>
      </c>
      <c r="R538" t="s">
        <v>579</v>
      </c>
      <c r="S538" t="s">
        <v>823</v>
      </c>
      <c r="T538">
        <v>40</v>
      </c>
      <c r="U538" s="26" t="str">
        <f t="shared" si="24"/>
        <v>2024.045B.Autographivirales.zip</v>
      </c>
    </row>
    <row r="539" spans="1:21">
      <c r="A539">
        <v>538</v>
      </c>
      <c r="B539" s="27" t="s">
        <v>1449</v>
      </c>
      <c r="D539" s="27" t="s">
        <v>1450</v>
      </c>
      <c r="F539" s="27" t="s">
        <v>1453</v>
      </c>
      <c r="H539" s="27" t="s">
        <v>1454</v>
      </c>
      <c r="J539" s="27" t="s">
        <v>18547</v>
      </c>
      <c r="L539" s="27" t="s">
        <v>18627</v>
      </c>
      <c r="M539" s="27" t="s">
        <v>18789</v>
      </c>
      <c r="N539" s="27" t="s">
        <v>1527</v>
      </c>
      <c r="P539" s="27" t="s">
        <v>4455</v>
      </c>
      <c r="Q539" s="26" t="str">
        <f>HYPERLINK("https://ictv.global/taxonomy/taxondetails?taxnode_id=202508229&amp;ictv_id=ICTV201908229","ICTV201908229")</f>
        <v>ICTV201908229</v>
      </c>
      <c r="R539" t="s">
        <v>579</v>
      </c>
      <c r="S539" t="s">
        <v>22763</v>
      </c>
      <c r="T539">
        <v>40</v>
      </c>
      <c r="U539" s="26" t="str">
        <f t="shared" si="24"/>
        <v>2024.045B.Autographivirales.zip</v>
      </c>
    </row>
    <row r="540" spans="1:21">
      <c r="A540">
        <v>539</v>
      </c>
      <c r="B540" s="27" t="s">
        <v>1449</v>
      </c>
      <c r="D540" s="27" t="s">
        <v>1450</v>
      </c>
      <c r="F540" s="27" t="s">
        <v>1453</v>
      </c>
      <c r="H540" s="27" t="s">
        <v>1454</v>
      </c>
      <c r="J540" s="27" t="s">
        <v>18547</v>
      </c>
      <c r="L540" s="27" t="s">
        <v>18627</v>
      </c>
      <c r="M540" s="27" t="s">
        <v>18789</v>
      </c>
      <c r="N540" s="27" t="s">
        <v>1527</v>
      </c>
      <c r="P540" s="27" t="s">
        <v>18792</v>
      </c>
      <c r="Q540" s="26" t="str">
        <f>HYPERLINK("https://ictv.global/taxonomy/taxondetails?taxnode_id=202521113&amp;ictv_id=ICTV202421113","ICTV202421113")</f>
        <v>ICTV202421113</v>
      </c>
      <c r="R540" t="s">
        <v>579</v>
      </c>
      <c r="S540" t="s">
        <v>823</v>
      </c>
      <c r="T540">
        <v>40</v>
      </c>
      <c r="U540" s="26" t="str">
        <f t="shared" si="24"/>
        <v>2024.045B.Autographivirales.zip</v>
      </c>
    </row>
    <row r="541" spans="1:21">
      <c r="A541">
        <v>540</v>
      </c>
      <c r="B541" s="27" t="s">
        <v>1449</v>
      </c>
      <c r="D541" s="27" t="s">
        <v>1450</v>
      </c>
      <c r="F541" s="27" t="s">
        <v>1453</v>
      </c>
      <c r="H541" s="27" t="s">
        <v>1454</v>
      </c>
      <c r="J541" s="27" t="s">
        <v>18547</v>
      </c>
      <c r="L541" s="27" t="s">
        <v>18627</v>
      </c>
      <c r="M541" s="27" t="s">
        <v>18789</v>
      </c>
      <c r="N541" s="27" t="s">
        <v>1527</v>
      </c>
      <c r="P541" s="27" t="s">
        <v>4456</v>
      </c>
      <c r="Q541" s="26" t="str">
        <f>HYPERLINK("https://ictv.global/taxonomy/taxondetails?taxnode_id=202508230&amp;ictv_id=ICTV201908230","ICTV201908230")</f>
        <v>ICTV201908230</v>
      </c>
      <c r="R541" t="s">
        <v>579</v>
      </c>
      <c r="S541" t="s">
        <v>22763</v>
      </c>
      <c r="T541">
        <v>40</v>
      </c>
      <c r="U541" s="26" t="str">
        <f t="shared" si="24"/>
        <v>2024.045B.Autographivirales.zip</v>
      </c>
    </row>
    <row r="542" spans="1:21">
      <c r="A542">
        <v>541</v>
      </c>
      <c r="B542" s="27" t="s">
        <v>1449</v>
      </c>
      <c r="D542" s="27" t="s">
        <v>1450</v>
      </c>
      <c r="F542" s="27" t="s">
        <v>1453</v>
      </c>
      <c r="H542" s="27" t="s">
        <v>1454</v>
      </c>
      <c r="J542" s="27" t="s">
        <v>18547</v>
      </c>
      <c r="L542" s="27" t="s">
        <v>18627</v>
      </c>
      <c r="M542" s="27" t="s">
        <v>18789</v>
      </c>
      <c r="N542" s="27" t="s">
        <v>1527</v>
      </c>
      <c r="P542" s="27" t="s">
        <v>18793</v>
      </c>
      <c r="Q542" s="26" t="str">
        <f>HYPERLINK("https://ictv.global/taxonomy/taxondetails?taxnode_id=202521117&amp;ictv_id=ICTV202421117","ICTV202421117")</f>
        <v>ICTV202421117</v>
      </c>
      <c r="R542" t="s">
        <v>579</v>
      </c>
      <c r="S542" t="s">
        <v>823</v>
      </c>
      <c r="T542">
        <v>40</v>
      </c>
      <c r="U542" s="26" t="str">
        <f t="shared" si="24"/>
        <v>2024.045B.Autographivirales.zip</v>
      </c>
    </row>
    <row r="543" spans="1:21">
      <c r="A543">
        <v>542</v>
      </c>
      <c r="B543" s="27" t="s">
        <v>1449</v>
      </c>
      <c r="D543" s="27" t="s">
        <v>1450</v>
      </c>
      <c r="F543" s="27" t="s">
        <v>1453</v>
      </c>
      <c r="H543" s="27" t="s">
        <v>1454</v>
      </c>
      <c r="J543" s="27" t="s">
        <v>18547</v>
      </c>
      <c r="L543" s="27" t="s">
        <v>18627</v>
      </c>
      <c r="M543" s="27" t="s">
        <v>18789</v>
      </c>
      <c r="N543" s="27" t="s">
        <v>1527</v>
      </c>
      <c r="P543" s="27" t="s">
        <v>18794</v>
      </c>
      <c r="Q543" s="26" t="str">
        <f>HYPERLINK("https://ictv.global/taxonomy/taxondetails?taxnode_id=202521112&amp;ictv_id=ICTV202421112","ICTV202421112")</f>
        <v>ICTV202421112</v>
      </c>
      <c r="R543" t="s">
        <v>579</v>
      </c>
      <c r="S543" t="s">
        <v>823</v>
      </c>
      <c r="T543">
        <v>40</v>
      </c>
      <c r="U543" s="26" t="str">
        <f t="shared" si="24"/>
        <v>2024.045B.Autographivirales.zip</v>
      </c>
    </row>
    <row r="544" spans="1:21">
      <c r="A544">
        <v>543</v>
      </c>
      <c r="B544" s="27" t="s">
        <v>1449</v>
      </c>
      <c r="D544" s="27" t="s">
        <v>1450</v>
      </c>
      <c r="F544" s="27" t="s">
        <v>1453</v>
      </c>
      <c r="H544" s="27" t="s">
        <v>1454</v>
      </c>
      <c r="J544" s="27" t="s">
        <v>18547</v>
      </c>
      <c r="L544" s="27" t="s">
        <v>18627</v>
      </c>
      <c r="M544" s="27" t="s">
        <v>18789</v>
      </c>
      <c r="N544" s="27" t="s">
        <v>1527</v>
      </c>
      <c r="P544" s="27" t="s">
        <v>18795</v>
      </c>
      <c r="Q544" s="26" t="str">
        <f>HYPERLINK("https://ictv.global/taxonomy/taxondetails?taxnode_id=202521118&amp;ictv_id=ICTV202421118","ICTV202421118")</f>
        <v>ICTV202421118</v>
      </c>
      <c r="R544" t="s">
        <v>579</v>
      </c>
      <c r="S544" t="s">
        <v>823</v>
      </c>
      <c r="T544">
        <v>40</v>
      </c>
      <c r="U544" s="26" t="str">
        <f t="shared" si="24"/>
        <v>2024.045B.Autographivirales.zip</v>
      </c>
    </row>
    <row r="545" spans="1:21">
      <c r="A545">
        <v>544</v>
      </c>
      <c r="B545" s="27" t="s">
        <v>1449</v>
      </c>
      <c r="D545" s="27" t="s">
        <v>1450</v>
      </c>
      <c r="F545" s="27" t="s">
        <v>1453</v>
      </c>
      <c r="H545" s="27" t="s">
        <v>1454</v>
      </c>
      <c r="J545" s="27" t="s">
        <v>18547</v>
      </c>
      <c r="L545" s="27" t="s">
        <v>18627</v>
      </c>
      <c r="M545" s="27" t="s">
        <v>18789</v>
      </c>
      <c r="N545" s="27" t="s">
        <v>1527</v>
      </c>
      <c r="P545" s="27" t="s">
        <v>18796</v>
      </c>
      <c r="Q545" s="26" t="str">
        <f>HYPERLINK("https://ictv.global/taxonomy/taxondetails?taxnode_id=202521114&amp;ictv_id=ICTV202421114","ICTV202421114")</f>
        <v>ICTV202421114</v>
      </c>
      <c r="R545" t="s">
        <v>579</v>
      </c>
      <c r="S545" t="s">
        <v>823</v>
      </c>
      <c r="T545">
        <v>40</v>
      </c>
      <c r="U545" s="26" t="str">
        <f t="shared" si="24"/>
        <v>2024.045B.Autographivirales.zip</v>
      </c>
    </row>
    <row r="546" spans="1:21">
      <c r="A546">
        <v>545</v>
      </c>
      <c r="B546" s="27" t="s">
        <v>1449</v>
      </c>
      <c r="D546" s="27" t="s">
        <v>1450</v>
      </c>
      <c r="F546" s="27" t="s">
        <v>1453</v>
      </c>
      <c r="H546" s="27" t="s">
        <v>1454</v>
      </c>
      <c r="J546" s="27" t="s">
        <v>18547</v>
      </c>
      <c r="L546" s="27" t="s">
        <v>18627</v>
      </c>
      <c r="M546" s="27" t="s">
        <v>18789</v>
      </c>
      <c r="N546" s="27" t="s">
        <v>1600</v>
      </c>
      <c r="P546" s="27" t="s">
        <v>4512</v>
      </c>
      <c r="Q546" s="26" t="str">
        <f>HYPERLINK("https://ictv.global/taxonomy/taxondetails?taxnode_id=202500569&amp;ictv_id=ICTV20125860","ICTV20125860")</f>
        <v>ICTV20125860</v>
      </c>
      <c r="R546" t="s">
        <v>579</v>
      </c>
      <c r="S546" t="s">
        <v>22763</v>
      </c>
      <c r="T546">
        <v>40</v>
      </c>
      <c r="U546" s="26" t="str">
        <f t="shared" si="24"/>
        <v>2024.045B.Autographivirales.zip</v>
      </c>
    </row>
    <row r="547" spans="1:21">
      <c r="A547">
        <v>546</v>
      </c>
      <c r="B547" s="27" t="s">
        <v>1449</v>
      </c>
      <c r="D547" s="27" t="s">
        <v>1450</v>
      </c>
      <c r="F547" s="27" t="s">
        <v>1453</v>
      </c>
      <c r="H547" s="27" t="s">
        <v>1454</v>
      </c>
      <c r="J547" s="27" t="s">
        <v>18547</v>
      </c>
      <c r="L547" s="27" t="s">
        <v>18627</v>
      </c>
      <c r="N547" s="27" t="s">
        <v>18797</v>
      </c>
      <c r="P547" s="27" t="s">
        <v>18798</v>
      </c>
      <c r="Q547" s="26" t="str">
        <f>HYPERLINK("https://ictv.global/taxonomy/taxondetails?taxnode_id=202521163&amp;ictv_id=ICTV202421163","ICTV202421163")</f>
        <v>ICTV202421163</v>
      </c>
      <c r="R547" t="s">
        <v>579</v>
      </c>
      <c r="S547" t="s">
        <v>823</v>
      </c>
      <c r="T547">
        <v>40</v>
      </c>
      <c r="U547" s="26" t="str">
        <f t="shared" si="24"/>
        <v>2024.045B.Autographivirales.zip</v>
      </c>
    </row>
    <row r="548" spans="1:21">
      <c r="A548">
        <v>547</v>
      </c>
      <c r="B548" s="27" t="s">
        <v>1449</v>
      </c>
      <c r="D548" s="27" t="s">
        <v>1450</v>
      </c>
      <c r="F548" s="27" t="s">
        <v>1453</v>
      </c>
      <c r="H548" s="27" t="s">
        <v>1454</v>
      </c>
      <c r="J548" s="27" t="s">
        <v>18547</v>
      </c>
      <c r="L548" s="27" t="s">
        <v>18627</v>
      </c>
      <c r="N548" s="27" t="s">
        <v>18797</v>
      </c>
      <c r="P548" s="27" t="s">
        <v>18799</v>
      </c>
      <c r="Q548" s="26" t="str">
        <f>HYPERLINK("https://ictv.global/taxonomy/taxondetails?taxnode_id=202521162&amp;ictv_id=ICTV202421162","ICTV202421162")</f>
        <v>ICTV202421162</v>
      </c>
      <c r="R548" t="s">
        <v>579</v>
      </c>
      <c r="S548" t="s">
        <v>823</v>
      </c>
      <c r="T548">
        <v>40</v>
      </c>
      <c r="U548" s="26" t="str">
        <f t="shared" si="24"/>
        <v>2024.045B.Autographivirales.zip</v>
      </c>
    </row>
    <row r="549" spans="1:21">
      <c r="A549">
        <v>548</v>
      </c>
      <c r="B549" s="27" t="s">
        <v>1449</v>
      </c>
      <c r="D549" s="27" t="s">
        <v>1450</v>
      </c>
      <c r="F549" s="27" t="s">
        <v>1453</v>
      </c>
      <c r="H549" s="27" t="s">
        <v>1454</v>
      </c>
      <c r="J549" s="27" t="s">
        <v>18547</v>
      </c>
      <c r="L549" s="27" t="s">
        <v>18627</v>
      </c>
      <c r="N549" s="27" t="s">
        <v>18797</v>
      </c>
      <c r="P549" s="27" t="s">
        <v>18800</v>
      </c>
      <c r="Q549" s="26" t="str">
        <f>HYPERLINK("https://ictv.global/taxonomy/taxondetails?taxnode_id=202521164&amp;ictv_id=ICTV202421164","ICTV202421164")</f>
        <v>ICTV202421164</v>
      </c>
      <c r="R549" t="s">
        <v>579</v>
      </c>
      <c r="S549" t="s">
        <v>823</v>
      </c>
      <c r="T549">
        <v>40</v>
      </c>
      <c r="U549" s="26" t="str">
        <f t="shared" si="24"/>
        <v>2024.045B.Autographivirales.zip</v>
      </c>
    </row>
    <row r="550" spans="1:21">
      <c r="A550">
        <v>549</v>
      </c>
      <c r="B550" s="27" t="s">
        <v>1449</v>
      </c>
      <c r="D550" s="27" t="s">
        <v>1450</v>
      </c>
      <c r="F550" s="27" t="s">
        <v>1453</v>
      </c>
      <c r="H550" s="27" t="s">
        <v>1454</v>
      </c>
      <c r="J550" s="27" t="s">
        <v>18547</v>
      </c>
      <c r="L550" s="27" t="s">
        <v>18627</v>
      </c>
      <c r="N550" s="27" t="s">
        <v>1523</v>
      </c>
      <c r="P550" s="27" t="s">
        <v>4451</v>
      </c>
      <c r="Q550" s="26" t="str">
        <f>HYPERLINK("https://ictv.global/taxonomy/taxondetails?taxnode_id=202508249&amp;ictv_id=ICTV201908249","ICTV201908249")</f>
        <v>ICTV201908249</v>
      </c>
      <c r="R550" t="s">
        <v>579</v>
      </c>
      <c r="S550" t="s">
        <v>22763</v>
      </c>
      <c r="T550">
        <v>40</v>
      </c>
      <c r="U550" s="26" t="str">
        <f t="shared" si="24"/>
        <v>2024.045B.Autographivirales.zip</v>
      </c>
    </row>
    <row r="551" spans="1:21">
      <c r="A551">
        <v>550</v>
      </c>
      <c r="B551" s="27" t="s">
        <v>1449</v>
      </c>
      <c r="D551" s="27" t="s">
        <v>1450</v>
      </c>
      <c r="F551" s="27" t="s">
        <v>1453</v>
      </c>
      <c r="H551" s="27" t="s">
        <v>1454</v>
      </c>
      <c r="J551" s="27" t="s">
        <v>18547</v>
      </c>
      <c r="L551" s="27" t="s">
        <v>18627</v>
      </c>
      <c r="N551" s="27" t="s">
        <v>18801</v>
      </c>
      <c r="P551" s="27" t="s">
        <v>18802</v>
      </c>
      <c r="Q551" s="26" t="str">
        <f>HYPERLINK("https://ictv.global/taxonomy/taxondetails?taxnode_id=202521161&amp;ictv_id=ICTV202421161","ICTV202421161")</f>
        <v>ICTV202421161</v>
      </c>
      <c r="R551" t="s">
        <v>579</v>
      </c>
      <c r="S551" t="s">
        <v>823</v>
      </c>
      <c r="T551">
        <v>40</v>
      </c>
      <c r="U551" s="26" t="str">
        <f t="shared" si="24"/>
        <v>2024.045B.Autographivirales.zip</v>
      </c>
    </row>
    <row r="552" spans="1:21">
      <c r="A552">
        <v>551</v>
      </c>
      <c r="B552" s="27" t="s">
        <v>1449</v>
      </c>
      <c r="D552" s="27" t="s">
        <v>1450</v>
      </c>
      <c r="F552" s="27" t="s">
        <v>1453</v>
      </c>
      <c r="H552" s="27" t="s">
        <v>1454</v>
      </c>
      <c r="J552" s="27" t="s">
        <v>18547</v>
      </c>
      <c r="L552" s="27" t="s">
        <v>18627</v>
      </c>
      <c r="N552" s="27" t="s">
        <v>18803</v>
      </c>
      <c r="P552" s="27" t="s">
        <v>18804</v>
      </c>
      <c r="Q552" s="26" t="str">
        <f>HYPERLINK("https://ictv.global/taxonomy/taxondetails?taxnode_id=202521189&amp;ictv_id=ICTV202421189","ICTV202421189")</f>
        <v>ICTV202421189</v>
      </c>
      <c r="R552" t="s">
        <v>579</v>
      </c>
      <c r="S552" t="s">
        <v>823</v>
      </c>
      <c r="T552">
        <v>40</v>
      </c>
      <c r="U552" s="26" t="str">
        <f t="shared" si="24"/>
        <v>2024.045B.Autographivirales.zip</v>
      </c>
    </row>
    <row r="553" spans="1:21">
      <c r="A553">
        <v>552</v>
      </c>
      <c r="B553" s="27" t="s">
        <v>1449</v>
      </c>
      <c r="D553" s="27" t="s">
        <v>1450</v>
      </c>
      <c r="F553" s="27" t="s">
        <v>1453</v>
      </c>
      <c r="H553" s="27" t="s">
        <v>1454</v>
      </c>
      <c r="J553" s="27" t="s">
        <v>18547</v>
      </c>
      <c r="L553" s="27" t="s">
        <v>18627</v>
      </c>
      <c r="N553" s="27" t="s">
        <v>18803</v>
      </c>
      <c r="P553" s="27" t="s">
        <v>18805</v>
      </c>
      <c r="Q553" s="26" t="str">
        <f>HYPERLINK("https://ictv.global/taxonomy/taxondetails?taxnode_id=202521190&amp;ictv_id=ICTV202421190","ICTV202421190")</f>
        <v>ICTV202421190</v>
      </c>
      <c r="R553" t="s">
        <v>579</v>
      </c>
      <c r="S553" t="s">
        <v>823</v>
      </c>
      <c r="T553">
        <v>40</v>
      </c>
      <c r="U553" s="26" t="str">
        <f t="shared" si="24"/>
        <v>2024.045B.Autographivirales.zip</v>
      </c>
    </row>
    <row r="554" spans="1:21">
      <c r="A554">
        <v>553</v>
      </c>
      <c r="B554" s="27" t="s">
        <v>1449</v>
      </c>
      <c r="D554" s="27" t="s">
        <v>1450</v>
      </c>
      <c r="F554" s="27" t="s">
        <v>1453</v>
      </c>
      <c r="H554" s="27" t="s">
        <v>1454</v>
      </c>
      <c r="J554" s="27" t="s">
        <v>18547</v>
      </c>
      <c r="L554" s="27" t="s">
        <v>18627</v>
      </c>
      <c r="N554" s="27" t="s">
        <v>18806</v>
      </c>
      <c r="P554" s="27" t="s">
        <v>18807</v>
      </c>
      <c r="Q554" s="26" t="str">
        <f>HYPERLINK("https://ictv.global/taxonomy/taxondetails?taxnode_id=202521196&amp;ictv_id=ICTV202421196","ICTV202421196")</f>
        <v>ICTV202421196</v>
      </c>
      <c r="R554" t="s">
        <v>579</v>
      </c>
      <c r="S554" t="s">
        <v>823</v>
      </c>
      <c r="T554">
        <v>40</v>
      </c>
      <c r="U554" s="26" t="str">
        <f t="shared" si="24"/>
        <v>2024.045B.Autographivirales.zip</v>
      </c>
    </row>
    <row r="555" spans="1:21">
      <c r="A555">
        <v>554</v>
      </c>
      <c r="B555" s="27" t="s">
        <v>1449</v>
      </c>
      <c r="D555" s="27" t="s">
        <v>1450</v>
      </c>
      <c r="F555" s="27" t="s">
        <v>1453</v>
      </c>
      <c r="H555" s="27" t="s">
        <v>1454</v>
      </c>
      <c r="J555" s="27" t="s">
        <v>18547</v>
      </c>
      <c r="L555" s="27" t="s">
        <v>18627</v>
      </c>
      <c r="N555" s="27" t="s">
        <v>1544</v>
      </c>
      <c r="P555" s="27" t="s">
        <v>4469</v>
      </c>
      <c r="Q555" s="26" t="str">
        <f>HYPERLINK("https://ictv.global/taxonomy/taxondetails?taxnode_id=202508247&amp;ictv_id=ICTV201908247","ICTV201908247")</f>
        <v>ICTV201908247</v>
      </c>
      <c r="R555" t="s">
        <v>579</v>
      </c>
      <c r="S555" t="s">
        <v>22763</v>
      </c>
      <c r="T555">
        <v>40</v>
      </c>
      <c r="U555" s="26" t="str">
        <f t="shared" si="24"/>
        <v>2024.045B.Autographivirales.zip</v>
      </c>
    </row>
    <row r="556" spans="1:21">
      <c r="A556">
        <v>555</v>
      </c>
      <c r="B556" s="27" t="s">
        <v>1449</v>
      </c>
      <c r="D556" s="27" t="s">
        <v>1450</v>
      </c>
      <c r="F556" s="27" t="s">
        <v>1453</v>
      </c>
      <c r="H556" s="27" t="s">
        <v>1454</v>
      </c>
      <c r="J556" s="27" t="s">
        <v>18547</v>
      </c>
      <c r="L556" s="27" t="s">
        <v>18627</v>
      </c>
      <c r="N556" s="27" t="s">
        <v>18808</v>
      </c>
      <c r="P556" s="27" t="s">
        <v>18809</v>
      </c>
      <c r="Q556" s="26" t="str">
        <f>HYPERLINK("https://ictv.global/taxonomy/taxondetails?taxnode_id=202521218&amp;ictv_id=ICTV202421218","ICTV202421218")</f>
        <v>ICTV202421218</v>
      </c>
      <c r="R556" t="s">
        <v>579</v>
      </c>
      <c r="S556" t="s">
        <v>823</v>
      </c>
      <c r="T556">
        <v>40</v>
      </c>
      <c r="U556" s="26" t="str">
        <f t="shared" si="24"/>
        <v>2024.045B.Autographivirales.zip</v>
      </c>
    </row>
    <row r="557" spans="1:21">
      <c r="A557">
        <v>556</v>
      </c>
      <c r="B557" s="27" t="s">
        <v>1449</v>
      </c>
      <c r="D557" s="27" t="s">
        <v>1450</v>
      </c>
      <c r="F557" s="27" t="s">
        <v>1453</v>
      </c>
      <c r="H557" s="27" t="s">
        <v>1454</v>
      </c>
      <c r="J557" s="27" t="s">
        <v>18547</v>
      </c>
      <c r="L557" s="27" t="s">
        <v>18627</v>
      </c>
      <c r="N557" s="27" t="s">
        <v>1558</v>
      </c>
      <c r="P557" s="27" t="s">
        <v>18810</v>
      </c>
      <c r="Q557" s="26" t="str">
        <f>HYPERLINK("https://ictv.global/taxonomy/taxondetails?taxnode_id=202521073&amp;ictv_id=ICTV202421073","ICTV202421073")</f>
        <v>ICTV202421073</v>
      </c>
      <c r="R557" t="s">
        <v>579</v>
      </c>
      <c r="S557" t="s">
        <v>823</v>
      </c>
      <c r="T557">
        <v>40</v>
      </c>
      <c r="U557" s="26" t="str">
        <f t="shared" si="24"/>
        <v>2024.045B.Autographivirales.zip</v>
      </c>
    </row>
    <row r="558" spans="1:21">
      <c r="A558">
        <v>557</v>
      </c>
      <c r="B558" s="27" t="s">
        <v>1449</v>
      </c>
      <c r="D558" s="27" t="s">
        <v>1450</v>
      </c>
      <c r="F558" s="27" t="s">
        <v>1453</v>
      </c>
      <c r="H558" s="27" t="s">
        <v>1454</v>
      </c>
      <c r="J558" s="27" t="s">
        <v>18547</v>
      </c>
      <c r="L558" s="27" t="s">
        <v>18627</v>
      </c>
      <c r="N558" s="27" t="s">
        <v>1558</v>
      </c>
      <c r="P558" s="27" t="s">
        <v>18811</v>
      </c>
      <c r="Q558" s="26" t="str">
        <f>HYPERLINK("https://ictv.global/taxonomy/taxondetails?taxnode_id=202521066&amp;ictv_id=ICTV202421066","ICTV202421066")</f>
        <v>ICTV202421066</v>
      </c>
      <c r="R558" t="s">
        <v>579</v>
      </c>
      <c r="S558" t="s">
        <v>823</v>
      </c>
      <c r="T558">
        <v>40</v>
      </c>
      <c r="U558" s="26" t="str">
        <f t="shared" si="24"/>
        <v>2024.045B.Autographivirales.zip</v>
      </c>
    </row>
    <row r="559" spans="1:21">
      <c r="A559">
        <v>558</v>
      </c>
      <c r="B559" s="27" t="s">
        <v>1449</v>
      </c>
      <c r="D559" s="27" t="s">
        <v>1450</v>
      </c>
      <c r="F559" s="27" t="s">
        <v>1453</v>
      </c>
      <c r="H559" s="27" t="s">
        <v>1454</v>
      </c>
      <c r="J559" s="27" t="s">
        <v>18547</v>
      </c>
      <c r="L559" s="27" t="s">
        <v>18627</v>
      </c>
      <c r="N559" s="27" t="s">
        <v>1558</v>
      </c>
      <c r="P559" s="27" t="s">
        <v>18812</v>
      </c>
      <c r="Q559" s="26" t="str">
        <f>HYPERLINK("https://ictv.global/taxonomy/taxondetails?taxnode_id=202521071&amp;ictv_id=ICTV202421071","ICTV202421071")</f>
        <v>ICTV202421071</v>
      </c>
      <c r="R559" t="s">
        <v>579</v>
      </c>
      <c r="S559" t="s">
        <v>823</v>
      </c>
      <c r="T559">
        <v>40</v>
      </c>
      <c r="U559" s="26" t="str">
        <f t="shared" si="24"/>
        <v>2024.045B.Autographivirales.zip</v>
      </c>
    </row>
    <row r="560" spans="1:21">
      <c r="A560">
        <v>559</v>
      </c>
      <c r="B560" s="27" t="s">
        <v>1449</v>
      </c>
      <c r="D560" s="27" t="s">
        <v>1450</v>
      </c>
      <c r="F560" s="27" t="s">
        <v>1453</v>
      </c>
      <c r="H560" s="27" t="s">
        <v>1454</v>
      </c>
      <c r="J560" s="27" t="s">
        <v>18547</v>
      </c>
      <c r="L560" s="27" t="s">
        <v>18627</v>
      </c>
      <c r="N560" s="27" t="s">
        <v>1558</v>
      </c>
      <c r="P560" s="27" t="s">
        <v>18813</v>
      </c>
      <c r="Q560" s="26" t="str">
        <f>HYPERLINK("https://ictv.global/taxonomy/taxondetails?taxnode_id=202521064&amp;ictv_id=ICTV202421064","ICTV202421064")</f>
        <v>ICTV202421064</v>
      </c>
      <c r="R560" t="s">
        <v>579</v>
      </c>
      <c r="S560" t="s">
        <v>823</v>
      </c>
      <c r="T560">
        <v>40</v>
      </c>
      <c r="U560" s="26" t="str">
        <f t="shared" si="24"/>
        <v>2024.045B.Autographivirales.zip</v>
      </c>
    </row>
    <row r="561" spans="1:21">
      <c r="A561">
        <v>560</v>
      </c>
      <c r="B561" s="27" t="s">
        <v>1449</v>
      </c>
      <c r="D561" s="27" t="s">
        <v>1450</v>
      </c>
      <c r="F561" s="27" t="s">
        <v>1453</v>
      </c>
      <c r="H561" s="27" t="s">
        <v>1454</v>
      </c>
      <c r="J561" s="27" t="s">
        <v>18547</v>
      </c>
      <c r="L561" s="27" t="s">
        <v>18627</v>
      </c>
      <c r="N561" s="27" t="s">
        <v>1558</v>
      </c>
      <c r="P561" s="27" t="s">
        <v>18814</v>
      </c>
      <c r="Q561" s="26" t="str">
        <f>HYPERLINK("https://ictv.global/taxonomy/taxondetails?taxnode_id=202521067&amp;ictv_id=ICTV202421067","ICTV202421067")</f>
        <v>ICTV202421067</v>
      </c>
      <c r="R561" t="s">
        <v>579</v>
      </c>
      <c r="S561" t="s">
        <v>823</v>
      </c>
      <c r="T561">
        <v>40</v>
      </c>
      <c r="U561" s="26" t="str">
        <f t="shared" si="24"/>
        <v>2024.045B.Autographivirales.zip</v>
      </c>
    </row>
    <row r="562" spans="1:21">
      <c r="A562">
        <v>561</v>
      </c>
      <c r="B562" s="27" t="s">
        <v>1449</v>
      </c>
      <c r="D562" s="27" t="s">
        <v>1450</v>
      </c>
      <c r="F562" s="27" t="s">
        <v>1453</v>
      </c>
      <c r="H562" s="27" t="s">
        <v>1454</v>
      </c>
      <c r="J562" s="27" t="s">
        <v>18547</v>
      </c>
      <c r="L562" s="27" t="s">
        <v>18627</v>
      </c>
      <c r="N562" s="27" t="s">
        <v>1558</v>
      </c>
      <c r="P562" s="27" t="s">
        <v>18815</v>
      </c>
      <c r="Q562" s="26" t="str">
        <f>HYPERLINK("https://ictv.global/taxonomy/taxondetails?taxnode_id=202521062&amp;ictv_id=ICTV202421062","ICTV202421062")</f>
        <v>ICTV202421062</v>
      </c>
      <c r="R562" t="s">
        <v>579</v>
      </c>
      <c r="S562" t="s">
        <v>823</v>
      </c>
      <c r="T562">
        <v>40</v>
      </c>
      <c r="U562" s="26" t="str">
        <f t="shared" si="24"/>
        <v>2024.045B.Autographivirales.zip</v>
      </c>
    </row>
    <row r="563" spans="1:21">
      <c r="A563">
        <v>562</v>
      </c>
      <c r="B563" s="27" t="s">
        <v>1449</v>
      </c>
      <c r="D563" s="27" t="s">
        <v>1450</v>
      </c>
      <c r="F563" s="27" t="s">
        <v>1453</v>
      </c>
      <c r="H563" s="27" t="s">
        <v>1454</v>
      </c>
      <c r="J563" s="27" t="s">
        <v>18547</v>
      </c>
      <c r="L563" s="27" t="s">
        <v>18627</v>
      </c>
      <c r="N563" s="27" t="s">
        <v>1558</v>
      </c>
      <c r="P563" s="27" t="s">
        <v>18816</v>
      </c>
      <c r="Q563" s="26" t="str">
        <f>HYPERLINK("https://ictv.global/taxonomy/taxondetails?taxnode_id=202521063&amp;ictv_id=ICTV202421063","ICTV202421063")</f>
        <v>ICTV202421063</v>
      </c>
      <c r="R563" t="s">
        <v>579</v>
      </c>
      <c r="S563" t="s">
        <v>823</v>
      </c>
      <c r="T563">
        <v>40</v>
      </c>
      <c r="U563" s="26" t="str">
        <f t="shared" si="24"/>
        <v>2024.045B.Autographivirales.zip</v>
      </c>
    </row>
    <row r="564" spans="1:21">
      <c r="A564">
        <v>563</v>
      </c>
      <c r="B564" s="27" t="s">
        <v>1449</v>
      </c>
      <c r="D564" s="27" t="s">
        <v>1450</v>
      </c>
      <c r="F564" s="27" t="s">
        <v>1453</v>
      </c>
      <c r="H564" s="27" t="s">
        <v>1454</v>
      </c>
      <c r="J564" s="27" t="s">
        <v>18547</v>
      </c>
      <c r="L564" s="27" t="s">
        <v>18627</v>
      </c>
      <c r="N564" s="27" t="s">
        <v>1558</v>
      </c>
      <c r="P564" s="27" t="s">
        <v>18817</v>
      </c>
      <c r="Q564" s="26" t="str">
        <f>HYPERLINK("https://ictv.global/taxonomy/taxondetails?taxnode_id=202521068&amp;ictv_id=ICTV202421068","ICTV202421068")</f>
        <v>ICTV202421068</v>
      </c>
      <c r="R564" t="s">
        <v>579</v>
      </c>
      <c r="S564" t="s">
        <v>823</v>
      </c>
      <c r="T564">
        <v>40</v>
      </c>
      <c r="U564" s="26" t="str">
        <f t="shared" si="24"/>
        <v>2024.045B.Autographivirales.zip</v>
      </c>
    </row>
    <row r="565" spans="1:21">
      <c r="A565">
        <v>564</v>
      </c>
      <c r="B565" s="27" t="s">
        <v>1449</v>
      </c>
      <c r="D565" s="27" t="s">
        <v>1450</v>
      </c>
      <c r="F565" s="27" t="s">
        <v>1453</v>
      </c>
      <c r="H565" s="27" t="s">
        <v>1454</v>
      </c>
      <c r="J565" s="27" t="s">
        <v>18547</v>
      </c>
      <c r="L565" s="27" t="s">
        <v>18627</v>
      </c>
      <c r="N565" s="27" t="s">
        <v>1558</v>
      </c>
      <c r="P565" s="27" t="s">
        <v>18818</v>
      </c>
      <c r="Q565" s="26" t="str">
        <f>HYPERLINK("https://ictv.global/taxonomy/taxondetails?taxnode_id=202521060&amp;ictv_id=ICTV202421060","ICTV202421060")</f>
        <v>ICTV202421060</v>
      </c>
      <c r="R565" t="s">
        <v>579</v>
      </c>
      <c r="S565" t="s">
        <v>823</v>
      </c>
      <c r="T565">
        <v>40</v>
      </c>
      <c r="U565" s="26" t="str">
        <f t="shared" si="24"/>
        <v>2024.045B.Autographivirales.zip</v>
      </c>
    </row>
    <row r="566" spans="1:21">
      <c r="A566">
        <v>565</v>
      </c>
      <c r="B566" s="27" t="s">
        <v>1449</v>
      </c>
      <c r="D566" s="27" t="s">
        <v>1450</v>
      </c>
      <c r="F566" s="27" t="s">
        <v>1453</v>
      </c>
      <c r="H566" s="27" t="s">
        <v>1454</v>
      </c>
      <c r="J566" s="27" t="s">
        <v>18547</v>
      </c>
      <c r="L566" s="27" t="s">
        <v>18627</v>
      </c>
      <c r="N566" s="27" t="s">
        <v>1558</v>
      </c>
      <c r="P566" s="27" t="s">
        <v>18819</v>
      </c>
      <c r="Q566" s="26" t="str">
        <f>HYPERLINK("https://ictv.global/taxonomy/taxondetails?taxnode_id=202521072&amp;ictv_id=ICTV202421072","ICTV202421072")</f>
        <v>ICTV202421072</v>
      </c>
      <c r="R566" t="s">
        <v>579</v>
      </c>
      <c r="S566" t="s">
        <v>823</v>
      </c>
      <c r="T566">
        <v>40</v>
      </c>
      <c r="U566" s="26" t="str">
        <f t="shared" si="24"/>
        <v>2024.045B.Autographivirales.zip</v>
      </c>
    </row>
    <row r="567" spans="1:21">
      <c r="A567">
        <v>566</v>
      </c>
      <c r="B567" s="27" t="s">
        <v>1449</v>
      </c>
      <c r="D567" s="27" t="s">
        <v>1450</v>
      </c>
      <c r="F567" s="27" t="s">
        <v>1453</v>
      </c>
      <c r="H567" s="27" t="s">
        <v>1454</v>
      </c>
      <c r="J567" s="27" t="s">
        <v>18547</v>
      </c>
      <c r="L567" s="27" t="s">
        <v>18627</v>
      </c>
      <c r="N567" s="27" t="s">
        <v>1558</v>
      </c>
      <c r="P567" s="27" t="s">
        <v>18820</v>
      </c>
      <c r="Q567" s="26" t="str">
        <f>HYPERLINK("https://ictv.global/taxonomy/taxondetails?taxnode_id=202521069&amp;ictv_id=ICTV202421069","ICTV202421069")</f>
        <v>ICTV202421069</v>
      </c>
      <c r="R567" t="s">
        <v>579</v>
      </c>
      <c r="S567" t="s">
        <v>823</v>
      </c>
      <c r="T567">
        <v>40</v>
      </c>
      <c r="U567" s="26" t="str">
        <f t="shared" si="24"/>
        <v>2024.045B.Autographivirales.zip</v>
      </c>
    </row>
    <row r="568" spans="1:21">
      <c r="A568">
        <v>567</v>
      </c>
      <c r="B568" s="27" t="s">
        <v>1449</v>
      </c>
      <c r="D568" s="27" t="s">
        <v>1450</v>
      </c>
      <c r="F568" s="27" t="s">
        <v>1453</v>
      </c>
      <c r="H568" s="27" t="s">
        <v>1454</v>
      </c>
      <c r="J568" s="27" t="s">
        <v>18547</v>
      </c>
      <c r="L568" s="27" t="s">
        <v>18627</v>
      </c>
      <c r="N568" s="27" t="s">
        <v>1558</v>
      </c>
      <c r="P568" s="27" t="s">
        <v>4481</v>
      </c>
      <c r="Q568" s="26" t="str">
        <f>HYPERLINK("https://ictv.global/taxonomy/taxondetails?taxnode_id=202508198&amp;ictv_id=ICTV201908198","ICTV201908198")</f>
        <v>ICTV201908198</v>
      </c>
      <c r="R568" t="s">
        <v>579</v>
      </c>
      <c r="S568" t="s">
        <v>22763</v>
      </c>
      <c r="T568">
        <v>40</v>
      </c>
      <c r="U568" s="26" t="str">
        <f t="shared" si="24"/>
        <v>2024.045B.Autographivirales.zip</v>
      </c>
    </row>
    <row r="569" spans="1:21">
      <c r="A569">
        <v>568</v>
      </c>
      <c r="B569" s="27" t="s">
        <v>1449</v>
      </c>
      <c r="D569" s="27" t="s">
        <v>1450</v>
      </c>
      <c r="F569" s="27" t="s">
        <v>1453</v>
      </c>
      <c r="H569" s="27" t="s">
        <v>1454</v>
      </c>
      <c r="J569" s="27" t="s">
        <v>18547</v>
      </c>
      <c r="L569" s="27" t="s">
        <v>18627</v>
      </c>
      <c r="N569" s="27" t="s">
        <v>1558</v>
      </c>
      <c r="P569" s="27" t="s">
        <v>4482</v>
      </c>
      <c r="Q569" s="26" t="str">
        <f>HYPERLINK("https://ictv.global/taxonomy/taxondetails?taxnode_id=202508199&amp;ictv_id=ICTV201908199","ICTV201908199")</f>
        <v>ICTV201908199</v>
      </c>
      <c r="R569" t="s">
        <v>579</v>
      </c>
      <c r="S569" t="s">
        <v>22763</v>
      </c>
      <c r="T569">
        <v>40</v>
      </c>
      <c r="U569" s="26" t="str">
        <f t="shared" si="24"/>
        <v>2024.045B.Autographivirales.zip</v>
      </c>
    </row>
    <row r="570" spans="1:21">
      <c r="A570">
        <v>569</v>
      </c>
      <c r="B570" s="27" t="s">
        <v>1449</v>
      </c>
      <c r="D570" s="27" t="s">
        <v>1450</v>
      </c>
      <c r="F570" s="27" t="s">
        <v>1453</v>
      </c>
      <c r="H570" s="27" t="s">
        <v>1454</v>
      </c>
      <c r="J570" s="27" t="s">
        <v>18547</v>
      </c>
      <c r="L570" s="27" t="s">
        <v>18627</v>
      </c>
      <c r="N570" s="27" t="s">
        <v>1558</v>
      </c>
      <c r="P570" s="27" t="s">
        <v>18821</v>
      </c>
      <c r="Q570" s="26" t="str">
        <f>HYPERLINK("https://ictv.global/taxonomy/taxondetails?taxnode_id=202521070&amp;ictv_id=ICTV202421070","ICTV202421070")</f>
        <v>ICTV202421070</v>
      </c>
      <c r="R570" t="s">
        <v>579</v>
      </c>
      <c r="S570" t="s">
        <v>823</v>
      </c>
      <c r="T570">
        <v>40</v>
      </c>
      <c r="U570" s="26" t="str">
        <f t="shared" si="24"/>
        <v>2024.045B.Autographivirales.zip</v>
      </c>
    </row>
    <row r="571" spans="1:21">
      <c r="A571">
        <v>570</v>
      </c>
      <c r="B571" s="27" t="s">
        <v>1449</v>
      </c>
      <c r="D571" s="27" t="s">
        <v>1450</v>
      </c>
      <c r="F571" s="27" t="s">
        <v>1453</v>
      </c>
      <c r="H571" s="27" t="s">
        <v>1454</v>
      </c>
      <c r="J571" s="27" t="s">
        <v>18547</v>
      </c>
      <c r="L571" s="27" t="s">
        <v>18627</v>
      </c>
      <c r="N571" s="27" t="s">
        <v>1558</v>
      </c>
      <c r="P571" s="27" t="s">
        <v>18822</v>
      </c>
      <c r="Q571" s="26" t="str">
        <f>HYPERLINK("https://ictv.global/taxonomy/taxondetails?taxnode_id=202521061&amp;ictv_id=ICTV202421061","ICTV202421061")</f>
        <v>ICTV202421061</v>
      </c>
      <c r="R571" t="s">
        <v>579</v>
      </c>
      <c r="S571" t="s">
        <v>823</v>
      </c>
      <c r="T571">
        <v>40</v>
      </c>
      <c r="U571" s="26" t="str">
        <f t="shared" si="24"/>
        <v>2024.045B.Autographivirales.zip</v>
      </c>
    </row>
    <row r="572" spans="1:21">
      <c r="A572">
        <v>571</v>
      </c>
      <c r="B572" s="27" t="s">
        <v>1449</v>
      </c>
      <c r="D572" s="27" t="s">
        <v>1450</v>
      </c>
      <c r="F572" s="27" t="s">
        <v>1453</v>
      </c>
      <c r="H572" s="27" t="s">
        <v>1454</v>
      </c>
      <c r="J572" s="27" t="s">
        <v>18547</v>
      </c>
      <c r="L572" s="27" t="s">
        <v>18627</v>
      </c>
      <c r="N572" s="27" t="s">
        <v>1558</v>
      </c>
      <c r="P572" s="27" t="s">
        <v>18823</v>
      </c>
      <c r="Q572" s="26" t="str">
        <f>HYPERLINK("https://ictv.global/taxonomy/taxondetails?taxnode_id=202521065&amp;ictv_id=ICTV202421065","ICTV202421065")</f>
        <v>ICTV202421065</v>
      </c>
      <c r="R572" t="s">
        <v>579</v>
      </c>
      <c r="S572" t="s">
        <v>823</v>
      </c>
      <c r="T572">
        <v>40</v>
      </c>
      <c r="U572" s="26" t="str">
        <f t="shared" si="24"/>
        <v>2024.045B.Autographivirales.zip</v>
      </c>
    </row>
    <row r="573" spans="1:21">
      <c r="A573">
        <v>572</v>
      </c>
      <c r="B573" s="27" t="s">
        <v>1449</v>
      </c>
      <c r="D573" s="27" t="s">
        <v>1450</v>
      </c>
      <c r="F573" s="27" t="s">
        <v>1453</v>
      </c>
      <c r="H573" s="27" t="s">
        <v>1454</v>
      </c>
      <c r="J573" s="27" t="s">
        <v>18547</v>
      </c>
      <c r="L573" s="27" t="s">
        <v>18627</v>
      </c>
      <c r="N573" s="27" t="s">
        <v>1558</v>
      </c>
      <c r="P573" s="27" t="s">
        <v>4483</v>
      </c>
      <c r="Q573" s="26" t="str">
        <f>HYPERLINK("https://ictv.global/taxonomy/taxondetails?taxnode_id=202508197&amp;ictv_id=ICTV201908197","ICTV201908197")</f>
        <v>ICTV201908197</v>
      </c>
      <c r="R573" t="s">
        <v>579</v>
      </c>
      <c r="S573" t="s">
        <v>22763</v>
      </c>
      <c r="T573">
        <v>40</v>
      </c>
      <c r="U573" s="26" t="str">
        <f t="shared" si="24"/>
        <v>2024.045B.Autographivirales.zip</v>
      </c>
    </row>
    <row r="574" spans="1:21">
      <c r="A574">
        <v>573</v>
      </c>
      <c r="B574" s="27" t="s">
        <v>1449</v>
      </c>
      <c r="D574" s="27" t="s">
        <v>1450</v>
      </c>
      <c r="F574" s="27" t="s">
        <v>1453</v>
      </c>
      <c r="H574" s="27" t="s">
        <v>1454</v>
      </c>
      <c r="J574" s="27" t="s">
        <v>18547</v>
      </c>
      <c r="L574" s="27" t="s">
        <v>18627</v>
      </c>
      <c r="N574" s="27" t="s">
        <v>18824</v>
      </c>
      <c r="P574" s="27" t="s">
        <v>18825</v>
      </c>
      <c r="Q574" s="26" t="str">
        <f>HYPERLINK("https://ictv.global/taxonomy/taxondetails?taxnode_id=202521165&amp;ictv_id=ICTV202421165","ICTV202421165")</f>
        <v>ICTV202421165</v>
      </c>
      <c r="R574" t="s">
        <v>579</v>
      </c>
      <c r="S574" t="s">
        <v>823</v>
      </c>
      <c r="T574">
        <v>40</v>
      </c>
      <c r="U574" s="26" t="str">
        <f t="shared" si="24"/>
        <v>2024.045B.Autographivirales.zip</v>
      </c>
    </row>
    <row r="575" spans="1:21">
      <c r="A575">
        <v>574</v>
      </c>
      <c r="B575" s="27" t="s">
        <v>1449</v>
      </c>
      <c r="D575" s="27" t="s">
        <v>1450</v>
      </c>
      <c r="F575" s="27" t="s">
        <v>1453</v>
      </c>
      <c r="H575" s="27" t="s">
        <v>1454</v>
      </c>
      <c r="J575" s="27" t="s">
        <v>18547</v>
      </c>
      <c r="L575" s="27" t="s">
        <v>18627</v>
      </c>
      <c r="N575" s="27" t="s">
        <v>18826</v>
      </c>
      <c r="P575" s="27" t="s">
        <v>18827</v>
      </c>
      <c r="Q575" s="26" t="str">
        <f>HYPERLINK("https://ictv.global/taxonomy/taxondetails?taxnode_id=202521188&amp;ictv_id=ICTV202421188","ICTV202421188")</f>
        <v>ICTV202421188</v>
      </c>
      <c r="R575" t="s">
        <v>579</v>
      </c>
      <c r="S575" t="s">
        <v>823</v>
      </c>
      <c r="T575">
        <v>40</v>
      </c>
      <c r="U575" s="26" t="str">
        <f t="shared" si="24"/>
        <v>2024.045B.Autographivirales.zip</v>
      </c>
    </row>
    <row r="576" spans="1:21">
      <c r="A576">
        <v>575</v>
      </c>
      <c r="B576" s="27" t="s">
        <v>1449</v>
      </c>
      <c r="D576" s="27" t="s">
        <v>1450</v>
      </c>
      <c r="F576" s="27" t="s">
        <v>1453</v>
      </c>
      <c r="H576" s="27" t="s">
        <v>1454</v>
      </c>
      <c r="J576" s="27" t="s">
        <v>18547</v>
      </c>
      <c r="L576" s="27" t="s">
        <v>18627</v>
      </c>
      <c r="N576" s="27" t="s">
        <v>1471</v>
      </c>
      <c r="P576" s="27" t="s">
        <v>4255</v>
      </c>
      <c r="Q576" s="26" t="str">
        <f>HYPERLINK("https://ictv.global/taxonomy/taxondetails?taxnode_id=202500570&amp;ictv_id=ICTV20095337","ICTV20095337")</f>
        <v>ICTV20095337</v>
      </c>
      <c r="R576" t="s">
        <v>579</v>
      </c>
      <c r="S576" t="s">
        <v>22763</v>
      </c>
      <c r="T576">
        <v>40</v>
      </c>
      <c r="U576" s="26" t="str">
        <f t="shared" si="24"/>
        <v>2024.045B.Autographivirales.zip</v>
      </c>
    </row>
    <row r="577" spans="1:21">
      <c r="A577">
        <v>576</v>
      </c>
      <c r="B577" s="27" t="s">
        <v>1449</v>
      </c>
      <c r="D577" s="27" t="s">
        <v>1450</v>
      </c>
      <c r="F577" s="27" t="s">
        <v>1453</v>
      </c>
      <c r="H577" s="27" t="s">
        <v>1454</v>
      </c>
      <c r="J577" s="27" t="s">
        <v>18547</v>
      </c>
      <c r="L577" s="27" t="s">
        <v>18627</v>
      </c>
      <c r="N577" s="27" t="s">
        <v>18828</v>
      </c>
      <c r="P577" s="27" t="s">
        <v>18829</v>
      </c>
      <c r="Q577" s="26" t="str">
        <f>HYPERLINK("https://ictv.global/taxonomy/taxondetails?taxnode_id=202521166&amp;ictv_id=ICTV202421166","ICTV202421166")</f>
        <v>ICTV202421166</v>
      </c>
      <c r="R577" t="s">
        <v>579</v>
      </c>
      <c r="S577" t="s">
        <v>823</v>
      </c>
      <c r="T577">
        <v>40</v>
      </c>
      <c r="U577" s="26" t="str">
        <f t="shared" si="24"/>
        <v>2024.045B.Autographivirales.zip</v>
      </c>
    </row>
    <row r="578" spans="1:21">
      <c r="A578">
        <v>577</v>
      </c>
      <c r="B578" s="27" t="s">
        <v>1449</v>
      </c>
      <c r="D578" s="27" t="s">
        <v>1450</v>
      </c>
      <c r="F578" s="27" t="s">
        <v>1453</v>
      </c>
      <c r="H578" s="27" t="s">
        <v>1454</v>
      </c>
      <c r="J578" s="27" t="s">
        <v>18547</v>
      </c>
      <c r="L578" s="27" t="s">
        <v>18627</v>
      </c>
      <c r="N578" s="27" t="s">
        <v>4256</v>
      </c>
      <c r="P578" s="27" t="s">
        <v>4257</v>
      </c>
      <c r="Q578" s="26" t="str">
        <f>HYPERLINK("https://ictv.global/taxonomy/taxondetails?taxnode_id=202508532&amp;ictv_id=ICTV201908532","ICTV201908532")</f>
        <v>ICTV201908532</v>
      </c>
      <c r="R578" t="s">
        <v>579</v>
      </c>
      <c r="S578" t="s">
        <v>22763</v>
      </c>
      <c r="T578">
        <v>40</v>
      </c>
      <c r="U578" s="26" t="str">
        <f t="shared" si="24"/>
        <v>2024.045B.Autographivirales.zip</v>
      </c>
    </row>
    <row r="579" spans="1:21">
      <c r="A579">
        <v>578</v>
      </c>
      <c r="B579" s="27" t="s">
        <v>1449</v>
      </c>
      <c r="D579" s="27" t="s">
        <v>1450</v>
      </c>
      <c r="F579" s="27" t="s">
        <v>1453</v>
      </c>
      <c r="H579" s="27" t="s">
        <v>1454</v>
      </c>
      <c r="J579" s="27" t="s">
        <v>18547</v>
      </c>
      <c r="L579" s="27" t="s">
        <v>18627</v>
      </c>
      <c r="N579" s="27" t="s">
        <v>4256</v>
      </c>
      <c r="P579" s="27" t="s">
        <v>18830</v>
      </c>
      <c r="Q579" s="26" t="str">
        <f>HYPERLINK("https://ictv.global/taxonomy/taxondetails?taxnode_id=202521159&amp;ictv_id=ICTV202421159","ICTV202421159")</f>
        <v>ICTV202421159</v>
      </c>
      <c r="R579" t="s">
        <v>579</v>
      </c>
      <c r="S579" t="s">
        <v>823</v>
      </c>
      <c r="T579">
        <v>40</v>
      </c>
      <c r="U579" s="26" t="str">
        <f t="shared" si="24"/>
        <v>2024.045B.Autographivirales.zip</v>
      </c>
    </row>
    <row r="580" spans="1:21">
      <c r="A580">
        <v>579</v>
      </c>
      <c r="B580" s="27" t="s">
        <v>1449</v>
      </c>
      <c r="D580" s="27" t="s">
        <v>1450</v>
      </c>
      <c r="F580" s="27" t="s">
        <v>1453</v>
      </c>
      <c r="H580" s="27" t="s">
        <v>1454</v>
      </c>
      <c r="J580" s="27" t="s">
        <v>18547</v>
      </c>
      <c r="L580" s="27" t="s">
        <v>18831</v>
      </c>
      <c r="M580" s="27" t="s">
        <v>1459</v>
      </c>
      <c r="N580" s="27" t="s">
        <v>18832</v>
      </c>
      <c r="P580" s="27" t="s">
        <v>18833</v>
      </c>
      <c r="Q580" s="26" t="str">
        <f>HYPERLINK("https://ictv.global/taxonomy/taxondetails?taxnode_id=202521125&amp;ictv_id=ICTV202421125","ICTV202421125")</f>
        <v>ICTV202421125</v>
      </c>
      <c r="R580" t="s">
        <v>579</v>
      </c>
      <c r="S580" t="s">
        <v>823</v>
      </c>
      <c r="T580">
        <v>40</v>
      </c>
      <c r="U580" s="26" t="str">
        <f t="shared" si="24"/>
        <v>2024.045B.Autographivirales.zip</v>
      </c>
    </row>
    <row r="581" spans="1:21">
      <c r="A581">
        <v>580</v>
      </c>
      <c r="B581" s="27" t="s">
        <v>1449</v>
      </c>
      <c r="D581" s="27" t="s">
        <v>1450</v>
      </c>
      <c r="F581" s="27" t="s">
        <v>1453</v>
      </c>
      <c r="H581" s="27" t="s">
        <v>1454</v>
      </c>
      <c r="J581" s="27" t="s">
        <v>18547</v>
      </c>
      <c r="L581" s="27" t="s">
        <v>18831</v>
      </c>
      <c r="M581" s="27" t="s">
        <v>1459</v>
      </c>
      <c r="N581" s="27" t="s">
        <v>1460</v>
      </c>
      <c r="P581" s="27" t="s">
        <v>4217</v>
      </c>
      <c r="Q581" s="26" t="str">
        <f>HYPERLINK("https://ictv.global/taxonomy/taxondetails?taxnode_id=202508634&amp;ictv_id=ICTV201908634","ICTV201908634")</f>
        <v>ICTV201908634</v>
      </c>
      <c r="R581" t="s">
        <v>579</v>
      </c>
      <c r="S581" t="s">
        <v>22763</v>
      </c>
      <c r="T581">
        <v>40</v>
      </c>
      <c r="U581" s="26" t="str">
        <f t="shared" si="24"/>
        <v>2024.045B.Autographivirales.zip</v>
      </c>
    </row>
    <row r="582" spans="1:21">
      <c r="A582">
        <v>581</v>
      </c>
      <c r="B582" s="27" t="s">
        <v>1449</v>
      </c>
      <c r="D582" s="27" t="s">
        <v>1450</v>
      </c>
      <c r="F582" s="27" t="s">
        <v>1453</v>
      </c>
      <c r="H582" s="27" t="s">
        <v>1454</v>
      </c>
      <c r="J582" s="27" t="s">
        <v>18547</v>
      </c>
      <c r="L582" s="27" t="s">
        <v>18831</v>
      </c>
      <c r="M582" s="27" t="s">
        <v>1459</v>
      </c>
      <c r="N582" s="27" t="s">
        <v>1461</v>
      </c>
      <c r="P582" s="27" t="s">
        <v>4218</v>
      </c>
      <c r="Q582" s="26" t="str">
        <f>HYPERLINK("https://ictv.global/taxonomy/taxondetails?taxnode_id=202508619&amp;ictv_id=ICTV201908619","ICTV201908619")</f>
        <v>ICTV201908619</v>
      </c>
      <c r="R582" t="s">
        <v>579</v>
      </c>
      <c r="S582" t="s">
        <v>22763</v>
      </c>
      <c r="T582">
        <v>40</v>
      </c>
      <c r="U582" s="26" t="str">
        <f t="shared" si="24"/>
        <v>2024.045B.Autographivirales.zip</v>
      </c>
    </row>
    <row r="583" spans="1:21">
      <c r="A583">
        <v>582</v>
      </c>
      <c r="B583" s="27" t="s">
        <v>1449</v>
      </c>
      <c r="D583" s="27" t="s">
        <v>1450</v>
      </c>
      <c r="F583" s="27" t="s">
        <v>1453</v>
      </c>
      <c r="H583" s="27" t="s">
        <v>1454</v>
      </c>
      <c r="J583" s="27" t="s">
        <v>18547</v>
      </c>
      <c r="L583" s="27" t="s">
        <v>18831</v>
      </c>
      <c r="M583" s="27" t="s">
        <v>1459</v>
      </c>
      <c r="N583" s="27" t="s">
        <v>1461</v>
      </c>
      <c r="P583" s="27" t="s">
        <v>18834</v>
      </c>
      <c r="Q583" s="26" t="str">
        <f>HYPERLINK("https://ictv.global/taxonomy/taxondetails?taxnode_id=202521122&amp;ictv_id=ICTV202421122","ICTV202421122")</f>
        <v>ICTV202421122</v>
      </c>
      <c r="R583" t="s">
        <v>579</v>
      </c>
      <c r="S583" t="s">
        <v>823</v>
      </c>
      <c r="T583">
        <v>40</v>
      </c>
      <c r="U583" s="26" t="str">
        <f t="shared" si="24"/>
        <v>2024.045B.Autographivirales.zip</v>
      </c>
    </row>
    <row r="584" spans="1:21">
      <c r="A584">
        <v>583</v>
      </c>
      <c r="B584" s="27" t="s">
        <v>1449</v>
      </c>
      <c r="D584" s="27" t="s">
        <v>1450</v>
      </c>
      <c r="F584" s="27" t="s">
        <v>1453</v>
      </c>
      <c r="H584" s="27" t="s">
        <v>1454</v>
      </c>
      <c r="J584" s="27" t="s">
        <v>18547</v>
      </c>
      <c r="L584" s="27" t="s">
        <v>18831</v>
      </c>
      <c r="M584" s="27" t="s">
        <v>1459</v>
      </c>
      <c r="N584" s="27" t="s">
        <v>1461</v>
      </c>
      <c r="P584" s="27" t="s">
        <v>18835</v>
      </c>
      <c r="Q584" s="26" t="str">
        <f>HYPERLINK("https://ictv.global/taxonomy/taxondetails?taxnode_id=202521121&amp;ictv_id=ICTV202421121","ICTV202421121")</f>
        <v>ICTV202421121</v>
      </c>
      <c r="R584" t="s">
        <v>579</v>
      </c>
      <c r="S584" t="s">
        <v>823</v>
      </c>
      <c r="T584">
        <v>40</v>
      </c>
      <c r="U584" s="26" t="str">
        <f t="shared" si="24"/>
        <v>2024.045B.Autographivirales.zip</v>
      </c>
    </row>
    <row r="585" spans="1:21">
      <c r="A585">
        <v>584</v>
      </c>
      <c r="B585" s="27" t="s">
        <v>1449</v>
      </c>
      <c r="D585" s="27" t="s">
        <v>1450</v>
      </c>
      <c r="F585" s="27" t="s">
        <v>1453</v>
      </c>
      <c r="H585" s="27" t="s">
        <v>1454</v>
      </c>
      <c r="J585" s="27" t="s">
        <v>18547</v>
      </c>
      <c r="L585" s="27" t="s">
        <v>18831</v>
      </c>
      <c r="M585" s="27" t="s">
        <v>1459</v>
      </c>
      <c r="N585" s="27" t="s">
        <v>1461</v>
      </c>
      <c r="P585" s="27" t="s">
        <v>18836</v>
      </c>
      <c r="Q585" s="26" t="str">
        <f>HYPERLINK("https://ictv.global/taxonomy/taxondetails?taxnode_id=202521123&amp;ictv_id=ICTV202421123","ICTV202421123")</f>
        <v>ICTV202421123</v>
      </c>
      <c r="R585" t="s">
        <v>579</v>
      </c>
      <c r="S585" t="s">
        <v>823</v>
      </c>
      <c r="T585">
        <v>40</v>
      </c>
      <c r="U585" s="26" t="str">
        <f t="shared" si="24"/>
        <v>2024.045B.Autographivirales.zip</v>
      </c>
    </row>
    <row r="586" spans="1:21">
      <c r="A586">
        <v>585</v>
      </c>
      <c r="B586" s="27" t="s">
        <v>1449</v>
      </c>
      <c r="D586" s="27" t="s">
        <v>1450</v>
      </c>
      <c r="F586" s="27" t="s">
        <v>1453</v>
      </c>
      <c r="H586" s="27" t="s">
        <v>1454</v>
      </c>
      <c r="J586" s="27" t="s">
        <v>18547</v>
      </c>
      <c r="L586" s="27" t="s">
        <v>18831</v>
      </c>
      <c r="M586" s="27" t="s">
        <v>1459</v>
      </c>
      <c r="N586" s="27" t="s">
        <v>1461</v>
      </c>
      <c r="P586" s="27" t="s">
        <v>4219</v>
      </c>
      <c r="Q586" s="26" t="str">
        <f>HYPERLINK("https://ictv.global/taxonomy/taxondetails?taxnode_id=202508621&amp;ictv_id=ICTV201908621","ICTV201908621")</f>
        <v>ICTV201908621</v>
      </c>
      <c r="R586" t="s">
        <v>579</v>
      </c>
      <c r="S586" t="s">
        <v>22763</v>
      </c>
      <c r="T586">
        <v>40</v>
      </c>
      <c r="U586" s="26" t="str">
        <f t="shared" si="24"/>
        <v>2024.045B.Autographivirales.zip</v>
      </c>
    </row>
    <row r="587" spans="1:21">
      <c r="A587">
        <v>586</v>
      </c>
      <c r="B587" s="27" t="s">
        <v>1449</v>
      </c>
      <c r="D587" s="27" t="s">
        <v>1450</v>
      </c>
      <c r="F587" s="27" t="s">
        <v>1453</v>
      </c>
      <c r="H587" s="27" t="s">
        <v>1454</v>
      </c>
      <c r="J587" s="27" t="s">
        <v>18547</v>
      </c>
      <c r="L587" s="27" t="s">
        <v>18831</v>
      </c>
      <c r="M587" s="27" t="s">
        <v>1459</v>
      </c>
      <c r="N587" s="27" t="s">
        <v>1461</v>
      </c>
      <c r="P587" s="27" t="s">
        <v>18837</v>
      </c>
      <c r="Q587" s="26" t="str">
        <f>HYPERLINK("https://ictv.global/taxonomy/taxondetails?taxnode_id=202521120&amp;ictv_id=ICTV202421120","ICTV202421120")</f>
        <v>ICTV202421120</v>
      </c>
      <c r="R587" t="s">
        <v>579</v>
      </c>
      <c r="S587" t="s">
        <v>823</v>
      </c>
      <c r="T587">
        <v>40</v>
      </c>
      <c r="U587" s="26" t="str">
        <f t="shared" si="24"/>
        <v>2024.045B.Autographivirales.zip</v>
      </c>
    </row>
    <row r="588" spans="1:21">
      <c r="A588">
        <v>587</v>
      </c>
      <c r="B588" s="27" t="s">
        <v>1449</v>
      </c>
      <c r="D588" s="27" t="s">
        <v>1450</v>
      </c>
      <c r="F588" s="27" t="s">
        <v>1453</v>
      </c>
      <c r="H588" s="27" t="s">
        <v>1454</v>
      </c>
      <c r="J588" s="27" t="s">
        <v>18547</v>
      </c>
      <c r="L588" s="27" t="s">
        <v>18831</v>
      </c>
      <c r="M588" s="27" t="s">
        <v>1459</v>
      </c>
      <c r="N588" s="27" t="s">
        <v>1462</v>
      </c>
      <c r="P588" s="27" t="s">
        <v>4220</v>
      </c>
      <c r="Q588" s="26" t="str">
        <f>HYPERLINK("https://ictv.global/taxonomy/taxondetails?taxnode_id=202508623&amp;ictv_id=ICTV201908623","ICTV201908623")</f>
        <v>ICTV201908623</v>
      </c>
      <c r="R588" t="s">
        <v>579</v>
      </c>
      <c r="S588" t="s">
        <v>22763</v>
      </c>
      <c r="T588">
        <v>40</v>
      </c>
      <c r="U588" s="26" t="str">
        <f t="shared" si="24"/>
        <v>2024.045B.Autographivirales.zip</v>
      </c>
    </row>
    <row r="589" spans="1:21">
      <c r="A589">
        <v>588</v>
      </c>
      <c r="B589" s="27" t="s">
        <v>1449</v>
      </c>
      <c r="D589" s="27" t="s">
        <v>1450</v>
      </c>
      <c r="F589" s="27" t="s">
        <v>1453</v>
      </c>
      <c r="H589" s="27" t="s">
        <v>1454</v>
      </c>
      <c r="J589" s="27" t="s">
        <v>18547</v>
      </c>
      <c r="L589" s="27" t="s">
        <v>18831</v>
      </c>
      <c r="M589" s="27" t="s">
        <v>1459</v>
      </c>
      <c r="N589" s="27" t="s">
        <v>18838</v>
      </c>
      <c r="P589" s="27" t="s">
        <v>18839</v>
      </c>
      <c r="Q589" s="26" t="str">
        <f>HYPERLINK("https://ictv.global/taxonomy/taxondetails?taxnode_id=202508628&amp;ictv_id=ICTV201908628","ICTV201908628")</f>
        <v>ICTV201908628</v>
      </c>
      <c r="R589" t="s">
        <v>579</v>
      </c>
      <c r="S589" t="s">
        <v>22764</v>
      </c>
      <c r="T589">
        <v>40</v>
      </c>
      <c r="U589" s="26" t="str">
        <f t="shared" si="24"/>
        <v>2024.045B.Autographivirales.zip</v>
      </c>
    </row>
    <row r="590" spans="1:21">
      <c r="A590">
        <v>589</v>
      </c>
      <c r="B590" s="27" t="s">
        <v>1449</v>
      </c>
      <c r="D590" s="27" t="s">
        <v>1450</v>
      </c>
      <c r="F590" s="27" t="s">
        <v>1453</v>
      </c>
      <c r="H590" s="27" t="s">
        <v>1454</v>
      </c>
      <c r="J590" s="27" t="s">
        <v>18547</v>
      </c>
      <c r="L590" s="27" t="s">
        <v>18831</v>
      </c>
      <c r="M590" s="27" t="s">
        <v>1459</v>
      </c>
      <c r="N590" s="27" t="s">
        <v>18838</v>
      </c>
      <c r="P590" s="27" t="s">
        <v>18840</v>
      </c>
      <c r="Q590" s="26" t="str">
        <f>HYPERLINK("https://ictv.global/taxonomy/taxondetails?taxnode_id=202508629&amp;ictv_id=ICTV201908629","ICTV201908629")</f>
        <v>ICTV201908629</v>
      </c>
      <c r="R590" t="s">
        <v>579</v>
      </c>
      <c r="S590" t="s">
        <v>22764</v>
      </c>
      <c r="T590">
        <v>40</v>
      </c>
      <c r="U590" s="26" t="str">
        <f t="shared" si="24"/>
        <v>2024.045B.Autographivirales.zip</v>
      </c>
    </row>
    <row r="591" spans="1:21">
      <c r="A591">
        <v>590</v>
      </c>
      <c r="B591" s="27" t="s">
        <v>1449</v>
      </c>
      <c r="D591" s="27" t="s">
        <v>1450</v>
      </c>
      <c r="F591" s="27" t="s">
        <v>1453</v>
      </c>
      <c r="H591" s="27" t="s">
        <v>1454</v>
      </c>
      <c r="J591" s="27" t="s">
        <v>18547</v>
      </c>
      <c r="L591" s="27" t="s">
        <v>18831</v>
      </c>
      <c r="M591" s="27" t="s">
        <v>1459</v>
      </c>
      <c r="N591" s="27" t="s">
        <v>18838</v>
      </c>
      <c r="P591" s="27" t="s">
        <v>18841</v>
      </c>
      <c r="Q591" s="26" t="str">
        <f>HYPERLINK("https://ictv.global/taxonomy/taxondetails?taxnode_id=202521126&amp;ictv_id=ICTV202421126","ICTV202421126")</f>
        <v>ICTV202421126</v>
      </c>
      <c r="R591" t="s">
        <v>579</v>
      </c>
      <c r="S591" t="s">
        <v>823</v>
      </c>
      <c r="T591">
        <v>40</v>
      </c>
      <c r="U591" s="26" t="str">
        <f t="shared" si="24"/>
        <v>2024.045B.Autographivirales.zip</v>
      </c>
    </row>
    <row r="592" spans="1:21">
      <c r="A592">
        <v>591</v>
      </c>
      <c r="B592" s="27" t="s">
        <v>1449</v>
      </c>
      <c r="D592" s="27" t="s">
        <v>1450</v>
      </c>
      <c r="F592" s="27" t="s">
        <v>1453</v>
      </c>
      <c r="H592" s="27" t="s">
        <v>1454</v>
      </c>
      <c r="J592" s="27" t="s">
        <v>18547</v>
      </c>
      <c r="L592" s="27" t="s">
        <v>18831</v>
      </c>
      <c r="M592" s="27" t="s">
        <v>1459</v>
      </c>
      <c r="N592" s="27" t="s">
        <v>18838</v>
      </c>
      <c r="P592" s="27" t="s">
        <v>18842</v>
      </c>
      <c r="Q592" s="26" t="str">
        <f>HYPERLINK("https://ictv.global/taxonomy/taxondetails?taxnode_id=202508627&amp;ictv_id=ICTV201908627","ICTV201908627")</f>
        <v>ICTV201908627</v>
      </c>
      <c r="R592" t="s">
        <v>579</v>
      </c>
      <c r="S592" t="s">
        <v>22764</v>
      </c>
      <c r="T592">
        <v>40</v>
      </c>
      <c r="U592" s="26" t="str">
        <f t="shared" si="24"/>
        <v>2024.045B.Autographivirales.zip</v>
      </c>
    </row>
    <row r="593" spans="1:21">
      <c r="A593">
        <v>592</v>
      </c>
      <c r="B593" s="27" t="s">
        <v>1449</v>
      </c>
      <c r="D593" s="27" t="s">
        <v>1450</v>
      </c>
      <c r="F593" s="27" t="s">
        <v>1453</v>
      </c>
      <c r="H593" s="27" t="s">
        <v>1454</v>
      </c>
      <c r="J593" s="27" t="s">
        <v>18547</v>
      </c>
      <c r="L593" s="27" t="s">
        <v>18831</v>
      </c>
      <c r="M593" s="27" t="s">
        <v>1459</v>
      </c>
      <c r="N593" s="27" t="s">
        <v>18843</v>
      </c>
      <c r="P593" s="27" t="s">
        <v>18844</v>
      </c>
      <c r="Q593" s="26" t="str">
        <f>HYPERLINK("https://ictv.global/taxonomy/taxondetails?taxnode_id=202508626&amp;ictv_id=ICTV201908626","ICTV201908626")</f>
        <v>ICTV201908626</v>
      </c>
      <c r="R593" t="s">
        <v>579</v>
      </c>
      <c r="S593" t="s">
        <v>22764</v>
      </c>
      <c r="T593">
        <v>40</v>
      </c>
      <c r="U593" s="26" t="str">
        <f t="shared" si="24"/>
        <v>2024.045B.Autographivirales.zip</v>
      </c>
    </row>
    <row r="594" spans="1:21">
      <c r="A594">
        <v>593</v>
      </c>
      <c r="B594" s="27" t="s">
        <v>1449</v>
      </c>
      <c r="D594" s="27" t="s">
        <v>1450</v>
      </c>
      <c r="F594" s="27" t="s">
        <v>1453</v>
      </c>
      <c r="H594" s="27" t="s">
        <v>1454</v>
      </c>
      <c r="J594" s="27" t="s">
        <v>18547</v>
      </c>
      <c r="L594" s="27" t="s">
        <v>18831</v>
      </c>
      <c r="M594" s="27" t="s">
        <v>1459</v>
      </c>
      <c r="N594" s="27" t="s">
        <v>18845</v>
      </c>
      <c r="P594" s="27" t="s">
        <v>18846</v>
      </c>
      <c r="Q594" s="26" t="str">
        <f>HYPERLINK("https://ictv.global/taxonomy/taxondetails?taxnode_id=202521124&amp;ictv_id=ICTV202421124","ICTV202421124")</f>
        <v>ICTV202421124</v>
      </c>
      <c r="R594" t="s">
        <v>579</v>
      </c>
      <c r="S594" t="s">
        <v>823</v>
      </c>
      <c r="T594">
        <v>40</v>
      </c>
      <c r="U594" s="26" t="str">
        <f t="shared" si="24"/>
        <v>2024.045B.Autographivirales.zip</v>
      </c>
    </row>
    <row r="595" spans="1:21">
      <c r="A595">
        <v>594</v>
      </c>
      <c r="B595" s="27" t="s">
        <v>1449</v>
      </c>
      <c r="D595" s="27" t="s">
        <v>1450</v>
      </c>
      <c r="F595" s="27" t="s">
        <v>1453</v>
      </c>
      <c r="H595" s="27" t="s">
        <v>1454</v>
      </c>
      <c r="J595" s="27" t="s">
        <v>18547</v>
      </c>
      <c r="L595" s="27" t="s">
        <v>18831</v>
      </c>
      <c r="M595" s="27" t="s">
        <v>1459</v>
      </c>
      <c r="N595" s="27" t="s">
        <v>1463</v>
      </c>
      <c r="P595" s="27" t="s">
        <v>4221</v>
      </c>
      <c r="Q595" s="26" t="str">
        <f>HYPERLINK("https://ictv.global/taxonomy/taxondetails?taxnode_id=202508632&amp;ictv_id=ICTV201908632","ICTV201908632")</f>
        <v>ICTV201908632</v>
      </c>
      <c r="R595" t="s">
        <v>579</v>
      </c>
      <c r="S595" t="s">
        <v>22763</v>
      </c>
      <c r="T595">
        <v>40</v>
      </c>
      <c r="U595" s="26" t="str">
        <f t="shared" si="24"/>
        <v>2024.045B.Autographivirales.zip</v>
      </c>
    </row>
    <row r="596" spans="1:21">
      <c r="A596">
        <v>595</v>
      </c>
      <c r="B596" s="27" t="s">
        <v>1449</v>
      </c>
      <c r="D596" s="27" t="s">
        <v>1450</v>
      </c>
      <c r="F596" s="27" t="s">
        <v>1453</v>
      </c>
      <c r="H596" s="27" t="s">
        <v>1454</v>
      </c>
      <c r="J596" s="27" t="s">
        <v>18547</v>
      </c>
      <c r="L596" s="27" t="s">
        <v>18831</v>
      </c>
      <c r="M596" s="27" t="s">
        <v>1459</v>
      </c>
      <c r="N596" s="27" t="s">
        <v>1464</v>
      </c>
      <c r="P596" s="27" t="s">
        <v>4222</v>
      </c>
      <c r="Q596" s="26" t="str">
        <f>HYPERLINK("https://ictv.global/taxonomy/taxondetails?taxnode_id=202508630&amp;ictv_id=ICTV201908630","ICTV201908630")</f>
        <v>ICTV201908630</v>
      </c>
      <c r="R596" t="s">
        <v>579</v>
      </c>
      <c r="S596" t="s">
        <v>22763</v>
      </c>
      <c r="T596">
        <v>40</v>
      </c>
      <c r="U596" s="26" t="str">
        <f t="shared" si="24"/>
        <v>2024.045B.Autographivirales.zip</v>
      </c>
    </row>
    <row r="597" spans="1:21">
      <c r="A597">
        <v>596</v>
      </c>
      <c r="B597" s="27" t="s">
        <v>1449</v>
      </c>
      <c r="D597" s="27" t="s">
        <v>1450</v>
      </c>
      <c r="F597" s="27" t="s">
        <v>1453</v>
      </c>
      <c r="H597" s="27" t="s">
        <v>1454</v>
      </c>
      <c r="J597" s="27" t="s">
        <v>18547</v>
      </c>
      <c r="L597" s="27" t="s">
        <v>18831</v>
      </c>
      <c r="M597" s="27" t="s">
        <v>1481</v>
      </c>
      <c r="N597" s="27" t="s">
        <v>1482</v>
      </c>
      <c r="P597" s="27" t="s">
        <v>18847</v>
      </c>
      <c r="Q597" s="26" t="str">
        <f>HYPERLINK("https://ictv.global/taxonomy/taxondetails?taxnode_id=202521046&amp;ictv_id=ICTV202421046","ICTV202421046")</f>
        <v>ICTV202421046</v>
      </c>
      <c r="R597" t="s">
        <v>579</v>
      </c>
      <c r="S597" t="s">
        <v>823</v>
      </c>
      <c r="T597">
        <v>40</v>
      </c>
      <c r="U597" s="26" t="str">
        <f t="shared" si="24"/>
        <v>2024.045B.Autographivirales.zip</v>
      </c>
    </row>
    <row r="598" spans="1:21">
      <c r="A598">
        <v>597</v>
      </c>
      <c r="B598" s="27" t="s">
        <v>1449</v>
      </c>
      <c r="D598" s="27" t="s">
        <v>1450</v>
      </c>
      <c r="F598" s="27" t="s">
        <v>1453</v>
      </c>
      <c r="H598" s="27" t="s">
        <v>1454</v>
      </c>
      <c r="J598" s="27" t="s">
        <v>18547</v>
      </c>
      <c r="L598" s="27" t="s">
        <v>18831</v>
      </c>
      <c r="M598" s="27" t="s">
        <v>1481</v>
      </c>
      <c r="N598" s="27" t="s">
        <v>1482</v>
      </c>
      <c r="P598" s="27" t="s">
        <v>4272</v>
      </c>
      <c r="Q598" s="26" t="str">
        <f>HYPERLINK("https://ictv.global/taxonomy/taxondetails?taxnode_id=202508579&amp;ictv_id=ICTV201908579","ICTV201908579")</f>
        <v>ICTV201908579</v>
      </c>
      <c r="R598" t="s">
        <v>579</v>
      </c>
      <c r="S598" t="s">
        <v>22763</v>
      </c>
      <c r="T598">
        <v>40</v>
      </c>
      <c r="U598" s="26" t="str">
        <f t="shared" si="24"/>
        <v>2024.045B.Autographivirales.zip</v>
      </c>
    </row>
    <row r="599" spans="1:21">
      <c r="A599">
        <v>598</v>
      </c>
      <c r="B599" s="27" t="s">
        <v>1449</v>
      </c>
      <c r="D599" s="27" t="s">
        <v>1450</v>
      </c>
      <c r="F599" s="27" t="s">
        <v>1453</v>
      </c>
      <c r="H599" s="27" t="s">
        <v>1454</v>
      </c>
      <c r="J599" s="27" t="s">
        <v>18547</v>
      </c>
      <c r="L599" s="27" t="s">
        <v>18831</v>
      </c>
      <c r="M599" s="27" t="s">
        <v>1481</v>
      </c>
      <c r="N599" s="27" t="s">
        <v>1482</v>
      </c>
      <c r="P599" s="27" t="s">
        <v>4273</v>
      </c>
      <c r="Q599" s="26" t="str">
        <f>HYPERLINK("https://ictv.global/taxonomy/taxondetails?taxnode_id=202508576&amp;ictv_id=ICTV201908576","ICTV201908576")</f>
        <v>ICTV201908576</v>
      </c>
      <c r="R599" t="s">
        <v>579</v>
      </c>
      <c r="S599" t="s">
        <v>22763</v>
      </c>
      <c r="T599">
        <v>40</v>
      </c>
      <c r="U599" s="26" t="str">
        <f t="shared" si="24"/>
        <v>2024.045B.Autographivirales.zip</v>
      </c>
    </row>
    <row r="600" spans="1:21">
      <c r="A600">
        <v>599</v>
      </c>
      <c r="B600" s="27" t="s">
        <v>1449</v>
      </c>
      <c r="D600" s="27" t="s">
        <v>1450</v>
      </c>
      <c r="F600" s="27" t="s">
        <v>1453</v>
      </c>
      <c r="H600" s="27" t="s">
        <v>1454</v>
      </c>
      <c r="J600" s="27" t="s">
        <v>18547</v>
      </c>
      <c r="L600" s="27" t="s">
        <v>18831</v>
      </c>
      <c r="M600" s="27" t="s">
        <v>1481</v>
      </c>
      <c r="N600" s="27" t="s">
        <v>1482</v>
      </c>
      <c r="P600" s="27" t="s">
        <v>4274</v>
      </c>
      <c r="Q600" s="26" t="str">
        <f>HYPERLINK("https://ictv.global/taxonomy/taxondetails?taxnode_id=202508578&amp;ictv_id=ICTV201908578","ICTV201908578")</f>
        <v>ICTV201908578</v>
      </c>
      <c r="R600" t="s">
        <v>579</v>
      </c>
      <c r="S600" t="s">
        <v>22763</v>
      </c>
      <c r="T600">
        <v>40</v>
      </c>
      <c r="U600" s="26" t="str">
        <f t="shared" ref="U600:U663" si="25">HYPERLINK("https://ictv.global/ictv/proposals/2024.045B.Autographivirales.zip","2024.045B.Autographivirales.zip")</f>
        <v>2024.045B.Autographivirales.zip</v>
      </c>
    </row>
    <row r="601" spans="1:21">
      <c r="A601">
        <v>600</v>
      </c>
      <c r="B601" s="27" t="s">
        <v>1449</v>
      </c>
      <c r="D601" s="27" t="s">
        <v>1450</v>
      </c>
      <c r="F601" s="27" t="s">
        <v>1453</v>
      </c>
      <c r="H601" s="27" t="s">
        <v>1454</v>
      </c>
      <c r="J601" s="27" t="s">
        <v>18547</v>
      </c>
      <c r="L601" s="27" t="s">
        <v>18831</v>
      </c>
      <c r="M601" s="27" t="s">
        <v>1481</v>
      </c>
      <c r="N601" s="27" t="s">
        <v>1482</v>
      </c>
      <c r="P601" s="27" t="s">
        <v>4275</v>
      </c>
      <c r="Q601" s="26" t="str">
        <f>HYPERLINK("https://ictv.global/taxonomy/taxondetails?taxnode_id=202508577&amp;ictv_id=ICTV201908577","ICTV201908577")</f>
        <v>ICTV201908577</v>
      </c>
      <c r="R601" t="s">
        <v>579</v>
      </c>
      <c r="S601" t="s">
        <v>22763</v>
      </c>
      <c r="T601">
        <v>40</v>
      </c>
      <c r="U601" s="26" t="str">
        <f t="shared" si="25"/>
        <v>2024.045B.Autographivirales.zip</v>
      </c>
    </row>
    <row r="602" spans="1:21">
      <c r="A602">
        <v>601</v>
      </c>
      <c r="B602" s="27" t="s">
        <v>1449</v>
      </c>
      <c r="D602" s="27" t="s">
        <v>1450</v>
      </c>
      <c r="F602" s="27" t="s">
        <v>1453</v>
      </c>
      <c r="H602" s="27" t="s">
        <v>1454</v>
      </c>
      <c r="J602" s="27" t="s">
        <v>18547</v>
      </c>
      <c r="L602" s="27" t="s">
        <v>18831</v>
      </c>
      <c r="M602" s="27" t="s">
        <v>1481</v>
      </c>
      <c r="N602" s="27" t="s">
        <v>1482</v>
      </c>
      <c r="P602" s="27" t="s">
        <v>18848</v>
      </c>
      <c r="Q602" s="26" t="str">
        <f>HYPERLINK("https://ictv.global/taxonomy/taxondetails?taxnode_id=202521047&amp;ictv_id=ICTV202421047","ICTV202421047")</f>
        <v>ICTV202421047</v>
      </c>
      <c r="R602" t="s">
        <v>579</v>
      </c>
      <c r="S602" t="s">
        <v>823</v>
      </c>
      <c r="T602">
        <v>40</v>
      </c>
      <c r="U602" s="26" t="str">
        <f t="shared" si="25"/>
        <v>2024.045B.Autographivirales.zip</v>
      </c>
    </row>
    <row r="603" spans="1:21">
      <c r="A603">
        <v>602</v>
      </c>
      <c r="B603" s="27" t="s">
        <v>1449</v>
      </c>
      <c r="D603" s="27" t="s">
        <v>1450</v>
      </c>
      <c r="F603" s="27" t="s">
        <v>1453</v>
      </c>
      <c r="H603" s="27" t="s">
        <v>1454</v>
      </c>
      <c r="J603" s="27" t="s">
        <v>18547</v>
      </c>
      <c r="L603" s="27" t="s">
        <v>18831</v>
      </c>
      <c r="M603" s="27" t="s">
        <v>1481</v>
      </c>
      <c r="N603" s="27" t="s">
        <v>1483</v>
      </c>
      <c r="P603" s="27" t="s">
        <v>4276</v>
      </c>
      <c r="Q603" s="26" t="str">
        <f>HYPERLINK("https://ictv.global/taxonomy/taxondetails?taxnode_id=202508574&amp;ictv_id=ICTV201908574","ICTV201908574")</f>
        <v>ICTV201908574</v>
      </c>
      <c r="R603" t="s">
        <v>579</v>
      </c>
      <c r="S603" t="s">
        <v>22763</v>
      </c>
      <c r="T603">
        <v>40</v>
      </c>
      <c r="U603" s="26" t="str">
        <f t="shared" si="25"/>
        <v>2024.045B.Autographivirales.zip</v>
      </c>
    </row>
    <row r="604" spans="1:21">
      <c r="A604">
        <v>603</v>
      </c>
      <c r="B604" s="27" t="s">
        <v>1449</v>
      </c>
      <c r="D604" s="27" t="s">
        <v>1450</v>
      </c>
      <c r="F604" s="27" t="s">
        <v>1453</v>
      </c>
      <c r="H604" s="27" t="s">
        <v>1454</v>
      </c>
      <c r="J604" s="27" t="s">
        <v>18547</v>
      </c>
      <c r="L604" s="27" t="s">
        <v>18831</v>
      </c>
      <c r="M604" s="27" t="s">
        <v>1481</v>
      </c>
      <c r="N604" s="27" t="s">
        <v>1484</v>
      </c>
      <c r="P604" s="27" t="s">
        <v>4277</v>
      </c>
      <c r="Q604" s="26" t="str">
        <f>HYPERLINK("https://ictv.global/taxonomy/taxondetails?taxnode_id=202500577&amp;ictv_id=ICTV20095336","ICTV20095336")</f>
        <v>ICTV20095336</v>
      </c>
      <c r="R604" t="s">
        <v>579</v>
      </c>
      <c r="S604" t="s">
        <v>22763</v>
      </c>
      <c r="T604">
        <v>40</v>
      </c>
      <c r="U604" s="26" t="str">
        <f t="shared" si="25"/>
        <v>2024.045B.Autographivirales.zip</v>
      </c>
    </row>
    <row r="605" spans="1:21">
      <c r="A605">
        <v>604</v>
      </c>
      <c r="B605" s="27" t="s">
        <v>1449</v>
      </c>
      <c r="D605" s="27" t="s">
        <v>1450</v>
      </c>
      <c r="F605" s="27" t="s">
        <v>1453</v>
      </c>
      <c r="H605" s="27" t="s">
        <v>1454</v>
      </c>
      <c r="J605" s="27" t="s">
        <v>18547</v>
      </c>
      <c r="L605" s="27" t="s">
        <v>18831</v>
      </c>
      <c r="M605" s="27" t="s">
        <v>1481</v>
      </c>
      <c r="N605" s="27" t="s">
        <v>1484</v>
      </c>
      <c r="P605" s="27" t="s">
        <v>18849</v>
      </c>
      <c r="Q605" s="26" t="str">
        <f>HYPERLINK("https://ictv.global/taxonomy/taxondetails?taxnode_id=202521119&amp;ictv_id=ICTV202421119","ICTV202421119")</f>
        <v>ICTV202421119</v>
      </c>
      <c r="R605" t="s">
        <v>579</v>
      </c>
      <c r="S605" t="s">
        <v>823</v>
      </c>
      <c r="T605">
        <v>40</v>
      </c>
      <c r="U605" s="26" t="str">
        <f t="shared" si="25"/>
        <v>2024.045B.Autographivirales.zip</v>
      </c>
    </row>
    <row r="606" spans="1:21">
      <c r="A606">
        <v>605</v>
      </c>
      <c r="B606" s="27" t="s">
        <v>1449</v>
      </c>
      <c r="D606" s="27" t="s">
        <v>1450</v>
      </c>
      <c r="F606" s="27" t="s">
        <v>1453</v>
      </c>
      <c r="H606" s="27" t="s">
        <v>1454</v>
      </c>
      <c r="J606" s="27" t="s">
        <v>18547</v>
      </c>
      <c r="L606" s="27" t="s">
        <v>18831</v>
      </c>
      <c r="M606" s="27" t="s">
        <v>1481</v>
      </c>
      <c r="N606" s="27" t="s">
        <v>1484</v>
      </c>
      <c r="P606" s="27" t="s">
        <v>4278</v>
      </c>
      <c r="Q606" s="26" t="str">
        <f>HYPERLINK("https://ictv.global/taxonomy/taxondetails?taxnode_id=202508572&amp;ictv_id=ICTV201908572","ICTV201908572")</f>
        <v>ICTV201908572</v>
      </c>
      <c r="R606" t="s">
        <v>579</v>
      </c>
      <c r="S606" t="s">
        <v>22763</v>
      </c>
      <c r="T606">
        <v>40</v>
      </c>
      <c r="U606" s="26" t="str">
        <f t="shared" si="25"/>
        <v>2024.045B.Autographivirales.zip</v>
      </c>
    </row>
    <row r="607" spans="1:21">
      <c r="A607">
        <v>606</v>
      </c>
      <c r="B607" s="27" t="s">
        <v>1449</v>
      </c>
      <c r="D607" s="27" t="s">
        <v>1450</v>
      </c>
      <c r="F607" s="27" t="s">
        <v>1453</v>
      </c>
      <c r="H607" s="27" t="s">
        <v>1454</v>
      </c>
      <c r="J607" s="27" t="s">
        <v>18547</v>
      </c>
      <c r="L607" s="27" t="s">
        <v>18831</v>
      </c>
      <c r="M607" s="27" t="s">
        <v>1481</v>
      </c>
      <c r="N607" s="27" t="s">
        <v>18850</v>
      </c>
      <c r="P607" s="27" t="s">
        <v>18851</v>
      </c>
      <c r="Q607" s="26" t="str">
        <f>HYPERLINK("https://ictv.global/taxonomy/taxondetails?taxnode_id=202521025&amp;ictv_id=ICTV202421025","ICTV202421025")</f>
        <v>ICTV202421025</v>
      </c>
      <c r="R607" t="s">
        <v>579</v>
      </c>
      <c r="S607" t="s">
        <v>823</v>
      </c>
      <c r="T607">
        <v>40</v>
      </c>
      <c r="U607" s="26" t="str">
        <f t="shared" si="25"/>
        <v>2024.045B.Autographivirales.zip</v>
      </c>
    </row>
    <row r="608" spans="1:21">
      <c r="A608">
        <v>607</v>
      </c>
      <c r="B608" s="27" t="s">
        <v>1449</v>
      </c>
      <c r="D608" s="27" t="s">
        <v>1450</v>
      </c>
      <c r="F608" s="27" t="s">
        <v>1453</v>
      </c>
      <c r="H608" s="27" t="s">
        <v>1454</v>
      </c>
      <c r="J608" s="27" t="s">
        <v>18547</v>
      </c>
      <c r="L608" s="27" t="s">
        <v>18831</v>
      </c>
      <c r="M608" s="27" t="s">
        <v>1481</v>
      </c>
      <c r="N608" s="27" t="s">
        <v>18850</v>
      </c>
      <c r="P608" s="27" t="s">
        <v>18852</v>
      </c>
      <c r="Q608" s="26" t="str">
        <f>HYPERLINK("https://ictv.global/taxonomy/taxondetails?taxnode_id=202521026&amp;ictv_id=ICTV202421026","ICTV202421026")</f>
        <v>ICTV202421026</v>
      </c>
      <c r="R608" t="s">
        <v>579</v>
      </c>
      <c r="S608" t="s">
        <v>823</v>
      </c>
      <c r="T608">
        <v>40</v>
      </c>
      <c r="U608" s="26" t="str">
        <f t="shared" si="25"/>
        <v>2024.045B.Autographivirales.zip</v>
      </c>
    </row>
    <row r="609" spans="1:21">
      <c r="A609">
        <v>608</v>
      </c>
      <c r="B609" s="27" t="s">
        <v>1449</v>
      </c>
      <c r="D609" s="27" t="s">
        <v>1450</v>
      </c>
      <c r="F609" s="27" t="s">
        <v>1453</v>
      </c>
      <c r="H609" s="27" t="s">
        <v>1454</v>
      </c>
      <c r="J609" s="27" t="s">
        <v>18547</v>
      </c>
      <c r="L609" s="27" t="s">
        <v>18831</v>
      </c>
      <c r="M609" s="27" t="s">
        <v>1481</v>
      </c>
      <c r="N609" s="27" t="s">
        <v>18850</v>
      </c>
      <c r="P609" s="27" t="s">
        <v>18853</v>
      </c>
      <c r="Q609" s="26" t="str">
        <f>HYPERLINK("https://ictv.global/taxonomy/taxondetails?taxnode_id=202521033&amp;ictv_id=ICTV202421033","ICTV202421033")</f>
        <v>ICTV202421033</v>
      </c>
      <c r="R609" t="s">
        <v>579</v>
      </c>
      <c r="S609" t="s">
        <v>823</v>
      </c>
      <c r="T609">
        <v>40</v>
      </c>
      <c r="U609" s="26" t="str">
        <f t="shared" si="25"/>
        <v>2024.045B.Autographivirales.zip</v>
      </c>
    </row>
    <row r="610" spans="1:21">
      <c r="A610">
        <v>609</v>
      </c>
      <c r="B610" s="27" t="s">
        <v>1449</v>
      </c>
      <c r="D610" s="27" t="s">
        <v>1450</v>
      </c>
      <c r="F610" s="27" t="s">
        <v>1453</v>
      </c>
      <c r="H610" s="27" t="s">
        <v>1454</v>
      </c>
      <c r="J610" s="27" t="s">
        <v>18547</v>
      </c>
      <c r="L610" s="27" t="s">
        <v>18831</v>
      </c>
      <c r="M610" s="27" t="s">
        <v>1481</v>
      </c>
      <c r="N610" s="27" t="s">
        <v>18850</v>
      </c>
      <c r="P610" s="27" t="s">
        <v>18854</v>
      </c>
      <c r="Q610" s="26" t="str">
        <f>HYPERLINK("https://ictv.global/taxonomy/taxondetails?taxnode_id=202521024&amp;ictv_id=ICTV202421024","ICTV202421024")</f>
        <v>ICTV202421024</v>
      </c>
      <c r="R610" t="s">
        <v>579</v>
      </c>
      <c r="S610" t="s">
        <v>823</v>
      </c>
      <c r="T610">
        <v>40</v>
      </c>
      <c r="U610" s="26" t="str">
        <f t="shared" si="25"/>
        <v>2024.045B.Autographivirales.zip</v>
      </c>
    </row>
    <row r="611" spans="1:21">
      <c r="A611">
        <v>610</v>
      </c>
      <c r="B611" s="27" t="s">
        <v>1449</v>
      </c>
      <c r="D611" s="27" t="s">
        <v>1450</v>
      </c>
      <c r="F611" s="27" t="s">
        <v>1453</v>
      </c>
      <c r="H611" s="27" t="s">
        <v>1454</v>
      </c>
      <c r="J611" s="27" t="s">
        <v>18547</v>
      </c>
      <c r="L611" s="27" t="s">
        <v>18831</v>
      </c>
      <c r="M611" s="27" t="s">
        <v>1481</v>
      </c>
      <c r="N611" s="27" t="s">
        <v>18850</v>
      </c>
      <c r="P611" s="27" t="s">
        <v>18855</v>
      </c>
      <c r="Q611" s="26" t="str">
        <f>HYPERLINK("https://ictv.global/taxonomy/taxondetails?taxnode_id=202521027&amp;ictv_id=ICTV202421027","ICTV202421027")</f>
        <v>ICTV202421027</v>
      </c>
      <c r="R611" t="s">
        <v>579</v>
      </c>
      <c r="S611" t="s">
        <v>823</v>
      </c>
      <c r="T611">
        <v>40</v>
      </c>
      <c r="U611" s="26" t="str">
        <f t="shared" si="25"/>
        <v>2024.045B.Autographivirales.zip</v>
      </c>
    </row>
    <row r="612" spans="1:21">
      <c r="A612">
        <v>611</v>
      </c>
      <c r="B612" s="27" t="s">
        <v>1449</v>
      </c>
      <c r="D612" s="27" t="s">
        <v>1450</v>
      </c>
      <c r="F612" s="27" t="s">
        <v>1453</v>
      </c>
      <c r="H612" s="27" t="s">
        <v>1454</v>
      </c>
      <c r="J612" s="27" t="s">
        <v>18547</v>
      </c>
      <c r="L612" s="27" t="s">
        <v>18831</v>
      </c>
      <c r="M612" s="27" t="s">
        <v>1481</v>
      </c>
      <c r="N612" s="27" t="s">
        <v>18850</v>
      </c>
      <c r="P612" s="27" t="s">
        <v>18856</v>
      </c>
      <c r="Q612" s="26" t="str">
        <f>HYPERLINK("https://ictv.global/taxonomy/taxondetails?taxnode_id=202521035&amp;ictv_id=ICTV202421035","ICTV202421035")</f>
        <v>ICTV202421035</v>
      </c>
      <c r="R612" t="s">
        <v>579</v>
      </c>
      <c r="S612" t="s">
        <v>823</v>
      </c>
      <c r="T612">
        <v>40</v>
      </c>
      <c r="U612" s="26" t="str">
        <f t="shared" si="25"/>
        <v>2024.045B.Autographivirales.zip</v>
      </c>
    </row>
    <row r="613" spans="1:21">
      <c r="A613">
        <v>612</v>
      </c>
      <c r="B613" s="27" t="s">
        <v>1449</v>
      </c>
      <c r="D613" s="27" t="s">
        <v>1450</v>
      </c>
      <c r="F613" s="27" t="s">
        <v>1453</v>
      </c>
      <c r="H613" s="27" t="s">
        <v>1454</v>
      </c>
      <c r="J613" s="27" t="s">
        <v>18547</v>
      </c>
      <c r="L613" s="27" t="s">
        <v>18831</v>
      </c>
      <c r="M613" s="27" t="s">
        <v>1481</v>
      </c>
      <c r="N613" s="27" t="s">
        <v>18850</v>
      </c>
      <c r="P613" s="27" t="s">
        <v>18857</v>
      </c>
      <c r="Q613" s="26" t="str">
        <f>HYPERLINK("https://ictv.global/taxonomy/taxondetails?taxnode_id=202521023&amp;ictv_id=ICTV202421023","ICTV202421023")</f>
        <v>ICTV202421023</v>
      </c>
      <c r="R613" t="s">
        <v>579</v>
      </c>
      <c r="S613" t="s">
        <v>823</v>
      </c>
      <c r="T613">
        <v>40</v>
      </c>
      <c r="U613" s="26" t="str">
        <f t="shared" si="25"/>
        <v>2024.045B.Autographivirales.zip</v>
      </c>
    </row>
    <row r="614" spans="1:21">
      <c r="A614">
        <v>613</v>
      </c>
      <c r="B614" s="27" t="s">
        <v>1449</v>
      </c>
      <c r="D614" s="27" t="s">
        <v>1450</v>
      </c>
      <c r="F614" s="27" t="s">
        <v>1453</v>
      </c>
      <c r="H614" s="27" t="s">
        <v>1454</v>
      </c>
      <c r="J614" s="27" t="s">
        <v>18547</v>
      </c>
      <c r="L614" s="27" t="s">
        <v>18831</v>
      </c>
      <c r="M614" s="27" t="s">
        <v>1481</v>
      </c>
      <c r="N614" s="27" t="s">
        <v>18850</v>
      </c>
      <c r="P614" s="27" t="s">
        <v>18858</v>
      </c>
      <c r="Q614" s="26" t="str">
        <f>HYPERLINK("https://ictv.global/taxonomy/taxondetails?taxnode_id=202521030&amp;ictv_id=ICTV202421030","ICTV202421030")</f>
        <v>ICTV202421030</v>
      </c>
      <c r="R614" t="s">
        <v>579</v>
      </c>
      <c r="S614" t="s">
        <v>823</v>
      </c>
      <c r="T614">
        <v>40</v>
      </c>
      <c r="U614" s="26" t="str">
        <f t="shared" si="25"/>
        <v>2024.045B.Autographivirales.zip</v>
      </c>
    </row>
    <row r="615" spans="1:21">
      <c r="A615">
        <v>614</v>
      </c>
      <c r="B615" s="27" t="s">
        <v>1449</v>
      </c>
      <c r="D615" s="27" t="s">
        <v>1450</v>
      </c>
      <c r="F615" s="27" t="s">
        <v>1453</v>
      </c>
      <c r="H615" s="27" t="s">
        <v>1454</v>
      </c>
      <c r="J615" s="27" t="s">
        <v>18547</v>
      </c>
      <c r="L615" s="27" t="s">
        <v>18831</v>
      </c>
      <c r="M615" s="27" t="s">
        <v>1481</v>
      </c>
      <c r="N615" s="27" t="s">
        <v>18850</v>
      </c>
      <c r="P615" s="27" t="s">
        <v>18859</v>
      </c>
      <c r="Q615" s="26" t="str">
        <f>HYPERLINK("https://ictv.global/taxonomy/taxondetails?taxnode_id=202521034&amp;ictv_id=ICTV202421034","ICTV202421034")</f>
        <v>ICTV202421034</v>
      </c>
      <c r="R615" t="s">
        <v>579</v>
      </c>
      <c r="S615" t="s">
        <v>823</v>
      </c>
      <c r="T615">
        <v>40</v>
      </c>
      <c r="U615" s="26" t="str">
        <f t="shared" si="25"/>
        <v>2024.045B.Autographivirales.zip</v>
      </c>
    </row>
    <row r="616" spans="1:21">
      <c r="A616">
        <v>615</v>
      </c>
      <c r="B616" s="27" t="s">
        <v>1449</v>
      </c>
      <c r="D616" s="27" t="s">
        <v>1450</v>
      </c>
      <c r="F616" s="27" t="s">
        <v>1453</v>
      </c>
      <c r="H616" s="27" t="s">
        <v>1454</v>
      </c>
      <c r="J616" s="27" t="s">
        <v>18547</v>
      </c>
      <c r="L616" s="27" t="s">
        <v>18831</v>
      </c>
      <c r="M616" s="27" t="s">
        <v>1481</v>
      </c>
      <c r="N616" s="27" t="s">
        <v>18850</v>
      </c>
      <c r="P616" s="27" t="s">
        <v>18860</v>
      </c>
      <c r="Q616" s="26" t="str">
        <f>HYPERLINK("https://ictv.global/taxonomy/taxondetails?taxnode_id=202521029&amp;ictv_id=ICTV202421029","ICTV202421029")</f>
        <v>ICTV202421029</v>
      </c>
      <c r="R616" t="s">
        <v>579</v>
      </c>
      <c r="S616" t="s">
        <v>823</v>
      </c>
      <c r="T616">
        <v>40</v>
      </c>
      <c r="U616" s="26" t="str">
        <f t="shared" si="25"/>
        <v>2024.045B.Autographivirales.zip</v>
      </c>
    </row>
    <row r="617" spans="1:21">
      <c r="A617">
        <v>616</v>
      </c>
      <c r="B617" s="27" t="s">
        <v>1449</v>
      </c>
      <c r="D617" s="27" t="s">
        <v>1450</v>
      </c>
      <c r="F617" s="27" t="s">
        <v>1453</v>
      </c>
      <c r="H617" s="27" t="s">
        <v>1454</v>
      </c>
      <c r="J617" s="27" t="s">
        <v>18547</v>
      </c>
      <c r="L617" s="27" t="s">
        <v>18831</v>
      </c>
      <c r="M617" s="27" t="s">
        <v>1481</v>
      </c>
      <c r="N617" s="27" t="s">
        <v>18850</v>
      </c>
      <c r="P617" s="27" t="s">
        <v>18861</v>
      </c>
      <c r="Q617" s="26" t="str">
        <f>HYPERLINK("https://ictv.global/taxonomy/taxondetails?taxnode_id=202521032&amp;ictv_id=ICTV202421032","ICTV202421032")</f>
        <v>ICTV202421032</v>
      </c>
      <c r="R617" t="s">
        <v>579</v>
      </c>
      <c r="S617" t="s">
        <v>823</v>
      </c>
      <c r="T617">
        <v>40</v>
      </c>
      <c r="U617" s="26" t="str">
        <f t="shared" si="25"/>
        <v>2024.045B.Autographivirales.zip</v>
      </c>
    </row>
    <row r="618" spans="1:21">
      <c r="A618">
        <v>617</v>
      </c>
      <c r="B618" s="27" t="s">
        <v>1449</v>
      </c>
      <c r="D618" s="27" t="s">
        <v>1450</v>
      </c>
      <c r="F618" s="27" t="s">
        <v>1453</v>
      </c>
      <c r="H618" s="27" t="s">
        <v>1454</v>
      </c>
      <c r="J618" s="27" t="s">
        <v>18547</v>
      </c>
      <c r="L618" s="27" t="s">
        <v>18831</v>
      </c>
      <c r="M618" s="27" t="s">
        <v>1481</v>
      </c>
      <c r="N618" s="27" t="s">
        <v>18850</v>
      </c>
      <c r="P618" s="27" t="s">
        <v>18862</v>
      </c>
      <c r="Q618" s="26" t="str">
        <f>HYPERLINK("https://ictv.global/taxonomy/taxondetails?taxnode_id=202521031&amp;ictv_id=ICTV202421031","ICTV202421031")</f>
        <v>ICTV202421031</v>
      </c>
      <c r="R618" t="s">
        <v>579</v>
      </c>
      <c r="S618" t="s">
        <v>823</v>
      </c>
      <c r="T618">
        <v>40</v>
      </c>
      <c r="U618" s="26" t="str">
        <f t="shared" si="25"/>
        <v>2024.045B.Autographivirales.zip</v>
      </c>
    </row>
    <row r="619" spans="1:21">
      <c r="A619">
        <v>618</v>
      </c>
      <c r="B619" s="27" t="s">
        <v>1449</v>
      </c>
      <c r="D619" s="27" t="s">
        <v>1450</v>
      </c>
      <c r="F619" s="27" t="s">
        <v>1453</v>
      </c>
      <c r="H619" s="27" t="s">
        <v>1454</v>
      </c>
      <c r="J619" s="27" t="s">
        <v>18547</v>
      </c>
      <c r="L619" s="27" t="s">
        <v>18831</v>
      </c>
      <c r="M619" s="27" t="s">
        <v>1481</v>
      </c>
      <c r="N619" s="27" t="s">
        <v>18850</v>
      </c>
      <c r="P619" s="27" t="s">
        <v>18863</v>
      </c>
      <c r="Q619" s="26" t="str">
        <f>HYPERLINK("https://ictv.global/taxonomy/taxondetails?taxnode_id=202521028&amp;ictv_id=ICTV202421028","ICTV202421028")</f>
        <v>ICTV202421028</v>
      </c>
      <c r="R619" t="s">
        <v>579</v>
      </c>
      <c r="S619" t="s">
        <v>823</v>
      </c>
      <c r="T619">
        <v>40</v>
      </c>
      <c r="U619" s="26" t="str">
        <f t="shared" si="25"/>
        <v>2024.045B.Autographivirales.zip</v>
      </c>
    </row>
    <row r="620" spans="1:21">
      <c r="A620">
        <v>619</v>
      </c>
      <c r="B620" s="27" t="s">
        <v>1449</v>
      </c>
      <c r="D620" s="27" t="s">
        <v>1450</v>
      </c>
      <c r="F620" s="27" t="s">
        <v>1453</v>
      </c>
      <c r="H620" s="27" t="s">
        <v>1454</v>
      </c>
      <c r="J620" s="27" t="s">
        <v>18547</v>
      </c>
      <c r="L620" s="27" t="s">
        <v>18831</v>
      </c>
      <c r="M620" s="27" t="s">
        <v>1481</v>
      </c>
      <c r="N620" s="27" t="s">
        <v>18864</v>
      </c>
      <c r="P620" s="27" t="s">
        <v>18865</v>
      </c>
      <c r="Q620" s="26" t="str">
        <f>HYPERLINK("https://ictv.global/taxonomy/taxondetails?taxnode_id=202521054&amp;ictv_id=ICTV202421054","ICTV202421054")</f>
        <v>ICTV202421054</v>
      </c>
      <c r="R620" t="s">
        <v>579</v>
      </c>
      <c r="S620" t="s">
        <v>823</v>
      </c>
      <c r="T620">
        <v>40</v>
      </c>
      <c r="U620" s="26" t="str">
        <f t="shared" si="25"/>
        <v>2024.045B.Autographivirales.zip</v>
      </c>
    </row>
    <row r="621" spans="1:21">
      <c r="A621">
        <v>620</v>
      </c>
      <c r="B621" s="27" t="s">
        <v>1449</v>
      </c>
      <c r="D621" s="27" t="s">
        <v>1450</v>
      </c>
      <c r="F621" s="27" t="s">
        <v>1453</v>
      </c>
      <c r="H621" s="27" t="s">
        <v>1454</v>
      </c>
      <c r="J621" s="27" t="s">
        <v>18547</v>
      </c>
      <c r="L621" s="27" t="s">
        <v>18831</v>
      </c>
      <c r="M621" s="27" t="s">
        <v>1481</v>
      </c>
      <c r="N621" s="27" t="s">
        <v>18866</v>
      </c>
      <c r="P621" s="27" t="s">
        <v>18867</v>
      </c>
      <c r="Q621" s="26" t="str">
        <f>HYPERLINK("https://ictv.global/taxonomy/taxondetails?taxnode_id=202508590&amp;ictv_id=ICTV201908590","ICTV201908590")</f>
        <v>ICTV201908590</v>
      </c>
      <c r="R621" t="s">
        <v>579</v>
      </c>
      <c r="S621" t="s">
        <v>22764</v>
      </c>
      <c r="T621">
        <v>40</v>
      </c>
      <c r="U621" s="26" t="str">
        <f t="shared" si="25"/>
        <v>2024.045B.Autographivirales.zip</v>
      </c>
    </row>
    <row r="622" spans="1:21">
      <c r="A622">
        <v>621</v>
      </c>
      <c r="B622" s="27" t="s">
        <v>1449</v>
      </c>
      <c r="D622" s="27" t="s">
        <v>1450</v>
      </c>
      <c r="F622" s="27" t="s">
        <v>1453</v>
      </c>
      <c r="H622" s="27" t="s">
        <v>1454</v>
      </c>
      <c r="J622" s="27" t="s">
        <v>18547</v>
      </c>
      <c r="L622" s="27" t="s">
        <v>18831</v>
      </c>
      <c r="M622" s="27" t="s">
        <v>1481</v>
      </c>
      <c r="N622" s="27" t="s">
        <v>18866</v>
      </c>
      <c r="P622" s="27" t="s">
        <v>18868</v>
      </c>
      <c r="Q622" s="26" t="str">
        <f>HYPERLINK("https://ictv.global/taxonomy/taxondetails?taxnode_id=202508591&amp;ictv_id=ICTV201908591","ICTV201908591")</f>
        <v>ICTV201908591</v>
      </c>
      <c r="R622" t="s">
        <v>579</v>
      </c>
      <c r="S622" t="s">
        <v>22764</v>
      </c>
      <c r="T622">
        <v>40</v>
      </c>
      <c r="U622" s="26" t="str">
        <f t="shared" si="25"/>
        <v>2024.045B.Autographivirales.zip</v>
      </c>
    </row>
    <row r="623" spans="1:21">
      <c r="A623">
        <v>622</v>
      </c>
      <c r="B623" s="27" t="s">
        <v>1449</v>
      </c>
      <c r="D623" s="27" t="s">
        <v>1450</v>
      </c>
      <c r="F623" s="27" t="s">
        <v>1453</v>
      </c>
      <c r="H623" s="27" t="s">
        <v>1454</v>
      </c>
      <c r="J623" s="27" t="s">
        <v>18547</v>
      </c>
      <c r="L623" s="27" t="s">
        <v>18831</v>
      </c>
      <c r="M623" s="27" t="s">
        <v>1481</v>
      </c>
      <c r="N623" s="27" t="s">
        <v>18866</v>
      </c>
      <c r="P623" s="27" t="s">
        <v>18869</v>
      </c>
      <c r="Q623" s="26" t="str">
        <f>HYPERLINK("https://ictv.global/taxonomy/taxondetails?taxnode_id=202521051&amp;ictv_id=ICTV202421051","ICTV202421051")</f>
        <v>ICTV202421051</v>
      </c>
      <c r="R623" t="s">
        <v>579</v>
      </c>
      <c r="S623" t="s">
        <v>823</v>
      </c>
      <c r="T623">
        <v>40</v>
      </c>
      <c r="U623" s="26" t="str">
        <f t="shared" si="25"/>
        <v>2024.045B.Autographivirales.zip</v>
      </c>
    </row>
    <row r="624" spans="1:21">
      <c r="A624">
        <v>623</v>
      </c>
      <c r="B624" s="27" t="s">
        <v>1449</v>
      </c>
      <c r="D624" s="27" t="s">
        <v>1450</v>
      </c>
      <c r="F624" s="27" t="s">
        <v>1453</v>
      </c>
      <c r="H624" s="27" t="s">
        <v>1454</v>
      </c>
      <c r="J624" s="27" t="s">
        <v>18547</v>
      </c>
      <c r="L624" s="27" t="s">
        <v>18831</v>
      </c>
      <c r="M624" s="27" t="s">
        <v>1481</v>
      </c>
      <c r="N624" s="27" t="s">
        <v>18866</v>
      </c>
      <c r="P624" s="27" t="s">
        <v>18870</v>
      </c>
      <c r="Q624" s="26" t="str">
        <f>HYPERLINK("https://ictv.global/taxonomy/taxondetails?taxnode_id=202521049&amp;ictv_id=ICTV202421049","ICTV202421049")</f>
        <v>ICTV202421049</v>
      </c>
      <c r="R624" t="s">
        <v>579</v>
      </c>
      <c r="S624" t="s">
        <v>823</v>
      </c>
      <c r="T624">
        <v>40</v>
      </c>
      <c r="U624" s="26" t="str">
        <f t="shared" si="25"/>
        <v>2024.045B.Autographivirales.zip</v>
      </c>
    </row>
    <row r="625" spans="1:21">
      <c r="A625">
        <v>624</v>
      </c>
      <c r="B625" s="27" t="s">
        <v>1449</v>
      </c>
      <c r="D625" s="27" t="s">
        <v>1450</v>
      </c>
      <c r="F625" s="27" t="s">
        <v>1453</v>
      </c>
      <c r="H625" s="27" t="s">
        <v>1454</v>
      </c>
      <c r="J625" s="27" t="s">
        <v>18547</v>
      </c>
      <c r="L625" s="27" t="s">
        <v>18831</v>
      </c>
      <c r="M625" s="27" t="s">
        <v>1481</v>
      </c>
      <c r="N625" s="27" t="s">
        <v>18866</v>
      </c>
      <c r="P625" s="27" t="s">
        <v>18871</v>
      </c>
      <c r="Q625" s="26" t="str">
        <f>HYPERLINK("https://ictv.global/taxonomy/taxondetails?taxnode_id=202521050&amp;ictv_id=ICTV202421050","ICTV202421050")</f>
        <v>ICTV202421050</v>
      </c>
      <c r="R625" t="s">
        <v>579</v>
      </c>
      <c r="S625" t="s">
        <v>823</v>
      </c>
      <c r="T625">
        <v>40</v>
      </c>
      <c r="U625" s="26" t="str">
        <f t="shared" si="25"/>
        <v>2024.045B.Autographivirales.zip</v>
      </c>
    </row>
    <row r="626" spans="1:21">
      <c r="A626">
        <v>625</v>
      </c>
      <c r="B626" s="27" t="s">
        <v>1449</v>
      </c>
      <c r="D626" s="27" t="s">
        <v>1450</v>
      </c>
      <c r="F626" s="27" t="s">
        <v>1453</v>
      </c>
      <c r="H626" s="27" t="s">
        <v>1454</v>
      </c>
      <c r="J626" s="27" t="s">
        <v>18547</v>
      </c>
      <c r="L626" s="27" t="s">
        <v>18831</v>
      </c>
      <c r="M626" s="27" t="s">
        <v>1481</v>
      </c>
      <c r="N626" s="27" t="s">
        <v>18866</v>
      </c>
      <c r="P626" s="27" t="s">
        <v>18872</v>
      </c>
      <c r="Q626" s="26" t="str">
        <f>HYPERLINK("https://ictv.global/taxonomy/taxondetails?taxnode_id=202521048&amp;ictv_id=ICTV202421048","ICTV202421048")</f>
        <v>ICTV202421048</v>
      </c>
      <c r="R626" t="s">
        <v>579</v>
      </c>
      <c r="S626" t="s">
        <v>823</v>
      </c>
      <c r="T626">
        <v>40</v>
      </c>
      <c r="U626" s="26" t="str">
        <f t="shared" si="25"/>
        <v>2024.045B.Autographivirales.zip</v>
      </c>
    </row>
    <row r="627" spans="1:21">
      <c r="A627">
        <v>626</v>
      </c>
      <c r="B627" s="27" t="s">
        <v>1449</v>
      </c>
      <c r="D627" s="27" t="s">
        <v>1450</v>
      </c>
      <c r="F627" s="27" t="s">
        <v>1453</v>
      </c>
      <c r="H627" s="27" t="s">
        <v>1454</v>
      </c>
      <c r="J627" s="27" t="s">
        <v>18547</v>
      </c>
      <c r="L627" s="27" t="s">
        <v>18831</v>
      </c>
      <c r="M627" s="27" t="s">
        <v>1481</v>
      </c>
      <c r="N627" s="27" t="s">
        <v>1485</v>
      </c>
      <c r="P627" s="27" t="s">
        <v>4279</v>
      </c>
      <c r="Q627" s="26" t="str">
        <f>HYPERLINK("https://ictv.global/taxonomy/taxondetails?taxnode_id=202508581&amp;ictv_id=ICTV201908581","ICTV201908581")</f>
        <v>ICTV201908581</v>
      </c>
      <c r="R627" t="s">
        <v>579</v>
      </c>
      <c r="S627" t="s">
        <v>22763</v>
      </c>
      <c r="T627">
        <v>40</v>
      </c>
      <c r="U627" s="26" t="str">
        <f t="shared" si="25"/>
        <v>2024.045B.Autographivirales.zip</v>
      </c>
    </row>
    <row r="628" spans="1:21">
      <c r="A628">
        <v>627</v>
      </c>
      <c r="B628" s="27" t="s">
        <v>1449</v>
      </c>
      <c r="D628" s="27" t="s">
        <v>1450</v>
      </c>
      <c r="F628" s="27" t="s">
        <v>1453</v>
      </c>
      <c r="H628" s="27" t="s">
        <v>1454</v>
      </c>
      <c r="J628" s="27" t="s">
        <v>18547</v>
      </c>
      <c r="L628" s="27" t="s">
        <v>18831</v>
      </c>
      <c r="M628" s="27" t="s">
        <v>1481</v>
      </c>
      <c r="N628" s="27" t="s">
        <v>18873</v>
      </c>
      <c r="P628" s="27" t="s">
        <v>18874</v>
      </c>
      <c r="Q628" s="26" t="str">
        <f>HYPERLINK("https://ictv.global/taxonomy/taxondetails?taxnode_id=202521059&amp;ictv_id=ICTV202421059","ICTV202421059")</f>
        <v>ICTV202421059</v>
      </c>
      <c r="R628" t="s">
        <v>579</v>
      </c>
      <c r="S628" t="s">
        <v>823</v>
      </c>
      <c r="T628">
        <v>40</v>
      </c>
      <c r="U628" s="26" t="str">
        <f t="shared" si="25"/>
        <v>2024.045B.Autographivirales.zip</v>
      </c>
    </row>
    <row r="629" spans="1:21">
      <c r="A629">
        <v>628</v>
      </c>
      <c r="B629" s="27" t="s">
        <v>1449</v>
      </c>
      <c r="D629" s="27" t="s">
        <v>1450</v>
      </c>
      <c r="F629" s="27" t="s">
        <v>1453</v>
      </c>
      <c r="H629" s="27" t="s">
        <v>1454</v>
      </c>
      <c r="J629" s="27" t="s">
        <v>18547</v>
      </c>
      <c r="L629" s="27" t="s">
        <v>18831</v>
      </c>
      <c r="M629" s="27" t="s">
        <v>1481</v>
      </c>
      <c r="N629" s="27" t="s">
        <v>18873</v>
      </c>
      <c r="P629" s="27" t="s">
        <v>18875</v>
      </c>
      <c r="Q629" s="26" t="str">
        <f>HYPERLINK("https://ictv.global/taxonomy/taxondetails?taxnode_id=202521058&amp;ictv_id=ICTV202421058","ICTV202421058")</f>
        <v>ICTV202421058</v>
      </c>
      <c r="R629" t="s">
        <v>579</v>
      </c>
      <c r="S629" t="s">
        <v>823</v>
      </c>
      <c r="T629">
        <v>40</v>
      </c>
      <c r="U629" s="26" t="str">
        <f t="shared" si="25"/>
        <v>2024.045B.Autographivirales.zip</v>
      </c>
    </row>
    <row r="630" spans="1:21">
      <c r="A630">
        <v>629</v>
      </c>
      <c r="B630" s="27" t="s">
        <v>1449</v>
      </c>
      <c r="D630" s="27" t="s">
        <v>1450</v>
      </c>
      <c r="F630" s="27" t="s">
        <v>1453</v>
      </c>
      <c r="H630" s="27" t="s">
        <v>1454</v>
      </c>
      <c r="J630" s="27" t="s">
        <v>18547</v>
      </c>
      <c r="L630" s="27" t="s">
        <v>18831</v>
      </c>
      <c r="M630" s="27" t="s">
        <v>1481</v>
      </c>
      <c r="N630" s="27" t="s">
        <v>18873</v>
      </c>
      <c r="P630" s="27" t="s">
        <v>18876</v>
      </c>
      <c r="Q630" s="26" t="str">
        <f>HYPERLINK("https://ictv.global/taxonomy/taxondetails?taxnode_id=202521057&amp;ictv_id=ICTV202421057","ICTV202421057")</f>
        <v>ICTV202421057</v>
      </c>
      <c r="R630" t="s">
        <v>579</v>
      </c>
      <c r="S630" t="s">
        <v>823</v>
      </c>
      <c r="T630">
        <v>40</v>
      </c>
      <c r="U630" s="26" t="str">
        <f t="shared" si="25"/>
        <v>2024.045B.Autographivirales.zip</v>
      </c>
    </row>
    <row r="631" spans="1:21">
      <c r="A631">
        <v>630</v>
      </c>
      <c r="B631" s="27" t="s">
        <v>1449</v>
      </c>
      <c r="D631" s="27" t="s">
        <v>1450</v>
      </c>
      <c r="F631" s="27" t="s">
        <v>1453</v>
      </c>
      <c r="H631" s="27" t="s">
        <v>1454</v>
      </c>
      <c r="J631" s="27" t="s">
        <v>18547</v>
      </c>
      <c r="L631" s="27" t="s">
        <v>18831</v>
      </c>
      <c r="M631" s="27" t="s">
        <v>1481</v>
      </c>
      <c r="N631" s="27" t="s">
        <v>18873</v>
      </c>
      <c r="P631" s="27" t="s">
        <v>18877</v>
      </c>
      <c r="Q631" s="26" t="str">
        <f>HYPERLINK("https://ictv.global/taxonomy/taxondetails?taxnode_id=202521056&amp;ictv_id=ICTV202421056","ICTV202421056")</f>
        <v>ICTV202421056</v>
      </c>
      <c r="R631" t="s">
        <v>579</v>
      </c>
      <c r="S631" t="s">
        <v>823</v>
      </c>
      <c r="T631">
        <v>40</v>
      </c>
      <c r="U631" s="26" t="str">
        <f t="shared" si="25"/>
        <v>2024.045B.Autographivirales.zip</v>
      </c>
    </row>
    <row r="632" spans="1:21">
      <c r="A632">
        <v>631</v>
      </c>
      <c r="B632" s="27" t="s">
        <v>1449</v>
      </c>
      <c r="D632" s="27" t="s">
        <v>1450</v>
      </c>
      <c r="F632" s="27" t="s">
        <v>1453</v>
      </c>
      <c r="H632" s="27" t="s">
        <v>1454</v>
      </c>
      <c r="J632" s="27" t="s">
        <v>18547</v>
      </c>
      <c r="L632" s="27" t="s">
        <v>18831</v>
      </c>
      <c r="M632" s="27" t="s">
        <v>1481</v>
      </c>
      <c r="N632" s="27" t="s">
        <v>18873</v>
      </c>
      <c r="P632" s="27" t="s">
        <v>18878</v>
      </c>
      <c r="Q632" s="26" t="str">
        <f>HYPERLINK("https://ictv.global/taxonomy/taxondetails?taxnode_id=202521055&amp;ictv_id=ICTV202421055","ICTV202421055")</f>
        <v>ICTV202421055</v>
      </c>
      <c r="R632" t="s">
        <v>579</v>
      </c>
      <c r="S632" t="s">
        <v>823</v>
      </c>
      <c r="T632">
        <v>40</v>
      </c>
      <c r="U632" s="26" t="str">
        <f t="shared" si="25"/>
        <v>2024.045B.Autographivirales.zip</v>
      </c>
    </row>
    <row r="633" spans="1:21">
      <c r="A633">
        <v>632</v>
      </c>
      <c r="B633" s="27" t="s">
        <v>1449</v>
      </c>
      <c r="D633" s="27" t="s">
        <v>1450</v>
      </c>
      <c r="F633" s="27" t="s">
        <v>1453</v>
      </c>
      <c r="H633" s="27" t="s">
        <v>1454</v>
      </c>
      <c r="J633" s="27" t="s">
        <v>18547</v>
      </c>
      <c r="L633" s="27" t="s">
        <v>18831</v>
      </c>
      <c r="M633" s="27" t="s">
        <v>1481</v>
      </c>
      <c r="N633" s="27" t="s">
        <v>1486</v>
      </c>
      <c r="P633" s="27" t="s">
        <v>4280</v>
      </c>
      <c r="Q633" s="26" t="str">
        <f>HYPERLINK("https://ictv.global/taxonomy/taxondetails?taxnode_id=202508585&amp;ictv_id=ICTV201908585","ICTV201908585")</f>
        <v>ICTV201908585</v>
      </c>
      <c r="R633" t="s">
        <v>579</v>
      </c>
      <c r="S633" t="s">
        <v>22763</v>
      </c>
      <c r="T633">
        <v>40</v>
      </c>
      <c r="U633" s="26" t="str">
        <f t="shared" si="25"/>
        <v>2024.045B.Autographivirales.zip</v>
      </c>
    </row>
    <row r="634" spans="1:21">
      <c r="A634">
        <v>633</v>
      </c>
      <c r="B634" s="27" t="s">
        <v>1449</v>
      </c>
      <c r="D634" s="27" t="s">
        <v>1450</v>
      </c>
      <c r="F634" s="27" t="s">
        <v>1453</v>
      </c>
      <c r="H634" s="27" t="s">
        <v>1454</v>
      </c>
      <c r="J634" s="27" t="s">
        <v>18547</v>
      </c>
      <c r="L634" s="27" t="s">
        <v>18831</v>
      </c>
      <c r="M634" s="27" t="s">
        <v>1481</v>
      </c>
      <c r="N634" s="27" t="s">
        <v>1486</v>
      </c>
      <c r="P634" s="27" t="s">
        <v>4281</v>
      </c>
      <c r="Q634" s="26" t="str">
        <f>HYPERLINK("https://ictv.global/taxonomy/taxondetails?taxnode_id=202508584&amp;ictv_id=ICTV201908584","ICTV201908584")</f>
        <v>ICTV201908584</v>
      </c>
      <c r="R634" t="s">
        <v>579</v>
      </c>
      <c r="S634" t="s">
        <v>22763</v>
      </c>
      <c r="T634">
        <v>40</v>
      </c>
      <c r="U634" s="26" t="str">
        <f t="shared" si="25"/>
        <v>2024.045B.Autographivirales.zip</v>
      </c>
    </row>
    <row r="635" spans="1:21">
      <c r="A635">
        <v>634</v>
      </c>
      <c r="B635" s="27" t="s">
        <v>1449</v>
      </c>
      <c r="D635" s="27" t="s">
        <v>1450</v>
      </c>
      <c r="F635" s="27" t="s">
        <v>1453</v>
      </c>
      <c r="H635" s="27" t="s">
        <v>1454</v>
      </c>
      <c r="J635" s="27" t="s">
        <v>18547</v>
      </c>
      <c r="L635" s="27" t="s">
        <v>18831</v>
      </c>
      <c r="M635" s="27" t="s">
        <v>1481</v>
      </c>
      <c r="N635" s="27" t="s">
        <v>1486</v>
      </c>
      <c r="P635" s="27" t="s">
        <v>4282</v>
      </c>
      <c r="Q635" s="26" t="str">
        <f>HYPERLINK("https://ictv.global/taxonomy/taxondetails?taxnode_id=202508586&amp;ictv_id=ICTV201908586","ICTV201908586")</f>
        <v>ICTV201908586</v>
      </c>
      <c r="R635" t="s">
        <v>579</v>
      </c>
      <c r="S635" t="s">
        <v>22763</v>
      </c>
      <c r="T635">
        <v>40</v>
      </c>
      <c r="U635" s="26" t="str">
        <f t="shared" si="25"/>
        <v>2024.045B.Autographivirales.zip</v>
      </c>
    </row>
    <row r="636" spans="1:21">
      <c r="A636">
        <v>635</v>
      </c>
      <c r="B636" s="27" t="s">
        <v>1449</v>
      </c>
      <c r="D636" s="27" t="s">
        <v>1450</v>
      </c>
      <c r="F636" s="27" t="s">
        <v>1453</v>
      </c>
      <c r="H636" s="27" t="s">
        <v>1454</v>
      </c>
      <c r="J636" s="27" t="s">
        <v>18547</v>
      </c>
      <c r="L636" s="27" t="s">
        <v>18831</v>
      </c>
      <c r="M636" s="27" t="s">
        <v>1481</v>
      </c>
      <c r="N636" s="27" t="s">
        <v>1486</v>
      </c>
      <c r="P636" s="27" t="s">
        <v>18879</v>
      </c>
      <c r="Q636" s="26" t="str">
        <f>HYPERLINK("https://ictv.global/taxonomy/taxondetails?taxnode_id=202521044&amp;ictv_id=ICTV202421044","ICTV202421044")</f>
        <v>ICTV202421044</v>
      </c>
      <c r="R636" t="s">
        <v>579</v>
      </c>
      <c r="S636" t="s">
        <v>823</v>
      </c>
      <c r="T636">
        <v>40</v>
      </c>
      <c r="U636" s="26" t="str">
        <f t="shared" si="25"/>
        <v>2024.045B.Autographivirales.zip</v>
      </c>
    </row>
    <row r="637" spans="1:21">
      <c r="A637">
        <v>636</v>
      </c>
      <c r="B637" s="27" t="s">
        <v>1449</v>
      </c>
      <c r="D637" s="27" t="s">
        <v>1450</v>
      </c>
      <c r="F637" s="27" t="s">
        <v>1453</v>
      </c>
      <c r="H637" s="27" t="s">
        <v>1454</v>
      </c>
      <c r="J637" s="27" t="s">
        <v>18547</v>
      </c>
      <c r="L637" s="27" t="s">
        <v>18831</v>
      </c>
      <c r="M637" s="27" t="s">
        <v>1481</v>
      </c>
      <c r="N637" s="27" t="s">
        <v>1486</v>
      </c>
      <c r="P637" s="27" t="s">
        <v>18880</v>
      </c>
      <c r="Q637" s="26" t="str">
        <f>HYPERLINK("https://ictv.global/taxonomy/taxondetails?taxnode_id=202521042&amp;ictv_id=ICTV202421042","ICTV202421042")</f>
        <v>ICTV202421042</v>
      </c>
      <c r="R637" t="s">
        <v>579</v>
      </c>
      <c r="S637" t="s">
        <v>823</v>
      </c>
      <c r="T637">
        <v>40</v>
      </c>
      <c r="U637" s="26" t="str">
        <f t="shared" si="25"/>
        <v>2024.045B.Autographivirales.zip</v>
      </c>
    </row>
    <row r="638" spans="1:21">
      <c r="A638">
        <v>637</v>
      </c>
      <c r="B638" s="27" t="s">
        <v>1449</v>
      </c>
      <c r="D638" s="27" t="s">
        <v>1450</v>
      </c>
      <c r="F638" s="27" t="s">
        <v>1453</v>
      </c>
      <c r="H638" s="27" t="s">
        <v>1454</v>
      </c>
      <c r="J638" s="27" t="s">
        <v>18547</v>
      </c>
      <c r="L638" s="27" t="s">
        <v>18831</v>
      </c>
      <c r="M638" s="27" t="s">
        <v>1481</v>
      </c>
      <c r="N638" s="27" t="s">
        <v>1486</v>
      </c>
      <c r="P638" s="27" t="s">
        <v>4283</v>
      </c>
      <c r="Q638" s="26" t="str">
        <f>HYPERLINK("https://ictv.global/taxonomy/taxondetails?taxnode_id=202500579&amp;ictv_id=ICTV20094394","ICTV20094394")</f>
        <v>ICTV20094394</v>
      </c>
      <c r="R638" t="s">
        <v>579</v>
      </c>
      <c r="S638" t="s">
        <v>22763</v>
      </c>
      <c r="T638">
        <v>40</v>
      </c>
      <c r="U638" s="26" t="str">
        <f t="shared" si="25"/>
        <v>2024.045B.Autographivirales.zip</v>
      </c>
    </row>
    <row r="639" spans="1:21">
      <c r="A639">
        <v>638</v>
      </c>
      <c r="B639" s="27" t="s">
        <v>1449</v>
      </c>
      <c r="D639" s="27" t="s">
        <v>1450</v>
      </c>
      <c r="F639" s="27" t="s">
        <v>1453</v>
      </c>
      <c r="H639" s="27" t="s">
        <v>1454</v>
      </c>
      <c r="J639" s="27" t="s">
        <v>18547</v>
      </c>
      <c r="L639" s="27" t="s">
        <v>18831</v>
      </c>
      <c r="M639" s="27" t="s">
        <v>1481</v>
      </c>
      <c r="N639" s="27" t="s">
        <v>1486</v>
      </c>
      <c r="P639" s="27" t="s">
        <v>4284</v>
      </c>
      <c r="Q639" s="26" t="str">
        <f>HYPERLINK("https://ictv.global/taxonomy/taxondetails?taxnode_id=202500580&amp;ictv_id=ICTV20094395","ICTV20094395")</f>
        <v>ICTV20094395</v>
      </c>
      <c r="R639" t="s">
        <v>579</v>
      </c>
      <c r="S639" t="s">
        <v>22763</v>
      </c>
      <c r="T639">
        <v>40</v>
      </c>
      <c r="U639" s="26" t="str">
        <f t="shared" si="25"/>
        <v>2024.045B.Autographivirales.zip</v>
      </c>
    </row>
    <row r="640" spans="1:21">
      <c r="A640">
        <v>639</v>
      </c>
      <c r="B640" s="27" t="s">
        <v>1449</v>
      </c>
      <c r="D640" s="27" t="s">
        <v>1450</v>
      </c>
      <c r="F640" s="27" t="s">
        <v>1453</v>
      </c>
      <c r="H640" s="27" t="s">
        <v>1454</v>
      </c>
      <c r="J640" s="27" t="s">
        <v>18547</v>
      </c>
      <c r="L640" s="27" t="s">
        <v>18831</v>
      </c>
      <c r="M640" s="27" t="s">
        <v>1481</v>
      </c>
      <c r="N640" s="27" t="s">
        <v>1486</v>
      </c>
      <c r="P640" s="27" t="s">
        <v>18881</v>
      </c>
      <c r="Q640" s="26" t="str">
        <f>HYPERLINK("https://ictv.global/taxonomy/taxondetails?taxnode_id=202521039&amp;ictv_id=ICTV202421039","ICTV202421039")</f>
        <v>ICTV202421039</v>
      </c>
      <c r="R640" t="s">
        <v>579</v>
      </c>
      <c r="S640" t="s">
        <v>823</v>
      </c>
      <c r="T640">
        <v>40</v>
      </c>
      <c r="U640" s="26" t="str">
        <f t="shared" si="25"/>
        <v>2024.045B.Autographivirales.zip</v>
      </c>
    </row>
    <row r="641" spans="1:21">
      <c r="A641">
        <v>640</v>
      </c>
      <c r="B641" s="27" t="s">
        <v>1449</v>
      </c>
      <c r="D641" s="27" t="s">
        <v>1450</v>
      </c>
      <c r="F641" s="27" t="s">
        <v>1453</v>
      </c>
      <c r="H641" s="27" t="s">
        <v>1454</v>
      </c>
      <c r="J641" s="27" t="s">
        <v>18547</v>
      </c>
      <c r="L641" s="27" t="s">
        <v>18831</v>
      </c>
      <c r="M641" s="27" t="s">
        <v>1481</v>
      </c>
      <c r="N641" s="27" t="s">
        <v>1486</v>
      </c>
      <c r="P641" s="27" t="s">
        <v>4285</v>
      </c>
      <c r="Q641" s="26" t="str">
        <f>HYPERLINK("https://ictv.global/taxonomy/taxondetails?taxnode_id=202508588&amp;ictv_id=ICTV201908588","ICTV201908588")</f>
        <v>ICTV201908588</v>
      </c>
      <c r="R641" t="s">
        <v>579</v>
      </c>
      <c r="S641" t="s">
        <v>22763</v>
      </c>
      <c r="T641">
        <v>40</v>
      </c>
      <c r="U641" s="26" t="str">
        <f t="shared" si="25"/>
        <v>2024.045B.Autographivirales.zip</v>
      </c>
    </row>
    <row r="642" spans="1:21">
      <c r="A642">
        <v>641</v>
      </c>
      <c r="B642" s="27" t="s">
        <v>1449</v>
      </c>
      <c r="D642" s="27" t="s">
        <v>1450</v>
      </c>
      <c r="F642" s="27" t="s">
        <v>1453</v>
      </c>
      <c r="H642" s="27" t="s">
        <v>1454</v>
      </c>
      <c r="J642" s="27" t="s">
        <v>18547</v>
      </c>
      <c r="L642" s="27" t="s">
        <v>18831</v>
      </c>
      <c r="M642" s="27" t="s">
        <v>1481</v>
      </c>
      <c r="N642" s="27" t="s">
        <v>1486</v>
      </c>
      <c r="P642" s="27" t="s">
        <v>18882</v>
      </c>
      <c r="Q642" s="26" t="str">
        <f>HYPERLINK("https://ictv.global/taxonomy/taxondetails?taxnode_id=202521036&amp;ictv_id=ICTV202421036","ICTV202421036")</f>
        <v>ICTV202421036</v>
      </c>
      <c r="R642" t="s">
        <v>579</v>
      </c>
      <c r="S642" t="s">
        <v>823</v>
      </c>
      <c r="T642">
        <v>40</v>
      </c>
      <c r="U642" s="26" t="str">
        <f t="shared" si="25"/>
        <v>2024.045B.Autographivirales.zip</v>
      </c>
    </row>
    <row r="643" spans="1:21">
      <c r="A643">
        <v>642</v>
      </c>
      <c r="B643" s="27" t="s">
        <v>1449</v>
      </c>
      <c r="D643" s="27" t="s">
        <v>1450</v>
      </c>
      <c r="F643" s="27" t="s">
        <v>1453</v>
      </c>
      <c r="H643" s="27" t="s">
        <v>1454</v>
      </c>
      <c r="J643" s="27" t="s">
        <v>18547</v>
      </c>
      <c r="L643" s="27" t="s">
        <v>18831</v>
      </c>
      <c r="M643" s="27" t="s">
        <v>1481</v>
      </c>
      <c r="N643" s="27" t="s">
        <v>1486</v>
      </c>
      <c r="P643" s="27" t="s">
        <v>4286</v>
      </c>
      <c r="Q643" s="26" t="str">
        <f>HYPERLINK("https://ictv.global/taxonomy/taxondetails?taxnode_id=202508589&amp;ictv_id=ICTV201908589","ICTV201908589")</f>
        <v>ICTV201908589</v>
      </c>
      <c r="R643" t="s">
        <v>579</v>
      </c>
      <c r="S643" t="s">
        <v>22763</v>
      </c>
      <c r="T643">
        <v>40</v>
      </c>
      <c r="U643" s="26" t="str">
        <f t="shared" si="25"/>
        <v>2024.045B.Autographivirales.zip</v>
      </c>
    </row>
    <row r="644" spans="1:21">
      <c r="A644">
        <v>643</v>
      </c>
      <c r="B644" s="27" t="s">
        <v>1449</v>
      </c>
      <c r="D644" s="27" t="s">
        <v>1450</v>
      </c>
      <c r="F644" s="27" t="s">
        <v>1453</v>
      </c>
      <c r="H644" s="27" t="s">
        <v>1454</v>
      </c>
      <c r="J644" s="27" t="s">
        <v>18547</v>
      </c>
      <c r="L644" s="27" t="s">
        <v>18831</v>
      </c>
      <c r="M644" s="27" t="s">
        <v>1481</v>
      </c>
      <c r="N644" s="27" t="s">
        <v>1486</v>
      </c>
      <c r="P644" s="27" t="s">
        <v>18883</v>
      </c>
      <c r="Q644" s="26" t="str">
        <f>HYPERLINK("https://ictv.global/taxonomy/taxondetails?taxnode_id=202521043&amp;ictv_id=ICTV202421043","ICTV202421043")</f>
        <v>ICTV202421043</v>
      </c>
      <c r="R644" t="s">
        <v>579</v>
      </c>
      <c r="S644" t="s">
        <v>823</v>
      </c>
      <c r="T644">
        <v>40</v>
      </c>
      <c r="U644" s="26" t="str">
        <f t="shared" si="25"/>
        <v>2024.045B.Autographivirales.zip</v>
      </c>
    </row>
    <row r="645" spans="1:21">
      <c r="A645">
        <v>644</v>
      </c>
      <c r="B645" s="27" t="s">
        <v>1449</v>
      </c>
      <c r="D645" s="27" t="s">
        <v>1450</v>
      </c>
      <c r="F645" s="27" t="s">
        <v>1453</v>
      </c>
      <c r="H645" s="27" t="s">
        <v>1454</v>
      </c>
      <c r="J645" s="27" t="s">
        <v>18547</v>
      </c>
      <c r="L645" s="27" t="s">
        <v>18831</v>
      </c>
      <c r="M645" s="27" t="s">
        <v>1481</v>
      </c>
      <c r="N645" s="27" t="s">
        <v>1486</v>
      </c>
      <c r="P645" s="27" t="s">
        <v>18884</v>
      </c>
      <c r="Q645" s="26" t="str">
        <f>HYPERLINK("https://ictv.global/taxonomy/taxondetails?taxnode_id=202521040&amp;ictv_id=ICTV202421040","ICTV202421040")</f>
        <v>ICTV202421040</v>
      </c>
      <c r="R645" t="s">
        <v>579</v>
      </c>
      <c r="S645" t="s">
        <v>823</v>
      </c>
      <c r="T645">
        <v>40</v>
      </c>
      <c r="U645" s="26" t="str">
        <f t="shared" si="25"/>
        <v>2024.045B.Autographivirales.zip</v>
      </c>
    </row>
    <row r="646" spans="1:21">
      <c r="A646">
        <v>645</v>
      </c>
      <c r="B646" s="27" t="s">
        <v>1449</v>
      </c>
      <c r="D646" s="27" t="s">
        <v>1450</v>
      </c>
      <c r="F646" s="27" t="s">
        <v>1453</v>
      </c>
      <c r="H646" s="27" t="s">
        <v>1454</v>
      </c>
      <c r="J646" s="27" t="s">
        <v>18547</v>
      </c>
      <c r="L646" s="27" t="s">
        <v>18831</v>
      </c>
      <c r="M646" s="27" t="s">
        <v>1481</v>
      </c>
      <c r="N646" s="27" t="s">
        <v>1486</v>
      </c>
      <c r="P646" s="27" t="s">
        <v>18885</v>
      </c>
      <c r="Q646" s="26" t="str">
        <f>HYPERLINK("https://ictv.global/taxonomy/taxondetails?taxnode_id=202521037&amp;ictv_id=ICTV202421037","ICTV202421037")</f>
        <v>ICTV202421037</v>
      </c>
      <c r="R646" t="s">
        <v>579</v>
      </c>
      <c r="S646" t="s">
        <v>823</v>
      </c>
      <c r="T646">
        <v>40</v>
      </c>
      <c r="U646" s="26" t="str">
        <f t="shared" si="25"/>
        <v>2024.045B.Autographivirales.zip</v>
      </c>
    </row>
    <row r="647" spans="1:21">
      <c r="A647">
        <v>646</v>
      </c>
      <c r="B647" s="27" t="s">
        <v>1449</v>
      </c>
      <c r="D647" s="27" t="s">
        <v>1450</v>
      </c>
      <c r="F647" s="27" t="s">
        <v>1453</v>
      </c>
      <c r="H647" s="27" t="s">
        <v>1454</v>
      </c>
      <c r="J647" s="27" t="s">
        <v>18547</v>
      </c>
      <c r="L647" s="27" t="s">
        <v>18831</v>
      </c>
      <c r="M647" s="27" t="s">
        <v>1481</v>
      </c>
      <c r="N647" s="27" t="s">
        <v>1486</v>
      </c>
      <c r="P647" s="27" t="s">
        <v>18886</v>
      </c>
      <c r="Q647" s="26" t="str">
        <f>HYPERLINK("https://ictv.global/taxonomy/taxondetails?taxnode_id=202521038&amp;ictv_id=ICTV202421038","ICTV202421038")</f>
        <v>ICTV202421038</v>
      </c>
      <c r="R647" t="s">
        <v>579</v>
      </c>
      <c r="S647" t="s">
        <v>823</v>
      </c>
      <c r="T647">
        <v>40</v>
      </c>
      <c r="U647" s="26" t="str">
        <f t="shared" si="25"/>
        <v>2024.045B.Autographivirales.zip</v>
      </c>
    </row>
    <row r="648" spans="1:21">
      <c r="A648">
        <v>647</v>
      </c>
      <c r="B648" s="27" t="s">
        <v>1449</v>
      </c>
      <c r="D648" s="27" t="s">
        <v>1450</v>
      </c>
      <c r="F648" s="27" t="s">
        <v>1453</v>
      </c>
      <c r="H648" s="27" t="s">
        <v>1454</v>
      </c>
      <c r="J648" s="27" t="s">
        <v>18547</v>
      </c>
      <c r="L648" s="27" t="s">
        <v>18831</v>
      </c>
      <c r="M648" s="27" t="s">
        <v>1481</v>
      </c>
      <c r="N648" s="27" t="s">
        <v>1486</v>
      </c>
      <c r="P648" s="27" t="s">
        <v>18887</v>
      </c>
      <c r="Q648" s="26" t="str">
        <f>HYPERLINK("https://ictv.global/taxonomy/taxondetails?taxnode_id=202521041&amp;ictv_id=ICTV202421041","ICTV202421041")</f>
        <v>ICTV202421041</v>
      </c>
      <c r="R648" t="s">
        <v>579</v>
      </c>
      <c r="S648" t="s">
        <v>823</v>
      </c>
      <c r="T648">
        <v>40</v>
      </c>
      <c r="U648" s="26" t="str">
        <f t="shared" si="25"/>
        <v>2024.045B.Autographivirales.zip</v>
      </c>
    </row>
    <row r="649" spans="1:21">
      <c r="A649">
        <v>648</v>
      </c>
      <c r="B649" s="27" t="s">
        <v>1449</v>
      </c>
      <c r="D649" s="27" t="s">
        <v>1450</v>
      </c>
      <c r="F649" s="27" t="s">
        <v>1453</v>
      </c>
      <c r="H649" s="27" t="s">
        <v>1454</v>
      </c>
      <c r="J649" s="27" t="s">
        <v>18547</v>
      </c>
      <c r="L649" s="27" t="s">
        <v>18831</v>
      </c>
      <c r="M649" s="27" t="s">
        <v>1481</v>
      </c>
      <c r="N649" s="27" t="s">
        <v>1486</v>
      </c>
      <c r="P649" s="27" t="s">
        <v>4287</v>
      </c>
      <c r="Q649" s="26" t="str">
        <f>HYPERLINK("https://ictv.global/taxonomy/taxondetails?taxnode_id=202508583&amp;ictv_id=ICTV201908583","ICTV201908583")</f>
        <v>ICTV201908583</v>
      </c>
      <c r="R649" t="s">
        <v>579</v>
      </c>
      <c r="S649" t="s">
        <v>22763</v>
      </c>
      <c r="T649">
        <v>40</v>
      </c>
      <c r="U649" s="26" t="str">
        <f t="shared" si="25"/>
        <v>2024.045B.Autographivirales.zip</v>
      </c>
    </row>
    <row r="650" spans="1:21">
      <c r="A650">
        <v>649</v>
      </c>
      <c r="B650" s="27" t="s">
        <v>1449</v>
      </c>
      <c r="D650" s="27" t="s">
        <v>1450</v>
      </c>
      <c r="F650" s="27" t="s">
        <v>1453</v>
      </c>
      <c r="H650" s="27" t="s">
        <v>1454</v>
      </c>
      <c r="J650" s="27" t="s">
        <v>18547</v>
      </c>
      <c r="L650" s="27" t="s">
        <v>18831</v>
      </c>
      <c r="M650" s="27" t="s">
        <v>1481</v>
      </c>
      <c r="N650" s="27" t="s">
        <v>1486</v>
      </c>
      <c r="P650" s="27" t="s">
        <v>18888</v>
      </c>
      <c r="Q650" s="26" t="str">
        <f>HYPERLINK("https://ictv.global/taxonomy/taxondetails?taxnode_id=202521045&amp;ictv_id=ICTV202421045","ICTV202421045")</f>
        <v>ICTV202421045</v>
      </c>
      <c r="R650" t="s">
        <v>579</v>
      </c>
      <c r="S650" t="s">
        <v>823</v>
      </c>
      <c r="T650">
        <v>40</v>
      </c>
      <c r="U650" s="26" t="str">
        <f t="shared" si="25"/>
        <v>2024.045B.Autographivirales.zip</v>
      </c>
    </row>
    <row r="651" spans="1:21">
      <c r="A651">
        <v>650</v>
      </c>
      <c r="B651" s="27" t="s">
        <v>1449</v>
      </c>
      <c r="D651" s="27" t="s">
        <v>1450</v>
      </c>
      <c r="F651" s="27" t="s">
        <v>1453</v>
      </c>
      <c r="H651" s="27" t="s">
        <v>1454</v>
      </c>
      <c r="J651" s="27" t="s">
        <v>18547</v>
      </c>
      <c r="L651" s="27" t="s">
        <v>18831</v>
      </c>
      <c r="M651" s="27" t="s">
        <v>1481</v>
      </c>
      <c r="N651" s="27" t="s">
        <v>1277</v>
      </c>
      <c r="P651" s="27" t="s">
        <v>4288</v>
      </c>
      <c r="Q651" s="26" t="str">
        <f>HYPERLINK("https://ictv.global/taxonomy/taxondetails?taxnode_id=202508593&amp;ictv_id=ICTV201908593","ICTV201908593")</f>
        <v>ICTV201908593</v>
      </c>
      <c r="R651" t="s">
        <v>579</v>
      </c>
      <c r="S651" t="s">
        <v>22763</v>
      </c>
      <c r="T651">
        <v>40</v>
      </c>
      <c r="U651" s="26" t="str">
        <f t="shared" si="25"/>
        <v>2024.045B.Autographivirales.zip</v>
      </c>
    </row>
    <row r="652" spans="1:21">
      <c r="A652">
        <v>651</v>
      </c>
      <c r="B652" s="27" t="s">
        <v>1449</v>
      </c>
      <c r="D652" s="27" t="s">
        <v>1450</v>
      </c>
      <c r="F652" s="27" t="s">
        <v>1453</v>
      </c>
      <c r="H652" s="27" t="s">
        <v>1454</v>
      </c>
      <c r="J652" s="27" t="s">
        <v>18547</v>
      </c>
      <c r="L652" s="27" t="s">
        <v>18831</v>
      </c>
      <c r="M652" s="27" t="s">
        <v>1481</v>
      </c>
      <c r="N652" s="27" t="s">
        <v>1277</v>
      </c>
      <c r="P652" s="27" t="s">
        <v>18889</v>
      </c>
      <c r="Q652" s="26" t="str">
        <f>HYPERLINK("https://ictv.global/taxonomy/taxondetails?taxnode_id=202521053&amp;ictv_id=ICTV202421053","ICTV202421053")</f>
        <v>ICTV202421053</v>
      </c>
      <c r="R652" t="s">
        <v>579</v>
      </c>
      <c r="S652" t="s">
        <v>823</v>
      </c>
      <c r="T652">
        <v>40</v>
      </c>
      <c r="U652" s="26" t="str">
        <f t="shared" si="25"/>
        <v>2024.045B.Autographivirales.zip</v>
      </c>
    </row>
    <row r="653" spans="1:21">
      <c r="A653">
        <v>652</v>
      </c>
      <c r="B653" s="27" t="s">
        <v>1449</v>
      </c>
      <c r="D653" s="27" t="s">
        <v>1450</v>
      </c>
      <c r="F653" s="27" t="s">
        <v>1453</v>
      </c>
      <c r="H653" s="27" t="s">
        <v>1454</v>
      </c>
      <c r="J653" s="27" t="s">
        <v>18547</v>
      </c>
      <c r="L653" s="27" t="s">
        <v>18831</v>
      </c>
      <c r="M653" s="27" t="s">
        <v>1481</v>
      </c>
      <c r="N653" s="27" t="s">
        <v>1277</v>
      </c>
      <c r="P653" s="27" t="s">
        <v>18890</v>
      </c>
      <c r="Q653" s="26" t="str">
        <f>HYPERLINK("https://ictv.global/taxonomy/taxondetails?taxnode_id=202521052&amp;ictv_id=ICTV202421052","ICTV202421052")</f>
        <v>ICTV202421052</v>
      </c>
      <c r="R653" t="s">
        <v>579</v>
      </c>
      <c r="S653" t="s">
        <v>823</v>
      </c>
      <c r="T653">
        <v>40</v>
      </c>
      <c r="U653" s="26" t="str">
        <f t="shared" si="25"/>
        <v>2024.045B.Autographivirales.zip</v>
      </c>
    </row>
    <row r="654" spans="1:21">
      <c r="A654">
        <v>653</v>
      </c>
      <c r="B654" s="27" t="s">
        <v>1449</v>
      </c>
      <c r="D654" s="27" t="s">
        <v>1450</v>
      </c>
      <c r="F654" s="27" t="s">
        <v>1453</v>
      </c>
      <c r="H654" s="27" t="s">
        <v>1454</v>
      </c>
      <c r="J654" s="27" t="s">
        <v>18547</v>
      </c>
      <c r="L654" s="27" t="s">
        <v>18831</v>
      </c>
      <c r="M654" s="27" t="s">
        <v>1481</v>
      </c>
      <c r="N654" s="27" t="s">
        <v>1277</v>
      </c>
      <c r="P654" s="27" t="s">
        <v>4289</v>
      </c>
      <c r="Q654" s="26" t="str">
        <f>HYPERLINK("https://ictv.global/taxonomy/taxondetails?taxnode_id=202500581&amp;ictv_id=ICTV20094397","ICTV20094397")</f>
        <v>ICTV20094397</v>
      </c>
      <c r="R654" t="s">
        <v>579</v>
      </c>
      <c r="S654" t="s">
        <v>22763</v>
      </c>
      <c r="T654">
        <v>40</v>
      </c>
      <c r="U654" s="26" t="str">
        <f t="shared" si="25"/>
        <v>2024.045B.Autographivirales.zip</v>
      </c>
    </row>
    <row r="655" spans="1:21">
      <c r="A655">
        <v>654</v>
      </c>
      <c r="B655" s="27" t="s">
        <v>1449</v>
      </c>
      <c r="D655" s="27" t="s">
        <v>1450</v>
      </c>
      <c r="F655" s="27" t="s">
        <v>1453</v>
      </c>
      <c r="H655" s="27" t="s">
        <v>1454</v>
      </c>
      <c r="J655" s="27" t="s">
        <v>18547</v>
      </c>
      <c r="L655" s="27" t="s">
        <v>18831</v>
      </c>
      <c r="M655" s="27" t="s">
        <v>1481</v>
      </c>
      <c r="N655" s="27" t="s">
        <v>1277</v>
      </c>
      <c r="P655" s="27" t="s">
        <v>4290</v>
      </c>
      <c r="Q655" s="26" t="str">
        <f>HYPERLINK("https://ictv.global/taxonomy/taxondetails?taxnode_id=202508592&amp;ictv_id=ICTV201908592","ICTV201908592")</f>
        <v>ICTV201908592</v>
      </c>
      <c r="R655" t="s">
        <v>579</v>
      </c>
      <c r="S655" t="s">
        <v>22763</v>
      </c>
      <c r="T655">
        <v>40</v>
      </c>
      <c r="U655" s="26" t="str">
        <f t="shared" si="25"/>
        <v>2024.045B.Autographivirales.zip</v>
      </c>
    </row>
    <row r="656" spans="1:21">
      <c r="A656">
        <v>655</v>
      </c>
      <c r="B656" s="27" t="s">
        <v>1449</v>
      </c>
      <c r="D656" s="27" t="s">
        <v>1450</v>
      </c>
      <c r="F656" s="27" t="s">
        <v>1453</v>
      </c>
      <c r="H656" s="27" t="s">
        <v>1454</v>
      </c>
      <c r="J656" s="27" t="s">
        <v>18547</v>
      </c>
      <c r="L656" s="27" t="s">
        <v>18891</v>
      </c>
      <c r="M656" s="27" t="s">
        <v>1497</v>
      </c>
      <c r="N656" s="27" t="s">
        <v>1498</v>
      </c>
      <c r="P656" s="27" t="s">
        <v>4322</v>
      </c>
      <c r="Q656" s="26" t="str">
        <f>HYPERLINK("https://ictv.global/taxonomy/taxondetails?taxnode_id=202508380&amp;ictv_id=ICTV201908380","ICTV201908380")</f>
        <v>ICTV201908380</v>
      </c>
      <c r="R656" t="s">
        <v>579</v>
      </c>
      <c r="S656" t="s">
        <v>22763</v>
      </c>
      <c r="T656">
        <v>40</v>
      </c>
      <c r="U656" s="26" t="str">
        <f t="shared" si="25"/>
        <v>2024.045B.Autographivirales.zip</v>
      </c>
    </row>
    <row r="657" spans="1:21">
      <c r="A657">
        <v>656</v>
      </c>
      <c r="B657" s="27" t="s">
        <v>1449</v>
      </c>
      <c r="D657" s="27" t="s">
        <v>1450</v>
      </c>
      <c r="F657" s="27" t="s">
        <v>1453</v>
      </c>
      <c r="H657" s="27" t="s">
        <v>1454</v>
      </c>
      <c r="J657" s="27" t="s">
        <v>18547</v>
      </c>
      <c r="L657" s="27" t="s">
        <v>18891</v>
      </c>
      <c r="M657" s="27" t="s">
        <v>1497</v>
      </c>
      <c r="N657" s="27" t="s">
        <v>1498</v>
      </c>
      <c r="P657" s="27" t="s">
        <v>4323</v>
      </c>
      <c r="Q657" s="26" t="str">
        <f>HYPERLINK("https://ictv.global/taxonomy/taxondetails?taxnode_id=202508381&amp;ictv_id=ICTV201908381","ICTV201908381")</f>
        <v>ICTV201908381</v>
      </c>
      <c r="R657" t="s">
        <v>579</v>
      </c>
      <c r="S657" t="s">
        <v>22763</v>
      </c>
      <c r="T657">
        <v>40</v>
      </c>
      <c r="U657" s="26" t="str">
        <f t="shared" si="25"/>
        <v>2024.045B.Autographivirales.zip</v>
      </c>
    </row>
    <row r="658" spans="1:21">
      <c r="A658">
        <v>657</v>
      </c>
      <c r="B658" s="27" t="s">
        <v>1449</v>
      </c>
      <c r="D658" s="27" t="s">
        <v>1450</v>
      </c>
      <c r="F658" s="27" t="s">
        <v>1453</v>
      </c>
      <c r="H658" s="27" t="s">
        <v>1454</v>
      </c>
      <c r="J658" s="27" t="s">
        <v>18547</v>
      </c>
      <c r="L658" s="27" t="s">
        <v>18891</v>
      </c>
      <c r="M658" s="27" t="s">
        <v>1497</v>
      </c>
      <c r="N658" s="27" t="s">
        <v>1498</v>
      </c>
      <c r="P658" s="27" t="s">
        <v>4324</v>
      </c>
      <c r="Q658" s="26" t="str">
        <f>HYPERLINK("https://ictv.global/taxonomy/taxondetails?taxnode_id=202508382&amp;ictv_id=ICTV201908382","ICTV201908382")</f>
        <v>ICTV201908382</v>
      </c>
      <c r="R658" t="s">
        <v>579</v>
      </c>
      <c r="S658" t="s">
        <v>22763</v>
      </c>
      <c r="T658">
        <v>40</v>
      </c>
      <c r="U658" s="26" t="str">
        <f t="shared" si="25"/>
        <v>2024.045B.Autographivirales.zip</v>
      </c>
    </row>
    <row r="659" spans="1:21">
      <c r="A659">
        <v>658</v>
      </c>
      <c r="B659" s="27" t="s">
        <v>1449</v>
      </c>
      <c r="D659" s="27" t="s">
        <v>1450</v>
      </c>
      <c r="F659" s="27" t="s">
        <v>1453</v>
      </c>
      <c r="H659" s="27" t="s">
        <v>1454</v>
      </c>
      <c r="J659" s="27" t="s">
        <v>18547</v>
      </c>
      <c r="L659" s="27" t="s">
        <v>18891</v>
      </c>
      <c r="M659" s="27" t="s">
        <v>1497</v>
      </c>
      <c r="N659" s="27" t="s">
        <v>1498</v>
      </c>
      <c r="P659" s="27" t="s">
        <v>4325</v>
      </c>
      <c r="Q659" s="26" t="str">
        <f>HYPERLINK("https://ictv.global/taxonomy/taxondetails?taxnode_id=202508383&amp;ictv_id=ICTV201908383","ICTV201908383")</f>
        <v>ICTV201908383</v>
      </c>
      <c r="R659" t="s">
        <v>579</v>
      </c>
      <c r="S659" t="s">
        <v>22763</v>
      </c>
      <c r="T659">
        <v>40</v>
      </c>
      <c r="U659" s="26" t="str">
        <f t="shared" si="25"/>
        <v>2024.045B.Autographivirales.zip</v>
      </c>
    </row>
    <row r="660" spans="1:21">
      <c r="A660">
        <v>659</v>
      </c>
      <c r="B660" s="27" t="s">
        <v>1449</v>
      </c>
      <c r="D660" s="27" t="s">
        <v>1450</v>
      </c>
      <c r="F660" s="27" t="s">
        <v>1453</v>
      </c>
      <c r="H660" s="27" t="s">
        <v>1454</v>
      </c>
      <c r="J660" s="27" t="s">
        <v>18547</v>
      </c>
      <c r="L660" s="27" t="s">
        <v>18891</v>
      </c>
      <c r="M660" s="27" t="s">
        <v>1497</v>
      </c>
      <c r="N660" s="27" t="s">
        <v>1499</v>
      </c>
      <c r="P660" s="27" t="s">
        <v>4326</v>
      </c>
      <c r="Q660" s="26" t="str">
        <f>HYPERLINK("https://ictv.global/taxonomy/taxondetails?taxnode_id=202508429&amp;ictv_id=ICTV201908429","ICTV201908429")</f>
        <v>ICTV201908429</v>
      </c>
      <c r="R660" t="s">
        <v>579</v>
      </c>
      <c r="S660" t="s">
        <v>22763</v>
      </c>
      <c r="T660">
        <v>40</v>
      </c>
      <c r="U660" s="26" t="str">
        <f t="shared" si="25"/>
        <v>2024.045B.Autographivirales.zip</v>
      </c>
    </row>
    <row r="661" spans="1:21">
      <c r="A661">
        <v>660</v>
      </c>
      <c r="B661" s="27" t="s">
        <v>1449</v>
      </c>
      <c r="D661" s="27" t="s">
        <v>1450</v>
      </c>
      <c r="F661" s="27" t="s">
        <v>1453</v>
      </c>
      <c r="H661" s="27" t="s">
        <v>1454</v>
      </c>
      <c r="J661" s="27" t="s">
        <v>18547</v>
      </c>
      <c r="L661" s="27" t="s">
        <v>18891</v>
      </c>
      <c r="M661" s="27" t="s">
        <v>1497</v>
      </c>
      <c r="N661" s="27" t="s">
        <v>1499</v>
      </c>
      <c r="P661" s="27" t="s">
        <v>18892</v>
      </c>
      <c r="Q661" s="26" t="str">
        <f>HYPERLINK("https://ictv.global/taxonomy/taxondetails?taxnode_id=202521406&amp;ictv_id=ICTV202421406","ICTV202421406")</f>
        <v>ICTV202421406</v>
      </c>
      <c r="R661" t="s">
        <v>579</v>
      </c>
      <c r="S661" t="s">
        <v>823</v>
      </c>
      <c r="T661">
        <v>40</v>
      </c>
      <c r="U661" s="26" t="str">
        <f t="shared" si="25"/>
        <v>2024.045B.Autographivirales.zip</v>
      </c>
    </row>
    <row r="662" spans="1:21">
      <c r="A662">
        <v>661</v>
      </c>
      <c r="B662" s="27" t="s">
        <v>1449</v>
      </c>
      <c r="D662" s="27" t="s">
        <v>1450</v>
      </c>
      <c r="F662" s="27" t="s">
        <v>1453</v>
      </c>
      <c r="H662" s="27" t="s">
        <v>1454</v>
      </c>
      <c r="J662" s="27" t="s">
        <v>18547</v>
      </c>
      <c r="L662" s="27" t="s">
        <v>18891</v>
      </c>
      <c r="M662" s="27" t="s">
        <v>1497</v>
      </c>
      <c r="N662" s="27" t="s">
        <v>18893</v>
      </c>
      <c r="P662" s="27" t="s">
        <v>18894</v>
      </c>
      <c r="Q662" s="26" t="str">
        <f>HYPERLINK("https://ictv.global/taxonomy/taxondetails?taxnode_id=202521460&amp;ictv_id=ICTV202421460","ICTV202421460")</f>
        <v>ICTV202421460</v>
      </c>
      <c r="R662" t="s">
        <v>579</v>
      </c>
      <c r="S662" t="s">
        <v>823</v>
      </c>
      <c r="T662">
        <v>40</v>
      </c>
      <c r="U662" s="26" t="str">
        <f t="shared" si="25"/>
        <v>2024.045B.Autographivirales.zip</v>
      </c>
    </row>
    <row r="663" spans="1:21">
      <c r="A663">
        <v>662</v>
      </c>
      <c r="B663" s="27" t="s">
        <v>1449</v>
      </c>
      <c r="D663" s="27" t="s">
        <v>1450</v>
      </c>
      <c r="F663" s="27" t="s">
        <v>1453</v>
      </c>
      <c r="H663" s="27" t="s">
        <v>1454</v>
      </c>
      <c r="J663" s="27" t="s">
        <v>18547</v>
      </c>
      <c r="L663" s="27" t="s">
        <v>18891</v>
      </c>
      <c r="M663" s="27" t="s">
        <v>1497</v>
      </c>
      <c r="N663" s="27" t="s">
        <v>18893</v>
      </c>
      <c r="P663" s="27" t="s">
        <v>18895</v>
      </c>
      <c r="Q663" s="26" t="str">
        <f>HYPERLINK("https://ictv.global/taxonomy/taxondetails?taxnode_id=202521463&amp;ictv_id=ICTV202421463","ICTV202421463")</f>
        <v>ICTV202421463</v>
      </c>
      <c r="R663" t="s">
        <v>579</v>
      </c>
      <c r="S663" t="s">
        <v>823</v>
      </c>
      <c r="T663">
        <v>40</v>
      </c>
      <c r="U663" s="26" t="str">
        <f t="shared" si="25"/>
        <v>2024.045B.Autographivirales.zip</v>
      </c>
    </row>
    <row r="664" spans="1:21">
      <c r="A664">
        <v>663</v>
      </c>
      <c r="B664" s="27" t="s">
        <v>1449</v>
      </c>
      <c r="D664" s="27" t="s">
        <v>1450</v>
      </c>
      <c r="F664" s="27" t="s">
        <v>1453</v>
      </c>
      <c r="H664" s="27" t="s">
        <v>1454</v>
      </c>
      <c r="J664" s="27" t="s">
        <v>18547</v>
      </c>
      <c r="L664" s="27" t="s">
        <v>18891</v>
      </c>
      <c r="M664" s="27" t="s">
        <v>1497</v>
      </c>
      <c r="N664" s="27" t="s">
        <v>18893</v>
      </c>
      <c r="P664" s="27" t="s">
        <v>18896</v>
      </c>
      <c r="Q664" s="26" t="str">
        <f>HYPERLINK("https://ictv.global/taxonomy/taxondetails?taxnode_id=202521462&amp;ictv_id=ICTV202421462","ICTV202421462")</f>
        <v>ICTV202421462</v>
      </c>
      <c r="R664" t="s">
        <v>579</v>
      </c>
      <c r="S664" t="s">
        <v>823</v>
      </c>
      <c r="T664">
        <v>40</v>
      </c>
      <c r="U664" s="26" t="str">
        <f t="shared" ref="U664:U727" si="26">HYPERLINK("https://ictv.global/ictv/proposals/2024.045B.Autographivirales.zip","2024.045B.Autographivirales.zip")</f>
        <v>2024.045B.Autographivirales.zip</v>
      </c>
    </row>
    <row r="665" spans="1:21">
      <c r="A665">
        <v>664</v>
      </c>
      <c r="B665" s="27" t="s">
        <v>1449</v>
      </c>
      <c r="D665" s="27" t="s">
        <v>1450</v>
      </c>
      <c r="F665" s="27" t="s">
        <v>1453</v>
      </c>
      <c r="H665" s="27" t="s">
        <v>1454</v>
      </c>
      <c r="J665" s="27" t="s">
        <v>18547</v>
      </c>
      <c r="L665" s="27" t="s">
        <v>18891</v>
      </c>
      <c r="M665" s="27" t="s">
        <v>1497</v>
      </c>
      <c r="N665" s="27" t="s">
        <v>18893</v>
      </c>
      <c r="P665" s="27" t="s">
        <v>18897</v>
      </c>
      <c r="Q665" s="26" t="str">
        <f>HYPERLINK("https://ictv.global/taxonomy/taxondetails?taxnode_id=202521461&amp;ictv_id=ICTV202421461","ICTV202421461")</f>
        <v>ICTV202421461</v>
      </c>
      <c r="R665" t="s">
        <v>579</v>
      </c>
      <c r="S665" t="s">
        <v>823</v>
      </c>
      <c r="T665">
        <v>40</v>
      </c>
      <c r="U665" s="26" t="str">
        <f t="shared" si="26"/>
        <v>2024.045B.Autographivirales.zip</v>
      </c>
    </row>
    <row r="666" spans="1:21">
      <c r="A666">
        <v>665</v>
      </c>
      <c r="B666" s="27" t="s">
        <v>1449</v>
      </c>
      <c r="D666" s="27" t="s">
        <v>1450</v>
      </c>
      <c r="F666" s="27" t="s">
        <v>1453</v>
      </c>
      <c r="H666" s="27" t="s">
        <v>1454</v>
      </c>
      <c r="J666" s="27" t="s">
        <v>18547</v>
      </c>
      <c r="L666" s="27" t="s">
        <v>18891</v>
      </c>
      <c r="M666" s="27" t="s">
        <v>1497</v>
      </c>
      <c r="N666" s="27" t="s">
        <v>18898</v>
      </c>
      <c r="P666" s="27" t="s">
        <v>18899</v>
      </c>
      <c r="Q666" s="26" t="str">
        <f>HYPERLINK("https://ictv.global/taxonomy/taxondetails?taxnode_id=202521459&amp;ictv_id=ICTV202421459","ICTV202421459")</f>
        <v>ICTV202421459</v>
      </c>
      <c r="R666" t="s">
        <v>579</v>
      </c>
      <c r="S666" t="s">
        <v>823</v>
      </c>
      <c r="T666">
        <v>40</v>
      </c>
      <c r="U666" s="26" t="str">
        <f t="shared" si="26"/>
        <v>2024.045B.Autographivirales.zip</v>
      </c>
    </row>
    <row r="667" spans="1:21">
      <c r="A667">
        <v>666</v>
      </c>
      <c r="B667" s="27" t="s">
        <v>1449</v>
      </c>
      <c r="D667" s="27" t="s">
        <v>1450</v>
      </c>
      <c r="F667" s="27" t="s">
        <v>1453</v>
      </c>
      <c r="H667" s="27" t="s">
        <v>1454</v>
      </c>
      <c r="J667" s="27" t="s">
        <v>18547</v>
      </c>
      <c r="L667" s="27" t="s">
        <v>18891</v>
      </c>
      <c r="M667" s="27" t="s">
        <v>1497</v>
      </c>
      <c r="N667" s="27" t="s">
        <v>18900</v>
      </c>
      <c r="P667" s="27" t="s">
        <v>18901</v>
      </c>
      <c r="Q667" s="26" t="str">
        <f>HYPERLINK("https://ictv.global/taxonomy/taxondetails?taxnode_id=202521404&amp;ictv_id=ICTV202421404","ICTV202421404")</f>
        <v>ICTV202421404</v>
      </c>
      <c r="R667" t="s">
        <v>579</v>
      </c>
      <c r="S667" t="s">
        <v>823</v>
      </c>
      <c r="T667">
        <v>40</v>
      </c>
      <c r="U667" s="26" t="str">
        <f t="shared" si="26"/>
        <v>2024.045B.Autographivirales.zip</v>
      </c>
    </row>
    <row r="668" spans="1:21">
      <c r="A668">
        <v>667</v>
      </c>
      <c r="B668" s="27" t="s">
        <v>1449</v>
      </c>
      <c r="D668" s="27" t="s">
        <v>1450</v>
      </c>
      <c r="F668" s="27" t="s">
        <v>1453</v>
      </c>
      <c r="H668" s="27" t="s">
        <v>1454</v>
      </c>
      <c r="J668" s="27" t="s">
        <v>18547</v>
      </c>
      <c r="L668" s="27" t="s">
        <v>18891</v>
      </c>
      <c r="M668" s="27" t="s">
        <v>1497</v>
      </c>
      <c r="N668" s="27" t="s">
        <v>18900</v>
      </c>
      <c r="P668" s="27" t="s">
        <v>18902</v>
      </c>
      <c r="Q668" s="26" t="str">
        <f>HYPERLINK("https://ictv.global/taxonomy/taxondetails?taxnode_id=202521403&amp;ictv_id=ICTV202421403","ICTV202421403")</f>
        <v>ICTV202421403</v>
      </c>
      <c r="R668" t="s">
        <v>579</v>
      </c>
      <c r="S668" t="s">
        <v>823</v>
      </c>
      <c r="T668">
        <v>40</v>
      </c>
      <c r="U668" s="26" t="str">
        <f t="shared" si="26"/>
        <v>2024.045B.Autographivirales.zip</v>
      </c>
    </row>
    <row r="669" spans="1:21">
      <c r="A669">
        <v>668</v>
      </c>
      <c r="B669" s="27" t="s">
        <v>1449</v>
      </c>
      <c r="D669" s="27" t="s">
        <v>1450</v>
      </c>
      <c r="F669" s="27" t="s">
        <v>1453</v>
      </c>
      <c r="H669" s="27" t="s">
        <v>1454</v>
      </c>
      <c r="J669" s="27" t="s">
        <v>18547</v>
      </c>
      <c r="L669" s="27" t="s">
        <v>18891</v>
      </c>
      <c r="M669" s="27" t="s">
        <v>1497</v>
      </c>
      <c r="N669" s="27" t="s">
        <v>18900</v>
      </c>
      <c r="P669" s="27" t="s">
        <v>18903</v>
      </c>
      <c r="Q669" s="26" t="str">
        <f>HYPERLINK("https://ictv.global/taxonomy/taxondetails?taxnode_id=202521402&amp;ictv_id=ICTV202421402","ICTV202421402")</f>
        <v>ICTV202421402</v>
      </c>
      <c r="R669" t="s">
        <v>579</v>
      </c>
      <c r="S669" t="s">
        <v>823</v>
      </c>
      <c r="T669">
        <v>40</v>
      </c>
      <c r="U669" s="26" t="str">
        <f t="shared" si="26"/>
        <v>2024.045B.Autographivirales.zip</v>
      </c>
    </row>
    <row r="670" spans="1:21">
      <c r="A670">
        <v>669</v>
      </c>
      <c r="B670" s="27" t="s">
        <v>1449</v>
      </c>
      <c r="D670" s="27" t="s">
        <v>1450</v>
      </c>
      <c r="F670" s="27" t="s">
        <v>1453</v>
      </c>
      <c r="H670" s="27" t="s">
        <v>1454</v>
      </c>
      <c r="J670" s="27" t="s">
        <v>18547</v>
      </c>
      <c r="L670" s="27" t="s">
        <v>18891</v>
      </c>
      <c r="M670" s="27" t="s">
        <v>1497</v>
      </c>
      <c r="N670" s="27" t="s">
        <v>18900</v>
      </c>
      <c r="P670" s="27" t="s">
        <v>18904</v>
      </c>
      <c r="Q670" s="26" t="str">
        <f>HYPERLINK("https://ictv.global/taxonomy/taxondetails?taxnode_id=202521401&amp;ictv_id=ICTV202421401","ICTV202421401")</f>
        <v>ICTV202421401</v>
      </c>
      <c r="R670" t="s">
        <v>579</v>
      </c>
      <c r="S670" t="s">
        <v>823</v>
      </c>
      <c r="T670">
        <v>40</v>
      </c>
      <c r="U670" s="26" t="str">
        <f t="shared" si="26"/>
        <v>2024.045B.Autographivirales.zip</v>
      </c>
    </row>
    <row r="671" spans="1:21">
      <c r="A671">
        <v>670</v>
      </c>
      <c r="B671" s="27" t="s">
        <v>1449</v>
      </c>
      <c r="D671" s="27" t="s">
        <v>1450</v>
      </c>
      <c r="F671" s="27" t="s">
        <v>1453</v>
      </c>
      <c r="H671" s="27" t="s">
        <v>1454</v>
      </c>
      <c r="J671" s="27" t="s">
        <v>18547</v>
      </c>
      <c r="L671" s="27" t="s">
        <v>18891</v>
      </c>
      <c r="M671" s="27" t="s">
        <v>1497</v>
      </c>
      <c r="N671" s="27" t="s">
        <v>1500</v>
      </c>
      <c r="P671" s="27" t="s">
        <v>4327</v>
      </c>
      <c r="Q671" s="26" t="str">
        <f>HYPERLINK("https://ictv.global/taxonomy/taxondetails?taxnode_id=202508391&amp;ictv_id=ICTV201908391","ICTV201908391")</f>
        <v>ICTV201908391</v>
      </c>
      <c r="R671" t="s">
        <v>579</v>
      </c>
      <c r="S671" t="s">
        <v>22763</v>
      </c>
      <c r="T671">
        <v>40</v>
      </c>
      <c r="U671" s="26" t="str">
        <f t="shared" si="26"/>
        <v>2024.045B.Autographivirales.zip</v>
      </c>
    </row>
    <row r="672" spans="1:21">
      <c r="A672">
        <v>671</v>
      </c>
      <c r="B672" s="27" t="s">
        <v>1449</v>
      </c>
      <c r="D672" s="27" t="s">
        <v>1450</v>
      </c>
      <c r="F672" s="27" t="s">
        <v>1453</v>
      </c>
      <c r="H672" s="27" t="s">
        <v>1454</v>
      </c>
      <c r="J672" s="27" t="s">
        <v>18547</v>
      </c>
      <c r="L672" s="27" t="s">
        <v>18891</v>
      </c>
      <c r="M672" s="27" t="s">
        <v>1497</v>
      </c>
      <c r="N672" s="27" t="s">
        <v>1500</v>
      </c>
      <c r="P672" s="27" t="s">
        <v>4328</v>
      </c>
      <c r="Q672" s="26" t="str">
        <f>HYPERLINK("https://ictv.global/taxonomy/taxondetails?taxnode_id=202508401&amp;ictv_id=ICTV201908401","ICTV201908401")</f>
        <v>ICTV201908401</v>
      </c>
      <c r="R672" t="s">
        <v>579</v>
      </c>
      <c r="S672" t="s">
        <v>22763</v>
      </c>
      <c r="T672">
        <v>40</v>
      </c>
      <c r="U672" s="26" t="str">
        <f t="shared" si="26"/>
        <v>2024.045B.Autographivirales.zip</v>
      </c>
    </row>
    <row r="673" spans="1:21">
      <c r="A673">
        <v>672</v>
      </c>
      <c r="B673" s="27" t="s">
        <v>1449</v>
      </c>
      <c r="D673" s="27" t="s">
        <v>1450</v>
      </c>
      <c r="F673" s="27" t="s">
        <v>1453</v>
      </c>
      <c r="H673" s="27" t="s">
        <v>1454</v>
      </c>
      <c r="J673" s="27" t="s">
        <v>18547</v>
      </c>
      <c r="L673" s="27" t="s">
        <v>18891</v>
      </c>
      <c r="M673" s="27" t="s">
        <v>1497</v>
      </c>
      <c r="N673" s="27" t="s">
        <v>1500</v>
      </c>
      <c r="P673" s="27" t="s">
        <v>4329</v>
      </c>
      <c r="Q673" s="26" t="str">
        <f>HYPERLINK("https://ictv.global/taxonomy/taxondetails?taxnode_id=202508390&amp;ictv_id=ICTV201908390","ICTV201908390")</f>
        <v>ICTV201908390</v>
      </c>
      <c r="R673" t="s">
        <v>579</v>
      </c>
      <c r="S673" t="s">
        <v>22763</v>
      </c>
      <c r="T673">
        <v>40</v>
      </c>
      <c r="U673" s="26" t="str">
        <f t="shared" si="26"/>
        <v>2024.045B.Autographivirales.zip</v>
      </c>
    </row>
    <row r="674" spans="1:21">
      <c r="A674">
        <v>673</v>
      </c>
      <c r="B674" s="27" t="s">
        <v>1449</v>
      </c>
      <c r="D674" s="27" t="s">
        <v>1450</v>
      </c>
      <c r="F674" s="27" t="s">
        <v>1453</v>
      </c>
      <c r="H674" s="27" t="s">
        <v>1454</v>
      </c>
      <c r="J674" s="27" t="s">
        <v>18547</v>
      </c>
      <c r="L674" s="27" t="s">
        <v>18891</v>
      </c>
      <c r="M674" s="27" t="s">
        <v>1497</v>
      </c>
      <c r="N674" s="27" t="s">
        <v>1500</v>
      </c>
      <c r="P674" s="27" t="s">
        <v>4330</v>
      </c>
      <c r="Q674" s="26" t="str">
        <f>HYPERLINK("https://ictv.global/taxonomy/taxondetails?taxnode_id=202508388&amp;ictv_id=ICTV201908388","ICTV201908388")</f>
        <v>ICTV201908388</v>
      </c>
      <c r="R674" t="s">
        <v>579</v>
      </c>
      <c r="S674" t="s">
        <v>22763</v>
      </c>
      <c r="T674">
        <v>40</v>
      </c>
      <c r="U674" s="26" t="str">
        <f t="shared" si="26"/>
        <v>2024.045B.Autographivirales.zip</v>
      </c>
    </row>
    <row r="675" spans="1:21">
      <c r="A675">
        <v>674</v>
      </c>
      <c r="B675" s="27" t="s">
        <v>1449</v>
      </c>
      <c r="D675" s="27" t="s">
        <v>1450</v>
      </c>
      <c r="F675" s="27" t="s">
        <v>1453</v>
      </c>
      <c r="H675" s="27" t="s">
        <v>1454</v>
      </c>
      <c r="J675" s="27" t="s">
        <v>18547</v>
      </c>
      <c r="L675" s="27" t="s">
        <v>18891</v>
      </c>
      <c r="M675" s="27" t="s">
        <v>1497</v>
      </c>
      <c r="N675" s="27" t="s">
        <v>1500</v>
      </c>
      <c r="P675" s="27" t="s">
        <v>4331</v>
      </c>
      <c r="Q675" s="26" t="str">
        <f>HYPERLINK("https://ictv.global/taxonomy/taxondetails?taxnode_id=202508394&amp;ictv_id=ICTV201908394","ICTV201908394")</f>
        <v>ICTV201908394</v>
      </c>
      <c r="R675" t="s">
        <v>579</v>
      </c>
      <c r="S675" t="s">
        <v>22763</v>
      </c>
      <c r="T675">
        <v>40</v>
      </c>
      <c r="U675" s="26" t="str">
        <f t="shared" si="26"/>
        <v>2024.045B.Autographivirales.zip</v>
      </c>
    </row>
    <row r="676" spans="1:21">
      <c r="A676">
        <v>675</v>
      </c>
      <c r="B676" s="27" t="s">
        <v>1449</v>
      </c>
      <c r="D676" s="27" t="s">
        <v>1450</v>
      </c>
      <c r="F676" s="27" t="s">
        <v>1453</v>
      </c>
      <c r="H676" s="27" t="s">
        <v>1454</v>
      </c>
      <c r="J676" s="27" t="s">
        <v>18547</v>
      </c>
      <c r="L676" s="27" t="s">
        <v>18891</v>
      </c>
      <c r="M676" s="27" t="s">
        <v>1497</v>
      </c>
      <c r="N676" s="27" t="s">
        <v>1500</v>
      </c>
      <c r="P676" s="27" t="s">
        <v>4332</v>
      </c>
      <c r="Q676" s="26" t="str">
        <f>HYPERLINK("https://ictv.global/taxonomy/taxondetails?taxnode_id=202508398&amp;ictv_id=ICTV201908398","ICTV201908398")</f>
        <v>ICTV201908398</v>
      </c>
      <c r="R676" t="s">
        <v>579</v>
      </c>
      <c r="S676" t="s">
        <v>22763</v>
      </c>
      <c r="T676">
        <v>40</v>
      </c>
      <c r="U676" s="26" t="str">
        <f t="shared" si="26"/>
        <v>2024.045B.Autographivirales.zip</v>
      </c>
    </row>
    <row r="677" spans="1:21">
      <c r="A677">
        <v>676</v>
      </c>
      <c r="B677" s="27" t="s">
        <v>1449</v>
      </c>
      <c r="D677" s="27" t="s">
        <v>1450</v>
      </c>
      <c r="F677" s="27" t="s">
        <v>1453</v>
      </c>
      <c r="H677" s="27" t="s">
        <v>1454</v>
      </c>
      <c r="J677" s="27" t="s">
        <v>18547</v>
      </c>
      <c r="L677" s="27" t="s">
        <v>18891</v>
      </c>
      <c r="M677" s="27" t="s">
        <v>1497</v>
      </c>
      <c r="N677" s="27" t="s">
        <v>1500</v>
      </c>
      <c r="P677" s="27" t="s">
        <v>18905</v>
      </c>
      <c r="Q677" s="26" t="str">
        <f>HYPERLINK("https://ictv.global/taxonomy/taxondetails?taxnode_id=202521396&amp;ictv_id=ICTV202421396","ICTV202421396")</f>
        <v>ICTV202421396</v>
      </c>
      <c r="R677" t="s">
        <v>579</v>
      </c>
      <c r="S677" t="s">
        <v>823</v>
      </c>
      <c r="T677">
        <v>40</v>
      </c>
      <c r="U677" s="26" t="str">
        <f t="shared" si="26"/>
        <v>2024.045B.Autographivirales.zip</v>
      </c>
    </row>
    <row r="678" spans="1:21">
      <c r="A678">
        <v>677</v>
      </c>
      <c r="B678" s="27" t="s">
        <v>1449</v>
      </c>
      <c r="D678" s="27" t="s">
        <v>1450</v>
      </c>
      <c r="F678" s="27" t="s">
        <v>1453</v>
      </c>
      <c r="H678" s="27" t="s">
        <v>1454</v>
      </c>
      <c r="J678" s="27" t="s">
        <v>18547</v>
      </c>
      <c r="L678" s="27" t="s">
        <v>18891</v>
      </c>
      <c r="M678" s="27" t="s">
        <v>1497</v>
      </c>
      <c r="N678" s="27" t="s">
        <v>1500</v>
      </c>
      <c r="P678" s="27" t="s">
        <v>18906</v>
      </c>
      <c r="Q678" s="26" t="str">
        <f>HYPERLINK("https://ictv.global/taxonomy/taxondetails?taxnode_id=202521389&amp;ictv_id=ICTV202421389","ICTV202421389")</f>
        <v>ICTV202421389</v>
      </c>
      <c r="R678" t="s">
        <v>579</v>
      </c>
      <c r="S678" t="s">
        <v>823</v>
      </c>
      <c r="T678">
        <v>40</v>
      </c>
      <c r="U678" s="26" t="str">
        <f t="shared" si="26"/>
        <v>2024.045B.Autographivirales.zip</v>
      </c>
    </row>
    <row r="679" spans="1:21">
      <c r="A679">
        <v>678</v>
      </c>
      <c r="B679" s="27" t="s">
        <v>1449</v>
      </c>
      <c r="D679" s="27" t="s">
        <v>1450</v>
      </c>
      <c r="F679" s="27" t="s">
        <v>1453</v>
      </c>
      <c r="H679" s="27" t="s">
        <v>1454</v>
      </c>
      <c r="J679" s="27" t="s">
        <v>18547</v>
      </c>
      <c r="L679" s="27" t="s">
        <v>18891</v>
      </c>
      <c r="M679" s="27" t="s">
        <v>1497</v>
      </c>
      <c r="N679" s="27" t="s">
        <v>1500</v>
      </c>
      <c r="P679" s="27" t="s">
        <v>18907</v>
      </c>
      <c r="Q679" s="26" t="str">
        <f>HYPERLINK("https://ictv.global/taxonomy/taxondetails?taxnode_id=202521399&amp;ictv_id=ICTV202421399","ICTV202421399")</f>
        <v>ICTV202421399</v>
      </c>
      <c r="R679" t="s">
        <v>579</v>
      </c>
      <c r="S679" t="s">
        <v>823</v>
      </c>
      <c r="T679">
        <v>40</v>
      </c>
      <c r="U679" s="26" t="str">
        <f t="shared" si="26"/>
        <v>2024.045B.Autographivirales.zip</v>
      </c>
    </row>
    <row r="680" spans="1:21">
      <c r="A680">
        <v>679</v>
      </c>
      <c r="B680" s="27" t="s">
        <v>1449</v>
      </c>
      <c r="D680" s="27" t="s">
        <v>1450</v>
      </c>
      <c r="F680" s="27" t="s">
        <v>1453</v>
      </c>
      <c r="H680" s="27" t="s">
        <v>1454</v>
      </c>
      <c r="J680" s="27" t="s">
        <v>18547</v>
      </c>
      <c r="L680" s="27" t="s">
        <v>18891</v>
      </c>
      <c r="M680" s="27" t="s">
        <v>1497</v>
      </c>
      <c r="N680" s="27" t="s">
        <v>1500</v>
      </c>
      <c r="P680" s="27" t="s">
        <v>4333</v>
      </c>
      <c r="Q680" s="26" t="str">
        <f>HYPERLINK("https://ictv.global/taxonomy/taxondetails?taxnode_id=202508393&amp;ictv_id=ICTV201908393","ICTV201908393")</f>
        <v>ICTV201908393</v>
      </c>
      <c r="R680" t="s">
        <v>579</v>
      </c>
      <c r="S680" t="s">
        <v>22763</v>
      </c>
      <c r="T680">
        <v>40</v>
      </c>
      <c r="U680" s="26" t="str">
        <f t="shared" si="26"/>
        <v>2024.045B.Autographivirales.zip</v>
      </c>
    </row>
    <row r="681" spans="1:21">
      <c r="A681">
        <v>680</v>
      </c>
      <c r="B681" s="27" t="s">
        <v>1449</v>
      </c>
      <c r="D681" s="27" t="s">
        <v>1450</v>
      </c>
      <c r="F681" s="27" t="s">
        <v>1453</v>
      </c>
      <c r="H681" s="27" t="s">
        <v>1454</v>
      </c>
      <c r="J681" s="27" t="s">
        <v>18547</v>
      </c>
      <c r="L681" s="27" t="s">
        <v>18891</v>
      </c>
      <c r="M681" s="27" t="s">
        <v>1497</v>
      </c>
      <c r="N681" s="27" t="s">
        <v>1500</v>
      </c>
      <c r="P681" s="27" t="s">
        <v>18908</v>
      </c>
      <c r="Q681" s="26" t="str">
        <f>HYPERLINK("https://ictv.global/taxonomy/taxondetails?taxnode_id=202521387&amp;ictv_id=ICTV202421387","ICTV202421387")</f>
        <v>ICTV202421387</v>
      </c>
      <c r="R681" t="s">
        <v>579</v>
      </c>
      <c r="S681" t="s">
        <v>823</v>
      </c>
      <c r="T681">
        <v>40</v>
      </c>
      <c r="U681" s="26" t="str">
        <f t="shared" si="26"/>
        <v>2024.045B.Autographivirales.zip</v>
      </c>
    </row>
    <row r="682" spans="1:21">
      <c r="A682">
        <v>681</v>
      </c>
      <c r="B682" s="27" t="s">
        <v>1449</v>
      </c>
      <c r="D682" s="27" t="s">
        <v>1450</v>
      </c>
      <c r="F682" s="27" t="s">
        <v>1453</v>
      </c>
      <c r="H682" s="27" t="s">
        <v>1454</v>
      </c>
      <c r="J682" s="27" t="s">
        <v>18547</v>
      </c>
      <c r="L682" s="27" t="s">
        <v>18891</v>
      </c>
      <c r="M682" s="27" t="s">
        <v>1497</v>
      </c>
      <c r="N682" s="27" t="s">
        <v>1500</v>
      </c>
      <c r="P682" s="27" t="s">
        <v>18909</v>
      </c>
      <c r="Q682" s="26" t="str">
        <f>HYPERLINK("https://ictv.global/taxonomy/taxondetails?taxnode_id=202521400&amp;ictv_id=ICTV202421400","ICTV202421400")</f>
        <v>ICTV202421400</v>
      </c>
      <c r="R682" t="s">
        <v>579</v>
      </c>
      <c r="S682" t="s">
        <v>823</v>
      </c>
      <c r="T682">
        <v>40</v>
      </c>
      <c r="U682" s="26" t="str">
        <f t="shared" si="26"/>
        <v>2024.045B.Autographivirales.zip</v>
      </c>
    </row>
    <row r="683" spans="1:21">
      <c r="A683">
        <v>682</v>
      </c>
      <c r="B683" s="27" t="s">
        <v>1449</v>
      </c>
      <c r="D683" s="27" t="s">
        <v>1450</v>
      </c>
      <c r="F683" s="27" t="s">
        <v>1453</v>
      </c>
      <c r="H683" s="27" t="s">
        <v>1454</v>
      </c>
      <c r="J683" s="27" t="s">
        <v>18547</v>
      </c>
      <c r="L683" s="27" t="s">
        <v>18891</v>
      </c>
      <c r="M683" s="27" t="s">
        <v>1497</v>
      </c>
      <c r="N683" s="27" t="s">
        <v>1500</v>
      </c>
      <c r="P683" s="27" t="s">
        <v>4334</v>
      </c>
      <c r="Q683" s="26" t="str">
        <f>HYPERLINK("https://ictv.global/taxonomy/taxondetails?taxnode_id=202500584&amp;ictv_id=ICTV19990399","ICTV19990399")</f>
        <v>ICTV19990399</v>
      </c>
      <c r="R683" t="s">
        <v>579</v>
      </c>
      <c r="S683" t="s">
        <v>22763</v>
      </c>
      <c r="T683">
        <v>40</v>
      </c>
      <c r="U683" s="26" t="str">
        <f t="shared" si="26"/>
        <v>2024.045B.Autographivirales.zip</v>
      </c>
    </row>
    <row r="684" spans="1:21">
      <c r="A684">
        <v>683</v>
      </c>
      <c r="B684" s="27" t="s">
        <v>1449</v>
      </c>
      <c r="D684" s="27" t="s">
        <v>1450</v>
      </c>
      <c r="F684" s="27" t="s">
        <v>1453</v>
      </c>
      <c r="H684" s="27" t="s">
        <v>1454</v>
      </c>
      <c r="J684" s="27" t="s">
        <v>18547</v>
      </c>
      <c r="L684" s="27" t="s">
        <v>18891</v>
      </c>
      <c r="M684" s="27" t="s">
        <v>1497</v>
      </c>
      <c r="N684" s="27" t="s">
        <v>1500</v>
      </c>
      <c r="P684" s="27" t="s">
        <v>18910</v>
      </c>
      <c r="Q684" s="26" t="str">
        <f>HYPERLINK("https://ictv.global/taxonomy/taxondetails?taxnode_id=202521394&amp;ictv_id=ICTV202421394","ICTV202421394")</f>
        <v>ICTV202421394</v>
      </c>
      <c r="R684" t="s">
        <v>579</v>
      </c>
      <c r="S684" t="s">
        <v>823</v>
      </c>
      <c r="T684">
        <v>40</v>
      </c>
      <c r="U684" s="26" t="str">
        <f t="shared" si="26"/>
        <v>2024.045B.Autographivirales.zip</v>
      </c>
    </row>
    <row r="685" spans="1:21">
      <c r="A685">
        <v>684</v>
      </c>
      <c r="B685" s="27" t="s">
        <v>1449</v>
      </c>
      <c r="D685" s="27" t="s">
        <v>1450</v>
      </c>
      <c r="F685" s="27" t="s">
        <v>1453</v>
      </c>
      <c r="H685" s="27" t="s">
        <v>1454</v>
      </c>
      <c r="J685" s="27" t="s">
        <v>18547</v>
      </c>
      <c r="L685" s="27" t="s">
        <v>18891</v>
      </c>
      <c r="M685" s="27" t="s">
        <v>1497</v>
      </c>
      <c r="N685" s="27" t="s">
        <v>1500</v>
      </c>
      <c r="P685" s="27" t="s">
        <v>4335</v>
      </c>
      <c r="Q685" s="26" t="str">
        <f>HYPERLINK("https://ictv.global/taxonomy/taxondetails?taxnode_id=202508395&amp;ictv_id=ICTV201908395","ICTV201908395")</f>
        <v>ICTV201908395</v>
      </c>
      <c r="R685" t="s">
        <v>579</v>
      </c>
      <c r="S685" t="s">
        <v>22763</v>
      </c>
      <c r="T685">
        <v>40</v>
      </c>
      <c r="U685" s="26" t="str">
        <f t="shared" si="26"/>
        <v>2024.045B.Autographivirales.zip</v>
      </c>
    </row>
    <row r="686" spans="1:21">
      <c r="A686">
        <v>685</v>
      </c>
      <c r="B686" s="27" t="s">
        <v>1449</v>
      </c>
      <c r="D686" s="27" t="s">
        <v>1450</v>
      </c>
      <c r="F686" s="27" t="s">
        <v>1453</v>
      </c>
      <c r="H686" s="27" t="s">
        <v>1454</v>
      </c>
      <c r="J686" s="27" t="s">
        <v>18547</v>
      </c>
      <c r="L686" s="27" t="s">
        <v>18891</v>
      </c>
      <c r="M686" s="27" t="s">
        <v>1497</v>
      </c>
      <c r="N686" s="27" t="s">
        <v>1500</v>
      </c>
      <c r="P686" s="27" t="s">
        <v>4336</v>
      </c>
      <c r="Q686" s="26" t="str">
        <f>HYPERLINK("https://ictv.global/taxonomy/taxondetails?taxnode_id=202508396&amp;ictv_id=ICTV201908396","ICTV201908396")</f>
        <v>ICTV201908396</v>
      </c>
      <c r="R686" t="s">
        <v>579</v>
      </c>
      <c r="S686" t="s">
        <v>22763</v>
      </c>
      <c r="T686">
        <v>40</v>
      </c>
      <c r="U686" s="26" t="str">
        <f t="shared" si="26"/>
        <v>2024.045B.Autographivirales.zip</v>
      </c>
    </row>
    <row r="687" spans="1:21">
      <c r="A687">
        <v>686</v>
      </c>
      <c r="B687" s="27" t="s">
        <v>1449</v>
      </c>
      <c r="D687" s="27" t="s">
        <v>1450</v>
      </c>
      <c r="F687" s="27" t="s">
        <v>1453</v>
      </c>
      <c r="H687" s="27" t="s">
        <v>1454</v>
      </c>
      <c r="J687" s="27" t="s">
        <v>18547</v>
      </c>
      <c r="L687" s="27" t="s">
        <v>18891</v>
      </c>
      <c r="M687" s="27" t="s">
        <v>1497</v>
      </c>
      <c r="N687" s="27" t="s">
        <v>1500</v>
      </c>
      <c r="P687" s="27" t="s">
        <v>18911</v>
      </c>
      <c r="Q687" s="26" t="str">
        <f>HYPERLINK("https://ictv.global/taxonomy/taxondetails?taxnode_id=202521392&amp;ictv_id=ICTV202421392","ICTV202421392")</f>
        <v>ICTV202421392</v>
      </c>
      <c r="R687" t="s">
        <v>579</v>
      </c>
      <c r="S687" t="s">
        <v>823</v>
      </c>
      <c r="T687">
        <v>40</v>
      </c>
      <c r="U687" s="26" t="str">
        <f t="shared" si="26"/>
        <v>2024.045B.Autographivirales.zip</v>
      </c>
    </row>
    <row r="688" spans="1:21">
      <c r="A688">
        <v>687</v>
      </c>
      <c r="B688" s="27" t="s">
        <v>1449</v>
      </c>
      <c r="D688" s="27" t="s">
        <v>1450</v>
      </c>
      <c r="F688" s="27" t="s">
        <v>1453</v>
      </c>
      <c r="H688" s="27" t="s">
        <v>1454</v>
      </c>
      <c r="J688" s="27" t="s">
        <v>18547</v>
      </c>
      <c r="L688" s="27" t="s">
        <v>18891</v>
      </c>
      <c r="M688" s="27" t="s">
        <v>1497</v>
      </c>
      <c r="N688" s="27" t="s">
        <v>1500</v>
      </c>
      <c r="P688" s="27" t="s">
        <v>18912</v>
      </c>
      <c r="Q688" s="26" t="str">
        <f>HYPERLINK("https://ictv.global/taxonomy/taxondetails?taxnode_id=202521386&amp;ictv_id=ICTV202421386","ICTV202421386")</f>
        <v>ICTV202421386</v>
      </c>
      <c r="R688" t="s">
        <v>579</v>
      </c>
      <c r="S688" t="s">
        <v>823</v>
      </c>
      <c r="T688">
        <v>40</v>
      </c>
      <c r="U688" s="26" t="str">
        <f t="shared" si="26"/>
        <v>2024.045B.Autographivirales.zip</v>
      </c>
    </row>
    <row r="689" spans="1:21">
      <c r="A689">
        <v>688</v>
      </c>
      <c r="B689" s="27" t="s">
        <v>1449</v>
      </c>
      <c r="D689" s="27" t="s">
        <v>1450</v>
      </c>
      <c r="F689" s="27" t="s">
        <v>1453</v>
      </c>
      <c r="H689" s="27" t="s">
        <v>1454</v>
      </c>
      <c r="J689" s="27" t="s">
        <v>18547</v>
      </c>
      <c r="L689" s="27" t="s">
        <v>18891</v>
      </c>
      <c r="M689" s="27" t="s">
        <v>1497</v>
      </c>
      <c r="N689" s="27" t="s">
        <v>1500</v>
      </c>
      <c r="P689" s="27" t="s">
        <v>18913</v>
      </c>
      <c r="Q689" s="26" t="str">
        <f>HYPERLINK("https://ictv.global/taxonomy/taxondetails?taxnode_id=202521385&amp;ictv_id=ICTV202421385","ICTV202421385")</f>
        <v>ICTV202421385</v>
      </c>
      <c r="R689" t="s">
        <v>579</v>
      </c>
      <c r="S689" t="s">
        <v>823</v>
      </c>
      <c r="T689">
        <v>40</v>
      </c>
      <c r="U689" s="26" t="str">
        <f t="shared" si="26"/>
        <v>2024.045B.Autographivirales.zip</v>
      </c>
    </row>
    <row r="690" spans="1:21">
      <c r="A690">
        <v>689</v>
      </c>
      <c r="B690" s="27" t="s">
        <v>1449</v>
      </c>
      <c r="D690" s="27" t="s">
        <v>1450</v>
      </c>
      <c r="F690" s="27" t="s">
        <v>1453</v>
      </c>
      <c r="H690" s="27" t="s">
        <v>1454</v>
      </c>
      <c r="J690" s="27" t="s">
        <v>18547</v>
      </c>
      <c r="L690" s="27" t="s">
        <v>18891</v>
      </c>
      <c r="M690" s="27" t="s">
        <v>1497</v>
      </c>
      <c r="N690" s="27" t="s">
        <v>1500</v>
      </c>
      <c r="P690" s="27" t="s">
        <v>18914</v>
      </c>
      <c r="Q690" s="26" t="str">
        <f>HYPERLINK("https://ictv.global/taxonomy/taxondetails?taxnode_id=202521393&amp;ictv_id=ICTV202421393","ICTV202421393")</f>
        <v>ICTV202421393</v>
      </c>
      <c r="R690" t="s">
        <v>579</v>
      </c>
      <c r="S690" t="s">
        <v>823</v>
      </c>
      <c r="T690">
        <v>40</v>
      </c>
      <c r="U690" s="26" t="str">
        <f t="shared" si="26"/>
        <v>2024.045B.Autographivirales.zip</v>
      </c>
    </row>
    <row r="691" spans="1:21">
      <c r="A691">
        <v>690</v>
      </c>
      <c r="B691" s="27" t="s">
        <v>1449</v>
      </c>
      <c r="D691" s="27" t="s">
        <v>1450</v>
      </c>
      <c r="F691" s="27" t="s">
        <v>1453</v>
      </c>
      <c r="H691" s="27" t="s">
        <v>1454</v>
      </c>
      <c r="J691" s="27" t="s">
        <v>18547</v>
      </c>
      <c r="L691" s="27" t="s">
        <v>18891</v>
      </c>
      <c r="M691" s="27" t="s">
        <v>1497</v>
      </c>
      <c r="N691" s="27" t="s">
        <v>1500</v>
      </c>
      <c r="P691" s="27" t="s">
        <v>4337</v>
      </c>
      <c r="Q691" s="26" t="str">
        <f>HYPERLINK("https://ictv.global/taxonomy/taxondetails?taxnode_id=202508397&amp;ictv_id=ICTV201908397","ICTV201908397")</f>
        <v>ICTV201908397</v>
      </c>
      <c r="R691" t="s">
        <v>579</v>
      </c>
      <c r="S691" t="s">
        <v>22763</v>
      </c>
      <c r="T691">
        <v>40</v>
      </c>
      <c r="U691" s="26" t="str">
        <f t="shared" si="26"/>
        <v>2024.045B.Autographivirales.zip</v>
      </c>
    </row>
    <row r="692" spans="1:21">
      <c r="A692">
        <v>691</v>
      </c>
      <c r="B692" s="27" t="s">
        <v>1449</v>
      </c>
      <c r="D692" s="27" t="s">
        <v>1450</v>
      </c>
      <c r="F692" s="27" t="s">
        <v>1453</v>
      </c>
      <c r="H692" s="27" t="s">
        <v>1454</v>
      </c>
      <c r="J692" s="27" t="s">
        <v>18547</v>
      </c>
      <c r="L692" s="27" t="s">
        <v>18891</v>
      </c>
      <c r="M692" s="27" t="s">
        <v>1497</v>
      </c>
      <c r="N692" s="27" t="s">
        <v>1500</v>
      </c>
      <c r="P692" s="27" t="s">
        <v>4338</v>
      </c>
      <c r="Q692" s="26" t="str">
        <f>HYPERLINK("https://ictv.global/taxonomy/taxondetails?taxnode_id=202508400&amp;ictv_id=ICTV201908400","ICTV201908400")</f>
        <v>ICTV201908400</v>
      </c>
      <c r="R692" t="s">
        <v>579</v>
      </c>
      <c r="S692" t="s">
        <v>22763</v>
      </c>
      <c r="T692">
        <v>40</v>
      </c>
      <c r="U692" s="26" t="str">
        <f t="shared" si="26"/>
        <v>2024.045B.Autographivirales.zip</v>
      </c>
    </row>
    <row r="693" spans="1:21">
      <c r="A693">
        <v>692</v>
      </c>
      <c r="B693" s="27" t="s">
        <v>1449</v>
      </c>
      <c r="D693" s="27" t="s">
        <v>1450</v>
      </c>
      <c r="F693" s="27" t="s">
        <v>1453</v>
      </c>
      <c r="H693" s="27" t="s">
        <v>1454</v>
      </c>
      <c r="J693" s="27" t="s">
        <v>18547</v>
      </c>
      <c r="L693" s="27" t="s">
        <v>18891</v>
      </c>
      <c r="M693" s="27" t="s">
        <v>1497</v>
      </c>
      <c r="N693" s="27" t="s">
        <v>1500</v>
      </c>
      <c r="P693" s="27" t="s">
        <v>18915</v>
      </c>
      <c r="Q693" s="26" t="str">
        <f>HYPERLINK("https://ictv.global/taxonomy/taxondetails?taxnode_id=202521390&amp;ictv_id=ICTV202421390","ICTV202421390")</f>
        <v>ICTV202421390</v>
      </c>
      <c r="R693" t="s">
        <v>579</v>
      </c>
      <c r="S693" t="s">
        <v>823</v>
      </c>
      <c r="T693">
        <v>40</v>
      </c>
      <c r="U693" s="26" t="str">
        <f t="shared" si="26"/>
        <v>2024.045B.Autographivirales.zip</v>
      </c>
    </row>
    <row r="694" spans="1:21">
      <c r="A694">
        <v>693</v>
      </c>
      <c r="B694" s="27" t="s">
        <v>1449</v>
      </c>
      <c r="D694" s="27" t="s">
        <v>1450</v>
      </c>
      <c r="F694" s="27" t="s">
        <v>1453</v>
      </c>
      <c r="H694" s="27" t="s">
        <v>1454</v>
      </c>
      <c r="J694" s="27" t="s">
        <v>18547</v>
      </c>
      <c r="L694" s="27" t="s">
        <v>18891</v>
      </c>
      <c r="M694" s="27" t="s">
        <v>1497</v>
      </c>
      <c r="N694" s="27" t="s">
        <v>1500</v>
      </c>
      <c r="P694" s="27" t="s">
        <v>4339</v>
      </c>
      <c r="Q694" s="26" t="str">
        <f>HYPERLINK("https://ictv.global/taxonomy/taxondetails?taxnode_id=202514492&amp;ictv_id=ICTV202214492","ICTV202214492")</f>
        <v>ICTV202214492</v>
      </c>
      <c r="R694" t="s">
        <v>579</v>
      </c>
      <c r="S694" t="s">
        <v>22763</v>
      </c>
      <c r="T694">
        <v>40</v>
      </c>
      <c r="U694" s="26" t="str">
        <f t="shared" si="26"/>
        <v>2024.045B.Autographivirales.zip</v>
      </c>
    </row>
    <row r="695" spans="1:21">
      <c r="A695">
        <v>694</v>
      </c>
      <c r="B695" s="27" t="s">
        <v>1449</v>
      </c>
      <c r="D695" s="27" t="s">
        <v>1450</v>
      </c>
      <c r="F695" s="27" t="s">
        <v>1453</v>
      </c>
      <c r="H695" s="27" t="s">
        <v>1454</v>
      </c>
      <c r="J695" s="27" t="s">
        <v>18547</v>
      </c>
      <c r="L695" s="27" t="s">
        <v>18891</v>
      </c>
      <c r="M695" s="27" t="s">
        <v>1497</v>
      </c>
      <c r="N695" s="27" t="s">
        <v>1500</v>
      </c>
      <c r="P695" s="27" t="s">
        <v>4340</v>
      </c>
      <c r="Q695" s="26" t="str">
        <f>HYPERLINK("https://ictv.global/taxonomy/taxondetails?taxnode_id=202508399&amp;ictv_id=ICTV201908399","ICTV201908399")</f>
        <v>ICTV201908399</v>
      </c>
      <c r="R695" t="s">
        <v>579</v>
      </c>
      <c r="S695" t="s">
        <v>22763</v>
      </c>
      <c r="T695">
        <v>40</v>
      </c>
      <c r="U695" s="26" t="str">
        <f t="shared" si="26"/>
        <v>2024.045B.Autographivirales.zip</v>
      </c>
    </row>
    <row r="696" spans="1:21">
      <c r="A696">
        <v>695</v>
      </c>
      <c r="B696" s="27" t="s">
        <v>1449</v>
      </c>
      <c r="D696" s="27" t="s">
        <v>1450</v>
      </c>
      <c r="F696" s="27" t="s">
        <v>1453</v>
      </c>
      <c r="H696" s="27" t="s">
        <v>1454</v>
      </c>
      <c r="J696" s="27" t="s">
        <v>18547</v>
      </c>
      <c r="L696" s="27" t="s">
        <v>18891</v>
      </c>
      <c r="M696" s="27" t="s">
        <v>1497</v>
      </c>
      <c r="N696" s="27" t="s">
        <v>1500</v>
      </c>
      <c r="P696" s="27" t="s">
        <v>18916</v>
      </c>
      <c r="Q696" s="26" t="str">
        <f>HYPERLINK("https://ictv.global/taxonomy/taxondetails?taxnode_id=202521398&amp;ictv_id=ICTV202421398","ICTV202421398")</f>
        <v>ICTV202421398</v>
      </c>
      <c r="R696" t="s">
        <v>579</v>
      </c>
      <c r="S696" t="s">
        <v>823</v>
      </c>
      <c r="T696">
        <v>40</v>
      </c>
      <c r="U696" s="26" t="str">
        <f t="shared" si="26"/>
        <v>2024.045B.Autographivirales.zip</v>
      </c>
    </row>
    <row r="697" spans="1:21">
      <c r="A697">
        <v>696</v>
      </c>
      <c r="B697" s="27" t="s">
        <v>1449</v>
      </c>
      <c r="D697" s="27" t="s">
        <v>1450</v>
      </c>
      <c r="F697" s="27" t="s">
        <v>1453</v>
      </c>
      <c r="H697" s="27" t="s">
        <v>1454</v>
      </c>
      <c r="J697" s="27" t="s">
        <v>18547</v>
      </c>
      <c r="L697" s="27" t="s">
        <v>18891</v>
      </c>
      <c r="M697" s="27" t="s">
        <v>1497</v>
      </c>
      <c r="N697" s="27" t="s">
        <v>1500</v>
      </c>
      <c r="P697" s="27" t="s">
        <v>18917</v>
      </c>
      <c r="Q697" s="26" t="str">
        <f>HYPERLINK("https://ictv.global/taxonomy/taxondetails?taxnode_id=202521391&amp;ictv_id=ICTV202421391","ICTV202421391")</f>
        <v>ICTV202421391</v>
      </c>
      <c r="R697" t="s">
        <v>579</v>
      </c>
      <c r="S697" t="s">
        <v>823</v>
      </c>
      <c r="T697">
        <v>40</v>
      </c>
      <c r="U697" s="26" t="str">
        <f t="shared" si="26"/>
        <v>2024.045B.Autographivirales.zip</v>
      </c>
    </row>
    <row r="698" spans="1:21">
      <c r="A698">
        <v>697</v>
      </c>
      <c r="B698" s="27" t="s">
        <v>1449</v>
      </c>
      <c r="D698" s="27" t="s">
        <v>1450</v>
      </c>
      <c r="F698" s="27" t="s">
        <v>1453</v>
      </c>
      <c r="H698" s="27" t="s">
        <v>1454</v>
      </c>
      <c r="J698" s="27" t="s">
        <v>18547</v>
      </c>
      <c r="L698" s="27" t="s">
        <v>18891</v>
      </c>
      <c r="M698" s="27" t="s">
        <v>1497</v>
      </c>
      <c r="N698" s="27" t="s">
        <v>1500</v>
      </c>
      <c r="P698" s="27" t="s">
        <v>18918</v>
      </c>
      <c r="Q698" s="26" t="str">
        <f>HYPERLINK("https://ictv.global/taxonomy/taxondetails?taxnode_id=202521388&amp;ictv_id=ICTV202421388","ICTV202421388")</f>
        <v>ICTV202421388</v>
      </c>
      <c r="R698" t="s">
        <v>579</v>
      </c>
      <c r="S698" t="s">
        <v>823</v>
      </c>
      <c r="T698">
        <v>40</v>
      </c>
      <c r="U698" s="26" t="str">
        <f t="shared" si="26"/>
        <v>2024.045B.Autographivirales.zip</v>
      </c>
    </row>
    <row r="699" spans="1:21">
      <c r="A699">
        <v>698</v>
      </c>
      <c r="B699" s="27" t="s">
        <v>1449</v>
      </c>
      <c r="D699" s="27" t="s">
        <v>1450</v>
      </c>
      <c r="F699" s="27" t="s">
        <v>1453</v>
      </c>
      <c r="H699" s="27" t="s">
        <v>1454</v>
      </c>
      <c r="J699" s="27" t="s">
        <v>18547</v>
      </c>
      <c r="L699" s="27" t="s">
        <v>18891</v>
      </c>
      <c r="M699" s="27" t="s">
        <v>1497</v>
      </c>
      <c r="N699" s="27" t="s">
        <v>1500</v>
      </c>
      <c r="P699" s="27" t="s">
        <v>18919</v>
      </c>
      <c r="Q699" s="26" t="str">
        <f>HYPERLINK("https://ictv.global/taxonomy/taxondetails?taxnode_id=202521397&amp;ictv_id=ICTV202421397","ICTV202421397")</f>
        <v>ICTV202421397</v>
      </c>
      <c r="R699" t="s">
        <v>579</v>
      </c>
      <c r="S699" t="s">
        <v>823</v>
      </c>
      <c r="T699">
        <v>40</v>
      </c>
      <c r="U699" s="26" t="str">
        <f t="shared" si="26"/>
        <v>2024.045B.Autographivirales.zip</v>
      </c>
    </row>
    <row r="700" spans="1:21">
      <c r="A700">
        <v>699</v>
      </c>
      <c r="B700" s="27" t="s">
        <v>1449</v>
      </c>
      <c r="D700" s="27" t="s">
        <v>1450</v>
      </c>
      <c r="F700" s="27" t="s">
        <v>1453</v>
      </c>
      <c r="H700" s="27" t="s">
        <v>1454</v>
      </c>
      <c r="J700" s="27" t="s">
        <v>18547</v>
      </c>
      <c r="L700" s="27" t="s">
        <v>18891</v>
      </c>
      <c r="M700" s="27" t="s">
        <v>1497</v>
      </c>
      <c r="N700" s="27" t="s">
        <v>1500</v>
      </c>
      <c r="P700" s="27" t="s">
        <v>18920</v>
      </c>
      <c r="Q700" s="26" t="str">
        <f>HYPERLINK("https://ictv.global/taxonomy/taxondetails?taxnode_id=202521395&amp;ictv_id=ICTV202421395","ICTV202421395")</f>
        <v>ICTV202421395</v>
      </c>
      <c r="R700" t="s">
        <v>579</v>
      </c>
      <c r="S700" t="s">
        <v>823</v>
      </c>
      <c r="T700">
        <v>40</v>
      </c>
      <c r="U700" s="26" t="str">
        <f t="shared" si="26"/>
        <v>2024.045B.Autographivirales.zip</v>
      </c>
    </row>
    <row r="701" spans="1:21">
      <c r="A701">
        <v>700</v>
      </c>
      <c r="B701" s="27" t="s">
        <v>1449</v>
      </c>
      <c r="D701" s="27" t="s">
        <v>1450</v>
      </c>
      <c r="F701" s="27" t="s">
        <v>1453</v>
      </c>
      <c r="H701" s="27" t="s">
        <v>1454</v>
      </c>
      <c r="J701" s="27" t="s">
        <v>18547</v>
      </c>
      <c r="L701" s="27" t="s">
        <v>18891</v>
      </c>
      <c r="M701" s="27" t="s">
        <v>1497</v>
      </c>
      <c r="N701" s="27" t="s">
        <v>18921</v>
      </c>
      <c r="P701" s="27" t="s">
        <v>18922</v>
      </c>
      <c r="Q701" s="26" t="str">
        <f>HYPERLINK("https://ictv.global/taxonomy/taxondetails?taxnode_id=202521479&amp;ictv_id=ICTV202421479","ICTV202421479")</f>
        <v>ICTV202421479</v>
      </c>
      <c r="R701" t="s">
        <v>579</v>
      </c>
      <c r="S701" t="s">
        <v>823</v>
      </c>
      <c r="T701">
        <v>40</v>
      </c>
      <c r="U701" s="26" t="str">
        <f t="shared" si="26"/>
        <v>2024.045B.Autographivirales.zip</v>
      </c>
    </row>
    <row r="702" spans="1:21">
      <c r="A702">
        <v>701</v>
      </c>
      <c r="B702" s="27" t="s">
        <v>1449</v>
      </c>
      <c r="D702" s="27" t="s">
        <v>1450</v>
      </c>
      <c r="F702" s="27" t="s">
        <v>1453</v>
      </c>
      <c r="H702" s="27" t="s">
        <v>1454</v>
      </c>
      <c r="J702" s="27" t="s">
        <v>18547</v>
      </c>
      <c r="L702" s="27" t="s">
        <v>18891</v>
      </c>
      <c r="M702" s="27" t="s">
        <v>1497</v>
      </c>
      <c r="N702" s="27" t="s">
        <v>1501</v>
      </c>
      <c r="P702" s="27" t="s">
        <v>4341</v>
      </c>
      <c r="Q702" s="26" t="str">
        <f>HYPERLINK("https://ictv.global/taxonomy/taxondetails?taxnode_id=202508454&amp;ictv_id=ICTV201908454","ICTV201908454")</f>
        <v>ICTV201908454</v>
      </c>
      <c r="R702" t="s">
        <v>579</v>
      </c>
      <c r="S702" t="s">
        <v>22763</v>
      </c>
      <c r="T702">
        <v>40</v>
      </c>
      <c r="U702" s="26" t="str">
        <f t="shared" si="26"/>
        <v>2024.045B.Autographivirales.zip</v>
      </c>
    </row>
    <row r="703" spans="1:21">
      <c r="A703">
        <v>702</v>
      </c>
      <c r="B703" s="27" t="s">
        <v>1449</v>
      </c>
      <c r="D703" s="27" t="s">
        <v>1450</v>
      </c>
      <c r="F703" s="27" t="s">
        <v>1453</v>
      </c>
      <c r="H703" s="27" t="s">
        <v>1454</v>
      </c>
      <c r="J703" s="27" t="s">
        <v>18547</v>
      </c>
      <c r="L703" s="27" t="s">
        <v>18891</v>
      </c>
      <c r="M703" s="27" t="s">
        <v>1497</v>
      </c>
      <c r="N703" s="27" t="s">
        <v>1502</v>
      </c>
      <c r="P703" s="27" t="s">
        <v>4342</v>
      </c>
      <c r="Q703" s="26" t="str">
        <f>HYPERLINK("https://ictv.global/taxonomy/taxondetails?taxnode_id=202508496&amp;ictv_id=ICTV201908496","ICTV201908496")</f>
        <v>ICTV201908496</v>
      </c>
      <c r="R703" t="s">
        <v>579</v>
      </c>
      <c r="S703" t="s">
        <v>22763</v>
      </c>
      <c r="T703">
        <v>40</v>
      </c>
      <c r="U703" s="26" t="str">
        <f t="shared" si="26"/>
        <v>2024.045B.Autographivirales.zip</v>
      </c>
    </row>
    <row r="704" spans="1:21">
      <c r="A704">
        <v>703</v>
      </c>
      <c r="B704" s="27" t="s">
        <v>1449</v>
      </c>
      <c r="D704" s="27" t="s">
        <v>1450</v>
      </c>
      <c r="F704" s="27" t="s">
        <v>1453</v>
      </c>
      <c r="H704" s="27" t="s">
        <v>1454</v>
      </c>
      <c r="J704" s="27" t="s">
        <v>18547</v>
      </c>
      <c r="L704" s="27" t="s">
        <v>18891</v>
      </c>
      <c r="M704" s="27" t="s">
        <v>1497</v>
      </c>
      <c r="N704" s="27" t="s">
        <v>1502</v>
      </c>
      <c r="P704" s="27" t="s">
        <v>4343</v>
      </c>
      <c r="Q704" s="26" t="str">
        <f>HYPERLINK("https://ictv.global/taxonomy/taxondetails?taxnode_id=202508495&amp;ictv_id=ICTV201908495","ICTV201908495")</f>
        <v>ICTV201908495</v>
      </c>
      <c r="R704" t="s">
        <v>579</v>
      </c>
      <c r="S704" t="s">
        <v>22763</v>
      </c>
      <c r="T704">
        <v>40</v>
      </c>
      <c r="U704" s="26" t="str">
        <f t="shared" si="26"/>
        <v>2024.045B.Autographivirales.zip</v>
      </c>
    </row>
    <row r="705" spans="1:21">
      <c r="A705">
        <v>704</v>
      </c>
      <c r="B705" s="27" t="s">
        <v>1449</v>
      </c>
      <c r="D705" s="27" t="s">
        <v>1450</v>
      </c>
      <c r="F705" s="27" t="s">
        <v>1453</v>
      </c>
      <c r="H705" s="27" t="s">
        <v>1454</v>
      </c>
      <c r="J705" s="27" t="s">
        <v>18547</v>
      </c>
      <c r="L705" s="27" t="s">
        <v>18891</v>
      </c>
      <c r="M705" s="27" t="s">
        <v>1497</v>
      </c>
      <c r="N705" s="27" t="s">
        <v>1502</v>
      </c>
      <c r="P705" s="27" t="s">
        <v>4344</v>
      </c>
      <c r="Q705" s="26" t="str">
        <f>HYPERLINK("https://ictv.global/taxonomy/taxondetails?taxnode_id=202508497&amp;ictv_id=ICTV201908497","ICTV201908497")</f>
        <v>ICTV201908497</v>
      </c>
      <c r="R705" t="s">
        <v>579</v>
      </c>
      <c r="S705" t="s">
        <v>22763</v>
      </c>
      <c r="T705">
        <v>40</v>
      </c>
      <c r="U705" s="26" t="str">
        <f t="shared" si="26"/>
        <v>2024.045B.Autographivirales.zip</v>
      </c>
    </row>
    <row r="706" spans="1:21">
      <c r="A706">
        <v>705</v>
      </c>
      <c r="B706" s="27" t="s">
        <v>1449</v>
      </c>
      <c r="D706" s="27" t="s">
        <v>1450</v>
      </c>
      <c r="F706" s="27" t="s">
        <v>1453</v>
      </c>
      <c r="H706" s="27" t="s">
        <v>1454</v>
      </c>
      <c r="J706" s="27" t="s">
        <v>18547</v>
      </c>
      <c r="L706" s="27" t="s">
        <v>18891</v>
      </c>
      <c r="M706" s="27" t="s">
        <v>1497</v>
      </c>
      <c r="N706" s="27" t="s">
        <v>18923</v>
      </c>
      <c r="P706" s="27" t="s">
        <v>18924</v>
      </c>
      <c r="Q706" s="26" t="str">
        <f>HYPERLINK("https://ictv.global/taxonomy/taxondetails?taxnode_id=202521465&amp;ictv_id=ICTV202421465","ICTV202421465")</f>
        <v>ICTV202421465</v>
      </c>
      <c r="R706" t="s">
        <v>579</v>
      </c>
      <c r="S706" t="s">
        <v>823</v>
      </c>
      <c r="T706">
        <v>40</v>
      </c>
      <c r="U706" s="26" t="str">
        <f t="shared" si="26"/>
        <v>2024.045B.Autographivirales.zip</v>
      </c>
    </row>
    <row r="707" spans="1:21">
      <c r="A707">
        <v>706</v>
      </c>
      <c r="B707" s="27" t="s">
        <v>1449</v>
      </c>
      <c r="D707" s="27" t="s">
        <v>1450</v>
      </c>
      <c r="F707" s="27" t="s">
        <v>1453</v>
      </c>
      <c r="H707" s="27" t="s">
        <v>1454</v>
      </c>
      <c r="J707" s="27" t="s">
        <v>18547</v>
      </c>
      <c r="L707" s="27" t="s">
        <v>18891</v>
      </c>
      <c r="M707" s="27" t="s">
        <v>1497</v>
      </c>
      <c r="N707" s="27" t="s">
        <v>1503</v>
      </c>
      <c r="P707" s="27" t="s">
        <v>4345</v>
      </c>
      <c r="Q707" s="26" t="str">
        <f>HYPERLINK("https://ictv.global/taxonomy/taxondetails?taxnode_id=202508425&amp;ictv_id=ICTV201908425","ICTV201908425")</f>
        <v>ICTV201908425</v>
      </c>
      <c r="R707" t="s">
        <v>579</v>
      </c>
      <c r="S707" t="s">
        <v>22763</v>
      </c>
      <c r="T707">
        <v>40</v>
      </c>
      <c r="U707" s="26" t="str">
        <f t="shared" si="26"/>
        <v>2024.045B.Autographivirales.zip</v>
      </c>
    </row>
    <row r="708" spans="1:21">
      <c r="A708">
        <v>707</v>
      </c>
      <c r="B708" s="27" t="s">
        <v>1449</v>
      </c>
      <c r="D708" s="27" t="s">
        <v>1450</v>
      </c>
      <c r="F708" s="27" t="s">
        <v>1453</v>
      </c>
      <c r="H708" s="27" t="s">
        <v>1454</v>
      </c>
      <c r="J708" s="27" t="s">
        <v>18547</v>
      </c>
      <c r="L708" s="27" t="s">
        <v>18891</v>
      </c>
      <c r="M708" s="27" t="s">
        <v>1497</v>
      </c>
      <c r="N708" s="27" t="s">
        <v>18925</v>
      </c>
      <c r="P708" s="27" t="s">
        <v>18926</v>
      </c>
      <c r="Q708" s="26" t="str">
        <f>HYPERLINK("https://ictv.global/taxonomy/taxondetails?taxnode_id=202508487&amp;ictv_id=ICTV201908487","ICTV201908487")</f>
        <v>ICTV201908487</v>
      </c>
      <c r="R708" t="s">
        <v>579</v>
      </c>
      <c r="S708" t="s">
        <v>22764</v>
      </c>
      <c r="T708">
        <v>40</v>
      </c>
      <c r="U708" s="26" t="str">
        <f t="shared" si="26"/>
        <v>2024.045B.Autographivirales.zip</v>
      </c>
    </row>
    <row r="709" spans="1:21">
      <c r="A709">
        <v>708</v>
      </c>
      <c r="B709" s="27" t="s">
        <v>1449</v>
      </c>
      <c r="D709" s="27" t="s">
        <v>1450</v>
      </c>
      <c r="F709" s="27" t="s">
        <v>1453</v>
      </c>
      <c r="H709" s="27" t="s">
        <v>1454</v>
      </c>
      <c r="J709" s="27" t="s">
        <v>18547</v>
      </c>
      <c r="L709" s="27" t="s">
        <v>18891</v>
      </c>
      <c r="M709" s="27" t="s">
        <v>1497</v>
      </c>
      <c r="N709" s="27" t="s">
        <v>18925</v>
      </c>
      <c r="P709" s="27" t="s">
        <v>18927</v>
      </c>
      <c r="Q709" s="26" t="str">
        <f>HYPERLINK("https://ictv.global/taxonomy/taxondetails?taxnode_id=202508482&amp;ictv_id=ICTV201908482","ICTV201908482")</f>
        <v>ICTV201908482</v>
      </c>
      <c r="R709" t="s">
        <v>579</v>
      </c>
      <c r="S709" t="s">
        <v>22764</v>
      </c>
      <c r="T709">
        <v>40</v>
      </c>
      <c r="U709" s="26" t="str">
        <f t="shared" si="26"/>
        <v>2024.045B.Autographivirales.zip</v>
      </c>
    </row>
    <row r="710" spans="1:21">
      <c r="A710">
        <v>709</v>
      </c>
      <c r="B710" s="27" t="s">
        <v>1449</v>
      </c>
      <c r="D710" s="27" t="s">
        <v>1450</v>
      </c>
      <c r="F710" s="27" t="s">
        <v>1453</v>
      </c>
      <c r="H710" s="27" t="s">
        <v>1454</v>
      </c>
      <c r="J710" s="27" t="s">
        <v>18547</v>
      </c>
      <c r="L710" s="27" t="s">
        <v>18891</v>
      </c>
      <c r="M710" s="27" t="s">
        <v>1497</v>
      </c>
      <c r="N710" s="27" t="s">
        <v>1504</v>
      </c>
      <c r="P710" s="27" t="s">
        <v>4346</v>
      </c>
      <c r="Q710" s="26" t="str">
        <f>HYPERLINK("https://ictv.global/taxonomy/taxondetails?taxnode_id=202508423&amp;ictv_id=ICTV201908423","ICTV201908423")</f>
        <v>ICTV201908423</v>
      </c>
      <c r="R710" t="s">
        <v>579</v>
      </c>
      <c r="S710" t="s">
        <v>22763</v>
      </c>
      <c r="T710">
        <v>40</v>
      </c>
      <c r="U710" s="26" t="str">
        <f t="shared" si="26"/>
        <v>2024.045B.Autographivirales.zip</v>
      </c>
    </row>
    <row r="711" spans="1:21">
      <c r="A711">
        <v>710</v>
      </c>
      <c r="B711" s="27" t="s">
        <v>1449</v>
      </c>
      <c r="D711" s="27" t="s">
        <v>1450</v>
      </c>
      <c r="F711" s="27" t="s">
        <v>1453</v>
      </c>
      <c r="H711" s="27" t="s">
        <v>1454</v>
      </c>
      <c r="J711" s="27" t="s">
        <v>18547</v>
      </c>
      <c r="L711" s="27" t="s">
        <v>18891</v>
      </c>
      <c r="M711" s="27" t="s">
        <v>1497</v>
      </c>
      <c r="N711" s="27" t="s">
        <v>1504</v>
      </c>
      <c r="P711" s="27" t="s">
        <v>18928</v>
      </c>
      <c r="Q711" s="26" t="str">
        <f>HYPERLINK("https://ictv.global/taxonomy/taxondetails?taxnode_id=202521345&amp;ictv_id=ICTV202421345","ICTV202421345")</f>
        <v>ICTV202421345</v>
      </c>
      <c r="R711" t="s">
        <v>579</v>
      </c>
      <c r="S711" t="s">
        <v>823</v>
      </c>
      <c r="T711">
        <v>40</v>
      </c>
      <c r="U711" s="26" t="str">
        <f t="shared" si="26"/>
        <v>2024.045B.Autographivirales.zip</v>
      </c>
    </row>
    <row r="712" spans="1:21">
      <c r="A712">
        <v>711</v>
      </c>
      <c r="B712" s="27" t="s">
        <v>1449</v>
      </c>
      <c r="D712" s="27" t="s">
        <v>1450</v>
      </c>
      <c r="F712" s="27" t="s">
        <v>1453</v>
      </c>
      <c r="H712" s="27" t="s">
        <v>1454</v>
      </c>
      <c r="J712" s="27" t="s">
        <v>18547</v>
      </c>
      <c r="L712" s="27" t="s">
        <v>18891</v>
      </c>
      <c r="M712" s="27" t="s">
        <v>1497</v>
      </c>
      <c r="N712" s="27" t="s">
        <v>1504</v>
      </c>
      <c r="P712" s="27" t="s">
        <v>18929</v>
      </c>
      <c r="Q712" s="26" t="str">
        <f>HYPERLINK("https://ictv.global/taxonomy/taxondetails?taxnode_id=202521346&amp;ictv_id=ICTV202421346","ICTV202421346")</f>
        <v>ICTV202421346</v>
      </c>
      <c r="R712" t="s">
        <v>579</v>
      </c>
      <c r="S712" t="s">
        <v>823</v>
      </c>
      <c r="T712">
        <v>40</v>
      </c>
      <c r="U712" s="26" t="str">
        <f t="shared" si="26"/>
        <v>2024.045B.Autographivirales.zip</v>
      </c>
    </row>
    <row r="713" spans="1:21">
      <c r="A713">
        <v>712</v>
      </c>
      <c r="B713" s="27" t="s">
        <v>1449</v>
      </c>
      <c r="D713" s="27" t="s">
        <v>1450</v>
      </c>
      <c r="F713" s="27" t="s">
        <v>1453</v>
      </c>
      <c r="H713" s="27" t="s">
        <v>1454</v>
      </c>
      <c r="J713" s="27" t="s">
        <v>18547</v>
      </c>
      <c r="L713" s="27" t="s">
        <v>18891</v>
      </c>
      <c r="M713" s="27" t="s">
        <v>1497</v>
      </c>
      <c r="N713" s="27" t="s">
        <v>1505</v>
      </c>
      <c r="P713" s="27" t="s">
        <v>18930</v>
      </c>
      <c r="Q713" s="26" t="str">
        <f>HYPERLINK("https://ictv.global/taxonomy/taxondetails?taxnode_id=202521470&amp;ictv_id=ICTV202421470","ICTV202421470")</f>
        <v>ICTV202421470</v>
      </c>
      <c r="R713" t="s">
        <v>579</v>
      </c>
      <c r="S713" t="s">
        <v>823</v>
      </c>
      <c r="T713">
        <v>40</v>
      </c>
      <c r="U713" s="26" t="str">
        <f t="shared" si="26"/>
        <v>2024.045B.Autographivirales.zip</v>
      </c>
    </row>
    <row r="714" spans="1:21">
      <c r="A714">
        <v>713</v>
      </c>
      <c r="B714" s="27" t="s">
        <v>1449</v>
      </c>
      <c r="D714" s="27" t="s">
        <v>1450</v>
      </c>
      <c r="F714" s="27" t="s">
        <v>1453</v>
      </c>
      <c r="H714" s="27" t="s">
        <v>1454</v>
      </c>
      <c r="J714" s="27" t="s">
        <v>18547</v>
      </c>
      <c r="L714" s="27" t="s">
        <v>18891</v>
      </c>
      <c r="M714" s="27" t="s">
        <v>1497</v>
      </c>
      <c r="N714" s="27" t="s">
        <v>1505</v>
      </c>
      <c r="P714" s="27" t="s">
        <v>4347</v>
      </c>
      <c r="Q714" s="26" t="str">
        <f>HYPERLINK("https://ictv.global/taxonomy/taxondetails?taxnode_id=202508427&amp;ictv_id=ICTV201908427","ICTV201908427")</f>
        <v>ICTV201908427</v>
      </c>
      <c r="R714" t="s">
        <v>579</v>
      </c>
      <c r="S714" t="s">
        <v>22763</v>
      </c>
      <c r="T714">
        <v>40</v>
      </c>
      <c r="U714" s="26" t="str">
        <f t="shared" si="26"/>
        <v>2024.045B.Autographivirales.zip</v>
      </c>
    </row>
    <row r="715" spans="1:21">
      <c r="A715">
        <v>714</v>
      </c>
      <c r="B715" s="27" t="s">
        <v>1449</v>
      </c>
      <c r="D715" s="27" t="s">
        <v>1450</v>
      </c>
      <c r="F715" s="27" t="s">
        <v>1453</v>
      </c>
      <c r="H715" s="27" t="s">
        <v>1454</v>
      </c>
      <c r="J715" s="27" t="s">
        <v>18547</v>
      </c>
      <c r="L715" s="27" t="s">
        <v>18891</v>
      </c>
      <c r="M715" s="27" t="s">
        <v>1497</v>
      </c>
      <c r="N715" s="27" t="s">
        <v>1506</v>
      </c>
      <c r="P715" s="27" t="s">
        <v>18931</v>
      </c>
      <c r="Q715" s="26" t="str">
        <f>HYPERLINK("https://ictv.global/taxonomy/taxondetails?taxnode_id=202521472&amp;ictv_id=ICTV202421472","ICTV202421472")</f>
        <v>ICTV202421472</v>
      </c>
      <c r="R715" t="s">
        <v>579</v>
      </c>
      <c r="S715" t="s">
        <v>823</v>
      </c>
      <c r="T715">
        <v>40</v>
      </c>
      <c r="U715" s="26" t="str">
        <f t="shared" si="26"/>
        <v>2024.045B.Autographivirales.zip</v>
      </c>
    </row>
    <row r="716" spans="1:21">
      <c r="A716">
        <v>715</v>
      </c>
      <c r="B716" s="27" t="s">
        <v>1449</v>
      </c>
      <c r="D716" s="27" t="s">
        <v>1450</v>
      </c>
      <c r="F716" s="27" t="s">
        <v>1453</v>
      </c>
      <c r="H716" s="27" t="s">
        <v>1454</v>
      </c>
      <c r="J716" s="27" t="s">
        <v>18547</v>
      </c>
      <c r="L716" s="27" t="s">
        <v>18891</v>
      </c>
      <c r="M716" s="27" t="s">
        <v>1497</v>
      </c>
      <c r="N716" s="27" t="s">
        <v>1506</v>
      </c>
      <c r="P716" s="27" t="s">
        <v>18932</v>
      </c>
      <c r="Q716" s="26" t="str">
        <f>HYPERLINK("https://ictv.global/taxonomy/taxondetails?taxnode_id=202521471&amp;ictv_id=ICTV202421471","ICTV202421471")</f>
        <v>ICTV202421471</v>
      </c>
      <c r="R716" t="s">
        <v>579</v>
      </c>
      <c r="S716" t="s">
        <v>823</v>
      </c>
      <c r="T716">
        <v>40</v>
      </c>
      <c r="U716" s="26" t="str">
        <f t="shared" si="26"/>
        <v>2024.045B.Autographivirales.zip</v>
      </c>
    </row>
    <row r="717" spans="1:21">
      <c r="A717">
        <v>716</v>
      </c>
      <c r="B717" s="27" t="s">
        <v>1449</v>
      </c>
      <c r="D717" s="27" t="s">
        <v>1450</v>
      </c>
      <c r="F717" s="27" t="s">
        <v>1453</v>
      </c>
      <c r="H717" s="27" t="s">
        <v>1454</v>
      </c>
      <c r="J717" s="27" t="s">
        <v>18547</v>
      </c>
      <c r="L717" s="27" t="s">
        <v>18891</v>
      </c>
      <c r="M717" s="27" t="s">
        <v>1497</v>
      </c>
      <c r="N717" s="27" t="s">
        <v>1506</v>
      </c>
      <c r="P717" s="27" t="s">
        <v>18933</v>
      </c>
      <c r="Q717" s="26" t="str">
        <f>HYPERLINK("https://ictv.global/taxonomy/taxondetails?taxnode_id=202521474&amp;ictv_id=ICTV202421474","ICTV202421474")</f>
        <v>ICTV202421474</v>
      </c>
      <c r="R717" t="s">
        <v>579</v>
      </c>
      <c r="S717" t="s">
        <v>823</v>
      </c>
      <c r="T717">
        <v>40</v>
      </c>
      <c r="U717" s="26" t="str">
        <f t="shared" si="26"/>
        <v>2024.045B.Autographivirales.zip</v>
      </c>
    </row>
    <row r="718" spans="1:21">
      <c r="A718">
        <v>717</v>
      </c>
      <c r="B718" s="27" t="s">
        <v>1449</v>
      </c>
      <c r="D718" s="27" t="s">
        <v>1450</v>
      </c>
      <c r="F718" s="27" t="s">
        <v>1453</v>
      </c>
      <c r="H718" s="27" t="s">
        <v>1454</v>
      </c>
      <c r="J718" s="27" t="s">
        <v>18547</v>
      </c>
      <c r="L718" s="27" t="s">
        <v>18891</v>
      </c>
      <c r="M718" s="27" t="s">
        <v>1497</v>
      </c>
      <c r="N718" s="27" t="s">
        <v>1506</v>
      </c>
      <c r="P718" s="27" t="s">
        <v>18934</v>
      </c>
      <c r="Q718" s="26" t="str">
        <f>HYPERLINK("https://ictv.global/taxonomy/taxondetails?taxnode_id=202521476&amp;ictv_id=ICTV202421476","ICTV202421476")</f>
        <v>ICTV202421476</v>
      </c>
      <c r="R718" t="s">
        <v>579</v>
      </c>
      <c r="S718" t="s">
        <v>823</v>
      </c>
      <c r="T718">
        <v>40</v>
      </c>
      <c r="U718" s="26" t="str">
        <f t="shared" si="26"/>
        <v>2024.045B.Autographivirales.zip</v>
      </c>
    </row>
    <row r="719" spans="1:21">
      <c r="A719">
        <v>718</v>
      </c>
      <c r="B719" s="27" t="s">
        <v>1449</v>
      </c>
      <c r="D719" s="27" t="s">
        <v>1450</v>
      </c>
      <c r="F719" s="27" t="s">
        <v>1453</v>
      </c>
      <c r="H719" s="27" t="s">
        <v>1454</v>
      </c>
      <c r="J719" s="27" t="s">
        <v>18547</v>
      </c>
      <c r="L719" s="27" t="s">
        <v>18891</v>
      </c>
      <c r="M719" s="27" t="s">
        <v>1497</v>
      </c>
      <c r="N719" s="27" t="s">
        <v>1506</v>
      </c>
      <c r="P719" s="27" t="s">
        <v>4348</v>
      </c>
      <c r="Q719" s="26" t="str">
        <f>HYPERLINK("https://ictv.global/taxonomy/taxondetails?taxnode_id=202500585&amp;ictv_id=ICTV19951758","ICTV19951758")</f>
        <v>ICTV19951758</v>
      </c>
      <c r="R719" t="s">
        <v>579</v>
      </c>
      <c r="S719" t="s">
        <v>22763</v>
      </c>
      <c r="T719">
        <v>40</v>
      </c>
      <c r="U719" s="26" t="str">
        <f t="shared" si="26"/>
        <v>2024.045B.Autographivirales.zip</v>
      </c>
    </row>
    <row r="720" spans="1:21">
      <c r="A720">
        <v>719</v>
      </c>
      <c r="B720" s="27" t="s">
        <v>1449</v>
      </c>
      <c r="D720" s="27" t="s">
        <v>1450</v>
      </c>
      <c r="F720" s="27" t="s">
        <v>1453</v>
      </c>
      <c r="H720" s="27" t="s">
        <v>1454</v>
      </c>
      <c r="J720" s="27" t="s">
        <v>18547</v>
      </c>
      <c r="L720" s="27" t="s">
        <v>18891</v>
      </c>
      <c r="M720" s="27" t="s">
        <v>1497</v>
      </c>
      <c r="N720" s="27" t="s">
        <v>1506</v>
      </c>
      <c r="P720" s="27" t="s">
        <v>18935</v>
      </c>
      <c r="Q720" s="26" t="str">
        <f>HYPERLINK("https://ictv.global/taxonomy/taxondetails?taxnode_id=202508353&amp;ictv_id=ICTV201908353","ICTV201908353")</f>
        <v>ICTV201908353</v>
      </c>
      <c r="R720" t="s">
        <v>579</v>
      </c>
      <c r="S720" t="s">
        <v>824</v>
      </c>
      <c r="T720">
        <v>40</v>
      </c>
      <c r="U720" s="26" t="str">
        <f t="shared" si="26"/>
        <v>2024.045B.Autographivirales.zip</v>
      </c>
    </row>
    <row r="721" spans="1:21">
      <c r="A721">
        <v>720</v>
      </c>
      <c r="B721" s="27" t="s">
        <v>1449</v>
      </c>
      <c r="D721" s="27" t="s">
        <v>1450</v>
      </c>
      <c r="F721" s="27" t="s">
        <v>1453</v>
      </c>
      <c r="H721" s="27" t="s">
        <v>1454</v>
      </c>
      <c r="J721" s="27" t="s">
        <v>18547</v>
      </c>
      <c r="L721" s="27" t="s">
        <v>18891</v>
      </c>
      <c r="M721" s="27" t="s">
        <v>1497</v>
      </c>
      <c r="N721" s="27" t="s">
        <v>1506</v>
      </c>
      <c r="P721" s="27" t="s">
        <v>4349</v>
      </c>
      <c r="Q721" s="26" t="str">
        <f>HYPERLINK("https://ictv.global/taxonomy/taxondetails?taxnode_id=202508349&amp;ictv_id=ICTV201908349","ICTV201908349")</f>
        <v>ICTV201908349</v>
      </c>
      <c r="R721" t="s">
        <v>579</v>
      </c>
      <c r="S721" t="s">
        <v>22763</v>
      </c>
      <c r="T721">
        <v>40</v>
      </c>
      <c r="U721" s="26" t="str">
        <f t="shared" si="26"/>
        <v>2024.045B.Autographivirales.zip</v>
      </c>
    </row>
    <row r="722" spans="1:21">
      <c r="A722">
        <v>721</v>
      </c>
      <c r="B722" s="27" t="s">
        <v>1449</v>
      </c>
      <c r="D722" s="27" t="s">
        <v>1450</v>
      </c>
      <c r="F722" s="27" t="s">
        <v>1453</v>
      </c>
      <c r="H722" s="27" t="s">
        <v>1454</v>
      </c>
      <c r="J722" s="27" t="s">
        <v>18547</v>
      </c>
      <c r="L722" s="27" t="s">
        <v>18891</v>
      </c>
      <c r="M722" s="27" t="s">
        <v>1497</v>
      </c>
      <c r="N722" s="27" t="s">
        <v>1506</v>
      </c>
      <c r="P722" s="27" t="s">
        <v>18936</v>
      </c>
      <c r="Q722" s="26" t="str">
        <f>HYPERLINK("https://ictv.global/taxonomy/taxondetails?taxnode_id=202521475&amp;ictv_id=ICTV202421475","ICTV202421475")</f>
        <v>ICTV202421475</v>
      </c>
      <c r="R722" t="s">
        <v>579</v>
      </c>
      <c r="S722" t="s">
        <v>823</v>
      </c>
      <c r="T722">
        <v>40</v>
      </c>
      <c r="U722" s="26" t="str">
        <f t="shared" si="26"/>
        <v>2024.045B.Autographivirales.zip</v>
      </c>
    </row>
    <row r="723" spans="1:21">
      <c r="A723">
        <v>722</v>
      </c>
      <c r="B723" s="27" t="s">
        <v>1449</v>
      </c>
      <c r="D723" s="27" t="s">
        <v>1450</v>
      </c>
      <c r="F723" s="27" t="s">
        <v>1453</v>
      </c>
      <c r="H723" s="27" t="s">
        <v>1454</v>
      </c>
      <c r="J723" s="27" t="s">
        <v>18547</v>
      </c>
      <c r="L723" s="27" t="s">
        <v>18891</v>
      </c>
      <c r="M723" s="27" t="s">
        <v>1497</v>
      </c>
      <c r="N723" s="27" t="s">
        <v>1506</v>
      </c>
      <c r="P723" s="27" t="s">
        <v>4350</v>
      </c>
      <c r="Q723" s="26" t="str">
        <f>HYPERLINK("https://ictv.global/taxonomy/taxondetails?taxnode_id=202508351&amp;ictv_id=ICTV201908351","ICTV201908351")</f>
        <v>ICTV201908351</v>
      </c>
      <c r="R723" t="s">
        <v>579</v>
      </c>
      <c r="S723" t="s">
        <v>22763</v>
      </c>
      <c r="T723">
        <v>40</v>
      </c>
      <c r="U723" s="26" t="str">
        <f t="shared" si="26"/>
        <v>2024.045B.Autographivirales.zip</v>
      </c>
    </row>
    <row r="724" spans="1:21">
      <c r="A724">
        <v>723</v>
      </c>
      <c r="B724" s="27" t="s">
        <v>1449</v>
      </c>
      <c r="D724" s="27" t="s">
        <v>1450</v>
      </c>
      <c r="F724" s="27" t="s">
        <v>1453</v>
      </c>
      <c r="H724" s="27" t="s">
        <v>1454</v>
      </c>
      <c r="J724" s="27" t="s">
        <v>18547</v>
      </c>
      <c r="L724" s="27" t="s">
        <v>18891</v>
      </c>
      <c r="M724" s="27" t="s">
        <v>1497</v>
      </c>
      <c r="N724" s="27" t="s">
        <v>1506</v>
      </c>
      <c r="P724" s="27" t="s">
        <v>4351</v>
      </c>
      <c r="Q724" s="26" t="str">
        <f>HYPERLINK("https://ictv.global/taxonomy/taxondetails?taxnode_id=202508345&amp;ictv_id=ICTV201908345","ICTV201908345")</f>
        <v>ICTV201908345</v>
      </c>
      <c r="R724" t="s">
        <v>579</v>
      </c>
      <c r="S724" t="s">
        <v>22763</v>
      </c>
      <c r="T724">
        <v>40</v>
      </c>
      <c r="U724" s="26" t="str">
        <f t="shared" si="26"/>
        <v>2024.045B.Autographivirales.zip</v>
      </c>
    </row>
    <row r="725" spans="1:21">
      <c r="A725">
        <v>724</v>
      </c>
      <c r="B725" s="27" t="s">
        <v>1449</v>
      </c>
      <c r="D725" s="27" t="s">
        <v>1450</v>
      </c>
      <c r="F725" s="27" t="s">
        <v>1453</v>
      </c>
      <c r="H725" s="27" t="s">
        <v>1454</v>
      </c>
      <c r="J725" s="27" t="s">
        <v>18547</v>
      </c>
      <c r="L725" s="27" t="s">
        <v>18891</v>
      </c>
      <c r="M725" s="27" t="s">
        <v>1497</v>
      </c>
      <c r="N725" s="27" t="s">
        <v>1506</v>
      </c>
      <c r="P725" s="27" t="s">
        <v>18937</v>
      </c>
      <c r="Q725" s="26" t="str">
        <f>HYPERLINK("https://ictv.global/taxonomy/taxondetails?taxnode_id=202521473&amp;ictv_id=ICTV202421473","ICTV202421473")</f>
        <v>ICTV202421473</v>
      </c>
      <c r="R725" t="s">
        <v>579</v>
      </c>
      <c r="S725" t="s">
        <v>823</v>
      </c>
      <c r="T725">
        <v>40</v>
      </c>
      <c r="U725" s="26" t="str">
        <f t="shared" si="26"/>
        <v>2024.045B.Autographivirales.zip</v>
      </c>
    </row>
    <row r="726" spans="1:21">
      <c r="A726">
        <v>725</v>
      </c>
      <c r="B726" s="27" t="s">
        <v>1449</v>
      </c>
      <c r="D726" s="27" t="s">
        <v>1450</v>
      </c>
      <c r="F726" s="27" t="s">
        <v>1453</v>
      </c>
      <c r="H726" s="27" t="s">
        <v>1454</v>
      </c>
      <c r="J726" s="27" t="s">
        <v>18547</v>
      </c>
      <c r="L726" s="27" t="s">
        <v>18891</v>
      </c>
      <c r="M726" s="27" t="s">
        <v>1497</v>
      </c>
      <c r="N726" s="27" t="s">
        <v>1506</v>
      </c>
      <c r="P726" s="27" t="s">
        <v>4352</v>
      </c>
      <c r="Q726" s="26" t="str">
        <f>HYPERLINK("https://ictv.global/taxonomy/taxondetails?taxnode_id=202508348&amp;ictv_id=ICTV201908348","ICTV201908348")</f>
        <v>ICTV201908348</v>
      </c>
      <c r="R726" t="s">
        <v>579</v>
      </c>
      <c r="S726" t="s">
        <v>22763</v>
      </c>
      <c r="T726">
        <v>40</v>
      </c>
      <c r="U726" s="26" t="str">
        <f t="shared" si="26"/>
        <v>2024.045B.Autographivirales.zip</v>
      </c>
    </row>
    <row r="727" spans="1:21">
      <c r="A727">
        <v>726</v>
      </c>
      <c r="B727" s="27" t="s">
        <v>1449</v>
      </c>
      <c r="D727" s="27" t="s">
        <v>1450</v>
      </c>
      <c r="F727" s="27" t="s">
        <v>1453</v>
      </c>
      <c r="H727" s="27" t="s">
        <v>1454</v>
      </c>
      <c r="J727" s="27" t="s">
        <v>18547</v>
      </c>
      <c r="L727" s="27" t="s">
        <v>18891</v>
      </c>
      <c r="M727" s="27" t="s">
        <v>1497</v>
      </c>
      <c r="N727" s="27" t="s">
        <v>18938</v>
      </c>
      <c r="P727" s="27" t="s">
        <v>18939</v>
      </c>
      <c r="Q727" s="26" t="str">
        <f>HYPERLINK("https://ictv.global/taxonomy/taxondetails?taxnode_id=202521483&amp;ictv_id=ICTV202421483","ICTV202421483")</f>
        <v>ICTV202421483</v>
      </c>
      <c r="R727" t="s">
        <v>579</v>
      </c>
      <c r="S727" t="s">
        <v>823</v>
      </c>
      <c r="T727">
        <v>40</v>
      </c>
      <c r="U727" s="26" t="str">
        <f t="shared" si="26"/>
        <v>2024.045B.Autographivirales.zip</v>
      </c>
    </row>
    <row r="728" spans="1:21">
      <c r="A728">
        <v>727</v>
      </c>
      <c r="B728" s="27" t="s">
        <v>1449</v>
      </c>
      <c r="D728" s="27" t="s">
        <v>1450</v>
      </c>
      <c r="F728" s="27" t="s">
        <v>1453</v>
      </c>
      <c r="H728" s="27" t="s">
        <v>1454</v>
      </c>
      <c r="J728" s="27" t="s">
        <v>18547</v>
      </c>
      <c r="L728" s="27" t="s">
        <v>18891</v>
      </c>
      <c r="M728" s="27" t="s">
        <v>1497</v>
      </c>
      <c r="N728" s="27" t="s">
        <v>1507</v>
      </c>
      <c r="P728" s="27" t="s">
        <v>4353</v>
      </c>
      <c r="Q728" s="26" t="str">
        <f>HYPERLINK("https://ictv.global/taxonomy/taxondetails?taxnode_id=202508378&amp;ictv_id=ICTV201908378","ICTV201908378")</f>
        <v>ICTV201908378</v>
      </c>
      <c r="R728" t="s">
        <v>579</v>
      </c>
      <c r="S728" t="s">
        <v>22763</v>
      </c>
      <c r="T728">
        <v>40</v>
      </c>
      <c r="U728" s="26" t="str">
        <f t="shared" ref="U728:U783" si="27">HYPERLINK("https://ictv.global/ictv/proposals/2024.045B.Autographivirales.zip","2024.045B.Autographivirales.zip")</f>
        <v>2024.045B.Autographivirales.zip</v>
      </c>
    </row>
    <row r="729" spans="1:21">
      <c r="A729">
        <v>728</v>
      </c>
      <c r="B729" s="27" t="s">
        <v>1449</v>
      </c>
      <c r="D729" s="27" t="s">
        <v>1450</v>
      </c>
      <c r="F729" s="27" t="s">
        <v>1453</v>
      </c>
      <c r="H729" s="27" t="s">
        <v>1454</v>
      </c>
      <c r="J729" s="27" t="s">
        <v>18547</v>
      </c>
      <c r="L729" s="27" t="s">
        <v>18891</v>
      </c>
      <c r="M729" s="27" t="s">
        <v>1497</v>
      </c>
      <c r="N729" s="27" t="s">
        <v>1507</v>
      </c>
      <c r="P729" s="27" t="s">
        <v>4354</v>
      </c>
      <c r="Q729" s="26" t="str">
        <f>HYPERLINK("https://ictv.global/taxonomy/taxondetails?taxnode_id=202508375&amp;ictv_id=ICTV201908375","ICTV201908375")</f>
        <v>ICTV201908375</v>
      </c>
      <c r="R729" t="s">
        <v>579</v>
      </c>
      <c r="S729" t="s">
        <v>22763</v>
      </c>
      <c r="T729">
        <v>40</v>
      </c>
      <c r="U729" s="26" t="str">
        <f t="shared" si="27"/>
        <v>2024.045B.Autographivirales.zip</v>
      </c>
    </row>
    <row r="730" spans="1:21">
      <c r="A730">
        <v>729</v>
      </c>
      <c r="B730" s="27" t="s">
        <v>1449</v>
      </c>
      <c r="D730" s="27" t="s">
        <v>1450</v>
      </c>
      <c r="F730" s="27" t="s">
        <v>1453</v>
      </c>
      <c r="H730" s="27" t="s">
        <v>1454</v>
      </c>
      <c r="J730" s="27" t="s">
        <v>18547</v>
      </c>
      <c r="L730" s="27" t="s">
        <v>18891</v>
      </c>
      <c r="M730" s="27" t="s">
        <v>1497</v>
      </c>
      <c r="N730" s="27" t="s">
        <v>1507</v>
      </c>
      <c r="P730" s="27" t="s">
        <v>4355</v>
      </c>
      <c r="Q730" s="26" t="str">
        <f>HYPERLINK("https://ictv.global/taxonomy/taxondetails?taxnode_id=202508377&amp;ictv_id=ICTV201908377","ICTV201908377")</f>
        <v>ICTV201908377</v>
      </c>
      <c r="R730" t="s">
        <v>579</v>
      </c>
      <c r="S730" t="s">
        <v>22763</v>
      </c>
      <c r="T730">
        <v>40</v>
      </c>
      <c r="U730" s="26" t="str">
        <f t="shared" si="27"/>
        <v>2024.045B.Autographivirales.zip</v>
      </c>
    </row>
    <row r="731" spans="1:21">
      <c r="A731">
        <v>730</v>
      </c>
      <c r="B731" s="27" t="s">
        <v>1449</v>
      </c>
      <c r="D731" s="27" t="s">
        <v>1450</v>
      </c>
      <c r="F731" s="27" t="s">
        <v>1453</v>
      </c>
      <c r="H731" s="27" t="s">
        <v>1454</v>
      </c>
      <c r="J731" s="27" t="s">
        <v>18547</v>
      </c>
      <c r="L731" s="27" t="s">
        <v>18891</v>
      </c>
      <c r="M731" s="27" t="s">
        <v>1497</v>
      </c>
      <c r="N731" s="27" t="s">
        <v>1507</v>
      </c>
      <c r="P731" s="27" t="s">
        <v>18940</v>
      </c>
      <c r="Q731" s="26" t="str">
        <f>HYPERLINK("https://ictv.global/taxonomy/taxondetails?taxnode_id=202521339&amp;ictv_id=ICTV202421339","ICTV202421339")</f>
        <v>ICTV202421339</v>
      </c>
      <c r="R731" t="s">
        <v>579</v>
      </c>
      <c r="S731" t="s">
        <v>823</v>
      </c>
      <c r="T731">
        <v>40</v>
      </c>
      <c r="U731" s="26" t="str">
        <f t="shared" si="27"/>
        <v>2024.045B.Autographivirales.zip</v>
      </c>
    </row>
    <row r="732" spans="1:21">
      <c r="A732">
        <v>731</v>
      </c>
      <c r="B732" s="27" t="s">
        <v>1449</v>
      </c>
      <c r="D732" s="27" t="s">
        <v>1450</v>
      </c>
      <c r="F732" s="27" t="s">
        <v>1453</v>
      </c>
      <c r="H732" s="27" t="s">
        <v>1454</v>
      </c>
      <c r="J732" s="27" t="s">
        <v>18547</v>
      </c>
      <c r="L732" s="27" t="s">
        <v>18891</v>
      </c>
      <c r="M732" s="27" t="s">
        <v>1497</v>
      </c>
      <c r="N732" s="27" t="s">
        <v>18941</v>
      </c>
      <c r="P732" s="27" t="s">
        <v>18942</v>
      </c>
      <c r="Q732" s="26" t="str">
        <f>HYPERLINK("https://ictv.global/taxonomy/taxondetails?taxnode_id=202508352&amp;ictv_id=ICTV201908352","ICTV201908352")</f>
        <v>ICTV201908352</v>
      </c>
      <c r="R732" t="s">
        <v>579</v>
      </c>
      <c r="S732" t="s">
        <v>22764</v>
      </c>
      <c r="T732">
        <v>40</v>
      </c>
      <c r="U732" s="26" t="str">
        <f t="shared" si="27"/>
        <v>2024.045B.Autographivirales.zip</v>
      </c>
    </row>
    <row r="733" spans="1:21">
      <c r="A733">
        <v>732</v>
      </c>
      <c r="B733" s="27" t="s">
        <v>1449</v>
      </c>
      <c r="D733" s="27" t="s">
        <v>1450</v>
      </c>
      <c r="F733" s="27" t="s">
        <v>1453</v>
      </c>
      <c r="H733" s="27" t="s">
        <v>1454</v>
      </c>
      <c r="J733" s="27" t="s">
        <v>18547</v>
      </c>
      <c r="L733" s="27" t="s">
        <v>18891</v>
      </c>
      <c r="M733" s="27" t="s">
        <v>1497</v>
      </c>
      <c r="N733" s="27" t="s">
        <v>18941</v>
      </c>
      <c r="P733" s="27" t="s">
        <v>18943</v>
      </c>
      <c r="Q733" s="26" t="str">
        <f>HYPERLINK("https://ictv.global/taxonomy/taxondetails?taxnode_id=202521477&amp;ictv_id=ICTV202421477","ICTV202421477")</f>
        <v>ICTV202421477</v>
      </c>
      <c r="R733" t="s">
        <v>579</v>
      </c>
      <c r="S733" t="s">
        <v>823</v>
      </c>
      <c r="T733">
        <v>40</v>
      </c>
      <c r="U733" s="26" t="str">
        <f t="shared" si="27"/>
        <v>2024.045B.Autographivirales.zip</v>
      </c>
    </row>
    <row r="734" spans="1:21">
      <c r="A734">
        <v>733</v>
      </c>
      <c r="B734" s="27" t="s">
        <v>1449</v>
      </c>
      <c r="D734" s="27" t="s">
        <v>1450</v>
      </c>
      <c r="F734" s="27" t="s">
        <v>1453</v>
      </c>
      <c r="H734" s="27" t="s">
        <v>1454</v>
      </c>
      <c r="J734" s="27" t="s">
        <v>18547</v>
      </c>
      <c r="L734" s="27" t="s">
        <v>18891</v>
      </c>
      <c r="M734" s="27" t="s">
        <v>1497</v>
      </c>
      <c r="N734" s="27" t="s">
        <v>18941</v>
      </c>
      <c r="P734" s="27" t="s">
        <v>18944</v>
      </c>
      <c r="Q734" s="26" t="str">
        <f>HYPERLINK("https://ictv.global/taxonomy/taxondetails?taxnode_id=202521478&amp;ictv_id=ICTV202421478","ICTV202421478")</f>
        <v>ICTV202421478</v>
      </c>
      <c r="R734" t="s">
        <v>579</v>
      </c>
      <c r="S734" t="s">
        <v>823</v>
      </c>
      <c r="T734">
        <v>40</v>
      </c>
      <c r="U734" s="26" t="str">
        <f t="shared" si="27"/>
        <v>2024.045B.Autographivirales.zip</v>
      </c>
    </row>
    <row r="735" spans="1:21">
      <c r="A735">
        <v>734</v>
      </c>
      <c r="B735" s="27" t="s">
        <v>1449</v>
      </c>
      <c r="D735" s="27" t="s">
        <v>1450</v>
      </c>
      <c r="F735" s="27" t="s">
        <v>1453</v>
      </c>
      <c r="H735" s="27" t="s">
        <v>1454</v>
      </c>
      <c r="J735" s="27" t="s">
        <v>18547</v>
      </c>
      <c r="L735" s="27" t="s">
        <v>18891</v>
      </c>
      <c r="M735" s="27" t="s">
        <v>1497</v>
      </c>
      <c r="N735" s="27" t="s">
        <v>18941</v>
      </c>
      <c r="P735" s="27" t="s">
        <v>18945</v>
      </c>
      <c r="Q735" s="26" t="str">
        <f>HYPERLINK("https://ictv.global/taxonomy/taxondetails?taxnode_id=202508347&amp;ictv_id=ICTV201908347","ICTV201908347")</f>
        <v>ICTV201908347</v>
      </c>
      <c r="R735" t="s">
        <v>579</v>
      </c>
      <c r="S735" t="s">
        <v>22764</v>
      </c>
      <c r="T735">
        <v>40</v>
      </c>
      <c r="U735" s="26" t="str">
        <f t="shared" si="27"/>
        <v>2024.045B.Autographivirales.zip</v>
      </c>
    </row>
    <row r="736" spans="1:21">
      <c r="A736">
        <v>735</v>
      </c>
      <c r="B736" s="27" t="s">
        <v>1449</v>
      </c>
      <c r="D736" s="27" t="s">
        <v>1450</v>
      </c>
      <c r="F736" s="27" t="s">
        <v>1453</v>
      </c>
      <c r="H736" s="27" t="s">
        <v>1454</v>
      </c>
      <c r="J736" s="27" t="s">
        <v>18547</v>
      </c>
      <c r="L736" s="27" t="s">
        <v>18891</v>
      </c>
      <c r="M736" s="27" t="s">
        <v>1497</v>
      </c>
      <c r="N736" s="27" t="s">
        <v>18941</v>
      </c>
      <c r="P736" s="27" t="s">
        <v>18946</v>
      </c>
      <c r="Q736" s="26" t="str">
        <f>HYPERLINK("https://ictv.global/taxonomy/taxondetails?taxnode_id=202508350&amp;ictv_id=ICTV201908350","ICTV201908350")</f>
        <v>ICTV201908350</v>
      </c>
      <c r="R736" t="s">
        <v>579</v>
      </c>
      <c r="S736" t="s">
        <v>22764</v>
      </c>
      <c r="T736">
        <v>40</v>
      </c>
      <c r="U736" s="26" t="str">
        <f t="shared" si="27"/>
        <v>2024.045B.Autographivirales.zip</v>
      </c>
    </row>
    <row r="737" spans="1:21">
      <c r="A737">
        <v>736</v>
      </c>
      <c r="B737" s="27" t="s">
        <v>1449</v>
      </c>
      <c r="D737" s="27" t="s">
        <v>1450</v>
      </c>
      <c r="F737" s="27" t="s">
        <v>1453</v>
      </c>
      <c r="H737" s="27" t="s">
        <v>1454</v>
      </c>
      <c r="J737" s="27" t="s">
        <v>18547</v>
      </c>
      <c r="L737" s="27" t="s">
        <v>18891</v>
      </c>
      <c r="M737" s="27" t="s">
        <v>1497</v>
      </c>
      <c r="N737" s="27" t="s">
        <v>1508</v>
      </c>
      <c r="P737" s="27" t="s">
        <v>4356</v>
      </c>
      <c r="Q737" s="26" t="str">
        <f>HYPERLINK("https://ictv.global/taxonomy/taxondetails?taxnode_id=202508458&amp;ictv_id=ICTV201908458","ICTV201908458")</f>
        <v>ICTV201908458</v>
      </c>
      <c r="R737" t="s">
        <v>579</v>
      </c>
      <c r="S737" t="s">
        <v>22763</v>
      </c>
      <c r="T737">
        <v>40</v>
      </c>
      <c r="U737" s="26" t="str">
        <f t="shared" si="27"/>
        <v>2024.045B.Autographivirales.zip</v>
      </c>
    </row>
    <row r="738" spans="1:21">
      <c r="A738">
        <v>737</v>
      </c>
      <c r="B738" s="27" t="s">
        <v>1449</v>
      </c>
      <c r="D738" s="27" t="s">
        <v>1450</v>
      </c>
      <c r="F738" s="27" t="s">
        <v>1453</v>
      </c>
      <c r="H738" s="27" t="s">
        <v>1454</v>
      </c>
      <c r="J738" s="27" t="s">
        <v>18547</v>
      </c>
      <c r="L738" s="27" t="s">
        <v>18891</v>
      </c>
      <c r="M738" s="27" t="s">
        <v>1497</v>
      </c>
      <c r="N738" s="27" t="s">
        <v>18947</v>
      </c>
      <c r="P738" s="27" t="s">
        <v>18948</v>
      </c>
      <c r="Q738" s="26" t="str">
        <f>HYPERLINK("https://ictv.global/taxonomy/taxondetails?taxnode_id=202521464&amp;ictv_id=ICTV202421464","ICTV202421464")</f>
        <v>ICTV202421464</v>
      </c>
      <c r="R738" t="s">
        <v>579</v>
      </c>
      <c r="S738" t="s">
        <v>823</v>
      </c>
      <c r="T738">
        <v>40</v>
      </c>
      <c r="U738" s="26" t="str">
        <f t="shared" si="27"/>
        <v>2024.045B.Autographivirales.zip</v>
      </c>
    </row>
    <row r="739" spans="1:21">
      <c r="A739">
        <v>738</v>
      </c>
      <c r="B739" s="27" t="s">
        <v>1449</v>
      </c>
      <c r="D739" s="27" t="s">
        <v>1450</v>
      </c>
      <c r="F739" s="27" t="s">
        <v>1453</v>
      </c>
      <c r="H739" s="27" t="s">
        <v>1454</v>
      </c>
      <c r="J739" s="27" t="s">
        <v>18547</v>
      </c>
      <c r="L739" s="27" t="s">
        <v>18891</v>
      </c>
      <c r="M739" s="27" t="s">
        <v>1497</v>
      </c>
      <c r="N739" s="27" t="s">
        <v>1509</v>
      </c>
      <c r="P739" s="27" t="s">
        <v>18949</v>
      </c>
      <c r="Q739" s="26" t="str">
        <f>HYPERLINK("https://ictv.global/taxonomy/taxondetails?taxnode_id=202521430&amp;ictv_id=ICTV202421430","ICTV202421430")</f>
        <v>ICTV202421430</v>
      </c>
      <c r="R739" t="s">
        <v>579</v>
      </c>
      <c r="S739" t="s">
        <v>823</v>
      </c>
      <c r="T739">
        <v>40</v>
      </c>
      <c r="U739" s="26" t="str">
        <f t="shared" si="27"/>
        <v>2024.045B.Autographivirales.zip</v>
      </c>
    </row>
    <row r="740" spans="1:21">
      <c r="A740">
        <v>739</v>
      </c>
      <c r="B740" s="27" t="s">
        <v>1449</v>
      </c>
      <c r="D740" s="27" t="s">
        <v>1450</v>
      </c>
      <c r="F740" s="27" t="s">
        <v>1453</v>
      </c>
      <c r="H740" s="27" t="s">
        <v>1454</v>
      </c>
      <c r="J740" s="27" t="s">
        <v>18547</v>
      </c>
      <c r="L740" s="27" t="s">
        <v>18891</v>
      </c>
      <c r="M740" s="27" t="s">
        <v>1497</v>
      </c>
      <c r="N740" s="27" t="s">
        <v>1509</v>
      </c>
      <c r="P740" s="27" t="s">
        <v>18950</v>
      </c>
      <c r="Q740" s="26" t="str">
        <f>HYPERLINK("https://ictv.global/taxonomy/taxondetails?taxnode_id=202521429&amp;ictv_id=ICTV202421429","ICTV202421429")</f>
        <v>ICTV202421429</v>
      </c>
      <c r="R740" t="s">
        <v>579</v>
      </c>
      <c r="S740" t="s">
        <v>823</v>
      </c>
      <c r="T740">
        <v>40</v>
      </c>
      <c r="U740" s="26" t="str">
        <f t="shared" si="27"/>
        <v>2024.045B.Autographivirales.zip</v>
      </c>
    </row>
    <row r="741" spans="1:21">
      <c r="A741">
        <v>740</v>
      </c>
      <c r="B741" s="27" t="s">
        <v>1449</v>
      </c>
      <c r="D741" s="27" t="s">
        <v>1450</v>
      </c>
      <c r="F741" s="27" t="s">
        <v>1453</v>
      </c>
      <c r="H741" s="27" t="s">
        <v>1454</v>
      </c>
      <c r="J741" s="27" t="s">
        <v>18547</v>
      </c>
      <c r="L741" s="27" t="s">
        <v>18891</v>
      </c>
      <c r="M741" s="27" t="s">
        <v>1497</v>
      </c>
      <c r="N741" s="27" t="s">
        <v>1509</v>
      </c>
      <c r="P741" s="27" t="s">
        <v>18951</v>
      </c>
      <c r="Q741" s="26" t="str">
        <f>HYPERLINK("https://ictv.global/taxonomy/taxondetails?taxnode_id=202521435&amp;ictv_id=ICTV202421435","ICTV202421435")</f>
        <v>ICTV202421435</v>
      </c>
      <c r="R741" t="s">
        <v>579</v>
      </c>
      <c r="S741" t="s">
        <v>823</v>
      </c>
      <c r="T741">
        <v>40</v>
      </c>
      <c r="U741" s="26" t="str">
        <f t="shared" si="27"/>
        <v>2024.045B.Autographivirales.zip</v>
      </c>
    </row>
    <row r="742" spans="1:21">
      <c r="A742">
        <v>741</v>
      </c>
      <c r="B742" s="27" t="s">
        <v>1449</v>
      </c>
      <c r="D742" s="27" t="s">
        <v>1450</v>
      </c>
      <c r="F742" s="27" t="s">
        <v>1453</v>
      </c>
      <c r="H742" s="27" t="s">
        <v>1454</v>
      </c>
      <c r="J742" s="27" t="s">
        <v>18547</v>
      </c>
      <c r="L742" s="27" t="s">
        <v>18891</v>
      </c>
      <c r="M742" s="27" t="s">
        <v>1497</v>
      </c>
      <c r="N742" s="27" t="s">
        <v>1509</v>
      </c>
      <c r="P742" s="27" t="s">
        <v>18952</v>
      </c>
      <c r="Q742" s="26" t="str">
        <f>HYPERLINK("https://ictv.global/taxonomy/taxondetails?taxnode_id=202521428&amp;ictv_id=ICTV202421428","ICTV202421428")</f>
        <v>ICTV202421428</v>
      </c>
      <c r="R742" t="s">
        <v>579</v>
      </c>
      <c r="S742" t="s">
        <v>823</v>
      </c>
      <c r="T742">
        <v>40</v>
      </c>
      <c r="U742" s="26" t="str">
        <f t="shared" si="27"/>
        <v>2024.045B.Autographivirales.zip</v>
      </c>
    </row>
    <row r="743" spans="1:21">
      <c r="A743">
        <v>742</v>
      </c>
      <c r="B743" s="27" t="s">
        <v>1449</v>
      </c>
      <c r="D743" s="27" t="s">
        <v>1450</v>
      </c>
      <c r="F743" s="27" t="s">
        <v>1453</v>
      </c>
      <c r="H743" s="27" t="s">
        <v>1454</v>
      </c>
      <c r="J743" s="27" t="s">
        <v>18547</v>
      </c>
      <c r="L743" s="27" t="s">
        <v>18891</v>
      </c>
      <c r="M743" s="27" t="s">
        <v>1497</v>
      </c>
      <c r="N743" s="27" t="s">
        <v>1509</v>
      </c>
      <c r="P743" s="27" t="s">
        <v>18953</v>
      </c>
      <c r="Q743" s="26" t="str">
        <f>HYPERLINK("https://ictv.global/taxonomy/taxondetails?taxnode_id=202521418&amp;ictv_id=ICTV202421418","ICTV202421418")</f>
        <v>ICTV202421418</v>
      </c>
      <c r="R743" t="s">
        <v>579</v>
      </c>
      <c r="S743" t="s">
        <v>823</v>
      </c>
      <c r="T743">
        <v>40</v>
      </c>
      <c r="U743" s="26" t="str">
        <f t="shared" si="27"/>
        <v>2024.045B.Autographivirales.zip</v>
      </c>
    </row>
    <row r="744" spans="1:21">
      <c r="A744">
        <v>743</v>
      </c>
      <c r="B744" s="27" t="s">
        <v>1449</v>
      </c>
      <c r="D744" s="27" t="s">
        <v>1450</v>
      </c>
      <c r="F744" s="27" t="s">
        <v>1453</v>
      </c>
      <c r="H744" s="27" t="s">
        <v>1454</v>
      </c>
      <c r="J744" s="27" t="s">
        <v>18547</v>
      </c>
      <c r="L744" s="27" t="s">
        <v>18891</v>
      </c>
      <c r="M744" s="27" t="s">
        <v>1497</v>
      </c>
      <c r="N744" s="27" t="s">
        <v>1509</v>
      </c>
      <c r="P744" s="27" t="s">
        <v>18954</v>
      </c>
      <c r="Q744" s="26" t="str">
        <f>HYPERLINK("https://ictv.global/taxonomy/taxondetails?taxnode_id=202521438&amp;ictv_id=ICTV202421438","ICTV202421438")</f>
        <v>ICTV202421438</v>
      </c>
      <c r="R744" t="s">
        <v>579</v>
      </c>
      <c r="S744" t="s">
        <v>823</v>
      </c>
      <c r="T744">
        <v>40</v>
      </c>
      <c r="U744" s="26" t="str">
        <f t="shared" si="27"/>
        <v>2024.045B.Autographivirales.zip</v>
      </c>
    </row>
    <row r="745" spans="1:21">
      <c r="A745">
        <v>744</v>
      </c>
      <c r="B745" s="27" t="s">
        <v>1449</v>
      </c>
      <c r="D745" s="27" t="s">
        <v>1450</v>
      </c>
      <c r="F745" s="27" t="s">
        <v>1453</v>
      </c>
      <c r="H745" s="27" t="s">
        <v>1454</v>
      </c>
      <c r="J745" s="27" t="s">
        <v>18547</v>
      </c>
      <c r="L745" s="27" t="s">
        <v>18891</v>
      </c>
      <c r="M745" s="27" t="s">
        <v>1497</v>
      </c>
      <c r="N745" s="27" t="s">
        <v>1509</v>
      </c>
      <c r="P745" s="27" t="s">
        <v>4357</v>
      </c>
      <c r="Q745" s="26" t="str">
        <f>HYPERLINK("https://ictv.global/taxonomy/taxondetails?taxnode_id=202508406&amp;ictv_id=ICTV201908406","ICTV201908406")</f>
        <v>ICTV201908406</v>
      </c>
      <c r="R745" t="s">
        <v>579</v>
      </c>
      <c r="S745" t="s">
        <v>22763</v>
      </c>
      <c r="T745">
        <v>40</v>
      </c>
      <c r="U745" s="26" t="str">
        <f t="shared" si="27"/>
        <v>2024.045B.Autographivirales.zip</v>
      </c>
    </row>
    <row r="746" spans="1:21">
      <c r="A746">
        <v>745</v>
      </c>
      <c r="B746" s="27" t="s">
        <v>1449</v>
      </c>
      <c r="D746" s="27" t="s">
        <v>1450</v>
      </c>
      <c r="F746" s="27" t="s">
        <v>1453</v>
      </c>
      <c r="H746" s="27" t="s">
        <v>1454</v>
      </c>
      <c r="J746" s="27" t="s">
        <v>18547</v>
      </c>
      <c r="L746" s="27" t="s">
        <v>18891</v>
      </c>
      <c r="M746" s="27" t="s">
        <v>1497</v>
      </c>
      <c r="N746" s="27" t="s">
        <v>1509</v>
      </c>
      <c r="P746" s="27" t="s">
        <v>18955</v>
      </c>
      <c r="Q746" s="26" t="str">
        <f>HYPERLINK("https://ictv.global/taxonomy/taxondetails?taxnode_id=202521455&amp;ictv_id=ICTV202421455","ICTV202421455")</f>
        <v>ICTV202421455</v>
      </c>
      <c r="R746" t="s">
        <v>579</v>
      </c>
      <c r="S746" t="s">
        <v>823</v>
      </c>
      <c r="T746">
        <v>40</v>
      </c>
      <c r="U746" s="26" t="str">
        <f t="shared" si="27"/>
        <v>2024.045B.Autographivirales.zip</v>
      </c>
    </row>
    <row r="747" spans="1:21">
      <c r="A747">
        <v>746</v>
      </c>
      <c r="B747" s="27" t="s">
        <v>1449</v>
      </c>
      <c r="D747" s="27" t="s">
        <v>1450</v>
      </c>
      <c r="F747" s="27" t="s">
        <v>1453</v>
      </c>
      <c r="H747" s="27" t="s">
        <v>1454</v>
      </c>
      <c r="J747" s="27" t="s">
        <v>18547</v>
      </c>
      <c r="L747" s="27" t="s">
        <v>18891</v>
      </c>
      <c r="M747" s="27" t="s">
        <v>1497</v>
      </c>
      <c r="N747" s="27" t="s">
        <v>1509</v>
      </c>
      <c r="P747" s="27" t="s">
        <v>4358</v>
      </c>
      <c r="Q747" s="26" t="str">
        <f>HYPERLINK("https://ictv.global/taxonomy/taxondetails?taxnode_id=202508405&amp;ictv_id=ICTV201908405","ICTV201908405")</f>
        <v>ICTV201908405</v>
      </c>
      <c r="R747" t="s">
        <v>579</v>
      </c>
      <c r="S747" t="s">
        <v>22763</v>
      </c>
      <c r="T747">
        <v>40</v>
      </c>
      <c r="U747" s="26" t="str">
        <f t="shared" si="27"/>
        <v>2024.045B.Autographivirales.zip</v>
      </c>
    </row>
    <row r="748" spans="1:21">
      <c r="A748">
        <v>747</v>
      </c>
      <c r="B748" s="27" t="s">
        <v>1449</v>
      </c>
      <c r="D748" s="27" t="s">
        <v>1450</v>
      </c>
      <c r="F748" s="27" t="s">
        <v>1453</v>
      </c>
      <c r="H748" s="27" t="s">
        <v>1454</v>
      </c>
      <c r="J748" s="27" t="s">
        <v>18547</v>
      </c>
      <c r="L748" s="27" t="s">
        <v>18891</v>
      </c>
      <c r="M748" s="27" t="s">
        <v>1497</v>
      </c>
      <c r="N748" s="27" t="s">
        <v>1509</v>
      </c>
      <c r="P748" s="27" t="s">
        <v>4359</v>
      </c>
      <c r="Q748" s="26" t="str">
        <f>HYPERLINK("https://ictv.global/taxonomy/taxondetails?taxnode_id=202508404&amp;ictv_id=ICTV201908404","ICTV201908404")</f>
        <v>ICTV201908404</v>
      </c>
      <c r="R748" t="s">
        <v>579</v>
      </c>
      <c r="S748" t="s">
        <v>22763</v>
      </c>
      <c r="T748">
        <v>40</v>
      </c>
      <c r="U748" s="26" t="str">
        <f t="shared" si="27"/>
        <v>2024.045B.Autographivirales.zip</v>
      </c>
    </row>
    <row r="749" spans="1:21">
      <c r="A749">
        <v>748</v>
      </c>
      <c r="B749" s="27" t="s">
        <v>1449</v>
      </c>
      <c r="D749" s="27" t="s">
        <v>1450</v>
      </c>
      <c r="F749" s="27" t="s">
        <v>1453</v>
      </c>
      <c r="H749" s="27" t="s">
        <v>1454</v>
      </c>
      <c r="J749" s="27" t="s">
        <v>18547</v>
      </c>
      <c r="L749" s="27" t="s">
        <v>18891</v>
      </c>
      <c r="M749" s="27" t="s">
        <v>1497</v>
      </c>
      <c r="N749" s="27" t="s">
        <v>1509</v>
      </c>
      <c r="P749" s="27" t="s">
        <v>18956</v>
      </c>
      <c r="Q749" s="26" t="str">
        <f>HYPERLINK("https://ictv.global/taxonomy/taxondetails?taxnode_id=202521415&amp;ictv_id=ICTV202421415","ICTV202421415")</f>
        <v>ICTV202421415</v>
      </c>
      <c r="R749" t="s">
        <v>579</v>
      </c>
      <c r="S749" t="s">
        <v>823</v>
      </c>
      <c r="T749">
        <v>40</v>
      </c>
      <c r="U749" s="26" t="str">
        <f t="shared" si="27"/>
        <v>2024.045B.Autographivirales.zip</v>
      </c>
    </row>
    <row r="750" spans="1:21">
      <c r="A750">
        <v>749</v>
      </c>
      <c r="B750" s="27" t="s">
        <v>1449</v>
      </c>
      <c r="D750" s="27" t="s">
        <v>1450</v>
      </c>
      <c r="F750" s="27" t="s">
        <v>1453</v>
      </c>
      <c r="H750" s="27" t="s">
        <v>1454</v>
      </c>
      <c r="J750" s="27" t="s">
        <v>18547</v>
      </c>
      <c r="L750" s="27" t="s">
        <v>18891</v>
      </c>
      <c r="M750" s="27" t="s">
        <v>1497</v>
      </c>
      <c r="N750" s="27" t="s">
        <v>1509</v>
      </c>
      <c r="P750" s="27" t="s">
        <v>18957</v>
      </c>
      <c r="Q750" s="26" t="str">
        <f>HYPERLINK("https://ictv.global/taxonomy/taxondetails?taxnode_id=202521443&amp;ictv_id=ICTV202421443","ICTV202421443")</f>
        <v>ICTV202421443</v>
      </c>
      <c r="R750" t="s">
        <v>579</v>
      </c>
      <c r="S750" t="s">
        <v>823</v>
      </c>
      <c r="T750">
        <v>40</v>
      </c>
      <c r="U750" s="26" t="str">
        <f t="shared" si="27"/>
        <v>2024.045B.Autographivirales.zip</v>
      </c>
    </row>
    <row r="751" spans="1:21">
      <c r="A751">
        <v>750</v>
      </c>
      <c r="B751" s="27" t="s">
        <v>1449</v>
      </c>
      <c r="D751" s="27" t="s">
        <v>1450</v>
      </c>
      <c r="F751" s="27" t="s">
        <v>1453</v>
      </c>
      <c r="H751" s="27" t="s">
        <v>1454</v>
      </c>
      <c r="J751" s="27" t="s">
        <v>18547</v>
      </c>
      <c r="L751" s="27" t="s">
        <v>18891</v>
      </c>
      <c r="M751" s="27" t="s">
        <v>1497</v>
      </c>
      <c r="N751" s="27" t="s">
        <v>1509</v>
      </c>
      <c r="P751" s="27" t="s">
        <v>18958</v>
      </c>
      <c r="Q751" s="26" t="str">
        <f>HYPERLINK("https://ictv.global/taxonomy/taxondetails?taxnode_id=202521411&amp;ictv_id=ICTV202421411","ICTV202421411")</f>
        <v>ICTV202421411</v>
      </c>
      <c r="R751" t="s">
        <v>579</v>
      </c>
      <c r="S751" t="s">
        <v>823</v>
      </c>
      <c r="T751">
        <v>40</v>
      </c>
      <c r="U751" s="26" t="str">
        <f t="shared" si="27"/>
        <v>2024.045B.Autographivirales.zip</v>
      </c>
    </row>
    <row r="752" spans="1:21">
      <c r="A752">
        <v>751</v>
      </c>
      <c r="B752" s="27" t="s">
        <v>1449</v>
      </c>
      <c r="D752" s="27" t="s">
        <v>1450</v>
      </c>
      <c r="F752" s="27" t="s">
        <v>1453</v>
      </c>
      <c r="H752" s="27" t="s">
        <v>1454</v>
      </c>
      <c r="J752" s="27" t="s">
        <v>18547</v>
      </c>
      <c r="L752" s="27" t="s">
        <v>18891</v>
      </c>
      <c r="M752" s="27" t="s">
        <v>1497</v>
      </c>
      <c r="N752" s="27" t="s">
        <v>1509</v>
      </c>
      <c r="P752" s="27" t="s">
        <v>18959</v>
      </c>
      <c r="Q752" s="26" t="str">
        <f>HYPERLINK("https://ictv.global/taxonomy/taxondetails?taxnode_id=202521439&amp;ictv_id=ICTV202421439","ICTV202421439")</f>
        <v>ICTV202421439</v>
      </c>
      <c r="R752" t="s">
        <v>579</v>
      </c>
      <c r="S752" t="s">
        <v>823</v>
      </c>
      <c r="T752">
        <v>40</v>
      </c>
      <c r="U752" s="26" t="str">
        <f t="shared" si="27"/>
        <v>2024.045B.Autographivirales.zip</v>
      </c>
    </row>
    <row r="753" spans="1:21">
      <c r="A753">
        <v>752</v>
      </c>
      <c r="B753" s="27" t="s">
        <v>1449</v>
      </c>
      <c r="D753" s="27" t="s">
        <v>1450</v>
      </c>
      <c r="F753" s="27" t="s">
        <v>1453</v>
      </c>
      <c r="H753" s="27" t="s">
        <v>1454</v>
      </c>
      <c r="J753" s="27" t="s">
        <v>18547</v>
      </c>
      <c r="L753" s="27" t="s">
        <v>18891</v>
      </c>
      <c r="M753" s="27" t="s">
        <v>1497</v>
      </c>
      <c r="N753" s="27" t="s">
        <v>1509</v>
      </c>
      <c r="P753" s="27" t="s">
        <v>18960</v>
      </c>
      <c r="Q753" s="26" t="str">
        <f>HYPERLINK("https://ictv.global/taxonomy/taxondetails?taxnode_id=202521414&amp;ictv_id=ICTV202421414","ICTV202421414")</f>
        <v>ICTV202421414</v>
      </c>
      <c r="R753" t="s">
        <v>579</v>
      </c>
      <c r="S753" t="s">
        <v>823</v>
      </c>
      <c r="T753">
        <v>40</v>
      </c>
      <c r="U753" s="26" t="str">
        <f t="shared" si="27"/>
        <v>2024.045B.Autographivirales.zip</v>
      </c>
    </row>
    <row r="754" spans="1:21">
      <c r="A754">
        <v>753</v>
      </c>
      <c r="B754" s="27" t="s">
        <v>1449</v>
      </c>
      <c r="D754" s="27" t="s">
        <v>1450</v>
      </c>
      <c r="F754" s="27" t="s">
        <v>1453</v>
      </c>
      <c r="H754" s="27" t="s">
        <v>1454</v>
      </c>
      <c r="J754" s="27" t="s">
        <v>18547</v>
      </c>
      <c r="L754" s="27" t="s">
        <v>18891</v>
      </c>
      <c r="M754" s="27" t="s">
        <v>1497</v>
      </c>
      <c r="N754" s="27" t="s">
        <v>1509</v>
      </c>
      <c r="P754" s="27" t="s">
        <v>4360</v>
      </c>
      <c r="Q754" s="26" t="str">
        <f>HYPERLINK("https://ictv.global/taxonomy/taxondetails?taxnode_id=202508412&amp;ictv_id=ICTV201908412","ICTV201908412")</f>
        <v>ICTV201908412</v>
      </c>
      <c r="R754" t="s">
        <v>579</v>
      </c>
      <c r="S754" t="s">
        <v>22763</v>
      </c>
      <c r="T754">
        <v>40</v>
      </c>
      <c r="U754" s="26" t="str">
        <f t="shared" si="27"/>
        <v>2024.045B.Autographivirales.zip</v>
      </c>
    </row>
    <row r="755" spans="1:21">
      <c r="A755">
        <v>754</v>
      </c>
      <c r="B755" s="27" t="s">
        <v>1449</v>
      </c>
      <c r="D755" s="27" t="s">
        <v>1450</v>
      </c>
      <c r="F755" s="27" t="s">
        <v>1453</v>
      </c>
      <c r="H755" s="27" t="s">
        <v>1454</v>
      </c>
      <c r="J755" s="27" t="s">
        <v>18547</v>
      </c>
      <c r="L755" s="27" t="s">
        <v>18891</v>
      </c>
      <c r="M755" s="27" t="s">
        <v>1497</v>
      </c>
      <c r="N755" s="27" t="s">
        <v>1509</v>
      </c>
      <c r="P755" s="27" t="s">
        <v>4361</v>
      </c>
      <c r="Q755" s="26" t="str">
        <f>HYPERLINK("https://ictv.global/taxonomy/taxondetails?taxnode_id=202508408&amp;ictv_id=ICTV201908408","ICTV201908408")</f>
        <v>ICTV201908408</v>
      </c>
      <c r="R755" t="s">
        <v>579</v>
      </c>
      <c r="S755" t="s">
        <v>22763</v>
      </c>
      <c r="T755">
        <v>40</v>
      </c>
      <c r="U755" s="26" t="str">
        <f t="shared" si="27"/>
        <v>2024.045B.Autographivirales.zip</v>
      </c>
    </row>
    <row r="756" spans="1:21">
      <c r="A756">
        <v>755</v>
      </c>
      <c r="B756" s="27" t="s">
        <v>1449</v>
      </c>
      <c r="D756" s="27" t="s">
        <v>1450</v>
      </c>
      <c r="F756" s="27" t="s">
        <v>1453</v>
      </c>
      <c r="H756" s="27" t="s">
        <v>1454</v>
      </c>
      <c r="J756" s="27" t="s">
        <v>18547</v>
      </c>
      <c r="L756" s="27" t="s">
        <v>18891</v>
      </c>
      <c r="M756" s="27" t="s">
        <v>1497</v>
      </c>
      <c r="N756" s="27" t="s">
        <v>1509</v>
      </c>
      <c r="P756" s="27" t="s">
        <v>4362</v>
      </c>
      <c r="Q756" s="26" t="str">
        <f>HYPERLINK("https://ictv.global/taxonomy/taxondetails?taxnode_id=202508418&amp;ictv_id=ICTV201908418","ICTV201908418")</f>
        <v>ICTV201908418</v>
      </c>
      <c r="R756" t="s">
        <v>579</v>
      </c>
      <c r="S756" t="s">
        <v>22763</v>
      </c>
      <c r="T756">
        <v>40</v>
      </c>
      <c r="U756" s="26" t="str">
        <f t="shared" si="27"/>
        <v>2024.045B.Autographivirales.zip</v>
      </c>
    </row>
    <row r="757" spans="1:21">
      <c r="A757">
        <v>756</v>
      </c>
      <c r="B757" s="27" t="s">
        <v>1449</v>
      </c>
      <c r="D757" s="27" t="s">
        <v>1450</v>
      </c>
      <c r="F757" s="27" t="s">
        <v>1453</v>
      </c>
      <c r="H757" s="27" t="s">
        <v>1454</v>
      </c>
      <c r="J757" s="27" t="s">
        <v>18547</v>
      </c>
      <c r="L757" s="27" t="s">
        <v>18891</v>
      </c>
      <c r="M757" s="27" t="s">
        <v>1497</v>
      </c>
      <c r="N757" s="27" t="s">
        <v>1509</v>
      </c>
      <c r="P757" s="27" t="s">
        <v>18961</v>
      </c>
      <c r="Q757" s="26" t="str">
        <f>HYPERLINK("https://ictv.global/taxonomy/taxondetails?taxnode_id=202521432&amp;ictv_id=ICTV202421432","ICTV202421432")</f>
        <v>ICTV202421432</v>
      </c>
      <c r="R757" t="s">
        <v>579</v>
      </c>
      <c r="S757" t="s">
        <v>823</v>
      </c>
      <c r="T757">
        <v>40</v>
      </c>
      <c r="U757" s="26" t="str">
        <f t="shared" si="27"/>
        <v>2024.045B.Autographivirales.zip</v>
      </c>
    </row>
    <row r="758" spans="1:21">
      <c r="A758">
        <v>757</v>
      </c>
      <c r="B758" s="27" t="s">
        <v>1449</v>
      </c>
      <c r="D758" s="27" t="s">
        <v>1450</v>
      </c>
      <c r="F758" s="27" t="s">
        <v>1453</v>
      </c>
      <c r="H758" s="27" t="s">
        <v>1454</v>
      </c>
      <c r="J758" s="27" t="s">
        <v>18547</v>
      </c>
      <c r="L758" s="27" t="s">
        <v>18891</v>
      </c>
      <c r="M758" s="27" t="s">
        <v>1497</v>
      </c>
      <c r="N758" s="27" t="s">
        <v>1509</v>
      </c>
      <c r="P758" s="27" t="s">
        <v>18962</v>
      </c>
      <c r="Q758" s="26" t="str">
        <f>HYPERLINK("https://ictv.global/taxonomy/taxondetails?taxnode_id=202521431&amp;ictv_id=ICTV202421431","ICTV202421431")</f>
        <v>ICTV202421431</v>
      </c>
      <c r="R758" t="s">
        <v>579</v>
      </c>
      <c r="S758" t="s">
        <v>823</v>
      </c>
      <c r="T758">
        <v>40</v>
      </c>
      <c r="U758" s="26" t="str">
        <f t="shared" si="27"/>
        <v>2024.045B.Autographivirales.zip</v>
      </c>
    </row>
    <row r="759" spans="1:21">
      <c r="A759">
        <v>758</v>
      </c>
      <c r="B759" s="27" t="s">
        <v>1449</v>
      </c>
      <c r="D759" s="27" t="s">
        <v>1450</v>
      </c>
      <c r="F759" s="27" t="s">
        <v>1453</v>
      </c>
      <c r="H759" s="27" t="s">
        <v>1454</v>
      </c>
      <c r="J759" s="27" t="s">
        <v>18547</v>
      </c>
      <c r="L759" s="27" t="s">
        <v>18891</v>
      </c>
      <c r="M759" s="27" t="s">
        <v>1497</v>
      </c>
      <c r="N759" s="27" t="s">
        <v>1509</v>
      </c>
      <c r="P759" s="27" t="s">
        <v>18963</v>
      </c>
      <c r="Q759" s="26" t="str">
        <f>HYPERLINK("https://ictv.global/taxonomy/taxondetails?taxnode_id=202521445&amp;ictv_id=ICTV202421445","ICTV202421445")</f>
        <v>ICTV202421445</v>
      </c>
      <c r="R759" t="s">
        <v>579</v>
      </c>
      <c r="S759" t="s">
        <v>823</v>
      </c>
      <c r="T759">
        <v>40</v>
      </c>
      <c r="U759" s="26" t="str">
        <f t="shared" si="27"/>
        <v>2024.045B.Autographivirales.zip</v>
      </c>
    </row>
    <row r="760" spans="1:21">
      <c r="A760">
        <v>759</v>
      </c>
      <c r="B760" s="27" t="s">
        <v>1449</v>
      </c>
      <c r="D760" s="27" t="s">
        <v>1450</v>
      </c>
      <c r="F760" s="27" t="s">
        <v>1453</v>
      </c>
      <c r="H760" s="27" t="s">
        <v>1454</v>
      </c>
      <c r="J760" s="27" t="s">
        <v>18547</v>
      </c>
      <c r="L760" s="27" t="s">
        <v>18891</v>
      </c>
      <c r="M760" s="27" t="s">
        <v>1497</v>
      </c>
      <c r="N760" s="27" t="s">
        <v>1509</v>
      </c>
      <c r="P760" s="27" t="s">
        <v>18964</v>
      </c>
      <c r="Q760" s="26" t="str">
        <f>HYPERLINK("https://ictv.global/taxonomy/taxondetails?taxnode_id=202521413&amp;ictv_id=ICTV202421413","ICTV202421413")</f>
        <v>ICTV202421413</v>
      </c>
      <c r="R760" t="s">
        <v>579</v>
      </c>
      <c r="S760" t="s">
        <v>823</v>
      </c>
      <c r="T760">
        <v>40</v>
      </c>
      <c r="U760" s="26" t="str">
        <f t="shared" si="27"/>
        <v>2024.045B.Autographivirales.zip</v>
      </c>
    </row>
    <row r="761" spans="1:21">
      <c r="A761">
        <v>760</v>
      </c>
      <c r="B761" s="27" t="s">
        <v>1449</v>
      </c>
      <c r="D761" s="27" t="s">
        <v>1450</v>
      </c>
      <c r="F761" s="27" t="s">
        <v>1453</v>
      </c>
      <c r="H761" s="27" t="s">
        <v>1454</v>
      </c>
      <c r="J761" s="27" t="s">
        <v>18547</v>
      </c>
      <c r="L761" s="27" t="s">
        <v>18891</v>
      </c>
      <c r="M761" s="27" t="s">
        <v>1497</v>
      </c>
      <c r="N761" s="27" t="s">
        <v>1509</v>
      </c>
      <c r="P761" s="27" t="s">
        <v>18965</v>
      </c>
      <c r="Q761" s="26" t="str">
        <f>HYPERLINK("https://ictv.global/taxonomy/taxondetails?taxnode_id=202521450&amp;ictv_id=ICTV202421450","ICTV202421450")</f>
        <v>ICTV202421450</v>
      </c>
      <c r="R761" t="s">
        <v>579</v>
      </c>
      <c r="S761" t="s">
        <v>823</v>
      </c>
      <c r="T761">
        <v>40</v>
      </c>
      <c r="U761" s="26" t="str">
        <f t="shared" si="27"/>
        <v>2024.045B.Autographivirales.zip</v>
      </c>
    </row>
    <row r="762" spans="1:21">
      <c r="A762">
        <v>761</v>
      </c>
      <c r="B762" s="27" t="s">
        <v>1449</v>
      </c>
      <c r="D762" s="27" t="s">
        <v>1450</v>
      </c>
      <c r="F762" s="27" t="s">
        <v>1453</v>
      </c>
      <c r="H762" s="27" t="s">
        <v>1454</v>
      </c>
      <c r="J762" s="27" t="s">
        <v>18547</v>
      </c>
      <c r="L762" s="27" t="s">
        <v>18891</v>
      </c>
      <c r="M762" s="27" t="s">
        <v>1497</v>
      </c>
      <c r="N762" s="27" t="s">
        <v>1509</v>
      </c>
      <c r="P762" s="27" t="s">
        <v>4363</v>
      </c>
      <c r="Q762" s="26" t="str">
        <f>HYPERLINK("https://ictv.global/taxonomy/taxondetails?taxnode_id=202508421&amp;ictv_id=ICTV201908421","ICTV201908421")</f>
        <v>ICTV201908421</v>
      </c>
      <c r="R762" t="s">
        <v>579</v>
      </c>
      <c r="S762" t="s">
        <v>22763</v>
      </c>
      <c r="T762">
        <v>40</v>
      </c>
      <c r="U762" s="26" t="str">
        <f t="shared" si="27"/>
        <v>2024.045B.Autographivirales.zip</v>
      </c>
    </row>
    <row r="763" spans="1:21">
      <c r="A763">
        <v>762</v>
      </c>
      <c r="B763" s="27" t="s">
        <v>1449</v>
      </c>
      <c r="D763" s="27" t="s">
        <v>1450</v>
      </c>
      <c r="F763" s="27" t="s">
        <v>1453</v>
      </c>
      <c r="H763" s="27" t="s">
        <v>1454</v>
      </c>
      <c r="J763" s="27" t="s">
        <v>18547</v>
      </c>
      <c r="L763" s="27" t="s">
        <v>18891</v>
      </c>
      <c r="M763" s="27" t="s">
        <v>1497</v>
      </c>
      <c r="N763" s="27" t="s">
        <v>1509</v>
      </c>
      <c r="P763" s="27" t="s">
        <v>4364</v>
      </c>
      <c r="Q763" s="26" t="str">
        <f>HYPERLINK("https://ictv.global/taxonomy/taxondetails?taxnode_id=202508403&amp;ictv_id=ICTV201908403","ICTV201908403")</f>
        <v>ICTV201908403</v>
      </c>
      <c r="R763" t="s">
        <v>579</v>
      </c>
      <c r="S763" t="s">
        <v>22763</v>
      </c>
      <c r="T763">
        <v>40</v>
      </c>
      <c r="U763" s="26" t="str">
        <f t="shared" si="27"/>
        <v>2024.045B.Autographivirales.zip</v>
      </c>
    </row>
    <row r="764" spans="1:21">
      <c r="A764">
        <v>763</v>
      </c>
      <c r="B764" s="27" t="s">
        <v>1449</v>
      </c>
      <c r="D764" s="27" t="s">
        <v>1450</v>
      </c>
      <c r="F764" s="27" t="s">
        <v>1453</v>
      </c>
      <c r="H764" s="27" t="s">
        <v>1454</v>
      </c>
      <c r="J764" s="27" t="s">
        <v>18547</v>
      </c>
      <c r="L764" s="27" t="s">
        <v>18891</v>
      </c>
      <c r="M764" s="27" t="s">
        <v>1497</v>
      </c>
      <c r="N764" s="27" t="s">
        <v>1509</v>
      </c>
      <c r="P764" s="27" t="s">
        <v>18966</v>
      </c>
      <c r="Q764" s="26" t="str">
        <f>HYPERLINK("https://ictv.global/taxonomy/taxondetails?taxnode_id=202521407&amp;ictv_id=ICTV202421407","ICTV202421407")</f>
        <v>ICTV202421407</v>
      </c>
      <c r="R764" t="s">
        <v>579</v>
      </c>
      <c r="S764" t="s">
        <v>823</v>
      </c>
      <c r="T764">
        <v>40</v>
      </c>
      <c r="U764" s="26" t="str">
        <f t="shared" si="27"/>
        <v>2024.045B.Autographivirales.zip</v>
      </c>
    </row>
    <row r="765" spans="1:21">
      <c r="A765">
        <v>764</v>
      </c>
      <c r="B765" s="27" t="s">
        <v>1449</v>
      </c>
      <c r="D765" s="27" t="s">
        <v>1450</v>
      </c>
      <c r="F765" s="27" t="s">
        <v>1453</v>
      </c>
      <c r="H765" s="27" t="s">
        <v>1454</v>
      </c>
      <c r="J765" s="27" t="s">
        <v>18547</v>
      </c>
      <c r="L765" s="27" t="s">
        <v>18891</v>
      </c>
      <c r="M765" s="27" t="s">
        <v>1497</v>
      </c>
      <c r="N765" s="27" t="s">
        <v>1509</v>
      </c>
      <c r="P765" s="27" t="s">
        <v>18967</v>
      </c>
      <c r="Q765" s="26" t="str">
        <f>HYPERLINK("https://ictv.global/taxonomy/taxondetails?taxnode_id=202521419&amp;ictv_id=ICTV202421419","ICTV202421419")</f>
        <v>ICTV202421419</v>
      </c>
      <c r="R765" t="s">
        <v>579</v>
      </c>
      <c r="S765" t="s">
        <v>823</v>
      </c>
      <c r="T765">
        <v>40</v>
      </c>
      <c r="U765" s="26" t="str">
        <f t="shared" si="27"/>
        <v>2024.045B.Autographivirales.zip</v>
      </c>
    </row>
    <row r="766" spans="1:21">
      <c r="A766">
        <v>765</v>
      </c>
      <c r="B766" s="27" t="s">
        <v>1449</v>
      </c>
      <c r="D766" s="27" t="s">
        <v>1450</v>
      </c>
      <c r="F766" s="27" t="s">
        <v>1453</v>
      </c>
      <c r="H766" s="27" t="s">
        <v>1454</v>
      </c>
      <c r="J766" s="27" t="s">
        <v>18547</v>
      </c>
      <c r="L766" s="27" t="s">
        <v>18891</v>
      </c>
      <c r="M766" s="27" t="s">
        <v>1497</v>
      </c>
      <c r="N766" s="27" t="s">
        <v>1509</v>
      </c>
      <c r="P766" s="27" t="s">
        <v>18968</v>
      </c>
      <c r="Q766" s="26" t="str">
        <f>HYPERLINK("https://ictv.global/taxonomy/taxondetails?taxnode_id=202521408&amp;ictv_id=ICTV202421408","ICTV202421408")</f>
        <v>ICTV202421408</v>
      </c>
      <c r="R766" t="s">
        <v>579</v>
      </c>
      <c r="S766" t="s">
        <v>823</v>
      </c>
      <c r="T766">
        <v>40</v>
      </c>
      <c r="U766" s="26" t="str">
        <f t="shared" si="27"/>
        <v>2024.045B.Autographivirales.zip</v>
      </c>
    </row>
    <row r="767" spans="1:21">
      <c r="A767">
        <v>766</v>
      </c>
      <c r="B767" s="27" t="s">
        <v>1449</v>
      </c>
      <c r="D767" s="27" t="s">
        <v>1450</v>
      </c>
      <c r="F767" s="27" t="s">
        <v>1453</v>
      </c>
      <c r="H767" s="27" t="s">
        <v>1454</v>
      </c>
      <c r="J767" s="27" t="s">
        <v>18547</v>
      </c>
      <c r="L767" s="27" t="s">
        <v>18891</v>
      </c>
      <c r="M767" s="27" t="s">
        <v>1497</v>
      </c>
      <c r="N767" s="27" t="s">
        <v>1509</v>
      </c>
      <c r="P767" s="27" t="s">
        <v>4365</v>
      </c>
      <c r="Q767" s="26" t="str">
        <f>HYPERLINK("https://ictv.global/taxonomy/taxondetails?taxnode_id=202508414&amp;ictv_id=ICTV201908414","ICTV201908414")</f>
        <v>ICTV201908414</v>
      </c>
      <c r="R767" t="s">
        <v>579</v>
      </c>
      <c r="S767" t="s">
        <v>22763</v>
      </c>
      <c r="T767">
        <v>40</v>
      </c>
      <c r="U767" s="26" t="str">
        <f t="shared" si="27"/>
        <v>2024.045B.Autographivirales.zip</v>
      </c>
    </row>
    <row r="768" spans="1:21">
      <c r="A768">
        <v>767</v>
      </c>
      <c r="B768" s="27" t="s">
        <v>1449</v>
      </c>
      <c r="D768" s="27" t="s">
        <v>1450</v>
      </c>
      <c r="F768" s="27" t="s">
        <v>1453</v>
      </c>
      <c r="H768" s="27" t="s">
        <v>1454</v>
      </c>
      <c r="J768" s="27" t="s">
        <v>18547</v>
      </c>
      <c r="L768" s="27" t="s">
        <v>18891</v>
      </c>
      <c r="M768" s="27" t="s">
        <v>1497</v>
      </c>
      <c r="N768" s="27" t="s">
        <v>1509</v>
      </c>
      <c r="P768" s="27" t="s">
        <v>18969</v>
      </c>
      <c r="Q768" s="26" t="str">
        <f>HYPERLINK("https://ictv.global/taxonomy/taxondetails?taxnode_id=202521453&amp;ictv_id=ICTV202421453","ICTV202421453")</f>
        <v>ICTV202421453</v>
      </c>
      <c r="R768" t="s">
        <v>579</v>
      </c>
      <c r="S768" t="s">
        <v>823</v>
      </c>
      <c r="T768">
        <v>40</v>
      </c>
      <c r="U768" s="26" t="str">
        <f t="shared" si="27"/>
        <v>2024.045B.Autographivirales.zip</v>
      </c>
    </row>
    <row r="769" spans="1:21">
      <c r="A769">
        <v>768</v>
      </c>
      <c r="B769" s="27" t="s">
        <v>1449</v>
      </c>
      <c r="D769" s="27" t="s">
        <v>1450</v>
      </c>
      <c r="F769" s="27" t="s">
        <v>1453</v>
      </c>
      <c r="H769" s="27" t="s">
        <v>1454</v>
      </c>
      <c r="J769" s="27" t="s">
        <v>18547</v>
      </c>
      <c r="L769" s="27" t="s">
        <v>18891</v>
      </c>
      <c r="M769" s="27" t="s">
        <v>1497</v>
      </c>
      <c r="N769" s="27" t="s">
        <v>1509</v>
      </c>
      <c r="P769" s="27" t="s">
        <v>18970</v>
      </c>
      <c r="Q769" s="26" t="str">
        <f>HYPERLINK("https://ictv.global/taxonomy/taxondetails?taxnode_id=202521452&amp;ictv_id=ICTV202421452","ICTV202421452")</f>
        <v>ICTV202421452</v>
      </c>
      <c r="R769" t="s">
        <v>579</v>
      </c>
      <c r="S769" t="s">
        <v>823</v>
      </c>
      <c r="T769">
        <v>40</v>
      </c>
      <c r="U769" s="26" t="str">
        <f t="shared" si="27"/>
        <v>2024.045B.Autographivirales.zip</v>
      </c>
    </row>
    <row r="770" spans="1:21">
      <c r="A770">
        <v>769</v>
      </c>
      <c r="B770" s="27" t="s">
        <v>1449</v>
      </c>
      <c r="D770" s="27" t="s">
        <v>1450</v>
      </c>
      <c r="F770" s="27" t="s">
        <v>1453</v>
      </c>
      <c r="H770" s="27" t="s">
        <v>1454</v>
      </c>
      <c r="J770" s="27" t="s">
        <v>18547</v>
      </c>
      <c r="L770" s="27" t="s">
        <v>18891</v>
      </c>
      <c r="M770" s="27" t="s">
        <v>1497</v>
      </c>
      <c r="N770" s="27" t="s">
        <v>1509</v>
      </c>
      <c r="P770" s="27" t="s">
        <v>18971</v>
      </c>
      <c r="Q770" s="26" t="str">
        <f>HYPERLINK("https://ictv.global/taxonomy/taxondetails?taxnode_id=202521444&amp;ictv_id=ICTV202421444","ICTV202421444")</f>
        <v>ICTV202421444</v>
      </c>
      <c r="R770" t="s">
        <v>579</v>
      </c>
      <c r="S770" t="s">
        <v>823</v>
      </c>
      <c r="T770">
        <v>40</v>
      </c>
      <c r="U770" s="26" t="str">
        <f t="shared" si="27"/>
        <v>2024.045B.Autographivirales.zip</v>
      </c>
    </row>
    <row r="771" spans="1:21">
      <c r="A771">
        <v>770</v>
      </c>
      <c r="B771" s="27" t="s">
        <v>1449</v>
      </c>
      <c r="D771" s="27" t="s">
        <v>1450</v>
      </c>
      <c r="F771" s="27" t="s">
        <v>1453</v>
      </c>
      <c r="H771" s="27" t="s">
        <v>1454</v>
      </c>
      <c r="J771" s="27" t="s">
        <v>18547</v>
      </c>
      <c r="L771" s="27" t="s">
        <v>18891</v>
      </c>
      <c r="M771" s="27" t="s">
        <v>1497</v>
      </c>
      <c r="N771" s="27" t="s">
        <v>1509</v>
      </c>
      <c r="P771" s="27" t="s">
        <v>18972</v>
      </c>
      <c r="Q771" s="26" t="str">
        <f>HYPERLINK("https://ictv.global/taxonomy/taxondetails?taxnode_id=202521458&amp;ictv_id=ICTV202421458","ICTV202421458")</f>
        <v>ICTV202421458</v>
      </c>
      <c r="R771" t="s">
        <v>579</v>
      </c>
      <c r="S771" t="s">
        <v>823</v>
      </c>
      <c r="T771">
        <v>40</v>
      </c>
      <c r="U771" s="26" t="str">
        <f t="shared" si="27"/>
        <v>2024.045B.Autographivirales.zip</v>
      </c>
    </row>
    <row r="772" spans="1:21">
      <c r="A772">
        <v>771</v>
      </c>
      <c r="B772" s="27" t="s">
        <v>1449</v>
      </c>
      <c r="D772" s="27" t="s">
        <v>1450</v>
      </c>
      <c r="F772" s="27" t="s">
        <v>1453</v>
      </c>
      <c r="H772" s="27" t="s">
        <v>1454</v>
      </c>
      <c r="J772" s="27" t="s">
        <v>18547</v>
      </c>
      <c r="L772" s="27" t="s">
        <v>18891</v>
      </c>
      <c r="M772" s="27" t="s">
        <v>1497</v>
      </c>
      <c r="N772" s="27" t="s">
        <v>1509</v>
      </c>
      <c r="P772" s="27" t="s">
        <v>18973</v>
      </c>
      <c r="Q772" s="26" t="str">
        <f>HYPERLINK("https://ictv.global/taxonomy/taxondetails?taxnode_id=202521436&amp;ictv_id=ICTV202421436","ICTV202421436")</f>
        <v>ICTV202421436</v>
      </c>
      <c r="R772" t="s">
        <v>579</v>
      </c>
      <c r="S772" t="s">
        <v>823</v>
      </c>
      <c r="T772">
        <v>40</v>
      </c>
      <c r="U772" s="26" t="str">
        <f t="shared" si="27"/>
        <v>2024.045B.Autographivirales.zip</v>
      </c>
    </row>
    <row r="773" spans="1:21">
      <c r="A773">
        <v>772</v>
      </c>
      <c r="B773" s="27" t="s">
        <v>1449</v>
      </c>
      <c r="D773" s="27" t="s">
        <v>1450</v>
      </c>
      <c r="F773" s="27" t="s">
        <v>1453</v>
      </c>
      <c r="H773" s="27" t="s">
        <v>1454</v>
      </c>
      <c r="J773" s="27" t="s">
        <v>18547</v>
      </c>
      <c r="L773" s="27" t="s">
        <v>18891</v>
      </c>
      <c r="M773" s="27" t="s">
        <v>1497</v>
      </c>
      <c r="N773" s="27" t="s">
        <v>1509</v>
      </c>
      <c r="P773" s="27" t="s">
        <v>18974</v>
      </c>
      <c r="Q773" s="26" t="str">
        <f>HYPERLINK("https://ictv.global/taxonomy/taxondetails?taxnode_id=202521426&amp;ictv_id=ICTV202421426","ICTV202421426")</f>
        <v>ICTV202421426</v>
      </c>
      <c r="R773" t="s">
        <v>579</v>
      </c>
      <c r="S773" t="s">
        <v>823</v>
      </c>
      <c r="T773">
        <v>40</v>
      </c>
      <c r="U773" s="26" t="str">
        <f t="shared" si="27"/>
        <v>2024.045B.Autographivirales.zip</v>
      </c>
    </row>
    <row r="774" spans="1:21">
      <c r="A774">
        <v>773</v>
      </c>
      <c r="B774" s="27" t="s">
        <v>1449</v>
      </c>
      <c r="D774" s="27" t="s">
        <v>1450</v>
      </c>
      <c r="F774" s="27" t="s">
        <v>1453</v>
      </c>
      <c r="H774" s="27" t="s">
        <v>1454</v>
      </c>
      <c r="J774" s="27" t="s">
        <v>18547</v>
      </c>
      <c r="L774" s="27" t="s">
        <v>18891</v>
      </c>
      <c r="M774" s="27" t="s">
        <v>1497</v>
      </c>
      <c r="N774" s="27" t="s">
        <v>1509</v>
      </c>
      <c r="P774" s="27" t="s">
        <v>18975</v>
      </c>
      <c r="Q774" s="26" t="str">
        <f>HYPERLINK("https://ictv.global/taxonomy/taxondetails?taxnode_id=202521457&amp;ictv_id=ICTV202421457","ICTV202421457")</f>
        <v>ICTV202421457</v>
      </c>
      <c r="R774" t="s">
        <v>579</v>
      </c>
      <c r="S774" t="s">
        <v>823</v>
      </c>
      <c r="T774">
        <v>40</v>
      </c>
      <c r="U774" s="26" t="str">
        <f t="shared" si="27"/>
        <v>2024.045B.Autographivirales.zip</v>
      </c>
    </row>
    <row r="775" spans="1:21">
      <c r="A775">
        <v>774</v>
      </c>
      <c r="B775" s="27" t="s">
        <v>1449</v>
      </c>
      <c r="D775" s="27" t="s">
        <v>1450</v>
      </c>
      <c r="F775" s="27" t="s">
        <v>1453</v>
      </c>
      <c r="H775" s="27" t="s">
        <v>1454</v>
      </c>
      <c r="J775" s="27" t="s">
        <v>18547</v>
      </c>
      <c r="L775" s="27" t="s">
        <v>18891</v>
      </c>
      <c r="M775" s="27" t="s">
        <v>1497</v>
      </c>
      <c r="N775" s="27" t="s">
        <v>1509</v>
      </c>
      <c r="P775" s="27" t="s">
        <v>18976</v>
      </c>
      <c r="Q775" s="26" t="str">
        <f>HYPERLINK("https://ictv.global/taxonomy/taxondetails?taxnode_id=202521448&amp;ictv_id=ICTV202421448","ICTV202421448")</f>
        <v>ICTV202421448</v>
      </c>
      <c r="R775" t="s">
        <v>579</v>
      </c>
      <c r="S775" t="s">
        <v>823</v>
      </c>
      <c r="T775">
        <v>40</v>
      </c>
      <c r="U775" s="26" t="str">
        <f t="shared" si="27"/>
        <v>2024.045B.Autographivirales.zip</v>
      </c>
    </row>
    <row r="776" spans="1:21">
      <c r="A776">
        <v>775</v>
      </c>
      <c r="B776" s="27" t="s">
        <v>1449</v>
      </c>
      <c r="D776" s="27" t="s">
        <v>1450</v>
      </c>
      <c r="F776" s="27" t="s">
        <v>1453</v>
      </c>
      <c r="H776" s="27" t="s">
        <v>1454</v>
      </c>
      <c r="J776" s="27" t="s">
        <v>18547</v>
      </c>
      <c r="L776" s="27" t="s">
        <v>18891</v>
      </c>
      <c r="M776" s="27" t="s">
        <v>1497</v>
      </c>
      <c r="N776" s="27" t="s">
        <v>1509</v>
      </c>
      <c r="P776" s="27" t="s">
        <v>4366</v>
      </c>
      <c r="Q776" s="26" t="str">
        <f>HYPERLINK("https://ictv.global/taxonomy/taxondetails?taxnode_id=202508407&amp;ictv_id=ICTV201908407","ICTV201908407")</f>
        <v>ICTV201908407</v>
      </c>
      <c r="R776" t="s">
        <v>579</v>
      </c>
      <c r="S776" t="s">
        <v>22763</v>
      </c>
      <c r="T776">
        <v>40</v>
      </c>
      <c r="U776" s="26" t="str">
        <f t="shared" si="27"/>
        <v>2024.045B.Autographivirales.zip</v>
      </c>
    </row>
    <row r="777" spans="1:21">
      <c r="A777">
        <v>776</v>
      </c>
      <c r="B777" s="27" t="s">
        <v>1449</v>
      </c>
      <c r="D777" s="27" t="s">
        <v>1450</v>
      </c>
      <c r="F777" s="27" t="s">
        <v>1453</v>
      </c>
      <c r="H777" s="27" t="s">
        <v>1454</v>
      </c>
      <c r="J777" s="27" t="s">
        <v>18547</v>
      </c>
      <c r="L777" s="27" t="s">
        <v>18891</v>
      </c>
      <c r="M777" s="27" t="s">
        <v>1497</v>
      </c>
      <c r="N777" s="27" t="s">
        <v>1509</v>
      </c>
      <c r="P777" s="27" t="s">
        <v>18977</v>
      </c>
      <c r="Q777" s="26" t="str">
        <f>HYPERLINK("https://ictv.global/taxonomy/taxondetails?taxnode_id=202521451&amp;ictv_id=ICTV202421451","ICTV202421451")</f>
        <v>ICTV202421451</v>
      </c>
      <c r="R777" t="s">
        <v>579</v>
      </c>
      <c r="S777" t="s">
        <v>823</v>
      </c>
      <c r="T777">
        <v>40</v>
      </c>
      <c r="U777" s="26" t="str">
        <f t="shared" si="27"/>
        <v>2024.045B.Autographivirales.zip</v>
      </c>
    </row>
    <row r="778" spans="1:21">
      <c r="A778">
        <v>777</v>
      </c>
      <c r="B778" s="27" t="s">
        <v>1449</v>
      </c>
      <c r="D778" s="27" t="s">
        <v>1450</v>
      </c>
      <c r="F778" s="27" t="s">
        <v>1453</v>
      </c>
      <c r="H778" s="27" t="s">
        <v>1454</v>
      </c>
      <c r="J778" s="27" t="s">
        <v>18547</v>
      </c>
      <c r="L778" s="27" t="s">
        <v>18891</v>
      </c>
      <c r="M778" s="27" t="s">
        <v>1497</v>
      </c>
      <c r="N778" s="27" t="s">
        <v>1509</v>
      </c>
      <c r="P778" s="27" t="s">
        <v>18978</v>
      </c>
      <c r="Q778" s="26" t="str">
        <f>HYPERLINK("https://ictv.global/taxonomy/taxondetails?taxnode_id=202521442&amp;ictv_id=ICTV202421442","ICTV202421442")</f>
        <v>ICTV202421442</v>
      </c>
      <c r="R778" t="s">
        <v>579</v>
      </c>
      <c r="S778" t="s">
        <v>823</v>
      </c>
      <c r="T778">
        <v>40</v>
      </c>
      <c r="U778" s="26" t="str">
        <f t="shared" si="27"/>
        <v>2024.045B.Autographivirales.zip</v>
      </c>
    </row>
    <row r="779" spans="1:21">
      <c r="A779">
        <v>778</v>
      </c>
      <c r="B779" s="27" t="s">
        <v>1449</v>
      </c>
      <c r="D779" s="27" t="s">
        <v>1450</v>
      </c>
      <c r="F779" s="27" t="s">
        <v>1453</v>
      </c>
      <c r="H779" s="27" t="s">
        <v>1454</v>
      </c>
      <c r="J779" s="27" t="s">
        <v>18547</v>
      </c>
      <c r="L779" s="27" t="s">
        <v>18891</v>
      </c>
      <c r="M779" s="27" t="s">
        <v>1497</v>
      </c>
      <c r="N779" s="27" t="s">
        <v>1509</v>
      </c>
      <c r="P779" s="27" t="s">
        <v>18979</v>
      </c>
      <c r="Q779" s="26" t="str">
        <f>HYPERLINK("https://ictv.global/taxonomy/taxondetails?taxnode_id=202521440&amp;ictv_id=ICTV202421440","ICTV202421440")</f>
        <v>ICTV202421440</v>
      </c>
      <c r="R779" t="s">
        <v>579</v>
      </c>
      <c r="S779" t="s">
        <v>823</v>
      </c>
      <c r="T779">
        <v>40</v>
      </c>
      <c r="U779" s="26" t="str">
        <f t="shared" si="27"/>
        <v>2024.045B.Autographivirales.zip</v>
      </c>
    </row>
    <row r="780" spans="1:21">
      <c r="A780">
        <v>779</v>
      </c>
      <c r="B780" s="27" t="s">
        <v>1449</v>
      </c>
      <c r="D780" s="27" t="s">
        <v>1450</v>
      </c>
      <c r="F780" s="27" t="s">
        <v>1453</v>
      </c>
      <c r="H780" s="27" t="s">
        <v>1454</v>
      </c>
      <c r="J780" s="27" t="s">
        <v>18547</v>
      </c>
      <c r="L780" s="27" t="s">
        <v>18891</v>
      </c>
      <c r="M780" s="27" t="s">
        <v>1497</v>
      </c>
      <c r="N780" s="27" t="s">
        <v>1509</v>
      </c>
      <c r="P780" s="27" t="s">
        <v>18980</v>
      </c>
      <c r="Q780" s="26" t="str">
        <f>HYPERLINK("https://ictv.global/taxonomy/taxondetails?taxnode_id=202521416&amp;ictv_id=ICTV202421416","ICTV202421416")</f>
        <v>ICTV202421416</v>
      </c>
      <c r="R780" t="s">
        <v>579</v>
      </c>
      <c r="S780" t="s">
        <v>823</v>
      </c>
      <c r="T780">
        <v>40</v>
      </c>
      <c r="U780" s="26" t="str">
        <f t="shared" si="27"/>
        <v>2024.045B.Autographivirales.zip</v>
      </c>
    </row>
    <row r="781" spans="1:21">
      <c r="A781">
        <v>780</v>
      </c>
      <c r="B781" s="27" t="s">
        <v>1449</v>
      </c>
      <c r="D781" s="27" t="s">
        <v>1450</v>
      </c>
      <c r="F781" s="27" t="s">
        <v>1453</v>
      </c>
      <c r="H781" s="27" t="s">
        <v>1454</v>
      </c>
      <c r="J781" s="27" t="s">
        <v>18547</v>
      </c>
      <c r="L781" s="27" t="s">
        <v>18891</v>
      </c>
      <c r="M781" s="27" t="s">
        <v>1497</v>
      </c>
      <c r="N781" s="27" t="s">
        <v>1509</v>
      </c>
      <c r="P781" s="27" t="s">
        <v>18981</v>
      </c>
      <c r="Q781" s="26" t="str">
        <f>HYPERLINK("https://ictv.global/taxonomy/taxondetails?taxnode_id=202521441&amp;ictv_id=ICTV202421441","ICTV202421441")</f>
        <v>ICTV202421441</v>
      </c>
      <c r="R781" t="s">
        <v>579</v>
      </c>
      <c r="S781" t="s">
        <v>823</v>
      </c>
      <c r="T781">
        <v>40</v>
      </c>
      <c r="U781" s="26" t="str">
        <f t="shared" si="27"/>
        <v>2024.045B.Autographivirales.zip</v>
      </c>
    </row>
    <row r="782" spans="1:21">
      <c r="A782">
        <v>781</v>
      </c>
      <c r="B782" s="27" t="s">
        <v>1449</v>
      </c>
      <c r="D782" s="27" t="s">
        <v>1450</v>
      </c>
      <c r="F782" s="27" t="s">
        <v>1453</v>
      </c>
      <c r="H782" s="27" t="s">
        <v>1454</v>
      </c>
      <c r="J782" s="27" t="s">
        <v>18547</v>
      </c>
      <c r="L782" s="27" t="s">
        <v>18891</v>
      </c>
      <c r="M782" s="27" t="s">
        <v>1497</v>
      </c>
      <c r="N782" s="27" t="s">
        <v>1509</v>
      </c>
      <c r="P782" s="27" t="s">
        <v>18982</v>
      </c>
      <c r="Q782" s="26" t="str">
        <f>HYPERLINK("https://ictv.global/taxonomy/taxondetails?taxnode_id=202521417&amp;ictv_id=ICTV202421417","ICTV202421417")</f>
        <v>ICTV202421417</v>
      </c>
      <c r="R782" t="s">
        <v>579</v>
      </c>
      <c r="S782" t="s">
        <v>823</v>
      </c>
      <c r="T782">
        <v>40</v>
      </c>
      <c r="U782" s="26" t="str">
        <f t="shared" si="27"/>
        <v>2024.045B.Autographivirales.zip</v>
      </c>
    </row>
    <row r="783" spans="1:21">
      <c r="A783">
        <v>782</v>
      </c>
      <c r="B783" s="27" t="s">
        <v>1449</v>
      </c>
      <c r="D783" s="27" t="s">
        <v>1450</v>
      </c>
      <c r="F783" s="27" t="s">
        <v>1453</v>
      </c>
      <c r="H783" s="27" t="s">
        <v>1454</v>
      </c>
      <c r="J783" s="27" t="s">
        <v>18547</v>
      </c>
      <c r="L783" s="27" t="s">
        <v>18891</v>
      </c>
      <c r="M783" s="27" t="s">
        <v>1497</v>
      </c>
      <c r="N783" s="27" t="s">
        <v>1509</v>
      </c>
      <c r="P783" s="27" t="s">
        <v>18983</v>
      </c>
      <c r="Q783" s="26" t="str">
        <f>HYPERLINK("https://ictv.global/taxonomy/taxondetails?taxnode_id=202521446&amp;ictv_id=ICTV202421446","ICTV202421446")</f>
        <v>ICTV202421446</v>
      </c>
      <c r="R783" t="s">
        <v>579</v>
      </c>
      <c r="S783" t="s">
        <v>823</v>
      </c>
      <c r="T783">
        <v>40</v>
      </c>
      <c r="U783" s="26" t="str">
        <f t="shared" si="27"/>
        <v>2024.045B.Autographivirales.zip</v>
      </c>
    </row>
    <row r="784" spans="1:21">
      <c r="A784">
        <v>783</v>
      </c>
      <c r="B784" s="27" t="s">
        <v>1449</v>
      </c>
      <c r="D784" s="27" t="s">
        <v>1450</v>
      </c>
      <c r="F784" s="27" t="s">
        <v>1453</v>
      </c>
      <c r="H784" s="27" t="s">
        <v>1454</v>
      </c>
      <c r="J784" s="27" t="s">
        <v>18547</v>
      </c>
      <c r="L784" s="27" t="s">
        <v>18891</v>
      </c>
      <c r="M784" s="27" t="s">
        <v>1497</v>
      </c>
      <c r="N784" s="27" t="s">
        <v>1509</v>
      </c>
      <c r="P784" s="27" t="s">
        <v>22084</v>
      </c>
      <c r="Q784" s="26" t="str">
        <f>HYPERLINK("https://ictv.global/taxonomy/taxondetails?taxnode_id=202522885&amp;ictv_id=ICTV202522885","ICTV202522885")</f>
        <v>ICTV202522885</v>
      </c>
      <c r="R784" t="s">
        <v>579</v>
      </c>
      <c r="S784" t="s">
        <v>823</v>
      </c>
      <c r="T784">
        <v>41</v>
      </c>
      <c r="U784" s="26" t="str">
        <f>HYPERLINK("https://ictv.global/ictv/proposals/2025.034B.Kayfunavirus_1ns.zip","2025.034B.Kayfunavirus_1ns.zip")</f>
        <v>2025.034B.Kayfunavirus_1ns.zip</v>
      </c>
    </row>
    <row r="785" spans="1:21">
      <c r="A785">
        <v>784</v>
      </c>
      <c r="B785" s="27" t="s">
        <v>1449</v>
      </c>
      <c r="D785" s="27" t="s">
        <v>1450</v>
      </c>
      <c r="F785" s="27" t="s">
        <v>1453</v>
      </c>
      <c r="H785" s="27" t="s">
        <v>1454</v>
      </c>
      <c r="J785" s="27" t="s">
        <v>18547</v>
      </c>
      <c r="L785" s="27" t="s">
        <v>18891</v>
      </c>
      <c r="M785" s="27" t="s">
        <v>1497</v>
      </c>
      <c r="N785" s="27" t="s">
        <v>1509</v>
      </c>
      <c r="P785" s="27" t="s">
        <v>4367</v>
      </c>
      <c r="Q785" s="26" t="str">
        <f>HYPERLINK("https://ictv.global/taxonomy/taxondetails?taxnode_id=202508419&amp;ictv_id=ICTV201908419","ICTV201908419")</f>
        <v>ICTV201908419</v>
      </c>
      <c r="R785" t="s">
        <v>579</v>
      </c>
      <c r="S785" t="s">
        <v>22763</v>
      </c>
      <c r="T785">
        <v>40</v>
      </c>
      <c r="U785" s="26" t="str">
        <f t="shared" ref="U785:U816" si="28">HYPERLINK("https://ictv.global/ictv/proposals/2024.045B.Autographivirales.zip","2024.045B.Autographivirales.zip")</f>
        <v>2024.045B.Autographivirales.zip</v>
      </c>
    </row>
    <row r="786" spans="1:21">
      <c r="A786">
        <v>785</v>
      </c>
      <c r="B786" s="27" t="s">
        <v>1449</v>
      </c>
      <c r="D786" s="27" t="s">
        <v>1450</v>
      </c>
      <c r="F786" s="27" t="s">
        <v>1453</v>
      </c>
      <c r="H786" s="27" t="s">
        <v>1454</v>
      </c>
      <c r="J786" s="27" t="s">
        <v>18547</v>
      </c>
      <c r="L786" s="27" t="s">
        <v>18891</v>
      </c>
      <c r="M786" s="27" t="s">
        <v>1497</v>
      </c>
      <c r="N786" s="27" t="s">
        <v>1509</v>
      </c>
      <c r="P786" s="27" t="s">
        <v>18984</v>
      </c>
      <c r="Q786" s="26" t="str">
        <f>HYPERLINK("https://ictv.global/taxonomy/taxondetails?taxnode_id=202521410&amp;ictv_id=ICTV202421410","ICTV202421410")</f>
        <v>ICTV202421410</v>
      </c>
      <c r="R786" t="s">
        <v>579</v>
      </c>
      <c r="S786" t="s">
        <v>823</v>
      </c>
      <c r="T786">
        <v>40</v>
      </c>
      <c r="U786" s="26" t="str">
        <f t="shared" si="28"/>
        <v>2024.045B.Autographivirales.zip</v>
      </c>
    </row>
    <row r="787" spans="1:21">
      <c r="A787">
        <v>786</v>
      </c>
      <c r="B787" s="27" t="s">
        <v>1449</v>
      </c>
      <c r="D787" s="27" t="s">
        <v>1450</v>
      </c>
      <c r="F787" s="27" t="s">
        <v>1453</v>
      </c>
      <c r="H787" s="27" t="s">
        <v>1454</v>
      </c>
      <c r="J787" s="27" t="s">
        <v>18547</v>
      </c>
      <c r="L787" s="27" t="s">
        <v>18891</v>
      </c>
      <c r="M787" s="27" t="s">
        <v>1497</v>
      </c>
      <c r="N787" s="27" t="s">
        <v>1509</v>
      </c>
      <c r="P787" s="27" t="s">
        <v>18985</v>
      </c>
      <c r="Q787" s="26" t="str">
        <f>HYPERLINK("https://ictv.global/taxonomy/taxondetails?taxnode_id=202521412&amp;ictv_id=ICTV202421412","ICTV202421412")</f>
        <v>ICTV202421412</v>
      </c>
      <c r="R787" t="s">
        <v>579</v>
      </c>
      <c r="S787" t="s">
        <v>823</v>
      </c>
      <c r="T787">
        <v>40</v>
      </c>
      <c r="U787" s="26" t="str">
        <f t="shared" si="28"/>
        <v>2024.045B.Autographivirales.zip</v>
      </c>
    </row>
    <row r="788" spans="1:21">
      <c r="A788">
        <v>787</v>
      </c>
      <c r="B788" s="27" t="s">
        <v>1449</v>
      </c>
      <c r="D788" s="27" t="s">
        <v>1450</v>
      </c>
      <c r="F788" s="27" t="s">
        <v>1453</v>
      </c>
      <c r="H788" s="27" t="s">
        <v>1454</v>
      </c>
      <c r="J788" s="27" t="s">
        <v>18547</v>
      </c>
      <c r="L788" s="27" t="s">
        <v>18891</v>
      </c>
      <c r="M788" s="27" t="s">
        <v>1497</v>
      </c>
      <c r="N788" s="27" t="s">
        <v>1509</v>
      </c>
      <c r="P788" s="27" t="s">
        <v>18986</v>
      </c>
      <c r="Q788" s="26" t="str">
        <f>HYPERLINK("https://ictv.global/taxonomy/taxondetails?taxnode_id=202521409&amp;ictv_id=ICTV202421409","ICTV202421409")</f>
        <v>ICTV202421409</v>
      </c>
      <c r="R788" t="s">
        <v>579</v>
      </c>
      <c r="S788" t="s">
        <v>823</v>
      </c>
      <c r="T788">
        <v>40</v>
      </c>
      <c r="U788" s="26" t="str">
        <f t="shared" si="28"/>
        <v>2024.045B.Autographivirales.zip</v>
      </c>
    </row>
    <row r="789" spans="1:21">
      <c r="A789">
        <v>788</v>
      </c>
      <c r="B789" s="27" t="s">
        <v>1449</v>
      </c>
      <c r="D789" s="27" t="s">
        <v>1450</v>
      </c>
      <c r="F789" s="27" t="s">
        <v>1453</v>
      </c>
      <c r="H789" s="27" t="s">
        <v>1454</v>
      </c>
      <c r="J789" s="27" t="s">
        <v>18547</v>
      </c>
      <c r="L789" s="27" t="s">
        <v>18891</v>
      </c>
      <c r="M789" s="27" t="s">
        <v>1497</v>
      </c>
      <c r="N789" s="27" t="s">
        <v>1509</v>
      </c>
      <c r="P789" s="27" t="s">
        <v>4368</v>
      </c>
      <c r="Q789" s="26" t="str">
        <f>HYPERLINK("https://ictv.global/taxonomy/taxondetails?taxnode_id=202508417&amp;ictv_id=ICTV201908417","ICTV201908417")</f>
        <v>ICTV201908417</v>
      </c>
      <c r="R789" t="s">
        <v>579</v>
      </c>
      <c r="S789" t="s">
        <v>22763</v>
      </c>
      <c r="T789">
        <v>40</v>
      </c>
      <c r="U789" s="26" t="str">
        <f t="shared" si="28"/>
        <v>2024.045B.Autographivirales.zip</v>
      </c>
    </row>
    <row r="790" spans="1:21">
      <c r="A790">
        <v>789</v>
      </c>
      <c r="B790" s="27" t="s">
        <v>1449</v>
      </c>
      <c r="D790" s="27" t="s">
        <v>1450</v>
      </c>
      <c r="F790" s="27" t="s">
        <v>1453</v>
      </c>
      <c r="H790" s="27" t="s">
        <v>1454</v>
      </c>
      <c r="J790" s="27" t="s">
        <v>18547</v>
      </c>
      <c r="L790" s="27" t="s">
        <v>18891</v>
      </c>
      <c r="M790" s="27" t="s">
        <v>1497</v>
      </c>
      <c r="N790" s="27" t="s">
        <v>1509</v>
      </c>
      <c r="P790" s="27" t="s">
        <v>4369</v>
      </c>
      <c r="Q790" s="26" t="str">
        <f>HYPERLINK("https://ictv.global/taxonomy/taxondetails?taxnode_id=202508409&amp;ictv_id=ICTV201908409","ICTV201908409")</f>
        <v>ICTV201908409</v>
      </c>
      <c r="R790" t="s">
        <v>579</v>
      </c>
      <c r="S790" t="s">
        <v>22763</v>
      </c>
      <c r="T790">
        <v>40</v>
      </c>
      <c r="U790" s="26" t="str">
        <f t="shared" si="28"/>
        <v>2024.045B.Autographivirales.zip</v>
      </c>
    </row>
    <row r="791" spans="1:21">
      <c r="A791">
        <v>790</v>
      </c>
      <c r="B791" s="27" t="s">
        <v>1449</v>
      </c>
      <c r="D791" s="27" t="s">
        <v>1450</v>
      </c>
      <c r="F791" s="27" t="s">
        <v>1453</v>
      </c>
      <c r="H791" s="27" t="s">
        <v>1454</v>
      </c>
      <c r="J791" s="27" t="s">
        <v>18547</v>
      </c>
      <c r="L791" s="27" t="s">
        <v>18891</v>
      </c>
      <c r="M791" s="27" t="s">
        <v>1497</v>
      </c>
      <c r="N791" s="27" t="s">
        <v>1509</v>
      </c>
      <c r="P791" s="27" t="s">
        <v>4370</v>
      </c>
      <c r="Q791" s="26" t="str">
        <f>HYPERLINK("https://ictv.global/taxonomy/taxondetails?taxnode_id=202508410&amp;ictv_id=ICTV201908410","ICTV201908410")</f>
        <v>ICTV201908410</v>
      </c>
      <c r="R791" t="s">
        <v>579</v>
      </c>
      <c r="S791" t="s">
        <v>22763</v>
      </c>
      <c r="T791">
        <v>40</v>
      </c>
      <c r="U791" s="26" t="str">
        <f t="shared" si="28"/>
        <v>2024.045B.Autographivirales.zip</v>
      </c>
    </row>
    <row r="792" spans="1:21">
      <c r="A792">
        <v>791</v>
      </c>
      <c r="B792" s="27" t="s">
        <v>1449</v>
      </c>
      <c r="D792" s="27" t="s">
        <v>1450</v>
      </c>
      <c r="F792" s="27" t="s">
        <v>1453</v>
      </c>
      <c r="H792" s="27" t="s">
        <v>1454</v>
      </c>
      <c r="J792" s="27" t="s">
        <v>18547</v>
      </c>
      <c r="L792" s="27" t="s">
        <v>18891</v>
      </c>
      <c r="M792" s="27" t="s">
        <v>1497</v>
      </c>
      <c r="N792" s="27" t="s">
        <v>1509</v>
      </c>
      <c r="P792" s="27" t="s">
        <v>18987</v>
      </c>
      <c r="Q792" s="26" t="str">
        <f>HYPERLINK("https://ictv.global/taxonomy/taxondetails?taxnode_id=202521447&amp;ictv_id=ICTV202421447","ICTV202421447")</f>
        <v>ICTV202421447</v>
      </c>
      <c r="R792" t="s">
        <v>579</v>
      </c>
      <c r="S792" t="s">
        <v>823</v>
      </c>
      <c r="T792">
        <v>40</v>
      </c>
      <c r="U792" s="26" t="str">
        <f t="shared" si="28"/>
        <v>2024.045B.Autographivirales.zip</v>
      </c>
    </row>
    <row r="793" spans="1:21">
      <c r="A793">
        <v>792</v>
      </c>
      <c r="B793" s="27" t="s">
        <v>1449</v>
      </c>
      <c r="D793" s="27" t="s">
        <v>1450</v>
      </c>
      <c r="F793" s="27" t="s">
        <v>1453</v>
      </c>
      <c r="H793" s="27" t="s">
        <v>1454</v>
      </c>
      <c r="J793" s="27" t="s">
        <v>18547</v>
      </c>
      <c r="L793" s="27" t="s">
        <v>18891</v>
      </c>
      <c r="M793" s="27" t="s">
        <v>1497</v>
      </c>
      <c r="N793" s="27" t="s">
        <v>1509</v>
      </c>
      <c r="P793" s="27" t="s">
        <v>18988</v>
      </c>
      <c r="Q793" s="26" t="str">
        <f>HYPERLINK("https://ictv.global/taxonomy/taxondetails?taxnode_id=202521433&amp;ictv_id=ICTV202421433","ICTV202421433")</f>
        <v>ICTV202421433</v>
      </c>
      <c r="R793" t="s">
        <v>579</v>
      </c>
      <c r="S793" t="s">
        <v>823</v>
      </c>
      <c r="T793">
        <v>40</v>
      </c>
      <c r="U793" s="26" t="str">
        <f t="shared" si="28"/>
        <v>2024.045B.Autographivirales.zip</v>
      </c>
    </row>
    <row r="794" spans="1:21">
      <c r="A794">
        <v>793</v>
      </c>
      <c r="B794" s="27" t="s">
        <v>1449</v>
      </c>
      <c r="D794" s="27" t="s">
        <v>1450</v>
      </c>
      <c r="F794" s="27" t="s">
        <v>1453</v>
      </c>
      <c r="H794" s="27" t="s">
        <v>1454</v>
      </c>
      <c r="J794" s="27" t="s">
        <v>18547</v>
      </c>
      <c r="L794" s="27" t="s">
        <v>18891</v>
      </c>
      <c r="M794" s="27" t="s">
        <v>1497</v>
      </c>
      <c r="N794" s="27" t="s">
        <v>1509</v>
      </c>
      <c r="P794" s="27" t="s">
        <v>18989</v>
      </c>
      <c r="Q794" s="26" t="str">
        <f>HYPERLINK("https://ictv.global/taxonomy/taxondetails?taxnode_id=202521427&amp;ictv_id=ICTV202421427","ICTV202421427")</f>
        <v>ICTV202421427</v>
      </c>
      <c r="R794" t="s">
        <v>579</v>
      </c>
      <c r="S794" t="s">
        <v>823</v>
      </c>
      <c r="T794">
        <v>40</v>
      </c>
      <c r="U794" s="26" t="str">
        <f t="shared" si="28"/>
        <v>2024.045B.Autographivirales.zip</v>
      </c>
    </row>
    <row r="795" spans="1:21">
      <c r="A795">
        <v>794</v>
      </c>
      <c r="B795" s="27" t="s">
        <v>1449</v>
      </c>
      <c r="D795" s="27" t="s">
        <v>1450</v>
      </c>
      <c r="F795" s="27" t="s">
        <v>1453</v>
      </c>
      <c r="H795" s="27" t="s">
        <v>1454</v>
      </c>
      <c r="J795" s="27" t="s">
        <v>18547</v>
      </c>
      <c r="L795" s="27" t="s">
        <v>18891</v>
      </c>
      <c r="M795" s="27" t="s">
        <v>1497</v>
      </c>
      <c r="N795" s="27" t="s">
        <v>1509</v>
      </c>
      <c r="P795" s="27" t="s">
        <v>18990</v>
      </c>
      <c r="Q795" s="26" t="str">
        <f>HYPERLINK("https://ictv.global/taxonomy/taxondetails?taxnode_id=202521423&amp;ictv_id=ICTV202421423","ICTV202421423")</f>
        <v>ICTV202421423</v>
      </c>
      <c r="R795" t="s">
        <v>579</v>
      </c>
      <c r="S795" t="s">
        <v>823</v>
      </c>
      <c r="T795">
        <v>40</v>
      </c>
      <c r="U795" s="26" t="str">
        <f t="shared" si="28"/>
        <v>2024.045B.Autographivirales.zip</v>
      </c>
    </row>
    <row r="796" spans="1:21">
      <c r="A796">
        <v>795</v>
      </c>
      <c r="B796" s="27" t="s">
        <v>1449</v>
      </c>
      <c r="D796" s="27" t="s">
        <v>1450</v>
      </c>
      <c r="F796" s="27" t="s">
        <v>1453</v>
      </c>
      <c r="H796" s="27" t="s">
        <v>1454</v>
      </c>
      <c r="J796" s="27" t="s">
        <v>18547</v>
      </c>
      <c r="L796" s="27" t="s">
        <v>18891</v>
      </c>
      <c r="M796" s="27" t="s">
        <v>1497</v>
      </c>
      <c r="N796" s="27" t="s">
        <v>1509</v>
      </c>
      <c r="P796" s="27" t="s">
        <v>18991</v>
      </c>
      <c r="Q796" s="26" t="str">
        <f>HYPERLINK("https://ictv.global/taxonomy/taxondetails?taxnode_id=202521420&amp;ictv_id=ICTV202421420","ICTV202421420")</f>
        <v>ICTV202421420</v>
      </c>
      <c r="R796" t="s">
        <v>579</v>
      </c>
      <c r="S796" t="s">
        <v>823</v>
      </c>
      <c r="T796">
        <v>40</v>
      </c>
      <c r="U796" s="26" t="str">
        <f t="shared" si="28"/>
        <v>2024.045B.Autographivirales.zip</v>
      </c>
    </row>
    <row r="797" spans="1:21">
      <c r="A797">
        <v>796</v>
      </c>
      <c r="B797" s="27" t="s">
        <v>1449</v>
      </c>
      <c r="D797" s="27" t="s">
        <v>1450</v>
      </c>
      <c r="F797" s="27" t="s">
        <v>1453</v>
      </c>
      <c r="H797" s="27" t="s">
        <v>1454</v>
      </c>
      <c r="J797" s="27" t="s">
        <v>18547</v>
      </c>
      <c r="L797" s="27" t="s">
        <v>18891</v>
      </c>
      <c r="M797" s="27" t="s">
        <v>1497</v>
      </c>
      <c r="N797" s="27" t="s">
        <v>1509</v>
      </c>
      <c r="P797" s="27" t="s">
        <v>18992</v>
      </c>
      <c r="Q797" s="26" t="str">
        <f>HYPERLINK("https://ictv.global/taxonomy/taxondetails?taxnode_id=202521421&amp;ictv_id=ICTV202421421","ICTV202421421")</f>
        <v>ICTV202421421</v>
      </c>
      <c r="R797" t="s">
        <v>579</v>
      </c>
      <c r="S797" t="s">
        <v>823</v>
      </c>
      <c r="T797">
        <v>40</v>
      </c>
      <c r="U797" s="26" t="str">
        <f t="shared" si="28"/>
        <v>2024.045B.Autographivirales.zip</v>
      </c>
    </row>
    <row r="798" spans="1:21">
      <c r="A798">
        <v>797</v>
      </c>
      <c r="B798" s="27" t="s">
        <v>1449</v>
      </c>
      <c r="D798" s="27" t="s">
        <v>1450</v>
      </c>
      <c r="F798" s="27" t="s">
        <v>1453</v>
      </c>
      <c r="H798" s="27" t="s">
        <v>1454</v>
      </c>
      <c r="J798" s="27" t="s">
        <v>18547</v>
      </c>
      <c r="L798" s="27" t="s">
        <v>18891</v>
      </c>
      <c r="M798" s="27" t="s">
        <v>1497</v>
      </c>
      <c r="N798" s="27" t="s">
        <v>1509</v>
      </c>
      <c r="P798" s="27" t="s">
        <v>18993</v>
      </c>
      <c r="Q798" s="26" t="str">
        <f>HYPERLINK("https://ictv.global/taxonomy/taxondetails?taxnode_id=202521425&amp;ictv_id=ICTV202421425","ICTV202421425")</f>
        <v>ICTV202421425</v>
      </c>
      <c r="R798" t="s">
        <v>579</v>
      </c>
      <c r="S798" t="s">
        <v>823</v>
      </c>
      <c r="T798">
        <v>40</v>
      </c>
      <c r="U798" s="26" t="str">
        <f t="shared" si="28"/>
        <v>2024.045B.Autographivirales.zip</v>
      </c>
    </row>
    <row r="799" spans="1:21">
      <c r="A799">
        <v>798</v>
      </c>
      <c r="B799" s="27" t="s">
        <v>1449</v>
      </c>
      <c r="D799" s="27" t="s">
        <v>1450</v>
      </c>
      <c r="F799" s="27" t="s">
        <v>1453</v>
      </c>
      <c r="H799" s="27" t="s">
        <v>1454</v>
      </c>
      <c r="J799" s="27" t="s">
        <v>18547</v>
      </c>
      <c r="L799" s="27" t="s">
        <v>18891</v>
      </c>
      <c r="M799" s="27" t="s">
        <v>1497</v>
      </c>
      <c r="N799" s="27" t="s">
        <v>1509</v>
      </c>
      <c r="P799" s="27" t="s">
        <v>18994</v>
      </c>
      <c r="Q799" s="26" t="str">
        <f>HYPERLINK("https://ictv.global/taxonomy/taxondetails?taxnode_id=202521422&amp;ictv_id=ICTV202421422","ICTV202421422")</f>
        <v>ICTV202421422</v>
      </c>
      <c r="R799" t="s">
        <v>579</v>
      </c>
      <c r="S799" t="s">
        <v>823</v>
      </c>
      <c r="T799">
        <v>40</v>
      </c>
      <c r="U799" s="26" t="str">
        <f t="shared" si="28"/>
        <v>2024.045B.Autographivirales.zip</v>
      </c>
    </row>
    <row r="800" spans="1:21">
      <c r="A800">
        <v>799</v>
      </c>
      <c r="B800" s="27" t="s">
        <v>1449</v>
      </c>
      <c r="D800" s="27" t="s">
        <v>1450</v>
      </c>
      <c r="F800" s="27" t="s">
        <v>1453</v>
      </c>
      <c r="H800" s="27" t="s">
        <v>1454</v>
      </c>
      <c r="J800" s="27" t="s">
        <v>18547</v>
      </c>
      <c r="L800" s="27" t="s">
        <v>18891</v>
      </c>
      <c r="M800" s="27" t="s">
        <v>1497</v>
      </c>
      <c r="N800" s="27" t="s">
        <v>1509</v>
      </c>
      <c r="P800" s="27" t="s">
        <v>4371</v>
      </c>
      <c r="Q800" s="26" t="str">
        <f>HYPERLINK("https://ictv.global/taxonomy/taxondetails?taxnode_id=202508413&amp;ictv_id=ICTV201908413","ICTV201908413")</f>
        <v>ICTV201908413</v>
      </c>
      <c r="R800" t="s">
        <v>579</v>
      </c>
      <c r="S800" t="s">
        <v>22763</v>
      </c>
      <c r="T800">
        <v>40</v>
      </c>
      <c r="U800" s="26" t="str">
        <f t="shared" si="28"/>
        <v>2024.045B.Autographivirales.zip</v>
      </c>
    </row>
    <row r="801" spans="1:21">
      <c r="A801">
        <v>800</v>
      </c>
      <c r="B801" s="27" t="s">
        <v>1449</v>
      </c>
      <c r="D801" s="27" t="s">
        <v>1450</v>
      </c>
      <c r="F801" s="27" t="s">
        <v>1453</v>
      </c>
      <c r="H801" s="27" t="s">
        <v>1454</v>
      </c>
      <c r="J801" s="27" t="s">
        <v>18547</v>
      </c>
      <c r="L801" s="27" t="s">
        <v>18891</v>
      </c>
      <c r="M801" s="27" t="s">
        <v>1497</v>
      </c>
      <c r="N801" s="27" t="s">
        <v>1509</v>
      </c>
      <c r="P801" s="27" t="s">
        <v>18995</v>
      </c>
      <c r="Q801" s="26" t="str">
        <f>HYPERLINK("https://ictv.global/taxonomy/taxondetails?taxnode_id=202521424&amp;ictv_id=ICTV202421424","ICTV202421424")</f>
        <v>ICTV202421424</v>
      </c>
      <c r="R801" t="s">
        <v>579</v>
      </c>
      <c r="S801" t="s">
        <v>823</v>
      </c>
      <c r="T801">
        <v>40</v>
      </c>
      <c r="U801" s="26" t="str">
        <f t="shared" si="28"/>
        <v>2024.045B.Autographivirales.zip</v>
      </c>
    </row>
    <row r="802" spans="1:21">
      <c r="A802">
        <v>801</v>
      </c>
      <c r="B802" s="27" t="s">
        <v>1449</v>
      </c>
      <c r="D802" s="27" t="s">
        <v>1450</v>
      </c>
      <c r="F802" s="27" t="s">
        <v>1453</v>
      </c>
      <c r="H802" s="27" t="s">
        <v>1454</v>
      </c>
      <c r="J802" s="27" t="s">
        <v>18547</v>
      </c>
      <c r="L802" s="27" t="s">
        <v>18891</v>
      </c>
      <c r="M802" s="27" t="s">
        <v>1497</v>
      </c>
      <c r="N802" s="27" t="s">
        <v>1509</v>
      </c>
      <c r="P802" s="27" t="s">
        <v>18996</v>
      </c>
      <c r="Q802" s="26" t="str">
        <f>HYPERLINK("https://ictv.global/taxonomy/taxondetails?taxnode_id=202521456&amp;ictv_id=ICTV202421456","ICTV202421456")</f>
        <v>ICTV202421456</v>
      </c>
      <c r="R802" t="s">
        <v>579</v>
      </c>
      <c r="S802" t="s">
        <v>823</v>
      </c>
      <c r="T802">
        <v>40</v>
      </c>
      <c r="U802" s="26" t="str">
        <f t="shared" si="28"/>
        <v>2024.045B.Autographivirales.zip</v>
      </c>
    </row>
    <row r="803" spans="1:21">
      <c r="A803">
        <v>802</v>
      </c>
      <c r="B803" s="27" t="s">
        <v>1449</v>
      </c>
      <c r="D803" s="27" t="s">
        <v>1450</v>
      </c>
      <c r="F803" s="27" t="s">
        <v>1453</v>
      </c>
      <c r="H803" s="27" t="s">
        <v>1454</v>
      </c>
      <c r="J803" s="27" t="s">
        <v>18547</v>
      </c>
      <c r="L803" s="27" t="s">
        <v>18891</v>
      </c>
      <c r="M803" s="27" t="s">
        <v>1497</v>
      </c>
      <c r="N803" s="27" t="s">
        <v>1509</v>
      </c>
      <c r="P803" s="27" t="s">
        <v>18997</v>
      </c>
      <c r="Q803" s="26" t="str">
        <f>HYPERLINK("https://ictv.global/taxonomy/taxondetails?taxnode_id=202521437&amp;ictv_id=ICTV202421437","ICTV202421437")</f>
        <v>ICTV202421437</v>
      </c>
      <c r="R803" t="s">
        <v>579</v>
      </c>
      <c r="S803" t="s">
        <v>823</v>
      </c>
      <c r="T803">
        <v>40</v>
      </c>
      <c r="U803" s="26" t="str">
        <f t="shared" si="28"/>
        <v>2024.045B.Autographivirales.zip</v>
      </c>
    </row>
    <row r="804" spans="1:21">
      <c r="A804">
        <v>803</v>
      </c>
      <c r="B804" s="27" t="s">
        <v>1449</v>
      </c>
      <c r="D804" s="27" t="s">
        <v>1450</v>
      </c>
      <c r="F804" s="27" t="s">
        <v>1453</v>
      </c>
      <c r="H804" s="27" t="s">
        <v>1454</v>
      </c>
      <c r="J804" s="27" t="s">
        <v>18547</v>
      </c>
      <c r="L804" s="27" t="s">
        <v>18891</v>
      </c>
      <c r="M804" s="27" t="s">
        <v>1497</v>
      </c>
      <c r="N804" s="27" t="s">
        <v>1509</v>
      </c>
      <c r="P804" s="27" t="s">
        <v>4372</v>
      </c>
      <c r="Q804" s="26" t="str">
        <f>HYPERLINK("https://ictv.global/taxonomy/taxondetails?taxnode_id=202508416&amp;ictv_id=ICTV201908416","ICTV201908416")</f>
        <v>ICTV201908416</v>
      </c>
      <c r="R804" t="s">
        <v>579</v>
      </c>
      <c r="S804" t="s">
        <v>22763</v>
      </c>
      <c r="T804">
        <v>40</v>
      </c>
      <c r="U804" s="26" t="str">
        <f t="shared" si="28"/>
        <v>2024.045B.Autographivirales.zip</v>
      </c>
    </row>
    <row r="805" spans="1:21">
      <c r="A805">
        <v>804</v>
      </c>
      <c r="B805" s="27" t="s">
        <v>1449</v>
      </c>
      <c r="D805" s="27" t="s">
        <v>1450</v>
      </c>
      <c r="F805" s="27" t="s">
        <v>1453</v>
      </c>
      <c r="H805" s="27" t="s">
        <v>1454</v>
      </c>
      <c r="J805" s="27" t="s">
        <v>18547</v>
      </c>
      <c r="L805" s="27" t="s">
        <v>18891</v>
      </c>
      <c r="M805" s="27" t="s">
        <v>1497</v>
      </c>
      <c r="N805" s="27" t="s">
        <v>1509</v>
      </c>
      <c r="P805" s="27" t="s">
        <v>18998</v>
      </c>
      <c r="Q805" s="26" t="str">
        <f>HYPERLINK("https://ictv.global/taxonomy/taxondetails?taxnode_id=202521449&amp;ictv_id=ICTV202421449","ICTV202421449")</f>
        <v>ICTV202421449</v>
      </c>
      <c r="R805" t="s">
        <v>579</v>
      </c>
      <c r="S805" t="s">
        <v>823</v>
      </c>
      <c r="T805">
        <v>40</v>
      </c>
      <c r="U805" s="26" t="str">
        <f t="shared" si="28"/>
        <v>2024.045B.Autographivirales.zip</v>
      </c>
    </row>
    <row r="806" spans="1:21">
      <c r="A806">
        <v>805</v>
      </c>
      <c r="B806" s="27" t="s">
        <v>1449</v>
      </c>
      <c r="D806" s="27" t="s">
        <v>1450</v>
      </c>
      <c r="F806" s="27" t="s">
        <v>1453</v>
      </c>
      <c r="H806" s="27" t="s">
        <v>1454</v>
      </c>
      <c r="J806" s="27" t="s">
        <v>18547</v>
      </c>
      <c r="L806" s="27" t="s">
        <v>18891</v>
      </c>
      <c r="M806" s="27" t="s">
        <v>1497</v>
      </c>
      <c r="N806" s="27" t="s">
        <v>1509</v>
      </c>
      <c r="P806" s="27" t="s">
        <v>4373</v>
      </c>
      <c r="Q806" s="26" t="str">
        <f>HYPERLINK("https://ictv.global/taxonomy/taxondetails?taxnode_id=202508415&amp;ictv_id=ICTV201908415","ICTV201908415")</f>
        <v>ICTV201908415</v>
      </c>
      <c r="R806" t="s">
        <v>579</v>
      </c>
      <c r="S806" t="s">
        <v>22763</v>
      </c>
      <c r="T806">
        <v>40</v>
      </c>
      <c r="U806" s="26" t="str">
        <f t="shared" si="28"/>
        <v>2024.045B.Autographivirales.zip</v>
      </c>
    </row>
    <row r="807" spans="1:21">
      <c r="A807">
        <v>806</v>
      </c>
      <c r="B807" s="27" t="s">
        <v>1449</v>
      </c>
      <c r="D807" s="27" t="s">
        <v>1450</v>
      </c>
      <c r="F807" s="27" t="s">
        <v>1453</v>
      </c>
      <c r="H807" s="27" t="s">
        <v>1454</v>
      </c>
      <c r="J807" s="27" t="s">
        <v>18547</v>
      </c>
      <c r="L807" s="27" t="s">
        <v>18891</v>
      </c>
      <c r="M807" s="27" t="s">
        <v>1497</v>
      </c>
      <c r="N807" s="27" t="s">
        <v>1509</v>
      </c>
      <c r="P807" s="27" t="s">
        <v>18999</v>
      </c>
      <c r="Q807" s="26" t="str">
        <f>HYPERLINK("https://ictv.global/taxonomy/taxondetails?taxnode_id=202521434&amp;ictv_id=ICTV202421434","ICTV202421434")</f>
        <v>ICTV202421434</v>
      </c>
      <c r="R807" t="s">
        <v>579</v>
      </c>
      <c r="S807" t="s">
        <v>823</v>
      </c>
      <c r="T807">
        <v>40</v>
      </c>
      <c r="U807" s="26" t="str">
        <f t="shared" si="28"/>
        <v>2024.045B.Autographivirales.zip</v>
      </c>
    </row>
    <row r="808" spans="1:21">
      <c r="A808">
        <v>807</v>
      </c>
      <c r="B808" s="27" t="s">
        <v>1449</v>
      </c>
      <c r="D808" s="27" t="s">
        <v>1450</v>
      </c>
      <c r="F808" s="27" t="s">
        <v>1453</v>
      </c>
      <c r="H808" s="27" t="s">
        <v>1454</v>
      </c>
      <c r="J808" s="27" t="s">
        <v>18547</v>
      </c>
      <c r="L808" s="27" t="s">
        <v>18891</v>
      </c>
      <c r="M808" s="27" t="s">
        <v>1497</v>
      </c>
      <c r="N808" s="27" t="s">
        <v>1509</v>
      </c>
      <c r="P808" s="27" t="s">
        <v>4374</v>
      </c>
      <c r="Q808" s="26" t="str">
        <f>HYPERLINK("https://ictv.global/taxonomy/taxondetails?taxnode_id=202508411&amp;ictv_id=ICTV201908411","ICTV201908411")</f>
        <v>ICTV201908411</v>
      </c>
      <c r="R808" t="s">
        <v>579</v>
      </c>
      <c r="S808" t="s">
        <v>22763</v>
      </c>
      <c r="T808">
        <v>40</v>
      </c>
      <c r="U808" s="26" t="str">
        <f t="shared" si="28"/>
        <v>2024.045B.Autographivirales.zip</v>
      </c>
    </row>
    <row r="809" spans="1:21">
      <c r="A809">
        <v>808</v>
      </c>
      <c r="B809" s="27" t="s">
        <v>1449</v>
      </c>
      <c r="D809" s="27" t="s">
        <v>1450</v>
      </c>
      <c r="F809" s="27" t="s">
        <v>1453</v>
      </c>
      <c r="H809" s="27" t="s">
        <v>1454</v>
      </c>
      <c r="J809" s="27" t="s">
        <v>18547</v>
      </c>
      <c r="L809" s="27" t="s">
        <v>18891</v>
      </c>
      <c r="M809" s="27" t="s">
        <v>1497</v>
      </c>
      <c r="N809" s="27" t="s">
        <v>1509</v>
      </c>
      <c r="P809" s="27" t="s">
        <v>19000</v>
      </c>
      <c r="Q809" s="26" t="str">
        <f>HYPERLINK("https://ictv.global/taxonomy/taxondetails?taxnode_id=202521454&amp;ictv_id=ICTV202421454","ICTV202421454")</f>
        <v>ICTV202421454</v>
      </c>
      <c r="R809" t="s">
        <v>579</v>
      </c>
      <c r="S809" t="s">
        <v>823</v>
      </c>
      <c r="T809">
        <v>40</v>
      </c>
      <c r="U809" s="26" t="str">
        <f t="shared" si="28"/>
        <v>2024.045B.Autographivirales.zip</v>
      </c>
    </row>
    <row r="810" spans="1:21">
      <c r="A810">
        <v>809</v>
      </c>
      <c r="B810" s="27" t="s">
        <v>1449</v>
      </c>
      <c r="D810" s="27" t="s">
        <v>1450</v>
      </c>
      <c r="F810" s="27" t="s">
        <v>1453</v>
      </c>
      <c r="H810" s="27" t="s">
        <v>1454</v>
      </c>
      <c r="J810" s="27" t="s">
        <v>18547</v>
      </c>
      <c r="L810" s="27" t="s">
        <v>18891</v>
      </c>
      <c r="M810" s="27" t="s">
        <v>1497</v>
      </c>
      <c r="N810" s="27" t="s">
        <v>19001</v>
      </c>
      <c r="P810" s="27" t="s">
        <v>19002</v>
      </c>
      <c r="Q810" s="26" t="str">
        <f>HYPERLINK("https://ictv.global/taxonomy/taxondetails?taxnode_id=202521348&amp;ictv_id=ICTV202421348","ICTV202421348")</f>
        <v>ICTV202421348</v>
      </c>
      <c r="R810" t="s">
        <v>579</v>
      </c>
      <c r="S810" t="s">
        <v>823</v>
      </c>
      <c r="T810">
        <v>40</v>
      </c>
      <c r="U810" s="26" t="str">
        <f t="shared" si="28"/>
        <v>2024.045B.Autographivirales.zip</v>
      </c>
    </row>
    <row r="811" spans="1:21">
      <c r="A811">
        <v>810</v>
      </c>
      <c r="B811" s="27" t="s">
        <v>1449</v>
      </c>
      <c r="D811" s="27" t="s">
        <v>1450</v>
      </c>
      <c r="F811" s="27" t="s">
        <v>1453</v>
      </c>
      <c r="H811" s="27" t="s">
        <v>1454</v>
      </c>
      <c r="J811" s="27" t="s">
        <v>18547</v>
      </c>
      <c r="L811" s="27" t="s">
        <v>18891</v>
      </c>
      <c r="M811" s="27" t="s">
        <v>1497</v>
      </c>
      <c r="N811" s="27" t="s">
        <v>1510</v>
      </c>
      <c r="P811" s="27" t="s">
        <v>19003</v>
      </c>
      <c r="Q811" s="26" t="str">
        <f>HYPERLINK("https://ictv.global/taxonomy/taxondetails?taxnode_id=202521469&amp;ictv_id=ICTV202421469","ICTV202421469")</f>
        <v>ICTV202421469</v>
      </c>
      <c r="R811" t="s">
        <v>579</v>
      </c>
      <c r="S811" t="s">
        <v>823</v>
      </c>
      <c r="T811">
        <v>40</v>
      </c>
      <c r="U811" s="26" t="str">
        <f t="shared" si="28"/>
        <v>2024.045B.Autographivirales.zip</v>
      </c>
    </row>
    <row r="812" spans="1:21">
      <c r="A812">
        <v>811</v>
      </c>
      <c r="B812" s="27" t="s">
        <v>1449</v>
      </c>
      <c r="D812" s="27" t="s">
        <v>1450</v>
      </c>
      <c r="F812" s="27" t="s">
        <v>1453</v>
      </c>
      <c r="H812" s="27" t="s">
        <v>1454</v>
      </c>
      <c r="J812" s="27" t="s">
        <v>18547</v>
      </c>
      <c r="L812" s="27" t="s">
        <v>18891</v>
      </c>
      <c r="M812" s="27" t="s">
        <v>1497</v>
      </c>
      <c r="N812" s="27" t="s">
        <v>1510</v>
      </c>
      <c r="P812" s="27" t="s">
        <v>4375</v>
      </c>
      <c r="Q812" s="26" t="str">
        <f>HYPERLINK("https://ictv.global/taxonomy/taxondetails?taxnode_id=202508369&amp;ictv_id=ICTV201908369","ICTV201908369")</f>
        <v>ICTV201908369</v>
      </c>
      <c r="R812" t="s">
        <v>579</v>
      </c>
      <c r="S812" t="s">
        <v>22763</v>
      </c>
      <c r="T812">
        <v>40</v>
      </c>
      <c r="U812" s="26" t="str">
        <f t="shared" si="28"/>
        <v>2024.045B.Autographivirales.zip</v>
      </c>
    </row>
    <row r="813" spans="1:21">
      <c r="A813">
        <v>812</v>
      </c>
      <c r="B813" s="27" t="s">
        <v>1449</v>
      </c>
      <c r="D813" s="27" t="s">
        <v>1450</v>
      </c>
      <c r="F813" s="27" t="s">
        <v>1453</v>
      </c>
      <c r="H813" s="27" t="s">
        <v>1454</v>
      </c>
      <c r="J813" s="27" t="s">
        <v>18547</v>
      </c>
      <c r="L813" s="27" t="s">
        <v>18891</v>
      </c>
      <c r="M813" s="27" t="s">
        <v>1497</v>
      </c>
      <c r="N813" s="27" t="s">
        <v>1510</v>
      </c>
      <c r="P813" s="27" t="s">
        <v>4376</v>
      </c>
      <c r="Q813" s="26" t="str">
        <f>HYPERLINK("https://ictv.global/taxonomy/taxondetails?taxnode_id=202508368&amp;ictv_id=ICTV201908368","ICTV201908368")</f>
        <v>ICTV201908368</v>
      </c>
      <c r="R813" t="s">
        <v>579</v>
      </c>
      <c r="S813" t="s">
        <v>22763</v>
      </c>
      <c r="T813">
        <v>40</v>
      </c>
      <c r="U813" s="26" t="str">
        <f t="shared" si="28"/>
        <v>2024.045B.Autographivirales.zip</v>
      </c>
    </row>
    <row r="814" spans="1:21">
      <c r="A814">
        <v>813</v>
      </c>
      <c r="B814" s="27" t="s">
        <v>1449</v>
      </c>
      <c r="D814" s="27" t="s">
        <v>1450</v>
      </c>
      <c r="F814" s="27" t="s">
        <v>1453</v>
      </c>
      <c r="H814" s="27" t="s">
        <v>1454</v>
      </c>
      <c r="J814" s="27" t="s">
        <v>18547</v>
      </c>
      <c r="L814" s="27" t="s">
        <v>18891</v>
      </c>
      <c r="M814" s="27" t="s">
        <v>1497</v>
      </c>
      <c r="N814" s="27" t="s">
        <v>1511</v>
      </c>
      <c r="P814" s="27" t="s">
        <v>19004</v>
      </c>
      <c r="Q814" s="26" t="str">
        <f>HYPERLINK("https://ictv.global/taxonomy/taxondetails?taxnode_id=202521343&amp;ictv_id=ICTV202421343","ICTV202421343")</f>
        <v>ICTV202421343</v>
      </c>
      <c r="R814" t="s">
        <v>579</v>
      </c>
      <c r="S814" t="s">
        <v>823</v>
      </c>
      <c r="T814">
        <v>40</v>
      </c>
      <c r="U814" s="26" t="str">
        <f t="shared" si="28"/>
        <v>2024.045B.Autographivirales.zip</v>
      </c>
    </row>
    <row r="815" spans="1:21">
      <c r="A815">
        <v>814</v>
      </c>
      <c r="B815" s="27" t="s">
        <v>1449</v>
      </c>
      <c r="D815" s="27" t="s">
        <v>1450</v>
      </c>
      <c r="F815" s="27" t="s">
        <v>1453</v>
      </c>
      <c r="H815" s="27" t="s">
        <v>1454</v>
      </c>
      <c r="J815" s="27" t="s">
        <v>18547</v>
      </c>
      <c r="L815" s="27" t="s">
        <v>18891</v>
      </c>
      <c r="M815" s="27" t="s">
        <v>1497</v>
      </c>
      <c r="N815" s="27" t="s">
        <v>1511</v>
      </c>
      <c r="P815" s="27" t="s">
        <v>4377</v>
      </c>
      <c r="Q815" s="26" t="str">
        <f>HYPERLINK("https://ictv.global/taxonomy/taxondetails?taxnode_id=202508386&amp;ictv_id=ICTV201908386","ICTV201908386")</f>
        <v>ICTV201908386</v>
      </c>
      <c r="R815" t="s">
        <v>579</v>
      </c>
      <c r="S815" t="s">
        <v>22763</v>
      </c>
      <c r="T815">
        <v>40</v>
      </c>
      <c r="U815" s="26" t="str">
        <f t="shared" si="28"/>
        <v>2024.045B.Autographivirales.zip</v>
      </c>
    </row>
    <row r="816" spans="1:21">
      <c r="A816">
        <v>815</v>
      </c>
      <c r="B816" s="27" t="s">
        <v>1449</v>
      </c>
      <c r="D816" s="27" t="s">
        <v>1450</v>
      </c>
      <c r="F816" s="27" t="s">
        <v>1453</v>
      </c>
      <c r="H816" s="27" t="s">
        <v>1454</v>
      </c>
      <c r="J816" s="27" t="s">
        <v>18547</v>
      </c>
      <c r="L816" s="27" t="s">
        <v>18891</v>
      </c>
      <c r="M816" s="27" t="s">
        <v>1497</v>
      </c>
      <c r="N816" s="27" t="s">
        <v>1511</v>
      </c>
      <c r="P816" s="27" t="s">
        <v>19005</v>
      </c>
      <c r="Q816" s="26" t="str">
        <f>HYPERLINK("https://ictv.global/taxonomy/taxondetails?taxnode_id=202521342&amp;ictv_id=ICTV202421342","ICTV202421342")</f>
        <v>ICTV202421342</v>
      </c>
      <c r="R816" t="s">
        <v>579</v>
      </c>
      <c r="S816" t="s">
        <v>823</v>
      </c>
      <c r="T816">
        <v>40</v>
      </c>
      <c r="U816" s="26" t="str">
        <f t="shared" si="28"/>
        <v>2024.045B.Autographivirales.zip</v>
      </c>
    </row>
    <row r="817" spans="1:21">
      <c r="A817">
        <v>816</v>
      </c>
      <c r="B817" s="27" t="s">
        <v>1449</v>
      </c>
      <c r="D817" s="27" t="s">
        <v>1450</v>
      </c>
      <c r="F817" s="27" t="s">
        <v>1453</v>
      </c>
      <c r="H817" s="27" t="s">
        <v>1454</v>
      </c>
      <c r="J817" s="27" t="s">
        <v>18547</v>
      </c>
      <c r="L817" s="27" t="s">
        <v>18891</v>
      </c>
      <c r="M817" s="27" t="s">
        <v>1497</v>
      </c>
      <c r="N817" s="27" t="s">
        <v>1511</v>
      </c>
      <c r="P817" s="27" t="s">
        <v>4378</v>
      </c>
      <c r="Q817" s="26" t="str">
        <f>HYPERLINK("https://ictv.global/taxonomy/taxondetails?taxnode_id=202508385&amp;ictv_id=ICTV201908385","ICTV201908385")</f>
        <v>ICTV201908385</v>
      </c>
      <c r="R817" t="s">
        <v>579</v>
      </c>
      <c r="S817" t="s">
        <v>22763</v>
      </c>
      <c r="T817">
        <v>40</v>
      </c>
      <c r="U817" s="26" t="str">
        <f t="shared" ref="U817:U848" si="29">HYPERLINK("https://ictv.global/ictv/proposals/2024.045B.Autographivirales.zip","2024.045B.Autographivirales.zip")</f>
        <v>2024.045B.Autographivirales.zip</v>
      </c>
    </row>
    <row r="818" spans="1:21">
      <c r="A818">
        <v>817</v>
      </c>
      <c r="B818" s="27" t="s">
        <v>1449</v>
      </c>
      <c r="D818" s="27" t="s">
        <v>1450</v>
      </c>
      <c r="F818" s="27" t="s">
        <v>1453</v>
      </c>
      <c r="H818" s="27" t="s">
        <v>1454</v>
      </c>
      <c r="J818" s="27" t="s">
        <v>18547</v>
      </c>
      <c r="L818" s="27" t="s">
        <v>18891</v>
      </c>
      <c r="M818" s="27" t="s">
        <v>1497</v>
      </c>
      <c r="N818" s="27" t="s">
        <v>1511</v>
      </c>
      <c r="P818" s="27" t="s">
        <v>19006</v>
      </c>
      <c r="Q818" s="26" t="str">
        <f>HYPERLINK("https://ictv.global/taxonomy/taxondetails?taxnode_id=202521341&amp;ictv_id=ICTV202421341","ICTV202421341")</f>
        <v>ICTV202421341</v>
      </c>
      <c r="R818" t="s">
        <v>579</v>
      </c>
      <c r="S818" t="s">
        <v>823</v>
      </c>
      <c r="T818">
        <v>40</v>
      </c>
      <c r="U818" s="26" t="str">
        <f t="shared" si="29"/>
        <v>2024.045B.Autographivirales.zip</v>
      </c>
    </row>
    <row r="819" spans="1:21">
      <c r="A819">
        <v>818</v>
      </c>
      <c r="B819" s="27" t="s">
        <v>1449</v>
      </c>
      <c r="D819" s="27" t="s">
        <v>1450</v>
      </c>
      <c r="F819" s="27" t="s">
        <v>1453</v>
      </c>
      <c r="H819" s="27" t="s">
        <v>1454</v>
      </c>
      <c r="J819" s="27" t="s">
        <v>18547</v>
      </c>
      <c r="L819" s="27" t="s">
        <v>18891</v>
      </c>
      <c r="M819" s="27" t="s">
        <v>1497</v>
      </c>
      <c r="N819" s="27" t="s">
        <v>1511</v>
      </c>
      <c r="P819" s="27" t="s">
        <v>19007</v>
      </c>
      <c r="Q819" s="26" t="str">
        <f>HYPERLINK("https://ictv.global/taxonomy/taxondetails?taxnode_id=202521340&amp;ictv_id=ICTV202421340","ICTV202421340")</f>
        <v>ICTV202421340</v>
      </c>
      <c r="R819" t="s">
        <v>579</v>
      </c>
      <c r="S819" t="s">
        <v>823</v>
      </c>
      <c r="T819">
        <v>40</v>
      </c>
      <c r="U819" s="26" t="str">
        <f t="shared" si="29"/>
        <v>2024.045B.Autographivirales.zip</v>
      </c>
    </row>
    <row r="820" spans="1:21">
      <c r="A820">
        <v>819</v>
      </c>
      <c r="B820" s="27" t="s">
        <v>1449</v>
      </c>
      <c r="D820" s="27" t="s">
        <v>1450</v>
      </c>
      <c r="F820" s="27" t="s">
        <v>1453</v>
      </c>
      <c r="H820" s="27" t="s">
        <v>1454</v>
      </c>
      <c r="J820" s="27" t="s">
        <v>18547</v>
      </c>
      <c r="L820" s="27" t="s">
        <v>18891</v>
      </c>
      <c r="M820" s="27" t="s">
        <v>1497</v>
      </c>
      <c r="N820" s="27" t="s">
        <v>1511</v>
      </c>
      <c r="P820" s="27" t="s">
        <v>19008</v>
      </c>
      <c r="Q820" s="26" t="str">
        <f>HYPERLINK("https://ictv.global/taxonomy/taxondetails?taxnode_id=202521344&amp;ictv_id=ICTV202421344","ICTV202421344")</f>
        <v>ICTV202421344</v>
      </c>
      <c r="R820" t="s">
        <v>579</v>
      </c>
      <c r="S820" t="s">
        <v>823</v>
      </c>
      <c r="T820">
        <v>40</v>
      </c>
      <c r="U820" s="26" t="str">
        <f t="shared" si="29"/>
        <v>2024.045B.Autographivirales.zip</v>
      </c>
    </row>
    <row r="821" spans="1:21">
      <c r="A821">
        <v>820</v>
      </c>
      <c r="B821" s="27" t="s">
        <v>1449</v>
      </c>
      <c r="D821" s="27" t="s">
        <v>1450</v>
      </c>
      <c r="F821" s="27" t="s">
        <v>1453</v>
      </c>
      <c r="H821" s="27" t="s">
        <v>1454</v>
      </c>
      <c r="J821" s="27" t="s">
        <v>18547</v>
      </c>
      <c r="L821" s="27" t="s">
        <v>18891</v>
      </c>
      <c r="M821" s="27" t="s">
        <v>1497</v>
      </c>
      <c r="N821" s="27" t="s">
        <v>1512</v>
      </c>
      <c r="P821" s="27" t="s">
        <v>4379</v>
      </c>
      <c r="Q821" s="26" t="str">
        <f>HYPERLINK("https://ictv.global/taxonomy/taxondetails?taxnode_id=202508371&amp;ictv_id=ICTV201908371","ICTV201908371")</f>
        <v>ICTV201908371</v>
      </c>
      <c r="R821" t="s">
        <v>579</v>
      </c>
      <c r="S821" t="s">
        <v>22763</v>
      </c>
      <c r="T821">
        <v>40</v>
      </c>
      <c r="U821" s="26" t="str">
        <f t="shared" si="29"/>
        <v>2024.045B.Autographivirales.zip</v>
      </c>
    </row>
    <row r="822" spans="1:21">
      <c r="A822">
        <v>821</v>
      </c>
      <c r="B822" s="27" t="s">
        <v>1449</v>
      </c>
      <c r="D822" s="27" t="s">
        <v>1450</v>
      </c>
      <c r="F822" s="27" t="s">
        <v>1453</v>
      </c>
      <c r="H822" s="27" t="s">
        <v>1454</v>
      </c>
      <c r="J822" s="27" t="s">
        <v>18547</v>
      </c>
      <c r="L822" s="27" t="s">
        <v>18891</v>
      </c>
      <c r="M822" s="27" t="s">
        <v>1497</v>
      </c>
      <c r="N822" s="27" t="s">
        <v>1512</v>
      </c>
      <c r="P822" s="27" t="s">
        <v>4380</v>
      </c>
      <c r="Q822" s="26" t="str">
        <f>HYPERLINK("https://ictv.global/taxonomy/taxondetails?taxnode_id=202508372&amp;ictv_id=ICTV201908372","ICTV201908372")</f>
        <v>ICTV201908372</v>
      </c>
      <c r="R822" t="s">
        <v>579</v>
      </c>
      <c r="S822" t="s">
        <v>22763</v>
      </c>
      <c r="T822">
        <v>40</v>
      </c>
      <c r="U822" s="26" t="str">
        <f t="shared" si="29"/>
        <v>2024.045B.Autographivirales.zip</v>
      </c>
    </row>
    <row r="823" spans="1:21">
      <c r="A823">
        <v>822</v>
      </c>
      <c r="B823" s="27" t="s">
        <v>1449</v>
      </c>
      <c r="D823" s="27" t="s">
        <v>1450</v>
      </c>
      <c r="F823" s="27" t="s">
        <v>1453</v>
      </c>
      <c r="H823" s="27" t="s">
        <v>1454</v>
      </c>
      <c r="J823" s="27" t="s">
        <v>18547</v>
      </c>
      <c r="L823" s="27" t="s">
        <v>18891</v>
      </c>
      <c r="M823" s="27" t="s">
        <v>1497</v>
      </c>
      <c r="N823" s="27" t="s">
        <v>19009</v>
      </c>
      <c r="P823" s="27" t="s">
        <v>19010</v>
      </c>
      <c r="Q823" s="26" t="str">
        <f>HYPERLINK("https://ictv.global/taxonomy/taxondetails?taxnode_id=202508366&amp;ictv_id=ICTV201908366","ICTV201908366")</f>
        <v>ICTV201908366</v>
      </c>
      <c r="R823" t="s">
        <v>579</v>
      </c>
      <c r="S823" t="s">
        <v>22764</v>
      </c>
      <c r="T823">
        <v>40</v>
      </c>
      <c r="U823" s="26" t="str">
        <f t="shared" si="29"/>
        <v>2024.045B.Autographivirales.zip</v>
      </c>
    </row>
    <row r="824" spans="1:21">
      <c r="A824">
        <v>823</v>
      </c>
      <c r="B824" s="27" t="s">
        <v>1449</v>
      </c>
      <c r="D824" s="27" t="s">
        <v>1450</v>
      </c>
      <c r="F824" s="27" t="s">
        <v>1453</v>
      </c>
      <c r="H824" s="27" t="s">
        <v>1454</v>
      </c>
      <c r="J824" s="27" t="s">
        <v>18547</v>
      </c>
      <c r="L824" s="27" t="s">
        <v>18891</v>
      </c>
      <c r="M824" s="27" t="s">
        <v>1497</v>
      </c>
      <c r="N824" s="27" t="s">
        <v>19009</v>
      </c>
      <c r="P824" s="27" t="s">
        <v>19011</v>
      </c>
      <c r="Q824" s="26" t="str">
        <f>HYPERLINK("https://ictv.global/taxonomy/taxondetails?taxnode_id=202508365&amp;ictv_id=ICTV201908365","ICTV201908365")</f>
        <v>ICTV201908365</v>
      </c>
      <c r="R824" t="s">
        <v>579</v>
      </c>
      <c r="S824" t="s">
        <v>22764</v>
      </c>
      <c r="T824">
        <v>40</v>
      </c>
      <c r="U824" s="26" t="str">
        <f t="shared" si="29"/>
        <v>2024.045B.Autographivirales.zip</v>
      </c>
    </row>
    <row r="825" spans="1:21">
      <c r="A825">
        <v>824</v>
      </c>
      <c r="B825" s="27" t="s">
        <v>1449</v>
      </c>
      <c r="D825" s="27" t="s">
        <v>1450</v>
      </c>
      <c r="F825" s="27" t="s">
        <v>1453</v>
      </c>
      <c r="H825" s="27" t="s">
        <v>1454</v>
      </c>
      <c r="J825" s="27" t="s">
        <v>18547</v>
      </c>
      <c r="L825" s="27" t="s">
        <v>18891</v>
      </c>
      <c r="M825" s="27" t="s">
        <v>1497</v>
      </c>
      <c r="N825" s="27" t="s">
        <v>1513</v>
      </c>
      <c r="P825" s="27" t="s">
        <v>4381</v>
      </c>
      <c r="Q825" s="26" t="str">
        <f>HYPERLINK("https://ictv.global/taxonomy/taxondetails?taxnode_id=202508357&amp;ictv_id=ICTV201908357","ICTV201908357")</f>
        <v>ICTV201908357</v>
      </c>
      <c r="R825" t="s">
        <v>579</v>
      </c>
      <c r="S825" t="s">
        <v>22763</v>
      </c>
      <c r="T825">
        <v>40</v>
      </c>
      <c r="U825" s="26" t="str">
        <f t="shared" si="29"/>
        <v>2024.045B.Autographivirales.zip</v>
      </c>
    </row>
    <row r="826" spans="1:21">
      <c r="A826">
        <v>825</v>
      </c>
      <c r="B826" s="27" t="s">
        <v>1449</v>
      </c>
      <c r="D826" s="27" t="s">
        <v>1450</v>
      </c>
      <c r="F826" s="27" t="s">
        <v>1453</v>
      </c>
      <c r="H826" s="27" t="s">
        <v>1454</v>
      </c>
      <c r="J826" s="27" t="s">
        <v>18547</v>
      </c>
      <c r="L826" s="27" t="s">
        <v>18891</v>
      </c>
      <c r="M826" s="27" t="s">
        <v>1497</v>
      </c>
      <c r="N826" s="27" t="s">
        <v>1513</v>
      </c>
      <c r="P826" s="27" t="s">
        <v>19012</v>
      </c>
      <c r="Q826" s="26" t="str">
        <f>HYPERLINK("https://ictv.global/taxonomy/taxondetails?taxnode_id=202521486&amp;ictv_id=ICTV202421486","ICTV202421486")</f>
        <v>ICTV202421486</v>
      </c>
      <c r="R826" t="s">
        <v>579</v>
      </c>
      <c r="S826" t="s">
        <v>823</v>
      </c>
      <c r="T826">
        <v>40</v>
      </c>
      <c r="U826" s="26" t="str">
        <f t="shared" si="29"/>
        <v>2024.045B.Autographivirales.zip</v>
      </c>
    </row>
    <row r="827" spans="1:21">
      <c r="A827">
        <v>826</v>
      </c>
      <c r="B827" s="27" t="s">
        <v>1449</v>
      </c>
      <c r="D827" s="27" t="s">
        <v>1450</v>
      </c>
      <c r="F827" s="27" t="s">
        <v>1453</v>
      </c>
      <c r="H827" s="27" t="s">
        <v>1454</v>
      </c>
      <c r="J827" s="27" t="s">
        <v>18547</v>
      </c>
      <c r="L827" s="27" t="s">
        <v>18891</v>
      </c>
      <c r="M827" s="27" t="s">
        <v>1497</v>
      </c>
      <c r="N827" s="27" t="s">
        <v>1514</v>
      </c>
      <c r="P827" s="27" t="s">
        <v>19013</v>
      </c>
      <c r="Q827" s="26" t="str">
        <f>HYPERLINK("https://ictv.global/taxonomy/taxondetails?taxnode_id=202521488&amp;ictv_id=ICTV202421488","ICTV202421488")</f>
        <v>ICTV202421488</v>
      </c>
      <c r="R827" t="s">
        <v>579</v>
      </c>
      <c r="S827" t="s">
        <v>823</v>
      </c>
      <c r="T827">
        <v>40</v>
      </c>
      <c r="U827" s="26" t="str">
        <f t="shared" si="29"/>
        <v>2024.045B.Autographivirales.zip</v>
      </c>
    </row>
    <row r="828" spans="1:21">
      <c r="A828">
        <v>827</v>
      </c>
      <c r="B828" s="27" t="s">
        <v>1449</v>
      </c>
      <c r="D828" s="27" t="s">
        <v>1450</v>
      </c>
      <c r="F828" s="27" t="s">
        <v>1453</v>
      </c>
      <c r="H828" s="27" t="s">
        <v>1454</v>
      </c>
      <c r="J828" s="27" t="s">
        <v>18547</v>
      </c>
      <c r="L828" s="27" t="s">
        <v>18891</v>
      </c>
      <c r="M828" s="27" t="s">
        <v>1497</v>
      </c>
      <c r="N828" s="27" t="s">
        <v>1514</v>
      </c>
      <c r="P828" s="27" t="s">
        <v>4382</v>
      </c>
      <c r="Q828" s="26" t="str">
        <f>HYPERLINK("https://ictv.global/taxonomy/taxondetails?taxnode_id=202508362&amp;ictv_id=ICTV201908362","ICTV201908362")</f>
        <v>ICTV201908362</v>
      </c>
      <c r="R828" t="s">
        <v>579</v>
      </c>
      <c r="S828" t="s">
        <v>22763</v>
      </c>
      <c r="T828">
        <v>40</v>
      </c>
      <c r="U828" s="26" t="str">
        <f t="shared" si="29"/>
        <v>2024.045B.Autographivirales.zip</v>
      </c>
    </row>
    <row r="829" spans="1:21">
      <c r="A829">
        <v>828</v>
      </c>
      <c r="B829" s="27" t="s">
        <v>1449</v>
      </c>
      <c r="D829" s="27" t="s">
        <v>1450</v>
      </c>
      <c r="F829" s="27" t="s">
        <v>1453</v>
      </c>
      <c r="H829" s="27" t="s">
        <v>1454</v>
      </c>
      <c r="J829" s="27" t="s">
        <v>18547</v>
      </c>
      <c r="L829" s="27" t="s">
        <v>18891</v>
      </c>
      <c r="M829" s="27" t="s">
        <v>1497</v>
      </c>
      <c r="N829" s="27" t="s">
        <v>1514</v>
      </c>
      <c r="P829" s="27" t="s">
        <v>4383</v>
      </c>
      <c r="Q829" s="26" t="str">
        <f>HYPERLINK("https://ictv.global/taxonomy/taxondetails?taxnode_id=202508361&amp;ictv_id=ICTV201908361","ICTV201908361")</f>
        <v>ICTV201908361</v>
      </c>
      <c r="R829" t="s">
        <v>579</v>
      </c>
      <c r="S829" t="s">
        <v>22763</v>
      </c>
      <c r="T829">
        <v>40</v>
      </c>
      <c r="U829" s="26" t="str">
        <f t="shared" si="29"/>
        <v>2024.045B.Autographivirales.zip</v>
      </c>
    </row>
    <row r="830" spans="1:21">
      <c r="A830">
        <v>829</v>
      </c>
      <c r="B830" s="27" t="s">
        <v>1449</v>
      </c>
      <c r="D830" s="27" t="s">
        <v>1450</v>
      </c>
      <c r="F830" s="27" t="s">
        <v>1453</v>
      </c>
      <c r="H830" s="27" t="s">
        <v>1454</v>
      </c>
      <c r="J830" s="27" t="s">
        <v>18547</v>
      </c>
      <c r="L830" s="27" t="s">
        <v>18891</v>
      </c>
      <c r="M830" s="27" t="s">
        <v>1497</v>
      </c>
      <c r="N830" s="27" t="s">
        <v>1514</v>
      </c>
      <c r="P830" s="27" t="s">
        <v>4384</v>
      </c>
      <c r="Q830" s="26" t="str">
        <f>HYPERLINK("https://ictv.global/taxonomy/taxondetails?taxnode_id=202508363&amp;ictv_id=ICTV201908363","ICTV201908363")</f>
        <v>ICTV201908363</v>
      </c>
      <c r="R830" t="s">
        <v>579</v>
      </c>
      <c r="S830" t="s">
        <v>22763</v>
      </c>
      <c r="T830">
        <v>40</v>
      </c>
      <c r="U830" s="26" t="str">
        <f t="shared" si="29"/>
        <v>2024.045B.Autographivirales.zip</v>
      </c>
    </row>
    <row r="831" spans="1:21">
      <c r="A831">
        <v>830</v>
      </c>
      <c r="B831" s="27" t="s">
        <v>1449</v>
      </c>
      <c r="D831" s="27" t="s">
        <v>1450</v>
      </c>
      <c r="F831" s="27" t="s">
        <v>1453</v>
      </c>
      <c r="H831" s="27" t="s">
        <v>1454</v>
      </c>
      <c r="J831" s="27" t="s">
        <v>18547</v>
      </c>
      <c r="L831" s="27" t="s">
        <v>18891</v>
      </c>
      <c r="M831" s="27" t="s">
        <v>1497</v>
      </c>
      <c r="N831" s="27" t="s">
        <v>1515</v>
      </c>
      <c r="P831" s="27" t="s">
        <v>19014</v>
      </c>
      <c r="Q831" s="26" t="str">
        <f>HYPERLINK("https://ictv.global/taxonomy/taxondetails?taxnode_id=202521485&amp;ictv_id=ICTV202421485","ICTV202421485")</f>
        <v>ICTV202421485</v>
      </c>
      <c r="R831" t="s">
        <v>579</v>
      </c>
      <c r="S831" t="s">
        <v>823</v>
      </c>
      <c r="T831">
        <v>40</v>
      </c>
      <c r="U831" s="26" t="str">
        <f t="shared" si="29"/>
        <v>2024.045B.Autographivirales.zip</v>
      </c>
    </row>
    <row r="832" spans="1:21">
      <c r="A832">
        <v>831</v>
      </c>
      <c r="B832" s="27" t="s">
        <v>1449</v>
      </c>
      <c r="D832" s="27" t="s">
        <v>1450</v>
      </c>
      <c r="F832" s="27" t="s">
        <v>1453</v>
      </c>
      <c r="H832" s="27" t="s">
        <v>1454</v>
      </c>
      <c r="J832" s="27" t="s">
        <v>18547</v>
      </c>
      <c r="L832" s="27" t="s">
        <v>18891</v>
      </c>
      <c r="M832" s="27" t="s">
        <v>1497</v>
      </c>
      <c r="N832" s="27" t="s">
        <v>1515</v>
      </c>
      <c r="P832" s="27" t="s">
        <v>4385</v>
      </c>
      <c r="Q832" s="26" t="str">
        <f>HYPERLINK("https://ictv.global/taxonomy/taxondetails?taxnode_id=202508355&amp;ictv_id=ICTV201908355","ICTV201908355")</f>
        <v>ICTV201908355</v>
      </c>
      <c r="R832" t="s">
        <v>579</v>
      </c>
      <c r="S832" t="s">
        <v>22763</v>
      </c>
      <c r="T832">
        <v>40</v>
      </c>
      <c r="U832" s="26" t="str">
        <f t="shared" si="29"/>
        <v>2024.045B.Autographivirales.zip</v>
      </c>
    </row>
    <row r="833" spans="1:21">
      <c r="A833">
        <v>832</v>
      </c>
      <c r="B833" s="27" t="s">
        <v>1449</v>
      </c>
      <c r="D833" s="27" t="s">
        <v>1450</v>
      </c>
      <c r="F833" s="27" t="s">
        <v>1453</v>
      </c>
      <c r="H833" s="27" t="s">
        <v>1454</v>
      </c>
      <c r="J833" s="27" t="s">
        <v>18547</v>
      </c>
      <c r="L833" s="27" t="s">
        <v>18891</v>
      </c>
      <c r="M833" s="27" t="s">
        <v>1497</v>
      </c>
      <c r="N833" s="27" t="s">
        <v>1515</v>
      </c>
      <c r="P833" s="27" t="s">
        <v>19015</v>
      </c>
      <c r="Q833" s="26" t="str">
        <f>HYPERLINK("https://ictv.global/taxonomy/taxondetails?taxnode_id=202521482&amp;ictv_id=ICTV202421482","ICTV202421482")</f>
        <v>ICTV202421482</v>
      </c>
      <c r="R833" t="s">
        <v>579</v>
      </c>
      <c r="S833" t="s">
        <v>823</v>
      </c>
      <c r="T833">
        <v>40</v>
      </c>
      <c r="U833" s="26" t="str">
        <f t="shared" si="29"/>
        <v>2024.045B.Autographivirales.zip</v>
      </c>
    </row>
    <row r="834" spans="1:21">
      <c r="A834">
        <v>833</v>
      </c>
      <c r="B834" s="27" t="s">
        <v>1449</v>
      </c>
      <c r="D834" s="27" t="s">
        <v>1450</v>
      </c>
      <c r="F834" s="27" t="s">
        <v>1453</v>
      </c>
      <c r="H834" s="27" t="s">
        <v>1454</v>
      </c>
      <c r="J834" s="27" t="s">
        <v>18547</v>
      </c>
      <c r="L834" s="27" t="s">
        <v>18891</v>
      </c>
      <c r="M834" s="27" t="s">
        <v>1497</v>
      </c>
      <c r="N834" s="27" t="s">
        <v>1275</v>
      </c>
      <c r="P834" s="27" t="s">
        <v>19016</v>
      </c>
      <c r="Q834" s="26" t="str">
        <f>HYPERLINK("https://ictv.global/taxonomy/taxondetails?taxnode_id=202521294&amp;ictv_id=ICTV202421294","ICTV202421294")</f>
        <v>ICTV202421294</v>
      </c>
      <c r="R834" t="s">
        <v>579</v>
      </c>
      <c r="S834" t="s">
        <v>823</v>
      </c>
      <c r="T834">
        <v>40</v>
      </c>
      <c r="U834" s="26" t="str">
        <f t="shared" si="29"/>
        <v>2024.045B.Autographivirales.zip</v>
      </c>
    </row>
    <row r="835" spans="1:21">
      <c r="A835">
        <v>834</v>
      </c>
      <c r="B835" s="27" t="s">
        <v>1449</v>
      </c>
      <c r="D835" s="27" t="s">
        <v>1450</v>
      </c>
      <c r="F835" s="27" t="s">
        <v>1453</v>
      </c>
      <c r="H835" s="27" t="s">
        <v>1454</v>
      </c>
      <c r="J835" s="27" t="s">
        <v>18547</v>
      </c>
      <c r="L835" s="27" t="s">
        <v>18891</v>
      </c>
      <c r="M835" s="27" t="s">
        <v>1497</v>
      </c>
      <c r="N835" s="27" t="s">
        <v>1275</v>
      </c>
      <c r="P835" s="27" t="s">
        <v>19017</v>
      </c>
      <c r="Q835" s="26" t="str">
        <f>HYPERLINK("https://ictv.global/taxonomy/taxondetails?taxnode_id=202521245&amp;ictv_id=ICTV202421245","ICTV202421245")</f>
        <v>ICTV202421245</v>
      </c>
      <c r="R835" t="s">
        <v>579</v>
      </c>
      <c r="S835" t="s">
        <v>823</v>
      </c>
      <c r="T835">
        <v>40</v>
      </c>
      <c r="U835" s="26" t="str">
        <f t="shared" si="29"/>
        <v>2024.045B.Autographivirales.zip</v>
      </c>
    </row>
    <row r="836" spans="1:21">
      <c r="A836">
        <v>835</v>
      </c>
      <c r="B836" s="27" t="s">
        <v>1449</v>
      </c>
      <c r="D836" s="27" t="s">
        <v>1450</v>
      </c>
      <c r="F836" s="27" t="s">
        <v>1453</v>
      </c>
      <c r="H836" s="27" t="s">
        <v>1454</v>
      </c>
      <c r="J836" s="27" t="s">
        <v>18547</v>
      </c>
      <c r="L836" s="27" t="s">
        <v>18891</v>
      </c>
      <c r="M836" s="27" t="s">
        <v>1497</v>
      </c>
      <c r="N836" s="27" t="s">
        <v>1275</v>
      </c>
      <c r="P836" s="27" t="s">
        <v>19018</v>
      </c>
      <c r="Q836" s="26" t="str">
        <f>HYPERLINK("https://ictv.global/taxonomy/taxondetails?taxnode_id=202521315&amp;ictv_id=ICTV202421315","ICTV202421315")</f>
        <v>ICTV202421315</v>
      </c>
      <c r="R836" t="s">
        <v>579</v>
      </c>
      <c r="S836" t="s">
        <v>823</v>
      </c>
      <c r="T836">
        <v>40</v>
      </c>
      <c r="U836" s="26" t="str">
        <f t="shared" si="29"/>
        <v>2024.045B.Autographivirales.zip</v>
      </c>
    </row>
    <row r="837" spans="1:21">
      <c r="A837">
        <v>836</v>
      </c>
      <c r="B837" s="27" t="s">
        <v>1449</v>
      </c>
      <c r="D837" s="27" t="s">
        <v>1450</v>
      </c>
      <c r="F837" s="27" t="s">
        <v>1453</v>
      </c>
      <c r="H837" s="27" t="s">
        <v>1454</v>
      </c>
      <c r="J837" s="27" t="s">
        <v>18547</v>
      </c>
      <c r="L837" s="27" t="s">
        <v>18891</v>
      </c>
      <c r="M837" s="27" t="s">
        <v>1497</v>
      </c>
      <c r="N837" s="27" t="s">
        <v>1275</v>
      </c>
      <c r="P837" s="27" t="s">
        <v>4386</v>
      </c>
      <c r="Q837" s="26" t="str">
        <f>HYPERLINK("https://ictv.global/taxonomy/taxondetails?taxnode_id=202508439&amp;ictv_id=ICTV201908439","ICTV201908439")</f>
        <v>ICTV201908439</v>
      </c>
      <c r="R837" t="s">
        <v>579</v>
      </c>
      <c r="S837" t="s">
        <v>22763</v>
      </c>
      <c r="T837">
        <v>40</v>
      </c>
      <c r="U837" s="26" t="str">
        <f t="shared" si="29"/>
        <v>2024.045B.Autographivirales.zip</v>
      </c>
    </row>
    <row r="838" spans="1:21">
      <c r="A838">
        <v>837</v>
      </c>
      <c r="B838" s="27" t="s">
        <v>1449</v>
      </c>
      <c r="D838" s="27" t="s">
        <v>1450</v>
      </c>
      <c r="F838" s="27" t="s">
        <v>1453</v>
      </c>
      <c r="H838" s="27" t="s">
        <v>1454</v>
      </c>
      <c r="J838" s="27" t="s">
        <v>18547</v>
      </c>
      <c r="L838" s="27" t="s">
        <v>18891</v>
      </c>
      <c r="M838" s="27" t="s">
        <v>1497</v>
      </c>
      <c r="N838" s="27" t="s">
        <v>1275</v>
      </c>
      <c r="P838" s="27" t="s">
        <v>19019</v>
      </c>
      <c r="Q838" s="26" t="str">
        <f>HYPERLINK("https://ictv.global/taxonomy/taxondetails?taxnode_id=202521231&amp;ictv_id=ICTV202421231","ICTV202421231")</f>
        <v>ICTV202421231</v>
      </c>
      <c r="R838" t="s">
        <v>579</v>
      </c>
      <c r="S838" t="s">
        <v>823</v>
      </c>
      <c r="T838">
        <v>40</v>
      </c>
      <c r="U838" s="26" t="str">
        <f t="shared" si="29"/>
        <v>2024.045B.Autographivirales.zip</v>
      </c>
    </row>
    <row r="839" spans="1:21">
      <c r="A839">
        <v>838</v>
      </c>
      <c r="B839" s="27" t="s">
        <v>1449</v>
      </c>
      <c r="D839" s="27" t="s">
        <v>1450</v>
      </c>
      <c r="F839" s="27" t="s">
        <v>1453</v>
      </c>
      <c r="H839" s="27" t="s">
        <v>1454</v>
      </c>
      <c r="J839" s="27" t="s">
        <v>18547</v>
      </c>
      <c r="L839" s="27" t="s">
        <v>18891</v>
      </c>
      <c r="M839" s="27" t="s">
        <v>1497</v>
      </c>
      <c r="N839" s="27" t="s">
        <v>1275</v>
      </c>
      <c r="P839" s="27" t="s">
        <v>19020</v>
      </c>
      <c r="Q839" s="26" t="str">
        <f>HYPERLINK("https://ictv.global/taxonomy/taxondetails?taxnode_id=202521288&amp;ictv_id=ICTV202421288","ICTV202421288")</f>
        <v>ICTV202421288</v>
      </c>
      <c r="R839" t="s">
        <v>579</v>
      </c>
      <c r="S839" t="s">
        <v>823</v>
      </c>
      <c r="T839">
        <v>40</v>
      </c>
      <c r="U839" s="26" t="str">
        <f t="shared" si="29"/>
        <v>2024.045B.Autographivirales.zip</v>
      </c>
    </row>
    <row r="840" spans="1:21">
      <c r="A840">
        <v>839</v>
      </c>
      <c r="B840" s="27" t="s">
        <v>1449</v>
      </c>
      <c r="D840" s="27" t="s">
        <v>1450</v>
      </c>
      <c r="F840" s="27" t="s">
        <v>1453</v>
      </c>
      <c r="H840" s="27" t="s">
        <v>1454</v>
      </c>
      <c r="J840" s="27" t="s">
        <v>18547</v>
      </c>
      <c r="L840" s="27" t="s">
        <v>18891</v>
      </c>
      <c r="M840" s="27" t="s">
        <v>1497</v>
      </c>
      <c r="N840" s="27" t="s">
        <v>1275</v>
      </c>
      <c r="P840" s="27" t="s">
        <v>19021</v>
      </c>
      <c r="Q840" s="26" t="str">
        <f>HYPERLINK("https://ictv.global/taxonomy/taxondetails?taxnode_id=202521283&amp;ictv_id=ICTV202421283","ICTV202421283")</f>
        <v>ICTV202421283</v>
      </c>
      <c r="R840" t="s">
        <v>579</v>
      </c>
      <c r="S840" t="s">
        <v>823</v>
      </c>
      <c r="T840">
        <v>40</v>
      </c>
      <c r="U840" s="26" t="str">
        <f t="shared" si="29"/>
        <v>2024.045B.Autographivirales.zip</v>
      </c>
    </row>
    <row r="841" spans="1:21">
      <c r="A841">
        <v>840</v>
      </c>
      <c r="B841" s="27" t="s">
        <v>1449</v>
      </c>
      <c r="D841" s="27" t="s">
        <v>1450</v>
      </c>
      <c r="F841" s="27" t="s">
        <v>1453</v>
      </c>
      <c r="H841" s="27" t="s">
        <v>1454</v>
      </c>
      <c r="J841" s="27" t="s">
        <v>18547</v>
      </c>
      <c r="L841" s="27" t="s">
        <v>18891</v>
      </c>
      <c r="M841" s="27" t="s">
        <v>1497</v>
      </c>
      <c r="N841" s="27" t="s">
        <v>1275</v>
      </c>
      <c r="P841" s="27" t="s">
        <v>11313</v>
      </c>
      <c r="Q841" s="26" t="str">
        <f>HYPERLINK("https://ictv.global/taxonomy/taxondetails?taxnode_id=202519240&amp;ictv_id=ICTV202319240","ICTV202319240")</f>
        <v>ICTV202319240</v>
      </c>
      <c r="R841" t="s">
        <v>579</v>
      </c>
      <c r="S841" t="s">
        <v>22763</v>
      </c>
      <c r="T841">
        <v>40</v>
      </c>
      <c r="U841" s="26" t="str">
        <f t="shared" si="29"/>
        <v>2024.045B.Autographivirales.zip</v>
      </c>
    </row>
    <row r="842" spans="1:21">
      <c r="A842">
        <v>841</v>
      </c>
      <c r="B842" s="27" t="s">
        <v>1449</v>
      </c>
      <c r="D842" s="27" t="s">
        <v>1450</v>
      </c>
      <c r="F842" s="27" t="s">
        <v>1453</v>
      </c>
      <c r="H842" s="27" t="s">
        <v>1454</v>
      </c>
      <c r="J842" s="27" t="s">
        <v>18547</v>
      </c>
      <c r="L842" s="27" t="s">
        <v>18891</v>
      </c>
      <c r="M842" s="27" t="s">
        <v>1497</v>
      </c>
      <c r="N842" s="27" t="s">
        <v>1275</v>
      </c>
      <c r="P842" s="27" t="s">
        <v>4387</v>
      </c>
      <c r="Q842" s="26" t="str">
        <f>HYPERLINK("https://ictv.global/taxonomy/taxondetails?taxnode_id=202508438&amp;ictv_id=ICTV201908438","ICTV201908438")</f>
        <v>ICTV201908438</v>
      </c>
      <c r="R842" t="s">
        <v>579</v>
      </c>
      <c r="S842" t="s">
        <v>22763</v>
      </c>
      <c r="T842">
        <v>40</v>
      </c>
      <c r="U842" s="26" t="str">
        <f t="shared" si="29"/>
        <v>2024.045B.Autographivirales.zip</v>
      </c>
    </row>
    <row r="843" spans="1:21">
      <c r="A843">
        <v>842</v>
      </c>
      <c r="B843" s="27" t="s">
        <v>1449</v>
      </c>
      <c r="D843" s="27" t="s">
        <v>1450</v>
      </c>
      <c r="F843" s="27" t="s">
        <v>1453</v>
      </c>
      <c r="H843" s="27" t="s">
        <v>1454</v>
      </c>
      <c r="J843" s="27" t="s">
        <v>18547</v>
      </c>
      <c r="L843" s="27" t="s">
        <v>18891</v>
      </c>
      <c r="M843" s="27" t="s">
        <v>1497</v>
      </c>
      <c r="N843" s="27" t="s">
        <v>1275</v>
      </c>
      <c r="P843" s="27" t="s">
        <v>19022</v>
      </c>
      <c r="Q843" s="26" t="str">
        <f>HYPERLINK("https://ictv.global/taxonomy/taxondetails?taxnode_id=202521234&amp;ictv_id=ICTV202421234","ICTV202421234")</f>
        <v>ICTV202421234</v>
      </c>
      <c r="R843" t="s">
        <v>579</v>
      </c>
      <c r="S843" t="s">
        <v>823</v>
      </c>
      <c r="T843">
        <v>40</v>
      </c>
      <c r="U843" s="26" t="str">
        <f t="shared" si="29"/>
        <v>2024.045B.Autographivirales.zip</v>
      </c>
    </row>
    <row r="844" spans="1:21">
      <c r="A844">
        <v>843</v>
      </c>
      <c r="B844" s="27" t="s">
        <v>1449</v>
      </c>
      <c r="D844" s="27" t="s">
        <v>1450</v>
      </c>
      <c r="F844" s="27" t="s">
        <v>1453</v>
      </c>
      <c r="H844" s="27" t="s">
        <v>1454</v>
      </c>
      <c r="J844" s="27" t="s">
        <v>18547</v>
      </c>
      <c r="L844" s="27" t="s">
        <v>18891</v>
      </c>
      <c r="M844" s="27" t="s">
        <v>1497</v>
      </c>
      <c r="N844" s="27" t="s">
        <v>1275</v>
      </c>
      <c r="P844" s="27" t="s">
        <v>19023</v>
      </c>
      <c r="Q844" s="26" t="str">
        <f>HYPERLINK("https://ictv.global/taxonomy/taxondetails?taxnode_id=202521317&amp;ictv_id=ICTV202421317","ICTV202421317")</f>
        <v>ICTV202421317</v>
      </c>
      <c r="R844" t="s">
        <v>579</v>
      </c>
      <c r="S844" t="s">
        <v>823</v>
      </c>
      <c r="T844">
        <v>40</v>
      </c>
      <c r="U844" s="26" t="str">
        <f t="shared" si="29"/>
        <v>2024.045B.Autographivirales.zip</v>
      </c>
    </row>
    <row r="845" spans="1:21">
      <c r="A845">
        <v>844</v>
      </c>
      <c r="B845" s="27" t="s">
        <v>1449</v>
      </c>
      <c r="D845" s="27" t="s">
        <v>1450</v>
      </c>
      <c r="F845" s="27" t="s">
        <v>1453</v>
      </c>
      <c r="H845" s="27" t="s">
        <v>1454</v>
      </c>
      <c r="J845" s="27" t="s">
        <v>18547</v>
      </c>
      <c r="L845" s="27" t="s">
        <v>18891</v>
      </c>
      <c r="M845" s="27" t="s">
        <v>1497</v>
      </c>
      <c r="N845" s="27" t="s">
        <v>1275</v>
      </c>
      <c r="P845" s="27" t="s">
        <v>19024</v>
      </c>
      <c r="Q845" s="26" t="str">
        <f>HYPERLINK("https://ictv.global/taxonomy/taxondetails?taxnode_id=202521264&amp;ictv_id=ICTV202421264","ICTV202421264")</f>
        <v>ICTV202421264</v>
      </c>
      <c r="R845" t="s">
        <v>579</v>
      </c>
      <c r="S845" t="s">
        <v>823</v>
      </c>
      <c r="T845">
        <v>40</v>
      </c>
      <c r="U845" s="26" t="str">
        <f t="shared" si="29"/>
        <v>2024.045B.Autographivirales.zip</v>
      </c>
    </row>
    <row r="846" spans="1:21">
      <c r="A846">
        <v>845</v>
      </c>
      <c r="B846" s="27" t="s">
        <v>1449</v>
      </c>
      <c r="D846" s="27" t="s">
        <v>1450</v>
      </c>
      <c r="F846" s="27" t="s">
        <v>1453</v>
      </c>
      <c r="H846" s="27" t="s">
        <v>1454</v>
      </c>
      <c r="J846" s="27" t="s">
        <v>18547</v>
      </c>
      <c r="L846" s="27" t="s">
        <v>18891</v>
      </c>
      <c r="M846" s="27" t="s">
        <v>1497</v>
      </c>
      <c r="N846" s="27" t="s">
        <v>1275</v>
      </c>
      <c r="P846" s="27" t="s">
        <v>19025</v>
      </c>
      <c r="Q846" s="26" t="str">
        <f>HYPERLINK("https://ictv.global/taxonomy/taxondetails?taxnode_id=202521287&amp;ictv_id=ICTV202421287","ICTV202421287")</f>
        <v>ICTV202421287</v>
      </c>
      <c r="R846" t="s">
        <v>579</v>
      </c>
      <c r="S846" t="s">
        <v>823</v>
      </c>
      <c r="T846">
        <v>40</v>
      </c>
      <c r="U846" s="26" t="str">
        <f t="shared" si="29"/>
        <v>2024.045B.Autographivirales.zip</v>
      </c>
    </row>
    <row r="847" spans="1:21">
      <c r="A847">
        <v>846</v>
      </c>
      <c r="B847" s="27" t="s">
        <v>1449</v>
      </c>
      <c r="D847" s="27" t="s">
        <v>1450</v>
      </c>
      <c r="F847" s="27" t="s">
        <v>1453</v>
      </c>
      <c r="H847" s="27" t="s">
        <v>1454</v>
      </c>
      <c r="J847" s="27" t="s">
        <v>18547</v>
      </c>
      <c r="L847" s="27" t="s">
        <v>18891</v>
      </c>
      <c r="M847" s="27" t="s">
        <v>1497</v>
      </c>
      <c r="N847" s="27" t="s">
        <v>1275</v>
      </c>
      <c r="P847" s="27" t="s">
        <v>19026</v>
      </c>
      <c r="Q847" s="26" t="str">
        <f>HYPERLINK("https://ictv.global/taxonomy/taxondetails?taxnode_id=202521239&amp;ictv_id=ICTV202421239","ICTV202421239")</f>
        <v>ICTV202421239</v>
      </c>
      <c r="R847" t="s">
        <v>579</v>
      </c>
      <c r="S847" t="s">
        <v>823</v>
      </c>
      <c r="T847">
        <v>40</v>
      </c>
      <c r="U847" s="26" t="str">
        <f t="shared" si="29"/>
        <v>2024.045B.Autographivirales.zip</v>
      </c>
    </row>
    <row r="848" spans="1:21">
      <c r="A848">
        <v>847</v>
      </c>
      <c r="B848" s="27" t="s">
        <v>1449</v>
      </c>
      <c r="D848" s="27" t="s">
        <v>1450</v>
      </c>
      <c r="F848" s="27" t="s">
        <v>1453</v>
      </c>
      <c r="H848" s="27" t="s">
        <v>1454</v>
      </c>
      <c r="J848" s="27" t="s">
        <v>18547</v>
      </c>
      <c r="L848" s="27" t="s">
        <v>18891</v>
      </c>
      <c r="M848" s="27" t="s">
        <v>1497</v>
      </c>
      <c r="N848" s="27" t="s">
        <v>1275</v>
      </c>
      <c r="P848" s="27" t="s">
        <v>19027</v>
      </c>
      <c r="Q848" s="26" t="str">
        <f>HYPERLINK("https://ictv.global/taxonomy/taxondetails?taxnode_id=202521278&amp;ictv_id=ICTV202421278","ICTV202421278")</f>
        <v>ICTV202421278</v>
      </c>
      <c r="R848" t="s">
        <v>579</v>
      </c>
      <c r="S848" t="s">
        <v>823</v>
      </c>
      <c r="T848">
        <v>40</v>
      </c>
      <c r="U848" s="26" t="str">
        <f t="shared" si="29"/>
        <v>2024.045B.Autographivirales.zip</v>
      </c>
    </row>
    <row r="849" spans="1:21">
      <c r="A849">
        <v>848</v>
      </c>
      <c r="B849" s="27" t="s">
        <v>1449</v>
      </c>
      <c r="D849" s="27" t="s">
        <v>1450</v>
      </c>
      <c r="F849" s="27" t="s">
        <v>1453</v>
      </c>
      <c r="H849" s="27" t="s">
        <v>1454</v>
      </c>
      <c r="J849" s="27" t="s">
        <v>18547</v>
      </c>
      <c r="L849" s="27" t="s">
        <v>18891</v>
      </c>
      <c r="M849" s="27" t="s">
        <v>1497</v>
      </c>
      <c r="N849" s="27" t="s">
        <v>1275</v>
      </c>
      <c r="P849" s="27" t="s">
        <v>19028</v>
      </c>
      <c r="Q849" s="26" t="str">
        <f>HYPERLINK("https://ictv.global/taxonomy/taxondetails?taxnode_id=202521279&amp;ictv_id=ICTV202421279","ICTV202421279")</f>
        <v>ICTV202421279</v>
      </c>
      <c r="R849" t="s">
        <v>579</v>
      </c>
      <c r="S849" t="s">
        <v>823</v>
      </c>
      <c r="T849">
        <v>40</v>
      </c>
      <c r="U849" s="26" t="str">
        <f t="shared" ref="U849:U859" si="30">HYPERLINK("https://ictv.global/ictv/proposals/2024.045B.Autographivirales.zip","2024.045B.Autographivirales.zip")</f>
        <v>2024.045B.Autographivirales.zip</v>
      </c>
    </row>
    <row r="850" spans="1:21">
      <c r="A850">
        <v>849</v>
      </c>
      <c r="B850" s="27" t="s">
        <v>1449</v>
      </c>
      <c r="D850" s="27" t="s">
        <v>1450</v>
      </c>
      <c r="F850" s="27" t="s">
        <v>1453</v>
      </c>
      <c r="H850" s="27" t="s">
        <v>1454</v>
      </c>
      <c r="J850" s="27" t="s">
        <v>18547</v>
      </c>
      <c r="L850" s="27" t="s">
        <v>18891</v>
      </c>
      <c r="M850" s="27" t="s">
        <v>1497</v>
      </c>
      <c r="N850" s="27" t="s">
        <v>1275</v>
      </c>
      <c r="P850" s="27" t="s">
        <v>19029</v>
      </c>
      <c r="Q850" s="26" t="str">
        <f>HYPERLINK("https://ictv.global/taxonomy/taxondetails?taxnode_id=202521280&amp;ictv_id=ICTV202421280","ICTV202421280")</f>
        <v>ICTV202421280</v>
      </c>
      <c r="R850" t="s">
        <v>579</v>
      </c>
      <c r="S850" t="s">
        <v>823</v>
      </c>
      <c r="T850">
        <v>40</v>
      </c>
      <c r="U850" s="26" t="str">
        <f t="shared" si="30"/>
        <v>2024.045B.Autographivirales.zip</v>
      </c>
    </row>
    <row r="851" spans="1:21">
      <c r="A851">
        <v>850</v>
      </c>
      <c r="B851" s="27" t="s">
        <v>1449</v>
      </c>
      <c r="D851" s="27" t="s">
        <v>1450</v>
      </c>
      <c r="F851" s="27" t="s">
        <v>1453</v>
      </c>
      <c r="H851" s="27" t="s">
        <v>1454</v>
      </c>
      <c r="J851" s="27" t="s">
        <v>18547</v>
      </c>
      <c r="L851" s="27" t="s">
        <v>18891</v>
      </c>
      <c r="M851" s="27" t="s">
        <v>1497</v>
      </c>
      <c r="N851" s="27" t="s">
        <v>1275</v>
      </c>
      <c r="P851" s="27" t="s">
        <v>19030</v>
      </c>
      <c r="Q851" s="26" t="str">
        <f>HYPERLINK("https://ictv.global/taxonomy/taxondetails?taxnode_id=202521277&amp;ictv_id=ICTV202421277","ICTV202421277")</f>
        <v>ICTV202421277</v>
      </c>
      <c r="R851" t="s">
        <v>579</v>
      </c>
      <c r="S851" t="s">
        <v>823</v>
      </c>
      <c r="T851">
        <v>40</v>
      </c>
      <c r="U851" s="26" t="str">
        <f t="shared" si="30"/>
        <v>2024.045B.Autographivirales.zip</v>
      </c>
    </row>
    <row r="852" spans="1:21">
      <c r="A852">
        <v>851</v>
      </c>
      <c r="B852" s="27" t="s">
        <v>1449</v>
      </c>
      <c r="D852" s="27" t="s">
        <v>1450</v>
      </c>
      <c r="F852" s="27" t="s">
        <v>1453</v>
      </c>
      <c r="H852" s="27" t="s">
        <v>1454</v>
      </c>
      <c r="J852" s="27" t="s">
        <v>18547</v>
      </c>
      <c r="L852" s="27" t="s">
        <v>18891</v>
      </c>
      <c r="M852" s="27" t="s">
        <v>1497</v>
      </c>
      <c r="N852" s="27" t="s">
        <v>1275</v>
      </c>
      <c r="P852" s="27" t="s">
        <v>19031</v>
      </c>
      <c r="Q852" s="26" t="str">
        <f>HYPERLINK("https://ictv.global/taxonomy/taxondetails?taxnode_id=202521296&amp;ictv_id=ICTV202421296","ICTV202421296")</f>
        <v>ICTV202421296</v>
      </c>
      <c r="R852" t="s">
        <v>579</v>
      </c>
      <c r="S852" t="s">
        <v>823</v>
      </c>
      <c r="T852">
        <v>40</v>
      </c>
      <c r="U852" s="26" t="str">
        <f t="shared" si="30"/>
        <v>2024.045B.Autographivirales.zip</v>
      </c>
    </row>
    <row r="853" spans="1:21">
      <c r="A853">
        <v>852</v>
      </c>
      <c r="B853" s="27" t="s">
        <v>1449</v>
      </c>
      <c r="D853" s="27" t="s">
        <v>1450</v>
      </c>
      <c r="F853" s="27" t="s">
        <v>1453</v>
      </c>
      <c r="H853" s="27" t="s">
        <v>1454</v>
      </c>
      <c r="J853" s="27" t="s">
        <v>18547</v>
      </c>
      <c r="L853" s="27" t="s">
        <v>18891</v>
      </c>
      <c r="M853" s="27" t="s">
        <v>1497</v>
      </c>
      <c r="N853" s="27" t="s">
        <v>1275</v>
      </c>
      <c r="P853" s="27" t="s">
        <v>19032</v>
      </c>
      <c r="Q853" s="26" t="str">
        <f>HYPERLINK("https://ictv.global/taxonomy/taxondetails?taxnode_id=202521323&amp;ictv_id=ICTV202421323","ICTV202421323")</f>
        <v>ICTV202421323</v>
      </c>
      <c r="R853" t="s">
        <v>579</v>
      </c>
      <c r="S853" t="s">
        <v>823</v>
      </c>
      <c r="T853">
        <v>40</v>
      </c>
      <c r="U853" s="26" t="str">
        <f t="shared" si="30"/>
        <v>2024.045B.Autographivirales.zip</v>
      </c>
    </row>
    <row r="854" spans="1:21">
      <c r="A854">
        <v>853</v>
      </c>
      <c r="B854" s="27" t="s">
        <v>1449</v>
      </c>
      <c r="D854" s="27" t="s">
        <v>1450</v>
      </c>
      <c r="F854" s="27" t="s">
        <v>1453</v>
      </c>
      <c r="H854" s="27" t="s">
        <v>1454</v>
      </c>
      <c r="J854" s="27" t="s">
        <v>18547</v>
      </c>
      <c r="L854" s="27" t="s">
        <v>18891</v>
      </c>
      <c r="M854" s="27" t="s">
        <v>1497</v>
      </c>
      <c r="N854" s="27" t="s">
        <v>1275</v>
      </c>
      <c r="P854" s="27" t="s">
        <v>19033</v>
      </c>
      <c r="Q854" s="26" t="str">
        <f>HYPERLINK("https://ictv.global/taxonomy/taxondetails?taxnode_id=202521318&amp;ictv_id=ICTV202421318","ICTV202421318")</f>
        <v>ICTV202421318</v>
      </c>
      <c r="R854" t="s">
        <v>579</v>
      </c>
      <c r="S854" t="s">
        <v>823</v>
      </c>
      <c r="T854">
        <v>40</v>
      </c>
      <c r="U854" s="26" t="str">
        <f t="shared" si="30"/>
        <v>2024.045B.Autographivirales.zip</v>
      </c>
    </row>
    <row r="855" spans="1:21">
      <c r="A855">
        <v>854</v>
      </c>
      <c r="B855" s="27" t="s">
        <v>1449</v>
      </c>
      <c r="D855" s="27" t="s">
        <v>1450</v>
      </c>
      <c r="F855" s="27" t="s">
        <v>1453</v>
      </c>
      <c r="H855" s="27" t="s">
        <v>1454</v>
      </c>
      <c r="J855" s="27" t="s">
        <v>18547</v>
      </c>
      <c r="L855" s="27" t="s">
        <v>18891</v>
      </c>
      <c r="M855" s="27" t="s">
        <v>1497</v>
      </c>
      <c r="N855" s="27" t="s">
        <v>1275</v>
      </c>
      <c r="P855" s="27" t="s">
        <v>19034</v>
      </c>
      <c r="Q855" s="26" t="str">
        <f>HYPERLINK("https://ictv.global/taxonomy/taxondetails?taxnode_id=202521311&amp;ictv_id=ICTV202421311","ICTV202421311")</f>
        <v>ICTV202421311</v>
      </c>
      <c r="R855" t="s">
        <v>579</v>
      </c>
      <c r="S855" t="s">
        <v>823</v>
      </c>
      <c r="T855">
        <v>40</v>
      </c>
      <c r="U855" s="26" t="str">
        <f t="shared" si="30"/>
        <v>2024.045B.Autographivirales.zip</v>
      </c>
    </row>
    <row r="856" spans="1:21">
      <c r="A856">
        <v>855</v>
      </c>
      <c r="B856" s="27" t="s">
        <v>1449</v>
      </c>
      <c r="D856" s="27" t="s">
        <v>1450</v>
      </c>
      <c r="F856" s="27" t="s">
        <v>1453</v>
      </c>
      <c r="H856" s="27" t="s">
        <v>1454</v>
      </c>
      <c r="J856" s="27" t="s">
        <v>18547</v>
      </c>
      <c r="L856" s="27" t="s">
        <v>18891</v>
      </c>
      <c r="M856" s="27" t="s">
        <v>1497</v>
      </c>
      <c r="N856" s="27" t="s">
        <v>1275</v>
      </c>
      <c r="P856" s="27" t="s">
        <v>19035</v>
      </c>
      <c r="Q856" s="26" t="str">
        <f>HYPERLINK("https://ictv.global/taxonomy/taxondetails?taxnode_id=202521240&amp;ictv_id=ICTV202421240","ICTV202421240")</f>
        <v>ICTV202421240</v>
      </c>
      <c r="R856" t="s">
        <v>579</v>
      </c>
      <c r="S856" t="s">
        <v>823</v>
      </c>
      <c r="T856">
        <v>40</v>
      </c>
      <c r="U856" s="26" t="str">
        <f t="shared" si="30"/>
        <v>2024.045B.Autographivirales.zip</v>
      </c>
    </row>
    <row r="857" spans="1:21">
      <c r="A857">
        <v>856</v>
      </c>
      <c r="B857" s="27" t="s">
        <v>1449</v>
      </c>
      <c r="D857" s="27" t="s">
        <v>1450</v>
      </c>
      <c r="F857" s="27" t="s">
        <v>1453</v>
      </c>
      <c r="H857" s="27" t="s">
        <v>1454</v>
      </c>
      <c r="J857" s="27" t="s">
        <v>18547</v>
      </c>
      <c r="L857" s="27" t="s">
        <v>18891</v>
      </c>
      <c r="M857" s="27" t="s">
        <v>1497</v>
      </c>
      <c r="N857" s="27" t="s">
        <v>1275</v>
      </c>
      <c r="P857" s="27" t="s">
        <v>19036</v>
      </c>
      <c r="Q857" s="26" t="str">
        <f>HYPERLINK("https://ictv.global/taxonomy/taxondetails?taxnode_id=202521236&amp;ictv_id=ICTV202421236","ICTV202421236")</f>
        <v>ICTV202421236</v>
      </c>
      <c r="R857" t="s">
        <v>579</v>
      </c>
      <c r="S857" t="s">
        <v>823</v>
      </c>
      <c r="T857">
        <v>40</v>
      </c>
      <c r="U857" s="26" t="str">
        <f t="shared" si="30"/>
        <v>2024.045B.Autographivirales.zip</v>
      </c>
    </row>
    <row r="858" spans="1:21">
      <c r="A858">
        <v>857</v>
      </c>
      <c r="B858" s="27" t="s">
        <v>1449</v>
      </c>
      <c r="D858" s="27" t="s">
        <v>1450</v>
      </c>
      <c r="F858" s="27" t="s">
        <v>1453</v>
      </c>
      <c r="H858" s="27" t="s">
        <v>1454</v>
      </c>
      <c r="J858" s="27" t="s">
        <v>18547</v>
      </c>
      <c r="L858" s="27" t="s">
        <v>18891</v>
      </c>
      <c r="M858" s="27" t="s">
        <v>1497</v>
      </c>
      <c r="N858" s="27" t="s">
        <v>1275</v>
      </c>
      <c r="P858" s="27" t="s">
        <v>11314</v>
      </c>
      <c r="Q858" s="26" t="str">
        <f>HYPERLINK("https://ictv.global/taxonomy/taxondetails?taxnode_id=202519239&amp;ictv_id=ICTV202319239","ICTV202319239")</f>
        <v>ICTV202319239</v>
      </c>
      <c r="R858" t="s">
        <v>579</v>
      </c>
      <c r="S858" t="s">
        <v>22763</v>
      </c>
      <c r="T858">
        <v>40</v>
      </c>
      <c r="U858" s="26" t="str">
        <f t="shared" si="30"/>
        <v>2024.045B.Autographivirales.zip</v>
      </c>
    </row>
    <row r="859" spans="1:21">
      <c r="A859">
        <v>858</v>
      </c>
      <c r="B859" s="27" t="s">
        <v>1449</v>
      </c>
      <c r="D859" s="27" t="s">
        <v>1450</v>
      </c>
      <c r="F859" s="27" t="s">
        <v>1453</v>
      </c>
      <c r="H859" s="27" t="s">
        <v>1454</v>
      </c>
      <c r="J859" s="27" t="s">
        <v>18547</v>
      </c>
      <c r="L859" s="27" t="s">
        <v>18891</v>
      </c>
      <c r="M859" s="27" t="s">
        <v>1497</v>
      </c>
      <c r="N859" s="27" t="s">
        <v>1275</v>
      </c>
      <c r="P859" s="27" t="s">
        <v>19037</v>
      </c>
      <c r="Q859" s="26" t="str">
        <f>HYPERLINK("https://ictv.global/taxonomy/taxondetails?taxnode_id=202521248&amp;ictv_id=ICTV202421248","ICTV202421248")</f>
        <v>ICTV202421248</v>
      </c>
      <c r="R859" t="s">
        <v>579</v>
      </c>
      <c r="S859" t="s">
        <v>823</v>
      </c>
      <c r="T859">
        <v>40</v>
      </c>
      <c r="U859" s="26" t="str">
        <f t="shared" si="30"/>
        <v>2024.045B.Autographivirales.zip</v>
      </c>
    </row>
    <row r="860" spans="1:21">
      <c r="A860">
        <v>859</v>
      </c>
      <c r="B860" s="27" t="s">
        <v>1449</v>
      </c>
      <c r="D860" s="27" t="s">
        <v>1450</v>
      </c>
      <c r="F860" s="27" t="s">
        <v>1453</v>
      </c>
      <c r="H860" s="27" t="s">
        <v>1454</v>
      </c>
      <c r="J860" s="27" t="s">
        <v>18547</v>
      </c>
      <c r="L860" s="27" t="s">
        <v>18891</v>
      </c>
      <c r="M860" s="27" t="s">
        <v>1497</v>
      </c>
      <c r="N860" s="27" t="s">
        <v>1275</v>
      </c>
      <c r="P860" s="27" t="s">
        <v>22027</v>
      </c>
      <c r="Q860" s="26" t="str">
        <f>HYPERLINK("https://ictv.global/taxonomy/taxondetails?taxnode_id=202522831&amp;ictv_id=ICTV202522831","ICTV202522831")</f>
        <v>ICTV202522831</v>
      </c>
      <c r="R860" t="s">
        <v>579</v>
      </c>
      <c r="S860" t="s">
        <v>823</v>
      </c>
      <c r="T860">
        <v>41</v>
      </c>
      <c r="U860" s="26" t="str">
        <f>HYPERLINK("https://ictv.global/ictv/proposals/2025.025B.Caudoviricetes_10ns_1rms.zip","2025.025B.Caudoviricetes_10ns_1rms.zip")</f>
        <v>2025.025B.Caudoviricetes_10ns_1rms.zip</v>
      </c>
    </row>
    <row r="861" spans="1:21">
      <c r="A861">
        <v>860</v>
      </c>
      <c r="B861" s="27" t="s">
        <v>1449</v>
      </c>
      <c r="D861" s="27" t="s">
        <v>1450</v>
      </c>
      <c r="F861" s="27" t="s">
        <v>1453</v>
      </c>
      <c r="H861" s="27" t="s">
        <v>1454</v>
      </c>
      <c r="J861" s="27" t="s">
        <v>18547</v>
      </c>
      <c r="L861" s="27" t="s">
        <v>18891</v>
      </c>
      <c r="M861" s="27" t="s">
        <v>1497</v>
      </c>
      <c r="N861" s="27" t="s">
        <v>1275</v>
      </c>
      <c r="P861" s="27" t="s">
        <v>19038</v>
      </c>
      <c r="Q861" s="26" t="str">
        <f>HYPERLINK("https://ictv.global/taxonomy/taxondetails?taxnode_id=202521265&amp;ictv_id=ICTV202421265","ICTV202421265")</f>
        <v>ICTV202421265</v>
      </c>
      <c r="R861" t="s">
        <v>579</v>
      </c>
      <c r="S861" t="s">
        <v>823</v>
      </c>
      <c r="T861">
        <v>40</v>
      </c>
      <c r="U861" s="26" t="str">
        <f>HYPERLINK("https://ictv.global/ictv/proposals/2024.045B.Autographivirales.zip","2024.045B.Autographivirales.zip")</f>
        <v>2024.045B.Autographivirales.zip</v>
      </c>
    </row>
    <row r="862" spans="1:21">
      <c r="A862">
        <v>861</v>
      </c>
      <c r="B862" s="27" t="s">
        <v>1449</v>
      </c>
      <c r="D862" s="27" t="s">
        <v>1450</v>
      </c>
      <c r="F862" s="27" t="s">
        <v>1453</v>
      </c>
      <c r="H862" s="27" t="s">
        <v>1454</v>
      </c>
      <c r="J862" s="27" t="s">
        <v>18547</v>
      </c>
      <c r="L862" s="27" t="s">
        <v>18891</v>
      </c>
      <c r="M862" s="27" t="s">
        <v>1497</v>
      </c>
      <c r="N862" s="27" t="s">
        <v>1275</v>
      </c>
      <c r="P862" s="27" t="s">
        <v>19039</v>
      </c>
      <c r="Q862" s="26" t="str">
        <f>HYPERLINK("https://ictv.global/taxonomy/taxondetails?taxnode_id=202521269&amp;ictv_id=ICTV202421269","ICTV202421269")</f>
        <v>ICTV202421269</v>
      </c>
      <c r="R862" t="s">
        <v>579</v>
      </c>
      <c r="S862" t="s">
        <v>823</v>
      </c>
      <c r="T862">
        <v>40</v>
      </c>
      <c r="U862" s="26" t="str">
        <f>HYPERLINK("https://ictv.global/ictv/proposals/2024.045B.Autographivirales.zip","2024.045B.Autographivirales.zip")</f>
        <v>2024.045B.Autographivirales.zip</v>
      </c>
    </row>
    <row r="863" spans="1:21">
      <c r="A863">
        <v>862</v>
      </c>
      <c r="B863" s="27" t="s">
        <v>1449</v>
      </c>
      <c r="D863" s="27" t="s">
        <v>1450</v>
      </c>
      <c r="F863" s="27" t="s">
        <v>1453</v>
      </c>
      <c r="H863" s="27" t="s">
        <v>1454</v>
      </c>
      <c r="J863" s="27" t="s">
        <v>18547</v>
      </c>
      <c r="L863" s="27" t="s">
        <v>18891</v>
      </c>
      <c r="M863" s="27" t="s">
        <v>1497</v>
      </c>
      <c r="N863" s="27" t="s">
        <v>1275</v>
      </c>
      <c r="P863" s="27" t="s">
        <v>19040</v>
      </c>
      <c r="Q863" s="26" t="str">
        <f>HYPERLINK("https://ictv.global/taxonomy/taxondetails?taxnode_id=202521237&amp;ictv_id=ICTV202421237","ICTV202421237")</f>
        <v>ICTV202421237</v>
      </c>
      <c r="R863" t="s">
        <v>579</v>
      </c>
      <c r="S863" t="s">
        <v>823</v>
      </c>
      <c r="T863">
        <v>40</v>
      </c>
      <c r="U863" s="26" t="str">
        <f>HYPERLINK("https://ictv.global/ictv/proposals/2024.045B.Autographivirales.zip","2024.045B.Autographivirales.zip")</f>
        <v>2024.045B.Autographivirales.zip</v>
      </c>
    </row>
    <row r="864" spans="1:21">
      <c r="A864">
        <v>863</v>
      </c>
      <c r="B864" s="27" t="s">
        <v>1449</v>
      </c>
      <c r="D864" s="27" t="s">
        <v>1450</v>
      </c>
      <c r="F864" s="27" t="s">
        <v>1453</v>
      </c>
      <c r="H864" s="27" t="s">
        <v>1454</v>
      </c>
      <c r="J864" s="27" t="s">
        <v>18547</v>
      </c>
      <c r="L864" s="27" t="s">
        <v>18891</v>
      </c>
      <c r="M864" s="27" t="s">
        <v>1497</v>
      </c>
      <c r="N864" s="27" t="s">
        <v>1275</v>
      </c>
      <c r="P864" s="27" t="s">
        <v>4388</v>
      </c>
      <c r="Q864" s="26" t="str">
        <f>HYPERLINK("https://ictv.global/taxonomy/taxondetails?taxnode_id=202508447&amp;ictv_id=ICTV201908447","ICTV201908447")</f>
        <v>ICTV201908447</v>
      </c>
      <c r="R864" t="s">
        <v>579</v>
      </c>
      <c r="S864" t="s">
        <v>22763</v>
      </c>
      <c r="T864">
        <v>40</v>
      </c>
      <c r="U864" s="26" t="str">
        <f>HYPERLINK("https://ictv.global/ictv/proposals/2024.045B.Autographivirales.zip","2024.045B.Autographivirales.zip")</f>
        <v>2024.045B.Autographivirales.zip</v>
      </c>
    </row>
    <row r="865" spans="1:21">
      <c r="A865">
        <v>864</v>
      </c>
      <c r="B865" s="27" t="s">
        <v>1449</v>
      </c>
      <c r="D865" s="27" t="s">
        <v>1450</v>
      </c>
      <c r="F865" s="27" t="s">
        <v>1453</v>
      </c>
      <c r="H865" s="27" t="s">
        <v>1454</v>
      </c>
      <c r="J865" s="27" t="s">
        <v>18547</v>
      </c>
      <c r="L865" s="27" t="s">
        <v>18891</v>
      </c>
      <c r="M865" s="27" t="s">
        <v>1497</v>
      </c>
      <c r="N865" s="27" t="s">
        <v>1275</v>
      </c>
      <c r="P865" s="27" t="s">
        <v>21475</v>
      </c>
      <c r="Q865" s="26" t="str">
        <f>HYPERLINK("https://ictv.global/taxonomy/taxondetails?taxnode_id=202522346&amp;ictv_id=ICTV202522346","ICTV202522346")</f>
        <v>ICTV202522346</v>
      </c>
      <c r="R865" t="s">
        <v>579</v>
      </c>
      <c r="S865" t="s">
        <v>823</v>
      </c>
      <c r="T865">
        <v>41</v>
      </c>
      <c r="U865" s="26" t="str">
        <f>HYPERLINK("https://ictv.global/ictv/proposals/2025.008B.Caudoviricetes_11ns.zip","2025.008B.Caudoviricetes_11ns.zip")</f>
        <v>2025.008B.Caudoviricetes_11ns.zip</v>
      </c>
    </row>
    <row r="866" spans="1:21">
      <c r="A866">
        <v>865</v>
      </c>
      <c r="B866" s="27" t="s">
        <v>1449</v>
      </c>
      <c r="D866" s="27" t="s">
        <v>1450</v>
      </c>
      <c r="F866" s="27" t="s">
        <v>1453</v>
      </c>
      <c r="H866" s="27" t="s">
        <v>1454</v>
      </c>
      <c r="J866" s="27" t="s">
        <v>18547</v>
      </c>
      <c r="L866" s="27" t="s">
        <v>18891</v>
      </c>
      <c r="M866" s="27" t="s">
        <v>1497</v>
      </c>
      <c r="N866" s="27" t="s">
        <v>1275</v>
      </c>
      <c r="P866" s="27" t="s">
        <v>19041</v>
      </c>
      <c r="Q866" s="26" t="str">
        <f>HYPERLINK("https://ictv.global/taxonomy/taxondetails?taxnode_id=202521260&amp;ictv_id=ICTV202421260","ICTV202421260")</f>
        <v>ICTV202421260</v>
      </c>
      <c r="R866" t="s">
        <v>579</v>
      </c>
      <c r="S866" t="s">
        <v>823</v>
      </c>
      <c r="T866">
        <v>40</v>
      </c>
      <c r="U866" s="26" t="str">
        <f t="shared" ref="U866:U929" si="31">HYPERLINK("https://ictv.global/ictv/proposals/2024.045B.Autographivirales.zip","2024.045B.Autographivirales.zip")</f>
        <v>2024.045B.Autographivirales.zip</v>
      </c>
    </row>
    <row r="867" spans="1:21">
      <c r="A867">
        <v>866</v>
      </c>
      <c r="B867" s="27" t="s">
        <v>1449</v>
      </c>
      <c r="D867" s="27" t="s">
        <v>1450</v>
      </c>
      <c r="F867" s="27" t="s">
        <v>1453</v>
      </c>
      <c r="H867" s="27" t="s">
        <v>1454</v>
      </c>
      <c r="J867" s="27" t="s">
        <v>18547</v>
      </c>
      <c r="L867" s="27" t="s">
        <v>18891</v>
      </c>
      <c r="M867" s="27" t="s">
        <v>1497</v>
      </c>
      <c r="N867" s="27" t="s">
        <v>1275</v>
      </c>
      <c r="P867" s="27" t="s">
        <v>4389</v>
      </c>
      <c r="Q867" s="26" t="str">
        <f>HYPERLINK("https://ictv.global/taxonomy/taxondetails?taxnode_id=202508437&amp;ictv_id=ICTV201908437","ICTV201908437")</f>
        <v>ICTV201908437</v>
      </c>
      <c r="R867" t="s">
        <v>579</v>
      </c>
      <c r="S867" t="s">
        <v>22763</v>
      </c>
      <c r="T867">
        <v>40</v>
      </c>
      <c r="U867" s="26" t="str">
        <f t="shared" si="31"/>
        <v>2024.045B.Autographivirales.zip</v>
      </c>
    </row>
    <row r="868" spans="1:21">
      <c r="A868">
        <v>867</v>
      </c>
      <c r="B868" s="27" t="s">
        <v>1449</v>
      </c>
      <c r="D868" s="27" t="s">
        <v>1450</v>
      </c>
      <c r="F868" s="27" t="s">
        <v>1453</v>
      </c>
      <c r="H868" s="27" t="s">
        <v>1454</v>
      </c>
      <c r="J868" s="27" t="s">
        <v>18547</v>
      </c>
      <c r="L868" s="27" t="s">
        <v>18891</v>
      </c>
      <c r="M868" s="27" t="s">
        <v>1497</v>
      </c>
      <c r="N868" s="27" t="s">
        <v>1275</v>
      </c>
      <c r="P868" s="27" t="s">
        <v>4390</v>
      </c>
      <c r="Q868" s="26" t="str">
        <f>HYPERLINK("https://ictv.global/taxonomy/taxondetails?taxnode_id=202508430&amp;ictv_id=ICTV201908430","ICTV201908430")</f>
        <v>ICTV201908430</v>
      </c>
      <c r="R868" t="s">
        <v>579</v>
      </c>
      <c r="S868" t="s">
        <v>22763</v>
      </c>
      <c r="T868">
        <v>40</v>
      </c>
      <c r="U868" s="26" t="str">
        <f t="shared" si="31"/>
        <v>2024.045B.Autographivirales.zip</v>
      </c>
    </row>
    <row r="869" spans="1:21">
      <c r="A869">
        <v>868</v>
      </c>
      <c r="B869" s="27" t="s">
        <v>1449</v>
      </c>
      <c r="D869" s="27" t="s">
        <v>1450</v>
      </c>
      <c r="F869" s="27" t="s">
        <v>1453</v>
      </c>
      <c r="H869" s="27" t="s">
        <v>1454</v>
      </c>
      <c r="J869" s="27" t="s">
        <v>18547</v>
      </c>
      <c r="L869" s="27" t="s">
        <v>18891</v>
      </c>
      <c r="M869" s="27" t="s">
        <v>1497</v>
      </c>
      <c r="N869" s="27" t="s">
        <v>1275</v>
      </c>
      <c r="P869" s="27" t="s">
        <v>19042</v>
      </c>
      <c r="Q869" s="26" t="str">
        <f>HYPERLINK("https://ictv.global/taxonomy/taxondetails?taxnode_id=202521243&amp;ictv_id=ICTV202421243","ICTV202421243")</f>
        <v>ICTV202421243</v>
      </c>
      <c r="R869" t="s">
        <v>579</v>
      </c>
      <c r="S869" t="s">
        <v>823</v>
      </c>
      <c r="T869">
        <v>40</v>
      </c>
      <c r="U869" s="26" t="str">
        <f t="shared" si="31"/>
        <v>2024.045B.Autographivirales.zip</v>
      </c>
    </row>
    <row r="870" spans="1:21">
      <c r="A870">
        <v>869</v>
      </c>
      <c r="B870" s="27" t="s">
        <v>1449</v>
      </c>
      <c r="D870" s="27" t="s">
        <v>1450</v>
      </c>
      <c r="F870" s="27" t="s">
        <v>1453</v>
      </c>
      <c r="H870" s="27" t="s">
        <v>1454</v>
      </c>
      <c r="J870" s="27" t="s">
        <v>18547</v>
      </c>
      <c r="L870" s="27" t="s">
        <v>18891</v>
      </c>
      <c r="M870" s="27" t="s">
        <v>1497</v>
      </c>
      <c r="N870" s="27" t="s">
        <v>1275</v>
      </c>
      <c r="P870" s="27" t="s">
        <v>4391</v>
      </c>
      <c r="Q870" s="26" t="str">
        <f>HYPERLINK("https://ictv.global/taxonomy/taxondetails?taxnode_id=202508445&amp;ictv_id=ICTV201908445","ICTV201908445")</f>
        <v>ICTV201908445</v>
      </c>
      <c r="R870" t="s">
        <v>579</v>
      </c>
      <c r="S870" t="s">
        <v>22763</v>
      </c>
      <c r="T870">
        <v>40</v>
      </c>
      <c r="U870" s="26" t="str">
        <f t="shared" si="31"/>
        <v>2024.045B.Autographivirales.zip</v>
      </c>
    </row>
    <row r="871" spans="1:21">
      <c r="A871">
        <v>870</v>
      </c>
      <c r="B871" s="27" t="s">
        <v>1449</v>
      </c>
      <c r="D871" s="27" t="s">
        <v>1450</v>
      </c>
      <c r="F871" s="27" t="s">
        <v>1453</v>
      </c>
      <c r="H871" s="27" t="s">
        <v>1454</v>
      </c>
      <c r="J871" s="27" t="s">
        <v>18547</v>
      </c>
      <c r="L871" s="27" t="s">
        <v>18891</v>
      </c>
      <c r="M871" s="27" t="s">
        <v>1497</v>
      </c>
      <c r="N871" s="27" t="s">
        <v>1275</v>
      </c>
      <c r="P871" s="27" t="s">
        <v>19043</v>
      </c>
      <c r="Q871" s="26" t="str">
        <f>HYPERLINK("https://ictv.global/taxonomy/taxondetails?taxnode_id=202521314&amp;ictv_id=ICTV202421314","ICTV202421314")</f>
        <v>ICTV202421314</v>
      </c>
      <c r="R871" t="s">
        <v>579</v>
      </c>
      <c r="S871" t="s">
        <v>823</v>
      </c>
      <c r="T871">
        <v>40</v>
      </c>
      <c r="U871" s="26" t="str">
        <f t="shared" si="31"/>
        <v>2024.045B.Autographivirales.zip</v>
      </c>
    </row>
    <row r="872" spans="1:21">
      <c r="A872">
        <v>871</v>
      </c>
      <c r="B872" s="27" t="s">
        <v>1449</v>
      </c>
      <c r="D872" s="27" t="s">
        <v>1450</v>
      </c>
      <c r="F872" s="27" t="s">
        <v>1453</v>
      </c>
      <c r="H872" s="27" t="s">
        <v>1454</v>
      </c>
      <c r="J872" s="27" t="s">
        <v>18547</v>
      </c>
      <c r="L872" s="27" t="s">
        <v>18891</v>
      </c>
      <c r="M872" s="27" t="s">
        <v>1497</v>
      </c>
      <c r="N872" s="27" t="s">
        <v>1275</v>
      </c>
      <c r="P872" s="27" t="s">
        <v>19044</v>
      </c>
      <c r="Q872" s="26" t="str">
        <f>HYPERLINK("https://ictv.global/taxonomy/taxondetails?taxnode_id=202521257&amp;ictv_id=ICTV202421257","ICTV202421257")</f>
        <v>ICTV202421257</v>
      </c>
      <c r="R872" t="s">
        <v>579</v>
      </c>
      <c r="S872" t="s">
        <v>823</v>
      </c>
      <c r="T872">
        <v>40</v>
      </c>
      <c r="U872" s="26" t="str">
        <f t="shared" si="31"/>
        <v>2024.045B.Autographivirales.zip</v>
      </c>
    </row>
    <row r="873" spans="1:21">
      <c r="A873">
        <v>872</v>
      </c>
      <c r="B873" s="27" t="s">
        <v>1449</v>
      </c>
      <c r="D873" s="27" t="s">
        <v>1450</v>
      </c>
      <c r="F873" s="27" t="s">
        <v>1453</v>
      </c>
      <c r="H873" s="27" t="s">
        <v>1454</v>
      </c>
      <c r="J873" s="27" t="s">
        <v>18547</v>
      </c>
      <c r="L873" s="27" t="s">
        <v>18891</v>
      </c>
      <c r="M873" s="27" t="s">
        <v>1497</v>
      </c>
      <c r="N873" s="27" t="s">
        <v>1275</v>
      </c>
      <c r="P873" s="27" t="s">
        <v>19045</v>
      </c>
      <c r="Q873" s="26" t="str">
        <f>HYPERLINK("https://ictv.global/taxonomy/taxondetails?taxnode_id=202521293&amp;ictv_id=ICTV202421293","ICTV202421293")</f>
        <v>ICTV202421293</v>
      </c>
      <c r="R873" t="s">
        <v>579</v>
      </c>
      <c r="S873" t="s">
        <v>823</v>
      </c>
      <c r="T873">
        <v>40</v>
      </c>
      <c r="U873" s="26" t="str">
        <f t="shared" si="31"/>
        <v>2024.045B.Autographivirales.zip</v>
      </c>
    </row>
    <row r="874" spans="1:21">
      <c r="A874">
        <v>873</v>
      </c>
      <c r="B874" s="27" t="s">
        <v>1449</v>
      </c>
      <c r="D874" s="27" t="s">
        <v>1450</v>
      </c>
      <c r="F874" s="27" t="s">
        <v>1453</v>
      </c>
      <c r="H874" s="27" t="s">
        <v>1454</v>
      </c>
      <c r="J874" s="27" t="s">
        <v>18547</v>
      </c>
      <c r="L874" s="27" t="s">
        <v>18891</v>
      </c>
      <c r="M874" s="27" t="s">
        <v>1497</v>
      </c>
      <c r="N874" s="27" t="s">
        <v>1275</v>
      </c>
      <c r="P874" s="27" t="s">
        <v>4392</v>
      </c>
      <c r="Q874" s="26" t="str">
        <f>HYPERLINK("https://ictv.global/taxonomy/taxondetails?taxnode_id=202500552&amp;ictv_id=ICTV20164897","ICTV20164897")</f>
        <v>ICTV20164897</v>
      </c>
      <c r="R874" t="s">
        <v>579</v>
      </c>
      <c r="S874" t="s">
        <v>22763</v>
      </c>
      <c r="T874">
        <v>40</v>
      </c>
      <c r="U874" s="26" t="str">
        <f t="shared" si="31"/>
        <v>2024.045B.Autographivirales.zip</v>
      </c>
    </row>
    <row r="875" spans="1:21">
      <c r="A875">
        <v>874</v>
      </c>
      <c r="B875" s="27" t="s">
        <v>1449</v>
      </c>
      <c r="D875" s="27" t="s">
        <v>1450</v>
      </c>
      <c r="F875" s="27" t="s">
        <v>1453</v>
      </c>
      <c r="H875" s="27" t="s">
        <v>1454</v>
      </c>
      <c r="J875" s="27" t="s">
        <v>18547</v>
      </c>
      <c r="L875" s="27" t="s">
        <v>18891</v>
      </c>
      <c r="M875" s="27" t="s">
        <v>1497</v>
      </c>
      <c r="N875" s="27" t="s">
        <v>1275</v>
      </c>
      <c r="P875" s="27" t="s">
        <v>4393</v>
      </c>
      <c r="Q875" s="26" t="str">
        <f>HYPERLINK("https://ictv.global/taxonomy/taxondetails?taxnode_id=202500553&amp;ictv_id=ICTV20164896","ICTV20164896")</f>
        <v>ICTV20164896</v>
      </c>
      <c r="R875" t="s">
        <v>579</v>
      </c>
      <c r="S875" t="s">
        <v>22763</v>
      </c>
      <c r="T875">
        <v>40</v>
      </c>
      <c r="U875" s="26" t="str">
        <f t="shared" si="31"/>
        <v>2024.045B.Autographivirales.zip</v>
      </c>
    </row>
    <row r="876" spans="1:21">
      <c r="A876">
        <v>875</v>
      </c>
      <c r="B876" s="27" t="s">
        <v>1449</v>
      </c>
      <c r="D876" s="27" t="s">
        <v>1450</v>
      </c>
      <c r="F876" s="27" t="s">
        <v>1453</v>
      </c>
      <c r="H876" s="27" t="s">
        <v>1454</v>
      </c>
      <c r="J876" s="27" t="s">
        <v>18547</v>
      </c>
      <c r="L876" s="27" t="s">
        <v>18891</v>
      </c>
      <c r="M876" s="27" t="s">
        <v>1497</v>
      </c>
      <c r="N876" s="27" t="s">
        <v>1275</v>
      </c>
      <c r="P876" s="27" t="s">
        <v>4394</v>
      </c>
      <c r="Q876" s="26" t="str">
        <f>HYPERLINK("https://ictv.global/taxonomy/taxondetails?taxnode_id=202500551&amp;ictv_id=ICTV20164895","ICTV20164895")</f>
        <v>ICTV20164895</v>
      </c>
      <c r="R876" t="s">
        <v>579</v>
      </c>
      <c r="S876" t="s">
        <v>22763</v>
      </c>
      <c r="T876">
        <v>40</v>
      </c>
      <c r="U876" s="26" t="str">
        <f t="shared" si="31"/>
        <v>2024.045B.Autographivirales.zip</v>
      </c>
    </row>
    <row r="877" spans="1:21">
      <c r="A877">
        <v>876</v>
      </c>
      <c r="B877" s="27" t="s">
        <v>1449</v>
      </c>
      <c r="D877" s="27" t="s">
        <v>1450</v>
      </c>
      <c r="F877" s="27" t="s">
        <v>1453</v>
      </c>
      <c r="H877" s="27" t="s">
        <v>1454</v>
      </c>
      <c r="J877" s="27" t="s">
        <v>18547</v>
      </c>
      <c r="L877" s="27" t="s">
        <v>18891</v>
      </c>
      <c r="M877" s="27" t="s">
        <v>1497</v>
      </c>
      <c r="N877" s="27" t="s">
        <v>1275</v>
      </c>
      <c r="P877" s="27" t="s">
        <v>4395</v>
      </c>
      <c r="Q877" s="26" t="str">
        <f>HYPERLINK("https://ictv.global/taxonomy/taxondetails?taxnode_id=202508434&amp;ictv_id=ICTV201908434","ICTV201908434")</f>
        <v>ICTV201908434</v>
      </c>
      <c r="R877" t="s">
        <v>579</v>
      </c>
      <c r="S877" t="s">
        <v>22763</v>
      </c>
      <c r="T877">
        <v>40</v>
      </c>
      <c r="U877" s="26" t="str">
        <f t="shared" si="31"/>
        <v>2024.045B.Autographivirales.zip</v>
      </c>
    </row>
    <row r="878" spans="1:21">
      <c r="A878">
        <v>877</v>
      </c>
      <c r="B878" s="27" t="s">
        <v>1449</v>
      </c>
      <c r="D878" s="27" t="s">
        <v>1450</v>
      </c>
      <c r="F878" s="27" t="s">
        <v>1453</v>
      </c>
      <c r="H878" s="27" t="s">
        <v>1454</v>
      </c>
      <c r="J878" s="27" t="s">
        <v>18547</v>
      </c>
      <c r="L878" s="27" t="s">
        <v>18891</v>
      </c>
      <c r="M878" s="27" t="s">
        <v>1497</v>
      </c>
      <c r="N878" s="27" t="s">
        <v>1275</v>
      </c>
      <c r="P878" s="27" t="s">
        <v>4396</v>
      </c>
      <c r="Q878" s="26" t="str">
        <f>HYPERLINK("https://ictv.global/taxonomy/taxondetails?taxnode_id=202508435&amp;ictv_id=ICTV201908435","ICTV201908435")</f>
        <v>ICTV201908435</v>
      </c>
      <c r="R878" t="s">
        <v>579</v>
      </c>
      <c r="S878" t="s">
        <v>22763</v>
      </c>
      <c r="T878">
        <v>40</v>
      </c>
      <c r="U878" s="26" t="str">
        <f t="shared" si="31"/>
        <v>2024.045B.Autographivirales.zip</v>
      </c>
    </row>
    <row r="879" spans="1:21">
      <c r="A879">
        <v>878</v>
      </c>
      <c r="B879" s="27" t="s">
        <v>1449</v>
      </c>
      <c r="D879" s="27" t="s">
        <v>1450</v>
      </c>
      <c r="F879" s="27" t="s">
        <v>1453</v>
      </c>
      <c r="H879" s="27" t="s">
        <v>1454</v>
      </c>
      <c r="J879" s="27" t="s">
        <v>18547</v>
      </c>
      <c r="L879" s="27" t="s">
        <v>18891</v>
      </c>
      <c r="M879" s="27" t="s">
        <v>1497</v>
      </c>
      <c r="N879" s="27" t="s">
        <v>1275</v>
      </c>
      <c r="P879" s="27" t="s">
        <v>19046</v>
      </c>
      <c r="Q879" s="26" t="str">
        <f>HYPERLINK("https://ictv.global/taxonomy/taxondetails?taxnode_id=202521251&amp;ictv_id=ICTV202421251","ICTV202421251")</f>
        <v>ICTV202421251</v>
      </c>
      <c r="R879" t="s">
        <v>579</v>
      </c>
      <c r="S879" t="s">
        <v>823</v>
      </c>
      <c r="T879">
        <v>40</v>
      </c>
      <c r="U879" s="26" t="str">
        <f t="shared" si="31"/>
        <v>2024.045B.Autographivirales.zip</v>
      </c>
    </row>
    <row r="880" spans="1:21">
      <c r="A880">
        <v>879</v>
      </c>
      <c r="B880" s="27" t="s">
        <v>1449</v>
      </c>
      <c r="D880" s="27" t="s">
        <v>1450</v>
      </c>
      <c r="F880" s="27" t="s">
        <v>1453</v>
      </c>
      <c r="H880" s="27" t="s">
        <v>1454</v>
      </c>
      <c r="J880" s="27" t="s">
        <v>18547</v>
      </c>
      <c r="L880" s="27" t="s">
        <v>18891</v>
      </c>
      <c r="M880" s="27" t="s">
        <v>1497</v>
      </c>
      <c r="N880" s="27" t="s">
        <v>1275</v>
      </c>
      <c r="P880" s="27" t="s">
        <v>19047</v>
      </c>
      <c r="Q880" s="26" t="str">
        <f>HYPERLINK("https://ictv.global/taxonomy/taxondetails?taxnode_id=202521228&amp;ictv_id=ICTV202421228","ICTV202421228")</f>
        <v>ICTV202421228</v>
      </c>
      <c r="R880" t="s">
        <v>579</v>
      </c>
      <c r="S880" t="s">
        <v>823</v>
      </c>
      <c r="T880">
        <v>40</v>
      </c>
      <c r="U880" s="26" t="str">
        <f t="shared" si="31"/>
        <v>2024.045B.Autographivirales.zip</v>
      </c>
    </row>
    <row r="881" spans="1:21">
      <c r="A881">
        <v>880</v>
      </c>
      <c r="B881" s="27" t="s">
        <v>1449</v>
      </c>
      <c r="D881" s="27" t="s">
        <v>1450</v>
      </c>
      <c r="F881" s="27" t="s">
        <v>1453</v>
      </c>
      <c r="H881" s="27" t="s">
        <v>1454</v>
      </c>
      <c r="J881" s="27" t="s">
        <v>18547</v>
      </c>
      <c r="L881" s="27" t="s">
        <v>18891</v>
      </c>
      <c r="M881" s="27" t="s">
        <v>1497</v>
      </c>
      <c r="N881" s="27" t="s">
        <v>1275</v>
      </c>
      <c r="P881" s="27" t="s">
        <v>19048</v>
      </c>
      <c r="Q881" s="26" t="str">
        <f>HYPERLINK("https://ictv.global/taxonomy/taxondetails?taxnode_id=202521285&amp;ictv_id=ICTV202421285","ICTV202421285")</f>
        <v>ICTV202421285</v>
      </c>
      <c r="R881" t="s">
        <v>579</v>
      </c>
      <c r="S881" t="s">
        <v>823</v>
      </c>
      <c r="T881">
        <v>40</v>
      </c>
      <c r="U881" s="26" t="str">
        <f t="shared" si="31"/>
        <v>2024.045B.Autographivirales.zip</v>
      </c>
    </row>
    <row r="882" spans="1:21">
      <c r="A882">
        <v>881</v>
      </c>
      <c r="B882" s="27" t="s">
        <v>1449</v>
      </c>
      <c r="D882" s="27" t="s">
        <v>1450</v>
      </c>
      <c r="F882" s="27" t="s">
        <v>1453</v>
      </c>
      <c r="H882" s="27" t="s">
        <v>1454</v>
      </c>
      <c r="J882" s="27" t="s">
        <v>18547</v>
      </c>
      <c r="L882" s="27" t="s">
        <v>18891</v>
      </c>
      <c r="M882" s="27" t="s">
        <v>1497</v>
      </c>
      <c r="N882" s="27" t="s">
        <v>1275</v>
      </c>
      <c r="P882" s="27" t="s">
        <v>19049</v>
      </c>
      <c r="Q882" s="26" t="str">
        <f>HYPERLINK("https://ictv.global/taxonomy/taxondetails?taxnode_id=202521286&amp;ictv_id=ICTV202421286","ICTV202421286")</f>
        <v>ICTV202421286</v>
      </c>
      <c r="R882" t="s">
        <v>579</v>
      </c>
      <c r="S882" t="s">
        <v>823</v>
      </c>
      <c r="T882">
        <v>40</v>
      </c>
      <c r="U882" s="26" t="str">
        <f t="shared" si="31"/>
        <v>2024.045B.Autographivirales.zip</v>
      </c>
    </row>
    <row r="883" spans="1:21">
      <c r="A883">
        <v>882</v>
      </c>
      <c r="B883" s="27" t="s">
        <v>1449</v>
      </c>
      <c r="D883" s="27" t="s">
        <v>1450</v>
      </c>
      <c r="F883" s="27" t="s">
        <v>1453</v>
      </c>
      <c r="H883" s="27" t="s">
        <v>1454</v>
      </c>
      <c r="J883" s="27" t="s">
        <v>18547</v>
      </c>
      <c r="L883" s="27" t="s">
        <v>18891</v>
      </c>
      <c r="M883" s="27" t="s">
        <v>1497</v>
      </c>
      <c r="N883" s="27" t="s">
        <v>1275</v>
      </c>
      <c r="P883" s="27" t="s">
        <v>19050</v>
      </c>
      <c r="Q883" s="26" t="str">
        <f>HYPERLINK("https://ictv.global/taxonomy/taxondetails?taxnode_id=202521272&amp;ictv_id=ICTV202421272","ICTV202421272")</f>
        <v>ICTV202421272</v>
      </c>
      <c r="R883" t="s">
        <v>579</v>
      </c>
      <c r="S883" t="s">
        <v>823</v>
      </c>
      <c r="T883">
        <v>40</v>
      </c>
      <c r="U883" s="26" t="str">
        <f t="shared" si="31"/>
        <v>2024.045B.Autographivirales.zip</v>
      </c>
    </row>
    <row r="884" spans="1:21">
      <c r="A884">
        <v>883</v>
      </c>
      <c r="B884" s="27" t="s">
        <v>1449</v>
      </c>
      <c r="D884" s="27" t="s">
        <v>1450</v>
      </c>
      <c r="F884" s="27" t="s">
        <v>1453</v>
      </c>
      <c r="H884" s="27" t="s">
        <v>1454</v>
      </c>
      <c r="J884" s="27" t="s">
        <v>18547</v>
      </c>
      <c r="L884" s="27" t="s">
        <v>18891</v>
      </c>
      <c r="M884" s="27" t="s">
        <v>1497</v>
      </c>
      <c r="N884" s="27" t="s">
        <v>1275</v>
      </c>
      <c r="P884" s="27" t="s">
        <v>19051</v>
      </c>
      <c r="Q884" s="26" t="str">
        <f>HYPERLINK("https://ictv.global/taxonomy/taxondetails?taxnode_id=202521233&amp;ictv_id=ICTV202421233","ICTV202421233")</f>
        <v>ICTV202421233</v>
      </c>
      <c r="R884" t="s">
        <v>579</v>
      </c>
      <c r="S884" t="s">
        <v>823</v>
      </c>
      <c r="T884">
        <v>40</v>
      </c>
      <c r="U884" s="26" t="str">
        <f t="shared" si="31"/>
        <v>2024.045B.Autographivirales.zip</v>
      </c>
    </row>
    <row r="885" spans="1:21">
      <c r="A885">
        <v>884</v>
      </c>
      <c r="B885" s="27" t="s">
        <v>1449</v>
      </c>
      <c r="D885" s="27" t="s">
        <v>1450</v>
      </c>
      <c r="F885" s="27" t="s">
        <v>1453</v>
      </c>
      <c r="H885" s="27" t="s">
        <v>1454</v>
      </c>
      <c r="J885" s="27" t="s">
        <v>18547</v>
      </c>
      <c r="L885" s="27" t="s">
        <v>18891</v>
      </c>
      <c r="M885" s="27" t="s">
        <v>1497</v>
      </c>
      <c r="N885" s="27" t="s">
        <v>1275</v>
      </c>
      <c r="P885" s="27" t="s">
        <v>19052</v>
      </c>
      <c r="Q885" s="26" t="str">
        <f>HYPERLINK("https://ictv.global/taxonomy/taxondetails?taxnode_id=202521252&amp;ictv_id=ICTV202421252","ICTV202421252")</f>
        <v>ICTV202421252</v>
      </c>
      <c r="R885" t="s">
        <v>579</v>
      </c>
      <c r="S885" t="s">
        <v>823</v>
      </c>
      <c r="T885">
        <v>40</v>
      </c>
      <c r="U885" s="26" t="str">
        <f t="shared" si="31"/>
        <v>2024.045B.Autographivirales.zip</v>
      </c>
    </row>
    <row r="886" spans="1:21">
      <c r="A886">
        <v>885</v>
      </c>
      <c r="B886" s="27" t="s">
        <v>1449</v>
      </c>
      <c r="D886" s="27" t="s">
        <v>1450</v>
      </c>
      <c r="F886" s="27" t="s">
        <v>1453</v>
      </c>
      <c r="H886" s="27" t="s">
        <v>1454</v>
      </c>
      <c r="J886" s="27" t="s">
        <v>18547</v>
      </c>
      <c r="L886" s="27" t="s">
        <v>18891</v>
      </c>
      <c r="M886" s="27" t="s">
        <v>1497</v>
      </c>
      <c r="N886" s="27" t="s">
        <v>1275</v>
      </c>
      <c r="P886" s="27" t="s">
        <v>19053</v>
      </c>
      <c r="Q886" s="26" t="str">
        <f>HYPERLINK("https://ictv.global/taxonomy/taxondetails?taxnode_id=202521238&amp;ictv_id=ICTV202421238","ICTV202421238")</f>
        <v>ICTV202421238</v>
      </c>
      <c r="R886" t="s">
        <v>579</v>
      </c>
      <c r="S886" t="s">
        <v>823</v>
      </c>
      <c r="T886">
        <v>40</v>
      </c>
      <c r="U886" s="26" t="str">
        <f t="shared" si="31"/>
        <v>2024.045B.Autographivirales.zip</v>
      </c>
    </row>
    <row r="887" spans="1:21">
      <c r="A887">
        <v>886</v>
      </c>
      <c r="B887" s="27" t="s">
        <v>1449</v>
      </c>
      <c r="D887" s="27" t="s">
        <v>1450</v>
      </c>
      <c r="F887" s="27" t="s">
        <v>1453</v>
      </c>
      <c r="H887" s="27" t="s">
        <v>1454</v>
      </c>
      <c r="J887" s="27" t="s">
        <v>18547</v>
      </c>
      <c r="L887" s="27" t="s">
        <v>18891</v>
      </c>
      <c r="M887" s="27" t="s">
        <v>1497</v>
      </c>
      <c r="N887" s="27" t="s">
        <v>1275</v>
      </c>
      <c r="P887" s="27" t="s">
        <v>19054</v>
      </c>
      <c r="Q887" s="26" t="str">
        <f>HYPERLINK("https://ictv.global/taxonomy/taxondetails?taxnode_id=202521271&amp;ictv_id=ICTV202421271","ICTV202421271")</f>
        <v>ICTV202421271</v>
      </c>
      <c r="R887" t="s">
        <v>579</v>
      </c>
      <c r="S887" t="s">
        <v>823</v>
      </c>
      <c r="T887">
        <v>40</v>
      </c>
      <c r="U887" s="26" t="str">
        <f t="shared" si="31"/>
        <v>2024.045B.Autographivirales.zip</v>
      </c>
    </row>
    <row r="888" spans="1:21">
      <c r="A888">
        <v>887</v>
      </c>
      <c r="B888" s="27" t="s">
        <v>1449</v>
      </c>
      <c r="D888" s="27" t="s">
        <v>1450</v>
      </c>
      <c r="F888" s="27" t="s">
        <v>1453</v>
      </c>
      <c r="H888" s="27" t="s">
        <v>1454</v>
      </c>
      <c r="J888" s="27" t="s">
        <v>18547</v>
      </c>
      <c r="L888" s="27" t="s">
        <v>18891</v>
      </c>
      <c r="M888" s="27" t="s">
        <v>1497</v>
      </c>
      <c r="N888" s="27" t="s">
        <v>1275</v>
      </c>
      <c r="P888" s="27" t="s">
        <v>19055</v>
      </c>
      <c r="Q888" s="26" t="str">
        <f>HYPERLINK("https://ictv.global/taxonomy/taxondetails?taxnode_id=202521256&amp;ictv_id=ICTV202421256","ICTV202421256")</f>
        <v>ICTV202421256</v>
      </c>
      <c r="R888" t="s">
        <v>579</v>
      </c>
      <c r="S888" t="s">
        <v>823</v>
      </c>
      <c r="T888">
        <v>40</v>
      </c>
      <c r="U888" s="26" t="str">
        <f t="shared" si="31"/>
        <v>2024.045B.Autographivirales.zip</v>
      </c>
    </row>
    <row r="889" spans="1:21">
      <c r="A889">
        <v>888</v>
      </c>
      <c r="B889" s="27" t="s">
        <v>1449</v>
      </c>
      <c r="D889" s="27" t="s">
        <v>1450</v>
      </c>
      <c r="F889" s="27" t="s">
        <v>1453</v>
      </c>
      <c r="H889" s="27" t="s">
        <v>1454</v>
      </c>
      <c r="J889" s="27" t="s">
        <v>18547</v>
      </c>
      <c r="L889" s="27" t="s">
        <v>18891</v>
      </c>
      <c r="M889" s="27" t="s">
        <v>1497</v>
      </c>
      <c r="N889" s="27" t="s">
        <v>1275</v>
      </c>
      <c r="P889" s="27" t="s">
        <v>19056</v>
      </c>
      <c r="Q889" s="26" t="str">
        <f>HYPERLINK("https://ictv.global/taxonomy/taxondetails?taxnode_id=202521270&amp;ictv_id=ICTV202421270","ICTV202421270")</f>
        <v>ICTV202421270</v>
      </c>
      <c r="R889" t="s">
        <v>579</v>
      </c>
      <c r="S889" t="s">
        <v>823</v>
      </c>
      <c r="T889">
        <v>40</v>
      </c>
      <c r="U889" s="26" t="str">
        <f t="shared" si="31"/>
        <v>2024.045B.Autographivirales.zip</v>
      </c>
    </row>
    <row r="890" spans="1:21">
      <c r="A890">
        <v>889</v>
      </c>
      <c r="B890" s="27" t="s">
        <v>1449</v>
      </c>
      <c r="D890" s="27" t="s">
        <v>1450</v>
      </c>
      <c r="F890" s="27" t="s">
        <v>1453</v>
      </c>
      <c r="H890" s="27" t="s">
        <v>1454</v>
      </c>
      <c r="J890" s="27" t="s">
        <v>18547</v>
      </c>
      <c r="L890" s="27" t="s">
        <v>18891</v>
      </c>
      <c r="M890" s="27" t="s">
        <v>1497</v>
      </c>
      <c r="N890" s="27" t="s">
        <v>1275</v>
      </c>
      <c r="P890" s="27" t="s">
        <v>19057</v>
      </c>
      <c r="Q890" s="26" t="str">
        <f>HYPERLINK("https://ictv.global/taxonomy/taxondetails?taxnode_id=202521249&amp;ictv_id=ICTV202421249","ICTV202421249")</f>
        <v>ICTV202421249</v>
      </c>
      <c r="R890" t="s">
        <v>579</v>
      </c>
      <c r="S890" t="s">
        <v>823</v>
      </c>
      <c r="T890">
        <v>40</v>
      </c>
      <c r="U890" s="26" t="str">
        <f t="shared" si="31"/>
        <v>2024.045B.Autographivirales.zip</v>
      </c>
    </row>
    <row r="891" spans="1:21">
      <c r="A891">
        <v>890</v>
      </c>
      <c r="B891" s="27" t="s">
        <v>1449</v>
      </c>
      <c r="D891" s="27" t="s">
        <v>1450</v>
      </c>
      <c r="F891" s="27" t="s">
        <v>1453</v>
      </c>
      <c r="H891" s="27" t="s">
        <v>1454</v>
      </c>
      <c r="J891" s="27" t="s">
        <v>18547</v>
      </c>
      <c r="L891" s="27" t="s">
        <v>18891</v>
      </c>
      <c r="M891" s="27" t="s">
        <v>1497</v>
      </c>
      <c r="N891" s="27" t="s">
        <v>1275</v>
      </c>
      <c r="P891" s="27" t="s">
        <v>19058</v>
      </c>
      <c r="Q891" s="26" t="str">
        <f>HYPERLINK("https://ictv.global/taxonomy/taxondetails?taxnode_id=202521275&amp;ictv_id=ICTV202421275","ICTV202421275")</f>
        <v>ICTV202421275</v>
      </c>
      <c r="R891" t="s">
        <v>579</v>
      </c>
      <c r="S891" t="s">
        <v>823</v>
      </c>
      <c r="T891">
        <v>40</v>
      </c>
      <c r="U891" s="26" t="str">
        <f t="shared" si="31"/>
        <v>2024.045B.Autographivirales.zip</v>
      </c>
    </row>
    <row r="892" spans="1:21">
      <c r="A892">
        <v>891</v>
      </c>
      <c r="B892" s="27" t="s">
        <v>1449</v>
      </c>
      <c r="D892" s="27" t="s">
        <v>1450</v>
      </c>
      <c r="F892" s="27" t="s">
        <v>1453</v>
      </c>
      <c r="H892" s="27" t="s">
        <v>1454</v>
      </c>
      <c r="J892" s="27" t="s">
        <v>18547</v>
      </c>
      <c r="L892" s="27" t="s">
        <v>18891</v>
      </c>
      <c r="M892" s="27" t="s">
        <v>1497</v>
      </c>
      <c r="N892" s="27" t="s">
        <v>1275</v>
      </c>
      <c r="P892" s="27" t="s">
        <v>19059</v>
      </c>
      <c r="Q892" s="26" t="str">
        <f>HYPERLINK("https://ictv.global/taxonomy/taxondetails?taxnode_id=202521276&amp;ictv_id=ICTV202421276","ICTV202421276")</f>
        <v>ICTV202421276</v>
      </c>
      <c r="R892" t="s">
        <v>579</v>
      </c>
      <c r="S892" t="s">
        <v>823</v>
      </c>
      <c r="T892">
        <v>40</v>
      </c>
      <c r="U892" s="26" t="str">
        <f t="shared" si="31"/>
        <v>2024.045B.Autographivirales.zip</v>
      </c>
    </row>
    <row r="893" spans="1:21">
      <c r="A893">
        <v>892</v>
      </c>
      <c r="B893" s="27" t="s">
        <v>1449</v>
      </c>
      <c r="D893" s="27" t="s">
        <v>1450</v>
      </c>
      <c r="F893" s="27" t="s">
        <v>1453</v>
      </c>
      <c r="H893" s="27" t="s">
        <v>1454</v>
      </c>
      <c r="J893" s="27" t="s">
        <v>18547</v>
      </c>
      <c r="L893" s="27" t="s">
        <v>18891</v>
      </c>
      <c r="M893" s="27" t="s">
        <v>1497</v>
      </c>
      <c r="N893" s="27" t="s">
        <v>1275</v>
      </c>
      <c r="P893" s="27" t="s">
        <v>19060</v>
      </c>
      <c r="Q893" s="26" t="str">
        <f>HYPERLINK("https://ictv.global/taxonomy/taxondetails?taxnode_id=202521253&amp;ictv_id=ICTV202421253","ICTV202421253")</f>
        <v>ICTV202421253</v>
      </c>
      <c r="R893" t="s">
        <v>579</v>
      </c>
      <c r="S893" t="s">
        <v>823</v>
      </c>
      <c r="T893">
        <v>40</v>
      </c>
      <c r="U893" s="26" t="str">
        <f t="shared" si="31"/>
        <v>2024.045B.Autographivirales.zip</v>
      </c>
    </row>
    <row r="894" spans="1:21">
      <c r="A894">
        <v>893</v>
      </c>
      <c r="B894" s="27" t="s">
        <v>1449</v>
      </c>
      <c r="D894" s="27" t="s">
        <v>1450</v>
      </c>
      <c r="F894" s="27" t="s">
        <v>1453</v>
      </c>
      <c r="H894" s="27" t="s">
        <v>1454</v>
      </c>
      <c r="J894" s="27" t="s">
        <v>18547</v>
      </c>
      <c r="L894" s="27" t="s">
        <v>18891</v>
      </c>
      <c r="M894" s="27" t="s">
        <v>1497</v>
      </c>
      <c r="N894" s="27" t="s">
        <v>1275</v>
      </c>
      <c r="P894" s="27" t="s">
        <v>19061</v>
      </c>
      <c r="Q894" s="26" t="str">
        <f>HYPERLINK("https://ictv.global/taxonomy/taxondetails?taxnode_id=202521230&amp;ictv_id=ICTV202421230","ICTV202421230")</f>
        <v>ICTV202421230</v>
      </c>
      <c r="R894" t="s">
        <v>579</v>
      </c>
      <c r="S894" t="s">
        <v>823</v>
      </c>
      <c r="T894">
        <v>40</v>
      </c>
      <c r="U894" s="26" t="str">
        <f t="shared" si="31"/>
        <v>2024.045B.Autographivirales.zip</v>
      </c>
    </row>
    <row r="895" spans="1:21">
      <c r="A895">
        <v>894</v>
      </c>
      <c r="B895" s="27" t="s">
        <v>1449</v>
      </c>
      <c r="D895" s="27" t="s">
        <v>1450</v>
      </c>
      <c r="F895" s="27" t="s">
        <v>1453</v>
      </c>
      <c r="H895" s="27" t="s">
        <v>1454</v>
      </c>
      <c r="J895" s="27" t="s">
        <v>18547</v>
      </c>
      <c r="L895" s="27" t="s">
        <v>18891</v>
      </c>
      <c r="M895" s="27" t="s">
        <v>1497</v>
      </c>
      <c r="N895" s="27" t="s">
        <v>1275</v>
      </c>
      <c r="P895" s="27" t="s">
        <v>19062</v>
      </c>
      <c r="Q895" s="26" t="str">
        <f>HYPERLINK("https://ictv.global/taxonomy/taxondetails?taxnode_id=202521227&amp;ictv_id=ICTV202421227","ICTV202421227")</f>
        <v>ICTV202421227</v>
      </c>
      <c r="R895" t="s">
        <v>579</v>
      </c>
      <c r="S895" t="s">
        <v>823</v>
      </c>
      <c r="T895">
        <v>40</v>
      </c>
      <c r="U895" s="26" t="str">
        <f t="shared" si="31"/>
        <v>2024.045B.Autographivirales.zip</v>
      </c>
    </row>
    <row r="896" spans="1:21">
      <c r="A896">
        <v>895</v>
      </c>
      <c r="B896" s="27" t="s">
        <v>1449</v>
      </c>
      <c r="D896" s="27" t="s">
        <v>1450</v>
      </c>
      <c r="F896" s="27" t="s">
        <v>1453</v>
      </c>
      <c r="H896" s="27" t="s">
        <v>1454</v>
      </c>
      <c r="J896" s="27" t="s">
        <v>18547</v>
      </c>
      <c r="L896" s="27" t="s">
        <v>18891</v>
      </c>
      <c r="M896" s="27" t="s">
        <v>1497</v>
      </c>
      <c r="N896" s="27" t="s">
        <v>1275</v>
      </c>
      <c r="P896" s="27" t="s">
        <v>19063</v>
      </c>
      <c r="Q896" s="26" t="str">
        <f>HYPERLINK("https://ictv.global/taxonomy/taxondetails?taxnode_id=202521273&amp;ictv_id=ICTV202421273","ICTV202421273")</f>
        <v>ICTV202421273</v>
      </c>
      <c r="R896" t="s">
        <v>579</v>
      </c>
      <c r="S896" t="s">
        <v>823</v>
      </c>
      <c r="T896">
        <v>40</v>
      </c>
      <c r="U896" s="26" t="str">
        <f t="shared" si="31"/>
        <v>2024.045B.Autographivirales.zip</v>
      </c>
    </row>
    <row r="897" spans="1:21">
      <c r="A897">
        <v>896</v>
      </c>
      <c r="B897" s="27" t="s">
        <v>1449</v>
      </c>
      <c r="D897" s="27" t="s">
        <v>1450</v>
      </c>
      <c r="F897" s="27" t="s">
        <v>1453</v>
      </c>
      <c r="H897" s="27" t="s">
        <v>1454</v>
      </c>
      <c r="J897" s="27" t="s">
        <v>18547</v>
      </c>
      <c r="L897" s="27" t="s">
        <v>18891</v>
      </c>
      <c r="M897" s="27" t="s">
        <v>1497</v>
      </c>
      <c r="N897" s="27" t="s">
        <v>1275</v>
      </c>
      <c r="P897" s="27" t="s">
        <v>19064</v>
      </c>
      <c r="Q897" s="26" t="str">
        <f>HYPERLINK("https://ictv.global/taxonomy/taxondetails?taxnode_id=202521274&amp;ictv_id=ICTV202421274","ICTV202421274")</f>
        <v>ICTV202421274</v>
      </c>
      <c r="R897" t="s">
        <v>579</v>
      </c>
      <c r="S897" t="s">
        <v>823</v>
      </c>
      <c r="T897">
        <v>40</v>
      </c>
      <c r="U897" s="26" t="str">
        <f t="shared" si="31"/>
        <v>2024.045B.Autographivirales.zip</v>
      </c>
    </row>
    <row r="898" spans="1:21">
      <c r="A898">
        <v>897</v>
      </c>
      <c r="B898" s="27" t="s">
        <v>1449</v>
      </c>
      <c r="D898" s="27" t="s">
        <v>1450</v>
      </c>
      <c r="F898" s="27" t="s">
        <v>1453</v>
      </c>
      <c r="H898" s="27" t="s">
        <v>1454</v>
      </c>
      <c r="J898" s="27" t="s">
        <v>18547</v>
      </c>
      <c r="L898" s="27" t="s">
        <v>18891</v>
      </c>
      <c r="M898" s="27" t="s">
        <v>1497</v>
      </c>
      <c r="N898" s="27" t="s">
        <v>1275</v>
      </c>
      <c r="P898" s="27" t="s">
        <v>4397</v>
      </c>
      <c r="Q898" s="26" t="str">
        <f>HYPERLINK("https://ictv.global/taxonomy/taxondetails?taxnode_id=202508450&amp;ictv_id=ICTV201908450","ICTV201908450")</f>
        <v>ICTV201908450</v>
      </c>
      <c r="R898" t="s">
        <v>579</v>
      </c>
      <c r="S898" t="s">
        <v>22763</v>
      </c>
      <c r="T898">
        <v>40</v>
      </c>
      <c r="U898" s="26" t="str">
        <f t="shared" si="31"/>
        <v>2024.045B.Autographivirales.zip</v>
      </c>
    </row>
    <row r="899" spans="1:21">
      <c r="A899">
        <v>898</v>
      </c>
      <c r="B899" s="27" t="s">
        <v>1449</v>
      </c>
      <c r="D899" s="27" t="s">
        <v>1450</v>
      </c>
      <c r="F899" s="27" t="s">
        <v>1453</v>
      </c>
      <c r="H899" s="27" t="s">
        <v>1454</v>
      </c>
      <c r="J899" s="27" t="s">
        <v>18547</v>
      </c>
      <c r="L899" s="27" t="s">
        <v>18891</v>
      </c>
      <c r="M899" s="27" t="s">
        <v>1497</v>
      </c>
      <c r="N899" s="27" t="s">
        <v>1275</v>
      </c>
      <c r="P899" s="27" t="s">
        <v>4398</v>
      </c>
      <c r="Q899" s="26" t="str">
        <f>HYPERLINK("https://ictv.global/taxonomy/taxondetails?taxnode_id=202508451&amp;ictv_id=ICTV201908451","ICTV201908451")</f>
        <v>ICTV201908451</v>
      </c>
      <c r="R899" t="s">
        <v>579</v>
      </c>
      <c r="S899" t="s">
        <v>22763</v>
      </c>
      <c r="T899">
        <v>40</v>
      </c>
      <c r="U899" s="26" t="str">
        <f t="shared" si="31"/>
        <v>2024.045B.Autographivirales.zip</v>
      </c>
    </row>
    <row r="900" spans="1:21">
      <c r="A900">
        <v>899</v>
      </c>
      <c r="B900" s="27" t="s">
        <v>1449</v>
      </c>
      <c r="D900" s="27" t="s">
        <v>1450</v>
      </c>
      <c r="F900" s="27" t="s">
        <v>1453</v>
      </c>
      <c r="H900" s="27" t="s">
        <v>1454</v>
      </c>
      <c r="J900" s="27" t="s">
        <v>18547</v>
      </c>
      <c r="L900" s="27" t="s">
        <v>18891</v>
      </c>
      <c r="M900" s="27" t="s">
        <v>1497</v>
      </c>
      <c r="N900" s="27" t="s">
        <v>1275</v>
      </c>
      <c r="P900" s="27" t="s">
        <v>4399</v>
      </c>
      <c r="Q900" s="26" t="str">
        <f>HYPERLINK("https://ictv.global/taxonomy/taxondetails?taxnode_id=202508452&amp;ictv_id=ICTV201908452","ICTV201908452")</f>
        <v>ICTV201908452</v>
      </c>
      <c r="R900" t="s">
        <v>579</v>
      </c>
      <c r="S900" t="s">
        <v>22763</v>
      </c>
      <c r="T900">
        <v>40</v>
      </c>
      <c r="U900" s="26" t="str">
        <f t="shared" si="31"/>
        <v>2024.045B.Autographivirales.zip</v>
      </c>
    </row>
    <row r="901" spans="1:21">
      <c r="A901">
        <v>900</v>
      </c>
      <c r="B901" s="27" t="s">
        <v>1449</v>
      </c>
      <c r="D901" s="27" t="s">
        <v>1450</v>
      </c>
      <c r="F901" s="27" t="s">
        <v>1453</v>
      </c>
      <c r="H901" s="27" t="s">
        <v>1454</v>
      </c>
      <c r="J901" s="27" t="s">
        <v>18547</v>
      </c>
      <c r="L901" s="27" t="s">
        <v>18891</v>
      </c>
      <c r="M901" s="27" t="s">
        <v>1497</v>
      </c>
      <c r="N901" s="27" t="s">
        <v>1275</v>
      </c>
      <c r="P901" s="27" t="s">
        <v>4400</v>
      </c>
      <c r="Q901" s="26" t="str">
        <f>HYPERLINK("https://ictv.global/taxonomy/taxondetails?taxnode_id=202500554&amp;ictv_id=ICTV20164898","ICTV20164898")</f>
        <v>ICTV20164898</v>
      </c>
      <c r="R901" t="s">
        <v>579</v>
      </c>
      <c r="S901" t="s">
        <v>22763</v>
      </c>
      <c r="T901">
        <v>40</v>
      </c>
      <c r="U901" s="26" t="str">
        <f t="shared" si="31"/>
        <v>2024.045B.Autographivirales.zip</v>
      </c>
    </row>
    <row r="902" spans="1:21">
      <c r="A902">
        <v>901</v>
      </c>
      <c r="B902" s="27" t="s">
        <v>1449</v>
      </c>
      <c r="D902" s="27" t="s">
        <v>1450</v>
      </c>
      <c r="F902" s="27" t="s">
        <v>1453</v>
      </c>
      <c r="H902" s="27" t="s">
        <v>1454</v>
      </c>
      <c r="J902" s="27" t="s">
        <v>18547</v>
      </c>
      <c r="L902" s="27" t="s">
        <v>18891</v>
      </c>
      <c r="M902" s="27" t="s">
        <v>1497</v>
      </c>
      <c r="N902" s="27" t="s">
        <v>1275</v>
      </c>
      <c r="P902" s="27" t="s">
        <v>19065</v>
      </c>
      <c r="Q902" s="26" t="str">
        <f>HYPERLINK("https://ictv.global/taxonomy/taxondetails?taxnode_id=202521255&amp;ictv_id=ICTV202421255","ICTV202421255")</f>
        <v>ICTV202421255</v>
      </c>
      <c r="R902" t="s">
        <v>579</v>
      </c>
      <c r="S902" t="s">
        <v>823</v>
      </c>
      <c r="T902">
        <v>40</v>
      </c>
      <c r="U902" s="26" t="str">
        <f t="shared" si="31"/>
        <v>2024.045B.Autographivirales.zip</v>
      </c>
    </row>
    <row r="903" spans="1:21">
      <c r="A903">
        <v>902</v>
      </c>
      <c r="B903" s="27" t="s">
        <v>1449</v>
      </c>
      <c r="D903" s="27" t="s">
        <v>1450</v>
      </c>
      <c r="F903" s="27" t="s">
        <v>1453</v>
      </c>
      <c r="H903" s="27" t="s">
        <v>1454</v>
      </c>
      <c r="J903" s="27" t="s">
        <v>18547</v>
      </c>
      <c r="L903" s="27" t="s">
        <v>18891</v>
      </c>
      <c r="M903" s="27" t="s">
        <v>1497</v>
      </c>
      <c r="N903" s="27" t="s">
        <v>1275</v>
      </c>
      <c r="P903" s="27" t="s">
        <v>19066</v>
      </c>
      <c r="Q903" s="26" t="str">
        <f>HYPERLINK("https://ictv.global/taxonomy/taxondetails?taxnode_id=202521235&amp;ictv_id=ICTV202421235","ICTV202421235")</f>
        <v>ICTV202421235</v>
      </c>
      <c r="R903" t="s">
        <v>579</v>
      </c>
      <c r="S903" t="s">
        <v>823</v>
      </c>
      <c r="T903">
        <v>40</v>
      </c>
      <c r="U903" s="26" t="str">
        <f t="shared" si="31"/>
        <v>2024.045B.Autographivirales.zip</v>
      </c>
    </row>
    <row r="904" spans="1:21">
      <c r="A904">
        <v>903</v>
      </c>
      <c r="B904" s="27" t="s">
        <v>1449</v>
      </c>
      <c r="D904" s="27" t="s">
        <v>1450</v>
      </c>
      <c r="F904" s="27" t="s">
        <v>1453</v>
      </c>
      <c r="H904" s="27" t="s">
        <v>1454</v>
      </c>
      <c r="J904" s="27" t="s">
        <v>18547</v>
      </c>
      <c r="L904" s="27" t="s">
        <v>18891</v>
      </c>
      <c r="M904" s="27" t="s">
        <v>1497</v>
      </c>
      <c r="N904" s="27" t="s">
        <v>1275</v>
      </c>
      <c r="P904" s="27" t="s">
        <v>4401</v>
      </c>
      <c r="Q904" s="26" t="str">
        <f>HYPERLINK("https://ictv.global/taxonomy/taxondetails?taxnode_id=202500555&amp;ictv_id=ICTV20164899","ICTV20164899")</f>
        <v>ICTV20164899</v>
      </c>
      <c r="R904" t="s">
        <v>579</v>
      </c>
      <c r="S904" t="s">
        <v>22763</v>
      </c>
      <c r="T904">
        <v>40</v>
      </c>
      <c r="U904" s="26" t="str">
        <f t="shared" si="31"/>
        <v>2024.045B.Autographivirales.zip</v>
      </c>
    </row>
    <row r="905" spans="1:21">
      <c r="A905">
        <v>904</v>
      </c>
      <c r="B905" s="27" t="s">
        <v>1449</v>
      </c>
      <c r="D905" s="27" t="s">
        <v>1450</v>
      </c>
      <c r="F905" s="27" t="s">
        <v>1453</v>
      </c>
      <c r="H905" s="27" t="s">
        <v>1454</v>
      </c>
      <c r="J905" s="27" t="s">
        <v>18547</v>
      </c>
      <c r="L905" s="27" t="s">
        <v>18891</v>
      </c>
      <c r="M905" s="27" t="s">
        <v>1497</v>
      </c>
      <c r="N905" s="27" t="s">
        <v>1275</v>
      </c>
      <c r="P905" s="27" t="s">
        <v>4402</v>
      </c>
      <c r="Q905" s="26" t="str">
        <f>HYPERLINK("https://ictv.global/taxonomy/taxondetails?taxnode_id=202508441&amp;ictv_id=ICTV201908441","ICTV201908441")</f>
        <v>ICTV201908441</v>
      </c>
      <c r="R905" t="s">
        <v>579</v>
      </c>
      <c r="S905" t="s">
        <v>22763</v>
      </c>
      <c r="T905">
        <v>40</v>
      </c>
      <c r="U905" s="26" t="str">
        <f t="shared" si="31"/>
        <v>2024.045B.Autographivirales.zip</v>
      </c>
    </row>
    <row r="906" spans="1:21">
      <c r="A906">
        <v>905</v>
      </c>
      <c r="B906" s="27" t="s">
        <v>1449</v>
      </c>
      <c r="D906" s="27" t="s">
        <v>1450</v>
      </c>
      <c r="F906" s="27" t="s">
        <v>1453</v>
      </c>
      <c r="H906" s="27" t="s">
        <v>1454</v>
      </c>
      <c r="J906" s="27" t="s">
        <v>18547</v>
      </c>
      <c r="L906" s="27" t="s">
        <v>18891</v>
      </c>
      <c r="M906" s="27" t="s">
        <v>1497</v>
      </c>
      <c r="N906" s="27" t="s">
        <v>1275</v>
      </c>
      <c r="P906" s="27" t="s">
        <v>4403</v>
      </c>
      <c r="Q906" s="26" t="str">
        <f>HYPERLINK("https://ictv.global/taxonomy/taxondetails?taxnode_id=202508442&amp;ictv_id=ICTV201908442","ICTV201908442")</f>
        <v>ICTV201908442</v>
      </c>
      <c r="R906" t="s">
        <v>579</v>
      </c>
      <c r="S906" t="s">
        <v>22763</v>
      </c>
      <c r="T906">
        <v>40</v>
      </c>
      <c r="U906" s="26" t="str">
        <f t="shared" si="31"/>
        <v>2024.045B.Autographivirales.zip</v>
      </c>
    </row>
    <row r="907" spans="1:21">
      <c r="A907">
        <v>906</v>
      </c>
      <c r="B907" s="27" t="s">
        <v>1449</v>
      </c>
      <c r="D907" s="27" t="s">
        <v>1450</v>
      </c>
      <c r="F907" s="27" t="s">
        <v>1453</v>
      </c>
      <c r="H907" s="27" t="s">
        <v>1454</v>
      </c>
      <c r="J907" s="27" t="s">
        <v>18547</v>
      </c>
      <c r="L907" s="27" t="s">
        <v>18891</v>
      </c>
      <c r="M907" s="27" t="s">
        <v>1497</v>
      </c>
      <c r="N907" s="27" t="s">
        <v>1275</v>
      </c>
      <c r="P907" s="27" t="s">
        <v>4404</v>
      </c>
      <c r="Q907" s="26" t="str">
        <f>HYPERLINK("https://ictv.global/taxonomy/taxondetails?taxnode_id=202508443&amp;ictv_id=ICTV201908443","ICTV201908443")</f>
        <v>ICTV201908443</v>
      </c>
      <c r="R907" t="s">
        <v>579</v>
      </c>
      <c r="S907" t="s">
        <v>22763</v>
      </c>
      <c r="T907">
        <v>40</v>
      </c>
      <c r="U907" s="26" t="str">
        <f t="shared" si="31"/>
        <v>2024.045B.Autographivirales.zip</v>
      </c>
    </row>
    <row r="908" spans="1:21">
      <c r="A908">
        <v>907</v>
      </c>
      <c r="B908" s="27" t="s">
        <v>1449</v>
      </c>
      <c r="D908" s="27" t="s">
        <v>1450</v>
      </c>
      <c r="F908" s="27" t="s">
        <v>1453</v>
      </c>
      <c r="H908" s="27" t="s">
        <v>1454</v>
      </c>
      <c r="J908" s="27" t="s">
        <v>18547</v>
      </c>
      <c r="L908" s="27" t="s">
        <v>18891</v>
      </c>
      <c r="M908" s="27" t="s">
        <v>1497</v>
      </c>
      <c r="N908" s="27" t="s">
        <v>1275</v>
      </c>
      <c r="P908" s="27" t="s">
        <v>4405</v>
      </c>
      <c r="Q908" s="26" t="str">
        <f>HYPERLINK("https://ictv.global/taxonomy/taxondetails?taxnode_id=202508444&amp;ictv_id=ICTV201908444","ICTV201908444")</f>
        <v>ICTV201908444</v>
      </c>
      <c r="R908" t="s">
        <v>579</v>
      </c>
      <c r="S908" t="s">
        <v>22763</v>
      </c>
      <c r="T908">
        <v>40</v>
      </c>
      <c r="U908" s="26" t="str">
        <f t="shared" si="31"/>
        <v>2024.045B.Autographivirales.zip</v>
      </c>
    </row>
    <row r="909" spans="1:21">
      <c r="A909">
        <v>908</v>
      </c>
      <c r="B909" s="27" t="s">
        <v>1449</v>
      </c>
      <c r="D909" s="27" t="s">
        <v>1450</v>
      </c>
      <c r="F909" s="27" t="s">
        <v>1453</v>
      </c>
      <c r="H909" s="27" t="s">
        <v>1454</v>
      </c>
      <c r="J909" s="27" t="s">
        <v>18547</v>
      </c>
      <c r="L909" s="27" t="s">
        <v>18891</v>
      </c>
      <c r="M909" s="27" t="s">
        <v>1497</v>
      </c>
      <c r="N909" s="27" t="s">
        <v>1275</v>
      </c>
      <c r="P909" s="27" t="s">
        <v>19067</v>
      </c>
      <c r="Q909" s="26" t="str">
        <f>HYPERLINK("https://ictv.global/taxonomy/taxondetails?taxnode_id=202521247&amp;ictv_id=ICTV202421247","ICTV202421247")</f>
        <v>ICTV202421247</v>
      </c>
      <c r="R909" t="s">
        <v>579</v>
      </c>
      <c r="S909" t="s">
        <v>823</v>
      </c>
      <c r="T909">
        <v>40</v>
      </c>
      <c r="U909" s="26" t="str">
        <f t="shared" si="31"/>
        <v>2024.045B.Autographivirales.zip</v>
      </c>
    </row>
    <row r="910" spans="1:21">
      <c r="A910">
        <v>909</v>
      </c>
      <c r="B910" s="27" t="s">
        <v>1449</v>
      </c>
      <c r="D910" s="27" t="s">
        <v>1450</v>
      </c>
      <c r="F910" s="27" t="s">
        <v>1453</v>
      </c>
      <c r="H910" s="27" t="s">
        <v>1454</v>
      </c>
      <c r="J910" s="27" t="s">
        <v>18547</v>
      </c>
      <c r="L910" s="27" t="s">
        <v>18891</v>
      </c>
      <c r="M910" s="27" t="s">
        <v>1497</v>
      </c>
      <c r="N910" s="27" t="s">
        <v>1275</v>
      </c>
      <c r="P910" s="27" t="s">
        <v>19068</v>
      </c>
      <c r="Q910" s="26" t="str">
        <f>HYPERLINK("https://ictv.global/taxonomy/taxondetails?taxnode_id=202521244&amp;ictv_id=ICTV202421244","ICTV202421244")</f>
        <v>ICTV202421244</v>
      </c>
      <c r="R910" t="s">
        <v>579</v>
      </c>
      <c r="S910" t="s">
        <v>823</v>
      </c>
      <c r="T910">
        <v>40</v>
      </c>
      <c r="U910" s="26" t="str">
        <f t="shared" si="31"/>
        <v>2024.045B.Autographivirales.zip</v>
      </c>
    </row>
    <row r="911" spans="1:21">
      <c r="A911">
        <v>910</v>
      </c>
      <c r="B911" s="27" t="s">
        <v>1449</v>
      </c>
      <c r="D911" s="27" t="s">
        <v>1450</v>
      </c>
      <c r="F911" s="27" t="s">
        <v>1453</v>
      </c>
      <c r="H911" s="27" t="s">
        <v>1454</v>
      </c>
      <c r="J911" s="27" t="s">
        <v>18547</v>
      </c>
      <c r="L911" s="27" t="s">
        <v>18891</v>
      </c>
      <c r="M911" s="27" t="s">
        <v>1497</v>
      </c>
      <c r="N911" s="27" t="s">
        <v>1275</v>
      </c>
      <c r="P911" s="27" t="s">
        <v>19069</v>
      </c>
      <c r="Q911" s="26" t="str">
        <f>HYPERLINK("https://ictv.global/taxonomy/taxondetails?taxnode_id=202521295&amp;ictv_id=ICTV202421295","ICTV202421295")</f>
        <v>ICTV202421295</v>
      </c>
      <c r="R911" t="s">
        <v>579</v>
      </c>
      <c r="S911" t="s">
        <v>823</v>
      </c>
      <c r="T911">
        <v>40</v>
      </c>
      <c r="U911" s="26" t="str">
        <f t="shared" si="31"/>
        <v>2024.045B.Autographivirales.zip</v>
      </c>
    </row>
    <row r="912" spans="1:21">
      <c r="A912">
        <v>911</v>
      </c>
      <c r="B912" s="27" t="s">
        <v>1449</v>
      </c>
      <c r="D912" s="27" t="s">
        <v>1450</v>
      </c>
      <c r="F912" s="27" t="s">
        <v>1453</v>
      </c>
      <c r="H912" s="27" t="s">
        <v>1454</v>
      </c>
      <c r="J912" s="27" t="s">
        <v>18547</v>
      </c>
      <c r="L912" s="27" t="s">
        <v>18891</v>
      </c>
      <c r="M912" s="27" t="s">
        <v>1497</v>
      </c>
      <c r="N912" s="27" t="s">
        <v>1275</v>
      </c>
      <c r="P912" s="27" t="s">
        <v>4406</v>
      </c>
      <c r="Q912" s="26" t="str">
        <f>HYPERLINK("https://ictv.global/taxonomy/taxondetails?taxnode_id=202508446&amp;ictv_id=ICTV201908446","ICTV201908446")</f>
        <v>ICTV201908446</v>
      </c>
      <c r="R912" t="s">
        <v>579</v>
      </c>
      <c r="S912" t="s">
        <v>22763</v>
      </c>
      <c r="T912">
        <v>40</v>
      </c>
      <c r="U912" s="26" t="str">
        <f t="shared" si="31"/>
        <v>2024.045B.Autographivirales.zip</v>
      </c>
    </row>
    <row r="913" spans="1:21">
      <c r="A913">
        <v>912</v>
      </c>
      <c r="B913" s="27" t="s">
        <v>1449</v>
      </c>
      <c r="D913" s="27" t="s">
        <v>1450</v>
      </c>
      <c r="F913" s="27" t="s">
        <v>1453</v>
      </c>
      <c r="H913" s="27" t="s">
        <v>1454</v>
      </c>
      <c r="J913" s="27" t="s">
        <v>18547</v>
      </c>
      <c r="L913" s="27" t="s">
        <v>18891</v>
      </c>
      <c r="M913" s="27" t="s">
        <v>1497</v>
      </c>
      <c r="N913" s="27" t="s">
        <v>1275</v>
      </c>
      <c r="P913" s="27" t="s">
        <v>19070</v>
      </c>
      <c r="Q913" s="26" t="str">
        <f>HYPERLINK("https://ictv.global/taxonomy/taxondetails?taxnode_id=202521268&amp;ictv_id=ICTV202421268","ICTV202421268")</f>
        <v>ICTV202421268</v>
      </c>
      <c r="R913" t="s">
        <v>579</v>
      </c>
      <c r="S913" t="s">
        <v>823</v>
      </c>
      <c r="T913">
        <v>40</v>
      </c>
      <c r="U913" s="26" t="str">
        <f t="shared" si="31"/>
        <v>2024.045B.Autographivirales.zip</v>
      </c>
    </row>
    <row r="914" spans="1:21">
      <c r="A914">
        <v>913</v>
      </c>
      <c r="B914" s="27" t="s">
        <v>1449</v>
      </c>
      <c r="D914" s="27" t="s">
        <v>1450</v>
      </c>
      <c r="F914" s="27" t="s">
        <v>1453</v>
      </c>
      <c r="H914" s="27" t="s">
        <v>1454</v>
      </c>
      <c r="J914" s="27" t="s">
        <v>18547</v>
      </c>
      <c r="L914" s="27" t="s">
        <v>18891</v>
      </c>
      <c r="M914" s="27" t="s">
        <v>1497</v>
      </c>
      <c r="N914" s="27" t="s">
        <v>1275</v>
      </c>
      <c r="P914" s="27" t="s">
        <v>4407</v>
      </c>
      <c r="Q914" s="26" t="str">
        <f>HYPERLINK("https://ictv.global/taxonomy/taxondetails?taxnode_id=202500556&amp;ictv_id=ICTV20164900","ICTV20164900")</f>
        <v>ICTV20164900</v>
      </c>
      <c r="R914" t="s">
        <v>579</v>
      </c>
      <c r="S914" t="s">
        <v>22763</v>
      </c>
      <c r="T914">
        <v>40</v>
      </c>
      <c r="U914" s="26" t="str">
        <f t="shared" si="31"/>
        <v>2024.045B.Autographivirales.zip</v>
      </c>
    </row>
    <row r="915" spans="1:21">
      <c r="A915">
        <v>914</v>
      </c>
      <c r="B915" s="27" t="s">
        <v>1449</v>
      </c>
      <c r="D915" s="27" t="s">
        <v>1450</v>
      </c>
      <c r="F915" s="27" t="s">
        <v>1453</v>
      </c>
      <c r="H915" s="27" t="s">
        <v>1454</v>
      </c>
      <c r="J915" s="27" t="s">
        <v>18547</v>
      </c>
      <c r="L915" s="27" t="s">
        <v>18891</v>
      </c>
      <c r="M915" s="27" t="s">
        <v>1497</v>
      </c>
      <c r="N915" s="27" t="s">
        <v>1275</v>
      </c>
      <c r="P915" s="27" t="s">
        <v>4408</v>
      </c>
      <c r="Q915" s="26" t="str">
        <f>HYPERLINK("https://ictv.global/taxonomy/taxondetails?taxnode_id=202508431&amp;ictv_id=ICTV201908431","ICTV201908431")</f>
        <v>ICTV201908431</v>
      </c>
      <c r="R915" t="s">
        <v>579</v>
      </c>
      <c r="S915" t="s">
        <v>22763</v>
      </c>
      <c r="T915">
        <v>40</v>
      </c>
      <c r="U915" s="26" t="str">
        <f t="shared" si="31"/>
        <v>2024.045B.Autographivirales.zip</v>
      </c>
    </row>
    <row r="916" spans="1:21">
      <c r="A916">
        <v>915</v>
      </c>
      <c r="B916" s="27" t="s">
        <v>1449</v>
      </c>
      <c r="D916" s="27" t="s">
        <v>1450</v>
      </c>
      <c r="F916" s="27" t="s">
        <v>1453</v>
      </c>
      <c r="H916" s="27" t="s">
        <v>1454</v>
      </c>
      <c r="J916" s="27" t="s">
        <v>18547</v>
      </c>
      <c r="L916" s="27" t="s">
        <v>18891</v>
      </c>
      <c r="M916" s="27" t="s">
        <v>1497</v>
      </c>
      <c r="N916" s="27" t="s">
        <v>1275</v>
      </c>
      <c r="P916" s="27" t="s">
        <v>4409</v>
      </c>
      <c r="Q916" s="26" t="str">
        <f>HYPERLINK("https://ictv.global/taxonomy/taxondetails?taxnode_id=202508432&amp;ictv_id=ICTV201908432","ICTV201908432")</f>
        <v>ICTV201908432</v>
      </c>
      <c r="R916" t="s">
        <v>579</v>
      </c>
      <c r="S916" t="s">
        <v>22763</v>
      </c>
      <c r="T916">
        <v>40</v>
      </c>
      <c r="U916" s="26" t="str">
        <f t="shared" si="31"/>
        <v>2024.045B.Autographivirales.zip</v>
      </c>
    </row>
    <row r="917" spans="1:21">
      <c r="A917">
        <v>916</v>
      </c>
      <c r="B917" s="27" t="s">
        <v>1449</v>
      </c>
      <c r="D917" s="27" t="s">
        <v>1450</v>
      </c>
      <c r="F917" s="27" t="s">
        <v>1453</v>
      </c>
      <c r="H917" s="27" t="s">
        <v>1454</v>
      </c>
      <c r="J917" s="27" t="s">
        <v>18547</v>
      </c>
      <c r="L917" s="27" t="s">
        <v>18891</v>
      </c>
      <c r="M917" s="27" t="s">
        <v>1497</v>
      </c>
      <c r="N917" s="27" t="s">
        <v>1275</v>
      </c>
      <c r="P917" s="27" t="s">
        <v>19071</v>
      </c>
      <c r="Q917" s="26" t="str">
        <f>HYPERLINK("https://ictv.global/taxonomy/taxondetails?taxnode_id=202521282&amp;ictv_id=ICTV202421282","ICTV202421282")</f>
        <v>ICTV202421282</v>
      </c>
      <c r="R917" t="s">
        <v>579</v>
      </c>
      <c r="S917" t="s">
        <v>823</v>
      </c>
      <c r="T917">
        <v>40</v>
      </c>
      <c r="U917" s="26" t="str">
        <f t="shared" si="31"/>
        <v>2024.045B.Autographivirales.zip</v>
      </c>
    </row>
    <row r="918" spans="1:21">
      <c r="A918">
        <v>917</v>
      </c>
      <c r="B918" s="27" t="s">
        <v>1449</v>
      </c>
      <c r="D918" s="27" t="s">
        <v>1450</v>
      </c>
      <c r="F918" s="27" t="s">
        <v>1453</v>
      </c>
      <c r="H918" s="27" t="s">
        <v>1454</v>
      </c>
      <c r="J918" s="27" t="s">
        <v>18547</v>
      </c>
      <c r="L918" s="27" t="s">
        <v>18891</v>
      </c>
      <c r="M918" s="27" t="s">
        <v>1497</v>
      </c>
      <c r="N918" s="27" t="s">
        <v>1275</v>
      </c>
      <c r="P918" s="27" t="s">
        <v>19072</v>
      </c>
      <c r="Q918" s="26" t="str">
        <f>HYPERLINK("https://ictv.global/taxonomy/taxondetails?taxnode_id=202521281&amp;ictv_id=ICTV202421281","ICTV202421281")</f>
        <v>ICTV202421281</v>
      </c>
      <c r="R918" t="s">
        <v>579</v>
      </c>
      <c r="S918" t="s">
        <v>823</v>
      </c>
      <c r="T918">
        <v>40</v>
      </c>
      <c r="U918" s="26" t="str">
        <f t="shared" si="31"/>
        <v>2024.045B.Autographivirales.zip</v>
      </c>
    </row>
    <row r="919" spans="1:21">
      <c r="A919">
        <v>918</v>
      </c>
      <c r="B919" s="27" t="s">
        <v>1449</v>
      </c>
      <c r="D919" s="27" t="s">
        <v>1450</v>
      </c>
      <c r="F919" s="27" t="s">
        <v>1453</v>
      </c>
      <c r="H919" s="27" t="s">
        <v>1454</v>
      </c>
      <c r="J919" s="27" t="s">
        <v>18547</v>
      </c>
      <c r="L919" s="27" t="s">
        <v>18891</v>
      </c>
      <c r="M919" s="27" t="s">
        <v>1497</v>
      </c>
      <c r="N919" s="27" t="s">
        <v>1275</v>
      </c>
      <c r="P919" s="27" t="s">
        <v>19073</v>
      </c>
      <c r="Q919" s="26" t="str">
        <f>HYPERLINK("https://ictv.global/taxonomy/taxondetails?taxnode_id=202521232&amp;ictv_id=ICTV202421232","ICTV202421232")</f>
        <v>ICTV202421232</v>
      </c>
      <c r="R919" t="s">
        <v>579</v>
      </c>
      <c r="S919" t="s">
        <v>823</v>
      </c>
      <c r="T919">
        <v>40</v>
      </c>
      <c r="U919" s="26" t="str">
        <f t="shared" si="31"/>
        <v>2024.045B.Autographivirales.zip</v>
      </c>
    </row>
    <row r="920" spans="1:21">
      <c r="A920">
        <v>919</v>
      </c>
      <c r="B920" s="27" t="s">
        <v>1449</v>
      </c>
      <c r="D920" s="27" t="s">
        <v>1450</v>
      </c>
      <c r="F920" s="27" t="s">
        <v>1453</v>
      </c>
      <c r="H920" s="27" t="s">
        <v>1454</v>
      </c>
      <c r="J920" s="27" t="s">
        <v>18547</v>
      </c>
      <c r="L920" s="27" t="s">
        <v>18891</v>
      </c>
      <c r="M920" s="27" t="s">
        <v>1497</v>
      </c>
      <c r="N920" s="27" t="s">
        <v>1275</v>
      </c>
      <c r="P920" s="27" t="s">
        <v>19074</v>
      </c>
      <c r="Q920" s="26" t="str">
        <f>HYPERLINK("https://ictv.global/taxonomy/taxondetails?taxnode_id=202521246&amp;ictv_id=ICTV202421246","ICTV202421246")</f>
        <v>ICTV202421246</v>
      </c>
      <c r="R920" t="s">
        <v>579</v>
      </c>
      <c r="S920" t="s">
        <v>823</v>
      </c>
      <c r="T920">
        <v>40</v>
      </c>
      <c r="U920" s="26" t="str">
        <f t="shared" si="31"/>
        <v>2024.045B.Autographivirales.zip</v>
      </c>
    </row>
    <row r="921" spans="1:21">
      <c r="A921">
        <v>920</v>
      </c>
      <c r="B921" s="27" t="s">
        <v>1449</v>
      </c>
      <c r="D921" s="27" t="s">
        <v>1450</v>
      </c>
      <c r="F921" s="27" t="s">
        <v>1453</v>
      </c>
      <c r="H921" s="27" t="s">
        <v>1454</v>
      </c>
      <c r="J921" s="27" t="s">
        <v>18547</v>
      </c>
      <c r="L921" s="27" t="s">
        <v>18891</v>
      </c>
      <c r="M921" s="27" t="s">
        <v>1497</v>
      </c>
      <c r="N921" s="27" t="s">
        <v>1275</v>
      </c>
      <c r="P921" s="27" t="s">
        <v>19075</v>
      </c>
      <c r="Q921" s="26" t="str">
        <f>HYPERLINK("https://ictv.global/taxonomy/taxondetails?taxnode_id=202521309&amp;ictv_id=ICTV202421309","ICTV202421309")</f>
        <v>ICTV202421309</v>
      </c>
      <c r="R921" t="s">
        <v>579</v>
      </c>
      <c r="S921" t="s">
        <v>823</v>
      </c>
      <c r="T921">
        <v>40</v>
      </c>
      <c r="U921" s="26" t="str">
        <f t="shared" si="31"/>
        <v>2024.045B.Autographivirales.zip</v>
      </c>
    </row>
    <row r="922" spans="1:21">
      <c r="A922">
        <v>921</v>
      </c>
      <c r="B922" s="27" t="s">
        <v>1449</v>
      </c>
      <c r="D922" s="27" t="s">
        <v>1450</v>
      </c>
      <c r="F922" s="27" t="s">
        <v>1453</v>
      </c>
      <c r="H922" s="27" t="s">
        <v>1454</v>
      </c>
      <c r="J922" s="27" t="s">
        <v>18547</v>
      </c>
      <c r="L922" s="27" t="s">
        <v>18891</v>
      </c>
      <c r="M922" s="27" t="s">
        <v>1497</v>
      </c>
      <c r="N922" s="27" t="s">
        <v>1275</v>
      </c>
      <c r="P922" s="27" t="s">
        <v>19076</v>
      </c>
      <c r="Q922" s="26" t="str">
        <f>HYPERLINK("https://ictv.global/taxonomy/taxondetails?taxnode_id=202521290&amp;ictv_id=ICTV202421290","ICTV202421290")</f>
        <v>ICTV202421290</v>
      </c>
      <c r="R922" t="s">
        <v>579</v>
      </c>
      <c r="S922" t="s">
        <v>823</v>
      </c>
      <c r="T922">
        <v>40</v>
      </c>
      <c r="U922" s="26" t="str">
        <f t="shared" si="31"/>
        <v>2024.045B.Autographivirales.zip</v>
      </c>
    </row>
    <row r="923" spans="1:21">
      <c r="A923">
        <v>922</v>
      </c>
      <c r="B923" s="27" t="s">
        <v>1449</v>
      </c>
      <c r="D923" s="27" t="s">
        <v>1450</v>
      </c>
      <c r="F923" s="27" t="s">
        <v>1453</v>
      </c>
      <c r="H923" s="27" t="s">
        <v>1454</v>
      </c>
      <c r="J923" s="27" t="s">
        <v>18547</v>
      </c>
      <c r="L923" s="27" t="s">
        <v>18891</v>
      </c>
      <c r="M923" s="27" t="s">
        <v>1497</v>
      </c>
      <c r="N923" s="27" t="s">
        <v>1275</v>
      </c>
      <c r="P923" s="27" t="s">
        <v>11315</v>
      </c>
      <c r="Q923" s="26" t="str">
        <f>HYPERLINK("https://ictv.global/taxonomy/taxondetails?taxnode_id=202519237&amp;ictv_id=ICTV202319237","ICTV202319237")</f>
        <v>ICTV202319237</v>
      </c>
      <c r="R923" t="s">
        <v>579</v>
      </c>
      <c r="S923" t="s">
        <v>22763</v>
      </c>
      <c r="T923">
        <v>40</v>
      </c>
      <c r="U923" s="26" t="str">
        <f t="shared" si="31"/>
        <v>2024.045B.Autographivirales.zip</v>
      </c>
    </row>
    <row r="924" spans="1:21">
      <c r="A924">
        <v>923</v>
      </c>
      <c r="B924" s="27" t="s">
        <v>1449</v>
      </c>
      <c r="D924" s="27" t="s">
        <v>1450</v>
      </c>
      <c r="F924" s="27" t="s">
        <v>1453</v>
      </c>
      <c r="H924" s="27" t="s">
        <v>1454</v>
      </c>
      <c r="J924" s="27" t="s">
        <v>18547</v>
      </c>
      <c r="L924" s="27" t="s">
        <v>18891</v>
      </c>
      <c r="M924" s="27" t="s">
        <v>1497</v>
      </c>
      <c r="N924" s="27" t="s">
        <v>1275</v>
      </c>
      <c r="P924" s="27" t="s">
        <v>19077</v>
      </c>
      <c r="Q924" s="26" t="str">
        <f>HYPERLINK("https://ictv.global/taxonomy/taxondetails?taxnode_id=202521300&amp;ictv_id=ICTV202421300","ICTV202421300")</f>
        <v>ICTV202421300</v>
      </c>
      <c r="R924" t="s">
        <v>579</v>
      </c>
      <c r="S924" t="s">
        <v>823</v>
      </c>
      <c r="T924">
        <v>40</v>
      </c>
      <c r="U924" s="26" t="str">
        <f t="shared" si="31"/>
        <v>2024.045B.Autographivirales.zip</v>
      </c>
    </row>
    <row r="925" spans="1:21">
      <c r="A925">
        <v>924</v>
      </c>
      <c r="B925" s="27" t="s">
        <v>1449</v>
      </c>
      <c r="D925" s="27" t="s">
        <v>1450</v>
      </c>
      <c r="F925" s="27" t="s">
        <v>1453</v>
      </c>
      <c r="H925" s="27" t="s">
        <v>1454</v>
      </c>
      <c r="J925" s="27" t="s">
        <v>18547</v>
      </c>
      <c r="L925" s="27" t="s">
        <v>18891</v>
      </c>
      <c r="M925" s="27" t="s">
        <v>1497</v>
      </c>
      <c r="N925" s="27" t="s">
        <v>1275</v>
      </c>
      <c r="P925" s="27" t="s">
        <v>19078</v>
      </c>
      <c r="Q925" s="26" t="str">
        <f>HYPERLINK("https://ictv.global/taxonomy/taxondetails?taxnode_id=202521302&amp;ictv_id=ICTV202421302","ICTV202421302")</f>
        <v>ICTV202421302</v>
      </c>
      <c r="R925" t="s">
        <v>579</v>
      </c>
      <c r="S925" t="s">
        <v>823</v>
      </c>
      <c r="T925">
        <v>40</v>
      </c>
      <c r="U925" s="26" t="str">
        <f t="shared" si="31"/>
        <v>2024.045B.Autographivirales.zip</v>
      </c>
    </row>
    <row r="926" spans="1:21">
      <c r="A926">
        <v>925</v>
      </c>
      <c r="B926" s="27" t="s">
        <v>1449</v>
      </c>
      <c r="D926" s="27" t="s">
        <v>1450</v>
      </c>
      <c r="F926" s="27" t="s">
        <v>1453</v>
      </c>
      <c r="H926" s="27" t="s">
        <v>1454</v>
      </c>
      <c r="J926" s="27" t="s">
        <v>18547</v>
      </c>
      <c r="L926" s="27" t="s">
        <v>18891</v>
      </c>
      <c r="M926" s="27" t="s">
        <v>1497</v>
      </c>
      <c r="N926" s="27" t="s">
        <v>1275</v>
      </c>
      <c r="P926" s="27" t="s">
        <v>19079</v>
      </c>
      <c r="Q926" s="26" t="str">
        <f>HYPERLINK("https://ictv.global/taxonomy/taxondetails?taxnode_id=202521312&amp;ictv_id=ICTV202421312","ICTV202421312")</f>
        <v>ICTV202421312</v>
      </c>
      <c r="R926" t="s">
        <v>579</v>
      </c>
      <c r="S926" t="s">
        <v>823</v>
      </c>
      <c r="T926">
        <v>40</v>
      </c>
      <c r="U926" s="26" t="str">
        <f t="shared" si="31"/>
        <v>2024.045B.Autographivirales.zip</v>
      </c>
    </row>
    <row r="927" spans="1:21">
      <c r="A927">
        <v>926</v>
      </c>
      <c r="B927" s="27" t="s">
        <v>1449</v>
      </c>
      <c r="D927" s="27" t="s">
        <v>1450</v>
      </c>
      <c r="F927" s="27" t="s">
        <v>1453</v>
      </c>
      <c r="H927" s="27" t="s">
        <v>1454</v>
      </c>
      <c r="J927" s="27" t="s">
        <v>18547</v>
      </c>
      <c r="L927" s="27" t="s">
        <v>18891</v>
      </c>
      <c r="M927" s="27" t="s">
        <v>1497</v>
      </c>
      <c r="N927" s="27" t="s">
        <v>1275</v>
      </c>
      <c r="P927" s="27" t="s">
        <v>19080</v>
      </c>
      <c r="Q927" s="26" t="str">
        <f>HYPERLINK("https://ictv.global/taxonomy/taxondetails?taxnode_id=202521261&amp;ictv_id=ICTV202421261","ICTV202421261")</f>
        <v>ICTV202421261</v>
      </c>
      <c r="R927" t="s">
        <v>579</v>
      </c>
      <c r="S927" t="s">
        <v>823</v>
      </c>
      <c r="T927">
        <v>40</v>
      </c>
      <c r="U927" s="26" t="str">
        <f t="shared" si="31"/>
        <v>2024.045B.Autographivirales.zip</v>
      </c>
    </row>
    <row r="928" spans="1:21">
      <c r="A928">
        <v>927</v>
      </c>
      <c r="B928" s="27" t="s">
        <v>1449</v>
      </c>
      <c r="D928" s="27" t="s">
        <v>1450</v>
      </c>
      <c r="F928" s="27" t="s">
        <v>1453</v>
      </c>
      <c r="H928" s="27" t="s">
        <v>1454</v>
      </c>
      <c r="J928" s="27" t="s">
        <v>18547</v>
      </c>
      <c r="L928" s="27" t="s">
        <v>18891</v>
      </c>
      <c r="M928" s="27" t="s">
        <v>1497</v>
      </c>
      <c r="N928" s="27" t="s">
        <v>1275</v>
      </c>
      <c r="P928" s="27" t="s">
        <v>19081</v>
      </c>
      <c r="Q928" s="26" t="str">
        <f>HYPERLINK("https://ictv.global/taxonomy/taxondetails?taxnode_id=202521297&amp;ictv_id=ICTV202421297","ICTV202421297")</f>
        <v>ICTV202421297</v>
      </c>
      <c r="R928" t="s">
        <v>579</v>
      </c>
      <c r="S928" t="s">
        <v>823</v>
      </c>
      <c r="T928">
        <v>40</v>
      </c>
      <c r="U928" s="26" t="str">
        <f t="shared" si="31"/>
        <v>2024.045B.Autographivirales.zip</v>
      </c>
    </row>
    <row r="929" spans="1:21">
      <c r="A929">
        <v>928</v>
      </c>
      <c r="B929" s="27" t="s">
        <v>1449</v>
      </c>
      <c r="D929" s="27" t="s">
        <v>1450</v>
      </c>
      <c r="F929" s="27" t="s">
        <v>1453</v>
      </c>
      <c r="H929" s="27" t="s">
        <v>1454</v>
      </c>
      <c r="J929" s="27" t="s">
        <v>18547</v>
      </c>
      <c r="L929" s="27" t="s">
        <v>18891</v>
      </c>
      <c r="M929" s="27" t="s">
        <v>1497</v>
      </c>
      <c r="N929" s="27" t="s">
        <v>1275</v>
      </c>
      <c r="P929" s="27" t="s">
        <v>19082</v>
      </c>
      <c r="Q929" s="26" t="str">
        <f>HYPERLINK("https://ictv.global/taxonomy/taxondetails?taxnode_id=202521267&amp;ictv_id=ICTV202421267","ICTV202421267")</f>
        <v>ICTV202421267</v>
      </c>
      <c r="R929" t="s">
        <v>579</v>
      </c>
      <c r="S929" t="s">
        <v>823</v>
      </c>
      <c r="T929">
        <v>40</v>
      </c>
      <c r="U929" s="26" t="str">
        <f t="shared" si="31"/>
        <v>2024.045B.Autographivirales.zip</v>
      </c>
    </row>
    <row r="930" spans="1:21">
      <c r="A930">
        <v>929</v>
      </c>
      <c r="B930" s="27" t="s">
        <v>1449</v>
      </c>
      <c r="D930" s="27" t="s">
        <v>1450</v>
      </c>
      <c r="F930" s="27" t="s">
        <v>1453</v>
      </c>
      <c r="H930" s="27" t="s">
        <v>1454</v>
      </c>
      <c r="J930" s="27" t="s">
        <v>18547</v>
      </c>
      <c r="L930" s="27" t="s">
        <v>18891</v>
      </c>
      <c r="M930" s="27" t="s">
        <v>1497</v>
      </c>
      <c r="N930" s="27" t="s">
        <v>1275</v>
      </c>
      <c r="P930" s="27" t="s">
        <v>4410</v>
      </c>
      <c r="Q930" s="26" t="str">
        <f>HYPERLINK("https://ictv.global/taxonomy/taxondetails?taxnode_id=202508448&amp;ictv_id=ICTV201908448","ICTV201908448")</f>
        <v>ICTV201908448</v>
      </c>
      <c r="R930" t="s">
        <v>579</v>
      </c>
      <c r="S930" t="s">
        <v>22763</v>
      </c>
      <c r="T930">
        <v>40</v>
      </c>
      <c r="U930" s="26" t="str">
        <f t="shared" ref="U930:U993" si="32">HYPERLINK("https://ictv.global/ictv/proposals/2024.045B.Autographivirales.zip","2024.045B.Autographivirales.zip")</f>
        <v>2024.045B.Autographivirales.zip</v>
      </c>
    </row>
    <row r="931" spans="1:21">
      <c r="A931">
        <v>930</v>
      </c>
      <c r="B931" s="27" t="s">
        <v>1449</v>
      </c>
      <c r="D931" s="27" t="s">
        <v>1450</v>
      </c>
      <c r="F931" s="27" t="s">
        <v>1453</v>
      </c>
      <c r="H931" s="27" t="s">
        <v>1454</v>
      </c>
      <c r="J931" s="27" t="s">
        <v>18547</v>
      </c>
      <c r="L931" s="27" t="s">
        <v>18891</v>
      </c>
      <c r="M931" s="27" t="s">
        <v>1497</v>
      </c>
      <c r="N931" s="27" t="s">
        <v>1275</v>
      </c>
      <c r="P931" s="27" t="s">
        <v>19083</v>
      </c>
      <c r="Q931" s="26" t="str">
        <f>HYPERLINK("https://ictv.global/taxonomy/taxondetails?taxnode_id=202521284&amp;ictv_id=ICTV202421284","ICTV202421284")</f>
        <v>ICTV202421284</v>
      </c>
      <c r="R931" t="s">
        <v>579</v>
      </c>
      <c r="S931" t="s">
        <v>823</v>
      </c>
      <c r="T931">
        <v>40</v>
      </c>
      <c r="U931" s="26" t="str">
        <f t="shared" si="32"/>
        <v>2024.045B.Autographivirales.zip</v>
      </c>
    </row>
    <row r="932" spans="1:21">
      <c r="A932">
        <v>931</v>
      </c>
      <c r="B932" s="27" t="s">
        <v>1449</v>
      </c>
      <c r="D932" s="27" t="s">
        <v>1450</v>
      </c>
      <c r="F932" s="27" t="s">
        <v>1453</v>
      </c>
      <c r="H932" s="27" t="s">
        <v>1454</v>
      </c>
      <c r="J932" s="27" t="s">
        <v>18547</v>
      </c>
      <c r="L932" s="27" t="s">
        <v>18891</v>
      </c>
      <c r="M932" s="27" t="s">
        <v>1497</v>
      </c>
      <c r="N932" s="27" t="s">
        <v>1275</v>
      </c>
      <c r="P932" s="27" t="s">
        <v>4411</v>
      </c>
      <c r="Q932" s="26" t="str">
        <f>HYPERLINK("https://ictv.global/taxonomy/taxondetails?taxnode_id=202508436&amp;ictv_id=ICTV201908436","ICTV201908436")</f>
        <v>ICTV201908436</v>
      </c>
      <c r="R932" t="s">
        <v>579</v>
      </c>
      <c r="S932" t="s">
        <v>22763</v>
      </c>
      <c r="T932">
        <v>40</v>
      </c>
      <c r="U932" s="26" t="str">
        <f t="shared" si="32"/>
        <v>2024.045B.Autographivirales.zip</v>
      </c>
    </row>
    <row r="933" spans="1:21">
      <c r="A933">
        <v>932</v>
      </c>
      <c r="B933" s="27" t="s">
        <v>1449</v>
      </c>
      <c r="D933" s="27" t="s">
        <v>1450</v>
      </c>
      <c r="F933" s="27" t="s">
        <v>1453</v>
      </c>
      <c r="H933" s="27" t="s">
        <v>1454</v>
      </c>
      <c r="J933" s="27" t="s">
        <v>18547</v>
      </c>
      <c r="L933" s="27" t="s">
        <v>18891</v>
      </c>
      <c r="M933" s="27" t="s">
        <v>1497</v>
      </c>
      <c r="N933" s="27" t="s">
        <v>1275</v>
      </c>
      <c r="P933" s="27" t="s">
        <v>19084</v>
      </c>
      <c r="Q933" s="26" t="str">
        <f>HYPERLINK("https://ictv.global/taxonomy/taxondetails?taxnode_id=202521306&amp;ictv_id=ICTV202421306","ICTV202421306")</f>
        <v>ICTV202421306</v>
      </c>
      <c r="R933" t="s">
        <v>579</v>
      </c>
      <c r="S933" t="s">
        <v>823</v>
      </c>
      <c r="T933">
        <v>40</v>
      </c>
      <c r="U933" s="26" t="str">
        <f t="shared" si="32"/>
        <v>2024.045B.Autographivirales.zip</v>
      </c>
    </row>
    <row r="934" spans="1:21">
      <c r="A934">
        <v>933</v>
      </c>
      <c r="B934" s="27" t="s">
        <v>1449</v>
      </c>
      <c r="D934" s="27" t="s">
        <v>1450</v>
      </c>
      <c r="F934" s="27" t="s">
        <v>1453</v>
      </c>
      <c r="H934" s="27" t="s">
        <v>1454</v>
      </c>
      <c r="J934" s="27" t="s">
        <v>18547</v>
      </c>
      <c r="L934" s="27" t="s">
        <v>18891</v>
      </c>
      <c r="M934" s="27" t="s">
        <v>1497</v>
      </c>
      <c r="N934" s="27" t="s">
        <v>1275</v>
      </c>
      <c r="P934" s="27" t="s">
        <v>19085</v>
      </c>
      <c r="Q934" s="26" t="str">
        <f>HYPERLINK("https://ictv.global/taxonomy/taxondetails?taxnode_id=202521262&amp;ictv_id=ICTV202421262","ICTV202421262")</f>
        <v>ICTV202421262</v>
      </c>
      <c r="R934" t="s">
        <v>579</v>
      </c>
      <c r="S934" t="s">
        <v>823</v>
      </c>
      <c r="T934">
        <v>40</v>
      </c>
      <c r="U934" s="26" t="str">
        <f t="shared" si="32"/>
        <v>2024.045B.Autographivirales.zip</v>
      </c>
    </row>
    <row r="935" spans="1:21">
      <c r="A935">
        <v>934</v>
      </c>
      <c r="B935" s="27" t="s">
        <v>1449</v>
      </c>
      <c r="D935" s="27" t="s">
        <v>1450</v>
      </c>
      <c r="F935" s="27" t="s">
        <v>1453</v>
      </c>
      <c r="H935" s="27" t="s">
        <v>1454</v>
      </c>
      <c r="J935" s="27" t="s">
        <v>18547</v>
      </c>
      <c r="L935" s="27" t="s">
        <v>18891</v>
      </c>
      <c r="M935" s="27" t="s">
        <v>1497</v>
      </c>
      <c r="N935" s="27" t="s">
        <v>1275</v>
      </c>
      <c r="P935" s="27" t="s">
        <v>19086</v>
      </c>
      <c r="Q935" s="26" t="str">
        <f>HYPERLINK("https://ictv.global/taxonomy/taxondetails?taxnode_id=202521303&amp;ictv_id=ICTV202421303","ICTV202421303")</f>
        <v>ICTV202421303</v>
      </c>
      <c r="R935" t="s">
        <v>579</v>
      </c>
      <c r="S935" t="s">
        <v>823</v>
      </c>
      <c r="T935">
        <v>40</v>
      </c>
      <c r="U935" s="26" t="str">
        <f t="shared" si="32"/>
        <v>2024.045B.Autographivirales.zip</v>
      </c>
    </row>
    <row r="936" spans="1:21">
      <c r="A936">
        <v>935</v>
      </c>
      <c r="B936" s="27" t="s">
        <v>1449</v>
      </c>
      <c r="D936" s="27" t="s">
        <v>1450</v>
      </c>
      <c r="F936" s="27" t="s">
        <v>1453</v>
      </c>
      <c r="H936" s="27" t="s">
        <v>1454</v>
      </c>
      <c r="J936" s="27" t="s">
        <v>18547</v>
      </c>
      <c r="L936" s="27" t="s">
        <v>18891</v>
      </c>
      <c r="M936" s="27" t="s">
        <v>1497</v>
      </c>
      <c r="N936" s="27" t="s">
        <v>1275</v>
      </c>
      <c r="P936" s="27" t="s">
        <v>19087</v>
      </c>
      <c r="Q936" s="26" t="str">
        <f>HYPERLINK("https://ictv.global/taxonomy/taxondetails?taxnode_id=202521299&amp;ictv_id=ICTV202421299","ICTV202421299")</f>
        <v>ICTV202421299</v>
      </c>
      <c r="R936" t="s">
        <v>579</v>
      </c>
      <c r="S936" t="s">
        <v>823</v>
      </c>
      <c r="T936">
        <v>40</v>
      </c>
      <c r="U936" s="26" t="str">
        <f t="shared" si="32"/>
        <v>2024.045B.Autographivirales.zip</v>
      </c>
    </row>
    <row r="937" spans="1:21">
      <c r="A937">
        <v>936</v>
      </c>
      <c r="B937" s="27" t="s">
        <v>1449</v>
      </c>
      <c r="D937" s="27" t="s">
        <v>1450</v>
      </c>
      <c r="F937" s="27" t="s">
        <v>1453</v>
      </c>
      <c r="H937" s="27" t="s">
        <v>1454</v>
      </c>
      <c r="J937" s="27" t="s">
        <v>18547</v>
      </c>
      <c r="L937" s="27" t="s">
        <v>18891</v>
      </c>
      <c r="M937" s="27" t="s">
        <v>1497</v>
      </c>
      <c r="N937" s="27" t="s">
        <v>1275</v>
      </c>
      <c r="P937" s="27" t="s">
        <v>19088</v>
      </c>
      <c r="Q937" s="26" t="str">
        <f>HYPERLINK("https://ictv.global/taxonomy/taxondetails?taxnode_id=202521321&amp;ictv_id=ICTV202421321","ICTV202421321")</f>
        <v>ICTV202421321</v>
      </c>
      <c r="R937" t="s">
        <v>579</v>
      </c>
      <c r="S937" t="s">
        <v>823</v>
      </c>
      <c r="T937">
        <v>40</v>
      </c>
      <c r="U937" s="26" t="str">
        <f t="shared" si="32"/>
        <v>2024.045B.Autographivirales.zip</v>
      </c>
    </row>
    <row r="938" spans="1:21">
      <c r="A938">
        <v>937</v>
      </c>
      <c r="B938" s="27" t="s">
        <v>1449</v>
      </c>
      <c r="D938" s="27" t="s">
        <v>1450</v>
      </c>
      <c r="F938" s="27" t="s">
        <v>1453</v>
      </c>
      <c r="H938" s="27" t="s">
        <v>1454</v>
      </c>
      <c r="J938" s="27" t="s">
        <v>18547</v>
      </c>
      <c r="L938" s="27" t="s">
        <v>18891</v>
      </c>
      <c r="M938" s="27" t="s">
        <v>1497</v>
      </c>
      <c r="N938" s="27" t="s">
        <v>1275</v>
      </c>
      <c r="P938" s="27" t="s">
        <v>19089</v>
      </c>
      <c r="Q938" s="26" t="str">
        <f>HYPERLINK("https://ictv.global/taxonomy/taxondetails?taxnode_id=202521313&amp;ictv_id=ICTV202421313","ICTV202421313")</f>
        <v>ICTV202421313</v>
      </c>
      <c r="R938" t="s">
        <v>579</v>
      </c>
      <c r="S938" t="s">
        <v>823</v>
      </c>
      <c r="T938">
        <v>40</v>
      </c>
      <c r="U938" s="26" t="str">
        <f t="shared" si="32"/>
        <v>2024.045B.Autographivirales.zip</v>
      </c>
    </row>
    <row r="939" spans="1:21">
      <c r="A939">
        <v>938</v>
      </c>
      <c r="B939" s="27" t="s">
        <v>1449</v>
      </c>
      <c r="D939" s="27" t="s">
        <v>1450</v>
      </c>
      <c r="F939" s="27" t="s">
        <v>1453</v>
      </c>
      <c r="H939" s="27" t="s">
        <v>1454</v>
      </c>
      <c r="J939" s="27" t="s">
        <v>18547</v>
      </c>
      <c r="L939" s="27" t="s">
        <v>18891</v>
      </c>
      <c r="M939" s="27" t="s">
        <v>1497</v>
      </c>
      <c r="N939" s="27" t="s">
        <v>1275</v>
      </c>
      <c r="P939" s="27" t="s">
        <v>19090</v>
      </c>
      <c r="Q939" s="26" t="str">
        <f>HYPERLINK("https://ictv.global/taxonomy/taxondetails?taxnode_id=202521310&amp;ictv_id=ICTV202421310","ICTV202421310")</f>
        <v>ICTV202421310</v>
      </c>
      <c r="R939" t="s">
        <v>579</v>
      </c>
      <c r="S939" t="s">
        <v>823</v>
      </c>
      <c r="T939">
        <v>40</v>
      </c>
      <c r="U939" s="26" t="str">
        <f t="shared" si="32"/>
        <v>2024.045B.Autographivirales.zip</v>
      </c>
    </row>
    <row r="940" spans="1:21">
      <c r="A940">
        <v>939</v>
      </c>
      <c r="B940" s="27" t="s">
        <v>1449</v>
      </c>
      <c r="D940" s="27" t="s">
        <v>1450</v>
      </c>
      <c r="F940" s="27" t="s">
        <v>1453</v>
      </c>
      <c r="H940" s="27" t="s">
        <v>1454</v>
      </c>
      <c r="J940" s="27" t="s">
        <v>18547</v>
      </c>
      <c r="L940" s="27" t="s">
        <v>18891</v>
      </c>
      <c r="M940" s="27" t="s">
        <v>1497</v>
      </c>
      <c r="N940" s="27" t="s">
        <v>1275</v>
      </c>
      <c r="P940" s="27" t="s">
        <v>19091</v>
      </c>
      <c r="Q940" s="26" t="str">
        <f>HYPERLINK("https://ictv.global/taxonomy/taxondetails?taxnode_id=202521289&amp;ictv_id=ICTV202421289","ICTV202421289")</f>
        <v>ICTV202421289</v>
      </c>
      <c r="R940" t="s">
        <v>579</v>
      </c>
      <c r="S940" t="s">
        <v>823</v>
      </c>
      <c r="T940">
        <v>40</v>
      </c>
      <c r="U940" s="26" t="str">
        <f t="shared" si="32"/>
        <v>2024.045B.Autographivirales.zip</v>
      </c>
    </row>
    <row r="941" spans="1:21">
      <c r="A941">
        <v>940</v>
      </c>
      <c r="B941" s="27" t="s">
        <v>1449</v>
      </c>
      <c r="D941" s="27" t="s">
        <v>1450</v>
      </c>
      <c r="F941" s="27" t="s">
        <v>1453</v>
      </c>
      <c r="H941" s="27" t="s">
        <v>1454</v>
      </c>
      <c r="J941" s="27" t="s">
        <v>18547</v>
      </c>
      <c r="L941" s="27" t="s">
        <v>18891</v>
      </c>
      <c r="M941" s="27" t="s">
        <v>1497</v>
      </c>
      <c r="N941" s="27" t="s">
        <v>1275</v>
      </c>
      <c r="P941" s="27" t="s">
        <v>19092</v>
      </c>
      <c r="Q941" s="26" t="str">
        <f>HYPERLINK("https://ictv.global/taxonomy/taxondetails?taxnode_id=202521291&amp;ictv_id=ICTV202421291","ICTV202421291")</f>
        <v>ICTV202421291</v>
      </c>
      <c r="R941" t="s">
        <v>579</v>
      </c>
      <c r="S941" t="s">
        <v>823</v>
      </c>
      <c r="T941">
        <v>40</v>
      </c>
      <c r="U941" s="26" t="str">
        <f t="shared" si="32"/>
        <v>2024.045B.Autographivirales.zip</v>
      </c>
    </row>
    <row r="942" spans="1:21">
      <c r="A942">
        <v>941</v>
      </c>
      <c r="B942" s="27" t="s">
        <v>1449</v>
      </c>
      <c r="D942" s="27" t="s">
        <v>1450</v>
      </c>
      <c r="F942" s="27" t="s">
        <v>1453</v>
      </c>
      <c r="H942" s="27" t="s">
        <v>1454</v>
      </c>
      <c r="J942" s="27" t="s">
        <v>18547</v>
      </c>
      <c r="L942" s="27" t="s">
        <v>18891</v>
      </c>
      <c r="M942" s="27" t="s">
        <v>1497</v>
      </c>
      <c r="N942" s="27" t="s">
        <v>1275</v>
      </c>
      <c r="P942" s="27" t="s">
        <v>19093</v>
      </c>
      <c r="Q942" s="26" t="str">
        <f>HYPERLINK("https://ictv.global/taxonomy/taxondetails?taxnode_id=202521319&amp;ictv_id=ICTV202421319","ICTV202421319")</f>
        <v>ICTV202421319</v>
      </c>
      <c r="R942" t="s">
        <v>579</v>
      </c>
      <c r="S942" t="s">
        <v>823</v>
      </c>
      <c r="T942">
        <v>40</v>
      </c>
      <c r="U942" s="26" t="str">
        <f t="shared" si="32"/>
        <v>2024.045B.Autographivirales.zip</v>
      </c>
    </row>
    <row r="943" spans="1:21">
      <c r="A943">
        <v>942</v>
      </c>
      <c r="B943" s="27" t="s">
        <v>1449</v>
      </c>
      <c r="D943" s="27" t="s">
        <v>1450</v>
      </c>
      <c r="F943" s="27" t="s">
        <v>1453</v>
      </c>
      <c r="H943" s="27" t="s">
        <v>1454</v>
      </c>
      <c r="J943" s="27" t="s">
        <v>18547</v>
      </c>
      <c r="L943" s="27" t="s">
        <v>18891</v>
      </c>
      <c r="M943" s="27" t="s">
        <v>1497</v>
      </c>
      <c r="N943" s="27" t="s">
        <v>1275</v>
      </c>
      <c r="P943" s="27" t="s">
        <v>19094</v>
      </c>
      <c r="Q943" s="26" t="str">
        <f>HYPERLINK("https://ictv.global/taxonomy/taxondetails?taxnode_id=202521304&amp;ictv_id=ICTV202421304","ICTV202421304")</f>
        <v>ICTV202421304</v>
      </c>
      <c r="R943" t="s">
        <v>579</v>
      </c>
      <c r="S943" t="s">
        <v>823</v>
      </c>
      <c r="T943">
        <v>40</v>
      </c>
      <c r="U943" s="26" t="str">
        <f t="shared" si="32"/>
        <v>2024.045B.Autographivirales.zip</v>
      </c>
    </row>
    <row r="944" spans="1:21">
      <c r="A944">
        <v>943</v>
      </c>
      <c r="B944" s="27" t="s">
        <v>1449</v>
      </c>
      <c r="D944" s="27" t="s">
        <v>1450</v>
      </c>
      <c r="F944" s="27" t="s">
        <v>1453</v>
      </c>
      <c r="H944" s="27" t="s">
        <v>1454</v>
      </c>
      <c r="J944" s="27" t="s">
        <v>18547</v>
      </c>
      <c r="L944" s="27" t="s">
        <v>18891</v>
      </c>
      <c r="M944" s="27" t="s">
        <v>1497</v>
      </c>
      <c r="N944" s="27" t="s">
        <v>1275</v>
      </c>
      <c r="P944" s="27" t="s">
        <v>19095</v>
      </c>
      <c r="Q944" s="26" t="str">
        <f>HYPERLINK("https://ictv.global/taxonomy/taxondetails?taxnode_id=202521320&amp;ictv_id=ICTV202421320","ICTV202421320")</f>
        <v>ICTV202421320</v>
      </c>
      <c r="R944" t="s">
        <v>579</v>
      </c>
      <c r="S944" t="s">
        <v>823</v>
      </c>
      <c r="T944">
        <v>40</v>
      </c>
      <c r="U944" s="26" t="str">
        <f t="shared" si="32"/>
        <v>2024.045B.Autographivirales.zip</v>
      </c>
    </row>
    <row r="945" spans="1:21">
      <c r="A945">
        <v>944</v>
      </c>
      <c r="B945" s="27" t="s">
        <v>1449</v>
      </c>
      <c r="D945" s="27" t="s">
        <v>1450</v>
      </c>
      <c r="F945" s="27" t="s">
        <v>1453</v>
      </c>
      <c r="H945" s="27" t="s">
        <v>1454</v>
      </c>
      <c r="J945" s="27" t="s">
        <v>18547</v>
      </c>
      <c r="L945" s="27" t="s">
        <v>18891</v>
      </c>
      <c r="M945" s="27" t="s">
        <v>1497</v>
      </c>
      <c r="N945" s="27" t="s">
        <v>1275</v>
      </c>
      <c r="P945" s="27" t="s">
        <v>19096</v>
      </c>
      <c r="Q945" s="26" t="str">
        <f>HYPERLINK("https://ictv.global/taxonomy/taxondetails?taxnode_id=202521305&amp;ictv_id=ICTV202421305","ICTV202421305")</f>
        <v>ICTV202421305</v>
      </c>
      <c r="R945" t="s">
        <v>579</v>
      </c>
      <c r="S945" t="s">
        <v>823</v>
      </c>
      <c r="T945">
        <v>40</v>
      </c>
      <c r="U945" s="26" t="str">
        <f t="shared" si="32"/>
        <v>2024.045B.Autographivirales.zip</v>
      </c>
    </row>
    <row r="946" spans="1:21">
      <c r="A946">
        <v>945</v>
      </c>
      <c r="B946" s="27" t="s">
        <v>1449</v>
      </c>
      <c r="D946" s="27" t="s">
        <v>1450</v>
      </c>
      <c r="F946" s="27" t="s">
        <v>1453</v>
      </c>
      <c r="H946" s="27" t="s">
        <v>1454</v>
      </c>
      <c r="J946" s="27" t="s">
        <v>18547</v>
      </c>
      <c r="L946" s="27" t="s">
        <v>18891</v>
      </c>
      <c r="M946" s="27" t="s">
        <v>1497</v>
      </c>
      <c r="N946" s="27" t="s">
        <v>1275</v>
      </c>
      <c r="P946" s="27" t="s">
        <v>19097</v>
      </c>
      <c r="Q946" s="26" t="str">
        <f>HYPERLINK("https://ictv.global/taxonomy/taxondetails?taxnode_id=202521307&amp;ictv_id=ICTV202421307","ICTV202421307")</f>
        <v>ICTV202421307</v>
      </c>
      <c r="R946" t="s">
        <v>579</v>
      </c>
      <c r="S946" t="s">
        <v>823</v>
      </c>
      <c r="T946">
        <v>40</v>
      </c>
      <c r="U946" s="26" t="str">
        <f t="shared" si="32"/>
        <v>2024.045B.Autographivirales.zip</v>
      </c>
    </row>
    <row r="947" spans="1:21">
      <c r="A947">
        <v>946</v>
      </c>
      <c r="B947" s="27" t="s">
        <v>1449</v>
      </c>
      <c r="D947" s="27" t="s">
        <v>1450</v>
      </c>
      <c r="F947" s="27" t="s">
        <v>1453</v>
      </c>
      <c r="H947" s="27" t="s">
        <v>1454</v>
      </c>
      <c r="J947" s="27" t="s">
        <v>18547</v>
      </c>
      <c r="L947" s="27" t="s">
        <v>18891</v>
      </c>
      <c r="M947" s="27" t="s">
        <v>1497</v>
      </c>
      <c r="N947" s="27" t="s">
        <v>1275</v>
      </c>
      <c r="P947" s="27" t="s">
        <v>19098</v>
      </c>
      <c r="Q947" s="26" t="str">
        <f>HYPERLINK("https://ictv.global/taxonomy/taxondetails?taxnode_id=202521316&amp;ictv_id=ICTV202421316","ICTV202421316")</f>
        <v>ICTV202421316</v>
      </c>
      <c r="R947" t="s">
        <v>579</v>
      </c>
      <c r="S947" t="s">
        <v>823</v>
      </c>
      <c r="T947">
        <v>40</v>
      </c>
      <c r="U947" s="26" t="str">
        <f t="shared" si="32"/>
        <v>2024.045B.Autographivirales.zip</v>
      </c>
    </row>
    <row r="948" spans="1:21">
      <c r="A948">
        <v>947</v>
      </c>
      <c r="B948" s="27" t="s">
        <v>1449</v>
      </c>
      <c r="D948" s="27" t="s">
        <v>1450</v>
      </c>
      <c r="F948" s="27" t="s">
        <v>1453</v>
      </c>
      <c r="H948" s="27" t="s">
        <v>1454</v>
      </c>
      <c r="J948" s="27" t="s">
        <v>18547</v>
      </c>
      <c r="L948" s="27" t="s">
        <v>18891</v>
      </c>
      <c r="M948" s="27" t="s">
        <v>1497</v>
      </c>
      <c r="N948" s="27" t="s">
        <v>1275</v>
      </c>
      <c r="P948" s="27" t="s">
        <v>19099</v>
      </c>
      <c r="Q948" s="26" t="str">
        <f>HYPERLINK("https://ictv.global/taxonomy/taxondetails?taxnode_id=202521292&amp;ictv_id=ICTV202421292","ICTV202421292")</f>
        <v>ICTV202421292</v>
      </c>
      <c r="R948" t="s">
        <v>579</v>
      </c>
      <c r="S948" t="s">
        <v>823</v>
      </c>
      <c r="T948">
        <v>40</v>
      </c>
      <c r="U948" s="26" t="str">
        <f t="shared" si="32"/>
        <v>2024.045B.Autographivirales.zip</v>
      </c>
    </row>
    <row r="949" spans="1:21">
      <c r="A949">
        <v>948</v>
      </c>
      <c r="B949" s="27" t="s">
        <v>1449</v>
      </c>
      <c r="D949" s="27" t="s">
        <v>1450</v>
      </c>
      <c r="F949" s="27" t="s">
        <v>1453</v>
      </c>
      <c r="H949" s="27" t="s">
        <v>1454</v>
      </c>
      <c r="J949" s="27" t="s">
        <v>18547</v>
      </c>
      <c r="L949" s="27" t="s">
        <v>18891</v>
      </c>
      <c r="M949" s="27" t="s">
        <v>1497</v>
      </c>
      <c r="N949" s="27" t="s">
        <v>1275</v>
      </c>
      <c r="P949" s="27" t="s">
        <v>19100</v>
      </c>
      <c r="Q949" s="26" t="str">
        <f>HYPERLINK("https://ictv.global/taxonomy/taxondetails?taxnode_id=202521298&amp;ictv_id=ICTV202421298","ICTV202421298")</f>
        <v>ICTV202421298</v>
      </c>
      <c r="R949" t="s">
        <v>579</v>
      </c>
      <c r="S949" t="s">
        <v>823</v>
      </c>
      <c r="T949">
        <v>40</v>
      </c>
      <c r="U949" s="26" t="str">
        <f t="shared" si="32"/>
        <v>2024.045B.Autographivirales.zip</v>
      </c>
    </row>
    <row r="950" spans="1:21">
      <c r="A950">
        <v>949</v>
      </c>
      <c r="B950" s="27" t="s">
        <v>1449</v>
      </c>
      <c r="D950" s="27" t="s">
        <v>1450</v>
      </c>
      <c r="F950" s="27" t="s">
        <v>1453</v>
      </c>
      <c r="H950" s="27" t="s">
        <v>1454</v>
      </c>
      <c r="J950" s="27" t="s">
        <v>18547</v>
      </c>
      <c r="L950" s="27" t="s">
        <v>18891</v>
      </c>
      <c r="M950" s="27" t="s">
        <v>1497</v>
      </c>
      <c r="N950" s="27" t="s">
        <v>1275</v>
      </c>
      <c r="P950" s="27" t="s">
        <v>19101</v>
      </c>
      <c r="Q950" s="26" t="str">
        <f>HYPERLINK("https://ictv.global/taxonomy/taxondetails?taxnode_id=202521301&amp;ictv_id=ICTV202421301","ICTV202421301")</f>
        <v>ICTV202421301</v>
      </c>
      <c r="R950" t="s">
        <v>579</v>
      </c>
      <c r="S950" t="s">
        <v>823</v>
      </c>
      <c r="T950">
        <v>40</v>
      </c>
      <c r="U950" s="26" t="str">
        <f t="shared" si="32"/>
        <v>2024.045B.Autographivirales.zip</v>
      </c>
    </row>
    <row r="951" spans="1:21">
      <c r="A951">
        <v>950</v>
      </c>
      <c r="B951" s="27" t="s">
        <v>1449</v>
      </c>
      <c r="D951" s="27" t="s">
        <v>1450</v>
      </c>
      <c r="F951" s="27" t="s">
        <v>1453</v>
      </c>
      <c r="H951" s="27" t="s">
        <v>1454</v>
      </c>
      <c r="J951" s="27" t="s">
        <v>18547</v>
      </c>
      <c r="L951" s="27" t="s">
        <v>18891</v>
      </c>
      <c r="M951" s="27" t="s">
        <v>1497</v>
      </c>
      <c r="N951" s="27" t="s">
        <v>1275</v>
      </c>
      <c r="P951" s="27" t="s">
        <v>19102</v>
      </c>
      <c r="Q951" s="26" t="str">
        <f>HYPERLINK("https://ictv.global/taxonomy/taxondetails?taxnode_id=202521322&amp;ictv_id=ICTV202421322","ICTV202421322")</f>
        <v>ICTV202421322</v>
      </c>
      <c r="R951" t="s">
        <v>579</v>
      </c>
      <c r="S951" t="s">
        <v>823</v>
      </c>
      <c r="T951">
        <v>40</v>
      </c>
      <c r="U951" s="26" t="str">
        <f t="shared" si="32"/>
        <v>2024.045B.Autographivirales.zip</v>
      </c>
    </row>
    <row r="952" spans="1:21">
      <c r="A952">
        <v>951</v>
      </c>
      <c r="B952" s="27" t="s">
        <v>1449</v>
      </c>
      <c r="D952" s="27" t="s">
        <v>1450</v>
      </c>
      <c r="F952" s="27" t="s">
        <v>1453</v>
      </c>
      <c r="H952" s="27" t="s">
        <v>1454</v>
      </c>
      <c r="J952" s="27" t="s">
        <v>18547</v>
      </c>
      <c r="L952" s="27" t="s">
        <v>18891</v>
      </c>
      <c r="M952" s="27" t="s">
        <v>1497</v>
      </c>
      <c r="N952" s="27" t="s">
        <v>1275</v>
      </c>
      <c r="P952" s="27" t="s">
        <v>11316</v>
      </c>
      <c r="Q952" s="26" t="str">
        <f>HYPERLINK("https://ictv.global/taxonomy/taxondetails?taxnode_id=202519238&amp;ictv_id=ICTV202319238","ICTV202319238")</f>
        <v>ICTV202319238</v>
      </c>
      <c r="R952" t="s">
        <v>579</v>
      </c>
      <c r="S952" t="s">
        <v>22763</v>
      </c>
      <c r="T952">
        <v>40</v>
      </c>
      <c r="U952" s="26" t="str">
        <f t="shared" si="32"/>
        <v>2024.045B.Autographivirales.zip</v>
      </c>
    </row>
    <row r="953" spans="1:21">
      <c r="A953">
        <v>952</v>
      </c>
      <c r="B953" s="27" t="s">
        <v>1449</v>
      </c>
      <c r="D953" s="27" t="s">
        <v>1450</v>
      </c>
      <c r="F953" s="27" t="s">
        <v>1453</v>
      </c>
      <c r="H953" s="27" t="s">
        <v>1454</v>
      </c>
      <c r="J953" s="27" t="s">
        <v>18547</v>
      </c>
      <c r="L953" s="27" t="s">
        <v>18891</v>
      </c>
      <c r="M953" s="27" t="s">
        <v>1497</v>
      </c>
      <c r="N953" s="27" t="s">
        <v>1275</v>
      </c>
      <c r="P953" s="27" t="s">
        <v>19103</v>
      </c>
      <c r="Q953" s="26" t="str">
        <f>HYPERLINK("https://ictv.global/taxonomy/taxondetails?taxnode_id=202521259&amp;ictv_id=ICTV202421259","ICTV202421259")</f>
        <v>ICTV202421259</v>
      </c>
      <c r="R953" t="s">
        <v>579</v>
      </c>
      <c r="S953" t="s">
        <v>823</v>
      </c>
      <c r="T953">
        <v>40</v>
      </c>
      <c r="U953" s="26" t="str">
        <f t="shared" si="32"/>
        <v>2024.045B.Autographivirales.zip</v>
      </c>
    </row>
    <row r="954" spans="1:21">
      <c r="A954">
        <v>953</v>
      </c>
      <c r="B954" s="27" t="s">
        <v>1449</v>
      </c>
      <c r="D954" s="27" t="s">
        <v>1450</v>
      </c>
      <c r="F954" s="27" t="s">
        <v>1453</v>
      </c>
      <c r="H954" s="27" t="s">
        <v>1454</v>
      </c>
      <c r="J954" s="27" t="s">
        <v>18547</v>
      </c>
      <c r="L954" s="27" t="s">
        <v>18891</v>
      </c>
      <c r="M954" s="27" t="s">
        <v>1497</v>
      </c>
      <c r="N954" s="27" t="s">
        <v>1275</v>
      </c>
      <c r="P954" s="27" t="s">
        <v>4412</v>
      </c>
      <c r="Q954" s="26" t="str">
        <f>HYPERLINK("https://ictv.global/taxonomy/taxondetails?taxnode_id=202508449&amp;ictv_id=ICTV201908449","ICTV201908449")</f>
        <v>ICTV201908449</v>
      </c>
      <c r="R954" t="s">
        <v>579</v>
      </c>
      <c r="S954" t="s">
        <v>22763</v>
      </c>
      <c r="T954">
        <v>40</v>
      </c>
      <c r="U954" s="26" t="str">
        <f t="shared" si="32"/>
        <v>2024.045B.Autographivirales.zip</v>
      </c>
    </row>
    <row r="955" spans="1:21">
      <c r="A955">
        <v>954</v>
      </c>
      <c r="B955" s="27" t="s">
        <v>1449</v>
      </c>
      <c r="D955" s="27" t="s">
        <v>1450</v>
      </c>
      <c r="F955" s="27" t="s">
        <v>1453</v>
      </c>
      <c r="H955" s="27" t="s">
        <v>1454</v>
      </c>
      <c r="J955" s="27" t="s">
        <v>18547</v>
      </c>
      <c r="L955" s="27" t="s">
        <v>18891</v>
      </c>
      <c r="M955" s="27" t="s">
        <v>1497</v>
      </c>
      <c r="N955" s="27" t="s">
        <v>1275</v>
      </c>
      <c r="P955" s="27" t="s">
        <v>4413</v>
      </c>
      <c r="Q955" s="26" t="str">
        <f>HYPERLINK("https://ictv.global/taxonomy/taxondetails?taxnode_id=202508440&amp;ictv_id=ICTV201908440","ICTV201908440")</f>
        <v>ICTV201908440</v>
      </c>
      <c r="R955" t="s">
        <v>579</v>
      </c>
      <c r="S955" t="s">
        <v>22763</v>
      </c>
      <c r="T955">
        <v>40</v>
      </c>
      <c r="U955" s="26" t="str">
        <f t="shared" si="32"/>
        <v>2024.045B.Autographivirales.zip</v>
      </c>
    </row>
    <row r="956" spans="1:21">
      <c r="A956">
        <v>955</v>
      </c>
      <c r="B956" s="27" t="s">
        <v>1449</v>
      </c>
      <c r="D956" s="27" t="s">
        <v>1450</v>
      </c>
      <c r="F956" s="27" t="s">
        <v>1453</v>
      </c>
      <c r="H956" s="27" t="s">
        <v>1454</v>
      </c>
      <c r="J956" s="27" t="s">
        <v>18547</v>
      </c>
      <c r="L956" s="27" t="s">
        <v>18891</v>
      </c>
      <c r="M956" s="27" t="s">
        <v>1497</v>
      </c>
      <c r="N956" s="27" t="s">
        <v>1275</v>
      </c>
      <c r="P956" s="27" t="s">
        <v>19104</v>
      </c>
      <c r="Q956" s="26" t="str">
        <f>HYPERLINK("https://ictv.global/taxonomy/taxondetails?taxnode_id=202521308&amp;ictv_id=ICTV202421308","ICTV202421308")</f>
        <v>ICTV202421308</v>
      </c>
      <c r="R956" t="s">
        <v>579</v>
      </c>
      <c r="S956" t="s">
        <v>823</v>
      </c>
      <c r="T956">
        <v>40</v>
      </c>
      <c r="U956" s="26" t="str">
        <f t="shared" si="32"/>
        <v>2024.045B.Autographivirales.zip</v>
      </c>
    </row>
    <row r="957" spans="1:21">
      <c r="A957">
        <v>956</v>
      </c>
      <c r="B957" s="27" t="s">
        <v>1449</v>
      </c>
      <c r="D957" s="27" t="s">
        <v>1450</v>
      </c>
      <c r="F957" s="27" t="s">
        <v>1453</v>
      </c>
      <c r="H957" s="27" t="s">
        <v>1454</v>
      </c>
      <c r="J957" s="27" t="s">
        <v>18547</v>
      </c>
      <c r="L957" s="27" t="s">
        <v>18891</v>
      </c>
      <c r="M957" s="27" t="s">
        <v>1497</v>
      </c>
      <c r="N957" s="27" t="s">
        <v>1275</v>
      </c>
      <c r="P957" s="27" t="s">
        <v>19105</v>
      </c>
      <c r="Q957" s="26" t="str">
        <f>HYPERLINK("https://ictv.global/taxonomy/taxondetails?taxnode_id=202521266&amp;ictv_id=ICTV202421266","ICTV202421266")</f>
        <v>ICTV202421266</v>
      </c>
      <c r="R957" t="s">
        <v>579</v>
      </c>
      <c r="S957" t="s">
        <v>823</v>
      </c>
      <c r="T957">
        <v>40</v>
      </c>
      <c r="U957" s="26" t="str">
        <f t="shared" si="32"/>
        <v>2024.045B.Autographivirales.zip</v>
      </c>
    </row>
    <row r="958" spans="1:21">
      <c r="A958">
        <v>957</v>
      </c>
      <c r="B958" s="27" t="s">
        <v>1449</v>
      </c>
      <c r="D958" s="27" t="s">
        <v>1450</v>
      </c>
      <c r="F958" s="27" t="s">
        <v>1453</v>
      </c>
      <c r="H958" s="27" t="s">
        <v>1454</v>
      </c>
      <c r="J958" s="27" t="s">
        <v>18547</v>
      </c>
      <c r="L958" s="27" t="s">
        <v>18891</v>
      </c>
      <c r="M958" s="27" t="s">
        <v>1497</v>
      </c>
      <c r="N958" s="27" t="s">
        <v>1275</v>
      </c>
      <c r="P958" s="27" t="s">
        <v>19106</v>
      </c>
      <c r="Q958" s="26" t="str">
        <f>HYPERLINK("https://ictv.global/taxonomy/taxondetails?taxnode_id=202521258&amp;ictv_id=ICTV202421258","ICTV202421258")</f>
        <v>ICTV202421258</v>
      </c>
      <c r="R958" t="s">
        <v>579</v>
      </c>
      <c r="S958" t="s">
        <v>823</v>
      </c>
      <c r="T958">
        <v>40</v>
      </c>
      <c r="U958" s="26" t="str">
        <f t="shared" si="32"/>
        <v>2024.045B.Autographivirales.zip</v>
      </c>
    </row>
    <row r="959" spans="1:21">
      <c r="A959">
        <v>958</v>
      </c>
      <c r="B959" s="27" t="s">
        <v>1449</v>
      </c>
      <c r="D959" s="27" t="s">
        <v>1450</v>
      </c>
      <c r="F959" s="27" t="s">
        <v>1453</v>
      </c>
      <c r="H959" s="27" t="s">
        <v>1454</v>
      </c>
      <c r="J959" s="27" t="s">
        <v>18547</v>
      </c>
      <c r="L959" s="27" t="s">
        <v>18891</v>
      </c>
      <c r="M959" s="27" t="s">
        <v>1497</v>
      </c>
      <c r="N959" s="27" t="s">
        <v>1275</v>
      </c>
      <c r="P959" s="27" t="s">
        <v>19107</v>
      </c>
      <c r="Q959" s="26" t="str">
        <f>HYPERLINK("https://ictv.global/taxonomy/taxondetails?taxnode_id=202521250&amp;ictv_id=ICTV202421250","ICTV202421250")</f>
        <v>ICTV202421250</v>
      </c>
      <c r="R959" t="s">
        <v>579</v>
      </c>
      <c r="S959" t="s">
        <v>823</v>
      </c>
      <c r="T959">
        <v>40</v>
      </c>
      <c r="U959" s="26" t="str">
        <f t="shared" si="32"/>
        <v>2024.045B.Autographivirales.zip</v>
      </c>
    </row>
    <row r="960" spans="1:21">
      <c r="A960">
        <v>959</v>
      </c>
      <c r="B960" s="27" t="s">
        <v>1449</v>
      </c>
      <c r="D960" s="27" t="s">
        <v>1450</v>
      </c>
      <c r="F960" s="27" t="s">
        <v>1453</v>
      </c>
      <c r="H960" s="27" t="s">
        <v>1454</v>
      </c>
      <c r="J960" s="27" t="s">
        <v>18547</v>
      </c>
      <c r="L960" s="27" t="s">
        <v>18891</v>
      </c>
      <c r="M960" s="27" t="s">
        <v>1497</v>
      </c>
      <c r="N960" s="27" t="s">
        <v>1275</v>
      </c>
      <c r="P960" s="27" t="s">
        <v>19108</v>
      </c>
      <c r="Q960" s="26" t="str">
        <f>HYPERLINK("https://ictv.global/taxonomy/taxondetails?taxnode_id=202521229&amp;ictv_id=ICTV202421229","ICTV202421229")</f>
        <v>ICTV202421229</v>
      </c>
      <c r="R960" t="s">
        <v>579</v>
      </c>
      <c r="S960" t="s">
        <v>823</v>
      </c>
      <c r="T960">
        <v>40</v>
      </c>
      <c r="U960" s="26" t="str">
        <f t="shared" si="32"/>
        <v>2024.045B.Autographivirales.zip</v>
      </c>
    </row>
    <row r="961" spans="1:21">
      <c r="A961">
        <v>960</v>
      </c>
      <c r="B961" s="27" t="s">
        <v>1449</v>
      </c>
      <c r="D961" s="27" t="s">
        <v>1450</v>
      </c>
      <c r="F961" s="27" t="s">
        <v>1453</v>
      </c>
      <c r="H961" s="27" t="s">
        <v>1454</v>
      </c>
      <c r="J961" s="27" t="s">
        <v>18547</v>
      </c>
      <c r="L961" s="27" t="s">
        <v>18891</v>
      </c>
      <c r="M961" s="27" t="s">
        <v>1497</v>
      </c>
      <c r="N961" s="27" t="s">
        <v>1275</v>
      </c>
      <c r="P961" s="27" t="s">
        <v>19109</v>
      </c>
      <c r="Q961" s="26" t="str">
        <f>HYPERLINK("https://ictv.global/taxonomy/taxondetails?taxnode_id=202521254&amp;ictv_id=ICTV202421254","ICTV202421254")</f>
        <v>ICTV202421254</v>
      </c>
      <c r="R961" t="s">
        <v>579</v>
      </c>
      <c r="S961" t="s">
        <v>823</v>
      </c>
      <c r="T961">
        <v>40</v>
      </c>
      <c r="U961" s="26" t="str">
        <f t="shared" si="32"/>
        <v>2024.045B.Autographivirales.zip</v>
      </c>
    </row>
    <row r="962" spans="1:21">
      <c r="A962">
        <v>961</v>
      </c>
      <c r="B962" s="27" t="s">
        <v>1449</v>
      </c>
      <c r="D962" s="27" t="s">
        <v>1450</v>
      </c>
      <c r="F962" s="27" t="s">
        <v>1453</v>
      </c>
      <c r="H962" s="27" t="s">
        <v>1454</v>
      </c>
      <c r="J962" s="27" t="s">
        <v>18547</v>
      </c>
      <c r="L962" s="27" t="s">
        <v>18891</v>
      </c>
      <c r="M962" s="27" t="s">
        <v>1497</v>
      </c>
      <c r="N962" s="27" t="s">
        <v>1275</v>
      </c>
      <c r="P962" s="27" t="s">
        <v>11317</v>
      </c>
      <c r="Q962" s="26" t="str">
        <f>HYPERLINK("https://ictv.global/taxonomy/taxondetails?taxnode_id=202519241&amp;ictv_id=ICTV202319241","ICTV202319241")</f>
        <v>ICTV202319241</v>
      </c>
      <c r="R962" t="s">
        <v>579</v>
      </c>
      <c r="S962" t="s">
        <v>22763</v>
      </c>
      <c r="T962">
        <v>40</v>
      </c>
      <c r="U962" s="26" t="str">
        <f t="shared" si="32"/>
        <v>2024.045B.Autographivirales.zip</v>
      </c>
    </row>
    <row r="963" spans="1:21">
      <c r="A963">
        <v>962</v>
      </c>
      <c r="B963" s="27" t="s">
        <v>1449</v>
      </c>
      <c r="D963" s="27" t="s">
        <v>1450</v>
      </c>
      <c r="F963" s="27" t="s">
        <v>1453</v>
      </c>
      <c r="H963" s="27" t="s">
        <v>1454</v>
      </c>
      <c r="J963" s="27" t="s">
        <v>18547</v>
      </c>
      <c r="L963" s="27" t="s">
        <v>18891</v>
      </c>
      <c r="M963" s="27" t="s">
        <v>1497</v>
      </c>
      <c r="N963" s="27" t="s">
        <v>1275</v>
      </c>
      <c r="P963" s="27" t="s">
        <v>19110</v>
      </c>
      <c r="Q963" s="26" t="str">
        <f>HYPERLINK("https://ictv.global/taxonomy/taxondetails?taxnode_id=202521263&amp;ictv_id=ICTV202421263","ICTV202421263")</f>
        <v>ICTV202421263</v>
      </c>
      <c r="R963" t="s">
        <v>579</v>
      </c>
      <c r="S963" t="s">
        <v>823</v>
      </c>
      <c r="T963">
        <v>40</v>
      </c>
      <c r="U963" s="26" t="str">
        <f t="shared" si="32"/>
        <v>2024.045B.Autographivirales.zip</v>
      </c>
    </row>
    <row r="964" spans="1:21">
      <c r="A964">
        <v>963</v>
      </c>
      <c r="B964" s="27" t="s">
        <v>1449</v>
      </c>
      <c r="D964" s="27" t="s">
        <v>1450</v>
      </c>
      <c r="F964" s="27" t="s">
        <v>1453</v>
      </c>
      <c r="H964" s="27" t="s">
        <v>1454</v>
      </c>
      <c r="J964" s="27" t="s">
        <v>18547</v>
      </c>
      <c r="L964" s="27" t="s">
        <v>18891</v>
      </c>
      <c r="M964" s="27" t="s">
        <v>1497</v>
      </c>
      <c r="N964" s="27" t="s">
        <v>1275</v>
      </c>
      <c r="P964" s="27" t="s">
        <v>19111</v>
      </c>
      <c r="Q964" s="26" t="str">
        <f>HYPERLINK("https://ictv.global/taxonomy/taxondetails?taxnode_id=202521241&amp;ictv_id=ICTV202421241","ICTV202421241")</f>
        <v>ICTV202421241</v>
      </c>
      <c r="R964" t="s">
        <v>579</v>
      </c>
      <c r="S964" t="s">
        <v>823</v>
      </c>
      <c r="T964">
        <v>40</v>
      </c>
      <c r="U964" s="26" t="str">
        <f t="shared" si="32"/>
        <v>2024.045B.Autographivirales.zip</v>
      </c>
    </row>
    <row r="965" spans="1:21">
      <c r="A965">
        <v>964</v>
      </c>
      <c r="B965" s="27" t="s">
        <v>1449</v>
      </c>
      <c r="D965" s="27" t="s">
        <v>1450</v>
      </c>
      <c r="F965" s="27" t="s">
        <v>1453</v>
      </c>
      <c r="H965" s="27" t="s">
        <v>1454</v>
      </c>
      <c r="J965" s="27" t="s">
        <v>18547</v>
      </c>
      <c r="L965" s="27" t="s">
        <v>18891</v>
      </c>
      <c r="M965" s="27" t="s">
        <v>1497</v>
      </c>
      <c r="N965" s="27" t="s">
        <v>1275</v>
      </c>
      <c r="P965" s="27" t="s">
        <v>19112</v>
      </c>
      <c r="Q965" s="26" t="str">
        <f>HYPERLINK("https://ictv.global/taxonomy/taxondetails?taxnode_id=202521242&amp;ictv_id=ICTV202421242","ICTV202421242")</f>
        <v>ICTV202421242</v>
      </c>
      <c r="R965" t="s">
        <v>579</v>
      </c>
      <c r="S965" t="s">
        <v>823</v>
      </c>
      <c r="T965">
        <v>40</v>
      </c>
      <c r="U965" s="26" t="str">
        <f t="shared" si="32"/>
        <v>2024.045B.Autographivirales.zip</v>
      </c>
    </row>
    <row r="966" spans="1:21">
      <c r="A966">
        <v>965</v>
      </c>
      <c r="B966" s="27" t="s">
        <v>1449</v>
      </c>
      <c r="D966" s="27" t="s">
        <v>1450</v>
      </c>
      <c r="F966" s="27" t="s">
        <v>1453</v>
      </c>
      <c r="H966" s="27" t="s">
        <v>1454</v>
      </c>
      <c r="J966" s="27" t="s">
        <v>18547</v>
      </c>
      <c r="L966" s="27" t="s">
        <v>18891</v>
      </c>
      <c r="M966" s="27" t="s">
        <v>1497</v>
      </c>
      <c r="N966" s="27" t="s">
        <v>19113</v>
      </c>
      <c r="P966" s="27" t="s">
        <v>19114</v>
      </c>
      <c r="Q966" s="26" t="str">
        <f>HYPERLINK("https://ictv.global/taxonomy/taxondetails?taxnode_id=202521384&amp;ictv_id=ICTV202421384","ICTV202421384")</f>
        <v>ICTV202421384</v>
      </c>
      <c r="R966" t="s">
        <v>579</v>
      </c>
      <c r="S966" t="s">
        <v>823</v>
      </c>
      <c r="T966">
        <v>40</v>
      </c>
      <c r="U966" s="26" t="str">
        <f t="shared" si="32"/>
        <v>2024.045B.Autographivirales.zip</v>
      </c>
    </row>
    <row r="967" spans="1:21">
      <c r="A967">
        <v>966</v>
      </c>
      <c r="B967" s="27" t="s">
        <v>1449</v>
      </c>
      <c r="D967" s="27" t="s">
        <v>1450</v>
      </c>
      <c r="F967" s="27" t="s">
        <v>1453</v>
      </c>
      <c r="H967" s="27" t="s">
        <v>1454</v>
      </c>
      <c r="J967" s="27" t="s">
        <v>18547</v>
      </c>
      <c r="L967" s="27" t="s">
        <v>18891</v>
      </c>
      <c r="M967" s="27" t="s">
        <v>1497</v>
      </c>
      <c r="N967" s="27" t="s">
        <v>19115</v>
      </c>
      <c r="P967" s="27" t="s">
        <v>19116</v>
      </c>
      <c r="Q967" s="26" t="str">
        <f>HYPERLINK("https://ictv.global/taxonomy/taxondetails?taxnode_id=202521383&amp;ictv_id=ICTV202421383","ICTV202421383")</f>
        <v>ICTV202421383</v>
      </c>
      <c r="R967" t="s">
        <v>579</v>
      </c>
      <c r="S967" t="s">
        <v>823</v>
      </c>
      <c r="T967">
        <v>40</v>
      </c>
      <c r="U967" s="26" t="str">
        <f t="shared" si="32"/>
        <v>2024.045B.Autographivirales.zip</v>
      </c>
    </row>
    <row r="968" spans="1:21">
      <c r="A968">
        <v>967</v>
      </c>
      <c r="B968" s="27" t="s">
        <v>1449</v>
      </c>
      <c r="D968" s="27" t="s">
        <v>1450</v>
      </c>
      <c r="F968" s="27" t="s">
        <v>1453</v>
      </c>
      <c r="H968" s="27" t="s">
        <v>1454</v>
      </c>
      <c r="J968" s="27" t="s">
        <v>18547</v>
      </c>
      <c r="L968" s="27" t="s">
        <v>18891</v>
      </c>
      <c r="M968" s="27" t="s">
        <v>1497</v>
      </c>
      <c r="N968" s="27" t="s">
        <v>19117</v>
      </c>
      <c r="P968" s="27" t="s">
        <v>19118</v>
      </c>
      <c r="Q968" s="26" t="str">
        <f>HYPERLINK("https://ictv.global/taxonomy/taxondetails?taxnode_id=202521349&amp;ictv_id=ICTV202421349","ICTV202421349")</f>
        <v>ICTV202421349</v>
      </c>
      <c r="R968" t="s">
        <v>579</v>
      </c>
      <c r="S968" t="s">
        <v>823</v>
      </c>
      <c r="T968">
        <v>40</v>
      </c>
      <c r="U968" s="26" t="str">
        <f t="shared" si="32"/>
        <v>2024.045B.Autographivirales.zip</v>
      </c>
    </row>
    <row r="969" spans="1:21">
      <c r="A969">
        <v>968</v>
      </c>
      <c r="B969" s="27" t="s">
        <v>1449</v>
      </c>
      <c r="D969" s="27" t="s">
        <v>1450</v>
      </c>
      <c r="F969" s="27" t="s">
        <v>1453</v>
      </c>
      <c r="H969" s="27" t="s">
        <v>1454</v>
      </c>
      <c r="J969" s="27" t="s">
        <v>18547</v>
      </c>
      <c r="L969" s="27" t="s">
        <v>18891</v>
      </c>
      <c r="M969" s="27" t="s">
        <v>1497</v>
      </c>
      <c r="N969" s="27" t="s">
        <v>19119</v>
      </c>
      <c r="P969" s="27" t="s">
        <v>19120</v>
      </c>
      <c r="Q969" s="26" t="str">
        <f>HYPERLINK("https://ictv.global/taxonomy/taxondetails?taxnode_id=202521350&amp;ictv_id=ICTV202421350","ICTV202421350")</f>
        <v>ICTV202421350</v>
      </c>
      <c r="R969" t="s">
        <v>579</v>
      </c>
      <c r="S969" t="s">
        <v>823</v>
      </c>
      <c r="T969">
        <v>40</v>
      </c>
      <c r="U969" s="26" t="str">
        <f t="shared" si="32"/>
        <v>2024.045B.Autographivirales.zip</v>
      </c>
    </row>
    <row r="970" spans="1:21">
      <c r="A970">
        <v>969</v>
      </c>
      <c r="B970" s="27" t="s">
        <v>1449</v>
      </c>
      <c r="D970" s="27" t="s">
        <v>1450</v>
      </c>
      <c r="F970" s="27" t="s">
        <v>1453</v>
      </c>
      <c r="H970" s="27" t="s">
        <v>1454</v>
      </c>
      <c r="J970" s="27" t="s">
        <v>18547</v>
      </c>
      <c r="L970" s="27" t="s">
        <v>18891</v>
      </c>
      <c r="M970" s="27" t="s">
        <v>1497</v>
      </c>
      <c r="N970" s="27" t="s">
        <v>19121</v>
      </c>
      <c r="P970" s="27" t="s">
        <v>19122</v>
      </c>
      <c r="Q970" s="26" t="str">
        <f>HYPERLINK("https://ictv.global/taxonomy/taxondetails?taxnode_id=202521467&amp;ictv_id=ICTV202421467","ICTV202421467")</f>
        <v>ICTV202421467</v>
      </c>
      <c r="R970" t="s">
        <v>579</v>
      </c>
      <c r="S970" t="s">
        <v>823</v>
      </c>
      <c r="T970">
        <v>40</v>
      </c>
      <c r="U970" s="26" t="str">
        <f t="shared" si="32"/>
        <v>2024.045B.Autographivirales.zip</v>
      </c>
    </row>
    <row r="971" spans="1:21">
      <c r="A971">
        <v>970</v>
      </c>
      <c r="B971" s="27" t="s">
        <v>1449</v>
      </c>
      <c r="D971" s="27" t="s">
        <v>1450</v>
      </c>
      <c r="F971" s="27" t="s">
        <v>1453</v>
      </c>
      <c r="H971" s="27" t="s">
        <v>1454</v>
      </c>
      <c r="J971" s="27" t="s">
        <v>18547</v>
      </c>
      <c r="L971" s="27" t="s">
        <v>18891</v>
      </c>
      <c r="M971" s="27" t="s">
        <v>1497</v>
      </c>
      <c r="N971" s="27" t="s">
        <v>19121</v>
      </c>
      <c r="P971" s="27" t="s">
        <v>19123</v>
      </c>
      <c r="Q971" s="26" t="str">
        <f>HYPERLINK("https://ictv.global/taxonomy/taxondetails?taxnode_id=202521468&amp;ictv_id=ICTV202421468","ICTV202421468")</f>
        <v>ICTV202421468</v>
      </c>
      <c r="R971" t="s">
        <v>579</v>
      </c>
      <c r="S971" t="s">
        <v>823</v>
      </c>
      <c r="T971">
        <v>40</v>
      </c>
      <c r="U971" s="26" t="str">
        <f t="shared" si="32"/>
        <v>2024.045B.Autographivirales.zip</v>
      </c>
    </row>
    <row r="972" spans="1:21">
      <c r="A972">
        <v>971</v>
      </c>
      <c r="B972" s="27" t="s">
        <v>1449</v>
      </c>
      <c r="D972" s="27" t="s">
        <v>1450</v>
      </c>
      <c r="F972" s="27" t="s">
        <v>1453</v>
      </c>
      <c r="H972" s="27" t="s">
        <v>1454</v>
      </c>
      <c r="J972" s="27" t="s">
        <v>18547</v>
      </c>
      <c r="L972" s="27" t="s">
        <v>18891</v>
      </c>
      <c r="M972" s="27" t="s">
        <v>1497</v>
      </c>
      <c r="N972" s="27" t="s">
        <v>1516</v>
      </c>
      <c r="P972" s="27" t="s">
        <v>4414</v>
      </c>
      <c r="Q972" s="26" t="str">
        <f>HYPERLINK("https://ictv.global/taxonomy/taxondetails?taxnode_id=202508475&amp;ictv_id=ICTV201908475","ICTV201908475")</f>
        <v>ICTV201908475</v>
      </c>
      <c r="R972" t="s">
        <v>579</v>
      </c>
      <c r="S972" t="s">
        <v>22763</v>
      </c>
      <c r="T972">
        <v>40</v>
      </c>
      <c r="U972" s="26" t="str">
        <f t="shared" si="32"/>
        <v>2024.045B.Autographivirales.zip</v>
      </c>
    </row>
    <row r="973" spans="1:21">
      <c r="A973">
        <v>972</v>
      </c>
      <c r="B973" s="27" t="s">
        <v>1449</v>
      </c>
      <c r="D973" s="27" t="s">
        <v>1450</v>
      </c>
      <c r="F973" s="27" t="s">
        <v>1453</v>
      </c>
      <c r="H973" s="27" t="s">
        <v>1454</v>
      </c>
      <c r="J973" s="27" t="s">
        <v>18547</v>
      </c>
      <c r="L973" s="27" t="s">
        <v>18891</v>
      </c>
      <c r="M973" s="27" t="s">
        <v>1497</v>
      </c>
      <c r="N973" s="27" t="s">
        <v>1516</v>
      </c>
      <c r="P973" s="27" t="s">
        <v>4415</v>
      </c>
      <c r="Q973" s="26" t="str">
        <f>HYPERLINK("https://ictv.global/taxonomy/taxondetails?taxnode_id=202508465&amp;ictv_id=ICTV201908465","ICTV201908465")</f>
        <v>ICTV201908465</v>
      </c>
      <c r="R973" t="s">
        <v>579</v>
      </c>
      <c r="S973" t="s">
        <v>22763</v>
      </c>
      <c r="T973">
        <v>40</v>
      </c>
      <c r="U973" s="26" t="str">
        <f t="shared" si="32"/>
        <v>2024.045B.Autographivirales.zip</v>
      </c>
    </row>
    <row r="974" spans="1:21">
      <c r="A974">
        <v>973</v>
      </c>
      <c r="B974" s="27" t="s">
        <v>1449</v>
      </c>
      <c r="D974" s="27" t="s">
        <v>1450</v>
      </c>
      <c r="F974" s="27" t="s">
        <v>1453</v>
      </c>
      <c r="H974" s="27" t="s">
        <v>1454</v>
      </c>
      <c r="J974" s="27" t="s">
        <v>18547</v>
      </c>
      <c r="L974" s="27" t="s">
        <v>18891</v>
      </c>
      <c r="M974" s="27" t="s">
        <v>1497</v>
      </c>
      <c r="N974" s="27" t="s">
        <v>1516</v>
      </c>
      <c r="P974" s="27" t="s">
        <v>19124</v>
      </c>
      <c r="Q974" s="26" t="str">
        <f>HYPERLINK("https://ictv.global/taxonomy/taxondetails?taxnode_id=202521361&amp;ictv_id=ICTV202421361","ICTV202421361")</f>
        <v>ICTV202421361</v>
      </c>
      <c r="R974" t="s">
        <v>579</v>
      </c>
      <c r="S974" t="s">
        <v>823</v>
      </c>
      <c r="T974">
        <v>40</v>
      </c>
      <c r="U974" s="26" t="str">
        <f t="shared" si="32"/>
        <v>2024.045B.Autographivirales.zip</v>
      </c>
    </row>
    <row r="975" spans="1:21">
      <c r="A975">
        <v>974</v>
      </c>
      <c r="B975" s="27" t="s">
        <v>1449</v>
      </c>
      <c r="D975" s="27" t="s">
        <v>1450</v>
      </c>
      <c r="F975" s="27" t="s">
        <v>1453</v>
      </c>
      <c r="H975" s="27" t="s">
        <v>1454</v>
      </c>
      <c r="J975" s="27" t="s">
        <v>18547</v>
      </c>
      <c r="L975" s="27" t="s">
        <v>18891</v>
      </c>
      <c r="M975" s="27" t="s">
        <v>1497</v>
      </c>
      <c r="N975" s="27" t="s">
        <v>1516</v>
      </c>
      <c r="P975" s="27" t="s">
        <v>4416</v>
      </c>
      <c r="Q975" s="26" t="str">
        <f>HYPERLINK("https://ictv.global/taxonomy/taxondetails?taxnode_id=202508466&amp;ictv_id=ICTV201908466","ICTV201908466")</f>
        <v>ICTV201908466</v>
      </c>
      <c r="R975" t="s">
        <v>579</v>
      </c>
      <c r="S975" t="s">
        <v>22763</v>
      </c>
      <c r="T975">
        <v>40</v>
      </c>
      <c r="U975" s="26" t="str">
        <f t="shared" si="32"/>
        <v>2024.045B.Autographivirales.zip</v>
      </c>
    </row>
    <row r="976" spans="1:21">
      <c r="A976">
        <v>975</v>
      </c>
      <c r="B976" s="27" t="s">
        <v>1449</v>
      </c>
      <c r="D976" s="27" t="s">
        <v>1450</v>
      </c>
      <c r="F976" s="27" t="s">
        <v>1453</v>
      </c>
      <c r="H976" s="27" t="s">
        <v>1454</v>
      </c>
      <c r="J976" s="27" t="s">
        <v>18547</v>
      </c>
      <c r="L976" s="27" t="s">
        <v>18891</v>
      </c>
      <c r="M976" s="27" t="s">
        <v>1497</v>
      </c>
      <c r="N976" s="27" t="s">
        <v>1516</v>
      </c>
      <c r="P976" s="27" t="s">
        <v>19125</v>
      </c>
      <c r="Q976" s="26" t="str">
        <f>HYPERLINK("https://ictv.global/taxonomy/taxondetails?taxnode_id=202521372&amp;ictv_id=ICTV202421372","ICTV202421372")</f>
        <v>ICTV202421372</v>
      </c>
      <c r="R976" t="s">
        <v>579</v>
      </c>
      <c r="S976" t="s">
        <v>823</v>
      </c>
      <c r="T976">
        <v>40</v>
      </c>
      <c r="U976" s="26" t="str">
        <f t="shared" si="32"/>
        <v>2024.045B.Autographivirales.zip</v>
      </c>
    </row>
    <row r="977" spans="1:21">
      <c r="A977">
        <v>976</v>
      </c>
      <c r="B977" s="27" t="s">
        <v>1449</v>
      </c>
      <c r="D977" s="27" t="s">
        <v>1450</v>
      </c>
      <c r="F977" s="27" t="s">
        <v>1453</v>
      </c>
      <c r="H977" s="27" t="s">
        <v>1454</v>
      </c>
      <c r="J977" s="27" t="s">
        <v>18547</v>
      </c>
      <c r="L977" s="27" t="s">
        <v>18891</v>
      </c>
      <c r="M977" s="27" t="s">
        <v>1497</v>
      </c>
      <c r="N977" s="27" t="s">
        <v>1516</v>
      </c>
      <c r="P977" s="27" t="s">
        <v>4417</v>
      </c>
      <c r="Q977" s="26" t="str">
        <f>HYPERLINK("https://ictv.global/taxonomy/taxondetails?taxnode_id=202508467&amp;ictv_id=ICTV201908467","ICTV201908467")</f>
        <v>ICTV201908467</v>
      </c>
      <c r="R977" t="s">
        <v>579</v>
      </c>
      <c r="S977" t="s">
        <v>22763</v>
      </c>
      <c r="T977">
        <v>40</v>
      </c>
      <c r="U977" s="26" t="str">
        <f t="shared" si="32"/>
        <v>2024.045B.Autographivirales.zip</v>
      </c>
    </row>
    <row r="978" spans="1:21">
      <c r="A978">
        <v>977</v>
      </c>
      <c r="B978" s="27" t="s">
        <v>1449</v>
      </c>
      <c r="D978" s="27" t="s">
        <v>1450</v>
      </c>
      <c r="F978" s="27" t="s">
        <v>1453</v>
      </c>
      <c r="H978" s="27" t="s">
        <v>1454</v>
      </c>
      <c r="J978" s="27" t="s">
        <v>18547</v>
      </c>
      <c r="L978" s="27" t="s">
        <v>18891</v>
      </c>
      <c r="M978" s="27" t="s">
        <v>1497</v>
      </c>
      <c r="N978" s="27" t="s">
        <v>1516</v>
      </c>
      <c r="P978" s="27" t="s">
        <v>4418</v>
      </c>
      <c r="Q978" s="26" t="str">
        <f>HYPERLINK("https://ictv.global/taxonomy/taxondetails?taxnode_id=202508468&amp;ictv_id=ICTV201908468","ICTV201908468")</f>
        <v>ICTV201908468</v>
      </c>
      <c r="R978" t="s">
        <v>579</v>
      </c>
      <c r="S978" t="s">
        <v>22763</v>
      </c>
      <c r="T978">
        <v>40</v>
      </c>
      <c r="U978" s="26" t="str">
        <f t="shared" si="32"/>
        <v>2024.045B.Autographivirales.zip</v>
      </c>
    </row>
    <row r="979" spans="1:21">
      <c r="A979">
        <v>978</v>
      </c>
      <c r="B979" s="27" t="s">
        <v>1449</v>
      </c>
      <c r="D979" s="27" t="s">
        <v>1450</v>
      </c>
      <c r="F979" s="27" t="s">
        <v>1453</v>
      </c>
      <c r="H979" s="27" t="s">
        <v>1454</v>
      </c>
      <c r="J979" s="27" t="s">
        <v>18547</v>
      </c>
      <c r="L979" s="27" t="s">
        <v>18891</v>
      </c>
      <c r="M979" s="27" t="s">
        <v>1497</v>
      </c>
      <c r="N979" s="27" t="s">
        <v>1516</v>
      </c>
      <c r="P979" s="27" t="s">
        <v>4419</v>
      </c>
      <c r="Q979" s="26" t="str">
        <f>HYPERLINK("https://ictv.global/taxonomy/taxondetails?taxnode_id=202508472&amp;ictv_id=ICTV201908472","ICTV201908472")</f>
        <v>ICTV201908472</v>
      </c>
      <c r="R979" t="s">
        <v>579</v>
      </c>
      <c r="S979" t="s">
        <v>22763</v>
      </c>
      <c r="T979">
        <v>40</v>
      </c>
      <c r="U979" s="26" t="str">
        <f t="shared" si="32"/>
        <v>2024.045B.Autographivirales.zip</v>
      </c>
    </row>
    <row r="980" spans="1:21">
      <c r="A980">
        <v>979</v>
      </c>
      <c r="B980" s="27" t="s">
        <v>1449</v>
      </c>
      <c r="D980" s="27" t="s">
        <v>1450</v>
      </c>
      <c r="F980" s="27" t="s">
        <v>1453</v>
      </c>
      <c r="H980" s="27" t="s">
        <v>1454</v>
      </c>
      <c r="J980" s="27" t="s">
        <v>18547</v>
      </c>
      <c r="L980" s="27" t="s">
        <v>18891</v>
      </c>
      <c r="M980" s="27" t="s">
        <v>1497</v>
      </c>
      <c r="N980" s="27" t="s">
        <v>1516</v>
      </c>
      <c r="P980" s="27" t="s">
        <v>19126</v>
      </c>
      <c r="Q980" s="26" t="str">
        <f>HYPERLINK("https://ictv.global/taxonomy/taxondetails?taxnode_id=202521356&amp;ictv_id=ICTV202421356","ICTV202421356")</f>
        <v>ICTV202421356</v>
      </c>
      <c r="R980" t="s">
        <v>579</v>
      </c>
      <c r="S980" t="s">
        <v>823</v>
      </c>
      <c r="T980">
        <v>40</v>
      </c>
      <c r="U980" s="26" t="str">
        <f t="shared" si="32"/>
        <v>2024.045B.Autographivirales.zip</v>
      </c>
    </row>
    <row r="981" spans="1:21">
      <c r="A981">
        <v>980</v>
      </c>
      <c r="B981" s="27" t="s">
        <v>1449</v>
      </c>
      <c r="D981" s="27" t="s">
        <v>1450</v>
      </c>
      <c r="F981" s="27" t="s">
        <v>1453</v>
      </c>
      <c r="H981" s="27" t="s">
        <v>1454</v>
      </c>
      <c r="J981" s="27" t="s">
        <v>18547</v>
      </c>
      <c r="L981" s="27" t="s">
        <v>18891</v>
      </c>
      <c r="M981" s="27" t="s">
        <v>1497</v>
      </c>
      <c r="N981" s="27" t="s">
        <v>1516</v>
      </c>
      <c r="P981" s="27" t="s">
        <v>19127</v>
      </c>
      <c r="Q981" s="26" t="str">
        <f>HYPERLINK("https://ictv.global/taxonomy/taxondetails?taxnode_id=202521359&amp;ictv_id=ICTV202421359","ICTV202421359")</f>
        <v>ICTV202421359</v>
      </c>
      <c r="R981" t="s">
        <v>579</v>
      </c>
      <c r="S981" t="s">
        <v>823</v>
      </c>
      <c r="T981">
        <v>40</v>
      </c>
      <c r="U981" s="26" t="str">
        <f t="shared" si="32"/>
        <v>2024.045B.Autographivirales.zip</v>
      </c>
    </row>
    <row r="982" spans="1:21">
      <c r="A982">
        <v>981</v>
      </c>
      <c r="B982" s="27" t="s">
        <v>1449</v>
      </c>
      <c r="D982" s="27" t="s">
        <v>1450</v>
      </c>
      <c r="F982" s="27" t="s">
        <v>1453</v>
      </c>
      <c r="H982" s="27" t="s">
        <v>1454</v>
      </c>
      <c r="J982" s="27" t="s">
        <v>18547</v>
      </c>
      <c r="L982" s="27" t="s">
        <v>18891</v>
      </c>
      <c r="M982" s="27" t="s">
        <v>1497</v>
      </c>
      <c r="N982" s="27" t="s">
        <v>1516</v>
      </c>
      <c r="P982" s="27" t="s">
        <v>19128</v>
      </c>
      <c r="Q982" s="26" t="str">
        <f>HYPERLINK("https://ictv.global/taxonomy/taxondetails?taxnode_id=202521368&amp;ictv_id=ICTV202421368","ICTV202421368")</f>
        <v>ICTV202421368</v>
      </c>
      <c r="R982" t="s">
        <v>579</v>
      </c>
      <c r="S982" t="s">
        <v>823</v>
      </c>
      <c r="T982">
        <v>40</v>
      </c>
      <c r="U982" s="26" t="str">
        <f t="shared" si="32"/>
        <v>2024.045B.Autographivirales.zip</v>
      </c>
    </row>
    <row r="983" spans="1:21">
      <c r="A983">
        <v>982</v>
      </c>
      <c r="B983" s="27" t="s">
        <v>1449</v>
      </c>
      <c r="D983" s="27" t="s">
        <v>1450</v>
      </c>
      <c r="F983" s="27" t="s">
        <v>1453</v>
      </c>
      <c r="H983" s="27" t="s">
        <v>1454</v>
      </c>
      <c r="J983" s="27" t="s">
        <v>18547</v>
      </c>
      <c r="L983" s="27" t="s">
        <v>18891</v>
      </c>
      <c r="M983" s="27" t="s">
        <v>1497</v>
      </c>
      <c r="N983" s="27" t="s">
        <v>1516</v>
      </c>
      <c r="P983" s="27" t="s">
        <v>19129</v>
      </c>
      <c r="Q983" s="26" t="str">
        <f>HYPERLINK("https://ictv.global/taxonomy/taxondetails?taxnode_id=202521377&amp;ictv_id=ICTV202421377","ICTV202421377")</f>
        <v>ICTV202421377</v>
      </c>
      <c r="R983" t="s">
        <v>579</v>
      </c>
      <c r="S983" t="s">
        <v>823</v>
      </c>
      <c r="T983">
        <v>40</v>
      </c>
      <c r="U983" s="26" t="str">
        <f t="shared" si="32"/>
        <v>2024.045B.Autographivirales.zip</v>
      </c>
    </row>
    <row r="984" spans="1:21">
      <c r="A984">
        <v>983</v>
      </c>
      <c r="B984" s="27" t="s">
        <v>1449</v>
      </c>
      <c r="D984" s="27" t="s">
        <v>1450</v>
      </c>
      <c r="F984" s="27" t="s">
        <v>1453</v>
      </c>
      <c r="H984" s="27" t="s">
        <v>1454</v>
      </c>
      <c r="J984" s="27" t="s">
        <v>18547</v>
      </c>
      <c r="L984" s="27" t="s">
        <v>18891</v>
      </c>
      <c r="M984" s="27" t="s">
        <v>1497</v>
      </c>
      <c r="N984" s="27" t="s">
        <v>1516</v>
      </c>
      <c r="P984" s="27" t="s">
        <v>19130</v>
      </c>
      <c r="Q984" s="26" t="str">
        <f>HYPERLINK("https://ictv.global/taxonomy/taxondetails?taxnode_id=202521351&amp;ictv_id=ICTV202421351","ICTV202421351")</f>
        <v>ICTV202421351</v>
      </c>
      <c r="R984" t="s">
        <v>579</v>
      </c>
      <c r="S984" t="s">
        <v>823</v>
      </c>
      <c r="T984">
        <v>40</v>
      </c>
      <c r="U984" s="26" t="str">
        <f t="shared" si="32"/>
        <v>2024.045B.Autographivirales.zip</v>
      </c>
    </row>
    <row r="985" spans="1:21">
      <c r="A985">
        <v>984</v>
      </c>
      <c r="B985" s="27" t="s">
        <v>1449</v>
      </c>
      <c r="D985" s="27" t="s">
        <v>1450</v>
      </c>
      <c r="F985" s="27" t="s">
        <v>1453</v>
      </c>
      <c r="H985" s="27" t="s">
        <v>1454</v>
      </c>
      <c r="J985" s="27" t="s">
        <v>18547</v>
      </c>
      <c r="L985" s="27" t="s">
        <v>18891</v>
      </c>
      <c r="M985" s="27" t="s">
        <v>1497</v>
      </c>
      <c r="N985" s="27" t="s">
        <v>1516</v>
      </c>
      <c r="P985" s="27" t="s">
        <v>19131</v>
      </c>
      <c r="Q985" s="26" t="str">
        <f>HYPERLINK("https://ictv.global/taxonomy/taxondetails?taxnode_id=202521366&amp;ictv_id=ICTV202421366","ICTV202421366")</f>
        <v>ICTV202421366</v>
      </c>
      <c r="R985" t="s">
        <v>579</v>
      </c>
      <c r="S985" t="s">
        <v>823</v>
      </c>
      <c r="T985">
        <v>40</v>
      </c>
      <c r="U985" s="26" t="str">
        <f t="shared" si="32"/>
        <v>2024.045B.Autographivirales.zip</v>
      </c>
    </row>
    <row r="986" spans="1:21">
      <c r="A986">
        <v>985</v>
      </c>
      <c r="B986" s="27" t="s">
        <v>1449</v>
      </c>
      <c r="D986" s="27" t="s">
        <v>1450</v>
      </c>
      <c r="F986" s="27" t="s">
        <v>1453</v>
      </c>
      <c r="H986" s="27" t="s">
        <v>1454</v>
      </c>
      <c r="J986" s="27" t="s">
        <v>18547</v>
      </c>
      <c r="L986" s="27" t="s">
        <v>18891</v>
      </c>
      <c r="M986" s="27" t="s">
        <v>1497</v>
      </c>
      <c r="N986" s="27" t="s">
        <v>1516</v>
      </c>
      <c r="P986" s="27" t="s">
        <v>19132</v>
      </c>
      <c r="Q986" s="26" t="str">
        <f>HYPERLINK("https://ictv.global/taxonomy/taxondetails?taxnode_id=202521371&amp;ictv_id=ICTV202421371","ICTV202421371")</f>
        <v>ICTV202421371</v>
      </c>
      <c r="R986" t="s">
        <v>579</v>
      </c>
      <c r="S986" t="s">
        <v>823</v>
      </c>
      <c r="T986">
        <v>40</v>
      </c>
      <c r="U986" s="26" t="str">
        <f t="shared" si="32"/>
        <v>2024.045B.Autographivirales.zip</v>
      </c>
    </row>
    <row r="987" spans="1:21">
      <c r="A987">
        <v>986</v>
      </c>
      <c r="B987" s="27" t="s">
        <v>1449</v>
      </c>
      <c r="D987" s="27" t="s">
        <v>1450</v>
      </c>
      <c r="F987" s="27" t="s">
        <v>1453</v>
      </c>
      <c r="H987" s="27" t="s">
        <v>1454</v>
      </c>
      <c r="J987" s="27" t="s">
        <v>18547</v>
      </c>
      <c r="L987" s="27" t="s">
        <v>18891</v>
      </c>
      <c r="M987" s="27" t="s">
        <v>1497</v>
      </c>
      <c r="N987" s="27" t="s">
        <v>1516</v>
      </c>
      <c r="P987" s="27" t="s">
        <v>19133</v>
      </c>
      <c r="Q987" s="26" t="str">
        <f>HYPERLINK("https://ictv.global/taxonomy/taxondetails?taxnode_id=202521367&amp;ictv_id=ICTV202421367","ICTV202421367")</f>
        <v>ICTV202421367</v>
      </c>
      <c r="R987" t="s">
        <v>579</v>
      </c>
      <c r="S987" t="s">
        <v>823</v>
      </c>
      <c r="T987">
        <v>40</v>
      </c>
      <c r="U987" s="26" t="str">
        <f t="shared" si="32"/>
        <v>2024.045B.Autographivirales.zip</v>
      </c>
    </row>
    <row r="988" spans="1:21">
      <c r="A988">
        <v>987</v>
      </c>
      <c r="B988" s="27" t="s">
        <v>1449</v>
      </c>
      <c r="D988" s="27" t="s">
        <v>1450</v>
      </c>
      <c r="F988" s="27" t="s">
        <v>1453</v>
      </c>
      <c r="H988" s="27" t="s">
        <v>1454</v>
      </c>
      <c r="J988" s="27" t="s">
        <v>18547</v>
      </c>
      <c r="L988" s="27" t="s">
        <v>18891</v>
      </c>
      <c r="M988" s="27" t="s">
        <v>1497</v>
      </c>
      <c r="N988" s="27" t="s">
        <v>1516</v>
      </c>
      <c r="P988" s="27" t="s">
        <v>19134</v>
      </c>
      <c r="Q988" s="26" t="str">
        <f>HYPERLINK("https://ictv.global/taxonomy/taxondetails?taxnode_id=202521360&amp;ictv_id=ICTV202421360","ICTV202421360")</f>
        <v>ICTV202421360</v>
      </c>
      <c r="R988" t="s">
        <v>579</v>
      </c>
      <c r="S988" t="s">
        <v>823</v>
      </c>
      <c r="T988">
        <v>40</v>
      </c>
      <c r="U988" s="26" t="str">
        <f t="shared" si="32"/>
        <v>2024.045B.Autographivirales.zip</v>
      </c>
    </row>
    <row r="989" spans="1:21">
      <c r="A989">
        <v>988</v>
      </c>
      <c r="B989" s="27" t="s">
        <v>1449</v>
      </c>
      <c r="D989" s="27" t="s">
        <v>1450</v>
      </c>
      <c r="F989" s="27" t="s">
        <v>1453</v>
      </c>
      <c r="H989" s="27" t="s">
        <v>1454</v>
      </c>
      <c r="J989" s="27" t="s">
        <v>18547</v>
      </c>
      <c r="L989" s="27" t="s">
        <v>18891</v>
      </c>
      <c r="M989" s="27" t="s">
        <v>1497</v>
      </c>
      <c r="N989" s="27" t="s">
        <v>1516</v>
      </c>
      <c r="P989" s="27" t="s">
        <v>19135</v>
      </c>
      <c r="Q989" s="26" t="str">
        <f>HYPERLINK("https://ictv.global/taxonomy/taxondetails?taxnode_id=202521373&amp;ictv_id=ICTV202421373","ICTV202421373")</f>
        <v>ICTV202421373</v>
      </c>
      <c r="R989" t="s">
        <v>579</v>
      </c>
      <c r="S989" t="s">
        <v>823</v>
      </c>
      <c r="T989">
        <v>40</v>
      </c>
      <c r="U989" s="26" t="str">
        <f t="shared" si="32"/>
        <v>2024.045B.Autographivirales.zip</v>
      </c>
    </row>
    <row r="990" spans="1:21">
      <c r="A990">
        <v>989</v>
      </c>
      <c r="B990" s="27" t="s">
        <v>1449</v>
      </c>
      <c r="D990" s="27" t="s">
        <v>1450</v>
      </c>
      <c r="F990" s="27" t="s">
        <v>1453</v>
      </c>
      <c r="H990" s="27" t="s">
        <v>1454</v>
      </c>
      <c r="J990" s="27" t="s">
        <v>18547</v>
      </c>
      <c r="L990" s="27" t="s">
        <v>18891</v>
      </c>
      <c r="M990" s="27" t="s">
        <v>1497</v>
      </c>
      <c r="N990" s="27" t="s">
        <v>1516</v>
      </c>
      <c r="P990" s="27" t="s">
        <v>19136</v>
      </c>
      <c r="Q990" s="26" t="str">
        <f>HYPERLINK("https://ictv.global/taxonomy/taxondetails?taxnode_id=202521365&amp;ictv_id=ICTV202421365","ICTV202421365")</f>
        <v>ICTV202421365</v>
      </c>
      <c r="R990" t="s">
        <v>579</v>
      </c>
      <c r="S990" t="s">
        <v>823</v>
      </c>
      <c r="T990">
        <v>40</v>
      </c>
      <c r="U990" s="26" t="str">
        <f t="shared" si="32"/>
        <v>2024.045B.Autographivirales.zip</v>
      </c>
    </row>
    <row r="991" spans="1:21">
      <c r="A991">
        <v>990</v>
      </c>
      <c r="B991" s="27" t="s">
        <v>1449</v>
      </c>
      <c r="D991" s="27" t="s">
        <v>1450</v>
      </c>
      <c r="F991" s="27" t="s">
        <v>1453</v>
      </c>
      <c r="H991" s="27" t="s">
        <v>1454</v>
      </c>
      <c r="J991" s="27" t="s">
        <v>18547</v>
      </c>
      <c r="L991" s="27" t="s">
        <v>18891</v>
      </c>
      <c r="M991" s="27" t="s">
        <v>1497</v>
      </c>
      <c r="N991" s="27" t="s">
        <v>1516</v>
      </c>
      <c r="P991" s="27" t="s">
        <v>19137</v>
      </c>
      <c r="Q991" s="26" t="str">
        <f>HYPERLINK("https://ictv.global/taxonomy/taxondetails?taxnode_id=202521355&amp;ictv_id=ICTV202421355","ICTV202421355")</f>
        <v>ICTV202421355</v>
      </c>
      <c r="R991" t="s">
        <v>579</v>
      </c>
      <c r="S991" t="s">
        <v>823</v>
      </c>
      <c r="T991">
        <v>40</v>
      </c>
      <c r="U991" s="26" t="str">
        <f t="shared" si="32"/>
        <v>2024.045B.Autographivirales.zip</v>
      </c>
    </row>
    <row r="992" spans="1:21">
      <c r="A992">
        <v>991</v>
      </c>
      <c r="B992" s="27" t="s">
        <v>1449</v>
      </c>
      <c r="D992" s="27" t="s">
        <v>1450</v>
      </c>
      <c r="F992" s="27" t="s">
        <v>1453</v>
      </c>
      <c r="H992" s="27" t="s">
        <v>1454</v>
      </c>
      <c r="J992" s="27" t="s">
        <v>18547</v>
      </c>
      <c r="L992" s="27" t="s">
        <v>18891</v>
      </c>
      <c r="M992" s="27" t="s">
        <v>1497</v>
      </c>
      <c r="N992" s="27" t="s">
        <v>1516</v>
      </c>
      <c r="P992" s="27" t="s">
        <v>19138</v>
      </c>
      <c r="Q992" s="26" t="str">
        <f>HYPERLINK("https://ictv.global/taxonomy/taxondetails?taxnode_id=202521382&amp;ictv_id=ICTV202421382","ICTV202421382")</f>
        <v>ICTV202421382</v>
      </c>
      <c r="R992" t="s">
        <v>579</v>
      </c>
      <c r="S992" t="s">
        <v>823</v>
      </c>
      <c r="T992">
        <v>40</v>
      </c>
      <c r="U992" s="26" t="str">
        <f t="shared" si="32"/>
        <v>2024.045B.Autographivirales.zip</v>
      </c>
    </row>
    <row r="993" spans="1:21">
      <c r="A993">
        <v>992</v>
      </c>
      <c r="B993" s="27" t="s">
        <v>1449</v>
      </c>
      <c r="D993" s="27" t="s">
        <v>1450</v>
      </c>
      <c r="F993" s="27" t="s">
        <v>1453</v>
      </c>
      <c r="H993" s="27" t="s">
        <v>1454</v>
      </c>
      <c r="J993" s="27" t="s">
        <v>18547</v>
      </c>
      <c r="L993" s="27" t="s">
        <v>18891</v>
      </c>
      <c r="M993" s="27" t="s">
        <v>1497</v>
      </c>
      <c r="N993" s="27" t="s">
        <v>1516</v>
      </c>
      <c r="P993" s="27" t="s">
        <v>4420</v>
      </c>
      <c r="Q993" s="26" t="str">
        <f>HYPERLINK("https://ictv.global/taxonomy/taxondetails?taxnode_id=202508477&amp;ictv_id=ICTV201908477","ICTV201908477")</f>
        <v>ICTV201908477</v>
      </c>
      <c r="R993" t="s">
        <v>579</v>
      </c>
      <c r="S993" t="s">
        <v>22763</v>
      </c>
      <c r="T993">
        <v>40</v>
      </c>
      <c r="U993" s="26" t="str">
        <f t="shared" si="32"/>
        <v>2024.045B.Autographivirales.zip</v>
      </c>
    </row>
    <row r="994" spans="1:21">
      <c r="A994">
        <v>993</v>
      </c>
      <c r="B994" s="27" t="s">
        <v>1449</v>
      </c>
      <c r="D994" s="27" t="s">
        <v>1450</v>
      </c>
      <c r="F994" s="27" t="s">
        <v>1453</v>
      </c>
      <c r="H994" s="27" t="s">
        <v>1454</v>
      </c>
      <c r="J994" s="27" t="s">
        <v>18547</v>
      </c>
      <c r="L994" s="27" t="s">
        <v>18891</v>
      </c>
      <c r="M994" s="27" t="s">
        <v>1497</v>
      </c>
      <c r="N994" s="27" t="s">
        <v>1516</v>
      </c>
      <c r="P994" s="27" t="s">
        <v>19139</v>
      </c>
      <c r="Q994" s="26" t="str">
        <f>HYPERLINK("https://ictv.global/taxonomy/taxondetails?taxnode_id=202521362&amp;ictv_id=ICTV202421362","ICTV202421362")</f>
        <v>ICTV202421362</v>
      </c>
      <c r="R994" t="s">
        <v>579</v>
      </c>
      <c r="S994" t="s">
        <v>823</v>
      </c>
      <c r="T994">
        <v>40</v>
      </c>
      <c r="U994" s="26" t="str">
        <f t="shared" ref="U994:U1057" si="33">HYPERLINK("https://ictv.global/ictv/proposals/2024.045B.Autographivirales.zip","2024.045B.Autographivirales.zip")</f>
        <v>2024.045B.Autographivirales.zip</v>
      </c>
    </row>
    <row r="995" spans="1:21">
      <c r="A995">
        <v>994</v>
      </c>
      <c r="B995" s="27" t="s">
        <v>1449</v>
      </c>
      <c r="D995" s="27" t="s">
        <v>1450</v>
      </c>
      <c r="F995" s="27" t="s">
        <v>1453</v>
      </c>
      <c r="H995" s="27" t="s">
        <v>1454</v>
      </c>
      <c r="J995" s="27" t="s">
        <v>18547</v>
      </c>
      <c r="L995" s="27" t="s">
        <v>18891</v>
      </c>
      <c r="M995" s="27" t="s">
        <v>1497</v>
      </c>
      <c r="N995" s="27" t="s">
        <v>1516</v>
      </c>
      <c r="P995" s="27" t="s">
        <v>19140</v>
      </c>
      <c r="Q995" s="26" t="str">
        <f>HYPERLINK("https://ictv.global/taxonomy/taxondetails?taxnode_id=202521374&amp;ictv_id=ICTV202421374","ICTV202421374")</f>
        <v>ICTV202421374</v>
      </c>
      <c r="R995" t="s">
        <v>579</v>
      </c>
      <c r="S995" t="s">
        <v>823</v>
      </c>
      <c r="T995">
        <v>40</v>
      </c>
      <c r="U995" s="26" t="str">
        <f t="shared" si="33"/>
        <v>2024.045B.Autographivirales.zip</v>
      </c>
    </row>
    <row r="996" spans="1:21">
      <c r="A996">
        <v>995</v>
      </c>
      <c r="B996" s="27" t="s">
        <v>1449</v>
      </c>
      <c r="D996" s="27" t="s">
        <v>1450</v>
      </c>
      <c r="F996" s="27" t="s">
        <v>1453</v>
      </c>
      <c r="H996" s="27" t="s">
        <v>1454</v>
      </c>
      <c r="J996" s="27" t="s">
        <v>18547</v>
      </c>
      <c r="L996" s="27" t="s">
        <v>18891</v>
      </c>
      <c r="M996" s="27" t="s">
        <v>1497</v>
      </c>
      <c r="N996" s="27" t="s">
        <v>1516</v>
      </c>
      <c r="P996" s="27" t="s">
        <v>4421</v>
      </c>
      <c r="Q996" s="26" t="str">
        <f>HYPERLINK("https://ictv.global/taxonomy/taxondetails?taxnode_id=202508476&amp;ictv_id=ICTV201908476","ICTV201908476")</f>
        <v>ICTV201908476</v>
      </c>
      <c r="R996" t="s">
        <v>579</v>
      </c>
      <c r="S996" t="s">
        <v>22763</v>
      </c>
      <c r="T996">
        <v>40</v>
      </c>
      <c r="U996" s="26" t="str">
        <f t="shared" si="33"/>
        <v>2024.045B.Autographivirales.zip</v>
      </c>
    </row>
    <row r="997" spans="1:21">
      <c r="A997">
        <v>996</v>
      </c>
      <c r="B997" s="27" t="s">
        <v>1449</v>
      </c>
      <c r="D997" s="27" t="s">
        <v>1450</v>
      </c>
      <c r="F997" s="27" t="s">
        <v>1453</v>
      </c>
      <c r="H997" s="27" t="s">
        <v>1454</v>
      </c>
      <c r="J997" s="27" t="s">
        <v>18547</v>
      </c>
      <c r="L997" s="27" t="s">
        <v>18891</v>
      </c>
      <c r="M997" s="27" t="s">
        <v>1497</v>
      </c>
      <c r="N997" s="27" t="s">
        <v>1516</v>
      </c>
      <c r="P997" s="27" t="s">
        <v>19141</v>
      </c>
      <c r="Q997" s="26" t="str">
        <f>HYPERLINK("https://ictv.global/taxonomy/taxondetails?taxnode_id=202521358&amp;ictv_id=ICTV202421358","ICTV202421358")</f>
        <v>ICTV202421358</v>
      </c>
      <c r="R997" t="s">
        <v>579</v>
      </c>
      <c r="S997" t="s">
        <v>823</v>
      </c>
      <c r="T997">
        <v>40</v>
      </c>
      <c r="U997" s="26" t="str">
        <f t="shared" si="33"/>
        <v>2024.045B.Autographivirales.zip</v>
      </c>
    </row>
    <row r="998" spans="1:21">
      <c r="A998">
        <v>997</v>
      </c>
      <c r="B998" s="27" t="s">
        <v>1449</v>
      </c>
      <c r="D998" s="27" t="s">
        <v>1450</v>
      </c>
      <c r="F998" s="27" t="s">
        <v>1453</v>
      </c>
      <c r="H998" s="27" t="s">
        <v>1454</v>
      </c>
      <c r="J998" s="27" t="s">
        <v>18547</v>
      </c>
      <c r="L998" s="27" t="s">
        <v>18891</v>
      </c>
      <c r="M998" s="27" t="s">
        <v>1497</v>
      </c>
      <c r="N998" s="27" t="s">
        <v>1516</v>
      </c>
      <c r="P998" s="27" t="s">
        <v>19142</v>
      </c>
      <c r="Q998" s="26" t="str">
        <f>HYPERLINK("https://ictv.global/taxonomy/taxondetails?taxnode_id=202521379&amp;ictv_id=ICTV202421379","ICTV202421379")</f>
        <v>ICTV202421379</v>
      </c>
      <c r="R998" t="s">
        <v>579</v>
      </c>
      <c r="S998" t="s">
        <v>823</v>
      </c>
      <c r="T998">
        <v>40</v>
      </c>
      <c r="U998" s="26" t="str">
        <f t="shared" si="33"/>
        <v>2024.045B.Autographivirales.zip</v>
      </c>
    </row>
    <row r="999" spans="1:21">
      <c r="A999">
        <v>998</v>
      </c>
      <c r="B999" s="27" t="s">
        <v>1449</v>
      </c>
      <c r="D999" s="27" t="s">
        <v>1450</v>
      </c>
      <c r="F999" s="27" t="s">
        <v>1453</v>
      </c>
      <c r="H999" s="27" t="s">
        <v>1454</v>
      </c>
      <c r="J999" s="27" t="s">
        <v>18547</v>
      </c>
      <c r="L999" s="27" t="s">
        <v>18891</v>
      </c>
      <c r="M999" s="27" t="s">
        <v>1497</v>
      </c>
      <c r="N999" s="27" t="s">
        <v>1516</v>
      </c>
      <c r="P999" s="27" t="s">
        <v>19143</v>
      </c>
      <c r="Q999" s="26" t="str">
        <f>HYPERLINK("https://ictv.global/taxonomy/taxondetails?taxnode_id=202521381&amp;ictv_id=ICTV202421381","ICTV202421381")</f>
        <v>ICTV202421381</v>
      </c>
      <c r="R999" t="s">
        <v>579</v>
      </c>
      <c r="S999" t="s">
        <v>823</v>
      </c>
      <c r="T999">
        <v>40</v>
      </c>
      <c r="U999" s="26" t="str">
        <f t="shared" si="33"/>
        <v>2024.045B.Autographivirales.zip</v>
      </c>
    </row>
    <row r="1000" spans="1:21">
      <c r="A1000">
        <v>999</v>
      </c>
      <c r="B1000" s="27" t="s">
        <v>1449</v>
      </c>
      <c r="D1000" s="27" t="s">
        <v>1450</v>
      </c>
      <c r="F1000" s="27" t="s">
        <v>1453</v>
      </c>
      <c r="H1000" s="27" t="s">
        <v>1454</v>
      </c>
      <c r="J1000" s="27" t="s">
        <v>18547</v>
      </c>
      <c r="L1000" s="27" t="s">
        <v>18891</v>
      </c>
      <c r="M1000" s="27" t="s">
        <v>1497</v>
      </c>
      <c r="N1000" s="27" t="s">
        <v>1516</v>
      </c>
      <c r="P1000" s="27" t="s">
        <v>19144</v>
      </c>
      <c r="Q1000" s="26" t="str">
        <f>HYPERLINK("https://ictv.global/taxonomy/taxondetails?taxnode_id=202521352&amp;ictv_id=ICTV202421352","ICTV202421352")</f>
        <v>ICTV202421352</v>
      </c>
      <c r="R1000" t="s">
        <v>579</v>
      </c>
      <c r="S1000" t="s">
        <v>823</v>
      </c>
      <c r="T1000">
        <v>40</v>
      </c>
      <c r="U1000" s="26" t="str">
        <f t="shared" si="33"/>
        <v>2024.045B.Autographivirales.zip</v>
      </c>
    </row>
    <row r="1001" spans="1:21">
      <c r="A1001">
        <v>1000</v>
      </c>
      <c r="B1001" s="27" t="s">
        <v>1449</v>
      </c>
      <c r="D1001" s="27" t="s">
        <v>1450</v>
      </c>
      <c r="F1001" s="27" t="s">
        <v>1453</v>
      </c>
      <c r="H1001" s="27" t="s">
        <v>1454</v>
      </c>
      <c r="J1001" s="27" t="s">
        <v>18547</v>
      </c>
      <c r="L1001" s="27" t="s">
        <v>18891</v>
      </c>
      <c r="M1001" s="27" t="s">
        <v>1497</v>
      </c>
      <c r="N1001" s="27" t="s">
        <v>1516</v>
      </c>
      <c r="P1001" s="27" t="s">
        <v>19145</v>
      </c>
      <c r="Q1001" s="26" t="str">
        <f>HYPERLINK("https://ictv.global/taxonomy/taxondetails?taxnode_id=202521375&amp;ictv_id=ICTV202421375","ICTV202421375")</f>
        <v>ICTV202421375</v>
      </c>
      <c r="R1001" t="s">
        <v>579</v>
      </c>
      <c r="S1001" t="s">
        <v>823</v>
      </c>
      <c r="T1001">
        <v>40</v>
      </c>
      <c r="U1001" s="26" t="str">
        <f t="shared" si="33"/>
        <v>2024.045B.Autographivirales.zip</v>
      </c>
    </row>
    <row r="1002" spans="1:21">
      <c r="A1002">
        <v>1001</v>
      </c>
      <c r="B1002" s="27" t="s">
        <v>1449</v>
      </c>
      <c r="D1002" s="27" t="s">
        <v>1450</v>
      </c>
      <c r="F1002" s="27" t="s">
        <v>1453</v>
      </c>
      <c r="H1002" s="27" t="s">
        <v>1454</v>
      </c>
      <c r="J1002" s="27" t="s">
        <v>18547</v>
      </c>
      <c r="L1002" s="27" t="s">
        <v>18891</v>
      </c>
      <c r="M1002" s="27" t="s">
        <v>1497</v>
      </c>
      <c r="N1002" s="27" t="s">
        <v>1516</v>
      </c>
      <c r="P1002" s="27" t="s">
        <v>19146</v>
      </c>
      <c r="Q1002" s="26" t="str">
        <f>HYPERLINK("https://ictv.global/taxonomy/taxondetails?taxnode_id=202521364&amp;ictv_id=ICTV202421364","ICTV202421364")</f>
        <v>ICTV202421364</v>
      </c>
      <c r="R1002" t="s">
        <v>579</v>
      </c>
      <c r="S1002" t="s">
        <v>823</v>
      </c>
      <c r="T1002">
        <v>40</v>
      </c>
      <c r="U1002" s="26" t="str">
        <f t="shared" si="33"/>
        <v>2024.045B.Autographivirales.zip</v>
      </c>
    </row>
    <row r="1003" spans="1:21">
      <c r="A1003">
        <v>1002</v>
      </c>
      <c r="B1003" s="27" t="s">
        <v>1449</v>
      </c>
      <c r="D1003" s="27" t="s">
        <v>1450</v>
      </c>
      <c r="F1003" s="27" t="s">
        <v>1453</v>
      </c>
      <c r="H1003" s="27" t="s">
        <v>1454</v>
      </c>
      <c r="J1003" s="27" t="s">
        <v>18547</v>
      </c>
      <c r="L1003" s="27" t="s">
        <v>18891</v>
      </c>
      <c r="M1003" s="27" t="s">
        <v>1497</v>
      </c>
      <c r="N1003" s="27" t="s">
        <v>1516</v>
      </c>
      <c r="P1003" s="27" t="s">
        <v>19147</v>
      </c>
      <c r="Q1003" s="26" t="str">
        <f>HYPERLINK("https://ictv.global/taxonomy/taxondetails?taxnode_id=202521376&amp;ictv_id=ICTV202421376","ICTV202421376")</f>
        <v>ICTV202421376</v>
      </c>
      <c r="R1003" t="s">
        <v>579</v>
      </c>
      <c r="S1003" t="s">
        <v>823</v>
      </c>
      <c r="T1003">
        <v>40</v>
      </c>
      <c r="U1003" s="26" t="str">
        <f t="shared" si="33"/>
        <v>2024.045B.Autographivirales.zip</v>
      </c>
    </row>
    <row r="1004" spans="1:21">
      <c r="A1004">
        <v>1003</v>
      </c>
      <c r="B1004" s="27" t="s">
        <v>1449</v>
      </c>
      <c r="D1004" s="27" t="s">
        <v>1450</v>
      </c>
      <c r="F1004" s="27" t="s">
        <v>1453</v>
      </c>
      <c r="H1004" s="27" t="s">
        <v>1454</v>
      </c>
      <c r="J1004" s="27" t="s">
        <v>18547</v>
      </c>
      <c r="L1004" s="27" t="s">
        <v>18891</v>
      </c>
      <c r="M1004" s="27" t="s">
        <v>1497</v>
      </c>
      <c r="N1004" s="27" t="s">
        <v>1516</v>
      </c>
      <c r="P1004" s="27" t="s">
        <v>4422</v>
      </c>
      <c r="Q1004" s="26" t="str">
        <f>HYPERLINK("https://ictv.global/taxonomy/taxondetails?taxnode_id=202514551&amp;ictv_id=ICTV202214551","ICTV202214551")</f>
        <v>ICTV202214551</v>
      </c>
      <c r="R1004" t="s">
        <v>579</v>
      </c>
      <c r="S1004" t="s">
        <v>22763</v>
      </c>
      <c r="T1004">
        <v>40</v>
      </c>
      <c r="U1004" s="26" t="str">
        <f t="shared" si="33"/>
        <v>2024.045B.Autographivirales.zip</v>
      </c>
    </row>
    <row r="1005" spans="1:21">
      <c r="A1005">
        <v>1004</v>
      </c>
      <c r="B1005" s="27" t="s">
        <v>1449</v>
      </c>
      <c r="D1005" s="27" t="s">
        <v>1450</v>
      </c>
      <c r="F1005" s="27" t="s">
        <v>1453</v>
      </c>
      <c r="H1005" s="27" t="s">
        <v>1454</v>
      </c>
      <c r="J1005" s="27" t="s">
        <v>18547</v>
      </c>
      <c r="L1005" s="27" t="s">
        <v>18891</v>
      </c>
      <c r="M1005" s="27" t="s">
        <v>1497</v>
      </c>
      <c r="N1005" s="27" t="s">
        <v>1516</v>
      </c>
      <c r="P1005" s="27" t="s">
        <v>19148</v>
      </c>
      <c r="Q1005" s="26" t="str">
        <f>HYPERLINK("https://ictv.global/taxonomy/taxondetails?taxnode_id=202521378&amp;ictv_id=ICTV202421378","ICTV202421378")</f>
        <v>ICTV202421378</v>
      </c>
      <c r="R1005" t="s">
        <v>579</v>
      </c>
      <c r="S1005" t="s">
        <v>823</v>
      </c>
      <c r="T1005">
        <v>40</v>
      </c>
      <c r="U1005" s="26" t="str">
        <f t="shared" si="33"/>
        <v>2024.045B.Autographivirales.zip</v>
      </c>
    </row>
    <row r="1006" spans="1:21">
      <c r="A1006">
        <v>1005</v>
      </c>
      <c r="B1006" s="27" t="s">
        <v>1449</v>
      </c>
      <c r="D1006" s="27" t="s">
        <v>1450</v>
      </c>
      <c r="F1006" s="27" t="s">
        <v>1453</v>
      </c>
      <c r="H1006" s="27" t="s">
        <v>1454</v>
      </c>
      <c r="J1006" s="27" t="s">
        <v>18547</v>
      </c>
      <c r="L1006" s="27" t="s">
        <v>18891</v>
      </c>
      <c r="M1006" s="27" t="s">
        <v>1497</v>
      </c>
      <c r="N1006" s="27" t="s">
        <v>1516</v>
      </c>
      <c r="P1006" s="27" t="s">
        <v>19149</v>
      </c>
      <c r="Q1006" s="26" t="str">
        <f>HYPERLINK("https://ictv.global/taxonomy/taxondetails?taxnode_id=202521357&amp;ictv_id=ICTV202421357","ICTV202421357")</f>
        <v>ICTV202421357</v>
      </c>
      <c r="R1006" t="s">
        <v>579</v>
      </c>
      <c r="S1006" t="s">
        <v>823</v>
      </c>
      <c r="T1006">
        <v>40</v>
      </c>
      <c r="U1006" s="26" t="str">
        <f t="shared" si="33"/>
        <v>2024.045B.Autographivirales.zip</v>
      </c>
    </row>
    <row r="1007" spans="1:21">
      <c r="A1007">
        <v>1006</v>
      </c>
      <c r="B1007" s="27" t="s">
        <v>1449</v>
      </c>
      <c r="D1007" s="27" t="s">
        <v>1450</v>
      </c>
      <c r="F1007" s="27" t="s">
        <v>1453</v>
      </c>
      <c r="H1007" s="27" t="s">
        <v>1454</v>
      </c>
      <c r="J1007" s="27" t="s">
        <v>18547</v>
      </c>
      <c r="L1007" s="27" t="s">
        <v>18891</v>
      </c>
      <c r="M1007" s="27" t="s">
        <v>1497</v>
      </c>
      <c r="N1007" s="27" t="s">
        <v>1516</v>
      </c>
      <c r="P1007" s="27" t="s">
        <v>19150</v>
      </c>
      <c r="Q1007" s="26" t="str">
        <f>HYPERLINK("https://ictv.global/taxonomy/taxondetails?taxnode_id=202521354&amp;ictv_id=ICTV202421354","ICTV202421354")</f>
        <v>ICTV202421354</v>
      </c>
      <c r="R1007" t="s">
        <v>579</v>
      </c>
      <c r="S1007" t="s">
        <v>823</v>
      </c>
      <c r="T1007">
        <v>40</v>
      </c>
      <c r="U1007" s="26" t="str">
        <f t="shared" si="33"/>
        <v>2024.045B.Autographivirales.zip</v>
      </c>
    </row>
    <row r="1008" spans="1:21">
      <c r="A1008">
        <v>1007</v>
      </c>
      <c r="B1008" s="27" t="s">
        <v>1449</v>
      </c>
      <c r="D1008" s="27" t="s">
        <v>1450</v>
      </c>
      <c r="F1008" s="27" t="s">
        <v>1453</v>
      </c>
      <c r="H1008" s="27" t="s">
        <v>1454</v>
      </c>
      <c r="J1008" s="27" t="s">
        <v>18547</v>
      </c>
      <c r="L1008" s="27" t="s">
        <v>18891</v>
      </c>
      <c r="M1008" s="27" t="s">
        <v>1497</v>
      </c>
      <c r="N1008" s="27" t="s">
        <v>1516</v>
      </c>
      <c r="P1008" s="27" t="s">
        <v>4423</v>
      </c>
      <c r="Q1008" s="26" t="str">
        <f>HYPERLINK("https://ictv.global/taxonomy/taxondetails?taxnode_id=202508463&amp;ictv_id=ICTV201908463","ICTV201908463")</f>
        <v>ICTV201908463</v>
      </c>
      <c r="R1008" t="s">
        <v>579</v>
      </c>
      <c r="S1008" t="s">
        <v>22763</v>
      </c>
      <c r="T1008">
        <v>40</v>
      </c>
      <c r="U1008" s="26" t="str">
        <f t="shared" si="33"/>
        <v>2024.045B.Autographivirales.zip</v>
      </c>
    </row>
    <row r="1009" spans="1:21">
      <c r="A1009">
        <v>1008</v>
      </c>
      <c r="B1009" s="27" t="s">
        <v>1449</v>
      </c>
      <c r="D1009" s="27" t="s">
        <v>1450</v>
      </c>
      <c r="F1009" s="27" t="s">
        <v>1453</v>
      </c>
      <c r="H1009" s="27" t="s">
        <v>1454</v>
      </c>
      <c r="J1009" s="27" t="s">
        <v>18547</v>
      </c>
      <c r="L1009" s="27" t="s">
        <v>18891</v>
      </c>
      <c r="M1009" s="27" t="s">
        <v>1497</v>
      </c>
      <c r="N1009" s="27" t="s">
        <v>1516</v>
      </c>
      <c r="P1009" s="27" t="s">
        <v>4424</v>
      </c>
      <c r="Q1009" s="26" t="str">
        <f>HYPERLINK("https://ictv.global/taxonomy/taxondetails?taxnode_id=202508470&amp;ictv_id=ICTV201908470","ICTV201908470")</f>
        <v>ICTV201908470</v>
      </c>
      <c r="R1009" t="s">
        <v>579</v>
      </c>
      <c r="S1009" t="s">
        <v>22763</v>
      </c>
      <c r="T1009">
        <v>40</v>
      </c>
      <c r="U1009" s="26" t="str">
        <f t="shared" si="33"/>
        <v>2024.045B.Autographivirales.zip</v>
      </c>
    </row>
    <row r="1010" spans="1:21">
      <c r="A1010">
        <v>1009</v>
      </c>
      <c r="B1010" s="27" t="s">
        <v>1449</v>
      </c>
      <c r="D1010" s="27" t="s">
        <v>1450</v>
      </c>
      <c r="F1010" s="27" t="s">
        <v>1453</v>
      </c>
      <c r="H1010" s="27" t="s">
        <v>1454</v>
      </c>
      <c r="J1010" s="27" t="s">
        <v>18547</v>
      </c>
      <c r="L1010" s="27" t="s">
        <v>18891</v>
      </c>
      <c r="M1010" s="27" t="s">
        <v>1497</v>
      </c>
      <c r="N1010" s="27" t="s">
        <v>1516</v>
      </c>
      <c r="P1010" s="27" t="s">
        <v>4425</v>
      </c>
      <c r="Q1010" s="26" t="str">
        <f>HYPERLINK("https://ictv.global/taxonomy/taxondetails?taxnode_id=202508471&amp;ictv_id=ICTV201908471","ICTV201908471")</f>
        <v>ICTV201908471</v>
      </c>
      <c r="R1010" t="s">
        <v>579</v>
      </c>
      <c r="S1010" t="s">
        <v>22763</v>
      </c>
      <c r="T1010">
        <v>40</v>
      </c>
      <c r="U1010" s="26" t="str">
        <f t="shared" si="33"/>
        <v>2024.045B.Autographivirales.zip</v>
      </c>
    </row>
    <row r="1011" spans="1:21">
      <c r="A1011">
        <v>1010</v>
      </c>
      <c r="B1011" s="27" t="s">
        <v>1449</v>
      </c>
      <c r="D1011" s="27" t="s">
        <v>1450</v>
      </c>
      <c r="F1011" s="27" t="s">
        <v>1453</v>
      </c>
      <c r="H1011" s="27" t="s">
        <v>1454</v>
      </c>
      <c r="J1011" s="27" t="s">
        <v>18547</v>
      </c>
      <c r="L1011" s="27" t="s">
        <v>18891</v>
      </c>
      <c r="M1011" s="27" t="s">
        <v>1497</v>
      </c>
      <c r="N1011" s="27" t="s">
        <v>1516</v>
      </c>
      <c r="P1011" s="27" t="s">
        <v>4426</v>
      </c>
      <c r="Q1011" s="26" t="str">
        <f>HYPERLINK("https://ictv.global/taxonomy/taxondetails?taxnode_id=202508473&amp;ictv_id=ICTV201908473","ICTV201908473")</f>
        <v>ICTV201908473</v>
      </c>
      <c r="R1011" t="s">
        <v>579</v>
      </c>
      <c r="S1011" t="s">
        <v>22763</v>
      </c>
      <c r="T1011">
        <v>40</v>
      </c>
      <c r="U1011" s="26" t="str">
        <f t="shared" si="33"/>
        <v>2024.045B.Autographivirales.zip</v>
      </c>
    </row>
    <row r="1012" spans="1:21">
      <c r="A1012">
        <v>1011</v>
      </c>
      <c r="B1012" s="27" t="s">
        <v>1449</v>
      </c>
      <c r="D1012" s="27" t="s">
        <v>1450</v>
      </c>
      <c r="F1012" s="27" t="s">
        <v>1453</v>
      </c>
      <c r="H1012" s="27" t="s">
        <v>1454</v>
      </c>
      <c r="J1012" s="27" t="s">
        <v>18547</v>
      </c>
      <c r="L1012" s="27" t="s">
        <v>18891</v>
      </c>
      <c r="M1012" s="27" t="s">
        <v>1497</v>
      </c>
      <c r="N1012" s="27" t="s">
        <v>1516</v>
      </c>
      <c r="P1012" s="27" t="s">
        <v>4427</v>
      </c>
      <c r="Q1012" s="26" t="str">
        <f>HYPERLINK("https://ictv.global/taxonomy/taxondetails?taxnode_id=202508460&amp;ictv_id=ICTV201908460","ICTV201908460")</f>
        <v>ICTV201908460</v>
      </c>
      <c r="R1012" t="s">
        <v>579</v>
      </c>
      <c r="S1012" t="s">
        <v>22763</v>
      </c>
      <c r="T1012">
        <v>40</v>
      </c>
      <c r="U1012" s="26" t="str">
        <f t="shared" si="33"/>
        <v>2024.045B.Autographivirales.zip</v>
      </c>
    </row>
    <row r="1013" spans="1:21">
      <c r="A1013">
        <v>1012</v>
      </c>
      <c r="B1013" s="27" t="s">
        <v>1449</v>
      </c>
      <c r="D1013" s="27" t="s">
        <v>1450</v>
      </c>
      <c r="F1013" s="27" t="s">
        <v>1453</v>
      </c>
      <c r="H1013" s="27" t="s">
        <v>1454</v>
      </c>
      <c r="J1013" s="27" t="s">
        <v>18547</v>
      </c>
      <c r="L1013" s="27" t="s">
        <v>18891</v>
      </c>
      <c r="M1013" s="27" t="s">
        <v>1497</v>
      </c>
      <c r="N1013" s="27" t="s">
        <v>1516</v>
      </c>
      <c r="P1013" s="27" t="s">
        <v>4428</v>
      </c>
      <c r="Q1013" s="26" t="str">
        <f>HYPERLINK("https://ictv.global/taxonomy/taxondetails?taxnode_id=202508462&amp;ictv_id=ICTV201908462","ICTV201908462")</f>
        <v>ICTV201908462</v>
      </c>
      <c r="R1013" t="s">
        <v>579</v>
      </c>
      <c r="S1013" t="s">
        <v>22763</v>
      </c>
      <c r="T1013">
        <v>40</v>
      </c>
      <c r="U1013" s="26" t="str">
        <f t="shared" si="33"/>
        <v>2024.045B.Autographivirales.zip</v>
      </c>
    </row>
    <row r="1014" spans="1:21">
      <c r="A1014">
        <v>1013</v>
      </c>
      <c r="B1014" s="27" t="s">
        <v>1449</v>
      </c>
      <c r="D1014" s="27" t="s">
        <v>1450</v>
      </c>
      <c r="F1014" s="27" t="s">
        <v>1453</v>
      </c>
      <c r="H1014" s="27" t="s">
        <v>1454</v>
      </c>
      <c r="J1014" s="27" t="s">
        <v>18547</v>
      </c>
      <c r="L1014" s="27" t="s">
        <v>18891</v>
      </c>
      <c r="M1014" s="27" t="s">
        <v>1497</v>
      </c>
      <c r="N1014" s="27" t="s">
        <v>1516</v>
      </c>
      <c r="P1014" s="27" t="s">
        <v>19151</v>
      </c>
      <c r="Q1014" s="26" t="str">
        <f>HYPERLINK("https://ictv.global/taxonomy/taxondetails?taxnode_id=202521353&amp;ictv_id=ICTV202421353","ICTV202421353")</f>
        <v>ICTV202421353</v>
      </c>
      <c r="R1014" t="s">
        <v>579</v>
      </c>
      <c r="S1014" t="s">
        <v>823</v>
      </c>
      <c r="T1014">
        <v>40</v>
      </c>
      <c r="U1014" s="26" t="str">
        <f t="shared" si="33"/>
        <v>2024.045B.Autographivirales.zip</v>
      </c>
    </row>
    <row r="1015" spans="1:21">
      <c r="A1015">
        <v>1014</v>
      </c>
      <c r="B1015" s="27" t="s">
        <v>1449</v>
      </c>
      <c r="D1015" s="27" t="s">
        <v>1450</v>
      </c>
      <c r="F1015" s="27" t="s">
        <v>1453</v>
      </c>
      <c r="H1015" s="27" t="s">
        <v>1454</v>
      </c>
      <c r="J1015" s="27" t="s">
        <v>18547</v>
      </c>
      <c r="L1015" s="27" t="s">
        <v>18891</v>
      </c>
      <c r="M1015" s="27" t="s">
        <v>1497</v>
      </c>
      <c r="N1015" s="27" t="s">
        <v>1516</v>
      </c>
      <c r="P1015" s="27" t="s">
        <v>19152</v>
      </c>
      <c r="Q1015" s="26" t="str">
        <f>HYPERLINK("https://ictv.global/taxonomy/taxondetails?taxnode_id=202521369&amp;ictv_id=ICTV202421369","ICTV202421369")</f>
        <v>ICTV202421369</v>
      </c>
      <c r="R1015" t="s">
        <v>579</v>
      </c>
      <c r="S1015" t="s">
        <v>823</v>
      </c>
      <c r="T1015">
        <v>40</v>
      </c>
      <c r="U1015" s="26" t="str">
        <f t="shared" si="33"/>
        <v>2024.045B.Autographivirales.zip</v>
      </c>
    </row>
    <row r="1016" spans="1:21">
      <c r="A1016">
        <v>1015</v>
      </c>
      <c r="B1016" s="27" t="s">
        <v>1449</v>
      </c>
      <c r="D1016" s="27" t="s">
        <v>1450</v>
      </c>
      <c r="F1016" s="27" t="s">
        <v>1453</v>
      </c>
      <c r="H1016" s="27" t="s">
        <v>1454</v>
      </c>
      <c r="J1016" s="27" t="s">
        <v>18547</v>
      </c>
      <c r="L1016" s="27" t="s">
        <v>18891</v>
      </c>
      <c r="M1016" s="27" t="s">
        <v>1497</v>
      </c>
      <c r="N1016" s="27" t="s">
        <v>1516</v>
      </c>
      <c r="P1016" s="27" t="s">
        <v>19153</v>
      </c>
      <c r="Q1016" s="26" t="str">
        <f>HYPERLINK("https://ictv.global/taxonomy/taxondetails?taxnode_id=202521370&amp;ictv_id=ICTV202421370","ICTV202421370")</f>
        <v>ICTV202421370</v>
      </c>
      <c r="R1016" t="s">
        <v>579</v>
      </c>
      <c r="S1016" t="s">
        <v>823</v>
      </c>
      <c r="T1016">
        <v>40</v>
      </c>
      <c r="U1016" s="26" t="str">
        <f t="shared" si="33"/>
        <v>2024.045B.Autographivirales.zip</v>
      </c>
    </row>
    <row r="1017" spans="1:21">
      <c r="A1017">
        <v>1016</v>
      </c>
      <c r="B1017" s="27" t="s">
        <v>1449</v>
      </c>
      <c r="D1017" s="27" t="s">
        <v>1450</v>
      </c>
      <c r="F1017" s="27" t="s">
        <v>1453</v>
      </c>
      <c r="H1017" s="27" t="s">
        <v>1454</v>
      </c>
      <c r="J1017" s="27" t="s">
        <v>18547</v>
      </c>
      <c r="L1017" s="27" t="s">
        <v>18891</v>
      </c>
      <c r="M1017" s="27" t="s">
        <v>1497</v>
      </c>
      <c r="N1017" s="27" t="s">
        <v>1516</v>
      </c>
      <c r="P1017" s="27" t="s">
        <v>19154</v>
      </c>
      <c r="Q1017" s="26" t="str">
        <f>HYPERLINK("https://ictv.global/taxonomy/taxondetails?taxnode_id=202521363&amp;ictv_id=ICTV202421363","ICTV202421363")</f>
        <v>ICTV202421363</v>
      </c>
      <c r="R1017" t="s">
        <v>579</v>
      </c>
      <c r="S1017" t="s">
        <v>823</v>
      </c>
      <c r="T1017">
        <v>40</v>
      </c>
      <c r="U1017" s="26" t="str">
        <f t="shared" si="33"/>
        <v>2024.045B.Autographivirales.zip</v>
      </c>
    </row>
    <row r="1018" spans="1:21">
      <c r="A1018">
        <v>1017</v>
      </c>
      <c r="B1018" s="27" t="s">
        <v>1449</v>
      </c>
      <c r="D1018" s="27" t="s">
        <v>1450</v>
      </c>
      <c r="F1018" s="27" t="s">
        <v>1453</v>
      </c>
      <c r="H1018" s="27" t="s">
        <v>1454</v>
      </c>
      <c r="J1018" s="27" t="s">
        <v>18547</v>
      </c>
      <c r="L1018" s="27" t="s">
        <v>18891</v>
      </c>
      <c r="M1018" s="27" t="s">
        <v>1497</v>
      </c>
      <c r="N1018" s="27" t="s">
        <v>1516</v>
      </c>
      <c r="P1018" s="27" t="s">
        <v>4429</v>
      </c>
      <c r="Q1018" s="26" t="str">
        <f>HYPERLINK("https://ictv.global/taxonomy/taxondetails?taxnode_id=202508474&amp;ictv_id=ICTV201908474","ICTV201908474")</f>
        <v>ICTV201908474</v>
      </c>
      <c r="R1018" t="s">
        <v>579</v>
      </c>
      <c r="S1018" t="s">
        <v>22763</v>
      </c>
      <c r="T1018">
        <v>40</v>
      </c>
      <c r="U1018" s="26" t="str">
        <f t="shared" si="33"/>
        <v>2024.045B.Autographivirales.zip</v>
      </c>
    </row>
    <row r="1019" spans="1:21">
      <c r="A1019">
        <v>1018</v>
      </c>
      <c r="B1019" s="27" t="s">
        <v>1449</v>
      </c>
      <c r="D1019" s="27" t="s">
        <v>1450</v>
      </c>
      <c r="F1019" s="27" t="s">
        <v>1453</v>
      </c>
      <c r="H1019" s="27" t="s">
        <v>1454</v>
      </c>
      <c r="J1019" s="27" t="s">
        <v>18547</v>
      </c>
      <c r="L1019" s="27" t="s">
        <v>18891</v>
      </c>
      <c r="M1019" s="27" t="s">
        <v>1497</v>
      </c>
      <c r="N1019" s="27" t="s">
        <v>1516</v>
      </c>
      <c r="P1019" s="27" t="s">
        <v>19155</v>
      </c>
      <c r="Q1019" s="26" t="str">
        <f>HYPERLINK("https://ictv.global/taxonomy/taxondetails?taxnode_id=202521380&amp;ictv_id=ICTV202421380","ICTV202421380")</f>
        <v>ICTV202421380</v>
      </c>
      <c r="R1019" t="s">
        <v>579</v>
      </c>
      <c r="S1019" t="s">
        <v>823</v>
      </c>
      <c r="T1019">
        <v>40</v>
      </c>
      <c r="U1019" s="26" t="str">
        <f t="shared" si="33"/>
        <v>2024.045B.Autographivirales.zip</v>
      </c>
    </row>
    <row r="1020" spans="1:21">
      <c r="A1020">
        <v>1019</v>
      </c>
      <c r="B1020" s="27" t="s">
        <v>1449</v>
      </c>
      <c r="D1020" s="27" t="s">
        <v>1450</v>
      </c>
      <c r="F1020" s="27" t="s">
        <v>1453</v>
      </c>
      <c r="H1020" s="27" t="s">
        <v>1454</v>
      </c>
      <c r="J1020" s="27" t="s">
        <v>18547</v>
      </c>
      <c r="L1020" s="27" t="s">
        <v>18891</v>
      </c>
      <c r="M1020" s="27" t="s">
        <v>1497</v>
      </c>
      <c r="N1020" s="27" t="s">
        <v>1516</v>
      </c>
      <c r="P1020" s="27" t="s">
        <v>4430</v>
      </c>
      <c r="Q1020" s="26" t="str">
        <f>HYPERLINK("https://ictv.global/taxonomy/taxondetails?taxnode_id=202508469&amp;ictv_id=ICTV201908469","ICTV201908469")</f>
        <v>ICTV201908469</v>
      </c>
      <c r="R1020" t="s">
        <v>579</v>
      </c>
      <c r="S1020" t="s">
        <v>22763</v>
      </c>
      <c r="T1020">
        <v>40</v>
      </c>
      <c r="U1020" s="26" t="str">
        <f t="shared" si="33"/>
        <v>2024.045B.Autographivirales.zip</v>
      </c>
    </row>
    <row r="1021" spans="1:21">
      <c r="A1021">
        <v>1020</v>
      </c>
      <c r="B1021" s="27" t="s">
        <v>1449</v>
      </c>
      <c r="D1021" s="27" t="s">
        <v>1450</v>
      </c>
      <c r="F1021" s="27" t="s">
        <v>1453</v>
      </c>
      <c r="H1021" s="27" t="s">
        <v>1454</v>
      </c>
      <c r="J1021" s="27" t="s">
        <v>18547</v>
      </c>
      <c r="L1021" s="27" t="s">
        <v>18891</v>
      </c>
      <c r="M1021" s="27" t="s">
        <v>1497</v>
      </c>
      <c r="N1021" s="27" t="s">
        <v>1516</v>
      </c>
      <c r="P1021" s="27" t="s">
        <v>4431</v>
      </c>
      <c r="Q1021" s="26" t="str">
        <f>HYPERLINK("https://ictv.global/taxonomy/taxondetails?taxnode_id=202508461&amp;ictv_id=ICTV201908461","ICTV201908461")</f>
        <v>ICTV201908461</v>
      </c>
      <c r="R1021" t="s">
        <v>579</v>
      </c>
      <c r="S1021" t="s">
        <v>22763</v>
      </c>
      <c r="T1021">
        <v>40</v>
      </c>
      <c r="U1021" s="26" t="str">
        <f t="shared" si="33"/>
        <v>2024.045B.Autographivirales.zip</v>
      </c>
    </row>
    <row r="1022" spans="1:21">
      <c r="A1022">
        <v>1021</v>
      </c>
      <c r="B1022" s="27" t="s">
        <v>1449</v>
      </c>
      <c r="D1022" s="27" t="s">
        <v>1450</v>
      </c>
      <c r="F1022" s="27" t="s">
        <v>1453</v>
      </c>
      <c r="H1022" s="27" t="s">
        <v>1454</v>
      </c>
      <c r="J1022" s="27" t="s">
        <v>18547</v>
      </c>
      <c r="L1022" s="27" t="s">
        <v>18891</v>
      </c>
      <c r="M1022" s="27" t="s">
        <v>1497</v>
      </c>
      <c r="N1022" s="27" t="s">
        <v>1276</v>
      </c>
      <c r="P1022" s="27" t="s">
        <v>4432</v>
      </c>
      <c r="Q1022" s="26" t="str">
        <f>HYPERLINK("https://ictv.global/taxonomy/taxondetails?taxnode_id=202508478&amp;ictv_id=ICTV201908478","ICTV201908478")</f>
        <v>ICTV201908478</v>
      </c>
      <c r="R1022" t="s">
        <v>579</v>
      </c>
      <c r="S1022" t="s">
        <v>22763</v>
      </c>
      <c r="T1022">
        <v>40</v>
      </c>
      <c r="U1022" s="26" t="str">
        <f t="shared" si="33"/>
        <v>2024.045B.Autographivirales.zip</v>
      </c>
    </row>
    <row r="1023" spans="1:21">
      <c r="A1023">
        <v>1022</v>
      </c>
      <c r="B1023" s="27" t="s">
        <v>1449</v>
      </c>
      <c r="D1023" s="27" t="s">
        <v>1450</v>
      </c>
      <c r="F1023" s="27" t="s">
        <v>1453</v>
      </c>
      <c r="H1023" s="27" t="s">
        <v>1454</v>
      </c>
      <c r="J1023" s="27" t="s">
        <v>18547</v>
      </c>
      <c r="L1023" s="27" t="s">
        <v>18891</v>
      </c>
      <c r="M1023" s="27" t="s">
        <v>1497</v>
      </c>
      <c r="N1023" s="27" t="s">
        <v>1276</v>
      </c>
      <c r="P1023" s="27" t="s">
        <v>19156</v>
      </c>
      <c r="Q1023" s="26" t="str">
        <f>HYPERLINK("https://ictv.global/taxonomy/taxondetails?taxnode_id=202521338&amp;ictv_id=ICTV202421338","ICTV202421338")</f>
        <v>ICTV202421338</v>
      </c>
      <c r="R1023" t="s">
        <v>579</v>
      </c>
      <c r="S1023" t="s">
        <v>823</v>
      </c>
      <c r="T1023">
        <v>40</v>
      </c>
      <c r="U1023" s="26" t="str">
        <f t="shared" si="33"/>
        <v>2024.045B.Autographivirales.zip</v>
      </c>
    </row>
    <row r="1024" spans="1:21">
      <c r="A1024">
        <v>1023</v>
      </c>
      <c r="B1024" s="27" t="s">
        <v>1449</v>
      </c>
      <c r="D1024" s="27" t="s">
        <v>1450</v>
      </c>
      <c r="F1024" s="27" t="s">
        <v>1453</v>
      </c>
      <c r="H1024" s="27" t="s">
        <v>1454</v>
      </c>
      <c r="J1024" s="27" t="s">
        <v>18547</v>
      </c>
      <c r="L1024" s="27" t="s">
        <v>18891</v>
      </c>
      <c r="M1024" s="27" t="s">
        <v>1497</v>
      </c>
      <c r="N1024" s="27" t="s">
        <v>1276</v>
      </c>
      <c r="P1024" s="27" t="s">
        <v>19157</v>
      </c>
      <c r="Q1024" s="26" t="str">
        <f>HYPERLINK("https://ictv.global/taxonomy/taxondetails?taxnode_id=202521332&amp;ictv_id=ICTV202421332","ICTV202421332")</f>
        <v>ICTV202421332</v>
      </c>
      <c r="R1024" t="s">
        <v>579</v>
      </c>
      <c r="S1024" t="s">
        <v>823</v>
      </c>
      <c r="T1024">
        <v>40</v>
      </c>
      <c r="U1024" s="26" t="str">
        <f t="shared" si="33"/>
        <v>2024.045B.Autographivirales.zip</v>
      </c>
    </row>
    <row r="1025" spans="1:21">
      <c r="A1025">
        <v>1024</v>
      </c>
      <c r="B1025" s="27" t="s">
        <v>1449</v>
      </c>
      <c r="D1025" s="27" t="s">
        <v>1450</v>
      </c>
      <c r="F1025" s="27" t="s">
        <v>1453</v>
      </c>
      <c r="H1025" s="27" t="s">
        <v>1454</v>
      </c>
      <c r="J1025" s="27" t="s">
        <v>18547</v>
      </c>
      <c r="L1025" s="27" t="s">
        <v>18891</v>
      </c>
      <c r="M1025" s="27" t="s">
        <v>1497</v>
      </c>
      <c r="N1025" s="27" t="s">
        <v>1276</v>
      </c>
      <c r="P1025" s="27" t="s">
        <v>4433</v>
      </c>
      <c r="Q1025" s="26" t="str">
        <f>HYPERLINK("https://ictv.global/taxonomy/taxondetails?taxnode_id=202508490&amp;ictv_id=ICTV201908490","ICTV201908490")</f>
        <v>ICTV201908490</v>
      </c>
      <c r="R1025" t="s">
        <v>579</v>
      </c>
      <c r="S1025" t="s">
        <v>22763</v>
      </c>
      <c r="T1025">
        <v>40</v>
      </c>
      <c r="U1025" s="26" t="str">
        <f t="shared" si="33"/>
        <v>2024.045B.Autographivirales.zip</v>
      </c>
    </row>
    <row r="1026" spans="1:21">
      <c r="A1026">
        <v>1025</v>
      </c>
      <c r="B1026" s="27" t="s">
        <v>1449</v>
      </c>
      <c r="D1026" s="27" t="s">
        <v>1450</v>
      </c>
      <c r="F1026" s="27" t="s">
        <v>1453</v>
      </c>
      <c r="H1026" s="27" t="s">
        <v>1454</v>
      </c>
      <c r="J1026" s="27" t="s">
        <v>18547</v>
      </c>
      <c r="L1026" s="27" t="s">
        <v>18891</v>
      </c>
      <c r="M1026" s="27" t="s">
        <v>1497</v>
      </c>
      <c r="N1026" s="27" t="s">
        <v>1276</v>
      </c>
      <c r="P1026" s="27" t="s">
        <v>4434</v>
      </c>
      <c r="Q1026" s="26" t="str">
        <f>HYPERLINK("https://ictv.global/taxonomy/taxondetails?taxnode_id=202508483&amp;ictv_id=ICTV201908483","ICTV201908483")</f>
        <v>ICTV201908483</v>
      </c>
      <c r="R1026" t="s">
        <v>579</v>
      </c>
      <c r="S1026" t="s">
        <v>22763</v>
      </c>
      <c r="T1026">
        <v>40</v>
      </c>
      <c r="U1026" s="26" t="str">
        <f t="shared" si="33"/>
        <v>2024.045B.Autographivirales.zip</v>
      </c>
    </row>
    <row r="1027" spans="1:21">
      <c r="A1027">
        <v>1026</v>
      </c>
      <c r="B1027" s="27" t="s">
        <v>1449</v>
      </c>
      <c r="D1027" s="27" t="s">
        <v>1450</v>
      </c>
      <c r="F1027" s="27" t="s">
        <v>1453</v>
      </c>
      <c r="H1027" s="27" t="s">
        <v>1454</v>
      </c>
      <c r="J1027" s="27" t="s">
        <v>18547</v>
      </c>
      <c r="L1027" s="27" t="s">
        <v>18891</v>
      </c>
      <c r="M1027" s="27" t="s">
        <v>1497</v>
      </c>
      <c r="N1027" s="27" t="s">
        <v>1276</v>
      </c>
      <c r="P1027" s="27" t="s">
        <v>19158</v>
      </c>
      <c r="Q1027" s="26" t="str">
        <f>HYPERLINK("https://ictv.global/taxonomy/taxondetails?taxnode_id=202521334&amp;ictv_id=ICTV202421334","ICTV202421334")</f>
        <v>ICTV202421334</v>
      </c>
      <c r="R1027" t="s">
        <v>579</v>
      </c>
      <c r="S1027" t="s">
        <v>823</v>
      </c>
      <c r="T1027">
        <v>40</v>
      </c>
      <c r="U1027" s="26" t="str">
        <f t="shared" si="33"/>
        <v>2024.045B.Autographivirales.zip</v>
      </c>
    </row>
    <row r="1028" spans="1:21">
      <c r="A1028">
        <v>1027</v>
      </c>
      <c r="B1028" s="27" t="s">
        <v>1449</v>
      </c>
      <c r="D1028" s="27" t="s">
        <v>1450</v>
      </c>
      <c r="F1028" s="27" t="s">
        <v>1453</v>
      </c>
      <c r="H1028" s="27" t="s">
        <v>1454</v>
      </c>
      <c r="J1028" s="27" t="s">
        <v>18547</v>
      </c>
      <c r="L1028" s="27" t="s">
        <v>18891</v>
      </c>
      <c r="M1028" s="27" t="s">
        <v>1497</v>
      </c>
      <c r="N1028" s="27" t="s">
        <v>1276</v>
      </c>
      <c r="P1028" s="27" t="s">
        <v>4435</v>
      </c>
      <c r="Q1028" s="26" t="str">
        <f>HYPERLINK("https://ictv.global/taxonomy/taxondetails?taxnode_id=202508485&amp;ictv_id=ICTV201908485","ICTV201908485")</f>
        <v>ICTV201908485</v>
      </c>
      <c r="R1028" t="s">
        <v>579</v>
      </c>
      <c r="S1028" t="s">
        <v>22763</v>
      </c>
      <c r="T1028">
        <v>40</v>
      </c>
      <c r="U1028" s="26" t="str">
        <f t="shared" si="33"/>
        <v>2024.045B.Autographivirales.zip</v>
      </c>
    </row>
    <row r="1029" spans="1:21">
      <c r="A1029">
        <v>1028</v>
      </c>
      <c r="B1029" s="27" t="s">
        <v>1449</v>
      </c>
      <c r="D1029" s="27" t="s">
        <v>1450</v>
      </c>
      <c r="F1029" s="27" t="s">
        <v>1453</v>
      </c>
      <c r="H1029" s="27" t="s">
        <v>1454</v>
      </c>
      <c r="J1029" s="27" t="s">
        <v>18547</v>
      </c>
      <c r="L1029" s="27" t="s">
        <v>18891</v>
      </c>
      <c r="M1029" s="27" t="s">
        <v>1497</v>
      </c>
      <c r="N1029" s="27" t="s">
        <v>1276</v>
      </c>
      <c r="P1029" s="27" t="s">
        <v>4436</v>
      </c>
      <c r="Q1029" s="26" t="str">
        <f>HYPERLINK("https://ictv.global/taxonomy/taxondetails?taxnode_id=202508486&amp;ictv_id=ICTV201908486","ICTV201908486")</f>
        <v>ICTV201908486</v>
      </c>
      <c r="R1029" t="s">
        <v>579</v>
      </c>
      <c r="S1029" t="s">
        <v>22763</v>
      </c>
      <c r="T1029">
        <v>40</v>
      </c>
      <c r="U1029" s="26" t="str">
        <f t="shared" si="33"/>
        <v>2024.045B.Autographivirales.zip</v>
      </c>
    </row>
    <row r="1030" spans="1:21">
      <c r="A1030">
        <v>1029</v>
      </c>
      <c r="B1030" s="27" t="s">
        <v>1449</v>
      </c>
      <c r="D1030" s="27" t="s">
        <v>1450</v>
      </c>
      <c r="F1030" s="27" t="s">
        <v>1453</v>
      </c>
      <c r="H1030" s="27" t="s">
        <v>1454</v>
      </c>
      <c r="J1030" s="27" t="s">
        <v>18547</v>
      </c>
      <c r="L1030" s="27" t="s">
        <v>18891</v>
      </c>
      <c r="M1030" s="27" t="s">
        <v>1497</v>
      </c>
      <c r="N1030" s="27" t="s">
        <v>1276</v>
      </c>
      <c r="P1030" s="27" t="s">
        <v>4437</v>
      </c>
      <c r="Q1030" s="26" t="str">
        <f>HYPERLINK("https://ictv.global/taxonomy/taxondetails?taxnode_id=202508492&amp;ictv_id=ICTV201908492","ICTV201908492")</f>
        <v>ICTV201908492</v>
      </c>
      <c r="R1030" t="s">
        <v>579</v>
      </c>
      <c r="S1030" t="s">
        <v>22763</v>
      </c>
      <c r="T1030">
        <v>40</v>
      </c>
      <c r="U1030" s="26" t="str">
        <f t="shared" si="33"/>
        <v>2024.045B.Autographivirales.zip</v>
      </c>
    </row>
    <row r="1031" spans="1:21">
      <c r="A1031">
        <v>1030</v>
      </c>
      <c r="B1031" s="27" t="s">
        <v>1449</v>
      </c>
      <c r="D1031" s="27" t="s">
        <v>1450</v>
      </c>
      <c r="F1031" s="27" t="s">
        <v>1453</v>
      </c>
      <c r="H1031" s="27" t="s">
        <v>1454</v>
      </c>
      <c r="J1031" s="27" t="s">
        <v>18547</v>
      </c>
      <c r="L1031" s="27" t="s">
        <v>18891</v>
      </c>
      <c r="M1031" s="27" t="s">
        <v>1497</v>
      </c>
      <c r="N1031" s="27" t="s">
        <v>1276</v>
      </c>
      <c r="P1031" s="27" t="s">
        <v>4438</v>
      </c>
      <c r="Q1031" s="26" t="str">
        <f>HYPERLINK("https://ictv.global/taxonomy/taxondetails?taxnode_id=202508491&amp;ictv_id=ICTV201908491","ICTV201908491")</f>
        <v>ICTV201908491</v>
      </c>
      <c r="R1031" t="s">
        <v>579</v>
      </c>
      <c r="S1031" t="s">
        <v>22763</v>
      </c>
      <c r="T1031">
        <v>40</v>
      </c>
      <c r="U1031" s="26" t="str">
        <f t="shared" si="33"/>
        <v>2024.045B.Autographivirales.zip</v>
      </c>
    </row>
    <row r="1032" spans="1:21">
      <c r="A1032">
        <v>1031</v>
      </c>
      <c r="B1032" s="27" t="s">
        <v>1449</v>
      </c>
      <c r="D1032" s="27" t="s">
        <v>1450</v>
      </c>
      <c r="F1032" s="27" t="s">
        <v>1453</v>
      </c>
      <c r="H1032" s="27" t="s">
        <v>1454</v>
      </c>
      <c r="J1032" s="27" t="s">
        <v>18547</v>
      </c>
      <c r="L1032" s="27" t="s">
        <v>18891</v>
      </c>
      <c r="M1032" s="27" t="s">
        <v>1497</v>
      </c>
      <c r="N1032" s="27" t="s">
        <v>1276</v>
      </c>
      <c r="P1032" s="27" t="s">
        <v>19159</v>
      </c>
      <c r="Q1032" s="26" t="str">
        <f>HYPERLINK("https://ictv.global/taxonomy/taxondetails?taxnode_id=202521336&amp;ictv_id=ICTV202421336","ICTV202421336")</f>
        <v>ICTV202421336</v>
      </c>
      <c r="R1032" t="s">
        <v>579</v>
      </c>
      <c r="S1032" t="s">
        <v>823</v>
      </c>
      <c r="T1032">
        <v>40</v>
      </c>
      <c r="U1032" s="26" t="str">
        <f t="shared" si="33"/>
        <v>2024.045B.Autographivirales.zip</v>
      </c>
    </row>
    <row r="1033" spans="1:21">
      <c r="A1033">
        <v>1032</v>
      </c>
      <c r="B1033" s="27" t="s">
        <v>1449</v>
      </c>
      <c r="D1033" s="27" t="s">
        <v>1450</v>
      </c>
      <c r="F1033" s="27" t="s">
        <v>1453</v>
      </c>
      <c r="H1033" s="27" t="s">
        <v>1454</v>
      </c>
      <c r="J1033" s="27" t="s">
        <v>18547</v>
      </c>
      <c r="L1033" s="27" t="s">
        <v>18891</v>
      </c>
      <c r="M1033" s="27" t="s">
        <v>1497</v>
      </c>
      <c r="N1033" s="27" t="s">
        <v>1276</v>
      </c>
      <c r="P1033" s="27" t="s">
        <v>19160</v>
      </c>
      <c r="Q1033" s="26" t="str">
        <f>HYPERLINK("https://ictv.global/taxonomy/taxondetails?taxnode_id=202521329&amp;ictv_id=ICTV202421329","ICTV202421329")</f>
        <v>ICTV202421329</v>
      </c>
      <c r="R1033" t="s">
        <v>579</v>
      </c>
      <c r="S1033" t="s">
        <v>823</v>
      </c>
      <c r="T1033">
        <v>40</v>
      </c>
      <c r="U1033" s="26" t="str">
        <f t="shared" si="33"/>
        <v>2024.045B.Autographivirales.zip</v>
      </c>
    </row>
    <row r="1034" spans="1:21">
      <c r="A1034">
        <v>1033</v>
      </c>
      <c r="B1034" s="27" t="s">
        <v>1449</v>
      </c>
      <c r="D1034" s="27" t="s">
        <v>1450</v>
      </c>
      <c r="F1034" s="27" t="s">
        <v>1453</v>
      </c>
      <c r="H1034" s="27" t="s">
        <v>1454</v>
      </c>
      <c r="J1034" s="27" t="s">
        <v>18547</v>
      </c>
      <c r="L1034" s="27" t="s">
        <v>18891</v>
      </c>
      <c r="M1034" s="27" t="s">
        <v>1497</v>
      </c>
      <c r="N1034" s="27" t="s">
        <v>1276</v>
      </c>
      <c r="P1034" s="27" t="s">
        <v>19161</v>
      </c>
      <c r="Q1034" s="26" t="str">
        <f>HYPERLINK("https://ictv.global/taxonomy/taxondetails?taxnode_id=202521331&amp;ictv_id=ICTV202421331","ICTV202421331")</f>
        <v>ICTV202421331</v>
      </c>
      <c r="R1034" t="s">
        <v>579</v>
      </c>
      <c r="S1034" t="s">
        <v>823</v>
      </c>
      <c r="T1034">
        <v>40</v>
      </c>
      <c r="U1034" s="26" t="str">
        <f t="shared" si="33"/>
        <v>2024.045B.Autographivirales.zip</v>
      </c>
    </row>
    <row r="1035" spans="1:21">
      <c r="A1035">
        <v>1034</v>
      </c>
      <c r="B1035" s="27" t="s">
        <v>1449</v>
      </c>
      <c r="D1035" s="27" t="s">
        <v>1450</v>
      </c>
      <c r="F1035" s="27" t="s">
        <v>1453</v>
      </c>
      <c r="H1035" s="27" t="s">
        <v>1454</v>
      </c>
      <c r="J1035" s="27" t="s">
        <v>18547</v>
      </c>
      <c r="L1035" s="27" t="s">
        <v>18891</v>
      </c>
      <c r="M1035" s="27" t="s">
        <v>1497</v>
      </c>
      <c r="N1035" s="27" t="s">
        <v>1276</v>
      </c>
      <c r="P1035" s="27" t="s">
        <v>4439</v>
      </c>
      <c r="Q1035" s="26" t="str">
        <f>HYPERLINK("https://ictv.global/taxonomy/taxondetails?taxnode_id=202508489&amp;ictv_id=ICTV201908489","ICTV201908489")</f>
        <v>ICTV201908489</v>
      </c>
      <c r="R1035" t="s">
        <v>579</v>
      </c>
      <c r="S1035" t="s">
        <v>22763</v>
      </c>
      <c r="T1035">
        <v>40</v>
      </c>
      <c r="U1035" s="26" t="str">
        <f t="shared" si="33"/>
        <v>2024.045B.Autographivirales.zip</v>
      </c>
    </row>
    <row r="1036" spans="1:21">
      <c r="A1036">
        <v>1035</v>
      </c>
      <c r="B1036" s="27" t="s">
        <v>1449</v>
      </c>
      <c r="D1036" s="27" t="s">
        <v>1450</v>
      </c>
      <c r="F1036" s="27" t="s">
        <v>1453</v>
      </c>
      <c r="H1036" s="27" t="s">
        <v>1454</v>
      </c>
      <c r="J1036" s="27" t="s">
        <v>18547</v>
      </c>
      <c r="L1036" s="27" t="s">
        <v>18891</v>
      </c>
      <c r="M1036" s="27" t="s">
        <v>1497</v>
      </c>
      <c r="N1036" s="27" t="s">
        <v>1276</v>
      </c>
      <c r="P1036" s="27" t="s">
        <v>4440</v>
      </c>
      <c r="Q1036" s="26" t="str">
        <f>HYPERLINK("https://ictv.global/taxonomy/taxondetails?taxnode_id=202508493&amp;ictv_id=ICTV201908493","ICTV201908493")</f>
        <v>ICTV201908493</v>
      </c>
      <c r="R1036" t="s">
        <v>579</v>
      </c>
      <c r="S1036" t="s">
        <v>22763</v>
      </c>
      <c r="T1036">
        <v>40</v>
      </c>
      <c r="U1036" s="26" t="str">
        <f t="shared" si="33"/>
        <v>2024.045B.Autographivirales.zip</v>
      </c>
    </row>
    <row r="1037" spans="1:21">
      <c r="A1037">
        <v>1036</v>
      </c>
      <c r="B1037" s="27" t="s">
        <v>1449</v>
      </c>
      <c r="D1037" s="27" t="s">
        <v>1450</v>
      </c>
      <c r="F1037" s="27" t="s">
        <v>1453</v>
      </c>
      <c r="H1037" s="27" t="s">
        <v>1454</v>
      </c>
      <c r="J1037" s="27" t="s">
        <v>18547</v>
      </c>
      <c r="L1037" s="27" t="s">
        <v>18891</v>
      </c>
      <c r="M1037" s="27" t="s">
        <v>1497</v>
      </c>
      <c r="N1037" s="27" t="s">
        <v>1276</v>
      </c>
      <c r="P1037" s="27" t="s">
        <v>19162</v>
      </c>
      <c r="Q1037" s="26" t="str">
        <f>HYPERLINK("https://ictv.global/taxonomy/taxondetails?taxnode_id=202521324&amp;ictv_id=ICTV202421324","ICTV202421324")</f>
        <v>ICTV202421324</v>
      </c>
      <c r="R1037" t="s">
        <v>579</v>
      </c>
      <c r="S1037" t="s">
        <v>823</v>
      </c>
      <c r="T1037">
        <v>40</v>
      </c>
      <c r="U1037" s="26" t="str">
        <f t="shared" si="33"/>
        <v>2024.045B.Autographivirales.zip</v>
      </c>
    </row>
    <row r="1038" spans="1:21">
      <c r="A1038">
        <v>1037</v>
      </c>
      <c r="B1038" s="27" t="s">
        <v>1449</v>
      </c>
      <c r="D1038" s="27" t="s">
        <v>1450</v>
      </c>
      <c r="F1038" s="27" t="s">
        <v>1453</v>
      </c>
      <c r="H1038" s="27" t="s">
        <v>1454</v>
      </c>
      <c r="J1038" s="27" t="s">
        <v>18547</v>
      </c>
      <c r="L1038" s="27" t="s">
        <v>18891</v>
      </c>
      <c r="M1038" s="27" t="s">
        <v>1497</v>
      </c>
      <c r="N1038" s="27" t="s">
        <v>1276</v>
      </c>
      <c r="P1038" s="27" t="s">
        <v>19163</v>
      </c>
      <c r="Q1038" s="26" t="str">
        <f>HYPERLINK("https://ictv.global/taxonomy/taxondetails?taxnode_id=202521333&amp;ictv_id=ICTV202421333","ICTV202421333")</f>
        <v>ICTV202421333</v>
      </c>
      <c r="R1038" t="s">
        <v>579</v>
      </c>
      <c r="S1038" t="s">
        <v>823</v>
      </c>
      <c r="T1038">
        <v>40</v>
      </c>
      <c r="U1038" s="26" t="str">
        <f t="shared" si="33"/>
        <v>2024.045B.Autographivirales.zip</v>
      </c>
    </row>
    <row r="1039" spans="1:21">
      <c r="A1039">
        <v>1038</v>
      </c>
      <c r="B1039" s="27" t="s">
        <v>1449</v>
      </c>
      <c r="D1039" s="27" t="s">
        <v>1450</v>
      </c>
      <c r="F1039" s="27" t="s">
        <v>1453</v>
      </c>
      <c r="H1039" s="27" t="s">
        <v>1454</v>
      </c>
      <c r="J1039" s="27" t="s">
        <v>18547</v>
      </c>
      <c r="L1039" s="27" t="s">
        <v>18891</v>
      </c>
      <c r="M1039" s="27" t="s">
        <v>1497</v>
      </c>
      <c r="N1039" s="27" t="s">
        <v>1276</v>
      </c>
      <c r="P1039" s="27" t="s">
        <v>19164</v>
      </c>
      <c r="Q1039" s="26" t="str">
        <f>HYPERLINK("https://ictv.global/taxonomy/taxondetails?taxnode_id=202521326&amp;ictv_id=ICTV202421326","ICTV202421326")</f>
        <v>ICTV202421326</v>
      </c>
      <c r="R1039" t="s">
        <v>579</v>
      </c>
      <c r="S1039" t="s">
        <v>823</v>
      </c>
      <c r="T1039">
        <v>40</v>
      </c>
      <c r="U1039" s="26" t="str">
        <f t="shared" si="33"/>
        <v>2024.045B.Autographivirales.zip</v>
      </c>
    </row>
    <row r="1040" spans="1:21">
      <c r="A1040">
        <v>1039</v>
      </c>
      <c r="B1040" s="27" t="s">
        <v>1449</v>
      </c>
      <c r="D1040" s="27" t="s">
        <v>1450</v>
      </c>
      <c r="F1040" s="27" t="s">
        <v>1453</v>
      </c>
      <c r="H1040" s="27" t="s">
        <v>1454</v>
      </c>
      <c r="J1040" s="27" t="s">
        <v>18547</v>
      </c>
      <c r="L1040" s="27" t="s">
        <v>18891</v>
      </c>
      <c r="M1040" s="27" t="s">
        <v>1497</v>
      </c>
      <c r="N1040" s="27" t="s">
        <v>1276</v>
      </c>
      <c r="P1040" s="27" t="s">
        <v>19165</v>
      </c>
      <c r="Q1040" s="26" t="str">
        <f>HYPERLINK("https://ictv.global/taxonomy/taxondetails?taxnode_id=202521335&amp;ictv_id=ICTV202421335","ICTV202421335")</f>
        <v>ICTV202421335</v>
      </c>
      <c r="R1040" t="s">
        <v>579</v>
      </c>
      <c r="S1040" t="s">
        <v>823</v>
      </c>
      <c r="T1040">
        <v>40</v>
      </c>
      <c r="U1040" s="26" t="str">
        <f t="shared" si="33"/>
        <v>2024.045B.Autographivirales.zip</v>
      </c>
    </row>
    <row r="1041" spans="1:21">
      <c r="A1041">
        <v>1040</v>
      </c>
      <c r="B1041" s="27" t="s">
        <v>1449</v>
      </c>
      <c r="D1041" s="27" t="s">
        <v>1450</v>
      </c>
      <c r="F1041" s="27" t="s">
        <v>1453</v>
      </c>
      <c r="H1041" s="27" t="s">
        <v>1454</v>
      </c>
      <c r="J1041" s="27" t="s">
        <v>18547</v>
      </c>
      <c r="L1041" s="27" t="s">
        <v>18891</v>
      </c>
      <c r="M1041" s="27" t="s">
        <v>1497</v>
      </c>
      <c r="N1041" s="27" t="s">
        <v>1276</v>
      </c>
      <c r="P1041" s="27" t="s">
        <v>19166</v>
      </c>
      <c r="Q1041" s="26" t="str">
        <f>HYPERLINK("https://ictv.global/taxonomy/taxondetails?taxnode_id=202521330&amp;ictv_id=ICTV202421330","ICTV202421330")</f>
        <v>ICTV202421330</v>
      </c>
      <c r="R1041" t="s">
        <v>579</v>
      </c>
      <c r="S1041" t="s">
        <v>823</v>
      </c>
      <c r="T1041">
        <v>40</v>
      </c>
      <c r="U1041" s="26" t="str">
        <f t="shared" si="33"/>
        <v>2024.045B.Autographivirales.zip</v>
      </c>
    </row>
    <row r="1042" spans="1:21">
      <c r="A1042">
        <v>1041</v>
      </c>
      <c r="B1042" s="27" t="s">
        <v>1449</v>
      </c>
      <c r="D1042" s="27" t="s">
        <v>1450</v>
      </c>
      <c r="F1042" s="27" t="s">
        <v>1453</v>
      </c>
      <c r="H1042" s="27" t="s">
        <v>1454</v>
      </c>
      <c r="J1042" s="27" t="s">
        <v>18547</v>
      </c>
      <c r="L1042" s="27" t="s">
        <v>18891</v>
      </c>
      <c r="M1042" s="27" t="s">
        <v>1497</v>
      </c>
      <c r="N1042" s="27" t="s">
        <v>1276</v>
      </c>
      <c r="P1042" s="27" t="s">
        <v>4441</v>
      </c>
      <c r="Q1042" s="26" t="str">
        <f>HYPERLINK("https://ictv.global/taxonomy/taxondetails?taxnode_id=202500583&amp;ictv_id=ICTV19990398","ICTV19990398")</f>
        <v>ICTV19990398</v>
      </c>
      <c r="R1042" t="s">
        <v>579</v>
      </c>
      <c r="S1042" t="s">
        <v>22763</v>
      </c>
      <c r="T1042">
        <v>40</v>
      </c>
      <c r="U1042" s="26" t="str">
        <f t="shared" si="33"/>
        <v>2024.045B.Autographivirales.zip</v>
      </c>
    </row>
    <row r="1043" spans="1:21">
      <c r="A1043">
        <v>1042</v>
      </c>
      <c r="B1043" s="27" t="s">
        <v>1449</v>
      </c>
      <c r="D1043" s="27" t="s">
        <v>1450</v>
      </c>
      <c r="F1043" s="27" t="s">
        <v>1453</v>
      </c>
      <c r="H1043" s="27" t="s">
        <v>1454</v>
      </c>
      <c r="J1043" s="27" t="s">
        <v>18547</v>
      </c>
      <c r="L1043" s="27" t="s">
        <v>18891</v>
      </c>
      <c r="M1043" s="27" t="s">
        <v>1497</v>
      </c>
      <c r="N1043" s="27" t="s">
        <v>1276</v>
      </c>
      <c r="P1043" s="27" t="s">
        <v>19167</v>
      </c>
      <c r="Q1043" s="26" t="str">
        <f>HYPERLINK("https://ictv.global/taxonomy/taxondetails?taxnode_id=202521328&amp;ictv_id=ICTV202421328","ICTV202421328")</f>
        <v>ICTV202421328</v>
      </c>
      <c r="R1043" t="s">
        <v>579</v>
      </c>
      <c r="S1043" t="s">
        <v>823</v>
      </c>
      <c r="T1043">
        <v>40</v>
      </c>
      <c r="U1043" s="26" t="str">
        <f t="shared" si="33"/>
        <v>2024.045B.Autographivirales.zip</v>
      </c>
    </row>
    <row r="1044" spans="1:21">
      <c r="A1044">
        <v>1043</v>
      </c>
      <c r="B1044" s="27" t="s">
        <v>1449</v>
      </c>
      <c r="D1044" s="27" t="s">
        <v>1450</v>
      </c>
      <c r="F1044" s="27" t="s">
        <v>1453</v>
      </c>
      <c r="H1044" s="27" t="s">
        <v>1454</v>
      </c>
      <c r="J1044" s="27" t="s">
        <v>18547</v>
      </c>
      <c r="L1044" s="27" t="s">
        <v>18891</v>
      </c>
      <c r="M1044" s="27" t="s">
        <v>1497</v>
      </c>
      <c r="N1044" s="27" t="s">
        <v>1276</v>
      </c>
      <c r="P1044" s="27" t="s">
        <v>4442</v>
      </c>
      <c r="Q1044" s="26" t="str">
        <f>HYPERLINK("https://ictv.global/taxonomy/taxondetails?taxnode_id=202508488&amp;ictv_id=ICTV201908488","ICTV201908488")</f>
        <v>ICTV201908488</v>
      </c>
      <c r="R1044" t="s">
        <v>579</v>
      </c>
      <c r="S1044" t="s">
        <v>22763</v>
      </c>
      <c r="T1044">
        <v>40</v>
      </c>
      <c r="U1044" s="26" t="str">
        <f t="shared" si="33"/>
        <v>2024.045B.Autographivirales.zip</v>
      </c>
    </row>
    <row r="1045" spans="1:21">
      <c r="A1045">
        <v>1044</v>
      </c>
      <c r="B1045" s="27" t="s">
        <v>1449</v>
      </c>
      <c r="D1045" s="27" t="s">
        <v>1450</v>
      </c>
      <c r="F1045" s="27" t="s">
        <v>1453</v>
      </c>
      <c r="H1045" s="27" t="s">
        <v>1454</v>
      </c>
      <c r="J1045" s="27" t="s">
        <v>18547</v>
      </c>
      <c r="L1045" s="27" t="s">
        <v>18891</v>
      </c>
      <c r="M1045" s="27" t="s">
        <v>1497</v>
      </c>
      <c r="N1045" s="27" t="s">
        <v>1276</v>
      </c>
      <c r="P1045" s="27" t="s">
        <v>4443</v>
      </c>
      <c r="Q1045" s="26" t="str">
        <f>HYPERLINK("https://ictv.global/taxonomy/taxondetails?taxnode_id=202508484&amp;ictv_id=ICTV201908484","ICTV201908484")</f>
        <v>ICTV201908484</v>
      </c>
      <c r="R1045" t="s">
        <v>579</v>
      </c>
      <c r="S1045" t="s">
        <v>22763</v>
      </c>
      <c r="T1045">
        <v>40</v>
      </c>
      <c r="U1045" s="26" t="str">
        <f t="shared" si="33"/>
        <v>2024.045B.Autographivirales.zip</v>
      </c>
    </row>
    <row r="1046" spans="1:21">
      <c r="A1046">
        <v>1045</v>
      </c>
      <c r="B1046" s="27" t="s">
        <v>1449</v>
      </c>
      <c r="D1046" s="27" t="s">
        <v>1450</v>
      </c>
      <c r="F1046" s="27" t="s">
        <v>1453</v>
      </c>
      <c r="H1046" s="27" t="s">
        <v>1454</v>
      </c>
      <c r="J1046" s="27" t="s">
        <v>18547</v>
      </c>
      <c r="L1046" s="27" t="s">
        <v>18891</v>
      </c>
      <c r="M1046" s="27" t="s">
        <v>1497</v>
      </c>
      <c r="N1046" s="27" t="s">
        <v>1276</v>
      </c>
      <c r="P1046" s="27" t="s">
        <v>19168</v>
      </c>
      <c r="Q1046" s="26" t="str">
        <f>HYPERLINK("https://ictv.global/taxonomy/taxondetails?taxnode_id=202521327&amp;ictv_id=ICTV202421327","ICTV202421327")</f>
        <v>ICTV202421327</v>
      </c>
      <c r="R1046" t="s">
        <v>579</v>
      </c>
      <c r="S1046" t="s">
        <v>823</v>
      </c>
      <c r="T1046">
        <v>40</v>
      </c>
      <c r="U1046" s="26" t="str">
        <f t="shared" si="33"/>
        <v>2024.045B.Autographivirales.zip</v>
      </c>
    </row>
    <row r="1047" spans="1:21">
      <c r="A1047">
        <v>1046</v>
      </c>
      <c r="B1047" s="27" t="s">
        <v>1449</v>
      </c>
      <c r="D1047" s="27" t="s">
        <v>1450</v>
      </c>
      <c r="F1047" s="27" t="s">
        <v>1453</v>
      </c>
      <c r="H1047" s="27" t="s">
        <v>1454</v>
      </c>
      <c r="J1047" s="27" t="s">
        <v>18547</v>
      </c>
      <c r="L1047" s="27" t="s">
        <v>18891</v>
      </c>
      <c r="M1047" s="27" t="s">
        <v>1497</v>
      </c>
      <c r="N1047" s="27" t="s">
        <v>1276</v>
      </c>
      <c r="P1047" s="27" t="s">
        <v>4444</v>
      </c>
      <c r="Q1047" s="26" t="str">
        <f>HYPERLINK("https://ictv.global/taxonomy/taxondetails?taxnode_id=202508479&amp;ictv_id=ICTV201908479","ICTV201908479")</f>
        <v>ICTV201908479</v>
      </c>
      <c r="R1047" t="s">
        <v>579</v>
      </c>
      <c r="S1047" t="s">
        <v>22763</v>
      </c>
      <c r="T1047">
        <v>40</v>
      </c>
      <c r="U1047" s="26" t="str">
        <f t="shared" si="33"/>
        <v>2024.045B.Autographivirales.zip</v>
      </c>
    </row>
    <row r="1048" spans="1:21">
      <c r="A1048">
        <v>1047</v>
      </c>
      <c r="B1048" s="27" t="s">
        <v>1449</v>
      </c>
      <c r="D1048" s="27" t="s">
        <v>1450</v>
      </c>
      <c r="F1048" s="27" t="s">
        <v>1453</v>
      </c>
      <c r="H1048" s="27" t="s">
        <v>1454</v>
      </c>
      <c r="J1048" s="27" t="s">
        <v>18547</v>
      </c>
      <c r="L1048" s="27" t="s">
        <v>18891</v>
      </c>
      <c r="M1048" s="27" t="s">
        <v>1497</v>
      </c>
      <c r="N1048" s="27" t="s">
        <v>1276</v>
      </c>
      <c r="P1048" s="27" t="s">
        <v>19169</v>
      </c>
      <c r="Q1048" s="26" t="str">
        <f>HYPERLINK("https://ictv.global/taxonomy/taxondetails?taxnode_id=202521325&amp;ictv_id=ICTV202421325","ICTV202421325")</f>
        <v>ICTV202421325</v>
      </c>
      <c r="R1048" t="s">
        <v>579</v>
      </c>
      <c r="S1048" t="s">
        <v>823</v>
      </c>
      <c r="T1048">
        <v>40</v>
      </c>
      <c r="U1048" s="26" t="str">
        <f t="shared" si="33"/>
        <v>2024.045B.Autographivirales.zip</v>
      </c>
    </row>
    <row r="1049" spans="1:21">
      <c r="A1049">
        <v>1048</v>
      </c>
      <c r="B1049" s="27" t="s">
        <v>1449</v>
      </c>
      <c r="D1049" s="27" t="s">
        <v>1450</v>
      </c>
      <c r="F1049" s="27" t="s">
        <v>1453</v>
      </c>
      <c r="H1049" s="27" t="s">
        <v>1454</v>
      </c>
      <c r="J1049" s="27" t="s">
        <v>18547</v>
      </c>
      <c r="L1049" s="27" t="s">
        <v>18891</v>
      </c>
      <c r="M1049" s="27" t="s">
        <v>1497</v>
      </c>
      <c r="N1049" s="27" t="s">
        <v>1276</v>
      </c>
      <c r="P1049" s="27" t="s">
        <v>19170</v>
      </c>
      <c r="Q1049" s="26" t="str">
        <f>HYPERLINK("https://ictv.global/taxonomy/taxondetails?taxnode_id=202521337&amp;ictv_id=ICTV202421337","ICTV202421337")</f>
        <v>ICTV202421337</v>
      </c>
      <c r="R1049" t="s">
        <v>579</v>
      </c>
      <c r="S1049" t="s">
        <v>823</v>
      </c>
      <c r="T1049">
        <v>40</v>
      </c>
      <c r="U1049" s="26" t="str">
        <f t="shared" si="33"/>
        <v>2024.045B.Autographivirales.zip</v>
      </c>
    </row>
    <row r="1050" spans="1:21">
      <c r="A1050">
        <v>1049</v>
      </c>
      <c r="B1050" s="27" t="s">
        <v>1449</v>
      </c>
      <c r="D1050" s="27" t="s">
        <v>1450</v>
      </c>
      <c r="F1050" s="27" t="s">
        <v>1453</v>
      </c>
      <c r="H1050" s="27" t="s">
        <v>1454</v>
      </c>
      <c r="J1050" s="27" t="s">
        <v>18547</v>
      </c>
      <c r="L1050" s="27" t="s">
        <v>18891</v>
      </c>
      <c r="M1050" s="27" t="s">
        <v>1497</v>
      </c>
      <c r="N1050" s="27" t="s">
        <v>1517</v>
      </c>
      <c r="P1050" s="27" t="s">
        <v>4445</v>
      </c>
      <c r="Q1050" s="26" t="str">
        <f>HYPERLINK("https://ictv.global/taxonomy/taxondetails?taxnode_id=202508359&amp;ictv_id=ICTV201908359","ICTV201908359")</f>
        <v>ICTV201908359</v>
      </c>
      <c r="R1050" t="s">
        <v>579</v>
      </c>
      <c r="S1050" t="s">
        <v>22763</v>
      </c>
      <c r="T1050">
        <v>40</v>
      </c>
      <c r="U1050" s="26" t="str">
        <f t="shared" si="33"/>
        <v>2024.045B.Autographivirales.zip</v>
      </c>
    </row>
    <row r="1051" spans="1:21">
      <c r="A1051">
        <v>1050</v>
      </c>
      <c r="B1051" s="27" t="s">
        <v>1449</v>
      </c>
      <c r="D1051" s="27" t="s">
        <v>1450</v>
      </c>
      <c r="F1051" s="27" t="s">
        <v>1453</v>
      </c>
      <c r="H1051" s="27" t="s">
        <v>1454</v>
      </c>
      <c r="J1051" s="27" t="s">
        <v>18547</v>
      </c>
      <c r="L1051" s="27" t="s">
        <v>18891</v>
      </c>
      <c r="M1051" s="27" t="s">
        <v>1497</v>
      </c>
      <c r="N1051" s="27" t="s">
        <v>1517</v>
      </c>
      <c r="P1051" s="27" t="s">
        <v>19171</v>
      </c>
      <c r="Q1051" s="26" t="str">
        <f>HYPERLINK("https://ictv.global/taxonomy/taxondetails?taxnode_id=202521484&amp;ictv_id=ICTV202421484","ICTV202421484")</f>
        <v>ICTV202421484</v>
      </c>
      <c r="R1051" t="s">
        <v>579</v>
      </c>
      <c r="S1051" t="s">
        <v>823</v>
      </c>
      <c r="T1051">
        <v>40</v>
      </c>
      <c r="U1051" s="26" t="str">
        <f t="shared" si="33"/>
        <v>2024.045B.Autographivirales.zip</v>
      </c>
    </row>
    <row r="1052" spans="1:21">
      <c r="A1052">
        <v>1051</v>
      </c>
      <c r="B1052" s="27" t="s">
        <v>1449</v>
      </c>
      <c r="D1052" s="27" t="s">
        <v>1450</v>
      </c>
      <c r="F1052" s="27" t="s">
        <v>1453</v>
      </c>
      <c r="H1052" s="27" t="s">
        <v>1454</v>
      </c>
      <c r="J1052" s="27" t="s">
        <v>18547</v>
      </c>
      <c r="L1052" s="27" t="s">
        <v>18891</v>
      </c>
      <c r="M1052" s="27" t="s">
        <v>1497</v>
      </c>
      <c r="N1052" s="27" t="s">
        <v>19172</v>
      </c>
      <c r="P1052" s="27" t="s">
        <v>19173</v>
      </c>
      <c r="Q1052" s="26" t="str">
        <f>HYPERLINK("https://ictv.global/taxonomy/taxondetails?taxnode_id=202521487&amp;ictv_id=ICTV202421487","ICTV202421487")</f>
        <v>ICTV202421487</v>
      </c>
      <c r="R1052" t="s">
        <v>579</v>
      </c>
      <c r="S1052" t="s">
        <v>823</v>
      </c>
      <c r="T1052">
        <v>40</v>
      </c>
      <c r="U1052" s="26" t="str">
        <f t="shared" si="33"/>
        <v>2024.045B.Autographivirales.zip</v>
      </c>
    </row>
    <row r="1053" spans="1:21">
      <c r="A1053">
        <v>1052</v>
      </c>
      <c r="B1053" s="27" t="s">
        <v>1449</v>
      </c>
      <c r="D1053" s="27" t="s">
        <v>1450</v>
      </c>
      <c r="F1053" s="27" t="s">
        <v>1453</v>
      </c>
      <c r="H1053" s="27" t="s">
        <v>1454</v>
      </c>
      <c r="J1053" s="27" t="s">
        <v>18547</v>
      </c>
      <c r="L1053" s="27" t="s">
        <v>18891</v>
      </c>
      <c r="M1053" s="27" t="s">
        <v>1497</v>
      </c>
      <c r="N1053" s="27" t="s">
        <v>19172</v>
      </c>
      <c r="P1053" s="27" t="s">
        <v>19174</v>
      </c>
      <c r="Q1053" s="26" t="str">
        <f>HYPERLINK("https://ictv.global/taxonomy/taxondetails?taxnode_id=202508364&amp;ictv_id=ICTV201908364","ICTV201908364")</f>
        <v>ICTV201908364</v>
      </c>
      <c r="R1053" t="s">
        <v>579</v>
      </c>
      <c r="S1053" t="s">
        <v>22764</v>
      </c>
      <c r="T1053">
        <v>40</v>
      </c>
      <c r="U1053" s="26" t="str">
        <f t="shared" si="33"/>
        <v>2024.045B.Autographivirales.zip</v>
      </c>
    </row>
    <row r="1054" spans="1:21">
      <c r="A1054">
        <v>1053</v>
      </c>
      <c r="B1054" s="27" t="s">
        <v>1449</v>
      </c>
      <c r="D1054" s="27" t="s">
        <v>1450</v>
      </c>
      <c r="F1054" s="27" t="s">
        <v>1453</v>
      </c>
      <c r="H1054" s="27" t="s">
        <v>1454</v>
      </c>
      <c r="J1054" s="27" t="s">
        <v>18547</v>
      </c>
      <c r="L1054" s="27" t="s">
        <v>18891</v>
      </c>
      <c r="M1054" s="27" t="s">
        <v>1497</v>
      </c>
      <c r="N1054" s="27" t="s">
        <v>1518</v>
      </c>
      <c r="P1054" s="27" t="s">
        <v>4446</v>
      </c>
      <c r="Q1054" s="26" t="str">
        <f>HYPERLINK("https://ictv.global/taxonomy/taxondetails?taxnode_id=202508456&amp;ictv_id=ICTV201908456","ICTV201908456")</f>
        <v>ICTV201908456</v>
      </c>
      <c r="R1054" t="s">
        <v>579</v>
      </c>
      <c r="S1054" t="s">
        <v>22763</v>
      </c>
      <c r="T1054">
        <v>40</v>
      </c>
      <c r="U1054" s="26" t="str">
        <f t="shared" si="33"/>
        <v>2024.045B.Autographivirales.zip</v>
      </c>
    </row>
    <row r="1055" spans="1:21">
      <c r="A1055">
        <v>1054</v>
      </c>
      <c r="B1055" s="27" t="s">
        <v>1449</v>
      </c>
      <c r="D1055" s="27" t="s">
        <v>1450</v>
      </c>
      <c r="F1055" s="27" t="s">
        <v>1453</v>
      </c>
      <c r="H1055" s="27" t="s">
        <v>1454</v>
      </c>
      <c r="J1055" s="27" t="s">
        <v>18547</v>
      </c>
      <c r="L1055" s="27" t="s">
        <v>18891</v>
      </c>
      <c r="M1055" s="27" t="s">
        <v>1497</v>
      </c>
      <c r="N1055" s="27" t="s">
        <v>1518</v>
      </c>
      <c r="P1055" s="27" t="s">
        <v>19175</v>
      </c>
      <c r="Q1055" s="26" t="str">
        <f>HYPERLINK("https://ictv.global/taxonomy/taxondetails?taxnode_id=202521347&amp;ictv_id=ICTV202421347","ICTV202421347")</f>
        <v>ICTV202421347</v>
      </c>
      <c r="R1055" t="s">
        <v>579</v>
      </c>
      <c r="S1055" t="s">
        <v>823</v>
      </c>
      <c r="T1055">
        <v>40</v>
      </c>
      <c r="U1055" s="26" t="str">
        <f t="shared" si="33"/>
        <v>2024.045B.Autographivirales.zip</v>
      </c>
    </row>
    <row r="1056" spans="1:21">
      <c r="A1056">
        <v>1055</v>
      </c>
      <c r="B1056" s="27" t="s">
        <v>1449</v>
      </c>
      <c r="D1056" s="27" t="s">
        <v>1450</v>
      </c>
      <c r="F1056" s="27" t="s">
        <v>1453</v>
      </c>
      <c r="H1056" s="27" t="s">
        <v>1454</v>
      </c>
      <c r="J1056" s="27" t="s">
        <v>18547</v>
      </c>
      <c r="L1056" s="27" t="s">
        <v>18891</v>
      </c>
      <c r="M1056" s="27" t="s">
        <v>1497</v>
      </c>
      <c r="N1056" s="27" t="s">
        <v>19176</v>
      </c>
      <c r="P1056" s="27" t="s">
        <v>19177</v>
      </c>
      <c r="Q1056" s="26" t="str">
        <f>HYPERLINK("https://ictv.global/taxonomy/taxondetails?taxnode_id=202521481&amp;ictv_id=ICTV202421481","ICTV202421481")</f>
        <v>ICTV202421481</v>
      </c>
      <c r="R1056" t="s">
        <v>579</v>
      </c>
      <c r="S1056" t="s">
        <v>823</v>
      </c>
      <c r="T1056">
        <v>40</v>
      </c>
      <c r="U1056" s="26" t="str">
        <f t="shared" si="33"/>
        <v>2024.045B.Autographivirales.zip</v>
      </c>
    </row>
    <row r="1057" spans="1:21">
      <c r="A1057">
        <v>1056</v>
      </c>
      <c r="B1057" s="27" t="s">
        <v>1449</v>
      </c>
      <c r="D1057" s="27" t="s">
        <v>1450</v>
      </c>
      <c r="F1057" s="27" t="s">
        <v>1453</v>
      </c>
      <c r="H1057" s="27" t="s">
        <v>1454</v>
      </c>
      <c r="J1057" s="27" t="s">
        <v>18547</v>
      </c>
      <c r="L1057" s="27" t="s">
        <v>18891</v>
      </c>
      <c r="M1057" s="27" t="s">
        <v>1497</v>
      </c>
      <c r="N1057" s="27" t="s">
        <v>19176</v>
      </c>
      <c r="P1057" s="27" t="s">
        <v>19178</v>
      </c>
      <c r="Q1057" s="26" t="str">
        <f>HYPERLINK("https://ictv.global/taxonomy/taxondetails?taxnode_id=202521480&amp;ictv_id=ICTV202421480","ICTV202421480")</f>
        <v>ICTV202421480</v>
      </c>
      <c r="R1057" t="s">
        <v>579</v>
      </c>
      <c r="S1057" t="s">
        <v>823</v>
      </c>
      <c r="T1057">
        <v>40</v>
      </c>
      <c r="U1057" s="26" t="str">
        <f t="shared" si="33"/>
        <v>2024.045B.Autographivirales.zip</v>
      </c>
    </row>
    <row r="1058" spans="1:21">
      <c r="A1058">
        <v>1057</v>
      </c>
      <c r="B1058" s="27" t="s">
        <v>1449</v>
      </c>
      <c r="D1058" s="27" t="s">
        <v>1450</v>
      </c>
      <c r="F1058" s="27" t="s">
        <v>1453</v>
      </c>
      <c r="H1058" s="27" t="s">
        <v>1454</v>
      </c>
      <c r="J1058" s="27" t="s">
        <v>18547</v>
      </c>
      <c r="L1058" s="27" t="s">
        <v>18891</v>
      </c>
      <c r="M1058" s="27" t="s">
        <v>1497</v>
      </c>
      <c r="N1058" s="27" t="s">
        <v>2042</v>
      </c>
      <c r="P1058" s="27" t="s">
        <v>19179</v>
      </c>
      <c r="Q1058" s="26" t="str">
        <f>HYPERLINK("https://ictv.global/taxonomy/taxondetails?taxnode_id=202512090&amp;ictv_id=ICTV202012090","ICTV202012090")</f>
        <v>ICTV202012090</v>
      </c>
      <c r="R1058" t="s">
        <v>579</v>
      </c>
      <c r="S1058" t="s">
        <v>824</v>
      </c>
      <c r="T1058">
        <v>40</v>
      </c>
      <c r="U1058" s="26" t="str">
        <f t="shared" ref="U1058:U1114" si="34">HYPERLINK("https://ictv.global/ictv/proposals/2024.045B.Autographivirales.zip","2024.045B.Autographivirales.zip")</f>
        <v>2024.045B.Autographivirales.zip</v>
      </c>
    </row>
    <row r="1059" spans="1:21">
      <c r="A1059">
        <v>1058</v>
      </c>
      <c r="B1059" s="27" t="s">
        <v>1449</v>
      </c>
      <c r="D1059" s="27" t="s">
        <v>1450</v>
      </c>
      <c r="F1059" s="27" t="s">
        <v>1453</v>
      </c>
      <c r="H1059" s="27" t="s">
        <v>1454</v>
      </c>
      <c r="J1059" s="27" t="s">
        <v>18547</v>
      </c>
      <c r="L1059" s="27" t="s">
        <v>18891</v>
      </c>
      <c r="M1059" s="27" t="s">
        <v>1497</v>
      </c>
      <c r="N1059" s="27" t="s">
        <v>1601</v>
      </c>
      <c r="P1059" s="27" t="s">
        <v>4513</v>
      </c>
      <c r="Q1059" s="26" t="str">
        <f>HYPERLINK("https://ictv.global/taxonomy/taxondetails?taxnode_id=202508195&amp;ictv_id=ICTV201908195","ICTV201908195")</f>
        <v>ICTV201908195</v>
      </c>
      <c r="R1059" t="s">
        <v>579</v>
      </c>
      <c r="S1059" t="s">
        <v>22763</v>
      </c>
      <c r="T1059">
        <v>40</v>
      </c>
      <c r="U1059" s="26" t="str">
        <f t="shared" si="34"/>
        <v>2024.045B.Autographivirales.zip</v>
      </c>
    </row>
    <row r="1060" spans="1:21">
      <c r="A1060">
        <v>1059</v>
      </c>
      <c r="B1060" s="27" t="s">
        <v>1449</v>
      </c>
      <c r="D1060" s="27" t="s">
        <v>1450</v>
      </c>
      <c r="F1060" s="27" t="s">
        <v>1453</v>
      </c>
      <c r="H1060" s="27" t="s">
        <v>1454</v>
      </c>
      <c r="J1060" s="27" t="s">
        <v>18547</v>
      </c>
      <c r="L1060" s="27" t="s">
        <v>18891</v>
      </c>
      <c r="M1060" s="27" t="s">
        <v>1497</v>
      </c>
      <c r="N1060" s="27" t="s">
        <v>1601</v>
      </c>
      <c r="P1060" s="27" t="s">
        <v>4514</v>
      </c>
      <c r="Q1060" s="26" t="str">
        <f>HYPERLINK("https://ictv.global/taxonomy/taxondetails?taxnode_id=202508194&amp;ictv_id=ICTV201908194","ICTV201908194")</f>
        <v>ICTV201908194</v>
      </c>
      <c r="R1060" t="s">
        <v>579</v>
      </c>
      <c r="S1060" t="s">
        <v>22763</v>
      </c>
      <c r="T1060">
        <v>40</v>
      </c>
      <c r="U1060" s="26" t="str">
        <f t="shared" si="34"/>
        <v>2024.045B.Autographivirales.zip</v>
      </c>
    </row>
    <row r="1061" spans="1:21">
      <c r="A1061">
        <v>1060</v>
      </c>
      <c r="B1061" s="27" t="s">
        <v>1449</v>
      </c>
      <c r="D1061" s="27" t="s">
        <v>1450</v>
      </c>
      <c r="F1061" s="27" t="s">
        <v>1453</v>
      </c>
      <c r="H1061" s="27" t="s">
        <v>1454</v>
      </c>
      <c r="J1061" s="27" t="s">
        <v>18547</v>
      </c>
      <c r="L1061" s="27" t="s">
        <v>18891</v>
      </c>
      <c r="M1061" s="27" t="s">
        <v>1497</v>
      </c>
      <c r="N1061" s="27" t="s">
        <v>1601</v>
      </c>
      <c r="P1061" s="27" t="s">
        <v>19180</v>
      </c>
      <c r="Q1061" s="26" t="str">
        <f>HYPERLINK("https://ictv.global/taxonomy/taxondetails?taxnode_id=202521466&amp;ictv_id=ICTV202421466","ICTV202421466")</f>
        <v>ICTV202421466</v>
      </c>
      <c r="R1061" t="s">
        <v>579</v>
      </c>
      <c r="S1061" t="s">
        <v>823</v>
      </c>
      <c r="T1061">
        <v>40</v>
      </c>
      <c r="U1061" s="26" t="str">
        <f t="shared" si="34"/>
        <v>2024.045B.Autographivirales.zip</v>
      </c>
    </row>
    <row r="1062" spans="1:21">
      <c r="A1062">
        <v>1061</v>
      </c>
      <c r="B1062" s="27" t="s">
        <v>1449</v>
      </c>
      <c r="D1062" s="27" t="s">
        <v>1450</v>
      </c>
      <c r="F1062" s="27" t="s">
        <v>1453</v>
      </c>
      <c r="H1062" s="27" t="s">
        <v>1454</v>
      </c>
      <c r="J1062" s="27" t="s">
        <v>18547</v>
      </c>
      <c r="L1062" s="27" t="s">
        <v>18891</v>
      </c>
      <c r="M1062" s="27" t="s">
        <v>1497</v>
      </c>
      <c r="N1062" s="27" t="s">
        <v>19181</v>
      </c>
      <c r="P1062" s="27" t="s">
        <v>19182</v>
      </c>
      <c r="Q1062" s="26" t="str">
        <f>HYPERLINK("https://ictv.global/taxonomy/taxondetails?taxnode_id=202521405&amp;ictv_id=ICTV202421405","ICTV202421405")</f>
        <v>ICTV202421405</v>
      </c>
      <c r="R1062" t="s">
        <v>579</v>
      </c>
      <c r="S1062" t="s">
        <v>823</v>
      </c>
      <c r="T1062">
        <v>40</v>
      </c>
      <c r="U1062" s="26" t="str">
        <f t="shared" si="34"/>
        <v>2024.045B.Autographivirales.zip</v>
      </c>
    </row>
    <row r="1063" spans="1:21">
      <c r="A1063">
        <v>1062</v>
      </c>
      <c r="B1063" s="27" t="s">
        <v>1449</v>
      </c>
      <c r="D1063" s="27" t="s">
        <v>1450</v>
      </c>
      <c r="F1063" s="27" t="s">
        <v>1453</v>
      </c>
      <c r="H1063" s="27" t="s">
        <v>1454</v>
      </c>
      <c r="J1063" s="27" t="s">
        <v>18547</v>
      </c>
      <c r="L1063" s="27" t="s">
        <v>18891</v>
      </c>
      <c r="N1063" s="27" t="s">
        <v>1549</v>
      </c>
      <c r="P1063" s="27" t="s">
        <v>4474</v>
      </c>
      <c r="Q1063" s="26" t="str">
        <f>HYPERLINK("https://ictv.global/taxonomy/taxondetails?taxnode_id=202508501&amp;ictv_id=ICTV201908501","ICTV201908501")</f>
        <v>ICTV201908501</v>
      </c>
      <c r="R1063" t="s">
        <v>579</v>
      </c>
      <c r="S1063" t="s">
        <v>22763</v>
      </c>
      <c r="T1063">
        <v>40</v>
      </c>
      <c r="U1063" s="26" t="str">
        <f t="shared" si="34"/>
        <v>2024.045B.Autographivirales.zip</v>
      </c>
    </row>
    <row r="1064" spans="1:21">
      <c r="A1064">
        <v>1063</v>
      </c>
      <c r="B1064" s="27" t="s">
        <v>1449</v>
      </c>
      <c r="D1064" s="27" t="s">
        <v>1450</v>
      </c>
      <c r="F1064" s="27" t="s">
        <v>1453</v>
      </c>
      <c r="H1064" s="27" t="s">
        <v>1454</v>
      </c>
      <c r="J1064" s="27" t="s">
        <v>18547</v>
      </c>
      <c r="L1064" s="27" t="s">
        <v>18891</v>
      </c>
      <c r="N1064" s="27" t="s">
        <v>1574</v>
      </c>
      <c r="P1064" s="27" t="s">
        <v>4489</v>
      </c>
      <c r="Q1064" s="26" t="str">
        <f>HYPERLINK("https://ictv.global/taxonomy/taxondetails?taxnode_id=202508261&amp;ictv_id=ICTV201908261","ICTV201908261")</f>
        <v>ICTV201908261</v>
      </c>
      <c r="R1064" t="s">
        <v>579</v>
      </c>
      <c r="S1064" t="s">
        <v>22763</v>
      </c>
      <c r="T1064">
        <v>40</v>
      </c>
      <c r="U1064" s="26" t="str">
        <f t="shared" si="34"/>
        <v>2024.045B.Autographivirales.zip</v>
      </c>
    </row>
    <row r="1065" spans="1:21">
      <c r="A1065">
        <v>1064</v>
      </c>
      <c r="B1065" s="27" t="s">
        <v>1449</v>
      </c>
      <c r="D1065" s="27" t="s">
        <v>1450</v>
      </c>
      <c r="F1065" s="27" t="s">
        <v>1453</v>
      </c>
      <c r="H1065" s="27" t="s">
        <v>1454</v>
      </c>
      <c r="J1065" s="27" t="s">
        <v>18547</v>
      </c>
      <c r="L1065" s="27" t="s">
        <v>18891</v>
      </c>
      <c r="N1065" s="27" t="s">
        <v>1583</v>
      </c>
      <c r="P1065" s="27" t="s">
        <v>19183</v>
      </c>
      <c r="Q1065" s="26" t="str">
        <f>HYPERLINK("https://ictv.global/taxonomy/taxondetails?taxnode_id=202521092&amp;ictv_id=ICTV202421092","ICTV202421092")</f>
        <v>ICTV202421092</v>
      </c>
      <c r="R1065" t="s">
        <v>579</v>
      </c>
      <c r="S1065" t="s">
        <v>823</v>
      </c>
      <c r="T1065">
        <v>40</v>
      </c>
      <c r="U1065" s="26" t="str">
        <f t="shared" si="34"/>
        <v>2024.045B.Autographivirales.zip</v>
      </c>
    </row>
    <row r="1066" spans="1:21">
      <c r="A1066">
        <v>1065</v>
      </c>
      <c r="B1066" s="27" t="s">
        <v>1449</v>
      </c>
      <c r="D1066" s="27" t="s">
        <v>1450</v>
      </c>
      <c r="F1066" s="27" t="s">
        <v>1453</v>
      </c>
      <c r="H1066" s="27" t="s">
        <v>1454</v>
      </c>
      <c r="J1066" s="27" t="s">
        <v>18547</v>
      </c>
      <c r="L1066" s="27" t="s">
        <v>18891</v>
      </c>
      <c r="N1066" s="27" t="s">
        <v>1583</v>
      </c>
      <c r="P1066" s="27" t="s">
        <v>4500</v>
      </c>
      <c r="Q1066" s="26" t="str">
        <f>HYPERLINK("https://ictv.global/taxonomy/taxondetails?taxnode_id=202508499&amp;ictv_id=ICTV201908499","ICTV201908499")</f>
        <v>ICTV201908499</v>
      </c>
      <c r="R1066" t="s">
        <v>579</v>
      </c>
      <c r="S1066" t="s">
        <v>22763</v>
      </c>
      <c r="T1066">
        <v>40</v>
      </c>
      <c r="U1066" s="26" t="str">
        <f t="shared" si="34"/>
        <v>2024.045B.Autographivirales.zip</v>
      </c>
    </row>
    <row r="1067" spans="1:21">
      <c r="A1067">
        <v>1066</v>
      </c>
      <c r="B1067" s="27" t="s">
        <v>1449</v>
      </c>
      <c r="D1067" s="27" t="s">
        <v>1450</v>
      </c>
      <c r="F1067" s="27" t="s">
        <v>1453</v>
      </c>
      <c r="H1067" s="27" t="s">
        <v>1454</v>
      </c>
      <c r="J1067" s="27" t="s">
        <v>18547</v>
      </c>
      <c r="L1067" s="27" t="s">
        <v>18891</v>
      </c>
      <c r="N1067" s="27" t="s">
        <v>1583</v>
      </c>
      <c r="P1067" s="27" t="s">
        <v>19184</v>
      </c>
      <c r="Q1067" s="26" t="str">
        <f>HYPERLINK("https://ictv.global/taxonomy/taxondetails?taxnode_id=202521090&amp;ictv_id=ICTV202421090","ICTV202421090")</f>
        <v>ICTV202421090</v>
      </c>
      <c r="R1067" t="s">
        <v>579</v>
      </c>
      <c r="S1067" t="s">
        <v>823</v>
      </c>
      <c r="T1067">
        <v>40</v>
      </c>
      <c r="U1067" s="26" t="str">
        <f t="shared" si="34"/>
        <v>2024.045B.Autographivirales.zip</v>
      </c>
    </row>
    <row r="1068" spans="1:21">
      <c r="A1068">
        <v>1067</v>
      </c>
      <c r="B1068" s="27" t="s">
        <v>1449</v>
      </c>
      <c r="D1068" s="27" t="s">
        <v>1450</v>
      </c>
      <c r="F1068" s="27" t="s">
        <v>1453</v>
      </c>
      <c r="H1068" s="27" t="s">
        <v>1454</v>
      </c>
      <c r="J1068" s="27" t="s">
        <v>18547</v>
      </c>
      <c r="L1068" s="27" t="s">
        <v>18891</v>
      </c>
      <c r="N1068" s="27" t="s">
        <v>1583</v>
      </c>
      <c r="P1068" s="27" t="s">
        <v>19185</v>
      </c>
      <c r="Q1068" s="26" t="str">
        <f>HYPERLINK("https://ictv.global/taxonomy/taxondetails?taxnode_id=202521091&amp;ictv_id=ICTV202421091","ICTV202421091")</f>
        <v>ICTV202421091</v>
      </c>
      <c r="R1068" t="s">
        <v>579</v>
      </c>
      <c r="S1068" t="s">
        <v>823</v>
      </c>
      <c r="T1068">
        <v>40</v>
      </c>
      <c r="U1068" s="26" t="str">
        <f t="shared" si="34"/>
        <v>2024.045B.Autographivirales.zip</v>
      </c>
    </row>
    <row r="1069" spans="1:21">
      <c r="A1069">
        <v>1068</v>
      </c>
      <c r="B1069" s="27" t="s">
        <v>1449</v>
      </c>
      <c r="D1069" s="27" t="s">
        <v>1450</v>
      </c>
      <c r="F1069" s="27" t="s">
        <v>1453</v>
      </c>
      <c r="H1069" s="27" t="s">
        <v>1454</v>
      </c>
      <c r="J1069" s="27" t="s">
        <v>18547</v>
      </c>
      <c r="L1069" s="27" t="s">
        <v>18891</v>
      </c>
      <c r="N1069" s="27" t="s">
        <v>1586</v>
      </c>
      <c r="P1069" s="27" t="s">
        <v>4501</v>
      </c>
      <c r="Q1069" s="26" t="str">
        <f>HYPERLINK("https://ictv.global/taxonomy/taxondetails?taxnode_id=202508503&amp;ictv_id=ICTV201908503","ICTV201908503")</f>
        <v>ICTV201908503</v>
      </c>
      <c r="R1069" t="s">
        <v>579</v>
      </c>
      <c r="S1069" t="s">
        <v>22763</v>
      </c>
      <c r="T1069">
        <v>40</v>
      </c>
      <c r="U1069" s="26" t="str">
        <f t="shared" si="34"/>
        <v>2024.045B.Autographivirales.zip</v>
      </c>
    </row>
    <row r="1070" spans="1:21">
      <c r="A1070">
        <v>1069</v>
      </c>
      <c r="B1070" s="27" t="s">
        <v>1449</v>
      </c>
      <c r="D1070" s="27" t="s">
        <v>1450</v>
      </c>
      <c r="F1070" s="27" t="s">
        <v>1453</v>
      </c>
      <c r="H1070" s="27" t="s">
        <v>1454</v>
      </c>
      <c r="J1070" s="27" t="s">
        <v>18547</v>
      </c>
      <c r="M1070" s="27" t="s">
        <v>19186</v>
      </c>
      <c r="N1070" s="27" t="s">
        <v>19187</v>
      </c>
      <c r="P1070" s="27" t="s">
        <v>19188</v>
      </c>
      <c r="Q1070" s="26" t="str">
        <f>HYPERLINK("https://ictv.global/taxonomy/taxondetails?taxnode_id=202521187&amp;ictv_id=ICTV202421187","ICTV202421187")</f>
        <v>ICTV202421187</v>
      </c>
      <c r="R1070" t="s">
        <v>579</v>
      </c>
      <c r="S1070" t="s">
        <v>823</v>
      </c>
      <c r="T1070">
        <v>40</v>
      </c>
      <c r="U1070" s="26" t="str">
        <f t="shared" si="34"/>
        <v>2024.045B.Autographivirales.zip</v>
      </c>
    </row>
    <row r="1071" spans="1:21">
      <c r="A1071">
        <v>1070</v>
      </c>
      <c r="B1071" s="27" t="s">
        <v>1449</v>
      </c>
      <c r="D1071" s="27" t="s">
        <v>1450</v>
      </c>
      <c r="F1071" s="27" t="s">
        <v>1453</v>
      </c>
      <c r="H1071" s="27" t="s">
        <v>1454</v>
      </c>
      <c r="J1071" s="27" t="s">
        <v>18547</v>
      </c>
      <c r="M1071" s="27" t="s">
        <v>19186</v>
      </c>
      <c r="N1071" s="27" t="s">
        <v>1522</v>
      </c>
      <c r="P1071" s="27" t="s">
        <v>4450</v>
      </c>
      <c r="Q1071" s="26" t="str">
        <f>HYPERLINK("https://ictv.global/taxonomy/taxondetails?taxnode_id=202508213&amp;ictv_id=ICTV201908213","ICTV201908213")</f>
        <v>ICTV201908213</v>
      </c>
      <c r="R1071" t="s">
        <v>579</v>
      </c>
      <c r="S1071" t="s">
        <v>22763</v>
      </c>
      <c r="T1071">
        <v>40</v>
      </c>
      <c r="U1071" s="26" t="str">
        <f t="shared" si="34"/>
        <v>2024.045B.Autographivirales.zip</v>
      </c>
    </row>
    <row r="1072" spans="1:21">
      <c r="A1072">
        <v>1071</v>
      </c>
      <c r="B1072" s="27" t="s">
        <v>1449</v>
      </c>
      <c r="D1072" s="27" t="s">
        <v>1450</v>
      </c>
      <c r="F1072" s="27" t="s">
        <v>1453</v>
      </c>
      <c r="H1072" s="27" t="s">
        <v>1454</v>
      </c>
      <c r="J1072" s="27" t="s">
        <v>18547</v>
      </c>
      <c r="M1072" s="27" t="s">
        <v>19186</v>
      </c>
      <c r="N1072" s="27" t="s">
        <v>1531</v>
      </c>
      <c r="P1072" s="27" t="s">
        <v>4458</v>
      </c>
      <c r="Q1072" s="26" t="str">
        <f>HYPERLINK("https://ictv.global/taxonomy/taxondetails?taxnode_id=202508225&amp;ictv_id=ICTV201908225","ICTV201908225")</f>
        <v>ICTV201908225</v>
      </c>
      <c r="R1072" t="s">
        <v>579</v>
      </c>
      <c r="S1072" t="s">
        <v>22763</v>
      </c>
      <c r="T1072">
        <v>40</v>
      </c>
      <c r="U1072" s="26" t="str">
        <f t="shared" si="34"/>
        <v>2024.045B.Autographivirales.zip</v>
      </c>
    </row>
    <row r="1073" spans="1:21">
      <c r="A1073">
        <v>1072</v>
      </c>
      <c r="B1073" s="27" t="s">
        <v>1449</v>
      </c>
      <c r="D1073" s="27" t="s">
        <v>1450</v>
      </c>
      <c r="F1073" s="27" t="s">
        <v>1453</v>
      </c>
      <c r="H1073" s="27" t="s">
        <v>1454</v>
      </c>
      <c r="J1073" s="27" t="s">
        <v>18547</v>
      </c>
      <c r="M1073" s="27" t="s">
        <v>19186</v>
      </c>
      <c r="N1073" s="27" t="s">
        <v>1531</v>
      </c>
      <c r="P1073" s="27" t="s">
        <v>4459</v>
      </c>
      <c r="Q1073" s="26" t="str">
        <f>HYPERLINK("https://ictv.global/taxonomy/taxondetails?taxnode_id=202508226&amp;ictv_id=ICTV201908226","ICTV201908226")</f>
        <v>ICTV201908226</v>
      </c>
      <c r="R1073" t="s">
        <v>579</v>
      </c>
      <c r="S1073" t="s">
        <v>22763</v>
      </c>
      <c r="T1073">
        <v>40</v>
      </c>
      <c r="U1073" s="26" t="str">
        <f t="shared" si="34"/>
        <v>2024.045B.Autographivirales.zip</v>
      </c>
    </row>
    <row r="1074" spans="1:21">
      <c r="A1074">
        <v>1073</v>
      </c>
      <c r="B1074" s="27" t="s">
        <v>1449</v>
      </c>
      <c r="D1074" s="27" t="s">
        <v>1450</v>
      </c>
      <c r="F1074" s="27" t="s">
        <v>1453</v>
      </c>
      <c r="H1074" s="27" t="s">
        <v>1454</v>
      </c>
      <c r="J1074" s="27" t="s">
        <v>18547</v>
      </c>
      <c r="M1074" s="27" t="s">
        <v>19186</v>
      </c>
      <c r="N1074" s="27" t="s">
        <v>1531</v>
      </c>
      <c r="P1074" s="27" t="s">
        <v>19189</v>
      </c>
      <c r="Q1074" s="26" t="str">
        <f>HYPERLINK("https://ictv.global/taxonomy/taxondetails?taxnode_id=202521151&amp;ictv_id=ICTV202421151","ICTV202421151")</f>
        <v>ICTV202421151</v>
      </c>
      <c r="R1074" t="s">
        <v>579</v>
      </c>
      <c r="S1074" t="s">
        <v>823</v>
      </c>
      <c r="T1074">
        <v>40</v>
      </c>
      <c r="U1074" s="26" t="str">
        <f t="shared" si="34"/>
        <v>2024.045B.Autographivirales.zip</v>
      </c>
    </row>
    <row r="1075" spans="1:21">
      <c r="A1075">
        <v>1074</v>
      </c>
      <c r="B1075" s="27" t="s">
        <v>1449</v>
      </c>
      <c r="D1075" s="27" t="s">
        <v>1450</v>
      </c>
      <c r="F1075" s="27" t="s">
        <v>1453</v>
      </c>
      <c r="H1075" s="27" t="s">
        <v>1454</v>
      </c>
      <c r="J1075" s="27" t="s">
        <v>18547</v>
      </c>
      <c r="M1075" s="27" t="s">
        <v>19186</v>
      </c>
      <c r="N1075" s="27" t="s">
        <v>1531</v>
      </c>
      <c r="P1075" s="27" t="s">
        <v>19190</v>
      </c>
      <c r="Q1075" s="26" t="str">
        <f>HYPERLINK("https://ictv.global/taxonomy/taxondetails?taxnode_id=202521152&amp;ictv_id=ICTV202421152","ICTV202421152")</f>
        <v>ICTV202421152</v>
      </c>
      <c r="R1075" t="s">
        <v>579</v>
      </c>
      <c r="S1075" t="s">
        <v>823</v>
      </c>
      <c r="T1075">
        <v>40</v>
      </c>
      <c r="U1075" s="26" t="str">
        <f t="shared" si="34"/>
        <v>2024.045B.Autographivirales.zip</v>
      </c>
    </row>
    <row r="1076" spans="1:21">
      <c r="A1076">
        <v>1075</v>
      </c>
      <c r="B1076" s="27" t="s">
        <v>1449</v>
      </c>
      <c r="D1076" s="27" t="s">
        <v>1450</v>
      </c>
      <c r="F1076" s="27" t="s">
        <v>1453</v>
      </c>
      <c r="H1076" s="27" t="s">
        <v>1454</v>
      </c>
      <c r="J1076" s="27" t="s">
        <v>18547</v>
      </c>
      <c r="M1076" s="27" t="s">
        <v>19186</v>
      </c>
      <c r="N1076" s="27" t="s">
        <v>1531</v>
      </c>
      <c r="P1076" s="27" t="s">
        <v>19191</v>
      </c>
      <c r="Q1076" s="26" t="str">
        <f>HYPERLINK("https://ictv.global/taxonomy/taxondetails?taxnode_id=202521153&amp;ictv_id=ICTV202421153","ICTV202421153")</f>
        <v>ICTV202421153</v>
      </c>
      <c r="R1076" t="s">
        <v>579</v>
      </c>
      <c r="S1076" t="s">
        <v>823</v>
      </c>
      <c r="T1076">
        <v>40</v>
      </c>
      <c r="U1076" s="26" t="str">
        <f t="shared" si="34"/>
        <v>2024.045B.Autographivirales.zip</v>
      </c>
    </row>
    <row r="1077" spans="1:21">
      <c r="A1077">
        <v>1076</v>
      </c>
      <c r="B1077" s="27" t="s">
        <v>1449</v>
      </c>
      <c r="D1077" s="27" t="s">
        <v>1450</v>
      </c>
      <c r="F1077" s="27" t="s">
        <v>1453</v>
      </c>
      <c r="H1077" s="27" t="s">
        <v>1454</v>
      </c>
      <c r="J1077" s="27" t="s">
        <v>18547</v>
      </c>
      <c r="M1077" s="27" t="s">
        <v>19186</v>
      </c>
      <c r="N1077" s="27" t="s">
        <v>19192</v>
      </c>
      <c r="P1077" s="27" t="s">
        <v>19193</v>
      </c>
      <c r="Q1077" s="26" t="str">
        <f>HYPERLINK("https://ictv.global/taxonomy/taxondetails?taxnode_id=202521186&amp;ictv_id=ICTV202421186","ICTV202421186")</f>
        <v>ICTV202421186</v>
      </c>
      <c r="R1077" t="s">
        <v>579</v>
      </c>
      <c r="S1077" t="s">
        <v>823</v>
      </c>
      <c r="T1077">
        <v>40</v>
      </c>
      <c r="U1077" s="26" t="str">
        <f t="shared" si="34"/>
        <v>2024.045B.Autographivirales.zip</v>
      </c>
    </row>
    <row r="1078" spans="1:21">
      <c r="A1078">
        <v>1077</v>
      </c>
      <c r="B1078" s="27" t="s">
        <v>1449</v>
      </c>
      <c r="D1078" s="27" t="s">
        <v>1450</v>
      </c>
      <c r="F1078" s="27" t="s">
        <v>1453</v>
      </c>
      <c r="H1078" s="27" t="s">
        <v>1454</v>
      </c>
      <c r="J1078" s="27" t="s">
        <v>18547</v>
      </c>
      <c r="M1078" s="27" t="s">
        <v>19186</v>
      </c>
      <c r="N1078" s="27" t="s">
        <v>19194</v>
      </c>
      <c r="P1078" s="27" t="s">
        <v>19195</v>
      </c>
      <c r="Q1078" s="26" t="str">
        <f>HYPERLINK("https://ictv.global/taxonomy/taxondetails?taxnode_id=202521150&amp;ictv_id=ICTV202421150","ICTV202421150")</f>
        <v>ICTV202421150</v>
      </c>
      <c r="R1078" t="s">
        <v>579</v>
      </c>
      <c r="S1078" t="s">
        <v>823</v>
      </c>
      <c r="T1078">
        <v>40</v>
      </c>
      <c r="U1078" s="26" t="str">
        <f t="shared" si="34"/>
        <v>2024.045B.Autographivirales.zip</v>
      </c>
    </row>
    <row r="1079" spans="1:21">
      <c r="A1079">
        <v>1078</v>
      </c>
      <c r="B1079" s="27" t="s">
        <v>1449</v>
      </c>
      <c r="D1079" s="27" t="s">
        <v>1450</v>
      </c>
      <c r="F1079" s="27" t="s">
        <v>1453</v>
      </c>
      <c r="H1079" s="27" t="s">
        <v>1454</v>
      </c>
      <c r="J1079" s="27" t="s">
        <v>18547</v>
      </c>
      <c r="M1079" s="27" t="s">
        <v>19186</v>
      </c>
      <c r="N1079" s="27" t="s">
        <v>19196</v>
      </c>
      <c r="P1079" s="27" t="s">
        <v>19197</v>
      </c>
      <c r="Q1079" s="26" t="str">
        <f>HYPERLINK("https://ictv.global/taxonomy/taxondetails?taxnode_id=202521157&amp;ictv_id=ICTV202421157","ICTV202421157")</f>
        <v>ICTV202421157</v>
      </c>
      <c r="R1079" t="s">
        <v>579</v>
      </c>
      <c r="S1079" t="s">
        <v>823</v>
      </c>
      <c r="T1079">
        <v>40</v>
      </c>
      <c r="U1079" s="26" t="str">
        <f t="shared" si="34"/>
        <v>2024.045B.Autographivirales.zip</v>
      </c>
    </row>
    <row r="1080" spans="1:21">
      <c r="A1080">
        <v>1079</v>
      </c>
      <c r="B1080" s="27" t="s">
        <v>1449</v>
      </c>
      <c r="D1080" s="27" t="s">
        <v>1450</v>
      </c>
      <c r="F1080" s="27" t="s">
        <v>1453</v>
      </c>
      <c r="H1080" s="27" t="s">
        <v>1454</v>
      </c>
      <c r="J1080" s="27" t="s">
        <v>18547</v>
      </c>
      <c r="M1080" s="27" t="s">
        <v>19186</v>
      </c>
      <c r="N1080" s="27" t="s">
        <v>19198</v>
      </c>
      <c r="P1080" s="27" t="s">
        <v>19199</v>
      </c>
      <c r="Q1080" s="26" t="str">
        <f>HYPERLINK("https://ictv.global/taxonomy/taxondetails?taxnode_id=202521156&amp;ictv_id=ICTV202421156","ICTV202421156")</f>
        <v>ICTV202421156</v>
      </c>
      <c r="R1080" t="s">
        <v>579</v>
      </c>
      <c r="S1080" t="s">
        <v>823</v>
      </c>
      <c r="T1080">
        <v>40</v>
      </c>
      <c r="U1080" s="26" t="str">
        <f t="shared" si="34"/>
        <v>2024.045B.Autographivirales.zip</v>
      </c>
    </row>
    <row r="1081" spans="1:21">
      <c r="A1081">
        <v>1080</v>
      </c>
      <c r="B1081" s="27" t="s">
        <v>1449</v>
      </c>
      <c r="D1081" s="27" t="s">
        <v>1450</v>
      </c>
      <c r="F1081" s="27" t="s">
        <v>1453</v>
      </c>
      <c r="H1081" s="27" t="s">
        <v>1454</v>
      </c>
      <c r="J1081" s="27" t="s">
        <v>18547</v>
      </c>
      <c r="M1081" s="27" t="s">
        <v>19186</v>
      </c>
      <c r="N1081" s="27" t="s">
        <v>19200</v>
      </c>
      <c r="P1081" s="27" t="s">
        <v>19201</v>
      </c>
      <c r="Q1081" s="26" t="str">
        <f>HYPERLINK("https://ictv.global/taxonomy/taxondetails?taxnode_id=202521154&amp;ictv_id=ICTV202421154","ICTV202421154")</f>
        <v>ICTV202421154</v>
      </c>
      <c r="R1081" t="s">
        <v>579</v>
      </c>
      <c r="S1081" t="s">
        <v>823</v>
      </c>
      <c r="T1081">
        <v>40</v>
      </c>
      <c r="U1081" s="26" t="str">
        <f t="shared" si="34"/>
        <v>2024.045B.Autographivirales.zip</v>
      </c>
    </row>
    <row r="1082" spans="1:21">
      <c r="A1082">
        <v>1081</v>
      </c>
      <c r="B1082" s="27" t="s">
        <v>1449</v>
      </c>
      <c r="D1082" s="27" t="s">
        <v>1450</v>
      </c>
      <c r="F1082" s="27" t="s">
        <v>1453</v>
      </c>
      <c r="H1082" s="27" t="s">
        <v>1454</v>
      </c>
      <c r="J1082" s="27" t="s">
        <v>18547</v>
      </c>
      <c r="M1082" s="27" t="s">
        <v>19186</v>
      </c>
      <c r="N1082" s="27" t="s">
        <v>19200</v>
      </c>
      <c r="P1082" s="27" t="s">
        <v>19202</v>
      </c>
      <c r="Q1082" s="26" t="str">
        <f>HYPERLINK("https://ictv.global/taxonomy/taxondetails?taxnode_id=202521155&amp;ictv_id=ICTV202421155","ICTV202421155")</f>
        <v>ICTV202421155</v>
      </c>
      <c r="R1082" t="s">
        <v>579</v>
      </c>
      <c r="S1082" t="s">
        <v>823</v>
      </c>
      <c r="T1082">
        <v>40</v>
      </c>
      <c r="U1082" s="26" t="str">
        <f t="shared" si="34"/>
        <v>2024.045B.Autographivirales.zip</v>
      </c>
    </row>
    <row r="1083" spans="1:21">
      <c r="A1083">
        <v>1082</v>
      </c>
      <c r="B1083" s="27" t="s">
        <v>1449</v>
      </c>
      <c r="D1083" s="27" t="s">
        <v>1450</v>
      </c>
      <c r="F1083" s="27" t="s">
        <v>1453</v>
      </c>
      <c r="H1083" s="27" t="s">
        <v>1454</v>
      </c>
      <c r="J1083" s="27" t="s">
        <v>18547</v>
      </c>
      <c r="M1083" s="27" t="s">
        <v>19186</v>
      </c>
      <c r="N1083" s="27" t="s">
        <v>19203</v>
      </c>
      <c r="P1083" s="27" t="s">
        <v>19204</v>
      </c>
      <c r="Q1083" s="26" t="str">
        <f>HYPERLINK("https://ictv.global/taxonomy/taxondetails?taxnode_id=202521158&amp;ictv_id=ICTV202421158","ICTV202421158")</f>
        <v>ICTV202421158</v>
      </c>
      <c r="R1083" t="s">
        <v>579</v>
      </c>
      <c r="S1083" t="s">
        <v>823</v>
      </c>
      <c r="T1083">
        <v>40</v>
      </c>
      <c r="U1083" s="26" t="str">
        <f t="shared" si="34"/>
        <v>2024.045B.Autographivirales.zip</v>
      </c>
    </row>
    <row r="1084" spans="1:21">
      <c r="A1084">
        <v>1083</v>
      </c>
      <c r="B1084" s="27" t="s">
        <v>1449</v>
      </c>
      <c r="D1084" s="27" t="s">
        <v>1450</v>
      </c>
      <c r="F1084" s="27" t="s">
        <v>1453</v>
      </c>
      <c r="H1084" s="27" t="s">
        <v>1454</v>
      </c>
      <c r="J1084" s="27" t="s">
        <v>18547</v>
      </c>
      <c r="M1084" s="27" t="s">
        <v>19205</v>
      </c>
      <c r="N1084" s="27" t="s">
        <v>19206</v>
      </c>
      <c r="P1084" s="27" t="s">
        <v>19207</v>
      </c>
      <c r="Q1084" s="26" t="str">
        <f>HYPERLINK("https://ictv.global/taxonomy/taxondetails?taxnode_id=202521169&amp;ictv_id=ICTV202421169","ICTV202421169")</f>
        <v>ICTV202421169</v>
      </c>
      <c r="R1084" t="s">
        <v>579</v>
      </c>
      <c r="S1084" t="s">
        <v>823</v>
      </c>
      <c r="T1084">
        <v>40</v>
      </c>
      <c r="U1084" s="26" t="str">
        <f t="shared" si="34"/>
        <v>2024.045B.Autographivirales.zip</v>
      </c>
    </row>
    <row r="1085" spans="1:21">
      <c r="A1085">
        <v>1084</v>
      </c>
      <c r="B1085" s="27" t="s">
        <v>1449</v>
      </c>
      <c r="D1085" s="27" t="s">
        <v>1450</v>
      </c>
      <c r="F1085" s="27" t="s">
        <v>1453</v>
      </c>
      <c r="H1085" s="27" t="s">
        <v>1454</v>
      </c>
      <c r="J1085" s="27" t="s">
        <v>18547</v>
      </c>
      <c r="M1085" s="27" t="s">
        <v>19205</v>
      </c>
      <c r="N1085" s="27" t="s">
        <v>1528</v>
      </c>
      <c r="P1085" s="27" t="s">
        <v>4457</v>
      </c>
      <c r="Q1085" s="26" t="str">
        <f>HYPERLINK("https://ictv.global/taxonomy/taxondetails?taxnode_id=202508316&amp;ictv_id=ICTV201908316","ICTV201908316")</f>
        <v>ICTV201908316</v>
      </c>
      <c r="R1085" t="s">
        <v>579</v>
      </c>
      <c r="S1085" t="s">
        <v>22763</v>
      </c>
      <c r="T1085">
        <v>40</v>
      </c>
      <c r="U1085" s="26" t="str">
        <f t="shared" si="34"/>
        <v>2024.045B.Autographivirales.zip</v>
      </c>
    </row>
    <row r="1086" spans="1:21">
      <c r="A1086">
        <v>1085</v>
      </c>
      <c r="B1086" s="27" t="s">
        <v>1449</v>
      </c>
      <c r="D1086" s="27" t="s">
        <v>1450</v>
      </c>
      <c r="F1086" s="27" t="s">
        <v>1453</v>
      </c>
      <c r="H1086" s="27" t="s">
        <v>1454</v>
      </c>
      <c r="J1086" s="27" t="s">
        <v>18547</v>
      </c>
      <c r="M1086" s="27" t="s">
        <v>19205</v>
      </c>
      <c r="N1086" s="27" t="s">
        <v>19208</v>
      </c>
      <c r="P1086" s="27" t="s">
        <v>19209</v>
      </c>
      <c r="Q1086" s="26" t="str">
        <f>HYPERLINK("https://ictv.global/taxonomy/taxondetails?taxnode_id=202521170&amp;ictv_id=ICTV202421170","ICTV202421170")</f>
        <v>ICTV202421170</v>
      </c>
      <c r="R1086" t="s">
        <v>579</v>
      </c>
      <c r="S1086" t="s">
        <v>823</v>
      </c>
      <c r="T1086">
        <v>40</v>
      </c>
      <c r="U1086" s="26" t="str">
        <f t="shared" si="34"/>
        <v>2024.045B.Autographivirales.zip</v>
      </c>
    </row>
    <row r="1087" spans="1:21">
      <c r="A1087">
        <v>1086</v>
      </c>
      <c r="B1087" s="27" t="s">
        <v>1449</v>
      </c>
      <c r="D1087" s="27" t="s">
        <v>1450</v>
      </c>
      <c r="F1087" s="27" t="s">
        <v>1453</v>
      </c>
      <c r="H1087" s="27" t="s">
        <v>1454</v>
      </c>
      <c r="J1087" s="27" t="s">
        <v>18547</v>
      </c>
      <c r="M1087" s="27" t="s">
        <v>19205</v>
      </c>
      <c r="N1087" s="27" t="s">
        <v>1541</v>
      </c>
      <c r="P1087" s="27" t="s">
        <v>4468</v>
      </c>
      <c r="Q1087" s="26" t="str">
        <f>HYPERLINK("https://ictv.global/taxonomy/taxondetails?taxnode_id=202508278&amp;ictv_id=ICTV201908278","ICTV201908278")</f>
        <v>ICTV201908278</v>
      </c>
      <c r="R1087" t="s">
        <v>579</v>
      </c>
      <c r="S1087" t="s">
        <v>22763</v>
      </c>
      <c r="T1087">
        <v>40</v>
      </c>
      <c r="U1087" s="26" t="str">
        <f t="shared" si="34"/>
        <v>2024.045B.Autographivirales.zip</v>
      </c>
    </row>
    <row r="1088" spans="1:21">
      <c r="A1088">
        <v>1087</v>
      </c>
      <c r="B1088" s="27" t="s">
        <v>1449</v>
      </c>
      <c r="D1088" s="27" t="s">
        <v>1450</v>
      </c>
      <c r="F1088" s="27" t="s">
        <v>1453</v>
      </c>
      <c r="H1088" s="27" t="s">
        <v>1454</v>
      </c>
      <c r="J1088" s="27" t="s">
        <v>18547</v>
      </c>
      <c r="M1088" s="27" t="s">
        <v>19205</v>
      </c>
      <c r="N1088" s="27" t="s">
        <v>19210</v>
      </c>
      <c r="P1088" s="27" t="s">
        <v>19211</v>
      </c>
      <c r="Q1088" s="26" t="str">
        <f>HYPERLINK("https://ictv.global/taxonomy/taxondetails?taxnode_id=202521168&amp;ictv_id=ICTV202421168","ICTV202421168")</f>
        <v>ICTV202421168</v>
      </c>
      <c r="R1088" t="s">
        <v>579</v>
      </c>
      <c r="S1088" t="s">
        <v>823</v>
      </c>
      <c r="T1088">
        <v>40</v>
      </c>
      <c r="U1088" s="26" t="str">
        <f t="shared" si="34"/>
        <v>2024.045B.Autographivirales.zip</v>
      </c>
    </row>
    <row r="1089" spans="1:21">
      <c r="A1089">
        <v>1088</v>
      </c>
      <c r="B1089" s="27" t="s">
        <v>1449</v>
      </c>
      <c r="D1089" s="27" t="s">
        <v>1450</v>
      </c>
      <c r="F1089" s="27" t="s">
        <v>1453</v>
      </c>
      <c r="H1089" s="27" t="s">
        <v>1454</v>
      </c>
      <c r="J1089" s="27" t="s">
        <v>18547</v>
      </c>
      <c r="M1089" s="27" t="s">
        <v>19205</v>
      </c>
      <c r="N1089" s="27" t="s">
        <v>1577</v>
      </c>
      <c r="P1089" s="27" t="s">
        <v>4491</v>
      </c>
      <c r="Q1089" s="26" t="str">
        <f>HYPERLINK("https://ictv.global/taxonomy/taxondetails?taxnode_id=202508202&amp;ictv_id=ICTV201908202","ICTV201908202")</f>
        <v>ICTV201908202</v>
      </c>
      <c r="R1089" t="s">
        <v>579</v>
      </c>
      <c r="S1089" t="s">
        <v>22763</v>
      </c>
      <c r="T1089">
        <v>40</v>
      </c>
      <c r="U1089" s="26" t="str">
        <f t="shared" si="34"/>
        <v>2024.045B.Autographivirales.zip</v>
      </c>
    </row>
    <row r="1090" spans="1:21">
      <c r="A1090">
        <v>1089</v>
      </c>
      <c r="B1090" s="27" t="s">
        <v>1449</v>
      </c>
      <c r="D1090" s="27" t="s">
        <v>1450</v>
      </c>
      <c r="F1090" s="27" t="s">
        <v>1453</v>
      </c>
      <c r="H1090" s="27" t="s">
        <v>1454</v>
      </c>
      <c r="J1090" s="27" t="s">
        <v>18547</v>
      </c>
      <c r="M1090" s="27" t="s">
        <v>19205</v>
      </c>
      <c r="N1090" s="27" t="s">
        <v>1580</v>
      </c>
      <c r="P1090" s="27" t="s">
        <v>4497</v>
      </c>
      <c r="Q1090" s="26" t="str">
        <f>HYPERLINK("https://ictv.global/taxonomy/taxondetails?taxnode_id=202508280&amp;ictv_id=ICTV201908280","ICTV201908280")</f>
        <v>ICTV201908280</v>
      </c>
      <c r="R1090" t="s">
        <v>579</v>
      </c>
      <c r="S1090" t="s">
        <v>22763</v>
      </c>
      <c r="T1090">
        <v>40</v>
      </c>
      <c r="U1090" s="26" t="str">
        <f t="shared" si="34"/>
        <v>2024.045B.Autographivirales.zip</v>
      </c>
    </row>
    <row r="1091" spans="1:21">
      <c r="A1091">
        <v>1090</v>
      </c>
      <c r="B1091" s="27" t="s">
        <v>1449</v>
      </c>
      <c r="D1091" s="27" t="s">
        <v>1450</v>
      </c>
      <c r="F1091" s="27" t="s">
        <v>1453</v>
      </c>
      <c r="H1091" s="27" t="s">
        <v>1454</v>
      </c>
      <c r="J1091" s="27" t="s">
        <v>18547</v>
      </c>
      <c r="M1091" s="27" t="s">
        <v>19205</v>
      </c>
      <c r="N1091" s="27" t="s">
        <v>19212</v>
      </c>
      <c r="P1091" s="27" t="s">
        <v>19213</v>
      </c>
      <c r="Q1091" s="26" t="str">
        <f>HYPERLINK("https://ictv.global/taxonomy/taxondetails?taxnode_id=202521167&amp;ictv_id=ICTV202421167","ICTV202421167")</f>
        <v>ICTV202421167</v>
      </c>
      <c r="R1091" t="s">
        <v>579</v>
      </c>
      <c r="S1091" t="s">
        <v>823</v>
      </c>
      <c r="T1091">
        <v>40</v>
      </c>
      <c r="U1091" s="26" t="str">
        <f t="shared" si="34"/>
        <v>2024.045B.Autographivirales.zip</v>
      </c>
    </row>
    <row r="1092" spans="1:21">
      <c r="A1092">
        <v>1091</v>
      </c>
      <c r="B1092" s="27" t="s">
        <v>1449</v>
      </c>
      <c r="D1092" s="27" t="s">
        <v>1450</v>
      </c>
      <c r="F1092" s="27" t="s">
        <v>1453</v>
      </c>
      <c r="H1092" s="27" t="s">
        <v>1454</v>
      </c>
      <c r="J1092" s="27" t="s">
        <v>18547</v>
      </c>
      <c r="M1092" s="27" t="s">
        <v>19205</v>
      </c>
      <c r="N1092" s="27" t="s">
        <v>1592</v>
      </c>
      <c r="P1092" s="27" t="s">
        <v>4503</v>
      </c>
      <c r="Q1092" s="26" t="str">
        <f>HYPERLINK("https://ictv.global/taxonomy/taxondetails?taxnode_id=202508221&amp;ictv_id=ICTV201908221","ICTV201908221")</f>
        <v>ICTV201908221</v>
      </c>
      <c r="R1092" t="s">
        <v>579</v>
      </c>
      <c r="S1092" t="s">
        <v>22763</v>
      </c>
      <c r="T1092">
        <v>40</v>
      </c>
      <c r="U1092" s="26" t="str">
        <f t="shared" si="34"/>
        <v>2024.045B.Autographivirales.zip</v>
      </c>
    </row>
    <row r="1093" spans="1:21">
      <c r="A1093">
        <v>1092</v>
      </c>
      <c r="B1093" s="27" t="s">
        <v>1449</v>
      </c>
      <c r="D1093" s="27" t="s">
        <v>1450</v>
      </c>
      <c r="F1093" s="27" t="s">
        <v>1453</v>
      </c>
      <c r="H1093" s="27" t="s">
        <v>1454</v>
      </c>
      <c r="J1093" s="27" t="s">
        <v>18547</v>
      </c>
      <c r="M1093" s="27" t="s">
        <v>19205</v>
      </c>
      <c r="N1093" s="27" t="s">
        <v>1592</v>
      </c>
      <c r="P1093" s="27" t="s">
        <v>4504</v>
      </c>
      <c r="Q1093" s="26" t="str">
        <f>HYPERLINK("https://ictv.global/taxonomy/taxondetails?taxnode_id=202508222&amp;ictv_id=ICTV201908222","ICTV201908222")</f>
        <v>ICTV201908222</v>
      </c>
      <c r="R1093" t="s">
        <v>579</v>
      </c>
      <c r="S1093" t="s">
        <v>22763</v>
      </c>
      <c r="T1093">
        <v>40</v>
      </c>
      <c r="U1093" s="26" t="str">
        <f t="shared" si="34"/>
        <v>2024.045B.Autographivirales.zip</v>
      </c>
    </row>
    <row r="1094" spans="1:21">
      <c r="A1094">
        <v>1093</v>
      </c>
      <c r="B1094" s="27" t="s">
        <v>1449</v>
      </c>
      <c r="D1094" s="27" t="s">
        <v>1450</v>
      </c>
      <c r="F1094" s="27" t="s">
        <v>1453</v>
      </c>
      <c r="H1094" s="27" t="s">
        <v>1454</v>
      </c>
      <c r="J1094" s="27" t="s">
        <v>18547</v>
      </c>
      <c r="M1094" s="27" t="s">
        <v>19205</v>
      </c>
      <c r="N1094" s="27" t="s">
        <v>1592</v>
      </c>
      <c r="P1094" s="27" t="s">
        <v>4505</v>
      </c>
      <c r="Q1094" s="26" t="str">
        <f>HYPERLINK("https://ictv.global/taxonomy/taxondetails?taxnode_id=202508223&amp;ictv_id=ICTV201908223","ICTV201908223")</f>
        <v>ICTV201908223</v>
      </c>
      <c r="R1094" t="s">
        <v>579</v>
      </c>
      <c r="S1094" t="s">
        <v>22763</v>
      </c>
      <c r="T1094">
        <v>40</v>
      </c>
      <c r="U1094" s="26" t="str">
        <f t="shared" si="34"/>
        <v>2024.045B.Autographivirales.zip</v>
      </c>
    </row>
    <row r="1095" spans="1:21">
      <c r="A1095">
        <v>1094</v>
      </c>
      <c r="B1095" s="27" t="s">
        <v>1449</v>
      </c>
      <c r="D1095" s="27" t="s">
        <v>1450</v>
      </c>
      <c r="F1095" s="27" t="s">
        <v>1453</v>
      </c>
      <c r="H1095" s="27" t="s">
        <v>1454</v>
      </c>
      <c r="J1095" s="27" t="s">
        <v>18547</v>
      </c>
      <c r="M1095" s="27" t="s">
        <v>19205</v>
      </c>
      <c r="N1095" s="27" t="s">
        <v>1594</v>
      </c>
      <c r="P1095" s="27" t="s">
        <v>4507</v>
      </c>
      <c r="Q1095" s="26" t="str">
        <f>HYPERLINK("https://ictv.global/taxonomy/taxondetails?taxnode_id=202500587&amp;ictv_id=ICTV20094401","ICTV20094401")</f>
        <v>ICTV20094401</v>
      </c>
      <c r="R1095" t="s">
        <v>579</v>
      </c>
      <c r="S1095" t="s">
        <v>22763</v>
      </c>
      <c r="T1095">
        <v>40</v>
      </c>
      <c r="U1095" s="26" t="str">
        <f t="shared" si="34"/>
        <v>2024.045B.Autographivirales.zip</v>
      </c>
    </row>
    <row r="1096" spans="1:21">
      <c r="A1096">
        <v>1095</v>
      </c>
      <c r="B1096" s="27" t="s">
        <v>1449</v>
      </c>
      <c r="D1096" s="27" t="s">
        <v>1450</v>
      </c>
      <c r="F1096" s="27" t="s">
        <v>1453</v>
      </c>
      <c r="H1096" s="27" t="s">
        <v>1454</v>
      </c>
      <c r="J1096" s="27" t="s">
        <v>18547</v>
      </c>
      <c r="M1096" s="27" t="s">
        <v>19205</v>
      </c>
      <c r="N1096" s="27" t="s">
        <v>1596</v>
      </c>
      <c r="P1096" s="27" t="s">
        <v>4509</v>
      </c>
      <c r="Q1096" s="26" t="str">
        <f>HYPERLINK("https://ictv.global/taxonomy/taxondetails?taxnode_id=202508205&amp;ictv_id=ICTV201908205","ICTV201908205")</f>
        <v>ICTV201908205</v>
      </c>
      <c r="R1096" t="s">
        <v>579</v>
      </c>
      <c r="S1096" t="s">
        <v>22763</v>
      </c>
      <c r="T1096">
        <v>40</v>
      </c>
      <c r="U1096" s="26" t="str">
        <f t="shared" si="34"/>
        <v>2024.045B.Autographivirales.zip</v>
      </c>
    </row>
    <row r="1097" spans="1:21">
      <c r="A1097">
        <v>1096</v>
      </c>
      <c r="B1097" s="27" t="s">
        <v>1449</v>
      </c>
      <c r="D1097" s="27" t="s">
        <v>1450</v>
      </c>
      <c r="F1097" s="27" t="s">
        <v>1453</v>
      </c>
      <c r="H1097" s="27" t="s">
        <v>1454</v>
      </c>
      <c r="J1097" s="27" t="s">
        <v>18547</v>
      </c>
      <c r="M1097" s="27" t="s">
        <v>19205</v>
      </c>
      <c r="N1097" s="27" t="s">
        <v>1596</v>
      </c>
      <c r="P1097" s="27" t="s">
        <v>4510</v>
      </c>
      <c r="Q1097" s="26" t="str">
        <f>HYPERLINK("https://ictv.global/taxonomy/taxondetails?taxnode_id=202508204&amp;ictv_id=ICTV201908204","ICTV201908204")</f>
        <v>ICTV201908204</v>
      </c>
      <c r="R1097" t="s">
        <v>579</v>
      </c>
      <c r="S1097" t="s">
        <v>22763</v>
      </c>
      <c r="T1097">
        <v>40</v>
      </c>
      <c r="U1097" s="26" t="str">
        <f t="shared" si="34"/>
        <v>2024.045B.Autographivirales.zip</v>
      </c>
    </row>
    <row r="1098" spans="1:21">
      <c r="A1098">
        <v>1097</v>
      </c>
      <c r="B1098" s="27" t="s">
        <v>1449</v>
      </c>
      <c r="D1098" s="27" t="s">
        <v>1450</v>
      </c>
      <c r="F1098" s="27" t="s">
        <v>1453</v>
      </c>
      <c r="H1098" s="27" t="s">
        <v>1454</v>
      </c>
      <c r="J1098" s="27" t="s">
        <v>18547</v>
      </c>
      <c r="N1098" s="27" t="s">
        <v>19214</v>
      </c>
      <c r="P1098" s="27" t="s">
        <v>19215</v>
      </c>
      <c r="Q1098" s="26" t="str">
        <f>HYPERLINK("https://ictv.global/taxonomy/taxondetails?taxnode_id=202521180&amp;ictv_id=ICTV202421180","ICTV202421180")</f>
        <v>ICTV202421180</v>
      </c>
      <c r="R1098" t="s">
        <v>579</v>
      </c>
      <c r="S1098" t="s">
        <v>823</v>
      </c>
      <c r="T1098">
        <v>40</v>
      </c>
      <c r="U1098" s="26" t="str">
        <f t="shared" si="34"/>
        <v>2024.045B.Autographivirales.zip</v>
      </c>
    </row>
    <row r="1099" spans="1:21">
      <c r="A1099">
        <v>1098</v>
      </c>
      <c r="B1099" s="27" t="s">
        <v>1449</v>
      </c>
      <c r="D1099" s="27" t="s">
        <v>1450</v>
      </c>
      <c r="F1099" s="27" t="s">
        <v>1453</v>
      </c>
      <c r="H1099" s="27" t="s">
        <v>1454</v>
      </c>
      <c r="J1099" s="27" t="s">
        <v>18547</v>
      </c>
      <c r="N1099" s="27" t="s">
        <v>1519</v>
      </c>
      <c r="P1099" s="27" t="s">
        <v>4447</v>
      </c>
      <c r="Q1099" s="26" t="str">
        <f>HYPERLINK("https://ictv.global/taxonomy/taxondetails?taxnode_id=202508235&amp;ictv_id=ICTV201908235","ICTV201908235")</f>
        <v>ICTV201908235</v>
      </c>
      <c r="R1099" t="s">
        <v>579</v>
      </c>
      <c r="S1099" t="s">
        <v>22765</v>
      </c>
      <c r="T1099">
        <v>40</v>
      </c>
      <c r="U1099" s="26" t="str">
        <f t="shared" si="34"/>
        <v>2024.045B.Autographivirales.zip</v>
      </c>
    </row>
    <row r="1100" spans="1:21">
      <c r="A1100">
        <v>1099</v>
      </c>
      <c r="B1100" s="27" t="s">
        <v>1449</v>
      </c>
      <c r="D1100" s="27" t="s">
        <v>1450</v>
      </c>
      <c r="F1100" s="27" t="s">
        <v>1453</v>
      </c>
      <c r="H1100" s="27" t="s">
        <v>1454</v>
      </c>
      <c r="J1100" s="27" t="s">
        <v>18547</v>
      </c>
      <c r="N1100" s="27" t="s">
        <v>19216</v>
      </c>
      <c r="P1100" s="27" t="s">
        <v>19217</v>
      </c>
      <c r="Q1100" s="26" t="str">
        <f>HYPERLINK("https://ictv.global/taxonomy/taxondetails?taxnode_id=202521185&amp;ictv_id=ICTV202421185","ICTV202421185")</f>
        <v>ICTV202421185</v>
      </c>
      <c r="R1100" t="s">
        <v>579</v>
      </c>
      <c r="S1100" t="s">
        <v>823</v>
      </c>
      <c r="T1100">
        <v>40</v>
      </c>
      <c r="U1100" s="26" t="str">
        <f t="shared" si="34"/>
        <v>2024.045B.Autographivirales.zip</v>
      </c>
    </row>
    <row r="1101" spans="1:21">
      <c r="A1101">
        <v>1100</v>
      </c>
      <c r="B1101" s="27" t="s">
        <v>1449</v>
      </c>
      <c r="D1101" s="27" t="s">
        <v>1450</v>
      </c>
      <c r="F1101" s="27" t="s">
        <v>1453</v>
      </c>
      <c r="H1101" s="27" t="s">
        <v>1454</v>
      </c>
      <c r="J1101" s="27" t="s">
        <v>18547</v>
      </c>
      <c r="N1101" s="27" t="s">
        <v>1520</v>
      </c>
      <c r="P1101" s="27" t="s">
        <v>1521</v>
      </c>
      <c r="Q1101" s="26" t="str">
        <f>HYPERLINK("https://ictv.global/taxonomy/taxondetails?taxnode_id=202508245&amp;ictv_id=ICTV201908245","ICTV201908245")</f>
        <v>ICTV201908245</v>
      </c>
      <c r="R1101" t="s">
        <v>579</v>
      </c>
      <c r="S1101" t="s">
        <v>22765</v>
      </c>
      <c r="T1101">
        <v>40</v>
      </c>
      <c r="U1101" s="26" t="str">
        <f t="shared" si="34"/>
        <v>2024.045B.Autographivirales.zip</v>
      </c>
    </row>
    <row r="1102" spans="1:21">
      <c r="A1102">
        <v>1101</v>
      </c>
      <c r="B1102" s="27" t="s">
        <v>1449</v>
      </c>
      <c r="D1102" s="27" t="s">
        <v>1450</v>
      </c>
      <c r="F1102" s="27" t="s">
        <v>1453</v>
      </c>
      <c r="H1102" s="27" t="s">
        <v>1454</v>
      </c>
      <c r="J1102" s="27" t="s">
        <v>18547</v>
      </c>
      <c r="N1102" s="27" t="s">
        <v>1524</v>
      </c>
      <c r="P1102" s="27" t="s">
        <v>1525</v>
      </c>
      <c r="Q1102" s="26" t="str">
        <f>HYPERLINK("https://ictv.global/taxonomy/taxondetails?taxnode_id=202508284&amp;ictv_id=ICTV201908284","ICTV201908284")</f>
        <v>ICTV201908284</v>
      </c>
      <c r="R1102" t="s">
        <v>579</v>
      </c>
      <c r="S1102" t="s">
        <v>22765</v>
      </c>
      <c r="T1102">
        <v>40</v>
      </c>
      <c r="U1102" s="26" t="str">
        <f t="shared" si="34"/>
        <v>2024.045B.Autographivirales.zip</v>
      </c>
    </row>
    <row r="1103" spans="1:21">
      <c r="A1103">
        <v>1102</v>
      </c>
      <c r="B1103" s="27" t="s">
        <v>1449</v>
      </c>
      <c r="D1103" s="27" t="s">
        <v>1450</v>
      </c>
      <c r="F1103" s="27" t="s">
        <v>1453</v>
      </c>
      <c r="H1103" s="27" t="s">
        <v>1454</v>
      </c>
      <c r="J1103" s="27" t="s">
        <v>18547</v>
      </c>
      <c r="N1103" s="27" t="s">
        <v>1526</v>
      </c>
      <c r="P1103" s="27" t="s">
        <v>4452</v>
      </c>
      <c r="Q1103" s="26" t="str">
        <f>HYPERLINK("https://ictv.global/taxonomy/taxondetails?taxnode_id=202508274&amp;ictv_id=ICTV201908274","ICTV201908274")</f>
        <v>ICTV201908274</v>
      </c>
      <c r="R1103" t="s">
        <v>579</v>
      </c>
      <c r="S1103" t="s">
        <v>22765</v>
      </c>
      <c r="T1103">
        <v>40</v>
      </c>
      <c r="U1103" s="26" t="str">
        <f t="shared" si="34"/>
        <v>2024.045B.Autographivirales.zip</v>
      </c>
    </row>
    <row r="1104" spans="1:21">
      <c r="A1104">
        <v>1103</v>
      </c>
      <c r="B1104" s="27" t="s">
        <v>1449</v>
      </c>
      <c r="D1104" s="27" t="s">
        <v>1450</v>
      </c>
      <c r="F1104" s="27" t="s">
        <v>1453</v>
      </c>
      <c r="H1104" s="27" t="s">
        <v>1454</v>
      </c>
      <c r="J1104" s="27" t="s">
        <v>18547</v>
      </c>
      <c r="N1104" s="27" t="s">
        <v>19218</v>
      </c>
      <c r="P1104" s="27" t="s">
        <v>19219</v>
      </c>
      <c r="Q1104" s="26" t="str">
        <f>HYPERLINK("https://ictv.global/taxonomy/taxondetails?taxnode_id=202521089&amp;ictv_id=ICTV202421089","ICTV202421089")</f>
        <v>ICTV202421089</v>
      </c>
      <c r="R1104" t="s">
        <v>579</v>
      </c>
      <c r="S1104" t="s">
        <v>823</v>
      </c>
      <c r="T1104">
        <v>40</v>
      </c>
      <c r="U1104" s="26" t="str">
        <f t="shared" si="34"/>
        <v>2024.045B.Autographivirales.zip</v>
      </c>
    </row>
    <row r="1105" spans="1:21">
      <c r="A1105">
        <v>1104</v>
      </c>
      <c r="B1105" s="27" t="s">
        <v>1449</v>
      </c>
      <c r="D1105" s="27" t="s">
        <v>1450</v>
      </c>
      <c r="F1105" s="27" t="s">
        <v>1453</v>
      </c>
      <c r="H1105" s="27" t="s">
        <v>1454</v>
      </c>
      <c r="J1105" s="27" t="s">
        <v>18547</v>
      </c>
      <c r="N1105" s="27" t="s">
        <v>19220</v>
      </c>
      <c r="P1105" s="27" t="s">
        <v>19221</v>
      </c>
      <c r="Q1105" s="26" t="str">
        <f>HYPERLINK("https://ictv.global/taxonomy/taxondetails?taxnode_id=202521172&amp;ictv_id=ICTV202421172","ICTV202421172")</f>
        <v>ICTV202421172</v>
      </c>
      <c r="R1105" t="s">
        <v>579</v>
      </c>
      <c r="S1105" t="s">
        <v>823</v>
      </c>
      <c r="T1105">
        <v>40</v>
      </c>
      <c r="U1105" s="26" t="str">
        <f t="shared" si="34"/>
        <v>2024.045B.Autographivirales.zip</v>
      </c>
    </row>
    <row r="1106" spans="1:21">
      <c r="A1106">
        <v>1105</v>
      </c>
      <c r="B1106" s="27" t="s">
        <v>1449</v>
      </c>
      <c r="D1106" s="27" t="s">
        <v>1450</v>
      </c>
      <c r="F1106" s="27" t="s">
        <v>1453</v>
      </c>
      <c r="H1106" s="27" t="s">
        <v>1454</v>
      </c>
      <c r="J1106" s="27" t="s">
        <v>18547</v>
      </c>
      <c r="N1106" s="27" t="s">
        <v>1529</v>
      </c>
      <c r="P1106" s="27" t="s">
        <v>1530</v>
      </c>
      <c r="Q1106" s="26" t="str">
        <f>HYPERLINK("https://ictv.global/taxonomy/taxondetails?taxnode_id=202508314&amp;ictv_id=ICTV201908314","ICTV201908314")</f>
        <v>ICTV201908314</v>
      </c>
      <c r="R1106" t="s">
        <v>579</v>
      </c>
      <c r="S1106" t="s">
        <v>22765</v>
      </c>
      <c r="T1106">
        <v>40</v>
      </c>
      <c r="U1106" s="26" t="str">
        <f t="shared" si="34"/>
        <v>2024.045B.Autographivirales.zip</v>
      </c>
    </row>
    <row r="1107" spans="1:21">
      <c r="A1107">
        <v>1106</v>
      </c>
      <c r="B1107" s="27" t="s">
        <v>1449</v>
      </c>
      <c r="D1107" s="27" t="s">
        <v>1450</v>
      </c>
      <c r="F1107" s="27" t="s">
        <v>1453</v>
      </c>
      <c r="H1107" s="27" t="s">
        <v>1454</v>
      </c>
      <c r="J1107" s="27" t="s">
        <v>18547</v>
      </c>
      <c r="N1107" s="27" t="s">
        <v>1532</v>
      </c>
      <c r="P1107" s="27" t="s">
        <v>4460</v>
      </c>
      <c r="Q1107" s="26" t="str">
        <f>HYPERLINK("https://ictv.global/taxonomy/taxondetails?taxnode_id=202508310&amp;ictv_id=ICTV201908310","ICTV201908310")</f>
        <v>ICTV201908310</v>
      </c>
      <c r="R1107" t="s">
        <v>579</v>
      </c>
      <c r="S1107" t="s">
        <v>22765</v>
      </c>
      <c r="T1107">
        <v>40</v>
      </c>
      <c r="U1107" s="26" t="str">
        <f t="shared" si="34"/>
        <v>2024.045B.Autographivirales.zip</v>
      </c>
    </row>
    <row r="1108" spans="1:21">
      <c r="A1108">
        <v>1107</v>
      </c>
      <c r="B1108" s="27" t="s">
        <v>1449</v>
      </c>
      <c r="D1108" s="27" t="s">
        <v>1450</v>
      </c>
      <c r="F1108" s="27" t="s">
        <v>1453</v>
      </c>
      <c r="H1108" s="27" t="s">
        <v>1454</v>
      </c>
      <c r="J1108" s="27" t="s">
        <v>18547</v>
      </c>
      <c r="N1108" s="27" t="s">
        <v>19222</v>
      </c>
      <c r="P1108" s="27" t="s">
        <v>19223</v>
      </c>
      <c r="Q1108" s="26" t="str">
        <f>HYPERLINK("https://ictv.global/taxonomy/taxondetails?taxnode_id=202521177&amp;ictv_id=ICTV202421177","ICTV202421177")</f>
        <v>ICTV202421177</v>
      </c>
      <c r="R1108" t="s">
        <v>579</v>
      </c>
      <c r="S1108" t="s">
        <v>823</v>
      </c>
      <c r="T1108">
        <v>40</v>
      </c>
      <c r="U1108" s="26" t="str">
        <f t="shared" si="34"/>
        <v>2024.045B.Autographivirales.zip</v>
      </c>
    </row>
    <row r="1109" spans="1:21">
      <c r="A1109">
        <v>1108</v>
      </c>
      <c r="B1109" s="27" t="s">
        <v>1449</v>
      </c>
      <c r="D1109" s="27" t="s">
        <v>1450</v>
      </c>
      <c r="F1109" s="27" t="s">
        <v>1453</v>
      </c>
      <c r="H1109" s="27" t="s">
        <v>1454</v>
      </c>
      <c r="J1109" s="27" t="s">
        <v>18547</v>
      </c>
      <c r="N1109" s="27" t="s">
        <v>19222</v>
      </c>
      <c r="P1109" s="27" t="s">
        <v>19224</v>
      </c>
      <c r="Q1109" s="26" t="str">
        <f>HYPERLINK("https://ictv.global/taxonomy/taxondetails?taxnode_id=202521178&amp;ictv_id=ICTV202421178","ICTV202421178")</f>
        <v>ICTV202421178</v>
      </c>
      <c r="R1109" t="s">
        <v>579</v>
      </c>
      <c r="S1109" t="s">
        <v>823</v>
      </c>
      <c r="T1109">
        <v>40</v>
      </c>
      <c r="U1109" s="26" t="str">
        <f t="shared" si="34"/>
        <v>2024.045B.Autographivirales.zip</v>
      </c>
    </row>
    <row r="1110" spans="1:21">
      <c r="A1110">
        <v>1109</v>
      </c>
      <c r="B1110" s="27" t="s">
        <v>1449</v>
      </c>
      <c r="D1110" s="27" t="s">
        <v>1450</v>
      </c>
      <c r="F1110" s="27" t="s">
        <v>1453</v>
      </c>
      <c r="H1110" s="27" t="s">
        <v>1454</v>
      </c>
      <c r="J1110" s="27" t="s">
        <v>18547</v>
      </c>
      <c r="N1110" s="27" t="s">
        <v>19222</v>
      </c>
      <c r="P1110" s="27" t="s">
        <v>19225</v>
      </c>
      <c r="Q1110" s="26" t="str">
        <f>HYPERLINK("https://ictv.global/taxonomy/taxondetails?taxnode_id=202521179&amp;ictv_id=ICTV202421179","ICTV202421179")</f>
        <v>ICTV202421179</v>
      </c>
      <c r="R1110" t="s">
        <v>579</v>
      </c>
      <c r="S1110" t="s">
        <v>823</v>
      </c>
      <c r="T1110">
        <v>40</v>
      </c>
      <c r="U1110" s="26" t="str">
        <f t="shared" si="34"/>
        <v>2024.045B.Autographivirales.zip</v>
      </c>
    </row>
    <row r="1111" spans="1:21">
      <c r="A1111">
        <v>1110</v>
      </c>
      <c r="B1111" s="27" t="s">
        <v>1449</v>
      </c>
      <c r="D1111" s="27" t="s">
        <v>1450</v>
      </c>
      <c r="F1111" s="27" t="s">
        <v>1453</v>
      </c>
      <c r="H1111" s="27" t="s">
        <v>1454</v>
      </c>
      <c r="J1111" s="27" t="s">
        <v>18547</v>
      </c>
      <c r="N1111" s="27" t="s">
        <v>1534</v>
      </c>
      <c r="P1111" s="27" t="s">
        <v>4463</v>
      </c>
      <c r="Q1111" s="26" t="str">
        <f>HYPERLINK("https://ictv.global/taxonomy/taxondetails?taxnode_id=202508308&amp;ictv_id=ICTV201908308","ICTV201908308")</f>
        <v>ICTV201908308</v>
      </c>
      <c r="R1111" t="s">
        <v>579</v>
      </c>
      <c r="S1111" t="s">
        <v>22765</v>
      </c>
      <c r="T1111">
        <v>40</v>
      </c>
      <c r="U1111" s="26" t="str">
        <f t="shared" si="34"/>
        <v>2024.045B.Autographivirales.zip</v>
      </c>
    </row>
    <row r="1112" spans="1:21">
      <c r="A1112">
        <v>1111</v>
      </c>
      <c r="B1112" s="27" t="s">
        <v>1449</v>
      </c>
      <c r="D1112" s="27" t="s">
        <v>1450</v>
      </c>
      <c r="F1112" s="27" t="s">
        <v>1453</v>
      </c>
      <c r="H1112" s="27" t="s">
        <v>1454</v>
      </c>
      <c r="J1112" s="27" t="s">
        <v>18547</v>
      </c>
      <c r="N1112" s="27" t="s">
        <v>1534</v>
      </c>
      <c r="P1112" s="27" t="s">
        <v>19226</v>
      </c>
      <c r="Q1112" s="26" t="str">
        <f>HYPERLINK("https://ictv.global/taxonomy/taxondetails?taxnode_id=202521191&amp;ictv_id=ICTV202421191","ICTV202421191")</f>
        <v>ICTV202421191</v>
      </c>
      <c r="R1112" t="s">
        <v>579</v>
      </c>
      <c r="S1112" t="s">
        <v>823</v>
      </c>
      <c r="T1112">
        <v>40</v>
      </c>
      <c r="U1112" s="26" t="str">
        <f t="shared" si="34"/>
        <v>2024.045B.Autographivirales.zip</v>
      </c>
    </row>
    <row r="1113" spans="1:21">
      <c r="A1113">
        <v>1112</v>
      </c>
      <c r="B1113" s="27" t="s">
        <v>1449</v>
      </c>
      <c r="D1113" s="27" t="s">
        <v>1450</v>
      </c>
      <c r="F1113" s="27" t="s">
        <v>1453</v>
      </c>
      <c r="H1113" s="27" t="s">
        <v>1454</v>
      </c>
      <c r="J1113" s="27" t="s">
        <v>18547</v>
      </c>
      <c r="N1113" s="27" t="s">
        <v>1535</v>
      </c>
      <c r="P1113" s="27" t="s">
        <v>1536</v>
      </c>
      <c r="Q1113" s="26" t="str">
        <f>HYPERLINK("https://ictv.global/taxonomy/taxondetails?taxnode_id=202508326&amp;ictv_id=ICTV201908326","ICTV201908326")</f>
        <v>ICTV201908326</v>
      </c>
      <c r="R1113" t="s">
        <v>579</v>
      </c>
      <c r="S1113" t="s">
        <v>22765</v>
      </c>
      <c r="T1113">
        <v>40</v>
      </c>
      <c r="U1113" s="26" t="str">
        <f t="shared" si="34"/>
        <v>2024.045B.Autographivirales.zip</v>
      </c>
    </row>
    <row r="1114" spans="1:21">
      <c r="A1114">
        <v>1113</v>
      </c>
      <c r="B1114" s="27" t="s">
        <v>1449</v>
      </c>
      <c r="D1114" s="27" t="s">
        <v>1450</v>
      </c>
      <c r="F1114" s="27" t="s">
        <v>1453</v>
      </c>
      <c r="H1114" s="27" t="s">
        <v>1454</v>
      </c>
      <c r="J1114" s="27" t="s">
        <v>18547</v>
      </c>
      <c r="N1114" s="27" t="s">
        <v>19227</v>
      </c>
      <c r="P1114" s="27" t="s">
        <v>19228</v>
      </c>
      <c r="Q1114" s="26" t="str">
        <f>HYPERLINK("https://ictv.global/taxonomy/taxondetails?taxnode_id=202521195&amp;ictv_id=ICTV202421195","ICTV202421195")</f>
        <v>ICTV202421195</v>
      </c>
      <c r="R1114" t="s">
        <v>579</v>
      </c>
      <c r="S1114" t="s">
        <v>823</v>
      </c>
      <c r="T1114">
        <v>40</v>
      </c>
      <c r="U1114" s="26" t="str">
        <f t="shared" si="34"/>
        <v>2024.045B.Autographivirales.zip</v>
      </c>
    </row>
    <row r="1115" spans="1:21">
      <c r="A1115">
        <v>1114</v>
      </c>
      <c r="B1115" s="27" t="s">
        <v>1449</v>
      </c>
      <c r="D1115" s="27" t="s">
        <v>1450</v>
      </c>
      <c r="F1115" s="27" t="s">
        <v>1453</v>
      </c>
      <c r="H1115" s="27" t="s">
        <v>1454</v>
      </c>
      <c r="J1115" s="27" t="s">
        <v>18547</v>
      </c>
      <c r="N1115" s="27" t="s">
        <v>1537</v>
      </c>
      <c r="P1115" s="27" t="s">
        <v>20749</v>
      </c>
      <c r="Q1115" s="26" t="str">
        <f>HYPERLINK("https://ictv.global/taxonomy/taxondetails?taxnode_id=202521183&amp;ictv_id=ICTV202421183","ICTV202421183")</f>
        <v>ICTV202421183</v>
      </c>
      <c r="R1115" t="s">
        <v>579</v>
      </c>
      <c r="S1115" t="s">
        <v>823</v>
      </c>
      <c r="T1115">
        <v>40</v>
      </c>
      <c r="U1115" s="26" t="str">
        <f>HYPERLINK("https://ictv.global/ictv/proposals/2024.045BX.Autographivirales_Error_Correction.zip","2024.045BX.Autographivirales_Error_Correction.zip")</f>
        <v>2024.045BX.Autographivirales_Error_Correction.zip</v>
      </c>
    </row>
    <row r="1116" spans="1:21">
      <c r="A1116">
        <v>1115</v>
      </c>
      <c r="B1116" s="27" t="s">
        <v>1449</v>
      </c>
      <c r="D1116" s="27" t="s">
        <v>1450</v>
      </c>
      <c r="F1116" s="27" t="s">
        <v>1453</v>
      </c>
      <c r="H1116" s="27" t="s">
        <v>1454</v>
      </c>
      <c r="J1116" s="27" t="s">
        <v>18547</v>
      </c>
      <c r="N1116" s="27" t="s">
        <v>1537</v>
      </c>
      <c r="P1116" s="27" t="s">
        <v>1538</v>
      </c>
      <c r="Q1116" s="26" t="str">
        <f>HYPERLINK("https://ictv.global/taxonomy/taxondetails?taxnode_id=202508253&amp;ictv_id=ICTV201908253","ICTV201908253")</f>
        <v>ICTV201908253</v>
      </c>
      <c r="R1116" t="s">
        <v>579</v>
      </c>
      <c r="S1116" t="s">
        <v>22765</v>
      </c>
      <c r="T1116">
        <v>40</v>
      </c>
      <c r="U1116" s="26" t="str">
        <f t="shared" ref="U1116:U1147" si="35">HYPERLINK("https://ictv.global/ictv/proposals/2024.045B.Autographivirales.zip","2024.045B.Autographivirales.zip")</f>
        <v>2024.045B.Autographivirales.zip</v>
      </c>
    </row>
    <row r="1117" spans="1:21">
      <c r="A1117">
        <v>1116</v>
      </c>
      <c r="B1117" s="27" t="s">
        <v>1449</v>
      </c>
      <c r="D1117" s="27" t="s">
        <v>1450</v>
      </c>
      <c r="F1117" s="27" t="s">
        <v>1453</v>
      </c>
      <c r="H1117" s="27" t="s">
        <v>1454</v>
      </c>
      <c r="J1117" s="27" t="s">
        <v>18547</v>
      </c>
      <c r="N1117" s="27" t="s">
        <v>1539</v>
      </c>
      <c r="P1117" s="27" t="s">
        <v>4464</v>
      </c>
      <c r="Q1117" s="26" t="str">
        <f>HYPERLINK("https://ictv.global/taxonomy/taxondetails?taxnode_id=202508207&amp;ictv_id=ICTV201908207","ICTV201908207")</f>
        <v>ICTV201908207</v>
      </c>
      <c r="R1117" t="s">
        <v>579</v>
      </c>
      <c r="S1117" t="s">
        <v>22765</v>
      </c>
      <c r="T1117">
        <v>40</v>
      </c>
      <c r="U1117" s="26" t="str">
        <f t="shared" si="35"/>
        <v>2024.045B.Autographivirales.zip</v>
      </c>
    </row>
    <row r="1118" spans="1:21">
      <c r="A1118">
        <v>1117</v>
      </c>
      <c r="B1118" s="27" t="s">
        <v>1449</v>
      </c>
      <c r="D1118" s="27" t="s">
        <v>1450</v>
      </c>
      <c r="F1118" s="27" t="s">
        <v>1453</v>
      </c>
      <c r="H1118" s="27" t="s">
        <v>1454</v>
      </c>
      <c r="J1118" s="27" t="s">
        <v>18547</v>
      </c>
      <c r="N1118" s="27" t="s">
        <v>1539</v>
      </c>
      <c r="P1118" s="27" t="s">
        <v>19229</v>
      </c>
      <c r="Q1118" s="26" t="str">
        <f>HYPERLINK("https://ictv.global/taxonomy/taxondetails?taxnode_id=202521129&amp;ictv_id=ICTV202421129","ICTV202421129")</f>
        <v>ICTV202421129</v>
      </c>
      <c r="R1118" t="s">
        <v>579</v>
      </c>
      <c r="S1118" t="s">
        <v>823</v>
      </c>
      <c r="T1118">
        <v>40</v>
      </c>
      <c r="U1118" s="26" t="str">
        <f t="shared" si="35"/>
        <v>2024.045B.Autographivirales.zip</v>
      </c>
    </row>
    <row r="1119" spans="1:21">
      <c r="A1119">
        <v>1118</v>
      </c>
      <c r="B1119" s="27" t="s">
        <v>1449</v>
      </c>
      <c r="D1119" s="27" t="s">
        <v>1450</v>
      </c>
      <c r="F1119" s="27" t="s">
        <v>1453</v>
      </c>
      <c r="H1119" s="27" t="s">
        <v>1454</v>
      </c>
      <c r="J1119" s="27" t="s">
        <v>18547</v>
      </c>
      <c r="N1119" s="27" t="s">
        <v>1539</v>
      </c>
      <c r="P1119" s="27" t="s">
        <v>4465</v>
      </c>
      <c r="Q1119" s="26" t="str">
        <f>HYPERLINK("https://ictv.global/taxonomy/taxondetails?taxnode_id=202508208&amp;ictv_id=ICTV201908208","ICTV201908208")</f>
        <v>ICTV201908208</v>
      </c>
      <c r="R1119" t="s">
        <v>579</v>
      </c>
      <c r="S1119" t="s">
        <v>22765</v>
      </c>
      <c r="T1119">
        <v>40</v>
      </c>
      <c r="U1119" s="26" t="str">
        <f t="shared" si="35"/>
        <v>2024.045B.Autographivirales.zip</v>
      </c>
    </row>
    <row r="1120" spans="1:21">
      <c r="A1120">
        <v>1119</v>
      </c>
      <c r="B1120" s="27" t="s">
        <v>1449</v>
      </c>
      <c r="D1120" s="27" t="s">
        <v>1450</v>
      </c>
      <c r="F1120" s="27" t="s">
        <v>1453</v>
      </c>
      <c r="H1120" s="27" t="s">
        <v>1454</v>
      </c>
      <c r="J1120" s="27" t="s">
        <v>18547</v>
      </c>
      <c r="N1120" s="27" t="s">
        <v>1540</v>
      </c>
      <c r="P1120" s="27" t="s">
        <v>4466</v>
      </c>
      <c r="Q1120" s="26" t="str">
        <f>HYPERLINK("https://ictv.global/taxonomy/taxondetails?taxnode_id=202508216&amp;ictv_id=ICTV201908216","ICTV201908216")</f>
        <v>ICTV201908216</v>
      </c>
      <c r="R1120" t="s">
        <v>579</v>
      </c>
      <c r="S1120" t="s">
        <v>22765</v>
      </c>
      <c r="T1120">
        <v>40</v>
      </c>
      <c r="U1120" s="26" t="str">
        <f t="shared" si="35"/>
        <v>2024.045B.Autographivirales.zip</v>
      </c>
    </row>
    <row r="1121" spans="1:21">
      <c r="A1121">
        <v>1120</v>
      </c>
      <c r="B1121" s="27" t="s">
        <v>1449</v>
      </c>
      <c r="D1121" s="27" t="s">
        <v>1450</v>
      </c>
      <c r="F1121" s="27" t="s">
        <v>1453</v>
      </c>
      <c r="H1121" s="27" t="s">
        <v>1454</v>
      </c>
      <c r="J1121" s="27" t="s">
        <v>18547</v>
      </c>
      <c r="N1121" s="27" t="s">
        <v>1540</v>
      </c>
      <c r="P1121" s="27" t="s">
        <v>19230</v>
      </c>
      <c r="Q1121" s="26" t="str">
        <f>HYPERLINK("https://ictv.global/taxonomy/taxondetails?taxnode_id=202521087&amp;ictv_id=ICTV202421087","ICTV202421087")</f>
        <v>ICTV202421087</v>
      </c>
      <c r="R1121" t="s">
        <v>579</v>
      </c>
      <c r="S1121" t="s">
        <v>823</v>
      </c>
      <c r="T1121">
        <v>40</v>
      </c>
      <c r="U1121" s="26" t="str">
        <f t="shared" si="35"/>
        <v>2024.045B.Autographivirales.zip</v>
      </c>
    </row>
    <row r="1122" spans="1:21">
      <c r="A1122">
        <v>1121</v>
      </c>
      <c r="B1122" s="27" t="s">
        <v>1449</v>
      </c>
      <c r="D1122" s="27" t="s">
        <v>1450</v>
      </c>
      <c r="F1122" s="27" t="s">
        <v>1453</v>
      </c>
      <c r="H1122" s="27" t="s">
        <v>1454</v>
      </c>
      <c r="J1122" s="27" t="s">
        <v>18547</v>
      </c>
      <c r="N1122" s="27" t="s">
        <v>1540</v>
      </c>
      <c r="P1122" s="27" t="s">
        <v>4467</v>
      </c>
      <c r="Q1122" s="26" t="str">
        <f>HYPERLINK("https://ictv.global/taxonomy/taxondetails?taxnode_id=202508217&amp;ictv_id=ICTV201908217","ICTV201908217")</f>
        <v>ICTV201908217</v>
      </c>
      <c r="R1122" t="s">
        <v>579</v>
      </c>
      <c r="S1122" t="s">
        <v>22765</v>
      </c>
      <c r="T1122">
        <v>40</v>
      </c>
      <c r="U1122" s="26" t="str">
        <f t="shared" si="35"/>
        <v>2024.045B.Autographivirales.zip</v>
      </c>
    </row>
    <row r="1123" spans="1:21">
      <c r="A1123">
        <v>1122</v>
      </c>
      <c r="B1123" s="27" t="s">
        <v>1449</v>
      </c>
      <c r="D1123" s="27" t="s">
        <v>1450</v>
      </c>
      <c r="F1123" s="27" t="s">
        <v>1453</v>
      </c>
      <c r="H1123" s="27" t="s">
        <v>1454</v>
      </c>
      <c r="J1123" s="27" t="s">
        <v>18547</v>
      </c>
      <c r="N1123" s="27" t="s">
        <v>19231</v>
      </c>
      <c r="P1123" s="27" t="s">
        <v>19232</v>
      </c>
      <c r="Q1123" s="26" t="str">
        <f>HYPERLINK("https://ictv.global/taxonomy/taxondetails?taxnode_id=202521130&amp;ictv_id=ICTV202421130","ICTV202421130")</f>
        <v>ICTV202421130</v>
      </c>
      <c r="R1123" t="s">
        <v>579</v>
      </c>
      <c r="S1123" t="s">
        <v>823</v>
      </c>
      <c r="T1123">
        <v>40</v>
      </c>
      <c r="U1123" s="26" t="str">
        <f t="shared" si="35"/>
        <v>2024.045B.Autographivirales.zip</v>
      </c>
    </row>
    <row r="1124" spans="1:21">
      <c r="A1124">
        <v>1123</v>
      </c>
      <c r="B1124" s="27" t="s">
        <v>1449</v>
      </c>
      <c r="D1124" s="27" t="s">
        <v>1450</v>
      </c>
      <c r="F1124" s="27" t="s">
        <v>1453</v>
      </c>
      <c r="H1124" s="27" t="s">
        <v>1454</v>
      </c>
      <c r="J1124" s="27" t="s">
        <v>18547</v>
      </c>
      <c r="N1124" s="27" t="s">
        <v>1542</v>
      </c>
      <c r="P1124" s="27" t="s">
        <v>1543</v>
      </c>
      <c r="Q1124" s="26" t="str">
        <f>HYPERLINK("https://ictv.global/taxonomy/taxondetails?taxnode_id=202508296&amp;ictv_id=ICTV201908296","ICTV201908296")</f>
        <v>ICTV201908296</v>
      </c>
      <c r="R1124" t="s">
        <v>579</v>
      </c>
      <c r="S1124" t="s">
        <v>22765</v>
      </c>
      <c r="T1124">
        <v>40</v>
      </c>
      <c r="U1124" s="26" t="str">
        <f t="shared" si="35"/>
        <v>2024.045B.Autographivirales.zip</v>
      </c>
    </row>
    <row r="1125" spans="1:21">
      <c r="A1125">
        <v>1124</v>
      </c>
      <c r="B1125" s="27" t="s">
        <v>1449</v>
      </c>
      <c r="D1125" s="27" t="s">
        <v>1450</v>
      </c>
      <c r="F1125" s="27" t="s">
        <v>1453</v>
      </c>
      <c r="H1125" s="27" t="s">
        <v>1454</v>
      </c>
      <c r="J1125" s="27" t="s">
        <v>18547</v>
      </c>
      <c r="N1125" s="27" t="s">
        <v>19233</v>
      </c>
      <c r="P1125" s="27" t="s">
        <v>19234</v>
      </c>
      <c r="Q1125" s="26" t="str">
        <f>HYPERLINK("https://ictv.global/taxonomy/taxondetails?taxnode_id=202521199&amp;ictv_id=ICTV202421199","ICTV202421199")</f>
        <v>ICTV202421199</v>
      </c>
      <c r="R1125" t="s">
        <v>579</v>
      </c>
      <c r="S1125" t="s">
        <v>823</v>
      </c>
      <c r="T1125">
        <v>40</v>
      </c>
      <c r="U1125" s="26" t="str">
        <f t="shared" si="35"/>
        <v>2024.045B.Autographivirales.zip</v>
      </c>
    </row>
    <row r="1126" spans="1:21">
      <c r="A1126">
        <v>1125</v>
      </c>
      <c r="B1126" s="27" t="s">
        <v>1449</v>
      </c>
      <c r="D1126" s="27" t="s">
        <v>1450</v>
      </c>
      <c r="F1126" s="27" t="s">
        <v>1453</v>
      </c>
      <c r="H1126" s="27" t="s">
        <v>1454</v>
      </c>
      <c r="J1126" s="27" t="s">
        <v>18547</v>
      </c>
      <c r="N1126" s="27" t="s">
        <v>1545</v>
      </c>
      <c r="P1126" s="27" t="s">
        <v>4470</v>
      </c>
      <c r="Q1126" s="26" t="str">
        <f>HYPERLINK("https://ictv.global/taxonomy/taxondetails?taxnode_id=202508304&amp;ictv_id=ICTV201908304","ICTV201908304")</f>
        <v>ICTV201908304</v>
      </c>
      <c r="R1126" t="s">
        <v>579</v>
      </c>
      <c r="S1126" t="s">
        <v>22765</v>
      </c>
      <c r="T1126">
        <v>40</v>
      </c>
      <c r="U1126" s="26" t="str">
        <f t="shared" si="35"/>
        <v>2024.045B.Autographivirales.zip</v>
      </c>
    </row>
    <row r="1127" spans="1:21">
      <c r="A1127">
        <v>1126</v>
      </c>
      <c r="B1127" s="27" t="s">
        <v>1449</v>
      </c>
      <c r="D1127" s="27" t="s">
        <v>1450</v>
      </c>
      <c r="F1127" s="27" t="s">
        <v>1453</v>
      </c>
      <c r="H1127" s="27" t="s">
        <v>1454</v>
      </c>
      <c r="J1127" s="27" t="s">
        <v>18547</v>
      </c>
      <c r="N1127" s="27" t="s">
        <v>1546</v>
      </c>
      <c r="P1127" s="27" t="s">
        <v>4471</v>
      </c>
      <c r="Q1127" s="26" t="str">
        <f>HYPERLINK("https://ictv.global/taxonomy/taxondetails?taxnode_id=202508322&amp;ictv_id=ICTV201908322","ICTV201908322")</f>
        <v>ICTV201908322</v>
      </c>
      <c r="R1127" t="s">
        <v>579</v>
      </c>
      <c r="S1127" t="s">
        <v>22765</v>
      </c>
      <c r="T1127">
        <v>40</v>
      </c>
      <c r="U1127" s="26" t="str">
        <f t="shared" si="35"/>
        <v>2024.045B.Autographivirales.zip</v>
      </c>
    </row>
    <row r="1128" spans="1:21">
      <c r="A1128">
        <v>1127</v>
      </c>
      <c r="B1128" s="27" t="s">
        <v>1449</v>
      </c>
      <c r="D1128" s="27" t="s">
        <v>1450</v>
      </c>
      <c r="F1128" s="27" t="s">
        <v>1453</v>
      </c>
      <c r="H1128" s="27" t="s">
        <v>1454</v>
      </c>
      <c r="J1128" s="27" t="s">
        <v>18547</v>
      </c>
      <c r="N1128" s="27" t="s">
        <v>1550</v>
      </c>
      <c r="P1128" s="27" t="s">
        <v>4475</v>
      </c>
      <c r="Q1128" s="26" t="str">
        <f>HYPERLINK("https://ictv.global/taxonomy/taxondetails?taxnode_id=202508276&amp;ictv_id=ICTV201908276","ICTV201908276")</f>
        <v>ICTV201908276</v>
      </c>
      <c r="R1128" t="s">
        <v>579</v>
      </c>
      <c r="S1128" t="s">
        <v>22765</v>
      </c>
      <c r="T1128">
        <v>40</v>
      </c>
      <c r="U1128" s="26" t="str">
        <f t="shared" si="35"/>
        <v>2024.045B.Autographivirales.zip</v>
      </c>
    </row>
    <row r="1129" spans="1:21">
      <c r="A1129">
        <v>1128</v>
      </c>
      <c r="B1129" s="27" t="s">
        <v>1449</v>
      </c>
      <c r="D1129" s="27" t="s">
        <v>1450</v>
      </c>
      <c r="F1129" s="27" t="s">
        <v>1453</v>
      </c>
      <c r="H1129" s="27" t="s">
        <v>1454</v>
      </c>
      <c r="J1129" s="27" t="s">
        <v>18547</v>
      </c>
      <c r="N1129" s="27" t="s">
        <v>1551</v>
      </c>
      <c r="P1129" s="27" t="s">
        <v>1552</v>
      </c>
      <c r="Q1129" s="26" t="str">
        <f>HYPERLINK("https://ictv.global/taxonomy/taxondetails?taxnode_id=202508292&amp;ictv_id=ICTV201908292","ICTV201908292")</f>
        <v>ICTV201908292</v>
      </c>
      <c r="R1129" t="s">
        <v>579</v>
      </c>
      <c r="S1129" t="s">
        <v>22765</v>
      </c>
      <c r="T1129">
        <v>40</v>
      </c>
      <c r="U1129" s="26" t="str">
        <f t="shared" si="35"/>
        <v>2024.045B.Autographivirales.zip</v>
      </c>
    </row>
    <row r="1130" spans="1:21">
      <c r="A1130">
        <v>1129</v>
      </c>
      <c r="B1130" s="27" t="s">
        <v>1449</v>
      </c>
      <c r="D1130" s="27" t="s">
        <v>1450</v>
      </c>
      <c r="F1130" s="27" t="s">
        <v>1453</v>
      </c>
      <c r="H1130" s="27" t="s">
        <v>1454</v>
      </c>
      <c r="J1130" s="27" t="s">
        <v>18547</v>
      </c>
      <c r="N1130" s="27" t="s">
        <v>19235</v>
      </c>
      <c r="P1130" s="27" t="s">
        <v>19236</v>
      </c>
      <c r="Q1130" s="26" t="str">
        <f>HYPERLINK("https://ictv.global/taxonomy/taxondetails?taxnode_id=202521192&amp;ictv_id=ICTV202421192","ICTV202421192")</f>
        <v>ICTV202421192</v>
      </c>
      <c r="R1130" t="s">
        <v>579</v>
      </c>
      <c r="S1130" t="s">
        <v>823</v>
      </c>
      <c r="T1130">
        <v>40</v>
      </c>
      <c r="U1130" s="26" t="str">
        <f t="shared" si="35"/>
        <v>2024.045B.Autographivirales.zip</v>
      </c>
    </row>
    <row r="1131" spans="1:21">
      <c r="A1131">
        <v>1130</v>
      </c>
      <c r="B1131" s="27" t="s">
        <v>1449</v>
      </c>
      <c r="D1131" s="27" t="s">
        <v>1450</v>
      </c>
      <c r="F1131" s="27" t="s">
        <v>1453</v>
      </c>
      <c r="H1131" s="27" t="s">
        <v>1454</v>
      </c>
      <c r="J1131" s="27" t="s">
        <v>18547</v>
      </c>
      <c r="N1131" s="27" t="s">
        <v>1553</v>
      </c>
      <c r="P1131" s="27" t="s">
        <v>4476</v>
      </c>
      <c r="Q1131" s="26" t="str">
        <f>HYPERLINK("https://ictv.global/taxonomy/taxondetails?taxnode_id=202508238&amp;ictv_id=ICTV201908238","ICTV201908238")</f>
        <v>ICTV201908238</v>
      </c>
      <c r="R1131" t="s">
        <v>579</v>
      </c>
      <c r="S1131" t="s">
        <v>22765</v>
      </c>
      <c r="T1131">
        <v>40</v>
      </c>
      <c r="U1131" s="26" t="str">
        <f t="shared" si="35"/>
        <v>2024.045B.Autographivirales.zip</v>
      </c>
    </row>
    <row r="1132" spans="1:21">
      <c r="A1132">
        <v>1131</v>
      </c>
      <c r="B1132" s="27" t="s">
        <v>1449</v>
      </c>
      <c r="D1132" s="27" t="s">
        <v>1450</v>
      </c>
      <c r="F1132" s="27" t="s">
        <v>1453</v>
      </c>
      <c r="H1132" s="27" t="s">
        <v>1454</v>
      </c>
      <c r="J1132" s="27" t="s">
        <v>18547</v>
      </c>
      <c r="N1132" s="27" t="s">
        <v>1555</v>
      </c>
      <c r="P1132" s="27" t="s">
        <v>4478</v>
      </c>
      <c r="Q1132" s="26" t="str">
        <f>HYPERLINK("https://ictv.global/taxonomy/taxondetails?taxnode_id=202508318&amp;ictv_id=ICTV201908318","ICTV201908318")</f>
        <v>ICTV201908318</v>
      </c>
      <c r="R1132" t="s">
        <v>579</v>
      </c>
      <c r="S1132" t="s">
        <v>22765</v>
      </c>
      <c r="T1132">
        <v>40</v>
      </c>
      <c r="U1132" s="26" t="str">
        <f t="shared" si="35"/>
        <v>2024.045B.Autographivirales.zip</v>
      </c>
    </row>
    <row r="1133" spans="1:21">
      <c r="A1133">
        <v>1132</v>
      </c>
      <c r="B1133" s="27" t="s">
        <v>1449</v>
      </c>
      <c r="D1133" s="27" t="s">
        <v>1450</v>
      </c>
      <c r="F1133" s="27" t="s">
        <v>1453</v>
      </c>
      <c r="H1133" s="27" t="s">
        <v>1454</v>
      </c>
      <c r="J1133" s="27" t="s">
        <v>18547</v>
      </c>
      <c r="N1133" s="27" t="s">
        <v>1556</v>
      </c>
      <c r="P1133" s="27" t="s">
        <v>4479</v>
      </c>
      <c r="Q1133" s="26" t="str">
        <f>HYPERLINK("https://ictv.global/taxonomy/taxondetails?taxnode_id=202508320&amp;ictv_id=ICTV201908320","ICTV201908320")</f>
        <v>ICTV201908320</v>
      </c>
      <c r="R1133" t="s">
        <v>579</v>
      </c>
      <c r="S1133" t="s">
        <v>22765</v>
      </c>
      <c r="T1133">
        <v>40</v>
      </c>
      <c r="U1133" s="26" t="str">
        <f t="shared" si="35"/>
        <v>2024.045B.Autographivirales.zip</v>
      </c>
    </row>
    <row r="1134" spans="1:21">
      <c r="A1134">
        <v>1133</v>
      </c>
      <c r="B1134" s="27" t="s">
        <v>1449</v>
      </c>
      <c r="D1134" s="27" t="s">
        <v>1450</v>
      </c>
      <c r="F1134" s="27" t="s">
        <v>1453</v>
      </c>
      <c r="H1134" s="27" t="s">
        <v>1454</v>
      </c>
      <c r="J1134" s="27" t="s">
        <v>18547</v>
      </c>
      <c r="N1134" s="27" t="s">
        <v>19237</v>
      </c>
      <c r="P1134" s="27" t="s">
        <v>19238</v>
      </c>
      <c r="Q1134" s="26" t="str">
        <f>HYPERLINK("https://ictv.global/taxonomy/taxondetails?taxnode_id=202521171&amp;ictv_id=ICTV202421171","ICTV202421171")</f>
        <v>ICTV202421171</v>
      </c>
      <c r="R1134" t="s">
        <v>579</v>
      </c>
      <c r="S1134" t="s">
        <v>823</v>
      </c>
      <c r="T1134">
        <v>40</v>
      </c>
      <c r="U1134" s="26" t="str">
        <f t="shared" si="35"/>
        <v>2024.045B.Autographivirales.zip</v>
      </c>
    </row>
    <row r="1135" spans="1:21">
      <c r="A1135">
        <v>1134</v>
      </c>
      <c r="B1135" s="27" t="s">
        <v>1449</v>
      </c>
      <c r="D1135" s="27" t="s">
        <v>1450</v>
      </c>
      <c r="F1135" s="27" t="s">
        <v>1453</v>
      </c>
      <c r="H1135" s="27" t="s">
        <v>1454</v>
      </c>
      <c r="J1135" s="27" t="s">
        <v>18547</v>
      </c>
      <c r="N1135" s="27" t="s">
        <v>19239</v>
      </c>
      <c r="P1135" s="27" t="s">
        <v>19240</v>
      </c>
      <c r="Q1135" s="26" t="str">
        <f>HYPERLINK("https://ictv.global/taxonomy/taxondetails?taxnode_id=202521193&amp;ictv_id=ICTV202421193","ICTV202421193")</f>
        <v>ICTV202421193</v>
      </c>
      <c r="R1135" t="s">
        <v>579</v>
      </c>
      <c r="S1135" t="s">
        <v>823</v>
      </c>
      <c r="T1135">
        <v>40</v>
      </c>
      <c r="U1135" s="26" t="str">
        <f t="shared" si="35"/>
        <v>2024.045B.Autographivirales.zip</v>
      </c>
    </row>
    <row r="1136" spans="1:21">
      <c r="A1136">
        <v>1135</v>
      </c>
      <c r="B1136" s="27" t="s">
        <v>1449</v>
      </c>
      <c r="D1136" s="27" t="s">
        <v>1450</v>
      </c>
      <c r="F1136" s="27" t="s">
        <v>1453</v>
      </c>
      <c r="H1136" s="27" t="s">
        <v>1454</v>
      </c>
      <c r="J1136" s="27" t="s">
        <v>18547</v>
      </c>
      <c r="N1136" s="27" t="s">
        <v>19241</v>
      </c>
      <c r="P1136" s="27" t="s">
        <v>19242</v>
      </c>
      <c r="Q1136" s="26" t="str">
        <f>HYPERLINK("https://ictv.global/taxonomy/taxondetails?taxnode_id=202521200&amp;ictv_id=ICTV202421200","ICTV202421200")</f>
        <v>ICTV202421200</v>
      </c>
      <c r="R1136" t="s">
        <v>579</v>
      </c>
      <c r="S1136" t="s">
        <v>823</v>
      </c>
      <c r="T1136">
        <v>40</v>
      </c>
      <c r="U1136" s="26" t="str">
        <f t="shared" si="35"/>
        <v>2024.045B.Autographivirales.zip</v>
      </c>
    </row>
    <row r="1137" spans="1:21">
      <c r="A1137">
        <v>1136</v>
      </c>
      <c r="B1137" s="27" t="s">
        <v>1449</v>
      </c>
      <c r="D1137" s="27" t="s">
        <v>1450</v>
      </c>
      <c r="F1137" s="27" t="s">
        <v>1453</v>
      </c>
      <c r="H1137" s="27" t="s">
        <v>1454</v>
      </c>
      <c r="J1137" s="27" t="s">
        <v>18547</v>
      </c>
      <c r="N1137" s="27" t="s">
        <v>1559</v>
      </c>
      <c r="P1137" s="27" t="s">
        <v>1560</v>
      </c>
      <c r="Q1137" s="26" t="str">
        <f>HYPERLINK("https://ictv.global/taxonomy/taxondetails?taxnode_id=202508288&amp;ictv_id=ICTV201908288","ICTV201908288")</f>
        <v>ICTV201908288</v>
      </c>
      <c r="R1137" t="s">
        <v>579</v>
      </c>
      <c r="S1137" t="s">
        <v>22765</v>
      </c>
      <c r="T1137">
        <v>40</v>
      </c>
      <c r="U1137" s="26" t="str">
        <f t="shared" si="35"/>
        <v>2024.045B.Autographivirales.zip</v>
      </c>
    </row>
    <row r="1138" spans="1:21">
      <c r="A1138">
        <v>1137</v>
      </c>
      <c r="B1138" s="27" t="s">
        <v>1449</v>
      </c>
      <c r="D1138" s="27" t="s">
        <v>1450</v>
      </c>
      <c r="F1138" s="27" t="s">
        <v>1453</v>
      </c>
      <c r="H1138" s="27" t="s">
        <v>1454</v>
      </c>
      <c r="J1138" s="27" t="s">
        <v>18547</v>
      </c>
      <c r="N1138" s="27" t="s">
        <v>19243</v>
      </c>
      <c r="P1138" s="27" t="s">
        <v>19244</v>
      </c>
      <c r="Q1138" s="26" t="str">
        <f>HYPERLINK("https://ictv.global/taxonomy/taxondetails?taxnode_id=202521182&amp;ictv_id=ICTV202421182","ICTV202421182")</f>
        <v>ICTV202421182</v>
      </c>
      <c r="R1138" t="s">
        <v>579</v>
      </c>
      <c r="S1138" t="s">
        <v>823</v>
      </c>
      <c r="T1138">
        <v>40</v>
      </c>
      <c r="U1138" s="26" t="str">
        <f t="shared" si="35"/>
        <v>2024.045B.Autographivirales.zip</v>
      </c>
    </row>
    <row r="1139" spans="1:21">
      <c r="A1139">
        <v>1138</v>
      </c>
      <c r="B1139" s="27" t="s">
        <v>1449</v>
      </c>
      <c r="D1139" s="27" t="s">
        <v>1450</v>
      </c>
      <c r="F1139" s="27" t="s">
        <v>1453</v>
      </c>
      <c r="H1139" s="27" t="s">
        <v>1454</v>
      </c>
      <c r="J1139" s="27" t="s">
        <v>18547</v>
      </c>
      <c r="N1139" s="27" t="s">
        <v>19243</v>
      </c>
      <c r="P1139" s="27" t="s">
        <v>19245</v>
      </c>
      <c r="Q1139" s="26" t="str">
        <f>HYPERLINK("https://ictv.global/taxonomy/taxondetails?taxnode_id=202521181&amp;ictv_id=ICTV202421181","ICTV202421181")</f>
        <v>ICTV202421181</v>
      </c>
      <c r="R1139" t="s">
        <v>579</v>
      </c>
      <c r="S1139" t="s">
        <v>823</v>
      </c>
      <c r="T1139">
        <v>40</v>
      </c>
      <c r="U1139" s="26" t="str">
        <f t="shared" si="35"/>
        <v>2024.045B.Autographivirales.zip</v>
      </c>
    </row>
    <row r="1140" spans="1:21">
      <c r="A1140">
        <v>1139</v>
      </c>
      <c r="B1140" s="27" t="s">
        <v>1449</v>
      </c>
      <c r="D1140" s="27" t="s">
        <v>1450</v>
      </c>
      <c r="F1140" s="27" t="s">
        <v>1453</v>
      </c>
      <c r="H1140" s="27" t="s">
        <v>1454</v>
      </c>
      <c r="J1140" s="27" t="s">
        <v>18547</v>
      </c>
      <c r="N1140" s="27" t="s">
        <v>1561</v>
      </c>
      <c r="P1140" s="27" t="s">
        <v>1562</v>
      </c>
      <c r="Q1140" s="26" t="str">
        <f>HYPERLINK("https://ictv.global/taxonomy/taxondetails?taxnode_id=202508286&amp;ictv_id=ICTV201908286","ICTV201908286")</f>
        <v>ICTV201908286</v>
      </c>
      <c r="R1140" t="s">
        <v>579</v>
      </c>
      <c r="S1140" t="s">
        <v>22765</v>
      </c>
      <c r="T1140">
        <v>40</v>
      </c>
      <c r="U1140" s="26" t="str">
        <f t="shared" si="35"/>
        <v>2024.045B.Autographivirales.zip</v>
      </c>
    </row>
    <row r="1141" spans="1:21">
      <c r="A1141">
        <v>1140</v>
      </c>
      <c r="B1141" s="27" t="s">
        <v>1449</v>
      </c>
      <c r="D1141" s="27" t="s">
        <v>1450</v>
      </c>
      <c r="F1141" s="27" t="s">
        <v>1453</v>
      </c>
      <c r="H1141" s="27" t="s">
        <v>1454</v>
      </c>
      <c r="J1141" s="27" t="s">
        <v>18547</v>
      </c>
      <c r="N1141" s="27" t="s">
        <v>1563</v>
      </c>
      <c r="P1141" s="27" t="s">
        <v>4485</v>
      </c>
      <c r="Q1141" s="26" t="str">
        <f>HYPERLINK("https://ictv.global/taxonomy/taxondetails?taxnode_id=202508257&amp;ictv_id=ICTV201908257","ICTV201908257")</f>
        <v>ICTV201908257</v>
      </c>
      <c r="R1141" t="s">
        <v>579</v>
      </c>
      <c r="S1141" t="s">
        <v>22765</v>
      </c>
      <c r="T1141">
        <v>40</v>
      </c>
      <c r="U1141" s="26" t="str">
        <f t="shared" si="35"/>
        <v>2024.045B.Autographivirales.zip</v>
      </c>
    </row>
    <row r="1142" spans="1:21">
      <c r="A1142">
        <v>1141</v>
      </c>
      <c r="B1142" s="27" t="s">
        <v>1449</v>
      </c>
      <c r="D1142" s="27" t="s">
        <v>1450</v>
      </c>
      <c r="F1142" s="27" t="s">
        <v>1453</v>
      </c>
      <c r="H1142" s="27" t="s">
        <v>1454</v>
      </c>
      <c r="J1142" s="27" t="s">
        <v>18547</v>
      </c>
      <c r="N1142" s="27" t="s">
        <v>1563</v>
      </c>
      <c r="P1142" s="27" t="s">
        <v>19246</v>
      </c>
      <c r="Q1142" s="26" t="str">
        <f>HYPERLINK("https://ictv.global/taxonomy/taxondetails?taxnode_id=202521173&amp;ictv_id=ICTV202421173","ICTV202421173")</f>
        <v>ICTV202421173</v>
      </c>
      <c r="R1142" t="s">
        <v>579</v>
      </c>
      <c r="S1142" t="s">
        <v>823</v>
      </c>
      <c r="T1142">
        <v>40</v>
      </c>
      <c r="U1142" s="26" t="str">
        <f t="shared" si="35"/>
        <v>2024.045B.Autographivirales.zip</v>
      </c>
    </row>
    <row r="1143" spans="1:21">
      <c r="A1143">
        <v>1142</v>
      </c>
      <c r="B1143" s="27" t="s">
        <v>1449</v>
      </c>
      <c r="D1143" s="27" t="s">
        <v>1450</v>
      </c>
      <c r="F1143" s="27" t="s">
        <v>1453</v>
      </c>
      <c r="H1143" s="27" t="s">
        <v>1454</v>
      </c>
      <c r="J1143" s="27" t="s">
        <v>18547</v>
      </c>
      <c r="N1143" s="27" t="s">
        <v>1564</v>
      </c>
      <c r="P1143" s="27" t="s">
        <v>1565</v>
      </c>
      <c r="Q1143" s="26" t="str">
        <f>HYPERLINK("https://ictv.global/taxonomy/taxondetails?taxnode_id=202508302&amp;ictv_id=ICTV201908302","ICTV201908302")</f>
        <v>ICTV201908302</v>
      </c>
      <c r="R1143" t="s">
        <v>579</v>
      </c>
      <c r="S1143" t="s">
        <v>22765</v>
      </c>
      <c r="T1143">
        <v>40</v>
      </c>
      <c r="U1143" s="26" t="str">
        <f t="shared" si="35"/>
        <v>2024.045B.Autographivirales.zip</v>
      </c>
    </row>
    <row r="1144" spans="1:21">
      <c r="A1144">
        <v>1143</v>
      </c>
      <c r="B1144" s="27" t="s">
        <v>1449</v>
      </c>
      <c r="D1144" s="27" t="s">
        <v>1450</v>
      </c>
      <c r="F1144" s="27" t="s">
        <v>1453</v>
      </c>
      <c r="H1144" s="27" t="s">
        <v>1454</v>
      </c>
      <c r="J1144" s="27" t="s">
        <v>18547</v>
      </c>
      <c r="N1144" s="27" t="s">
        <v>1566</v>
      </c>
      <c r="P1144" s="27" t="s">
        <v>4486</v>
      </c>
      <c r="Q1144" s="26" t="str">
        <f>HYPERLINK("https://ictv.global/taxonomy/taxondetails?taxnode_id=202508259&amp;ictv_id=ICTV201908259","ICTV201908259")</f>
        <v>ICTV201908259</v>
      </c>
      <c r="R1144" t="s">
        <v>579</v>
      </c>
      <c r="S1144" t="s">
        <v>22765</v>
      </c>
      <c r="T1144">
        <v>40</v>
      </c>
      <c r="U1144" s="26" t="str">
        <f t="shared" si="35"/>
        <v>2024.045B.Autographivirales.zip</v>
      </c>
    </row>
    <row r="1145" spans="1:21">
      <c r="A1145">
        <v>1144</v>
      </c>
      <c r="B1145" s="27" t="s">
        <v>1449</v>
      </c>
      <c r="D1145" s="27" t="s">
        <v>1450</v>
      </c>
      <c r="F1145" s="27" t="s">
        <v>1453</v>
      </c>
      <c r="H1145" s="27" t="s">
        <v>1454</v>
      </c>
      <c r="J1145" s="27" t="s">
        <v>18547</v>
      </c>
      <c r="N1145" s="27" t="s">
        <v>19247</v>
      </c>
      <c r="P1145" s="27" t="s">
        <v>19248</v>
      </c>
      <c r="Q1145" s="26" t="str">
        <f>HYPERLINK("https://ictv.global/taxonomy/taxondetails?taxnode_id=202521201&amp;ictv_id=ICTV202421201","ICTV202421201")</f>
        <v>ICTV202421201</v>
      </c>
      <c r="R1145" t="s">
        <v>579</v>
      </c>
      <c r="S1145" t="s">
        <v>823</v>
      </c>
      <c r="T1145">
        <v>40</v>
      </c>
      <c r="U1145" s="26" t="str">
        <f t="shared" si="35"/>
        <v>2024.045B.Autographivirales.zip</v>
      </c>
    </row>
    <row r="1146" spans="1:21">
      <c r="A1146">
        <v>1145</v>
      </c>
      <c r="B1146" s="27" t="s">
        <v>1449</v>
      </c>
      <c r="D1146" s="27" t="s">
        <v>1450</v>
      </c>
      <c r="F1146" s="27" t="s">
        <v>1453</v>
      </c>
      <c r="H1146" s="27" t="s">
        <v>1454</v>
      </c>
      <c r="J1146" s="27" t="s">
        <v>18547</v>
      </c>
      <c r="N1146" s="27" t="s">
        <v>1567</v>
      </c>
      <c r="P1146" s="27" t="s">
        <v>1568</v>
      </c>
      <c r="Q1146" s="26" t="str">
        <f>HYPERLINK("https://ictv.global/taxonomy/taxondetails?taxnode_id=202508324&amp;ictv_id=ICTV201908324","ICTV201908324")</f>
        <v>ICTV201908324</v>
      </c>
      <c r="R1146" t="s">
        <v>579</v>
      </c>
      <c r="S1146" t="s">
        <v>22765</v>
      </c>
      <c r="T1146">
        <v>40</v>
      </c>
      <c r="U1146" s="26" t="str">
        <f t="shared" si="35"/>
        <v>2024.045B.Autographivirales.zip</v>
      </c>
    </row>
    <row r="1147" spans="1:21">
      <c r="A1147">
        <v>1146</v>
      </c>
      <c r="B1147" s="27" t="s">
        <v>1449</v>
      </c>
      <c r="D1147" s="27" t="s">
        <v>1450</v>
      </c>
      <c r="F1147" s="27" t="s">
        <v>1453</v>
      </c>
      <c r="H1147" s="27" t="s">
        <v>1454</v>
      </c>
      <c r="J1147" s="27" t="s">
        <v>18547</v>
      </c>
      <c r="N1147" s="27" t="s">
        <v>1569</v>
      </c>
      <c r="P1147" s="27" t="s">
        <v>1570</v>
      </c>
      <c r="Q1147" s="26" t="str">
        <f>HYPERLINK("https://ictv.global/taxonomy/taxondetails?taxnode_id=202508298&amp;ictv_id=ICTV201908298","ICTV201908298")</f>
        <v>ICTV201908298</v>
      </c>
      <c r="R1147" t="s">
        <v>579</v>
      </c>
      <c r="S1147" t="s">
        <v>22765</v>
      </c>
      <c r="T1147">
        <v>40</v>
      </c>
      <c r="U1147" s="26" t="str">
        <f t="shared" si="35"/>
        <v>2024.045B.Autographivirales.zip</v>
      </c>
    </row>
    <row r="1148" spans="1:21">
      <c r="A1148">
        <v>1147</v>
      </c>
      <c r="B1148" s="27" t="s">
        <v>1449</v>
      </c>
      <c r="D1148" s="27" t="s">
        <v>1450</v>
      </c>
      <c r="F1148" s="27" t="s">
        <v>1453</v>
      </c>
      <c r="H1148" s="27" t="s">
        <v>1454</v>
      </c>
      <c r="J1148" s="27" t="s">
        <v>18547</v>
      </c>
      <c r="N1148" s="27" t="s">
        <v>1571</v>
      </c>
      <c r="P1148" s="27" t="s">
        <v>4487</v>
      </c>
      <c r="Q1148" s="26" t="str">
        <f>HYPERLINK("https://ictv.global/taxonomy/taxondetails?taxnode_id=202508232&amp;ictv_id=ICTV201908232","ICTV201908232")</f>
        <v>ICTV201908232</v>
      </c>
      <c r="R1148" t="s">
        <v>579</v>
      </c>
      <c r="S1148" t="s">
        <v>22765</v>
      </c>
      <c r="T1148">
        <v>40</v>
      </c>
      <c r="U1148" s="26" t="str">
        <f t="shared" ref="U1148:U1174" si="36">HYPERLINK("https://ictv.global/ictv/proposals/2024.045B.Autographivirales.zip","2024.045B.Autographivirales.zip")</f>
        <v>2024.045B.Autographivirales.zip</v>
      </c>
    </row>
    <row r="1149" spans="1:21">
      <c r="A1149">
        <v>1148</v>
      </c>
      <c r="B1149" s="27" t="s">
        <v>1449</v>
      </c>
      <c r="D1149" s="27" t="s">
        <v>1450</v>
      </c>
      <c r="F1149" s="27" t="s">
        <v>1453</v>
      </c>
      <c r="H1149" s="27" t="s">
        <v>1454</v>
      </c>
      <c r="J1149" s="27" t="s">
        <v>18547</v>
      </c>
      <c r="N1149" s="27" t="s">
        <v>1571</v>
      </c>
      <c r="P1149" s="27" t="s">
        <v>1572</v>
      </c>
      <c r="Q1149" s="26" t="str">
        <f>HYPERLINK("https://ictv.global/taxonomy/taxondetails?taxnode_id=202508233&amp;ictv_id=ICTV201908233","ICTV201908233")</f>
        <v>ICTV201908233</v>
      </c>
      <c r="R1149" t="s">
        <v>579</v>
      </c>
      <c r="S1149" t="s">
        <v>22765</v>
      </c>
      <c r="T1149">
        <v>40</v>
      </c>
      <c r="U1149" s="26" t="str">
        <f t="shared" si="36"/>
        <v>2024.045B.Autographivirales.zip</v>
      </c>
    </row>
    <row r="1150" spans="1:21">
      <c r="A1150">
        <v>1149</v>
      </c>
      <c r="B1150" s="27" t="s">
        <v>1449</v>
      </c>
      <c r="D1150" s="27" t="s">
        <v>1450</v>
      </c>
      <c r="F1150" s="27" t="s">
        <v>1453</v>
      </c>
      <c r="H1150" s="27" t="s">
        <v>1454</v>
      </c>
      <c r="J1150" s="27" t="s">
        <v>18547</v>
      </c>
      <c r="N1150" s="27" t="s">
        <v>1575</v>
      </c>
      <c r="P1150" s="27" t="s">
        <v>1576</v>
      </c>
      <c r="Q1150" s="26" t="str">
        <f>HYPERLINK("https://ictv.global/taxonomy/taxondetails?taxnode_id=202508300&amp;ictv_id=ICTV201908300","ICTV201908300")</f>
        <v>ICTV201908300</v>
      </c>
      <c r="R1150" t="s">
        <v>579</v>
      </c>
      <c r="S1150" t="s">
        <v>22765</v>
      </c>
      <c r="T1150">
        <v>40</v>
      </c>
      <c r="U1150" s="26" t="str">
        <f t="shared" si="36"/>
        <v>2024.045B.Autographivirales.zip</v>
      </c>
    </row>
    <row r="1151" spans="1:21">
      <c r="A1151">
        <v>1150</v>
      </c>
      <c r="B1151" s="27" t="s">
        <v>1449</v>
      </c>
      <c r="D1151" s="27" t="s">
        <v>1450</v>
      </c>
      <c r="F1151" s="27" t="s">
        <v>1453</v>
      </c>
      <c r="H1151" s="27" t="s">
        <v>1454</v>
      </c>
      <c r="J1151" s="27" t="s">
        <v>18547</v>
      </c>
      <c r="N1151" s="27" t="s">
        <v>1578</v>
      </c>
      <c r="P1151" s="27" t="s">
        <v>1579</v>
      </c>
      <c r="Q1151" s="26" t="str">
        <f>HYPERLINK("https://ictv.global/taxonomy/taxondetails?taxnode_id=202508272&amp;ictv_id=ICTV201908272","ICTV201908272")</f>
        <v>ICTV201908272</v>
      </c>
      <c r="R1151" t="s">
        <v>579</v>
      </c>
      <c r="S1151" t="s">
        <v>22765</v>
      </c>
      <c r="T1151">
        <v>40</v>
      </c>
      <c r="U1151" s="26" t="str">
        <f t="shared" si="36"/>
        <v>2024.045B.Autographivirales.zip</v>
      </c>
    </row>
    <row r="1152" spans="1:21">
      <c r="A1152">
        <v>1151</v>
      </c>
      <c r="B1152" s="27" t="s">
        <v>1449</v>
      </c>
      <c r="D1152" s="27" t="s">
        <v>1450</v>
      </c>
      <c r="F1152" s="27" t="s">
        <v>1453</v>
      </c>
      <c r="H1152" s="27" t="s">
        <v>1454</v>
      </c>
      <c r="J1152" s="27" t="s">
        <v>18547</v>
      </c>
      <c r="N1152" s="27" t="s">
        <v>19249</v>
      </c>
      <c r="P1152" s="27" t="s">
        <v>19250</v>
      </c>
      <c r="Q1152" s="26" t="str">
        <f>HYPERLINK("https://ictv.global/taxonomy/taxondetails?taxnode_id=202521197&amp;ictv_id=ICTV202421197","ICTV202421197")</f>
        <v>ICTV202421197</v>
      </c>
      <c r="R1152" t="s">
        <v>579</v>
      </c>
      <c r="S1152" t="s">
        <v>823</v>
      </c>
      <c r="T1152">
        <v>40</v>
      </c>
      <c r="U1152" s="26" t="str">
        <f t="shared" si="36"/>
        <v>2024.045B.Autographivirales.zip</v>
      </c>
    </row>
    <row r="1153" spans="1:21">
      <c r="A1153">
        <v>1152</v>
      </c>
      <c r="B1153" s="27" t="s">
        <v>1449</v>
      </c>
      <c r="D1153" s="27" t="s">
        <v>1450</v>
      </c>
      <c r="F1153" s="27" t="s">
        <v>1453</v>
      </c>
      <c r="H1153" s="27" t="s">
        <v>1454</v>
      </c>
      <c r="J1153" s="27" t="s">
        <v>18547</v>
      </c>
      <c r="N1153" s="27" t="s">
        <v>19251</v>
      </c>
      <c r="P1153" s="27" t="s">
        <v>19252</v>
      </c>
      <c r="Q1153" s="26" t="str">
        <f>HYPERLINK("https://ictv.global/taxonomy/taxondetails?taxnode_id=202521131&amp;ictv_id=ICTV202421131","ICTV202421131")</f>
        <v>ICTV202421131</v>
      </c>
      <c r="R1153" t="s">
        <v>579</v>
      </c>
      <c r="S1153" t="s">
        <v>823</v>
      </c>
      <c r="T1153">
        <v>40</v>
      </c>
      <c r="U1153" s="26" t="str">
        <f t="shared" si="36"/>
        <v>2024.045B.Autographivirales.zip</v>
      </c>
    </row>
    <row r="1154" spans="1:21">
      <c r="A1154">
        <v>1153</v>
      </c>
      <c r="B1154" s="27" t="s">
        <v>1449</v>
      </c>
      <c r="D1154" s="27" t="s">
        <v>1450</v>
      </c>
      <c r="F1154" s="27" t="s">
        <v>1453</v>
      </c>
      <c r="H1154" s="27" t="s">
        <v>1454</v>
      </c>
      <c r="J1154" s="27" t="s">
        <v>18547</v>
      </c>
      <c r="N1154" s="27" t="s">
        <v>19251</v>
      </c>
      <c r="P1154" s="27" t="s">
        <v>19253</v>
      </c>
      <c r="Q1154" s="26" t="str">
        <f>HYPERLINK("https://ictv.global/taxonomy/taxondetails?taxnode_id=202521133&amp;ictv_id=ICTV202421133","ICTV202421133")</f>
        <v>ICTV202421133</v>
      </c>
      <c r="R1154" t="s">
        <v>579</v>
      </c>
      <c r="S1154" t="s">
        <v>823</v>
      </c>
      <c r="T1154">
        <v>40</v>
      </c>
      <c r="U1154" s="26" t="str">
        <f t="shared" si="36"/>
        <v>2024.045B.Autographivirales.zip</v>
      </c>
    </row>
    <row r="1155" spans="1:21">
      <c r="A1155">
        <v>1154</v>
      </c>
      <c r="B1155" s="27" t="s">
        <v>1449</v>
      </c>
      <c r="D1155" s="27" t="s">
        <v>1450</v>
      </c>
      <c r="F1155" s="27" t="s">
        <v>1453</v>
      </c>
      <c r="H1155" s="27" t="s">
        <v>1454</v>
      </c>
      <c r="J1155" s="27" t="s">
        <v>18547</v>
      </c>
      <c r="N1155" s="27" t="s">
        <v>19251</v>
      </c>
      <c r="P1155" s="27" t="s">
        <v>19254</v>
      </c>
      <c r="Q1155" s="26" t="str">
        <f>HYPERLINK("https://ictv.global/taxonomy/taxondetails?taxnode_id=202521132&amp;ictv_id=ICTV202421132","ICTV202421132")</f>
        <v>ICTV202421132</v>
      </c>
      <c r="R1155" t="s">
        <v>579</v>
      </c>
      <c r="S1155" t="s">
        <v>823</v>
      </c>
      <c r="T1155">
        <v>40</v>
      </c>
      <c r="U1155" s="26" t="str">
        <f t="shared" si="36"/>
        <v>2024.045B.Autographivirales.zip</v>
      </c>
    </row>
    <row r="1156" spans="1:21">
      <c r="A1156">
        <v>1155</v>
      </c>
      <c r="B1156" s="27" t="s">
        <v>1449</v>
      </c>
      <c r="D1156" s="27" t="s">
        <v>1450</v>
      </c>
      <c r="F1156" s="27" t="s">
        <v>1453</v>
      </c>
      <c r="H1156" s="27" t="s">
        <v>1454</v>
      </c>
      <c r="J1156" s="27" t="s">
        <v>18547</v>
      </c>
      <c r="N1156" s="27" t="s">
        <v>1582</v>
      </c>
      <c r="P1156" s="27" t="s">
        <v>4499</v>
      </c>
      <c r="Q1156" s="26" t="str">
        <f>HYPERLINK("https://ictv.global/taxonomy/taxondetails?taxnode_id=202508219&amp;ictv_id=ICTV201908219","ICTV201908219")</f>
        <v>ICTV201908219</v>
      </c>
      <c r="R1156" t="s">
        <v>579</v>
      </c>
      <c r="S1156" t="s">
        <v>22765</v>
      </c>
      <c r="T1156">
        <v>40</v>
      </c>
      <c r="U1156" s="26" t="str">
        <f t="shared" si="36"/>
        <v>2024.045B.Autographivirales.zip</v>
      </c>
    </row>
    <row r="1157" spans="1:21">
      <c r="A1157">
        <v>1156</v>
      </c>
      <c r="B1157" s="27" t="s">
        <v>1449</v>
      </c>
      <c r="D1157" s="27" t="s">
        <v>1450</v>
      </c>
      <c r="F1157" s="27" t="s">
        <v>1453</v>
      </c>
      <c r="H1157" s="27" t="s">
        <v>1454</v>
      </c>
      <c r="J1157" s="27" t="s">
        <v>18547</v>
      </c>
      <c r="N1157" s="27" t="s">
        <v>19255</v>
      </c>
      <c r="P1157" s="27" t="s">
        <v>19256</v>
      </c>
      <c r="Q1157" s="26" t="str">
        <f>HYPERLINK("https://ictv.global/taxonomy/taxondetails?taxnode_id=202521175&amp;ictv_id=ICTV202421175","ICTV202421175")</f>
        <v>ICTV202421175</v>
      </c>
      <c r="R1157" t="s">
        <v>579</v>
      </c>
      <c r="S1157" t="s">
        <v>823</v>
      </c>
      <c r="T1157">
        <v>40</v>
      </c>
      <c r="U1157" s="26" t="str">
        <f t="shared" si="36"/>
        <v>2024.045B.Autographivirales.zip</v>
      </c>
    </row>
    <row r="1158" spans="1:21">
      <c r="A1158">
        <v>1157</v>
      </c>
      <c r="B1158" s="27" t="s">
        <v>1449</v>
      </c>
      <c r="D1158" s="27" t="s">
        <v>1450</v>
      </c>
      <c r="F1158" s="27" t="s">
        <v>1453</v>
      </c>
      <c r="H1158" s="27" t="s">
        <v>1454</v>
      </c>
      <c r="J1158" s="27" t="s">
        <v>18547</v>
      </c>
      <c r="N1158" s="27" t="s">
        <v>19255</v>
      </c>
      <c r="P1158" s="27" t="s">
        <v>19257</v>
      </c>
      <c r="Q1158" s="26" t="str">
        <f>HYPERLINK("https://ictv.global/taxonomy/taxondetails?taxnode_id=202521176&amp;ictv_id=ICTV202421176","ICTV202421176")</f>
        <v>ICTV202421176</v>
      </c>
      <c r="R1158" t="s">
        <v>579</v>
      </c>
      <c r="S1158" t="s">
        <v>823</v>
      </c>
      <c r="T1158">
        <v>40</v>
      </c>
      <c r="U1158" s="26" t="str">
        <f t="shared" si="36"/>
        <v>2024.045B.Autographivirales.zip</v>
      </c>
    </row>
    <row r="1159" spans="1:21">
      <c r="A1159">
        <v>1158</v>
      </c>
      <c r="B1159" s="27" t="s">
        <v>1449</v>
      </c>
      <c r="D1159" s="27" t="s">
        <v>1450</v>
      </c>
      <c r="F1159" s="27" t="s">
        <v>1453</v>
      </c>
      <c r="H1159" s="27" t="s">
        <v>1454</v>
      </c>
      <c r="J1159" s="27" t="s">
        <v>18547</v>
      </c>
      <c r="N1159" s="27" t="s">
        <v>1584</v>
      </c>
      <c r="P1159" s="27" t="s">
        <v>1585</v>
      </c>
      <c r="Q1159" s="26" t="str">
        <f>HYPERLINK("https://ictv.global/taxonomy/taxondetails?taxnode_id=202508328&amp;ictv_id=ICTV201908328","ICTV201908328")</f>
        <v>ICTV201908328</v>
      </c>
      <c r="R1159" t="s">
        <v>579</v>
      </c>
      <c r="S1159" t="s">
        <v>22765</v>
      </c>
      <c r="T1159">
        <v>40</v>
      </c>
      <c r="U1159" s="26" t="str">
        <f t="shared" si="36"/>
        <v>2024.045B.Autographivirales.zip</v>
      </c>
    </row>
    <row r="1160" spans="1:21">
      <c r="A1160">
        <v>1159</v>
      </c>
      <c r="B1160" s="27" t="s">
        <v>1449</v>
      </c>
      <c r="D1160" s="27" t="s">
        <v>1450</v>
      </c>
      <c r="F1160" s="27" t="s">
        <v>1453</v>
      </c>
      <c r="H1160" s="27" t="s">
        <v>1454</v>
      </c>
      <c r="J1160" s="27" t="s">
        <v>18547</v>
      </c>
      <c r="N1160" s="27" t="s">
        <v>1587</v>
      </c>
      <c r="P1160" s="27" t="s">
        <v>1588</v>
      </c>
      <c r="Q1160" s="26" t="str">
        <f>HYPERLINK("https://ictv.global/taxonomy/taxondetails?taxnode_id=202508290&amp;ictv_id=ICTV201908290","ICTV201908290")</f>
        <v>ICTV201908290</v>
      </c>
      <c r="R1160" t="s">
        <v>579</v>
      </c>
      <c r="S1160" t="s">
        <v>22765</v>
      </c>
      <c r="T1160">
        <v>40</v>
      </c>
      <c r="U1160" s="26" t="str">
        <f t="shared" si="36"/>
        <v>2024.045B.Autographivirales.zip</v>
      </c>
    </row>
    <row r="1161" spans="1:21">
      <c r="A1161">
        <v>1160</v>
      </c>
      <c r="B1161" s="27" t="s">
        <v>1449</v>
      </c>
      <c r="D1161" s="27" t="s">
        <v>1450</v>
      </c>
      <c r="F1161" s="27" t="s">
        <v>1453</v>
      </c>
      <c r="H1161" s="27" t="s">
        <v>1454</v>
      </c>
      <c r="J1161" s="27" t="s">
        <v>18547</v>
      </c>
      <c r="N1161" s="27" t="s">
        <v>1589</v>
      </c>
      <c r="P1161" s="27" t="s">
        <v>4502</v>
      </c>
      <c r="Q1161" s="26" t="str">
        <f>HYPERLINK("https://ictv.global/taxonomy/taxondetails?taxnode_id=202508251&amp;ictv_id=ICTV201908251","ICTV201908251")</f>
        <v>ICTV201908251</v>
      </c>
      <c r="R1161" t="s">
        <v>579</v>
      </c>
      <c r="S1161" t="s">
        <v>22765</v>
      </c>
      <c r="T1161">
        <v>40</v>
      </c>
      <c r="U1161" s="26" t="str">
        <f t="shared" si="36"/>
        <v>2024.045B.Autographivirales.zip</v>
      </c>
    </row>
    <row r="1162" spans="1:21">
      <c r="A1162">
        <v>1161</v>
      </c>
      <c r="B1162" s="27" t="s">
        <v>1449</v>
      </c>
      <c r="D1162" s="27" t="s">
        <v>1450</v>
      </c>
      <c r="F1162" s="27" t="s">
        <v>1453</v>
      </c>
      <c r="H1162" s="27" t="s">
        <v>1454</v>
      </c>
      <c r="J1162" s="27" t="s">
        <v>18547</v>
      </c>
      <c r="N1162" s="27" t="s">
        <v>1590</v>
      </c>
      <c r="P1162" s="27" t="s">
        <v>1591</v>
      </c>
      <c r="Q1162" s="26" t="str">
        <f>HYPERLINK("https://ictv.global/taxonomy/taxondetails?taxnode_id=202508255&amp;ictv_id=ICTV201908255","ICTV201908255")</f>
        <v>ICTV201908255</v>
      </c>
      <c r="R1162" t="s">
        <v>579</v>
      </c>
      <c r="S1162" t="s">
        <v>22765</v>
      </c>
      <c r="T1162">
        <v>40</v>
      </c>
      <c r="U1162" s="26" t="str">
        <f t="shared" si="36"/>
        <v>2024.045B.Autographivirales.zip</v>
      </c>
    </row>
    <row r="1163" spans="1:21">
      <c r="A1163">
        <v>1162</v>
      </c>
      <c r="B1163" s="27" t="s">
        <v>1449</v>
      </c>
      <c r="D1163" s="27" t="s">
        <v>1450</v>
      </c>
      <c r="F1163" s="27" t="s">
        <v>1453</v>
      </c>
      <c r="H1163" s="27" t="s">
        <v>1454</v>
      </c>
      <c r="J1163" s="27" t="s">
        <v>18547</v>
      </c>
      <c r="N1163" s="27" t="s">
        <v>19258</v>
      </c>
      <c r="P1163" s="27" t="s">
        <v>19259</v>
      </c>
      <c r="Q1163" s="26" t="str">
        <f>HYPERLINK("https://ictv.global/taxonomy/taxondetails?taxnode_id=202521198&amp;ictv_id=ICTV202421198","ICTV202421198")</f>
        <v>ICTV202421198</v>
      </c>
      <c r="R1163" t="s">
        <v>579</v>
      </c>
      <c r="S1163" t="s">
        <v>823</v>
      </c>
      <c r="T1163">
        <v>40</v>
      </c>
      <c r="U1163" s="26" t="str">
        <f t="shared" si="36"/>
        <v>2024.045B.Autographivirales.zip</v>
      </c>
    </row>
    <row r="1164" spans="1:21">
      <c r="A1164">
        <v>1163</v>
      </c>
      <c r="B1164" s="27" t="s">
        <v>1449</v>
      </c>
      <c r="D1164" s="27" t="s">
        <v>1450</v>
      </c>
      <c r="F1164" s="27" t="s">
        <v>1453</v>
      </c>
      <c r="H1164" s="27" t="s">
        <v>1454</v>
      </c>
      <c r="J1164" s="27" t="s">
        <v>18547</v>
      </c>
      <c r="N1164" s="27" t="s">
        <v>1593</v>
      </c>
      <c r="P1164" s="27" t="s">
        <v>4506</v>
      </c>
      <c r="Q1164" s="26" t="str">
        <f>HYPERLINK("https://ictv.global/taxonomy/taxondetails?taxnode_id=202508306&amp;ictv_id=ICTV201908306","ICTV201908306")</f>
        <v>ICTV201908306</v>
      </c>
      <c r="R1164" t="s">
        <v>579</v>
      </c>
      <c r="S1164" t="s">
        <v>22765</v>
      </c>
      <c r="T1164">
        <v>40</v>
      </c>
      <c r="U1164" s="26" t="str">
        <f t="shared" si="36"/>
        <v>2024.045B.Autographivirales.zip</v>
      </c>
    </row>
    <row r="1165" spans="1:21">
      <c r="A1165">
        <v>1164</v>
      </c>
      <c r="B1165" s="27" t="s">
        <v>1449</v>
      </c>
      <c r="D1165" s="27" t="s">
        <v>1450</v>
      </c>
      <c r="F1165" s="27" t="s">
        <v>1453</v>
      </c>
      <c r="H1165" s="27" t="s">
        <v>1454</v>
      </c>
      <c r="J1165" s="27" t="s">
        <v>18547</v>
      </c>
      <c r="N1165" s="27" t="s">
        <v>19260</v>
      </c>
      <c r="P1165" s="27" t="s">
        <v>19261</v>
      </c>
      <c r="Q1165" s="26" t="str">
        <f>HYPERLINK("https://ictv.global/taxonomy/taxondetails?taxnode_id=202521184&amp;ictv_id=ICTV202421184","ICTV202421184")</f>
        <v>ICTV202421184</v>
      </c>
      <c r="R1165" t="s">
        <v>579</v>
      </c>
      <c r="S1165" t="s">
        <v>823</v>
      </c>
      <c r="T1165">
        <v>40</v>
      </c>
      <c r="U1165" s="26" t="str">
        <f t="shared" si="36"/>
        <v>2024.045B.Autographivirales.zip</v>
      </c>
    </row>
    <row r="1166" spans="1:21">
      <c r="A1166">
        <v>1165</v>
      </c>
      <c r="B1166" s="27" t="s">
        <v>1449</v>
      </c>
      <c r="D1166" s="27" t="s">
        <v>1450</v>
      </c>
      <c r="F1166" s="27" t="s">
        <v>1453</v>
      </c>
      <c r="H1166" s="27" t="s">
        <v>1454</v>
      </c>
      <c r="J1166" s="27" t="s">
        <v>18547</v>
      </c>
      <c r="N1166" s="27" t="s">
        <v>1595</v>
      </c>
      <c r="P1166" s="27" t="s">
        <v>4508</v>
      </c>
      <c r="Q1166" s="26" t="str">
        <f>HYPERLINK("https://ictv.global/taxonomy/taxondetails?taxnode_id=202500588&amp;ictv_id=ICTV20094402","ICTV20094402")</f>
        <v>ICTV20094402</v>
      </c>
      <c r="R1166" t="s">
        <v>579</v>
      </c>
      <c r="S1166" t="s">
        <v>22765</v>
      </c>
      <c r="T1166">
        <v>40</v>
      </c>
      <c r="U1166" s="26" t="str">
        <f t="shared" si="36"/>
        <v>2024.045B.Autographivirales.zip</v>
      </c>
    </row>
    <row r="1167" spans="1:21">
      <c r="A1167">
        <v>1166</v>
      </c>
      <c r="B1167" s="27" t="s">
        <v>1449</v>
      </c>
      <c r="D1167" s="27" t="s">
        <v>1450</v>
      </c>
      <c r="F1167" s="27" t="s">
        <v>1453</v>
      </c>
      <c r="H1167" s="27" t="s">
        <v>1454</v>
      </c>
      <c r="J1167" s="27" t="s">
        <v>18547</v>
      </c>
      <c r="N1167" s="27" t="s">
        <v>19262</v>
      </c>
      <c r="P1167" s="27" t="s">
        <v>19263</v>
      </c>
      <c r="Q1167" s="26" t="str">
        <f>HYPERLINK("https://ictv.global/taxonomy/taxondetails?taxnode_id=202521194&amp;ictv_id=ICTV202421194","ICTV202421194")</f>
        <v>ICTV202421194</v>
      </c>
      <c r="R1167" t="s">
        <v>579</v>
      </c>
      <c r="S1167" t="s">
        <v>823</v>
      </c>
      <c r="T1167">
        <v>40</v>
      </c>
      <c r="U1167" s="26" t="str">
        <f t="shared" si="36"/>
        <v>2024.045B.Autographivirales.zip</v>
      </c>
    </row>
    <row r="1168" spans="1:21">
      <c r="A1168">
        <v>1167</v>
      </c>
      <c r="B1168" s="27" t="s">
        <v>1449</v>
      </c>
      <c r="D1168" s="27" t="s">
        <v>1450</v>
      </c>
      <c r="F1168" s="27" t="s">
        <v>1453</v>
      </c>
      <c r="H1168" s="27" t="s">
        <v>1454</v>
      </c>
      <c r="J1168" s="27" t="s">
        <v>18547</v>
      </c>
      <c r="N1168" s="27" t="s">
        <v>19264</v>
      </c>
      <c r="P1168" s="27" t="s">
        <v>19265</v>
      </c>
      <c r="Q1168" s="26" t="str">
        <f>HYPERLINK("https://ictv.global/taxonomy/taxondetails?taxnode_id=202521127&amp;ictv_id=ICTV202421127","ICTV202421127")</f>
        <v>ICTV202421127</v>
      </c>
      <c r="R1168" t="s">
        <v>579</v>
      </c>
      <c r="S1168" t="s">
        <v>823</v>
      </c>
      <c r="T1168">
        <v>40</v>
      </c>
      <c r="U1168" s="26" t="str">
        <f t="shared" si="36"/>
        <v>2024.045B.Autographivirales.zip</v>
      </c>
    </row>
    <row r="1169" spans="1:21">
      <c r="A1169">
        <v>1168</v>
      </c>
      <c r="B1169" s="27" t="s">
        <v>1449</v>
      </c>
      <c r="D1169" s="27" t="s">
        <v>1450</v>
      </c>
      <c r="F1169" s="27" t="s">
        <v>1453</v>
      </c>
      <c r="H1169" s="27" t="s">
        <v>1454</v>
      </c>
      <c r="J1169" s="27" t="s">
        <v>18547</v>
      </c>
      <c r="N1169" s="27" t="s">
        <v>19266</v>
      </c>
      <c r="P1169" s="27" t="s">
        <v>19267</v>
      </c>
      <c r="Q1169" s="26" t="str">
        <f>HYPERLINK("https://ictv.global/taxonomy/taxondetails?taxnode_id=202521174&amp;ictv_id=ICTV202421174","ICTV202421174")</f>
        <v>ICTV202421174</v>
      </c>
      <c r="R1169" t="s">
        <v>579</v>
      </c>
      <c r="S1169" t="s">
        <v>823</v>
      </c>
      <c r="T1169">
        <v>40</v>
      </c>
      <c r="U1169" s="26" t="str">
        <f t="shared" si="36"/>
        <v>2024.045B.Autographivirales.zip</v>
      </c>
    </row>
    <row r="1170" spans="1:21">
      <c r="A1170">
        <v>1169</v>
      </c>
      <c r="B1170" s="27" t="s">
        <v>1449</v>
      </c>
      <c r="D1170" s="27" t="s">
        <v>1450</v>
      </c>
      <c r="F1170" s="27" t="s">
        <v>1453</v>
      </c>
      <c r="H1170" s="27" t="s">
        <v>1454</v>
      </c>
      <c r="J1170" s="27" t="s">
        <v>18547</v>
      </c>
      <c r="N1170" s="27" t="s">
        <v>19268</v>
      </c>
      <c r="P1170" s="27" t="s">
        <v>19269</v>
      </c>
      <c r="Q1170" s="26" t="str">
        <f>HYPERLINK("https://ictv.global/taxonomy/taxondetails?taxnode_id=202521088&amp;ictv_id=ICTV202421088","ICTV202421088")</f>
        <v>ICTV202421088</v>
      </c>
      <c r="R1170" t="s">
        <v>579</v>
      </c>
      <c r="S1170" t="s">
        <v>823</v>
      </c>
      <c r="T1170">
        <v>40</v>
      </c>
      <c r="U1170" s="26" t="str">
        <f t="shared" si="36"/>
        <v>2024.045B.Autographivirales.zip</v>
      </c>
    </row>
    <row r="1171" spans="1:21">
      <c r="A1171">
        <v>1170</v>
      </c>
      <c r="B1171" s="27" t="s">
        <v>1449</v>
      </c>
      <c r="D1171" s="27" t="s">
        <v>1450</v>
      </c>
      <c r="F1171" s="27" t="s">
        <v>1453</v>
      </c>
      <c r="H1171" s="27" t="s">
        <v>1454</v>
      </c>
      <c r="J1171" s="27" t="s">
        <v>18547</v>
      </c>
      <c r="N1171" s="27" t="s">
        <v>1597</v>
      </c>
      <c r="P1171" s="27" t="s">
        <v>4511</v>
      </c>
      <c r="Q1171" s="26" t="str">
        <f>HYPERLINK("https://ictv.global/taxonomy/taxondetails?taxnode_id=202500589&amp;ictv_id=ICTV20094403","ICTV20094403")</f>
        <v>ICTV20094403</v>
      </c>
      <c r="R1171" t="s">
        <v>579</v>
      </c>
      <c r="S1171" t="s">
        <v>22765</v>
      </c>
      <c r="T1171">
        <v>40</v>
      </c>
      <c r="U1171" s="26" t="str">
        <f t="shared" si="36"/>
        <v>2024.045B.Autographivirales.zip</v>
      </c>
    </row>
    <row r="1172" spans="1:21">
      <c r="A1172">
        <v>1171</v>
      </c>
      <c r="B1172" s="27" t="s">
        <v>1449</v>
      </c>
      <c r="D1172" s="27" t="s">
        <v>1450</v>
      </c>
      <c r="F1172" s="27" t="s">
        <v>1453</v>
      </c>
      <c r="H1172" s="27" t="s">
        <v>1454</v>
      </c>
      <c r="J1172" s="27" t="s">
        <v>18547</v>
      </c>
      <c r="N1172" s="27" t="s">
        <v>1598</v>
      </c>
      <c r="P1172" s="27" t="s">
        <v>1599</v>
      </c>
      <c r="Q1172" s="26" t="str">
        <f>HYPERLINK("https://ictv.global/taxonomy/taxondetails?taxnode_id=202508282&amp;ictv_id=ICTV201908282","ICTV201908282")</f>
        <v>ICTV201908282</v>
      </c>
      <c r="R1172" t="s">
        <v>579</v>
      </c>
      <c r="S1172" t="s">
        <v>22765</v>
      </c>
      <c r="T1172">
        <v>40</v>
      </c>
      <c r="U1172" s="26" t="str">
        <f t="shared" si="36"/>
        <v>2024.045B.Autographivirales.zip</v>
      </c>
    </row>
    <row r="1173" spans="1:21">
      <c r="A1173">
        <v>1172</v>
      </c>
      <c r="B1173" s="27" t="s">
        <v>1449</v>
      </c>
      <c r="D1173" s="27" t="s">
        <v>1450</v>
      </c>
      <c r="F1173" s="27" t="s">
        <v>1453</v>
      </c>
      <c r="H1173" s="27" t="s">
        <v>1454</v>
      </c>
      <c r="J1173" s="27" t="s">
        <v>18547</v>
      </c>
      <c r="N1173" s="27" t="s">
        <v>19270</v>
      </c>
      <c r="P1173" s="27" t="s">
        <v>19271</v>
      </c>
      <c r="Q1173" s="26" t="str">
        <f>HYPERLINK("https://ictv.global/taxonomy/taxondetails?taxnode_id=202521128&amp;ictv_id=ICTV202421128","ICTV202421128")</f>
        <v>ICTV202421128</v>
      </c>
      <c r="R1173" t="s">
        <v>579</v>
      </c>
      <c r="S1173" t="s">
        <v>823</v>
      </c>
      <c r="T1173">
        <v>40</v>
      </c>
      <c r="U1173" s="26" t="str">
        <f t="shared" si="36"/>
        <v>2024.045B.Autographivirales.zip</v>
      </c>
    </row>
    <row r="1174" spans="1:21">
      <c r="A1174">
        <v>1173</v>
      </c>
      <c r="B1174" s="27" t="s">
        <v>1449</v>
      </c>
      <c r="D1174" s="27" t="s">
        <v>1450</v>
      </c>
      <c r="F1174" s="27" t="s">
        <v>1453</v>
      </c>
      <c r="H1174" s="27" t="s">
        <v>1454</v>
      </c>
      <c r="J1174" s="27" t="s">
        <v>18547</v>
      </c>
      <c r="N1174" s="27" t="s">
        <v>4515</v>
      </c>
      <c r="P1174" s="27" t="s">
        <v>4516</v>
      </c>
      <c r="Q1174" s="26" t="str">
        <f>HYPERLINK("https://ictv.global/taxonomy/taxondetails?taxnode_id=202514978&amp;ictv_id=ICTV202214978","ICTV202214978")</f>
        <v>ICTV202214978</v>
      </c>
      <c r="R1174" t="s">
        <v>579</v>
      </c>
      <c r="S1174" t="s">
        <v>22765</v>
      </c>
      <c r="T1174">
        <v>40</v>
      </c>
      <c r="U1174" s="26" t="str">
        <f t="shared" si="36"/>
        <v>2024.045B.Autographivirales.zip</v>
      </c>
    </row>
    <row r="1175" spans="1:21">
      <c r="A1175">
        <v>1174</v>
      </c>
      <c r="B1175" s="27" t="s">
        <v>1449</v>
      </c>
      <c r="D1175" s="27" t="s">
        <v>1450</v>
      </c>
      <c r="F1175" s="27" t="s">
        <v>1453</v>
      </c>
      <c r="H1175" s="27" t="s">
        <v>1454</v>
      </c>
      <c r="J1175" s="27" t="s">
        <v>3831</v>
      </c>
      <c r="L1175" s="27" t="s">
        <v>3832</v>
      </c>
      <c r="M1175" s="27" t="s">
        <v>3833</v>
      </c>
      <c r="N1175" s="27" t="s">
        <v>3834</v>
      </c>
      <c r="P1175" s="27" t="s">
        <v>3835</v>
      </c>
      <c r="Q1175" s="26" t="str">
        <f>HYPERLINK("https://ictv.global/taxonomy/taxondetails?taxnode_id=202513483&amp;ictv_id=ICTV202113483","ICTV202113483")</f>
        <v>ICTV202113483</v>
      </c>
      <c r="R1175" t="s">
        <v>579</v>
      </c>
      <c r="S1175" t="s">
        <v>823</v>
      </c>
      <c r="T1175">
        <v>37</v>
      </c>
      <c r="U1175" s="26" t="str">
        <f>HYPERLINK("https://ictv.global/ictv/proposals/2021.022B.R.Crassvirales.zip","2021.022B.R.Crassvirales.zip")</f>
        <v>2021.022B.R.Crassvirales.zip</v>
      </c>
    </row>
    <row r="1176" spans="1:21">
      <c r="A1176">
        <v>1175</v>
      </c>
      <c r="B1176" s="27" t="s">
        <v>1449</v>
      </c>
      <c r="D1176" s="27" t="s">
        <v>1450</v>
      </c>
      <c r="F1176" s="27" t="s">
        <v>1453</v>
      </c>
      <c r="H1176" s="27" t="s">
        <v>1454</v>
      </c>
      <c r="J1176" s="27" t="s">
        <v>3831</v>
      </c>
      <c r="L1176" s="27" t="s">
        <v>3832</v>
      </c>
      <c r="M1176" s="27" t="s">
        <v>3833</v>
      </c>
      <c r="N1176" s="27" t="s">
        <v>3834</v>
      </c>
      <c r="P1176" s="27" t="s">
        <v>21757</v>
      </c>
      <c r="Q1176" s="26" t="str">
        <f>HYPERLINK("https://ictv.global/taxonomy/taxondetails?taxnode_id=202522600&amp;ictv_id=ICTV202522600","ICTV202522600")</f>
        <v>ICTV202522600</v>
      </c>
      <c r="R1176" t="s">
        <v>579</v>
      </c>
      <c r="S1176" t="s">
        <v>823</v>
      </c>
      <c r="T1176">
        <v>41</v>
      </c>
      <c r="U1176" s="26" t="str">
        <f>HYPERLINK("https://ictv.global/ictv/proposals/2025.013B.Crassvirales_reorganisation.zip","2025.013B.Crassvirales_reorganisation.zip")</f>
        <v>2025.013B.Crassvirales_reorganisation.zip</v>
      </c>
    </row>
    <row r="1177" spans="1:21">
      <c r="A1177">
        <v>1176</v>
      </c>
      <c r="B1177" s="27" t="s">
        <v>1449</v>
      </c>
      <c r="D1177" s="27" t="s">
        <v>1450</v>
      </c>
      <c r="F1177" s="27" t="s">
        <v>1453</v>
      </c>
      <c r="H1177" s="27" t="s">
        <v>1454</v>
      </c>
      <c r="J1177" s="27" t="s">
        <v>3831</v>
      </c>
      <c r="L1177" s="27" t="s">
        <v>3832</v>
      </c>
      <c r="M1177" s="27" t="s">
        <v>3836</v>
      </c>
      <c r="N1177" s="27" t="s">
        <v>3837</v>
      </c>
      <c r="P1177" s="27" t="s">
        <v>3838</v>
      </c>
      <c r="Q1177" s="26" t="str">
        <f>HYPERLINK("https://ictv.global/taxonomy/taxondetails?taxnode_id=202513487&amp;ictv_id=ICTV202113487","ICTV202113487")</f>
        <v>ICTV202113487</v>
      </c>
      <c r="R1177" t="s">
        <v>579</v>
      </c>
      <c r="S1177" t="s">
        <v>823</v>
      </c>
      <c r="T1177">
        <v>37</v>
      </c>
      <c r="U1177" s="26" t="str">
        <f>HYPERLINK("https://ictv.global/ictv/proposals/2021.022B.R.Crassvirales.zip","2021.022B.R.Crassvirales.zip")</f>
        <v>2021.022B.R.Crassvirales.zip</v>
      </c>
    </row>
    <row r="1178" spans="1:21">
      <c r="A1178">
        <v>1177</v>
      </c>
      <c r="B1178" s="27" t="s">
        <v>1449</v>
      </c>
      <c r="D1178" s="27" t="s">
        <v>1450</v>
      </c>
      <c r="F1178" s="27" t="s">
        <v>1453</v>
      </c>
      <c r="H1178" s="27" t="s">
        <v>1454</v>
      </c>
      <c r="J1178" s="27" t="s">
        <v>3831</v>
      </c>
      <c r="L1178" s="27" t="s">
        <v>3832</v>
      </c>
      <c r="M1178" s="27" t="s">
        <v>3836</v>
      </c>
      <c r="N1178" s="27" t="s">
        <v>3839</v>
      </c>
      <c r="P1178" s="27" t="s">
        <v>21765</v>
      </c>
      <c r="Q1178" s="26" t="str">
        <f>HYPERLINK("https://ictv.global/taxonomy/taxondetails?taxnode_id=202522608&amp;ictv_id=ICTV202522608","ICTV202522608")</f>
        <v>ICTV202522608</v>
      </c>
      <c r="R1178" t="s">
        <v>579</v>
      </c>
      <c r="S1178" t="s">
        <v>823</v>
      </c>
      <c r="T1178">
        <v>41</v>
      </c>
      <c r="U1178" s="26" t="str">
        <f>HYPERLINK("https://ictv.global/ictv/proposals/2025.013B.Crassvirales_reorganisation.zip","2025.013B.Crassvirales_reorganisation.zip")</f>
        <v>2025.013B.Crassvirales_reorganisation.zip</v>
      </c>
    </row>
    <row r="1179" spans="1:21">
      <c r="A1179">
        <v>1178</v>
      </c>
      <c r="B1179" s="27" t="s">
        <v>1449</v>
      </c>
      <c r="D1179" s="27" t="s">
        <v>1450</v>
      </c>
      <c r="F1179" s="27" t="s">
        <v>1453</v>
      </c>
      <c r="H1179" s="27" t="s">
        <v>1454</v>
      </c>
      <c r="J1179" s="27" t="s">
        <v>3831</v>
      </c>
      <c r="L1179" s="27" t="s">
        <v>3832</v>
      </c>
      <c r="M1179" s="27" t="s">
        <v>3836</v>
      </c>
      <c r="N1179" s="27" t="s">
        <v>3839</v>
      </c>
      <c r="P1179" s="27" t="s">
        <v>3840</v>
      </c>
      <c r="Q1179" s="26" t="str">
        <f>HYPERLINK("https://ictv.global/taxonomy/taxondetails?taxnode_id=202513490&amp;ictv_id=ICTV202113490","ICTV202113490")</f>
        <v>ICTV202113490</v>
      </c>
      <c r="R1179" t="s">
        <v>579</v>
      </c>
      <c r="S1179" t="s">
        <v>823</v>
      </c>
      <c r="T1179">
        <v>37</v>
      </c>
      <c r="U1179" s="26" t="str">
        <f>HYPERLINK("https://ictv.global/ictv/proposals/2021.022B.R.Crassvirales.zip","2021.022B.R.Crassvirales.zip")</f>
        <v>2021.022B.R.Crassvirales.zip</v>
      </c>
    </row>
    <row r="1180" spans="1:21">
      <c r="A1180">
        <v>1179</v>
      </c>
      <c r="B1180" s="27" t="s">
        <v>1449</v>
      </c>
      <c r="D1180" s="27" t="s">
        <v>1450</v>
      </c>
      <c r="F1180" s="27" t="s">
        <v>1453</v>
      </c>
      <c r="H1180" s="27" t="s">
        <v>1454</v>
      </c>
      <c r="J1180" s="27" t="s">
        <v>3831</v>
      </c>
      <c r="L1180" s="27" t="s">
        <v>3832</v>
      </c>
      <c r="M1180" s="27" t="s">
        <v>3836</v>
      </c>
      <c r="N1180" s="27" t="s">
        <v>3839</v>
      </c>
      <c r="P1180" s="27" t="s">
        <v>21764</v>
      </c>
      <c r="Q1180" s="26" t="str">
        <f>HYPERLINK("https://ictv.global/taxonomy/taxondetails?taxnode_id=202522607&amp;ictv_id=ICTV202522607","ICTV202522607")</f>
        <v>ICTV202522607</v>
      </c>
      <c r="R1180" t="s">
        <v>579</v>
      </c>
      <c r="S1180" t="s">
        <v>823</v>
      </c>
      <c r="T1180">
        <v>41</v>
      </c>
      <c r="U1180" s="26" t="str">
        <f t="shared" ref="U1180:U1199" si="37">HYPERLINK("https://ictv.global/ictv/proposals/2025.013B.Crassvirales_reorganisation.zip","2025.013B.Crassvirales_reorganisation.zip")</f>
        <v>2025.013B.Crassvirales_reorganisation.zip</v>
      </c>
    </row>
    <row r="1181" spans="1:21">
      <c r="A1181">
        <v>1180</v>
      </c>
      <c r="B1181" s="27" t="s">
        <v>1449</v>
      </c>
      <c r="D1181" s="27" t="s">
        <v>1450</v>
      </c>
      <c r="F1181" s="27" t="s">
        <v>1453</v>
      </c>
      <c r="H1181" s="27" t="s">
        <v>1454</v>
      </c>
      <c r="J1181" s="27" t="s">
        <v>3831</v>
      </c>
      <c r="L1181" s="27" t="s">
        <v>3832</v>
      </c>
      <c r="N1181" s="27" t="s">
        <v>20948</v>
      </c>
      <c r="P1181" s="27" t="s">
        <v>20949</v>
      </c>
      <c r="Q1181" s="26" t="str">
        <f>HYPERLINK("https://ictv.global/taxonomy/taxondetails?taxnode_id=202513484&amp;ictv_id=ICTV202113484","ICTV202113484")</f>
        <v>ICTV202113484</v>
      </c>
      <c r="R1181" t="s">
        <v>579</v>
      </c>
      <c r="S1181" t="s">
        <v>22764</v>
      </c>
      <c r="T1181">
        <v>41</v>
      </c>
      <c r="U1181" s="26" t="str">
        <f t="shared" si="37"/>
        <v>2025.013B.Crassvirales_reorganisation.zip</v>
      </c>
    </row>
    <row r="1182" spans="1:21">
      <c r="A1182">
        <v>1181</v>
      </c>
      <c r="B1182" s="27" t="s">
        <v>1449</v>
      </c>
      <c r="D1182" s="27" t="s">
        <v>1450</v>
      </c>
      <c r="F1182" s="27" t="s">
        <v>1453</v>
      </c>
      <c r="H1182" s="27" t="s">
        <v>1454</v>
      </c>
      <c r="J1182" s="27" t="s">
        <v>3831</v>
      </c>
      <c r="L1182" s="27" t="s">
        <v>3832</v>
      </c>
      <c r="N1182" s="27" t="s">
        <v>20948</v>
      </c>
      <c r="P1182" s="27" t="s">
        <v>21710</v>
      </c>
      <c r="Q1182" s="26" t="str">
        <f>HYPERLINK("https://ictv.global/taxonomy/taxondetails?taxnode_id=202522563&amp;ictv_id=ICTV202522563","ICTV202522563")</f>
        <v>ICTV202522563</v>
      </c>
      <c r="R1182" t="s">
        <v>579</v>
      </c>
      <c r="S1182" t="s">
        <v>823</v>
      </c>
      <c r="T1182">
        <v>41</v>
      </c>
      <c r="U1182" s="26" t="str">
        <f t="shared" si="37"/>
        <v>2025.013B.Crassvirales_reorganisation.zip</v>
      </c>
    </row>
    <row r="1183" spans="1:21">
      <c r="A1183">
        <v>1182</v>
      </c>
      <c r="B1183" s="27" t="s">
        <v>1449</v>
      </c>
      <c r="D1183" s="27" t="s">
        <v>1450</v>
      </c>
      <c r="F1183" s="27" t="s">
        <v>1453</v>
      </c>
      <c r="H1183" s="27" t="s">
        <v>1454</v>
      </c>
      <c r="J1183" s="27" t="s">
        <v>3831</v>
      </c>
      <c r="L1183" s="27" t="s">
        <v>3832</v>
      </c>
      <c r="N1183" s="27" t="s">
        <v>20948</v>
      </c>
      <c r="P1183" s="27" t="s">
        <v>21709</v>
      </c>
      <c r="Q1183" s="26" t="str">
        <f>HYPERLINK("https://ictv.global/taxonomy/taxondetails?taxnode_id=202522562&amp;ictv_id=ICTV202522562","ICTV202522562")</f>
        <v>ICTV202522562</v>
      </c>
      <c r="R1183" t="s">
        <v>579</v>
      </c>
      <c r="S1183" t="s">
        <v>823</v>
      </c>
      <c r="T1183">
        <v>41</v>
      </c>
      <c r="U1183" s="26" t="str">
        <f t="shared" si="37"/>
        <v>2025.013B.Crassvirales_reorganisation.zip</v>
      </c>
    </row>
    <row r="1184" spans="1:21">
      <c r="A1184">
        <v>1183</v>
      </c>
      <c r="B1184" s="27" t="s">
        <v>1449</v>
      </c>
      <c r="D1184" s="27" t="s">
        <v>1450</v>
      </c>
      <c r="F1184" s="27" t="s">
        <v>1453</v>
      </c>
      <c r="H1184" s="27" t="s">
        <v>1454</v>
      </c>
      <c r="J1184" s="27" t="s">
        <v>3831</v>
      </c>
      <c r="L1184" s="27" t="s">
        <v>20923</v>
      </c>
      <c r="M1184" s="27" t="s">
        <v>3920</v>
      </c>
      <c r="N1184" s="27" t="s">
        <v>3921</v>
      </c>
      <c r="P1184" s="27" t="s">
        <v>3922</v>
      </c>
      <c r="Q1184" s="26" t="str">
        <f>HYPERLINK("https://ictv.global/taxonomy/taxondetails?taxnode_id=202513442&amp;ictv_id=ICTV202113442","ICTV202113442")</f>
        <v>ICTV202113442</v>
      </c>
      <c r="R1184" t="s">
        <v>579</v>
      </c>
      <c r="S1184" t="s">
        <v>22763</v>
      </c>
      <c r="T1184">
        <v>41</v>
      </c>
      <c r="U1184" s="26" t="str">
        <f t="shared" si="37"/>
        <v>2025.013B.Crassvirales_reorganisation.zip</v>
      </c>
    </row>
    <row r="1185" spans="1:21">
      <c r="A1185">
        <v>1184</v>
      </c>
      <c r="B1185" s="27" t="s">
        <v>1449</v>
      </c>
      <c r="D1185" s="27" t="s">
        <v>1450</v>
      </c>
      <c r="F1185" s="27" t="s">
        <v>1453</v>
      </c>
      <c r="H1185" s="27" t="s">
        <v>1454</v>
      </c>
      <c r="J1185" s="27" t="s">
        <v>3831</v>
      </c>
      <c r="L1185" s="27" t="s">
        <v>20923</v>
      </c>
      <c r="M1185" s="27" t="s">
        <v>3920</v>
      </c>
      <c r="N1185" s="27" t="s">
        <v>3923</v>
      </c>
      <c r="P1185" s="27" t="s">
        <v>3924</v>
      </c>
      <c r="Q1185" s="26" t="str">
        <f>HYPERLINK("https://ictv.global/taxonomy/taxondetails?taxnode_id=202513452&amp;ictv_id=ICTV202113452","ICTV202113452")</f>
        <v>ICTV202113452</v>
      </c>
      <c r="R1185" t="s">
        <v>579</v>
      </c>
      <c r="S1185" t="s">
        <v>22763</v>
      </c>
      <c r="T1185">
        <v>41</v>
      </c>
      <c r="U1185" s="26" t="str">
        <f t="shared" si="37"/>
        <v>2025.013B.Crassvirales_reorganisation.zip</v>
      </c>
    </row>
    <row r="1186" spans="1:21">
      <c r="A1186">
        <v>1185</v>
      </c>
      <c r="B1186" s="27" t="s">
        <v>1449</v>
      </c>
      <c r="D1186" s="27" t="s">
        <v>1450</v>
      </c>
      <c r="F1186" s="27" t="s">
        <v>1453</v>
      </c>
      <c r="H1186" s="27" t="s">
        <v>1454</v>
      </c>
      <c r="J1186" s="27" t="s">
        <v>3831</v>
      </c>
      <c r="L1186" s="27" t="s">
        <v>20923</v>
      </c>
      <c r="M1186" s="27" t="s">
        <v>3920</v>
      </c>
      <c r="N1186" s="27" t="s">
        <v>3925</v>
      </c>
      <c r="P1186" s="27" t="s">
        <v>3926</v>
      </c>
      <c r="Q1186" s="26" t="str">
        <f>HYPERLINK("https://ictv.global/taxonomy/taxondetails?taxnode_id=202513455&amp;ictv_id=ICTV202113455","ICTV202113455")</f>
        <v>ICTV202113455</v>
      </c>
      <c r="R1186" t="s">
        <v>579</v>
      </c>
      <c r="S1186" t="s">
        <v>22763</v>
      </c>
      <c r="T1186">
        <v>41</v>
      </c>
      <c r="U1186" s="26" t="str">
        <f t="shared" si="37"/>
        <v>2025.013B.Crassvirales_reorganisation.zip</v>
      </c>
    </row>
    <row r="1187" spans="1:21">
      <c r="A1187">
        <v>1186</v>
      </c>
      <c r="B1187" s="27" t="s">
        <v>1449</v>
      </c>
      <c r="D1187" s="27" t="s">
        <v>1450</v>
      </c>
      <c r="F1187" s="27" t="s">
        <v>1453</v>
      </c>
      <c r="H1187" s="27" t="s">
        <v>1454</v>
      </c>
      <c r="J1187" s="27" t="s">
        <v>3831</v>
      </c>
      <c r="L1187" s="27" t="s">
        <v>20923</v>
      </c>
      <c r="M1187" s="27" t="s">
        <v>3920</v>
      </c>
      <c r="N1187" s="27" t="s">
        <v>3927</v>
      </c>
      <c r="P1187" s="27" t="s">
        <v>3928</v>
      </c>
      <c r="Q1187" s="26" t="str">
        <f>HYPERLINK("https://ictv.global/taxonomy/taxondetails?taxnode_id=202513457&amp;ictv_id=ICTV202113457","ICTV202113457")</f>
        <v>ICTV202113457</v>
      </c>
      <c r="R1187" t="s">
        <v>579</v>
      </c>
      <c r="S1187" t="s">
        <v>22763</v>
      </c>
      <c r="T1187">
        <v>41</v>
      </c>
      <c r="U1187" s="26" t="str">
        <f t="shared" si="37"/>
        <v>2025.013B.Crassvirales_reorganisation.zip</v>
      </c>
    </row>
    <row r="1188" spans="1:21">
      <c r="A1188">
        <v>1187</v>
      </c>
      <c r="B1188" s="27" t="s">
        <v>1449</v>
      </c>
      <c r="D1188" s="27" t="s">
        <v>1450</v>
      </c>
      <c r="F1188" s="27" t="s">
        <v>1453</v>
      </c>
      <c r="H1188" s="27" t="s">
        <v>1454</v>
      </c>
      <c r="J1188" s="27" t="s">
        <v>3831</v>
      </c>
      <c r="L1188" s="27" t="s">
        <v>20923</v>
      </c>
      <c r="M1188" s="27" t="s">
        <v>3920</v>
      </c>
      <c r="N1188" s="27" t="s">
        <v>3929</v>
      </c>
      <c r="P1188" s="27" t="s">
        <v>3930</v>
      </c>
      <c r="Q1188" s="26" t="str">
        <f>HYPERLINK("https://ictv.global/taxonomy/taxondetails?taxnode_id=202513462&amp;ictv_id=ICTV202113462","ICTV202113462")</f>
        <v>ICTV202113462</v>
      </c>
      <c r="R1188" t="s">
        <v>579</v>
      </c>
      <c r="S1188" t="s">
        <v>22763</v>
      </c>
      <c r="T1188">
        <v>41</v>
      </c>
      <c r="U1188" s="26" t="str">
        <f t="shared" si="37"/>
        <v>2025.013B.Crassvirales_reorganisation.zip</v>
      </c>
    </row>
    <row r="1189" spans="1:21">
      <c r="A1189">
        <v>1188</v>
      </c>
      <c r="B1189" s="27" t="s">
        <v>1449</v>
      </c>
      <c r="D1189" s="27" t="s">
        <v>1450</v>
      </c>
      <c r="F1189" s="27" t="s">
        <v>1453</v>
      </c>
      <c r="H1189" s="27" t="s">
        <v>1454</v>
      </c>
      <c r="J1189" s="27" t="s">
        <v>3831</v>
      </c>
      <c r="L1189" s="27" t="s">
        <v>20923</v>
      </c>
      <c r="N1189" s="27" t="s">
        <v>21749</v>
      </c>
      <c r="P1189" s="27" t="s">
        <v>21751</v>
      </c>
      <c r="Q1189" s="26" t="str">
        <f>HYPERLINK("https://ictv.global/taxonomy/taxondetails?taxnode_id=202522594&amp;ictv_id=ICTV202522594","ICTV202522594")</f>
        <v>ICTV202522594</v>
      </c>
      <c r="R1189" t="s">
        <v>579</v>
      </c>
      <c r="S1189" t="s">
        <v>823</v>
      </c>
      <c r="T1189">
        <v>41</v>
      </c>
      <c r="U1189" s="26" t="str">
        <f t="shared" si="37"/>
        <v>2025.013B.Crassvirales_reorganisation.zip</v>
      </c>
    </row>
    <row r="1190" spans="1:21">
      <c r="A1190">
        <v>1189</v>
      </c>
      <c r="B1190" s="27" t="s">
        <v>1449</v>
      </c>
      <c r="D1190" s="27" t="s">
        <v>1450</v>
      </c>
      <c r="F1190" s="27" t="s">
        <v>1453</v>
      </c>
      <c r="H1190" s="27" t="s">
        <v>1454</v>
      </c>
      <c r="J1190" s="27" t="s">
        <v>3831</v>
      </c>
      <c r="L1190" s="27" t="s">
        <v>20923</v>
      </c>
      <c r="N1190" s="27" t="s">
        <v>21749</v>
      </c>
      <c r="P1190" s="27" t="s">
        <v>21750</v>
      </c>
      <c r="Q1190" s="26" t="str">
        <f>HYPERLINK("https://ictv.global/taxonomy/taxondetails?taxnode_id=202522593&amp;ictv_id=ICTV202522593","ICTV202522593")</f>
        <v>ICTV202522593</v>
      </c>
      <c r="R1190" t="s">
        <v>579</v>
      </c>
      <c r="S1190" t="s">
        <v>823</v>
      </c>
      <c r="T1190">
        <v>41</v>
      </c>
      <c r="U1190" s="26" t="str">
        <f t="shared" si="37"/>
        <v>2025.013B.Crassvirales_reorganisation.zip</v>
      </c>
    </row>
    <row r="1191" spans="1:21">
      <c r="A1191">
        <v>1190</v>
      </c>
      <c r="B1191" s="27" t="s">
        <v>1449</v>
      </c>
      <c r="D1191" s="27" t="s">
        <v>1450</v>
      </c>
      <c r="F1191" s="27" t="s">
        <v>1453</v>
      </c>
      <c r="H1191" s="27" t="s">
        <v>1454</v>
      </c>
      <c r="J1191" s="27" t="s">
        <v>3831</v>
      </c>
      <c r="L1191" s="27" t="s">
        <v>20923</v>
      </c>
      <c r="N1191" s="27" t="s">
        <v>21772</v>
      </c>
      <c r="P1191" s="27" t="s">
        <v>21773</v>
      </c>
      <c r="Q1191" s="26" t="str">
        <f>HYPERLINK("https://ictv.global/taxonomy/taxondetails?taxnode_id=202522613&amp;ictv_id=ICTV202522613","ICTV202522613")</f>
        <v>ICTV202522613</v>
      </c>
      <c r="R1191" t="s">
        <v>579</v>
      </c>
      <c r="S1191" t="s">
        <v>823</v>
      </c>
      <c r="T1191">
        <v>41</v>
      </c>
      <c r="U1191" s="26" t="str">
        <f t="shared" si="37"/>
        <v>2025.013B.Crassvirales_reorganisation.zip</v>
      </c>
    </row>
    <row r="1192" spans="1:21">
      <c r="A1192">
        <v>1191</v>
      </c>
      <c r="B1192" s="27" t="s">
        <v>1449</v>
      </c>
      <c r="D1192" s="27" t="s">
        <v>1450</v>
      </c>
      <c r="F1192" s="27" t="s">
        <v>1453</v>
      </c>
      <c r="H1192" s="27" t="s">
        <v>1454</v>
      </c>
      <c r="J1192" s="27" t="s">
        <v>3831</v>
      </c>
      <c r="L1192" s="27" t="s">
        <v>20923</v>
      </c>
      <c r="N1192" s="27" t="s">
        <v>20935</v>
      </c>
      <c r="P1192" s="27" t="s">
        <v>20936</v>
      </c>
      <c r="Q1192" s="26" t="str">
        <f>HYPERLINK("https://ictv.global/taxonomy/taxondetails?taxnode_id=202513451&amp;ictv_id=ICTV202113451","ICTV202113451")</f>
        <v>ICTV202113451</v>
      </c>
      <c r="R1192" t="s">
        <v>579</v>
      </c>
      <c r="S1192" t="s">
        <v>22764</v>
      </c>
      <c r="T1192">
        <v>41</v>
      </c>
      <c r="U1192" s="26" t="str">
        <f t="shared" si="37"/>
        <v>2025.013B.Crassvirales_reorganisation.zip</v>
      </c>
    </row>
    <row r="1193" spans="1:21">
      <c r="A1193">
        <v>1192</v>
      </c>
      <c r="B1193" s="27" t="s">
        <v>1449</v>
      </c>
      <c r="D1193" s="27" t="s">
        <v>1450</v>
      </c>
      <c r="F1193" s="27" t="s">
        <v>1453</v>
      </c>
      <c r="H1193" s="27" t="s">
        <v>1454</v>
      </c>
      <c r="J1193" s="27" t="s">
        <v>3831</v>
      </c>
      <c r="L1193" s="27" t="s">
        <v>20923</v>
      </c>
      <c r="N1193" s="27" t="s">
        <v>20939</v>
      </c>
      <c r="P1193" s="27" t="s">
        <v>20940</v>
      </c>
      <c r="Q1193" s="26" t="str">
        <f>HYPERLINK("https://ictv.global/taxonomy/taxondetails?taxnode_id=202513456&amp;ictv_id=ICTV202113456","ICTV202113456")</f>
        <v>ICTV202113456</v>
      </c>
      <c r="R1193" t="s">
        <v>579</v>
      </c>
      <c r="S1193" t="s">
        <v>22764</v>
      </c>
      <c r="T1193">
        <v>41</v>
      </c>
      <c r="U1193" s="26" t="str">
        <f t="shared" si="37"/>
        <v>2025.013B.Crassvirales_reorganisation.zip</v>
      </c>
    </row>
    <row r="1194" spans="1:21">
      <c r="A1194">
        <v>1193</v>
      </c>
      <c r="B1194" s="27" t="s">
        <v>1449</v>
      </c>
      <c r="D1194" s="27" t="s">
        <v>1450</v>
      </c>
      <c r="F1194" s="27" t="s">
        <v>1453</v>
      </c>
      <c r="H1194" s="27" t="s">
        <v>1454</v>
      </c>
      <c r="J1194" s="27" t="s">
        <v>3831</v>
      </c>
      <c r="L1194" s="27" t="s">
        <v>20923</v>
      </c>
      <c r="N1194" s="27" t="s">
        <v>21777</v>
      </c>
      <c r="P1194" s="27" t="s">
        <v>21778</v>
      </c>
      <c r="Q1194" s="26" t="str">
        <f>HYPERLINK("https://ictv.global/taxonomy/taxondetails?taxnode_id=202522616&amp;ictv_id=ICTV202522616","ICTV202522616")</f>
        <v>ICTV202522616</v>
      </c>
      <c r="R1194" t="s">
        <v>579</v>
      </c>
      <c r="S1194" t="s">
        <v>823</v>
      </c>
      <c r="T1194">
        <v>41</v>
      </c>
      <c r="U1194" s="26" t="str">
        <f t="shared" si="37"/>
        <v>2025.013B.Crassvirales_reorganisation.zip</v>
      </c>
    </row>
    <row r="1195" spans="1:21">
      <c r="A1195">
        <v>1194</v>
      </c>
      <c r="B1195" s="27" t="s">
        <v>1449</v>
      </c>
      <c r="D1195" s="27" t="s">
        <v>1450</v>
      </c>
      <c r="F1195" s="27" t="s">
        <v>1453</v>
      </c>
      <c r="H1195" s="27" t="s">
        <v>1454</v>
      </c>
      <c r="J1195" s="27" t="s">
        <v>3831</v>
      </c>
      <c r="L1195" s="27" t="s">
        <v>20923</v>
      </c>
      <c r="N1195" s="27" t="s">
        <v>21777</v>
      </c>
      <c r="P1195" s="27" t="s">
        <v>21779</v>
      </c>
      <c r="Q1195" s="26" t="str">
        <f>HYPERLINK("https://ictv.global/taxonomy/taxondetails?taxnode_id=202522617&amp;ictv_id=ICTV202522617","ICTV202522617")</f>
        <v>ICTV202522617</v>
      </c>
      <c r="R1195" t="s">
        <v>579</v>
      </c>
      <c r="S1195" t="s">
        <v>823</v>
      </c>
      <c r="T1195">
        <v>41</v>
      </c>
      <c r="U1195" s="26" t="str">
        <f t="shared" si="37"/>
        <v>2025.013B.Crassvirales_reorganisation.zip</v>
      </c>
    </row>
    <row r="1196" spans="1:21">
      <c r="A1196">
        <v>1195</v>
      </c>
      <c r="B1196" s="27" t="s">
        <v>1449</v>
      </c>
      <c r="D1196" s="27" t="s">
        <v>1450</v>
      </c>
      <c r="F1196" s="27" t="s">
        <v>1453</v>
      </c>
      <c r="H1196" s="27" t="s">
        <v>1454</v>
      </c>
      <c r="J1196" s="27" t="s">
        <v>3831</v>
      </c>
      <c r="L1196" s="27" t="s">
        <v>20923</v>
      </c>
      <c r="N1196" s="27" t="s">
        <v>20937</v>
      </c>
      <c r="P1196" s="27" t="s">
        <v>21781</v>
      </c>
      <c r="Q1196" s="26" t="str">
        <f>HYPERLINK("https://ictv.global/taxonomy/taxondetails?taxnode_id=202522619&amp;ictv_id=ICTV202522619","ICTV202522619")</f>
        <v>ICTV202522619</v>
      </c>
      <c r="R1196" t="s">
        <v>579</v>
      </c>
      <c r="S1196" t="s">
        <v>823</v>
      </c>
      <c r="T1196">
        <v>41</v>
      </c>
      <c r="U1196" s="26" t="str">
        <f t="shared" si="37"/>
        <v>2025.013B.Crassvirales_reorganisation.zip</v>
      </c>
    </row>
    <row r="1197" spans="1:21">
      <c r="A1197">
        <v>1196</v>
      </c>
      <c r="B1197" s="27" t="s">
        <v>1449</v>
      </c>
      <c r="D1197" s="27" t="s">
        <v>1450</v>
      </c>
      <c r="F1197" s="27" t="s">
        <v>1453</v>
      </c>
      <c r="H1197" s="27" t="s">
        <v>1454</v>
      </c>
      <c r="J1197" s="27" t="s">
        <v>3831</v>
      </c>
      <c r="L1197" s="27" t="s">
        <v>20923</v>
      </c>
      <c r="N1197" s="27" t="s">
        <v>20937</v>
      </c>
      <c r="P1197" s="27" t="s">
        <v>20938</v>
      </c>
      <c r="Q1197" s="26" t="str">
        <f>HYPERLINK("https://ictv.global/taxonomy/taxondetails?taxnode_id=202513454&amp;ictv_id=ICTV202113454","ICTV202113454")</f>
        <v>ICTV202113454</v>
      </c>
      <c r="R1197" t="s">
        <v>579</v>
      </c>
      <c r="S1197" t="s">
        <v>22764</v>
      </c>
      <c r="T1197">
        <v>41</v>
      </c>
      <c r="U1197" s="26" t="str">
        <f t="shared" si="37"/>
        <v>2025.013B.Crassvirales_reorganisation.zip</v>
      </c>
    </row>
    <row r="1198" spans="1:21">
      <c r="A1198">
        <v>1197</v>
      </c>
      <c r="B1198" s="27" t="s">
        <v>1449</v>
      </c>
      <c r="D1198" s="27" t="s">
        <v>1450</v>
      </c>
      <c r="F1198" s="27" t="s">
        <v>1453</v>
      </c>
      <c r="H1198" s="27" t="s">
        <v>1454</v>
      </c>
      <c r="J1198" s="27" t="s">
        <v>3831</v>
      </c>
      <c r="L1198" s="27" t="s">
        <v>3841</v>
      </c>
      <c r="M1198" s="27" t="s">
        <v>3842</v>
      </c>
      <c r="N1198" s="27" t="s">
        <v>3843</v>
      </c>
      <c r="P1198" s="27" t="s">
        <v>21754</v>
      </c>
      <c r="Q1198" s="26" t="str">
        <f>HYPERLINK("https://ictv.global/taxonomy/taxondetails?taxnode_id=202522597&amp;ictv_id=ICTV202522597","ICTV202522597")</f>
        <v>ICTV202522597</v>
      </c>
      <c r="R1198" t="s">
        <v>579</v>
      </c>
      <c r="S1198" t="s">
        <v>823</v>
      </c>
      <c r="T1198">
        <v>41</v>
      </c>
      <c r="U1198" s="26" t="str">
        <f t="shared" si="37"/>
        <v>2025.013B.Crassvirales_reorganisation.zip</v>
      </c>
    </row>
    <row r="1199" spans="1:21">
      <c r="A1199">
        <v>1198</v>
      </c>
      <c r="B1199" s="27" t="s">
        <v>1449</v>
      </c>
      <c r="D1199" s="27" t="s">
        <v>1450</v>
      </c>
      <c r="F1199" s="27" t="s">
        <v>1453</v>
      </c>
      <c r="H1199" s="27" t="s">
        <v>1454</v>
      </c>
      <c r="J1199" s="27" t="s">
        <v>3831</v>
      </c>
      <c r="L1199" s="27" t="s">
        <v>3841</v>
      </c>
      <c r="M1199" s="27" t="s">
        <v>3842</v>
      </c>
      <c r="N1199" s="27" t="s">
        <v>3843</v>
      </c>
      <c r="P1199" s="27" t="s">
        <v>21753</v>
      </c>
      <c r="Q1199" s="26" t="str">
        <f>HYPERLINK("https://ictv.global/taxonomy/taxondetails?taxnode_id=202522596&amp;ictv_id=ICTV202522596","ICTV202522596")</f>
        <v>ICTV202522596</v>
      </c>
      <c r="R1199" t="s">
        <v>579</v>
      </c>
      <c r="S1199" t="s">
        <v>823</v>
      </c>
      <c r="T1199">
        <v>41</v>
      </c>
      <c r="U1199" s="26" t="str">
        <f t="shared" si="37"/>
        <v>2025.013B.Crassvirales_reorganisation.zip</v>
      </c>
    </row>
    <row r="1200" spans="1:21">
      <c r="A1200">
        <v>1199</v>
      </c>
      <c r="B1200" s="27" t="s">
        <v>1449</v>
      </c>
      <c r="D1200" s="27" t="s">
        <v>1450</v>
      </c>
      <c r="F1200" s="27" t="s">
        <v>1453</v>
      </c>
      <c r="H1200" s="27" t="s">
        <v>1454</v>
      </c>
      <c r="J1200" s="27" t="s">
        <v>3831</v>
      </c>
      <c r="L1200" s="27" t="s">
        <v>3841</v>
      </c>
      <c r="M1200" s="27" t="s">
        <v>3842</v>
      </c>
      <c r="N1200" s="27" t="s">
        <v>3843</v>
      </c>
      <c r="P1200" s="27" t="s">
        <v>3844</v>
      </c>
      <c r="Q1200" s="26" t="str">
        <f>HYPERLINK("https://ictv.global/taxonomy/taxondetails?taxnode_id=202513480&amp;ictv_id=ICTV202113480","ICTV202113480")</f>
        <v>ICTV202113480</v>
      </c>
      <c r="R1200" t="s">
        <v>579</v>
      </c>
      <c r="S1200" t="s">
        <v>823</v>
      </c>
      <c r="T1200">
        <v>37</v>
      </c>
      <c r="U1200" s="26" t="str">
        <f>HYPERLINK("https://ictv.global/ictv/proposals/2021.022B.R.Crassvirales.zip","2021.022B.R.Crassvirales.zip")</f>
        <v>2021.022B.R.Crassvirales.zip</v>
      </c>
    </row>
    <row r="1201" spans="1:21">
      <c r="A1201">
        <v>1200</v>
      </c>
      <c r="B1201" s="27" t="s">
        <v>1449</v>
      </c>
      <c r="D1201" s="27" t="s">
        <v>1450</v>
      </c>
      <c r="F1201" s="27" t="s">
        <v>1453</v>
      </c>
      <c r="H1201" s="27" t="s">
        <v>1454</v>
      </c>
      <c r="J1201" s="27" t="s">
        <v>3831</v>
      </c>
      <c r="L1201" s="27" t="s">
        <v>3841</v>
      </c>
      <c r="M1201" s="27" t="s">
        <v>3842</v>
      </c>
      <c r="N1201" s="27" t="s">
        <v>3843</v>
      </c>
      <c r="P1201" s="27" t="s">
        <v>21756</v>
      </c>
      <c r="Q1201" s="26" t="str">
        <f>HYPERLINK("https://ictv.global/taxonomy/taxondetails?taxnode_id=202522599&amp;ictv_id=ICTV202522599","ICTV202522599")</f>
        <v>ICTV202522599</v>
      </c>
      <c r="R1201" t="s">
        <v>579</v>
      </c>
      <c r="S1201" t="s">
        <v>823</v>
      </c>
      <c r="T1201">
        <v>41</v>
      </c>
      <c r="U1201" s="26" t="str">
        <f>HYPERLINK("https://ictv.global/ictv/proposals/2025.013B.Crassvirales_reorganisation.zip","2025.013B.Crassvirales_reorganisation.zip")</f>
        <v>2025.013B.Crassvirales_reorganisation.zip</v>
      </c>
    </row>
    <row r="1202" spans="1:21">
      <c r="A1202">
        <v>1201</v>
      </c>
      <c r="B1202" s="27" t="s">
        <v>1449</v>
      </c>
      <c r="D1202" s="27" t="s">
        <v>1450</v>
      </c>
      <c r="F1202" s="27" t="s">
        <v>1453</v>
      </c>
      <c r="H1202" s="27" t="s">
        <v>1454</v>
      </c>
      <c r="J1202" s="27" t="s">
        <v>3831</v>
      </c>
      <c r="L1202" s="27" t="s">
        <v>3841</v>
      </c>
      <c r="M1202" s="27" t="s">
        <v>3842</v>
      </c>
      <c r="N1202" s="27" t="s">
        <v>3843</v>
      </c>
      <c r="P1202" s="27" t="s">
        <v>3845</v>
      </c>
      <c r="Q1202" s="26" t="str">
        <f>HYPERLINK("https://ictv.global/taxonomy/taxondetails?taxnode_id=202513481&amp;ictv_id=ICTV202113481","ICTV202113481")</f>
        <v>ICTV202113481</v>
      </c>
      <c r="R1202" t="s">
        <v>579</v>
      </c>
      <c r="S1202" t="s">
        <v>823</v>
      </c>
      <c r="T1202">
        <v>37</v>
      </c>
      <c r="U1202" s="26" t="str">
        <f>HYPERLINK("https://ictv.global/ictv/proposals/2021.022B.R.Crassvirales.zip","2021.022B.R.Crassvirales.zip")</f>
        <v>2021.022B.R.Crassvirales.zip</v>
      </c>
    </row>
    <row r="1203" spans="1:21">
      <c r="A1203">
        <v>1202</v>
      </c>
      <c r="B1203" s="27" t="s">
        <v>1449</v>
      </c>
      <c r="D1203" s="27" t="s">
        <v>1450</v>
      </c>
      <c r="F1203" s="27" t="s">
        <v>1453</v>
      </c>
      <c r="H1203" s="27" t="s">
        <v>1454</v>
      </c>
      <c r="J1203" s="27" t="s">
        <v>3831</v>
      </c>
      <c r="L1203" s="27" t="s">
        <v>3841</v>
      </c>
      <c r="M1203" s="27" t="s">
        <v>3842</v>
      </c>
      <c r="N1203" s="27" t="s">
        <v>3843</v>
      </c>
      <c r="P1203" s="27" t="s">
        <v>21755</v>
      </c>
      <c r="Q1203" s="26" t="str">
        <f>HYPERLINK("https://ictv.global/taxonomy/taxondetails?taxnode_id=202522598&amp;ictv_id=ICTV202522598","ICTV202522598")</f>
        <v>ICTV202522598</v>
      </c>
      <c r="R1203" t="s">
        <v>579</v>
      </c>
      <c r="S1203" t="s">
        <v>823</v>
      </c>
      <c r="T1203">
        <v>41</v>
      </c>
      <c r="U1203" s="26" t="str">
        <f>HYPERLINK("https://ictv.global/ictv/proposals/2025.013B.Crassvirales_reorganisation.zip","2025.013B.Crassvirales_reorganisation.zip")</f>
        <v>2025.013B.Crassvirales_reorganisation.zip</v>
      </c>
    </row>
    <row r="1204" spans="1:21">
      <c r="A1204">
        <v>1203</v>
      </c>
      <c r="B1204" s="27" t="s">
        <v>1449</v>
      </c>
      <c r="D1204" s="27" t="s">
        <v>1450</v>
      </c>
      <c r="F1204" s="27" t="s">
        <v>1453</v>
      </c>
      <c r="H1204" s="27" t="s">
        <v>1454</v>
      </c>
      <c r="J1204" s="27" t="s">
        <v>3831</v>
      </c>
      <c r="L1204" s="27" t="s">
        <v>3841</v>
      </c>
      <c r="M1204" s="27" t="s">
        <v>3842</v>
      </c>
      <c r="N1204" s="27" t="s">
        <v>3843</v>
      </c>
      <c r="P1204" s="27" t="s">
        <v>3846</v>
      </c>
      <c r="Q1204" s="26" t="str">
        <f>HYPERLINK("https://ictv.global/taxonomy/taxondetails?taxnode_id=202513482&amp;ictv_id=ICTV202113482","ICTV202113482")</f>
        <v>ICTV202113482</v>
      </c>
      <c r="R1204" t="s">
        <v>579</v>
      </c>
      <c r="S1204" t="s">
        <v>823</v>
      </c>
      <c r="T1204">
        <v>37</v>
      </c>
      <c r="U1204" s="26" t="str">
        <f>HYPERLINK("https://ictv.global/ictv/proposals/2021.022B.R.Crassvirales.zip","2021.022B.R.Crassvirales.zip")</f>
        <v>2021.022B.R.Crassvirales.zip</v>
      </c>
    </row>
    <row r="1205" spans="1:21">
      <c r="A1205">
        <v>1204</v>
      </c>
      <c r="B1205" s="27" t="s">
        <v>1449</v>
      </c>
      <c r="D1205" s="27" t="s">
        <v>1450</v>
      </c>
      <c r="F1205" s="27" t="s">
        <v>1453</v>
      </c>
      <c r="H1205" s="27" t="s">
        <v>1454</v>
      </c>
      <c r="J1205" s="27" t="s">
        <v>3831</v>
      </c>
      <c r="L1205" s="27" t="s">
        <v>3841</v>
      </c>
      <c r="M1205" s="27" t="s">
        <v>3847</v>
      </c>
      <c r="N1205" s="27" t="s">
        <v>3848</v>
      </c>
      <c r="P1205" s="27" t="s">
        <v>21723</v>
      </c>
      <c r="Q1205" s="26" t="str">
        <f>HYPERLINK("https://ictv.global/taxonomy/taxondetails?taxnode_id=202522576&amp;ictv_id=ICTV202522576","ICTV202522576")</f>
        <v>ICTV202522576</v>
      </c>
      <c r="R1205" t="s">
        <v>579</v>
      </c>
      <c r="S1205" t="s">
        <v>823</v>
      </c>
      <c r="T1205">
        <v>41</v>
      </c>
      <c r="U1205" s="26" t="str">
        <f>HYPERLINK("https://ictv.global/ictv/proposals/2025.013B.Crassvirales_reorganisation.zip","2025.013B.Crassvirales_reorganisation.zip")</f>
        <v>2025.013B.Crassvirales_reorganisation.zip</v>
      </c>
    </row>
    <row r="1206" spans="1:21">
      <c r="A1206">
        <v>1205</v>
      </c>
      <c r="B1206" s="27" t="s">
        <v>1449</v>
      </c>
      <c r="D1206" s="27" t="s">
        <v>1450</v>
      </c>
      <c r="F1206" s="27" t="s">
        <v>1453</v>
      </c>
      <c r="H1206" s="27" t="s">
        <v>1454</v>
      </c>
      <c r="J1206" s="27" t="s">
        <v>3831</v>
      </c>
      <c r="L1206" s="27" t="s">
        <v>3841</v>
      </c>
      <c r="M1206" s="27" t="s">
        <v>3847</v>
      </c>
      <c r="N1206" s="27" t="s">
        <v>3848</v>
      </c>
      <c r="P1206" s="27" t="s">
        <v>21722</v>
      </c>
      <c r="Q1206" s="26" t="str">
        <f>HYPERLINK("https://ictv.global/taxonomy/taxondetails?taxnode_id=202522575&amp;ictv_id=ICTV202522575","ICTV202522575")</f>
        <v>ICTV202522575</v>
      </c>
      <c r="R1206" t="s">
        <v>579</v>
      </c>
      <c r="S1206" t="s">
        <v>823</v>
      </c>
      <c r="T1206">
        <v>41</v>
      </c>
      <c r="U1206" s="26" t="str">
        <f>HYPERLINK("https://ictv.global/ictv/proposals/2025.013B.Crassvirales_reorganisation.zip","2025.013B.Crassvirales_reorganisation.zip")</f>
        <v>2025.013B.Crassvirales_reorganisation.zip</v>
      </c>
    </row>
    <row r="1207" spans="1:21">
      <c r="A1207">
        <v>1206</v>
      </c>
      <c r="B1207" s="27" t="s">
        <v>1449</v>
      </c>
      <c r="D1207" s="27" t="s">
        <v>1450</v>
      </c>
      <c r="F1207" s="27" t="s">
        <v>1453</v>
      </c>
      <c r="H1207" s="27" t="s">
        <v>1454</v>
      </c>
      <c r="J1207" s="27" t="s">
        <v>3831</v>
      </c>
      <c r="L1207" s="27" t="s">
        <v>3841</v>
      </c>
      <c r="M1207" s="27" t="s">
        <v>3847</v>
      </c>
      <c r="N1207" s="27" t="s">
        <v>3848</v>
      </c>
      <c r="P1207" s="27" t="s">
        <v>21721</v>
      </c>
      <c r="Q1207" s="26" t="str">
        <f>HYPERLINK("https://ictv.global/taxonomy/taxondetails?taxnode_id=202522574&amp;ictv_id=ICTV202522574","ICTV202522574")</f>
        <v>ICTV202522574</v>
      </c>
      <c r="R1207" t="s">
        <v>579</v>
      </c>
      <c r="S1207" t="s">
        <v>823</v>
      </c>
      <c r="T1207">
        <v>41</v>
      </c>
      <c r="U1207" s="26" t="str">
        <f>HYPERLINK("https://ictv.global/ictv/proposals/2025.013B.Crassvirales_reorganisation.zip","2025.013B.Crassvirales_reorganisation.zip")</f>
        <v>2025.013B.Crassvirales_reorganisation.zip</v>
      </c>
    </row>
    <row r="1208" spans="1:21">
      <c r="A1208">
        <v>1207</v>
      </c>
      <c r="B1208" s="27" t="s">
        <v>1449</v>
      </c>
      <c r="D1208" s="27" t="s">
        <v>1450</v>
      </c>
      <c r="F1208" s="27" t="s">
        <v>1453</v>
      </c>
      <c r="H1208" s="27" t="s">
        <v>1454</v>
      </c>
      <c r="J1208" s="27" t="s">
        <v>3831</v>
      </c>
      <c r="L1208" s="27" t="s">
        <v>3841</v>
      </c>
      <c r="M1208" s="27" t="s">
        <v>3847</v>
      </c>
      <c r="N1208" s="27" t="s">
        <v>3848</v>
      </c>
      <c r="P1208" s="27" t="s">
        <v>21717</v>
      </c>
      <c r="Q1208" s="26" t="str">
        <f>HYPERLINK("https://ictv.global/taxonomy/taxondetails?taxnode_id=202522570&amp;ictv_id=ICTV202522570","ICTV202522570")</f>
        <v>ICTV202522570</v>
      </c>
      <c r="R1208" t="s">
        <v>579</v>
      </c>
      <c r="S1208" t="s">
        <v>823</v>
      </c>
      <c r="T1208">
        <v>41</v>
      </c>
      <c r="U1208" s="26" t="str">
        <f>HYPERLINK("https://ictv.global/ictv/proposals/2025.013B.Crassvirales_reorganisation.zip","2025.013B.Crassvirales_reorganisation.zip")</f>
        <v>2025.013B.Crassvirales_reorganisation.zip</v>
      </c>
    </row>
    <row r="1209" spans="1:21">
      <c r="A1209">
        <v>1208</v>
      </c>
      <c r="B1209" s="27" t="s">
        <v>1449</v>
      </c>
      <c r="D1209" s="27" t="s">
        <v>1450</v>
      </c>
      <c r="F1209" s="27" t="s">
        <v>1453</v>
      </c>
      <c r="H1209" s="27" t="s">
        <v>1454</v>
      </c>
      <c r="J1209" s="27" t="s">
        <v>3831</v>
      </c>
      <c r="L1209" s="27" t="s">
        <v>3841</v>
      </c>
      <c r="M1209" s="27" t="s">
        <v>3847</v>
      </c>
      <c r="N1209" s="27" t="s">
        <v>3848</v>
      </c>
      <c r="P1209" s="27" t="s">
        <v>21726</v>
      </c>
      <c r="Q1209" s="26" t="str">
        <f>HYPERLINK("https://ictv.global/taxonomy/taxondetails?taxnode_id=202522579&amp;ictv_id=ICTV202522579","ICTV202522579")</f>
        <v>ICTV202522579</v>
      </c>
      <c r="R1209" t="s">
        <v>579</v>
      </c>
      <c r="S1209" t="s">
        <v>823</v>
      </c>
      <c r="T1209">
        <v>41</v>
      </c>
      <c r="U1209" s="26" t="str">
        <f>HYPERLINK("https://ictv.global/ictv/proposals/2025.013B.Crassvirales_reorganisation.zip","2025.013B.Crassvirales_reorganisation.zip")</f>
        <v>2025.013B.Crassvirales_reorganisation.zip</v>
      </c>
    </row>
    <row r="1210" spans="1:21">
      <c r="A1210">
        <v>1209</v>
      </c>
      <c r="B1210" s="27" t="s">
        <v>1449</v>
      </c>
      <c r="D1210" s="27" t="s">
        <v>1450</v>
      </c>
      <c r="F1210" s="27" t="s">
        <v>1453</v>
      </c>
      <c r="H1210" s="27" t="s">
        <v>1454</v>
      </c>
      <c r="J1210" s="27" t="s">
        <v>3831</v>
      </c>
      <c r="L1210" s="27" t="s">
        <v>3841</v>
      </c>
      <c r="M1210" s="27" t="s">
        <v>3847</v>
      </c>
      <c r="N1210" s="27" t="s">
        <v>3848</v>
      </c>
      <c r="P1210" s="27" t="s">
        <v>3849</v>
      </c>
      <c r="Q1210" s="26" t="str">
        <f>HYPERLINK("https://ictv.global/taxonomy/taxondetails?taxnode_id=202513461&amp;ictv_id=ICTV202113461","ICTV202113461")</f>
        <v>ICTV202113461</v>
      </c>
      <c r="R1210" t="s">
        <v>579</v>
      </c>
      <c r="S1210" t="s">
        <v>823</v>
      </c>
      <c r="T1210">
        <v>37</v>
      </c>
      <c r="U1210" s="26" t="str">
        <f>HYPERLINK("https://ictv.global/ictv/proposals/2021.022B.R.Crassvirales.zip","2021.022B.R.Crassvirales.zip")</f>
        <v>2021.022B.R.Crassvirales.zip</v>
      </c>
    </row>
    <row r="1211" spans="1:21">
      <c r="A1211">
        <v>1210</v>
      </c>
      <c r="B1211" s="27" t="s">
        <v>1449</v>
      </c>
      <c r="D1211" s="27" t="s">
        <v>1450</v>
      </c>
      <c r="F1211" s="27" t="s">
        <v>1453</v>
      </c>
      <c r="H1211" s="27" t="s">
        <v>1454</v>
      </c>
      <c r="J1211" s="27" t="s">
        <v>3831</v>
      </c>
      <c r="L1211" s="27" t="s">
        <v>3841</v>
      </c>
      <c r="M1211" s="27" t="s">
        <v>3847</v>
      </c>
      <c r="N1211" s="27" t="s">
        <v>3848</v>
      </c>
      <c r="P1211" s="27" t="s">
        <v>21716</v>
      </c>
      <c r="Q1211" s="26" t="str">
        <f>HYPERLINK("https://ictv.global/taxonomy/taxondetails?taxnode_id=202522569&amp;ictv_id=ICTV202522569","ICTV202522569")</f>
        <v>ICTV202522569</v>
      </c>
      <c r="R1211" t="s">
        <v>579</v>
      </c>
      <c r="S1211" t="s">
        <v>823</v>
      </c>
      <c r="T1211">
        <v>41</v>
      </c>
      <c r="U1211" s="26" t="str">
        <f>HYPERLINK("https://ictv.global/ictv/proposals/2025.013B.Crassvirales_reorganisation.zip","2025.013B.Crassvirales_reorganisation.zip")</f>
        <v>2025.013B.Crassvirales_reorganisation.zip</v>
      </c>
    </row>
    <row r="1212" spans="1:21">
      <c r="A1212">
        <v>1211</v>
      </c>
      <c r="B1212" s="27" t="s">
        <v>1449</v>
      </c>
      <c r="D1212" s="27" t="s">
        <v>1450</v>
      </c>
      <c r="F1212" s="27" t="s">
        <v>1453</v>
      </c>
      <c r="H1212" s="27" t="s">
        <v>1454</v>
      </c>
      <c r="J1212" s="27" t="s">
        <v>3831</v>
      </c>
      <c r="L1212" s="27" t="s">
        <v>3841</v>
      </c>
      <c r="M1212" s="27" t="s">
        <v>3847</v>
      </c>
      <c r="N1212" s="27" t="s">
        <v>3848</v>
      </c>
      <c r="P1212" s="27" t="s">
        <v>3850</v>
      </c>
      <c r="Q1212" s="26" t="str">
        <f>HYPERLINK("https://ictv.global/taxonomy/taxondetails?taxnode_id=202513460&amp;ictv_id=ICTV202113460","ICTV202113460")</f>
        <v>ICTV202113460</v>
      </c>
      <c r="R1212" t="s">
        <v>579</v>
      </c>
      <c r="S1212" t="s">
        <v>823</v>
      </c>
      <c r="T1212">
        <v>37</v>
      </c>
      <c r="U1212" s="26" t="str">
        <f>HYPERLINK("https://ictv.global/ictv/proposals/2021.022B.R.Crassvirales.zip","2021.022B.R.Crassvirales.zip")</f>
        <v>2021.022B.R.Crassvirales.zip</v>
      </c>
    </row>
    <row r="1213" spans="1:21">
      <c r="A1213">
        <v>1212</v>
      </c>
      <c r="B1213" s="27" t="s">
        <v>1449</v>
      </c>
      <c r="D1213" s="27" t="s">
        <v>1450</v>
      </c>
      <c r="F1213" s="27" t="s">
        <v>1453</v>
      </c>
      <c r="H1213" s="27" t="s">
        <v>1454</v>
      </c>
      <c r="J1213" s="27" t="s">
        <v>3831</v>
      </c>
      <c r="L1213" s="27" t="s">
        <v>3841</v>
      </c>
      <c r="M1213" s="27" t="s">
        <v>3847</v>
      </c>
      <c r="N1213" s="27" t="s">
        <v>3848</v>
      </c>
      <c r="P1213" s="27" t="s">
        <v>21724</v>
      </c>
      <c r="Q1213" s="26" t="str">
        <f>HYPERLINK("https://ictv.global/taxonomy/taxondetails?taxnode_id=202522577&amp;ictv_id=ICTV202522577","ICTV202522577")</f>
        <v>ICTV202522577</v>
      </c>
      <c r="R1213" t="s">
        <v>579</v>
      </c>
      <c r="S1213" t="s">
        <v>823</v>
      </c>
      <c r="T1213">
        <v>41</v>
      </c>
      <c r="U1213" s="26" t="str">
        <f>HYPERLINK("https://ictv.global/ictv/proposals/2025.013B.Crassvirales_reorganisation.zip","2025.013B.Crassvirales_reorganisation.zip")</f>
        <v>2025.013B.Crassvirales_reorganisation.zip</v>
      </c>
    </row>
    <row r="1214" spans="1:21">
      <c r="A1214">
        <v>1213</v>
      </c>
      <c r="B1214" s="27" t="s">
        <v>1449</v>
      </c>
      <c r="D1214" s="27" t="s">
        <v>1450</v>
      </c>
      <c r="F1214" s="27" t="s">
        <v>1453</v>
      </c>
      <c r="H1214" s="27" t="s">
        <v>1454</v>
      </c>
      <c r="J1214" s="27" t="s">
        <v>3831</v>
      </c>
      <c r="L1214" s="27" t="s">
        <v>3841</v>
      </c>
      <c r="M1214" s="27" t="s">
        <v>3847</v>
      </c>
      <c r="N1214" s="27" t="s">
        <v>3848</v>
      </c>
      <c r="P1214" s="27" t="s">
        <v>21720</v>
      </c>
      <c r="Q1214" s="26" t="str">
        <f>HYPERLINK("https://ictv.global/taxonomy/taxondetails?taxnode_id=202522573&amp;ictv_id=ICTV202522573","ICTV202522573")</f>
        <v>ICTV202522573</v>
      </c>
      <c r="R1214" t="s">
        <v>579</v>
      </c>
      <c r="S1214" t="s">
        <v>823</v>
      </c>
      <c r="T1214">
        <v>41</v>
      </c>
      <c r="U1214" s="26" t="str">
        <f>HYPERLINK("https://ictv.global/ictv/proposals/2025.013B.Crassvirales_reorganisation.zip","2025.013B.Crassvirales_reorganisation.zip")</f>
        <v>2025.013B.Crassvirales_reorganisation.zip</v>
      </c>
    </row>
    <row r="1215" spans="1:21">
      <c r="A1215">
        <v>1214</v>
      </c>
      <c r="B1215" s="27" t="s">
        <v>1449</v>
      </c>
      <c r="D1215" s="27" t="s">
        <v>1450</v>
      </c>
      <c r="F1215" s="27" t="s">
        <v>1453</v>
      </c>
      <c r="H1215" s="27" t="s">
        <v>1454</v>
      </c>
      <c r="J1215" s="27" t="s">
        <v>3831</v>
      </c>
      <c r="L1215" s="27" t="s">
        <v>3841</v>
      </c>
      <c r="M1215" s="27" t="s">
        <v>3847</v>
      </c>
      <c r="N1215" s="27" t="s">
        <v>3848</v>
      </c>
      <c r="P1215" s="27" t="s">
        <v>21719</v>
      </c>
      <c r="Q1215" s="26" t="str">
        <f>HYPERLINK("https://ictv.global/taxonomy/taxondetails?taxnode_id=202522572&amp;ictv_id=ICTV202522572","ICTV202522572")</f>
        <v>ICTV202522572</v>
      </c>
      <c r="R1215" t="s">
        <v>579</v>
      </c>
      <c r="S1215" t="s">
        <v>823</v>
      </c>
      <c r="T1215">
        <v>41</v>
      </c>
      <c r="U1215" s="26" t="str">
        <f>HYPERLINK("https://ictv.global/ictv/proposals/2025.013B.Crassvirales_reorganisation.zip","2025.013B.Crassvirales_reorganisation.zip")</f>
        <v>2025.013B.Crassvirales_reorganisation.zip</v>
      </c>
    </row>
    <row r="1216" spans="1:21">
      <c r="A1216">
        <v>1215</v>
      </c>
      <c r="B1216" s="27" t="s">
        <v>1449</v>
      </c>
      <c r="D1216" s="27" t="s">
        <v>1450</v>
      </c>
      <c r="F1216" s="27" t="s">
        <v>1453</v>
      </c>
      <c r="H1216" s="27" t="s">
        <v>1454</v>
      </c>
      <c r="J1216" s="27" t="s">
        <v>3831</v>
      </c>
      <c r="L1216" s="27" t="s">
        <v>3841</v>
      </c>
      <c r="M1216" s="27" t="s">
        <v>3847</v>
      </c>
      <c r="N1216" s="27" t="s">
        <v>3848</v>
      </c>
      <c r="P1216" s="27" t="s">
        <v>21718</v>
      </c>
      <c r="Q1216" s="26" t="str">
        <f>HYPERLINK("https://ictv.global/taxonomy/taxondetails?taxnode_id=202522571&amp;ictv_id=ICTV202522571","ICTV202522571")</f>
        <v>ICTV202522571</v>
      </c>
      <c r="R1216" t="s">
        <v>579</v>
      </c>
      <c r="S1216" t="s">
        <v>823</v>
      </c>
      <c r="T1216">
        <v>41</v>
      </c>
      <c r="U1216" s="26" t="str">
        <f>HYPERLINK("https://ictv.global/ictv/proposals/2025.013B.Crassvirales_reorganisation.zip","2025.013B.Crassvirales_reorganisation.zip")</f>
        <v>2025.013B.Crassvirales_reorganisation.zip</v>
      </c>
    </row>
    <row r="1217" spans="1:21">
      <c r="A1217">
        <v>1216</v>
      </c>
      <c r="B1217" s="27" t="s">
        <v>1449</v>
      </c>
      <c r="D1217" s="27" t="s">
        <v>1450</v>
      </c>
      <c r="F1217" s="27" t="s">
        <v>1453</v>
      </c>
      <c r="H1217" s="27" t="s">
        <v>1454</v>
      </c>
      <c r="J1217" s="27" t="s">
        <v>3831</v>
      </c>
      <c r="L1217" s="27" t="s">
        <v>3841</v>
      </c>
      <c r="M1217" s="27" t="s">
        <v>3847</v>
      </c>
      <c r="N1217" s="27" t="s">
        <v>3848</v>
      </c>
      <c r="P1217" s="27" t="s">
        <v>21725</v>
      </c>
      <c r="Q1217" s="26" t="str">
        <f>HYPERLINK("https://ictv.global/taxonomy/taxondetails?taxnode_id=202522578&amp;ictv_id=ICTV202522578","ICTV202522578")</f>
        <v>ICTV202522578</v>
      </c>
      <c r="R1217" t="s">
        <v>579</v>
      </c>
      <c r="S1217" t="s">
        <v>823</v>
      </c>
      <c r="T1217">
        <v>41</v>
      </c>
      <c r="U1217" s="26" t="str">
        <f>HYPERLINK("https://ictv.global/ictv/proposals/2025.013B.Crassvirales_reorganisation.zip","2025.013B.Crassvirales_reorganisation.zip")</f>
        <v>2025.013B.Crassvirales_reorganisation.zip</v>
      </c>
    </row>
    <row r="1218" spans="1:21">
      <c r="A1218">
        <v>1217</v>
      </c>
      <c r="B1218" s="27" t="s">
        <v>1449</v>
      </c>
      <c r="D1218" s="27" t="s">
        <v>1450</v>
      </c>
      <c r="F1218" s="27" t="s">
        <v>1453</v>
      </c>
      <c r="H1218" s="27" t="s">
        <v>1454</v>
      </c>
      <c r="J1218" s="27" t="s">
        <v>3831</v>
      </c>
      <c r="L1218" s="27" t="s">
        <v>3841</v>
      </c>
      <c r="M1218" s="27" t="s">
        <v>3847</v>
      </c>
      <c r="N1218" s="27" t="s">
        <v>3851</v>
      </c>
      <c r="P1218" s="27" t="s">
        <v>3852</v>
      </c>
      <c r="Q1218" s="26" t="str">
        <f>HYPERLINK("https://ictv.global/taxonomy/taxondetails?taxnode_id=202513468&amp;ictv_id=ICTV202113468","ICTV202113468")</f>
        <v>ICTV202113468</v>
      </c>
      <c r="R1218" t="s">
        <v>579</v>
      </c>
      <c r="S1218" t="s">
        <v>823</v>
      </c>
      <c r="T1218">
        <v>37</v>
      </c>
      <c r="U1218" s="26" t="str">
        <f>HYPERLINK("https://ictv.global/ictv/proposals/2021.022B.R.Crassvirales.zip","2021.022B.R.Crassvirales.zip")</f>
        <v>2021.022B.R.Crassvirales.zip</v>
      </c>
    </row>
    <row r="1219" spans="1:21">
      <c r="A1219">
        <v>1218</v>
      </c>
      <c r="B1219" s="27" t="s">
        <v>1449</v>
      </c>
      <c r="D1219" s="27" t="s">
        <v>1450</v>
      </c>
      <c r="F1219" s="27" t="s">
        <v>1453</v>
      </c>
      <c r="H1219" s="27" t="s">
        <v>1454</v>
      </c>
      <c r="J1219" s="27" t="s">
        <v>3831</v>
      </c>
      <c r="L1219" s="27" t="s">
        <v>3841</v>
      </c>
      <c r="M1219" s="27" t="s">
        <v>3847</v>
      </c>
      <c r="N1219" s="27" t="s">
        <v>3853</v>
      </c>
      <c r="P1219" s="27" t="s">
        <v>3854</v>
      </c>
      <c r="Q1219" s="26" t="str">
        <f>HYPERLINK("https://ictv.global/taxonomy/taxondetails?taxnode_id=202513470&amp;ictv_id=ICTV202113470","ICTV202113470")</f>
        <v>ICTV202113470</v>
      </c>
      <c r="R1219" t="s">
        <v>579</v>
      </c>
      <c r="S1219" t="s">
        <v>823</v>
      </c>
      <c r="T1219">
        <v>37</v>
      </c>
      <c r="U1219" s="26" t="str">
        <f>HYPERLINK("https://ictv.global/ictv/proposals/2021.022B.R.Crassvirales.zip","2021.022B.R.Crassvirales.zip")</f>
        <v>2021.022B.R.Crassvirales.zip</v>
      </c>
    </row>
    <row r="1220" spans="1:21">
      <c r="A1220">
        <v>1219</v>
      </c>
      <c r="B1220" s="27" t="s">
        <v>1449</v>
      </c>
      <c r="D1220" s="27" t="s">
        <v>1450</v>
      </c>
      <c r="F1220" s="27" t="s">
        <v>1453</v>
      </c>
      <c r="H1220" s="27" t="s">
        <v>1454</v>
      </c>
      <c r="J1220" s="27" t="s">
        <v>3831</v>
      </c>
      <c r="L1220" s="27" t="s">
        <v>3841</v>
      </c>
      <c r="M1220" s="27" t="s">
        <v>3847</v>
      </c>
      <c r="N1220" s="27" t="s">
        <v>3853</v>
      </c>
      <c r="P1220" s="27" t="s">
        <v>3855</v>
      </c>
      <c r="Q1220" s="26" t="str">
        <f>HYPERLINK("https://ictv.global/taxonomy/taxondetails?taxnode_id=202513471&amp;ictv_id=ICTV202113471","ICTV202113471")</f>
        <v>ICTV202113471</v>
      </c>
      <c r="R1220" t="s">
        <v>579</v>
      </c>
      <c r="S1220" t="s">
        <v>823</v>
      </c>
      <c r="T1220">
        <v>37</v>
      </c>
      <c r="U1220" s="26" t="str">
        <f>HYPERLINK("https://ictv.global/ictv/proposals/2021.022B.R.Crassvirales.zip","2021.022B.R.Crassvirales.zip")</f>
        <v>2021.022B.R.Crassvirales.zip</v>
      </c>
    </row>
    <row r="1221" spans="1:21">
      <c r="A1221">
        <v>1220</v>
      </c>
      <c r="B1221" s="27" t="s">
        <v>1449</v>
      </c>
      <c r="D1221" s="27" t="s">
        <v>1450</v>
      </c>
      <c r="F1221" s="27" t="s">
        <v>1453</v>
      </c>
      <c r="H1221" s="27" t="s">
        <v>1454</v>
      </c>
      <c r="J1221" s="27" t="s">
        <v>3831</v>
      </c>
      <c r="L1221" s="27" t="s">
        <v>3841</v>
      </c>
      <c r="M1221" s="27" t="s">
        <v>3847</v>
      </c>
      <c r="N1221" s="27" t="s">
        <v>3853</v>
      </c>
      <c r="P1221" s="27" t="s">
        <v>3856</v>
      </c>
      <c r="Q1221" s="26" t="str">
        <f>HYPERLINK("https://ictv.global/taxonomy/taxondetails?taxnode_id=202513472&amp;ictv_id=ICTV202113472","ICTV202113472")</f>
        <v>ICTV202113472</v>
      </c>
      <c r="R1221" t="s">
        <v>579</v>
      </c>
      <c r="S1221" t="s">
        <v>823</v>
      </c>
      <c r="T1221">
        <v>37</v>
      </c>
      <c r="U1221" s="26" t="str">
        <f>HYPERLINK("https://ictv.global/ictv/proposals/2021.022B.R.Crassvirales.zip","2021.022B.R.Crassvirales.zip")</f>
        <v>2021.022B.R.Crassvirales.zip</v>
      </c>
    </row>
    <row r="1222" spans="1:21">
      <c r="A1222">
        <v>1221</v>
      </c>
      <c r="B1222" s="27" t="s">
        <v>1449</v>
      </c>
      <c r="D1222" s="27" t="s">
        <v>1450</v>
      </c>
      <c r="F1222" s="27" t="s">
        <v>1453</v>
      </c>
      <c r="H1222" s="27" t="s">
        <v>1454</v>
      </c>
      <c r="J1222" s="27" t="s">
        <v>3831</v>
      </c>
      <c r="L1222" s="27" t="s">
        <v>3841</v>
      </c>
      <c r="M1222" s="27" t="s">
        <v>3847</v>
      </c>
      <c r="N1222" s="27" t="s">
        <v>3857</v>
      </c>
      <c r="P1222" s="27" t="s">
        <v>21740</v>
      </c>
      <c r="Q1222" s="26" t="str">
        <f>HYPERLINK("https://ictv.global/taxonomy/taxondetails?taxnode_id=202522588&amp;ictv_id=ICTV202522588","ICTV202522588")</f>
        <v>ICTV202522588</v>
      </c>
      <c r="R1222" t="s">
        <v>579</v>
      </c>
      <c r="S1222" t="s">
        <v>823</v>
      </c>
      <c r="T1222">
        <v>41</v>
      </c>
      <c r="U1222" s="26" t="str">
        <f>HYPERLINK("https://ictv.global/ictv/proposals/2025.013B.Crassvirales_reorganisation.zip","2025.013B.Crassvirales_reorganisation.zip")</f>
        <v>2025.013B.Crassvirales_reorganisation.zip</v>
      </c>
    </row>
    <row r="1223" spans="1:21">
      <c r="A1223">
        <v>1222</v>
      </c>
      <c r="B1223" s="27" t="s">
        <v>1449</v>
      </c>
      <c r="D1223" s="27" t="s">
        <v>1450</v>
      </c>
      <c r="F1223" s="27" t="s">
        <v>1453</v>
      </c>
      <c r="H1223" s="27" t="s">
        <v>1454</v>
      </c>
      <c r="J1223" s="27" t="s">
        <v>3831</v>
      </c>
      <c r="L1223" s="27" t="s">
        <v>3841</v>
      </c>
      <c r="M1223" s="27" t="s">
        <v>3847</v>
      </c>
      <c r="N1223" s="27" t="s">
        <v>3857</v>
      </c>
      <c r="P1223" s="27" t="s">
        <v>3858</v>
      </c>
      <c r="Q1223" s="26" t="str">
        <f>HYPERLINK("https://ictv.global/taxonomy/taxondetails?taxnode_id=202513473&amp;ictv_id=ICTV202113473","ICTV202113473")</f>
        <v>ICTV202113473</v>
      </c>
      <c r="R1223" t="s">
        <v>579</v>
      </c>
      <c r="S1223" t="s">
        <v>823</v>
      </c>
      <c r="T1223">
        <v>37</v>
      </c>
      <c r="U1223" s="26" t="str">
        <f>HYPERLINK("https://ictv.global/ictv/proposals/2021.022B.R.Crassvirales.zip","2021.022B.R.Crassvirales.zip")</f>
        <v>2021.022B.R.Crassvirales.zip</v>
      </c>
    </row>
    <row r="1224" spans="1:21">
      <c r="A1224">
        <v>1223</v>
      </c>
      <c r="B1224" s="27" t="s">
        <v>1449</v>
      </c>
      <c r="D1224" s="27" t="s">
        <v>1450</v>
      </c>
      <c r="F1224" s="27" t="s">
        <v>1453</v>
      </c>
      <c r="H1224" s="27" t="s">
        <v>1454</v>
      </c>
      <c r="J1224" s="27" t="s">
        <v>3831</v>
      </c>
      <c r="L1224" s="27" t="s">
        <v>3841</v>
      </c>
      <c r="M1224" s="27" t="s">
        <v>3847</v>
      </c>
      <c r="N1224" s="27" t="s">
        <v>3857</v>
      </c>
      <c r="P1224" s="27" t="s">
        <v>3859</v>
      </c>
      <c r="Q1224" s="26" t="str">
        <f>HYPERLINK("https://ictv.global/taxonomy/taxondetails?taxnode_id=202513474&amp;ictv_id=ICTV202113474","ICTV202113474")</f>
        <v>ICTV202113474</v>
      </c>
      <c r="R1224" t="s">
        <v>579</v>
      </c>
      <c r="S1224" t="s">
        <v>823</v>
      </c>
      <c r="T1224">
        <v>37</v>
      </c>
      <c r="U1224" s="26" t="str">
        <f>HYPERLINK("https://ictv.global/ictv/proposals/2021.022B.R.Crassvirales.zip","2021.022B.R.Crassvirales.zip")</f>
        <v>2021.022B.R.Crassvirales.zip</v>
      </c>
    </row>
    <row r="1225" spans="1:21">
      <c r="A1225">
        <v>1224</v>
      </c>
      <c r="B1225" s="27" t="s">
        <v>1449</v>
      </c>
      <c r="D1225" s="27" t="s">
        <v>1450</v>
      </c>
      <c r="F1225" s="27" t="s">
        <v>1453</v>
      </c>
      <c r="H1225" s="27" t="s">
        <v>1454</v>
      </c>
      <c r="J1225" s="27" t="s">
        <v>3831</v>
      </c>
      <c r="L1225" s="27" t="s">
        <v>3841</v>
      </c>
      <c r="M1225" s="27" t="s">
        <v>3847</v>
      </c>
      <c r="N1225" s="27" t="s">
        <v>3860</v>
      </c>
      <c r="P1225" s="27" t="s">
        <v>3861</v>
      </c>
      <c r="Q1225" s="26" t="str">
        <f>HYPERLINK("https://ictv.global/taxonomy/taxondetails?taxnode_id=202513475&amp;ictv_id=ICTV202113475","ICTV202113475")</f>
        <v>ICTV202113475</v>
      </c>
      <c r="R1225" t="s">
        <v>579</v>
      </c>
      <c r="S1225" t="s">
        <v>823</v>
      </c>
      <c r="T1225">
        <v>37</v>
      </c>
      <c r="U1225" s="26" t="str">
        <f>HYPERLINK("https://ictv.global/ictv/proposals/2021.022B.R.Crassvirales.zip","2021.022B.R.Crassvirales.zip")</f>
        <v>2021.022B.R.Crassvirales.zip</v>
      </c>
    </row>
    <row r="1226" spans="1:21">
      <c r="A1226">
        <v>1225</v>
      </c>
      <c r="B1226" s="27" t="s">
        <v>1449</v>
      </c>
      <c r="D1226" s="27" t="s">
        <v>1450</v>
      </c>
      <c r="F1226" s="27" t="s">
        <v>1453</v>
      </c>
      <c r="H1226" s="27" t="s">
        <v>1454</v>
      </c>
      <c r="J1226" s="27" t="s">
        <v>3831</v>
      </c>
      <c r="L1226" s="27" t="s">
        <v>3841</v>
      </c>
      <c r="M1226" s="27" t="s">
        <v>3847</v>
      </c>
      <c r="N1226" s="27" t="s">
        <v>3860</v>
      </c>
      <c r="P1226" s="27" t="s">
        <v>21741</v>
      </c>
      <c r="Q1226" s="26" t="str">
        <f>HYPERLINK("https://ictv.global/taxonomy/taxondetails?taxnode_id=202522589&amp;ictv_id=ICTV202522589","ICTV202522589")</f>
        <v>ICTV202522589</v>
      </c>
      <c r="R1226" t="s">
        <v>579</v>
      </c>
      <c r="S1226" t="s">
        <v>823</v>
      </c>
      <c r="T1226">
        <v>41</v>
      </c>
      <c r="U1226" s="26" t="str">
        <f>HYPERLINK("https://ictv.global/ictv/proposals/2025.013B.Crassvirales_reorganisation.zip","2025.013B.Crassvirales_reorganisation.zip")</f>
        <v>2025.013B.Crassvirales_reorganisation.zip</v>
      </c>
    </row>
    <row r="1227" spans="1:21">
      <c r="A1227">
        <v>1226</v>
      </c>
      <c r="B1227" s="27" t="s">
        <v>1449</v>
      </c>
      <c r="D1227" s="27" t="s">
        <v>1450</v>
      </c>
      <c r="F1227" s="27" t="s">
        <v>1453</v>
      </c>
      <c r="H1227" s="27" t="s">
        <v>1454</v>
      </c>
      <c r="J1227" s="27" t="s">
        <v>3831</v>
      </c>
      <c r="L1227" s="27" t="s">
        <v>3841</v>
      </c>
      <c r="M1227" s="27" t="s">
        <v>3847</v>
      </c>
      <c r="N1227" s="27" t="s">
        <v>3862</v>
      </c>
      <c r="P1227" s="27" t="s">
        <v>3863</v>
      </c>
      <c r="Q1227" s="26" t="str">
        <f>HYPERLINK("https://ictv.global/taxonomy/taxondetails?taxnode_id=202513476&amp;ictv_id=ICTV202113476","ICTV202113476")</f>
        <v>ICTV202113476</v>
      </c>
      <c r="R1227" t="s">
        <v>579</v>
      </c>
      <c r="S1227" t="s">
        <v>823</v>
      </c>
      <c r="T1227">
        <v>37</v>
      </c>
      <c r="U1227" s="26" t="str">
        <f>HYPERLINK("https://ictv.global/ictv/proposals/2021.022B.R.Crassvirales.zip","2021.022B.R.Crassvirales.zip")</f>
        <v>2021.022B.R.Crassvirales.zip</v>
      </c>
    </row>
    <row r="1228" spans="1:21">
      <c r="A1228">
        <v>1227</v>
      </c>
      <c r="B1228" s="27" t="s">
        <v>1449</v>
      </c>
      <c r="D1228" s="27" t="s">
        <v>1450</v>
      </c>
      <c r="F1228" s="27" t="s">
        <v>1453</v>
      </c>
      <c r="H1228" s="27" t="s">
        <v>1454</v>
      </c>
      <c r="J1228" s="27" t="s">
        <v>3831</v>
      </c>
      <c r="L1228" s="27" t="s">
        <v>3841</v>
      </c>
      <c r="M1228" s="27" t="s">
        <v>3847</v>
      </c>
      <c r="N1228" s="27" t="s">
        <v>3864</v>
      </c>
      <c r="P1228" s="27" t="s">
        <v>3865</v>
      </c>
      <c r="Q1228" s="26" t="str">
        <f>HYPERLINK("https://ictv.global/taxonomy/taxondetails?taxnode_id=202513500&amp;ictv_id=ICTV202113500","ICTV202113500")</f>
        <v>ICTV202113500</v>
      </c>
      <c r="R1228" t="s">
        <v>579</v>
      </c>
      <c r="S1228" t="s">
        <v>823</v>
      </c>
      <c r="T1228">
        <v>37</v>
      </c>
      <c r="U1228" s="26" t="str">
        <f>HYPERLINK("https://ictv.global/ictv/proposals/2021.022B.R.Crassvirales.zip","2021.022B.R.Crassvirales.zip")</f>
        <v>2021.022B.R.Crassvirales.zip</v>
      </c>
    </row>
    <row r="1229" spans="1:21">
      <c r="A1229">
        <v>1228</v>
      </c>
      <c r="B1229" s="27" t="s">
        <v>1449</v>
      </c>
      <c r="D1229" s="27" t="s">
        <v>1450</v>
      </c>
      <c r="F1229" s="27" t="s">
        <v>1453</v>
      </c>
      <c r="H1229" s="27" t="s">
        <v>1454</v>
      </c>
      <c r="J1229" s="27" t="s">
        <v>3831</v>
      </c>
      <c r="L1229" s="27" t="s">
        <v>3841</v>
      </c>
      <c r="M1229" s="27" t="s">
        <v>3866</v>
      </c>
      <c r="N1229" s="27" t="s">
        <v>3867</v>
      </c>
      <c r="P1229" s="27" t="s">
        <v>3868</v>
      </c>
      <c r="Q1229" s="26" t="str">
        <f>HYPERLINK("https://ictv.global/taxonomy/taxondetails?taxnode_id=202513477&amp;ictv_id=ICTV202113477","ICTV202113477")</f>
        <v>ICTV202113477</v>
      </c>
      <c r="R1229" t="s">
        <v>579</v>
      </c>
      <c r="S1229" t="s">
        <v>823</v>
      </c>
      <c r="T1229">
        <v>37</v>
      </c>
      <c r="U1229" s="26" t="str">
        <f>HYPERLINK("https://ictv.global/ictv/proposals/2021.022B.R.Crassvirales.zip","2021.022B.R.Crassvirales.zip")</f>
        <v>2021.022B.R.Crassvirales.zip</v>
      </c>
    </row>
    <row r="1230" spans="1:21">
      <c r="A1230">
        <v>1229</v>
      </c>
      <c r="B1230" s="27" t="s">
        <v>1449</v>
      </c>
      <c r="D1230" s="27" t="s">
        <v>1450</v>
      </c>
      <c r="F1230" s="27" t="s">
        <v>1453</v>
      </c>
      <c r="H1230" s="27" t="s">
        <v>1454</v>
      </c>
      <c r="J1230" s="27" t="s">
        <v>3831</v>
      </c>
      <c r="L1230" s="27" t="s">
        <v>3841</v>
      </c>
      <c r="M1230" s="27" t="s">
        <v>3866</v>
      </c>
      <c r="N1230" s="27" t="s">
        <v>3867</v>
      </c>
      <c r="P1230" s="27" t="s">
        <v>21746</v>
      </c>
      <c r="Q1230" s="26" t="str">
        <f>HYPERLINK("https://ictv.global/taxonomy/taxondetails?taxnode_id=202522591&amp;ictv_id=ICTV202522591","ICTV202522591")</f>
        <v>ICTV202522591</v>
      </c>
      <c r="R1230" t="s">
        <v>579</v>
      </c>
      <c r="S1230" t="s">
        <v>823</v>
      </c>
      <c r="T1230">
        <v>41</v>
      </c>
      <c r="U1230" s="26" t="str">
        <f>HYPERLINK("https://ictv.global/ictv/proposals/2025.013B.Crassvirales_reorganisation.zip","2025.013B.Crassvirales_reorganisation.zip")</f>
        <v>2025.013B.Crassvirales_reorganisation.zip</v>
      </c>
    </row>
    <row r="1231" spans="1:21">
      <c r="A1231">
        <v>1230</v>
      </c>
      <c r="B1231" s="27" t="s">
        <v>1449</v>
      </c>
      <c r="D1231" s="27" t="s">
        <v>1450</v>
      </c>
      <c r="F1231" s="27" t="s">
        <v>1453</v>
      </c>
      <c r="H1231" s="27" t="s">
        <v>1454</v>
      </c>
      <c r="J1231" s="27" t="s">
        <v>3831</v>
      </c>
      <c r="L1231" s="27" t="s">
        <v>3841</v>
      </c>
      <c r="M1231" s="27" t="s">
        <v>3866</v>
      </c>
      <c r="N1231" s="27" t="s">
        <v>3869</v>
      </c>
      <c r="P1231" s="27" t="s">
        <v>3870</v>
      </c>
      <c r="Q1231" s="26" t="str">
        <f>HYPERLINK("https://ictv.global/taxonomy/taxondetails?taxnode_id=202513478&amp;ictv_id=ICTV202113478","ICTV202113478")</f>
        <v>ICTV202113478</v>
      </c>
      <c r="R1231" t="s">
        <v>579</v>
      </c>
      <c r="S1231" t="s">
        <v>823</v>
      </c>
      <c r="T1231">
        <v>37</v>
      </c>
      <c r="U1231" s="26" t="str">
        <f>HYPERLINK("https://ictv.global/ictv/proposals/2021.022B.R.Crassvirales.zip","2021.022B.R.Crassvirales.zip")</f>
        <v>2021.022B.R.Crassvirales.zip</v>
      </c>
    </row>
    <row r="1232" spans="1:21">
      <c r="A1232">
        <v>1231</v>
      </c>
      <c r="B1232" s="27" t="s">
        <v>1449</v>
      </c>
      <c r="D1232" s="27" t="s">
        <v>1450</v>
      </c>
      <c r="F1232" s="27" t="s">
        <v>1453</v>
      </c>
      <c r="H1232" s="27" t="s">
        <v>1454</v>
      </c>
      <c r="J1232" s="27" t="s">
        <v>3831</v>
      </c>
      <c r="L1232" s="27" t="s">
        <v>3841</v>
      </c>
      <c r="M1232" s="27" t="s">
        <v>3866</v>
      </c>
      <c r="N1232" s="27" t="s">
        <v>3871</v>
      </c>
      <c r="P1232" s="27" t="s">
        <v>3872</v>
      </c>
      <c r="Q1232" s="26" t="str">
        <f>HYPERLINK("https://ictv.global/taxonomy/taxondetails?taxnode_id=202513501&amp;ictv_id=ICTV202113501","ICTV202113501")</f>
        <v>ICTV202113501</v>
      </c>
      <c r="R1232" t="s">
        <v>579</v>
      </c>
      <c r="S1232" t="s">
        <v>823</v>
      </c>
      <c r="T1232">
        <v>37</v>
      </c>
      <c r="U1232" s="26" t="str">
        <f>HYPERLINK("https://ictv.global/ictv/proposals/2021.022B.R.Crassvirales.zip","2021.022B.R.Crassvirales.zip")</f>
        <v>2021.022B.R.Crassvirales.zip</v>
      </c>
    </row>
    <row r="1233" spans="1:21">
      <c r="A1233">
        <v>1232</v>
      </c>
      <c r="B1233" s="27" t="s">
        <v>1449</v>
      </c>
      <c r="D1233" s="27" t="s">
        <v>1450</v>
      </c>
      <c r="F1233" s="27" t="s">
        <v>1453</v>
      </c>
      <c r="H1233" s="27" t="s">
        <v>1454</v>
      </c>
      <c r="J1233" s="27" t="s">
        <v>3831</v>
      </c>
      <c r="L1233" s="27" t="s">
        <v>3841</v>
      </c>
      <c r="N1233" s="27" t="s">
        <v>21738</v>
      </c>
      <c r="P1233" s="27" t="s">
        <v>21739</v>
      </c>
      <c r="Q1233" s="26" t="str">
        <f>HYPERLINK("https://ictv.global/taxonomy/taxondetails?taxnode_id=202522587&amp;ictv_id=ICTV202522587","ICTV202522587")</f>
        <v>ICTV202522587</v>
      </c>
      <c r="R1233" t="s">
        <v>579</v>
      </c>
      <c r="S1233" t="s">
        <v>823</v>
      </c>
      <c r="T1233">
        <v>41</v>
      </c>
      <c r="U1233" s="26" t="str">
        <f>HYPERLINK("https://ictv.global/ictv/proposals/2025.013B.Crassvirales_reorganisation.zip","2025.013B.Crassvirales_reorganisation.zip")</f>
        <v>2025.013B.Crassvirales_reorganisation.zip</v>
      </c>
    </row>
    <row r="1234" spans="1:21">
      <c r="A1234">
        <v>1233</v>
      </c>
      <c r="B1234" s="27" t="s">
        <v>1449</v>
      </c>
      <c r="D1234" s="27" t="s">
        <v>1450</v>
      </c>
      <c r="F1234" s="27" t="s">
        <v>1453</v>
      </c>
      <c r="H1234" s="27" t="s">
        <v>1454</v>
      </c>
      <c r="J1234" s="27" t="s">
        <v>3831</v>
      </c>
      <c r="L1234" s="27" t="s">
        <v>3841</v>
      </c>
      <c r="N1234" s="27" t="s">
        <v>21774</v>
      </c>
      <c r="P1234" s="27" t="s">
        <v>21776</v>
      </c>
      <c r="Q1234" s="26" t="str">
        <f>HYPERLINK("https://ictv.global/taxonomy/taxondetails?taxnode_id=202522615&amp;ictv_id=ICTV202522615","ICTV202522615")</f>
        <v>ICTV202522615</v>
      </c>
      <c r="R1234" t="s">
        <v>579</v>
      </c>
      <c r="S1234" t="s">
        <v>823</v>
      </c>
      <c r="T1234">
        <v>41</v>
      </c>
      <c r="U1234" s="26" t="str">
        <f>HYPERLINK("https://ictv.global/ictv/proposals/2025.013B.Crassvirales_reorganisation.zip","2025.013B.Crassvirales_reorganisation.zip")</f>
        <v>2025.013B.Crassvirales_reorganisation.zip</v>
      </c>
    </row>
    <row r="1235" spans="1:21">
      <c r="A1235">
        <v>1234</v>
      </c>
      <c r="B1235" s="27" t="s">
        <v>1449</v>
      </c>
      <c r="D1235" s="27" t="s">
        <v>1450</v>
      </c>
      <c r="F1235" s="27" t="s">
        <v>1453</v>
      </c>
      <c r="H1235" s="27" t="s">
        <v>1454</v>
      </c>
      <c r="J1235" s="27" t="s">
        <v>3831</v>
      </c>
      <c r="L1235" s="27" t="s">
        <v>3841</v>
      </c>
      <c r="N1235" s="27" t="s">
        <v>21774</v>
      </c>
      <c r="P1235" s="27" t="s">
        <v>21775</v>
      </c>
      <c r="Q1235" s="26" t="str">
        <f>HYPERLINK("https://ictv.global/taxonomy/taxondetails?taxnode_id=202522614&amp;ictv_id=ICTV202522614","ICTV202522614")</f>
        <v>ICTV202522614</v>
      </c>
      <c r="R1235" t="s">
        <v>579</v>
      </c>
      <c r="S1235" t="s">
        <v>823</v>
      </c>
      <c r="T1235">
        <v>41</v>
      </c>
      <c r="U1235" s="26" t="str">
        <f>HYPERLINK("https://ictv.global/ictv/proposals/2025.013B.Crassvirales_reorganisation.zip","2025.013B.Crassvirales_reorganisation.zip")</f>
        <v>2025.013B.Crassvirales_reorganisation.zip</v>
      </c>
    </row>
    <row r="1236" spans="1:21">
      <c r="A1236">
        <v>1235</v>
      </c>
      <c r="B1236" s="27" t="s">
        <v>1449</v>
      </c>
      <c r="D1236" s="27" t="s">
        <v>1450</v>
      </c>
      <c r="F1236" s="27" t="s">
        <v>1453</v>
      </c>
      <c r="H1236" s="27" t="s">
        <v>1454</v>
      </c>
      <c r="J1236" s="27" t="s">
        <v>3831</v>
      </c>
      <c r="L1236" s="27" t="s">
        <v>3841</v>
      </c>
      <c r="N1236" s="27" t="s">
        <v>11277</v>
      </c>
      <c r="P1236" s="27" t="s">
        <v>11278</v>
      </c>
      <c r="Q1236" s="26" t="str">
        <f>HYPERLINK("https://ictv.global/taxonomy/taxondetails?taxnode_id=202518301&amp;ictv_id=ICTV202318301","ICTV202318301")</f>
        <v>ICTV202318301</v>
      </c>
      <c r="R1236" t="s">
        <v>579</v>
      </c>
      <c r="S1236" t="s">
        <v>823</v>
      </c>
      <c r="T1236">
        <v>39</v>
      </c>
      <c r="U1236" s="26" t="str">
        <f>HYPERLINK("https://ictv.global/ictv/proposals/2023.018B.Crassvirales_1ng_3ns.zip","2023.018B.Crassvirales_1ng_3ns.zip")</f>
        <v>2023.018B.Crassvirales_1ng_3ns.zip</v>
      </c>
    </row>
    <row r="1237" spans="1:21">
      <c r="A1237">
        <v>1236</v>
      </c>
      <c r="B1237" s="27" t="s">
        <v>1449</v>
      </c>
      <c r="D1237" s="27" t="s">
        <v>1450</v>
      </c>
      <c r="F1237" s="27" t="s">
        <v>1453</v>
      </c>
      <c r="H1237" s="27" t="s">
        <v>1454</v>
      </c>
      <c r="J1237" s="27" t="s">
        <v>3831</v>
      </c>
      <c r="L1237" s="27" t="s">
        <v>3841</v>
      </c>
      <c r="N1237" s="27" t="s">
        <v>21783</v>
      </c>
      <c r="P1237" s="27" t="s">
        <v>21784</v>
      </c>
      <c r="Q1237" s="26" t="str">
        <f>HYPERLINK("https://ictv.global/taxonomy/taxondetails?taxnode_id=202522621&amp;ictv_id=ICTV202522621","ICTV202522621")</f>
        <v>ICTV202522621</v>
      </c>
      <c r="R1237" t="s">
        <v>579</v>
      </c>
      <c r="S1237" t="s">
        <v>823</v>
      </c>
      <c r="T1237">
        <v>41</v>
      </c>
      <c r="U1237" s="26" t="str">
        <f>HYPERLINK("https://ictv.global/ictv/proposals/2025.013B.Crassvirales_reorganisation.zip","2025.013B.Crassvirales_reorganisation.zip")</f>
        <v>2025.013B.Crassvirales_reorganisation.zip</v>
      </c>
    </row>
    <row r="1238" spans="1:21">
      <c r="A1238">
        <v>1237</v>
      </c>
      <c r="B1238" s="27" t="s">
        <v>1449</v>
      </c>
      <c r="D1238" s="27" t="s">
        <v>1450</v>
      </c>
      <c r="F1238" s="27" t="s">
        <v>1453</v>
      </c>
      <c r="H1238" s="27" t="s">
        <v>1454</v>
      </c>
      <c r="J1238" s="27" t="s">
        <v>3831</v>
      </c>
      <c r="L1238" s="27" t="s">
        <v>3841</v>
      </c>
      <c r="N1238" s="27" t="s">
        <v>21792</v>
      </c>
      <c r="P1238" s="27" t="s">
        <v>21793</v>
      </c>
      <c r="Q1238" s="26" t="str">
        <f>HYPERLINK("https://ictv.global/taxonomy/taxondetails?taxnode_id=202522628&amp;ictv_id=ICTV202522628","ICTV202522628")</f>
        <v>ICTV202522628</v>
      </c>
      <c r="R1238" t="s">
        <v>579</v>
      </c>
      <c r="S1238" t="s">
        <v>823</v>
      </c>
      <c r="T1238">
        <v>41</v>
      </c>
      <c r="U1238" s="26" t="str">
        <f>HYPERLINK("https://ictv.global/ictv/proposals/2025.013B.Crassvirales_reorganisation.zip","2025.013B.Crassvirales_reorganisation.zip")</f>
        <v>2025.013B.Crassvirales_reorganisation.zip</v>
      </c>
    </row>
    <row r="1239" spans="1:21">
      <c r="A1239">
        <v>1238</v>
      </c>
      <c r="B1239" s="27" t="s">
        <v>1449</v>
      </c>
      <c r="D1239" s="27" t="s">
        <v>1450</v>
      </c>
      <c r="F1239" s="27" t="s">
        <v>1453</v>
      </c>
      <c r="H1239" s="27" t="s">
        <v>1454</v>
      </c>
      <c r="J1239" s="27" t="s">
        <v>3831</v>
      </c>
      <c r="L1239" s="27" t="s">
        <v>3841</v>
      </c>
      <c r="N1239" s="27" t="s">
        <v>20946</v>
      </c>
      <c r="P1239" s="27" t="s">
        <v>20947</v>
      </c>
      <c r="Q1239" s="26" t="str">
        <f>HYPERLINK("https://ictv.global/taxonomy/taxondetails?taxnode_id=202513479&amp;ictv_id=ICTV202113479","ICTV202113479")</f>
        <v>ICTV202113479</v>
      </c>
      <c r="R1239" t="s">
        <v>579</v>
      </c>
      <c r="S1239" t="s">
        <v>22764</v>
      </c>
      <c r="T1239">
        <v>41</v>
      </c>
      <c r="U1239" s="26" t="str">
        <f>HYPERLINK("https://ictv.global/ictv/proposals/2025.013B.Crassvirales_reorganisation.zip","2025.013B.Crassvirales_reorganisation.zip")</f>
        <v>2025.013B.Crassvirales_reorganisation.zip</v>
      </c>
    </row>
    <row r="1240" spans="1:21">
      <c r="A1240">
        <v>1239</v>
      </c>
      <c r="B1240" s="27" t="s">
        <v>1449</v>
      </c>
      <c r="D1240" s="27" t="s">
        <v>1450</v>
      </c>
      <c r="F1240" s="27" t="s">
        <v>1453</v>
      </c>
      <c r="H1240" s="27" t="s">
        <v>1454</v>
      </c>
      <c r="J1240" s="27" t="s">
        <v>3831</v>
      </c>
      <c r="L1240" s="27" t="s">
        <v>3873</v>
      </c>
      <c r="M1240" s="27" t="s">
        <v>3874</v>
      </c>
      <c r="N1240" s="27" t="s">
        <v>3875</v>
      </c>
      <c r="P1240" s="27" t="s">
        <v>3876</v>
      </c>
      <c r="Q1240" s="26" t="str">
        <f>HYPERLINK("https://ictv.global/taxonomy/taxondetails?taxnode_id=202513433&amp;ictv_id=ICTV202113433","ICTV202113433")</f>
        <v>ICTV202113433</v>
      </c>
      <c r="R1240" t="s">
        <v>579</v>
      </c>
      <c r="S1240" t="s">
        <v>823</v>
      </c>
      <c r="T1240">
        <v>37</v>
      </c>
      <c r="U1240" s="26" t="str">
        <f>HYPERLINK("https://ictv.global/ictv/proposals/2021.022B.R.Crassvirales.zip","2021.022B.R.Crassvirales.zip")</f>
        <v>2021.022B.R.Crassvirales.zip</v>
      </c>
    </row>
    <row r="1241" spans="1:21">
      <c r="A1241">
        <v>1240</v>
      </c>
      <c r="B1241" s="27" t="s">
        <v>1449</v>
      </c>
      <c r="D1241" s="27" t="s">
        <v>1450</v>
      </c>
      <c r="F1241" s="27" t="s">
        <v>1453</v>
      </c>
      <c r="H1241" s="27" t="s">
        <v>1454</v>
      </c>
      <c r="J1241" s="27" t="s">
        <v>3831</v>
      </c>
      <c r="L1241" s="27" t="s">
        <v>3873</v>
      </c>
      <c r="M1241" s="27" t="s">
        <v>3874</v>
      </c>
      <c r="N1241" s="27" t="s">
        <v>3877</v>
      </c>
      <c r="P1241" s="27" t="s">
        <v>3878</v>
      </c>
      <c r="Q1241" s="26" t="str">
        <f>HYPERLINK("https://ictv.global/taxonomy/taxondetails?taxnode_id=202513485&amp;ictv_id=ICTV202113485","ICTV202113485")</f>
        <v>ICTV202113485</v>
      </c>
      <c r="R1241" t="s">
        <v>579</v>
      </c>
      <c r="S1241" t="s">
        <v>823</v>
      </c>
      <c r="T1241">
        <v>37</v>
      </c>
      <c r="U1241" s="26" t="str">
        <f>HYPERLINK("https://ictv.global/ictv/proposals/2021.022B.R.Crassvirales.zip","2021.022B.R.Crassvirales.zip")</f>
        <v>2021.022B.R.Crassvirales.zip</v>
      </c>
    </row>
    <row r="1242" spans="1:21">
      <c r="A1242">
        <v>1241</v>
      </c>
      <c r="B1242" s="27" t="s">
        <v>1449</v>
      </c>
      <c r="D1242" s="27" t="s">
        <v>1450</v>
      </c>
      <c r="F1242" s="27" t="s">
        <v>1453</v>
      </c>
      <c r="H1242" s="27" t="s">
        <v>1454</v>
      </c>
      <c r="J1242" s="27" t="s">
        <v>3831</v>
      </c>
      <c r="L1242" s="27" t="s">
        <v>3873</v>
      </c>
      <c r="M1242" s="27" t="s">
        <v>3874</v>
      </c>
      <c r="N1242" s="27" t="s">
        <v>3879</v>
      </c>
      <c r="P1242" s="27" t="s">
        <v>21759</v>
      </c>
      <c r="Q1242" s="26" t="str">
        <f>HYPERLINK("https://ictv.global/taxonomy/taxondetails?taxnode_id=202522602&amp;ictv_id=ICTV202522602","ICTV202522602")</f>
        <v>ICTV202522602</v>
      </c>
      <c r="R1242" t="s">
        <v>579</v>
      </c>
      <c r="S1242" t="s">
        <v>823</v>
      </c>
      <c r="T1242">
        <v>41</v>
      </c>
      <c r="U1242" s="26" t="str">
        <f t="shared" ref="U1242:U1247" si="38">HYPERLINK("https://ictv.global/ictv/proposals/2025.013B.Crassvirales_reorganisation.zip","2025.013B.Crassvirales_reorganisation.zip")</f>
        <v>2025.013B.Crassvirales_reorganisation.zip</v>
      </c>
    </row>
    <row r="1243" spans="1:21">
      <c r="A1243">
        <v>1242</v>
      </c>
      <c r="B1243" s="27" t="s">
        <v>1449</v>
      </c>
      <c r="D1243" s="27" t="s">
        <v>1450</v>
      </c>
      <c r="F1243" s="27" t="s">
        <v>1453</v>
      </c>
      <c r="H1243" s="27" t="s">
        <v>1454</v>
      </c>
      <c r="J1243" s="27" t="s">
        <v>3831</v>
      </c>
      <c r="L1243" s="27" t="s">
        <v>3873</v>
      </c>
      <c r="M1243" s="27" t="s">
        <v>3874</v>
      </c>
      <c r="N1243" s="27" t="s">
        <v>3879</v>
      </c>
      <c r="P1243" s="27" t="s">
        <v>21760</v>
      </c>
      <c r="Q1243" s="26" t="str">
        <f>HYPERLINK("https://ictv.global/taxonomy/taxondetails?taxnode_id=202522603&amp;ictv_id=ICTV202522603","ICTV202522603")</f>
        <v>ICTV202522603</v>
      </c>
      <c r="R1243" t="s">
        <v>579</v>
      </c>
      <c r="S1243" t="s">
        <v>823</v>
      </c>
      <c r="T1243">
        <v>41</v>
      </c>
      <c r="U1243" s="26" t="str">
        <f t="shared" si="38"/>
        <v>2025.013B.Crassvirales_reorganisation.zip</v>
      </c>
    </row>
    <row r="1244" spans="1:21">
      <c r="A1244">
        <v>1243</v>
      </c>
      <c r="B1244" s="27" t="s">
        <v>1449</v>
      </c>
      <c r="D1244" s="27" t="s">
        <v>1450</v>
      </c>
      <c r="F1244" s="27" t="s">
        <v>1453</v>
      </c>
      <c r="H1244" s="27" t="s">
        <v>1454</v>
      </c>
      <c r="J1244" s="27" t="s">
        <v>3831</v>
      </c>
      <c r="L1244" s="27" t="s">
        <v>3873</v>
      </c>
      <c r="M1244" s="27" t="s">
        <v>3874</v>
      </c>
      <c r="N1244" s="27" t="s">
        <v>3879</v>
      </c>
      <c r="P1244" s="27" t="s">
        <v>21761</v>
      </c>
      <c r="Q1244" s="26" t="str">
        <f>HYPERLINK("https://ictv.global/taxonomy/taxondetails?taxnode_id=202522604&amp;ictv_id=ICTV202522604","ICTV202522604")</f>
        <v>ICTV202522604</v>
      </c>
      <c r="R1244" t="s">
        <v>579</v>
      </c>
      <c r="S1244" t="s">
        <v>823</v>
      </c>
      <c r="T1244">
        <v>41</v>
      </c>
      <c r="U1244" s="26" t="str">
        <f t="shared" si="38"/>
        <v>2025.013B.Crassvirales_reorganisation.zip</v>
      </c>
    </row>
    <row r="1245" spans="1:21">
      <c r="A1245">
        <v>1244</v>
      </c>
      <c r="B1245" s="27" t="s">
        <v>1449</v>
      </c>
      <c r="D1245" s="27" t="s">
        <v>1450</v>
      </c>
      <c r="F1245" s="27" t="s">
        <v>1453</v>
      </c>
      <c r="H1245" s="27" t="s">
        <v>1454</v>
      </c>
      <c r="J1245" s="27" t="s">
        <v>3831</v>
      </c>
      <c r="L1245" s="27" t="s">
        <v>3873</v>
      </c>
      <c r="M1245" s="27" t="s">
        <v>3874</v>
      </c>
      <c r="N1245" s="27" t="s">
        <v>3879</v>
      </c>
      <c r="P1245" s="27" t="s">
        <v>21758</v>
      </c>
      <c r="Q1245" s="26" t="str">
        <f>HYPERLINK("https://ictv.global/taxonomy/taxondetails?taxnode_id=202522601&amp;ictv_id=ICTV202522601","ICTV202522601")</f>
        <v>ICTV202522601</v>
      </c>
      <c r="R1245" t="s">
        <v>579</v>
      </c>
      <c r="S1245" t="s">
        <v>823</v>
      </c>
      <c r="T1245">
        <v>41</v>
      </c>
      <c r="U1245" s="26" t="str">
        <f t="shared" si="38"/>
        <v>2025.013B.Crassvirales_reorganisation.zip</v>
      </c>
    </row>
    <row r="1246" spans="1:21">
      <c r="A1246">
        <v>1245</v>
      </c>
      <c r="B1246" s="27" t="s">
        <v>1449</v>
      </c>
      <c r="D1246" s="27" t="s">
        <v>1450</v>
      </c>
      <c r="F1246" s="27" t="s">
        <v>1453</v>
      </c>
      <c r="H1246" s="27" t="s">
        <v>1454</v>
      </c>
      <c r="J1246" s="27" t="s">
        <v>3831</v>
      </c>
      <c r="L1246" s="27" t="s">
        <v>3873</v>
      </c>
      <c r="M1246" s="27" t="s">
        <v>3874</v>
      </c>
      <c r="N1246" s="27" t="s">
        <v>3879</v>
      </c>
      <c r="P1246" s="27" t="s">
        <v>21763</v>
      </c>
      <c r="Q1246" s="26" t="str">
        <f>HYPERLINK("https://ictv.global/taxonomy/taxondetails?taxnode_id=202522606&amp;ictv_id=ICTV202522606","ICTV202522606")</f>
        <v>ICTV202522606</v>
      </c>
      <c r="R1246" t="s">
        <v>579</v>
      </c>
      <c r="S1246" t="s">
        <v>823</v>
      </c>
      <c r="T1246">
        <v>41</v>
      </c>
      <c r="U1246" s="26" t="str">
        <f t="shared" si="38"/>
        <v>2025.013B.Crassvirales_reorganisation.zip</v>
      </c>
    </row>
    <row r="1247" spans="1:21">
      <c r="A1247">
        <v>1246</v>
      </c>
      <c r="B1247" s="27" t="s">
        <v>1449</v>
      </c>
      <c r="D1247" s="27" t="s">
        <v>1450</v>
      </c>
      <c r="F1247" s="27" t="s">
        <v>1453</v>
      </c>
      <c r="H1247" s="27" t="s">
        <v>1454</v>
      </c>
      <c r="J1247" s="27" t="s">
        <v>3831</v>
      </c>
      <c r="L1247" s="27" t="s">
        <v>3873</v>
      </c>
      <c r="M1247" s="27" t="s">
        <v>3874</v>
      </c>
      <c r="N1247" s="27" t="s">
        <v>3879</v>
      </c>
      <c r="P1247" s="27" t="s">
        <v>21762</v>
      </c>
      <c r="Q1247" s="26" t="str">
        <f>HYPERLINK("https://ictv.global/taxonomy/taxondetails?taxnode_id=202522605&amp;ictv_id=ICTV202522605","ICTV202522605")</f>
        <v>ICTV202522605</v>
      </c>
      <c r="R1247" t="s">
        <v>579</v>
      </c>
      <c r="S1247" t="s">
        <v>823</v>
      </c>
      <c r="T1247">
        <v>41</v>
      </c>
      <c r="U1247" s="26" t="str">
        <f t="shared" si="38"/>
        <v>2025.013B.Crassvirales_reorganisation.zip</v>
      </c>
    </row>
    <row r="1248" spans="1:21">
      <c r="A1248">
        <v>1247</v>
      </c>
      <c r="B1248" s="27" t="s">
        <v>1449</v>
      </c>
      <c r="D1248" s="27" t="s">
        <v>1450</v>
      </c>
      <c r="F1248" s="27" t="s">
        <v>1453</v>
      </c>
      <c r="H1248" s="27" t="s">
        <v>1454</v>
      </c>
      <c r="J1248" s="27" t="s">
        <v>3831</v>
      </c>
      <c r="L1248" s="27" t="s">
        <v>3873</v>
      </c>
      <c r="M1248" s="27" t="s">
        <v>3874</v>
      </c>
      <c r="N1248" s="27" t="s">
        <v>3879</v>
      </c>
      <c r="P1248" s="27" t="s">
        <v>3880</v>
      </c>
      <c r="Q1248" s="26" t="str">
        <f>HYPERLINK("https://ictv.global/taxonomy/taxondetails?taxnode_id=202513489&amp;ictv_id=ICTV202113489","ICTV202113489")</f>
        <v>ICTV202113489</v>
      </c>
      <c r="R1248" t="s">
        <v>579</v>
      </c>
      <c r="S1248" t="s">
        <v>823</v>
      </c>
      <c r="T1248">
        <v>37</v>
      </c>
      <c r="U1248" s="26" t="str">
        <f>HYPERLINK("https://ictv.global/ictv/proposals/2021.022B.R.Crassvirales.zip","2021.022B.R.Crassvirales.zip")</f>
        <v>2021.022B.R.Crassvirales.zip</v>
      </c>
    </row>
    <row r="1249" spans="1:21">
      <c r="A1249">
        <v>1248</v>
      </c>
      <c r="B1249" s="27" t="s">
        <v>1449</v>
      </c>
      <c r="D1249" s="27" t="s">
        <v>1450</v>
      </c>
      <c r="F1249" s="27" t="s">
        <v>1453</v>
      </c>
      <c r="H1249" s="27" t="s">
        <v>1454</v>
      </c>
      <c r="J1249" s="27" t="s">
        <v>3831</v>
      </c>
      <c r="L1249" s="27" t="s">
        <v>3873</v>
      </c>
      <c r="M1249" s="27" t="s">
        <v>3874</v>
      </c>
      <c r="N1249" s="27" t="s">
        <v>3879</v>
      </c>
      <c r="P1249" s="27" t="s">
        <v>11279</v>
      </c>
      <c r="Q1249" s="26" t="str">
        <f>HYPERLINK("https://ictv.global/taxonomy/taxondetails?taxnode_id=202518299&amp;ictv_id=ICTV202318299","ICTV202318299")</f>
        <v>ICTV202318299</v>
      </c>
      <c r="R1249" t="s">
        <v>579</v>
      </c>
      <c r="S1249" t="s">
        <v>823</v>
      </c>
      <c r="T1249">
        <v>39</v>
      </c>
      <c r="U1249" s="26" t="str">
        <f>HYPERLINK("https://ictv.global/ictv/proposals/2023.018B.Crassvirales_1ng_3ns.zip","2023.018B.Crassvirales_1ng_3ns.zip")</f>
        <v>2023.018B.Crassvirales_1ng_3ns.zip</v>
      </c>
    </row>
    <row r="1250" spans="1:21">
      <c r="A1250">
        <v>1249</v>
      </c>
      <c r="B1250" s="27" t="s">
        <v>1449</v>
      </c>
      <c r="D1250" s="27" t="s">
        <v>1450</v>
      </c>
      <c r="F1250" s="27" t="s">
        <v>1453</v>
      </c>
      <c r="H1250" s="27" t="s">
        <v>1454</v>
      </c>
      <c r="J1250" s="27" t="s">
        <v>3831</v>
      </c>
      <c r="L1250" s="27" t="s">
        <v>3873</v>
      </c>
      <c r="M1250" s="27" t="s">
        <v>3874</v>
      </c>
      <c r="N1250" s="27" t="s">
        <v>3881</v>
      </c>
      <c r="P1250" s="27" t="s">
        <v>3882</v>
      </c>
      <c r="Q1250" s="26" t="str">
        <f>HYPERLINK("https://ictv.global/taxonomy/taxondetails?taxnode_id=202513491&amp;ictv_id=ICTV202113491","ICTV202113491")</f>
        <v>ICTV202113491</v>
      </c>
      <c r="R1250" t="s">
        <v>579</v>
      </c>
      <c r="S1250" t="s">
        <v>823</v>
      </c>
      <c r="T1250">
        <v>37</v>
      </c>
      <c r="U1250" s="26" t="str">
        <f>HYPERLINK("https://ictv.global/ictv/proposals/2021.022B.R.Crassvirales.zip","2021.022B.R.Crassvirales.zip")</f>
        <v>2021.022B.R.Crassvirales.zip</v>
      </c>
    </row>
    <row r="1251" spans="1:21">
      <c r="A1251">
        <v>1250</v>
      </c>
      <c r="B1251" s="27" t="s">
        <v>1449</v>
      </c>
      <c r="D1251" s="27" t="s">
        <v>1450</v>
      </c>
      <c r="F1251" s="27" t="s">
        <v>1453</v>
      </c>
      <c r="H1251" s="27" t="s">
        <v>1454</v>
      </c>
      <c r="J1251" s="27" t="s">
        <v>3831</v>
      </c>
      <c r="L1251" s="27" t="s">
        <v>3873</v>
      </c>
      <c r="M1251" s="27" t="s">
        <v>3874</v>
      </c>
      <c r="N1251" s="27" t="s">
        <v>3881</v>
      </c>
      <c r="P1251" s="27" t="s">
        <v>11280</v>
      </c>
      <c r="Q1251" s="26" t="str">
        <f>HYPERLINK("https://ictv.global/taxonomy/taxondetails?taxnode_id=202518300&amp;ictv_id=ICTV202318300","ICTV202318300")</f>
        <v>ICTV202318300</v>
      </c>
      <c r="R1251" t="s">
        <v>579</v>
      </c>
      <c r="S1251" t="s">
        <v>823</v>
      </c>
      <c r="T1251">
        <v>39</v>
      </c>
      <c r="U1251" s="26" t="str">
        <f>HYPERLINK("https://ictv.global/ictv/proposals/2023.018B.Crassvirales_1ng_3ns.zip","2023.018B.Crassvirales_1ng_3ns.zip")</f>
        <v>2023.018B.Crassvirales_1ng_3ns.zip</v>
      </c>
    </row>
    <row r="1252" spans="1:21">
      <c r="A1252">
        <v>1251</v>
      </c>
      <c r="B1252" s="27" t="s">
        <v>1449</v>
      </c>
      <c r="D1252" s="27" t="s">
        <v>1450</v>
      </c>
      <c r="F1252" s="27" t="s">
        <v>1453</v>
      </c>
      <c r="H1252" s="27" t="s">
        <v>1454</v>
      </c>
      <c r="J1252" s="27" t="s">
        <v>3831</v>
      </c>
      <c r="L1252" s="27" t="s">
        <v>3873</v>
      </c>
      <c r="M1252" s="27" t="s">
        <v>3874</v>
      </c>
      <c r="N1252" s="27" t="s">
        <v>3881</v>
      </c>
      <c r="P1252" s="27" t="s">
        <v>3883</v>
      </c>
      <c r="Q1252" s="26" t="str">
        <f>HYPERLINK("https://ictv.global/taxonomy/taxondetails?taxnode_id=202513492&amp;ictv_id=ICTV202113492","ICTV202113492")</f>
        <v>ICTV202113492</v>
      </c>
      <c r="R1252" t="s">
        <v>579</v>
      </c>
      <c r="S1252" t="s">
        <v>823</v>
      </c>
      <c r="T1252">
        <v>37</v>
      </c>
      <c r="U1252" s="26" t="str">
        <f>HYPERLINK("https://ictv.global/ictv/proposals/2021.022B.R.Crassvirales.zip","2021.022B.R.Crassvirales.zip")</f>
        <v>2021.022B.R.Crassvirales.zip</v>
      </c>
    </row>
    <row r="1253" spans="1:21">
      <c r="A1253">
        <v>1252</v>
      </c>
      <c r="B1253" s="27" t="s">
        <v>1449</v>
      </c>
      <c r="D1253" s="27" t="s">
        <v>1450</v>
      </c>
      <c r="F1253" s="27" t="s">
        <v>1453</v>
      </c>
      <c r="H1253" s="27" t="s">
        <v>1454</v>
      </c>
      <c r="J1253" s="27" t="s">
        <v>3831</v>
      </c>
      <c r="L1253" s="27" t="s">
        <v>3873</v>
      </c>
      <c r="M1253" s="27" t="s">
        <v>3874</v>
      </c>
      <c r="N1253" s="27" t="s">
        <v>3884</v>
      </c>
      <c r="P1253" s="27" t="s">
        <v>3885</v>
      </c>
      <c r="Q1253" s="26" t="str">
        <f>HYPERLINK("https://ictv.global/taxonomy/taxondetails?taxnode_id=202513493&amp;ictv_id=ICTV202113493","ICTV202113493")</f>
        <v>ICTV202113493</v>
      </c>
      <c r="R1253" t="s">
        <v>579</v>
      </c>
      <c r="S1253" t="s">
        <v>823</v>
      </c>
      <c r="T1253">
        <v>37</v>
      </c>
      <c r="U1253" s="26" t="str">
        <f>HYPERLINK("https://ictv.global/ictv/proposals/2021.022B.R.Crassvirales.zip","2021.022B.R.Crassvirales.zip")</f>
        <v>2021.022B.R.Crassvirales.zip</v>
      </c>
    </row>
    <row r="1254" spans="1:21">
      <c r="A1254">
        <v>1253</v>
      </c>
      <c r="B1254" s="27" t="s">
        <v>1449</v>
      </c>
      <c r="D1254" s="27" t="s">
        <v>1450</v>
      </c>
      <c r="F1254" s="27" t="s">
        <v>1453</v>
      </c>
      <c r="H1254" s="27" t="s">
        <v>1454</v>
      </c>
      <c r="J1254" s="27" t="s">
        <v>3831</v>
      </c>
      <c r="L1254" s="27" t="s">
        <v>3873</v>
      </c>
      <c r="M1254" s="27" t="s">
        <v>3874</v>
      </c>
      <c r="N1254" s="27" t="s">
        <v>3886</v>
      </c>
      <c r="P1254" s="27" t="s">
        <v>3887</v>
      </c>
      <c r="Q1254" s="26" t="str">
        <f>HYPERLINK("https://ictv.global/taxonomy/taxondetails?taxnode_id=202513494&amp;ictv_id=ICTV202113494","ICTV202113494")</f>
        <v>ICTV202113494</v>
      </c>
      <c r="R1254" t="s">
        <v>579</v>
      </c>
      <c r="S1254" t="s">
        <v>823</v>
      </c>
      <c r="T1254">
        <v>37</v>
      </c>
      <c r="U1254" s="26" t="str">
        <f>HYPERLINK("https://ictv.global/ictv/proposals/2021.022B.R.Crassvirales.zip","2021.022B.R.Crassvirales.zip")</f>
        <v>2021.022B.R.Crassvirales.zip</v>
      </c>
    </row>
    <row r="1255" spans="1:21">
      <c r="A1255">
        <v>1254</v>
      </c>
      <c r="B1255" s="27" t="s">
        <v>1449</v>
      </c>
      <c r="D1255" s="27" t="s">
        <v>1450</v>
      </c>
      <c r="F1255" s="27" t="s">
        <v>1453</v>
      </c>
      <c r="H1255" s="27" t="s">
        <v>1454</v>
      </c>
      <c r="J1255" s="27" t="s">
        <v>3831</v>
      </c>
      <c r="L1255" s="27" t="s">
        <v>3873</v>
      </c>
      <c r="M1255" s="27" t="s">
        <v>3874</v>
      </c>
      <c r="N1255" s="27" t="s">
        <v>3886</v>
      </c>
      <c r="P1255" s="27" t="s">
        <v>21768</v>
      </c>
      <c r="Q1255" s="26" t="str">
        <f>HYPERLINK("https://ictv.global/taxonomy/taxondetails?taxnode_id=202522610&amp;ictv_id=ICTV202522610","ICTV202522610")</f>
        <v>ICTV202522610</v>
      </c>
      <c r="R1255" t="s">
        <v>579</v>
      </c>
      <c r="S1255" t="s">
        <v>823</v>
      </c>
      <c r="T1255">
        <v>41</v>
      </c>
      <c r="U1255" s="26" t="str">
        <f>HYPERLINK("https://ictv.global/ictv/proposals/2025.013B.Crassvirales_reorganisation.zip","2025.013B.Crassvirales_reorganisation.zip")</f>
        <v>2025.013B.Crassvirales_reorganisation.zip</v>
      </c>
    </row>
    <row r="1256" spans="1:21">
      <c r="A1256">
        <v>1255</v>
      </c>
      <c r="B1256" s="27" t="s">
        <v>1449</v>
      </c>
      <c r="D1256" s="27" t="s">
        <v>1450</v>
      </c>
      <c r="F1256" s="27" t="s">
        <v>1453</v>
      </c>
      <c r="H1256" s="27" t="s">
        <v>1454</v>
      </c>
      <c r="J1256" s="27" t="s">
        <v>3831</v>
      </c>
      <c r="L1256" s="27" t="s">
        <v>3873</v>
      </c>
      <c r="M1256" s="27" t="s">
        <v>3874</v>
      </c>
      <c r="N1256" s="27" t="s">
        <v>3888</v>
      </c>
      <c r="P1256" s="27" t="s">
        <v>3889</v>
      </c>
      <c r="Q1256" s="26" t="str">
        <f>HYPERLINK("https://ictv.global/taxonomy/taxondetails?taxnode_id=202513495&amp;ictv_id=ICTV202113495","ICTV202113495")</f>
        <v>ICTV202113495</v>
      </c>
      <c r="R1256" t="s">
        <v>579</v>
      </c>
      <c r="S1256" t="s">
        <v>823</v>
      </c>
      <c r="T1256">
        <v>37</v>
      </c>
      <c r="U1256" s="26" t="str">
        <f t="shared" ref="U1256:U1261" si="39">HYPERLINK("https://ictv.global/ictv/proposals/2021.022B.R.Crassvirales.zip","2021.022B.R.Crassvirales.zip")</f>
        <v>2021.022B.R.Crassvirales.zip</v>
      </c>
    </row>
    <row r="1257" spans="1:21">
      <c r="A1257">
        <v>1256</v>
      </c>
      <c r="B1257" s="27" t="s">
        <v>1449</v>
      </c>
      <c r="D1257" s="27" t="s">
        <v>1450</v>
      </c>
      <c r="F1257" s="27" t="s">
        <v>1453</v>
      </c>
      <c r="H1257" s="27" t="s">
        <v>1454</v>
      </c>
      <c r="J1257" s="27" t="s">
        <v>3831</v>
      </c>
      <c r="L1257" s="27" t="s">
        <v>3873</v>
      </c>
      <c r="M1257" s="27" t="s">
        <v>3874</v>
      </c>
      <c r="N1257" s="27" t="s">
        <v>3890</v>
      </c>
      <c r="P1257" s="27" t="s">
        <v>3891</v>
      </c>
      <c r="Q1257" s="26" t="str">
        <f>HYPERLINK("https://ictv.global/taxonomy/taxondetails?taxnode_id=202513496&amp;ictv_id=ICTV202113496","ICTV202113496")</f>
        <v>ICTV202113496</v>
      </c>
      <c r="R1257" t="s">
        <v>579</v>
      </c>
      <c r="S1257" t="s">
        <v>823</v>
      </c>
      <c r="T1257">
        <v>37</v>
      </c>
      <c r="U1257" s="26" t="str">
        <f t="shared" si="39"/>
        <v>2021.022B.R.Crassvirales.zip</v>
      </c>
    </row>
    <row r="1258" spans="1:21">
      <c r="A1258">
        <v>1257</v>
      </c>
      <c r="B1258" s="27" t="s">
        <v>1449</v>
      </c>
      <c r="D1258" s="27" t="s">
        <v>1450</v>
      </c>
      <c r="F1258" s="27" t="s">
        <v>1453</v>
      </c>
      <c r="H1258" s="27" t="s">
        <v>1454</v>
      </c>
      <c r="J1258" s="27" t="s">
        <v>3831</v>
      </c>
      <c r="L1258" s="27" t="s">
        <v>3873</v>
      </c>
      <c r="M1258" s="27" t="s">
        <v>3874</v>
      </c>
      <c r="N1258" s="27" t="s">
        <v>3892</v>
      </c>
      <c r="P1258" s="27" t="s">
        <v>3893</v>
      </c>
      <c r="Q1258" s="26" t="str">
        <f>HYPERLINK("https://ictv.global/taxonomy/taxondetails?taxnode_id=202513497&amp;ictv_id=ICTV202113497","ICTV202113497")</f>
        <v>ICTV202113497</v>
      </c>
      <c r="R1258" t="s">
        <v>579</v>
      </c>
      <c r="S1258" t="s">
        <v>823</v>
      </c>
      <c r="T1258">
        <v>37</v>
      </c>
      <c r="U1258" s="26" t="str">
        <f t="shared" si="39"/>
        <v>2021.022B.R.Crassvirales.zip</v>
      </c>
    </row>
    <row r="1259" spans="1:21">
      <c r="A1259">
        <v>1258</v>
      </c>
      <c r="B1259" s="27" t="s">
        <v>1449</v>
      </c>
      <c r="D1259" s="27" t="s">
        <v>1450</v>
      </c>
      <c r="F1259" s="27" t="s">
        <v>1453</v>
      </c>
      <c r="H1259" s="27" t="s">
        <v>1454</v>
      </c>
      <c r="J1259" s="27" t="s">
        <v>3831</v>
      </c>
      <c r="L1259" s="27" t="s">
        <v>3873</v>
      </c>
      <c r="M1259" s="27" t="s">
        <v>3874</v>
      </c>
      <c r="N1259" s="27" t="s">
        <v>3894</v>
      </c>
      <c r="P1259" s="27" t="s">
        <v>3895</v>
      </c>
      <c r="Q1259" s="26" t="str">
        <f>HYPERLINK("https://ictv.global/taxonomy/taxondetails?taxnode_id=202513498&amp;ictv_id=ICTV202113498","ICTV202113498")</f>
        <v>ICTV202113498</v>
      </c>
      <c r="R1259" t="s">
        <v>579</v>
      </c>
      <c r="S1259" t="s">
        <v>823</v>
      </c>
      <c r="T1259">
        <v>37</v>
      </c>
      <c r="U1259" s="26" t="str">
        <f t="shared" si="39"/>
        <v>2021.022B.R.Crassvirales.zip</v>
      </c>
    </row>
    <row r="1260" spans="1:21">
      <c r="A1260">
        <v>1259</v>
      </c>
      <c r="B1260" s="27" t="s">
        <v>1449</v>
      </c>
      <c r="D1260" s="27" t="s">
        <v>1450</v>
      </c>
      <c r="F1260" s="27" t="s">
        <v>1453</v>
      </c>
      <c r="H1260" s="27" t="s">
        <v>1454</v>
      </c>
      <c r="J1260" s="27" t="s">
        <v>3831</v>
      </c>
      <c r="L1260" s="27" t="s">
        <v>3873</v>
      </c>
      <c r="M1260" s="27" t="s">
        <v>3874</v>
      </c>
      <c r="N1260" s="27" t="s">
        <v>3896</v>
      </c>
      <c r="P1260" s="27" t="s">
        <v>3897</v>
      </c>
      <c r="Q1260" s="26" t="str">
        <f>HYPERLINK("https://ictv.global/taxonomy/taxondetails?taxnode_id=202513499&amp;ictv_id=ICTV202113499","ICTV202113499")</f>
        <v>ICTV202113499</v>
      </c>
      <c r="R1260" t="s">
        <v>579</v>
      </c>
      <c r="S1260" t="s">
        <v>823</v>
      </c>
      <c r="T1260">
        <v>37</v>
      </c>
      <c r="U1260" s="26" t="str">
        <f t="shared" si="39"/>
        <v>2021.022B.R.Crassvirales.zip</v>
      </c>
    </row>
    <row r="1261" spans="1:21">
      <c r="A1261">
        <v>1260</v>
      </c>
      <c r="B1261" s="27" t="s">
        <v>1449</v>
      </c>
      <c r="D1261" s="27" t="s">
        <v>1450</v>
      </c>
      <c r="F1261" s="27" t="s">
        <v>1453</v>
      </c>
      <c r="H1261" s="27" t="s">
        <v>1454</v>
      </c>
      <c r="J1261" s="27" t="s">
        <v>3831</v>
      </c>
      <c r="L1261" s="27" t="s">
        <v>3873</v>
      </c>
      <c r="M1261" s="27" t="s">
        <v>3874</v>
      </c>
      <c r="N1261" s="27" t="s">
        <v>3898</v>
      </c>
      <c r="P1261" s="27" t="s">
        <v>3899</v>
      </c>
      <c r="Q1261" s="26" t="str">
        <f>HYPERLINK("https://ictv.global/taxonomy/taxondetails?taxnode_id=202513502&amp;ictv_id=ICTV202113502","ICTV202113502")</f>
        <v>ICTV202113502</v>
      </c>
      <c r="R1261" t="s">
        <v>579</v>
      </c>
      <c r="S1261" t="s">
        <v>823</v>
      </c>
      <c r="T1261">
        <v>37</v>
      </c>
      <c r="U1261" s="26" t="str">
        <f t="shared" si="39"/>
        <v>2021.022B.R.Crassvirales.zip</v>
      </c>
    </row>
    <row r="1262" spans="1:21">
      <c r="A1262">
        <v>1261</v>
      </c>
      <c r="B1262" s="27" t="s">
        <v>1449</v>
      </c>
      <c r="D1262" s="27" t="s">
        <v>1450</v>
      </c>
      <c r="F1262" s="27" t="s">
        <v>1453</v>
      </c>
      <c r="H1262" s="27" t="s">
        <v>1454</v>
      </c>
      <c r="J1262" s="27" t="s">
        <v>3831</v>
      </c>
      <c r="L1262" s="27" t="s">
        <v>3873</v>
      </c>
      <c r="N1262" s="27" t="s">
        <v>21736</v>
      </c>
      <c r="P1262" s="27" t="s">
        <v>21737</v>
      </c>
      <c r="Q1262" s="26" t="str">
        <f>HYPERLINK("https://ictv.global/taxonomy/taxondetails?taxnode_id=202522586&amp;ictv_id=ICTV202522586","ICTV202522586")</f>
        <v>ICTV202522586</v>
      </c>
      <c r="R1262" t="s">
        <v>579</v>
      </c>
      <c r="S1262" t="s">
        <v>823</v>
      </c>
      <c r="T1262">
        <v>41</v>
      </c>
      <c r="U1262" s="26" t="str">
        <f t="shared" ref="U1262:U1267" si="40">HYPERLINK("https://ictv.global/ictv/proposals/2025.013B.Crassvirales_reorganisation.zip","2025.013B.Crassvirales_reorganisation.zip")</f>
        <v>2025.013B.Crassvirales_reorganisation.zip</v>
      </c>
    </row>
    <row r="1263" spans="1:21">
      <c r="A1263">
        <v>1262</v>
      </c>
      <c r="B1263" s="27" t="s">
        <v>1449</v>
      </c>
      <c r="D1263" s="27" t="s">
        <v>1450</v>
      </c>
      <c r="F1263" s="27" t="s">
        <v>1453</v>
      </c>
      <c r="H1263" s="27" t="s">
        <v>1454</v>
      </c>
      <c r="J1263" s="27" t="s">
        <v>3831</v>
      </c>
      <c r="L1263" s="27" t="s">
        <v>3873</v>
      </c>
      <c r="N1263" s="27" t="s">
        <v>20950</v>
      </c>
      <c r="P1263" s="27" t="s">
        <v>20951</v>
      </c>
      <c r="Q1263" s="26" t="str">
        <f>HYPERLINK("https://ictv.global/taxonomy/taxondetails?taxnode_id=202513486&amp;ictv_id=ICTV202113486","ICTV202113486")</f>
        <v>ICTV202113486</v>
      </c>
      <c r="R1263" t="s">
        <v>579</v>
      </c>
      <c r="S1263" t="s">
        <v>22764</v>
      </c>
      <c r="T1263">
        <v>41</v>
      </c>
      <c r="U1263" s="26" t="str">
        <f t="shared" si="40"/>
        <v>2025.013B.Crassvirales_reorganisation.zip</v>
      </c>
    </row>
    <row r="1264" spans="1:21">
      <c r="A1264">
        <v>1263</v>
      </c>
      <c r="B1264" s="27" t="s">
        <v>1449</v>
      </c>
      <c r="D1264" s="27" t="s">
        <v>1450</v>
      </c>
      <c r="F1264" s="27" t="s">
        <v>1453</v>
      </c>
      <c r="H1264" s="27" t="s">
        <v>1454</v>
      </c>
      <c r="J1264" s="27" t="s">
        <v>3831</v>
      </c>
      <c r="L1264" s="27" t="s">
        <v>3873</v>
      </c>
      <c r="N1264" s="27" t="s">
        <v>21766</v>
      </c>
      <c r="P1264" s="27" t="s">
        <v>21767</v>
      </c>
      <c r="Q1264" s="26" t="str">
        <f>HYPERLINK("https://ictv.global/taxonomy/taxondetails?taxnode_id=202522609&amp;ictv_id=ICTV202522609","ICTV202522609")</f>
        <v>ICTV202522609</v>
      </c>
      <c r="R1264" t="s">
        <v>579</v>
      </c>
      <c r="S1264" t="s">
        <v>823</v>
      </c>
      <c r="T1264">
        <v>41</v>
      </c>
      <c r="U1264" s="26" t="str">
        <f t="shared" si="40"/>
        <v>2025.013B.Crassvirales_reorganisation.zip</v>
      </c>
    </row>
    <row r="1265" spans="1:21">
      <c r="A1265">
        <v>1264</v>
      </c>
      <c r="B1265" s="27" t="s">
        <v>1449</v>
      </c>
      <c r="D1265" s="27" t="s">
        <v>1450</v>
      </c>
      <c r="F1265" s="27" t="s">
        <v>1453</v>
      </c>
      <c r="H1265" s="27" t="s">
        <v>1454</v>
      </c>
      <c r="J1265" s="27" t="s">
        <v>3831</v>
      </c>
      <c r="L1265" s="27" t="s">
        <v>3873</v>
      </c>
      <c r="N1265" s="27" t="s">
        <v>21769</v>
      </c>
      <c r="P1265" s="27" t="s">
        <v>21770</v>
      </c>
      <c r="Q1265" s="26" t="str">
        <f>HYPERLINK("https://ictv.global/taxonomy/taxondetails?taxnode_id=202522611&amp;ictv_id=ICTV202522611","ICTV202522611")</f>
        <v>ICTV202522611</v>
      </c>
      <c r="R1265" t="s">
        <v>579</v>
      </c>
      <c r="S1265" t="s">
        <v>823</v>
      </c>
      <c r="T1265">
        <v>41</v>
      </c>
      <c r="U1265" s="26" t="str">
        <f t="shared" si="40"/>
        <v>2025.013B.Crassvirales_reorganisation.zip</v>
      </c>
    </row>
    <row r="1266" spans="1:21">
      <c r="A1266">
        <v>1265</v>
      </c>
      <c r="B1266" s="27" t="s">
        <v>1449</v>
      </c>
      <c r="D1266" s="27" t="s">
        <v>1450</v>
      </c>
      <c r="F1266" s="27" t="s">
        <v>1453</v>
      </c>
      <c r="H1266" s="27" t="s">
        <v>1454</v>
      </c>
      <c r="J1266" s="27" t="s">
        <v>3831</v>
      </c>
      <c r="L1266" s="27" t="s">
        <v>3873</v>
      </c>
      <c r="N1266" s="27" t="s">
        <v>21769</v>
      </c>
      <c r="P1266" s="27" t="s">
        <v>21771</v>
      </c>
      <c r="Q1266" s="26" t="str">
        <f>HYPERLINK("https://ictv.global/taxonomy/taxondetails?taxnode_id=202522612&amp;ictv_id=ICTV202522612","ICTV202522612")</f>
        <v>ICTV202522612</v>
      </c>
      <c r="R1266" t="s">
        <v>579</v>
      </c>
      <c r="S1266" t="s">
        <v>823</v>
      </c>
      <c r="T1266">
        <v>41</v>
      </c>
      <c r="U1266" s="26" t="str">
        <f t="shared" si="40"/>
        <v>2025.013B.Crassvirales_reorganisation.zip</v>
      </c>
    </row>
    <row r="1267" spans="1:21">
      <c r="A1267">
        <v>1266</v>
      </c>
      <c r="B1267" s="27" t="s">
        <v>1449</v>
      </c>
      <c r="D1267" s="27" t="s">
        <v>1450</v>
      </c>
      <c r="F1267" s="27" t="s">
        <v>1453</v>
      </c>
      <c r="H1267" s="27" t="s">
        <v>1454</v>
      </c>
      <c r="J1267" s="27" t="s">
        <v>3831</v>
      </c>
      <c r="L1267" s="27" t="s">
        <v>3873</v>
      </c>
      <c r="N1267" s="27" t="s">
        <v>20952</v>
      </c>
      <c r="P1267" s="27" t="s">
        <v>20953</v>
      </c>
      <c r="Q1267" s="26" t="str">
        <f>HYPERLINK("https://ictv.global/taxonomy/taxondetails?taxnode_id=202513488&amp;ictv_id=ICTV202113488","ICTV202113488")</f>
        <v>ICTV202113488</v>
      </c>
      <c r="R1267" t="s">
        <v>579</v>
      </c>
      <c r="S1267" t="s">
        <v>22764</v>
      </c>
      <c r="T1267">
        <v>41</v>
      </c>
      <c r="U1267" s="26" t="str">
        <f t="shared" si="40"/>
        <v>2025.013B.Crassvirales_reorganisation.zip</v>
      </c>
    </row>
    <row r="1268" spans="1:21">
      <c r="A1268">
        <v>1267</v>
      </c>
      <c r="B1268" s="27" t="s">
        <v>1449</v>
      </c>
      <c r="D1268" s="27" t="s">
        <v>1450</v>
      </c>
      <c r="F1268" s="27" t="s">
        <v>1453</v>
      </c>
      <c r="H1268" s="27" t="s">
        <v>1454</v>
      </c>
      <c r="J1268" s="27" t="s">
        <v>3831</v>
      </c>
      <c r="L1268" s="27" t="s">
        <v>3900</v>
      </c>
      <c r="M1268" s="27" t="s">
        <v>3901</v>
      </c>
      <c r="N1268" s="27" t="s">
        <v>3902</v>
      </c>
      <c r="P1268" s="27" t="s">
        <v>3903</v>
      </c>
      <c r="Q1268" s="26" t="str">
        <f>HYPERLINK("https://ictv.global/taxonomy/taxondetails?taxnode_id=202513116&amp;ictv_id=ICTV202113116","ICTV202113116")</f>
        <v>ICTV202113116</v>
      </c>
      <c r="R1268" t="s">
        <v>579</v>
      </c>
      <c r="S1268" t="s">
        <v>823</v>
      </c>
      <c r="T1268">
        <v>37</v>
      </c>
      <c r="U1268" s="26" t="str">
        <f>HYPERLINK("https://ictv.global/ictv/proposals/2021.022B.R.Crassvirales.zip","2021.022B.R.Crassvirales.zip")</f>
        <v>2021.022B.R.Crassvirales.zip</v>
      </c>
    </row>
    <row r="1269" spans="1:21">
      <c r="A1269">
        <v>1268</v>
      </c>
      <c r="B1269" s="27" t="s">
        <v>1449</v>
      </c>
      <c r="D1269" s="27" t="s">
        <v>1450</v>
      </c>
      <c r="F1269" s="27" t="s">
        <v>1453</v>
      </c>
      <c r="H1269" s="27" t="s">
        <v>1454</v>
      </c>
      <c r="J1269" s="27" t="s">
        <v>3831</v>
      </c>
      <c r="L1269" s="27" t="s">
        <v>3900</v>
      </c>
      <c r="M1269" s="27" t="s">
        <v>3901</v>
      </c>
      <c r="N1269" s="27" t="s">
        <v>3902</v>
      </c>
      <c r="P1269" s="27" t="s">
        <v>3904</v>
      </c>
      <c r="Q1269" s="26" t="str">
        <f>HYPERLINK("https://ictv.global/taxonomy/taxondetails?taxnode_id=202513114&amp;ictv_id=ICTV202113114","ICTV202113114")</f>
        <v>ICTV202113114</v>
      </c>
      <c r="R1269" t="s">
        <v>579</v>
      </c>
      <c r="S1269" t="s">
        <v>823</v>
      </c>
      <c r="T1269">
        <v>37</v>
      </c>
      <c r="U1269" s="26" t="str">
        <f>HYPERLINK("https://ictv.global/ictv/proposals/2021.022B.R.Crassvirales.zip","2021.022B.R.Crassvirales.zip")</f>
        <v>2021.022B.R.Crassvirales.zip</v>
      </c>
    </row>
    <row r="1270" spans="1:21">
      <c r="A1270">
        <v>1269</v>
      </c>
      <c r="B1270" s="27" t="s">
        <v>1449</v>
      </c>
      <c r="D1270" s="27" t="s">
        <v>1450</v>
      </c>
      <c r="F1270" s="27" t="s">
        <v>1453</v>
      </c>
      <c r="H1270" s="27" t="s">
        <v>1454</v>
      </c>
      <c r="J1270" s="27" t="s">
        <v>3831</v>
      </c>
      <c r="L1270" s="27" t="s">
        <v>3900</v>
      </c>
      <c r="M1270" s="27" t="s">
        <v>3901</v>
      </c>
      <c r="N1270" s="27" t="s">
        <v>3902</v>
      </c>
      <c r="P1270" s="27" t="s">
        <v>21708</v>
      </c>
      <c r="Q1270" s="26" t="str">
        <f>HYPERLINK("https://ictv.global/taxonomy/taxondetails?taxnode_id=202522561&amp;ictv_id=ICTV202522561","ICTV202522561")</f>
        <v>ICTV202522561</v>
      </c>
      <c r="R1270" t="s">
        <v>579</v>
      </c>
      <c r="S1270" t="s">
        <v>823</v>
      </c>
      <c r="T1270">
        <v>41</v>
      </c>
      <c r="U1270" s="26" t="str">
        <f>HYPERLINK("https://ictv.global/ictv/proposals/2025.013B.Crassvirales_reorganisation.zip","2025.013B.Crassvirales_reorganisation.zip")</f>
        <v>2025.013B.Crassvirales_reorganisation.zip</v>
      </c>
    </row>
    <row r="1271" spans="1:21">
      <c r="A1271">
        <v>1270</v>
      </c>
      <c r="B1271" s="27" t="s">
        <v>1449</v>
      </c>
      <c r="D1271" s="27" t="s">
        <v>1450</v>
      </c>
      <c r="F1271" s="27" t="s">
        <v>1453</v>
      </c>
      <c r="H1271" s="27" t="s">
        <v>1454</v>
      </c>
      <c r="J1271" s="27" t="s">
        <v>3831</v>
      </c>
      <c r="L1271" s="27" t="s">
        <v>3900</v>
      </c>
      <c r="M1271" s="27" t="s">
        <v>3905</v>
      </c>
      <c r="N1271" s="27" t="s">
        <v>3906</v>
      </c>
      <c r="P1271" s="27" t="s">
        <v>3907</v>
      </c>
      <c r="Q1271" s="26" t="str">
        <f>HYPERLINK("https://ictv.global/taxonomy/taxondetails?taxnode_id=202513459&amp;ictv_id=ICTV202113459","ICTV202113459")</f>
        <v>ICTV202113459</v>
      </c>
      <c r="R1271" t="s">
        <v>579</v>
      </c>
      <c r="S1271" t="s">
        <v>823</v>
      </c>
      <c r="T1271">
        <v>37</v>
      </c>
      <c r="U1271" s="26" t="str">
        <f>HYPERLINK("https://ictv.global/ictv/proposals/2021.022B.R.Crassvirales.zip","2021.022B.R.Crassvirales.zip")</f>
        <v>2021.022B.R.Crassvirales.zip</v>
      </c>
    </row>
    <row r="1272" spans="1:21">
      <c r="A1272">
        <v>1271</v>
      </c>
      <c r="B1272" s="27" t="s">
        <v>1449</v>
      </c>
      <c r="D1272" s="27" t="s">
        <v>1450</v>
      </c>
      <c r="F1272" s="27" t="s">
        <v>1453</v>
      </c>
      <c r="H1272" s="27" t="s">
        <v>1454</v>
      </c>
      <c r="J1272" s="27" t="s">
        <v>3831</v>
      </c>
      <c r="L1272" s="27" t="s">
        <v>3900</v>
      </c>
      <c r="M1272" s="27" t="s">
        <v>3905</v>
      </c>
      <c r="N1272" s="27" t="s">
        <v>3906</v>
      </c>
      <c r="P1272" s="27" t="s">
        <v>21715</v>
      </c>
      <c r="Q1272" s="26" t="str">
        <f>HYPERLINK("https://ictv.global/taxonomy/taxondetails?taxnode_id=202522568&amp;ictv_id=ICTV202522568","ICTV202522568")</f>
        <v>ICTV202522568</v>
      </c>
      <c r="R1272" t="s">
        <v>579</v>
      </c>
      <c r="S1272" t="s">
        <v>823</v>
      </c>
      <c r="T1272">
        <v>41</v>
      </c>
      <c r="U1272" s="26" t="str">
        <f>HYPERLINK("https://ictv.global/ictv/proposals/2025.013B.Crassvirales_reorganisation.zip","2025.013B.Crassvirales_reorganisation.zip")</f>
        <v>2025.013B.Crassvirales_reorganisation.zip</v>
      </c>
    </row>
    <row r="1273" spans="1:21">
      <c r="A1273">
        <v>1272</v>
      </c>
      <c r="B1273" s="27" t="s">
        <v>1449</v>
      </c>
      <c r="D1273" s="27" t="s">
        <v>1450</v>
      </c>
      <c r="F1273" s="27" t="s">
        <v>1453</v>
      </c>
      <c r="H1273" s="27" t="s">
        <v>1454</v>
      </c>
      <c r="J1273" s="27" t="s">
        <v>3831</v>
      </c>
      <c r="L1273" s="27" t="s">
        <v>3900</v>
      </c>
      <c r="M1273" s="27" t="s">
        <v>3905</v>
      </c>
      <c r="N1273" s="27" t="s">
        <v>3906</v>
      </c>
      <c r="P1273" s="27" t="s">
        <v>21714</v>
      </c>
      <c r="Q1273" s="26" t="str">
        <f>HYPERLINK("https://ictv.global/taxonomy/taxondetails?taxnode_id=202522567&amp;ictv_id=ICTV202522567","ICTV202522567")</f>
        <v>ICTV202522567</v>
      </c>
      <c r="R1273" t="s">
        <v>579</v>
      </c>
      <c r="S1273" t="s">
        <v>823</v>
      </c>
      <c r="T1273">
        <v>41</v>
      </c>
      <c r="U1273" s="26" t="str">
        <f>HYPERLINK("https://ictv.global/ictv/proposals/2025.013B.Crassvirales_reorganisation.zip","2025.013B.Crassvirales_reorganisation.zip")</f>
        <v>2025.013B.Crassvirales_reorganisation.zip</v>
      </c>
    </row>
    <row r="1274" spans="1:21">
      <c r="A1274">
        <v>1273</v>
      </c>
      <c r="B1274" s="27" t="s">
        <v>1449</v>
      </c>
      <c r="D1274" s="27" t="s">
        <v>1450</v>
      </c>
      <c r="F1274" s="27" t="s">
        <v>1453</v>
      </c>
      <c r="H1274" s="27" t="s">
        <v>1454</v>
      </c>
      <c r="J1274" s="27" t="s">
        <v>3831</v>
      </c>
      <c r="L1274" s="27" t="s">
        <v>3900</v>
      </c>
      <c r="M1274" s="27" t="s">
        <v>3905</v>
      </c>
      <c r="N1274" s="27" t="s">
        <v>3908</v>
      </c>
      <c r="P1274" s="27" t="s">
        <v>21729</v>
      </c>
      <c r="Q1274" s="26" t="str">
        <f>HYPERLINK("https://ictv.global/taxonomy/taxondetails?taxnode_id=202522582&amp;ictv_id=ICTV202522582","ICTV202522582")</f>
        <v>ICTV202522582</v>
      </c>
      <c r="R1274" t="s">
        <v>579</v>
      </c>
      <c r="S1274" t="s">
        <v>823</v>
      </c>
      <c r="T1274">
        <v>41</v>
      </c>
      <c r="U1274" s="26" t="str">
        <f>HYPERLINK("https://ictv.global/ictv/proposals/2025.013B.Crassvirales_reorganisation.zip","2025.013B.Crassvirales_reorganisation.zip")</f>
        <v>2025.013B.Crassvirales_reorganisation.zip</v>
      </c>
    </row>
    <row r="1275" spans="1:21">
      <c r="A1275">
        <v>1274</v>
      </c>
      <c r="B1275" s="27" t="s">
        <v>1449</v>
      </c>
      <c r="D1275" s="27" t="s">
        <v>1450</v>
      </c>
      <c r="F1275" s="27" t="s">
        <v>1453</v>
      </c>
      <c r="H1275" s="27" t="s">
        <v>1454</v>
      </c>
      <c r="J1275" s="27" t="s">
        <v>3831</v>
      </c>
      <c r="L1275" s="27" t="s">
        <v>3900</v>
      </c>
      <c r="M1275" s="27" t="s">
        <v>3905</v>
      </c>
      <c r="N1275" s="27" t="s">
        <v>3908</v>
      </c>
      <c r="P1275" s="27" t="s">
        <v>21728</v>
      </c>
      <c r="Q1275" s="26" t="str">
        <f>HYPERLINK("https://ictv.global/taxonomy/taxondetails?taxnode_id=202522581&amp;ictv_id=ICTV202522581","ICTV202522581")</f>
        <v>ICTV202522581</v>
      </c>
      <c r="R1275" t="s">
        <v>579</v>
      </c>
      <c r="S1275" t="s">
        <v>823</v>
      </c>
      <c r="T1275">
        <v>41</v>
      </c>
      <c r="U1275" s="26" t="str">
        <f>HYPERLINK("https://ictv.global/ictv/proposals/2025.013B.Crassvirales_reorganisation.zip","2025.013B.Crassvirales_reorganisation.zip")</f>
        <v>2025.013B.Crassvirales_reorganisation.zip</v>
      </c>
    </row>
    <row r="1276" spans="1:21">
      <c r="A1276">
        <v>1275</v>
      </c>
      <c r="B1276" s="27" t="s">
        <v>1449</v>
      </c>
      <c r="D1276" s="27" t="s">
        <v>1450</v>
      </c>
      <c r="F1276" s="27" t="s">
        <v>1453</v>
      </c>
      <c r="H1276" s="27" t="s">
        <v>1454</v>
      </c>
      <c r="J1276" s="27" t="s">
        <v>3831</v>
      </c>
      <c r="L1276" s="27" t="s">
        <v>3900</v>
      </c>
      <c r="M1276" s="27" t="s">
        <v>3905</v>
      </c>
      <c r="N1276" s="27" t="s">
        <v>3908</v>
      </c>
      <c r="P1276" s="27" t="s">
        <v>21727</v>
      </c>
      <c r="Q1276" s="26" t="str">
        <f>HYPERLINK("https://ictv.global/taxonomy/taxondetails?taxnode_id=202522580&amp;ictv_id=ICTV202522580","ICTV202522580")</f>
        <v>ICTV202522580</v>
      </c>
      <c r="R1276" t="s">
        <v>579</v>
      </c>
      <c r="S1276" t="s">
        <v>823</v>
      </c>
      <c r="T1276">
        <v>41</v>
      </c>
      <c r="U1276" s="26" t="str">
        <f>HYPERLINK("https://ictv.global/ictv/proposals/2025.013B.Crassvirales_reorganisation.zip","2025.013B.Crassvirales_reorganisation.zip")</f>
        <v>2025.013B.Crassvirales_reorganisation.zip</v>
      </c>
    </row>
    <row r="1277" spans="1:21">
      <c r="A1277">
        <v>1276</v>
      </c>
      <c r="B1277" s="27" t="s">
        <v>1449</v>
      </c>
      <c r="D1277" s="27" t="s">
        <v>1450</v>
      </c>
      <c r="F1277" s="27" t="s">
        <v>1453</v>
      </c>
      <c r="H1277" s="27" t="s">
        <v>1454</v>
      </c>
      <c r="J1277" s="27" t="s">
        <v>3831</v>
      </c>
      <c r="L1277" s="27" t="s">
        <v>3900</v>
      </c>
      <c r="M1277" s="27" t="s">
        <v>3905</v>
      </c>
      <c r="N1277" s="27" t="s">
        <v>3908</v>
      </c>
      <c r="P1277" s="27" t="s">
        <v>3909</v>
      </c>
      <c r="Q1277" s="26" t="str">
        <f>HYPERLINK("https://ictv.global/taxonomy/taxondetails?taxnode_id=202513464&amp;ictv_id=ICTV202113464","ICTV202113464")</f>
        <v>ICTV202113464</v>
      </c>
      <c r="R1277" t="s">
        <v>579</v>
      </c>
      <c r="S1277" t="s">
        <v>823</v>
      </c>
      <c r="T1277">
        <v>37</v>
      </c>
      <c r="U1277" s="26" t="str">
        <f>HYPERLINK("https://ictv.global/ictv/proposals/2021.022B.R.Crassvirales.zip","2021.022B.R.Crassvirales.zip")</f>
        <v>2021.022B.R.Crassvirales.zip</v>
      </c>
    </row>
    <row r="1278" spans="1:21">
      <c r="A1278">
        <v>1277</v>
      </c>
      <c r="B1278" s="27" t="s">
        <v>1449</v>
      </c>
      <c r="D1278" s="27" t="s">
        <v>1450</v>
      </c>
      <c r="F1278" s="27" t="s">
        <v>1453</v>
      </c>
      <c r="H1278" s="27" t="s">
        <v>1454</v>
      </c>
      <c r="J1278" s="27" t="s">
        <v>3831</v>
      </c>
      <c r="L1278" s="27" t="s">
        <v>3900</v>
      </c>
      <c r="M1278" s="27" t="s">
        <v>3905</v>
      </c>
      <c r="N1278" s="27" t="s">
        <v>3908</v>
      </c>
      <c r="P1278" s="27" t="s">
        <v>21730</v>
      </c>
      <c r="Q1278" s="26" t="str">
        <f>HYPERLINK("https://ictv.global/taxonomy/taxondetails?taxnode_id=202522583&amp;ictv_id=ICTV202522583","ICTV202522583")</f>
        <v>ICTV202522583</v>
      </c>
      <c r="R1278" t="s">
        <v>579</v>
      </c>
      <c r="S1278" t="s">
        <v>823</v>
      </c>
      <c r="T1278">
        <v>41</v>
      </c>
      <c r="U1278" s="26" t="str">
        <f>HYPERLINK("https://ictv.global/ictv/proposals/2025.013B.Crassvirales_reorganisation.zip","2025.013B.Crassvirales_reorganisation.zip")</f>
        <v>2025.013B.Crassvirales_reorganisation.zip</v>
      </c>
    </row>
    <row r="1279" spans="1:21">
      <c r="A1279">
        <v>1278</v>
      </c>
      <c r="B1279" s="27" t="s">
        <v>1449</v>
      </c>
      <c r="D1279" s="27" t="s">
        <v>1450</v>
      </c>
      <c r="F1279" s="27" t="s">
        <v>1453</v>
      </c>
      <c r="H1279" s="27" t="s">
        <v>1454</v>
      </c>
      <c r="J1279" s="27" t="s">
        <v>3831</v>
      </c>
      <c r="L1279" s="27" t="s">
        <v>3900</v>
      </c>
      <c r="M1279" s="27" t="s">
        <v>3905</v>
      </c>
      <c r="N1279" s="27" t="s">
        <v>3908</v>
      </c>
      <c r="P1279" s="27" t="s">
        <v>21731</v>
      </c>
      <c r="Q1279" s="26" t="str">
        <f>HYPERLINK("https://ictv.global/taxonomy/taxondetails?taxnode_id=202522584&amp;ictv_id=ICTV202522584","ICTV202522584")</f>
        <v>ICTV202522584</v>
      </c>
      <c r="R1279" t="s">
        <v>579</v>
      </c>
      <c r="S1279" t="s">
        <v>823</v>
      </c>
      <c r="T1279">
        <v>41</v>
      </c>
      <c r="U1279" s="26" t="str">
        <f>HYPERLINK("https://ictv.global/ictv/proposals/2025.013B.Crassvirales_reorganisation.zip","2025.013B.Crassvirales_reorganisation.zip")</f>
        <v>2025.013B.Crassvirales_reorganisation.zip</v>
      </c>
    </row>
    <row r="1280" spans="1:21">
      <c r="A1280">
        <v>1279</v>
      </c>
      <c r="B1280" s="27" t="s">
        <v>1449</v>
      </c>
      <c r="D1280" s="27" t="s">
        <v>1450</v>
      </c>
      <c r="F1280" s="27" t="s">
        <v>1453</v>
      </c>
      <c r="H1280" s="27" t="s">
        <v>1454</v>
      </c>
      <c r="J1280" s="27" t="s">
        <v>3831</v>
      </c>
      <c r="L1280" s="27" t="s">
        <v>3900</v>
      </c>
      <c r="M1280" s="27" t="s">
        <v>3905</v>
      </c>
      <c r="N1280" s="27" t="s">
        <v>3908</v>
      </c>
      <c r="P1280" s="27" t="s">
        <v>3910</v>
      </c>
      <c r="Q1280" s="26" t="str">
        <f>HYPERLINK("https://ictv.global/taxonomy/taxondetails?taxnode_id=202513463&amp;ictv_id=ICTV202113463","ICTV202113463")</f>
        <v>ICTV202113463</v>
      </c>
      <c r="R1280" t="s">
        <v>579</v>
      </c>
      <c r="S1280" t="s">
        <v>823</v>
      </c>
      <c r="T1280">
        <v>37</v>
      </c>
      <c r="U1280" s="26" t="str">
        <f>HYPERLINK("https://ictv.global/ictv/proposals/2021.022B.R.Crassvirales.zip","2021.022B.R.Crassvirales.zip")</f>
        <v>2021.022B.R.Crassvirales.zip</v>
      </c>
    </row>
    <row r="1281" spans="1:21">
      <c r="A1281">
        <v>1280</v>
      </c>
      <c r="B1281" s="27" t="s">
        <v>1449</v>
      </c>
      <c r="D1281" s="27" t="s">
        <v>1450</v>
      </c>
      <c r="F1281" s="27" t="s">
        <v>1453</v>
      </c>
      <c r="H1281" s="27" t="s">
        <v>1454</v>
      </c>
      <c r="J1281" s="27" t="s">
        <v>3831</v>
      </c>
      <c r="L1281" s="27" t="s">
        <v>3900</v>
      </c>
      <c r="M1281" s="27" t="s">
        <v>3905</v>
      </c>
      <c r="N1281" s="27" t="s">
        <v>3911</v>
      </c>
      <c r="P1281" s="27" t="s">
        <v>3912</v>
      </c>
      <c r="Q1281" s="26" t="str">
        <f>HYPERLINK("https://ictv.global/taxonomy/taxondetails?taxnode_id=202513465&amp;ictv_id=ICTV202113465","ICTV202113465")</f>
        <v>ICTV202113465</v>
      </c>
      <c r="R1281" t="s">
        <v>579</v>
      </c>
      <c r="S1281" t="s">
        <v>823</v>
      </c>
      <c r="T1281">
        <v>37</v>
      </c>
      <c r="U1281" s="26" t="str">
        <f>HYPERLINK("https://ictv.global/ictv/proposals/2021.022B.R.Crassvirales.zip","2021.022B.R.Crassvirales.zip")</f>
        <v>2021.022B.R.Crassvirales.zip</v>
      </c>
    </row>
    <row r="1282" spans="1:21">
      <c r="A1282">
        <v>1281</v>
      </c>
      <c r="B1282" s="27" t="s">
        <v>1449</v>
      </c>
      <c r="D1282" s="27" t="s">
        <v>1450</v>
      </c>
      <c r="F1282" s="27" t="s">
        <v>1453</v>
      </c>
      <c r="H1282" s="27" t="s">
        <v>1454</v>
      </c>
      <c r="J1282" s="27" t="s">
        <v>3831</v>
      </c>
      <c r="L1282" s="27" t="s">
        <v>3900</v>
      </c>
      <c r="M1282" s="27" t="s">
        <v>3913</v>
      </c>
      <c r="N1282" s="27" t="s">
        <v>3914</v>
      </c>
      <c r="P1282" s="27" t="s">
        <v>3915</v>
      </c>
      <c r="Q1282" s="26" t="str">
        <f>HYPERLINK("https://ictv.global/taxonomy/taxondetails?taxnode_id=202513440&amp;ictv_id=ICTV202113440","ICTV202113440")</f>
        <v>ICTV202113440</v>
      </c>
      <c r="R1282" t="s">
        <v>579</v>
      </c>
      <c r="S1282" t="s">
        <v>823</v>
      </c>
      <c r="T1282">
        <v>37</v>
      </c>
      <c r="U1282" s="26" t="str">
        <f>HYPERLINK("https://ictv.global/ictv/proposals/2021.022B.R.Crassvirales.zip","2021.022B.R.Crassvirales.zip")</f>
        <v>2021.022B.R.Crassvirales.zip</v>
      </c>
    </row>
    <row r="1283" spans="1:21">
      <c r="A1283">
        <v>1282</v>
      </c>
      <c r="B1283" s="27" t="s">
        <v>1449</v>
      </c>
      <c r="D1283" s="27" t="s">
        <v>1450</v>
      </c>
      <c r="F1283" s="27" t="s">
        <v>1453</v>
      </c>
      <c r="H1283" s="27" t="s">
        <v>1454</v>
      </c>
      <c r="J1283" s="27" t="s">
        <v>3831</v>
      </c>
      <c r="L1283" s="27" t="s">
        <v>3900</v>
      </c>
      <c r="M1283" s="27" t="s">
        <v>3913</v>
      </c>
      <c r="N1283" s="27" t="s">
        <v>3914</v>
      </c>
      <c r="P1283" s="27" t="s">
        <v>21711</v>
      </c>
      <c r="Q1283" s="26" t="str">
        <f>HYPERLINK("https://ictv.global/taxonomy/taxondetails?taxnode_id=202522564&amp;ictv_id=ICTV202522564","ICTV202522564")</f>
        <v>ICTV202522564</v>
      </c>
      <c r="R1283" t="s">
        <v>579</v>
      </c>
      <c r="S1283" t="s">
        <v>823</v>
      </c>
      <c r="T1283">
        <v>41</v>
      </c>
      <c r="U1283" s="26" t="str">
        <f>HYPERLINK("https://ictv.global/ictv/proposals/2025.013B.Crassvirales_reorganisation.zip","2025.013B.Crassvirales_reorganisation.zip")</f>
        <v>2025.013B.Crassvirales_reorganisation.zip</v>
      </c>
    </row>
    <row r="1284" spans="1:21">
      <c r="A1284">
        <v>1283</v>
      </c>
      <c r="B1284" s="27" t="s">
        <v>1449</v>
      </c>
      <c r="D1284" s="27" t="s">
        <v>1450</v>
      </c>
      <c r="F1284" s="27" t="s">
        <v>1453</v>
      </c>
      <c r="H1284" s="27" t="s">
        <v>1454</v>
      </c>
      <c r="J1284" s="27" t="s">
        <v>3831</v>
      </c>
      <c r="L1284" s="27" t="s">
        <v>3900</v>
      </c>
      <c r="M1284" s="27" t="s">
        <v>3913</v>
      </c>
      <c r="N1284" s="27" t="s">
        <v>3916</v>
      </c>
      <c r="P1284" s="27" t="s">
        <v>3917</v>
      </c>
      <c r="Q1284" s="26" t="str">
        <f>HYPERLINK("https://ictv.global/taxonomy/taxondetails?taxnode_id=202513443&amp;ictv_id=ICTV202113443","ICTV202113443")</f>
        <v>ICTV202113443</v>
      </c>
      <c r="R1284" t="s">
        <v>579</v>
      </c>
      <c r="S1284" t="s">
        <v>823</v>
      </c>
      <c r="T1284">
        <v>37</v>
      </c>
      <c r="U1284" s="26" t="str">
        <f>HYPERLINK("https://ictv.global/ictv/proposals/2021.022B.R.Crassvirales.zip","2021.022B.R.Crassvirales.zip")</f>
        <v>2021.022B.R.Crassvirales.zip</v>
      </c>
    </row>
    <row r="1285" spans="1:21">
      <c r="A1285">
        <v>1284</v>
      </c>
      <c r="B1285" s="27" t="s">
        <v>1449</v>
      </c>
      <c r="D1285" s="27" t="s">
        <v>1450</v>
      </c>
      <c r="F1285" s="27" t="s">
        <v>1453</v>
      </c>
      <c r="H1285" s="27" t="s">
        <v>1454</v>
      </c>
      <c r="J1285" s="27" t="s">
        <v>3831</v>
      </c>
      <c r="L1285" s="27" t="s">
        <v>3900</v>
      </c>
      <c r="M1285" s="27" t="s">
        <v>3913</v>
      </c>
      <c r="N1285" s="27" t="s">
        <v>3916</v>
      </c>
      <c r="P1285" s="27" t="s">
        <v>21712</v>
      </c>
      <c r="Q1285" s="26" t="str">
        <f>HYPERLINK("https://ictv.global/taxonomy/taxondetails?taxnode_id=202522565&amp;ictv_id=ICTV202522565","ICTV202522565")</f>
        <v>ICTV202522565</v>
      </c>
      <c r="R1285" t="s">
        <v>579</v>
      </c>
      <c r="S1285" t="s">
        <v>823</v>
      </c>
      <c r="T1285">
        <v>41</v>
      </c>
      <c r="U1285" s="26" t="str">
        <f>HYPERLINK("https://ictv.global/ictv/proposals/2025.013B.Crassvirales_reorganisation.zip","2025.013B.Crassvirales_reorganisation.zip")</f>
        <v>2025.013B.Crassvirales_reorganisation.zip</v>
      </c>
    </row>
    <row r="1286" spans="1:21">
      <c r="A1286">
        <v>1285</v>
      </c>
      <c r="B1286" s="27" t="s">
        <v>1449</v>
      </c>
      <c r="D1286" s="27" t="s">
        <v>1450</v>
      </c>
      <c r="F1286" s="27" t="s">
        <v>1453</v>
      </c>
      <c r="H1286" s="27" t="s">
        <v>1454</v>
      </c>
      <c r="J1286" s="27" t="s">
        <v>3831</v>
      </c>
      <c r="L1286" s="27" t="s">
        <v>3900</v>
      </c>
      <c r="M1286" s="27" t="s">
        <v>3913</v>
      </c>
      <c r="N1286" s="27" t="s">
        <v>3918</v>
      </c>
      <c r="P1286" s="27" t="s">
        <v>3919</v>
      </c>
      <c r="Q1286" s="26" t="str">
        <f>HYPERLINK("https://ictv.global/taxonomy/taxondetails?taxnode_id=202513453&amp;ictv_id=ICTV202113453","ICTV202113453")</f>
        <v>ICTV202113453</v>
      </c>
      <c r="R1286" t="s">
        <v>579</v>
      </c>
      <c r="S1286" t="s">
        <v>823</v>
      </c>
      <c r="T1286">
        <v>37</v>
      </c>
      <c r="U1286" s="26" t="str">
        <f>HYPERLINK("https://ictv.global/ictv/proposals/2021.022B.R.Crassvirales.zip","2021.022B.R.Crassvirales.zip")</f>
        <v>2021.022B.R.Crassvirales.zip</v>
      </c>
    </row>
    <row r="1287" spans="1:21">
      <c r="A1287">
        <v>1286</v>
      </c>
      <c r="B1287" s="27" t="s">
        <v>1449</v>
      </c>
      <c r="D1287" s="27" t="s">
        <v>1450</v>
      </c>
      <c r="F1287" s="27" t="s">
        <v>1453</v>
      </c>
      <c r="H1287" s="27" t="s">
        <v>1454</v>
      </c>
      <c r="J1287" s="27" t="s">
        <v>3831</v>
      </c>
      <c r="L1287" s="27" t="s">
        <v>3900</v>
      </c>
      <c r="M1287" s="27" t="s">
        <v>3913</v>
      </c>
      <c r="N1287" s="27" t="s">
        <v>3918</v>
      </c>
      <c r="P1287" s="27" t="s">
        <v>21713</v>
      </c>
      <c r="Q1287" s="26" t="str">
        <f>HYPERLINK("https://ictv.global/taxonomy/taxondetails?taxnode_id=202522566&amp;ictv_id=ICTV202522566","ICTV202522566")</f>
        <v>ICTV202522566</v>
      </c>
      <c r="R1287" t="s">
        <v>579</v>
      </c>
      <c r="S1287" t="s">
        <v>823</v>
      </c>
      <c r="T1287">
        <v>41</v>
      </c>
      <c r="U1287" s="26" t="str">
        <f>HYPERLINK("https://ictv.global/ictv/proposals/2025.013B.Crassvirales_reorganisation.zip","2025.013B.Crassvirales_reorganisation.zip")</f>
        <v>2025.013B.Crassvirales_reorganisation.zip</v>
      </c>
    </row>
    <row r="1288" spans="1:21">
      <c r="A1288">
        <v>1287</v>
      </c>
      <c r="B1288" s="27" t="s">
        <v>1449</v>
      </c>
      <c r="D1288" s="27" t="s">
        <v>1450</v>
      </c>
      <c r="F1288" s="27" t="s">
        <v>1453</v>
      </c>
      <c r="H1288" s="27" t="s">
        <v>1454</v>
      </c>
      <c r="J1288" s="27" t="s">
        <v>3831</v>
      </c>
      <c r="L1288" s="27" t="s">
        <v>3900</v>
      </c>
      <c r="M1288" s="27" t="s">
        <v>3931</v>
      </c>
      <c r="N1288" s="27" t="s">
        <v>3932</v>
      </c>
      <c r="P1288" s="27" t="s">
        <v>3933</v>
      </c>
      <c r="Q1288" s="26" t="str">
        <f>HYPERLINK("https://ictv.global/taxonomy/taxondetails?taxnode_id=202513435&amp;ictv_id=ICTV202113435","ICTV202113435")</f>
        <v>ICTV202113435</v>
      </c>
      <c r="R1288" t="s">
        <v>579</v>
      </c>
      <c r="S1288" t="s">
        <v>823</v>
      </c>
      <c r="T1288">
        <v>37</v>
      </c>
      <c r="U1288" s="26" t="str">
        <f>HYPERLINK("https://ictv.global/ictv/proposals/2021.022B.R.Crassvirales.zip","2021.022B.R.Crassvirales.zip")</f>
        <v>2021.022B.R.Crassvirales.zip</v>
      </c>
    </row>
    <row r="1289" spans="1:21">
      <c r="A1289">
        <v>1288</v>
      </c>
      <c r="B1289" s="27" t="s">
        <v>1449</v>
      </c>
      <c r="D1289" s="27" t="s">
        <v>1450</v>
      </c>
      <c r="F1289" s="27" t="s">
        <v>1453</v>
      </c>
      <c r="H1289" s="27" t="s">
        <v>1454</v>
      </c>
      <c r="J1289" s="27" t="s">
        <v>3831</v>
      </c>
      <c r="L1289" s="27" t="s">
        <v>3900</v>
      </c>
      <c r="M1289" s="27" t="s">
        <v>3931</v>
      </c>
      <c r="N1289" s="27" t="s">
        <v>3934</v>
      </c>
      <c r="P1289" s="27" t="s">
        <v>3935</v>
      </c>
      <c r="Q1289" s="26" t="str">
        <f>HYPERLINK("https://ictv.global/taxonomy/taxondetails?taxnode_id=202513437&amp;ictv_id=ICTV202113437","ICTV202113437")</f>
        <v>ICTV202113437</v>
      </c>
      <c r="R1289" t="s">
        <v>579</v>
      </c>
      <c r="S1289" t="s">
        <v>823</v>
      </c>
      <c r="T1289">
        <v>37</v>
      </c>
      <c r="U1289" s="26" t="str">
        <f>HYPERLINK("https://ictv.global/ictv/proposals/2021.022B.R.Crassvirales.zip","2021.022B.R.Crassvirales.zip")</f>
        <v>2021.022B.R.Crassvirales.zip</v>
      </c>
    </row>
    <row r="1290" spans="1:21">
      <c r="A1290">
        <v>1289</v>
      </c>
      <c r="B1290" s="27" t="s">
        <v>1449</v>
      </c>
      <c r="D1290" s="27" t="s">
        <v>1450</v>
      </c>
      <c r="F1290" s="27" t="s">
        <v>1453</v>
      </c>
      <c r="H1290" s="27" t="s">
        <v>1454</v>
      </c>
      <c r="J1290" s="27" t="s">
        <v>3831</v>
      </c>
      <c r="L1290" s="27" t="s">
        <v>3900</v>
      </c>
      <c r="M1290" s="27" t="s">
        <v>3931</v>
      </c>
      <c r="N1290" s="27" t="s">
        <v>3936</v>
      </c>
      <c r="P1290" s="27" t="s">
        <v>3937</v>
      </c>
      <c r="Q1290" s="26" t="str">
        <f>HYPERLINK("https://ictv.global/taxonomy/taxondetails?taxnode_id=202513439&amp;ictv_id=ICTV202113439","ICTV202113439")</f>
        <v>ICTV202113439</v>
      </c>
      <c r="R1290" t="s">
        <v>579</v>
      </c>
      <c r="S1290" t="s">
        <v>823</v>
      </c>
      <c r="T1290">
        <v>37</v>
      </c>
      <c r="U1290" s="26" t="str">
        <f>HYPERLINK("https://ictv.global/ictv/proposals/2021.022B.R.Crassvirales.zip","2021.022B.R.Crassvirales.zip")</f>
        <v>2021.022B.R.Crassvirales.zip</v>
      </c>
    </row>
    <row r="1291" spans="1:21">
      <c r="A1291">
        <v>1290</v>
      </c>
      <c r="B1291" s="27" t="s">
        <v>1449</v>
      </c>
      <c r="D1291" s="27" t="s">
        <v>1450</v>
      </c>
      <c r="F1291" s="27" t="s">
        <v>1453</v>
      </c>
      <c r="H1291" s="27" t="s">
        <v>1454</v>
      </c>
      <c r="J1291" s="27" t="s">
        <v>3831</v>
      </c>
      <c r="L1291" s="27" t="s">
        <v>3900</v>
      </c>
      <c r="N1291" s="27" t="s">
        <v>20909</v>
      </c>
      <c r="P1291" s="27" t="s">
        <v>20910</v>
      </c>
      <c r="Q1291" s="26" t="str">
        <f>HYPERLINK("https://ictv.global/taxonomy/taxondetails?taxnode_id=202513115&amp;ictv_id=ICTV202113115","ICTV202113115")</f>
        <v>ICTV202113115</v>
      </c>
      <c r="R1291" t="s">
        <v>579</v>
      </c>
      <c r="S1291" t="s">
        <v>22764</v>
      </c>
      <c r="T1291">
        <v>41</v>
      </c>
      <c r="U1291" s="26" t="str">
        <f>HYPERLINK("https://ictv.global/ictv/proposals/2025.013B.Crassvirales_reorganisation.zip","2025.013B.Crassvirales_reorganisation.zip")</f>
        <v>2025.013B.Crassvirales_reorganisation.zip</v>
      </c>
    </row>
    <row r="1292" spans="1:21">
      <c r="A1292">
        <v>1291</v>
      </c>
      <c r="B1292" s="27" t="s">
        <v>1449</v>
      </c>
      <c r="D1292" s="27" t="s">
        <v>1450</v>
      </c>
      <c r="F1292" s="27" t="s">
        <v>1453</v>
      </c>
      <c r="H1292" s="27" t="s">
        <v>1454</v>
      </c>
      <c r="J1292" s="27" t="s">
        <v>3831</v>
      </c>
      <c r="L1292" s="27" t="s">
        <v>3900</v>
      </c>
      <c r="N1292" s="27" t="s">
        <v>3938</v>
      </c>
      <c r="P1292" s="27" t="s">
        <v>3939</v>
      </c>
      <c r="Q1292" s="26" t="str">
        <f>HYPERLINK("https://ictv.global/taxonomy/taxondetails?taxnode_id=202513469&amp;ictv_id=ICTV202113469","ICTV202113469")</f>
        <v>ICTV202113469</v>
      </c>
      <c r="R1292" t="s">
        <v>579</v>
      </c>
      <c r="S1292" t="s">
        <v>823</v>
      </c>
      <c r="T1292">
        <v>37</v>
      </c>
      <c r="U1292" s="26" t="str">
        <f>HYPERLINK("https://ictv.global/ictv/proposals/2021.022B.R.Crassvirales.zip","2021.022B.R.Crassvirales.zip")</f>
        <v>2021.022B.R.Crassvirales.zip</v>
      </c>
    </row>
    <row r="1293" spans="1:21">
      <c r="A1293">
        <v>1292</v>
      </c>
      <c r="B1293" s="27" t="s">
        <v>1449</v>
      </c>
      <c r="D1293" s="27" t="s">
        <v>1450</v>
      </c>
      <c r="F1293" s="27" t="s">
        <v>1453</v>
      </c>
      <c r="H1293" s="27" t="s">
        <v>1454</v>
      </c>
      <c r="J1293" s="27" t="s">
        <v>3831</v>
      </c>
      <c r="L1293" s="27" t="s">
        <v>3900</v>
      </c>
      <c r="N1293" s="27" t="s">
        <v>21747</v>
      </c>
      <c r="P1293" s="27" t="s">
        <v>21748</v>
      </c>
      <c r="Q1293" s="26" t="str">
        <f>HYPERLINK("https://ictv.global/taxonomy/taxondetails?taxnode_id=202522592&amp;ictv_id=ICTV202522592","ICTV202522592")</f>
        <v>ICTV202522592</v>
      </c>
      <c r="R1293" t="s">
        <v>579</v>
      </c>
      <c r="S1293" t="s">
        <v>823</v>
      </c>
      <c r="T1293">
        <v>41</v>
      </c>
      <c r="U1293" s="26" t="str">
        <f t="shared" ref="U1293:U1317" si="41">HYPERLINK("https://ictv.global/ictv/proposals/2025.013B.Crassvirales_reorganisation.zip","2025.013B.Crassvirales_reorganisation.zip")</f>
        <v>2025.013B.Crassvirales_reorganisation.zip</v>
      </c>
    </row>
    <row r="1294" spans="1:21">
      <c r="A1294">
        <v>1293</v>
      </c>
      <c r="B1294" s="27" t="s">
        <v>1449</v>
      </c>
      <c r="D1294" s="27" t="s">
        <v>1450</v>
      </c>
      <c r="F1294" s="27" t="s">
        <v>1453</v>
      </c>
      <c r="H1294" s="27" t="s">
        <v>1454</v>
      </c>
      <c r="J1294" s="27" t="s">
        <v>3831</v>
      </c>
      <c r="L1294" s="27" t="s">
        <v>3900</v>
      </c>
      <c r="N1294" s="27" t="s">
        <v>20924</v>
      </c>
      <c r="P1294" s="27" t="s">
        <v>20925</v>
      </c>
      <c r="Q1294" s="26" t="str">
        <f>HYPERLINK("https://ictv.global/taxonomy/taxondetails?taxnode_id=202513444&amp;ictv_id=ICTV202113444","ICTV202113444")</f>
        <v>ICTV202113444</v>
      </c>
      <c r="R1294" t="s">
        <v>579</v>
      </c>
      <c r="S1294" t="s">
        <v>22764</v>
      </c>
      <c r="T1294">
        <v>41</v>
      </c>
      <c r="U1294" s="26" t="str">
        <f t="shared" si="41"/>
        <v>2025.013B.Crassvirales_reorganisation.zip</v>
      </c>
    </row>
    <row r="1295" spans="1:21">
      <c r="A1295">
        <v>1294</v>
      </c>
      <c r="B1295" s="27" t="s">
        <v>1449</v>
      </c>
      <c r="D1295" s="27" t="s">
        <v>1450</v>
      </c>
      <c r="F1295" s="27" t="s">
        <v>1453</v>
      </c>
      <c r="H1295" s="27" t="s">
        <v>1454</v>
      </c>
      <c r="J1295" s="27" t="s">
        <v>3831</v>
      </c>
      <c r="L1295" s="27" t="s">
        <v>3900</v>
      </c>
      <c r="N1295" s="27" t="s">
        <v>20924</v>
      </c>
      <c r="P1295" s="27" t="s">
        <v>20930</v>
      </c>
      <c r="Q1295" s="26" t="str">
        <f>HYPERLINK("https://ictv.global/taxonomy/taxondetails?taxnode_id=202513448&amp;ictv_id=ICTV202113448","ICTV202113448")</f>
        <v>ICTV202113448</v>
      </c>
      <c r="R1295" t="s">
        <v>579</v>
      </c>
      <c r="S1295" t="s">
        <v>22764</v>
      </c>
      <c r="T1295">
        <v>41</v>
      </c>
      <c r="U1295" s="26" t="str">
        <f t="shared" si="41"/>
        <v>2025.013B.Crassvirales_reorganisation.zip</v>
      </c>
    </row>
    <row r="1296" spans="1:21">
      <c r="A1296">
        <v>1295</v>
      </c>
      <c r="B1296" s="27" t="s">
        <v>1449</v>
      </c>
      <c r="D1296" s="27" t="s">
        <v>1450</v>
      </c>
      <c r="F1296" s="27" t="s">
        <v>1453</v>
      </c>
      <c r="H1296" s="27" t="s">
        <v>1454</v>
      </c>
      <c r="J1296" s="27" t="s">
        <v>3831</v>
      </c>
      <c r="L1296" s="27" t="s">
        <v>3900</v>
      </c>
      <c r="N1296" s="27" t="s">
        <v>20924</v>
      </c>
      <c r="P1296" s="27" t="s">
        <v>21752</v>
      </c>
      <c r="Q1296" s="26" t="str">
        <f>HYPERLINK("https://ictv.global/taxonomy/taxondetails?taxnode_id=202522595&amp;ictv_id=ICTV202522595","ICTV202522595")</f>
        <v>ICTV202522595</v>
      </c>
      <c r="R1296" t="s">
        <v>579</v>
      </c>
      <c r="S1296" t="s">
        <v>823</v>
      </c>
      <c r="T1296">
        <v>41</v>
      </c>
      <c r="U1296" s="26" t="str">
        <f t="shared" si="41"/>
        <v>2025.013B.Crassvirales_reorganisation.zip</v>
      </c>
    </row>
    <row r="1297" spans="1:21">
      <c r="A1297">
        <v>1296</v>
      </c>
      <c r="B1297" s="27" t="s">
        <v>1449</v>
      </c>
      <c r="D1297" s="27" t="s">
        <v>1450</v>
      </c>
      <c r="F1297" s="27" t="s">
        <v>1453</v>
      </c>
      <c r="H1297" s="27" t="s">
        <v>1454</v>
      </c>
      <c r="J1297" s="27" t="s">
        <v>3831</v>
      </c>
      <c r="L1297" s="27" t="s">
        <v>3900</v>
      </c>
      <c r="N1297" s="27" t="s">
        <v>20919</v>
      </c>
      <c r="P1297" s="27" t="s">
        <v>20920</v>
      </c>
      <c r="Q1297" s="26" t="str">
        <f>HYPERLINK("https://ictv.global/taxonomy/taxondetails?taxnode_id=202513438&amp;ictv_id=ICTV202113438","ICTV202113438")</f>
        <v>ICTV202113438</v>
      </c>
      <c r="R1297" t="s">
        <v>579</v>
      </c>
      <c r="S1297" t="s">
        <v>22764</v>
      </c>
      <c r="T1297">
        <v>41</v>
      </c>
      <c r="U1297" s="26" t="str">
        <f t="shared" si="41"/>
        <v>2025.013B.Crassvirales_reorganisation.zip</v>
      </c>
    </row>
    <row r="1298" spans="1:21">
      <c r="A1298">
        <v>1297</v>
      </c>
      <c r="B1298" s="27" t="s">
        <v>1449</v>
      </c>
      <c r="D1298" s="27" t="s">
        <v>1450</v>
      </c>
      <c r="F1298" s="27" t="s">
        <v>1453</v>
      </c>
      <c r="H1298" s="27" t="s">
        <v>1454</v>
      </c>
      <c r="J1298" s="27" t="s">
        <v>3831</v>
      </c>
      <c r="L1298" s="27" t="s">
        <v>3900</v>
      </c>
      <c r="N1298" s="27" t="s">
        <v>20926</v>
      </c>
      <c r="P1298" s="27" t="s">
        <v>20928</v>
      </c>
      <c r="Q1298" s="26" t="str">
        <f>HYPERLINK("https://ictv.global/taxonomy/taxondetails?taxnode_id=202513446&amp;ictv_id=ICTV202113446","ICTV202113446")</f>
        <v>ICTV202113446</v>
      </c>
      <c r="R1298" t="s">
        <v>579</v>
      </c>
      <c r="S1298" t="s">
        <v>22764</v>
      </c>
      <c r="T1298">
        <v>41</v>
      </c>
      <c r="U1298" s="26" t="str">
        <f t="shared" si="41"/>
        <v>2025.013B.Crassvirales_reorganisation.zip</v>
      </c>
    </row>
    <row r="1299" spans="1:21">
      <c r="A1299">
        <v>1298</v>
      </c>
      <c r="B1299" s="27" t="s">
        <v>1449</v>
      </c>
      <c r="D1299" s="27" t="s">
        <v>1450</v>
      </c>
      <c r="F1299" s="27" t="s">
        <v>1453</v>
      </c>
      <c r="H1299" s="27" t="s">
        <v>1454</v>
      </c>
      <c r="J1299" s="27" t="s">
        <v>3831</v>
      </c>
      <c r="L1299" s="27" t="s">
        <v>3900</v>
      </c>
      <c r="N1299" s="27" t="s">
        <v>20926</v>
      </c>
      <c r="P1299" s="27" t="s">
        <v>20927</v>
      </c>
      <c r="Q1299" s="26" t="str">
        <f>HYPERLINK("https://ictv.global/taxonomy/taxondetails?taxnode_id=202513445&amp;ictv_id=ICTV202113445","ICTV202113445")</f>
        <v>ICTV202113445</v>
      </c>
      <c r="R1299" t="s">
        <v>579</v>
      </c>
      <c r="S1299" t="s">
        <v>22764</v>
      </c>
      <c r="T1299">
        <v>41</v>
      </c>
      <c r="U1299" s="26" t="str">
        <f t="shared" si="41"/>
        <v>2025.013B.Crassvirales_reorganisation.zip</v>
      </c>
    </row>
    <row r="1300" spans="1:21">
      <c r="A1300">
        <v>1299</v>
      </c>
      <c r="B1300" s="27" t="s">
        <v>1449</v>
      </c>
      <c r="D1300" s="27" t="s">
        <v>1450</v>
      </c>
      <c r="F1300" s="27" t="s">
        <v>1453</v>
      </c>
      <c r="H1300" s="27" t="s">
        <v>1454</v>
      </c>
      <c r="J1300" s="27" t="s">
        <v>3831</v>
      </c>
      <c r="L1300" s="27" t="s">
        <v>3900</v>
      </c>
      <c r="N1300" s="27" t="s">
        <v>20926</v>
      </c>
      <c r="P1300" s="27" t="s">
        <v>20929</v>
      </c>
      <c r="Q1300" s="26" t="str">
        <f>HYPERLINK("https://ictv.global/taxonomy/taxondetails?taxnode_id=202513447&amp;ictv_id=ICTV202113447","ICTV202113447")</f>
        <v>ICTV202113447</v>
      </c>
      <c r="R1300" t="s">
        <v>579</v>
      </c>
      <c r="S1300" t="s">
        <v>22764</v>
      </c>
      <c r="T1300">
        <v>41</v>
      </c>
      <c r="U1300" s="26" t="str">
        <f t="shared" si="41"/>
        <v>2025.013B.Crassvirales_reorganisation.zip</v>
      </c>
    </row>
    <row r="1301" spans="1:21">
      <c r="A1301">
        <v>1300</v>
      </c>
      <c r="B1301" s="27" t="s">
        <v>1449</v>
      </c>
      <c r="D1301" s="27" t="s">
        <v>1450</v>
      </c>
      <c r="F1301" s="27" t="s">
        <v>1453</v>
      </c>
      <c r="H1301" s="27" t="s">
        <v>1454</v>
      </c>
      <c r="J1301" s="27" t="s">
        <v>3831</v>
      </c>
      <c r="L1301" s="27" t="s">
        <v>3900</v>
      </c>
      <c r="N1301" s="27" t="s">
        <v>20931</v>
      </c>
      <c r="P1301" s="27" t="s">
        <v>20932</v>
      </c>
      <c r="Q1301" s="26" t="str">
        <f>HYPERLINK("https://ictv.global/taxonomy/taxondetails?taxnode_id=202513449&amp;ictv_id=ICTV202113449","ICTV202113449")</f>
        <v>ICTV202113449</v>
      </c>
      <c r="R1301" t="s">
        <v>579</v>
      </c>
      <c r="S1301" t="s">
        <v>22764</v>
      </c>
      <c r="T1301">
        <v>41</v>
      </c>
      <c r="U1301" s="26" t="str">
        <f t="shared" si="41"/>
        <v>2025.013B.Crassvirales_reorganisation.zip</v>
      </c>
    </row>
    <row r="1302" spans="1:21">
      <c r="A1302">
        <v>1301</v>
      </c>
      <c r="B1302" s="27" t="s">
        <v>1449</v>
      </c>
      <c r="D1302" s="27" t="s">
        <v>1450</v>
      </c>
      <c r="F1302" s="27" t="s">
        <v>1453</v>
      </c>
      <c r="H1302" s="27" t="s">
        <v>1454</v>
      </c>
      <c r="J1302" s="27" t="s">
        <v>3831</v>
      </c>
      <c r="L1302" s="27" t="s">
        <v>3900</v>
      </c>
      <c r="N1302" s="27" t="s">
        <v>20943</v>
      </c>
      <c r="P1302" s="27" t="s">
        <v>20944</v>
      </c>
      <c r="Q1302" s="26" t="str">
        <f>HYPERLINK("https://ictv.global/taxonomy/taxondetails?taxnode_id=202513466&amp;ictv_id=ICTV202113466","ICTV202113466")</f>
        <v>ICTV202113466</v>
      </c>
      <c r="R1302" t="s">
        <v>579</v>
      </c>
      <c r="S1302" t="s">
        <v>22764</v>
      </c>
      <c r="T1302">
        <v>41</v>
      </c>
      <c r="U1302" s="26" t="str">
        <f t="shared" si="41"/>
        <v>2025.013B.Crassvirales_reorganisation.zip</v>
      </c>
    </row>
    <row r="1303" spans="1:21">
      <c r="A1303">
        <v>1302</v>
      </c>
      <c r="B1303" s="27" t="s">
        <v>1449</v>
      </c>
      <c r="D1303" s="27" t="s">
        <v>1450</v>
      </c>
      <c r="F1303" s="27" t="s">
        <v>1453</v>
      </c>
      <c r="H1303" s="27" t="s">
        <v>1454</v>
      </c>
      <c r="J1303" s="27" t="s">
        <v>3831</v>
      </c>
      <c r="L1303" s="27" t="s">
        <v>3900</v>
      </c>
      <c r="N1303" s="27" t="s">
        <v>20943</v>
      </c>
      <c r="P1303" s="27" t="s">
        <v>20945</v>
      </c>
      <c r="Q1303" s="26" t="str">
        <f>HYPERLINK("https://ictv.global/taxonomy/taxondetails?taxnode_id=202513467&amp;ictv_id=ICTV202113467","ICTV202113467")</f>
        <v>ICTV202113467</v>
      </c>
      <c r="R1303" t="s">
        <v>579</v>
      </c>
      <c r="S1303" t="s">
        <v>22764</v>
      </c>
      <c r="T1303">
        <v>41</v>
      </c>
      <c r="U1303" s="26" t="str">
        <f t="shared" si="41"/>
        <v>2025.013B.Crassvirales_reorganisation.zip</v>
      </c>
    </row>
    <row r="1304" spans="1:21">
      <c r="A1304">
        <v>1303</v>
      </c>
      <c r="B1304" s="27" t="s">
        <v>1449</v>
      </c>
      <c r="D1304" s="27" t="s">
        <v>1450</v>
      </c>
      <c r="F1304" s="27" t="s">
        <v>1453</v>
      </c>
      <c r="H1304" s="27" t="s">
        <v>1454</v>
      </c>
      <c r="J1304" s="27" t="s">
        <v>3831</v>
      </c>
      <c r="L1304" s="27" t="s">
        <v>3900</v>
      </c>
      <c r="N1304" s="27" t="s">
        <v>20943</v>
      </c>
      <c r="P1304" s="27" t="s">
        <v>21780</v>
      </c>
      <c r="Q1304" s="26" t="str">
        <f>HYPERLINK("https://ictv.global/taxonomy/taxondetails?taxnode_id=202522618&amp;ictv_id=ICTV202522618","ICTV202522618")</f>
        <v>ICTV202522618</v>
      </c>
      <c r="R1304" t="s">
        <v>579</v>
      </c>
      <c r="S1304" t="s">
        <v>823</v>
      </c>
      <c r="T1304">
        <v>41</v>
      </c>
      <c r="U1304" s="26" t="str">
        <f t="shared" si="41"/>
        <v>2025.013B.Crassvirales_reorganisation.zip</v>
      </c>
    </row>
    <row r="1305" spans="1:21">
      <c r="A1305">
        <v>1304</v>
      </c>
      <c r="B1305" s="27" t="s">
        <v>1449</v>
      </c>
      <c r="D1305" s="27" t="s">
        <v>1450</v>
      </c>
      <c r="F1305" s="27" t="s">
        <v>1453</v>
      </c>
      <c r="H1305" s="27" t="s">
        <v>1454</v>
      </c>
      <c r="J1305" s="27" t="s">
        <v>3831</v>
      </c>
      <c r="L1305" s="27" t="s">
        <v>3900</v>
      </c>
      <c r="N1305" s="27" t="s">
        <v>20933</v>
      </c>
      <c r="P1305" s="27" t="s">
        <v>20934</v>
      </c>
      <c r="Q1305" s="26" t="str">
        <f>HYPERLINK("https://ictv.global/taxonomy/taxondetails?taxnode_id=202513450&amp;ictv_id=ICTV202113450","ICTV202113450")</f>
        <v>ICTV202113450</v>
      </c>
      <c r="R1305" t="s">
        <v>579</v>
      </c>
      <c r="S1305" t="s">
        <v>22764</v>
      </c>
      <c r="T1305">
        <v>41</v>
      </c>
      <c r="U1305" s="26" t="str">
        <f t="shared" si="41"/>
        <v>2025.013B.Crassvirales_reorganisation.zip</v>
      </c>
    </row>
    <row r="1306" spans="1:21">
      <c r="A1306">
        <v>1305</v>
      </c>
      <c r="B1306" s="27" t="s">
        <v>1449</v>
      </c>
      <c r="D1306" s="27" t="s">
        <v>1450</v>
      </c>
      <c r="F1306" s="27" t="s">
        <v>1453</v>
      </c>
      <c r="H1306" s="27" t="s">
        <v>1454</v>
      </c>
      <c r="J1306" s="27" t="s">
        <v>3831</v>
      </c>
      <c r="L1306" s="27" t="s">
        <v>3900</v>
      </c>
      <c r="N1306" s="27" t="s">
        <v>20917</v>
      </c>
      <c r="P1306" s="27" t="s">
        <v>20918</v>
      </c>
      <c r="Q1306" s="26" t="str">
        <f>HYPERLINK("https://ictv.global/taxonomy/taxondetails?taxnode_id=202513436&amp;ictv_id=ICTV202113436","ICTV202113436")</f>
        <v>ICTV202113436</v>
      </c>
      <c r="R1306" t="s">
        <v>579</v>
      </c>
      <c r="S1306" t="s">
        <v>22764</v>
      </c>
      <c r="T1306">
        <v>41</v>
      </c>
      <c r="U1306" s="26" t="str">
        <f t="shared" si="41"/>
        <v>2025.013B.Crassvirales_reorganisation.zip</v>
      </c>
    </row>
    <row r="1307" spans="1:21">
      <c r="A1307">
        <v>1306</v>
      </c>
      <c r="B1307" s="27" t="s">
        <v>1449</v>
      </c>
      <c r="D1307" s="27" t="s">
        <v>1450</v>
      </c>
      <c r="F1307" s="27" t="s">
        <v>1453</v>
      </c>
      <c r="H1307" s="27" t="s">
        <v>1454</v>
      </c>
      <c r="J1307" s="27" t="s">
        <v>3831</v>
      </c>
      <c r="L1307" s="27" t="s">
        <v>3900</v>
      </c>
      <c r="N1307" s="27" t="s">
        <v>20917</v>
      </c>
      <c r="P1307" s="27" t="s">
        <v>21782</v>
      </c>
      <c r="Q1307" s="26" t="str">
        <f>HYPERLINK("https://ictv.global/taxonomy/taxondetails?taxnode_id=202522620&amp;ictv_id=ICTV202522620","ICTV202522620")</f>
        <v>ICTV202522620</v>
      </c>
      <c r="R1307" t="s">
        <v>579</v>
      </c>
      <c r="S1307" t="s">
        <v>823</v>
      </c>
      <c r="T1307">
        <v>41</v>
      </c>
      <c r="U1307" s="26" t="str">
        <f t="shared" si="41"/>
        <v>2025.013B.Crassvirales_reorganisation.zip</v>
      </c>
    </row>
    <row r="1308" spans="1:21">
      <c r="A1308">
        <v>1307</v>
      </c>
      <c r="B1308" s="27" t="s">
        <v>1449</v>
      </c>
      <c r="D1308" s="27" t="s">
        <v>1450</v>
      </c>
      <c r="F1308" s="27" t="s">
        <v>1453</v>
      </c>
      <c r="H1308" s="27" t="s">
        <v>1454</v>
      </c>
      <c r="J1308" s="27" t="s">
        <v>3831</v>
      </c>
      <c r="L1308" s="27" t="s">
        <v>3900</v>
      </c>
      <c r="N1308" s="27" t="s">
        <v>21785</v>
      </c>
      <c r="P1308" s="27" t="s">
        <v>21787</v>
      </c>
      <c r="Q1308" s="26" t="str">
        <f>HYPERLINK("https://ictv.global/taxonomy/taxondetails?taxnode_id=202522623&amp;ictv_id=ICTV202522623","ICTV202522623")</f>
        <v>ICTV202522623</v>
      </c>
      <c r="R1308" t="s">
        <v>579</v>
      </c>
      <c r="S1308" t="s">
        <v>823</v>
      </c>
      <c r="T1308">
        <v>41</v>
      </c>
      <c r="U1308" s="26" t="str">
        <f t="shared" si="41"/>
        <v>2025.013B.Crassvirales_reorganisation.zip</v>
      </c>
    </row>
    <row r="1309" spans="1:21">
      <c r="A1309">
        <v>1308</v>
      </c>
      <c r="B1309" s="27" t="s">
        <v>1449</v>
      </c>
      <c r="D1309" s="27" t="s">
        <v>1450</v>
      </c>
      <c r="F1309" s="27" t="s">
        <v>1453</v>
      </c>
      <c r="H1309" s="27" t="s">
        <v>1454</v>
      </c>
      <c r="J1309" s="27" t="s">
        <v>3831</v>
      </c>
      <c r="L1309" s="27" t="s">
        <v>3900</v>
      </c>
      <c r="N1309" s="27" t="s">
        <v>21785</v>
      </c>
      <c r="P1309" s="27" t="s">
        <v>21788</v>
      </c>
      <c r="Q1309" s="26" t="str">
        <f>HYPERLINK("https://ictv.global/taxonomy/taxondetails?taxnode_id=202522624&amp;ictv_id=ICTV202522624","ICTV202522624")</f>
        <v>ICTV202522624</v>
      </c>
      <c r="R1309" t="s">
        <v>579</v>
      </c>
      <c r="S1309" t="s">
        <v>823</v>
      </c>
      <c r="T1309">
        <v>41</v>
      </c>
      <c r="U1309" s="26" t="str">
        <f t="shared" si="41"/>
        <v>2025.013B.Crassvirales_reorganisation.zip</v>
      </c>
    </row>
    <row r="1310" spans="1:21">
      <c r="A1310">
        <v>1309</v>
      </c>
      <c r="B1310" s="27" t="s">
        <v>1449</v>
      </c>
      <c r="D1310" s="27" t="s">
        <v>1450</v>
      </c>
      <c r="F1310" s="27" t="s">
        <v>1453</v>
      </c>
      <c r="H1310" s="27" t="s">
        <v>1454</v>
      </c>
      <c r="J1310" s="27" t="s">
        <v>3831</v>
      </c>
      <c r="L1310" s="27" t="s">
        <v>3900</v>
      </c>
      <c r="N1310" s="27" t="s">
        <v>21785</v>
      </c>
      <c r="P1310" s="27" t="s">
        <v>21786</v>
      </c>
      <c r="Q1310" s="26" t="str">
        <f>HYPERLINK("https://ictv.global/taxonomy/taxondetails?taxnode_id=202522622&amp;ictv_id=ICTV202522622","ICTV202522622")</f>
        <v>ICTV202522622</v>
      </c>
      <c r="R1310" t="s">
        <v>579</v>
      </c>
      <c r="S1310" t="s">
        <v>823</v>
      </c>
      <c r="T1310">
        <v>41</v>
      </c>
      <c r="U1310" s="26" t="str">
        <f t="shared" si="41"/>
        <v>2025.013B.Crassvirales_reorganisation.zip</v>
      </c>
    </row>
    <row r="1311" spans="1:21">
      <c r="A1311">
        <v>1310</v>
      </c>
      <c r="B1311" s="27" t="s">
        <v>1449</v>
      </c>
      <c r="D1311" s="27" t="s">
        <v>1450</v>
      </c>
      <c r="F1311" s="27" t="s">
        <v>1453</v>
      </c>
      <c r="H1311" s="27" t="s">
        <v>1454</v>
      </c>
      <c r="J1311" s="27" t="s">
        <v>3831</v>
      </c>
      <c r="L1311" s="27" t="s">
        <v>3900</v>
      </c>
      <c r="N1311" s="27" t="s">
        <v>20921</v>
      </c>
      <c r="P1311" s="27" t="s">
        <v>20922</v>
      </c>
      <c r="Q1311" s="26" t="str">
        <f>HYPERLINK("https://ictv.global/taxonomy/taxondetails?taxnode_id=202513441&amp;ictv_id=ICTV202113441","ICTV202113441")</f>
        <v>ICTV202113441</v>
      </c>
      <c r="R1311" t="s">
        <v>579</v>
      </c>
      <c r="S1311" t="s">
        <v>22764</v>
      </c>
      <c r="T1311">
        <v>41</v>
      </c>
      <c r="U1311" s="26" t="str">
        <f t="shared" si="41"/>
        <v>2025.013B.Crassvirales_reorganisation.zip</v>
      </c>
    </row>
    <row r="1312" spans="1:21">
      <c r="A1312">
        <v>1311</v>
      </c>
      <c r="B1312" s="27" t="s">
        <v>1449</v>
      </c>
      <c r="D1312" s="27" t="s">
        <v>1450</v>
      </c>
      <c r="F1312" s="27" t="s">
        <v>1453</v>
      </c>
      <c r="H1312" s="27" t="s">
        <v>1454</v>
      </c>
      <c r="J1312" s="27" t="s">
        <v>3831</v>
      </c>
      <c r="L1312" s="27" t="s">
        <v>3900</v>
      </c>
      <c r="N1312" s="27" t="s">
        <v>20921</v>
      </c>
      <c r="P1312" s="27" t="s">
        <v>21789</v>
      </c>
      <c r="Q1312" s="26" t="str">
        <f>HYPERLINK("https://ictv.global/taxonomy/taxondetails?taxnode_id=202522625&amp;ictv_id=ICTV202522625","ICTV202522625")</f>
        <v>ICTV202522625</v>
      </c>
      <c r="R1312" t="s">
        <v>579</v>
      </c>
      <c r="S1312" t="s">
        <v>823</v>
      </c>
      <c r="T1312">
        <v>41</v>
      </c>
      <c r="U1312" s="26" t="str">
        <f t="shared" si="41"/>
        <v>2025.013B.Crassvirales_reorganisation.zip</v>
      </c>
    </row>
    <row r="1313" spans="1:21">
      <c r="A1313">
        <v>1312</v>
      </c>
      <c r="B1313" s="27" t="s">
        <v>1449</v>
      </c>
      <c r="D1313" s="27" t="s">
        <v>1450</v>
      </c>
      <c r="F1313" s="27" t="s">
        <v>1453</v>
      </c>
      <c r="H1313" s="27" t="s">
        <v>1454</v>
      </c>
      <c r="J1313" s="27" t="s">
        <v>3831</v>
      </c>
      <c r="L1313" s="27" t="s">
        <v>3900</v>
      </c>
      <c r="N1313" s="27" t="s">
        <v>20915</v>
      </c>
      <c r="P1313" s="27" t="s">
        <v>20916</v>
      </c>
      <c r="Q1313" s="26" t="str">
        <f>HYPERLINK("https://ictv.global/taxonomy/taxondetails?taxnode_id=202513434&amp;ictv_id=ICTV202113434","ICTV202113434")</f>
        <v>ICTV202113434</v>
      </c>
      <c r="R1313" t="s">
        <v>579</v>
      </c>
      <c r="S1313" t="s">
        <v>22764</v>
      </c>
      <c r="T1313">
        <v>41</v>
      </c>
      <c r="U1313" s="26" t="str">
        <f t="shared" si="41"/>
        <v>2025.013B.Crassvirales_reorganisation.zip</v>
      </c>
    </row>
    <row r="1314" spans="1:21">
      <c r="A1314">
        <v>1313</v>
      </c>
      <c r="B1314" s="27" t="s">
        <v>1449</v>
      </c>
      <c r="D1314" s="27" t="s">
        <v>1450</v>
      </c>
      <c r="F1314" s="27" t="s">
        <v>1453</v>
      </c>
      <c r="H1314" s="27" t="s">
        <v>1454</v>
      </c>
      <c r="J1314" s="27" t="s">
        <v>3831</v>
      </c>
      <c r="L1314" s="27" t="s">
        <v>3900</v>
      </c>
      <c r="N1314" s="27" t="s">
        <v>20915</v>
      </c>
      <c r="P1314" s="27" t="s">
        <v>21791</v>
      </c>
      <c r="Q1314" s="26" t="str">
        <f>HYPERLINK("https://ictv.global/taxonomy/taxondetails?taxnode_id=202522627&amp;ictv_id=ICTV202522627","ICTV202522627")</f>
        <v>ICTV202522627</v>
      </c>
      <c r="R1314" t="s">
        <v>579</v>
      </c>
      <c r="S1314" t="s">
        <v>823</v>
      </c>
      <c r="T1314">
        <v>41</v>
      </c>
      <c r="U1314" s="26" t="str">
        <f t="shared" si="41"/>
        <v>2025.013B.Crassvirales_reorganisation.zip</v>
      </c>
    </row>
    <row r="1315" spans="1:21">
      <c r="A1315">
        <v>1314</v>
      </c>
      <c r="B1315" s="27" t="s">
        <v>1449</v>
      </c>
      <c r="D1315" s="27" t="s">
        <v>1450</v>
      </c>
      <c r="F1315" s="27" t="s">
        <v>1453</v>
      </c>
      <c r="H1315" s="27" t="s">
        <v>1454</v>
      </c>
      <c r="J1315" s="27" t="s">
        <v>3831</v>
      </c>
      <c r="L1315" s="27" t="s">
        <v>3900</v>
      </c>
      <c r="N1315" s="27" t="s">
        <v>20915</v>
      </c>
      <c r="P1315" s="27" t="s">
        <v>21790</v>
      </c>
      <c r="Q1315" s="26" t="str">
        <f>HYPERLINK("https://ictv.global/taxonomy/taxondetails?taxnode_id=202522626&amp;ictv_id=ICTV202522626","ICTV202522626")</f>
        <v>ICTV202522626</v>
      </c>
      <c r="R1315" t="s">
        <v>579</v>
      </c>
      <c r="S1315" t="s">
        <v>823</v>
      </c>
      <c r="T1315">
        <v>41</v>
      </c>
      <c r="U1315" s="26" t="str">
        <f t="shared" si="41"/>
        <v>2025.013B.Crassvirales_reorganisation.zip</v>
      </c>
    </row>
    <row r="1316" spans="1:21">
      <c r="A1316">
        <v>1315</v>
      </c>
      <c r="B1316" s="27" t="s">
        <v>1449</v>
      </c>
      <c r="D1316" s="27" t="s">
        <v>1450</v>
      </c>
      <c r="F1316" s="27" t="s">
        <v>1453</v>
      </c>
      <c r="H1316" s="27" t="s">
        <v>1454</v>
      </c>
      <c r="J1316" s="27" t="s">
        <v>3831</v>
      </c>
      <c r="L1316" s="27" t="s">
        <v>3900</v>
      </c>
      <c r="N1316" s="27" t="s">
        <v>20941</v>
      </c>
      <c r="P1316" s="27" t="s">
        <v>20942</v>
      </c>
      <c r="Q1316" s="26" t="str">
        <f>HYPERLINK("https://ictv.global/taxonomy/taxondetails?taxnode_id=202513458&amp;ictv_id=ICTV202113458","ICTV202113458")</f>
        <v>ICTV202113458</v>
      </c>
      <c r="R1316" t="s">
        <v>579</v>
      </c>
      <c r="S1316" t="s">
        <v>22764</v>
      </c>
      <c r="T1316">
        <v>41</v>
      </c>
      <c r="U1316" s="26" t="str">
        <f t="shared" si="41"/>
        <v>2025.013B.Crassvirales_reorganisation.zip</v>
      </c>
    </row>
    <row r="1317" spans="1:21">
      <c r="A1317">
        <v>1316</v>
      </c>
      <c r="B1317" s="27" t="s">
        <v>1449</v>
      </c>
      <c r="D1317" s="27" t="s">
        <v>1450</v>
      </c>
      <c r="F1317" s="27" t="s">
        <v>1453</v>
      </c>
      <c r="H1317" s="27" t="s">
        <v>1454</v>
      </c>
      <c r="J1317" s="27" t="s">
        <v>3831</v>
      </c>
      <c r="L1317" s="27" t="s">
        <v>3900</v>
      </c>
      <c r="N1317" s="27" t="s">
        <v>20941</v>
      </c>
      <c r="P1317" s="27" t="s">
        <v>21794</v>
      </c>
      <c r="Q1317" s="26" t="str">
        <f>HYPERLINK("https://ictv.global/taxonomy/taxondetails?taxnode_id=202522629&amp;ictv_id=ICTV202522629","ICTV202522629")</f>
        <v>ICTV202522629</v>
      </c>
      <c r="R1317" t="s">
        <v>579</v>
      </c>
      <c r="S1317" t="s">
        <v>823</v>
      </c>
      <c r="T1317">
        <v>41</v>
      </c>
      <c r="U1317" s="26" t="str">
        <f t="shared" si="41"/>
        <v>2025.013B.Crassvirales_reorganisation.zip</v>
      </c>
    </row>
    <row r="1318" spans="1:21">
      <c r="A1318">
        <v>1317</v>
      </c>
      <c r="B1318" s="27" t="s">
        <v>1449</v>
      </c>
      <c r="D1318" s="27" t="s">
        <v>1450</v>
      </c>
      <c r="F1318" s="27" t="s">
        <v>1453</v>
      </c>
      <c r="H1318" s="27" t="s">
        <v>1454</v>
      </c>
      <c r="J1318" s="27" t="s">
        <v>19272</v>
      </c>
      <c r="L1318" s="27" t="s">
        <v>19273</v>
      </c>
      <c r="M1318" s="27" t="s">
        <v>19274</v>
      </c>
      <c r="N1318" s="27" t="s">
        <v>19275</v>
      </c>
      <c r="P1318" s="27" t="s">
        <v>19276</v>
      </c>
      <c r="Q1318" s="26" t="str">
        <f>HYPERLINK("https://ictv.global/taxonomy/taxondetails?taxnode_id=202520594&amp;ictv_id=ICTV202420594","ICTV202420594")</f>
        <v>ICTV202420594</v>
      </c>
      <c r="R1318" t="s">
        <v>579</v>
      </c>
      <c r="S1318" t="s">
        <v>823</v>
      </c>
      <c r="T1318">
        <v>40</v>
      </c>
      <c r="U1318" s="26" t="str">
        <f t="shared" ref="U1318:U1325" si="42">HYPERLINK("https://ictv.global/ictv/proposals/2024.014B.Grandevirales_1no_2nf_3nsf_4ng_8ns.zip","2024.014B.Grandevirales_1no_2nf_3nsf_4ng_8ns.zip")</f>
        <v>2024.014B.Grandevirales_1no_2nf_3nsf_4ng_8ns.zip</v>
      </c>
    </row>
    <row r="1319" spans="1:21">
      <c r="A1319">
        <v>1318</v>
      </c>
      <c r="B1319" s="27" t="s">
        <v>1449</v>
      </c>
      <c r="D1319" s="27" t="s">
        <v>1450</v>
      </c>
      <c r="F1319" s="27" t="s">
        <v>1453</v>
      </c>
      <c r="H1319" s="27" t="s">
        <v>1454</v>
      </c>
      <c r="J1319" s="27" t="s">
        <v>19272</v>
      </c>
      <c r="L1319" s="27" t="s">
        <v>19277</v>
      </c>
      <c r="M1319" s="27" t="s">
        <v>19278</v>
      </c>
      <c r="N1319" s="27" t="s">
        <v>19279</v>
      </c>
      <c r="P1319" s="27" t="s">
        <v>19280</v>
      </c>
      <c r="Q1319" s="26" t="str">
        <f>HYPERLINK("https://ictv.global/taxonomy/taxondetails?taxnode_id=202520593&amp;ictv_id=ICTV202420593","ICTV202420593")</f>
        <v>ICTV202420593</v>
      </c>
      <c r="R1319" t="s">
        <v>579</v>
      </c>
      <c r="S1319" t="s">
        <v>823</v>
      </c>
      <c r="T1319">
        <v>40</v>
      </c>
      <c r="U1319" s="26" t="str">
        <f t="shared" si="42"/>
        <v>2024.014B.Grandevirales_1no_2nf_3nsf_4ng_8ns.zip</v>
      </c>
    </row>
    <row r="1320" spans="1:21">
      <c r="A1320">
        <v>1319</v>
      </c>
      <c r="B1320" s="27" t="s">
        <v>1449</v>
      </c>
      <c r="D1320" s="27" t="s">
        <v>1450</v>
      </c>
      <c r="F1320" s="27" t="s">
        <v>1453</v>
      </c>
      <c r="H1320" s="27" t="s">
        <v>1454</v>
      </c>
      <c r="J1320" s="27" t="s">
        <v>19272</v>
      </c>
      <c r="L1320" s="27" t="s">
        <v>19277</v>
      </c>
      <c r="M1320" s="27" t="s">
        <v>19281</v>
      </c>
      <c r="N1320" s="27" t="s">
        <v>19282</v>
      </c>
      <c r="P1320" s="27" t="s">
        <v>19283</v>
      </c>
      <c r="Q1320" s="26" t="str">
        <f>HYPERLINK("https://ictv.global/taxonomy/taxondetails?taxnode_id=202520592&amp;ictv_id=ICTV202420592","ICTV202420592")</f>
        <v>ICTV202420592</v>
      </c>
      <c r="R1320" t="s">
        <v>579</v>
      </c>
      <c r="S1320" t="s">
        <v>823</v>
      </c>
      <c r="T1320">
        <v>40</v>
      </c>
      <c r="U1320" s="26" t="str">
        <f t="shared" si="42"/>
        <v>2024.014B.Grandevirales_1no_2nf_3nsf_4ng_8ns.zip</v>
      </c>
    </row>
    <row r="1321" spans="1:21">
      <c r="A1321">
        <v>1320</v>
      </c>
      <c r="B1321" s="27" t="s">
        <v>1449</v>
      </c>
      <c r="D1321" s="27" t="s">
        <v>1450</v>
      </c>
      <c r="F1321" s="27" t="s">
        <v>1453</v>
      </c>
      <c r="H1321" s="27" t="s">
        <v>1454</v>
      </c>
      <c r="J1321" s="27" t="s">
        <v>19272</v>
      </c>
      <c r="L1321" s="27" t="s">
        <v>19277</v>
      </c>
      <c r="M1321" s="27" t="s">
        <v>19281</v>
      </c>
      <c r="N1321" s="27" t="s">
        <v>19284</v>
      </c>
      <c r="P1321" s="27" t="s">
        <v>19285</v>
      </c>
      <c r="Q1321" s="26" t="str">
        <f>HYPERLINK("https://ictv.global/taxonomy/taxondetails?taxnode_id=202520589&amp;ictv_id=ICTV202420589","ICTV202420589")</f>
        <v>ICTV202420589</v>
      </c>
      <c r="R1321" t="s">
        <v>579</v>
      </c>
      <c r="S1321" t="s">
        <v>823</v>
      </c>
      <c r="T1321">
        <v>40</v>
      </c>
      <c r="U1321" s="26" t="str">
        <f t="shared" si="42"/>
        <v>2024.014B.Grandevirales_1no_2nf_3nsf_4ng_8ns.zip</v>
      </c>
    </row>
    <row r="1322" spans="1:21">
      <c r="A1322">
        <v>1321</v>
      </c>
      <c r="B1322" s="27" t="s">
        <v>1449</v>
      </c>
      <c r="D1322" s="27" t="s">
        <v>1450</v>
      </c>
      <c r="F1322" s="27" t="s">
        <v>1453</v>
      </c>
      <c r="H1322" s="27" t="s">
        <v>1454</v>
      </c>
      <c r="J1322" s="27" t="s">
        <v>19272</v>
      </c>
      <c r="L1322" s="27" t="s">
        <v>19277</v>
      </c>
      <c r="M1322" s="27" t="s">
        <v>19281</v>
      </c>
      <c r="N1322" s="27" t="s">
        <v>19284</v>
      </c>
      <c r="P1322" s="27" t="s">
        <v>19286</v>
      </c>
      <c r="Q1322" s="26" t="str">
        <f>HYPERLINK("https://ictv.global/taxonomy/taxondetails?taxnode_id=202520590&amp;ictv_id=ICTV202420590","ICTV202420590")</f>
        <v>ICTV202420590</v>
      </c>
      <c r="R1322" t="s">
        <v>579</v>
      </c>
      <c r="S1322" t="s">
        <v>823</v>
      </c>
      <c r="T1322">
        <v>40</v>
      </c>
      <c r="U1322" s="26" t="str">
        <f t="shared" si="42"/>
        <v>2024.014B.Grandevirales_1no_2nf_3nsf_4ng_8ns.zip</v>
      </c>
    </row>
    <row r="1323" spans="1:21">
      <c r="A1323">
        <v>1322</v>
      </c>
      <c r="B1323" s="27" t="s">
        <v>1449</v>
      </c>
      <c r="D1323" s="27" t="s">
        <v>1450</v>
      </c>
      <c r="F1323" s="27" t="s">
        <v>1453</v>
      </c>
      <c r="H1323" s="27" t="s">
        <v>1454</v>
      </c>
      <c r="J1323" s="27" t="s">
        <v>19272</v>
      </c>
      <c r="L1323" s="27" t="s">
        <v>19277</v>
      </c>
      <c r="M1323" s="27" t="s">
        <v>19281</v>
      </c>
      <c r="N1323" s="27" t="s">
        <v>19284</v>
      </c>
      <c r="P1323" s="27" t="s">
        <v>19287</v>
      </c>
      <c r="Q1323" s="26" t="str">
        <f>HYPERLINK("https://ictv.global/taxonomy/taxondetails?taxnode_id=202520591&amp;ictv_id=ICTV202420591","ICTV202420591")</f>
        <v>ICTV202420591</v>
      </c>
      <c r="R1323" t="s">
        <v>579</v>
      </c>
      <c r="S1323" t="s">
        <v>823</v>
      </c>
      <c r="T1323">
        <v>40</v>
      </c>
      <c r="U1323" s="26" t="str">
        <f t="shared" si="42"/>
        <v>2024.014B.Grandevirales_1no_2nf_3nsf_4ng_8ns.zip</v>
      </c>
    </row>
    <row r="1324" spans="1:21">
      <c r="A1324">
        <v>1323</v>
      </c>
      <c r="B1324" s="27" t="s">
        <v>1449</v>
      </c>
      <c r="D1324" s="27" t="s">
        <v>1450</v>
      </c>
      <c r="F1324" s="27" t="s">
        <v>1453</v>
      </c>
      <c r="H1324" s="27" t="s">
        <v>1454</v>
      </c>
      <c r="J1324" s="27" t="s">
        <v>19272</v>
      </c>
      <c r="L1324" s="27" t="s">
        <v>19277</v>
      </c>
      <c r="M1324" s="27" t="s">
        <v>19281</v>
      </c>
      <c r="N1324" s="27" t="s">
        <v>19284</v>
      </c>
      <c r="P1324" s="27" t="s">
        <v>19288</v>
      </c>
      <c r="Q1324" s="26" t="str">
        <f>HYPERLINK("https://ictv.global/taxonomy/taxondetails?taxnode_id=202520587&amp;ictv_id=ICTV202420587","ICTV202420587")</f>
        <v>ICTV202420587</v>
      </c>
      <c r="R1324" t="s">
        <v>579</v>
      </c>
      <c r="S1324" t="s">
        <v>823</v>
      </c>
      <c r="T1324">
        <v>40</v>
      </c>
      <c r="U1324" s="26" t="str">
        <f t="shared" si="42"/>
        <v>2024.014B.Grandevirales_1no_2nf_3nsf_4ng_8ns.zip</v>
      </c>
    </row>
    <row r="1325" spans="1:21">
      <c r="A1325">
        <v>1324</v>
      </c>
      <c r="B1325" s="27" t="s">
        <v>1449</v>
      </c>
      <c r="D1325" s="27" t="s">
        <v>1450</v>
      </c>
      <c r="F1325" s="27" t="s">
        <v>1453</v>
      </c>
      <c r="H1325" s="27" t="s">
        <v>1454</v>
      </c>
      <c r="J1325" s="27" t="s">
        <v>19272</v>
      </c>
      <c r="L1325" s="27" t="s">
        <v>19277</v>
      </c>
      <c r="M1325" s="27" t="s">
        <v>19281</v>
      </c>
      <c r="N1325" s="27" t="s">
        <v>19284</v>
      </c>
      <c r="P1325" s="27" t="s">
        <v>19289</v>
      </c>
      <c r="Q1325" s="26" t="str">
        <f>HYPERLINK("https://ictv.global/taxonomy/taxondetails?taxnode_id=202520588&amp;ictv_id=ICTV202420588","ICTV202420588")</f>
        <v>ICTV202420588</v>
      </c>
      <c r="R1325" t="s">
        <v>579</v>
      </c>
      <c r="S1325" t="s">
        <v>823</v>
      </c>
      <c r="T1325">
        <v>40</v>
      </c>
      <c r="U1325" s="26" t="str">
        <f t="shared" si="42"/>
        <v>2024.014B.Grandevirales_1no_2nf_3nsf_4ng_8ns.zip</v>
      </c>
    </row>
    <row r="1326" spans="1:21">
      <c r="A1326">
        <v>1325</v>
      </c>
      <c r="B1326" s="27" t="s">
        <v>1449</v>
      </c>
      <c r="D1326" s="27" t="s">
        <v>1450</v>
      </c>
      <c r="F1326" s="27" t="s">
        <v>1453</v>
      </c>
      <c r="H1326" s="27" t="s">
        <v>1454</v>
      </c>
      <c r="J1326" s="27" t="s">
        <v>3940</v>
      </c>
      <c r="L1326" s="27" t="s">
        <v>3941</v>
      </c>
      <c r="N1326" s="27" t="s">
        <v>3942</v>
      </c>
      <c r="P1326" s="27" t="s">
        <v>3943</v>
      </c>
      <c r="Q1326" s="26" t="str">
        <f>HYPERLINK("https://ictv.global/taxonomy/taxondetails?taxnode_id=202514325&amp;ictv_id=ICTV202214325","ICTV202214325")</f>
        <v>ICTV202214325</v>
      </c>
      <c r="R1326" t="s">
        <v>579</v>
      </c>
      <c r="S1326" t="s">
        <v>823</v>
      </c>
      <c r="T1326">
        <v>38</v>
      </c>
      <c r="U1326" s="26" t="str">
        <f>HYPERLINK("https://ictv.global/ictv/proposals/2022.003A.Caudoviricetes_2no_3nf.zip","2022.003A.Caudoviricetes_2no_3nf.zip")</f>
        <v>2022.003A.Caudoviricetes_2no_3nf.zip</v>
      </c>
    </row>
    <row r="1327" spans="1:21">
      <c r="A1327">
        <v>1326</v>
      </c>
      <c r="B1327" s="27" t="s">
        <v>1449</v>
      </c>
      <c r="D1327" s="27" t="s">
        <v>1450</v>
      </c>
      <c r="F1327" s="27" t="s">
        <v>1453</v>
      </c>
      <c r="H1327" s="27" t="s">
        <v>1454</v>
      </c>
      <c r="J1327" s="27" t="s">
        <v>3940</v>
      </c>
      <c r="L1327" s="27" t="s">
        <v>3941</v>
      </c>
      <c r="N1327" s="27" t="s">
        <v>3944</v>
      </c>
      <c r="P1327" s="27" t="s">
        <v>3945</v>
      </c>
      <c r="Q1327" s="26" t="str">
        <f>HYPERLINK("https://ictv.global/taxonomy/taxondetails?taxnode_id=202514323&amp;ictv_id=ICTV202214323","ICTV202214323")</f>
        <v>ICTV202214323</v>
      </c>
      <c r="R1327" t="s">
        <v>579</v>
      </c>
      <c r="S1327" t="s">
        <v>823</v>
      </c>
      <c r="T1327">
        <v>38</v>
      </c>
      <c r="U1327" s="26" t="str">
        <f>HYPERLINK("https://ictv.global/ictv/proposals/2022.003A.Caudoviricetes_2no_3nf.zip","2022.003A.Caudoviricetes_2no_3nf.zip")</f>
        <v>2022.003A.Caudoviricetes_2no_3nf.zip</v>
      </c>
    </row>
    <row r="1328" spans="1:21">
      <c r="A1328">
        <v>1327</v>
      </c>
      <c r="B1328" s="27" t="s">
        <v>1449</v>
      </c>
      <c r="D1328" s="27" t="s">
        <v>1450</v>
      </c>
      <c r="F1328" s="27" t="s">
        <v>1453</v>
      </c>
      <c r="H1328" s="27" t="s">
        <v>1454</v>
      </c>
      <c r="J1328" s="27" t="s">
        <v>3940</v>
      </c>
      <c r="L1328" s="27" t="s">
        <v>3941</v>
      </c>
      <c r="N1328" s="27" t="s">
        <v>3946</v>
      </c>
      <c r="P1328" s="27" t="s">
        <v>3947</v>
      </c>
      <c r="Q1328" s="26" t="str">
        <f>HYPERLINK("https://ictv.global/taxonomy/taxondetails?taxnode_id=202514324&amp;ictv_id=ICTV202214324","ICTV202214324")</f>
        <v>ICTV202214324</v>
      </c>
      <c r="R1328" t="s">
        <v>579</v>
      </c>
      <c r="S1328" t="s">
        <v>823</v>
      </c>
      <c r="T1328">
        <v>38</v>
      </c>
      <c r="U1328" s="26" t="str">
        <f>HYPERLINK("https://ictv.global/ictv/proposals/2022.003A.Caudoviricetes_2no_3nf.zip","2022.003A.Caudoviricetes_2no_3nf.zip")</f>
        <v>2022.003A.Caudoviricetes_2no_3nf.zip</v>
      </c>
    </row>
    <row r="1329" spans="1:21">
      <c r="A1329">
        <v>1328</v>
      </c>
      <c r="B1329" s="27" t="s">
        <v>1449</v>
      </c>
      <c r="D1329" s="27" t="s">
        <v>1450</v>
      </c>
      <c r="F1329" s="27" t="s">
        <v>1453</v>
      </c>
      <c r="H1329" s="27" t="s">
        <v>1454</v>
      </c>
      <c r="J1329" s="27" t="s">
        <v>3940</v>
      </c>
      <c r="L1329" s="27" t="s">
        <v>3948</v>
      </c>
      <c r="N1329" s="27" t="s">
        <v>3949</v>
      </c>
      <c r="P1329" s="27" t="s">
        <v>3950</v>
      </c>
      <c r="Q1329" s="26" t="str">
        <f>HYPERLINK("https://ictv.global/taxonomy/taxondetails?taxnode_id=202514322&amp;ictv_id=ICTV202214322","ICTV202214322")</f>
        <v>ICTV202214322</v>
      </c>
      <c r="R1329" t="s">
        <v>579</v>
      </c>
      <c r="S1329" t="s">
        <v>823</v>
      </c>
      <c r="T1329">
        <v>38</v>
      </c>
      <c r="U1329" s="26" t="str">
        <f>HYPERLINK("https://ictv.global/ictv/proposals/2022.003A.Caudoviricetes_2no_3nf.zip","2022.003A.Caudoviricetes_2no_3nf.zip")</f>
        <v>2022.003A.Caudoviricetes_2no_3nf.zip</v>
      </c>
    </row>
    <row r="1330" spans="1:21">
      <c r="A1330">
        <v>1329</v>
      </c>
      <c r="B1330" s="27" t="s">
        <v>1449</v>
      </c>
      <c r="D1330" s="27" t="s">
        <v>1450</v>
      </c>
      <c r="F1330" s="27" t="s">
        <v>1453</v>
      </c>
      <c r="H1330" s="27" t="s">
        <v>1454</v>
      </c>
      <c r="J1330" s="27" t="s">
        <v>3951</v>
      </c>
      <c r="L1330" s="27" t="s">
        <v>3952</v>
      </c>
      <c r="N1330" s="27" t="s">
        <v>3953</v>
      </c>
      <c r="P1330" s="27" t="s">
        <v>11281</v>
      </c>
      <c r="Q1330" s="26" t="str">
        <f>HYPERLINK("https://ictv.global/taxonomy/taxondetails?taxnode_id=202512209&amp;ictv_id=ICTV202112209","ICTV202112209")</f>
        <v>ICTV202112209</v>
      </c>
      <c r="R1330" t="s">
        <v>579</v>
      </c>
      <c r="S1330" t="s">
        <v>824</v>
      </c>
      <c r="T1330">
        <v>39</v>
      </c>
      <c r="U1330" s="26" t="str">
        <f>HYPERLINK("https://ictv.global/ictv/proposals/2023.001A.Archaeal_binomials.zip","2023.001A.Archaeal_binomials.zip")</f>
        <v>2023.001A.Archaeal_binomials.zip</v>
      </c>
    </row>
    <row r="1331" spans="1:21">
      <c r="A1331">
        <v>1330</v>
      </c>
      <c r="B1331" s="27" t="s">
        <v>1449</v>
      </c>
      <c r="D1331" s="27" t="s">
        <v>1450</v>
      </c>
      <c r="F1331" s="27" t="s">
        <v>1453</v>
      </c>
      <c r="H1331" s="27" t="s">
        <v>1454</v>
      </c>
      <c r="J1331" s="27" t="s">
        <v>3951</v>
      </c>
      <c r="L1331" s="27" t="s">
        <v>3952</v>
      </c>
      <c r="N1331" s="27" t="s">
        <v>21168</v>
      </c>
      <c r="P1331" s="27" t="s">
        <v>21169</v>
      </c>
      <c r="Q1331" s="26" t="str">
        <f>HYPERLINK("https://ictv.global/taxonomy/taxondetails?taxnode_id=202522084&amp;ictv_id=ICTV202522084","ICTV202522084")</f>
        <v>ICTV202522084</v>
      </c>
      <c r="R1331" t="s">
        <v>579</v>
      </c>
      <c r="S1331" t="s">
        <v>823</v>
      </c>
      <c r="T1331">
        <v>41</v>
      </c>
      <c r="U1331" s="26" t="str">
        <f>HYPERLINK("https://ictv.global/ictv/proposals/2025.002A.Archaeal_Caudoviricetes_8nf.zip","2025.002A.Archaeal_Caudoviricetes_8nf.zip")</f>
        <v>2025.002A.Archaeal_Caudoviricetes_8nf.zip</v>
      </c>
    </row>
    <row r="1332" spans="1:21">
      <c r="A1332">
        <v>1331</v>
      </c>
      <c r="B1332" s="27" t="s">
        <v>1449</v>
      </c>
      <c r="D1332" s="27" t="s">
        <v>1450</v>
      </c>
      <c r="F1332" s="27" t="s">
        <v>1453</v>
      </c>
      <c r="H1332" s="27" t="s">
        <v>1454</v>
      </c>
      <c r="J1332" s="27" t="s">
        <v>3951</v>
      </c>
      <c r="L1332" s="27" t="s">
        <v>3952</v>
      </c>
      <c r="N1332" s="27" t="s">
        <v>3954</v>
      </c>
      <c r="P1332" s="27" t="s">
        <v>11282</v>
      </c>
      <c r="Q1332" s="26" t="str">
        <f>HYPERLINK("https://ictv.global/taxonomy/taxondetails?taxnode_id=202512211&amp;ictv_id=ICTV202112211","ICTV202112211")</f>
        <v>ICTV202112211</v>
      </c>
      <c r="R1332" t="s">
        <v>579</v>
      </c>
      <c r="S1332" t="s">
        <v>824</v>
      </c>
      <c r="T1332">
        <v>39</v>
      </c>
      <c r="U1332" s="26" t="str">
        <f>HYPERLINK("https://ictv.global/ictv/proposals/2023.001A.Archaeal_binomials.zip","2023.001A.Archaeal_binomials.zip")</f>
        <v>2023.001A.Archaeal_binomials.zip</v>
      </c>
    </row>
    <row r="1333" spans="1:21">
      <c r="A1333">
        <v>1332</v>
      </c>
      <c r="B1333" s="27" t="s">
        <v>1449</v>
      </c>
      <c r="D1333" s="27" t="s">
        <v>1450</v>
      </c>
      <c r="F1333" s="27" t="s">
        <v>1453</v>
      </c>
      <c r="H1333" s="27" t="s">
        <v>1454</v>
      </c>
      <c r="J1333" s="27" t="s">
        <v>3951</v>
      </c>
      <c r="L1333" s="27" t="s">
        <v>3955</v>
      </c>
      <c r="N1333" s="27" t="s">
        <v>3956</v>
      </c>
      <c r="P1333" s="27" t="s">
        <v>11283</v>
      </c>
      <c r="Q1333" s="26" t="str">
        <f>HYPERLINK("https://ictv.global/taxonomy/taxondetails?taxnode_id=202512201&amp;ictv_id=ICTV202112201","ICTV202112201")</f>
        <v>ICTV202112201</v>
      </c>
      <c r="R1333" t="s">
        <v>579</v>
      </c>
      <c r="S1333" t="s">
        <v>824</v>
      </c>
      <c r="T1333">
        <v>39</v>
      </c>
      <c r="U1333" s="26" t="str">
        <f>HYPERLINK("https://ictv.global/ictv/proposals/2023.001A.Archaeal_binomials.zip","2023.001A.Archaeal_binomials.zip")</f>
        <v>2023.001A.Archaeal_binomials.zip</v>
      </c>
    </row>
    <row r="1334" spans="1:21">
      <c r="A1334">
        <v>1333</v>
      </c>
      <c r="B1334" s="27" t="s">
        <v>1449</v>
      </c>
      <c r="D1334" s="27" t="s">
        <v>1450</v>
      </c>
      <c r="F1334" s="27" t="s">
        <v>1453</v>
      </c>
      <c r="H1334" s="27" t="s">
        <v>1454</v>
      </c>
      <c r="J1334" s="27" t="s">
        <v>3951</v>
      </c>
      <c r="L1334" s="27" t="s">
        <v>3955</v>
      </c>
      <c r="N1334" s="27" t="s">
        <v>3957</v>
      </c>
      <c r="P1334" s="27" t="s">
        <v>11284</v>
      </c>
      <c r="Q1334" s="26" t="str">
        <f>HYPERLINK("https://ictv.global/taxonomy/taxondetails?taxnode_id=202512199&amp;ictv_id=ICTV202112199","ICTV202112199")</f>
        <v>ICTV202112199</v>
      </c>
      <c r="R1334" t="s">
        <v>579</v>
      </c>
      <c r="S1334" t="s">
        <v>824</v>
      </c>
      <c r="T1334">
        <v>39</v>
      </c>
      <c r="U1334" s="26" t="str">
        <f>HYPERLINK("https://ictv.global/ictv/proposals/2023.001A.Archaeal_binomials.zip","2023.001A.Archaeal_binomials.zip")</f>
        <v>2023.001A.Archaeal_binomials.zip</v>
      </c>
    </row>
    <row r="1335" spans="1:21">
      <c r="A1335">
        <v>1334</v>
      </c>
      <c r="B1335" s="27" t="s">
        <v>1449</v>
      </c>
      <c r="D1335" s="27" t="s">
        <v>1450</v>
      </c>
      <c r="F1335" s="27" t="s">
        <v>1453</v>
      </c>
      <c r="H1335" s="27" t="s">
        <v>1454</v>
      </c>
      <c r="J1335" s="27" t="s">
        <v>3951</v>
      </c>
      <c r="L1335" s="27" t="s">
        <v>3955</v>
      </c>
      <c r="N1335" s="27" t="s">
        <v>3958</v>
      </c>
      <c r="P1335" s="27" t="s">
        <v>11285</v>
      </c>
      <c r="Q1335" s="26" t="str">
        <f>HYPERLINK("https://ictv.global/taxonomy/taxondetails?taxnode_id=202512203&amp;ictv_id=ICTV202112203","ICTV202112203")</f>
        <v>ICTV202112203</v>
      </c>
      <c r="R1335" t="s">
        <v>579</v>
      </c>
      <c r="S1335" t="s">
        <v>824</v>
      </c>
      <c r="T1335">
        <v>39</v>
      </c>
      <c r="U1335" s="26" t="str">
        <f>HYPERLINK("https://ictv.global/ictv/proposals/2023.001A.Archaeal_binomials.zip","2023.001A.Archaeal_binomials.zip")</f>
        <v>2023.001A.Archaeal_binomials.zip</v>
      </c>
    </row>
    <row r="1336" spans="1:21">
      <c r="A1336">
        <v>1335</v>
      </c>
      <c r="B1336" s="27" t="s">
        <v>1449</v>
      </c>
      <c r="D1336" s="27" t="s">
        <v>1450</v>
      </c>
      <c r="F1336" s="27" t="s">
        <v>1453</v>
      </c>
      <c r="H1336" s="27" t="s">
        <v>1454</v>
      </c>
      <c r="J1336" s="27" t="s">
        <v>3951</v>
      </c>
      <c r="L1336" s="27" t="s">
        <v>3959</v>
      </c>
      <c r="N1336" s="27" t="s">
        <v>21166</v>
      </c>
      <c r="P1336" s="27" t="s">
        <v>21167</v>
      </c>
      <c r="Q1336" s="26" t="str">
        <f>HYPERLINK("https://ictv.global/taxonomy/taxondetails?taxnode_id=202522083&amp;ictv_id=ICTV202522083","ICTV202522083")</f>
        <v>ICTV202522083</v>
      </c>
      <c r="R1336" t="s">
        <v>579</v>
      </c>
      <c r="S1336" t="s">
        <v>823</v>
      </c>
      <c r="T1336">
        <v>41</v>
      </c>
      <c r="U1336" s="26" t="str">
        <f>HYPERLINK("https://ictv.global/ictv/proposals/2025.002A.Archaeal_Caudoviricetes_8nf.zip","2025.002A.Archaeal_Caudoviricetes_8nf.zip")</f>
        <v>2025.002A.Archaeal_Caudoviricetes_8nf.zip</v>
      </c>
    </row>
    <row r="1337" spans="1:21">
      <c r="A1337">
        <v>1336</v>
      </c>
      <c r="B1337" s="27" t="s">
        <v>1449</v>
      </c>
      <c r="D1337" s="27" t="s">
        <v>1450</v>
      </c>
      <c r="F1337" s="27" t="s">
        <v>1453</v>
      </c>
      <c r="H1337" s="27" t="s">
        <v>1454</v>
      </c>
      <c r="J1337" s="27" t="s">
        <v>3951</v>
      </c>
      <c r="L1337" s="27" t="s">
        <v>3959</v>
      </c>
      <c r="N1337" s="27" t="s">
        <v>3960</v>
      </c>
      <c r="P1337" s="27" t="s">
        <v>11286</v>
      </c>
      <c r="Q1337" s="26" t="str">
        <f>HYPERLINK("https://ictv.global/taxonomy/taxondetails?taxnode_id=202512205&amp;ictv_id=ICTV202112205","ICTV202112205")</f>
        <v>ICTV202112205</v>
      </c>
      <c r="R1337" t="s">
        <v>579</v>
      </c>
      <c r="S1337" t="s">
        <v>824</v>
      </c>
      <c r="T1337">
        <v>39</v>
      </c>
      <c r="U1337" s="26" t="str">
        <f>HYPERLINK("https://ictv.global/ictv/proposals/2023.001A.Archaeal_binomials.zip","2023.001A.Archaeal_binomials.zip")</f>
        <v>2023.001A.Archaeal_binomials.zip</v>
      </c>
    </row>
    <row r="1338" spans="1:21">
      <c r="A1338">
        <v>1337</v>
      </c>
      <c r="B1338" s="27" t="s">
        <v>1449</v>
      </c>
      <c r="D1338" s="27" t="s">
        <v>1450</v>
      </c>
      <c r="F1338" s="27" t="s">
        <v>1453</v>
      </c>
      <c r="H1338" s="27" t="s">
        <v>1454</v>
      </c>
      <c r="J1338" s="27" t="s">
        <v>3951</v>
      </c>
      <c r="L1338" s="27" t="s">
        <v>3961</v>
      </c>
      <c r="N1338" s="27" t="s">
        <v>3962</v>
      </c>
      <c r="P1338" s="27" t="s">
        <v>11287</v>
      </c>
      <c r="Q1338" s="26" t="str">
        <f>HYPERLINK("https://ictv.global/taxonomy/taxondetails?taxnode_id=202512207&amp;ictv_id=ICTV202112207","ICTV202112207")</f>
        <v>ICTV202112207</v>
      </c>
      <c r="R1338" t="s">
        <v>579</v>
      </c>
      <c r="S1338" t="s">
        <v>824</v>
      </c>
      <c r="T1338">
        <v>39</v>
      </c>
      <c r="U1338" s="26" t="str">
        <f>HYPERLINK("https://ictv.global/ictv/proposals/2023.001A.Archaeal_binomials.zip","2023.001A.Archaeal_binomials.zip")</f>
        <v>2023.001A.Archaeal_binomials.zip</v>
      </c>
    </row>
    <row r="1339" spans="1:21">
      <c r="A1339">
        <v>1338</v>
      </c>
      <c r="B1339" s="27" t="s">
        <v>1449</v>
      </c>
      <c r="D1339" s="27" t="s">
        <v>1450</v>
      </c>
      <c r="F1339" s="27" t="s">
        <v>1453</v>
      </c>
      <c r="H1339" s="27" t="s">
        <v>1454</v>
      </c>
      <c r="J1339" s="27" t="s">
        <v>3963</v>
      </c>
      <c r="L1339" s="27" t="s">
        <v>3964</v>
      </c>
      <c r="N1339" s="27" t="s">
        <v>3965</v>
      </c>
      <c r="P1339" s="27" t="s">
        <v>3966</v>
      </c>
      <c r="Q1339" s="26" t="str">
        <f>HYPERLINK("https://ictv.global/taxonomy/taxondetails?taxnode_id=202514326&amp;ictv_id=ICTV202214326","ICTV202214326")</f>
        <v>ICTV202214326</v>
      </c>
      <c r="R1339" t="s">
        <v>579</v>
      </c>
      <c r="S1339" t="s">
        <v>823</v>
      </c>
      <c r="T1339">
        <v>38</v>
      </c>
      <c r="U1339" s="26" t="str">
        <f>HYPERLINK("https://ictv.global/ictv/proposals/2022.003A.Caudoviricetes_2no_3nf.zip","2022.003A.Caudoviricetes_2no_3nf.zip")</f>
        <v>2022.003A.Caudoviricetes_2no_3nf.zip</v>
      </c>
    </row>
    <row r="1340" spans="1:21">
      <c r="A1340">
        <v>1339</v>
      </c>
      <c r="B1340" s="27" t="s">
        <v>1449</v>
      </c>
      <c r="D1340" s="27" t="s">
        <v>1450</v>
      </c>
      <c r="F1340" s="27" t="s">
        <v>1453</v>
      </c>
      <c r="H1340" s="27" t="s">
        <v>1454</v>
      </c>
      <c r="J1340" s="27" t="s">
        <v>3963</v>
      </c>
      <c r="L1340" s="27" t="s">
        <v>19290</v>
      </c>
      <c r="N1340" s="27" t="s">
        <v>19291</v>
      </c>
      <c r="P1340" s="27" t="s">
        <v>19292</v>
      </c>
      <c r="Q1340" s="26" t="str">
        <f>HYPERLINK("https://ictv.global/taxonomy/taxondetails?taxnode_id=202519926&amp;ictv_id=ICTV202419926","ICTV202419926")</f>
        <v>ICTV202419926</v>
      </c>
      <c r="R1340" t="s">
        <v>579</v>
      </c>
      <c r="S1340" t="s">
        <v>823</v>
      </c>
      <c r="T1340">
        <v>40</v>
      </c>
      <c r="U1340" s="26" t="str">
        <f>HYPERLINK("https://ictv.global/ictv/proposals/2024.001A.Apasiiviridae_newfam.zip","2024.001A.Apasiiviridae_newfam.zip")</f>
        <v>2024.001A.Apasiiviridae_newfam.zip</v>
      </c>
    </row>
    <row r="1341" spans="1:21">
      <c r="A1341">
        <v>1340</v>
      </c>
      <c r="B1341" s="27" t="s">
        <v>1449</v>
      </c>
      <c r="D1341" s="27" t="s">
        <v>1450</v>
      </c>
      <c r="F1341" s="27" t="s">
        <v>1453</v>
      </c>
      <c r="H1341" s="27" t="s">
        <v>1454</v>
      </c>
      <c r="J1341" s="27" t="s">
        <v>3963</v>
      </c>
      <c r="L1341" s="27" t="s">
        <v>19293</v>
      </c>
      <c r="N1341" s="27" t="s">
        <v>19294</v>
      </c>
      <c r="P1341" s="27" t="s">
        <v>19295</v>
      </c>
      <c r="Q1341" s="26" t="str">
        <f>HYPERLINK("https://ictv.global/taxonomy/taxondetails?taxnode_id=202519964&amp;ictv_id=ICTV202419964","ICTV202419964")</f>
        <v>ICTV202419964</v>
      </c>
      <c r="R1341" t="s">
        <v>579</v>
      </c>
      <c r="S1341" t="s">
        <v>823</v>
      </c>
      <c r="T1341">
        <v>40</v>
      </c>
      <c r="U1341" s="26" t="str">
        <f>HYPERLINK("https://ictv.global/ictv/proposals/2024.002A.Adrikaivirales_neworder_2newfam.zip","2024.002A.Adrikaivirales_neworder_2newfam.zip")</f>
        <v>2024.002A.Adrikaivirales_neworder_2newfam.zip</v>
      </c>
    </row>
    <row r="1342" spans="1:21">
      <c r="A1342">
        <v>1341</v>
      </c>
      <c r="B1342" s="27" t="s">
        <v>1449</v>
      </c>
      <c r="D1342" s="27" t="s">
        <v>1450</v>
      </c>
      <c r="F1342" s="27" t="s">
        <v>1453</v>
      </c>
      <c r="H1342" s="27" t="s">
        <v>1454</v>
      </c>
      <c r="J1342" s="27" t="s">
        <v>21732</v>
      </c>
      <c r="L1342" s="27" t="s">
        <v>21733</v>
      </c>
      <c r="N1342" s="27" t="s">
        <v>21734</v>
      </c>
      <c r="P1342" s="27" t="s">
        <v>21735</v>
      </c>
      <c r="Q1342" s="26" t="str">
        <f>HYPERLINK("https://ictv.global/taxonomy/taxondetails?taxnode_id=202522585&amp;ictv_id=ICTV202522585","ICTV202522585")</f>
        <v>ICTV202522585</v>
      </c>
      <c r="R1342" t="s">
        <v>579</v>
      </c>
      <c r="S1342" t="s">
        <v>823</v>
      </c>
      <c r="T1342">
        <v>41</v>
      </c>
      <c r="U1342" s="26" t="str">
        <f>HYPERLINK("https://ictv.global/ictv/proposals/2025.013B.Crassvirales_reorganisation.zip","2025.013B.Crassvirales_reorganisation.zip")</f>
        <v>2025.013B.Crassvirales_reorganisation.zip</v>
      </c>
    </row>
    <row r="1343" spans="1:21">
      <c r="A1343">
        <v>1342</v>
      </c>
      <c r="B1343" s="27" t="s">
        <v>1449</v>
      </c>
      <c r="D1343" s="27" t="s">
        <v>1450</v>
      </c>
      <c r="F1343" s="27" t="s">
        <v>1453</v>
      </c>
      <c r="H1343" s="27" t="s">
        <v>1454</v>
      </c>
      <c r="J1343" s="27" t="s">
        <v>3967</v>
      </c>
      <c r="L1343" s="27" t="s">
        <v>3968</v>
      </c>
      <c r="N1343" s="27" t="s">
        <v>3969</v>
      </c>
      <c r="P1343" s="27" t="s">
        <v>11288</v>
      </c>
      <c r="Q1343" s="26" t="str">
        <f>HYPERLINK("https://ictv.global/taxonomy/taxondetails?taxnode_id=202512213&amp;ictv_id=ICTV202112213","ICTV202112213")</f>
        <v>ICTV202112213</v>
      </c>
      <c r="R1343" t="s">
        <v>579</v>
      </c>
      <c r="S1343" t="s">
        <v>824</v>
      </c>
      <c r="T1343">
        <v>39</v>
      </c>
      <c r="U1343" s="26" t="str">
        <f>HYPERLINK("https://ictv.global/ictv/proposals/2023.001A.Archaeal_binomials.zip","2023.001A.Archaeal_binomials.zip")</f>
        <v>2023.001A.Archaeal_binomials.zip</v>
      </c>
    </row>
    <row r="1344" spans="1:21">
      <c r="A1344">
        <v>1343</v>
      </c>
      <c r="B1344" s="27" t="s">
        <v>1449</v>
      </c>
      <c r="D1344" s="27" t="s">
        <v>1450</v>
      </c>
      <c r="F1344" s="27" t="s">
        <v>1453</v>
      </c>
      <c r="H1344" s="27" t="s">
        <v>1454</v>
      </c>
      <c r="J1344" s="27" t="s">
        <v>3967</v>
      </c>
      <c r="L1344" s="27" t="s">
        <v>11289</v>
      </c>
      <c r="N1344" s="27" t="s">
        <v>11290</v>
      </c>
      <c r="P1344" s="27" t="s">
        <v>11291</v>
      </c>
      <c r="Q1344" s="26" t="str">
        <f>HYPERLINK("https://ictv.global/taxonomy/taxondetails?taxnode_id=202517736&amp;ictv_id=ICTV202317736","ICTV202317736")</f>
        <v>ICTV202317736</v>
      </c>
      <c r="R1344" t="s">
        <v>579</v>
      </c>
      <c r="S1344" t="s">
        <v>823</v>
      </c>
      <c r="T1344">
        <v>39</v>
      </c>
      <c r="U1344" s="26" t="str">
        <f>HYPERLINK("https://ictv.global/ictv/proposals/2023.002A.Caudoviricetes_5nf_v2.zip","2023.002A.Caudoviricetes_5nf_v2.zip")</f>
        <v>2023.002A.Caudoviricetes_5nf_v2.zip</v>
      </c>
    </row>
    <row r="1345" spans="1:21">
      <c r="A1345">
        <v>1344</v>
      </c>
      <c r="B1345" s="27" t="s">
        <v>1449</v>
      </c>
      <c r="D1345" s="27" t="s">
        <v>1450</v>
      </c>
      <c r="F1345" s="27" t="s">
        <v>1453</v>
      </c>
      <c r="H1345" s="27" t="s">
        <v>1454</v>
      </c>
      <c r="J1345" s="27" t="s">
        <v>3967</v>
      </c>
      <c r="L1345" s="27" t="s">
        <v>11292</v>
      </c>
      <c r="N1345" s="27" t="s">
        <v>11293</v>
      </c>
      <c r="P1345" s="27" t="s">
        <v>11294</v>
      </c>
      <c r="Q1345" s="26" t="str">
        <f>HYPERLINK("https://ictv.global/taxonomy/taxondetails?taxnode_id=202517735&amp;ictv_id=ICTV202317735","ICTV202317735")</f>
        <v>ICTV202317735</v>
      </c>
      <c r="R1345" t="s">
        <v>579</v>
      </c>
      <c r="S1345" t="s">
        <v>823</v>
      </c>
      <c r="T1345">
        <v>39</v>
      </c>
      <c r="U1345" s="26" t="str">
        <f>HYPERLINK("https://ictv.global/ictv/proposals/2023.002A.Caudoviricetes_5nf_v2.zip","2023.002A.Caudoviricetes_5nf_v2.zip")</f>
        <v>2023.002A.Caudoviricetes_5nf_v2.zip</v>
      </c>
    </row>
    <row r="1346" spans="1:21">
      <c r="A1346">
        <v>1345</v>
      </c>
      <c r="B1346" s="27" t="s">
        <v>1449</v>
      </c>
      <c r="D1346" s="27" t="s">
        <v>1450</v>
      </c>
      <c r="F1346" s="27" t="s">
        <v>1453</v>
      </c>
      <c r="H1346" s="27" t="s">
        <v>1454</v>
      </c>
      <c r="J1346" s="27" t="s">
        <v>3967</v>
      </c>
      <c r="L1346" s="27" t="s">
        <v>3970</v>
      </c>
      <c r="N1346" s="27" t="s">
        <v>626</v>
      </c>
      <c r="P1346" s="27" t="s">
        <v>11295</v>
      </c>
      <c r="Q1346" s="26" t="str">
        <f>HYPERLINK("https://ictv.global/taxonomy/taxondetails?taxnode_id=202507999&amp;ictv_id=ICTV201907999","ICTV201907999")</f>
        <v>ICTV201907999</v>
      </c>
      <c r="R1346" t="s">
        <v>579</v>
      </c>
      <c r="S1346" t="s">
        <v>824</v>
      </c>
      <c r="T1346">
        <v>39</v>
      </c>
      <c r="U1346" s="26" t="str">
        <f>HYPERLINK("https://ictv.global/ictv/proposals/2023.001A.Archaeal_binomials.zip","2023.001A.Archaeal_binomials.zip")</f>
        <v>2023.001A.Archaeal_binomials.zip</v>
      </c>
    </row>
    <row r="1347" spans="1:21">
      <c r="A1347">
        <v>1346</v>
      </c>
      <c r="B1347" s="27" t="s">
        <v>1449</v>
      </c>
      <c r="D1347" s="27" t="s">
        <v>1450</v>
      </c>
      <c r="F1347" s="27" t="s">
        <v>1453</v>
      </c>
      <c r="H1347" s="27" t="s">
        <v>1454</v>
      </c>
      <c r="J1347" s="27" t="s">
        <v>3967</v>
      </c>
      <c r="L1347" s="27" t="s">
        <v>11296</v>
      </c>
      <c r="N1347" s="27" t="s">
        <v>11297</v>
      </c>
      <c r="P1347" s="27" t="s">
        <v>11298</v>
      </c>
      <c r="Q1347" s="26" t="str">
        <f>HYPERLINK("https://ictv.global/taxonomy/taxondetails?taxnode_id=202517737&amp;ictv_id=ICTV202317737","ICTV202317737")</f>
        <v>ICTV202317737</v>
      </c>
      <c r="R1347" t="s">
        <v>579</v>
      </c>
      <c r="S1347" t="s">
        <v>823</v>
      </c>
      <c r="T1347">
        <v>39</v>
      </c>
      <c r="U1347" s="26" t="str">
        <f>HYPERLINK("https://ictv.global/ictv/proposals/2023.002A.Caudoviricetes_5nf_v2.zip","2023.002A.Caudoviricetes_5nf_v2.zip")</f>
        <v>2023.002A.Caudoviricetes_5nf_v2.zip</v>
      </c>
    </row>
    <row r="1348" spans="1:21">
      <c r="A1348">
        <v>1347</v>
      </c>
      <c r="B1348" s="27" t="s">
        <v>1449</v>
      </c>
      <c r="D1348" s="27" t="s">
        <v>1450</v>
      </c>
      <c r="F1348" s="27" t="s">
        <v>1453</v>
      </c>
      <c r="H1348" s="27" t="s">
        <v>1454</v>
      </c>
      <c r="J1348" s="27" t="s">
        <v>3967</v>
      </c>
      <c r="L1348" s="27" t="s">
        <v>19296</v>
      </c>
      <c r="N1348" s="27" t="s">
        <v>19297</v>
      </c>
      <c r="P1348" s="27" t="s">
        <v>19298</v>
      </c>
      <c r="Q1348" s="26" t="str">
        <f>HYPERLINK("https://ictv.global/taxonomy/taxondetails?taxnode_id=202520223&amp;ictv_id=ICTV202420223","ICTV202420223")</f>
        <v>ICTV202420223</v>
      </c>
      <c r="R1348" t="s">
        <v>579</v>
      </c>
      <c r="S1348" t="s">
        <v>823</v>
      </c>
      <c r="T1348">
        <v>40</v>
      </c>
      <c r="U1348" s="26" t="str">
        <f>HYPERLINK("https://ictv.global/ictv/proposals/2024.006A.Usuviridae_newfam.zip","2024.006A.Usuviridae_newfam.zip")</f>
        <v>2024.006A.Usuviridae_newfam.zip</v>
      </c>
    </row>
    <row r="1349" spans="1:21">
      <c r="A1349">
        <v>1348</v>
      </c>
      <c r="B1349" s="27" t="s">
        <v>1449</v>
      </c>
      <c r="D1349" s="27" t="s">
        <v>1450</v>
      </c>
      <c r="F1349" s="27" t="s">
        <v>1453</v>
      </c>
      <c r="H1349" s="27" t="s">
        <v>1454</v>
      </c>
      <c r="J1349" s="27" t="s">
        <v>3967</v>
      </c>
      <c r="L1349" s="27" t="s">
        <v>19296</v>
      </c>
      <c r="N1349" s="27" t="s">
        <v>19299</v>
      </c>
      <c r="P1349" s="27" t="s">
        <v>19300</v>
      </c>
      <c r="Q1349" s="26" t="str">
        <f>HYPERLINK("https://ictv.global/taxonomy/taxondetails?taxnode_id=202520222&amp;ictv_id=ICTV202420222","ICTV202420222")</f>
        <v>ICTV202420222</v>
      </c>
      <c r="R1349" t="s">
        <v>579</v>
      </c>
      <c r="S1349" t="s">
        <v>823</v>
      </c>
      <c r="T1349">
        <v>40</v>
      </c>
      <c r="U1349" s="26" t="str">
        <f>HYPERLINK("https://ictv.global/ictv/proposals/2024.006A.Usuviridae_newfam.zip","2024.006A.Usuviridae_newfam.zip")</f>
        <v>2024.006A.Usuviridae_newfam.zip</v>
      </c>
    </row>
    <row r="1350" spans="1:21">
      <c r="A1350">
        <v>1349</v>
      </c>
      <c r="B1350" s="27" t="s">
        <v>1449</v>
      </c>
      <c r="D1350" s="27" t="s">
        <v>1450</v>
      </c>
      <c r="F1350" s="27" t="s">
        <v>1453</v>
      </c>
      <c r="H1350" s="27" t="s">
        <v>1454</v>
      </c>
      <c r="J1350" s="27" t="s">
        <v>3971</v>
      </c>
      <c r="L1350" s="27" t="s">
        <v>3972</v>
      </c>
      <c r="N1350" s="27" t="s">
        <v>3973</v>
      </c>
      <c r="P1350" s="27" t="s">
        <v>3974</v>
      </c>
      <c r="Q1350" s="26" t="str">
        <f>HYPERLINK("https://ictv.global/taxonomy/taxondetails?taxnode_id=202514292&amp;ictv_id=ICTV202214292","ICTV202214292")</f>
        <v>ICTV202214292</v>
      </c>
      <c r="R1350" t="s">
        <v>579</v>
      </c>
      <c r="S1350" t="s">
        <v>823</v>
      </c>
      <c r="T1350">
        <v>38</v>
      </c>
      <c r="U1350" s="26" t="str">
        <f>HYPERLINK("https://ictv.global/ictv/proposals/2022.001A.Nakonvirales_Maximonvirales_Coyopavirales_3no.zip","2022.001A.Nakonvirales_Maximonvirales_Coyopavirales_3no.zip")</f>
        <v>2022.001A.Nakonvirales_Maximonvirales_Coyopavirales_3no.zip</v>
      </c>
    </row>
    <row r="1351" spans="1:21">
      <c r="A1351">
        <v>1350</v>
      </c>
      <c r="B1351" s="27" t="s">
        <v>1449</v>
      </c>
      <c r="D1351" s="27" t="s">
        <v>1450</v>
      </c>
      <c r="F1351" s="27" t="s">
        <v>1453</v>
      </c>
      <c r="H1351" s="27" t="s">
        <v>1454</v>
      </c>
      <c r="J1351" s="27" t="s">
        <v>3971</v>
      </c>
      <c r="L1351" s="27" t="s">
        <v>3975</v>
      </c>
      <c r="N1351" s="27" t="s">
        <v>3976</v>
      </c>
      <c r="P1351" s="27" t="s">
        <v>3977</v>
      </c>
      <c r="Q1351" s="26" t="str">
        <f>HYPERLINK("https://ictv.global/taxonomy/taxondetails?taxnode_id=202514293&amp;ictv_id=ICTV202214293","ICTV202214293")</f>
        <v>ICTV202214293</v>
      </c>
      <c r="R1351" t="s">
        <v>579</v>
      </c>
      <c r="S1351" t="s">
        <v>823</v>
      </c>
      <c r="T1351">
        <v>38</v>
      </c>
      <c r="U1351" s="26" t="str">
        <f>HYPERLINK("https://ictv.global/ictv/proposals/2022.001A.Nakonvirales_Maximonvirales_Coyopavirales_3no.zip","2022.001A.Nakonvirales_Maximonvirales_Coyopavirales_3no.zip")</f>
        <v>2022.001A.Nakonvirales_Maximonvirales_Coyopavirales_3no.zip</v>
      </c>
    </row>
    <row r="1352" spans="1:21">
      <c r="A1352">
        <v>1351</v>
      </c>
      <c r="B1352" s="27" t="s">
        <v>1449</v>
      </c>
      <c r="D1352" s="27" t="s">
        <v>1450</v>
      </c>
      <c r="F1352" s="27" t="s">
        <v>1453</v>
      </c>
      <c r="H1352" s="27" t="s">
        <v>1454</v>
      </c>
      <c r="J1352" s="27" t="s">
        <v>3971</v>
      </c>
      <c r="L1352" s="27" t="s">
        <v>3975</v>
      </c>
      <c r="N1352" s="27" t="s">
        <v>3976</v>
      </c>
      <c r="P1352" s="27" t="s">
        <v>3978</v>
      </c>
      <c r="Q1352" s="26" t="str">
        <f>HYPERLINK("https://ictv.global/taxonomy/taxondetails?taxnode_id=202514294&amp;ictv_id=ICTV202214294","ICTV202214294")</f>
        <v>ICTV202214294</v>
      </c>
      <c r="R1352" t="s">
        <v>579</v>
      </c>
      <c r="S1352" t="s">
        <v>823</v>
      </c>
      <c r="T1352">
        <v>38</v>
      </c>
      <c r="U1352" s="26" t="str">
        <f>HYPERLINK("https://ictv.global/ictv/proposals/2022.001A.Nakonvirales_Maximonvirales_Coyopavirales_3no.zip","2022.001A.Nakonvirales_Maximonvirales_Coyopavirales_3no.zip")</f>
        <v>2022.001A.Nakonvirales_Maximonvirales_Coyopavirales_3no.zip</v>
      </c>
    </row>
    <row r="1353" spans="1:21">
      <c r="A1353">
        <v>1352</v>
      </c>
      <c r="B1353" s="27" t="s">
        <v>1449</v>
      </c>
      <c r="D1353" s="27" t="s">
        <v>1450</v>
      </c>
      <c r="F1353" s="27" t="s">
        <v>1453</v>
      </c>
      <c r="H1353" s="27" t="s">
        <v>1454</v>
      </c>
      <c r="J1353" s="27" t="s">
        <v>19301</v>
      </c>
      <c r="L1353" s="27" t="s">
        <v>825</v>
      </c>
      <c r="M1353" s="27" t="s">
        <v>826</v>
      </c>
      <c r="N1353" s="27" t="s">
        <v>1190</v>
      </c>
      <c r="P1353" s="27" t="s">
        <v>3991</v>
      </c>
      <c r="Q1353" s="26" t="str">
        <f>HYPERLINK("https://ictv.global/taxonomy/taxondetails?taxnode_id=202500534&amp;ictv_id=ICTV20125867","ICTV20125867")</f>
        <v>ICTV20125867</v>
      </c>
      <c r="R1353" t="s">
        <v>579</v>
      </c>
      <c r="S1353" t="s">
        <v>22763</v>
      </c>
      <c r="T1353">
        <v>40</v>
      </c>
      <c r="U1353" s="26" t="str">
        <f t="shared" ref="U1353:U1384" si="43">HYPERLINK("https://ictv.global/ictv/proposals/2024.026B.Pantevenvirales_1no_3mf.zip","2024.026B.Pantevenvirales_1no_3mf.zip")</f>
        <v>2024.026B.Pantevenvirales_1no_3mf.zip</v>
      </c>
    </row>
    <row r="1354" spans="1:21">
      <c r="A1354">
        <v>1353</v>
      </c>
      <c r="B1354" s="27" t="s">
        <v>1449</v>
      </c>
      <c r="D1354" s="27" t="s">
        <v>1450</v>
      </c>
      <c r="F1354" s="27" t="s">
        <v>1453</v>
      </c>
      <c r="H1354" s="27" t="s">
        <v>1454</v>
      </c>
      <c r="J1354" s="27" t="s">
        <v>19301</v>
      </c>
      <c r="L1354" s="27" t="s">
        <v>825</v>
      </c>
      <c r="M1354" s="27" t="s">
        <v>826</v>
      </c>
      <c r="N1354" s="27" t="s">
        <v>1190</v>
      </c>
      <c r="P1354" s="27" t="s">
        <v>3992</v>
      </c>
      <c r="Q1354" s="26" t="str">
        <f>HYPERLINK("https://ictv.global/taxonomy/taxondetails?taxnode_id=202508872&amp;ictv_id=ICTV202008872","ICTV202008872")</f>
        <v>ICTV202008872</v>
      </c>
      <c r="R1354" t="s">
        <v>579</v>
      </c>
      <c r="S1354" t="s">
        <v>22763</v>
      </c>
      <c r="T1354">
        <v>40</v>
      </c>
      <c r="U1354" s="26" t="str">
        <f t="shared" si="43"/>
        <v>2024.026B.Pantevenvirales_1no_3mf.zip</v>
      </c>
    </row>
    <row r="1355" spans="1:21">
      <c r="A1355">
        <v>1354</v>
      </c>
      <c r="B1355" s="27" t="s">
        <v>1449</v>
      </c>
      <c r="D1355" s="27" t="s">
        <v>1450</v>
      </c>
      <c r="F1355" s="27" t="s">
        <v>1453</v>
      </c>
      <c r="H1355" s="27" t="s">
        <v>1454</v>
      </c>
      <c r="J1355" s="27" t="s">
        <v>19301</v>
      </c>
      <c r="L1355" s="27" t="s">
        <v>825</v>
      </c>
      <c r="M1355" s="27" t="s">
        <v>826</v>
      </c>
      <c r="N1355" s="27" t="s">
        <v>1190</v>
      </c>
      <c r="P1355" s="27" t="s">
        <v>3993</v>
      </c>
      <c r="Q1355" s="26" t="str">
        <f>HYPERLINK("https://ictv.global/taxonomy/taxondetails?taxnode_id=202508873&amp;ictv_id=ICTV202008873","ICTV202008873")</f>
        <v>ICTV202008873</v>
      </c>
      <c r="R1355" t="s">
        <v>579</v>
      </c>
      <c r="S1355" t="s">
        <v>22763</v>
      </c>
      <c r="T1355">
        <v>40</v>
      </c>
      <c r="U1355" s="26" t="str">
        <f t="shared" si="43"/>
        <v>2024.026B.Pantevenvirales_1no_3mf.zip</v>
      </c>
    </row>
    <row r="1356" spans="1:21">
      <c r="A1356">
        <v>1355</v>
      </c>
      <c r="B1356" s="27" t="s">
        <v>1449</v>
      </c>
      <c r="D1356" s="27" t="s">
        <v>1450</v>
      </c>
      <c r="F1356" s="27" t="s">
        <v>1453</v>
      </c>
      <c r="H1356" s="27" t="s">
        <v>1454</v>
      </c>
      <c r="J1356" s="27" t="s">
        <v>19301</v>
      </c>
      <c r="L1356" s="27" t="s">
        <v>825</v>
      </c>
      <c r="M1356" s="27" t="s">
        <v>826</v>
      </c>
      <c r="N1356" s="27" t="s">
        <v>1190</v>
      </c>
      <c r="P1356" s="27" t="s">
        <v>3994</v>
      </c>
      <c r="Q1356" s="26" t="str">
        <f>HYPERLINK("https://ictv.global/taxonomy/taxondetails?taxnode_id=202508874&amp;ictv_id=ICTV202008874","ICTV202008874")</f>
        <v>ICTV202008874</v>
      </c>
      <c r="R1356" t="s">
        <v>579</v>
      </c>
      <c r="S1356" t="s">
        <v>22763</v>
      </c>
      <c r="T1356">
        <v>40</v>
      </c>
      <c r="U1356" s="26" t="str">
        <f t="shared" si="43"/>
        <v>2024.026B.Pantevenvirales_1no_3mf.zip</v>
      </c>
    </row>
    <row r="1357" spans="1:21">
      <c r="A1357">
        <v>1356</v>
      </c>
      <c r="B1357" s="27" t="s">
        <v>1449</v>
      </c>
      <c r="D1357" s="27" t="s">
        <v>1450</v>
      </c>
      <c r="F1357" s="27" t="s">
        <v>1453</v>
      </c>
      <c r="H1357" s="27" t="s">
        <v>1454</v>
      </c>
      <c r="J1357" s="27" t="s">
        <v>19301</v>
      </c>
      <c r="L1357" s="27" t="s">
        <v>825</v>
      </c>
      <c r="M1357" s="27" t="s">
        <v>826</v>
      </c>
      <c r="N1357" s="27" t="s">
        <v>1190</v>
      </c>
      <c r="P1357" s="27" t="s">
        <v>3995</v>
      </c>
      <c r="Q1357" s="26" t="str">
        <f>HYPERLINK("https://ictv.global/taxonomy/taxondetails?taxnode_id=202505465&amp;ictv_id=ICTV20175465","ICTV20175465")</f>
        <v>ICTV20175465</v>
      </c>
      <c r="R1357" t="s">
        <v>579</v>
      </c>
      <c r="S1357" t="s">
        <v>22763</v>
      </c>
      <c r="T1357">
        <v>40</v>
      </c>
      <c r="U1357" s="26" t="str">
        <f t="shared" si="43"/>
        <v>2024.026B.Pantevenvirales_1no_3mf.zip</v>
      </c>
    </row>
    <row r="1358" spans="1:21">
      <c r="A1358">
        <v>1357</v>
      </c>
      <c r="B1358" s="27" t="s">
        <v>1449</v>
      </c>
      <c r="D1358" s="27" t="s">
        <v>1450</v>
      </c>
      <c r="F1358" s="27" t="s">
        <v>1453</v>
      </c>
      <c r="H1358" s="27" t="s">
        <v>1454</v>
      </c>
      <c r="J1358" s="27" t="s">
        <v>19301</v>
      </c>
      <c r="L1358" s="27" t="s">
        <v>825</v>
      </c>
      <c r="M1358" s="27" t="s">
        <v>826</v>
      </c>
      <c r="N1358" s="27" t="s">
        <v>827</v>
      </c>
      <c r="P1358" s="27" t="s">
        <v>3996</v>
      </c>
      <c r="Q1358" s="26" t="str">
        <f>HYPERLINK("https://ictv.global/taxonomy/taxondetails?taxnode_id=202500521&amp;ictv_id=ICTV20125868","ICTV20125868")</f>
        <v>ICTV20125868</v>
      </c>
      <c r="R1358" t="s">
        <v>579</v>
      </c>
      <c r="S1358" t="s">
        <v>22763</v>
      </c>
      <c r="T1358">
        <v>40</v>
      </c>
      <c r="U1358" s="26" t="str">
        <f t="shared" si="43"/>
        <v>2024.026B.Pantevenvirales_1no_3mf.zip</v>
      </c>
    </row>
    <row r="1359" spans="1:21">
      <c r="A1359">
        <v>1358</v>
      </c>
      <c r="B1359" s="27" t="s">
        <v>1449</v>
      </c>
      <c r="D1359" s="27" t="s">
        <v>1450</v>
      </c>
      <c r="F1359" s="27" t="s">
        <v>1453</v>
      </c>
      <c r="H1359" s="27" t="s">
        <v>1454</v>
      </c>
      <c r="J1359" s="27" t="s">
        <v>19301</v>
      </c>
      <c r="L1359" s="27" t="s">
        <v>825</v>
      </c>
      <c r="M1359" s="27" t="s">
        <v>826</v>
      </c>
      <c r="N1359" s="27" t="s">
        <v>827</v>
      </c>
      <c r="P1359" s="27" t="s">
        <v>3997</v>
      </c>
      <c r="Q1359" s="26" t="str">
        <f>HYPERLINK("https://ictv.global/taxonomy/taxondetails?taxnode_id=202505467&amp;ictv_id=ICTV20175467","ICTV20175467")</f>
        <v>ICTV20175467</v>
      </c>
      <c r="R1359" t="s">
        <v>579</v>
      </c>
      <c r="S1359" t="s">
        <v>22763</v>
      </c>
      <c r="T1359">
        <v>40</v>
      </c>
      <c r="U1359" s="26" t="str">
        <f t="shared" si="43"/>
        <v>2024.026B.Pantevenvirales_1no_3mf.zip</v>
      </c>
    </row>
    <row r="1360" spans="1:21">
      <c r="A1360">
        <v>1359</v>
      </c>
      <c r="B1360" s="27" t="s">
        <v>1449</v>
      </c>
      <c r="D1360" s="27" t="s">
        <v>1450</v>
      </c>
      <c r="F1360" s="27" t="s">
        <v>1453</v>
      </c>
      <c r="H1360" s="27" t="s">
        <v>1454</v>
      </c>
      <c r="J1360" s="27" t="s">
        <v>19301</v>
      </c>
      <c r="L1360" s="27" t="s">
        <v>825</v>
      </c>
      <c r="M1360" s="27" t="s">
        <v>828</v>
      </c>
      <c r="N1360" s="27" t="s">
        <v>1191</v>
      </c>
      <c r="P1360" s="27" t="s">
        <v>3998</v>
      </c>
      <c r="Q1360" s="26" t="str">
        <f>HYPERLINK("https://ictv.global/taxonomy/taxondetails?taxnode_id=202508857&amp;ictv_id=ICTV202008857","ICTV202008857")</f>
        <v>ICTV202008857</v>
      </c>
      <c r="R1360" t="s">
        <v>579</v>
      </c>
      <c r="S1360" t="s">
        <v>22763</v>
      </c>
      <c r="T1360">
        <v>40</v>
      </c>
      <c r="U1360" s="26" t="str">
        <f t="shared" si="43"/>
        <v>2024.026B.Pantevenvirales_1no_3mf.zip</v>
      </c>
    </row>
    <row r="1361" spans="1:21">
      <c r="A1361">
        <v>1360</v>
      </c>
      <c r="B1361" s="27" t="s">
        <v>1449</v>
      </c>
      <c r="D1361" s="27" t="s">
        <v>1450</v>
      </c>
      <c r="F1361" s="27" t="s">
        <v>1453</v>
      </c>
      <c r="H1361" s="27" t="s">
        <v>1454</v>
      </c>
      <c r="J1361" s="27" t="s">
        <v>19301</v>
      </c>
      <c r="L1361" s="27" t="s">
        <v>825</v>
      </c>
      <c r="M1361" s="27" t="s">
        <v>828</v>
      </c>
      <c r="N1361" s="27" t="s">
        <v>1191</v>
      </c>
      <c r="P1361" s="27" t="s">
        <v>3999</v>
      </c>
      <c r="Q1361" s="26" t="str">
        <f>HYPERLINK("https://ictv.global/taxonomy/taxondetails?taxnode_id=202508845&amp;ictv_id=ICTV202008845","ICTV202008845")</f>
        <v>ICTV202008845</v>
      </c>
      <c r="R1361" t="s">
        <v>579</v>
      </c>
      <c r="S1361" t="s">
        <v>22763</v>
      </c>
      <c r="T1361">
        <v>40</v>
      </c>
      <c r="U1361" s="26" t="str">
        <f t="shared" si="43"/>
        <v>2024.026B.Pantevenvirales_1no_3mf.zip</v>
      </c>
    </row>
    <row r="1362" spans="1:21">
      <c r="A1362">
        <v>1361</v>
      </c>
      <c r="B1362" s="27" t="s">
        <v>1449</v>
      </c>
      <c r="D1362" s="27" t="s">
        <v>1450</v>
      </c>
      <c r="F1362" s="27" t="s">
        <v>1453</v>
      </c>
      <c r="H1362" s="27" t="s">
        <v>1454</v>
      </c>
      <c r="J1362" s="27" t="s">
        <v>19301</v>
      </c>
      <c r="L1362" s="27" t="s">
        <v>825</v>
      </c>
      <c r="M1362" s="27" t="s">
        <v>828</v>
      </c>
      <c r="N1362" s="27" t="s">
        <v>1191</v>
      </c>
      <c r="P1362" s="27" t="s">
        <v>4000</v>
      </c>
      <c r="Q1362" s="26" t="str">
        <f>HYPERLINK("https://ictv.global/taxonomy/taxondetails?taxnode_id=202508867&amp;ictv_id=ICTV202008867","ICTV202008867")</f>
        <v>ICTV202008867</v>
      </c>
      <c r="R1362" t="s">
        <v>579</v>
      </c>
      <c r="S1362" t="s">
        <v>22763</v>
      </c>
      <c r="T1362">
        <v>40</v>
      </c>
      <c r="U1362" s="26" t="str">
        <f t="shared" si="43"/>
        <v>2024.026B.Pantevenvirales_1no_3mf.zip</v>
      </c>
    </row>
    <row r="1363" spans="1:21">
      <c r="A1363">
        <v>1362</v>
      </c>
      <c r="B1363" s="27" t="s">
        <v>1449</v>
      </c>
      <c r="D1363" s="27" t="s">
        <v>1450</v>
      </c>
      <c r="F1363" s="27" t="s">
        <v>1453</v>
      </c>
      <c r="H1363" s="27" t="s">
        <v>1454</v>
      </c>
      <c r="J1363" s="27" t="s">
        <v>19301</v>
      </c>
      <c r="L1363" s="27" t="s">
        <v>825</v>
      </c>
      <c r="M1363" s="27" t="s">
        <v>828</v>
      </c>
      <c r="N1363" s="27" t="s">
        <v>1191</v>
      </c>
      <c r="P1363" s="27" t="s">
        <v>4001</v>
      </c>
      <c r="Q1363" s="26" t="str">
        <f>HYPERLINK("https://ictv.global/taxonomy/taxondetails?taxnode_id=202508869&amp;ictv_id=ICTV202008869","ICTV202008869")</f>
        <v>ICTV202008869</v>
      </c>
      <c r="R1363" t="s">
        <v>579</v>
      </c>
      <c r="S1363" t="s">
        <v>22763</v>
      </c>
      <c r="T1363">
        <v>40</v>
      </c>
      <c r="U1363" s="26" t="str">
        <f t="shared" si="43"/>
        <v>2024.026B.Pantevenvirales_1no_3mf.zip</v>
      </c>
    </row>
    <row r="1364" spans="1:21">
      <c r="A1364">
        <v>1363</v>
      </c>
      <c r="B1364" s="27" t="s">
        <v>1449</v>
      </c>
      <c r="D1364" s="27" t="s">
        <v>1450</v>
      </c>
      <c r="F1364" s="27" t="s">
        <v>1453</v>
      </c>
      <c r="H1364" s="27" t="s">
        <v>1454</v>
      </c>
      <c r="J1364" s="27" t="s">
        <v>19301</v>
      </c>
      <c r="L1364" s="27" t="s">
        <v>825</v>
      </c>
      <c r="M1364" s="27" t="s">
        <v>828</v>
      </c>
      <c r="N1364" s="27" t="s">
        <v>1191</v>
      </c>
      <c r="P1364" s="27" t="s">
        <v>4002</v>
      </c>
      <c r="Q1364" s="26" t="str">
        <f>HYPERLINK("https://ictv.global/taxonomy/taxondetails?taxnode_id=202508860&amp;ictv_id=ICTV202008860","ICTV202008860")</f>
        <v>ICTV202008860</v>
      </c>
      <c r="R1364" t="s">
        <v>579</v>
      </c>
      <c r="S1364" t="s">
        <v>22763</v>
      </c>
      <c r="T1364">
        <v>40</v>
      </c>
      <c r="U1364" s="26" t="str">
        <f t="shared" si="43"/>
        <v>2024.026B.Pantevenvirales_1no_3mf.zip</v>
      </c>
    </row>
    <row r="1365" spans="1:21">
      <c r="A1365">
        <v>1364</v>
      </c>
      <c r="B1365" s="27" t="s">
        <v>1449</v>
      </c>
      <c r="D1365" s="27" t="s">
        <v>1450</v>
      </c>
      <c r="F1365" s="27" t="s">
        <v>1453</v>
      </c>
      <c r="H1365" s="27" t="s">
        <v>1454</v>
      </c>
      <c r="J1365" s="27" t="s">
        <v>19301</v>
      </c>
      <c r="L1365" s="27" t="s">
        <v>825</v>
      </c>
      <c r="M1365" s="27" t="s">
        <v>828</v>
      </c>
      <c r="N1365" s="27" t="s">
        <v>1191</v>
      </c>
      <c r="P1365" s="27" t="s">
        <v>4003</v>
      </c>
      <c r="Q1365" s="26" t="str">
        <f>HYPERLINK("https://ictv.global/taxonomy/taxondetails?taxnode_id=202500522&amp;ictv_id=ICTV20125865","ICTV20125865")</f>
        <v>ICTV20125865</v>
      </c>
      <c r="R1365" t="s">
        <v>579</v>
      </c>
      <c r="S1365" t="s">
        <v>22763</v>
      </c>
      <c r="T1365">
        <v>40</v>
      </c>
      <c r="U1365" s="26" t="str">
        <f t="shared" si="43"/>
        <v>2024.026B.Pantevenvirales_1no_3mf.zip</v>
      </c>
    </row>
    <row r="1366" spans="1:21">
      <c r="A1366">
        <v>1365</v>
      </c>
      <c r="B1366" s="27" t="s">
        <v>1449</v>
      </c>
      <c r="D1366" s="27" t="s">
        <v>1450</v>
      </c>
      <c r="F1366" s="27" t="s">
        <v>1453</v>
      </c>
      <c r="H1366" s="27" t="s">
        <v>1454</v>
      </c>
      <c r="J1366" s="27" t="s">
        <v>19301</v>
      </c>
      <c r="L1366" s="27" t="s">
        <v>825</v>
      </c>
      <c r="M1366" s="27" t="s">
        <v>828</v>
      </c>
      <c r="N1366" s="27" t="s">
        <v>1191</v>
      </c>
      <c r="P1366" s="27" t="s">
        <v>4004</v>
      </c>
      <c r="Q1366" s="26" t="str">
        <f>HYPERLINK("https://ictv.global/taxonomy/taxondetails?taxnode_id=202500525&amp;ictv_id=ICTV20150217","ICTV20150217")</f>
        <v>ICTV20150217</v>
      </c>
      <c r="R1366" t="s">
        <v>579</v>
      </c>
      <c r="S1366" t="s">
        <v>22763</v>
      </c>
      <c r="T1366">
        <v>40</v>
      </c>
      <c r="U1366" s="26" t="str">
        <f t="shared" si="43"/>
        <v>2024.026B.Pantevenvirales_1no_3mf.zip</v>
      </c>
    </row>
    <row r="1367" spans="1:21">
      <c r="A1367">
        <v>1366</v>
      </c>
      <c r="B1367" s="27" t="s">
        <v>1449</v>
      </c>
      <c r="D1367" s="27" t="s">
        <v>1450</v>
      </c>
      <c r="F1367" s="27" t="s">
        <v>1453</v>
      </c>
      <c r="H1367" s="27" t="s">
        <v>1454</v>
      </c>
      <c r="J1367" s="27" t="s">
        <v>19301</v>
      </c>
      <c r="L1367" s="27" t="s">
        <v>825</v>
      </c>
      <c r="M1367" s="27" t="s">
        <v>828</v>
      </c>
      <c r="N1367" s="27" t="s">
        <v>1191</v>
      </c>
      <c r="P1367" s="27" t="s">
        <v>4005</v>
      </c>
      <c r="Q1367" s="26" t="str">
        <f>HYPERLINK("https://ictv.global/taxonomy/taxondetails?taxnode_id=202508854&amp;ictv_id=ICTV202008854","ICTV202008854")</f>
        <v>ICTV202008854</v>
      </c>
      <c r="R1367" t="s">
        <v>579</v>
      </c>
      <c r="S1367" t="s">
        <v>22763</v>
      </c>
      <c r="T1367">
        <v>40</v>
      </c>
      <c r="U1367" s="26" t="str">
        <f t="shared" si="43"/>
        <v>2024.026B.Pantevenvirales_1no_3mf.zip</v>
      </c>
    </row>
    <row r="1368" spans="1:21">
      <c r="A1368">
        <v>1367</v>
      </c>
      <c r="B1368" s="27" t="s">
        <v>1449</v>
      </c>
      <c r="D1368" s="27" t="s">
        <v>1450</v>
      </c>
      <c r="F1368" s="27" t="s">
        <v>1453</v>
      </c>
      <c r="H1368" s="27" t="s">
        <v>1454</v>
      </c>
      <c r="J1368" s="27" t="s">
        <v>19301</v>
      </c>
      <c r="L1368" s="27" t="s">
        <v>825</v>
      </c>
      <c r="M1368" s="27" t="s">
        <v>828</v>
      </c>
      <c r="N1368" s="27" t="s">
        <v>1191</v>
      </c>
      <c r="P1368" s="27" t="s">
        <v>4006</v>
      </c>
      <c r="Q1368" s="26" t="str">
        <f>HYPERLINK("https://ictv.global/taxonomy/taxondetails?taxnode_id=202500523&amp;ictv_id=ICTV20150212","ICTV20150212")</f>
        <v>ICTV20150212</v>
      </c>
      <c r="R1368" t="s">
        <v>579</v>
      </c>
      <c r="S1368" t="s">
        <v>22763</v>
      </c>
      <c r="T1368">
        <v>40</v>
      </c>
      <c r="U1368" s="26" t="str">
        <f t="shared" si="43"/>
        <v>2024.026B.Pantevenvirales_1no_3mf.zip</v>
      </c>
    </row>
    <row r="1369" spans="1:21">
      <c r="A1369">
        <v>1368</v>
      </c>
      <c r="B1369" s="27" t="s">
        <v>1449</v>
      </c>
      <c r="D1369" s="27" t="s">
        <v>1450</v>
      </c>
      <c r="F1369" s="27" t="s">
        <v>1453</v>
      </c>
      <c r="H1369" s="27" t="s">
        <v>1454</v>
      </c>
      <c r="J1369" s="27" t="s">
        <v>19301</v>
      </c>
      <c r="L1369" s="27" t="s">
        <v>825</v>
      </c>
      <c r="M1369" s="27" t="s">
        <v>828</v>
      </c>
      <c r="N1369" s="27" t="s">
        <v>1191</v>
      </c>
      <c r="P1369" s="27" t="s">
        <v>4007</v>
      </c>
      <c r="Q1369" s="26" t="str">
        <f>HYPERLINK("https://ictv.global/taxonomy/taxondetails?taxnode_id=202508868&amp;ictv_id=ICTV202008868","ICTV202008868")</f>
        <v>ICTV202008868</v>
      </c>
      <c r="R1369" t="s">
        <v>579</v>
      </c>
      <c r="S1369" t="s">
        <v>22763</v>
      </c>
      <c r="T1369">
        <v>40</v>
      </c>
      <c r="U1369" s="26" t="str">
        <f t="shared" si="43"/>
        <v>2024.026B.Pantevenvirales_1no_3mf.zip</v>
      </c>
    </row>
    <row r="1370" spans="1:21">
      <c r="A1370">
        <v>1369</v>
      </c>
      <c r="B1370" s="27" t="s">
        <v>1449</v>
      </c>
      <c r="D1370" s="27" t="s">
        <v>1450</v>
      </c>
      <c r="F1370" s="27" t="s">
        <v>1453</v>
      </c>
      <c r="H1370" s="27" t="s">
        <v>1454</v>
      </c>
      <c r="J1370" s="27" t="s">
        <v>19301</v>
      </c>
      <c r="L1370" s="27" t="s">
        <v>825</v>
      </c>
      <c r="M1370" s="27" t="s">
        <v>828</v>
      </c>
      <c r="N1370" s="27" t="s">
        <v>1191</v>
      </c>
      <c r="P1370" s="27" t="s">
        <v>4008</v>
      </c>
      <c r="Q1370" s="26" t="str">
        <f>HYPERLINK("https://ictv.global/taxonomy/taxondetails?taxnode_id=202508862&amp;ictv_id=ICTV202008862","ICTV202008862")</f>
        <v>ICTV202008862</v>
      </c>
      <c r="R1370" t="s">
        <v>579</v>
      </c>
      <c r="S1370" t="s">
        <v>22763</v>
      </c>
      <c r="T1370">
        <v>40</v>
      </c>
      <c r="U1370" s="26" t="str">
        <f t="shared" si="43"/>
        <v>2024.026B.Pantevenvirales_1no_3mf.zip</v>
      </c>
    </row>
    <row r="1371" spans="1:21">
      <c r="A1371">
        <v>1370</v>
      </c>
      <c r="B1371" s="27" t="s">
        <v>1449</v>
      </c>
      <c r="D1371" s="27" t="s">
        <v>1450</v>
      </c>
      <c r="F1371" s="27" t="s">
        <v>1453</v>
      </c>
      <c r="H1371" s="27" t="s">
        <v>1454</v>
      </c>
      <c r="J1371" s="27" t="s">
        <v>19301</v>
      </c>
      <c r="L1371" s="27" t="s">
        <v>825</v>
      </c>
      <c r="M1371" s="27" t="s">
        <v>828</v>
      </c>
      <c r="N1371" s="27" t="s">
        <v>1191</v>
      </c>
      <c r="P1371" s="27" t="s">
        <v>4009</v>
      </c>
      <c r="Q1371" s="26" t="str">
        <f>HYPERLINK("https://ictv.global/taxonomy/taxondetails?taxnode_id=202505471&amp;ictv_id=ICTV20175471","ICTV20175471")</f>
        <v>ICTV20175471</v>
      </c>
      <c r="R1371" t="s">
        <v>579</v>
      </c>
      <c r="S1371" t="s">
        <v>22763</v>
      </c>
      <c r="T1371">
        <v>40</v>
      </c>
      <c r="U1371" s="26" t="str">
        <f t="shared" si="43"/>
        <v>2024.026B.Pantevenvirales_1no_3mf.zip</v>
      </c>
    </row>
    <row r="1372" spans="1:21">
      <c r="A1372">
        <v>1371</v>
      </c>
      <c r="B1372" s="27" t="s">
        <v>1449</v>
      </c>
      <c r="D1372" s="27" t="s">
        <v>1450</v>
      </c>
      <c r="F1372" s="27" t="s">
        <v>1453</v>
      </c>
      <c r="H1372" s="27" t="s">
        <v>1454</v>
      </c>
      <c r="J1372" s="27" t="s">
        <v>19301</v>
      </c>
      <c r="L1372" s="27" t="s">
        <v>825</v>
      </c>
      <c r="M1372" s="27" t="s">
        <v>828</v>
      </c>
      <c r="N1372" s="27" t="s">
        <v>1191</v>
      </c>
      <c r="P1372" s="27" t="s">
        <v>4010</v>
      </c>
      <c r="Q1372" s="26" t="str">
        <f>HYPERLINK("https://ictv.global/taxonomy/taxondetails?taxnode_id=202508849&amp;ictv_id=ICTV202008849","ICTV202008849")</f>
        <v>ICTV202008849</v>
      </c>
      <c r="R1372" t="s">
        <v>579</v>
      </c>
      <c r="S1372" t="s">
        <v>22763</v>
      </c>
      <c r="T1372">
        <v>40</v>
      </c>
      <c r="U1372" s="26" t="str">
        <f t="shared" si="43"/>
        <v>2024.026B.Pantevenvirales_1no_3mf.zip</v>
      </c>
    </row>
    <row r="1373" spans="1:21">
      <c r="A1373">
        <v>1372</v>
      </c>
      <c r="B1373" s="27" t="s">
        <v>1449</v>
      </c>
      <c r="D1373" s="27" t="s">
        <v>1450</v>
      </c>
      <c r="F1373" s="27" t="s">
        <v>1453</v>
      </c>
      <c r="H1373" s="27" t="s">
        <v>1454</v>
      </c>
      <c r="J1373" s="27" t="s">
        <v>19301</v>
      </c>
      <c r="L1373" s="27" t="s">
        <v>825</v>
      </c>
      <c r="M1373" s="27" t="s">
        <v>828</v>
      </c>
      <c r="N1373" s="27" t="s">
        <v>1191</v>
      </c>
      <c r="P1373" s="27" t="s">
        <v>4011</v>
      </c>
      <c r="Q1373" s="26" t="str">
        <f>HYPERLINK("https://ictv.global/taxonomy/taxondetails?taxnode_id=202505470&amp;ictv_id=ICTV20175470","ICTV20175470")</f>
        <v>ICTV20175470</v>
      </c>
      <c r="R1373" t="s">
        <v>579</v>
      </c>
      <c r="S1373" t="s">
        <v>22763</v>
      </c>
      <c r="T1373">
        <v>40</v>
      </c>
      <c r="U1373" s="26" t="str">
        <f t="shared" si="43"/>
        <v>2024.026B.Pantevenvirales_1no_3mf.zip</v>
      </c>
    </row>
    <row r="1374" spans="1:21">
      <c r="A1374">
        <v>1373</v>
      </c>
      <c r="B1374" s="27" t="s">
        <v>1449</v>
      </c>
      <c r="D1374" s="27" t="s">
        <v>1450</v>
      </c>
      <c r="F1374" s="27" t="s">
        <v>1453</v>
      </c>
      <c r="H1374" s="27" t="s">
        <v>1454</v>
      </c>
      <c r="J1374" s="27" t="s">
        <v>19301</v>
      </c>
      <c r="L1374" s="27" t="s">
        <v>825</v>
      </c>
      <c r="M1374" s="27" t="s">
        <v>828</v>
      </c>
      <c r="N1374" s="27" t="s">
        <v>1191</v>
      </c>
      <c r="P1374" s="27" t="s">
        <v>4012</v>
      </c>
      <c r="Q1374" s="26" t="str">
        <f>HYPERLINK("https://ictv.global/taxonomy/taxondetails?taxnode_id=202508847&amp;ictv_id=ICTV202008847","ICTV202008847")</f>
        <v>ICTV202008847</v>
      </c>
      <c r="R1374" t="s">
        <v>579</v>
      </c>
      <c r="S1374" t="s">
        <v>22763</v>
      </c>
      <c r="T1374">
        <v>40</v>
      </c>
      <c r="U1374" s="26" t="str">
        <f t="shared" si="43"/>
        <v>2024.026B.Pantevenvirales_1no_3mf.zip</v>
      </c>
    </row>
    <row r="1375" spans="1:21">
      <c r="A1375">
        <v>1374</v>
      </c>
      <c r="B1375" s="27" t="s">
        <v>1449</v>
      </c>
      <c r="D1375" s="27" t="s">
        <v>1450</v>
      </c>
      <c r="F1375" s="27" t="s">
        <v>1453</v>
      </c>
      <c r="H1375" s="27" t="s">
        <v>1454</v>
      </c>
      <c r="J1375" s="27" t="s">
        <v>19301</v>
      </c>
      <c r="L1375" s="27" t="s">
        <v>825</v>
      </c>
      <c r="M1375" s="27" t="s">
        <v>828</v>
      </c>
      <c r="N1375" s="27" t="s">
        <v>1191</v>
      </c>
      <c r="P1375" s="27" t="s">
        <v>4013</v>
      </c>
      <c r="Q1375" s="26" t="str">
        <f>HYPERLINK("https://ictv.global/taxonomy/taxondetails?taxnode_id=202500526&amp;ictv_id=ICTV20150213","ICTV20150213")</f>
        <v>ICTV20150213</v>
      </c>
      <c r="R1375" t="s">
        <v>579</v>
      </c>
      <c r="S1375" t="s">
        <v>22763</v>
      </c>
      <c r="T1375">
        <v>40</v>
      </c>
      <c r="U1375" s="26" t="str">
        <f t="shared" si="43"/>
        <v>2024.026B.Pantevenvirales_1no_3mf.zip</v>
      </c>
    </row>
    <row r="1376" spans="1:21">
      <c r="A1376">
        <v>1375</v>
      </c>
      <c r="B1376" s="27" t="s">
        <v>1449</v>
      </c>
      <c r="D1376" s="27" t="s">
        <v>1450</v>
      </c>
      <c r="F1376" s="27" t="s">
        <v>1453</v>
      </c>
      <c r="H1376" s="27" t="s">
        <v>1454</v>
      </c>
      <c r="J1376" s="27" t="s">
        <v>19301</v>
      </c>
      <c r="L1376" s="27" t="s">
        <v>825</v>
      </c>
      <c r="M1376" s="27" t="s">
        <v>828</v>
      </c>
      <c r="N1376" s="27" t="s">
        <v>1191</v>
      </c>
      <c r="P1376" s="27" t="s">
        <v>4014</v>
      </c>
      <c r="Q1376" s="26" t="str">
        <f>HYPERLINK("https://ictv.global/taxonomy/taxondetails?taxnode_id=202500527&amp;ictv_id=ICTV20150216","ICTV20150216")</f>
        <v>ICTV20150216</v>
      </c>
      <c r="R1376" t="s">
        <v>579</v>
      </c>
      <c r="S1376" t="s">
        <v>22763</v>
      </c>
      <c r="T1376">
        <v>40</v>
      </c>
      <c r="U1376" s="26" t="str">
        <f t="shared" si="43"/>
        <v>2024.026B.Pantevenvirales_1no_3mf.zip</v>
      </c>
    </row>
    <row r="1377" spans="1:21">
      <c r="A1377">
        <v>1376</v>
      </c>
      <c r="B1377" s="27" t="s">
        <v>1449</v>
      </c>
      <c r="D1377" s="27" t="s">
        <v>1450</v>
      </c>
      <c r="F1377" s="27" t="s">
        <v>1453</v>
      </c>
      <c r="H1377" s="27" t="s">
        <v>1454</v>
      </c>
      <c r="J1377" s="27" t="s">
        <v>19301</v>
      </c>
      <c r="L1377" s="27" t="s">
        <v>825</v>
      </c>
      <c r="M1377" s="27" t="s">
        <v>828</v>
      </c>
      <c r="N1377" s="27" t="s">
        <v>1191</v>
      </c>
      <c r="P1377" s="27" t="s">
        <v>4015</v>
      </c>
      <c r="Q1377" s="26" t="str">
        <f>HYPERLINK("https://ictv.global/taxonomy/taxondetails?taxnode_id=202508859&amp;ictv_id=ICTV202008859","ICTV202008859")</f>
        <v>ICTV202008859</v>
      </c>
      <c r="R1377" t="s">
        <v>579</v>
      </c>
      <c r="S1377" t="s">
        <v>22763</v>
      </c>
      <c r="T1377">
        <v>40</v>
      </c>
      <c r="U1377" s="26" t="str">
        <f t="shared" si="43"/>
        <v>2024.026B.Pantevenvirales_1no_3mf.zip</v>
      </c>
    </row>
    <row r="1378" spans="1:21">
      <c r="A1378">
        <v>1377</v>
      </c>
      <c r="B1378" s="27" t="s">
        <v>1449</v>
      </c>
      <c r="D1378" s="27" t="s">
        <v>1450</v>
      </c>
      <c r="F1378" s="27" t="s">
        <v>1453</v>
      </c>
      <c r="H1378" s="27" t="s">
        <v>1454</v>
      </c>
      <c r="J1378" s="27" t="s">
        <v>19301</v>
      </c>
      <c r="L1378" s="27" t="s">
        <v>825</v>
      </c>
      <c r="M1378" s="27" t="s">
        <v>828</v>
      </c>
      <c r="N1378" s="27" t="s">
        <v>1191</v>
      </c>
      <c r="P1378" s="27" t="s">
        <v>4016</v>
      </c>
      <c r="Q1378" s="26" t="str">
        <f>HYPERLINK("https://ictv.global/taxonomy/taxondetails?taxnode_id=202508866&amp;ictv_id=ICTV202008866","ICTV202008866")</f>
        <v>ICTV202008866</v>
      </c>
      <c r="R1378" t="s">
        <v>579</v>
      </c>
      <c r="S1378" t="s">
        <v>22763</v>
      </c>
      <c r="T1378">
        <v>40</v>
      </c>
      <c r="U1378" s="26" t="str">
        <f t="shared" si="43"/>
        <v>2024.026B.Pantevenvirales_1no_3mf.zip</v>
      </c>
    </row>
    <row r="1379" spans="1:21">
      <c r="A1379">
        <v>1378</v>
      </c>
      <c r="B1379" s="27" t="s">
        <v>1449</v>
      </c>
      <c r="D1379" s="27" t="s">
        <v>1450</v>
      </c>
      <c r="F1379" s="27" t="s">
        <v>1453</v>
      </c>
      <c r="H1379" s="27" t="s">
        <v>1454</v>
      </c>
      <c r="J1379" s="27" t="s">
        <v>19301</v>
      </c>
      <c r="L1379" s="27" t="s">
        <v>825</v>
      </c>
      <c r="M1379" s="27" t="s">
        <v>828</v>
      </c>
      <c r="N1379" s="27" t="s">
        <v>1191</v>
      </c>
      <c r="P1379" s="27" t="s">
        <v>4017</v>
      </c>
      <c r="Q1379" s="26" t="str">
        <f>HYPERLINK("https://ictv.global/taxonomy/taxondetails?taxnode_id=202508846&amp;ictv_id=ICTV202008846","ICTV202008846")</f>
        <v>ICTV202008846</v>
      </c>
      <c r="R1379" t="s">
        <v>579</v>
      </c>
      <c r="S1379" t="s">
        <v>22763</v>
      </c>
      <c r="T1379">
        <v>40</v>
      </c>
      <c r="U1379" s="26" t="str">
        <f t="shared" si="43"/>
        <v>2024.026B.Pantevenvirales_1no_3mf.zip</v>
      </c>
    </row>
    <row r="1380" spans="1:21">
      <c r="A1380">
        <v>1379</v>
      </c>
      <c r="B1380" s="27" t="s">
        <v>1449</v>
      </c>
      <c r="D1380" s="27" t="s">
        <v>1450</v>
      </c>
      <c r="F1380" s="27" t="s">
        <v>1453</v>
      </c>
      <c r="H1380" s="27" t="s">
        <v>1454</v>
      </c>
      <c r="J1380" s="27" t="s">
        <v>19301</v>
      </c>
      <c r="L1380" s="27" t="s">
        <v>825</v>
      </c>
      <c r="M1380" s="27" t="s">
        <v>828</v>
      </c>
      <c r="N1380" s="27" t="s">
        <v>1191</v>
      </c>
      <c r="P1380" s="27" t="s">
        <v>4018</v>
      </c>
      <c r="Q1380" s="26" t="str">
        <f>HYPERLINK("https://ictv.global/taxonomy/taxondetails?taxnode_id=202500524&amp;ictv_id=ICTV20125866","ICTV20125866")</f>
        <v>ICTV20125866</v>
      </c>
      <c r="R1380" t="s">
        <v>579</v>
      </c>
      <c r="S1380" t="s">
        <v>22763</v>
      </c>
      <c r="T1380">
        <v>40</v>
      </c>
      <c r="U1380" s="26" t="str">
        <f t="shared" si="43"/>
        <v>2024.026B.Pantevenvirales_1no_3mf.zip</v>
      </c>
    </row>
    <row r="1381" spans="1:21">
      <c r="A1381">
        <v>1380</v>
      </c>
      <c r="B1381" s="27" t="s">
        <v>1449</v>
      </c>
      <c r="D1381" s="27" t="s">
        <v>1450</v>
      </c>
      <c r="F1381" s="27" t="s">
        <v>1453</v>
      </c>
      <c r="H1381" s="27" t="s">
        <v>1454</v>
      </c>
      <c r="J1381" s="27" t="s">
        <v>19301</v>
      </c>
      <c r="L1381" s="27" t="s">
        <v>825</v>
      </c>
      <c r="M1381" s="27" t="s">
        <v>828</v>
      </c>
      <c r="N1381" s="27" t="s">
        <v>1191</v>
      </c>
      <c r="P1381" s="27" t="s">
        <v>4019</v>
      </c>
      <c r="Q1381" s="26" t="str">
        <f>HYPERLINK("https://ictv.global/taxonomy/taxondetails?taxnode_id=202505472&amp;ictv_id=ICTV20175472","ICTV20175472")</f>
        <v>ICTV20175472</v>
      </c>
      <c r="R1381" t="s">
        <v>579</v>
      </c>
      <c r="S1381" t="s">
        <v>22763</v>
      </c>
      <c r="T1381">
        <v>40</v>
      </c>
      <c r="U1381" s="26" t="str">
        <f t="shared" si="43"/>
        <v>2024.026B.Pantevenvirales_1no_3mf.zip</v>
      </c>
    </row>
    <row r="1382" spans="1:21">
      <c r="A1382">
        <v>1381</v>
      </c>
      <c r="B1382" s="27" t="s">
        <v>1449</v>
      </c>
      <c r="D1382" s="27" t="s">
        <v>1450</v>
      </c>
      <c r="F1382" s="27" t="s">
        <v>1453</v>
      </c>
      <c r="H1382" s="27" t="s">
        <v>1454</v>
      </c>
      <c r="J1382" s="27" t="s">
        <v>19301</v>
      </c>
      <c r="L1382" s="27" t="s">
        <v>825</v>
      </c>
      <c r="M1382" s="27" t="s">
        <v>828</v>
      </c>
      <c r="N1382" s="27" t="s">
        <v>1191</v>
      </c>
      <c r="P1382" s="27" t="s">
        <v>4020</v>
      </c>
      <c r="Q1382" s="26" t="str">
        <f>HYPERLINK("https://ictv.global/taxonomy/taxondetails?taxnode_id=202508848&amp;ictv_id=ICTV202008848","ICTV202008848")</f>
        <v>ICTV202008848</v>
      </c>
      <c r="R1382" t="s">
        <v>579</v>
      </c>
      <c r="S1382" t="s">
        <v>22763</v>
      </c>
      <c r="T1382">
        <v>40</v>
      </c>
      <c r="U1382" s="26" t="str">
        <f t="shared" si="43"/>
        <v>2024.026B.Pantevenvirales_1no_3mf.zip</v>
      </c>
    </row>
    <row r="1383" spans="1:21">
      <c r="A1383">
        <v>1382</v>
      </c>
      <c r="B1383" s="27" t="s">
        <v>1449</v>
      </c>
      <c r="D1383" s="27" t="s">
        <v>1450</v>
      </c>
      <c r="F1383" s="27" t="s">
        <v>1453</v>
      </c>
      <c r="H1383" s="27" t="s">
        <v>1454</v>
      </c>
      <c r="J1383" s="27" t="s">
        <v>19301</v>
      </c>
      <c r="L1383" s="27" t="s">
        <v>825</v>
      </c>
      <c r="M1383" s="27" t="s">
        <v>828</v>
      </c>
      <c r="N1383" s="27" t="s">
        <v>1191</v>
      </c>
      <c r="P1383" s="27" t="s">
        <v>4021</v>
      </c>
      <c r="Q1383" s="26" t="str">
        <f>HYPERLINK("https://ictv.global/taxonomy/taxondetails?taxnode_id=202508863&amp;ictv_id=ICTV202008863","ICTV202008863")</f>
        <v>ICTV202008863</v>
      </c>
      <c r="R1383" t="s">
        <v>579</v>
      </c>
      <c r="S1383" t="s">
        <v>22763</v>
      </c>
      <c r="T1383">
        <v>40</v>
      </c>
      <c r="U1383" s="26" t="str">
        <f t="shared" si="43"/>
        <v>2024.026B.Pantevenvirales_1no_3mf.zip</v>
      </c>
    </row>
    <row r="1384" spans="1:21">
      <c r="A1384">
        <v>1383</v>
      </c>
      <c r="B1384" s="27" t="s">
        <v>1449</v>
      </c>
      <c r="D1384" s="27" t="s">
        <v>1450</v>
      </c>
      <c r="F1384" s="27" t="s">
        <v>1453</v>
      </c>
      <c r="H1384" s="27" t="s">
        <v>1454</v>
      </c>
      <c r="J1384" s="27" t="s">
        <v>19301</v>
      </c>
      <c r="L1384" s="27" t="s">
        <v>825</v>
      </c>
      <c r="M1384" s="27" t="s">
        <v>828</v>
      </c>
      <c r="N1384" s="27" t="s">
        <v>1191</v>
      </c>
      <c r="P1384" s="27" t="s">
        <v>4022</v>
      </c>
      <c r="Q1384" s="26" t="str">
        <f>HYPERLINK("https://ictv.global/taxonomy/taxondetails?taxnode_id=202508851&amp;ictv_id=ICTV202008851","ICTV202008851")</f>
        <v>ICTV202008851</v>
      </c>
      <c r="R1384" t="s">
        <v>579</v>
      </c>
      <c r="S1384" t="s">
        <v>22763</v>
      </c>
      <c r="T1384">
        <v>40</v>
      </c>
      <c r="U1384" s="26" t="str">
        <f t="shared" si="43"/>
        <v>2024.026B.Pantevenvirales_1no_3mf.zip</v>
      </c>
    </row>
    <row r="1385" spans="1:21">
      <c r="A1385">
        <v>1384</v>
      </c>
      <c r="B1385" s="27" t="s">
        <v>1449</v>
      </c>
      <c r="D1385" s="27" t="s">
        <v>1450</v>
      </c>
      <c r="F1385" s="27" t="s">
        <v>1453</v>
      </c>
      <c r="H1385" s="27" t="s">
        <v>1454</v>
      </c>
      <c r="J1385" s="27" t="s">
        <v>19301</v>
      </c>
      <c r="L1385" s="27" t="s">
        <v>825</v>
      </c>
      <c r="M1385" s="27" t="s">
        <v>828</v>
      </c>
      <c r="N1385" s="27" t="s">
        <v>1191</v>
      </c>
      <c r="P1385" s="27" t="s">
        <v>4023</v>
      </c>
      <c r="Q1385" s="26" t="str">
        <f>HYPERLINK("https://ictv.global/taxonomy/taxondetails?taxnode_id=202508858&amp;ictv_id=ICTV202008858","ICTV202008858")</f>
        <v>ICTV202008858</v>
      </c>
      <c r="R1385" t="s">
        <v>579</v>
      </c>
      <c r="S1385" t="s">
        <v>22763</v>
      </c>
      <c r="T1385">
        <v>40</v>
      </c>
      <c r="U1385" s="26" t="str">
        <f t="shared" ref="U1385:U1416" si="44">HYPERLINK("https://ictv.global/ictv/proposals/2024.026B.Pantevenvirales_1no_3mf.zip","2024.026B.Pantevenvirales_1no_3mf.zip")</f>
        <v>2024.026B.Pantevenvirales_1no_3mf.zip</v>
      </c>
    </row>
    <row r="1386" spans="1:21">
      <c r="A1386">
        <v>1385</v>
      </c>
      <c r="B1386" s="27" t="s">
        <v>1449</v>
      </c>
      <c r="D1386" s="27" t="s">
        <v>1450</v>
      </c>
      <c r="F1386" s="27" t="s">
        <v>1453</v>
      </c>
      <c r="H1386" s="27" t="s">
        <v>1454</v>
      </c>
      <c r="J1386" s="27" t="s">
        <v>19301</v>
      </c>
      <c r="L1386" s="27" t="s">
        <v>825</v>
      </c>
      <c r="M1386" s="27" t="s">
        <v>828</v>
      </c>
      <c r="N1386" s="27" t="s">
        <v>1191</v>
      </c>
      <c r="P1386" s="27" t="s">
        <v>4024</v>
      </c>
      <c r="Q1386" s="26" t="str">
        <f>HYPERLINK("https://ictv.global/taxonomy/taxondetails?taxnode_id=202508852&amp;ictv_id=ICTV202008852","ICTV202008852")</f>
        <v>ICTV202008852</v>
      </c>
      <c r="R1386" t="s">
        <v>579</v>
      </c>
      <c r="S1386" t="s">
        <v>22763</v>
      </c>
      <c r="T1386">
        <v>40</v>
      </c>
      <c r="U1386" s="26" t="str">
        <f t="shared" si="44"/>
        <v>2024.026B.Pantevenvirales_1no_3mf.zip</v>
      </c>
    </row>
    <row r="1387" spans="1:21">
      <c r="A1387">
        <v>1386</v>
      </c>
      <c r="B1387" s="27" t="s">
        <v>1449</v>
      </c>
      <c r="D1387" s="27" t="s">
        <v>1450</v>
      </c>
      <c r="F1387" s="27" t="s">
        <v>1453</v>
      </c>
      <c r="H1387" s="27" t="s">
        <v>1454</v>
      </c>
      <c r="J1387" s="27" t="s">
        <v>19301</v>
      </c>
      <c r="L1387" s="27" t="s">
        <v>825</v>
      </c>
      <c r="M1387" s="27" t="s">
        <v>828</v>
      </c>
      <c r="N1387" s="27" t="s">
        <v>1191</v>
      </c>
      <c r="P1387" s="27" t="s">
        <v>4025</v>
      </c>
      <c r="Q1387" s="26" t="str">
        <f>HYPERLINK("https://ictv.global/taxonomy/taxondetails?taxnode_id=202508864&amp;ictv_id=ICTV202008864","ICTV202008864")</f>
        <v>ICTV202008864</v>
      </c>
      <c r="R1387" t="s">
        <v>579</v>
      </c>
      <c r="S1387" t="s">
        <v>22763</v>
      </c>
      <c r="T1387">
        <v>40</v>
      </c>
      <c r="U1387" s="26" t="str">
        <f t="shared" si="44"/>
        <v>2024.026B.Pantevenvirales_1no_3mf.zip</v>
      </c>
    </row>
    <row r="1388" spans="1:21">
      <c r="A1388">
        <v>1387</v>
      </c>
      <c r="B1388" s="27" t="s">
        <v>1449</v>
      </c>
      <c r="D1388" s="27" t="s">
        <v>1450</v>
      </c>
      <c r="F1388" s="27" t="s">
        <v>1453</v>
      </c>
      <c r="H1388" s="27" t="s">
        <v>1454</v>
      </c>
      <c r="J1388" s="27" t="s">
        <v>19301</v>
      </c>
      <c r="L1388" s="27" t="s">
        <v>825</v>
      </c>
      <c r="M1388" s="27" t="s">
        <v>828</v>
      </c>
      <c r="N1388" s="27" t="s">
        <v>1191</v>
      </c>
      <c r="P1388" s="27" t="s">
        <v>4026</v>
      </c>
      <c r="Q1388" s="26" t="str">
        <f>HYPERLINK("https://ictv.global/taxonomy/taxondetails?taxnode_id=202508853&amp;ictv_id=ICTV202008853","ICTV202008853")</f>
        <v>ICTV202008853</v>
      </c>
      <c r="R1388" t="s">
        <v>579</v>
      </c>
      <c r="S1388" t="s">
        <v>22763</v>
      </c>
      <c r="T1388">
        <v>40</v>
      </c>
      <c r="U1388" s="26" t="str">
        <f t="shared" si="44"/>
        <v>2024.026B.Pantevenvirales_1no_3mf.zip</v>
      </c>
    </row>
    <row r="1389" spans="1:21">
      <c r="A1389">
        <v>1388</v>
      </c>
      <c r="B1389" s="27" t="s">
        <v>1449</v>
      </c>
      <c r="D1389" s="27" t="s">
        <v>1450</v>
      </c>
      <c r="F1389" s="27" t="s">
        <v>1453</v>
      </c>
      <c r="H1389" s="27" t="s">
        <v>1454</v>
      </c>
      <c r="J1389" s="27" t="s">
        <v>19301</v>
      </c>
      <c r="L1389" s="27" t="s">
        <v>825</v>
      </c>
      <c r="M1389" s="27" t="s">
        <v>828</v>
      </c>
      <c r="N1389" s="27" t="s">
        <v>1191</v>
      </c>
      <c r="P1389" s="27" t="s">
        <v>4027</v>
      </c>
      <c r="Q1389" s="26" t="str">
        <f>HYPERLINK("https://ictv.global/taxonomy/taxondetails?taxnode_id=202508850&amp;ictv_id=ICTV202008850","ICTV202008850")</f>
        <v>ICTV202008850</v>
      </c>
      <c r="R1389" t="s">
        <v>579</v>
      </c>
      <c r="S1389" t="s">
        <v>22763</v>
      </c>
      <c r="T1389">
        <v>40</v>
      </c>
      <c r="U1389" s="26" t="str">
        <f t="shared" si="44"/>
        <v>2024.026B.Pantevenvirales_1no_3mf.zip</v>
      </c>
    </row>
    <row r="1390" spans="1:21">
      <c r="A1390">
        <v>1389</v>
      </c>
      <c r="B1390" s="27" t="s">
        <v>1449</v>
      </c>
      <c r="D1390" s="27" t="s">
        <v>1450</v>
      </c>
      <c r="F1390" s="27" t="s">
        <v>1453</v>
      </c>
      <c r="H1390" s="27" t="s">
        <v>1454</v>
      </c>
      <c r="J1390" s="27" t="s">
        <v>19301</v>
      </c>
      <c r="L1390" s="27" t="s">
        <v>825</v>
      </c>
      <c r="M1390" s="27" t="s">
        <v>828</v>
      </c>
      <c r="N1390" s="27" t="s">
        <v>1191</v>
      </c>
      <c r="P1390" s="27" t="s">
        <v>4028</v>
      </c>
      <c r="Q1390" s="26" t="str">
        <f>HYPERLINK("https://ictv.global/taxonomy/taxondetails?taxnode_id=202508856&amp;ictv_id=ICTV202008856","ICTV202008856")</f>
        <v>ICTV202008856</v>
      </c>
      <c r="R1390" t="s">
        <v>579</v>
      </c>
      <c r="S1390" t="s">
        <v>22763</v>
      </c>
      <c r="T1390">
        <v>40</v>
      </c>
      <c r="U1390" s="26" t="str">
        <f t="shared" si="44"/>
        <v>2024.026B.Pantevenvirales_1no_3mf.zip</v>
      </c>
    </row>
    <row r="1391" spans="1:21">
      <c r="A1391">
        <v>1390</v>
      </c>
      <c r="B1391" s="27" t="s">
        <v>1449</v>
      </c>
      <c r="D1391" s="27" t="s">
        <v>1450</v>
      </c>
      <c r="F1391" s="27" t="s">
        <v>1453</v>
      </c>
      <c r="H1391" s="27" t="s">
        <v>1454</v>
      </c>
      <c r="J1391" s="27" t="s">
        <v>19301</v>
      </c>
      <c r="L1391" s="27" t="s">
        <v>825</v>
      </c>
      <c r="M1391" s="27" t="s">
        <v>828</v>
      </c>
      <c r="N1391" s="27" t="s">
        <v>1191</v>
      </c>
      <c r="P1391" s="27" t="s">
        <v>4029</v>
      </c>
      <c r="Q1391" s="26" t="str">
        <f>HYPERLINK("https://ictv.global/taxonomy/taxondetails?taxnode_id=202500528&amp;ictv_id=ICTV20125863","ICTV20125863")</f>
        <v>ICTV20125863</v>
      </c>
      <c r="R1391" t="s">
        <v>579</v>
      </c>
      <c r="S1391" t="s">
        <v>22763</v>
      </c>
      <c r="T1391">
        <v>40</v>
      </c>
      <c r="U1391" s="26" t="str">
        <f t="shared" si="44"/>
        <v>2024.026B.Pantevenvirales_1no_3mf.zip</v>
      </c>
    </row>
    <row r="1392" spans="1:21">
      <c r="A1392">
        <v>1391</v>
      </c>
      <c r="B1392" s="27" t="s">
        <v>1449</v>
      </c>
      <c r="D1392" s="27" t="s">
        <v>1450</v>
      </c>
      <c r="F1392" s="27" t="s">
        <v>1453</v>
      </c>
      <c r="H1392" s="27" t="s">
        <v>1454</v>
      </c>
      <c r="J1392" s="27" t="s">
        <v>19301</v>
      </c>
      <c r="L1392" s="27" t="s">
        <v>825</v>
      </c>
      <c r="M1392" s="27" t="s">
        <v>828</v>
      </c>
      <c r="N1392" s="27" t="s">
        <v>1191</v>
      </c>
      <c r="P1392" s="27" t="s">
        <v>4030</v>
      </c>
      <c r="Q1392" s="26" t="str">
        <f>HYPERLINK("https://ictv.global/taxonomy/taxondetails?taxnode_id=202500529&amp;ictv_id=ICTV20125864","ICTV20125864")</f>
        <v>ICTV20125864</v>
      </c>
      <c r="R1392" t="s">
        <v>579</v>
      </c>
      <c r="S1392" t="s">
        <v>22763</v>
      </c>
      <c r="T1392">
        <v>40</v>
      </c>
      <c r="U1392" s="26" t="str">
        <f t="shared" si="44"/>
        <v>2024.026B.Pantevenvirales_1no_3mf.zip</v>
      </c>
    </row>
    <row r="1393" spans="1:21">
      <c r="A1393">
        <v>1392</v>
      </c>
      <c r="B1393" s="27" t="s">
        <v>1449</v>
      </c>
      <c r="D1393" s="27" t="s">
        <v>1450</v>
      </c>
      <c r="F1393" s="27" t="s">
        <v>1453</v>
      </c>
      <c r="H1393" s="27" t="s">
        <v>1454</v>
      </c>
      <c r="J1393" s="27" t="s">
        <v>19301</v>
      </c>
      <c r="L1393" s="27" t="s">
        <v>825</v>
      </c>
      <c r="M1393" s="27" t="s">
        <v>828</v>
      </c>
      <c r="N1393" s="27" t="s">
        <v>1191</v>
      </c>
      <c r="P1393" s="27" t="s">
        <v>4031</v>
      </c>
      <c r="Q1393" s="26" t="str">
        <f>HYPERLINK("https://ictv.global/taxonomy/taxondetails?taxnode_id=202500530&amp;ictv_id=ICTV20150218","ICTV20150218")</f>
        <v>ICTV20150218</v>
      </c>
      <c r="R1393" t="s">
        <v>579</v>
      </c>
      <c r="S1393" t="s">
        <v>22763</v>
      </c>
      <c r="T1393">
        <v>40</v>
      </c>
      <c r="U1393" s="26" t="str">
        <f t="shared" si="44"/>
        <v>2024.026B.Pantevenvirales_1no_3mf.zip</v>
      </c>
    </row>
    <row r="1394" spans="1:21">
      <c r="A1394">
        <v>1393</v>
      </c>
      <c r="B1394" s="27" t="s">
        <v>1449</v>
      </c>
      <c r="D1394" s="27" t="s">
        <v>1450</v>
      </c>
      <c r="F1394" s="27" t="s">
        <v>1453</v>
      </c>
      <c r="H1394" s="27" t="s">
        <v>1454</v>
      </c>
      <c r="J1394" s="27" t="s">
        <v>19301</v>
      </c>
      <c r="L1394" s="27" t="s">
        <v>825</v>
      </c>
      <c r="M1394" s="27" t="s">
        <v>828</v>
      </c>
      <c r="N1394" s="27" t="s">
        <v>1191</v>
      </c>
      <c r="P1394" s="27" t="s">
        <v>4032</v>
      </c>
      <c r="Q1394" s="26" t="str">
        <f>HYPERLINK("https://ictv.global/taxonomy/taxondetails?taxnode_id=202500531&amp;ictv_id=ICTV20150215","ICTV20150215")</f>
        <v>ICTV20150215</v>
      </c>
      <c r="R1394" t="s">
        <v>579</v>
      </c>
      <c r="S1394" t="s">
        <v>22763</v>
      </c>
      <c r="T1394">
        <v>40</v>
      </c>
      <c r="U1394" s="26" t="str">
        <f t="shared" si="44"/>
        <v>2024.026B.Pantevenvirales_1no_3mf.zip</v>
      </c>
    </row>
    <row r="1395" spans="1:21">
      <c r="A1395">
        <v>1394</v>
      </c>
      <c r="B1395" s="27" t="s">
        <v>1449</v>
      </c>
      <c r="D1395" s="27" t="s">
        <v>1450</v>
      </c>
      <c r="F1395" s="27" t="s">
        <v>1453</v>
      </c>
      <c r="H1395" s="27" t="s">
        <v>1454</v>
      </c>
      <c r="J1395" s="27" t="s">
        <v>19301</v>
      </c>
      <c r="L1395" s="27" t="s">
        <v>825</v>
      </c>
      <c r="M1395" s="27" t="s">
        <v>828</v>
      </c>
      <c r="N1395" s="27" t="s">
        <v>1191</v>
      </c>
      <c r="P1395" s="27" t="s">
        <v>4033</v>
      </c>
      <c r="Q1395" s="26" t="str">
        <f>HYPERLINK("https://ictv.global/taxonomy/taxondetails?taxnode_id=202508855&amp;ictv_id=ICTV202008855","ICTV202008855")</f>
        <v>ICTV202008855</v>
      </c>
      <c r="R1395" t="s">
        <v>579</v>
      </c>
      <c r="S1395" t="s">
        <v>22763</v>
      </c>
      <c r="T1395">
        <v>40</v>
      </c>
      <c r="U1395" s="26" t="str">
        <f t="shared" si="44"/>
        <v>2024.026B.Pantevenvirales_1no_3mf.zip</v>
      </c>
    </row>
    <row r="1396" spans="1:21">
      <c r="A1396">
        <v>1395</v>
      </c>
      <c r="B1396" s="27" t="s">
        <v>1449</v>
      </c>
      <c r="D1396" s="27" t="s">
        <v>1450</v>
      </c>
      <c r="F1396" s="27" t="s">
        <v>1453</v>
      </c>
      <c r="H1396" s="27" t="s">
        <v>1454</v>
      </c>
      <c r="J1396" s="27" t="s">
        <v>19301</v>
      </c>
      <c r="L1396" s="27" t="s">
        <v>825</v>
      </c>
      <c r="M1396" s="27" t="s">
        <v>828</v>
      </c>
      <c r="N1396" s="27" t="s">
        <v>1191</v>
      </c>
      <c r="P1396" s="27" t="s">
        <v>4034</v>
      </c>
      <c r="Q1396" s="26" t="str">
        <f>HYPERLINK("https://ictv.global/taxonomy/taxondetails?taxnode_id=202508865&amp;ictv_id=ICTV202008865","ICTV202008865")</f>
        <v>ICTV202008865</v>
      </c>
      <c r="R1396" t="s">
        <v>579</v>
      </c>
      <c r="S1396" t="s">
        <v>22763</v>
      </c>
      <c r="T1396">
        <v>40</v>
      </c>
      <c r="U1396" s="26" t="str">
        <f t="shared" si="44"/>
        <v>2024.026B.Pantevenvirales_1no_3mf.zip</v>
      </c>
    </row>
    <row r="1397" spans="1:21">
      <c r="A1397">
        <v>1396</v>
      </c>
      <c r="B1397" s="27" t="s">
        <v>1449</v>
      </c>
      <c r="D1397" s="27" t="s">
        <v>1450</v>
      </c>
      <c r="F1397" s="27" t="s">
        <v>1453</v>
      </c>
      <c r="H1397" s="27" t="s">
        <v>1454</v>
      </c>
      <c r="J1397" s="27" t="s">
        <v>19301</v>
      </c>
      <c r="L1397" s="27" t="s">
        <v>825</v>
      </c>
      <c r="M1397" s="27" t="s">
        <v>828</v>
      </c>
      <c r="N1397" s="27" t="s">
        <v>1191</v>
      </c>
      <c r="P1397" s="27" t="s">
        <v>4035</v>
      </c>
      <c r="Q1397" s="26" t="str">
        <f>HYPERLINK("https://ictv.global/taxonomy/taxondetails?taxnode_id=202500532&amp;ictv_id=ICTV20150214","ICTV20150214")</f>
        <v>ICTV20150214</v>
      </c>
      <c r="R1397" t="s">
        <v>579</v>
      </c>
      <c r="S1397" t="s">
        <v>22763</v>
      </c>
      <c r="T1397">
        <v>40</v>
      </c>
      <c r="U1397" s="26" t="str">
        <f t="shared" si="44"/>
        <v>2024.026B.Pantevenvirales_1no_3mf.zip</v>
      </c>
    </row>
    <row r="1398" spans="1:21">
      <c r="A1398">
        <v>1397</v>
      </c>
      <c r="B1398" s="27" t="s">
        <v>1449</v>
      </c>
      <c r="D1398" s="27" t="s">
        <v>1450</v>
      </c>
      <c r="F1398" s="27" t="s">
        <v>1453</v>
      </c>
      <c r="H1398" s="27" t="s">
        <v>1454</v>
      </c>
      <c r="J1398" s="27" t="s">
        <v>19301</v>
      </c>
      <c r="L1398" s="27" t="s">
        <v>825</v>
      </c>
      <c r="M1398" s="27" t="s">
        <v>828</v>
      </c>
      <c r="N1398" s="27" t="s">
        <v>1191</v>
      </c>
      <c r="P1398" s="27" t="s">
        <v>4036</v>
      </c>
      <c r="Q1398" s="26" t="str">
        <f>HYPERLINK("https://ictv.global/taxonomy/taxondetails?taxnode_id=202508861&amp;ictv_id=ICTV202008861","ICTV202008861")</f>
        <v>ICTV202008861</v>
      </c>
      <c r="R1398" t="s">
        <v>579</v>
      </c>
      <c r="S1398" t="s">
        <v>22763</v>
      </c>
      <c r="T1398">
        <v>40</v>
      </c>
      <c r="U1398" s="26" t="str">
        <f t="shared" si="44"/>
        <v>2024.026B.Pantevenvirales_1no_3mf.zip</v>
      </c>
    </row>
    <row r="1399" spans="1:21">
      <c r="A1399">
        <v>1398</v>
      </c>
      <c r="B1399" s="27" t="s">
        <v>1449</v>
      </c>
      <c r="D1399" s="27" t="s">
        <v>1450</v>
      </c>
      <c r="F1399" s="27" t="s">
        <v>1453</v>
      </c>
      <c r="H1399" s="27" t="s">
        <v>1454</v>
      </c>
      <c r="J1399" s="27" t="s">
        <v>19301</v>
      </c>
      <c r="L1399" s="27" t="s">
        <v>825</v>
      </c>
      <c r="M1399" s="27" t="s">
        <v>828</v>
      </c>
      <c r="N1399" s="27" t="s">
        <v>1191</v>
      </c>
      <c r="P1399" s="27" t="s">
        <v>4037</v>
      </c>
      <c r="Q1399" s="26" t="str">
        <f>HYPERLINK("https://ictv.global/taxonomy/taxondetails?taxnode_id=202500533&amp;ictv_id=ICTV20125862","ICTV20125862")</f>
        <v>ICTV20125862</v>
      </c>
      <c r="R1399" t="s">
        <v>579</v>
      </c>
      <c r="S1399" t="s">
        <v>22763</v>
      </c>
      <c r="T1399">
        <v>40</v>
      </c>
      <c r="U1399" s="26" t="str">
        <f t="shared" si="44"/>
        <v>2024.026B.Pantevenvirales_1no_3mf.zip</v>
      </c>
    </row>
    <row r="1400" spans="1:21">
      <c r="A1400">
        <v>1399</v>
      </c>
      <c r="B1400" s="27" t="s">
        <v>1449</v>
      </c>
      <c r="D1400" s="27" t="s">
        <v>1450</v>
      </c>
      <c r="F1400" s="27" t="s">
        <v>1453</v>
      </c>
      <c r="H1400" s="27" t="s">
        <v>1454</v>
      </c>
      <c r="J1400" s="27" t="s">
        <v>19301</v>
      </c>
      <c r="L1400" s="27" t="s">
        <v>825</v>
      </c>
      <c r="N1400" s="27" t="s">
        <v>2036</v>
      </c>
      <c r="P1400" s="27" t="s">
        <v>4038</v>
      </c>
      <c r="Q1400" s="26" t="str">
        <f>HYPERLINK("https://ictv.global/taxonomy/taxondetails?taxnode_id=202508917&amp;ictv_id=ICTV202008917","ICTV202008917")</f>
        <v>ICTV202008917</v>
      </c>
      <c r="R1400" t="s">
        <v>579</v>
      </c>
      <c r="S1400" t="s">
        <v>22763</v>
      </c>
      <c r="T1400">
        <v>40</v>
      </c>
      <c r="U1400" s="26" t="str">
        <f t="shared" si="44"/>
        <v>2024.026B.Pantevenvirales_1no_3mf.zip</v>
      </c>
    </row>
    <row r="1401" spans="1:21">
      <c r="A1401">
        <v>1400</v>
      </c>
      <c r="B1401" s="27" t="s">
        <v>1449</v>
      </c>
      <c r="D1401" s="27" t="s">
        <v>1450</v>
      </c>
      <c r="F1401" s="27" t="s">
        <v>1453</v>
      </c>
      <c r="H1401" s="27" t="s">
        <v>1454</v>
      </c>
      <c r="J1401" s="27" t="s">
        <v>19301</v>
      </c>
      <c r="L1401" s="27" t="s">
        <v>825</v>
      </c>
      <c r="N1401" s="27" t="s">
        <v>2037</v>
      </c>
      <c r="P1401" s="27" t="s">
        <v>4039</v>
      </c>
      <c r="Q1401" s="26" t="str">
        <f>HYPERLINK("https://ictv.global/taxonomy/taxondetails?taxnode_id=202508919&amp;ictv_id=ICTV202008919","ICTV202008919")</f>
        <v>ICTV202008919</v>
      </c>
      <c r="R1401" t="s">
        <v>579</v>
      </c>
      <c r="S1401" t="s">
        <v>22763</v>
      </c>
      <c r="T1401">
        <v>40</v>
      </c>
      <c r="U1401" s="26" t="str">
        <f t="shared" si="44"/>
        <v>2024.026B.Pantevenvirales_1no_3mf.zip</v>
      </c>
    </row>
    <row r="1402" spans="1:21">
      <c r="A1402">
        <v>1401</v>
      </c>
      <c r="B1402" s="27" t="s">
        <v>1449</v>
      </c>
      <c r="D1402" s="27" t="s">
        <v>1450</v>
      </c>
      <c r="F1402" s="27" t="s">
        <v>1453</v>
      </c>
      <c r="H1402" s="27" t="s">
        <v>1454</v>
      </c>
      <c r="J1402" s="27" t="s">
        <v>19301</v>
      </c>
      <c r="L1402" s="27" t="s">
        <v>825</v>
      </c>
      <c r="N1402" s="27" t="s">
        <v>2038</v>
      </c>
      <c r="P1402" s="27" t="s">
        <v>4040</v>
      </c>
      <c r="Q1402" s="26" t="str">
        <f>HYPERLINK("https://ictv.global/taxonomy/taxondetails?taxnode_id=202508925&amp;ictv_id=ICTV202008925","ICTV202008925")</f>
        <v>ICTV202008925</v>
      </c>
      <c r="R1402" t="s">
        <v>579</v>
      </c>
      <c r="S1402" t="s">
        <v>22763</v>
      </c>
      <c r="T1402">
        <v>40</v>
      </c>
      <c r="U1402" s="26" t="str">
        <f t="shared" si="44"/>
        <v>2024.026B.Pantevenvirales_1no_3mf.zip</v>
      </c>
    </row>
    <row r="1403" spans="1:21">
      <c r="A1403">
        <v>1402</v>
      </c>
      <c r="B1403" s="27" t="s">
        <v>1449</v>
      </c>
      <c r="D1403" s="27" t="s">
        <v>1450</v>
      </c>
      <c r="F1403" s="27" t="s">
        <v>1453</v>
      </c>
      <c r="H1403" s="27" t="s">
        <v>1454</v>
      </c>
      <c r="J1403" s="27" t="s">
        <v>19301</v>
      </c>
      <c r="L1403" s="27" t="s">
        <v>825</v>
      </c>
      <c r="N1403" s="27" t="s">
        <v>2038</v>
      </c>
      <c r="P1403" s="27" t="s">
        <v>4041</v>
      </c>
      <c r="Q1403" s="26" t="str">
        <f>HYPERLINK("https://ictv.global/taxonomy/taxondetails?taxnode_id=202505478&amp;ictv_id=ICTV20175478","ICTV20175478")</f>
        <v>ICTV20175478</v>
      </c>
      <c r="R1403" t="s">
        <v>579</v>
      </c>
      <c r="S1403" t="s">
        <v>22763</v>
      </c>
      <c r="T1403">
        <v>40</v>
      </c>
      <c r="U1403" s="26" t="str">
        <f t="shared" si="44"/>
        <v>2024.026B.Pantevenvirales_1no_3mf.zip</v>
      </c>
    </row>
    <row r="1404" spans="1:21">
      <c r="A1404">
        <v>1403</v>
      </c>
      <c r="B1404" s="27" t="s">
        <v>1449</v>
      </c>
      <c r="D1404" s="27" t="s">
        <v>1450</v>
      </c>
      <c r="F1404" s="27" t="s">
        <v>1453</v>
      </c>
      <c r="H1404" s="27" t="s">
        <v>1454</v>
      </c>
      <c r="J1404" s="27" t="s">
        <v>19301</v>
      </c>
      <c r="L1404" s="27" t="s">
        <v>825</v>
      </c>
      <c r="N1404" s="27" t="s">
        <v>2039</v>
      </c>
      <c r="P1404" s="27" t="s">
        <v>4042</v>
      </c>
      <c r="Q1404" s="26" t="str">
        <f>HYPERLINK("https://ictv.global/taxonomy/taxondetails?taxnode_id=202508923&amp;ictv_id=ICTV202008923","ICTV202008923")</f>
        <v>ICTV202008923</v>
      </c>
      <c r="R1404" t="s">
        <v>579</v>
      </c>
      <c r="S1404" t="s">
        <v>22763</v>
      </c>
      <c r="T1404">
        <v>40</v>
      </c>
      <c r="U1404" s="26" t="str">
        <f t="shared" si="44"/>
        <v>2024.026B.Pantevenvirales_1no_3mf.zip</v>
      </c>
    </row>
    <row r="1405" spans="1:21">
      <c r="A1405">
        <v>1404</v>
      </c>
      <c r="B1405" s="27" t="s">
        <v>1449</v>
      </c>
      <c r="D1405" s="27" t="s">
        <v>1450</v>
      </c>
      <c r="F1405" s="27" t="s">
        <v>1453</v>
      </c>
      <c r="H1405" s="27" t="s">
        <v>1454</v>
      </c>
      <c r="J1405" s="27" t="s">
        <v>19301</v>
      </c>
      <c r="L1405" s="27" t="s">
        <v>825</v>
      </c>
      <c r="N1405" s="27" t="s">
        <v>2039</v>
      </c>
      <c r="P1405" s="27" t="s">
        <v>4043</v>
      </c>
      <c r="Q1405" s="26" t="str">
        <f>HYPERLINK("https://ictv.global/taxonomy/taxondetails?taxnode_id=202505475&amp;ictv_id=ICTV20175475","ICTV20175475")</f>
        <v>ICTV20175475</v>
      </c>
      <c r="R1405" t="s">
        <v>579</v>
      </c>
      <c r="S1405" t="s">
        <v>22763</v>
      </c>
      <c r="T1405">
        <v>40</v>
      </c>
      <c r="U1405" s="26" t="str">
        <f t="shared" si="44"/>
        <v>2024.026B.Pantevenvirales_1no_3mf.zip</v>
      </c>
    </row>
    <row r="1406" spans="1:21">
      <c r="A1406">
        <v>1405</v>
      </c>
      <c r="B1406" s="27" t="s">
        <v>1449</v>
      </c>
      <c r="D1406" s="27" t="s">
        <v>1450</v>
      </c>
      <c r="F1406" s="27" t="s">
        <v>1453</v>
      </c>
      <c r="H1406" s="27" t="s">
        <v>1454</v>
      </c>
      <c r="J1406" s="27" t="s">
        <v>19301</v>
      </c>
      <c r="L1406" s="27" t="s">
        <v>825</v>
      </c>
      <c r="N1406" s="27" t="s">
        <v>1455</v>
      </c>
      <c r="P1406" s="27" t="s">
        <v>4044</v>
      </c>
      <c r="Q1406" s="26" t="str">
        <f>HYPERLINK("https://ictv.global/taxonomy/taxondetails?taxnode_id=202505476&amp;ictv_id=ICTV20175476","ICTV20175476")</f>
        <v>ICTV20175476</v>
      </c>
      <c r="R1406" t="s">
        <v>579</v>
      </c>
      <c r="S1406" t="s">
        <v>22763</v>
      </c>
      <c r="T1406">
        <v>40</v>
      </c>
      <c r="U1406" s="26" t="str">
        <f t="shared" si="44"/>
        <v>2024.026B.Pantevenvirales_1no_3mf.zip</v>
      </c>
    </row>
    <row r="1407" spans="1:21">
      <c r="A1407">
        <v>1406</v>
      </c>
      <c r="B1407" s="27" t="s">
        <v>1449</v>
      </c>
      <c r="D1407" s="27" t="s">
        <v>1450</v>
      </c>
      <c r="F1407" s="27" t="s">
        <v>1453</v>
      </c>
      <c r="H1407" s="27" t="s">
        <v>1454</v>
      </c>
      <c r="J1407" s="27" t="s">
        <v>19301</v>
      </c>
      <c r="L1407" s="27" t="s">
        <v>825</v>
      </c>
      <c r="N1407" s="27" t="s">
        <v>1455</v>
      </c>
      <c r="P1407" s="27" t="s">
        <v>4045</v>
      </c>
      <c r="Q1407" s="26" t="str">
        <f>HYPERLINK("https://ictv.global/taxonomy/taxondetails?taxnode_id=202505477&amp;ictv_id=ICTV20175477","ICTV20175477")</f>
        <v>ICTV20175477</v>
      </c>
      <c r="R1407" t="s">
        <v>579</v>
      </c>
      <c r="S1407" t="s">
        <v>22763</v>
      </c>
      <c r="T1407">
        <v>40</v>
      </c>
      <c r="U1407" s="26" t="str">
        <f t="shared" si="44"/>
        <v>2024.026B.Pantevenvirales_1no_3mf.zip</v>
      </c>
    </row>
    <row r="1408" spans="1:21">
      <c r="A1408">
        <v>1407</v>
      </c>
      <c r="B1408" s="27" t="s">
        <v>1449</v>
      </c>
      <c r="D1408" s="27" t="s">
        <v>1450</v>
      </c>
      <c r="F1408" s="27" t="s">
        <v>1453</v>
      </c>
      <c r="H1408" s="27" t="s">
        <v>1454</v>
      </c>
      <c r="J1408" s="27" t="s">
        <v>19301</v>
      </c>
      <c r="L1408" s="27" t="s">
        <v>825</v>
      </c>
      <c r="N1408" s="27" t="s">
        <v>1455</v>
      </c>
      <c r="P1408" s="27" t="s">
        <v>4046</v>
      </c>
      <c r="Q1408" s="26" t="str">
        <f>HYPERLINK("https://ictv.global/taxonomy/taxondetails?taxnode_id=202508040&amp;ictv_id=ICTV201908040","ICTV201908040")</f>
        <v>ICTV201908040</v>
      </c>
      <c r="R1408" t="s">
        <v>579</v>
      </c>
      <c r="S1408" t="s">
        <v>22763</v>
      </c>
      <c r="T1408">
        <v>40</v>
      </c>
      <c r="U1408" s="26" t="str">
        <f t="shared" si="44"/>
        <v>2024.026B.Pantevenvirales_1no_3mf.zip</v>
      </c>
    </row>
    <row r="1409" spans="1:21">
      <c r="A1409">
        <v>1408</v>
      </c>
      <c r="B1409" s="27" t="s">
        <v>1449</v>
      </c>
      <c r="D1409" s="27" t="s">
        <v>1450</v>
      </c>
      <c r="F1409" s="27" t="s">
        <v>1453</v>
      </c>
      <c r="H1409" s="27" t="s">
        <v>1454</v>
      </c>
      <c r="J1409" s="27" t="s">
        <v>19301</v>
      </c>
      <c r="L1409" s="27" t="s">
        <v>825</v>
      </c>
      <c r="N1409" s="27" t="s">
        <v>1455</v>
      </c>
      <c r="P1409" s="27" t="s">
        <v>4047</v>
      </c>
      <c r="Q1409" s="26" t="str">
        <f>HYPERLINK("https://ictv.global/taxonomy/taxondetails?taxnode_id=202508037&amp;ictv_id=ICTV201908037","ICTV201908037")</f>
        <v>ICTV201908037</v>
      </c>
      <c r="R1409" t="s">
        <v>579</v>
      </c>
      <c r="S1409" t="s">
        <v>22763</v>
      </c>
      <c r="T1409">
        <v>40</v>
      </c>
      <c r="U1409" s="26" t="str">
        <f t="shared" si="44"/>
        <v>2024.026B.Pantevenvirales_1no_3mf.zip</v>
      </c>
    </row>
    <row r="1410" spans="1:21">
      <c r="A1410">
        <v>1409</v>
      </c>
      <c r="B1410" s="27" t="s">
        <v>1449</v>
      </c>
      <c r="D1410" s="27" t="s">
        <v>1450</v>
      </c>
      <c r="F1410" s="27" t="s">
        <v>1453</v>
      </c>
      <c r="H1410" s="27" t="s">
        <v>1454</v>
      </c>
      <c r="J1410" s="27" t="s">
        <v>19301</v>
      </c>
      <c r="L1410" s="27" t="s">
        <v>825</v>
      </c>
      <c r="N1410" s="27" t="s">
        <v>1455</v>
      </c>
      <c r="P1410" s="27" t="s">
        <v>4048</v>
      </c>
      <c r="Q1410" s="26" t="str">
        <f>HYPERLINK("https://ictv.global/taxonomy/taxondetails?taxnode_id=202508870&amp;ictv_id=ICTV202008870","ICTV202008870")</f>
        <v>ICTV202008870</v>
      </c>
      <c r="R1410" t="s">
        <v>579</v>
      </c>
      <c r="S1410" t="s">
        <v>22763</v>
      </c>
      <c r="T1410">
        <v>40</v>
      </c>
      <c r="U1410" s="26" t="str">
        <f t="shared" si="44"/>
        <v>2024.026B.Pantevenvirales_1no_3mf.zip</v>
      </c>
    </row>
    <row r="1411" spans="1:21">
      <c r="A1411">
        <v>1410</v>
      </c>
      <c r="B1411" s="27" t="s">
        <v>1449</v>
      </c>
      <c r="D1411" s="27" t="s">
        <v>1450</v>
      </c>
      <c r="F1411" s="27" t="s">
        <v>1453</v>
      </c>
      <c r="H1411" s="27" t="s">
        <v>1454</v>
      </c>
      <c r="J1411" s="27" t="s">
        <v>19301</v>
      </c>
      <c r="L1411" s="27" t="s">
        <v>825</v>
      </c>
      <c r="N1411" s="27" t="s">
        <v>1455</v>
      </c>
      <c r="P1411" s="27" t="s">
        <v>4049</v>
      </c>
      <c r="Q1411" s="26" t="str">
        <f>HYPERLINK("https://ictv.global/taxonomy/taxondetails?taxnode_id=202508038&amp;ictv_id=ICTV201908038","ICTV201908038")</f>
        <v>ICTV201908038</v>
      </c>
      <c r="R1411" t="s">
        <v>579</v>
      </c>
      <c r="S1411" t="s">
        <v>22763</v>
      </c>
      <c r="T1411">
        <v>40</v>
      </c>
      <c r="U1411" s="26" t="str">
        <f t="shared" si="44"/>
        <v>2024.026B.Pantevenvirales_1no_3mf.zip</v>
      </c>
    </row>
    <row r="1412" spans="1:21">
      <c r="A1412">
        <v>1411</v>
      </c>
      <c r="B1412" s="27" t="s">
        <v>1449</v>
      </c>
      <c r="D1412" s="27" t="s">
        <v>1450</v>
      </c>
      <c r="F1412" s="27" t="s">
        <v>1453</v>
      </c>
      <c r="H1412" s="27" t="s">
        <v>1454</v>
      </c>
      <c r="J1412" s="27" t="s">
        <v>19301</v>
      </c>
      <c r="L1412" s="27" t="s">
        <v>825</v>
      </c>
      <c r="N1412" s="27" t="s">
        <v>1455</v>
      </c>
      <c r="P1412" s="27" t="s">
        <v>4050</v>
      </c>
      <c r="Q1412" s="26" t="str">
        <f>HYPERLINK("https://ictv.global/taxonomy/taxondetails?taxnode_id=202508039&amp;ictv_id=ICTV201908039","ICTV201908039")</f>
        <v>ICTV201908039</v>
      </c>
      <c r="R1412" t="s">
        <v>579</v>
      </c>
      <c r="S1412" t="s">
        <v>22763</v>
      </c>
      <c r="T1412">
        <v>40</v>
      </c>
      <c r="U1412" s="26" t="str">
        <f t="shared" si="44"/>
        <v>2024.026B.Pantevenvirales_1no_3mf.zip</v>
      </c>
    </row>
    <row r="1413" spans="1:21">
      <c r="A1413">
        <v>1412</v>
      </c>
      <c r="B1413" s="27" t="s">
        <v>1449</v>
      </c>
      <c r="D1413" s="27" t="s">
        <v>1450</v>
      </c>
      <c r="F1413" s="27" t="s">
        <v>1453</v>
      </c>
      <c r="H1413" s="27" t="s">
        <v>1454</v>
      </c>
      <c r="J1413" s="27" t="s">
        <v>19301</v>
      </c>
      <c r="L1413" s="27" t="s">
        <v>825</v>
      </c>
      <c r="N1413" s="27" t="s">
        <v>1455</v>
      </c>
      <c r="P1413" s="27" t="s">
        <v>4051</v>
      </c>
      <c r="Q1413" s="26" t="str">
        <f>HYPERLINK("https://ictv.global/taxonomy/taxondetails?taxnode_id=202508871&amp;ictv_id=ICTV202008871","ICTV202008871")</f>
        <v>ICTV202008871</v>
      </c>
      <c r="R1413" t="s">
        <v>579</v>
      </c>
      <c r="S1413" t="s">
        <v>22763</v>
      </c>
      <c r="T1413">
        <v>40</v>
      </c>
      <c r="U1413" s="26" t="str">
        <f t="shared" si="44"/>
        <v>2024.026B.Pantevenvirales_1no_3mf.zip</v>
      </c>
    </row>
    <row r="1414" spans="1:21">
      <c r="A1414">
        <v>1413</v>
      </c>
      <c r="B1414" s="27" t="s">
        <v>1449</v>
      </c>
      <c r="D1414" s="27" t="s">
        <v>1450</v>
      </c>
      <c r="F1414" s="27" t="s">
        <v>1453</v>
      </c>
      <c r="H1414" s="27" t="s">
        <v>1454</v>
      </c>
      <c r="J1414" s="27" t="s">
        <v>19301</v>
      </c>
      <c r="L1414" s="27" t="s">
        <v>825</v>
      </c>
      <c r="N1414" s="27" t="s">
        <v>2040</v>
      </c>
      <c r="P1414" s="27" t="s">
        <v>4052</v>
      </c>
      <c r="Q1414" s="26" t="str">
        <f>HYPERLINK("https://ictv.global/taxonomy/taxondetails?taxnode_id=202508921&amp;ictv_id=ICTV202008921","ICTV202008921")</f>
        <v>ICTV202008921</v>
      </c>
      <c r="R1414" t="s">
        <v>579</v>
      </c>
      <c r="S1414" t="s">
        <v>22763</v>
      </c>
      <c r="T1414">
        <v>40</v>
      </c>
      <c r="U1414" s="26" t="str">
        <f t="shared" si="44"/>
        <v>2024.026B.Pantevenvirales_1no_3mf.zip</v>
      </c>
    </row>
    <row r="1415" spans="1:21">
      <c r="A1415">
        <v>1414</v>
      </c>
      <c r="B1415" s="27" t="s">
        <v>1449</v>
      </c>
      <c r="D1415" s="27" t="s">
        <v>1450</v>
      </c>
      <c r="F1415" s="27" t="s">
        <v>1453</v>
      </c>
      <c r="H1415" s="27" t="s">
        <v>1454</v>
      </c>
      <c r="J1415" s="27" t="s">
        <v>19301</v>
      </c>
      <c r="L1415" s="27" t="s">
        <v>825</v>
      </c>
      <c r="N1415" s="27" t="s">
        <v>2041</v>
      </c>
      <c r="P1415" s="27" t="s">
        <v>4053</v>
      </c>
      <c r="Q1415" s="26" t="str">
        <f>HYPERLINK("https://ictv.global/taxonomy/taxondetails?taxnode_id=202508915&amp;ictv_id=ICTV202008915","ICTV202008915")</f>
        <v>ICTV202008915</v>
      </c>
      <c r="R1415" t="s">
        <v>579</v>
      </c>
      <c r="S1415" t="s">
        <v>22763</v>
      </c>
      <c r="T1415">
        <v>40</v>
      </c>
      <c r="U1415" s="26" t="str">
        <f t="shared" si="44"/>
        <v>2024.026B.Pantevenvirales_1no_3mf.zip</v>
      </c>
    </row>
    <row r="1416" spans="1:21">
      <c r="A1416">
        <v>1415</v>
      </c>
      <c r="B1416" s="27" t="s">
        <v>1449</v>
      </c>
      <c r="D1416" s="27" t="s">
        <v>1450</v>
      </c>
      <c r="F1416" s="27" t="s">
        <v>1453</v>
      </c>
      <c r="H1416" s="27" t="s">
        <v>1454</v>
      </c>
      <c r="J1416" s="27" t="s">
        <v>19301</v>
      </c>
      <c r="L1416" s="27" t="s">
        <v>4954</v>
      </c>
      <c r="N1416" s="27" t="s">
        <v>1660</v>
      </c>
      <c r="P1416" s="27" t="s">
        <v>4955</v>
      </c>
      <c r="Q1416" s="26" t="str">
        <f>HYPERLINK("https://ictv.global/taxonomy/taxondetails?taxnode_id=202507799&amp;ictv_id=ICTV201907799","ICTV201907799")</f>
        <v>ICTV201907799</v>
      </c>
      <c r="R1416" t="s">
        <v>579</v>
      </c>
      <c r="S1416" t="s">
        <v>22763</v>
      </c>
      <c r="T1416">
        <v>40</v>
      </c>
      <c r="U1416" s="26" t="str">
        <f t="shared" si="44"/>
        <v>2024.026B.Pantevenvirales_1no_3mf.zip</v>
      </c>
    </row>
    <row r="1417" spans="1:21">
      <c r="A1417">
        <v>1416</v>
      </c>
      <c r="B1417" s="27" t="s">
        <v>1449</v>
      </c>
      <c r="D1417" s="27" t="s">
        <v>1450</v>
      </c>
      <c r="F1417" s="27" t="s">
        <v>1453</v>
      </c>
      <c r="H1417" s="27" t="s">
        <v>1454</v>
      </c>
      <c r="J1417" s="27" t="s">
        <v>19301</v>
      </c>
      <c r="L1417" s="27" t="s">
        <v>4954</v>
      </c>
      <c r="N1417" s="27" t="s">
        <v>1661</v>
      </c>
      <c r="P1417" s="27" t="s">
        <v>4956</v>
      </c>
      <c r="Q1417" s="26" t="str">
        <f>HYPERLINK("https://ictv.global/taxonomy/taxondetails?taxnode_id=202507803&amp;ictv_id=ICTV201907803","ICTV201907803")</f>
        <v>ICTV201907803</v>
      </c>
      <c r="R1417" t="s">
        <v>579</v>
      </c>
      <c r="S1417" t="s">
        <v>22763</v>
      </c>
      <c r="T1417">
        <v>40</v>
      </c>
      <c r="U1417" s="26" t="str">
        <f t="shared" ref="U1417:U1448" si="45">HYPERLINK("https://ictv.global/ictv/proposals/2024.026B.Pantevenvirales_1no_3mf.zip","2024.026B.Pantevenvirales_1no_3mf.zip")</f>
        <v>2024.026B.Pantevenvirales_1no_3mf.zip</v>
      </c>
    </row>
    <row r="1418" spans="1:21">
      <c r="A1418">
        <v>1417</v>
      </c>
      <c r="B1418" s="27" t="s">
        <v>1449</v>
      </c>
      <c r="D1418" s="27" t="s">
        <v>1450</v>
      </c>
      <c r="F1418" s="27" t="s">
        <v>1453</v>
      </c>
      <c r="H1418" s="27" t="s">
        <v>1454</v>
      </c>
      <c r="J1418" s="27" t="s">
        <v>19301</v>
      </c>
      <c r="L1418" s="27" t="s">
        <v>4954</v>
      </c>
      <c r="N1418" s="27" t="s">
        <v>4957</v>
      </c>
      <c r="P1418" s="27" t="s">
        <v>4958</v>
      </c>
      <c r="Q1418" s="26" t="str">
        <f>HYPERLINK("https://ictv.global/taxonomy/taxondetails?taxnode_id=202513997&amp;ictv_id=ICTV202113997","ICTV202113997")</f>
        <v>ICTV202113997</v>
      </c>
      <c r="R1418" t="s">
        <v>579</v>
      </c>
      <c r="S1418" t="s">
        <v>22763</v>
      </c>
      <c r="T1418">
        <v>40</v>
      </c>
      <c r="U1418" s="26" t="str">
        <f t="shared" si="45"/>
        <v>2024.026B.Pantevenvirales_1no_3mf.zip</v>
      </c>
    </row>
    <row r="1419" spans="1:21">
      <c r="A1419">
        <v>1418</v>
      </c>
      <c r="B1419" s="27" t="s">
        <v>1449</v>
      </c>
      <c r="D1419" s="27" t="s">
        <v>1450</v>
      </c>
      <c r="F1419" s="27" t="s">
        <v>1453</v>
      </c>
      <c r="H1419" s="27" t="s">
        <v>1454</v>
      </c>
      <c r="J1419" s="27" t="s">
        <v>19301</v>
      </c>
      <c r="L1419" s="27" t="s">
        <v>4954</v>
      </c>
      <c r="N1419" s="27" t="s">
        <v>1664</v>
      </c>
      <c r="P1419" s="27" t="s">
        <v>4959</v>
      </c>
      <c r="Q1419" s="26" t="str">
        <f>HYPERLINK("https://ictv.global/taxonomy/taxondetails?taxnode_id=202507772&amp;ictv_id=ICTV201907772","ICTV201907772")</f>
        <v>ICTV201907772</v>
      </c>
      <c r="R1419" t="s">
        <v>579</v>
      </c>
      <c r="S1419" t="s">
        <v>22763</v>
      </c>
      <c r="T1419">
        <v>40</v>
      </c>
      <c r="U1419" s="26" t="str">
        <f t="shared" si="45"/>
        <v>2024.026B.Pantevenvirales_1no_3mf.zip</v>
      </c>
    </row>
    <row r="1420" spans="1:21">
      <c r="A1420">
        <v>1419</v>
      </c>
      <c r="B1420" s="27" t="s">
        <v>1449</v>
      </c>
      <c r="D1420" s="27" t="s">
        <v>1450</v>
      </c>
      <c r="F1420" s="27" t="s">
        <v>1453</v>
      </c>
      <c r="H1420" s="27" t="s">
        <v>1454</v>
      </c>
      <c r="J1420" s="27" t="s">
        <v>19301</v>
      </c>
      <c r="L1420" s="27" t="s">
        <v>4954</v>
      </c>
      <c r="N1420" s="27" t="s">
        <v>1666</v>
      </c>
      <c r="P1420" s="27" t="s">
        <v>4960</v>
      </c>
      <c r="Q1420" s="26" t="str">
        <f>HYPERLINK("https://ictv.global/taxonomy/taxondetails?taxnode_id=202507754&amp;ictv_id=ICTV201907754","ICTV201907754")</f>
        <v>ICTV201907754</v>
      </c>
      <c r="R1420" t="s">
        <v>579</v>
      </c>
      <c r="S1420" t="s">
        <v>22763</v>
      </c>
      <c r="T1420">
        <v>40</v>
      </c>
      <c r="U1420" s="26" t="str">
        <f t="shared" si="45"/>
        <v>2024.026B.Pantevenvirales_1no_3mf.zip</v>
      </c>
    </row>
    <row r="1421" spans="1:21">
      <c r="A1421">
        <v>1420</v>
      </c>
      <c r="B1421" s="27" t="s">
        <v>1449</v>
      </c>
      <c r="D1421" s="27" t="s">
        <v>1450</v>
      </c>
      <c r="F1421" s="27" t="s">
        <v>1453</v>
      </c>
      <c r="H1421" s="27" t="s">
        <v>1454</v>
      </c>
      <c r="J1421" s="27" t="s">
        <v>19301</v>
      </c>
      <c r="L1421" s="27" t="s">
        <v>4954</v>
      </c>
      <c r="N1421" s="27" t="s">
        <v>1666</v>
      </c>
      <c r="P1421" s="27" t="s">
        <v>4961</v>
      </c>
      <c r="Q1421" s="26" t="str">
        <f>HYPERLINK("https://ictv.global/taxonomy/taxondetails?taxnode_id=202507756&amp;ictv_id=ICTV201907756","ICTV201907756")</f>
        <v>ICTV201907756</v>
      </c>
      <c r="R1421" t="s">
        <v>579</v>
      </c>
      <c r="S1421" t="s">
        <v>22763</v>
      </c>
      <c r="T1421">
        <v>40</v>
      </c>
      <c r="U1421" s="26" t="str">
        <f t="shared" si="45"/>
        <v>2024.026B.Pantevenvirales_1no_3mf.zip</v>
      </c>
    </row>
    <row r="1422" spans="1:21">
      <c r="A1422">
        <v>1421</v>
      </c>
      <c r="B1422" s="27" t="s">
        <v>1449</v>
      </c>
      <c r="D1422" s="27" t="s">
        <v>1450</v>
      </c>
      <c r="F1422" s="27" t="s">
        <v>1453</v>
      </c>
      <c r="H1422" s="27" t="s">
        <v>1454</v>
      </c>
      <c r="J1422" s="27" t="s">
        <v>19301</v>
      </c>
      <c r="L1422" s="27" t="s">
        <v>4954</v>
      </c>
      <c r="N1422" s="27" t="s">
        <v>1666</v>
      </c>
      <c r="P1422" s="27" t="s">
        <v>4962</v>
      </c>
      <c r="Q1422" s="26" t="str">
        <f>HYPERLINK("https://ictv.global/taxonomy/taxondetails?taxnode_id=202507755&amp;ictv_id=ICTV201907755","ICTV201907755")</f>
        <v>ICTV201907755</v>
      </c>
      <c r="R1422" t="s">
        <v>579</v>
      </c>
      <c r="S1422" t="s">
        <v>22763</v>
      </c>
      <c r="T1422">
        <v>40</v>
      </c>
      <c r="U1422" s="26" t="str">
        <f t="shared" si="45"/>
        <v>2024.026B.Pantevenvirales_1no_3mf.zip</v>
      </c>
    </row>
    <row r="1423" spans="1:21">
      <c r="A1423">
        <v>1422</v>
      </c>
      <c r="B1423" s="27" t="s">
        <v>1449</v>
      </c>
      <c r="D1423" s="27" t="s">
        <v>1450</v>
      </c>
      <c r="F1423" s="27" t="s">
        <v>1453</v>
      </c>
      <c r="H1423" s="27" t="s">
        <v>1454</v>
      </c>
      <c r="J1423" s="27" t="s">
        <v>19301</v>
      </c>
      <c r="L1423" s="27" t="s">
        <v>4954</v>
      </c>
      <c r="N1423" s="27" t="s">
        <v>1670</v>
      </c>
      <c r="P1423" s="27" t="s">
        <v>4963</v>
      </c>
      <c r="Q1423" s="26" t="str">
        <f>HYPERLINK("https://ictv.global/taxonomy/taxondetails?taxnode_id=202507785&amp;ictv_id=ICTV201907785","ICTV201907785")</f>
        <v>ICTV201907785</v>
      </c>
      <c r="R1423" t="s">
        <v>579</v>
      </c>
      <c r="S1423" t="s">
        <v>22763</v>
      </c>
      <c r="T1423">
        <v>40</v>
      </c>
      <c r="U1423" s="26" t="str">
        <f t="shared" si="45"/>
        <v>2024.026B.Pantevenvirales_1no_3mf.zip</v>
      </c>
    </row>
    <row r="1424" spans="1:21">
      <c r="A1424">
        <v>1423</v>
      </c>
      <c r="B1424" s="27" t="s">
        <v>1449</v>
      </c>
      <c r="D1424" s="27" t="s">
        <v>1450</v>
      </c>
      <c r="F1424" s="27" t="s">
        <v>1453</v>
      </c>
      <c r="H1424" s="27" t="s">
        <v>1454</v>
      </c>
      <c r="J1424" s="27" t="s">
        <v>19301</v>
      </c>
      <c r="L1424" s="27" t="s">
        <v>4954</v>
      </c>
      <c r="N1424" s="27" t="s">
        <v>4964</v>
      </c>
      <c r="P1424" s="27" t="s">
        <v>4965</v>
      </c>
      <c r="Q1424" s="26" t="str">
        <f>HYPERLINK("https://ictv.global/taxonomy/taxondetails?taxnode_id=202512608&amp;ictv_id=ICTV202112608","ICTV202112608")</f>
        <v>ICTV202112608</v>
      </c>
      <c r="R1424" t="s">
        <v>579</v>
      </c>
      <c r="S1424" t="s">
        <v>22763</v>
      </c>
      <c r="T1424">
        <v>40</v>
      </c>
      <c r="U1424" s="26" t="str">
        <f t="shared" si="45"/>
        <v>2024.026B.Pantevenvirales_1no_3mf.zip</v>
      </c>
    </row>
    <row r="1425" spans="1:21">
      <c r="A1425">
        <v>1424</v>
      </c>
      <c r="B1425" s="27" t="s">
        <v>1449</v>
      </c>
      <c r="D1425" s="27" t="s">
        <v>1450</v>
      </c>
      <c r="F1425" s="27" t="s">
        <v>1453</v>
      </c>
      <c r="H1425" s="27" t="s">
        <v>1454</v>
      </c>
      <c r="J1425" s="27" t="s">
        <v>19301</v>
      </c>
      <c r="L1425" s="27" t="s">
        <v>4954</v>
      </c>
      <c r="N1425" s="27" t="s">
        <v>1672</v>
      </c>
      <c r="P1425" s="27" t="s">
        <v>4966</v>
      </c>
      <c r="Q1425" s="26" t="str">
        <f>HYPERLINK("https://ictv.global/taxonomy/taxondetails?taxnode_id=202507791&amp;ictv_id=ICTV201907791","ICTV201907791")</f>
        <v>ICTV201907791</v>
      </c>
      <c r="R1425" t="s">
        <v>579</v>
      </c>
      <c r="S1425" t="s">
        <v>22763</v>
      </c>
      <c r="T1425">
        <v>40</v>
      </c>
      <c r="U1425" s="26" t="str">
        <f t="shared" si="45"/>
        <v>2024.026B.Pantevenvirales_1no_3mf.zip</v>
      </c>
    </row>
    <row r="1426" spans="1:21">
      <c r="A1426">
        <v>1425</v>
      </c>
      <c r="B1426" s="27" t="s">
        <v>1449</v>
      </c>
      <c r="D1426" s="27" t="s">
        <v>1450</v>
      </c>
      <c r="F1426" s="27" t="s">
        <v>1453</v>
      </c>
      <c r="H1426" s="27" t="s">
        <v>1454</v>
      </c>
      <c r="J1426" s="27" t="s">
        <v>19301</v>
      </c>
      <c r="L1426" s="27" t="s">
        <v>4954</v>
      </c>
      <c r="N1426" s="27" t="s">
        <v>1672</v>
      </c>
      <c r="P1426" s="27" t="s">
        <v>4967</v>
      </c>
      <c r="Q1426" s="26" t="str">
        <f>HYPERLINK("https://ictv.global/taxonomy/taxondetails?taxnode_id=202507792&amp;ictv_id=ICTV201907792","ICTV201907792")</f>
        <v>ICTV201907792</v>
      </c>
      <c r="R1426" t="s">
        <v>579</v>
      </c>
      <c r="S1426" t="s">
        <v>22763</v>
      </c>
      <c r="T1426">
        <v>40</v>
      </c>
      <c r="U1426" s="26" t="str">
        <f t="shared" si="45"/>
        <v>2024.026B.Pantevenvirales_1no_3mf.zip</v>
      </c>
    </row>
    <row r="1427" spans="1:21">
      <c r="A1427">
        <v>1426</v>
      </c>
      <c r="B1427" s="27" t="s">
        <v>1449</v>
      </c>
      <c r="D1427" s="27" t="s">
        <v>1450</v>
      </c>
      <c r="F1427" s="27" t="s">
        <v>1453</v>
      </c>
      <c r="H1427" s="27" t="s">
        <v>1454</v>
      </c>
      <c r="J1427" s="27" t="s">
        <v>19301</v>
      </c>
      <c r="L1427" s="27" t="s">
        <v>4954</v>
      </c>
      <c r="N1427" s="27" t="s">
        <v>1672</v>
      </c>
      <c r="P1427" s="27" t="s">
        <v>4968</v>
      </c>
      <c r="Q1427" s="26" t="str">
        <f>HYPERLINK("https://ictv.global/taxonomy/taxondetails?taxnode_id=202507793&amp;ictv_id=ICTV201907793","ICTV201907793")</f>
        <v>ICTV201907793</v>
      </c>
      <c r="R1427" t="s">
        <v>579</v>
      </c>
      <c r="S1427" t="s">
        <v>22763</v>
      </c>
      <c r="T1427">
        <v>40</v>
      </c>
      <c r="U1427" s="26" t="str">
        <f t="shared" si="45"/>
        <v>2024.026B.Pantevenvirales_1no_3mf.zip</v>
      </c>
    </row>
    <row r="1428" spans="1:21">
      <c r="A1428">
        <v>1427</v>
      </c>
      <c r="B1428" s="27" t="s">
        <v>1449</v>
      </c>
      <c r="D1428" s="27" t="s">
        <v>1450</v>
      </c>
      <c r="F1428" s="27" t="s">
        <v>1453</v>
      </c>
      <c r="H1428" s="27" t="s">
        <v>1454</v>
      </c>
      <c r="J1428" s="27" t="s">
        <v>19301</v>
      </c>
      <c r="L1428" s="27" t="s">
        <v>4954</v>
      </c>
      <c r="N1428" s="27" t="s">
        <v>4969</v>
      </c>
      <c r="P1428" s="27" t="s">
        <v>4970</v>
      </c>
      <c r="Q1428" s="26" t="str">
        <f>HYPERLINK("https://ictv.global/taxonomy/taxondetails?taxnode_id=202513964&amp;ictv_id=ICTV202113964","ICTV202113964")</f>
        <v>ICTV202113964</v>
      </c>
      <c r="R1428" t="s">
        <v>579</v>
      </c>
      <c r="S1428" t="s">
        <v>22763</v>
      </c>
      <c r="T1428">
        <v>40</v>
      </c>
      <c r="U1428" s="26" t="str">
        <f t="shared" si="45"/>
        <v>2024.026B.Pantevenvirales_1no_3mf.zip</v>
      </c>
    </row>
    <row r="1429" spans="1:21">
      <c r="A1429">
        <v>1428</v>
      </c>
      <c r="B1429" s="27" t="s">
        <v>1449</v>
      </c>
      <c r="D1429" s="27" t="s">
        <v>1450</v>
      </c>
      <c r="F1429" s="27" t="s">
        <v>1453</v>
      </c>
      <c r="H1429" s="27" t="s">
        <v>1454</v>
      </c>
      <c r="J1429" s="27" t="s">
        <v>19301</v>
      </c>
      <c r="L1429" s="27" t="s">
        <v>4954</v>
      </c>
      <c r="N1429" s="27" t="s">
        <v>4969</v>
      </c>
      <c r="P1429" s="27" t="s">
        <v>4971</v>
      </c>
      <c r="Q1429" s="26" t="str">
        <f>HYPERLINK("https://ictv.global/taxonomy/taxondetails?taxnode_id=202513965&amp;ictv_id=ICTV202113965","ICTV202113965")</f>
        <v>ICTV202113965</v>
      </c>
      <c r="R1429" t="s">
        <v>579</v>
      </c>
      <c r="S1429" t="s">
        <v>22763</v>
      </c>
      <c r="T1429">
        <v>40</v>
      </c>
      <c r="U1429" s="26" t="str">
        <f t="shared" si="45"/>
        <v>2024.026B.Pantevenvirales_1no_3mf.zip</v>
      </c>
    </row>
    <row r="1430" spans="1:21">
      <c r="A1430">
        <v>1429</v>
      </c>
      <c r="B1430" s="27" t="s">
        <v>1449</v>
      </c>
      <c r="D1430" s="27" t="s">
        <v>1450</v>
      </c>
      <c r="F1430" s="27" t="s">
        <v>1453</v>
      </c>
      <c r="H1430" s="27" t="s">
        <v>1454</v>
      </c>
      <c r="J1430" s="27" t="s">
        <v>19301</v>
      </c>
      <c r="L1430" s="27" t="s">
        <v>4954</v>
      </c>
      <c r="N1430" s="27" t="s">
        <v>1674</v>
      </c>
      <c r="P1430" s="27" t="s">
        <v>4972</v>
      </c>
      <c r="Q1430" s="26" t="str">
        <f>HYPERLINK("https://ictv.global/taxonomy/taxondetails?taxnode_id=202507774&amp;ictv_id=ICTV201907774","ICTV201907774")</f>
        <v>ICTV201907774</v>
      </c>
      <c r="R1430" t="s">
        <v>579</v>
      </c>
      <c r="S1430" t="s">
        <v>22763</v>
      </c>
      <c r="T1430">
        <v>40</v>
      </c>
      <c r="U1430" s="26" t="str">
        <f t="shared" si="45"/>
        <v>2024.026B.Pantevenvirales_1no_3mf.zip</v>
      </c>
    </row>
    <row r="1431" spans="1:21">
      <c r="A1431">
        <v>1430</v>
      </c>
      <c r="B1431" s="27" t="s">
        <v>1449</v>
      </c>
      <c r="D1431" s="27" t="s">
        <v>1450</v>
      </c>
      <c r="F1431" s="27" t="s">
        <v>1453</v>
      </c>
      <c r="H1431" s="27" t="s">
        <v>1454</v>
      </c>
      <c r="J1431" s="27" t="s">
        <v>19301</v>
      </c>
      <c r="L1431" s="27" t="s">
        <v>4954</v>
      </c>
      <c r="N1431" s="27" t="s">
        <v>1675</v>
      </c>
      <c r="P1431" s="27" t="s">
        <v>4973</v>
      </c>
      <c r="Q1431" s="26" t="str">
        <f>HYPERLINK("https://ictv.global/taxonomy/taxondetails?taxnode_id=202507776&amp;ictv_id=ICTV201907776","ICTV201907776")</f>
        <v>ICTV201907776</v>
      </c>
      <c r="R1431" t="s">
        <v>579</v>
      </c>
      <c r="S1431" t="s">
        <v>22763</v>
      </c>
      <c r="T1431">
        <v>40</v>
      </c>
      <c r="U1431" s="26" t="str">
        <f t="shared" si="45"/>
        <v>2024.026B.Pantevenvirales_1no_3mf.zip</v>
      </c>
    </row>
    <row r="1432" spans="1:21">
      <c r="A1432">
        <v>1431</v>
      </c>
      <c r="B1432" s="27" t="s">
        <v>1449</v>
      </c>
      <c r="D1432" s="27" t="s">
        <v>1450</v>
      </c>
      <c r="F1432" s="27" t="s">
        <v>1453</v>
      </c>
      <c r="H1432" s="27" t="s">
        <v>1454</v>
      </c>
      <c r="J1432" s="27" t="s">
        <v>19301</v>
      </c>
      <c r="L1432" s="27" t="s">
        <v>4954</v>
      </c>
      <c r="N1432" s="27" t="s">
        <v>4974</v>
      </c>
      <c r="P1432" s="27" t="s">
        <v>4975</v>
      </c>
      <c r="Q1432" s="26" t="str">
        <f>HYPERLINK("https://ictv.global/taxonomy/taxondetails?taxnode_id=202513991&amp;ictv_id=ICTV202113991","ICTV202113991")</f>
        <v>ICTV202113991</v>
      </c>
      <c r="R1432" t="s">
        <v>579</v>
      </c>
      <c r="S1432" t="s">
        <v>22763</v>
      </c>
      <c r="T1432">
        <v>40</v>
      </c>
      <c r="U1432" s="26" t="str">
        <f t="shared" si="45"/>
        <v>2024.026B.Pantevenvirales_1no_3mf.zip</v>
      </c>
    </row>
    <row r="1433" spans="1:21">
      <c r="A1433">
        <v>1432</v>
      </c>
      <c r="B1433" s="27" t="s">
        <v>1449</v>
      </c>
      <c r="D1433" s="27" t="s">
        <v>1450</v>
      </c>
      <c r="F1433" s="27" t="s">
        <v>1453</v>
      </c>
      <c r="H1433" s="27" t="s">
        <v>1454</v>
      </c>
      <c r="J1433" s="27" t="s">
        <v>19301</v>
      </c>
      <c r="L1433" s="27" t="s">
        <v>4954</v>
      </c>
      <c r="N1433" s="27" t="s">
        <v>4976</v>
      </c>
      <c r="P1433" s="27" t="s">
        <v>4977</v>
      </c>
      <c r="Q1433" s="26" t="str">
        <f>HYPERLINK("https://ictv.global/taxonomy/taxondetails?taxnode_id=202513993&amp;ictv_id=ICTV202113993","ICTV202113993")</f>
        <v>ICTV202113993</v>
      </c>
      <c r="R1433" t="s">
        <v>579</v>
      </c>
      <c r="S1433" t="s">
        <v>22763</v>
      </c>
      <c r="T1433">
        <v>40</v>
      </c>
      <c r="U1433" s="26" t="str">
        <f t="shared" si="45"/>
        <v>2024.026B.Pantevenvirales_1no_3mf.zip</v>
      </c>
    </row>
    <row r="1434" spans="1:21">
      <c r="A1434">
        <v>1433</v>
      </c>
      <c r="B1434" s="27" t="s">
        <v>1449</v>
      </c>
      <c r="D1434" s="27" t="s">
        <v>1450</v>
      </c>
      <c r="F1434" s="27" t="s">
        <v>1453</v>
      </c>
      <c r="H1434" s="27" t="s">
        <v>1454</v>
      </c>
      <c r="J1434" s="27" t="s">
        <v>19301</v>
      </c>
      <c r="L1434" s="27" t="s">
        <v>4954</v>
      </c>
      <c r="N1434" s="27" t="s">
        <v>4978</v>
      </c>
      <c r="P1434" s="27" t="s">
        <v>4979</v>
      </c>
      <c r="Q1434" s="26" t="str">
        <f>HYPERLINK("https://ictv.global/taxonomy/taxondetails?taxnode_id=202513962&amp;ictv_id=ICTV202113962","ICTV202113962")</f>
        <v>ICTV202113962</v>
      </c>
      <c r="R1434" t="s">
        <v>579</v>
      </c>
      <c r="S1434" t="s">
        <v>22763</v>
      </c>
      <c r="T1434">
        <v>40</v>
      </c>
      <c r="U1434" s="26" t="str">
        <f t="shared" si="45"/>
        <v>2024.026B.Pantevenvirales_1no_3mf.zip</v>
      </c>
    </row>
    <row r="1435" spans="1:21">
      <c r="A1435">
        <v>1434</v>
      </c>
      <c r="B1435" s="27" t="s">
        <v>1449</v>
      </c>
      <c r="D1435" s="27" t="s">
        <v>1450</v>
      </c>
      <c r="F1435" s="27" t="s">
        <v>1453</v>
      </c>
      <c r="H1435" s="27" t="s">
        <v>1454</v>
      </c>
      <c r="J1435" s="27" t="s">
        <v>19301</v>
      </c>
      <c r="L1435" s="27" t="s">
        <v>4954</v>
      </c>
      <c r="N1435" s="27" t="s">
        <v>4980</v>
      </c>
      <c r="P1435" s="27" t="s">
        <v>4981</v>
      </c>
      <c r="Q1435" s="26" t="str">
        <f>HYPERLINK("https://ictv.global/taxonomy/taxondetails?taxnode_id=202513995&amp;ictv_id=ICTV202113995","ICTV202113995")</f>
        <v>ICTV202113995</v>
      </c>
      <c r="R1435" t="s">
        <v>579</v>
      </c>
      <c r="S1435" t="s">
        <v>22763</v>
      </c>
      <c r="T1435">
        <v>40</v>
      </c>
      <c r="U1435" s="26" t="str">
        <f t="shared" si="45"/>
        <v>2024.026B.Pantevenvirales_1no_3mf.zip</v>
      </c>
    </row>
    <row r="1436" spans="1:21">
      <c r="A1436">
        <v>1435</v>
      </c>
      <c r="B1436" s="27" t="s">
        <v>1449</v>
      </c>
      <c r="D1436" s="27" t="s">
        <v>1450</v>
      </c>
      <c r="F1436" s="27" t="s">
        <v>1453</v>
      </c>
      <c r="H1436" s="27" t="s">
        <v>1454</v>
      </c>
      <c r="J1436" s="27" t="s">
        <v>19301</v>
      </c>
      <c r="L1436" s="27" t="s">
        <v>4954</v>
      </c>
      <c r="N1436" s="27" t="s">
        <v>4982</v>
      </c>
      <c r="P1436" s="27" t="s">
        <v>4983</v>
      </c>
      <c r="Q1436" s="26" t="str">
        <f>HYPERLINK("https://ictv.global/taxonomy/taxondetails?taxnode_id=202513984&amp;ictv_id=ICTV202113984","ICTV202113984")</f>
        <v>ICTV202113984</v>
      </c>
      <c r="R1436" t="s">
        <v>579</v>
      </c>
      <c r="S1436" t="s">
        <v>22763</v>
      </c>
      <c r="T1436">
        <v>40</v>
      </c>
      <c r="U1436" s="26" t="str">
        <f t="shared" si="45"/>
        <v>2024.026B.Pantevenvirales_1no_3mf.zip</v>
      </c>
    </row>
    <row r="1437" spans="1:21">
      <c r="A1437">
        <v>1436</v>
      </c>
      <c r="B1437" s="27" t="s">
        <v>1449</v>
      </c>
      <c r="D1437" s="27" t="s">
        <v>1450</v>
      </c>
      <c r="F1437" s="27" t="s">
        <v>1453</v>
      </c>
      <c r="H1437" s="27" t="s">
        <v>1454</v>
      </c>
      <c r="J1437" s="27" t="s">
        <v>19301</v>
      </c>
      <c r="L1437" s="27" t="s">
        <v>4954</v>
      </c>
      <c r="N1437" s="27" t="s">
        <v>4984</v>
      </c>
      <c r="P1437" s="27" t="s">
        <v>4985</v>
      </c>
      <c r="Q1437" s="26" t="str">
        <f>HYPERLINK("https://ictv.global/taxonomy/taxondetails?taxnode_id=202513976&amp;ictv_id=ICTV202113976","ICTV202113976")</f>
        <v>ICTV202113976</v>
      </c>
      <c r="R1437" t="s">
        <v>579</v>
      </c>
      <c r="S1437" t="s">
        <v>22763</v>
      </c>
      <c r="T1437">
        <v>40</v>
      </c>
      <c r="U1437" s="26" t="str">
        <f t="shared" si="45"/>
        <v>2024.026B.Pantevenvirales_1no_3mf.zip</v>
      </c>
    </row>
    <row r="1438" spans="1:21">
      <c r="A1438">
        <v>1437</v>
      </c>
      <c r="B1438" s="27" t="s">
        <v>1449</v>
      </c>
      <c r="D1438" s="27" t="s">
        <v>1450</v>
      </c>
      <c r="F1438" s="27" t="s">
        <v>1453</v>
      </c>
      <c r="H1438" s="27" t="s">
        <v>1454</v>
      </c>
      <c r="J1438" s="27" t="s">
        <v>19301</v>
      </c>
      <c r="L1438" s="27" t="s">
        <v>4954</v>
      </c>
      <c r="N1438" s="27" t="s">
        <v>4986</v>
      </c>
      <c r="P1438" s="27" t="s">
        <v>4987</v>
      </c>
      <c r="Q1438" s="26" t="str">
        <f>HYPERLINK("https://ictv.global/taxonomy/taxondetails?taxnode_id=202514651&amp;ictv_id=ICTV202214651","ICTV202214651")</f>
        <v>ICTV202214651</v>
      </c>
      <c r="R1438" t="s">
        <v>579</v>
      </c>
      <c r="S1438" t="s">
        <v>22763</v>
      </c>
      <c r="T1438">
        <v>40</v>
      </c>
      <c r="U1438" s="26" t="str">
        <f t="shared" si="45"/>
        <v>2024.026B.Pantevenvirales_1no_3mf.zip</v>
      </c>
    </row>
    <row r="1439" spans="1:21">
      <c r="A1439">
        <v>1438</v>
      </c>
      <c r="B1439" s="27" t="s">
        <v>1449</v>
      </c>
      <c r="D1439" s="27" t="s">
        <v>1450</v>
      </c>
      <c r="F1439" s="27" t="s">
        <v>1453</v>
      </c>
      <c r="H1439" s="27" t="s">
        <v>1454</v>
      </c>
      <c r="J1439" s="27" t="s">
        <v>19301</v>
      </c>
      <c r="L1439" s="27" t="s">
        <v>4954</v>
      </c>
      <c r="N1439" s="27" t="s">
        <v>1681</v>
      </c>
      <c r="P1439" s="27" t="s">
        <v>4988</v>
      </c>
      <c r="Q1439" s="26" t="str">
        <f>HYPERLINK("https://ictv.global/taxonomy/taxondetails?taxnode_id=202507805&amp;ictv_id=ICTV201907805","ICTV201907805")</f>
        <v>ICTV201907805</v>
      </c>
      <c r="R1439" t="s">
        <v>579</v>
      </c>
      <c r="S1439" t="s">
        <v>22763</v>
      </c>
      <c r="T1439">
        <v>40</v>
      </c>
      <c r="U1439" s="26" t="str">
        <f t="shared" si="45"/>
        <v>2024.026B.Pantevenvirales_1no_3mf.zip</v>
      </c>
    </row>
    <row r="1440" spans="1:21">
      <c r="A1440">
        <v>1439</v>
      </c>
      <c r="B1440" s="27" t="s">
        <v>1449</v>
      </c>
      <c r="D1440" s="27" t="s">
        <v>1450</v>
      </c>
      <c r="F1440" s="27" t="s">
        <v>1453</v>
      </c>
      <c r="H1440" s="27" t="s">
        <v>1454</v>
      </c>
      <c r="J1440" s="27" t="s">
        <v>19301</v>
      </c>
      <c r="L1440" s="27" t="s">
        <v>4954</v>
      </c>
      <c r="N1440" s="27" t="s">
        <v>1683</v>
      </c>
      <c r="P1440" s="27" t="s">
        <v>4989</v>
      </c>
      <c r="Q1440" s="26" t="str">
        <f>HYPERLINK("https://ictv.global/taxonomy/taxondetails?taxnode_id=202507814&amp;ictv_id=ICTV201907814","ICTV201907814")</f>
        <v>ICTV201907814</v>
      </c>
      <c r="R1440" t="s">
        <v>579</v>
      </c>
      <c r="S1440" t="s">
        <v>22763</v>
      </c>
      <c r="T1440">
        <v>40</v>
      </c>
      <c r="U1440" s="26" t="str">
        <f t="shared" si="45"/>
        <v>2024.026B.Pantevenvirales_1no_3mf.zip</v>
      </c>
    </row>
    <row r="1441" spans="1:21">
      <c r="A1441">
        <v>1440</v>
      </c>
      <c r="B1441" s="27" t="s">
        <v>1449</v>
      </c>
      <c r="D1441" s="27" t="s">
        <v>1450</v>
      </c>
      <c r="F1441" s="27" t="s">
        <v>1453</v>
      </c>
      <c r="H1441" s="27" t="s">
        <v>1454</v>
      </c>
      <c r="J1441" s="27" t="s">
        <v>19301</v>
      </c>
      <c r="L1441" s="27" t="s">
        <v>4954</v>
      </c>
      <c r="N1441" s="27" t="s">
        <v>1683</v>
      </c>
      <c r="P1441" s="27" t="s">
        <v>4990</v>
      </c>
      <c r="Q1441" s="26" t="str">
        <f>HYPERLINK("https://ictv.global/taxonomy/taxondetails?taxnode_id=202507813&amp;ictv_id=ICTV201907813","ICTV201907813")</f>
        <v>ICTV201907813</v>
      </c>
      <c r="R1441" t="s">
        <v>579</v>
      </c>
      <c r="S1441" t="s">
        <v>22763</v>
      </c>
      <c r="T1441">
        <v>40</v>
      </c>
      <c r="U1441" s="26" t="str">
        <f t="shared" si="45"/>
        <v>2024.026B.Pantevenvirales_1no_3mf.zip</v>
      </c>
    </row>
    <row r="1442" spans="1:21">
      <c r="A1442">
        <v>1441</v>
      </c>
      <c r="B1442" s="27" t="s">
        <v>1449</v>
      </c>
      <c r="D1442" s="27" t="s">
        <v>1450</v>
      </c>
      <c r="F1442" s="27" t="s">
        <v>1453</v>
      </c>
      <c r="H1442" s="27" t="s">
        <v>1454</v>
      </c>
      <c r="J1442" s="27" t="s">
        <v>19301</v>
      </c>
      <c r="L1442" s="27" t="s">
        <v>4954</v>
      </c>
      <c r="N1442" s="27" t="s">
        <v>1684</v>
      </c>
      <c r="P1442" s="27" t="s">
        <v>4991</v>
      </c>
      <c r="Q1442" s="26" t="str">
        <f>HYPERLINK("https://ictv.global/taxonomy/taxondetails?taxnode_id=202507821&amp;ictv_id=ICTV201907821","ICTV201907821")</f>
        <v>ICTV201907821</v>
      </c>
      <c r="R1442" t="s">
        <v>579</v>
      </c>
      <c r="S1442" t="s">
        <v>22763</v>
      </c>
      <c r="T1442">
        <v>40</v>
      </c>
      <c r="U1442" s="26" t="str">
        <f t="shared" si="45"/>
        <v>2024.026B.Pantevenvirales_1no_3mf.zip</v>
      </c>
    </row>
    <row r="1443" spans="1:21">
      <c r="A1443">
        <v>1442</v>
      </c>
      <c r="B1443" s="27" t="s">
        <v>1449</v>
      </c>
      <c r="D1443" s="27" t="s">
        <v>1450</v>
      </c>
      <c r="F1443" s="27" t="s">
        <v>1453</v>
      </c>
      <c r="H1443" s="27" t="s">
        <v>1454</v>
      </c>
      <c r="J1443" s="27" t="s">
        <v>19301</v>
      </c>
      <c r="L1443" s="27" t="s">
        <v>4954</v>
      </c>
      <c r="N1443" s="27" t="s">
        <v>4992</v>
      </c>
      <c r="P1443" s="27" t="s">
        <v>4993</v>
      </c>
      <c r="Q1443" s="26" t="str">
        <f>HYPERLINK("https://ictv.global/taxonomy/taxondetails?taxnode_id=202513970&amp;ictv_id=ICTV202113970","ICTV202113970")</f>
        <v>ICTV202113970</v>
      </c>
      <c r="R1443" t="s">
        <v>579</v>
      </c>
      <c r="S1443" t="s">
        <v>22763</v>
      </c>
      <c r="T1443">
        <v>40</v>
      </c>
      <c r="U1443" s="26" t="str">
        <f t="shared" si="45"/>
        <v>2024.026B.Pantevenvirales_1no_3mf.zip</v>
      </c>
    </row>
    <row r="1444" spans="1:21">
      <c r="A1444">
        <v>1443</v>
      </c>
      <c r="B1444" s="27" t="s">
        <v>1449</v>
      </c>
      <c r="D1444" s="27" t="s">
        <v>1450</v>
      </c>
      <c r="F1444" s="27" t="s">
        <v>1453</v>
      </c>
      <c r="H1444" s="27" t="s">
        <v>1454</v>
      </c>
      <c r="J1444" s="27" t="s">
        <v>19301</v>
      </c>
      <c r="L1444" s="27" t="s">
        <v>4954</v>
      </c>
      <c r="N1444" s="27" t="s">
        <v>4994</v>
      </c>
      <c r="P1444" s="27" t="s">
        <v>4995</v>
      </c>
      <c r="Q1444" s="26" t="str">
        <f>HYPERLINK("https://ictv.global/taxonomy/taxondetails?taxnode_id=202513972&amp;ictv_id=ICTV202113972","ICTV202113972")</f>
        <v>ICTV202113972</v>
      </c>
      <c r="R1444" t="s">
        <v>579</v>
      </c>
      <c r="S1444" t="s">
        <v>22763</v>
      </c>
      <c r="T1444">
        <v>40</v>
      </c>
      <c r="U1444" s="26" t="str">
        <f t="shared" si="45"/>
        <v>2024.026B.Pantevenvirales_1no_3mf.zip</v>
      </c>
    </row>
    <row r="1445" spans="1:21">
      <c r="A1445">
        <v>1444</v>
      </c>
      <c r="B1445" s="27" t="s">
        <v>1449</v>
      </c>
      <c r="D1445" s="27" t="s">
        <v>1450</v>
      </c>
      <c r="F1445" s="27" t="s">
        <v>1453</v>
      </c>
      <c r="H1445" s="27" t="s">
        <v>1454</v>
      </c>
      <c r="J1445" s="27" t="s">
        <v>19301</v>
      </c>
      <c r="L1445" s="27" t="s">
        <v>4954</v>
      </c>
      <c r="N1445" s="27" t="s">
        <v>4996</v>
      </c>
      <c r="P1445" s="27" t="s">
        <v>4997</v>
      </c>
      <c r="Q1445" s="26" t="str">
        <f>HYPERLINK("https://ictv.global/taxonomy/taxondetails?taxnode_id=202513982&amp;ictv_id=ICTV202113982","ICTV202113982")</f>
        <v>ICTV202113982</v>
      </c>
      <c r="R1445" t="s">
        <v>579</v>
      </c>
      <c r="S1445" t="s">
        <v>22763</v>
      </c>
      <c r="T1445">
        <v>40</v>
      </c>
      <c r="U1445" s="26" t="str">
        <f t="shared" si="45"/>
        <v>2024.026B.Pantevenvirales_1no_3mf.zip</v>
      </c>
    </row>
    <row r="1446" spans="1:21">
      <c r="A1446">
        <v>1445</v>
      </c>
      <c r="B1446" s="27" t="s">
        <v>1449</v>
      </c>
      <c r="D1446" s="27" t="s">
        <v>1450</v>
      </c>
      <c r="F1446" s="27" t="s">
        <v>1453</v>
      </c>
      <c r="H1446" s="27" t="s">
        <v>1454</v>
      </c>
      <c r="J1446" s="27" t="s">
        <v>19301</v>
      </c>
      <c r="L1446" s="27" t="s">
        <v>4954</v>
      </c>
      <c r="N1446" s="27" t="s">
        <v>4998</v>
      </c>
      <c r="P1446" s="27" t="s">
        <v>4999</v>
      </c>
      <c r="Q1446" s="26" t="str">
        <f>HYPERLINK("https://ictv.global/taxonomy/taxondetails?taxnode_id=202514657&amp;ictv_id=ICTV202214657","ICTV202214657")</f>
        <v>ICTV202214657</v>
      </c>
      <c r="R1446" t="s">
        <v>579</v>
      </c>
      <c r="S1446" t="s">
        <v>22763</v>
      </c>
      <c r="T1446">
        <v>40</v>
      </c>
      <c r="U1446" s="26" t="str">
        <f t="shared" si="45"/>
        <v>2024.026B.Pantevenvirales_1no_3mf.zip</v>
      </c>
    </row>
    <row r="1447" spans="1:21">
      <c r="A1447">
        <v>1446</v>
      </c>
      <c r="B1447" s="27" t="s">
        <v>1449</v>
      </c>
      <c r="D1447" s="27" t="s">
        <v>1450</v>
      </c>
      <c r="F1447" s="27" t="s">
        <v>1453</v>
      </c>
      <c r="H1447" s="27" t="s">
        <v>1454</v>
      </c>
      <c r="J1447" s="27" t="s">
        <v>19301</v>
      </c>
      <c r="L1447" s="27" t="s">
        <v>4954</v>
      </c>
      <c r="N1447" s="27" t="s">
        <v>5000</v>
      </c>
      <c r="P1447" s="27" t="s">
        <v>5001</v>
      </c>
      <c r="Q1447" s="26" t="str">
        <f>HYPERLINK("https://ictv.global/taxonomy/taxondetails?taxnode_id=202513974&amp;ictv_id=ICTV202113974","ICTV202113974")</f>
        <v>ICTV202113974</v>
      </c>
      <c r="R1447" t="s">
        <v>579</v>
      </c>
      <c r="S1447" t="s">
        <v>22763</v>
      </c>
      <c r="T1447">
        <v>40</v>
      </c>
      <c r="U1447" s="26" t="str">
        <f t="shared" si="45"/>
        <v>2024.026B.Pantevenvirales_1no_3mf.zip</v>
      </c>
    </row>
    <row r="1448" spans="1:21">
      <c r="A1448">
        <v>1447</v>
      </c>
      <c r="B1448" s="27" t="s">
        <v>1449</v>
      </c>
      <c r="D1448" s="27" t="s">
        <v>1450</v>
      </c>
      <c r="F1448" s="27" t="s">
        <v>1453</v>
      </c>
      <c r="H1448" s="27" t="s">
        <v>1454</v>
      </c>
      <c r="J1448" s="27" t="s">
        <v>19301</v>
      </c>
      <c r="L1448" s="27" t="s">
        <v>4954</v>
      </c>
      <c r="N1448" s="27" t="s">
        <v>1687</v>
      </c>
      <c r="P1448" s="27" t="s">
        <v>5002</v>
      </c>
      <c r="Q1448" s="26" t="str">
        <f>HYPERLINK("https://ictv.global/taxonomy/taxondetails?taxnode_id=202507760&amp;ictv_id=ICTV201907760","ICTV201907760")</f>
        <v>ICTV201907760</v>
      </c>
      <c r="R1448" t="s">
        <v>579</v>
      </c>
      <c r="S1448" t="s">
        <v>22763</v>
      </c>
      <c r="T1448">
        <v>40</v>
      </c>
      <c r="U1448" s="26" t="str">
        <f t="shared" si="45"/>
        <v>2024.026B.Pantevenvirales_1no_3mf.zip</v>
      </c>
    </row>
    <row r="1449" spans="1:21">
      <c r="A1449">
        <v>1448</v>
      </c>
      <c r="B1449" s="27" t="s">
        <v>1449</v>
      </c>
      <c r="D1449" s="27" t="s">
        <v>1450</v>
      </c>
      <c r="F1449" s="27" t="s">
        <v>1453</v>
      </c>
      <c r="H1449" s="27" t="s">
        <v>1454</v>
      </c>
      <c r="J1449" s="27" t="s">
        <v>19301</v>
      </c>
      <c r="L1449" s="27" t="s">
        <v>4954</v>
      </c>
      <c r="N1449" s="27" t="s">
        <v>1690</v>
      </c>
      <c r="P1449" s="27" t="s">
        <v>5003</v>
      </c>
      <c r="Q1449" s="26" t="str">
        <f>HYPERLINK("https://ictv.global/taxonomy/taxondetails?taxnode_id=202507801&amp;ictv_id=ICTV201907801","ICTV201907801")</f>
        <v>ICTV201907801</v>
      </c>
      <c r="R1449" t="s">
        <v>579</v>
      </c>
      <c r="S1449" t="s">
        <v>22763</v>
      </c>
      <c r="T1449">
        <v>40</v>
      </c>
      <c r="U1449" s="26" t="str">
        <f t="shared" ref="U1449:U1485" si="46">HYPERLINK("https://ictv.global/ictv/proposals/2024.026B.Pantevenvirales_1no_3mf.zip","2024.026B.Pantevenvirales_1no_3mf.zip")</f>
        <v>2024.026B.Pantevenvirales_1no_3mf.zip</v>
      </c>
    </row>
    <row r="1450" spans="1:21">
      <c r="A1450">
        <v>1449</v>
      </c>
      <c r="B1450" s="27" t="s">
        <v>1449</v>
      </c>
      <c r="D1450" s="27" t="s">
        <v>1450</v>
      </c>
      <c r="F1450" s="27" t="s">
        <v>1453</v>
      </c>
      <c r="H1450" s="27" t="s">
        <v>1454</v>
      </c>
      <c r="J1450" s="27" t="s">
        <v>19301</v>
      </c>
      <c r="L1450" s="27" t="s">
        <v>4954</v>
      </c>
      <c r="N1450" s="27" t="s">
        <v>1691</v>
      </c>
      <c r="P1450" s="27" t="s">
        <v>5004</v>
      </c>
      <c r="Q1450" s="26" t="str">
        <f>HYPERLINK("https://ictv.global/taxonomy/taxondetails?taxnode_id=202507782&amp;ictv_id=ICTV201907782","ICTV201907782")</f>
        <v>ICTV201907782</v>
      </c>
      <c r="R1450" t="s">
        <v>579</v>
      </c>
      <c r="S1450" t="s">
        <v>22763</v>
      </c>
      <c r="T1450">
        <v>40</v>
      </c>
      <c r="U1450" s="26" t="str">
        <f t="shared" si="46"/>
        <v>2024.026B.Pantevenvirales_1no_3mf.zip</v>
      </c>
    </row>
    <row r="1451" spans="1:21">
      <c r="A1451">
        <v>1450</v>
      </c>
      <c r="B1451" s="27" t="s">
        <v>1449</v>
      </c>
      <c r="D1451" s="27" t="s">
        <v>1450</v>
      </c>
      <c r="F1451" s="27" t="s">
        <v>1453</v>
      </c>
      <c r="H1451" s="27" t="s">
        <v>1454</v>
      </c>
      <c r="J1451" s="27" t="s">
        <v>19301</v>
      </c>
      <c r="L1451" s="27" t="s">
        <v>4954</v>
      </c>
      <c r="N1451" s="27" t="s">
        <v>1691</v>
      </c>
      <c r="P1451" s="27" t="s">
        <v>5005</v>
      </c>
      <c r="Q1451" s="26" t="str">
        <f>HYPERLINK("https://ictv.global/taxonomy/taxondetails?taxnode_id=202507783&amp;ictv_id=ICTV201907783","ICTV201907783")</f>
        <v>ICTV201907783</v>
      </c>
      <c r="R1451" t="s">
        <v>579</v>
      </c>
      <c r="S1451" t="s">
        <v>22763</v>
      </c>
      <c r="T1451">
        <v>40</v>
      </c>
      <c r="U1451" s="26" t="str">
        <f t="shared" si="46"/>
        <v>2024.026B.Pantevenvirales_1no_3mf.zip</v>
      </c>
    </row>
    <row r="1452" spans="1:21">
      <c r="A1452">
        <v>1451</v>
      </c>
      <c r="B1452" s="27" t="s">
        <v>1449</v>
      </c>
      <c r="D1452" s="27" t="s">
        <v>1450</v>
      </c>
      <c r="F1452" s="27" t="s">
        <v>1453</v>
      </c>
      <c r="H1452" s="27" t="s">
        <v>1454</v>
      </c>
      <c r="J1452" s="27" t="s">
        <v>19301</v>
      </c>
      <c r="L1452" s="27" t="s">
        <v>4954</v>
      </c>
      <c r="N1452" s="27" t="s">
        <v>1692</v>
      </c>
      <c r="P1452" s="27" t="s">
        <v>5006</v>
      </c>
      <c r="Q1452" s="26" t="str">
        <f>HYPERLINK("https://ictv.global/taxonomy/taxondetails?taxnode_id=202507796&amp;ictv_id=ICTV201907796","ICTV201907796")</f>
        <v>ICTV201907796</v>
      </c>
      <c r="R1452" t="s">
        <v>579</v>
      </c>
      <c r="S1452" t="s">
        <v>22763</v>
      </c>
      <c r="T1452">
        <v>40</v>
      </c>
      <c r="U1452" s="26" t="str">
        <f t="shared" si="46"/>
        <v>2024.026B.Pantevenvirales_1no_3mf.zip</v>
      </c>
    </row>
    <row r="1453" spans="1:21">
      <c r="A1453">
        <v>1452</v>
      </c>
      <c r="B1453" s="27" t="s">
        <v>1449</v>
      </c>
      <c r="D1453" s="27" t="s">
        <v>1450</v>
      </c>
      <c r="F1453" s="27" t="s">
        <v>1453</v>
      </c>
      <c r="H1453" s="27" t="s">
        <v>1454</v>
      </c>
      <c r="J1453" s="27" t="s">
        <v>19301</v>
      </c>
      <c r="L1453" s="27" t="s">
        <v>4954</v>
      </c>
      <c r="N1453" s="27" t="s">
        <v>1692</v>
      </c>
      <c r="P1453" s="27" t="s">
        <v>5007</v>
      </c>
      <c r="Q1453" s="26" t="str">
        <f>HYPERLINK("https://ictv.global/taxonomy/taxondetails?taxnode_id=202507797&amp;ictv_id=ICTV201907797","ICTV201907797")</f>
        <v>ICTV201907797</v>
      </c>
      <c r="R1453" t="s">
        <v>579</v>
      </c>
      <c r="S1453" t="s">
        <v>22763</v>
      </c>
      <c r="T1453">
        <v>40</v>
      </c>
      <c r="U1453" s="26" t="str">
        <f t="shared" si="46"/>
        <v>2024.026B.Pantevenvirales_1no_3mf.zip</v>
      </c>
    </row>
    <row r="1454" spans="1:21">
      <c r="A1454">
        <v>1453</v>
      </c>
      <c r="B1454" s="27" t="s">
        <v>1449</v>
      </c>
      <c r="D1454" s="27" t="s">
        <v>1450</v>
      </c>
      <c r="F1454" s="27" t="s">
        <v>1453</v>
      </c>
      <c r="H1454" s="27" t="s">
        <v>1454</v>
      </c>
      <c r="J1454" s="27" t="s">
        <v>19301</v>
      </c>
      <c r="L1454" s="27" t="s">
        <v>4954</v>
      </c>
      <c r="N1454" s="27" t="s">
        <v>5008</v>
      </c>
      <c r="P1454" s="27" t="s">
        <v>5009</v>
      </c>
      <c r="Q1454" s="26" t="str">
        <f>HYPERLINK("https://ictv.global/taxonomy/taxondetails?taxnode_id=202513999&amp;ictv_id=ICTV202113999","ICTV202113999")</f>
        <v>ICTV202113999</v>
      </c>
      <c r="R1454" t="s">
        <v>579</v>
      </c>
      <c r="S1454" t="s">
        <v>22763</v>
      </c>
      <c r="T1454">
        <v>40</v>
      </c>
      <c r="U1454" s="26" t="str">
        <f t="shared" si="46"/>
        <v>2024.026B.Pantevenvirales_1no_3mf.zip</v>
      </c>
    </row>
    <row r="1455" spans="1:21">
      <c r="A1455">
        <v>1454</v>
      </c>
      <c r="B1455" s="27" t="s">
        <v>1449</v>
      </c>
      <c r="D1455" s="27" t="s">
        <v>1450</v>
      </c>
      <c r="F1455" s="27" t="s">
        <v>1453</v>
      </c>
      <c r="H1455" s="27" t="s">
        <v>1454</v>
      </c>
      <c r="J1455" s="27" t="s">
        <v>19301</v>
      </c>
      <c r="L1455" s="27" t="s">
        <v>4954</v>
      </c>
      <c r="N1455" s="27" t="s">
        <v>1693</v>
      </c>
      <c r="P1455" s="27" t="s">
        <v>5010</v>
      </c>
      <c r="Q1455" s="26" t="str">
        <f>HYPERLINK("https://ictv.global/taxonomy/taxondetails?taxnode_id=202507789&amp;ictv_id=ICTV201907789","ICTV201907789")</f>
        <v>ICTV201907789</v>
      </c>
      <c r="R1455" t="s">
        <v>579</v>
      </c>
      <c r="S1455" t="s">
        <v>22763</v>
      </c>
      <c r="T1455">
        <v>40</v>
      </c>
      <c r="U1455" s="26" t="str">
        <f t="shared" si="46"/>
        <v>2024.026B.Pantevenvirales_1no_3mf.zip</v>
      </c>
    </row>
    <row r="1456" spans="1:21">
      <c r="A1456">
        <v>1455</v>
      </c>
      <c r="B1456" s="27" t="s">
        <v>1449</v>
      </c>
      <c r="D1456" s="27" t="s">
        <v>1450</v>
      </c>
      <c r="F1456" s="27" t="s">
        <v>1453</v>
      </c>
      <c r="H1456" s="27" t="s">
        <v>1454</v>
      </c>
      <c r="J1456" s="27" t="s">
        <v>19301</v>
      </c>
      <c r="L1456" s="27" t="s">
        <v>4954</v>
      </c>
      <c r="N1456" s="27" t="s">
        <v>5011</v>
      </c>
      <c r="P1456" s="27" t="s">
        <v>5012</v>
      </c>
      <c r="Q1456" s="26" t="str">
        <f>HYPERLINK("https://ictv.global/taxonomy/taxondetails?taxnode_id=202513978&amp;ictv_id=ICTV202113978","ICTV202113978")</f>
        <v>ICTV202113978</v>
      </c>
      <c r="R1456" t="s">
        <v>579</v>
      </c>
      <c r="S1456" t="s">
        <v>22763</v>
      </c>
      <c r="T1456">
        <v>40</v>
      </c>
      <c r="U1456" s="26" t="str">
        <f t="shared" si="46"/>
        <v>2024.026B.Pantevenvirales_1no_3mf.zip</v>
      </c>
    </row>
    <row r="1457" spans="1:21">
      <c r="A1457">
        <v>1456</v>
      </c>
      <c r="B1457" s="27" t="s">
        <v>1449</v>
      </c>
      <c r="D1457" s="27" t="s">
        <v>1450</v>
      </c>
      <c r="F1457" s="27" t="s">
        <v>1453</v>
      </c>
      <c r="H1457" s="27" t="s">
        <v>1454</v>
      </c>
      <c r="J1457" s="27" t="s">
        <v>19301</v>
      </c>
      <c r="L1457" s="27" t="s">
        <v>4954</v>
      </c>
      <c r="N1457" s="27" t="s">
        <v>1694</v>
      </c>
      <c r="P1457" s="27" t="s">
        <v>5013</v>
      </c>
      <c r="Q1457" s="26" t="str">
        <f>HYPERLINK("https://ictv.global/taxonomy/taxondetails?taxnode_id=202507768&amp;ictv_id=ICTV201907768","ICTV201907768")</f>
        <v>ICTV201907768</v>
      </c>
      <c r="R1457" t="s">
        <v>579</v>
      </c>
      <c r="S1457" t="s">
        <v>22763</v>
      </c>
      <c r="T1457">
        <v>40</v>
      </c>
      <c r="U1457" s="26" t="str">
        <f t="shared" si="46"/>
        <v>2024.026B.Pantevenvirales_1no_3mf.zip</v>
      </c>
    </row>
    <row r="1458" spans="1:21">
      <c r="A1458">
        <v>1457</v>
      </c>
      <c r="B1458" s="27" t="s">
        <v>1449</v>
      </c>
      <c r="D1458" s="27" t="s">
        <v>1450</v>
      </c>
      <c r="F1458" s="27" t="s">
        <v>1453</v>
      </c>
      <c r="H1458" s="27" t="s">
        <v>1454</v>
      </c>
      <c r="J1458" s="27" t="s">
        <v>19301</v>
      </c>
      <c r="L1458" s="27" t="s">
        <v>4954</v>
      </c>
      <c r="N1458" s="27" t="s">
        <v>5014</v>
      </c>
      <c r="P1458" s="27" t="s">
        <v>5015</v>
      </c>
      <c r="Q1458" s="26" t="str">
        <f>HYPERLINK("https://ictv.global/taxonomy/taxondetails?taxnode_id=202513986&amp;ictv_id=ICTV202113986","ICTV202113986")</f>
        <v>ICTV202113986</v>
      </c>
      <c r="R1458" t="s">
        <v>579</v>
      </c>
      <c r="S1458" t="s">
        <v>22763</v>
      </c>
      <c r="T1458">
        <v>40</v>
      </c>
      <c r="U1458" s="26" t="str">
        <f t="shared" si="46"/>
        <v>2024.026B.Pantevenvirales_1no_3mf.zip</v>
      </c>
    </row>
    <row r="1459" spans="1:21">
      <c r="A1459">
        <v>1458</v>
      </c>
      <c r="B1459" s="27" t="s">
        <v>1449</v>
      </c>
      <c r="D1459" s="27" t="s">
        <v>1450</v>
      </c>
      <c r="F1459" s="27" t="s">
        <v>1453</v>
      </c>
      <c r="H1459" s="27" t="s">
        <v>1454</v>
      </c>
      <c r="J1459" s="27" t="s">
        <v>19301</v>
      </c>
      <c r="L1459" s="27" t="s">
        <v>4954</v>
      </c>
      <c r="N1459" s="27" t="s">
        <v>1695</v>
      </c>
      <c r="P1459" s="27" t="s">
        <v>5016</v>
      </c>
      <c r="Q1459" s="26" t="str">
        <f>HYPERLINK("https://ictv.global/taxonomy/taxondetails?taxnode_id=202507816&amp;ictv_id=ICTV201907816","ICTV201907816")</f>
        <v>ICTV201907816</v>
      </c>
      <c r="R1459" t="s">
        <v>579</v>
      </c>
      <c r="S1459" t="s">
        <v>22763</v>
      </c>
      <c r="T1459">
        <v>40</v>
      </c>
      <c r="U1459" s="26" t="str">
        <f t="shared" si="46"/>
        <v>2024.026B.Pantevenvirales_1no_3mf.zip</v>
      </c>
    </row>
    <row r="1460" spans="1:21">
      <c r="A1460">
        <v>1459</v>
      </c>
      <c r="B1460" s="27" t="s">
        <v>1449</v>
      </c>
      <c r="D1460" s="27" t="s">
        <v>1450</v>
      </c>
      <c r="F1460" s="27" t="s">
        <v>1453</v>
      </c>
      <c r="H1460" s="27" t="s">
        <v>1454</v>
      </c>
      <c r="J1460" s="27" t="s">
        <v>19301</v>
      </c>
      <c r="L1460" s="27" t="s">
        <v>4954</v>
      </c>
      <c r="N1460" s="27" t="s">
        <v>1699</v>
      </c>
      <c r="P1460" s="27" t="s">
        <v>5017</v>
      </c>
      <c r="Q1460" s="26" t="str">
        <f>HYPERLINK("https://ictv.global/taxonomy/taxondetails?taxnode_id=202507811&amp;ictv_id=ICTV201907811","ICTV201907811")</f>
        <v>ICTV201907811</v>
      </c>
      <c r="R1460" t="s">
        <v>579</v>
      </c>
      <c r="S1460" t="s">
        <v>22763</v>
      </c>
      <c r="T1460">
        <v>40</v>
      </c>
      <c r="U1460" s="26" t="str">
        <f t="shared" si="46"/>
        <v>2024.026B.Pantevenvirales_1no_3mf.zip</v>
      </c>
    </row>
    <row r="1461" spans="1:21">
      <c r="A1461">
        <v>1460</v>
      </c>
      <c r="B1461" s="27" t="s">
        <v>1449</v>
      </c>
      <c r="D1461" s="27" t="s">
        <v>1450</v>
      </c>
      <c r="F1461" s="27" t="s">
        <v>1453</v>
      </c>
      <c r="H1461" s="27" t="s">
        <v>1454</v>
      </c>
      <c r="J1461" s="27" t="s">
        <v>19301</v>
      </c>
      <c r="L1461" s="27" t="s">
        <v>4954</v>
      </c>
      <c r="N1461" s="27" t="s">
        <v>5018</v>
      </c>
      <c r="P1461" s="27" t="s">
        <v>5019</v>
      </c>
      <c r="Q1461" s="26" t="str">
        <f>HYPERLINK("https://ictv.global/taxonomy/taxondetails?taxnode_id=202513967&amp;ictv_id=ICTV202113967","ICTV202113967")</f>
        <v>ICTV202113967</v>
      </c>
      <c r="R1461" t="s">
        <v>579</v>
      </c>
      <c r="S1461" t="s">
        <v>22763</v>
      </c>
      <c r="T1461">
        <v>40</v>
      </c>
      <c r="U1461" s="26" t="str">
        <f t="shared" si="46"/>
        <v>2024.026B.Pantevenvirales_1no_3mf.zip</v>
      </c>
    </row>
    <row r="1462" spans="1:21">
      <c r="A1462">
        <v>1461</v>
      </c>
      <c r="B1462" s="27" t="s">
        <v>1449</v>
      </c>
      <c r="D1462" s="27" t="s">
        <v>1450</v>
      </c>
      <c r="F1462" s="27" t="s">
        <v>1453</v>
      </c>
      <c r="H1462" s="27" t="s">
        <v>1454</v>
      </c>
      <c r="J1462" s="27" t="s">
        <v>19301</v>
      </c>
      <c r="L1462" s="27" t="s">
        <v>4954</v>
      </c>
      <c r="N1462" s="27" t="s">
        <v>5018</v>
      </c>
      <c r="P1462" s="27" t="s">
        <v>5020</v>
      </c>
      <c r="Q1462" s="26" t="str">
        <f>HYPERLINK("https://ictv.global/taxonomy/taxondetails?taxnode_id=202513968&amp;ictv_id=ICTV202113968","ICTV202113968")</f>
        <v>ICTV202113968</v>
      </c>
      <c r="R1462" t="s">
        <v>579</v>
      </c>
      <c r="S1462" t="s">
        <v>22763</v>
      </c>
      <c r="T1462">
        <v>40</v>
      </c>
      <c r="U1462" s="26" t="str">
        <f t="shared" si="46"/>
        <v>2024.026B.Pantevenvirales_1no_3mf.zip</v>
      </c>
    </row>
    <row r="1463" spans="1:21">
      <c r="A1463">
        <v>1462</v>
      </c>
      <c r="B1463" s="27" t="s">
        <v>1449</v>
      </c>
      <c r="D1463" s="27" t="s">
        <v>1450</v>
      </c>
      <c r="F1463" s="27" t="s">
        <v>1453</v>
      </c>
      <c r="H1463" s="27" t="s">
        <v>1454</v>
      </c>
      <c r="J1463" s="27" t="s">
        <v>19301</v>
      </c>
      <c r="L1463" s="27" t="s">
        <v>4954</v>
      </c>
      <c r="N1463" s="27" t="s">
        <v>2119</v>
      </c>
      <c r="P1463" s="27" t="s">
        <v>5021</v>
      </c>
      <c r="Q1463" s="26" t="str">
        <f>HYPERLINK("https://ictv.global/taxonomy/taxondetails?taxnode_id=202511680&amp;ictv_id=ICTV202011680","ICTV202011680")</f>
        <v>ICTV202011680</v>
      </c>
      <c r="R1463" t="s">
        <v>579</v>
      </c>
      <c r="S1463" t="s">
        <v>22763</v>
      </c>
      <c r="T1463">
        <v>40</v>
      </c>
      <c r="U1463" s="26" t="str">
        <f t="shared" si="46"/>
        <v>2024.026B.Pantevenvirales_1no_3mf.zip</v>
      </c>
    </row>
    <row r="1464" spans="1:21">
      <c r="A1464">
        <v>1463</v>
      </c>
      <c r="B1464" s="27" t="s">
        <v>1449</v>
      </c>
      <c r="D1464" s="27" t="s">
        <v>1450</v>
      </c>
      <c r="F1464" s="27" t="s">
        <v>1453</v>
      </c>
      <c r="H1464" s="27" t="s">
        <v>1454</v>
      </c>
      <c r="J1464" s="27" t="s">
        <v>19301</v>
      </c>
      <c r="L1464" s="27" t="s">
        <v>4954</v>
      </c>
      <c r="N1464" s="27" t="s">
        <v>2119</v>
      </c>
      <c r="P1464" s="27" t="s">
        <v>5022</v>
      </c>
      <c r="Q1464" s="26" t="str">
        <f>HYPERLINK("https://ictv.global/taxonomy/taxondetails?taxnode_id=202511681&amp;ictv_id=ICTV202011681","ICTV202011681")</f>
        <v>ICTV202011681</v>
      </c>
      <c r="R1464" t="s">
        <v>579</v>
      </c>
      <c r="S1464" t="s">
        <v>22763</v>
      </c>
      <c r="T1464">
        <v>40</v>
      </c>
      <c r="U1464" s="26" t="str">
        <f t="shared" si="46"/>
        <v>2024.026B.Pantevenvirales_1no_3mf.zip</v>
      </c>
    </row>
    <row r="1465" spans="1:21">
      <c r="A1465">
        <v>1464</v>
      </c>
      <c r="B1465" s="27" t="s">
        <v>1449</v>
      </c>
      <c r="D1465" s="27" t="s">
        <v>1450</v>
      </c>
      <c r="F1465" s="27" t="s">
        <v>1453</v>
      </c>
      <c r="H1465" s="27" t="s">
        <v>1454</v>
      </c>
      <c r="J1465" s="27" t="s">
        <v>19301</v>
      </c>
      <c r="L1465" s="27" t="s">
        <v>4954</v>
      </c>
      <c r="N1465" s="27" t="s">
        <v>1703</v>
      </c>
      <c r="P1465" s="27" t="s">
        <v>5023</v>
      </c>
      <c r="Q1465" s="26" t="str">
        <f>HYPERLINK("https://ictv.global/taxonomy/taxondetails?taxnode_id=202507787&amp;ictv_id=ICTV201907787","ICTV201907787")</f>
        <v>ICTV201907787</v>
      </c>
      <c r="R1465" t="s">
        <v>579</v>
      </c>
      <c r="S1465" t="s">
        <v>22763</v>
      </c>
      <c r="T1465">
        <v>40</v>
      </c>
      <c r="U1465" s="26" t="str">
        <f t="shared" si="46"/>
        <v>2024.026B.Pantevenvirales_1no_3mf.zip</v>
      </c>
    </row>
    <row r="1466" spans="1:21">
      <c r="A1466">
        <v>1465</v>
      </c>
      <c r="B1466" s="27" t="s">
        <v>1449</v>
      </c>
      <c r="D1466" s="27" t="s">
        <v>1450</v>
      </c>
      <c r="F1466" s="27" t="s">
        <v>1453</v>
      </c>
      <c r="H1466" s="27" t="s">
        <v>1454</v>
      </c>
      <c r="J1466" s="27" t="s">
        <v>19301</v>
      </c>
      <c r="L1466" s="27" t="s">
        <v>4954</v>
      </c>
      <c r="N1466" s="27" t="s">
        <v>5024</v>
      </c>
      <c r="P1466" s="27" t="s">
        <v>5025</v>
      </c>
      <c r="Q1466" s="26" t="str">
        <f>HYPERLINK("https://ictv.global/taxonomy/taxondetails?taxnode_id=202514653&amp;ictv_id=ICTV202214653","ICTV202214653")</f>
        <v>ICTV202214653</v>
      </c>
      <c r="R1466" t="s">
        <v>579</v>
      </c>
      <c r="S1466" t="s">
        <v>22763</v>
      </c>
      <c r="T1466">
        <v>40</v>
      </c>
      <c r="U1466" s="26" t="str">
        <f t="shared" si="46"/>
        <v>2024.026B.Pantevenvirales_1no_3mf.zip</v>
      </c>
    </row>
    <row r="1467" spans="1:21">
      <c r="A1467">
        <v>1466</v>
      </c>
      <c r="B1467" s="27" t="s">
        <v>1449</v>
      </c>
      <c r="D1467" s="27" t="s">
        <v>1450</v>
      </c>
      <c r="F1467" s="27" t="s">
        <v>1453</v>
      </c>
      <c r="H1467" s="27" t="s">
        <v>1454</v>
      </c>
      <c r="J1467" s="27" t="s">
        <v>19301</v>
      </c>
      <c r="L1467" s="27" t="s">
        <v>4954</v>
      </c>
      <c r="N1467" s="27" t="s">
        <v>5026</v>
      </c>
      <c r="P1467" s="27" t="s">
        <v>5027</v>
      </c>
      <c r="Q1467" s="26" t="str">
        <f>HYPERLINK("https://ictv.global/taxonomy/taxondetails?taxnode_id=202513960&amp;ictv_id=ICTV202113960","ICTV202113960")</f>
        <v>ICTV202113960</v>
      </c>
      <c r="R1467" t="s">
        <v>579</v>
      </c>
      <c r="S1467" t="s">
        <v>22763</v>
      </c>
      <c r="T1467">
        <v>40</v>
      </c>
      <c r="U1467" s="26" t="str">
        <f t="shared" si="46"/>
        <v>2024.026B.Pantevenvirales_1no_3mf.zip</v>
      </c>
    </row>
    <row r="1468" spans="1:21">
      <c r="A1468">
        <v>1467</v>
      </c>
      <c r="B1468" s="27" t="s">
        <v>1449</v>
      </c>
      <c r="D1468" s="27" t="s">
        <v>1450</v>
      </c>
      <c r="F1468" s="27" t="s">
        <v>1453</v>
      </c>
      <c r="H1468" s="27" t="s">
        <v>1454</v>
      </c>
      <c r="J1468" s="27" t="s">
        <v>19301</v>
      </c>
      <c r="L1468" s="27" t="s">
        <v>4954</v>
      </c>
      <c r="N1468" s="27" t="s">
        <v>5028</v>
      </c>
      <c r="P1468" s="27" t="s">
        <v>5029</v>
      </c>
      <c r="Q1468" s="26" t="str">
        <f>HYPERLINK("https://ictv.global/taxonomy/taxondetails?taxnode_id=202514655&amp;ictv_id=ICTV202214655","ICTV202214655")</f>
        <v>ICTV202214655</v>
      </c>
      <c r="R1468" t="s">
        <v>579</v>
      </c>
      <c r="S1468" t="s">
        <v>22763</v>
      </c>
      <c r="T1468">
        <v>40</v>
      </c>
      <c r="U1468" s="26" t="str">
        <f t="shared" si="46"/>
        <v>2024.026B.Pantevenvirales_1no_3mf.zip</v>
      </c>
    </row>
    <row r="1469" spans="1:21">
      <c r="A1469">
        <v>1468</v>
      </c>
      <c r="B1469" s="27" t="s">
        <v>1449</v>
      </c>
      <c r="D1469" s="27" t="s">
        <v>1450</v>
      </c>
      <c r="F1469" s="27" t="s">
        <v>1453</v>
      </c>
      <c r="H1469" s="27" t="s">
        <v>1454</v>
      </c>
      <c r="J1469" s="27" t="s">
        <v>19301</v>
      </c>
      <c r="L1469" s="27" t="s">
        <v>4954</v>
      </c>
      <c r="N1469" s="27" t="s">
        <v>5030</v>
      </c>
      <c r="P1469" s="27" t="s">
        <v>5031</v>
      </c>
      <c r="Q1469" s="26" t="str">
        <f>HYPERLINK("https://ictv.global/taxonomy/taxondetails?taxnode_id=202513989&amp;ictv_id=ICTV202113989","ICTV202113989")</f>
        <v>ICTV202113989</v>
      </c>
      <c r="R1469" t="s">
        <v>579</v>
      </c>
      <c r="S1469" t="s">
        <v>22763</v>
      </c>
      <c r="T1469">
        <v>40</v>
      </c>
      <c r="U1469" s="26" t="str">
        <f t="shared" si="46"/>
        <v>2024.026B.Pantevenvirales_1no_3mf.zip</v>
      </c>
    </row>
    <row r="1470" spans="1:21">
      <c r="A1470">
        <v>1469</v>
      </c>
      <c r="B1470" s="27" t="s">
        <v>1449</v>
      </c>
      <c r="D1470" s="27" t="s">
        <v>1450</v>
      </c>
      <c r="F1470" s="27" t="s">
        <v>1453</v>
      </c>
      <c r="H1470" s="27" t="s">
        <v>1454</v>
      </c>
      <c r="J1470" s="27" t="s">
        <v>19301</v>
      </c>
      <c r="L1470" s="27" t="s">
        <v>4954</v>
      </c>
      <c r="N1470" s="27" t="s">
        <v>5030</v>
      </c>
      <c r="P1470" s="27" t="s">
        <v>5032</v>
      </c>
      <c r="Q1470" s="26" t="str">
        <f>HYPERLINK("https://ictv.global/taxonomy/taxondetails?taxnode_id=202513988&amp;ictv_id=ICTV202113988","ICTV202113988")</f>
        <v>ICTV202113988</v>
      </c>
      <c r="R1470" t="s">
        <v>579</v>
      </c>
      <c r="S1470" t="s">
        <v>22763</v>
      </c>
      <c r="T1470">
        <v>40</v>
      </c>
      <c r="U1470" s="26" t="str">
        <f t="shared" si="46"/>
        <v>2024.026B.Pantevenvirales_1no_3mf.zip</v>
      </c>
    </row>
    <row r="1471" spans="1:21">
      <c r="A1471">
        <v>1470</v>
      </c>
      <c r="B1471" s="27" t="s">
        <v>1449</v>
      </c>
      <c r="D1471" s="27" t="s">
        <v>1450</v>
      </c>
      <c r="F1471" s="27" t="s">
        <v>1453</v>
      </c>
      <c r="H1471" s="27" t="s">
        <v>1454</v>
      </c>
      <c r="J1471" s="27" t="s">
        <v>19301</v>
      </c>
      <c r="L1471" s="27" t="s">
        <v>4954</v>
      </c>
      <c r="N1471" s="27" t="s">
        <v>5033</v>
      </c>
      <c r="P1471" s="27" t="s">
        <v>5034</v>
      </c>
      <c r="Q1471" s="26" t="str">
        <f>HYPERLINK("https://ictv.global/taxonomy/taxondetails?taxnode_id=202514852&amp;ictv_id=ICTV202214852","ICTV202214852")</f>
        <v>ICTV202214852</v>
      </c>
      <c r="R1471" t="s">
        <v>579</v>
      </c>
      <c r="S1471" t="s">
        <v>22763</v>
      </c>
      <c r="T1471">
        <v>40</v>
      </c>
      <c r="U1471" s="26" t="str">
        <f t="shared" si="46"/>
        <v>2024.026B.Pantevenvirales_1no_3mf.zip</v>
      </c>
    </row>
    <row r="1472" spans="1:21">
      <c r="A1472">
        <v>1471</v>
      </c>
      <c r="B1472" s="27" t="s">
        <v>1449</v>
      </c>
      <c r="D1472" s="27" t="s">
        <v>1450</v>
      </c>
      <c r="F1472" s="27" t="s">
        <v>1453</v>
      </c>
      <c r="H1472" s="27" t="s">
        <v>1454</v>
      </c>
      <c r="J1472" s="27" t="s">
        <v>19301</v>
      </c>
      <c r="L1472" s="27" t="s">
        <v>4954</v>
      </c>
      <c r="N1472" s="27" t="s">
        <v>5035</v>
      </c>
      <c r="P1472" s="27" t="s">
        <v>5036</v>
      </c>
      <c r="Q1472" s="26" t="str">
        <f>HYPERLINK("https://ictv.global/taxonomy/taxondetails?taxnode_id=202513980&amp;ictv_id=ICTV202113980","ICTV202113980")</f>
        <v>ICTV202113980</v>
      </c>
      <c r="R1472" t="s">
        <v>579</v>
      </c>
      <c r="S1472" t="s">
        <v>22763</v>
      </c>
      <c r="T1472">
        <v>40</v>
      </c>
      <c r="U1472" s="26" t="str">
        <f t="shared" si="46"/>
        <v>2024.026B.Pantevenvirales_1no_3mf.zip</v>
      </c>
    </row>
    <row r="1473" spans="1:21">
      <c r="A1473">
        <v>1472</v>
      </c>
      <c r="B1473" s="27" t="s">
        <v>1449</v>
      </c>
      <c r="D1473" s="27" t="s">
        <v>1450</v>
      </c>
      <c r="F1473" s="27" t="s">
        <v>1453</v>
      </c>
      <c r="H1473" s="27" t="s">
        <v>1454</v>
      </c>
      <c r="J1473" s="27" t="s">
        <v>19301</v>
      </c>
      <c r="L1473" s="27" t="s">
        <v>4954</v>
      </c>
      <c r="N1473" s="27" t="s">
        <v>1707</v>
      </c>
      <c r="P1473" s="27" t="s">
        <v>5037</v>
      </c>
      <c r="Q1473" s="26" t="str">
        <f>HYPERLINK("https://ictv.global/taxonomy/taxondetails?taxnode_id=202507762&amp;ictv_id=ICTV201907762","ICTV201907762")</f>
        <v>ICTV201907762</v>
      </c>
      <c r="R1473" t="s">
        <v>579</v>
      </c>
      <c r="S1473" t="s">
        <v>22763</v>
      </c>
      <c r="T1473">
        <v>40</v>
      </c>
      <c r="U1473" s="26" t="str">
        <f t="shared" si="46"/>
        <v>2024.026B.Pantevenvirales_1no_3mf.zip</v>
      </c>
    </row>
    <row r="1474" spans="1:21">
      <c r="A1474">
        <v>1473</v>
      </c>
      <c r="B1474" s="27" t="s">
        <v>1449</v>
      </c>
      <c r="D1474" s="27" t="s">
        <v>1450</v>
      </c>
      <c r="F1474" s="27" t="s">
        <v>1453</v>
      </c>
      <c r="H1474" s="27" t="s">
        <v>1454</v>
      </c>
      <c r="J1474" s="27" t="s">
        <v>19301</v>
      </c>
      <c r="L1474" s="27" t="s">
        <v>4954</v>
      </c>
      <c r="N1474" s="27" t="s">
        <v>1709</v>
      </c>
      <c r="P1474" s="27" t="s">
        <v>5038</v>
      </c>
      <c r="Q1474" s="26" t="str">
        <f>HYPERLINK("https://ictv.global/taxonomy/taxondetails?taxnode_id=202507770&amp;ictv_id=ICTV201907770","ICTV201907770")</f>
        <v>ICTV201907770</v>
      </c>
      <c r="R1474" t="s">
        <v>579</v>
      </c>
      <c r="S1474" t="s">
        <v>22763</v>
      </c>
      <c r="T1474">
        <v>40</v>
      </c>
      <c r="U1474" s="26" t="str">
        <f t="shared" si="46"/>
        <v>2024.026B.Pantevenvirales_1no_3mf.zip</v>
      </c>
    </row>
    <row r="1475" spans="1:21">
      <c r="A1475">
        <v>1474</v>
      </c>
      <c r="B1475" s="27" t="s">
        <v>1449</v>
      </c>
      <c r="D1475" s="27" t="s">
        <v>1450</v>
      </c>
      <c r="F1475" s="27" t="s">
        <v>1453</v>
      </c>
      <c r="H1475" s="27" t="s">
        <v>1454</v>
      </c>
      <c r="J1475" s="27" t="s">
        <v>19301</v>
      </c>
      <c r="L1475" s="27" t="s">
        <v>4954</v>
      </c>
      <c r="N1475" s="27" t="s">
        <v>1710</v>
      </c>
      <c r="P1475" s="27" t="s">
        <v>5039</v>
      </c>
      <c r="Q1475" s="26" t="str">
        <f>HYPERLINK("https://ictv.global/taxonomy/taxondetails?taxnode_id=202507809&amp;ictv_id=ICTV201907809","ICTV201907809")</f>
        <v>ICTV201907809</v>
      </c>
      <c r="R1475" t="s">
        <v>579</v>
      </c>
      <c r="S1475" t="s">
        <v>22763</v>
      </c>
      <c r="T1475">
        <v>40</v>
      </c>
      <c r="U1475" s="26" t="str">
        <f t="shared" si="46"/>
        <v>2024.026B.Pantevenvirales_1no_3mf.zip</v>
      </c>
    </row>
    <row r="1476" spans="1:21">
      <c r="A1476">
        <v>1475</v>
      </c>
      <c r="B1476" s="27" t="s">
        <v>1449</v>
      </c>
      <c r="D1476" s="27" t="s">
        <v>1450</v>
      </c>
      <c r="F1476" s="27" t="s">
        <v>1453</v>
      </c>
      <c r="H1476" s="27" t="s">
        <v>1454</v>
      </c>
      <c r="J1476" s="27" t="s">
        <v>19301</v>
      </c>
      <c r="L1476" s="27" t="s">
        <v>4954</v>
      </c>
      <c r="N1476" s="27" t="s">
        <v>1711</v>
      </c>
      <c r="P1476" s="27" t="s">
        <v>5040</v>
      </c>
      <c r="Q1476" s="26" t="str">
        <f>HYPERLINK("https://ictv.global/taxonomy/taxondetails?taxnode_id=202507807&amp;ictv_id=ICTV201907807","ICTV201907807")</f>
        <v>ICTV201907807</v>
      </c>
      <c r="R1476" t="s">
        <v>579</v>
      </c>
      <c r="S1476" t="s">
        <v>22763</v>
      </c>
      <c r="T1476">
        <v>40</v>
      </c>
      <c r="U1476" s="26" t="str">
        <f t="shared" si="46"/>
        <v>2024.026B.Pantevenvirales_1no_3mf.zip</v>
      </c>
    </row>
    <row r="1477" spans="1:21">
      <c r="A1477">
        <v>1476</v>
      </c>
      <c r="B1477" s="27" t="s">
        <v>1449</v>
      </c>
      <c r="D1477" s="27" t="s">
        <v>1450</v>
      </c>
      <c r="F1477" s="27" t="s">
        <v>1453</v>
      </c>
      <c r="H1477" s="27" t="s">
        <v>1454</v>
      </c>
      <c r="J1477" s="27" t="s">
        <v>19301</v>
      </c>
      <c r="L1477" s="27" t="s">
        <v>4954</v>
      </c>
      <c r="N1477" s="27" t="s">
        <v>1713</v>
      </c>
      <c r="P1477" s="27" t="s">
        <v>5041</v>
      </c>
      <c r="Q1477" s="26" t="str">
        <f>HYPERLINK("https://ictv.global/taxonomy/taxondetails?taxnode_id=202507819&amp;ictv_id=ICTV201907819","ICTV201907819")</f>
        <v>ICTV201907819</v>
      </c>
      <c r="R1477" t="s">
        <v>579</v>
      </c>
      <c r="S1477" t="s">
        <v>22763</v>
      </c>
      <c r="T1477">
        <v>40</v>
      </c>
      <c r="U1477" s="26" t="str">
        <f t="shared" si="46"/>
        <v>2024.026B.Pantevenvirales_1no_3mf.zip</v>
      </c>
    </row>
    <row r="1478" spans="1:21">
      <c r="A1478">
        <v>1477</v>
      </c>
      <c r="B1478" s="27" t="s">
        <v>1449</v>
      </c>
      <c r="D1478" s="27" t="s">
        <v>1450</v>
      </c>
      <c r="F1478" s="27" t="s">
        <v>1453</v>
      </c>
      <c r="H1478" s="27" t="s">
        <v>1454</v>
      </c>
      <c r="J1478" s="27" t="s">
        <v>19301</v>
      </c>
      <c r="L1478" s="27" t="s">
        <v>4954</v>
      </c>
      <c r="N1478" s="27" t="s">
        <v>1713</v>
      </c>
      <c r="P1478" s="27" t="s">
        <v>5042</v>
      </c>
      <c r="Q1478" s="26" t="str">
        <f>HYPERLINK("https://ictv.global/taxonomy/taxondetails?taxnode_id=202507818&amp;ictv_id=ICTV201907818","ICTV201907818")</f>
        <v>ICTV201907818</v>
      </c>
      <c r="R1478" t="s">
        <v>579</v>
      </c>
      <c r="S1478" t="s">
        <v>22763</v>
      </c>
      <c r="T1478">
        <v>40</v>
      </c>
      <c r="U1478" s="26" t="str">
        <f t="shared" si="46"/>
        <v>2024.026B.Pantevenvirales_1no_3mf.zip</v>
      </c>
    </row>
    <row r="1479" spans="1:21">
      <c r="A1479">
        <v>1478</v>
      </c>
      <c r="B1479" s="27" t="s">
        <v>1449</v>
      </c>
      <c r="D1479" s="27" t="s">
        <v>1450</v>
      </c>
      <c r="F1479" s="27" t="s">
        <v>1453</v>
      </c>
      <c r="H1479" s="27" t="s">
        <v>1454</v>
      </c>
      <c r="J1479" s="27" t="s">
        <v>19301</v>
      </c>
      <c r="L1479" s="27" t="s">
        <v>4954</v>
      </c>
      <c r="N1479" s="27" t="s">
        <v>5043</v>
      </c>
      <c r="P1479" s="27" t="s">
        <v>5044</v>
      </c>
      <c r="Q1479" s="26" t="str">
        <f>HYPERLINK("https://ictv.global/taxonomy/taxondetails?taxnode_id=202514656&amp;ictv_id=ICTV202214656","ICTV202214656")</f>
        <v>ICTV202214656</v>
      </c>
      <c r="R1479" t="s">
        <v>579</v>
      </c>
      <c r="S1479" t="s">
        <v>22763</v>
      </c>
      <c r="T1479">
        <v>40</v>
      </c>
      <c r="U1479" s="26" t="str">
        <f t="shared" si="46"/>
        <v>2024.026B.Pantevenvirales_1no_3mf.zip</v>
      </c>
    </row>
    <row r="1480" spans="1:21">
      <c r="A1480">
        <v>1479</v>
      </c>
      <c r="B1480" s="27" t="s">
        <v>1449</v>
      </c>
      <c r="D1480" s="27" t="s">
        <v>1450</v>
      </c>
      <c r="F1480" s="27" t="s">
        <v>1453</v>
      </c>
      <c r="H1480" s="27" t="s">
        <v>1454</v>
      </c>
      <c r="J1480" s="27" t="s">
        <v>19301</v>
      </c>
      <c r="L1480" s="27" t="s">
        <v>4954</v>
      </c>
      <c r="N1480" s="27" t="s">
        <v>5045</v>
      </c>
      <c r="P1480" s="27" t="s">
        <v>5046</v>
      </c>
      <c r="Q1480" s="26" t="str">
        <f>HYPERLINK("https://ictv.global/taxonomy/taxondetails?taxnode_id=202514652&amp;ictv_id=ICTV202214652","ICTV202214652")</f>
        <v>ICTV202214652</v>
      </c>
      <c r="R1480" t="s">
        <v>579</v>
      </c>
      <c r="S1480" t="s">
        <v>22763</v>
      </c>
      <c r="T1480">
        <v>40</v>
      </c>
      <c r="U1480" s="26" t="str">
        <f t="shared" si="46"/>
        <v>2024.026B.Pantevenvirales_1no_3mf.zip</v>
      </c>
    </row>
    <row r="1481" spans="1:21">
      <c r="A1481">
        <v>1480</v>
      </c>
      <c r="B1481" s="27" t="s">
        <v>1449</v>
      </c>
      <c r="D1481" s="27" t="s">
        <v>1450</v>
      </c>
      <c r="F1481" s="27" t="s">
        <v>1453</v>
      </c>
      <c r="H1481" s="27" t="s">
        <v>1454</v>
      </c>
      <c r="J1481" s="27" t="s">
        <v>19301</v>
      </c>
      <c r="L1481" s="27" t="s">
        <v>4954</v>
      </c>
      <c r="N1481" s="27" t="s">
        <v>5047</v>
      </c>
      <c r="P1481" s="27" t="s">
        <v>5048</v>
      </c>
      <c r="Q1481" s="26" t="str">
        <f>HYPERLINK("https://ictv.global/taxonomy/taxondetails?taxnode_id=202514654&amp;ictv_id=ICTV202214654","ICTV202214654")</f>
        <v>ICTV202214654</v>
      </c>
      <c r="R1481" t="s">
        <v>579</v>
      </c>
      <c r="S1481" t="s">
        <v>22763</v>
      </c>
      <c r="T1481">
        <v>40</v>
      </c>
      <c r="U1481" s="26" t="str">
        <f t="shared" si="46"/>
        <v>2024.026B.Pantevenvirales_1no_3mf.zip</v>
      </c>
    </row>
    <row r="1482" spans="1:21">
      <c r="A1482">
        <v>1481</v>
      </c>
      <c r="B1482" s="27" t="s">
        <v>1449</v>
      </c>
      <c r="D1482" s="27" t="s">
        <v>1450</v>
      </c>
      <c r="F1482" s="27" t="s">
        <v>1453</v>
      </c>
      <c r="H1482" s="27" t="s">
        <v>1454</v>
      </c>
      <c r="J1482" s="27" t="s">
        <v>19301</v>
      </c>
      <c r="L1482" s="27" t="s">
        <v>5489</v>
      </c>
      <c r="M1482" s="27" t="s">
        <v>2073</v>
      </c>
      <c r="N1482" s="27" t="s">
        <v>2074</v>
      </c>
      <c r="P1482" s="27" t="s">
        <v>5490</v>
      </c>
      <c r="Q1482" s="26" t="str">
        <f>HYPERLINK("https://ictv.global/taxonomy/taxondetails?taxnode_id=202509997&amp;ictv_id=ICTV202009997","ICTV202009997")</f>
        <v>ICTV202009997</v>
      </c>
      <c r="R1482" t="s">
        <v>579</v>
      </c>
      <c r="S1482" t="s">
        <v>22763</v>
      </c>
      <c r="T1482">
        <v>40</v>
      </c>
      <c r="U1482" s="26" t="str">
        <f t="shared" si="46"/>
        <v>2024.026B.Pantevenvirales_1no_3mf.zip</v>
      </c>
    </row>
    <row r="1483" spans="1:21">
      <c r="A1483">
        <v>1482</v>
      </c>
      <c r="B1483" s="27" t="s">
        <v>1449</v>
      </c>
      <c r="D1483" s="27" t="s">
        <v>1450</v>
      </c>
      <c r="F1483" s="27" t="s">
        <v>1453</v>
      </c>
      <c r="H1483" s="27" t="s">
        <v>1454</v>
      </c>
      <c r="J1483" s="27" t="s">
        <v>19301</v>
      </c>
      <c r="L1483" s="27" t="s">
        <v>5489</v>
      </c>
      <c r="M1483" s="27" t="s">
        <v>2073</v>
      </c>
      <c r="N1483" s="27" t="s">
        <v>2074</v>
      </c>
      <c r="P1483" s="27" t="s">
        <v>5491</v>
      </c>
      <c r="Q1483" s="26" t="str">
        <f>HYPERLINK("https://ictv.global/taxonomy/taxondetails?taxnode_id=202509996&amp;ictv_id=ICTV202009996","ICTV202009996")</f>
        <v>ICTV202009996</v>
      </c>
      <c r="R1483" t="s">
        <v>579</v>
      </c>
      <c r="S1483" t="s">
        <v>22763</v>
      </c>
      <c r="T1483">
        <v>40</v>
      </c>
      <c r="U1483" s="26" t="str">
        <f t="shared" si="46"/>
        <v>2024.026B.Pantevenvirales_1no_3mf.zip</v>
      </c>
    </row>
    <row r="1484" spans="1:21">
      <c r="A1484">
        <v>1483</v>
      </c>
      <c r="B1484" s="27" t="s">
        <v>1449</v>
      </c>
      <c r="D1484" s="27" t="s">
        <v>1450</v>
      </c>
      <c r="F1484" s="27" t="s">
        <v>1453</v>
      </c>
      <c r="H1484" s="27" t="s">
        <v>1454</v>
      </c>
      <c r="J1484" s="27" t="s">
        <v>19301</v>
      </c>
      <c r="L1484" s="27" t="s">
        <v>5489</v>
      </c>
      <c r="M1484" s="27" t="s">
        <v>2073</v>
      </c>
      <c r="N1484" s="27" t="s">
        <v>2074</v>
      </c>
      <c r="P1484" s="27" t="s">
        <v>5492</v>
      </c>
      <c r="Q1484" s="26" t="str">
        <f>HYPERLINK("https://ictv.global/taxonomy/taxondetails?taxnode_id=202509995&amp;ictv_id=ICTV202009995","ICTV202009995")</f>
        <v>ICTV202009995</v>
      </c>
      <c r="R1484" t="s">
        <v>579</v>
      </c>
      <c r="S1484" t="s">
        <v>22763</v>
      </c>
      <c r="T1484">
        <v>40</v>
      </c>
      <c r="U1484" s="26" t="str">
        <f t="shared" si="46"/>
        <v>2024.026B.Pantevenvirales_1no_3mf.zip</v>
      </c>
    </row>
    <row r="1485" spans="1:21">
      <c r="A1485">
        <v>1484</v>
      </c>
      <c r="B1485" s="27" t="s">
        <v>1449</v>
      </c>
      <c r="D1485" s="27" t="s">
        <v>1450</v>
      </c>
      <c r="F1485" s="27" t="s">
        <v>1453</v>
      </c>
      <c r="H1485" s="27" t="s">
        <v>1454</v>
      </c>
      <c r="J1485" s="27" t="s">
        <v>19301</v>
      </c>
      <c r="L1485" s="27" t="s">
        <v>5489</v>
      </c>
      <c r="M1485" s="27" t="s">
        <v>2073</v>
      </c>
      <c r="N1485" s="27" t="s">
        <v>2075</v>
      </c>
      <c r="P1485" s="27" t="s">
        <v>5493</v>
      </c>
      <c r="Q1485" s="26" t="str">
        <f>HYPERLINK("https://ictv.global/taxonomy/taxondetails?taxnode_id=202500339&amp;ictv_id=ICTV20073009","ICTV20073009")</f>
        <v>ICTV20073009</v>
      </c>
      <c r="R1485" t="s">
        <v>579</v>
      </c>
      <c r="S1485" t="s">
        <v>22763</v>
      </c>
      <c r="T1485">
        <v>40</v>
      </c>
      <c r="U1485" s="26" t="str">
        <f t="shared" si="46"/>
        <v>2024.026B.Pantevenvirales_1no_3mf.zip</v>
      </c>
    </row>
    <row r="1486" spans="1:21">
      <c r="A1486">
        <v>1485</v>
      </c>
      <c r="B1486" s="27" t="s">
        <v>1449</v>
      </c>
      <c r="D1486" s="27" t="s">
        <v>1450</v>
      </c>
      <c r="F1486" s="27" t="s">
        <v>1453</v>
      </c>
      <c r="H1486" s="27" t="s">
        <v>1454</v>
      </c>
      <c r="J1486" s="27" t="s">
        <v>19301</v>
      </c>
      <c r="L1486" s="27" t="s">
        <v>5489</v>
      </c>
      <c r="M1486" s="27" t="s">
        <v>324</v>
      </c>
      <c r="N1486" s="27" t="s">
        <v>19302</v>
      </c>
      <c r="P1486" s="27" t="s">
        <v>19303</v>
      </c>
      <c r="Q1486" s="26" t="str">
        <f>HYPERLINK("https://ictv.global/taxonomy/taxondetails?taxnode_id=202500338&amp;ictv_id=ICTV19990387","ICTV19990387")</f>
        <v>ICTV19990387</v>
      </c>
      <c r="R1486" t="s">
        <v>579</v>
      </c>
      <c r="S1486" t="s">
        <v>22764</v>
      </c>
      <c r="T1486">
        <v>40</v>
      </c>
      <c r="U1486" s="26" t="str">
        <f>HYPERLINK("https://ictv.global/ictv/proposals/2024.036B.Caudoviricetes_Faserviricetes_Name_Corrections.zip","2024.036B.Caudoviricetes_Faserviricetes_Name_Corrections.zip")</f>
        <v>2024.036B.Caudoviricetes_Faserviricetes_Name_Corrections.zip</v>
      </c>
    </row>
    <row r="1487" spans="1:21">
      <c r="A1487">
        <v>1486</v>
      </c>
      <c r="B1487" s="27" t="s">
        <v>1449</v>
      </c>
      <c r="D1487" s="27" t="s">
        <v>1450</v>
      </c>
      <c r="F1487" s="27" t="s">
        <v>1453</v>
      </c>
      <c r="H1487" s="27" t="s">
        <v>1454</v>
      </c>
      <c r="J1487" s="27" t="s">
        <v>19301</v>
      </c>
      <c r="L1487" s="27" t="s">
        <v>5489</v>
      </c>
      <c r="M1487" s="27" t="s">
        <v>324</v>
      </c>
      <c r="N1487" s="27" t="s">
        <v>1206</v>
      </c>
      <c r="P1487" s="27" t="s">
        <v>5494</v>
      </c>
      <c r="Q1487" s="26" t="str">
        <f>HYPERLINK("https://ictv.global/taxonomy/taxondetails?taxnode_id=202513693&amp;ictv_id=ICTV202113693","ICTV202113693")</f>
        <v>ICTV202113693</v>
      </c>
      <c r="R1487" t="s">
        <v>579</v>
      </c>
      <c r="S1487" t="s">
        <v>22763</v>
      </c>
      <c r="T1487">
        <v>40</v>
      </c>
      <c r="U1487" s="26" t="str">
        <f t="shared" ref="U1487:U1507" si="47">HYPERLINK("https://ictv.global/ictv/proposals/2024.026B.Pantevenvirales_1no_3mf.zip","2024.026B.Pantevenvirales_1no_3mf.zip")</f>
        <v>2024.026B.Pantevenvirales_1no_3mf.zip</v>
      </c>
    </row>
    <row r="1488" spans="1:21">
      <c r="A1488">
        <v>1487</v>
      </c>
      <c r="B1488" s="27" t="s">
        <v>1449</v>
      </c>
      <c r="D1488" s="27" t="s">
        <v>1450</v>
      </c>
      <c r="F1488" s="27" t="s">
        <v>1453</v>
      </c>
      <c r="H1488" s="27" t="s">
        <v>1454</v>
      </c>
      <c r="J1488" s="27" t="s">
        <v>19301</v>
      </c>
      <c r="L1488" s="27" t="s">
        <v>5489</v>
      </c>
      <c r="M1488" s="27" t="s">
        <v>324</v>
      </c>
      <c r="N1488" s="27" t="s">
        <v>1206</v>
      </c>
      <c r="P1488" s="27" t="s">
        <v>5495</v>
      </c>
      <c r="Q1488" s="26" t="str">
        <f>HYPERLINK("https://ictv.global/taxonomy/taxondetails?taxnode_id=202500286&amp;ictv_id=ICTV20150093","ICTV20150093")</f>
        <v>ICTV20150093</v>
      </c>
      <c r="R1488" t="s">
        <v>579</v>
      </c>
      <c r="S1488" t="s">
        <v>22763</v>
      </c>
      <c r="T1488">
        <v>40</v>
      </c>
      <c r="U1488" s="26" t="str">
        <f t="shared" si="47"/>
        <v>2024.026B.Pantevenvirales_1no_3mf.zip</v>
      </c>
    </row>
    <row r="1489" spans="1:21">
      <c r="A1489">
        <v>1488</v>
      </c>
      <c r="B1489" s="27" t="s">
        <v>1449</v>
      </c>
      <c r="D1489" s="27" t="s">
        <v>1450</v>
      </c>
      <c r="F1489" s="27" t="s">
        <v>1453</v>
      </c>
      <c r="H1489" s="27" t="s">
        <v>1454</v>
      </c>
      <c r="J1489" s="27" t="s">
        <v>19301</v>
      </c>
      <c r="L1489" s="27" t="s">
        <v>5489</v>
      </c>
      <c r="M1489" s="27" t="s">
        <v>324</v>
      </c>
      <c r="N1489" s="27" t="s">
        <v>1206</v>
      </c>
      <c r="P1489" s="27" t="s">
        <v>5496</v>
      </c>
      <c r="Q1489" s="26" t="str">
        <f>HYPERLINK("https://ictv.global/taxonomy/taxondetails?taxnode_id=202513694&amp;ictv_id=ICTV202113694","ICTV202113694")</f>
        <v>ICTV202113694</v>
      </c>
      <c r="R1489" t="s">
        <v>579</v>
      </c>
      <c r="S1489" t="s">
        <v>22763</v>
      </c>
      <c r="T1489">
        <v>40</v>
      </c>
      <c r="U1489" s="26" t="str">
        <f t="shared" si="47"/>
        <v>2024.026B.Pantevenvirales_1no_3mf.zip</v>
      </c>
    </row>
    <row r="1490" spans="1:21">
      <c r="A1490">
        <v>1489</v>
      </c>
      <c r="B1490" s="27" t="s">
        <v>1449</v>
      </c>
      <c r="D1490" s="27" t="s">
        <v>1450</v>
      </c>
      <c r="F1490" s="27" t="s">
        <v>1453</v>
      </c>
      <c r="H1490" s="27" t="s">
        <v>1454</v>
      </c>
      <c r="J1490" s="27" t="s">
        <v>19301</v>
      </c>
      <c r="L1490" s="27" t="s">
        <v>5489</v>
      </c>
      <c r="M1490" s="27" t="s">
        <v>324</v>
      </c>
      <c r="N1490" s="27" t="s">
        <v>1206</v>
      </c>
      <c r="P1490" s="27" t="s">
        <v>5497</v>
      </c>
      <c r="Q1490" s="26" t="str">
        <f>HYPERLINK("https://ictv.global/taxonomy/taxondetails?taxnode_id=202500287&amp;ictv_id=ICTV20150092","ICTV20150092")</f>
        <v>ICTV20150092</v>
      </c>
      <c r="R1490" t="s">
        <v>579</v>
      </c>
      <c r="S1490" t="s">
        <v>22763</v>
      </c>
      <c r="T1490">
        <v>40</v>
      </c>
      <c r="U1490" s="26" t="str">
        <f t="shared" si="47"/>
        <v>2024.026B.Pantevenvirales_1no_3mf.zip</v>
      </c>
    </row>
    <row r="1491" spans="1:21">
      <c r="A1491">
        <v>1490</v>
      </c>
      <c r="B1491" s="27" t="s">
        <v>1449</v>
      </c>
      <c r="D1491" s="27" t="s">
        <v>1450</v>
      </c>
      <c r="F1491" s="27" t="s">
        <v>1453</v>
      </c>
      <c r="H1491" s="27" t="s">
        <v>1454</v>
      </c>
      <c r="J1491" s="27" t="s">
        <v>19301</v>
      </c>
      <c r="L1491" s="27" t="s">
        <v>5489</v>
      </c>
      <c r="M1491" s="27" t="s">
        <v>324</v>
      </c>
      <c r="N1491" s="27" t="s">
        <v>1206</v>
      </c>
      <c r="P1491" s="27" t="s">
        <v>5498</v>
      </c>
      <c r="Q1491" s="26" t="str">
        <f>HYPERLINK("https://ictv.global/taxonomy/taxondetails?taxnode_id=202513691&amp;ictv_id=ICTV202113691","ICTV202113691")</f>
        <v>ICTV202113691</v>
      </c>
      <c r="R1491" t="s">
        <v>579</v>
      </c>
      <c r="S1491" t="s">
        <v>22763</v>
      </c>
      <c r="T1491">
        <v>40</v>
      </c>
      <c r="U1491" s="26" t="str">
        <f t="shared" si="47"/>
        <v>2024.026B.Pantevenvirales_1no_3mf.zip</v>
      </c>
    </row>
    <row r="1492" spans="1:21">
      <c r="A1492">
        <v>1491</v>
      </c>
      <c r="B1492" s="27" t="s">
        <v>1449</v>
      </c>
      <c r="D1492" s="27" t="s">
        <v>1450</v>
      </c>
      <c r="F1492" s="27" t="s">
        <v>1453</v>
      </c>
      <c r="H1492" s="27" t="s">
        <v>1454</v>
      </c>
      <c r="J1492" s="27" t="s">
        <v>19301</v>
      </c>
      <c r="L1492" s="27" t="s">
        <v>5489</v>
      </c>
      <c r="M1492" s="27" t="s">
        <v>324</v>
      </c>
      <c r="N1492" s="27" t="s">
        <v>1206</v>
      </c>
      <c r="P1492" s="27" t="s">
        <v>5499</v>
      </c>
      <c r="Q1492" s="26" t="str">
        <f>HYPERLINK("https://ictv.global/taxonomy/taxondetails?taxnode_id=202513692&amp;ictv_id=ICTV202113692","ICTV202113692")</f>
        <v>ICTV202113692</v>
      </c>
      <c r="R1492" t="s">
        <v>579</v>
      </c>
      <c r="S1492" t="s">
        <v>22763</v>
      </c>
      <c r="T1492">
        <v>40</v>
      </c>
      <c r="U1492" s="26" t="str">
        <f t="shared" si="47"/>
        <v>2024.026B.Pantevenvirales_1no_3mf.zip</v>
      </c>
    </row>
    <row r="1493" spans="1:21">
      <c r="A1493">
        <v>1492</v>
      </c>
      <c r="B1493" s="27" t="s">
        <v>1449</v>
      </c>
      <c r="D1493" s="27" t="s">
        <v>1450</v>
      </c>
      <c r="F1493" s="27" t="s">
        <v>1453</v>
      </c>
      <c r="H1493" s="27" t="s">
        <v>1454</v>
      </c>
      <c r="J1493" s="27" t="s">
        <v>19301</v>
      </c>
      <c r="L1493" s="27" t="s">
        <v>5489</v>
      </c>
      <c r="M1493" s="27" t="s">
        <v>324</v>
      </c>
      <c r="N1493" s="27" t="s">
        <v>1206</v>
      </c>
      <c r="P1493" s="27" t="s">
        <v>5500</v>
      </c>
      <c r="Q1493" s="26" t="str">
        <f>HYPERLINK("https://ictv.global/taxonomy/taxondetails?taxnode_id=202500288&amp;ictv_id=ICTV20150094","ICTV20150094")</f>
        <v>ICTV20150094</v>
      </c>
      <c r="R1493" t="s">
        <v>579</v>
      </c>
      <c r="S1493" t="s">
        <v>22763</v>
      </c>
      <c r="T1493">
        <v>40</v>
      </c>
      <c r="U1493" s="26" t="str">
        <f t="shared" si="47"/>
        <v>2024.026B.Pantevenvirales_1no_3mf.zip</v>
      </c>
    </row>
    <row r="1494" spans="1:21">
      <c r="A1494">
        <v>1493</v>
      </c>
      <c r="B1494" s="27" t="s">
        <v>1449</v>
      </c>
      <c r="D1494" s="27" t="s">
        <v>1450</v>
      </c>
      <c r="F1494" s="27" t="s">
        <v>1453</v>
      </c>
      <c r="H1494" s="27" t="s">
        <v>1454</v>
      </c>
      <c r="J1494" s="27" t="s">
        <v>19301</v>
      </c>
      <c r="L1494" s="27" t="s">
        <v>5489</v>
      </c>
      <c r="M1494" s="27" t="s">
        <v>324</v>
      </c>
      <c r="N1494" s="27" t="s">
        <v>1206</v>
      </c>
      <c r="P1494" s="27" t="s">
        <v>5501</v>
      </c>
      <c r="Q1494" s="26" t="str">
        <f>HYPERLINK("https://ictv.global/taxonomy/taxondetails?taxnode_id=202500289&amp;ictv_id=ICTV20115477","ICTV20115477")</f>
        <v>ICTV20115477</v>
      </c>
      <c r="R1494" t="s">
        <v>579</v>
      </c>
      <c r="S1494" t="s">
        <v>22763</v>
      </c>
      <c r="T1494">
        <v>40</v>
      </c>
      <c r="U1494" s="26" t="str">
        <f t="shared" si="47"/>
        <v>2024.026B.Pantevenvirales_1no_3mf.zip</v>
      </c>
    </row>
    <row r="1495" spans="1:21">
      <c r="A1495">
        <v>1494</v>
      </c>
      <c r="B1495" s="27" t="s">
        <v>1449</v>
      </c>
      <c r="D1495" s="27" t="s">
        <v>1450</v>
      </c>
      <c r="F1495" s="27" t="s">
        <v>1453</v>
      </c>
      <c r="H1495" s="27" t="s">
        <v>1454</v>
      </c>
      <c r="J1495" s="27" t="s">
        <v>19301</v>
      </c>
      <c r="L1495" s="27" t="s">
        <v>5489</v>
      </c>
      <c r="M1495" s="27" t="s">
        <v>324</v>
      </c>
      <c r="N1495" s="27" t="s">
        <v>1206</v>
      </c>
      <c r="P1495" s="27" t="s">
        <v>5502</v>
      </c>
      <c r="Q1495" s="26" t="str">
        <f>HYPERLINK("https://ictv.global/taxonomy/taxondetails?taxnode_id=202507034&amp;ictv_id=ICTV201857034","ICTV201857034")</f>
        <v>ICTV201857034</v>
      </c>
      <c r="R1495" t="s">
        <v>579</v>
      </c>
      <c r="S1495" t="s">
        <v>22763</v>
      </c>
      <c r="T1495">
        <v>40</v>
      </c>
      <c r="U1495" s="26" t="str">
        <f t="shared" si="47"/>
        <v>2024.026B.Pantevenvirales_1no_3mf.zip</v>
      </c>
    </row>
    <row r="1496" spans="1:21">
      <c r="A1496">
        <v>1495</v>
      </c>
      <c r="B1496" s="27" t="s">
        <v>1449</v>
      </c>
      <c r="D1496" s="27" t="s">
        <v>1450</v>
      </c>
      <c r="F1496" s="27" t="s">
        <v>1453</v>
      </c>
      <c r="H1496" s="27" t="s">
        <v>1454</v>
      </c>
      <c r="J1496" s="27" t="s">
        <v>19301</v>
      </c>
      <c r="L1496" s="27" t="s">
        <v>5489</v>
      </c>
      <c r="M1496" s="27" t="s">
        <v>324</v>
      </c>
      <c r="N1496" s="27" t="s">
        <v>1206</v>
      </c>
      <c r="P1496" s="27" t="s">
        <v>5503</v>
      </c>
      <c r="Q1496" s="26" t="str">
        <f>HYPERLINK("https://ictv.global/taxonomy/taxondetails?taxnode_id=202500290&amp;ictv_id=ICTV20164836","ICTV20164836")</f>
        <v>ICTV20164836</v>
      </c>
      <c r="R1496" t="s">
        <v>579</v>
      </c>
      <c r="S1496" t="s">
        <v>22763</v>
      </c>
      <c r="T1496">
        <v>40</v>
      </c>
      <c r="U1496" s="26" t="str">
        <f t="shared" si="47"/>
        <v>2024.026B.Pantevenvirales_1no_3mf.zip</v>
      </c>
    </row>
    <row r="1497" spans="1:21">
      <c r="A1497">
        <v>1496</v>
      </c>
      <c r="B1497" s="27" t="s">
        <v>1449</v>
      </c>
      <c r="D1497" s="27" t="s">
        <v>1450</v>
      </c>
      <c r="F1497" s="27" t="s">
        <v>1453</v>
      </c>
      <c r="H1497" s="27" t="s">
        <v>1454</v>
      </c>
      <c r="J1497" s="27" t="s">
        <v>19301</v>
      </c>
      <c r="L1497" s="27" t="s">
        <v>5489</v>
      </c>
      <c r="M1497" s="27" t="s">
        <v>324</v>
      </c>
      <c r="N1497" s="27" t="s">
        <v>1206</v>
      </c>
      <c r="P1497" s="27" t="s">
        <v>5504</v>
      </c>
      <c r="Q1497" s="26" t="str">
        <f>HYPERLINK("https://ictv.global/taxonomy/taxondetails?taxnode_id=202500291&amp;ictv_id=ICTV20150095","ICTV20150095")</f>
        <v>ICTV20150095</v>
      </c>
      <c r="R1497" t="s">
        <v>579</v>
      </c>
      <c r="S1497" t="s">
        <v>22763</v>
      </c>
      <c r="T1497">
        <v>40</v>
      </c>
      <c r="U1497" s="26" t="str">
        <f t="shared" si="47"/>
        <v>2024.026B.Pantevenvirales_1no_3mf.zip</v>
      </c>
    </row>
    <row r="1498" spans="1:21">
      <c r="A1498">
        <v>1497</v>
      </c>
      <c r="B1498" s="27" t="s">
        <v>1449</v>
      </c>
      <c r="D1498" s="27" t="s">
        <v>1450</v>
      </c>
      <c r="F1498" s="27" t="s">
        <v>1453</v>
      </c>
      <c r="H1498" s="27" t="s">
        <v>1454</v>
      </c>
      <c r="J1498" s="27" t="s">
        <v>19301</v>
      </c>
      <c r="L1498" s="27" t="s">
        <v>5489</v>
      </c>
      <c r="M1498" s="27" t="s">
        <v>324</v>
      </c>
      <c r="N1498" s="27" t="s">
        <v>1206</v>
      </c>
      <c r="P1498" s="27" t="s">
        <v>5505</v>
      </c>
      <c r="Q1498" s="26" t="str">
        <f>HYPERLINK("https://ictv.global/taxonomy/taxondetails?taxnode_id=202507035&amp;ictv_id=ICTV201857035","ICTV201857035")</f>
        <v>ICTV201857035</v>
      </c>
      <c r="R1498" t="s">
        <v>579</v>
      </c>
      <c r="S1498" t="s">
        <v>22763</v>
      </c>
      <c r="T1498">
        <v>40</v>
      </c>
      <c r="U1498" s="26" t="str">
        <f t="shared" si="47"/>
        <v>2024.026B.Pantevenvirales_1no_3mf.zip</v>
      </c>
    </row>
    <row r="1499" spans="1:21">
      <c r="A1499">
        <v>1498</v>
      </c>
      <c r="B1499" s="27" t="s">
        <v>1449</v>
      </c>
      <c r="D1499" s="27" t="s">
        <v>1450</v>
      </c>
      <c r="F1499" s="27" t="s">
        <v>1453</v>
      </c>
      <c r="H1499" s="27" t="s">
        <v>1454</v>
      </c>
      <c r="J1499" s="27" t="s">
        <v>19301</v>
      </c>
      <c r="L1499" s="27" t="s">
        <v>5489</v>
      </c>
      <c r="M1499" s="27" t="s">
        <v>324</v>
      </c>
      <c r="N1499" s="27" t="s">
        <v>1207</v>
      </c>
      <c r="P1499" s="27" t="s">
        <v>5506</v>
      </c>
      <c r="Q1499" s="26" t="str">
        <f>HYPERLINK("https://ictv.global/taxonomy/taxondetails?taxnode_id=202514943&amp;ictv_id=ICTV202214943","ICTV202214943")</f>
        <v>ICTV202214943</v>
      </c>
      <c r="R1499" t="s">
        <v>579</v>
      </c>
      <c r="S1499" t="s">
        <v>22763</v>
      </c>
      <c r="T1499">
        <v>40</v>
      </c>
      <c r="U1499" s="26" t="str">
        <f t="shared" si="47"/>
        <v>2024.026B.Pantevenvirales_1no_3mf.zip</v>
      </c>
    </row>
    <row r="1500" spans="1:21">
      <c r="A1500">
        <v>1499</v>
      </c>
      <c r="B1500" s="27" t="s">
        <v>1449</v>
      </c>
      <c r="D1500" s="27" t="s">
        <v>1450</v>
      </c>
      <c r="F1500" s="27" t="s">
        <v>1453</v>
      </c>
      <c r="H1500" s="27" t="s">
        <v>1454</v>
      </c>
      <c r="J1500" s="27" t="s">
        <v>19301</v>
      </c>
      <c r="L1500" s="27" t="s">
        <v>5489</v>
      </c>
      <c r="M1500" s="27" t="s">
        <v>324</v>
      </c>
      <c r="N1500" s="27" t="s">
        <v>1207</v>
      </c>
      <c r="P1500" s="27" t="s">
        <v>5507</v>
      </c>
      <c r="Q1500" s="26" t="str">
        <f>HYPERLINK("https://ictv.global/taxonomy/taxondetails?taxnode_id=202500322&amp;ictv_id=ICTV20150097","ICTV20150097")</f>
        <v>ICTV20150097</v>
      </c>
      <c r="R1500" t="s">
        <v>579</v>
      </c>
      <c r="S1500" t="s">
        <v>22763</v>
      </c>
      <c r="T1500">
        <v>40</v>
      </c>
      <c r="U1500" s="26" t="str">
        <f t="shared" si="47"/>
        <v>2024.026B.Pantevenvirales_1no_3mf.zip</v>
      </c>
    </row>
    <row r="1501" spans="1:21">
      <c r="A1501">
        <v>1500</v>
      </c>
      <c r="B1501" s="27" t="s">
        <v>1449</v>
      </c>
      <c r="D1501" s="27" t="s">
        <v>1450</v>
      </c>
      <c r="F1501" s="27" t="s">
        <v>1453</v>
      </c>
      <c r="H1501" s="27" t="s">
        <v>1454</v>
      </c>
      <c r="J1501" s="27" t="s">
        <v>19301</v>
      </c>
      <c r="L1501" s="27" t="s">
        <v>5489</v>
      </c>
      <c r="M1501" s="27" t="s">
        <v>324</v>
      </c>
      <c r="N1501" s="27" t="s">
        <v>1207</v>
      </c>
      <c r="P1501" s="27" t="s">
        <v>5508</v>
      </c>
      <c r="Q1501" s="26" t="str">
        <f>HYPERLINK("https://ictv.global/taxonomy/taxondetails?taxnode_id=202500318&amp;ictv_id=ICTV20150098","ICTV20150098")</f>
        <v>ICTV20150098</v>
      </c>
      <c r="R1501" t="s">
        <v>579</v>
      </c>
      <c r="S1501" t="s">
        <v>22763</v>
      </c>
      <c r="T1501">
        <v>40</v>
      </c>
      <c r="U1501" s="26" t="str">
        <f t="shared" si="47"/>
        <v>2024.026B.Pantevenvirales_1no_3mf.zip</v>
      </c>
    </row>
    <row r="1502" spans="1:21">
      <c r="A1502">
        <v>1501</v>
      </c>
      <c r="B1502" s="27" t="s">
        <v>1449</v>
      </c>
      <c r="D1502" s="27" t="s">
        <v>1450</v>
      </c>
      <c r="F1502" s="27" t="s">
        <v>1453</v>
      </c>
      <c r="H1502" s="27" t="s">
        <v>1454</v>
      </c>
      <c r="J1502" s="27" t="s">
        <v>19301</v>
      </c>
      <c r="L1502" s="27" t="s">
        <v>5489</v>
      </c>
      <c r="M1502" s="27" t="s">
        <v>324</v>
      </c>
      <c r="N1502" s="27" t="s">
        <v>1207</v>
      </c>
      <c r="P1502" s="27" t="s">
        <v>5509</v>
      </c>
      <c r="Q1502" s="26" t="str">
        <f>HYPERLINK("https://ictv.global/taxonomy/taxondetails?taxnode_id=202500319&amp;ictv_id=ICTV20150099","ICTV20150099")</f>
        <v>ICTV20150099</v>
      </c>
      <c r="R1502" t="s">
        <v>579</v>
      </c>
      <c r="S1502" t="s">
        <v>22763</v>
      </c>
      <c r="T1502">
        <v>40</v>
      </c>
      <c r="U1502" s="26" t="str">
        <f t="shared" si="47"/>
        <v>2024.026B.Pantevenvirales_1no_3mf.zip</v>
      </c>
    </row>
    <row r="1503" spans="1:21">
      <c r="A1503">
        <v>1502</v>
      </c>
      <c r="B1503" s="27" t="s">
        <v>1449</v>
      </c>
      <c r="D1503" s="27" t="s">
        <v>1450</v>
      </c>
      <c r="F1503" s="27" t="s">
        <v>1453</v>
      </c>
      <c r="H1503" s="27" t="s">
        <v>1454</v>
      </c>
      <c r="J1503" s="27" t="s">
        <v>19301</v>
      </c>
      <c r="L1503" s="27" t="s">
        <v>5489</v>
      </c>
      <c r="M1503" s="27" t="s">
        <v>324</v>
      </c>
      <c r="N1503" s="27" t="s">
        <v>1207</v>
      </c>
      <c r="P1503" s="27" t="s">
        <v>5510</v>
      </c>
      <c r="Q1503" s="26" t="str">
        <f>HYPERLINK("https://ictv.global/taxonomy/taxondetails?taxnode_id=202500320&amp;ictv_id=ICTV20150100","ICTV20150100")</f>
        <v>ICTV20150100</v>
      </c>
      <c r="R1503" t="s">
        <v>579</v>
      </c>
      <c r="S1503" t="s">
        <v>22763</v>
      </c>
      <c r="T1503">
        <v>40</v>
      </c>
      <c r="U1503" s="26" t="str">
        <f t="shared" si="47"/>
        <v>2024.026B.Pantevenvirales_1no_3mf.zip</v>
      </c>
    </row>
    <row r="1504" spans="1:21">
      <c r="A1504">
        <v>1503</v>
      </c>
      <c r="B1504" s="27" t="s">
        <v>1449</v>
      </c>
      <c r="D1504" s="27" t="s">
        <v>1450</v>
      </c>
      <c r="F1504" s="27" t="s">
        <v>1453</v>
      </c>
      <c r="H1504" s="27" t="s">
        <v>1454</v>
      </c>
      <c r="J1504" s="27" t="s">
        <v>19301</v>
      </c>
      <c r="L1504" s="27" t="s">
        <v>5489</v>
      </c>
      <c r="M1504" s="27" t="s">
        <v>324</v>
      </c>
      <c r="N1504" s="27" t="s">
        <v>1207</v>
      </c>
      <c r="P1504" s="27" t="s">
        <v>5511</v>
      </c>
      <c r="Q1504" s="26" t="str">
        <f>HYPERLINK("https://ictv.global/taxonomy/taxondetails?taxnode_id=202500321&amp;ictv_id=ICTV20150101","ICTV20150101")</f>
        <v>ICTV20150101</v>
      </c>
      <c r="R1504" t="s">
        <v>579</v>
      </c>
      <c r="S1504" t="s">
        <v>22763</v>
      </c>
      <c r="T1504">
        <v>40</v>
      </c>
      <c r="U1504" s="26" t="str">
        <f t="shared" si="47"/>
        <v>2024.026B.Pantevenvirales_1no_3mf.zip</v>
      </c>
    </row>
    <row r="1505" spans="1:21">
      <c r="A1505">
        <v>1504</v>
      </c>
      <c r="B1505" s="27" t="s">
        <v>1449</v>
      </c>
      <c r="D1505" s="27" t="s">
        <v>1450</v>
      </c>
      <c r="F1505" s="27" t="s">
        <v>1453</v>
      </c>
      <c r="H1505" s="27" t="s">
        <v>1454</v>
      </c>
      <c r="J1505" s="27" t="s">
        <v>19301</v>
      </c>
      <c r="L1505" s="27" t="s">
        <v>5489</v>
      </c>
      <c r="M1505" s="27" t="s">
        <v>324</v>
      </c>
      <c r="N1505" s="27" t="s">
        <v>1208</v>
      </c>
      <c r="P1505" s="27" t="s">
        <v>5512</v>
      </c>
      <c r="Q1505" s="26" t="str">
        <f>HYPERLINK("https://ictv.global/taxonomy/taxondetails?taxnode_id=202513703&amp;ictv_id=ICTV202113703","ICTV202113703")</f>
        <v>ICTV202113703</v>
      </c>
      <c r="R1505" t="s">
        <v>579</v>
      </c>
      <c r="S1505" t="s">
        <v>22763</v>
      </c>
      <c r="T1505">
        <v>40</v>
      </c>
      <c r="U1505" s="26" t="str">
        <f t="shared" si="47"/>
        <v>2024.026B.Pantevenvirales_1no_3mf.zip</v>
      </c>
    </row>
    <row r="1506" spans="1:21">
      <c r="A1506">
        <v>1505</v>
      </c>
      <c r="B1506" s="27" t="s">
        <v>1449</v>
      </c>
      <c r="D1506" s="27" t="s">
        <v>1450</v>
      </c>
      <c r="F1506" s="27" t="s">
        <v>1453</v>
      </c>
      <c r="H1506" s="27" t="s">
        <v>1454</v>
      </c>
      <c r="J1506" s="27" t="s">
        <v>19301</v>
      </c>
      <c r="L1506" s="27" t="s">
        <v>5489</v>
      </c>
      <c r="M1506" s="27" t="s">
        <v>324</v>
      </c>
      <c r="N1506" s="27" t="s">
        <v>1208</v>
      </c>
      <c r="P1506" s="27" t="s">
        <v>5513</v>
      </c>
      <c r="Q1506" s="26" t="str">
        <f>HYPERLINK("https://ictv.global/taxonomy/taxondetails?taxnode_id=202507047&amp;ictv_id=ICTV201857047","ICTV201857047")</f>
        <v>ICTV201857047</v>
      </c>
      <c r="R1506" t="s">
        <v>579</v>
      </c>
      <c r="S1506" t="s">
        <v>22763</v>
      </c>
      <c r="T1506">
        <v>40</v>
      </c>
      <c r="U1506" s="26" t="str">
        <f t="shared" si="47"/>
        <v>2024.026B.Pantevenvirales_1no_3mf.zip</v>
      </c>
    </row>
    <row r="1507" spans="1:21">
      <c r="A1507">
        <v>1506</v>
      </c>
      <c r="B1507" s="27" t="s">
        <v>1449</v>
      </c>
      <c r="D1507" s="27" t="s">
        <v>1450</v>
      </c>
      <c r="F1507" s="27" t="s">
        <v>1453</v>
      </c>
      <c r="H1507" s="27" t="s">
        <v>1454</v>
      </c>
      <c r="J1507" s="27" t="s">
        <v>19301</v>
      </c>
      <c r="L1507" s="27" t="s">
        <v>5489</v>
      </c>
      <c r="M1507" s="27" t="s">
        <v>324</v>
      </c>
      <c r="N1507" s="27" t="s">
        <v>1208</v>
      </c>
      <c r="P1507" s="27" t="s">
        <v>5514</v>
      </c>
      <c r="Q1507" s="26" t="str">
        <f>HYPERLINK("https://ictv.global/taxonomy/taxondetails?taxnode_id=202500311&amp;ictv_id=ICTV20150104","ICTV20150104")</f>
        <v>ICTV20150104</v>
      </c>
      <c r="R1507" t="s">
        <v>579</v>
      </c>
      <c r="S1507" t="s">
        <v>22763</v>
      </c>
      <c r="T1507">
        <v>40</v>
      </c>
      <c r="U1507" s="26" t="str">
        <f t="shared" si="47"/>
        <v>2024.026B.Pantevenvirales_1no_3mf.zip</v>
      </c>
    </row>
    <row r="1508" spans="1:21">
      <c r="A1508">
        <v>1507</v>
      </c>
      <c r="B1508" s="27" t="s">
        <v>1449</v>
      </c>
      <c r="D1508" s="27" t="s">
        <v>1450</v>
      </c>
      <c r="F1508" s="27" t="s">
        <v>1453</v>
      </c>
      <c r="H1508" s="27" t="s">
        <v>1454</v>
      </c>
      <c r="J1508" s="27" t="s">
        <v>19301</v>
      </c>
      <c r="L1508" s="27" t="s">
        <v>5489</v>
      </c>
      <c r="M1508" s="27" t="s">
        <v>324</v>
      </c>
      <c r="N1508" s="27" t="s">
        <v>1208</v>
      </c>
      <c r="P1508" s="27" t="s">
        <v>21985</v>
      </c>
      <c r="Q1508" s="26" t="str">
        <f>HYPERLINK("https://ictv.global/taxonomy/taxondetails?taxnode_id=202522791&amp;ictv_id=ICTV202522791","ICTV202522791")</f>
        <v>ICTV202522791</v>
      </c>
      <c r="R1508" t="s">
        <v>579</v>
      </c>
      <c r="S1508" t="s">
        <v>823</v>
      </c>
      <c r="T1508">
        <v>41</v>
      </c>
      <c r="U1508" s="26" t="str">
        <f>HYPERLINK("https://ictv.global/ictv/proposals/2025.021B.Gelderlandvirus_1ns.zip","2025.021B.Gelderlandvirus_1ns.zip")</f>
        <v>2025.021B.Gelderlandvirus_1ns.zip</v>
      </c>
    </row>
    <row r="1509" spans="1:21">
      <c r="A1509">
        <v>1508</v>
      </c>
      <c r="B1509" s="27" t="s">
        <v>1449</v>
      </c>
      <c r="D1509" s="27" t="s">
        <v>1450</v>
      </c>
      <c r="F1509" s="27" t="s">
        <v>1453</v>
      </c>
      <c r="H1509" s="27" t="s">
        <v>1454</v>
      </c>
      <c r="J1509" s="27" t="s">
        <v>19301</v>
      </c>
      <c r="L1509" s="27" t="s">
        <v>5489</v>
      </c>
      <c r="M1509" s="27" t="s">
        <v>324</v>
      </c>
      <c r="N1509" s="27" t="s">
        <v>1208</v>
      </c>
      <c r="P1509" s="27" t="s">
        <v>5515</v>
      </c>
      <c r="Q1509" s="26" t="str">
        <f>HYPERLINK("https://ictv.global/taxonomy/taxondetails?taxnode_id=202500312&amp;ictv_id=ICTV20150103","ICTV20150103")</f>
        <v>ICTV20150103</v>
      </c>
      <c r="R1509" t="s">
        <v>579</v>
      </c>
      <c r="S1509" t="s">
        <v>22763</v>
      </c>
      <c r="T1509">
        <v>40</v>
      </c>
      <c r="U1509" s="26" t="str">
        <f t="shared" ref="U1509:U1519" si="48">HYPERLINK("https://ictv.global/ictv/proposals/2024.026B.Pantevenvirales_1no_3mf.zip","2024.026B.Pantevenvirales_1no_3mf.zip")</f>
        <v>2024.026B.Pantevenvirales_1no_3mf.zip</v>
      </c>
    </row>
    <row r="1510" spans="1:21">
      <c r="A1510">
        <v>1509</v>
      </c>
      <c r="B1510" s="27" t="s">
        <v>1449</v>
      </c>
      <c r="D1510" s="27" t="s">
        <v>1450</v>
      </c>
      <c r="F1510" s="27" t="s">
        <v>1453</v>
      </c>
      <c r="H1510" s="27" t="s">
        <v>1454</v>
      </c>
      <c r="J1510" s="27" t="s">
        <v>19301</v>
      </c>
      <c r="L1510" s="27" t="s">
        <v>5489</v>
      </c>
      <c r="M1510" s="27" t="s">
        <v>324</v>
      </c>
      <c r="N1510" s="27" t="s">
        <v>1208</v>
      </c>
      <c r="P1510" s="27" t="s">
        <v>5516</v>
      </c>
      <c r="Q1510" s="26" t="str">
        <f>HYPERLINK("https://ictv.global/taxonomy/taxondetails?taxnode_id=202507048&amp;ictv_id=ICTV201857048","ICTV201857048")</f>
        <v>ICTV201857048</v>
      </c>
      <c r="R1510" t="s">
        <v>579</v>
      </c>
      <c r="S1510" t="s">
        <v>22763</v>
      </c>
      <c r="T1510">
        <v>40</v>
      </c>
      <c r="U1510" s="26" t="str">
        <f t="shared" si="48"/>
        <v>2024.026B.Pantevenvirales_1no_3mf.zip</v>
      </c>
    </row>
    <row r="1511" spans="1:21">
      <c r="A1511">
        <v>1510</v>
      </c>
      <c r="B1511" s="27" t="s">
        <v>1449</v>
      </c>
      <c r="D1511" s="27" t="s">
        <v>1450</v>
      </c>
      <c r="F1511" s="27" t="s">
        <v>1453</v>
      </c>
      <c r="H1511" s="27" t="s">
        <v>1454</v>
      </c>
      <c r="J1511" s="27" t="s">
        <v>19301</v>
      </c>
      <c r="L1511" s="27" t="s">
        <v>5489</v>
      </c>
      <c r="M1511" s="27" t="s">
        <v>324</v>
      </c>
      <c r="N1511" s="27" t="s">
        <v>1209</v>
      </c>
      <c r="P1511" s="27" t="s">
        <v>5517</v>
      </c>
      <c r="Q1511" s="26" t="str">
        <f>HYPERLINK("https://ictv.global/taxonomy/taxondetails?taxnode_id=202500283&amp;ictv_id=ICTV20164834","ICTV20164834")</f>
        <v>ICTV20164834</v>
      </c>
      <c r="R1511" t="s">
        <v>579</v>
      </c>
      <c r="S1511" t="s">
        <v>22763</v>
      </c>
      <c r="T1511">
        <v>40</v>
      </c>
      <c r="U1511" s="26" t="str">
        <f t="shared" si="48"/>
        <v>2024.026B.Pantevenvirales_1no_3mf.zip</v>
      </c>
    </row>
    <row r="1512" spans="1:21">
      <c r="A1512">
        <v>1511</v>
      </c>
      <c r="B1512" s="27" t="s">
        <v>1449</v>
      </c>
      <c r="D1512" s="27" t="s">
        <v>1450</v>
      </c>
      <c r="F1512" s="27" t="s">
        <v>1453</v>
      </c>
      <c r="H1512" s="27" t="s">
        <v>1454</v>
      </c>
      <c r="J1512" s="27" t="s">
        <v>19301</v>
      </c>
      <c r="L1512" s="27" t="s">
        <v>5489</v>
      </c>
      <c r="M1512" s="27" t="s">
        <v>324</v>
      </c>
      <c r="N1512" s="27" t="s">
        <v>1209</v>
      </c>
      <c r="P1512" s="27" t="s">
        <v>5518</v>
      </c>
      <c r="Q1512" s="26" t="str">
        <f>HYPERLINK("https://ictv.global/taxonomy/taxondetails?taxnode_id=202513700&amp;ictv_id=ICTV202113700","ICTV202113700")</f>
        <v>ICTV202113700</v>
      </c>
      <c r="R1512" t="s">
        <v>579</v>
      </c>
      <c r="S1512" t="s">
        <v>22763</v>
      </c>
      <c r="T1512">
        <v>40</v>
      </c>
      <c r="U1512" s="26" t="str">
        <f t="shared" si="48"/>
        <v>2024.026B.Pantevenvirales_1no_3mf.zip</v>
      </c>
    </row>
    <row r="1513" spans="1:21">
      <c r="A1513">
        <v>1512</v>
      </c>
      <c r="B1513" s="27" t="s">
        <v>1449</v>
      </c>
      <c r="D1513" s="27" t="s">
        <v>1450</v>
      </c>
      <c r="F1513" s="27" t="s">
        <v>1453</v>
      </c>
      <c r="H1513" s="27" t="s">
        <v>1454</v>
      </c>
      <c r="J1513" s="27" t="s">
        <v>19301</v>
      </c>
      <c r="L1513" s="27" t="s">
        <v>5489</v>
      </c>
      <c r="M1513" s="27" t="s">
        <v>324</v>
      </c>
      <c r="N1513" s="27" t="s">
        <v>1209</v>
      </c>
      <c r="P1513" s="27" t="s">
        <v>5519</v>
      </c>
      <c r="Q1513" s="26" t="str">
        <f>HYPERLINK("https://ictv.global/taxonomy/taxondetails?taxnode_id=202513698&amp;ictv_id=ICTV202113698","ICTV202113698")</f>
        <v>ICTV202113698</v>
      </c>
      <c r="R1513" t="s">
        <v>579</v>
      </c>
      <c r="S1513" t="s">
        <v>22763</v>
      </c>
      <c r="T1513">
        <v>40</v>
      </c>
      <c r="U1513" s="26" t="str">
        <f t="shared" si="48"/>
        <v>2024.026B.Pantevenvirales_1no_3mf.zip</v>
      </c>
    </row>
    <row r="1514" spans="1:21">
      <c r="A1514">
        <v>1513</v>
      </c>
      <c r="B1514" s="27" t="s">
        <v>1449</v>
      </c>
      <c r="D1514" s="27" t="s">
        <v>1450</v>
      </c>
      <c r="F1514" s="27" t="s">
        <v>1453</v>
      </c>
      <c r="H1514" s="27" t="s">
        <v>1454</v>
      </c>
      <c r="J1514" s="27" t="s">
        <v>19301</v>
      </c>
      <c r="L1514" s="27" t="s">
        <v>5489</v>
      </c>
      <c r="M1514" s="27" t="s">
        <v>324</v>
      </c>
      <c r="N1514" s="27" t="s">
        <v>1209</v>
      </c>
      <c r="P1514" s="27" t="s">
        <v>5520</v>
      </c>
      <c r="Q1514" s="26" t="str">
        <f>HYPERLINK("https://ictv.global/taxonomy/taxondetails?taxnode_id=202513697&amp;ictv_id=ICTV202113697","ICTV202113697")</f>
        <v>ICTV202113697</v>
      </c>
      <c r="R1514" t="s">
        <v>579</v>
      </c>
      <c r="S1514" t="s">
        <v>22763</v>
      </c>
      <c r="T1514">
        <v>40</v>
      </c>
      <c r="U1514" s="26" t="str">
        <f t="shared" si="48"/>
        <v>2024.026B.Pantevenvirales_1no_3mf.zip</v>
      </c>
    </row>
    <row r="1515" spans="1:21">
      <c r="A1515">
        <v>1514</v>
      </c>
      <c r="B1515" s="27" t="s">
        <v>1449</v>
      </c>
      <c r="D1515" s="27" t="s">
        <v>1450</v>
      </c>
      <c r="F1515" s="27" t="s">
        <v>1453</v>
      </c>
      <c r="H1515" s="27" t="s">
        <v>1454</v>
      </c>
      <c r="J1515" s="27" t="s">
        <v>19301</v>
      </c>
      <c r="L1515" s="27" t="s">
        <v>5489</v>
      </c>
      <c r="M1515" s="27" t="s">
        <v>324</v>
      </c>
      <c r="N1515" s="27" t="s">
        <v>1209</v>
      </c>
      <c r="P1515" s="27" t="s">
        <v>5521</v>
      </c>
      <c r="Q1515" s="26" t="str">
        <f>HYPERLINK("https://ictv.global/taxonomy/taxondetails?taxnode_id=202513699&amp;ictv_id=ICTV202113699","ICTV202113699")</f>
        <v>ICTV202113699</v>
      </c>
      <c r="R1515" t="s">
        <v>579</v>
      </c>
      <c r="S1515" t="s">
        <v>22763</v>
      </c>
      <c r="T1515">
        <v>40</v>
      </c>
      <c r="U1515" s="26" t="str">
        <f t="shared" si="48"/>
        <v>2024.026B.Pantevenvirales_1no_3mf.zip</v>
      </c>
    </row>
    <row r="1516" spans="1:21">
      <c r="A1516">
        <v>1515</v>
      </c>
      <c r="B1516" s="27" t="s">
        <v>1449</v>
      </c>
      <c r="D1516" s="27" t="s">
        <v>1450</v>
      </c>
      <c r="F1516" s="27" t="s">
        <v>1453</v>
      </c>
      <c r="H1516" s="27" t="s">
        <v>1454</v>
      </c>
      <c r="J1516" s="27" t="s">
        <v>19301</v>
      </c>
      <c r="L1516" s="27" t="s">
        <v>5489</v>
      </c>
      <c r="M1516" s="27" t="s">
        <v>324</v>
      </c>
      <c r="N1516" s="27" t="s">
        <v>1209</v>
      </c>
      <c r="P1516" s="27" t="s">
        <v>5522</v>
      </c>
      <c r="Q1516" s="26" t="str">
        <f>HYPERLINK("https://ictv.global/taxonomy/taxondetails?taxnode_id=202500284&amp;ictv_id=ICTV20164835","ICTV20164835")</f>
        <v>ICTV20164835</v>
      </c>
      <c r="R1516" t="s">
        <v>579</v>
      </c>
      <c r="S1516" t="s">
        <v>22763</v>
      </c>
      <c r="T1516">
        <v>40</v>
      </c>
      <c r="U1516" s="26" t="str">
        <f t="shared" si="48"/>
        <v>2024.026B.Pantevenvirales_1no_3mf.zip</v>
      </c>
    </row>
    <row r="1517" spans="1:21">
      <c r="A1517">
        <v>1516</v>
      </c>
      <c r="B1517" s="27" t="s">
        <v>1449</v>
      </c>
      <c r="D1517" s="27" t="s">
        <v>1450</v>
      </c>
      <c r="F1517" s="27" t="s">
        <v>1453</v>
      </c>
      <c r="H1517" s="27" t="s">
        <v>1454</v>
      </c>
      <c r="J1517" s="27" t="s">
        <v>19301</v>
      </c>
      <c r="L1517" s="27" t="s">
        <v>5489</v>
      </c>
      <c r="M1517" s="27" t="s">
        <v>324</v>
      </c>
      <c r="N1517" s="27" t="s">
        <v>5523</v>
      </c>
      <c r="P1517" s="27" t="s">
        <v>5524</v>
      </c>
      <c r="Q1517" s="26" t="str">
        <f>HYPERLINK("https://ictv.global/taxonomy/taxondetails?taxnode_id=202513687&amp;ictv_id=ICTV202113687","ICTV202113687")</f>
        <v>ICTV202113687</v>
      </c>
      <c r="R1517" t="s">
        <v>579</v>
      </c>
      <c r="S1517" t="s">
        <v>22763</v>
      </c>
      <c r="T1517">
        <v>40</v>
      </c>
      <c r="U1517" s="26" t="str">
        <f t="shared" si="48"/>
        <v>2024.026B.Pantevenvirales_1no_3mf.zip</v>
      </c>
    </row>
    <row r="1518" spans="1:21">
      <c r="A1518">
        <v>1517</v>
      </c>
      <c r="B1518" s="27" t="s">
        <v>1449</v>
      </c>
      <c r="D1518" s="27" t="s">
        <v>1450</v>
      </c>
      <c r="F1518" s="27" t="s">
        <v>1453</v>
      </c>
      <c r="H1518" s="27" t="s">
        <v>1454</v>
      </c>
      <c r="J1518" s="27" t="s">
        <v>19301</v>
      </c>
      <c r="L1518" s="27" t="s">
        <v>5489</v>
      </c>
      <c r="M1518" s="27" t="s">
        <v>324</v>
      </c>
      <c r="N1518" s="27" t="s">
        <v>2102</v>
      </c>
      <c r="P1518" s="27" t="s">
        <v>5525</v>
      </c>
      <c r="Q1518" s="26" t="str">
        <f>HYPERLINK("https://ictv.global/taxonomy/taxondetails?taxnode_id=202510143&amp;ictv_id=ICTV202010143","ICTV202010143")</f>
        <v>ICTV202010143</v>
      </c>
      <c r="R1518" t="s">
        <v>579</v>
      </c>
      <c r="S1518" t="s">
        <v>22763</v>
      </c>
      <c r="T1518">
        <v>40</v>
      </c>
      <c r="U1518" s="26" t="str">
        <f t="shared" si="48"/>
        <v>2024.026B.Pantevenvirales_1no_3mf.zip</v>
      </c>
    </row>
    <row r="1519" spans="1:21">
      <c r="A1519">
        <v>1518</v>
      </c>
      <c r="B1519" s="27" t="s">
        <v>1449</v>
      </c>
      <c r="D1519" s="27" t="s">
        <v>1450</v>
      </c>
      <c r="F1519" s="27" t="s">
        <v>1453</v>
      </c>
      <c r="H1519" s="27" t="s">
        <v>1454</v>
      </c>
      <c r="J1519" s="27" t="s">
        <v>19301</v>
      </c>
      <c r="L1519" s="27" t="s">
        <v>5489</v>
      </c>
      <c r="M1519" s="27" t="s">
        <v>324</v>
      </c>
      <c r="N1519" s="27" t="s">
        <v>2102</v>
      </c>
      <c r="P1519" s="27" t="s">
        <v>5526</v>
      </c>
      <c r="Q1519" s="26" t="str">
        <f>HYPERLINK("https://ictv.global/taxonomy/taxondetails?taxnode_id=202514940&amp;ictv_id=ICTV202214940","ICTV202214940")</f>
        <v>ICTV202214940</v>
      </c>
      <c r="R1519" t="s">
        <v>579</v>
      </c>
      <c r="S1519" t="s">
        <v>22763</v>
      </c>
      <c r="T1519">
        <v>40</v>
      </c>
      <c r="U1519" s="26" t="str">
        <f t="shared" si="48"/>
        <v>2024.026B.Pantevenvirales_1no_3mf.zip</v>
      </c>
    </row>
    <row r="1520" spans="1:21">
      <c r="A1520">
        <v>1519</v>
      </c>
      <c r="B1520" s="27" t="s">
        <v>1449</v>
      </c>
      <c r="D1520" s="27" t="s">
        <v>1450</v>
      </c>
      <c r="F1520" s="27" t="s">
        <v>1453</v>
      </c>
      <c r="H1520" s="27" t="s">
        <v>1454</v>
      </c>
      <c r="J1520" s="27" t="s">
        <v>19301</v>
      </c>
      <c r="L1520" s="27" t="s">
        <v>5489</v>
      </c>
      <c r="M1520" s="27" t="s">
        <v>324</v>
      </c>
      <c r="N1520" s="27" t="s">
        <v>2102</v>
      </c>
      <c r="P1520" s="27" t="s">
        <v>22066</v>
      </c>
      <c r="Q1520" s="26" t="str">
        <f>HYPERLINK("https://ictv.global/taxonomy/taxondetails?taxnode_id=202522867&amp;ictv_id=ICTV202522867","ICTV202522867")</f>
        <v>ICTV202522867</v>
      </c>
      <c r="R1520" t="s">
        <v>579</v>
      </c>
      <c r="S1520" t="s">
        <v>823</v>
      </c>
      <c r="T1520">
        <v>41</v>
      </c>
      <c r="U1520" s="26" t="str">
        <f>HYPERLINK("https://ictv.global/ictv/proposals/2025.031B.Kanagawavirus_4ns.zip","2025.031B.Kanagawavirus_4ns.zip")</f>
        <v>2025.031B.Kanagawavirus_4ns.zip</v>
      </c>
    </row>
    <row r="1521" spans="1:21">
      <c r="A1521">
        <v>1520</v>
      </c>
      <c r="B1521" s="27" t="s">
        <v>1449</v>
      </c>
      <c r="D1521" s="27" t="s">
        <v>1450</v>
      </c>
      <c r="F1521" s="27" t="s">
        <v>1453</v>
      </c>
      <c r="H1521" s="27" t="s">
        <v>1454</v>
      </c>
      <c r="J1521" s="27" t="s">
        <v>19301</v>
      </c>
      <c r="L1521" s="27" t="s">
        <v>5489</v>
      </c>
      <c r="M1521" s="27" t="s">
        <v>324</v>
      </c>
      <c r="N1521" s="27" t="s">
        <v>2102</v>
      </c>
      <c r="P1521" s="27" t="s">
        <v>22067</v>
      </c>
      <c r="Q1521" s="26" t="str">
        <f>HYPERLINK("https://ictv.global/taxonomy/taxondetails?taxnode_id=202522868&amp;ictv_id=ICTV202522868","ICTV202522868")</f>
        <v>ICTV202522868</v>
      </c>
      <c r="R1521" t="s">
        <v>579</v>
      </c>
      <c r="S1521" t="s">
        <v>823</v>
      </c>
      <c r="T1521">
        <v>41</v>
      </c>
      <c r="U1521" s="26" t="str">
        <f>HYPERLINK("https://ictv.global/ictv/proposals/2025.031B.Kanagawavirus_4ns.zip","2025.031B.Kanagawavirus_4ns.zip")</f>
        <v>2025.031B.Kanagawavirus_4ns.zip</v>
      </c>
    </row>
    <row r="1522" spans="1:21">
      <c r="A1522">
        <v>1521</v>
      </c>
      <c r="B1522" s="27" t="s">
        <v>1449</v>
      </c>
      <c r="D1522" s="27" t="s">
        <v>1450</v>
      </c>
      <c r="F1522" s="27" t="s">
        <v>1453</v>
      </c>
      <c r="H1522" s="27" t="s">
        <v>1454</v>
      </c>
      <c r="J1522" s="27" t="s">
        <v>19301</v>
      </c>
      <c r="L1522" s="27" t="s">
        <v>5489</v>
      </c>
      <c r="M1522" s="27" t="s">
        <v>324</v>
      </c>
      <c r="N1522" s="27" t="s">
        <v>2102</v>
      </c>
      <c r="P1522" s="27" t="s">
        <v>22065</v>
      </c>
      <c r="Q1522" s="26" t="str">
        <f>HYPERLINK("https://ictv.global/taxonomy/taxondetails?taxnode_id=202522866&amp;ictv_id=ICTV202522866","ICTV202522866")</f>
        <v>ICTV202522866</v>
      </c>
      <c r="R1522" t="s">
        <v>579</v>
      </c>
      <c r="S1522" t="s">
        <v>823</v>
      </c>
      <c r="T1522">
        <v>41</v>
      </c>
      <c r="U1522" s="26" t="str">
        <f>HYPERLINK("https://ictv.global/ictv/proposals/2025.031B.Kanagawavirus_4ns.zip","2025.031B.Kanagawavirus_4ns.zip")</f>
        <v>2025.031B.Kanagawavirus_4ns.zip</v>
      </c>
    </row>
    <row r="1523" spans="1:21">
      <c r="A1523">
        <v>1522</v>
      </c>
      <c r="B1523" s="27" t="s">
        <v>1449</v>
      </c>
      <c r="D1523" s="27" t="s">
        <v>1450</v>
      </c>
      <c r="F1523" s="27" t="s">
        <v>1453</v>
      </c>
      <c r="H1523" s="27" t="s">
        <v>1454</v>
      </c>
      <c r="J1523" s="27" t="s">
        <v>19301</v>
      </c>
      <c r="L1523" s="27" t="s">
        <v>5489</v>
      </c>
      <c r="M1523" s="27" t="s">
        <v>324</v>
      </c>
      <c r="N1523" s="27" t="s">
        <v>2102</v>
      </c>
      <c r="P1523" s="27" t="s">
        <v>5527</v>
      </c>
      <c r="Q1523" s="26" t="str">
        <f>HYPERLINK("https://ictv.global/taxonomy/taxondetails?taxnode_id=202514941&amp;ictv_id=ICTV202214941","ICTV202214941")</f>
        <v>ICTV202214941</v>
      </c>
      <c r="R1523" t="s">
        <v>579</v>
      </c>
      <c r="S1523" t="s">
        <v>22763</v>
      </c>
      <c r="T1523">
        <v>40</v>
      </c>
      <c r="U1523" s="26" t="str">
        <f>HYPERLINK("https://ictv.global/ictv/proposals/2024.026B.Pantevenvirales_1no_3mf.zip","2024.026B.Pantevenvirales_1no_3mf.zip")</f>
        <v>2024.026B.Pantevenvirales_1no_3mf.zip</v>
      </c>
    </row>
    <row r="1524" spans="1:21">
      <c r="A1524">
        <v>1523</v>
      </c>
      <c r="B1524" s="27" t="s">
        <v>1449</v>
      </c>
      <c r="D1524" s="27" t="s">
        <v>1450</v>
      </c>
      <c r="F1524" s="27" t="s">
        <v>1453</v>
      </c>
      <c r="H1524" s="27" t="s">
        <v>1454</v>
      </c>
      <c r="J1524" s="27" t="s">
        <v>19301</v>
      </c>
      <c r="L1524" s="27" t="s">
        <v>5489</v>
      </c>
      <c r="M1524" s="27" t="s">
        <v>324</v>
      </c>
      <c r="N1524" s="27" t="s">
        <v>2102</v>
      </c>
      <c r="P1524" s="27" t="s">
        <v>5528</v>
      </c>
      <c r="Q1524" s="26" t="str">
        <f>HYPERLINK("https://ictv.global/taxonomy/taxondetails?taxnode_id=202510142&amp;ictv_id=ICTV202010142","ICTV202010142")</f>
        <v>ICTV202010142</v>
      </c>
      <c r="R1524" t="s">
        <v>579</v>
      </c>
      <c r="S1524" t="s">
        <v>22763</v>
      </c>
      <c r="T1524">
        <v>40</v>
      </c>
      <c r="U1524" s="26" t="str">
        <f>HYPERLINK("https://ictv.global/ictv/proposals/2024.026B.Pantevenvirales_1no_3mf.zip","2024.026B.Pantevenvirales_1no_3mf.zip")</f>
        <v>2024.026B.Pantevenvirales_1no_3mf.zip</v>
      </c>
    </row>
    <row r="1525" spans="1:21">
      <c r="A1525">
        <v>1524</v>
      </c>
      <c r="B1525" s="27" t="s">
        <v>1449</v>
      </c>
      <c r="D1525" s="27" t="s">
        <v>1450</v>
      </c>
      <c r="F1525" s="27" t="s">
        <v>1453</v>
      </c>
      <c r="H1525" s="27" t="s">
        <v>1454</v>
      </c>
      <c r="J1525" s="27" t="s">
        <v>19301</v>
      </c>
      <c r="L1525" s="27" t="s">
        <v>5489</v>
      </c>
      <c r="M1525" s="27" t="s">
        <v>324</v>
      </c>
      <c r="N1525" s="27" t="s">
        <v>2102</v>
      </c>
      <c r="P1525" s="27" t="s">
        <v>5529</v>
      </c>
      <c r="Q1525" s="26" t="str">
        <f>HYPERLINK("https://ictv.global/taxonomy/taxondetails?taxnode_id=202514939&amp;ictv_id=ICTV202214939","ICTV202214939")</f>
        <v>ICTV202214939</v>
      </c>
      <c r="R1525" t="s">
        <v>579</v>
      </c>
      <c r="S1525" t="s">
        <v>22763</v>
      </c>
      <c r="T1525">
        <v>40</v>
      </c>
      <c r="U1525" s="26" t="str">
        <f>HYPERLINK("https://ictv.global/ictv/proposals/2024.026B.Pantevenvirales_1no_3mf.zip","2024.026B.Pantevenvirales_1no_3mf.zip")</f>
        <v>2024.026B.Pantevenvirales_1no_3mf.zip</v>
      </c>
    </row>
    <row r="1526" spans="1:21">
      <c r="A1526">
        <v>1525</v>
      </c>
      <c r="B1526" s="27" t="s">
        <v>1449</v>
      </c>
      <c r="D1526" s="27" t="s">
        <v>1450</v>
      </c>
      <c r="F1526" s="27" t="s">
        <v>1453</v>
      </c>
      <c r="H1526" s="27" t="s">
        <v>1454</v>
      </c>
      <c r="J1526" s="27" t="s">
        <v>19301</v>
      </c>
      <c r="L1526" s="27" t="s">
        <v>5489</v>
      </c>
      <c r="M1526" s="27" t="s">
        <v>324</v>
      </c>
      <c r="N1526" s="27" t="s">
        <v>2102</v>
      </c>
      <c r="P1526" s="27" t="s">
        <v>22068</v>
      </c>
      <c r="Q1526" s="26" t="str">
        <f>HYPERLINK("https://ictv.global/taxonomy/taxondetails?taxnode_id=202522869&amp;ictv_id=ICTV202522869","ICTV202522869")</f>
        <v>ICTV202522869</v>
      </c>
      <c r="R1526" t="s">
        <v>579</v>
      </c>
      <c r="S1526" t="s">
        <v>823</v>
      </c>
      <c r="T1526">
        <v>41</v>
      </c>
      <c r="U1526" s="26" t="str">
        <f>HYPERLINK("https://ictv.global/ictv/proposals/2025.031B.Kanagawavirus_4ns.zip","2025.031B.Kanagawavirus_4ns.zip")</f>
        <v>2025.031B.Kanagawavirus_4ns.zip</v>
      </c>
    </row>
    <row r="1527" spans="1:21">
      <c r="A1527">
        <v>1526</v>
      </c>
      <c r="B1527" s="27" t="s">
        <v>1449</v>
      </c>
      <c r="D1527" s="27" t="s">
        <v>1450</v>
      </c>
      <c r="F1527" s="27" t="s">
        <v>1453</v>
      </c>
      <c r="H1527" s="27" t="s">
        <v>1454</v>
      </c>
      <c r="J1527" s="27" t="s">
        <v>19301</v>
      </c>
      <c r="L1527" s="27" t="s">
        <v>5489</v>
      </c>
      <c r="M1527" s="27" t="s">
        <v>324</v>
      </c>
      <c r="N1527" s="27" t="s">
        <v>1210</v>
      </c>
      <c r="P1527" s="27" t="s">
        <v>22080</v>
      </c>
      <c r="Q1527" s="26" t="str">
        <f>HYPERLINK("https://ictv.global/taxonomy/taxondetails?taxnode_id=202522881&amp;ictv_id=ICTV202522881","ICTV202522881")</f>
        <v>ICTV202522881</v>
      </c>
      <c r="R1527" t="s">
        <v>579</v>
      </c>
      <c r="S1527" t="s">
        <v>823</v>
      </c>
      <c r="T1527">
        <v>41</v>
      </c>
      <c r="U1527" s="26" t="str">
        <f>HYPERLINK("https://ictv.global/ictv/proposals/2025.032B.Karamvirus_14ns.zip","2025.032B.Karamvirus_14ns.zip")</f>
        <v>2025.032B.Karamvirus_14ns.zip</v>
      </c>
    </row>
    <row r="1528" spans="1:21">
      <c r="A1528">
        <v>1527</v>
      </c>
      <c r="B1528" s="27" t="s">
        <v>1449</v>
      </c>
      <c r="D1528" s="27" t="s">
        <v>1450</v>
      </c>
      <c r="F1528" s="27" t="s">
        <v>1453</v>
      </c>
      <c r="H1528" s="27" t="s">
        <v>1454</v>
      </c>
      <c r="J1528" s="27" t="s">
        <v>19301</v>
      </c>
      <c r="L1528" s="27" t="s">
        <v>5489</v>
      </c>
      <c r="M1528" s="27" t="s">
        <v>324</v>
      </c>
      <c r="N1528" s="27" t="s">
        <v>1210</v>
      </c>
      <c r="P1528" s="27" t="s">
        <v>5530</v>
      </c>
      <c r="Q1528" s="26" t="str">
        <f>HYPERLINK("https://ictv.global/taxonomy/taxondetails?taxnode_id=202500281&amp;ictv_id=ICTV20150106","ICTV20150106")</f>
        <v>ICTV20150106</v>
      </c>
      <c r="R1528" t="s">
        <v>579</v>
      </c>
      <c r="S1528" t="s">
        <v>22763</v>
      </c>
      <c r="T1528">
        <v>40</v>
      </c>
      <c r="U1528" s="26" t="str">
        <f>HYPERLINK("https://ictv.global/ictv/proposals/2024.026B.Pantevenvirales_1no_3mf.zip","2024.026B.Pantevenvirales_1no_3mf.zip")</f>
        <v>2024.026B.Pantevenvirales_1no_3mf.zip</v>
      </c>
    </row>
    <row r="1529" spans="1:21">
      <c r="A1529">
        <v>1528</v>
      </c>
      <c r="B1529" s="27" t="s">
        <v>1449</v>
      </c>
      <c r="D1529" s="27" t="s">
        <v>1450</v>
      </c>
      <c r="F1529" s="27" t="s">
        <v>1453</v>
      </c>
      <c r="H1529" s="27" t="s">
        <v>1454</v>
      </c>
      <c r="J1529" s="27" t="s">
        <v>19301</v>
      </c>
      <c r="L1529" s="27" t="s">
        <v>5489</v>
      </c>
      <c r="M1529" s="27" t="s">
        <v>324</v>
      </c>
      <c r="N1529" s="27" t="s">
        <v>1210</v>
      </c>
      <c r="P1529" s="27" t="s">
        <v>22074</v>
      </c>
      <c r="Q1529" s="26" t="str">
        <f>HYPERLINK("https://ictv.global/taxonomy/taxondetails?taxnode_id=202522875&amp;ictv_id=ICTV202522875","ICTV202522875")</f>
        <v>ICTV202522875</v>
      </c>
      <c r="R1529" t="s">
        <v>579</v>
      </c>
      <c r="S1529" t="s">
        <v>823</v>
      </c>
      <c r="T1529">
        <v>41</v>
      </c>
      <c r="U1529" s="26" t="str">
        <f t="shared" ref="U1529:U1535" si="49">HYPERLINK("https://ictv.global/ictv/proposals/2025.032B.Karamvirus_14ns.zip","2025.032B.Karamvirus_14ns.zip")</f>
        <v>2025.032B.Karamvirus_14ns.zip</v>
      </c>
    </row>
    <row r="1530" spans="1:21">
      <c r="A1530">
        <v>1529</v>
      </c>
      <c r="B1530" s="27" t="s">
        <v>1449</v>
      </c>
      <c r="D1530" s="27" t="s">
        <v>1450</v>
      </c>
      <c r="F1530" s="27" t="s">
        <v>1453</v>
      </c>
      <c r="H1530" s="27" t="s">
        <v>1454</v>
      </c>
      <c r="J1530" s="27" t="s">
        <v>19301</v>
      </c>
      <c r="L1530" s="27" t="s">
        <v>5489</v>
      </c>
      <c r="M1530" s="27" t="s">
        <v>324</v>
      </c>
      <c r="N1530" s="27" t="s">
        <v>1210</v>
      </c>
      <c r="P1530" s="27" t="s">
        <v>22082</v>
      </c>
      <c r="Q1530" s="26" t="str">
        <f>HYPERLINK("https://ictv.global/taxonomy/taxondetails?taxnode_id=202522883&amp;ictv_id=ICTV202522883","ICTV202522883")</f>
        <v>ICTV202522883</v>
      </c>
      <c r="R1530" t="s">
        <v>579</v>
      </c>
      <c r="S1530" t="s">
        <v>823</v>
      </c>
      <c r="T1530">
        <v>41</v>
      </c>
      <c r="U1530" s="26" t="str">
        <f t="shared" si="49"/>
        <v>2025.032B.Karamvirus_14ns.zip</v>
      </c>
    </row>
    <row r="1531" spans="1:21">
      <c r="A1531">
        <v>1530</v>
      </c>
      <c r="B1531" s="27" t="s">
        <v>1449</v>
      </c>
      <c r="D1531" s="27" t="s">
        <v>1450</v>
      </c>
      <c r="F1531" s="27" t="s">
        <v>1453</v>
      </c>
      <c r="H1531" s="27" t="s">
        <v>1454</v>
      </c>
      <c r="J1531" s="27" t="s">
        <v>19301</v>
      </c>
      <c r="L1531" s="27" t="s">
        <v>5489</v>
      </c>
      <c r="M1531" s="27" t="s">
        <v>324</v>
      </c>
      <c r="N1531" s="27" t="s">
        <v>1210</v>
      </c>
      <c r="P1531" s="27" t="s">
        <v>22071</v>
      </c>
      <c r="Q1531" s="26" t="str">
        <f>HYPERLINK("https://ictv.global/taxonomy/taxondetails?taxnode_id=202522872&amp;ictv_id=ICTV202522872","ICTV202522872")</f>
        <v>ICTV202522872</v>
      </c>
      <c r="R1531" t="s">
        <v>579</v>
      </c>
      <c r="S1531" t="s">
        <v>823</v>
      </c>
      <c r="T1531">
        <v>41</v>
      </c>
      <c r="U1531" s="26" t="str">
        <f t="shared" si="49"/>
        <v>2025.032B.Karamvirus_14ns.zip</v>
      </c>
    </row>
    <row r="1532" spans="1:21">
      <c r="A1532">
        <v>1531</v>
      </c>
      <c r="B1532" s="27" t="s">
        <v>1449</v>
      </c>
      <c r="D1532" s="27" t="s">
        <v>1450</v>
      </c>
      <c r="F1532" s="27" t="s">
        <v>1453</v>
      </c>
      <c r="H1532" s="27" t="s">
        <v>1454</v>
      </c>
      <c r="J1532" s="27" t="s">
        <v>19301</v>
      </c>
      <c r="L1532" s="27" t="s">
        <v>5489</v>
      </c>
      <c r="M1532" s="27" t="s">
        <v>324</v>
      </c>
      <c r="N1532" s="27" t="s">
        <v>1210</v>
      </c>
      <c r="P1532" s="27" t="s">
        <v>22075</v>
      </c>
      <c r="Q1532" s="26" t="str">
        <f>HYPERLINK("https://ictv.global/taxonomy/taxondetails?taxnode_id=202522876&amp;ictv_id=ICTV202522876","ICTV202522876")</f>
        <v>ICTV202522876</v>
      </c>
      <c r="R1532" t="s">
        <v>579</v>
      </c>
      <c r="S1532" t="s">
        <v>823</v>
      </c>
      <c r="T1532">
        <v>41</v>
      </c>
      <c r="U1532" s="26" t="str">
        <f t="shared" si="49"/>
        <v>2025.032B.Karamvirus_14ns.zip</v>
      </c>
    </row>
    <row r="1533" spans="1:21">
      <c r="A1533">
        <v>1532</v>
      </c>
      <c r="B1533" s="27" t="s">
        <v>1449</v>
      </c>
      <c r="D1533" s="27" t="s">
        <v>1450</v>
      </c>
      <c r="F1533" s="27" t="s">
        <v>1453</v>
      </c>
      <c r="H1533" s="27" t="s">
        <v>1454</v>
      </c>
      <c r="J1533" s="27" t="s">
        <v>19301</v>
      </c>
      <c r="L1533" s="27" t="s">
        <v>5489</v>
      </c>
      <c r="M1533" s="27" t="s">
        <v>324</v>
      </c>
      <c r="N1533" s="27" t="s">
        <v>1210</v>
      </c>
      <c r="P1533" s="27" t="s">
        <v>22079</v>
      </c>
      <c r="Q1533" s="26" t="str">
        <f>HYPERLINK("https://ictv.global/taxonomy/taxondetails?taxnode_id=202522880&amp;ictv_id=ICTV202522880","ICTV202522880")</f>
        <v>ICTV202522880</v>
      </c>
      <c r="R1533" t="s">
        <v>579</v>
      </c>
      <c r="S1533" t="s">
        <v>823</v>
      </c>
      <c r="T1533">
        <v>41</v>
      </c>
      <c r="U1533" s="26" t="str">
        <f t="shared" si="49"/>
        <v>2025.032B.Karamvirus_14ns.zip</v>
      </c>
    </row>
    <row r="1534" spans="1:21">
      <c r="A1534">
        <v>1533</v>
      </c>
      <c r="B1534" s="27" t="s">
        <v>1449</v>
      </c>
      <c r="D1534" s="27" t="s">
        <v>1450</v>
      </c>
      <c r="F1534" s="27" t="s">
        <v>1453</v>
      </c>
      <c r="H1534" s="27" t="s">
        <v>1454</v>
      </c>
      <c r="J1534" s="27" t="s">
        <v>19301</v>
      </c>
      <c r="L1534" s="27" t="s">
        <v>5489</v>
      </c>
      <c r="M1534" s="27" t="s">
        <v>324</v>
      </c>
      <c r="N1534" s="27" t="s">
        <v>1210</v>
      </c>
      <c r="P1534" s="27" t="s">
        <v>22076</v>
      </c>
      <c r="Q1534" s="26" t="str">
        <f>HYPERLINK("https://ictv.global/taxonomy/taxondetails?taxnode_id=202522877&amp;ictv_id=ICTV202522877","ICTV202522877")</f>
        <v>ICTV202522877</v>
      </c>
      <c r="R1534" t="s">
        <v>579</v>
      </c>
      <c r="S1534" t="s">
        <v>823</v>
      </c>
      <c r="T1534">
        <v>41</v>
      </c>
      <c r="U1534" s="26" t="str">
        <f t="shared" si="49"/>
        <v>2025.032B.Karamvirus_14ns.zip</v>
      </c>
    </row>
    <row r="1535" spans="1:21">
      <c r="A1535">
        <v>1534</v>
      </c>
      <c r="B1535" s="27" t="s">
        <v>1449</v>
      </c>
      <c r="D1535" s="27" t="s">
        <v>1450</v>
      </c>
      <c r="F1535" s="27" t="s">
        <v>1453</v>
      </c>
      <c r="H1535" s="27" t="s">
        <v>1454</v>
      </c>
      <c r="J1535" s="27" t="s">
        <v>19301</v>
      </c>
      <c r="L1535" s="27" t="s">
        <v>5489</v>
      </c>
      <c r="M1535" s="27" t="s">
        <v>324</v>
      </c>
      <c r="N1535" s="27" t="s">
        <v>1210</v>
      </c>
      <c r="P1535" s="27" t="s">
        <v>22081</v>
      </c>
      <c r="Q1535" s="26" t="str">
        <f>HYPERLINK("https://ictv.global/taxonomy/taxondetails?taxnode_id=202522882&amp;ictv_id=ICTV202522882","ICTV202522882")</f>
        <v>ICTV202522882</v>
      </c>
      <c r="R1535" t="s">
        <v>579</v>
      </c>
      <c r="S1535" t="s">
        <v>823</v>
      </c>
      <c r="T1535">
        <v>41</v>
      </c>
      <c r="U1535" s="26" t="str">
        <f t="shared" si="49"/>
        <v>2025.032B.Karamvirus_14ns.zip</v>
      </c>
    </row>
    <row r="1536" spans="1:21">
      <c r="A1536">
        <v>1535</v>
      </c>
      <c r="B1536" s="27" t="s">
        <v>1449</v>
      </c>
      <c r="D1536" s="27" t="s">
        <v>1450</v>
      </c>
      <c r="F1536" s="27" t="s">
        <v>1453</v>
      </c>
      <c r="H1536" s="27" t="s">
        <v>1454</v>
      </c>
      <c r="J1536" s="27" t="s">
        <v>19301</v>
      </c>
      <c r="L1536" s="27" t="s">
        <v>5489</v>
      </c>
      <c r="M1536" s="27" t="s">
        <v>324</v>
      </c>
      <c r="N1536" s="27" t="s">
        <v>1210</v>
      </c>
      <c r="P1536" s="27" t="s">
        <v>21471</v>
      </c>
      <c r="Q1536" s="26" t="str">
        <f>HYPERLINK("https://ictv.global/taxonomy/taxondetails?taxnode_id=202522342&amp;ictv_id=ICTV202522342","ICTV202522342")</f>
        <v>ICTV202522342</v>
      </c>
      <c r="R1536" t="s">
        <v>579</v>
      </c>
      <c r="S1536" t="s">
        <v>823</v>
      </c>
      <c r="T1536">
        <v>41</v>
      </c>
      <c r="U1536" s="26" t="str">
        <f>HYPERLINK("https://ictv.global/ictv/proposals/2025.008B.Caudoviricetes_11ns.zip","2025.008B.Caudoviricetes_11ns.zip")</f>
        <v>2025.008B.Caudoviricetes_11ns.zip</v>
      </c>
    </row>
    <row r="1537" spans="1:21">
      <c r="A1537">
        <v>1536</v>
      </c>
      <c r="B1537" s="27" t="s">
        <v>1449</v>
      </c>
      <c r="D1537" s="27" t="s">
        <v>1450</v>
      </c>
      <c r="F1537" s="27" t="s">
        <v>1453</v>
      </c>
      <c r="H1537" s="27" t="s">
        <v>1454</v>
      </c>
      <c r="J1537" s="27" t="s">
        <v>19301</v>
      </c>
      <c r="L1537" s="27" t="s">
        <v>5489</v>
      </c>
      <c r="M1537" s="27" t="s">
        <v>324</v>
      </c>
      <c r="N1537" s="27" t="s">
        <v>1210</v>
      </c>
      <c r="P1537" s="27" t="s">
        <v>22070</v>
      </c>
      <c r="Q1537" s="26" t="str">
        <f>HYPERLINK("https://ictv.global/taxonomy/taxondetails?taxnode_id=202522871&amp;ictv_id=ICTV202522871","ICTV202522871")</f>
        <v>ICTV202522871</v>
      </c>
      <c r="R1537" t="s">
        <v>579</v>
      </c>
      <c r="S1537" t="s">
        <v>823</v>
      </c>
      <c r="T1537">
        <v>41</v>
      </c>
      <c r="U1537" s="26" t="str">
        <f>HYPERLINK("https://ictv.global/ictv/proposals/2025.032B.Karamvirus_14ns.zip","2025.032B.Karamvirus_14ns.zip")</f>
        <v>2025.032B.Karamvirus_14ns.zip</v>
      </c>
    </row>
    <row r="1538" spans="1:21">
      <c r="A1538">
        <v>1537</v>
      </c>
      <c r="B1538" s="27" t="s">
        <v>1449</v>
      </c>
      <c r="D1538" s="27" t="s">
        <v>1450</v>
      </c>
      <c r="F1538" s="27" t="s">
        <v>1453</v>
      </c>
      <c r="H1538" s="27" t="s">
        <v>1454</v>
      </c>
      <c r="J1538" s="27" t="s">
        <v>19301</v>
      </c>
      <c r="L1538" s="27" t="s">
        <v>5489</v>
      </c>
      <c r="M1538" s="27" t="s">
        <v>324</v>
      </c>
      <c r="N1538" s="27" t="s">
        <v>1210</v>
      </c>
      <c r="P1538" s="27" t="s">
        <v>22069</v>
      </c>
      <c r="Q1538" s="26" t="str">
        <f>HYPERLINK("https://ictv.global/taxonomy/taxondetails?taxnode_id=202522870&amp;ictv_id=ICTV202522870","ICTV202522870")</f>
        <v>ICTV202522870</v>
      </c>
      <c r="R1538" t="s">
        <v>579</v>
      </c>
      <c r="S1538" t="s">
        <v>823</v>
      </c>
      <c r="T1538">
        <v>41</v>
      </c>
      <c r="U1538" s="26" t="str">
        <f>HYPERLINK("https://ictv.global/ictv/proposals/2025.032B.Karamvirus_14ns.zip","2025.032B.Karamvirus_14ns.zip")</f>
        <v>2025.032B.Karamvirus_14ns.zip</v>
      </c>
    </row>
    <row r="1539" spans="1:21">
      <c r="A1539">
        <v>1538</v>
      </c>
      <c r="B1539" s="27" t="s">
        <v>1449</v>
      </c>
      <c r="D1539" s="27" t="s">
        <v>1450</v>
      </c>
      <c r="F1539" s="27" t="s">
        <v>1453</v>
      </c>
      <c r="H1539" s="27" t="s">
        <v>1454</v>
      </c>
      <c r="J1539" s="27" t="s">
        <v>19301</v>
      </c>
      <c r="L1539" s="27" t="s">
        <v>5489</v>
      </c>
      <c r="M1539" s="27" t="s">
        <v>324</v>
      </c>
      <c r="N1539" s="27" t="s">
        <v>1210</v>
      </c>
      <c r="P1539" s="27" t="s">
        <v>5531</v>
      </c>
      <c r="Q1539" s="26" t="str">
        <f>HYPERLINK("https://ictv.global/taxonomy/taxondetails?taxnode_id=202513702&amp;ictv_id=ICTV202113702","ICTV202113702")</f>
        <v>ICTV202113702</v>
      </c>
      <c r="R1539" t="s">
        <v>579</v>
      </c>
      <c r="S1539" t="s">
        <v>22763</v>
      </c>
      <c r="T1539">
        <v>40</v>
      </c>
      <c r="U1539" s="26" t="str">
        <f>HYPERLINK("https://ictv.global/ictv/proposals/2024.026B.Pantevenvirales_1no_3mf.zip","2024.026B.Pantevenvirales_1no_3mf.zip")</f>
        <v>2024.026B.Pantevenvirales_1no_3mf.zip</v>
      </c>
    </row>
    <row r="1540" spans="1:21">
      <c r="A1540">
        <v>1539</v>
      </c>
      <c r="B1540" s="27" t="s">
        <v>1449</v>
      </c>
      <c r="D1540" s="27" t="s">
        <v>1450</v>
      </c>
      <c r="F1540" s="27" t="s">
        <v>1453</v>
      </c>
      <c r="H1540" s="27" t="s">
        <v>1454</v>
      </c>
      <c r="J1540" s="27" t="s">
        <v>19301</v>
      </c>
      <c r="L1540" s="27" t="s">
        <v>5489</v>
      </c>
      <c r="M1540" s="27" t="s">
        <v>324</v>
      </c>
      <c r="N1540" s="27" t="s">
        <v>1210</v>
      </c>
      <c r="P1540" s="27" t="s">
        <v>5532</v>
      </c>
      <c r="Q1540" s="26" t="str">
        <f>HYPERLINK("https://ictv.global/taxonomy/taxondetails?taxnode_id=202513701&amp;ictv_id=ICTV202113701","ICTV202113701")</f>
        <v>ICTV202113701</v>
      </c>
      <c r="R1540" t="s">
        <v>579</v>
      </c>
      <c r="S1540" t="s">
        <v>22763</v>
      </c>
      <c r="T1540">
        <v>40</v>
      </c>
      <c r="U1540" s="26" t="str">
        <f>HYPERLINK("https://ictv.global/ictv/proposals/2024.026B.Pantevenvirales_1no_3mf.zip","2024.026B.Pantevenvirales_1no_3mf.zip")</f>
        <v>2024.026B.Pantevenvirales_1no_3mf.zip</v>
      </c>
    </row>
    <row r="1541" spans="1:21">
      <c r="A1541">
        <v>1540</v>
      </c>
      <c r="B1541" s="27" t="s">
        <v>1449</v>
      </c>
      <c r="D1541" s="27" t="s">
        <v>1450</v>
      </c>
      <c r="F1541" s="27" t="s">
        <v>1453</v>
      </c>
      <c r="H1541" s="27" t="s">
        <v>1454</v>
      </c>
      <c r="J1541" s="27" t="s">
        <v>19301</v>
      </c>
      <c r="L1541" s="27" t="s">
        <v>5489</v>
      </c>
      <c r="M1541" s="27" t="s">
        <v>324</v>
      </c>
      <c r="N1541" s="27" t="s">
        <v>1210</v>
      </c>
      <c r="P1541" s="27" t="s">
        <v>5533</v>
      </c>
      <c r="Q1541" s="26" t="str">
        <f>HYPERLINK("https://ictv.global/taxonomy/taxondetails?taxnode_id=202500280&amp;ictv_id=ICTV20150107","ICTV20150107")</f>
        <v>ICTV20150107</v>
      </c>
      <c r="R1541" t="s">
        <v>579</v>
      </c>
      <c r="S1541" t="s">
        <v>22763</v>
      </c>
      <c r="T1541">
        <v>40</v>
      </c>
      <c r="U1541" s="26" t="str">
        <f>HYPERLINK("https://ictv.global/ictv/proposals/2024.026B.Pantevenvirales_1no_3mf.zip","2024.026B.Pantevenvirales_1no_3mf.zip")</f>
        <v>2024.026B.Pantevenvirales_1no_3mf.zip</v>
      </c>
    </row>
    <row r="1542" spans="1:21">
      <c r="A1542">
        <v>1541</v>
      </c>
      <c r="B1542" s="27" t="s">
        <v>1449</v>
      </c>
      <c r="D1542" s="27" t="s">
        <v>1450</v>
      </c>
      <c r="F1542" s="27" t="s">
        <v>1453</v>
      </c>
      <c r="H1542" s="27" t="s">
        <v>1454</v>
      </c>
      <c r="J1542" s="27" t="s">
        <v>19301</v>
      </c>
      <c r="L1542" s="27" t="s">
        <v>5489</v>
      </c>
      <c r="M1542" s="27" t="s">
        <v>324</v>
      </c>
      <c r="N1542" s="27" t="s">
        <v>1210</v>
      </c>
      <c r="P1542" s="27" t="s">
        <v>22072</v>
      </c>
      <c r="Q1542" s="26" t="str">
        <f>HYPERLINK("https://ictv.global/taxonomy/taxondetails?taxnode_id=202522873&amp;ictv_id=ICTV202522873","ICTV202522873")</f>
        <v>ICTV202522873</v>
      </c>
      <c r="R1542" t="s">
        <v>579</v>
      </c>
      <c r="S1542" t="s">
        <v>823</v>
      </c>
      <c r="T1542">
        <v>41</v>
      </c>
      <c r="U1542" s="26" t="str">
        <f>HYPERLINK("https://ictv.global/ictv/proposals/2025.032B.Karamvirus_14ns.zip","2025.032B.Karamvirus_14ns.zip")</f>
        <v>2025.032B.Karamvirus_14ns.zip</v>
      </c>
    </row>
    <row r="1543" spans="1:21">
      <c r="A1543">
        <v>1542</v>
      </c>
      <c r="B1543" s="27" t="s">
        <v>1449</v>
      </c>
      <c r="D1543" s="27" t="s">
        <v>1450</v>
      </c>
      <c r="F1543" s="27" t="s">
        <v>1453</v>
      </c>
      <c r="H1543" s="27" t="s">
        <v>1454</v>
      </c>
      <c r="J1543" s="27" t="s">
        <v>19301</v>
      </c>
      <c r="L1543" s="27" t="s">
        <v>5489</v>
      </c>
      <c r="M1543" s="27" t="s">
        <v>324</v>
      </c>
      <c r="N1543" s="27" t="s">
        <v>1210</v>
      </c>
      <c r="P1543" s="27" t="s">
        <v>22073</v>
      </c>
      <c r="Q1543" s="26" t="str">
        <f>HYPERLINK("https://ictv.global/taxonomy/taxondetails?taxnode_id=202522874&amp;ictv_id=ICTV202522874","ICTV202522874")</f>
        <v>ICTV202522874</v>
      </c>
      <c r="R1543" t="s">
        <v>579</v>
      </c>
      <c r="S1543" t="s">
        <v>823</v>
      </c>
      <c r="T1543">
        <v>41</v>
      </c>
      <c r="U1543" s="26" t="str">
        <f>HYPERLINK("https://ictv.global/ictv/proposals/2025.032B.Karamvirus_14ns.zip","2025.032B.Karamvirus_14ns.zip")</f>
        <v>2025.032B.Karamvirus_14ns.zip</v>
      </c>
    </row>
    <row r="1544" spans="1:21">
      <c r="A1544">
        <v>1543</v>
      </c>
      <c r="B1544" s="27" t="s">
        <v>1449</v>
      </c>
      <c r="D1544" s="27" t="s">
        <v>1450</v>
      </c>
      <c r="F1544" s="27" t="s">
        <v>1453</v>
      </c>
      <c r="H1544" s="27" t="s">
        <v>1454</v>
      </c>
      <c r="J1544" s="27" t="s">
        <v>19301</v>
      </c>
      <c r="L1544" s="27" t="s">
        <v>5489</v>
      </c>
      <c r="M1544" s="27" t="s">
        <v>324</v>
      </c>
      <c r="N1544" s="27" t="s">
        <v>1210</v>
      </c>
      <c r="P1544" s="27" t="s">
        <v>22078</v>
      </c>
      <c r="Q1544" s="26" t="str">
        <f>HYPERLINK("https://ictv.global/taxonomy/taxondetails?taxnode_id=202522879&amp;ictv_id=ICTV202522879","ICTV202522879")</f>
        <v>ICTV202522879</v>
      </c>
      <c r="R1544" t="s">
        <v>579</v>
      </c>
      <c r="S1544" t="s">
        <v>823</v>
      </c>
      <c r="T1544">
        <v>41</v>
      </c>
      <c r="U1544" s="26" t="str">
        <f>HYPERLINK("https://ictv.global/ictv/proposals/2025.032B.Karamvirus_14ns.zip","2025.032B.Karamvirus_14ns.zip")</f>
        <v>2025.032B.Karamvirus_14ns.zip</v>
      </c>
    </row>
    <row r="1545" spans="1:21">
      <c r="A1545">
        <v>1544</v>
      </c>
      <c r="B1545" s="27" t="s">
        <v>1449</v>
      </c>
      <c r="D1545" s="27" t="s">
        <v>1450</v>
      </c>
      <c r="F1545" s="27" t="s">
        <v>1453</v>
      </c>
      <c r="H1545" s="27" t="s">
        <v>1454</v>
      </c>
      <c r="J1545" s="27" t="s">
        <v>19301</v>
      </c>
      <c r="L1545" s="27" t="s">
        <v>5489</v>
      </c>
      <c r="M1545" s="27" t="s">
        <v>324</v>
      </c>
      <c r="N1545" s="27" t="s">
        <v>1210</v>
      </c>
      <c r="P1545" s="27" t="s">
        <v>22077</v>
      </c>
      <c r="Q1545" s="26" t="str">
        <f>HYPERLINK("https://ictv.global/taxonomy/taxondetails?taxnode_id=202522878&amp;ictv_id=ICTV202522878","ICTV202522878")</f>
        <v>ICTV202522878</v>
      </c>
      <c r="R1545" t="s">
        <v>579</v>
      </c>
      <c r="S1545" t="s">
        <v>823</v>
      </c>
      <c r="T1545">
        <v>41</v>
      </c>
      <c r="U1545" s="26" t="str">
        <f>HYPERLINK("https://ictv.global/ictv/proposals/2025.032B.Karamvirus_14ns.zip","2025.032B.Karamvirus_14ns.zip")</f>
        <v>2025.032B.Karamvirus_14ns.zip</v>
      </c>
    </row>
    <row r="1546" spans="1:21">
      <c r="A1546">
        <v>1545</v>
      </c>
      <c r="B1546" s="27" t="s">
        <v>1449</v>
      </c>
      <c r="D1546" s="27" t="s">
        <v>1450</v>
      </c>
      <c r="F1546" s="27" t="s">
        <v>1453</v>
      </c>
      <c r="H1546" s="27" t="s">
        <v>1454</v>
      </c>
      <c r="J1546" s="27" t="s">
        <v>19301</v>
      </c>
      <c r="L1546" s="27" t="s">
        <v>5489</v>
      </c>
      <c r="M1546" s="27" t="s">
        <v>324</v>
      </c>
      <c r="N1546" s="27" t="s">
        <v>22085</v>
      </c>
      <c r="P1546" s="27" t="s">
        <v>22086</v>
      </c>
      <c r="Q1546" s="26" t="str">
        <f>HYPERLINK("https://ictv.global/taxonomy/taxondetails?taxnode_id=202522886&amp;ictv_id=ICTV202522886","ICTV202522886")</f>
        <v>ICTV202522886</v>
      </c>
      <c r="R1546" t="s">
        <v>579</v>
      </c>
      <c r="S1546" t="s">
        <v>823</v>
      </c>
      <c r="T1546">
        <v>41</v>
      </c>
      <c r="U1546" s="26" t="str">
        <f>HYPERLINK("https://ictv.global/ictv/proposals/2025.035B.Koserivirus_1ng_1ns.zip","2025.035B.Koserivirus_1ng_1ns.zip")</f>
        <v>2025.035B.Koserivirus_1ng_1ns.zip</v>
      </c>
    </row>
    <row r="1547" spans="1:21">
      <c r="A1547">
        <v>1546</v>
      </c>
      <c r="B1547" s="27" t="s">
        <v>1449</v>
      </c>
      <c r="D1547" s="27" t="s">
        <v>1450</v>
      </c>
      <c r="F1547" s="27" t="s">
        <v>1453</v>
      </c>
      <c r="H1547" s="27" t="s">
        <v>1454</v>
      </c>
      <c r="J1547" s="27" t="s">
        <v>19301</v>
      </c>
      <c r="L1547" s="27" t="s">
        <v>5489</v>
      </c>
      <c r="M1547" s="27" t="s">
        <v>324</v>
      </c>
      <c r="N1547" s="27" t="s">
        <v>760</v>
      </c>
      <c r="P1547" s="27" t="s">
        <v>5534</v>
      </c>
      <c r="Q1547" s="26" t="str">
        <f>HYPERLINK("https://ictv.global/taxonomy/taxondetails?taxnode_id=202507037&amp;ictv_id=ICTV201857037","ICTV201857037")</f>
        <v>ICTV201857037</v>
      </c>
      <c r="R1547" t="s">
        <v>579</v>
      </c>
      <c r="S1547" t="s">
        <v>22763</v>
      </c>
      <c r="T1547">
        <v>40</v>
      </c>
      <c r="U1547" s="26" t="str">
        <f t="shared" ref="U1547:U1554" si="50">HYPERLINK("https://ictv.global/ictv/proposals/2024.026B.Pantevenvirales_1no_3mf.zip","2024.026B.Pantevenvirales_1no_3mf.zip")</f>
        <v>2024.026B.Pantevenvirales_1no_3mf.zip</v>
      </c>
    </row>
    <row r="1548" spans="1:21">
      <c r="A1548">
        <v>1547</v>
      </c>
      <c r="B1548" s="27" t="s">
        <v>1449</v>
      </c>
      <c r="D1548" s="27" t="s">
        <v>1450</v>
      </c>
      <c r="F1548" s="27" t="s">
        <v>1453</v>
      </c>
      <c r="H1548" s="27" t="s">
        <v>1454</v>
      </c>
      <c r="J1548" s="27" t="s">
        <v>19301</v>
      </c>
      <c r="L1548" s="27" t="s">
        <v>5489</v>
      </c>
      <c r="M1548" s="27" t="s">
        <v>324</v>
      </c>
      <c r="N1548" s="27" t="s">
        <v>760</v>
      </c>
      <c r="P1548" s="27" t="s">
        <v>5535</v>
      </c>
      <c r="Q1548" s="26" t="str">
        <f>HYPERLINK("https://ictv.global/taxonomy/taxondetails?taxnode_id=202514942&amp;ictv_id=ICTV202214942","ICTV202214942")</f>
        <v>ICTV202214942</v>
      </c>
      <c r="R1548" t="s">
        <v>579</v>
      </c>
      <c r="S1548" t="s">
        <v>22763</v>
      </c>
      <c r="T1548">
        <v>40</v>
      </c>
      <c r="U1548" s="26" t="str">
        <f t="shared" si="50"/>
        <v>2024.026B.Pantevenvirales_1no_3mf.zip</v>
      </c>
    </row>
    <row r="1549" spans="1:21">
      <c r="A1549">
        <v>1548</v>
      </c>
      <c r="B1549" s="27" t="s">
        <v>1449</v>
      </c>
      <c r="D1549" s="27" t="s">
        <v>1450</v>
      </c>
      <c r="F1549" s="27" t="s">
        <v>1453</v>
      </c>
      <c r="H1549" s="27" t="s">
        <v>1454</v>
      </c>
      <c r="J1549" s="27" t="s">
        <v>19301</v>
      </c>
      <c r="L1549" s="27" t="s">
        <v>5489</v>
      </c>
      <c r="M1549" s="27" t="s">
        <v>324</v>
      </c>
      <c r="N1549" s="27" t="s">
        <v>760</v>
      </c>
      <c r="P1549" s="27" t="s">
        <v>5536</v>
      </c>
      <c r="Q1549" s="26" t="str">
        <f>HYPERLINK("https://ictv.global/taxonomy/taxondetails?taxnode_id=202500299&amp;ictv_id=ICTV20164842","ICTV20164842")</f>
        <v>ICTV20164842</v>
      </c>
      <c r="R1549" t="s">
        <v>579</v>
      </c>
      <c r="S1549" t="s">
        <v>22763</v>
      </c>
      <c r="T1549">
        <v>40</v>
      </c>
      <c r="U1549" s="26" t="str">
        <f t="shared" si="50"/>
        <v>2024.026B.Pantevenvirales_1no_3mf.zip</v>
      </c>
    </row>
    <row r="1550" spans="1:21">
      <c r="A1550">
        <v>1549</v>
      </c>
      <c r="B1550" s="27" t="s">
        <v>1449</v>
      </c>
      <c r="D1550" s="27" t="s">
        <v>1450</v>
      </c>
      <c r="F1550" s="27" t="s">
        <v>1453</v>
      </c>
      <c r="H1550" s="27" t="s">
        <v>1454</v>
      </c>
      <c r="J1550" s="27" t="s">
        <v>19301</v>
      </c>
      <c r="L1550" s="27" t="s">
        <v>5489</v>
      </c>
      <c r="M1550" s="27" t="s">
        <v>324</v>
      </c>
      <c r="N1550" s="27" t="s">
        <v>760</v>
      </c>
      <c r="P1550" s="27" t="s">
        <v>5537</v>
      </c>
      <c r="Q1550" s="26" t="str">
        <f>HYPERLINK("https://ictv.global/taxonomy/taxondetails?taxnode_id=202500300&amp;ictv_id=ICTV20164843","ICTV20164843")</f>
        <v>ICTV20164843</v>
      </c>
      <c r="R1550" t="s">
        <v>579</v>
      </c>
      <c r="S1550" t="s">
        <v>22763</v>
      </c>
      <c r="T1550">
        <v>40</v>
      </c>
      <c r="U1550" s="26" t="str">
        <f t="shared" si="50"/>
        <v>2024.026B.Pantevenvirales_1no_3mf.zip</v>
      </c>
    </row>
    <row r="1551" spans="1:21">
      <c r="A1551">
        <v>1550</v>
      </c>
      <c r="B1551" s="27" t="s">
        <v>1449</v>
      </c>
      <c r="D1551" s="27" t="s">
        <v>1450</v>
      </c>
      <c r="F1551" s="27" t="s">
        <v>1453</v>
      </c>
      <c r="H1551" s="27" t="s">
        <v>1454</v>
      </c>
      <c r="J1551" s="27" t="s">
        <v>19301</v>
      </c>
      <c r="L1551" s="27" t="s">
        <v>5489</v>
      </c>
      <c r="M1551" s="27" t="s">
        <v>324</v>
      </c>
      <c r="N1551" s="27" t="s">
        <v>1212</v>
      </c>
      <c r="P1551" s="27" t="s">
        <v>5538</v>
      </c>
      <c r="Q1551" s="26" t="str">
        <f>HYPERLINK("https://ictv.global/taxonomy/taxondetails?taxnode_id=202507045&amp;ictv_id=ICTV201857045","ICTV201857045")</f>
        <v>ICTV201857045</v>
      </c>
      <c r="R1551" t="s">
        <v>579</v>
      </c>
      <c r="S1551" t="s">
        <v>22763</v>
      </c>
      <c r="T1551">
        <v>40</v>
      </c>
      <c r="U1551" s="26" t="str">
        <f t="shared" si="50"/>
        <v>2024.026B.Pantevenvirales_1no_3mf.zip</v>
      </c>
    </row>
    <row r="1552" spans="1:21">
      <c r="A1552">
        <v>1551</v>
      </c>
      <c r="B1552" s="27" t="s">
        <v>1449</v>
      </c>
      <c r="D1552" s="27" t="s">
        <v>1450</v>
      </c>
      <c r="F1552" s="27" t="s">
        <v>1453</v>
      </c>
      <c r="H1552" s="27" t="s">
        <v>1454</v>
      </c>
      <c r="J1552" s="27" t="s">
        <v>19301</v>
      </c>
      <c r="L1552" s="27" t="s">
        <v>5489</v>
      </c>
      <c r="M1552" s="27" t="s">
        <v>324</v>
      </c>
      <c r="N1552" s="27" t="s">
        <v>1212</v>
      </c>
      <c r="P1552" s="27" t="s">
        <v>5539</v>
      </c>
      <c r="Q1552" s="26" t="str">
        <f>HYPERLINK("https://ictv.global/taxonomy/taxondetails?taxnode_id=202513706&amp;ictv_id=ICTV202113706","ICTV202113706")</f>
        <v>ICTV202113706</v>
      </c>
      <c r="R1552" t="s">
        <v>579</v>
      </c>
      <c r="S1552" t="s">
        <v>22763</v>
      </c>
      <c r="T1552">
        <v>40</v>
      </c>
      <c r="U1552" s="26" t="str">
        <f t="shared" si="50"/>
        <v>2024.026B.Pantevenvirales_1no_3mf.zip</v>
      </c>
    </row>
    <row r="1553" spans="1:21">
      <c r="A1553">
        <v>1552</v>
      </c>
      <c r="B1553" s="27" t="s">
        <v>1449</v>
      </c>
      <c r="D1553" s="27" t="s">
        <v>1450</v>
      </c>
      <c r="F1553" s="27" t="s">
        <v>1453</v>
      </c>
      <c r="H1553" s="27" t="s">
        <v>1454</v>
      </c>
      <c r="J1553" s="27" t="s">
        <v>19301</v>
      </c>
      <c r="L1553" s="27" t="s">
        <v>5489</v>
      </c>
      <c r="M1553" s="27" t="s">
        <v>324</v>
      </c>
      <c r="N1553" s="27" t="s">
        <v>1212</v>
      </c>
      <c r="P1553" s="27" t="s">
        <v>5540</v>
      </c>
      <c r="Q1553" s="26" t="str">
        <f>HYPERLINK("https://ictv.global/taxonomy/taxondetails?taxnode_id=202513704&amp;ictv_id=ICTV202113704","ICTV202113704")</f>
        <v>ICTV202113704</v>
      </c>
      <c r="R1553" t="s">
        <v>579</v>
      </c>
      <c r="S1553" t="s">
        <v>22763</v>
      </c>
      <c r="T1553">
        <v>40</v>
      </c>
      <c r="U1553" s="26" t="str">
        <f t="shared" si="50"/>
        <v>2024.026B.Pantevenvirales_1no_3mf.zip</v>
      </c>
    </row>
    <row r="1554" spans="1:21">
      <c r="A1554">
        <v>1553</v>
      </c>
      <c r="B1554" s="27" t="s">
        <v>1449</v>
      </c>
      <c r="D1554" s="27" t="s">
        <v>1450</v>
      </c>
      <c r="F1554" s="27" t="s">
        <v>1453</v>
      </c>
      <c r="H1554" s="27" t="s">
        <v>1454</v>
      </c>
      <c r="J1554" s="27" t="s">
        <v>19301</v>
      </c>
      <c r="L1554" s="27" t="s">
        <v>5489</v>
      </c>
      <c r="M1554" s="27" t="s">
        <v>324</v>
      </c>
      <c r="N1554" s="27" t="s">
        <v>1212</v>
      </c>
      <c r="P1554" s="27" t="s">
        <v>5541</v>
      </c>
      <c r="Q1554" s="26" t="str">
        <f>HYPERLINK("https://ictv.global/taxonomy/taxondetails?taxnode_id=202513705&amp;ictv_id=ICTV202113705","ICTV202113705")</f>
        <v>ICTV202113705</v>
      </c>
      <c r="R1554" t="s">
        <v>579</v>
      </c>
      <c r="S1554" t="s">
        <v>22763</v>
      </c>
      <c r="T1554">
        <v>40</v>
      </c>
      <c r="U1554" s="26" t="str">
        <f t="shared" si="50"/>
        <v>2024.026B.Pantevenvirales_1no_3mf.zip</v>
      </c>
    </row>
    <row r="1555" spans="1:21">
      <c r="A1555">
        <v>1554</v>
      </c>
      <c r="B1555" s="27" t="s">
        <v>1449</v>
      </c>
      <c r="D1555" s="27" t="s">
        <v>1450</v>
      </c>
      <c r="F1555" s="27" t="s">
        <v>1453</v>
      </c>
      <c r="H1555" s="27" t="s">
        <v>1454</v>
      </c>
      <c r="J1555" s="27" t="s">
        <v>19301</v>
      </c>
      <c r="L1555" s="27" t="s">
        <v>5489</v>
      </c>
      <c r="M1555" s="27" t="s">
        <v>324</v>
      </c>
      <c r="N1555" s="27" t="s">
        <v>1212</v>
      </c>
      <c r="P1555" s="27" t="s">
        <v>19304</v>
      </c>
      <c r="Q1555" s="26" t="str">
        <f>HYPERLINK("https://ictv.global/taxonomy/taxondetails?taxnode_id=202511979&amp;ictv_id=ICTV202011979","ICTV202011979")</f>
        <v>ICTV202011979</v>
      </c>
      <c r="R1555" t="s">
        <v>579</v>
      </c>
      <c r="S1555" t="s">
        <v>22764</v>
      </c>
      <c r="T1555">
        <v>40</v>
      </c>
      <c r="U1555" s="26" t="str">
        <f>HYPERLINK("https://ictv.global/ictv/proposals/2024.036B.Caudoviricetes_Faserviricetes_Name_Corrections.zip","2024.036B.Caudoviricetes_Faserviricetes_Name_Corrections.zip")</f>
        <v>2024.036B.Caudoviricetes_Faserviricetes_Name_Corrections.zip</v>
      </c>
    </row>
    <row r="1556" spans="1:21">
      <c r="A1556">
        <v>1555</v>
      </c>
      <c r="B1556" s="27" t="s">
        <v>1449</v>
      </c>
      <c r="D1556" s="27" t="s">
        <v>1450</v>
      </c>
      <c r="F1556" s="27" t="s">
        <v>1453</v>
      </c>
      <c r="H1556" s="27" t="s">
        <v>1454</v>
      </c>
      <c r="J1556" s="27" t="s">
        <v>19301</v>
      </c>
      <c r="L1556" s="27" t="s">
        <v>5489</v>
      </c>
      <c r="M1556" s="27" t="s">
        <v>324</v>
      </c>
      <c r="N1556" s="27" t="s">
        <v>1212</v>
      </c>
      <c r="P1556" s="27" t="s">
        <v>5542</v>
      </c>
      <c r="Q1556" s="26" t="str">
        <f>HYPERLINK("https://ictv.global/taxonomy/taxondetails?taxnode_id=202500306&amp;ictv_id=ICTV20150089","ICTV20150089")</f>
        <v>ICTV20150089</v>
      </c>
      <c r="R1556" t="s">
        <v>579</v>
      </c>
      <c r="S1556" t="s">
        <v>22763</v>
      </c>
      <c r="T1556">
        <v>40</v>
      </c>
      <c r="U1556" s="26" t="str">
        <f>HYPERLINK("https://ictv.global/ictv/proposals/2024.026B.Pantevenvirales_1no_3mf.zip","2024.026B.Pantevenvirales_1no_3mf.zip")</f>
        <v>2024.026B.Pantevenvirales_1no_3mf.zip</v>
      </c>
    </row>
    <row r="1557" spans="1:21">
      <c r="A1557">
        <v>1556</v>
      </c>
      <c r="B1557" s="27" t="s">
        <v>1449</v>
      </c>
      <c r="D1557" s="27" t="s">
        <v>1450</v>
      </c>
      <c r="F1557" s="27" t="s">
        <v>1453</v>
      </c>
      <c r="H1557" s="27" t="s">
        <v>1454</v>
      </c>
      <c r="J1557" s="27" t="s">
        <v>19301</v>
      </c>
      <c r="L1557" s="27" t="s">
        <v>5489</v>
      </c>
      <c r="M1557" s="27" t="s">
        <v>324</v>
      </c>
      <c r="N1557" s="27" t="s">
        <v>1212</v>
      </c>
      <c r="P1557" s="27" t="s">
        <v>19305</v>
      </c>
      <c r="Q1557" s="26" t="str">
        <f>HYPERLINK("https://ictv.global/taxonomy/taxondetails?taxnode_id=202512010&amp;ictv_id=ICTV202012010","ICTV202012010")</f>
        <v>ICTV202012010</v>
      </c>
      <c r="R1557" t="s">
        <v>579</v>
      </c>
      <c r="S1557" t="s">
        <v>22764</v>
      </c>
      <c r="T1557">
        <v>40</v>
      </c>
      <c r="U1557" s="26" t="str">
        <f>HYPERLINK("https://ictv.global/ictv/proposals/2024.036B.Caudoviricetes_Faserviricetes_Name_Corrections.zip","2024.036B.Caudoviricetes_Faserviricetes_Name_Corrections.zip")</f>
        <v>2024.036B.Caudoviricetes_Faserviricetes_Name_Corrections.zip</v>
      </c>
    </row>
    <row r="1558" spans="1:21">
      <c r="A1558">
        <v>1557</v>
      </c>
      <c r="B1558" s="27" t="s">
        <v>1449</v>
      </c>
      <c r="D1558" s="27" t="s">
        <v>1450</v>
      </c>
      <c r="F1558" s="27" t="s">
        <v>1453</v>
      </c>
      <c r="H1558" s="27" t="s">
        <v>1454</v>
      </c>
      <c r="J1558" s="27" t="s">
        <v>19301</v>
      </c>
      <c r="L1558" s="27" t="s">
        <v>5489</v>
      </c>
      <c r="M1558" s="27" t="s">
        <v>324</v>
      </c>
      <c r="N1558" s="27" t="s">
        <v>1212</v>
      </c>
      <c r="P1558" s="27" t="s">
        <v>5543</v>
      </c>
      <c r="Q1558" s="26" t="str">
        <f>HYPERLINK("https://ictv.global/taxonomy/taxondetails?taxnode_id=202500307&amp;ictv_id=ICTV20150088","ICTV20150088")</f>
        <v>ICTV20150088</v>
      </c>
      <c r="R1558" t="s">
        <v>579</v>
      </c>
      <c r="S1558" t="s">
        <v>22763</v>
      </c>
      <c r="T1558">
        <v>40</v>
      </c>
      <c r="U1558" s="26" t="str">
        <f>HYPERLINK("https://ictv.global/ictv/proposals/2024.026B.Pantevenvirales_1no_3mf.zip","2024.026B.Pantevenvirales_1no_3mf.zip")</f>
        <v>2024.026B.Pantevenvirales_1no_3mf.zip</v>
      </c>
    </row>
    <row r="1559" spans="1:21">
      <c r="A1559">
        <v>1558</v>
      </c>
      <c r="B1559" s="27" t="s">
        <v>1449</v>
      </c>
      <c r="D1559" s="27" t="s">
        <v>1450</v>
      </c>
      <c r="F1559" s="27" t="s">
        <v>1453</v>
      </c>
      <c r="H1559" s="27" t="s">
        <v>1454</v>
      </c>
      <c r="J1559" s="27" t="s">
        <v>19301</v>
      </c>
      <c r="L1559" s="27" t="s">
        <v>5489</v>
      </c>
      <c r="M1559" s="27" t="s">
        <v>324</v>
      </c>
      <c r="N1559" s="27" t="s">
        <v>1212</v>
      </c>
      <c r="P1559" s="27" t="s">
        <v>22370</v>
      </c>
      <c r="Q1559" s="26" t="str">
        <f>HYPERLINK("https://ictv.global/taxonomy/taxondetails?taxnode_id=202523031&amp;ictv_id=ICTV202523031","ICTV202523031")</f>
        <v>ICTV202523031</v>
      </c>
      <c r="R1559" t="s">
        <v>579</v>
      </c>
      <c r="S1559" t="s">
        <v>823</v>
      </c>
      <c r="T1559">
        <v>41</v>
      </c>
      <c r="U1559" s="26" t="str">
        <f>HYPERLINK("https://ictv.global/ictv/proposals/2025.045B.Mosigvirus_1ns.zip","2025.045B.Mosigvirus_1ns.zip")</f>
        <v>2025.045B.Mosigvirus_1ns.zip</v>
      </c>
    </row>
    <row r="1560" spans="1:21">
      <c r="A1560">
        <v>1559</v>
      </c>
      <c r="B1560" s="27" t="s">
        <v>1449</v>
      </c>
      <c r="D1560" s="27" t="s">
        <v>1450</v>
      </c>
      <c r="F1560" s="27" t="s">
        <v>1453</v>
      </c>
      <c r="H1560" s="27" t="s">
        <v>1454</v>
      </c>
      <c r="J1560" s="27" t="s">
        <v>19301</v>
      </c>
      <c r="L1560" s="27" t="s">
        <v>5489</v>
      </c>
      <c r="M1560" s="27" t="s">
        <v>324</v>
      </c>
      <c r="N1560" s="27" t="s">
        <v>1212</v>
      </c>
      <c r="P1560" s="27" t="s">
        <v>5544</v>
      </c>
      <c r="Q1560" s="26" t="str">
        <f>HYPERLINK("https://ictv.global/taxonomy/taxondetails?taxnode_id=202507042&amp;ictv_id=ICTV201857042","ICTV201857042")</f>
        <v>ICTV201857042</v>
      </c>
      <c r="R1560" t="s">
        <v>579</v>
      </c>
      <c r="S1560" t="s">
        <v>22763</v>
      </c>
      <c r="T1560">
        <v>40</v>
      </c>
      <c r="U1560" s="26" t="str">
        <f t="shared" ref="U1560:U1567" si="51">HYPERLINK("https://ictv.global/ictv/proposals/2024.026B.Pantevenvirales_1no_3mf.zip","2024.026B.Pantevenvirales_1no_3mf.zip")</f>
        <v>2024.026B.Pantevenvirales_1no_3mf.zip</v>
      </c>
    </row>
    <row r="1561" spans="1:21">
      <c r="A1561">
        <v>1560</v>
      </c>
      <c r="B1561" s="27" t="s">
        <v>1449</v>
      </c>
      <c r="D1561" s="27" t="s">
        <v>1450</v>
      </c>
      <c r="F1561" s="27" t="s">
        <v>1453</v>
      </c>
      <c r="H1561" s="27" t="s">
        <v>1454</v>
      </c>
      <c r="J1561" s="27" t="s">
        <v>19301</v>
      </c>
      <c r="L1561" s="27" t="s">
        <v>5489</v>
      </c>
      <c r="M1561" s="27" t="s">
        <v>324</v>
      </c>
      <c r="N1561" s="27" t="s">
        <v>1212</v>
      </c>
      <c r="P1561" s="27" t="s">
        <v>5545</v>
      </c>
      <c r="Q1561" s="26" t="str">
        <f>HYPERLINK("https://ictv.global/taxonomy/taxondetails?taxnode_id=202513708&amp;ictv_id=ICTV202113708","ICTV202113708")</f>
        <v>ICTV202113708</v>
      </c>
      <c r="R1561" t="s">
        <v>579</v>
      </c>
      <c r="S1561" t="s">
        <v>22763</v>
      </c>
      <c r="T1561">
        <v>40</v>
      </c>
      <c r="U1561" s="26" t="str">
        <f t="shared" si="51"/>
        <v>2024.026B.Pantevenvirales_1no_3mf.zip</v>
      </c>
    </row>
    <row r="1562" spans="1:21">
      <c r="A1562">
        <v>1561</v>
      </c>
      <c r="B1562" s="27" t="s">
        <v>1449</v>
      </c>
      <c r="D1562" s="27" t="s">
        <v>1450</v>
      </c>
      <c r="F1562" s="27" t="s">
        <v>1453</v>
      </c>
      <c r="H1562" s="27" t="s">
        <v>1454</v>
      </c>
      <c r="J1562" s="27" t="s">
        <v>19301</v>
      </c>
      <c r="L1562" s="27" t="s">
        <v>5489</v>
      </c>
      <c r="M1562" s="27" t="s">
        <v>324</v>
      </c>
      <c r="N1562" s="27" t="s">
        <v>1212</v>
      </c>
      <c r="P1562" s="27" t="s">
        <v>5546</v>
      </c>
      <c r="Q1562" s="26" t="str">
        <f>HYPERLINK("https://ictv.global/taxonomy/taxondetails?taxnode_id=202507040&amp;ictv_id=ICTV201857040","ICTV201857040")</f>
        <v>ICTV201857040</v>
      </c>
      <c r="R1562" t="s">
        <v>579</v>
      </c>
      <c r="S1562" t="s">
        <v>22763</v>
      </c>
      <c r="T1562">
        <v>40</v>
      </c>
      <c r="U1562" s="26" t="str">
        <f t="shared" si="51"/>
        <v>2024.026B.Pantevenvirales_1no_3mf.zip</v>
      </c>
    </row>
    <row r="1563" spans="1:21">
      <c r="A1563">
        <v>1562</v>
      </c>
      <c r="B1563" s="27" t="s">
        <v>1449</v>
      </c>
      <c r="D1563" s="27" t="s">
        <v>1450</v>
      </c>
      <c r="F1563" s="27" t="s">
        <v>1453</v>
      </c>
      <c r="H1563" s="27" t="s">
        <v>1454</v>
      </c>
      <c r="J1563" s="27" t="s">
        <v>19301</v>
      </c>
      <c r="L1563" s="27" t="s">
        <v>5489</v>
      </c>
      <c r="M1563" s="27" t="s">
        <v>324</v>
      </c>
      <c r="N1563" s="27" t="s">
        <v>1212</v>
      </c>
      <c r="P1563" s="27" t="s">
        <v>5547</v>
      </c>
      <c r="Q1563" s="26" t="str">
        <f>HYPERLINK("https://ictv.global/taxonomy/taxondetails?taxnode_id=202500308&amp;ictv_id=ICTV20115483","ICTV20115483")</f>
        <v>ICTV20115483</v>
      </c>
      <c r="R1563" t="s">
        <v>579</v>
      </c>
      <c r="S1563" t="s">
        <v>22763</v>
      </c>
      <c r="T1563">
        <v>40</v>
      </c>
      <c r="U1563" s="26" t="str">
        <f t="shared" si="51"/>
        <v>2024.026B.Pantevenvirales_1no_3mf.zip</v>
      </c>
    </row>
    <row r="1564" spans="1:21">
      <c r="A1564">
        <v>1563</v>
      </c>
      <c r="B1564" s="27" t="s">
        <v>1449</v>
      </c>
      <c r="D1564" s="27" t="s">
        <v>1450</v>
      </c>
      <c r="F1564" s="27" t="s">
        <v>1453</v>
      </c>
      <c r="H1564" s="27" t="s">
        <v>1454</v>
      </c>
      <c r="J1564" s="27" t="s">
        <v>19301</v>
      </c>
      <c r="L1564" s="27" t="s">
        <v>5489</v>
      </c>
      <c r="M1564" s="27" t="s">
        <v>324</v>
      </c>
      <c r="N1564" s="27" t="s">
        <v>1212</v>
      </c>
      <c r="P1564" s="27" t="s">
        <v>5548</v>
      </c>
      <c r="Q1564" s="26" t="str">
        <f>HYPERLINK("https://ictv.global/taxonomy/taxondetails?taxnode_id=202513707&amp;ictv_id=ICTV202113707","ICTV202113707")</f>
        <v>ICTV202113707</v>
      </c>
      <c r="R1564" t="s">
        <v>579</v>
      </c>
      <c r="S1564" t="s">
        <v>22763</v>
      </c>
      <c r="T1564">
        <v>40</v>
      </c>
      <c r="U1564" s="26" t="str">
        <f t="shared" si="51"/>
        <v>2024.026B.Pantevenvirales_1no_3mf.zip</v>
      </c>
    </row>
    <row r="1565" spans="1:21">
      <c r="A1565">
        <v>1564</v>
      </c>
      <c r="B1565" s="27" t="s">
        <v>1449</v>
      </c>
      <c r="D1565" s="27" t="s">
        <v>1450</v>
      </c>
      <c r="F1565" s="27" t="s">
        <v>1453</v>
      </c>
      <c r="H1565" s="27" t="s">
        <v>1454</v>
      </c>
      <c r="J1565" s="27" t="s">
        <v>19301</v>
      </c>
      <c r="L1565" s="27" t="s">
        <v>5489</v>
      </c>
      <c r="M1565" s="27" t="s">
        <v>324</v>
      </c>
      <c r="N1565" s="27" t="s">
        <v>1212</v>
      </c>
      <c r="P1565" s="27" t="s">
        <v>5549</v>
      </c>
      <c r="Q1565" s="26" t="str">
        <f>HYPERLINK("https://ictv.global/taxonomy/taxondetails?taxnode_id=202507044&amp;ictv_id=ICTV201857044","ICTV201857044")</f>
        <v>ICTV201857044</v>
      </c>
      <c r="R1565" t="s">
        <v>579</v>
      </c>
      <c r="S1565" t="s">
        <v>22763</v>
      </c>
      <c r="T1565">
        <v>40</v>
      </c>
      <c r="U1565" s="26" t="str">
        <f t="shared" si="51"/>
        <v>2024.026B.Pantevenvirales_1no_3mf.zip</v>
      </c>
    </row>
    <row r="1566" spans="1:21">
      <c r="A1566">
        <v>1565</v>
      </c>
      <c r="B1566" s="27" t="s">
        <v>1449</v>
      </c>
      <c r="D1566" s="27" t="s">
        <v>1450</v>
      </c>
      <c r="F1566" s="27" t="s">
        <v>1453</v>
      </c>
      <c r="H1566" s="27" t="s">
        <v>1454</v>
      </c>
      <c r="J1566" s="27" t="s">
        <v>19301</v>
      </c>
      <c r="L1566" s="27" t="s">
        <v>5489</v>
      </c>
      <c r="M1566" s="27" t="s">
        <v>324</v>
      </c>
      <c r="N1566" s="27" t="s">
        <v>1212</v>
      </c>
      <c r="P1566" s="27" t="s">
        <v>5550</v>
      </c>
      <c r="Q1566" s="26" t="str">
        <f>HYPERLINK("https://ictv.global/taxonomy/taxondetails?taxnode_id=202500309&amp;ictv_id=ICTV20150090","ICTV20150090")</f>
        <v>ICTV20150090</v>
      </c>
      <c r="R1566" t="s">
        <v>579</v>
      </c>
      <c r="S1566" t="s">
        <v>22763</v>
      </c>
      <c r="T1566">
        <v>40</v>
      </c>
      <c r="U1566" s="26" t="str">
        <f t="shared" si="51"/>
        <v>2024.026B.Pantevenvirales_1no_3mf.zip</v>
      </c>
    </row>
    <row r="1567" spans="1:21">
      <c r="A1567">
        <v>1566</v>
      </c>
      <c r="B1567" s="27" t="s">
        <v>1449</v>
      </c>
      <c r="D1567" s="27" t="s">
        <v>1450</v>
      </c>
      <c r="F1567" s="27" t="s">
        <v>1453</v>
      </c>
      <c r="H1567" s="27" t="s">
        <v>1454</v>
      </c>
      <c r="J1567" s="27" t="s">
        <v>19301</v>
      </c>
      <c r="L1567" s="27" t="s">
        <v>5489</v>
      </c>
      <c r="M1567" s="27" t="s">
        <v>324</v>
      </c>
      <c r="N1567" s="27" t="s">
        <v>5551</v>
      </c>
      <c r="P1567" s="27" t="s">
        <v>5552</v>
      </c>
      <c r="Q1567" s="26" t="str">
        <f>HYPERLINK("https://ictv.global/taxonomy/taxondetails?taxnode_id=202513690&amp;ictv_id=ICTV202113690","ICTV202113690")</f>
        <v>ICTV202113690</v>
      </c>
      <c r="R1567" t="s">
        <v>579</v>
      </c>
      <c r="S1567" t="s">
        <v>22763</v>
      </c>
      <c r="T1567">
        <v>40</v>
      </c>
      <c r="U1567" s="26" t="str">
        <f t="shared" si="51"/>
        <v>2024.026B.Pantevenvirales_1no_3mf.zip</v>
      </c>
    </row>
    <row r="1568" spans="1:21">
      <c r="A1568">
        <v>1567</v>
      </c>
      <c r="B1568" s="27" t="s">
        <v>1449</v>
      </c>
      <c r="D1568" s="27" t="s">
        <v>1450</v>
      </c>
      <c r="F1568" s="27" t="s">
        <v>1453</v>
      </c>
      <c r="H1568" s="27" t="s">
        <v>1454</v>
      </c>
      <c r="J1568" s="27" t="s">
        <v>19301</v>
      </c>
      <c r="L1568" s="27" t="s">
        <v>5489</v>
      </c>
      <c r="M1568" s="27" t="s">
        <v>324</v>
      </c>
      <c r="N1568" s="27" t="s">
        <v>19306</v>
      </c>
      <c r="P1568" s="27" t="s">
        <v>19307</v>
      </c>
      <c r="Q1568" s="26" t="str">
        <f>HYPERLINK("https://ictv.global/taxonomy/taxondetails?taxnode_id=202513696&amp;ictv_id=ICTV202113696","ICTV202113696")</f>
        <v>ICTV202113696</v>
      </c>
      <c r="R1568" t="s">
        <v>579</v>
      </c>
      <c r="S1568" t="s">
        <v>824</v>
      </c>
      <c r="T1568">
        <v>40</v>
      </c>
      <c r="U1568" s="26" t="str">
        <f>HYPERLINK("https://ictv.global/ictv/proposals/2024.036B.Caudoviricetes_Faserviricetes_Name_Corrections.zip","2024.036B.Caudoviricetes_Faserviricetes_Name_Corrections.zip")</f>
        <v>2024.036B.Caudoviricetes_Faserviricetes_Name_Corrections.zip</v>
      </c>
    </row>
    <row r="1569" spans="1:21">
      <c r="A1569">
        <v>1568</v>
      </c>
      <c r="B1569" s="27" t="s">
        <v>1449</v>
      </c>
      <c r="D1569" s="27" t="s">
        <v>1450</v>
      </c>
      <c r="F1569" s="27" t="s">
        <v>1453</v>
      </c>
      <c r="H1569" s="27" t="s">
        <v>1454</v>
      </c>
      <c r="J1569" s="27" t="s">
        <v>19301</v>
      </c>
      <c r="L1569" s="27" t="s">
        <v>5489</v>
      </c>
      <c r="M1569" s="27" t="s">
        <v>324</v>
      </c>
      <c r="N1569" s="27" t="s">
        <v>1263</v>
      </c>
      <c r="P1569" s="27" t="s">
        <v>5553</v>
      </c>
      <c r="Q1569" s="26" t="str">
        <f>HYPERLINK("https://ictv.global/taxonomy/taxondetails?taxnode_id=202513685&amp;ictv_id=ICTV202113685","ICTV202113685")</f>
        <v>ICTV202113685</v>
      </c>
      <c r="R1569" t="s">
        <v>579</v>
      </c>
      <c r="S1569" t="s">
        <v>22763</v>
      </c>
      <c r="T1569">
        <v>40</v>
      </c>
      <c r="U1569" s="26" t="str">
        <f>HYPERLINK("https://ictv.global/ictv/proposals/2024.026B.Pantevenvirales_1no_3mf.zip","2024.026B.Pantevenvirales_1no_3mf.zip")</f>
        <v>2024.026B.Pantevenvirales_1no_3mf.zip</v>
      </c>
    </row>
    <row r="1570" spans="1:21">
      <c r="A1570">
        <v>1569</v>
      </c>
      <c r="B1570" s="27" t="s">
        <v>1449</v>
      </c>
      <c r="D1570" s="27" t="s">
        <v>1450</v>
      </c>
      <c r="F1570" s="27" t="s">
        <v>1453</v>
      </c>
      <c r="H1570" s="27" t="s">
        <v>1454</v>
      </c>
      <c r="J1570" s="27" t="s">
        <v>19301</v>
      </c>
      <c r="L1570" s="27" t="s">
        <v>5489</v>
      </c>
      <c r="M1570" s="27" t="s">
        <v>324</v>
      </c>
      <c r="N1570" s="27" t="s">
        <v>1263</v>
      </c>
      <c r="P1570" s="27" t="s">
        <v>5554</v>
      </c>
      <c r="Q1570" s="26" t="str">
        <f>HYPERLINK("https://ictv.global/taxonomy/taxondetails?taxnode_id=202500510&amp;ictv_id=ICTV20150234","ICTV20150234")</f>
        <v>ICTV20150234</v>
      </c>
      <c r="R1570" t="s">
        <v>579</v>
      </c>
      <c r="S1570" t="s">
        <v>22763</v>
      </c>
      <c r="T1570">
        <v>40</v>
      </c>
      <c r="U1570" s="26" t="str">
        <f>HYPERLINK("https://ictv.global/ictv/proposals/2024.026B.Pantevenvirales_1no_3mf.zip","2024.026B.Pantevenvirales_1no_3mf.zip")</f>
        <v>2024.026B.Pantevenvirales_1no_3mf.zip</v>
      </c>
    </row>
    <row r="1571" spans="1:21">
      <c r="A1571">
        <v>1570</v>
      </c>
      <c r="B1571" s="27" t="s">
        <v>1449</v>
      </c>
      <c r="D1571" s="27" t="s">
        <v>1450</v>
      </c>
      <c r="F1571" s="27" t="s">
        <v>1453</v>
      </c>
      <c r="H1571" s="27" t="s">
        <v>1454</v>
      </c>
      <c r="J1571" s="27" t="s">
        <v>19301</v>
      </c>
      <c r="L1571" s="27" t="s">
        <v>5489</v>
      </c>
      <c r="M1571" s="27" t="s">
        <v>324</v>
      </c>
      <c r="N1571" s="27" t="s">
        <v>1263</v>
      </c>
      <c r="P1571" s="27" t="s">
        <v>5555</v>
      </c>
      <c r="Q1571" s="26" t="str">
        <f>HYPERLINK("https://ictv.global/taxonomy/taxondetails?taxnode_id=202500511&amp;ictv_id=ICTV20150233","ICTV20150233")</f>
        <v>ICTV20150233</v>
      </c>
      <c r="R1571" t="s">
        <v>579</v>
      </c>
      <c r="S1571" t="s">
        <v>22763</v>
      </c>
      <c r="T1571">
        <v>40</v>
      </c>
      <c r="U1571" s="26" t="str">
        <f>HYPERLINK("https://ictv.global/ictv/proposals/2024.026B.Pantevenvirales_1no_3mf.zip","2024.026B.Pantevenvirales_1no_3mf.zip")</f>
        <v>2024.026B.Pantevenvirales_1no_3mf.zip</v>
      </c>
    </row>
    <row r="1572" spans="1:21">
      <c r="A1572">
        <v>1571</v>
      </c>
      <c r="B1572" s="27" t="s">
        <v>1449</v>
      </c>
      <c r="D1572" s="27" t="s">
        <v>1450</v>
      </c>
      <c r="F1572" s="27" t="s">
        <v>1453</v>
      </c>
      <c r="H1572" s="27" t="s">
        <v>1454</v>
      </c>
      <c r="J1572" s="27" t="s">
        <v>19301</v>
      </c>
      <c r="L1572" s="27" t="s">
        <v>5489</v>
      </c>
      <c r="M1572" s="27" t="s">
        <v>324</v>
      </c>
      <c r="N1572" s="27" t="s">
        <v>1215</v>
      </c>
      <c r="P1572" s="27" t="s">
        <v>5556</v>
      </c>
      <c r="Q1572" s="26" t="str">
        <f>HYPERLINK("https://ictv.global/taxonomy/taxondetails?taxnode_id=202511969&amp;ictv_id=ICTV202011969","ICTV202011969")</f>
        <v>ICTV202011969</v>
      </c>
      <c r="R1572" t="s">
        <v>579</v>
      </c>
      <c r="S1572" t="s">
        <v>22763</v>
      </c>
      <c r="T1572">
        <v>40</v>
      </c>
      <c r="U1572" s="26" t="str">
        <f>HYPERLINK("https://ictv.global/ictv/proposals/2024.026B.Pantevenvirales_1no_3mf.zip","2024.026B.Pantevenvirales_1no_3mf.zip")</f>
        <v>2024.026B.Pantevenvirales_1no_3mf.zip</v>
      </c>
    </row>
    <row r="1573" spans="1:21">
      <c r="A1573">
        <v>1572</v>
      </c>
      <c r="B1573" s="27" t="s">
        <v>1449</v>
      </c>
      <c r="D1573" s="27" t="s">
        <v>1450</v>
      </c>
      <c r="F1573" s="27" t="s">
        <v>1453</v>
      </c>
      <c r="H1573" s="27" t="s">
        <v>1454</v>
      </c>
      <c r="J1573" s="27" t="s">
        <v>19301</v>
      </c>
      <c r="L1573" s="27" t="s">
        <v>5489</v>
      </c>
      <c r="M1573" s="27" t="s">
        <v>324</v>
      </c>
      <c r="N1573" s="27" t="s">
        <v>1215</v>
      </c>
      <c r="P1573" s="27" t="s">
        <v>5557</v>
      </c>
      <c r="Q1573" s="26" t="str">
        <f>HYPERLINK("https://ictv.global/taxonomy/taxondetails?taxnode_id=202500324&amp;ictv_id=ICTV20150076","ICTV20150076")</f>
        <v>ICTV20150076</v>
      </c>
      <c r="R1573" t="s">
        <v>579</v>
      </c>
      <c r="S1573" t="s">
        <v>22763</v>
      </c>
      <c r="T1573">
        <v>40</v>
      </c>
      <c r="U1573" s="26" t="str">
        <f>HYPERLINK("https://ictv.global/ictv/proposals/2024.026B.Pantevenvirales_1no_3mf.zip","2024.026B.Pantevenvirales_1no_3mf.zip")</f>
        <v>2024.026B.Pantevenvirales_1no_3mf.zip</v>
      </c>
    </row>
    <row r="1574" spans="1:21">
      <c r="A1574">
        <v>1573</v>
      </c>
      <c r="B1574" s="27" t="s">
        <v>1449</v>
      </c>
      <c r="D1574" s="27" t="s">
        <v>1450</v>
      </c>
      <c r="F1574" s="27" t="s">
        <v>1453</v>
      </c>
      <c r="H1574" s="27" t="s">
        <v>1454</v>
      </c>
      <c r="J1574" s="27" t="s">
        <v>19301</v>
      </c>
      <c r="L1574" s="27" t="s">
        <v>5489</v>
      </c>
      <c r="M1574" s="27" t="s">
        <v>324</v>
      </c>
      <c r="N1574" s="27" t="s">
        <v>1215</v>
      </c>
      <c r="P1574" s="27" t="s">
        <v>21477</v>
      </c>
      <c r="Q1574" s="26" t="str">
        <f>HYPERLINK("https://ictv.global/taxonomy/taxondetails?taxnode_id=202522348&amp;ictv_id=ICTV202522348","ICTV202522348")</f>
        <v>ICTV202522348</v>
      </c>
      <c r="R1574" t="s">
        <v>579</v>
      </c>
      <c r="S1574" t="s">
        <v>823</v>
      </c>
      <c r="T1574">
        <v>41</v>
      </c>
      <c r="U1574" s="26" t="str">
        <f>HYPERLINK("https://ictv.global/ictv/proposals/2025.008B.Caudoviricetes_11ns.zip","2025.008B.Caudoviricetes_11ns.zip")</f>
        <v>2025.008B.Caudoviricetes_11ns.zip</v>
      </c>
    </row>
    <row r="1575" spans="1:21">
      <c r="A1575">
        <v>1574</v>
      </c>
      <c r="B1575" s="27" t="s">
        <v>1449</v>
      </c>
      <c r="D1575" s="27" t="s">
        <v>1450</v>
      </c>
      <c r="F1575" s="27" t="s">
        <v>1453</v>
      </c>
      <c r="H1575" s="27" t="s">
        <v>1454</v>
      </c>
      <c r="J1575" s="27" t="s">
        <v>19301</v>
      </c>
      <c r="L1575" s="27" t="s">
        <v>5489</v>
      </c>
      <c r="M1575" s="27" t="s">
        <v>324</v>
      </c>
      <c r="N1575" s="27" t="s">
        <v>1215</v>
      </c>
      <c r="P1575" s="27" t="s">
        <v>5558</v>
      </c>
      <c r="Q1575" s="26" t="str">
        <f>HYPERLINK("https://ictv.global/taxonomy/taxondetails?taxnode_id=202500325&amp;ictv_id=ICTV20150081","ICTV20150081")</f>
        <v>ICTV20150081</v>
      </c>
      <c r="R1575" t="s">
        <v>579</v>
      </c>
      <c r="S1575" t="s">
        <v>22763</v>
      </c>
      <c r="T1575">
        <v>40</v>
      </c>
      <c r="U1575" s="26" t="str">
        <f>HYPERLINK("https://ictv.global/ictv/proposals/2024.026B.Pantevenvirales_1no_3mf.zip","2024.026B.Pantevenvirales_1no_3mf.zip")</f>
        <v>2024.026B.Pantevenvirales_1no_3mf.zip</v>
      </c>
    </row>
    <row r="1576" spans="1:21">
      <c r="A1576">
        <v>1575</v>
      </c>
      <c r="B1576" s="27" t="s">
        <v>1449</v>
      </c>
      <c r="D1576" s="27" t="s">
        <v>1450</v>
      </c>
      <c r="F1576" s="27" t="s">
        <v>1453</v>
      </c>
      <c r="H1576" s="27" t="s">
        <v>1454</v>
      </c>
      <c r="J1576" s="27" t="s">
        <v>19301</v>
      </c>
      <c r="L1576" s="27" t="s">
        <v>5489</v>
      </c>
      <c r="M1576" s="27" t="s">
        <v>324</v>
      </c>
      <c r="N1576" s="27" t="s">
        <v>1215</v>
      </c>
      <c r="P1576" s="27" t="s">
        <v>19308</v>
      </c>
      <c r="Q1576" s="26" t="str">
        <f>HYPERLINK("https://ictv.global/taxonomy/taxondetails?taxnode_id=202507051&amp;ictv_id=ICTV201857051","ICTV201857051")</f>
        <v>ICTV201857051</v>
      </c>
      <c r="R1576" t="s">
        <v>579</v>
      </c>
      <c r="S1576" t="s">
        <v>824</v>
      </c>
      <c r="T1576">
        <v>40</v>
      </c>
      <c r="U1576" s="26" t="str">
        <f>HYPERLINK("https://ictv.global/ictv/proposals/2024.036B.Caudoviricetes_Faserviricetes_Name_Corrections.zip","2024.036B.Caudoviricetes_Faserviricetes_Name_Corrections.zip")</f>
        <v>2024.036B.Caudoviricetes_Faserviricetes_Name_Corrections.zip</v>
      </c>
    </row>
    <row r="1577" spans="1:21">
      <c r="A1577">
        <v>1576</v>
      </c>
      <c r="B1577" s="27" t="s">
        <v>1449</v>
      </c>
      <c r="D1577" s="27" t="s">
        <v>1450</v>
      </c>
      <c r="F1577" s="27" t="s">
        <v>1453</v>
      </c>
      <c r="H1577" s="27" t="s">
        <v>1454</v>
      </c>
      <c r="J1577" s="27" t="s">
        <v>19301</v>
      </c>
      <c r="L1577" s="27" t="s">
        <v>5489</v>
      </c>
      <c r="M1577" s="27" t="s">
        <v>324</v>
      </c>
      <c r="N1577" s="27" t="s">
        <v>1215</v>
      </c>
      <c r="P1577" s="27" t="s">
        <v>5559</v>
      </c>
      <c r="Q1577" s="26" t="str">
        <f>HYPERLINK("https://ictv.global/taxonomy/taxondetails?taxnode_id=202512009&amp;ictv_id=ICTV202012009","ICTV202012009")</f>
        <v>ICTV202012009</v>
      </c>
      <c r="R1577" t="s">
        <v>579</v>
      </c>
      <c r="S1577" t="s">
        <v>22763</v>
      </c>
      <c r="T1577">
        <v>40</v>
      </c>
      <c r="U1577" s="26" t="str">
        <f t="shared" ref="U1577:U1608" si="52">HYPERLINK("https://ictv.global/ictv/proposals/2024.026B.Pantevenvirales_1no_3mf.zip","2024.026B.Pantevenvirales_1no_3mf.zip")</f>
        <v>2024.026B.Pantevenvirales_1no_3mf.zip</v>
      </c>
    </row>
    <row r="1578" spans="1:21">
      <c r="A1578">
        <v>1577</v>
      </c>
      <c r="B1578" s="27" t="s">
        <v>1449</v>
      </c>
      <c r="D1578" s="27" t="s">
        <v>1450</v>
      </c>
      <c r="F1578" s="27" t="s">
        <v>1453</v>
      </c>
      <c r="H1578" s="27" t="s">
        <v>1454</v>
      </c>
      <c r="J1578" s="27" t="s">
        <v>19301</v>
      </c>
      <c r="L1578" s="27" t="s">
        <v>5489</v>
      </c>
      <c r="M1578" s="27" t="s">
        <v>324</v>
      </c>
      <c r="N1578" s="27" t="s">
        <v>1215</v>
      </c>
      <c r="P1578" s="27" t="s">
        <v>5560</v>
      </c>
      <c r="Q1578" s="26" t="str">
        <f>HYPERLINK("https://ictv.global/taxonomy/taxondetails?taxnode_id=202511968&amp;ictv_id=ICTV202011968","ICTV202011968")</f>
        <v>ICTV202011968</v>
      </c>
      <c r="R1578" t="s">
        <v>579</v>
      </c>
      <c r="S1578" t="s">
        <v>22763</v>
      </c>
      <c r="T1578">
        <v>40</v>
      </c>
      <c r="U1578" s="26" t="str">
        <f t="shared" si="52"/>
        <v>2024.026B.Pantevenvirales_1no_3mf.zip</v>
      </c>
    </row>
    <row r="1579" spans="1:21">
      <c r="A1579">
        <v>1578</v>
      </c>
      <c r="B1579" s="27" t="s">
        <v>1449</v>
      </c>
      <c r="D1579" s="27" t="s">
        <v>1450</v>
      </c>
      <c r="F1579" s="27" t="s">
        <v>1453</v>
      </c>
      <c r="H1579" s="27" t="s">
        <v>1454</v>
      </c>
      <c r="J1579" s="27" t="s">
        <v>19301</v>
      </c>
      <c r="L1579" s="27" t="s">
        <v>5489</v>
      </c>
      <c r="M1579" s="27" t="s">
        <v>324</v>
      </c>
      <c r="N1579" s="27" t="s">
        <v>1215</v>
      </c>
      <c r="P1579" s="27" t="s">
        <v>5561</v>
      </c>
      <c r="Q1579" s="26" t="str">
        <f>HYPERLINK("https://ictv.global/taxonomy/taxondetails?taxnode_id=202500335&amp;ictv_id=ICTV20150085","ICTV20150085")</f>
        <v>ICTV20150085</v>
      </c>
      <c r="R1579" t="s">
        <v>579</v>
      </c>
      <c r="S1579" t="s">
        <v>22763</v>
      </c>
      <c r="T1579">
        <v>40</v>
      </c>
      <c r="U1579" s="26" t="str">
        <f t="shared" si="52"/>
        <v>2024.026B.Pantevenvirales_1no_3mf.zip</v>
      </c>
    </row>
    <row r="1580" spans="1:21">
      <c r="A1580">
        <v>1579</v>
      </c>
      <c r="B1580" s="27" t="s">
        <v>1449</v>
      </c>
      <c r="D1580" s="27" t="s">
        <v>1450</v>
      </c>
      <c r="F1580" s="27" t="s">
        <v>1453</v>
      </c>
      <c r="H1580" s="27" t="s">
        <v>1454</v>
      </c>
      <c r="J1580" s="27" t="s">
        <v>19301</v>
      </c>
      <c r="L1580" s="27" t="s">
        <v>5489</v>
      </c>
      <c r="M1580" s="27" t="s">
        <v>324</v>
      </c>
      <c r="N1580" s="27" t="s">
        <v>1215</v>
      </c>
      <c r="P1580" s="27" t="s">
        <v>5562</v>
      </c>
      <c r="Q1580" s="26" t="str">
        <f>HYPERLINK("https://ictv.global/taxonomy/taxondetails?taxnode_id=202500326&amp;ictv_id=ICTV20150078","ICTV20150078")</f>
        <v>ICTV20150078</v>
      </c>
      <c r="R1580" t="s">
        <v>579</v>
      </c>
      <c r="S1580" t="s">
        <v>22763</v>
      </c>
      <c r="T1580">
        <v>40</v>
      </c>
      <c r="U1580" s="26" t="str">
        <f t="shared" si="52"/>
        <v>2024.026B.Pantevenvirales_1no_3mf.zip</v>
      </c>
    </row>
    <row r="1581" spans="1:21">
      <c r="A1581">
        <v>1580</v>
      </c>
      <c r="B1581" s="27" t="s">
        <v>1449</v>
      </c>
      <c r="D1581" s="27" t="s">
        <v>1450</v>
      </c>
      <c r="F1581" s="27" t="s">
        <v>1453</v>
      </c>
      <c r="H1581" s="27" t="s">
        <v>1454</v>
      </c>
      <c r="J1581" s="27" t="s">
        <v>19301</v>
      </c>
      <c r="L1581" s="27" t="s">
        <v>5489</v>
      </c>
      <c r="M1581" s="27" t="s">
        <v>324</v>
      </c>
      <c r="N1581" s="27" t="s">
        <v>1215</v>
      </c>
      <c r="P1581" s="27" t="s">
        <v>5563</v>
      </c>
      <c r="Q1581" s="26" t="str">
        <f>HYPERLINK("https://ictv.global/taxonomy/taxondetails?taxnode_id=202511978&amp;ictv_id=ICTV202011978","ICTV202011978")</f>
        <v>ICTV202011978</v>
      </c>
      <c r="R1581" t="s">
        <v>579</v>
      </c>
      <c r="S1581" t="s">
        <v>22763</v>
      </c>
      <c r="T1581">
        <v>40</v>
      </c>
      <c r="U1581" s="26" t="str">
        <f t="shared" si="52"/>
        <v>2024.026B.Pantevenvirales_1no_3mf.zip</v>
      </c>
    </row>
    <row r="1582" spans="1:21">
      <c r="A1582">
        <v>1581</v>
      </c>
      <c r="B1582" s="27" t="s">
        <v>1449</v>
      </c>
      <c r="D1582" s="27" t="s">
        <v>1450</v>
      </c>
      <c r="F1582" s="27" t="s">
        <v>1453</v>
      </c>
      <c r="H1582" s="27" t="s">
        <v>1454</v>
      </c>
      <c r="J1582" s="27" t="s">
        <v>19301</v>
      </c>
      <c r="L1582" s="27" t="s">
        <v>5489</v>
      </c>
      <c r="M1582" s="27" t="s">
        <v>324</v>
      </c>
      <c r="N1582" s="27" t="s">
        <v>1215</v>
      </c>
      <c r="P1582" s="27" t="s">
        <v>5564</v>
      </c>
      <c r="Q1582" s="26" t="str">
        <f>HYPERLINK("https://ictv.global/taxonomy/taxondetails?taxnode_id=202511976&amp;ictv_id=ICTV202011976","ICTV202011976")</f>
        <v>ICTV202011976</v>
      </c>
      <c r="R1582" t="s">
        <v>579</v>
      </c>
      <c r="S1582" t="s">
        <v>22763</v>
      </c>
      <c r="T1582">
        <v>40</v>
      </c>
      <c r="U1582" s="26" t="str">
        <f t="shared" si="52"/>
        <v>2024.026B.Pantevenvirales_1no_3mf.zip</v>
      </c>
    </row>
    <row r="1583" spans="1:21">
      <c r="A1583">
        <v>1582</v>
      </c>
      <c r="B1583" s="27" t="s">
        <v>1449</v>
      </c>
      <c r="D1583" s="27" t="s">
        <v>1450</v>
      </c>
      <c r="F1583" s="27" t="s">
        <v>1453</v>
      </c>
      <c r="H1583" s="27" t="s">
        <v>1454</v>
      </c>
      <c r="J1583" s="27" t="s">
        <v>19301</v>
      </c>
      <c r="L1583" s="27" t="s">
        <v>5489</v>
      </c>
      <c r="M1583" s="27" t="s">
        <v>324</v>
      </c>
      <c r="N1583" s="27" t="s">
        <v>1215</v>
      </c>
      <c r="P1583" s="27" t="s">
        <v>5565</v>
      </c>
      <c r="Q1583" s="26" t="str">
        <f>HYPERLINK("https://ictv.global/taxonomy/taxondetails?taxnode_id=202500327&amp;ictv_id=ICTV20150079","ICTV20150079")</f>
        <v>ICTV20150079</v>
      </c>
      <c r="R1583" t="s">
        <v>579</v>
      </c>
      <c r="S1583" t="s">
        <v>22763</v>
      </c>
      <c r="T1583">
        <v>40</v>
      </c>
      <c r="U1583" s="26" t="str">
        <f t="shared" si="52"/>
        <v>2024.026B.Pantevenvirales_1no_3mf.zip</v>
      </c>
    </row>
    <row r="1584" spans="1:21">
      <c r="A1584">
        <v>1583</v>
      </c>
      <c r="B1584" s="27" t="s">
        <v>1449</v>
      </c>
      <c r="D1584" s="27" t="s">
        <v>1450</v>
      </c>
      <c r="F1584" s="27" t="s">
        <v>1453</v>
      </c>
      <c r="H1584" s="27" t="s">
        <v>1454</v>
      </c>
      <c r="J1584" s="27" t="s">
        <v>19301</v>
      </c>
      <c r="L1584" s="27" t="s">
        <v>5489</v>
      </c>
      <c r="M1584" s="27" t="s">
        <v>324</v>
      </c>
      <c r="N1584" s="27" t="s">
        <v>1215</v>
      </c>
      <c r="P1584" s="27" t="s">
        <v>5566</v>
      </c>
      <c r="Q1584" s="26" t="str">
        <f>HYPERLINK("https://ictv.global/taxonomy/taxondetails?taxnode_id=202511977&amp;ictv_id=ICTV202011977","ICTV202011977")</f>
        <v>ICTV202011977</v>
      </c>
      <c r="R1584" t="s">
        <v>579</v>
      </c>
      <c r="S1584" t="s">
        <v>22763</v>
      </c>
      <c r="T1584">
        <v>40</v>
      </c>
      <c r="U1584" s="26" t="str">
        <f t="shared" si="52"/>
        <v>2024.026B.Pantevenvirales_1no_3mf.zip</v>
      </c>
    </row>
    <row r="1585" spans="1:21">
      <c r="A1585">
        <v>1584</v>
      </c>
      <c r="B1585" s="27" t="s">
        <v>1449</v>
      </c>
      <c r="D1585" s="27" t="s">
        <v>1450</v>
      </c>
      <c r="F1585" s="27" t="s">
        <v>1453</v>
      </c>
      <c r="H1585" s="27" t="s">
        <v>1454</v>
      </c>
      <c r="J1585" s="27" t="s">
        <v>19301</v>
      </c>
      <c r="L1585" s="27" t="s">
        <v>5489</v>
      </c>
      <c r="M1585" s="27" t="s">
        <v>324</v>
      </c>
      <c r="N1585" s="27" t="s">
        <v>1215</v>
      </c>
      <c r="P1585" s="27" t="s">
        <v>5567</v>
      </c>
      <c r="Q1585" s="26" t="str">
        <f>HYPERLINK("https://ictv.global/taxonomy/taxondetails?taxnode_id=202512001&amp;ictv_id=ICTV202012001","ICTV202012001")</f>
        <v>ICTV202012001</v>
      </c>
      <c r="R1585" t="s">
        <v>579</v>
      </c>
      <c r="S1585" t="s">
        <v>22763</v>
      </c>
      <c r="T1585">
        <v>40</v>
      </c>
      <c r="U1585" s="26" t="str">
        <f t="shared" si="52"/>
        <v>2024.026B.Pantevenvirales_1no_3mf.zip</v>
      </c>
    </row>
    <row r="1586" spans="1:21">
      <c r="A1586">
        <v>1585</v>
      </c>
      <c r="B1586" s="27" t="s">
        <v>1449</v>
      </c>
      <c r="D1586" s="27" t="s">
        <v>1450</v>
      </c>
      <c r="F1586" s="27" t="s">
        <v>1453</v>
      </c>
      <c r="H1586" s="27" t="s">
        <v>1454</v>
      </c>
      <c r="J1586" s="27" t="s">
        <v>19301</v>
      </c>
      <c r="L1586" s="27" t="s">
        <v>5489</v>
      </c>
      <c r="M1586" s="27" t="s">
        <v>324</v>
      </c>
      <c r="N1586" s="27" t="s">
        <v>1215</v>
      </c>
      <c r="P1586" s="27" t="s">
        <v>5568</v>
      </c>
      <c r="Q1586" s="26" t="str">
        <f>HYPERLINK("https://ictv.global/taxonomy/taxondetails?taxnode_id=202511988&amp;ictv_id=ICTV202011988","ICTV202011988")</f>
        <v>ICTV202011988</v>
      </c>
      <c r="R1586" t="s">
        <v>579</v>
      </c>
      <c r="S1586" t="s">
        <v>22763</v>
      </c>
      <c r="T1586">
        <v>40</v>
      </c>
      <c r="U1586" s="26" t="str">
        <f t="shared" si="52"/>
        <v>2024.026B.Pantevenvirales_1no_3mf.zip</v>
      </c>
    </row>
    <row r="1587" spans="1:21">
      <c r="A1587">
        <v>1586</v>
      </c>
      <c r="B1587" s="27" t="s">
        <v>1449</v>
      </c>
      <c r="D1587" s="27" t="s">
        <v>1450</v>
      </c>
      <c r="F1587" s="27" t="s">
        <v>1453</v>
      </c>
      <c r="H1587" s="27" t="s">
        <v>1454</v>
      </c>
      <c r="J1587" s="27" t="s">
        <v>19301</v>
      </c>
      <c r="L1587" s="27" t="s">
        <v>5489</v>
      </c>
      <c r="M1587" s="27" t="s">
        <v>324</v>
      </c>
      <c r="N1587" s="27" t="s">
        <v>1215</v>
      </c>
      <c r="P1587" s="27" t="s">
        <v>5569</v>
      </c>
      <c r="Q1587" s="26" t="str">
        <f>HYPERLINK("https://ictv.global/taxonomy/taxondetails?taxnode_id=202512002&amp;ictv_id=ICTV202012002","ICTV202012002")</f>
        <v>ICTV202012002</v>
      </c>
      <c r="R1587" t="s">
        <v>579</v>
      </c>
      <c r="S1587" t="s">
        <v>22763</v>
      </c>
      <c r="T1587">
        <v>40</v>
      </c>
      <c r="U1587" s="26" t="str">
        <f t="shared" si="52"/>
        <v>2024.026B.Pantevenvirales_1no_3mf.zip</v>
      </c>
    </row>
    <row r="1588" spans="1:21">
      <c r="A1588">
        <v>1587</v>
      </c>
      <c r="B1588" s="27" t="s">
        <v>1449</v>
      </c>
      <c r="D1588" s="27" t="s">
        <v>1450</v>
      </c>
      <c r="F1588" s="27" t="s">
        <v>1453</v>
      </c>
      <c r="H1588" s="27" t="s">
        <v>1454</v>
      </c>
      <c r="J1588" s="27" t="s">
        <v>19301</v>
      </c>
      <c r="L1588" s="27" t="s">
        <v>5489</v>
      </c>
      <c r="M1588" s="27" t="s">
        <v>324</v>
      </c>
      <c r="N1588" s="27" t="s">
        <v>1215</v>
      </c>
      <c r="P1588" s="27" t="s">
        <v>5570</v>
      </c>
      <c r="Q1588" s="26" t="str">
        <f>HYPERLINK("https://ictv.global/taxonomy/taxondetails?taxnode_id=202513952&amp;ictv_id=ICTV202113952","ICTV202113952")</f>
        <v>ICTV202113952</v>
      </c>
      <c r="R1588" t="s">
        <v>579</v>
      </c>
      <c r="S1588" t="s">
        <v>22763</v>
      </c>
      <c r="T1588">
        <v>40</v>
      </c>
      <c r="U1588" s="26" t="str">
        <f t="shared" si="52"/>
        <v>2024.026B.Pantevenvirales_1no_3mf.zip</v>
      </c>
    </row>
    <row r="1589" spans="1:21">
      <c r="A1589">
        <v>1588</v>
      </c>
      <c r="B1589" s="27" t="s">
        <v>1449</v>
      </c>
      <c r="D1589" s="27" t="s">
        <v>1450</v>
      </c>
      <c r="F1589" s="27" t="s">
        <v>1453</v>
      </c>
      <c r="H1589" s="27" t="s">
        <v>1454</v>
      </c>
      <c r="J1589" s="27" t="s">
        <v>19301</v>
      </c>
      <c r="L1589" s="27" t="s">
        <v>5489</v>
      </c>
      <c r="M1589" s="27" t="s">
        <v>324</v>
      </c>
      <c r="N1589" s="27" t="s">
        <v>1215</v>
      </c>
      <c r="P1589" s="27" t="s">
        <v>5571</v>
      </c>
      <c r="Q1589" s="26" t="str">
        <f>HYPERLINK("https://ictv.global/taxonomy/taxondetails?taxnode_id=202511975&amp;ictv_id=ICTV202011975","ICTV202011975")</f>
        <v>ICTV202011975</v>
      </c>
      <c r="R1589" t="s">
        <v>579</v>
      </c>
      <c r="S1589" t="s">
        <v>22763</v>
      </c>
      <c r="T1589">
        <v>40</v>
      </c>
      <c r="U1589" s="26" t="str">
        <f t="shared" si="52"/>
        <v>2024.026B.Pantevenvirales_1no_3mf.zip</v>
      </c>
    </row>
    <row r="1590" spans="1:21">
      <c r="A1590">
        <v>1589</v>
      </c>
      <c r="B1590" s="27" t="s">
        <v>1449</v>
      </c>
      <c r="D1590" s="27" t="s">
        <v>1450</v>
      </c>
      <c r="F1590" s="27" t="s">
        <v>1453</v>
      </c>
      <c r="H1590" s="27" t="s">
        <v>1454</v>
      </c>
      <c r="J1590" s="27" t="s">
        <v>19301</v>
      </c>
      <c r="L1590" s="27" t="s">
        <v>5489</v>
      </c>
      <c r="M1590" s="27" t="s">
        <v>324</v>
      </c>
      <c r="N1590" s="27" t="s">
        <v>1215</v>
      </c>
      <c r="P1590" s="27" t="s">
        <v>5572</v>
      </c>
      <c r="Q1590" s="26" t="str">
        <f>HYPERLINK("https://ictv.global/taxonomy/taxondetails?taxnode_id=202511998&amp;ictv_id=ICTV202011998","ICTV202011998")</f>
        <v>ICTV202011998</v>
      </c>
      <c r="R1590" t="s">
        <v>579</v>
      </c>
      <c r="S1590" t="s">
        <v>22763</v>
      </c>
      <c r="T1590">
        <v>40</v>
      </c>
      <c r="U1590" s="26" t="str">
        <f t="shared" si="52"/>
        <v>2024.026B.Pantevenvirales_1no_3mf.zip</v>
      </c>
    </row>
    <row r="1591" spans="1:21">
      <c r="A1591">
        <v>1590</v>
      </c>
      <c r="B1591" s="27" t="s">
        <v>1449</v>
      </c>
      <c r="D1591" s="27" t="s">
        <v>1450</v>
      </c>
      <c r="F1591" s="27" t="s">
        <v>1453</v>
      </c>
      <c r="H1591" s="27" t="s">
        <v>1454</v>
      </c>
      <c r="J1591" s="27" t="s">
        <v>19301</v>
      </c>
      <c r="L1591" s="27" t="s">
        <v>5489</v>
      </c>
      <c r="M1591" s="27" t="s">
        <v>324</v>
      </c>
      <c r="N1591" s="27" t="s">
        <v>1215</v>
      </c>
      <c r="P1591" s="27" t="s">
        <v>5573</v>
      </c>
      <c r="Q1591" s="26" t="str">
        <f>HYPERLINK("https://ictv.global/taxonomy/taxondetails?taxnode_id=202513947&amp;ictv_id=ICTV202113947","ICTV202113947")</f>
        <v>ICTV202113947</v>
      </c>
      <c r="R1591" t="s">
        <v>579</v>
      </c>
      <c r="S1591" t="s">
        <v>22763</v>
      </c>
      <c r="T1591">
        <v>40</v>
      </c>
      <c r="U1591" s="26" t="str">
        <f t="shared" si="52"/>
        <v>2024.026B.Pantevenvirales_1no_3mf.zip</v>
      </c>
    </row>
    <row r="1592" spans="1:21">
      <c r="A1592">
        <v>1591</v>
      </c>
      <c r="B1592" s="27" t="s">
        <v>1449</v>
      </c>
      <c r="D1592" s="27" t="s">
        <v>1450</v>
      </c>
      <c r="F1592" s="27" t="s">
        <v>1453</v>
      </c>
      <c r="H1592" s="27" t="s">
        <v>1454</v>
      </c>
      <c r="J1592" s="27" t="s">
        <v>19301</v>
      </c>
      <c r="L1592" s="27" t="s">
        <v>5489</v>
      </c>
      <c r="M1592" s="27" t="s">
        <v>324</v>
      </c>
      <c r="N1592" s="27" t="s">
        <v>1215</v>
      </c>
      <c r="P1592" s="27" t="s">
        <v>5574</v>
      </c>
      <c r="Q1592" s="26" t="str">
        <f>HYPERLINK("https://ictv.global/taxonomy/taxondetails?taxnode_id=202511989&amp;ictv_id=ICTV202011989","ICTV202011989")</f>
        <v>ICTV202011989</v>
      </c>
      <c r="R1592" t="s">
        <v>579</v>
      </c>
      <c r="S1592" t="s">
        <v>22763</v>
      </c>
      <c r="T1592">
        <v>40</v>
      </c>
      <c r="U1592" s="26" t="str">
        <f t="shared" si="52"/>
        <v>2024.026B.Pantevenvirales_1no_3mf.zip</v>
      </c>
    </row>
    <row r="1593" spans="1:21">
      <c r="A1593">
        <v>1592</v>
      </c>
      <c r="B1593" s="27" t="s">
        <v>1449</v>
      </c>
      <c r="D1593" s="27" t="s">
        <v>1450</v>
      </c>
      <c r="F1593" s="27" t="s">
        <v>1453</v>
      </c>
      <c r="H1593" s="27" t="s">
        <v>1454</v>
      </c>
      <c r="J1593" s="27" t="s">
        <v>19301</v>
      </c>
      <c r="L1593" s="27" t="s">
        <v>5489</v>
      </c>
      <c r="M1593" s="27" t="s">
        <v>324</v>
      </c>
      <c r="N1593" s="27" t="s">
        <v>1215</v>
      </c>
      <c r="P1593" s="27" t="s">
        <v>5575</v>
      </c>
      <c r="Q1593" s="26" t="str">
        <f>HYPERLINK("https://ictv.global/taxonomy/taxondetails?taxnode_id=202512016&amp;ictv_id=ICTV202012016","ICTV202012016")</f>
        <v>ICTV202012016</v>
      </c>
      <c r="R1593" t="s">
        <v>579</v>
      </c>
      <c r="S1593" t="s">
        <v>22763</v>
      </c>
      <c r="T1593">
        <v>40</v>
      </c>
      <c r="U1593" s="26" t="str">
        <f t="shared" si="52"/>
        <v>2024.026B.Pantevenvirales_1no_3mf.zip</v>
      </c>
    </row>
    <row r="1594" spans="1:21">
      <c r="A1594">
        <v>1593</v>
      </c>
      <c r="B1594" s="27" t="s">
        <v>1449</v>
      </c>
      <c r="D1594" s="27" t="s">
        <v>1450</v>
      </c>
      <c r="F1594" s="27" t="s">
        <v>1453</v>
      </c>
      <c r="H1594" s="27" t="s">
        <v>1454</v>
      </c>
      <c r="J1594" s="27" t="s">
        <v>19301</v>
      </c>
      <c r="L1594" s="27" t="s">
        <v>5489</v>
      </c>
      <c r="M1594" s="27" t="s">
        <v>324</v>
      </c>
      <c r="N1594" s="27" t="s">
        <v>1215</v>
      </c>
      <c r="P1594" s="27" t="s">
        <v>5576</v>
      </c>
      <c r="Q1594" s="26" t="str">
        <f>HYPERLINK("https://ictv.global/taxonomy/taxondetails?taxnode_id=202513954&amp;ictv_id=ICTV202113954","ICTV202113954")</f>
        <v>ICTV202113954</v>
      </c>
      <c r="R1594" t="s">
        <v>579</v>
      </c>
      <c r="S1594" t="s">
        <v>22763</v>
      </c>
      <c r="T1594">
        <v>40</v>
      </c>
      <c r="U1594" s="26" t="str">
        <f t="shared" si="52"/>
        <v>2024.026B.Pantevenvirales_1no_3mf.zip</v>
      </c>
    </row>
    <row r="1595" spans="1:21">
      <c r="A1595">
        <v>1594</v>
      </c>
      <c r="B1595" s="27" t="s">
        <v>1449</v>
      </c>
      <c r="D1595" s="27" t="s">
        <v>1450</v>
      </c>
      <c r="F1595" s="27" t="s">
        <v>1453</v>
      </c>
      <c r="H1595" s="27" t="s">
        <v>1454</v>
      </c>
      <c r="J1595" s="27" t="s">
        <v>19301</v>
      </c>
      <c r="L1595" s="27" t="s">
        <v>5489</v>
      </c>
      <c r="M1595" s="27" t="s">
        <v>324</v>
      </c>
      <c r="N1595" s="27" t="s">
        <v>1215</v>
      </c>
      <c r="P1595" s="27" t="s">
        <v>5577</v>
      </c>
      <c r="Q1595" s="26" t="str">
        <f>HYPERLINK("https://ictv.global/taxonomy/taxondetails?taxnode_id=202513951&amp;ictv_id=ICTV202113951","ICTV202113951")</f>
        <v>ICTV202113951</v>
      </c>
      <c r="R1595" t="s">
        <v>579</v>
      </c>
      <c r="S1595" t="s">
        <v>22763</v>
      </c>
      <c r="T1595">
        <v>40</v>
      </c>
      <c r="U1595" s="26" t="str">
        <f t="shared" si="52"/>
        <v>2024.026B.Pantevenvirales_1no_3mf.zip</v>
      </c>
    </row>
    <row r="1596" spans="1:21">
      <c r="A1596">
        <v>1595</v>
      </c>
      <c r="B1596" s="27" t="s">
        <v>1449</v>
      </c>
      <c r="D1596" s="27" t="s">
        <v>1450</v>
      </c>
      <c r="F1596" s="27" t="s">
        <v>1453</v>
      </c>
      <c r="H1596" s="27" t="s">
        <v>1454</v>
      </c>
      <c r="J1596" s="27" t="s">
        <v>19301</v>
      </c>
      <c r="L1596" s="27" t="s">
        <v>5489</v>
      </c>
      <c r="M1596" s="27" t="s">
        <v>324</v>
      </c>
      <c r="N1596" s="27" t="s">
        <v>1215</v>
      </c>
      <c r="P1596" s="27" t="s">
        <v>5578</v>
      </c>
      <c r="Q1596" s="26" t="str">
        <f>HYPERLINK("https://ictv.global/taxonomy/taxondetails?taxnode_id=202511992&amp;ictv_id=ICTV202011992","ICTV202011992")</f>
        <v>ICTV202011992</v>
      </c>
      <c r="R1596" t="s">
        <v>579</v>
      </c>
      <c r="S1596" t="s">
        <v>22763</v>
      </c>
      <c r="T1596">
        <v>40</v>
      </c>
      <c r="U1596" s="26" t="str">
        <f t="shared" si="52"/>
        <v>2024.026B.Pantevenvirales_1no_3mf.zip</v>
      </c>
    </row>
    <row r="1597" spans="1:21">
      <c r="A1597">
        <v>1596</v>
      </c>
      <c r="B1597" s="27" t="s">
        <v>1449</v>
      </c>
      <c r="D1597" s="27" t="s">
        <v>1450</v>
      </c>
      <c r="F1597" s="27" t="s">
        <v>1453</v>
      </c>
      <c r="H1597" s="27" t="s">
        <v>1454</v>
      </c>
      <c r="J1597" s="27" t="s">
        <v>19301</v>
      </c>
      <c r="L1597" s="27" t="s">
        <v>5489</v>
      </c>
      <c r="M1597" s="27" t="s">
        <v>324</v>
      </c>
      <c r="N1597" s="27" t="s">
        <v>1215</v>
      </c>
      <c r="P1597" s="27" t="s">
        <v>5579</v>
      </c>
      <c r="Q1597" s="26" t="str">
        <f>HYPERLINK("https://ictv.global/taxonomy/taxondetails?taxnode_id=202511990&amp;ictv_id=ICTV202011990","ICTV202011990")</f>
        <v>ICTV202011990</v>
      </c>
      <c r="R1597" t="s">
        <v>579</v>
      </c>
      <c r="S1597" t="s">
        <v>22763</v>
      </c>
      <c r="T1597">
        <v>40</v>
      </c>
      <c r="U1597" s="26" t="str">
        <f t="shared" si="52"/>
        <v>2024.026B.Pantevenvirales_1no_3mf.zip</v>
      </c>
    </row>
    <row r="1598" spans="1:21">
      <c r="A1598">
        <v>1597</v>
      </c>
      <c r="B1598" s="27" t="s">
        <v>1449</v>
      </c>
      <c r="D1598" s="27" t="s">
        <v>1450</v>
      </c>
      <c r="F1598" s="27" t="s">
        <v>1453</v>
      </c>
      <c r="H1598" s="27" t="s">
        <v>1454</v>
      </c>
      <c r="J1598" s="27" t="s">
        <v>19301</v>
      </c>
      <c r="L1598" s="27" t="s">
        <v>5489</v>
      </c>
      <c r="M1598" s="27" t="s">
        <v>324</v>
      </c>
      <c r="N1598" s="27" t="s">
        <v>1215</v>
      </c>
      <c r="P1598" s="27" t="s">
        <v>5580</v>
      </c>
      <c r="Q1598" s="26" t="str">
        <f>HYPERLINK("https://ictv.global/taxonomy/taxondetails?taxnode_id=202511991&amp;ictv_id=ICTV202011991","ICTV202011991")</f>
        <v>ICTV202011991</v>
      </c>
      <c r="R1598" t="s">
        <v>579</v>
      </c>
      <c r="S1598" t="s">
        <v>22763</v>
      </c>
      <c r="T1598">
        <v>40</v>
      </c>
      <c r="U1598" s="26" t="str">
        <f t="shared" si="52"/>
        <v>2024.026B.Pantevenvirales_1no_3mf.zip</v>
      </c>
    </row>
    <row r="1599" spans="1:21">
      <c r="A1599">
        <v>1598</v>
      </c>
      <c r="B1599" s="27" t="s">
        <v>1449</v>
      </c>
      <c r="D1599" s="27" t="s">
        <v>1450</v>
      </c>
      <c r="F1599" s="27" t="s">
        <v>1453</v>
      </c>
      <c r="H1599" s="27" t="s">
        <v>1454</v>
      </c>
      <c r="J1599" s="27" t="s">
        <v>19301</v>
      </c>
      <c r="L1599" s="27" t="s">
        <v>5489</v>
      </c>
      <c r="M1599" s="27" t="s">
        <v>324</v>
      </c>
      <c r="N1599" s="27" t="s">
        <v>1215</v>
      </c>
      <c r="P1599" s="27" t="s">
        <v>5581</v>
      </c>
      <c r="Q1599" s="26" t="str">
        <f>HYPERLINK("https://ictv.global/taxonomy/taxondetails?taxnode_id=202511994&amp;ictv_id=ICTV202011994","ICTV202011994")</f>
        <v>ICTV202011994</v>
      </c>
      <c r="R1599" t="s">
        <v>579</v>
      </c>
      <c r="S1599" t="s">
        <v>22763</v>
      </c>
      <c r="T1599">
        <v>40</v>
      </c>
      <c r="U1599" s="26" t="str">
        <f t="shared" si="52"/>
        <v>2024.026B.Pantevenvirales_1no_3mf.zip</v>
      </c>
    </row>
    <row r="1600" spans="1:21">
      <c r="A1600">
        <v>1599</v>
      </c>
      <c r="B1600" s="27" t="s">
        <v>1449</v>
      </c>
      <c r="D1600" s="27" t="s">
        <v>1450</v>
      </c>
      <c r="F1600" s="27" t="s">
        <v>1453</v>
      </c>
      <c r="H1600" s="27" t="s">
        <v>1454</v>
      </c>
      <c r="J1600" s="27" t="s">
        <v>19301</v>
      </c>
      <c r="L1600" s="27" t="s">
        <v>5489</v>
      </c>
      <c r="M1600" s="27" t="s">
        <v>324</v>
      </c>
      <c r="N1600" s="27" t="s">
        <v>1215</v>
      </c>
      <c r="P1600" s="27" t="s">
        <v>5582</v>
      </c>
      <c r="Q1600" s="26" t="str">
        <f>HYPERLINK("https://ictv.global/taxonomy/taxondetails?taxnode_id=202511993&amp;ictv_id=ICTV202011993","ICTV202011993")</f>
        <v>ICTV202011993</v>
      </c>
      <c r="R1600" t="s">
        <v>579</v>
      </c>
      <c r="S1600" t="s">
        <v>22763</v>
      </c>
      <c r="T1600">
        <v>40</v>
      </c>
      <c r="U1600" s="26" t="str">
        <f t="shared" si="52"/>
        <v>2024.026B.Pantevenvirales_1no_3mf.zip</v>
      </c>
    </row>
    <row r="1601" spans="1:21">
      <c r="A1601">
        <v>1600</v>
      </c>
      <c r="B1601" s="27" t="s">
        <v>1449</v>
      </c>
      <c r="D1601" s="27" t="s">
        <v>1450</v>
      </c>
      <c r="F1601" s="27" t="s">
        <v>1453</v>
      </c>
      <c r="H1601" s="27" t="s">
        <v>1454</v>
      </c>
      <c r="J1601" s="27" t="s">
        <v>19301</v>
      </c>
      <c r="L1601" s="27" t="s">
        <v>5489</v>
      </c>
      <c r="M1601" s="27" t="s">
        <v>324</v>
      </c>
      <c r="N1601" s="27" t="s">
        <v>1215</v>
      </c>
      <c r="P1601" s="27" t="s">
        <v>5583</v>
      </c>
      <c r="Q1601" s="26" t="str">
        <f>HYPERLINK("https://ictv.global/taxonomy/taxondetails?taxnode_id=202511970&amp;ictv_id=ICTV202011970","ICTV202011970")</f>
        <v>ICTV202011970</v>
      </c>
      <c r="R1601" t="s">
        <v>579</v>
      </c>
      <c r="S1601" t="s">
        <v>22763</v>
      </c>
      <c r="T1601">
        <v>40</v>
      </c>
      <c r="U1601" s="26" t="str">
        <f t="shared" si="52"/>
        <v>2024.026B.Pantevenvirales_1no_3mf.zip</v>
      </c>
    </row>
    <row r="1602" spans="1:21">
      <c r="A1602">
        <v>1601</v>
      </c>
      <c r="B1602" s="27" t="s">
        <v>1449</v>
      </c>
      <c r="D1602" s="27" t="s">
        <v>1450</v>
      </c>
      <c r="F1602" s="27" t="s">
        <v>1453</v>
      </c>
      <c r="H1602" s="27" t="s">
        <v>1454</v>
      </c>
      <c r="J1602" s="27" t="s">
        <v>19301</v>
      </c>
      <c r="L1602" s="27" t="s">
        <v>5489</v>
      </c>
      <c r="M1602" s="27" t="s">
        <v>324</v>
      </c>
      <c r="N1602" s="27" t="s">
        <v>1215</v>
      </c>
      <c r="P1602" s="27" t="s">
        <v>5584</v>
      </c>
      <c r="Q1602" s="26" t="str">
        <f>HYPERLINK("https://ictv.global/taxonomy/taxondetails?taxnode_id=202500328&amp;ictv_id=ICTV20164845","ICTV20164845")</f>
        <v>ICTV20164845</v>
      </c>
      <c r="R1602" t="s">
        <v>579</v>
      </c>
      <c r="S1602" t="s">
        <v>22763</v>
      </c>
      <c r="T1602">
        <v>40</v>
      </c>
      <c r="U1602" s="26" t="str">
        <f t="shared" si="52"/>
        <v>2024.026B.Pantevenvirales_1no_3mf.zip</v>
      </c>
    </row>
    <row r="1603" spans="1:21">
      <c r="A1603">
        <v>1602</v>
      </c>
      <c r="B1603" s="27" t="s">
        <v>1449</v>
      </c>
      <c r="D1603" s="27" t="s">
        <v>1450</v>
      </c>
      <c r="F1603" s="27" t="s">
        <v>1453</v>
      </c>
      <c r="H1603" s="27" t="s">
        <v>1454</v>
      </c>
      <c r="J1603" s="27" t="s">
        <v>19301</v>
      </c>
      <c r="L1603" s="27" t="s">
        <v>5489</v>
      </c>
      <c r="M1603" s="27" t="s">
        <v>324</v>
      </c>
      <c r="N1603" s="27" t="s">
        <v>1215</v>
      </c>
      <c r="P1603" s="27" t="s">
        <v>5585</v>
      </c>
      <c r="Q1603" s="26" t="str">
        <f>HYPERLINK("https://ictv.global/taxonomy/taxondetails?taxnode_id=202507049&amp;ictv_id=ICTV201857049","ICTV201857049")</f>
        <v>ICTV201857049</v>
      </c>
      <c r="R1603" t="s">
        <v>579</v>
      </c>
      <c r="S1603" t="s">
        <v>22763</v>
      </c>
      <c r="T1603">
        <v>40</v>
      </c>
      <c r="U1603" s="26" t="str">
        <f t="shared" si="52"/>
        <v>2024.026B.Pantevenvirales_1no_3mf.zip</v>
      </c>
    </row>
    <row r="1604" spans="1:21">
      <c r="A1604">
        <v>1603</v>
      </c>
      <c r="B1604" s="27" t="s">
        <v>1449</v>
      </c>
      <c r="D1604" s="27" t="s">
        <v>1450</v>
      </c>
      <c r="F1604" s="27" t="s">
        <v>1453</v>
      </c>
      <c r="H1604" s="27" t="s">
        <v>1454</v>
      </c>
      <c r="J1604" s="27" t="s">
        <v>19301</v>
      </c>
      <c r="L1604" s="27" t="s">
        <v>5489</v>
      </c>
      <c r="M1604" s="27" t="s">
        <v>324</v>
      </c>
      <c r="N1604" s="27" t="s">
        <v>1215</v>
      </c>
      <c r="P1604" s="27" t="s">
        <v>5586</v>
      </c>
      <c r="Q1604" s="26" t="str">
        <f>HYPERLINK("https://ictv.global/taxonomy/taxondetails?taxnode_id=202500329&amp;ictv_id=ICTV20150077","ICTV20150077")</f>
        <v>ICTV20150077</v>
      </c>
      <c r="R1604" t="s">
        <v>579</v>
      </c>
      <c r="S1604" t="s">
        <v>22763</v>
      </c>
      <c r="T1604">
        <v>40</v>
      </c>
      <c r="U1604" s="26" t="str">
        <f t="shared" si="52"/>
        <v>2024.026B.Pantevenvirales_1no_3mf.zip</v>
      </c>
    </row>
    <row r="1605" spans="1:21">
      <c r="A1605">
        <v>1604</v>
      </c>
      <c r="B1605" s="27" t="s">
        <v>1449</v>
      </c>
      <c r="D1605" s="27" t="s">
        <v>1450</v>
      </c>
      <c r="F1605" s="27" t="s">
        <v>1453</v>
      </c>
      <c r="H1605" s="27" t="s">
        <v>1454</v>
      </c>
      <c r="J1605" s="27" t="s">
        <v>19301</v>
      </c>
      <c r="L1605" s="27" t="s">
        <v>5489</v>
      </c>
      <c r="M1605" s="27" t="s">
        <v>324</v>
      </c>
      <c r="N1605" s="27" t="s">
        <v>1215</v>
      </c>
      <c r="P1605" s="27" t="s">
        <v>5587</v>
      </c>
      <c r="Q1605" s="26" t="str">
        <f>HYPERLINK("https://ictv.global/taxonomy/taxondetails?taxnode_id=202511995&amp;ictv_id=ICTV202011995","ICTV202011995")</f>
        <v>ICTV202011995</v>
      </c>
      <c r="R1605" t="s">
        <v>579</v>
      </c>
      <c r="S1605" t="s">
        <v>22763</v>
      </c>
      <c r="T1605">
        <v>40</v>
      </c>
      <c r="U1605" s="26" t="str">
        <f t="shared" si="52"/>
        <v>2024.026B.Pantevenvirales_1no_3mf.zip</v>
      </c>
    </row>
    <row r="1606" spans="1:21">
      <c r="A1606">
        <v>1605</v>
      </c>
      <c r="B1606" s="27" t="s">
        <v>1449</v>
      </c>
      <c r="D1606" s="27" t="s">
        <v>1450</v>
      </c>
      <c r="F1606" s="27" t="s">
        <v>1453</v>
      </c>
      <c r="H1606" s="27" t="s">
        <v>1454</v>
      </c>
      <c r="J1606" s="27" t="s">
        <v>19301</v>
      </c>
      <c r="L1606" s="27" t="s">
        <v>5489</v>
      </c>
      <c r="M1606" s="27" t="s">
        <v>324</v>
      </c>
      <c r="N1606" s="27" t="s">
        <v>1215</v>
      </c>
      <c r="P1606" s="27" t="s">
        <v>5588</v>
      </c>
      <c r="Q1606" s="26" t="str">
        <f>HYPERLINK("https://ictv.global/taxonomy/taxondetails?taxnode_id=202511996&amp;ictv_id=ICTV202011996","ICTV202011996")</f>
        <v>ICTV202011996</v>
      </c>
      <c r="R1606" t="s">
        <v>579</v>
      </c>
      <c r="S1606" t="s">
        <v>22763</v>
      </c>
      <c r="T1606">
        <v>40</v>
      </c>
      <c r="U1606" s="26" t="str">
        <f t="shared" si="52"/>
        <v>2024.026B.Pantevenvirales_1no_3mf.zip</v>
      </c>
    </row>
    <row r="1607" spans="1:21">
      <c r="A1607">
        <v>1606</v>
      </c>
      <c r="B1607" s="27" t="s">
        <v>1449</v>
      </c>
      <c r="D1607" s="27" t="s">
        <v>1450</v>
      </c>
      <c r="F1607" s="27" t="s">
        <v>1453</v>
      </c>
      <c r="H1607" s="27" t="s">
        <v>1454</v>
      </c>
      <c r="J1607" s="27" t="s">
        <v>19301</v>
      </c>
      <c r="L1607" s="27" t="s">
        <v>5489</v>
      </c>
      <c r="M1607" s="27" t="s">
        <v>324</v>
      </c>
      <c r="N1607" s="27" t="s">
        <v>1215</v>
      </c>
      <c r="P1607" s="27" t="s">
        <v>5589</v>
      </c>
      <c r="Q1607" s="26" t="str">
        <f>HYPERLINK("https://ictv.global/taxonomy/taxondetails?taxnode_id=202511971&amp;ictv_id=ICTV202011971","ICTV202011971")</f>
        <v>ICTV202011971</v>
      </c>
      <c r="R1607" t="s">
        <v>579</v>
      </c>
      <c r="S1607" t="s">
        <v>22763</v>
      </c>
      <c r="T1607">
        <v>40</v>
      </c>
      <c r="U1607" s="26" t="str">
        <f t="shared" si="52"/>
        <v>2024.026B.Pantevenvirales_1no_3mf.zip</v>
      </c>
    </row>
    <row r="1608" spans="1:21">
      <c r="A1608">
        <v>1607</v>
      </c>
      <c r="B1608" s="27" t="s">
        <v>1449</v>
      </c>
      <c r="D1608" s="27" t="s">
        <v>1450</v>
      </c>
      <c r="F1608" s="27" t="s">
        <v>1453</v>
      </c>
      <c r="H1608" s="27" t="s">
        <v>1454</v>
      </c>
      <c r="J1608" s="27" t="s">
        <v>19301</v>
      </c>
      <c r="L1608" s="27" t="s">
        <v>5489</v>
      </c>
      <c r="M1608" s="27" t="s">
        <v>324</v>
      </c>
      <c r="N1608" s="27" t="s">
        <v>1215</v>
      </c>
      <c r="P1608" s="27" t="s">
        <v>5590</v>
      </c>
      <c r="Q1608" s="26" t="str">
        <f>HYPERLINK("https://ictv.global/taxonomy/taxondetails?taxnode_id=202511980&amp;ictv_id=ICTV202011980","ICTV202011980")</f>
        <v>ICTV202011980</v>
      </c>
      <c r="R1608" t="s">
        <v>579</v>
      </c>
      <c r="S1608" t="s">
        <v>22763</v>
      </c>
      <c r="T1608">
        <v>40</v>
      </c>
      <c r="U1608" s="26" t="str">
        <f t="shared" si="52"/>
        <v>2024.026B.Pantevenvirales_1no_3mf.zip</v>
      </c>
    </row>
    <row r="1609" spans="1:21">
      <c r="A1609">
        <v>1608</v>
      </c>
      <c r="B1609" s="27" t="s">
        <v>1449</v>
      </c>
      <c r="D1609" s="27" t="s">
        <v>1450</v>
      </c>
      <c r="F1609" s="27" t="s">
        <v>1453</v>
      </c>
      <c r="H1609" s="27" t="s">
        <v>1454</v>
      </c>
      <c r="J1609" s="27" t="s">
        <v>19301</v>
      </c>
      <c r="L1609" s="27" t="s">
        <v>5489</v>
      </c>
      <c r="M1609" s="27" t="s">
        <v>324</v>
      </c>
      <c r="N1609" s="27" t="s">
        <v>1215</v>
      </c>
      <c r="P1609" s="27" t="s">
        <v>5591</v>
      </c>
      <c r="Q1609" s="26" t="str">
        <f>HYPERLINK("https://ictv.global/taxonomy/taxondetails?taxnode_id=202513948&amp;ictv_id=ICTV202113948","ICTV202113948")</f>
        <v>ICTV202113948</v>
      </c>
      <c r="R1609" t="s">
        <v>579</v>
      </c>
      <c r="S1609" t="s">
        <v>22763</v>
      </c>
      <c r="T1609">
        <v>40</v>
      </c>
      <c r="U1609" s="26" t="str">
        <f t="shared" ref="U1609:U1640" si="53">HYPERLINK("https://ictv.global/ictv/proposals/2024.026B.Pantevenvirales_1no_3mf.zip","2024.026B.Pantevenvirales_1no_3mf.zip")</f>
        <v>2024.026B.Pantevenvirales_1no_3mf.zip</v>
      </c>
    </row>
    <row r="1610" spans="1:21">
      <c r="A1610">
        <v>1609</v>
      </c>
      <c r="B1610" s="27" t="s">
        <v>1449</v>
      </c>
      <c r="D1610" s="27" t="s">
        <v>1450</v>
      </c>
      <c r="F1610" s="27" t="s">
        <v>1453</v>
      </c>
      <c r="H1610" s="27" t="s">
        <v>1454</v>
      </c>
      <c r="J1610" s="27" t="s">
        <v>19301</v>
      </c>
      <c r="L1610" s="27" t="s">
        <v>5489</v>
      </c>
      <c r="M1610" s="27" t="s">
        <v>324</v>
      </c>
      <c r="N1610" s="27" t="s">
        <v>1215</v>
      </c>
      <c r="P1610" s="27" t="s">
        <v>5592</v>
      </c>
      <c r="Q1610" s="26" t="str">
        <f>HYPERLINK("https://ictv.global/taxonomy/taxondetails?taxnode_id=202511997&amp;ictv_id=ICTV202011997","ICTV202011997")</f>
        <v>ICTV202011997</v>
      </c>
      <c r="R1610" t="s">
        <v>579</v>
      </c>
      <c r="S1610" t="s">
        <v>22763</v>
      </c>
      <c r="T1610">
        <v>40</v>
      </c>
      <c r="U1610" s="26" t="str">
        <f t="shared" si="53"/>
        <v>2024.026B.Pantevenvirales_1no_3mf.zip</v>
      </c>
    </row>
    <row r="1611" spans="1:21">
      <c r="A1611">
        <v>1610</v>
      </c>
      <c r="B1611" s="27" t="s">
        <v>1449</v>
      </c>
      <c r="D1611" s="27" t="s">
        <v>1450</v>
      </c>
      <c r="F1611" s="27" t="s">
        <v>1453</v>
      </c>
      <c r="H1611" s="27" t="s">
        <v>1454</v>
      </c>
      <c r="J1611" s="27" t="s">
        <v>19301</v>
      </c>
      <c r="L1611" s="27" t="s">
        <v>5489</v>
      </c>
      <c r="M1611" s="27" t="s">
        <v>324</v>
      </c>
      <c r="N1611" s="27" t="s">
        <v>1215</v>
      </c>
      <c r="P1611" s="27" t="s">
        <v>5593</v>
      </c>
      <c r="Q1611" s="26" t="str">
        <f>HYPERLINK("https://ictv.global/taxonomy/taxondetails?taxnode_id=202513953&amp;ictv_id=ICTV202113953","ICTV202113953")</f>
        <v>ICTV202113953</v>
      </c>
      <c r="R1611" t="s">
        <v>579</v>
      </c>
      <c r="S1611" t="s">
        <v>22763</v>
      </c>
      <c r="T1611">
        <v>40</v>
      </c>
      <c r="U1611" s="26" t="str">
        <f t="shared" si="53"/>
        <v>2024.026B.Pantevenvirales_1no_3mf.zip</v>
      </c>
    </row>
    <row r="1612" spans="1:21">
      <c r="A1612">
        <v>1611</v>
      </c>
      <c r="B1612" s="27" t="s">
        <v>1449</v>
      </c>
      <c r="D1612" s="27" t="s">
        <v>1450</v>
      </c>
      <c r="F1612" s="27" t="s">
        <v>1453</v>
      </c>
      <c r="H1612" s="27" t="s">
        <v>1454</v>
      </c>
      <c r="J1612" s="27" t="s">
        <v>19301</v>
      </c>
      <c r="L1612" s="27" t="s">
        <v>5489</v>
      </c>
      <c r="M1612" s="27" t="s">
        <v>324</v>
      </c>
      <c r="N1612" s="27" t="s">
        <v>1215</v>
      </c>
      <c r="P1612" s="27" t="s">
        <v>5594</v>
      </c>
      <c r="Q1612" s="26" t="str">
        <f>HYPERLINK("https://ictv.global/taxonomy/taxondetails?taxnode_id=202512005&amp;ictv_id=ICTV202012005","ICTV202012005")</f>
        <v>ICTV202012005</v>
      </c>
      <c r="R1612" t="s">
        <v>579</v>
      </c>
      <c r="S1612" t="s">
        <v>22763</v>
      </c>
      <c r="T1612">
        <v>40</v>
      </c>
      <c r="U1612" s="26" t="str">
        <f t="shared" si="53"/>
        <v>2024.026B.Pantevenvirales_1no_3mf.zip</v>
      </c>
    </row>
    <row r="1613" spans="1:21">
      <c r="A1613">
        <v>1612</v>
      </c>
      <c r="B1613" s="27" t="s">
        <v>1449</v>
      </c>
      <c r="D1613" s="27" t="s">
        <v>1450</v>
      </c>
      <c r="F1613" s="27" t="s">
        <v>1453</v>
      </c>
      <c r="H1613" s="27" t="s">
        <v>1454</v>
      </c>
      <c r="J1613" s="27" t="s">
        <v>19301</v>
      </c>
      <c r="L1613" s="27" t="s">
        <v>5489</v>
      </c>
      <c r="M1613" s="27" t="s">
        <v>324</v>
      </c>
      <c r="N1613" s="27" t="s">
        <v>1215</v>
      </c>
      <c r="P1613" s="27" t="s">
        <v>5595</v>
      </c>
      <c r="Q1613" s="26" t="str">
        <f>HYPERLINK("https://ictv.global/taxonomy/taxondetails?taxnode_id=202511999&amp;ictv_id=ICTV202011999","ICTV202011999")</f>
        <v>ICTV202011999</v>
      </c>
      <c r="R1613" t="s">
        <v>579</v>
      </c>
      <c r="S1613" t="s">
        <v>22763</v>
      </c>
      <c r="T1613">
        <v>40</v>
      </c>
      <c r="U1613" s="26" t="str">
        <f t="shared" si="53"/>
        <v>2024.026B.Pantevenvirales_1no_3mf.zip</v>
      </c>
    </row>
    <row r="1614" spans="1:21">
      <c r="A1614">
        <v>1613</v>
      </c>
      <c r="B1614" s="27" t="s">
        <v>1449</v>
      </c>
      <c r="D1614" s="27" t="s">
        <v>1450</v>
      </c>
      <c r="F1614" s="27" t="s">
        <v>1453</v>
      </c>
      <c r="H1614" s="27" t="s">
        <v>1454</v>
      </c>
      <c r="J1614" s="27" t="s">
        <v>19301</v>
      </c>
      <c r="L1614" s="27" t="s">
        <v>5489</v>
      </c>
      <c r="M1614" s="27" t="s">
        <v>324</v>
      </c>
      <c r="N1614" s="27" t="s">
        <v>1215</v>
      </c>
      <c r="P1614" s="27" t="s">
        <v>5596</v>
      </c>
      <c r="Q1614" s="26" t="str">
        <f>HYPERLINK("https://ictv.global/taxonomy/taxondetails?taxnode_id=202512000&amp;ictv_id=ICTV202012000","ICTV202012000")</f>
        <v>ICTV202012000</v>
      </c>
      <c r="R1614" t="s">
        <v>579</v>
      </c>
      <c r="S1614" t="s">
        <v>22763</v>
      </c>
      <c r="T1614">
        <v>40</v>
      </c>
      <c r="U1614" s="26" t="str">
        <f t="shared" si="53"/>
        <v>2024.026B.Pantevenvirales_1no_3mf.zip</v>
      </c>
    </row>
    <row r="1615" spans="1:21">
      <c r="A1615">
        <v>1614</v>
      </c>
      <c r="B1615" s="27" t="s">
        <v>1449</v>
      </c>
      <c r="D1615" s="27" t="s">
        <v>1450</v>
      </c>
      <c r="F1615" s="27" t="s">
        <v>1453</v>
      </c>
      <c r="H1615" s="27" t="s">
        <v>1454</v>
      </c>
      <c r="J1615" s="27" t="s">
        <v>19301</v>
      </c>
      <c r="L1615" s="27" t="s">
        <v>5489</v>
      </c>
      <c r="M1615" s="27" t="s">
        <v>324</v>
      </c>
      <c r="N1615" s="27" t="s">
        <v>1215</v>
      </c>
      <c r="P1615" s="27" t="s">
        <v>5597</v>
      </c>
      <c r="Q1615" s="26" t="str">
        <f>HYPERLINK("https://ictv.global/taxonomy/taxondetails?taxnode_id=202512003&amp;ictv_id=ICTV202012003","ICTV202012003")</f>
        <v>ICTV202012003</v>
      </c>
      <c r="R1615" t="s">
        <v>579</v>
      </c>
      <c r="S1615" t="s">
        <v>22763</v>
      </c>
      <c r="T1615">
        <v>40</v>
      </c>
      <c r="U1615" s="26" t="str">
        <f t="shared" si="53"/>
        <v>2024.026B.Pantevenvirales_1no_3mf.zip</v>
      </c>
    </row>
    <row r="1616" spans="1:21">
      <c r="A1616">
        <v>1615</v>
      </c>
      <c r="B1616" s="27" t="s">
        <v>1449</v>
      </c>
      <c r="D1616" s="27" t="s">
        <v>1450</v>
      </c>
      <c r="F1616" s="27" t="s">
        <v>1453</v>
      </c>
      <c r="H1616" s="27" t="s">
        <v>1454</v>
      </c>
      <c r="J1616" s="27" t="s">
        <v>19301</v>
      </c>
      <c r="L1616" s="27" t="s">
        <v>5489</v>
      </c>
      <c r="M1616" s="27" t="s">
        <v>324</v>
      </c>
      <c r="N1616" s="27" t="s">
        <v>1215</v>
      </c>
      <c r="P1616" s="27" t="s">
        <v>5598</v>
      </c>
      <c r="Q1616" s="26" t="str">
        <f>HYPERLINK("https://ictv.global/taxonomy/taxondetails?taxnode_id=202511981&amp;ictv_id=ICTV202011981","ICTV202011981")</f>
        <v>ICTV202011981</v>
      </c>
      <c r="R1616" t="s">
        <v>579</v>
      </c>
      <c r="S1616" t="s">
        <v>22763</v>
      </c>
      <c r="T1616">
        <v>40</v>
      </c>
      <c r="U1616" s="26" t="str">
        <f t="shared" si="53"/>
        <v>2024.026B.Pantevenvirales_1no_3mf.zip</v>
      </c>
    </row>
    <row r="1617" spans="1:21">
      <c r="A1617">
        <v>1616</v>
      </c>
      <c r="B1617" s="27" t="s">
        <v>1449</v>
      </c>
      <c r="D1617" s="27" t="s">
        <v>1450</v>
      </c>
      <c r="F1617" s="27" t="s">
        <v>1453</v>
      </c>
      <c r="H1617" s="27" t="s">
        <v>1454</v>
      </c>
      <c r="J1617" s="27" t="s">
        <v>19301</v>
      </c>
      <c r="L1617" s="27" t="s">
        <v>5489</v>
      </c>
      <c r="M1617" s="27" t="s">
        <v>324</v>
      </c>
      <c r="N1617" s="27" t="s">
        <v>1215</v>
      </c>
      <c r="P1617" s="27" t="s">
        <v>5599</v>
      </c>
      <c r="Q1617" s="26" t="str">
        <f>HYPERLINK("https://ictv.global/taxonomy/taxondetails?taxnode_id=202511982&amp;ictv_id=ICTV202011982","ICTV202011982")</f>
        <v>ICTV202011982</v>
      </c>
      <c r="R1617" t="s">
        <v>579</v>
      </c>
      <c r="S1617" t="s">
        <v>22763</v>
      </c>
      <c r="T1617">
        <v>40</v>
      </c>
      <c r="U1617" s="26" t="str">
        <f t="shared" si="53"/>
        <v>2024.026B.Pantevenvirales_1no_3mf.zip</v>
      </c>
    </row>
    <row r="1618" spans="1:21">
      <c r="A1618">
        <v>1617</v>
      </c>
      <c r="B1618" s="27" t="s">
        <v>1449</v>
      </c>
      <c r="D1618" s="27" t="s">
        <v>1450</v>
      </c>
      <c r="F1618" s="27" t="s">
        <v>1453</v>
      </c>
      <c r="H1618" s="27" t="s">
        <v>1454</v>
      </c>
      <c r="J1618" s="27" t="s">
        <v>19301</v>
      </c>
      <c r="L1618" s="27" t="s">
        <v>5489</v>
      </c>
      <c r="M1618" s="27" t="s">
        <v>324</v>
      </c>
      <c r="N1618" s="27" t="s">
        <v>1215</v>
      </c>
      <c r="P1618" s="27" t="s">
        <v>5600</v>
      </c>
      <c r="Q1618" s="26" t="str">
        <f>HYPERLINK("https://ictv.global/taxonomy/taxondetails?taxnode_id=202500333&amp;ictv_id=ICTV20150083","ICTV20150083")</f>
        <v>ICTV20150083</v>
      </c>
      <c r="R1618" t="s">
        <v>579</v>
      </c>
      <c r="S1618" t="s">
        <v>22763</v>
      </c>
      <c r="T1618">
        <v>40</v>
      </c>
      <c r="U1618" s="26" t="str">
        <f t="shared" si="53"/>
        <v>2024.026B.Pantevenvirales_1no_3mf.zip</v>
      </c>
    </row>
    <row r="1619" spans="1:21">
      <c r="A1619">
        <v>1618</v>
      </c>
      <c r="B1619" s="27" t="s">
        <v>1449</v>
      </c>
      <c r="D1619" s="27" t="s">
        <v>1450</v>
      </c>
      <c r="F1619" s="27" t="s">
        <v>1453</v>
      </c>
      <c r="H1619" s="27" t="s">
        <v>1454</v>
      </c>
      <c r="J1619" s="27" t="s">
        <v>19301</v>
      </c>
      <c r="L1619" s="27" t="s">
        <v>5489</v>
      </c>
      <c r="M1619" s="27" t="s">
        <v>324</v>
      </c>
      <c r="N1619" s="27" t="s">
        <v>1215</v>
      </c>
      <c r="P1619" s="27" t="s">
        <v>5601</v>
      </c>
      <c r="Q1619" s="26" t="str">
        <f>HYPERLINK("https://ictv.global/taxonomy/taxondetails?taxnode_id=202500336&amp;ictv_id=ICTV20150084","ICTV20150084")</f>
        <v>ICTV20150084</v>
      </c>
      <c r="R1619" t="s">
        <v>579</v>
      </c>
      <c r="S1619" t="s">
        <v>22763</v>
      </c>
      <c r="T1619">
        <v>40</v>
      </c>
      <c r="U1619" s="26" t="str">
        <f t="shared" si="53"/>
        <v>2024.026B.Pantevenvirales_1no_3mf.zip</v>
      </c>
    </row>
    <row r="1620" spans="1:21">
      <c r="A1620">
        <v>1619</v>
      </c>
      <c r="B1620" s="27" t="s">
        <v>1449</v>
      </c>
      <c r="D1620" s="27" t="s">
        <v>1450</v>
      </c>
      <c r="F1620" s="27" t="s">
        <v>1453</v>
      </c>
      <c r="H1620" s="27" t="s">
        <v>1454</v>
      </c>
      <c r="J1620" s="27" t="s">
        <v>19301</v>
      </c>
      <c r="L1620" s="27" t="s">
        <v>5489</v>
      </c>
      <c r="M1620" s="27" t="s">
        <v>324</v>
      </c>
      <c r="N1620" s="27" t="s">
        <v>1215</v>
      </c>
      <c r="P1620" s="27" t="s">
        <v>5602</v>
      </c>
      <c r="Q1620" s="26" t="str">
        <f>HYPERLINK("https://ictv.global/taxonomy/taxondetails?taxnode_id=202512017&amp;ictv_id=ICTV202012017","ICTV202012017")</f>
        <v>ICTV202012017</v>
      </c>
      <c r="R1620" t="s">
        <v>579</v>
      </c>
      <c r="S1620" t="s">
        <v>22763</v>
      </c>
      <c r="T1620">
        <v>40</v>
      </c>
      <c r="U1620" s="26" t="str">
        <f t="shared" si="53"/>
        <v>2024.026B.Pantevenvirales_1no_3mf.zip</v>
      </c>
    </row>
    <row r="1621" spans="1:21">
      <c r="A1621">
        <v>1620</v>
      </c>
      <c r="B1621" s="27" t="s">
        <v>1449</v>
      </c>
      <c r="D1621" s="27" t="s">
        <v>1450</v>
      </c>
      <c r="F1621" s="27" t="s">
        <v>1453</v>
      </c>
      <c r="H1621" s="27" t="s">
        <v>1454</v>
      </c>
      <c r="J1621" s="27" t="s">
        <v>19301</v>
      </c>
      <c r="L1621" s="27" t="s">
        <v>5489</v>
      </c>
      <c r="M1621" s="27" t="s">
        <v>324</v>
      </c>
      <c r="N1621" s="27" t="s">
        <v>1215</v>
      </c>
      <c r="P1621" s="27" t="s">
        <v>5603</v>
      </c>
      <c r="Q1621" s="26" t="str">
        <f>HYPERLINK("https://ictv.global/taxonomy/taxondetails?taxnode_id=202500330&amp;ictv_id=ICTV20150080","ICTV20150080")</f>
        <v>ICTV20150080</v>
      </c>
      <c r="R1621" t="s">
        <v>579</v>
      </c>
      <c r="S1621" t="s">
        <v>22763</v>
      </c>
      <c r="T1621">
        <v>40</v>
      </c>
      <c r="U1621" s="26" t="str">
        <f t="shared" si="53"/>
        <v>2024.026B.Pantevenvirales_1no_3mf.zip</v>
      </c>
    </row>
    <row r="1622" spans="1:21">
      <c r="A1622">
        <v>1621</v>
      </c>
      <c r="B1622" s="27" t="s">
        <v>1449</v>
      </c>
      <c r="D1622" s="27" t="s">
        <v>1450</v>
      </c>
      <c r="F1622" s="27" t="s">
        <v>1453</v>
      </c>
      <c r="H1622" s="27" t="s">
        <v>1454</v>
      </c>
      <c r="J1622" s="27" t="s">
        <v>19301</v>
      </c>
      <c r="L1622" s="27" t="s">
        <v>5489</v>
      </c>
      <c r="M1622" s="27" t="s">
        <v>324</v>
      </c>
      <c r="N1622" s="27" t="s">
        <v>1215</v>
      </c>
      <c r="P1622" s="27" t="s">
        <v>5604</v>
      </c>
      <c r="Q1622" s="26" t="str">
        <f>HYPERLINK("https://ictv.global/taxonomy/taxondetails?taxnode_id=202500331&amp;ictv_id=ICTV20115478","ICTV20115478")</f>
        <v>ICTV20115478</v>
      </c>
      <c r="R1622" t="s">
        <v>579</v>
      </c>
      <c r="S1622" t="s">
        <v>22763</v>
      </c>
      <c r="T1622">
        <v>40</v>
      </c>
      <c r="U1622" s="26" t="str">
        <f t="shared" si="53"/>
        <v>2024.026B.Pantevenvirales_1no_3mf.zip</v>
      </c>
    </row>
    <row r="1623" spans="1:21">
      <c r="A1623">
        <v>1622</v>
      </c>
      <c r="B1623" s="27" t="s">
        <v>1449</v>
      </c>
      <c r="D1623" s="27" t="s">
        <v>1450</v>
      </c>
      <c r="F1623" s="27" t="s">
        <v>1453</v>
      </c>
      <c r="H1623" s="27" t="s">
        <v>1454</v>
      </c>
      <c r="J1623" s="27" t="s">
        <v>19301</v>
      </c>
      <c r="L1623" s="27" t="s">
        <v>5489</v>
      </c>
      <c r="M1623" s="27" t="s">
        <v>324</v>
      </c>
      <c r="N1623" s="27" t="s">
        <v>1215</v>
      </c>
      <c r="P1623" s="27" t="s">
        <v>5605</v>
      </c>
      <c r="Q1623" s="26" t="str">
        <f>HYPERLINK("https://ictv.global/taxonomy/taxondetails?taxnode_id=202511972&amp;ictv_id=ICTV202011972","ICTV202011972")</f>
        <v>ICTV202011972</v>
      </c>
      <c r="R1623" t="s">
        <v>579</v>
      </c>
      <c r="S1623" t="s">
        <v>22763</v>
      </c>
      <c r="T1623">
        <v>40</v>
      </c>
      <c r="U1623" s="26" t="str">
        <f t="shared" si="53"/>
        <v>2024.026B.Pantevenvirales_1no_3mf.zip</v>
      </c>
    </row>
    <row r="1624" spans="1:21">
      <c r="A1624">
        <v>1623</v>
      </c>
      <c r="B1624" s="27" t="s">
        <v>1449</v>
      </c>
      <c r="D1624" s="27" t="s">
        <v>1450</v>
      </c>
      <c r="F1624" s="27" t="s">
        <v>1453</v>
      </c>
      <c r="H1624" s="27" t="s">
        <v>1454</v>
      </c>
      <c r="J1624" s="27" t="s">
        <v>19301</v>
      </c>
      <c r="L1624" s="27" t="s">
        <v>5489</v>
      </c>
      <c r="M1624" s="27" t="s">
        <v>324</v>
      </c>
      <c r="N1624" s="27" t="s">
        <v>1215</v>
      </c>
      <c r="P1624" s="27" t="s">
        <v>5606</v>
      </c>
      <c r="Q1624" s="26" t="str">
        <f>HYPERLINK("https://ictv.global/taxonomy/taxondetails?taxnode_id=202511973&amp;ictv_id=ICTV202011973","ICTV202011973")</f>
        <v>ICTV202011973</v>
      </c>
      <c r="R1624" t="s">
        <v>579</v>
      </c>
      <c r="S1624" t="s">
        <v>22763</v>
      </c>
      <c r="T1624">
        <v>40</v>
      </c>
      <c r="U1624" s="26" t="str">
        <f t="shared" si="53"/>
        <v>2024.026B.Pantevenvirales_1no_3mf.zip</v>
      </c>
    </row>
    <row r="1625" spans="1:21">
      <c r="A1625">
        <v>1624</v>
      </c>
      <c r="B1625" s="27" t="s">
        <v>1449</v>
      </c>
      <c r="D1625" s="27" t="s">
        <v>1450</v>
      </c>
      <c r="F1625" s="27" t="s">
        <v>1453</v>
      </c>
      <c r="H1625" s="27" t="s">
        <v>1454</v>
      </c>
      <c r="J1625" s="27" t="s">
        <v>19301</v>
      </c>
      <c r="L1625" s="27" t="s">
        <v>5489</v>
      </c>
      <c r="M1625" s="27" t="s">
        <v>324</v>
      </c>
      <c r="N1625" s="27" t="s">
        <v>1215</v>
      </c>
      <c r="P1625" s="27" t="s">
        <v>5607</v>
      </c>
      <c r="Q1625" s="26" t="str">
        <f>HYPERLINK("https://ictv.global/taxonomy/taxondetails?taxnode_id=202500342&amp;ictv_id=ICTV20115480","ICTV20115480")</f>
        <v>ICTV20115480</v>
      </c>
      <c r="R1625" t="s">
        <v>579</v>
      </c>
      <c r="S1625" t="s">
        <v>22763</v>
      </c>
      <c r="T1625">
        <v>40</v>
      </c>
      <c r="U1625" s="26" t="str">
        <f t="shared" si="53"/>
        <v>2024.026B.Pantevenvirales_1no_3mf.zip</v>
      </c>
    </row>
    <row r="1626" spans="1:21">
      <c r="A1626">
        <v>1625</v>
      </c>
      <c r="B1626" s="27" t="s">
        <v>1449</v>
      </c>
      <c r="D1626" s="27" t="s">
        <v>1450</v>
      </c>
      <c r="F1626" s="27" t="s">
        <v>1453</v>
      </c>
      <c r="H1626" s="27" t="s">
        <v>1454</v>
      </c>
      <c r="J1626" s="27" t="s">
        <v>19301</v>
      </c>
      <c r="L1626" s="27" t="s">
        <v>5489</v>
      </c>
      <c r="M1626" s="27" t="s">
        <v>324</v>
      </c>
      <c r="N1626" s="27" t="s">
        <v>1215</v>
      </c>
      <c r="P1626" s="27" t="s">
        <v>5608</v>
      </c>
      <c r="Q1626" s="26" t="str">
        <f>HYPERLINK("https://ictv.global/taxonomy/taxondetails?taxnode_id=202513945&amp;ictv_id=ICTV202113945","ICTV202113945")</f>
        <v>ICTV202113945</v>
      </c>
      <c r="R1626" t="s">
        <v>579</v>
      </c>
      <c r="S1626" t="s">
        <v>22763</v>
      </c>
      <c r="T1626">
        <v>40</v>
      </c>
      <c r="U1626" s="26" t="str">
        <f t="shared" si="53"/>
        <v>2024.026B.Pantevenvirales_1no_3mf.zip</v>
      </c>
    </row>
    <row r="1627" spans="1:21">
      <c r="A1627">
        <v>1626</v>
      </c>
      <c r="B1627" s="27" t="s">
        <v>1449</v>
      </c>
      <c r="D1627" s="27" t="s">
        <v>1450</v>
      </c>
      <c r="F1627" s="27" t="s">
        <v>1453</v>
      </c>
      <c r="H1627" s="27" t="s">
        <v>1454</v>
      </c>
      <c r="J1627" s="27" t="s">
        <v>19301</v>
      </c>
      <c r="L1627" s="27" t="s">
        <v>5489</v>
      </c>
      <c r="M1627" s="27" t="s">
        <v>324</v>
      </c>
      <c r="N1627" s="27" t="s">
        <v>1215</v>
      </c>
      <c r="P1627" s="27" t="s">
        <v>5609</v>
      </c>
      <c r="Q1627" s="26" t="str">
        <f>HYPERLINK("https://ictv.global/taxonomy/taxondetails?taxnode_id=202507050&amp;ictv_id=ICTV201857050","ICTV201857050")</f>
        <v>ICTV201857050</v>
      </c>
      <c r="R1627" t="s">
        <v>579</v>
      </c>
      <c r="S1627" t="s">
        <v>22763</v>
      </c>
      <c r="T1627">
        <v>40</v>
      </c>
      <c r="U1627" s="26" t="str">
        <f t="shared" si="53"/>
        <v>2024.026B.Pantevenvirales_1no_3mf.zip</v>
      </c>
    </row>
    <row r="1628" spans="1:21">
      <c r="A1628">
        <v>1627</v>
      </c>
      <c r="B1628" s="27" t="s">
        <v>1449</v>
      </c>
      <c r="D1628" s="27" t="s">
        <v>1450</v>
      </c>
      <c r="F1628" s="27" t="s">
        <v>1453</v>
      </c>
      <c r="H1628" s="27" t="s">
        <v>1454</v>
      </c>
      <c r="J1628" s="27" t="s">
        <v>19301</v>
      </c>
      <c r="L1628" s="27" t="s">
        <v>5489</v>
      </c>
      <c r="M1628" s="27" t="s">
        <v>324</v>
      </c>
      <c r="N1628" s="27" t="s">
        <v>1215</v>
      </c>
      <c r="P1628" s="27" t="s">
        <v>5610</v>
      </c>
      <c r="Q1628" s="26" t="str">
        <f>HYPERLINK("https://ictv.global/taxonomy/taxondetails?taxnode_id=202507052&amp;ictv_id=ICTV201857052","ICTV201857052")</f>
        <v>ICTV201857052</v>
      </c>
      <c r="R1628" t="s">
        <v>579</v>
      </c>
      <c r="S1628" t="s">
        <v>22763</v>
      </c>
      <c r="T1628">
        <v>40</v>
      </c>
      <c r="U1628" s="26" t="str">
        <f t="shared" si="53"/>
        <v>2024.026B.Pantevenvirales_1no_3mf.zip</v>
      </c>
    </row>
    <row r="1629" spans="1:21">
      <c r="A1629">
        <v>1628</v>
      </c>
      <c r="B1629" s="27" t="s">
        <v>1449</v>
      </c>
      <c r="D1629" s="27" t="s">
        <v>1450</v>
      </c>
      <c r="F1629" s="27" t="s">
        <v>1453</v>
      </c>
      <c r="H1629" s="27" t="s">
        <v>1454</v>
      </c>
      <c r="J1629" s="27" t="s">
        <v>19301</v>
      </c>
      <c r="L1629" s="27" t="s">
        <v>5489</v>
      </c>
      <c r="M1629" s="27" t="s">
        <v>324</v>
      </c>
      <c r="N1629" s="27" t="s">
        <v>1215</v>
      </c>
      <c r="P1629" s="27" t="s">
        <v>5611</v>
      </c>
      <c r="Q1629" s="26" t="str">
        <f>HYPERLINK("https://ictv.global/taxonomy/taxondetails?taxnode_id=202512011&amp;ictv_id=ICTV202012011","ICTV202012011")</f>
        <v>ICTV202012011</v>
      </c>
      <c r="R1629" t="s">
        <v>579</v>
      </c>
      <c r="S1629" t="s">
        <v>22763</v>
      </c>
      <c r="T1629">
        <v>40</v>
      </c>
      <c r="U1629" s="26" t="str">
        <f t="shared" si="53"/>
        <v>2024.026B.Pantevenvirales_1no_3mf.zip</v>
      </c>
    </row>
    <row r="1630" spans="1:21">
      <c r="A1630">
        <v>1629</v>
      </c>
      <c r="B1630" s="27" t="s">
        <v>1449</v>
      </c>
      <c r="D1630" s="27" t="s">
        <v>1450</v>
      </c>
      <c r="F1630" s="27" t="s">
        <v>1453</v>
      </c>
      <c r="H1630" s="27" t="s">
        <v>1454</v>
      </c>
      <c r="J1630" s="27" t="s">
        <v>19301</v>
      </c>
      <c r="L1630" s="27" t="s">
        <v>5489</v>
      </c>
      <c r="M1630" s="27" t="s">
        <v>324</v>
      </c>
      <c r="N1630" s="27" t="s">
        <v>1215</v>
      </c>
      <c r="P1630" s="27" t="s">
        <v>5612</v>
      </c>
      <c r="Q1630" s="26" t="str">
        <f>HYPERLINK("https://ictv.global/taxonomy/taxondetails?taxnode_id=202507053&amp;ictv_id=ICTV201857053","ICTV201857053")</f>
        <v>ICTV201857053</v>
      </c>
      <c r="R1630" t="s">
        <v>579</v>
      </c>
      <c r="S1630" t="s">
        <v>22763</v>
      </c>
      <c r="T1630">
        <v>40</v>
      </c>
      <c r="U1630" s="26" t="str">
        <f t="shared" si="53"/>
        <v>2024.026B.Pantevenvirales_1no_3mf.zip</v>
      </c>
    </row>
    <row r="1631" spans="1:21">
      <c r="A1631">
        <v>1630</v>
      </c>
      <c r="B1631" s="27" t="s">
        <v>1449</v>
      </c>
      <c r="D1631" s="27" t="s">
        <v>1450</v>
      </c>
      <c r="F1631" s="27" t="s">
        <v>1453</v>
      </c>
      <c r="H1631" s="27" t="s">
        <v>1454</v>
      </c>
      <c r="J1631" s="27" t="s">
        <v>19301</v>
      </c>
      <c r="L1631" s="27" t="s">
        <v>5489</v>
      </c>
      <c r="M1631" s="27" t="s">
        <v>324</v>
      </c>
      <c r="N1631" s="27" t="s">
        <v>1215</v>
      </c>
      <c r="P1631" s="27" t="s">
        <v>5613</v>
      </c>
      <c r="Q1631" s="26" t="str">
        <f>HYPERLINK("https://ictv.global/taxonomy/taxondetails?taxnode_id=202512007&amp;ictv_id=ICTV202012007","ICTV202012007")</f>
        <v>ICTV202012007</v>
      </c>
      <c r="R1631" t="s">
        <v>579</v>
      </c>
      <c r="S1631" t="s">
        <v>22763</v>
      </c>
      <c r="T1631">
        <v>40</v>
      </c>
      <c r="U1631" s="26" t="str">
        <f t="shared" si="53"/>
        <v>2024.026B.Pantevenvirales_1no_3mf.zip</v>
      </c>
    </row>
    <row r="1632" spans="1:21">
      <c r="A1632">
        <v>1631</v>
      </c>
      <c r="B1632" s="27" t="s">
        <v>1449</v>
      </c>
      <c r="D1632" s="27" t="s">
        <v>1450</v>
      </c>
      <c r="F1632" s="27" t="s">
        <v>1453</v>
      </c>
      <c r="H1632" s="27" t="s">
        <v>1454</v>
      </c>
      <c r="J1632" s="27" t="s">
        <v>19301</v>
      </c>
      <c r="L1632" s="27" t="s">
        <v>5489</v>
      </c>
      <c r="M1632" s="27" t="s">
        <v>324</v>
      </c>
      <c r="N1632" s="27" t="s">
        <v>1215</v>
      </c>
      <c r="P1632" s="27" t="s">
        <v>5614</v>
      </c>
      <c r="Q1632" s="26" t="str">
        <f>HYPERLINK("https://ictv.global/taxonomy/taxondetails?taxnode_id=202512012&amp;ictv_id=ICTV202012012","ICTV202012012")</f>
        <v>ICTV202012012</v>
      </c>
      <c r="R1632" t="s">
        <v>579</v>
      </c>
      <c r="S1632" t="s">
        <v>22763</v>
      </c>
      <c r="T1632">
        <v>40</v>
      </c>
      <c r="U1632" s="26" t="str">
        <f t="shared" si="53"/>
        <v>2024.026B.Pantevenvirales_1no_3mf.zip</v>
      </c>
    </row>
    <row r="1633" spans="1:21">
      <c r="A1633">
        <v>1632</v>
      </c>
      <c r="B1633" s="27" t="s">
        <v>1449</v>
      </c>
      <c r="D1633" s="27" t="s">
        <v>1450</v>
      </c>
      <c r="F1633" s="27" t="s">
        <v>1453</v>
      </c>
      <c r="H1633" s="27" t="s">
        <v>1454</v>
      </c>
      <c r="J1633" s="27" t="s">
        <v>19301</v>
      </c>
      <c r="L1633" s="27" t="s">
        <v>5489</v>
      </c>
      <c r="M1633" s="27" t="s">
        <v>324</v>
      </c>
      <c r="N1633" s="27" t="s">
        <v>1215</v>
      </c>
      <c r="P1633" s="27" t="s">
        <v>5615</v>
      </c>
      <c r="Q1633" s="26" t="str">
        <f>HYPERLINK("https://ictv.global/taxonomy/taxondetails?taxnode_id=202507055&amp;ictv_id=ICTV201857055","ICTV201857055")</f>
        <v>ICTV201857055</v>
      </c>
      <c r="R1633" t="s">
        <v>579</v>
      </c>
      <c r="S1633" t="s">
        <v>22763</v>
      </c>
      <c r="T1633">
        <v>40</v>
      </c>
      <c r="U1633" s="26" t="str">
        <f t="shared" si="53"/>
        <v>2024.026B.Pantevenvirales_1no_3mf.zip</v>
      </c>
    </row>
    <row r="1634" spans="1:21">
      <c r="A1634">
        <v>1633</v>
      </c>
      <c r="B1634" s="27" t="s">
        <v>1449</v>
      </c>
      <c r="D1634" s="27" t="s">
        <v>1450</v>
      </c>
      <c r="F1634" s="27" t="s">
        <v>1453</v>
      </c>
      <c r="H1634" s="27" t="s">
        <v>1454</v>
      </c>
      <c r="J1634" s="27" t="s">
        <v>19301</v>
      </c>
      <c r="L1634" s="27" t="s">
        <v>5489</v>
      </c>
      <c r="M1634" s="27" t="s">
        <v>324</v>
      </c>
      <c r="N1634" s="27" t="s">
        <v>1215</v>
      </c>
      <c r="P1634" s="27" t="s">
        <v>5616</v>
      </c>
      <c r="Q1634" s="26" t="str">
        <f>HYPERLINK("https://ictv.global/taxonomy/taxondetails?taxnode_id=202500334&amp;ictv_id=ICTV20150082","ICTV20150082")</f>
        <v>ICTV20150082</v>
      </c>
      <c r="R1634" t="s">
        <v>579</v>
      </c>
      <c r="S1634" t="s">
        <v>22763</v>
      </c>
      <c r="T1634">
        <v>40</v>
      </c>
      <c r="U1634" s="26" t="str">
        <f t="shared" si="53"/>
        <v>2024.026B.Pantevenvirales_1no_3mf.zip</v>
      </c>
    </row>
    <row r="1635" spans="1:21">
      <c r="A1635">
        <v>1634</v>
      </c>
      <c r="B1635" s="27" t="s">
        <v>1449</v>
      </c>
      <c r="D1635" s="27" t="s">
        <v>1450</v>
      </c>
      <c r="F1635" s="27" t="s">
        <v>1453</v>
      </c>
      <c r="H1635" s="27" t="s">
        <v>1454</v>
      </c>
      <c r="J1635" s="27" t="s">
        <v>19301</v>
      </c>
      <c r="L1635" s="27" t="s">
        <v>5489</v>
      </c>
      <c r="M1635" s="27" t="s">
        <v>324</v>
      </c>
      <c r="N1635" s="27" t="s">
        <v>1215</v>
      </c>
      <c r="P1635" s="27" t="s">
        <v>5617</v>
      </c>
      <c r="Q1635" s="26" t="str">
        <f>HYPERLINK("https://ictv.global/taxonomy/taxondetails?taxnode_id=202512014&amp;ictv_id=ICTV202012014","ICTV202012014")</f>
        <v>ICTV202012014</v>
      </c>
      <c r="R1635" t="s">
        <v>579</v>
      </c>
      <c r="S1635" t="s">
        <v>22763</v>
      </c>
      <c r="T1635">
        <v>40</v>
      </c>
      <c r="U1635" s="26" t="str">
        <f t="shared" si="53"/>
        <v>2024.026B.Pantevenvirales_1no_3mf.zip</v>
      </c>
    </row>
    <row r="1636" spans="1:21">
      <c r="A1636">
        <v>1635</v>
      </c>
      <c r="B1636" s="27" t="s">
        <v>1449</v>
      </c>
      <c r="D1636" s="27" t="s">
        <v>1450</v>
      </c>
      <c r="F1636" s="27" t="s">
        <v>1453</v>
      </c>
      <c r="H1636" s="27" t="s">
        <v>1454</v>
      </c>
      <c r="J1636" s="27" t="s">
        <v>19301</v>
      </c>
      <c r="L1636" s="27" t="s">
        <v>5489</v>
      </c>
      <c r="M1636" s="27" t="s">
        <v>324</v>
      </c>
      <c r="N1636" s="27" t="s">
        <v>1215</v>
      </c>
      <c r="P1636" s="27" t="s">
        <v>5618</v>
      </c>
      <c r="Q1636" s="26" t="str">
        <f>HYPERLINK("https://ictv.global/taxonomy/taxondetails?taxnode_id=202512015&amp;ictv_id=ICTV202012015","ICTV202012015")</f>
        <v>ICTV202012015</v>
      </c>
      <c r="R1636" t="s">
        <v>579</v>
      </c>
      <c r="S1636" t="s">
        <v>22763</v>
      </c>
      <c r="T1636">
        <v>40</v>
      </c>
      <c r="U1636" s="26" t="str">
        <f t="shared" si="53"/>
        <v>2024.026B.Pantevenvirales_1no_3mf.zip</v>
      </c>
    </row>
    <row r="1637" spans="1:21">
      <c r="A1637">
        <v>1636</v>
      </c>
      <c r="B1637" s="27" t="s">
        <v>1449</v>
      </c>
      <c r="D1637" s="27" t="s">
        <v>1450</v>
      </c>
      <c r="F1637" s="27" t="s">
        <v>1453</v>
      </c>
      <c r="H1637" s="27" t="s">
        <v>1454</v>
      </c>
      <c r="J1637" s="27" t="s">
        <v>19301</v>
      </c>
      <c r="L1637" s="27" t="s">
        <v>5489</v>
      </c>
      <c r="M1637" s="27" t="s">
        <v>324</v>
      </c>
      <c r="N1637" s="27" t="s">
        <v>1215</v>
      </c>
      <c r="P1637" s="27" t="s">
        <v>5619</v>
      </c>
      <c r="Q1637" s="26" t="str">
        <f>HYPERLINK("https://ictv.global/taxonomy/taxondetails?taxnode_id=202513949&amp;ictv_id=ICTV202113949","ICTV202113949")</f>
        <v>ICTV202113949</v>
      </c>
      <c r="R1637" t="s">
        <v>579</v>
      </c>
      <c r="S1637" t="s">
        <v>22763</v>
      </c>
      <c r="T1637">
        <v>40</v>
      </c>
      <c r="U1637" s="26" t="str">
        <f t="shared" si="53"/>
        <v>2024.026B.Pantevenvirales_1no_3mf.zip</v>
      </c>
    </row>
    <row r="1638" spans="1:21">
      <c r="A1638">
        <v>1637</v>
      </c>
      <c r="B1638" s="27" t="s">
        <v>1449</v>
      </c>
      <c r="D1638" s="27" t="s">
        <v>1450</v>
      </c>
      <c r="F1638" s="27" t="s">
        <v>1453</v>
      </c>
      <c r="H1638" s="27" t="s">
        <v>1454</v>
      </c>
      <c r="J1638" s="27" t="s">
        <v>19301</v>
      </c>
      <c r="L1638" s="27" t="s">
        <v>5489</v>
      </c>
      <c r="M1638" s="27" t="s">
        <v>324</v>
      </c>
      <c r="N1638" s="27" t="s">
        <v>1215</v>
      </c>
      <c r="P1638" s="27" t="s">
        <v>5620</v>
      </c>
      <c r="Q1638" s="26" t="str">
        <f>HYPERLINK("https://ictv.global/taxonomy/taxondetails?taxnode_id=202507054&amp;ictv_id=ICTV201857054","ICTV201857054")</f>
        <v>ICTV201857054</v>
      </c>
      <c r="R1638" t="s">
        <v>579</v>
      </c>
      <c r="S1638" t="s">
        <v>22763</v>
      </c>
      <c r="T1638">
        <v>40</v>
      </c>
      <c r="U1638" s="26" t="str">
        <f t="shared" si="53"/>
        <v>2024.026B.Pantevenvirales_1no_3mf.zip</v>
      </c>
    </row>
    <row r="1639" spans="1:21">
      <c r="A1639">
        <v>1638</v>
      </c>
      <c r="B1639" s="27" t="s">
        <v>1449</v>
      </c>
      <c r="D1639" s="27" t="s">
        <v>1450</v>
      </c>
      <c r="F1639" s="27" t="s">
        <v>1453</v>
      </c>
      <c r="H1639" s="27" t="s">
        <v>1454</v>
      </c>
      <c r="J1639" s="27" t="s">
        <v>19301</v>
      </c>
      <c r="L1639" s="27" t="s">
        <v>5489</v>
      </c>
      <c r="M1639" s="27" t="s">
        <v>324</v>
      </c>
      <c r="N1639" s="27" t="s">
        <v>1215</v>
      </c>
      <c r="P1639" s="27" t="s">
        <v>5621</v>
      </c>
      <c r="Q1639" s="26" t="str">
        <f>HYPERLINK("https://ictv.global/taxonomy/taxondetails?taxnode_id=202513950&amp;ictv_id=ICTV202113950","ICTV202113950")</f>
        <v>ICTV202113950</v>
      </c>
      <c r="R1639" t="s">
        <v>579</v>
      </c>
      <c r="S1639" t="s">
        <v>22763</v>
      </c>
      <c r="T1639">
        <v>40</v>
      </c>
      <c r="U1639" s="26" t="str">
        <f t="shared" si="53"/>
        <v>2024.026B.Pantevenvirales_1no_3mf.zip</v>
      </c>
    </row>
    <row r="1640" spans="1:21">
      <c r="A1640">
        <v>1639</v>
      </c>
      <c r="B1640" s="27" t="s">
        <v>1449</v>
      </c>
      <c r="D1640" s="27" t="s">
        <v>1450</v>
      </c>
      <c r="F1640" s="27" t="s">
        <v>1453</v>
      </c>
      <c r="H1640" s="27" t="s">
        <v>1454</v>
      </c>
      <c r="J1640" s="27" t="s">
        <v>19301</v>
      </c>
      <c r="L1640" s="27" t="s">
        <v>5489</v>
      </c>
      <c r="M1640" s="27" t="s">
        <v>324</v>
      </c>
      <c r="N1640" s="27" t="s">
        <v>1215</v>
      </c>
      <c r="P1640" s="27" t="s">
        <v>5622</v>
      </c>
      <c r="Q1640" s="26" t="str">
        <f>HYPERLINK("https://ictv.global/taxonomy/taxondetails?taxnode_id=202512006&amp;ictv_id=ICTV202012006","ICTV202012006")</f>
        <v>ICTV202012006</v>
      </c>
      <c r="R1640" t="s">
        <v>579</v>
      </c>
      <c r="S1640" t="s">
        <v>22763</v>
      </c>
      <c r="T1640">
        <v>40</v>
      </c>
      <c r="U1640" s="26" t="str">
        <f t="shared" si="53"/>
        <v>2024.026B.Pantevenvirales_1no_3mf.zip</v>
      </c>
    </row>
    <row r="1641" spans="1:21">
      <c r="A1641">
        <v>1640</v>
      </c>
      <c r="B1641" s="27" t="s">
        <v>1449</v>
      </c>
      <c r="D1641" s="27" t="s">
        <v>1450</v>
      </c>
      <c r="F1641" s="27" t="s">
        <v>1453</v>
      </c>
      <c r="H1641" s="27" t="s">
        <v>1454</v>
      </c>
      <c r="J1641" s="27" t="s">
        <v>19301</v>
      </c>
      <c r="L1641" s="27" t="s">
        <v>5489</v>
      </c>
      <c r="M1641" s="27" t="s">
        <v>324</v>
      </c>
      <c r="N1641" s="27" t="s">
        <v>1215</v>
      </c>
      <c r="P1641" s="27" t="s">
        <v>5623</v>
      </c>
      <c r="Q1641" s="26" t="str">
        <f>HYPERLINK("https://ictv.global/taxonomy/taxondetails?taxnode_id=202511983&amp;ictv_id=ICTV202011983","ICTV202011983")</f>
        <v>ICTV202011983</v>
      </c>
      <c r="R1641" t="s">
        <v>579</v>
      </c>
      <c r="S1641" t="s">
        <v>22763</v>
      </c>
      <c r="T1641">
        <v>40</v>
      </c>
      <c r="U1641" s="26" t="str">
        <f t="shared" ref="U1641:U1659" si="54">HYPERLINK("https://ictv.global/ictv/proposals/2024.026B.Pantevenvirales_1no_3mf.zip","2024.026B.Pantevenvirales_1no_3mf.zip")</f>
        <v>2024.026B.Pantevenvirales_1no_3mf.zip</v>
      </c>
    </row>
    <row r="1642" spans="1:21">
      <c r="A1642">
        <v>1641</v>
      </c>
      <c r="B1642" s="27" t="s">
        <v>1449</v>
      </c>
      <c r="D1642" s="27" t="s">
        <v>1450</v>
      </c>
      <c r="F1642" s="27" t="s">
        <v>1453</v>
      </c>
      <c r="H1642" s="27" t="s">
        <v>1454</v>
      </c>
      <c r="J1642" s="27" t="s">
        <v>19301</v>
      </c>
      <c r="L1642" s="27" t="s">
        <v>5489</v>
      </c>
      <c r="M1642" s="27" t="s">
        <v>324</v>
      </c>
      <c r="N1642" s="27" t="s">
        <v>1215</v>
      </c>
      <c r="P1642" s="27" t="s">
        <v>5624</v>
      </c>
      <c r="Q1642" s="26" t="str">
        <f>HYPERLINK("https://ictv.global/taxonomy/taxondetails?taxnode_id=202500332&amp;ictv_id=ICTV19990390","ICTV19990390")</f>
        <v>ICTV19990390</v>
      </c>
      <c r="R1642" t="s">
        <v>579</v>
      </c>
      <c r="S1642" t="s">
        <v>22763</v>
      </c>
      <c r="T1642">
        <v>40</v>
      </c>
      <c r="U1642" s="26" t="str">
        <f t="shared" si="54"/>
        <v>2024.026B.Pantevenvirales_1no_3mf.zip</v>
      </c>
    </row>
    <row r="1643" spans="1:21">
      <c r="A1643">
        <v>1642</v>
      </c>
      <c r="B1643" s="27" t="s">
        <v>1449</v>
      </c>
      <c r="D1643" s="27" t="s">
        <v>1450</v>
      </c>
      <c r="F1643" s="27" t="s">
        <v>1453</v>
      </c>
      <c r="H1643" s="27" t="s">
        <v>1454</v>
      </c>
      <c r="J1643" s="27" t="s">
        <v>19301</v>
      </c>
      <c r="L1643" s="27" t="s">
        <v>5489</v>
      </c>
      <c r="M1643" s="27" t="s">
        <v>324</v>
      </c>
      <c r="N1643" s="27" t="s">
        <v>1215</v>
      </c>
      <c r="P1643" s="27" t="s">
        <v>5625</v>
      </c>
      <c r="Q1643" s="26" t="str">
        <f>HYPERLINK("https://ictv.global/taxonomy/taxondetails?taxnode_id=202511974&amp;ictv_id=ICTV202011974","ICTV202011974")</f>
        <v>ICTV202011974</v>
      </c>
      <c r="R1643" t="s">
        <v>579</v>
      </c>
      <c r="S1643" t="s">
        <v>22763</v>
      </c>
      <c r="T1643">
        <v>40</v>
      </c>
      <c r="U1643" s="26" t="str">
        <f t="shared" si="54"/>
        <v>2024.026B.Pantevenvirales_1no_3mf.zip</v>
      </c>
    </row>
    <row r="1644" spans="1:21">
      <c r="A1644">
        <v>1643</v>
      </c>
      <c r="B1644" s="27" t="s">
        <v>1449</v>
      </c>
      <c r="D1644" s="27" t="s">
        <v>1450</v>
      </c>
      <c r="F1644" s="27" t="s">
        <v>1453</v>
      </c>
      <c r="H1644" s="27" t="s">
        <v>1454</v>
      </c>
      <c r="J1644" s="27" t="s">
        <v>19301</v>
      </c>
      <c r="L1644" s="27" t="s">
        <v>5489</v>
      </c>
      <c r="M1644" s="27" t="s">
        <v>324</v>
      </c>
      <c r="N1644" s="27" t="s">
        <v>1215</v>
      </c>
      <c r="P1644" s="27" t="s">
        <v>5626</v>
      </c>
      <c r="Q1644" s="26" t="str">
        <f>HYPERLINK("https://ictv.global/taxonomy/taxondetails?taxnode_id=202511984&amp;ictv_id=ICTV202011984","ICTV202011984")</f>
        <v>ICTV202011984</v>
      </c>
      <c r="R1644" t="s">
        <v>579</v>
      </c>
      <c r="S1644" t="s">
        <v>22763</v>
      </c>
      <c r="T1644">
        <v>40</v>
      </c>
      <c r="U1644" s="26" t="str">
        <f t="shared" si="54"/>
        <v>2024.026B.Pantevenvirales_1no_3mf.zip</v>
      </c>
    </row>
    <row r="1645" spans="1:21">
      <c r="A1645">
        <v>1644</v>
      </c>
      <c r="B1645" s="27" t="s">
        <v>1449</v>
      </c>
      <c r="D1645" s="27" t="s">
        <v>1450</v>
      </c>
      <c r="F1645" s="27" t="s">
        <v>1453</v>
      </c>
      <c r="H1645" s="27" t="s">
        <v>1454</v>
      </c>
      <c r="J1645" s="27" t="s">
        <v>19301</v>
      </c>
      <c r="L1645" s="27" t="s">
        <v>5489</v>
      </c>
      <c r="M1645" s="27" t="s">
        <v>324</v>
      </c>
      <c r="N1645" s="27" t="s">
        <v>1215</v>
      </c>
      <c r="P1645" s="27" t="s">
        <v>5627</v>
      </c>
      <c r="Q1645" s="26" t="str">
        <f>HYPERLINK("https://ictv.global/taxonomy/taxondetails?taxnode_id=202511985&amp;ictv_id=ICTV202011985","ICTV202011985")</f>
        <v>ICTV202011985</v>
      </c>
      <c r="R1645" t="s">
        <v>579</v>
      </c>
      <c r="S1645" t="s">
        <v>22763</v>
      </c>
      <c r="T1645">
        <v>40</v>
      </c>
      <c r="U1645" s="26" t="str">
        <f t="shared" si="54"/>
        <v>2024.026B.Pantevenvirales_1no_3mf.zip</v>
      </c>
    </row>
    <row r="1646" spans="1:21">
      <c r="A1646">
        <v>1645</v>
      </c>
      <c r="B1646" s="27" t="s">
        <v>1449</v>
      </c>
      <c r="D1646" s="27" t="s">
        <v>1450</v>
      </c>
      <c r="F1646" s="27" t="s">
        <v>1453</v>
      </c>
      <c r="H1646" s="27" t="s">
        <v>1454</v>
      </c>
      <c r="J1646" s="27" t="s">
        <v>19301</v>
      </c>
      <c r="L1646" s="27" t="s">
        <v>5489</v>
      </c>
      <c r="M1646" s="27" t="s">
        <v>324</v>
      </c>
      <c r="N1646" s="27" t="s">
        <v>1215</v>
      </c>
      <c r="P1646" s="27" t="s">
        <v>5628</v>
      </c>
      <c r="Q1646" s="26" t="str">
        <f>HYPERLINK("https://ictv.global/taxonomy/taxondetails?taxnode_id=202511986&amp;ictv_id=ICTV202011986","ICTV202011986")</f>
        <v>ICTV202011986</v>
      </c>
      <c r="R1646" t="s">
        <v>579</v>
      </c>
      <c r="S1646" t="s">
        <v>22763</v>
      </c>
      <c r="T1646">
        <v>40</v>
      </c>
      <c r="U1646" s="26" t="str">
        <f t="shared" si="54"/>
        <v>2024.026B.Pantevenvirales_1no_3mf.zip</v>
      </c>
    </row>
    <row r="1647" spans="1:21">
      <c r="A1647">
        <v>1646</v>
      </c>
      <c r="B1647" s="27" t="s">
        <v>1449</v>
      </c>
      <c r="D1647" s="27" t="s">
        <v>1450</v>
      </c>
      <c r="F1647" s="27" t="s">
        <v>1453</v>
      </c>
      <c r="H1647" s="27" t="s">
        <v>1454</v>
      </c>
      <c r="J1647" s="27" t="s">
        <v>19301</v>
      </c>
      <c r="L1647" s="27" t="s">
        <v>5489</v>
      </c>
      <c r="M1647" s="27" t="s">
        <v>324</v>
      </c>
      <c r="N1647" s="27" t="s">
        <v>1215</v>
      </c>
      <c r="P1647" s="27" t="s">
        <v>5629</v>
      </c>
      <c r="Q1647" s="26" t="str">
        <f>HYPERLINK("https://ictv.global/taxonomy/taxondetails?taxnode_id=202511987&amp;ictv_id=ICTV202011987","ICTV202011987")</f>
        <v>ICTV202011987</v>
      </c>
      <c r="R1647" t="s">
        <v>579</v>
      </c>
      <c r="S1647" t="s">
        <v>22763</v>
      </c>
      <c r="T1647">
        <v>40</v>
      </c>
      <c r="U1647" s="26" t="str">
        <f t="shared" si="54"/>
        <v>2024.026B.Pantevenvirales_1no_3mf.zip</v>
      </c>
    </row>
    <row r="1648" spans="1:21">
      <c r="A1648">
        <v>1647</v>
      </c>
      <c r="B1648" s="27" t="s">
        <v>1449</v>
      </c>
      <c r="D1648" s="27" t="s">
        <v>1450</v>
      </c>
      <c r="F1648" s="27" t="s">
        <v>1453</v>
      </c>
      <c r="H1648" s="27" t="s">
        <v>1454</v>
      </c>
      <c r="J1648" s="27" t="s">
        <v>19301</v>
      </c>
      <c r="L1648" s="27" t="s">
        <v>5489</v>
      </c>
      <c r="M1648" s="27" t="s">
        <v>324</v>
      </c>
      <c r="N1648" s="27" t="s">
        <v>1215</v>
      </c>
      <c r="P1648" s="27" t="s">
        <v>11668</v>
      </c>
      <c r="Q1648" s="26" t="str">
        <f>HYPERLINK("https://ictv.global/taxonomy/taxondetails?taxnode_id=202519345&amp;ictv_id=ICTV202319345","ICTV202319345")</f>
        <v>ICTV202319345</v>
      </c>
      <c r="R1648" t="s">
        <v>579</v>
      </c>
      <c r="S1648" t="s">
        <v>22763</v>
      </c>
      <c r="T1648">
        <v>40</v>
      </c>
      <c r="U1648" s="26" t="str">
        <f t="shared" si="54"/>
        <v>2024.026B.Pantevenvirales_1no_3mf.zip</v>
      </c>
    </row>
    <row r="1649" spans="1:21">
      <c r="A1649">
        <v>1648</v>
      </c>
      <c r="B1649" s="27" t="s">
        <v>1449</v>
      </c>
      <c r="D1649" s="27" t="s">
        <v>1450</v>
      </c>
      <c r="F1649" s="27" t="s">
        <v>1453</v>
      </c>
      <c r="H1649" s="27" t="s">
        <v>1454</v>
      </c>
      <c r="J1649" s="27" t="s">
        <v>19301</v>
      </c>
      <c r="L1649" s="27" t="s">
        <v>5489</v>
      </c>
      <c r="M1649" s="27" t="s">
        <v>324</v>
      </c>
      <c r="N1649" s="27" t="s">
        <v>1215</v>
      </c>
      <c r="P1649" s="27" t="s">
        <v>5630</v>
      </c>
      <c r="Q1649" s="26" t="str">
        <f>HYPERLINK("https://ictv.global/taxonomy/taxondetails?taxnode_id=202513946&amp;ictv_id=ICTV202113946","ICTV202113946")</f>
        <v>ICTV202113946</v>
      </c>
      <c r="R1649" t="s">
        <v>579</v>
      </c>
      <c r="S1649" t="s">
        <v>22763</v>
      </c>
      <c r="T1649">
        <v>40</v>
      </c>
      <c r="U1649" s="26" t="str">
        <f t="shared" si="54"/>
        <v>2024.026B.Pantevenvirales_1no_3mf.zip</v>
      </c>
    </row>
    <row r="1650" spans="1:21">
      <c r="A1650">
        <v>1649</v>
      </c>
      <c r="B1650" s="27" t="s">
        <v>1449</v>
      </c>
      <c r="D1650" s="27" t="s">
        <v>1450</v>
      </c>
      <c r="F1650" s="27" t="s">
        <v>1453</v>
      </c>
      <c r="H1650" s="27" t="s">
        <v>1454</v>
      </c>
      <c r="J1650" s="27" t="s">
        <v>19301</v>
      </c>
      <c r="L1650" s="27" t="s">
        <v>5489</v>
      </c>
      <c r="M1650" s="27" t="s">
        <v>324</v>
      </c>
      <c r="N1650" s="27" t="s">
        <v>1215</v>
      </c>
      <c r="P1650" s="27" t="s">
        <v>5631</v>
      </c>
      <c r="Q1650" s="26" t="str">
        <f>HYPERLINK("https://ictv.global/taxonomy/taxondetails?taxnode_id=202514944&amp;ictv_id=ICTV202214944","ICTV202214944")</f>
        <v>ICTV202214944</v>
      </c>
      <c r="R1650" t="s">
        <v>579</v>
      </c>
      <c r="S1650" t="s">
        <v>22763</v>
      </c>
      <c r="T1650">
        <v>40</v>
      </c>
      <c r="U1650" s="26" t="str">
        <f t="shared" si="54"/>
        <v>2024.026B.Pantevenvirales_1no_3mf.zip</v>
      </c>
    </row>
    <row r="1651" spans="1:21">
      <c r="A1651">
        <v>1650</v>
      </c>
      <c r="B1651" s="27" t="s">
        <v>1449</v>
      </c>
      <c r="D1651" s="27" t="s">
        <v>1450</v>
      </c>
      <c r="F1651" s="27" t="s">
        <v>1453</v>
      </c>
      <c r="H1651" s="27" t="s">
        <v>1454</v>
      </c>
      <c r="J1651" s="27" t="s">
        <v>19301</v>
      </c>
      <c r="L1651" s="27" t="s">
        <v>5489</v>
      </c>
      <c r="M1651" s="27" t="s">
        <v>324</v>
      </c>
      <c r="N1651" s="27" t="s">
        <v>1215</v>
      </c>
      <c r="P1651" s="27" t="s">
        <v>5632</v>
      </c>
      <c r="Q1651" s="26" t="str">
        <f>HYPERLINK("https://ictv.global/taxonomy/taxondetails?taxnode_id=202512018&amp;ictv_id=ICTV202012018","ICTV202012018")</f>
        <v>ICTV202012018</v>
      </c>
      <c r="R1651" t="s">
        <v>579</v>
      </c>
      <c r="S1651" t="s">
        <v>22763</v>
      </c>
      <c r="T1651">
        <v>40</v>
      </c>
      <c r="U1651" s="26" t="str">
        <f t="shared" si="54"/>
        <v>2024.026B.Pantevenvirales_1no_3mf.zip</v>
      </c>
    </row>
    <row r="1652" spans="1:21">
      <c r="A1652">
        <v>1651</v>
      </c>
      <c r="B1652" s="27" t="s">
        <v>1449</v>
      </c>
      <c r="D1652" s="27" t="s">
        <v>1450</v>
      </c>
      <c r="F1652" s="27" t="s">
        <v>1453</v>
      </c>
      <c r="H1652" s="27" t="s">
        <v>1454</v>
      </c>
      <c r="J1652" s="27" t="s">
        <v>19301</v>
      </c>
      <c r="L1652" s="27" t="s">
        <v>5489</v>
      </c>
      <c r="M1652" s="27" t="s">
        <v>324</v>
      </c>
      <c r="N1652" s="27" t="s">
        <v>1215</v>
      </c>
      <c r="P1652" s="27" t="s">
        <v>5633</v>
      </c>
      <c r="Q1652" s="26" t="str">
        <f>HYPERLINK("https://ictv.global/taxonomy/taxondetails?taxnode_id=202511966&amp;ictv_id=ICTV202011966","ICTV202011966")</f>
        <v>ICTV202011966</v>
      </c>
      <c r="R1652" t="s">
        <v>579</v>
      </c>
      <c r="S1652" t="s">
        <v>22763</v>
      </c>
      <c r="T1652">
        <v>40</v>
      </c>
      <c r="U1652" s="26" t="str">
        <f t="shared" si="54"/>
        <v>2024.026B.Pantevenvirales_1no_3mf.zip</v>
      </c>
    </row>
    <row r="1653" spans="1:21">
      <c r="A1653">
        <v>1652</v>
      </c>
      <c r="B1653" s="27" t="s">
        <v>1449</v>
      </c>
      <c r="D1653" s="27" t="s">
        <v>1450</v>
      </c>
      <c r="F1653" s="27" t="s">
        <v>1453</v>
      </c>
      <c r="H1653" s="27" t="s">
        <v>1454</v>
      </c>
      <c r="J1653" s="27" t="s">
        <v>19301</v>
      </c>
      <c r="L1653" s="27" t="s">
        <v>5489</v>
      </c>
      <c r="M1653" s="27" t="s">
        <v>324</v>
      </c>
      <c r="N1653" s="27" t="s">
        <v>1215</v>
      </c>
      <c r="P1653" s="27" t="s">
        <v>5634</v>
      </c>
      <c r="Q1653" s="26" t="str">
        <f>HYPERLINK("https://ictv.global/taxonomy/taxondetails?taxnode_id=202511967&amp;ictv_id=ICTV202011967","ICTV202011967")</f>
        <v>ICTV202011967</v>
      </c>
      <c r="R1653" t="s">
        <v>579</v>
      </c>
      <c r="S1653" t="s">
        <v>22763</v>
      </c>
      <c r="T1653">
        <v>40</v>
      </c>
      <c r="U1653" s="26" t="str">
        <f t="shared" si="54"/>
        <v>2024.026B.Pantevenvirales_1no_3mf.zip</v>
      </c>
    </row>
    <row r="1654" spans="1:21">
      <c r="A1654">
        <v>1653</v>
      </c>
      <c r="B1654" s="27" t="s">
        <v>1449</v>
      </c>
      <c r="D1654" s="27" t="s">
        <v>1450</v>
      </c>
      <c r="F1654" s="27" t="s">
        <v>1453</v>
      </c>
      <c r="H1654" s="27" t="s">
        <v>1454</v>
      </c>
      <c r="J1654" s="27" t="s">
        <v>19301</v>
      </c>
      <c r="L1654" s="27" t="s">
        <v>5489</v>
      </c>
      <c r="M1654" s="27" t="s">
        <v>324</v>
      </c>
      <c r="N1654" s="27" t="s">
        <v>1215</v>
      </c>
      <c r="P1654" s="27" t="s">
        <v>5635</v>
      </c>
      <c r="Q1654" s="26" t="str">
        <f>HYPERLINK("https://ictv.global/taxonomy/taxondetails?taxnode_id=202512008&amp;ictv_id=ICTV202012008","ICTV202012008")</f>
        <v>ICTV202012008</v>
      </c>
      <c r="R1654" t="s">
        <v>579</v>
      </c>
      <c r="S1654" t="s">
        <v>22763</v>
      </c>
      <c r="T1654">
        <v>40</v>
      </c>
      <c r="U1654" s="26" t="str">
        <f t="shared" si="54"/>
        <v>2024.026B.Pantevenvirales_1no_3mf.zip</v>
      </c>
    </row>
    <row r="1655" spans="1:21">
      <c r="A1655">
        <v>1654</v>
      </c>
      <c r="B1655" s="27" t="s">
        <v>1449</v>
      </c>
      <c r="D1655" s="27" t="s">
        <v>1450</v>
      </c>
      <c r="F1655" s="27" t="s">
        <v>1453</v>
      </c>
      <c r="H1655" s="27" t="s">
        <v>1454</v>
      </c>
      <c r="J1655" s="27" t="s">
        <v>19301</v>
      </c>
      <c r="L1655" s="27" t="s">
        <v>5489</v>
      </c>
      <c r="M1655" s="27" t="s">
        <v>324</v>
      </c>
      <c r="N1655" s="27" t="s">
        <v>1268</v>
      </c>
      <c r="P1655" s="27" t="s">
        <v>5636</v>
      </c>
      <c r="Q1655" s="26" t="str">
        <f>HYPERLINK("https://ictv.global/taxonomy/taxondetails?taxnode_id=202506871&amp;ictv_id=ICTV201856871","ICTV201856871")</f>
        <v>ICTV201856871</v>
      </c>
      <c r="R1655" t="s">
        <v>579</v>
      </c>
      <c r="S1655" t="s">
        <v>22763</v>
      </c>
      <c r="T1655">
        <v>40</v>
      </c>
      <c r="U1655" s="26" t="str">
        <f t="shared" si="54"/>
        <v>2024.026B.Pantevenvirales_1no_3mf.zip</v>
      </c>
    </row>
    <row r="1656" spans="1:21">
      <c r="A1656">
        <v>1655</v>
      </c>
      <c r="B1656" s="27" t="s">
        <v>1449</v>
      </c>
      <c r="D1656" s="27" t="s">
        <v>1450</v>
      </c>
      <c r="F1656" s="27" t="s">
        <v>1453</v>
      </c>
      <c r="H1656" s="27" t="s">
        <v>1454</v>
      </c>
      <c r="J1656" s="27" t="s">
        <v>19301</v>
      </c>
      <c r="L1656" s="27" t="s">
        <v>5489</v>
      </c>
      <c r="M1656" s="27" t="s">
        <v>324</v>
      </c>
      <c r="N1656" s="27" t="s">
        <v>1268</v>
      </c>
      <c r="P1656" s="27" t="s">
        <v>5637</v>
      </c>
      <c r="Q1656" s="26" t="str">
        <f>HYPERLINK("https://ictv.global/taxonomy/taxondetails?taxnode_id=202513688&amp;ictv_id=ICTV202113688","ICTV202113688")</f>
        <v>ICTV202113688</v>
      </c>
      <c r="R1656" t="s">
        <v>579</v>
      </c>
      <c r="S1656" t="s">
        <v>22763</v>
      </c>
      <c r="T1656">
        <v>40</v>
      </c>
      <c r="U1656" s="26" t="str">
        <f t="shared" si="54"/>
        <v>2024.026B.Pantevenvirales_1no_3mf.zip</v>
      </c>
    </row>
    <row r="1657" spans="1:21">
      <c r="A1657">
        <v>1656</v>
      </c>
      <c r="B1657" s="27" t="s">
        <v>1449</v>
      </c>
      <c r="D1657" s="27" t="s">
        <v>1450</v>
      </c>
      <c r="F1657" s="27" t="s">
        <v>1453</v>
      </c>
      <c r="H1657" s="27" t="s">
        <v>1454</v>
      </c>
      <c r="J1657" s="27" t="s">
        <v>19301</v>
      </c>
      <c r="L1657" s="27" t="s">
        <v>5489</v>
      </c>
      <c r="M1657" s="27" t="s">
        <v>2083</v>
      </c>
      <c r="N1657" s="27" t="s">
        <v>2084</v>
      </c>
      <c r="P1657" s="27" t="s">
        <v>5638</v>
      </c>
      <c r="Q1657" s="26" t="str">
        <f>HYPERLINK("https://ictv.global/taxonomy/taxondetails?taxnode_id=202512076&amp;ictv_id=ICTV202012076","ICTV202012076")</f>
        <v>ICTV202012076</v>
      </c>
      <c r="R1657" t="s">
        <v>579</v>
      </c>
      <c r="S1657" t="s">
        <v>22763</v>
      </c>
      <c r="T1657">
        <v>40</v>
      </c>
      <c r="U1657" s="26" t="str">
        <f t="shared" si="54"/>
        <v>2024.026B.Pantevenvirales_1no_3mf.zip</v>
      </c>
    </row>
    <row r="1658" spans="1:21">
      <c r="A1658">
        <v>1657</v>
      </c>
      <c r="B1658" s="27" t="s">
        <v>1449</v>
      </c>
      <c r="D1658" s="27" t="s">
        <v>1450</v>
      </c>
      <c r="F1658" s="27" t="s">
        <v>1453</v>
      </c>
      <c r="H1658" s="27" t="s">
        <v>1454</v>
      </c>
      <c r="J1658" s="27" t="s">
        <v>19301</v>
      </c>
      <c r="L1658" s="27" t="s">
        <v>5489</v>
      </c>
      <c r="M1658" s="27" t="s">
        <v>2083</v>
      </c>
      <c r="N1658" s="27" t="s">
        <v>2085</v>
      </c>
      <c r="P1658" s="27" t="s">
        <v>5639</v>
      </c>
      <c r="Q1658" s="26" t="str">
        <f>HYPERLINK("https://ictv.global/taxonomy/taxondetails?taxnode_id=202512064&amp;ictv_id=ICTV202012064","ICTV202012064")</f>
        <v>ICTV202012064</v>
      </c>
      <c r="R1658" t="s">
        <v>579</v>
      </c>
      <c r="S1658" t="s">
        <v>22763</v>
      </c>
      <c r="T1658">
        <v>40</v>
      </c>
      <c r="U1658" s="26" t="str">
        <f t="shared" si="54"/>
        <v>2024.026B.Pantevenvirales_1no_3mf.zip</v>
      </c>
    </row>
    <row r="1659" spans="1:21">
      <c r="A1659">
        <v>1658</v>
      </c>
      <c r="B1659" s="27" t="s">
        <v>1449</v>
      </c>
      <c r="D1659" s="27" t="s">
        <v>1450</v>
      </c>
      <c r="F1659" s="27" t="s">
        <v>1453</v>
      </c>
      <c r="H1659" s="27" t="s">
        <v>1454</v>
      </c>
      <c r="J1659" s="27" t="s">
        <v>19301</v>
      </c>
      <c r="L1659" s="27" t="s">
        <v>5489</v>
      </c>
      <c r="M1659" s="27" t="s">
        <v>2083</v>
      </c>
      <c r="N1659" s="27" t="s">
        <v>2085</v>
      </c>
      <c r="P1659" s="27" t="s">
        <v>5640</v>
      </c>
      <c r="Q1659" s="26" t="str">
        <f>HYPERLINK("https://ictv.global/taxonomy/taxondetails?taxnode_id=202512065&amp;ictv_id=ICTV202012065","ICTV202012065")</f>
        <v>ICTV202012065</v>
      </c>
      <c r="R1659" t="s">
        <v>579</v>
      </c>
      <c r="S1659" t="s">
        <v>22763</v>
      </c>
      <c r="T1659">
        <v>40</v>
      </c>
      <c r="U1659" s="26" t="str">
        <f t="shared" si="54"/>
        <v>2024.026B.Pantevenvirales_1no_3mf.zip</v>
      </c>
    </row>
    <row r="1660" spans="1:21">
      <c r="A1660">
        <v>1659</v>
      </c>
      <c r="B1660" s="27" t="s">
        <v>1449</v>
      </c>
      <c r="D1660" s="27" t="s">
        <v>1450</v>
      </c>
      <c r="F1660" s="27" t="s">
        <v>1453</v>
      </c>
      <c r="H1660" s="27" t="s">
        <v>1454</v>
      </c>
      <c r="J1660" s="27" t="s">
        <v>19301</v>
      </c>
      <c r="L1660" s="27" t="s">
        <v>5489</v>
      </c>
      <c r="M1660" s="27" t="s">
        <v>2083</v>
      </c>
      <c r="N1660" s="27" t="s">
        <v>2086</v>
      </c>
      <c r="P1660" s="27" t="s">
        <v>19309</v>
      </c>
      <c r="Q1660" s="26" t="str">
        <f>HYPERLINK("https://ictv.global/taxonomy/taxondetails?taxnode_id=202512062&amp;ictv_id=ICTV202012062","ICTV202012062")</f>
        <v>ICTV202012062</v>
      </c>
      <c r="R1660" t="s">
        <v>579</v>
      </c>
      <c r="S1660" t="s">
        <v>824</v>
      </c>
      <c r="T1660">
        <v>40</v>
      </c>
      <c r="U1660" s="26" t="str">
        <f>HYPERLINK("https://ictv.global/ictv/proposals/2024.036B.Caudoviricetes_Faserviricetes_Name_Corrections.zip","2024.036B.Caudoviricetes_Faserviricetes_Name_Corrections.zip")</f>
        <v>2024.036B.Caudoviricetes_Faserviricetes_Name_Corrections.zip</v>
      </c>
    </row>
    <row r="1661" spans="1:21">
      <c r="A1661">
        <v>1660</v>
      </c>
      <c r="B1661" s="27" t="s">
        <v>1449</v>
      </c>
      <c r="D1661" s="27" t="s">
        <v>1450</v>
      </c>
      <c r="F1661" s="27" t="s">
        <v>1453</v>
      </c>
      <c r="H1661" s="27" t="s">
        <v>1454</v>
      </c>
      <c r="J1661" s="27" t="s">
        <v>19301</v>
      </c>
      <c r="L1661" s="27" t="s">
        <v>5489</v>
      </c>
      <c r="M1661" s="27" t="s">
        <v>2083</v>
      </c>
      <c r="N1661" s="27" t="s">
        <v>2087</v>
      </c>
      <c r="P1661" s="27" t="s">
        <v>5641</v>
      </c>
      <c r="Q1661" s="26" t="str">
        <f>HYPERLINK("https://ictv.global/taxonomy/taxondetails?taxnode_id=202512070&amp;ictv_id=ICTV202012070","ICTV202012070")</f>
        <v>ICTV202012070</v>
      </c>
      <c r="R1661" t="s">
        <v>579</v>
      </c>
      <c r="S1661" t="s">
        <v>22763</v>
      </c>
      <c r="T1661">
        <v>40</v>
      </c>
      <c r="U1661" s="26" t="str">
        <f t="shared" ref="U1661:U1692" si="55">HYPERLINK("https://ictv.global/ictv/proposals/2024.026B.Pantevenvirales_1no_3mf.zip","2024.026B.Pantevenvirales_1no_3mf.zip")</f>
        <v>2024.026B.Pantevenvirales_1no_3mf.zip</v>
      </c>
    </row>
    <row r="1662" spans="1:21">
      <c r="A1662">
        <v>1661</v>
      </c>
      <c r="B1662" s="27" t="s">
        <v>1449</v>
      </c>
      <c r="D1662" s="27" t="s">
        <v>1450</v>
      </c>
      <c r="F1662" s="27" t="s">
        <v>1453</v>
      </c>
      <c r="H1662" s="27" t="s">
        <v>1454</v>
      </c>
      <c r="J1662" s="27" t="s">
        <v>19301</v>
      </c>
      <c r="L1662" s="27" t="s">
        <v>5489</v>
      </c>
      <c r="M1662" s="27" t="s">
        <v>2083</v>
      </c>
      <c r="N1662" s="27" t="s">
        <v>2087</v>
      </c>
      <c r="P1662" s="27" t="s">
        <v>5642</v>
      </c>
      <c r="Q1662" s="26" t="str">
        <f>HYPERLINK("https://ictv.global/taxonomy/taxondetails?taxnode_id=202512069&amp;ictv_id=ICTV202012069","ICTV202012069")</f>
        <v>ICTV202012069</v>
      </c>
      <c r="R1662" t="s">
        <v>579</v>
      </c>
      <c r="S1662" t="s">
        <v>22763</v>
      </c>
      <c r="T1662">
        <v>40</v>
      </c>
      <c r="U1662" s="26" t="str">
        <f t="shared" si="55"/>
        <v>2024.026B.Pantevenvirales_1no_3mf.zip</v>
      </c>
    </row>
    <row r="1663" spans="1:21">
      <c r="A1663">
        <v>1662</v>
      </c>
      <c r="B1663" s="27" t="s">
        <v>1449</v>
      </c>
      <c r="D1663" s="27" t="s">
        <v>1450</v>
      </c>
      <c r="F1663" s="27" t="s">
        <v>1453</v>
      </c>
      <c r="H1663" s="27" t="s">
        <v>1454</v>
      </c>
      <c r="J1663" s="27" t="s">
        <v>19301</v>
      </c>
      <c r="L1663" s="27" t="s">
        <v>5489</v>
      </c>
      <c r="M1663" s="27" t="s">
        <v>2083</v>
      </c>
      <c r="N1663" s="27" t="s">
        <v>2087</v>
      </c>
      <c r="P1663" s="27" t="s">
        <v>5643</v>
      </c>
      <c r="Q1663" s="26" t="str">
        <f>HYPERLINK("https://ictv.global/taxonomy/taxondetails?taxnode_id=202512071&amp;ictv_id=ICTV202012071","ICTV202012071")</f>
        <v>ICTV202012071</v>
      </c>
      <c r="R1663" t="s">
        <v>579</v>
      </c>
      <c r="S1663" t="s">
        <v>22763</v>
      </c>
      <c r="T1663">
        <v>40</v>
      </c>
      <c r="U1663" s="26" t="str">
        <f t="shared" si="55"/>
        <v>2024.026B.Pantevenvirales_1no_3mf.zip</v>
      </c>
    </row>
    <row r="1664" spans="1:21">
      <c r="A1664">
        <v>1663</v>
      </c>
      <c r="B1664" s="27" t="s">
        <v>1449</v>
      </c>
      <c r="D1664" s="27" t="s">
        <v>1450</v>
      </c>
      <c r="F1664" s="27" t="s">
        <v>1453</v>
      </c>
      <c r="H1664" s="27" t="s">
        <v>1454</v>
      </c>
      <c r="J1664" s="27" t="s">
        <v>19301</v>
      </c>
      <c r="L1664" s="27" t="s">
        <v>5489</v>
      </c>
      <c r="M1664" s="27" t="s">
        <v>2083</v>
      </c>
      <c r="N1664" s="27" t="s">
        <v>2087</v>
      </c>
      <c r="P1664" s="27" t="s">
        <v>5644</v>
      </c>
      <c r="Q1664" s="26" t="str">
        <f>HYPERLINK("https://ictv.global/taxonomy/taxondetails?taxnode_id=202512068&amp;ictv_id=ICTV202012068","ICTV202012068")</f>
        <v>ICTV202012068</v>
      </c>
      <c r="R1664" t="s">
        <v>579</v>
      </c>
      <c r="S1664" t="s">
        <v>22763</v>
      </c>
      <c r="T1664">
        <v>40</v>
      </c>
      <c r="U1664" s="26" t="str">
        <f t="shared" si="55"/>
        <v>2024.026B.Pantevenvirales_1no_3mf.zip</v>
      </c>
    </row>
    <row r="1665" spans="1:21">
      <c r="A1665">
        <v>1664</v>
      </c>
      <c r="B1665" s="27" t="s">
        <v>1449</v>
      </c>
      <c r="D1665" s="27" t="s">
        <v>1450</v>
      </c>
      <c r="F1665" s="27" t="s">
        <v>1453</v>
      </c>
      <c r="H1665" s="27" t="s">
        <v>1454</v>
      </c>
      <c r="J1665" s="27" t="s">
        <v>19301</v>
      </c>
      <c r="L1665" s="27" t="s">
        <v>5489</v>
      </c>
      <c r="M1665" s="27" t="s">
        <v>2083</v>
      </c>
      <c r="N1665" s="27" t="s">
        <v>2087</v>
      </c>
      <c r="P1665" s="27" t="s">
        <v>5645</v>
      </c>
      <c r="Q1665" s="26" t="str">
        <f>HYPERLINK("https://ictv.global/taxonomy/taxondetails?taxnode_id=202512072&amp;ictv_id=ICTV202012072","ICTV202012072")</f>
        <v>ICTV202012072</v>
      </c>
      <c r="R1665" t="s">
        <v>579</v>
      </c>
      <c r="S1665" t="s">
        <v>22763</v>
      </c>
      <c r="T1665">
        <v>40</v>
      </c>
      <c r="U1665" s="26" t="str">
        <f t="shared" si="55"/>
        <v>2024.026B.Pantevenvirales_1no_3mf.zip</v>
      </c>
    </row>
    <row r="1666" spans="1:21">
      <c r="A1666">
        <v>1665</v>
      </c>
      <c r="B1666" s="27" t="s">
        <v>1449</v>
      </c>
      <c r="D1666" s="27" t="s">
        <v>1450</v>
      </c>
      <c r="F1666" s="27" t="s">
        <v>1453</v>
      </c>
      <c r="H1666" s="27" t="s">
        <v>1454</v>
      </c>
      <c r="J1666" s="27" t="s">
        <v>19301</v>
      </c>
      <c r="L1666" s="27" t="s">
        <v>5489</v>
      </c>
      <c r="M1666" s="27" t="s">
        <v>2083</v>
      </c>
      <c r="N1666" s="27" t="s">
        <v>2087</v>
      </c>
      <c r="P1666" s="27" t="s">
        <v>5646</v>
      </c>
      <c r="Q1666" s="26" t="str">
        <f>HYPERLINK("https://ictv.global/taxonomy/taxondetails?taxnode_id=202512074&amp;ictv_id=ICTV202012074","ICTV202012074")</f>
        <v>ICTV202012074</v>
      </c>
      <c r="R1666" t="s">
        <v>579</v>
      </c>
      <c r="S1666" t="s">
        <v>22763</v>
      </c>
      <c r="T1666">
        <v>40</v>
      </c>
      <c r="U1666" s="26" t="str">
        <f t="shared" si="55"/>
        <v>2024.026B.Pantevenvirales_1no_3mf.zip</v>
      </c>
    </row>
    <row r="1667" spans="1:21">
      <c r="A1667">
        <v>1666</v>
      </c>
      <c r="B1667" s="27" t="s">
        <v>1449</v>
      </c>
      <c r="D1667" s="27" t="s">
        <v>1450</v>
      </c>
      <c r="F1667" s="27" t="s">
        <v>1453</v>
      </c>
      <c r="H1667" s="27" t="s">
        <v>1454</v>
      </c>
      <c r="J1667" s="27" t="s">
        <v>19301</v>
      </c>
      <c r="L1667" s="27" t="s">
        <v>5489</v>
      </c>
      <c r="M1667" s="27" t="s">
        <v>2083</v>
      </c>
      <c r="N1667" s="27" t="s">
        <v>2087</v>
      </c>
      <c r="P1667" s="27" t="s">
        <v>5647</v>
      </c>
      <c r="Q1667" s="26" t="str">
        <f>HYPERLINK("https://ictv.global/taxonomy/taxondetails?taxnode_id=202512073&amp;ictv_id=ICTV202012073","ICTV202012073")</f>
        <v>ICTV202012073</v>
      </c>
      <c r="R1667" t="s">
        <v>579</v>
      </c>
      <c r="S1667" t="s">
        <v>22763</v>
      </c>
      <c r="T1667">
        <v>40</v>
      </c>
      <c r="U1667" s="26" t="str">
        <f t="shared" si="55"/>
        <v>2024.026B.Pantevenvirales_1no_3mf.zip</v>
      </c>
    </row>
    <row r="1668" spans="1:21">
      <c r="A1668">
        <v>1667</v>
      </c>
      <c r="B1668" s="27" t="s">
        <v>1449</v>
      </c>
      <c r="D1668" s="27" t="s">
        <v>1450</v>
      </c>
      <c r="F1668" s="27" t="s">
        <v>1453</v>
      </c>
      <c r="H1668" s="27" t="s">
        <v>1454</v>
      </c>
      <c r="J1668" s="27" t="s">
        <v>19301</v>
      </c>
      <c r="L1668" s="27" t="s">
        <v>5489</v>
      </c>
      <c r="M1668" s="27" t="s">
        <v>2083</v>
      </c>
      <c r="N1668" s="27" t="s">
        <v>2087</v>
      </c>
      <c r="P1668" s="27" t="s">
        <v>5648</v>
      </c>
      <c r="Q1668" s="26" t="str">
        <f>HYPERLINK("https://ictv.global/taxonomy/taxondetails?taxnode_id=202512067&amp;ictv_id=ICTV202012067","ICTV202012067")</f>
        <v>ICTV202012067</v>
      </c>
      <c r="R1668" t="s">
        <v>579</v>
      </c>
      <c r="S1668" t="s">
        <v>22763</v>
      </c>
      <c r="T1668">
        <v>40</v>
      </c>
      <c r="U1668" s="26" t="str">
        <f t="shared" si="55"/>
        <v>2024.026B.Pantevenvirales_1no_3mf.zip</v>
      </c>
    </row>
    <row r="1669" spans="1:21">
      <c r="A1669">
        <v>1668</v>
      </c>
      <c r="B1669" s="27" t="s">
        <v>1449</v>
      </c>
      <c r="D1669" s="27" t="s">
        <v>1450</v>
      </c>
      <c r="F1669" s="27" t="s">
        <v>1453</v>
      </c>
      <c r="H1669" s="27" t="s">
        <v>1454</v>
      </c>
      <c r="J1669" s="27" t="s">
        <v>19301</v>
      </c>
      <c r="L1669" s="27" t="s">
        <v>5489</v>
      </c>
      <c r="M1669" s="27" t="s">
        <v>2083</v>
      </c>
      <c r="N1669" s="27" t="s">
        <v>2088</v>
      </c>
      <c r="P1669" s="27" t="s">
        <v>5649</v>
      </c>
      <c r="Q1669" s="26" t="str">
        <f>HYPERLINK("https://ictv.global/taxonomy/taxondetails?taxnode_id=202512060&amp;ictv_id=ICTV202012060","ICTV202012060")</f>
        <v>ICTV202012060</v>
      </c>
      <c r="R1669" t="s">
        <v>579</v>
      </c>
      <c r="S1669" t="s">
        <v>22763</v>
      </c>
      <c r="T1669">
        <v>40</v>
      </c>
      <c r="U1669" s="26" t="str">
        <f t="shared" si="55"/>
        <v>2024.026B.Pantevenvirales_1no_3mf.zip</v>
      </c>
    </row>
    <row r="1670" spans="1:21">
      <c r="A1670">
        <v>1669</v>
      </c>
      <c r="B1670" s="27" t="s">
        <v>1449</v>
      </c>
      <c r="D1670" s="27" t="s">
        <v>1450</v>
      </c>
      <c r="F1670" s="27" t="s">
        <v>1453</v>
      </c>
      <c r="H1670" s="27" t="s">
        <v>1454</v>
      </c>
      <c r="J1670" s="27" t="s">
        <v>19301</v>
      </c>
      <c r="L1670" s="27" t="s">
        <v>5489</v>
      </c>
      <c r="N1670" s="27" t="s">
        <v>5650</v>
      </c>
      <c r="P1670" s="27" t="s">
        <v>5651</v>
      </c>
      <c r="Q1670" s="26" t="str">
        <f>HYPERLINK("https://ictv.global/taxonomy/taxondetails?taxnode_id=202513672&amp;ictv_id=ICTV202113672","ICTV202113672")</f>
        <v>ICTV202113672</v>
      </c>
      <c r="R1670" t="s">
        <v>579</v>
      </c>
      <c r="S1670" t="s">
        <v>22763</v>
      </c>
      <c r="T1670">
        <v>40</v>
      </c>
      <c r="U1670" s="26" t="str">
        <f t="shared" si="55"/>
        <v>2024.026B.Pantevenvirales_1no_3mf.zip</v>
      </c>
    </row>
    <row r="1671" spans="1:21">
      <c r="A1671">
        <v>1670</v>
      </c>
      <c r="B1671" s="27" t="s">
        <v>1449</v>
      </c>
      <c r="D1671" s="27" t="s">
        <v>1450</v>
      </c>
      <c r="F1671" s="27" t="s">
        <v>1453</v>
      </c>
      <c r="H1671" s="27" t="s">
        <v>1454</v>
      </c>
      <c r="J1671" s="27" t="s">
        <v>19301</v>
      </c>
      <c r="L1671" s="27" t="s">
        <v>5489</v>
      </c>
      <c r="N1671" s="27" t="s">
        <v>593</v>
      </c>
      <c r="P1671" s="27" t="s">
        <v>5652</v>
      </c>
      <c r="Q1671" s="26" t="str">
        <f>HYPERLINK("https://ictv.global/taxonomy/taxondetails?taxnode_id=202500411&amp;ictv_id=ICTV20073008","ICTV20073008")</f>
        <v>ICTV20073008</v>
      </c>
      <c r="R1671" t="s">
        <v>579</v>
      </c>
      <c r="S1671" t="s">
        <v>22763</v>
      </c>
      <c r="T1671">
        <v>40</v>
      </c>
      <c r="U1671" s="26" t="str">
        <f t="shared" si="55"/>
        <v>2024.026B.Pantevenvirales_1no_3mf.zip</v>
      </c>
    </row>
    <row r="1672" spans="1:21">
      <c r="A1672">
        <v>1671</v>
      </c>
      <c r="B1672" s="27" t="s">
        <v>1449</v>
      </c>
      <c r="D1672" s="27" t="s">
        <v>1450</v>
      </c>
      <c r="F1672" s="27" t="s">
        <v>1453</v>
      </c>
      <c r="H1672" s="27" t="s">
        <v>1454</v>
      </c>
      <c r="J1672" s="27" t="s">
        <v>19301</v>
      </c>
      <c r="L1672" s="27" t="s">
        <v>5489</v>
      </c>
      <c r="N1672" s="27" t="s">
        <v>5653</v>
      </c>
      <c r="P1672" s="27" t="s">
        <v>5654</v>
      </c>
      <c r="Q1672" s="26" t="str">
        <f>HYPERLINK("https://ictv.global/taxonomy/taxondetails?taxnode_id=202513682&amp;ictv_id=ICTV202113682","ICTV202113682")</f>
        <v>ICTV202113682</v>
      </c>
      <c r="R1672" t="s">
        <v>579</v>
      </c>
      <c r="S1672" t="s">
        <v>22763</v>
      </c>
      <c r="T1672">
        <v>40</v>
      </c>
      <c r="U1672" s="26" t="str">
        <f t="shared" si="55"/>
        <v>2024.026B.Pantevenvirales_1no_3mf.zip</v>
      </c>
    </row>
    <row r="1673" spans="1:21">
      <c r="A1673">
        <v>1672</v>
      </c>
      <c r="B1673" s="27" t="s">
        <v>1449</v>
      </c>
      <c r="D1673" s="27" t="s">
        <v>1450</v>
      </c>
      <c r="F1673" s="27" t="s">
        <v>1453</v>
      </c>
      <c r="H1673" s="27" t="s">
        <v>1454</v>
      </c>
      <c r="J1673" s="27" t="s">
        <v>19301</v>
      </c>
      <c r="L1673" s="27" t="s">
        <v>5489</v>
      </c>
      <c r="N1673" s="27" t="s">
        <v>5653</v>
      </c>
      <c r="P1673" s="27" t="s">
        <v>5655</v>
      </c>
      <c r="Q1673" s="26" t="str">
        <f>HYPERLINK("https://ictv.global/taxonomy/taxondetails?taxnode_id=202513681&amp;ictv_id=ICTV202113681","ICTV202113681")</f>
        <v>ICTV202113681</v>
      </c>
      <c r="R1673" t="s">
        <v>579</v>
      </c>
      <c r="S1673" t="s">
        <v>22763</v>
      </c>
      <c r="T1673">
        <v>40</v>
      </c>
      <c r="U1673" s="26" t="str">
        <f t="shared" si="55"/>
        <v>2024.026B.Pantevenvirales_1no_3mf.zip</v>
      </c>
    </row>
    <row r="1674" spans="1:21">
      <c r="A1674">
        <v>1673</v>
      </c>
      <c r="B1674" s="27" t="s">
        <v>1449</v>
      </c>
      <c r="D1674" s="27" t="s">
        <v>1450</v>
      </c>
      <c r="F1674" s="27" t="s">
        <v>1453</v>
      </c>
      <c r="H1674" s="27" t="s">
        <v>1454</v>
      </c>
      <c r="J1674" s="27" t="s">
        <v>19301</v>
      </c>
      <c r="L1674" s="27" t="s">
        <v>5489</v>
      </c>
      <c r="N1674" s="27" t="s">
        <v>5653</v>
      </c>
      <c r="P1674" s="27" t="s">
        <v>5656</v>
      </c>
      <c r="Q1674" s="26" t="str">
        <f>HYPERLINK("https://ictv.global/taxonomy/taxondetails?taxnode_id=202513680&amp;ictv_id=ICTV202113680","ICTV202113680")</f>
        <v>ICTV202113680</v>
      </c>
      <c r="R1674" t="s">
        <v>579</v>
      </c>
      <c r="S1674" t="s">
        <v>22763</v>
      </c>
      <c r="T1674">
        <v>40</v>
      </c>
      <c r="U1674" s="26" t="str">
        <f t="shared" si="55"/>
        <v>2024.026B.Pantevenvirales_1no_3mf.zip</v>
      </c>
    </row>
    <row r="1675" spans="1:21">
      <c r="A1675">
        <v>1674</v>
      </c>
      <c r="B1675" s="27" t="s">
        <v>1449</v>
      </c>
      <c r="D1675" s="27" t="s">
        <v>1450</v>
      </c>
      <c r="F1675" s="27" t="s">
        <v>1453</v>
      </c>
      <c r="H1675" s="27" t="s">
        <v>1454</v>
      </c>
      <c r="J1675" s="27" t="s">
        <v>19301</v>
      </c>
      <c r="L1675" s="27" t="s">
        <v>5489</v>
      </c>
      <c r="N1675" s="27" t="s">
        <v>5657</v>
      </c>
      <c r="P1675" s="27" t="s">
        <v>5658</v>
      </c>
      <c r="Q1675" s="26" t="str">
        <f>HYPERLINK("https://ictv.global/taxonomy/taxondetails?taxnode_id=202513958&amp;ictv_id=ICTV202113958","ICTV202113958")</f>
        <v>ICTV202113958</v>
      </c>
      <c r="R1675" t="s">
        <v>579</v>
      </c>
      <c r="S1675" t="s">
        <v>22763</v>
      </c>
      <c r="T1675">
        <v>40</v>
      </c>
      <c r="U1675" s="26" t="str">
        <f t="shared" si="55"/>
        <v>2024.026B.Pantevenvirales_1no_3mf.zip</v>
      </c>
    </row>
    <row r="1676" spans="1:21">
      <c r="A1676">
        <v>1675</v>
      </c>
      <c r="B1676" s="27" t="s">
        <v>1449</v>
      </c>
      <c r="D1676" s="27" t="s">
        <v>1450</v>
      </c>
      <c r="F1676" s="27" t="s">
        <v>1453</v>
      </c>
      <c r="H1676" s="27" t="s">
        <v>1454</v>
      </c>
      <c r="J1676" s="27" t="s">
        <v>19301</v>
      </c>
      <c r="L1676" s="27" t="s">
        <v>5489</v>
      </c>
      <c r="N1676" s="27" t="s">
        <v>5659</v>
      </c>
      <c r="P1676" s="27" t="s">
        <v>5660</v>
      </c>
      <c r="Q1676" s="26" t="str">
        <f>HYPERLINK("https://ictv.global/taxonomy/taxondetails?taxnode_id=202513668&amp;ictv_id=ICTV202113668","ICTV202113668")</f>
        <v>ICTV202113668</v>
      </c>
      <c r="R1676" t="s">
        <v>579</v>
      </c>
      <c r="S1676" t="s">
        <v>22763</v>
      </c>
      <c r="T1676">
        <v>40</v>
      </c>
      <c r="U1676" s="26" t="str">
        <f t="shared" si="55"/>
        <v>2024.026B.Pantevenvirales_1no_3mf.zip</v>
      </c>
    </row>
    <row r="1677" spans="1:21">
      <c r="A1677">
        <v>1676</v>
      </c>
      <c r="B1677" s="27" t="s">
        <v>1449</v>
      </c>
      <c r="D1677" s="27" t="s">
        <v>1450</v>
      </c>
      <c r="F1677" s="27" t="s">
        <v>1453</v>
      </c>
      <c r="H1677" s="27" t="s">
        <v>1454</v>
      </c>
      <c r="J1677" s="27" t="s">
        <v>19301</v>
      </c>
      <c r="L1677" s="27" t="s">
        <v>5489</v>
      </c>
      <c r="N1677" s="27" t="s">
        <v>5661</v>
      </c>
      <c r="P1677" s="27" t="s">
        <v>5662</v>
      </c>
      <c r="Q1677" s="26" t="str">
        <f>HYPERLINK("https://ictv.global/taxonomy/taxondetails?taxnode_id=202500340&amp;ictv_id=ICTV19990386","ICTV19990386")</f>
        <v>ICTV19990386</v>
      </c>
      <c r="R1677" t="s">
        <v>579</v>
      </c>
      <c r="S1677" t="s">
        <v>22763</v>
      </c>
      <c r="T1677">
        <v>40</v>
      </c>
      <c r="U1677" s="26" t="str">
        <f t="shared" si="55"/>
        <v>2024.026B.Pantevenvirales_1no_3mf.zip</v>
      </c>
    </row>
    <row r="1678" spans="1:21">
      <c r="A1678">
        <v>1677</v>
      </c>
      <c r="B1678" s="27" t="s">
        <v>1449</v>
      </c>
      <c r="D1678" s="27" t="s">
        <v>1450</v>
      </c>
      <c r="F1678" s="27" t="s">
        <v>1453</v>
      </c>
      <c r="H1678" s="27" t="s">
        <v>1454</v>
      </c>
      <c r="J1678" s="27" t="s">
        <v>19301</v>
      </c>
      <c r="L1678" s="27" t="s">
        <v>5489</v>
      </c>
      <c r="N1678" s="27" t="s">
        <v>5661</v>
      </c>
      <c r="P1678" s="27" t="s">
        <v>5663</v>
      </c>
      <c r="Q1678" s="26" t="str">
        <f>HYPERLINK("https://ictv.global/taxonomy/taxondetails?taxnode_id=202513670&amp;ictv_id=ICTV202113670","ICTV202113670")</f>
        <v>ICTV202113670</v>
      </c>
      <c r="R1678" t="s">
        <v>579</v>
      </c>
      <c r="S1678" t="s">
        <v>22763</v>
      </c>
      <c r="T1678">
        <v>40</v>
      </c>
      <c r="U1678" s="26" t="str">
        <f t="shared" si="55"/>
        <v>2024.026B.Pantevenvirales_1no_3mf.zip</v>
      </c>
    </row>
    <row r="1679" spans="1:21">
      <c r="A1679">
        <v>1678</v>
      </c>
      <c r="B1679" s="27" t="s">
        <v>1449</v>
      </c>
      <c r="D1679" s="27" t="s">
        <v>1450</v>
      </c>
      <c r="F1679" s="27" t="s">
        <v>1453</v>
      </c>
      <c r="H1679" s="27" t="s">
        <v>1454</v>
      </c>
      <c r="J1679" s="27" t="s">
        <v>19301</v>
      </c>
      <c r="L1679" s="27" t="s">
        <v>5489</v>
      </c>
      <c r="N1679" s="27" t="s">
        <v>5664</v>
      </c>
      <c r="P1679" s="27" t="s">
        <v>5665</v>
      </c>
      <c r="Q1679" s="26" t="str">
        <f>HYPERLINK("https://ictv.global/taxonomy/taxondetails?taxnode_id=202513678&amp;ictv_id=ICTV202113678","ICTV202113678")</f>
        <v>ICTV202113678</v>
      </c>
      <c r="R1679" t="s">
        <v>579</v>
      </c>
      <c r="S1679" t="s">
        <v>22763</v>
      </c>
      <c r="T1679">
        <v>40</v>
      </c>
      <c r="U1679" s="26" t="str">
        <f t="shared" si="55"/>
        <v>2024.026B.Pantevenvirales_1no_3mf.zip</v>
      </c>
    </row>
    <row r="1680" spans="1:21">
      <c r="A1680">
        <v>1679</v>
      </c>
      <c r="B1680" s="27" t="s">
        <v>1449</v>
      </c>
      <c r="D1680" s="27" t="s">
        <v>1450</v>
      </c>
      <c r="F1680" s="27" t="s">
        <v>1453</v>
      </c>
      <c r="H1680" s="27" t="s">
        <v>1454</v>
      </c>
      <c r="J1680" s="27" t="s">
        <v>19301</v>
      </c>
      <c r="L1680" s="27" t="s">
        <v>5489</v>
      </c>
      <c r="N1680" s="27" t="s">
        <v>5666</v>
      </c>
      <c r="P1680" s="27" t="s">
        <v>5667</v>
      </c>
      <c r="Q1680" s="26" t="str">
        <f>HYPERLINK("https://ictv.global/taxonomy/taxondetails?taxnode_id=202513684&amp;ictv_id=ICTV202113684","ICTV202113684")</f>
        <v>ICTV202113684</v>
      </c>
      <c r="R1680" t="s">
        <v>579</v>
      </c>
      <c r="S1680" t="s">
        <v>22763</v>
      </c>
      <c r="T1680">
        <v>40</v>
      </c>
      <c r="U1680" s="26" t="str">
        <f t="shared" si="55"/>
        <v>2024.026B.Pantevenvirales_1no_3mf.zip</v>
      </c>
    </row>
    <row r="1681" spans="1:21">
      <c r="A1681">
        <v>1680</v>
      </c>
      <c r="B1681" s="27" t="s">
        <v>1449</v>
      </c>
      <c r="D1681" s="27" t="s">
        <v>1450</v>
      </c>
      <c r="F1681" s="27" t="s">
        <v>1453</v>
      </c>
      <c r="H1681" s="27" t="s">
        <v>1454</v>
      </c>
      <c r="J1681" s="27" t="s">
        <v>19301</v>
      </c>
      <c r="L1681" s="27" t="s">
        <v>5489</v>
      </c>
      <c r="N1681" s="27" t="s">
        <v>1211</v>
      </c>
      <c r="P1681" s="27" t="s">
        <v>5668</v>
      </c>
      <c r="Q1681" s="26" t="str">
        <f>HYPERLINK("https://ictv.global/taxonomy/taxondetails?taxnode_id=202507038&amp;ictv_id=ICTV201857038","ICTV201857038")</f>
        <v>ICTV201857038</v>
      </c>
      <c r="R1681" t="s">
        <v>579</v>
      </c>
      <c r="S1681" t="s">
        <v>22763</v>
      </c>
      <c r="T1681">
        <v>40</v>
      </c>
      <c r="U1681" s="26" t="str">
        <f t="shared" si="55"/>
        <v>2024.026B.Pantevenvirales_1no_3mf.zip</v>
      </c>
    </row>
    <row r="1682" spans="1:21">
      <c r="A1682">
        <v>1681</v>
      </c>
      <c r="B1682" s="27" t="s">
        <v>1449</v>
      </c>
      <c r="D1682" s="27" t="s">
        <v>1450</v>
      </c>
      <c r="F1682" s="27" t="s">
        <v>1453</v>
      </c>
      <c r="H1682" s="27" t="s">
        <v>1454</v>
      </c>
      <c r="J1682" s="27" t="s">
        <v>19301</v>
      </c>
      <c r="L1682" s="27" t="s">
        <v>5489</v>
      </c>
      <c r="N1682" s="27" t="s">
        <v>1211</v>
      </c>
      <c r="P1682" s="27" t="s">
        <v>5669</v>
      </c>
      <c r="Q1682" s="26" t="str">
        <f>HYPERLINK("https://ictv.global/taxonomy/taxondetails?taxnode_id=202507039&amp;ictv_id=ICTV201857039","ICTV201857039")</f>
        <v>ICTV201857039</v>
      </c>
      <c r="R1682" t="s">
        <v>579</v>
      </c>
      <c r="S1682" t="s">
        <v>22763</v>
      </c>
      <c r="T1682">
        <v>40</v>
      </c>
      <c r="U1682" s="26" t="str">
        <f t="shared" si="55"/>
        <v>2024.026B.Pantevenvirales_1no_3mf.zip</v>
      </c>
    </row>
    <row r="1683" spans="1:21">
      <c r="A1683">
        <v>1682</v>
      </c>
      <c r="B1683" s="27" t="s">
        <v>1449</v>
      </c>
      <c r="D1683" s="27" t="s">
        <v>1450</v>
      </c>
      <c r="F1683" s="27" t="s">
        <v>1453</v>
      </c>
      <c r="H1683" s="27" t="s">
        <v>1454</v>
      </c>
      <c r="J1683" s="27" t="s">
        <v>19301</v>
      </c>
      <c r="L1683" s="27" t="s">
        <v>5489</v>
      </c>
      <c r="N1683" s="27" t="s">
        <v>1211</v>
      </c>
      <c r="P1683" s="27" t="s">
        <v>5670</v>
      </c>
      <c r="Q1683" s="26" t="str">
        <f>HYPERLINK("https://ictv.global/taxonomy/taxondetails?taxnode_id=202500303&amp;ictv_id=ICTV20115484","ICTV20115484")</f>
        <v>ICTV20115484</v>
      </c>
      <c r="R1683" t="s">
        <v>579</v>
      </c>
      <c r="S1683" t="s">
        <v>22763</v>
      </c>
      <c r="T1683">
        <v>40</v>
      </c>
      <c r="U1683" s="26" t="str">
        <f t="shared" si="55"/>
        <v>2024.026B.Pantevenvirales_1no_3mf.zip</v>
      </c>
    </row>
    <row r="1684" spans="1:21">
      <c r="A1684">
        <v>1683</v>
      </c>
      <c r="B1684" s="27" t="s">
        <v>1449</v>
      </c>
      <c r="D1684" s="27" t="s">
        <v>1450</v>
      </c>
      <c r="F1684" s="27" t="s">
        <v>1453</v>
      </c>
      <c r="H1684" s="27" t="s">
        <v>1454</v>
      </c>
      <c r="J1684" s="27" t="s">
        <v>19301</v>
      </c>
      <c r="L1684" s="27" t="s">
        <v>5489</v>
      </c>
      <c r="N1684" s="27" t="s">
        <v>1211</v>
      </c>
      <c r="P1684" s="27" t="s">
        <v>5671</v>
      </c>
      <c r="Q1684" s="26" t="str">
        <f>HYPERLINK("https://ictv.global/taxonomy/taxondetails?taxnode_id=202500302&amp;ictv_id=ICTV20164844","ICTV20164844")</f>
        <v>ICTV20164844</v>
      </c>
      <c r="R1684" t="s">
        <v>579</v>
      </c>
      <c r="S1684" t="s">
        <v>22763</v>
      </c>
      <c r="T1684">
        <v>40</v>
      </c>
      <c r="U1684" s="26" t="str">
        <f t="shared" si="55"/>
        <v>2024.026B.Pantevenvirales_1no_3mf.zip</v>
      </c>
    </row>
    <row r="1685" spans="1:21">
      <c r="A1685">
        <v>1684</v>
      </c>
      <c r="B1685" s="27" t="s">
        <v>1449</v>
      </c>
      <c r="D1685" s="27" t="s">
        <v>1450</v>
      </c>
      <c r="F1685" s="27" t="s">
        <v>1453</v>
      </c>
      <c r="H1685" s="27" t="s">
        <v>1454</v>
      </c>
      <c r="J1685" s="27" t="s">
        <v>19301</v>
      </c>
      <c r="L1685" s="27" t="s">
        <v>5489</v>
      </c>
      <c r="N1685" s="27" t="s">
        <v>1211</v>
      </c>
      <c r="P1685" s="27" t="s">
        <v>5672</v>
      </c>
      <c r="Q1685" s="26" t="str">
        <f>HYPERLINK("https://ictv.global/taxonomy/taxondetails?taxnode_id=202513676&amp;ictv_id=ICTV202113676","ICTV202113676")</f>
        <v>ICTV202113676</v>
      </c>
      <c r="R1685" t="s">
        <v>579</v>
      </c>
      <c r="S1685" t="s">
        <v>22763</v>
      </c>
      <c r="T1685">
        <v>40</v>
      </c>
      <c r="U1685" s="26" t="str">
        <f t="shared" si="55"/>
        <v>2024.026B.Pantevenvirales_1no_3mf.zip</v>
      </c>
    </row>
    <row r="1686" spans="1:21">
      <c r="A1686">
        <v>1685</v>
      </c>
      <c r="B1686" s="27" t="s">
        <v>1449</v>
      </c>
      <c r="D1686" s="27" t="s">
        <v>1450</v>
      </c>
      <c r="F1686" s="27" t="s">
        <v>1453</v>
      </c>
      <c r="H1686" s="27" t="s">
        <v>1454</v>
      </c>
      <c r="J1686" s="27" t="s">
        <v>19301</v>
      </c>
      <c r="L1686" s="27" t="s">
        <v>5489</v>
      </c>
      <c r="N1686" s="27" t="s">
        <v>1211</v>
      </c>
      <c r="P1686" s="27" t="s">
        <v>5673</v>
      </c>
      <c r="Q1686" s="26" t="str">
        <f>HYPERLINK("https://ictv.global/taxonomy/taxondetails?taxnode_id=202500304&amp;ictv_id=ICTV20115482","ICTV20115482")</f>
        <v>ICTV20115482</v>
      </c>
      <c r="R1686" t="s">
        <v>579</v>
      </c>
      <c r="S1686" t="s">
        <v>22763</v>
      </c>
      <c r="T1686">
        <v>40</v>
      </c>
      <c r="U1686" s="26" t="str">
        <f t="shared" si="55"/>
        <v>2024.026B.Pantevenvirales_1no_3mf.zip</v>
      </c>
    </row>
    <row r="1687" spans="1:21">
      <c r="A1687">
        <v>1686</v>
      </c>
      <c r="B1687" s="27" t="s">
        <v>1449</v>
      </c>
      <c r="D1687" s="27" t="s">
        <v>1450</v>
      </c>
      <c r="F1687" s="27" t="s">
        <v>1453</v>
      </c>
      <c r="H1687" s="27" t="s">
        <v>1454</v>
      </c>
      <c r="J1687" s="27" t="s">
        <v>19301</v>
      </c>
      <c r="L1687" s="27" t="s">
        <v>5489</v>
      </c>
      <c r="N1687" s="27" t="s">
        <v>5674</v>
      </c>
      <c r="P1687" s="27" t="s">
        <v>5675</v>
      </c>
      <c r="Q1687" s="26" t="str">
        <f>HYPERLINK("https://ictv.global/taxonomy/taxondetails?taxnode_id=202500315&amp;ictv_id=ICTV19951303","ICTV19951303")</f>
        <v>ICTV19951303</v>
      </c>
      <c r="R1687" t="s">
        <v>579</v>
      </c>
      <c r="S1687" t="s">
        <v>22763</v>
      </c>
      <c r="T1687">
        <v>40</v>
      </c>
      <c r="U1687" s="26" t="str">
        <f t="shared" si="55"/>
        <v>2024.026B.Pantevenvirales_1no_3mf.zip</v>
      </c>
    </row>
    <row r="1688" spans="1:21">
      <c r="A1688">
        <v>1687</v>
      </c>
      <c r="B1688" s="27" t="s">
        <v>1449</v>
      </c>
      <c r="D1688" s="27" t="s">
        <v>1450</v>
      </c>
      <c r="F1688" s="27" t="s">
        <v>1453</v>
      </c>
      <c r="H1688" s="27" t="s">
        <v>1454</v>
      </c>
      <c r="J1688" s="27" t="s">
        <v>19301</v>
      </c>
      <c r="L1688" s="27" t="s">
        <v>5489</v>
      </c>
      <c r="N1688" s="27" t="s">
        <v>5676</v>
      </c>
      <c r="P1688" s="27" t="s">
        <v>5677</v>
      </c>
      <c r="Q1688" s="26" t="str">
        <f>HYPERLINK("https://ictv.global/taxonomy/taxondetails?taxnode_id=202514692&amp;ictv_id=ICTV202214692","ICTV202214692")</f>
        <v>ICTV202214692</v>
      </c>
      <c r="R1688" t="s">
        <v>579</v>
      </c>
      <c r="S1688" t="s">
        <v>22763</v>
      </c>
      <c r="T1688">
        <v>40</v>
      </c>
      <c r="U1688" s="26" t="str">
        <f t="shared" si="55"/>
        <v>2024.026B.Pantevenvirales_1no_3mf.zip</v>
      </c>
    </row>
    <row r="1689" spans="1:21">
      <c r="A1689">
        <v>1688</v>
      </c>
      <c r="B1689" s="27" t="s">
        <v>1449</v>
      </c>
      <c r="D1689" s="27" t="s">
        <v>1450</v>
      </c>
      <c r="F1689" s="27" t="s">
        <v>1453</v>
      </c>
      <c r="H1689" s="27" t="s">
        <v>1454</v>
      </c>
      <c r="J1689" s="27" t="s">
        <v>19301</v>
      </c>
      <c r="L1689" s="27" t="s">
        <v>5489</v>
      </c>
      <c r="N1689" s="27" t="s">
        <v>2082</v>
      </c>
      <c r="P1689" s="27" t="s">
        <v>5678</v>
      </c>
      <c r="Q1689" s="26" t="str">
        <f>HYPERLINK("https://ictv.global/taxonomy/taxondetails?taxnode_id=202511630&amp;ictv_id=ICTV202011630","ICTV202011630")</f>
        <v>ICTV202011630</v>
      </c>
      <c r="R1689" t="s">
        <v>579</v>
      </c>
      <c r="S1689" t="s">
        <v>22763</v>
      </c>
      <c r="T1689">
        <v>40</v>
      </c>
      <c r="U1689" s="26" t="str">
        <f t="shared" si="55"/>
        <v>2024.026B.Pantevenvirales_1no_3mf.zip</v>
      </c>
    </row>
    <row r="1690" spans="1:21">
      <c r="A1690">
        <v>1689</v>
      </c>
      <c r="B1690" s="27" t="s">
        <v>1449</v>
      </c>
      <c r="D1690" s="27" t="s">
        <v>1450</v>
      </c>
      <c r="F1690" s="27" t="s">
        <v>1453</v>
      </c>
      <c r="H1690" s="27" t="s">
        <v>1454</v>
      </c>
      <c r="J1690" s="27" t="s">
        <v>19301</v>
      </c>
      <c r="L1690" s="27" t="s">
        <v>5489</v>
      </c>
      <c r="N1690" s="27" t="s">
        <v>2082</v>
      </c>
      <c r="P1690" s="27" t="s">
        <v>5679</v>
      </c>
      <c r="Q1690" s="26" t="str">
        <f>HYPERLINK("https://ictv.global/taxonomy/taxondetails?taxnode_id=202511632&amp;ictv_id=ICTV202011632","ICTV202011632")</f>
        <v>ICTV202011632</v>
      </c>
      <c r="R1690" t="s">
        <v>579</v>
      </c>
      <c r="S1690" t="s">
        <v>22763</v>
      </c>
      <c r="T1690">
        <v>40</v>
      </c>
      <c r="U1690" s="26" t="str">
        <f t="shared" si="55"/>
        <v>2024.026B.Pantevenvirales_1no_3mf.zip</v>
      </c>
    </row>
    <row r="1691" spans="1:21">
      <c r="A1691">
        <v>1690</v>
      </c>
      <c r="B1691" s="27" t="s">
        <v>1449</v>
      </c>
      <c r="D1691" s="27" t="s">
        <v>1450</v>
      </c>
      <c r="F1691" s="27" t="s">
        <v>1453</v>
      </c>
      <c r="H1691" s="27" t="s">
        <v>1454</v>
      </c>
      <c r="J1691" s="27" t="s">
        <v>19301</v>
      </c>
      <c r="L1691" s="27" t="s">
        <v>5489</v>
      </c>
      <c r="N1691" s="27" t="s">
        <v>2082</v>
      </c>
      <c r="P1691" s="27" t="s">
        <v>5680</v>
      </c>
      <c r="Q1691" s="26" t="str">
        <f>HYPERLINK("https://ictv.global/taxonomy/taxondetails?taxnode_id=202511629&amp;ictv_id=ICTV202011629","ICTV202011629")</f>
        <v>ICTV202011629</v>
      </c>
      <c r="R1691" t="s">
        <v>579</v>
      </c>
      <c r="S1691" t="s">
        <v>22763</v>
      </c>
      <c r="T1691">
        <v>40</v>
      </c>
      <c r="U1691" s="26" t="str">
        <f t="shared" si="55"/>
        <v>2024.026B.Pantevenvirales_1no_3mf.zip</v>
      </c>
    </row>
    <row r="1692" spans="1:21">
      <c r="A1692">
        <v>1691</v>
      </c>
      <c r="B1692" s="27" t="s">
        <v>1449</v>
      </c>
      <c r="D1692" s="27" t="s">
        <v>1450</v>
      </c>
      <c r="F1692" s="27" t="s">
        <v>1453</v>
      </c>
      <c r="H1692" s="27" t="s">
        <v>1454</v>
      </c>
      <c r="J1692" s="27" t="s">
        <v>19301</v>
      </c>
      <c r="L1692" s="27" t="s">
        <v>5489</v>
      </c>
      <c r="N1692" s="27" t="s">
        <v>2082</v>
      </c>
      <c r="P1692" s="27" t="s">
        <v>5681</v>
      </c>
      <c r="Q1692" s="26" t="str">
        <f>HYPERLINK("https://ictv.global/taxonomy/taxondetails?taxnode_id=202511631&amp;ictv_id=ICTV202011631","ICTV202011631")</f>
        <v>ICTV202011631</v>
      </c>
      <c r="R1692" t="s">
        <v>579</v>
      </c>
      <c r="S1692" t="s">
        <v>22763</v>
      </c>
      <c r="T1692">
        <v>40</v>
      </c>
      <c r="U1692" s="26" t="str">
        <f t="shared" si="55"/>
        <v>2024.026B.Pantevenvirales_1no_3mf.zip</v>
      </c>
    </row>
    <row r="1693" spans="1:21">
      <c r="A1693">
        <v>1692</v>
      </c>
      <c r="B1693" s="27" t="s">
        <v>1449</v>
      </c>
      <c r="D1693" s="27" t="s">
        <v>1450</v>
      </c>
      <c r="F1693" s="27" t="s">
        <v>1453</v>
      </c>
      <c r="H1693" s="27" t="s">
        <v>1454</v>
      </c>
      <c r="J1693" s="27" t="s">
        <v>19301</v>
      </c>
      <c r="L1693" s="27" t="s">
        <v>5489</v>
      </c>
      <c r="N1693" s="27" t="s">
        <v>2082</v>
      </c>
      <c r="P1693" s="27" t="s">
        <v>5682</v>
      </c>
      <c r="Q1693" s="26" t="str">
        <f>HYPERLINK("https://ictv.global/taxonomy/taxondetails?taxnode_id=202511634&amp;ictv_id=ICTV202011634","ICTV202011634")</f>
        <v>ICTV202011634</v>
      </c>
      <c r="R1693" t="s">
        <v>579</v>
      </c>
      <c r="S1693" t="s">
        <v>22763</v>
      </c>
      <c r="T1693">
        <v>40</v>
      </c>
      <c r="U1693" s="26" t="str">
        <f t="shared" ref="U1693:U1712" si="56">HYPERLINK("https://ictv.global/ictv/proposals/2024.026B.Pantevenvirales_1no_3mf.zip","2024.026B.Pantevenvirales_1no_3mf.zip")</f>
        <v>2024.026B.Pantevenvirales_1no_3mf.zip</v>
      </c>
    </row>
    <row r="1694" spans="1:21">
      <c r="A1694">
        <v>1693</v>
      </c>
      <c r="B1694" s="27" t="s">
        <v>1449</v>
      </c>
      <c r="D1694" s="27" t="s">
        <v>1450</v>
      </c>
      <c r="F1694" s="27" t="s">
        <v>1453</v>
      </c>
      <c r="H1694" s="27" t="s">
        <v>1454</v>
      </c>
      <c r="J1694" s="27" t="s">
        <v>19301</v>
      </c>
      <c r="L1694" s="27" t="s">
        <v>5489</v>
      </c>
      <c r="N1694" s="27" t="s">
        <v>2082</v>
      </c>
      <c r="P1694" s="27" t="s">
        <v>5683</v>
      </c>
      <c r="Q1694" s="26" t="str">
        <f>HYPERLINK("https://ictv.global/taxonomy/taxondetails?taxnode_id=202511628&amp;ictv_id=ICTV202011628","ICTV202011628")</f>
        <v>ICTV202011628</v>
      </c>
      <c r="R1694" t="s">
        <v>579</v>
      </c>
      <c r="S1694" t="s">
        <v>22763</v>
      </c>
      <c r="T1694">
        <v>40</v>
      </c>
      <c r="U1694" s="26" t="str">
        <f t="shared" si="56"/>
        <v>2024.026B.Pantevenvirales_1no_3mf.zip</v>
      </c>
    </row>
    <row r="1695" spans="1:21">
      <c r="A1695">
        <v>1694</v>
      </c>
      <c r="B1695" s="27" t="s">
        <v>1449</v>
      </c>
      <c r="D1695" s="27" t="s">
        <v>1450</v>
      </c>
      <c r="F1695" s="27" t="s">
        <v>1453</v>
      </c>
      <c r="H1695" s="27" t="s">
        <v>1454</v>
      </c>
      <c r="J1695" s="27" t="s">
        <v>19301</v>
      </c>
      <c r="L1695" s="27" t="s">
        <v>5489</v>
      </c>
      <c r="N1695" s="27" t="s">
        <v>2082</v>
      </c>
      <c r="P1695" s="27" t="s">
        <v>5684</v>
      </c>
      <c r="Q1695" s="26" t="str">
        <f>HYPERLINK("https://ictv.global/taxonomy/taxondetails?taxnode_id=202511633&amp;ictv_id=ICTV202011633","ICTV202011633")</f>
        <v>ICTV202011633</v>
      </c>
      <c r="R1695" t="s">
        <v>579</v>
      </c>
      <c r="S1695" t="s">
        <v>22763</v>
      </c>
      <c r="T1695">
        <v>40</v>
      </c>
      <c r="U1695" s="26" t="str">
        <f t="shared" si="56"/>
        <v>2024.026B.Pantevenvirales_1no_3mf.zip</v>
      </c>
    </row>
    <row r="1696" spans="1:21">
      <c r="A1696">
        <v>1695</v>
      </c>
      <c r="B1696" s="27" t="s">
        <v>1449</v>
      </c>
      <c r="D1696" s="27" t="s">
        <v>1450</v>
      </c>
      <c r="F1696" s="27" t="s">
        <v>1453</v>
      </c>
      <c r="H1696" s="27" t="s">
        <v>1454</v>
      </c>
      <c r="J1696" s="27" t="s">
        <v>19301</v>
      </c>
      <c r="L1696" s="27" t="s">
        <v>5489</v>
      </c>
      <c r="N1696" s="27" t="s">
        <v>2082</v>
      </c>
      <c r="P1696" s="27" t="s">
        <v>5685</v>
      </c>
      <c r="Q1696" s="26" t="str">
        <f>HYPERLINK("https://ictv.global/taxonomy/taxondetails?taxnode_id=202500341&amp;ictv_id=ICTV20115479","ICTV20115479")</f>
        <v>ICTV20115479</v>
      </c>
      <c r="R1696" t="s">
        <v>579</v>
      </c>
      <c r="S1696" t="s">
        <v>22763</v>
      </c>
      <c r="T1696">
        <v>40</v>
      </c>
      <c r="U1696" s="26" t="str">
        <f t="shared" si="56"/>
        <v>2024.026B.Pantevenvirales_1no_3mf.zip</v>
      </c>
    </row>
    <row r="1697" spans="1:21">
      <c r="A1697">
        <v>1696</v>
      </c>
      <c r="B1697" s="27" t="s">
        <v>1449</v>
      </c>
      <c r="D1697" s="27" t="s">
        <v>1450</v>
      </c>
      <c r="F1697" s="27" t="s">
        <v>1453</v>
      </c>
      <c r="H1697" s="27" t="s">
        <v>1454</v>
      </c>
      <c r="J1697" s="27" t="s">
        <v>19301</v>
      </c>
      <c r="L1697" s="27" t="s">
        <v>5489</v>
      </c>
      <c r="N1697" s="27" t="s">
        <v>2082</v>
      </c>
      <c r="P1697" s="27" t="s">
        <v>5686</v>
      </c>
      <c r="Q1697" s="26" t="str">
        <f>HYPERLINK("https://ictv.global/taxonomy/taxondetails?taxnode_id=202500343&amp;ictv_id=ICTV20115481","ICTV20115481")</f>
        <v>ICTV20115481</v>
      </c>
      <c r="R1697" t="s">
        <v>579</v>
      </c>
      <c r="S1697" t="s">
        <v>22763</v>
      </c>
      <c r="T1697">
        <v>40</v>
      </c>
      <c r="U1697" s="26" t="str">
        <f t="shared" si="56"/>
        <v>2024.026B.Pantevenvirales_1no_3mf.zip</v>
      </c>
    </row>
    <row r="1698" spans="1:21">
      <c r="A1698">
        <v>1697</v>
      </c>
      <c r="B1698" s="27" t="s">
        <v>1449</v>
      </c>
      <c r="D1698" s="27" t="s">
        <v>1450</v>
      </c>
      <c r="F1698" s="27" t="s">
        <v>1453</v>
      </c>
      <c r="H1698" s="27" t="s">
        <v>1454</v>
      </c>
      <c r="J1698" s="27" t="s">
        <v>19301</v>
      </c>
      <c r="L1698" s="27" t="s">
        <v>5489</v>
      </c>
      <c r="N1698" s="27" t="s">
        <v>1213</v>
      </c>
      <c r="P1698" s="27" t="s">
        <v>5687</v>
      </c>
      <c r="Q1698" s="26" t="str">
        <f>HYPERLINK("https://ictv.global/taxonomy/taxondetails?taxnode_id=202500314&amp;ictv_id=ICTV20115487","ICTV20115487")</f>
        <v>ICTV20115487</v>
      </c>
      <c r="R1698" t="s">
        <v>579</v>
      </c>
      <c r="S1698" t="s">
        <v>22763</v>
      </c>
      <c r="T1698">
        <v>40</v>
      </c>
      <c r="U1698" s="26" t="str">
        <f t="shared" si="56"/>
        <v>2024.026B.Pantevenvirales_1no_3mf.zip</v>
      </c>
    </row>
    <row r="1699" spans="1:21">
      <c r="A1699">
        <v>1698</v>
      </c>
      <c r="B1699" s="27" t="s">
        <v>1449</v>
      </c>
      <c r="D1699" s="27" t="s">
        <v>1450</v>
      </c>
      <c r="F1699" s="27" t="s">
        <v>1453</v>
      </c>
      <c r="H1699" s="27" t="s">
        <v>1454</v>
      </c>
      <c r="J1699" s="27" t="s">
        <v>19301</v>
      </c>
      <c r="L1699" s="27" t="s">
        <v>5489</v>
      </c>
      <c r="N1699" s="27" t="s">
        <v>1213</v>
      </c>
      <c r="P1699" s="27" t="s">
        <v>5688</v>
      </c>
      <c r="Q1699" s="26" t="str">
        <f>HYPERLINK("https://ictv.global/taxonomy/taxondetails?taxnode_id=202500316&amp;ictv_id=ICTV20150056","ICTV20150056")</f>
        <v>ICTV20150056</v>
      </c>
      <c r="R1699" t="s">
        <v>579</v>
      </c>
      <c r="S1699" t="s">
        <v>22763</v>
      </c>
      <c r="T1699">
        <v>40</v>
      </c>
      <c r="U1699" s="26" t="str">
        <f t="shared" si="56"/>
        <v>2024.026B.Pantevenvirales_1no_3mf.zip</v>
      </c>
    </row>
    <row r="1700" spans="1:21">
      <c r="A1700">
        <v>1699</v>
      </c>
      <c r="B1700" s="27" t="s">
        <v>1449</v>
      </c>
      <c r="D1700" s="27" t="s">
        <v>1450</v>
      </c>
      <c r="F1700" s="27" t="s">
        <v>1453</v>
      </c>
      <c r="H1700" s="27" t="s">
        <v>1454</v>
      </c>
      <c r="J1700" s="27" t="s">
        <v>19301</v>
      </c>
      <c r="L1700" s="27" t="s">
        <v>5489</v>
      </c>
      <c r="N1700" s="27" t="s">
        <v>1213</v>
      </c>
      <c r="P1700" s="27" t="s">
        <v>5689</v>
      </c>
      <c r="Q1700" s="26" t="str">
        <f>HYPERLINK("https://ictv.global/taxonomy/taxondetails?taxnode_id=202513673&amp;ictv_id=ICTV202113673","ICTV202113673")</f>
        <v>ICTV202113673</v>
      </c>
      <c r="R1700" t="s">
        <v>579</v>
      </c>
      <c r="S1700" t="s">
        <v>22763</v>
      </c>
      <c r="T1700">
        <v>40</v>
      </c>
      <c r="U1700" s="26" t="str">
        <f t="shared" si="56"/>
        <v>2024.026B.Pantevenvirales_1no_3mf.zip</v>
      </c>
    </row>
    <row r="1701" spans="1:21">
      <c r="A1701">
        <v>1700</v>
      </c>
      <c r="B1701" s="27" t="s">
        <v>1449</v>
      </c>
      <c r="D1701" s="27" t="s">
        <v>1450</v>
      </c>
      <c r="F1701" s="27" t="s">
        <v>1453</v>
      </c>
      <c r="H1701" s="27" t="s">
        <v>1454</v>
      </c>
      <c r="J1701" s="27" t="s">
        <v>19301</v>
      </c>
      <c r="L1701" s="27" t="s">
        <v>5489</v>
      </c>
      <c r="N1701" s="27" t="s">
        <v>1214</v>
      </c>
      <c r="P1701" s="27" t="s">
        <v>5690</v>
      </c>
      <c r="Q1701" s="26" t="str">
        <f>HYPERLINK("https://ictv.global/taxonomy/taxondetails?taxnode_id=202500293&amp;ictv_id=ICTV20164837","ICTV20164837")</f>
        <v>ICTV20164837</v>
      </c>
      <c r="R1701" t="s">
        <v>579</v>
      </c>
      <c r="S1701" t="s">
        <v>22763</v>
      </c>
      <c r="T1701">
        <v>40</v>
      </c>
      <c r="U1701" s="26" t="str">
        <f t="shared" si="56"/>
        <v>2024.026B.Pantevenvirales_1no_3mf.zip</v>
      </c>
    </row>
    <row r="1702" spans="1:21">
      <c r="A1702">
        <v>1701</v>
      </c>
      <c r="B1702" s="27" t="s">
        <v>1449</v>
      </c>
      <c r="D1702" s="27" t="s">
        <v>1450</v>
      </c>
      <c r="F1702" s="27" t="s">
        <v>1453</v>
      </c>
      <c r="H1702" s="27" t="s">
        <v>1454</v>
      </c>
      <c r="J1702" s="27" t="s">
        <v>19301</v>
      </c>
      <c r="L1702" s="27" t="s">
        <v>5489</v>
      </c>
      <c r="N1702" s="27" t="s">
        <v>1214</v>
      </c>
      <c r="P1702" s="27" t="s">
        <v>5691</v>
      </c>
      <c r="Q1702" s="26" t="str">
        <f>HYPERLINK("https://ictv.global/taxonomy/taxondetails?taxnode_id=202500294&amp;ictv_id=ICTV20164838","ICTV20164838")</f>
        <v>ICTV20164838</v>
      </c>
      <c r="R1702" t="s">
        <v>579</v>
      </c>
      <c r="S1702" t="s">
        <v>22763</v>
      </c>
      <c r="T1702">
        <v>40</v>
      </c>
      <c r="U1702" s="26" t="str">
        <f t="shared" si="56"/>
        <v>2024.026B.Pantevenvirales_1no_3mf.zip</v>
      </c>
    </row>
    <row r="1703" spans="1:21">
      <c r="A1703">
        <v>1702</v>
      </c>
      <c r="B1703" s="27" t="s">
        <v>1449</v>
      </c>
      <c r="D1703" s="27" t="s">
        <v>1450</v>
      </c>
      <c r="F1703" s="27" t="s">
        <v>1453</v>
      </c>
      <c r="H1703" s="27" t="s">
        <v>1454</v>
      </c>
      <c r="J1703" s="27" t="s">
        <v>19301</v>
      </c>
      <c r="L1703" s="27" t="s">
        <v>5489</v>
      </c>
      <c r="N1703" s="27" t="s">
        <v>1214</v>
      </c>
      <c r="P1703" s="27" t="s">
        <v>5692</v>
      </c>
      <c r="Q1703" s="26" t="str">
        <f>HYPERLINK("https://ictv.global/taxonomy/taxondetails?taxnode_id=202500295&amp;ictv_id=ICTV20164839","ICTV20164839")</f>
        <v>ICTV20164839</v>
      </c>
      <c r="R1703" t="s">
        <v>579</v>
      </c>
      <c r="S1703" t="s">
        <v>22763</v>
      </c>
      <c r="T1703">
        <v>40</v>
      </c>
      <c r="U1703" s="26" t="str">
        <f t="shared" si="56"/>
        <v>2024.026B.Pantevenvirales_1no_3mf.zip</v>
      </c>
    </row>
    <row r="1704" spans="1:21">
      <c r="A1704">
        <v>1703</v>
      </c>
      <c r="B1704" s="27" t="s">
        <v>1449</v>
      </c>
      <c r="D1704" s="27" t="s">
        <v>1450</v>
      </c>
      <c r="F1704" s="27" t="s">
        <v>1453</v>
      </c>
      <c r="H1704" s="27" t="s">
        <v>1454</v>
      </c>
      <c r="J1704" s="27" t="s">
        <v>19301</v>
      </c>
      <c r="L1704" s="27" t="s">
        <v>5489</v>
      </c>
      <c r="N1704" s="27" t="s">
        <v>1214</v>
      </c>
      <c r="P1704" s="27" t="s">
        <v>5693</v>
      </c>
      <c r="Q1704" s="26" t="str">
        <f>HYPERLINK("https://ictv.global/taxonomy/taxondetails?taxnode_id=202500296&amp;ictv_id=ICTV20164840","ICTV20164840")</f>
        <v>ICTV20164840</v>
      </c>
      <c r="R1704" t="s">
        <v>579</v>
      </c>
      <c r="S1704" t="s">
        <v>22763</v>
      </c>
      <c r="T1704">
        <v>40</v>
      </c>
      <c r="U1704" s="26" t="str">
        <f t="shared" si="56"/>
        <v>2024.026B.Pantevenvirales_1no_3mf.zip</v>
      </c>
    </row>
    <row r="1705" spans="1:21">
      <c r="A1705">
        <v>1704</v>
      </c>
      <c r="B1705" s="27" t="s">
        <v>1449</v>
      </c>
      <c r="D1705" s="27" t="s">
        <v>1450</v>
      </c>
      <c r="F1705" s="27" t="s">
        <v>1453</v>
      </c>
      <c r="H1705" s="27" t="s">
        <v>1454</v>
      </c>
      <c r="J1705" s="27" t="s">
        <v>19301</v>
      </c>
      <c r="L1705" s="27" t="s">
        <v>5489</v>
      </c>
      <c r="N1705" s="27" t="s">
        <v>1214</v>
      </c>
      <c r="P1705" s="27" t="s">
        <v>5694</v>
      </c>
      <c r="Q1705" s="26" t="str">
        <f>HYPERLINK("https://ictv.global/taxonomy/taxondetails?taxnode_id=202513675&amp;ictv_id=ICTV202113675","ICTV202113675")</f>
        <v>ICTV202113675</v>
      </c>
      <c r="R1705" t="s">
        <v>579</v>
      </c>
      <c r="S1705" t="s">
        <v>22763</v>
      </c>
      <c r="T1705">
        <v>40</v>
      </c>
      <c r="U1705" s="26" t="str">
        <f t="shared" si="56"/>
        <v>2024.026B.Pantevenvirales_1no_3mf.zip</v>
      </c>
    </row>
    <row r="1706" spans="1:21">
      <c r="A1706">
        <v>1705</v>
      </c>
      <c r="B1706" s="27" t="s">
        <v>1449</v>
      </c>
      <c r="D1706" s="27" t="s">
        <v>1450</v>
      </c>
      <c r="F1706" s="27" t="s">
        <v>1453</v>
      </c>
      <c r="H1706" s="27" t="s">
        <v>1454</v>
      </c>
      <c r="J1706" s="27" t="s">
        <v>19301</v>
      </c>
      <c r="L1706" s="27" t="s">
        <v>5489</v>
      </c>
      <c r="N1706" s="27" t="s">
        <v>1267</v>
      </c>
      <c r="P1706" s="27" t="s">
        <v>5695</v>
      </c>
      <c r="Q1706" s="26" t="str">
        <f>HYPERLINK("https://ictv.global/taxonomy/taxondetails?taxnode_id=202513955&amp;ictv_id=ICTV202113955","ICTV202113955")</f>
        <v>ICTV202113955</v>
      </c>
      <c r="R1706" t="s">
        <v>579</v>
      </c>
      <c r="S1706" t="s">
        <v>22763</v>
      </c>
      <c r="T1706">
        <v>40</v>
      </c>
      <c r="U1706" s="26" t="str">
        <f t="shared" si="56"/>
        <v>2024.026B.Pantevenvirales_1no_3mf.zip</v>
      </c>
    </row>
    <row r="1707" spans="1:21">
      <c r="A1707">
        <v>1706</v>
      </c>
      <c r="B1707" s="27" t="s">
        <v>1449</v>
      </c>
      <c r="D1707" s="27" t="s">
        <v>1450</v>
      </c>
      <c r="F1707" s="27" t="s">
        <v>1453</v>
      </c>
      <c r="H1707" s="27" t="s">
        <v>1454</v>
      </c>
      <c r="J1707" s="27" t="s">
        <v>19301</v>
      </c>
      <c r="L1707" s="27" t="s">
        <v>5489</v>
      </c>
      <c r="N1707" s="27" t="s">
        <v>1267</v>
      </c>
      <c r="P1707" s="27" t="s">
        <v>5696</v>
      </c>
      <c r="Q1707" s="26" t="str">
        <f>HYPERLINK("https://ictv.global/taxonomy/taxondetails?taxnode_id=202513956&amp;ictv_id=ICTV202113956","ICTV202113956")</f>
        <v>ICTV202113956</v>
      </c>
      <c r="R1707" t="s">
        <v>579</v>
      </c>
      <c r="S1707" t="s">
        <v>22763</v>
      </c>
      <c r="T1707">
        <v>40</v>
      </c>
      <c r="U1707" s="26" t="str">
        <f t="shared" si="56"/>
        <v>2024.026B.Pantevenvirales_1no_3mf.zip</v>
      </c>
    </row>
    <row r="1708" spans="1:21">
      <c r="A1708">
        <v>1707</v>
      </c>
      <c r="B1708" s="27" t="s">
        <v>1449</v>
      </c>
      <c r="D1708" s="27" t="s">
        <v>1450</v>
      </c>
      <c r="F1708" s="27" t="s">
        <v>1453</v>
      </c>
      <c r="H1708" s="27" t="s">
        <v>1454</v>
      </c>
      <c r="J1708" s="27" t="s">
        <v>19301</v>
      </c>
      <c r="L1708" s="27" t="s">
        <v>5489</v>
      </c>
      <c r="N1708" s="27" t="s">
        <v>1267</v>
      </c>
      <c r="P1708" s="27" t="s">
        <v>5697</v>
      </c>
      <c r="Q1708" s="26" t="str">
        <f>HYPERLINK("https://ictv.global/taxonomy/taxondetails?taxnode_id=202500500&amp;ictv_id=ICTV20150222","ICTV20150222")</f>
        <v>ICTV20150222</v>
      </c>
      <c r="R1708" t="s">
        <v>579</v>
      </c>
      <c r="S1708" t="s">
        <v>22763</v>
      </c>
      <c r="T1708">
        <v>40</v>
      </c>
      <c r="U1708" s="26" t="str">
        <f t="shared" si="56"/>
        <v>2024.026B.Pantevenvirales_1no_3mf.zip</v>
      </c>
    </row>
    <row r="1709" spans="1:21">
      <c r="A1709">
        <v>1708</v>
      </c>
      <c r="B1709" s="27" t="s">
        <v>1449</v>
      </c>
      <c r="D1709" s="27" t="s">
        <v>1450</v>
      </c>
      <c r="F1709" s="27" t="s">
        <v>1453</v>
      </c>
      <c r="H1709" s="27" t="s">
        <v>1454</v>
      </c>
      <c r="J1709" s="27" t="s">
        <v>19301</v>
      </c>
      <c r="L1709" s="27" t="s">
        <v>5489</v>
      </c>
      <c r="N1709" s="27" t="s">
        <v>1267</v>
      </c>
      <c r="P1709" s="27" t="s">
        <v>5698</v>
      </c>
      <c r="Q1709" s="26" t="str">
        <f>HYPERLINK("https://ictv.global/taxonomy/taxondetails?taxnode_id=202500501&amp;ictv_id=ICTV20150223","ICTV20150223")</f>
        <v>ICTV20150223</v>
      </c>
      <c r="R1709" t="s">
        <v>579</v>
      </c>
      <c r="S1709" t="s">
        <v>22763</v>
      </c>
      <c r="T1709">
        <v>40</v>
      </c>
      <c r="U1709" s="26" t="str">
        <f t="shared" si="56"/>
        <v>2024.026B.Pantevenvirales_1no_3mf.zip</v>
      </c>
    </row>
    <row r="1710" spans="1:21">
      <c r="A1710">
        <v>1709</v>
      </c>
      <c r="B1710" s="27" t="s">
        <v>1449</v>
      </c>
      <c r="D1710" s="27" t="s">
        <v>1450</v>
      </c>
      <c r="F1710" s="27" t="s">
        <v>1453</v>
      </c>
      <c r="H1710" s="27" t="s">
        <v>1454</v>
      </c>
      <c r="J1710" s="27" t="s">
        <v>19301</v>
      </c>
      <c r="L1710" s="27" t="s">
        <v>5489</v>
      </c>
      <c r="N1710" s="27" t="s">
        <v>1267</v>
      </c>
      <c r="P1710" s="27" t="s">
        <v>5699</v>
      </c>
      <c r="Q1710" s="26" t="str">
        <f>HYPERLINK("https://ictv.global/taxonomy/taxondetails?taxnode_id=202500502&amp;ictv_id=ICTV20150220","ICTV20150220")</f>
        <v>ICTV20150220</v>
      </c>
      <c r="R1710" t="s">
        <v>579</v>
      </c>
      <c r="S1710" t="s">
        <v>22763</v>
      </c>
      <c r="T1710">
        <v>40</v>
      </c>
      <c r="U1710" s="26" t="str">
        <f t="shared" si="56"/>
        <v>2024.026B.Pantevenvirales_1no_3mf.zip</v>
      </c>
    </row>
    <row r="1711" spans="1:21">
      <c r="A1711">
        <v>1710</v>
      </c>
      <c r="B1711" s="27" t="s">
        <v>1449</v>
      </c>
      <c r="D1711" s="27" t="s">
        <v>1450</v>
      </c>
      <c r="F1711" s="27" t="s">
        <v>1453</v>
      </c>
      <c r="H1711" s="27" t="s">
        <v>1454</v>
      </c>
      <c r="J1711" s="27" t="s">
        <v>19301</v>
      </c>
      <c r="L1711" s="27" t="s">
        <v>5489</v>
      </c>
      <c r="N1711" s="27" t="s">
        <v>1267</v>
      </c>
      <c r="P1711" s="27" t="s">
        <v>5700</v>
      </c>
      <c r="Q1711" s="26" t="str">
        <f>HYPERLINK("https://ictv.global/taxonomy/taxondetails?taxnode_id=202507033&amp;ictv_id=ICTV201857033","ICTV201857033")</f>
        <v>ICTV201857033</v>
      </c>
      <c r="R1711" t="s">
        <v>579</v>
      </c>
      <c r="S1711" t="s">
        <v>22763</v>
      </c>
      <c r="T1711">
        <v>40</v>
      </c>
      <c r="U1711" s="26" t="str">
        <f t="shared" si="56"/>
        <v>2024.026B.Pantevenvirales_1no_3mf.zip</v>
      </c>
    </row>
    <row r="1712" spans="1:21">
      <c r="A1712">
        <v>1711</v>
      </c>
      <c r="B1712" s="27" t="s">
        <v>1449</v>
      </c>
      <c r="D1712" s="27" t="s">
        <v>1450</v>
      </c>
      <c r="F1712" s="27" t="s">
        <v>1453</v>
      </c>
      <c r="H1712" s="27" t="s">
        <v>1454</v>
      </c>
      <c r="J1712" s="27" t="s">
        <v>19301</v>
      </c>
      <c r="L1712" s="27" t="s">
        <v>5489</v>
      </c>
      <c r="N1712" s="27" t="s">
        <v>1267</v>
      </c>
      <c r="P1712" s="27" t="s">
        <v>5701</v>
      </c>
      <c r="Q1712" s="26" t="str">
        <f>HYPERLINK("https://ictv.global/taxonomy/taxondetails?taxnode_id=202500498&amp;ictv_id=ICTV20115486","ICTV20115486")</f>
        <v>ICTV20115486</v>
      </c>
      <c r="R1712" t="s">
        <v>579</v>
      </c>
      <c r="S1712" t="s">
        <v>22763</v>
      </c>
      <c r="T1712">
        <v>40</v>
      </c>
      <c r="U1712" s="26" t="str">
        <f t="shared" si="56"/>
        <v>2024.026B.Pantevenvirales_1no_3mf.zip</v>
      </c>
    </row>
    <row r="1713" spans="1:21">
      <c r="A1713">
        <v>1712</v>
      </c>
      <c r="B1713" s="27" t="s">
        <v>1449</v>
      </c>
      <c r="D1713" s="27" t="s">
        <v>1450</v>
      </c>
      <c r="F1713" s="27" t="s">
        <v>1453</v>
      </c>
      <c r="H1713" s="27" t="s">
        <v>1454</v>
      </c>
      <c r="J1713" s="27" t="s">
        <v>19301</v>
      </c>
      <c r="L1713" s="27" t="s">
        <v>5489</v>
      </c>
      <c r="N1713" s="27" t="s">
        <v>1267</v>
      </c>
      <c r="P1713" s="27" t="s">
        <v>19310</v>
      </c>
      <c r="Q1713" s="26" t="str">
        <f>HYPERLINK("https://ictv.global/taxonomy/taxondetails?taxnode_id=202500503&amp;ictv_id=ICTV20150221","ICTV20150221")</f>
        <v>ICTV20150221</v>
      </c>
      <c r="R1713" t="s">
        <v>579</v>
      </c>
      <c r="S1713" t="s">
        <v>824</v>
      </c>
      <c r="T1713">
        <v>40</v>
      </c>
      <c r="U1713" s="26" t="str">
        <f>HYPERLINK("https://ictv.global/ictv/proposals/2024.036B.Caudoviricetes_Faserviricetes_Name_Corrections.zip","2024.036B.Caudoviricetes_Faserviricetes_Name_Corrections.zip")</f>
        <v>2024.036B.Caudoviricetes_Faserviricetes_Name_Corrections.zip</v>
      </c>
    </row>
    <row r="1714" spans="1:21">
      <c r="A1714">
        <v>1713</v>
      </c>
      <c r="B1714" s="27" t="s">
        <v>1449</v>
      </c>
      <c r="D1714" s="27" t="s">
        <v>1450</v>
      </c>
      <c r="F1714" s="27" t="s">
        <v>1453</v>
      </c>
      <c r="H1714" s="27" t="s">
        <v>1454</v>
      </c>
      <c r="J1714" s="27" t="s">
        <v>21742</v>
      </c>
      <c r="L1714" s="27" t="s">
        <v>21743</v>
      </c>
      <c r="N1714" s="27" t="s">
        <v>21744</v>
      </c>
      <c r="P1714" s="27" t="s">
        <v>21745</v>
      </c>
      <c r="Q1714" s="26" t="str">
        <f>HYPERLINK("https://ictv.global/taxonomy/taxondetails?taxnode_id=202522590&amp;ictv_id=ICTV202522590","ICTV202522590")</f>
        <v>ICTV202522590</v>
      </c>
      <c r="R1714" t="s">
        <v>579</v>
      </c>
      <c r="S1714" t="s">
        <v>823</v>
      </c>
      <c r="T1714">
        <v>41</v>
      </c>
      <c r="U1714" s="26" t="str">
        <f>HYPERLINK("https://ictv.global/ictv/proposals/2025.013B.Crassvirales_reorganisation.zip","2025.013B.Crassvirales_reorganisation.zip")</f>
        <v>2025.013B.Crassvirales_reorganisation.zip</v>
      </c>
    </row>
    <row r="1715" spans="1:21">
      <c r="A1715">
        <v>1714</v>
      </c>
      <c r="B1715" s="27" t="s">
        <v>1449</v>
      </c>
      <c r="D1715" s="27" t="s">
        <v>1450</v>
      </c>
      <c r="F1715" s="27" t="s">
        <v>1453</v>
      </c>
      <c r="H1715" s="27" t="s">
        <v>1454</v>
      </c>
      <c r="J1715" s="27" t="s">
        <v>3979</v>
      </c>
      <c r="L1715" s="27" t="s">
        <v>3980</v>
      </c>
      <c r="N1715" s="27" t="s">
        <v>3981</v>
      </c>
      <c r="P1715" s="27" t="s">
        <v>11299</v>
      </c>
      <c r="Q1715" s="26" t="str">
        <f>HYPERLINK("https://ictv.global/taxonomy/taxondetails?taxnode_id=202512193&amp;ictv_id=ICTV202112193","ICTV202112193")</f>
        <v>ICTV202112193</v>
      </c>
      <c r="R1715" t="s">
        <v>579</v>
      </c>
      <c r="S1715" t="s">
        <v>824</v>
      </c>
      <c r="T1715">
        <v>39</v>
      </c>
      <c r="U1715" s="26" t="str">
        <f t="shared" ref="U1715:U1728" si="57">HYPERLINK("https://ictv.global/ictv/proposals/2023.001A.Archaeal_binomials.zip","2023.001A.Archaeal_binomials.zip")</f>
        <v>2023.001A.Archaeal_binomials.zip</v>
      </c>
    </row>
    <row r="1716" spans="1:21">
      <c r="A1716">
        <v>1715</v>
      </c>
      <c r="B1716" s="27" t="s">
        <v>1449</v>
      </c>
      <c r="D1716" s="27" t="s">
        <v>1450</v>
      </c>
      <c r="F1716" s="27" t="s">
        <v>1453</v>
      </c>
      <c r="H1716" s="27" t="s">
        <v>1454</v>
      </c>
      <c r="J1716" s="27" t="s">
        <v>3979</v>
      </c>
      <c r="L1716" s="27" t="s">
        <v>3980</v>
      </c>
      <c r="N1716" s="27" t="s">
        <v>3982</v>
      </c>
      <c r="P1716" s="27" t="s">
        <v>11300</v>
      </c>
      <c r="Q1716" s="26" t="str">
        <f>HYPERLINK("https://ictv.global/taxonomy/taxondetails?taxnode_id=202512191&amp;ictv_id=ICTV202112191","ICTV202112191")</f>
        <v>ICTV202112191</v>
      </c>
      <c r="R1716" t="s">
        <v>579</v>
      </c>
      <c r="S1716" t="s">
        <v>824</v>
      </c>
      <c r="T1716">
        <v>39</v>
      </c>
      <c r="U1716" s="26" t="str">
        <f t="shared" si="57"/>
        <v>2023.001A.Archaeal_binomials.zip</v>
      </c>
    </row>
    <row r="1717" spans="1:21">
      <c r="A1717">
        <v>1716</v>
      </c>
      <c r="B1717" s="27" t="s">
        <v>1449</v>
      </c>
      <c r="D1717" s="27" t="s">
        <v>1450</v>
      </c>
      <c r="F1717" s="27" t="s">
        <v>1453</v>
      </c>
      <c r="H1717" s="27" t="s">
        <v>1454</v>
      </c>
      <c r="J1717" s="27" t="s">
        <v>3979</v>
      </c>
      <c r="L1717" s="27" t="s">
        <v>3983</v>
      </c>
      <c r="N1717" s="27" t="s">
        <v>2101</v>
      </c>
      <c r="P1717" s="27" t="s">
        <v>11301</v>
      </c>
      <c r="Q1717" s="26" t="str">
        <f>HYPERLINK("https://ictv.global/taxonomy/taxondetails?taxnode_id=202512180&amp;ictv_id=ICTV202112180","ICTV202112180")</f>
        <v>ICTV202112180</v>
      </c>
      <c r="R1717" t="s">
        <v>579</v>
      </c>
      <c r="S1717" t="s">
        <v>824</v>
      </c>
      <c r="T1717">
        <v>39</v>
      </c>
      <c r="U1717" s="26" t="str">
        <f t="shared" si="57"/>
        <v>2023.001A.Archaeal_binomials.zip</v>
      </c>
    </row>
    <row r="1718" spans="1:21">
      <c r="A1718">
        <v>1717</v>
      </c>
      <c r="B1718" s="27" t="s">
        <v>1449</v>
      </c>
      <c r="D1718" s="27" t="s">
        <v>1450</v>
      </c>
      <c r="F1718" s="27" t="s">
        <v>1453</v>
      </c>
      <c r="H1718" s="27" t="s">
        <v>1454</v>
      </c>
      <c r="J1718" s="27" t="s">
        <v>3979</v>
      </c>
      <c r="L1718" s="27" t="s">
        <v>3983</v>
      </c>
      <c r="N1718" s="27" t="s">
        <v>2101</v>
      </c>
      <c r="P1718" s="27" t="s">
        <v>11302</v>
      </c>
      <c r="Q1718" s="26" t="str">
        <f>HYPERLINK("https://ictv.global/taxonomy/taxondetails?taxnode_id=202508774&amp;ictv_id=ICTV202008774","ICTV202008774")</f>
        <v>ICTV202008774</v>
      </c>
      <c r="R1718" t="s">
        <v>579</v>
      </c>
      <c r="S1718" t="s">
        <v>824</v>
      </c>
      <c r="T1718">
        <v>39</v>
      </c>
      <c r="U1718" s="26" t="str">
        <f t="shared" si="57"/>
        <v>2023.001A.Archaeal_binomials.zip</v>
      </c>
    </row>
    <row r="1719" spans="1:21">
      <c r="A1719">
        <v>1718</v>
      </c>
      <c r="B1719" s="27" t="s">
        <v>1449</v>
      </c>
      <c r="D1719" s="27" t="s">
        <v>1450</v>
      </c>
      <c r="F1719" s="27" t="s">
        <v>1453</v>
      </c>
      <c r="H1719" s="27" t="s">
        <v>1454</v>
      </c>
      <c r="J1719" s="27" t="s">
        <v>3979</v>
      </c>
      <c r="L1719" s="27" t="s">
        <v>3983</v>
      </c>
      <c r="N1719" s="27" t="s">
        <v>2101</v>
      </c>
      <c r="P1719" s="27" t="s">
        <v>11303</v>
      </c>
      <c r="Q1719" s="26" t="str">
        <f>HYPERLINK("https://ictv.global/taxonomy/taxondetails?taxnode_id=202508776&amp;ictv_id=ICTV202008776","ICTV202008776")</f>
        <v>ICTV202008776</v>
      </c>
      <c r="R1719" t="s">
        <v>579</v>
      </c>
      <c r="S1719" t="s">
        <v>824</v>
      </c>
      <c r="T1719">
        <v>39</v>
      </c>
      <c r="U1719" s="26" t="str">
        <f t="shared" si="57"/>
        <v>2023.001A.Archaeal_binomials.zip</v>
      </c>
    </row>
    <row r="1720" spans="1:21">
      <c r="A1720">
        <v>1719</v>
      </c>
      <c r="B1720" s="27" t="s">
        <v>1449</v>
      </c>
      <c r="D1720" s="27" t="s">
        <v>1450</v>
      </c>
      <c r="F1720" s="27" t="s">
        <v>1453</v>
      </c>
      <c r="H1720" s="27" t="s">
        <v>1454</v>
      </c>
      <c r="J1720" s="27" t="s">
        <v>3979</v>
      </c>
      <c r="L1720" s="27" t="s">
        <v>3983</v>
      </c>
      <c r="N1720" s="27" t="s">
        <v>2101</v>
      </c>
      <c r="P1720" s="27" t="s">
        <v>11304</v>
      </c>
      <c r="Q1720" s="26" t="str">
        <f>HYPERLINK("https://ictv.global/taxonomy/taxondetails?taxnode_id=202508777&amp;ictv_id=ICTV202008777","ICTV202008777")</f>
        <v>ICTV202008777</v>
      </c>
      <c r="R1720" t="s">
        <v>579</v>
      </c>
      <c r="S1720" t="s">
        <v>824</v>
      </c>
      <c r="T1720">
        <v>39</v>
      </c>
      <c r="U1720" s="26" t="str">
        <f t="shared" si="57"/>
        <v>2023.001A.Archaeal_binomials.zip</v>
      </c>
    </row>
    <row r="1721" spans="1:21">
      <c r="A1721">
        <v>1720</v>
      </c>
      <c r="B1721" s="27" t="s">
        <v>1449</v>
      </c>
      <c r="D1721" s="27" t="s">
        <v>1450</v>
      </c>
      <c r="F1721" s="27" t="s">
        <v>1453</v>
      </c>
      <c r="H1721" s="27" t="s">
        <v>1454</v>
      </c>
      <c r="J1721" s="27" t="s">
        <v>3979</v>
      </c>
      <c r="L1721" s="27" t="s">
        <v>3983</v>
      </c>
      <c r="N1721" s="27" t="s">
        <v>2101</v>
      </c>
      <c r="P1721" s="27" t="s">
        <v>11305</v>
      </c>
      <c r="Q1721" s="26" t="str">
        <f>HYPERLINK("https://ictv.global/taxonomy/taxondetails?taxnode_id=202512181&amp;ictv_id=ICTV202112181","ICTV202112181")</f>
        <v>ICTV202112181</v>
      </c>
      <c r="R1721" t="s">
        <v>579</v>
      </c>
      <c r="S1721" t="s">
        <v>824</v>
      </c>
      <c r="T1721">
        <v>39</v>
      </c>
      <c r="U1721" s="26" t="str">
        <f t="shared" si="57"/>
        <v>2023.001A.Archaeal_binomials.zip</v>
      </c>
    </row>
    <row r="1722" spans="1:21">
      <c r="A1722">
        <v>1721</v>
      </c>
      <c r="B1722" s="27" t="s">
        <v>1449</v>
      </c>
      <c r="D1722" s="27" t="s">
        <v>1450</v>
      </c>
      <c r="F1722" s="27" t="s">
        <v>1453</v>
      </c>
      <c r="H1722" s="27" t="s">
        <v>1454</v>
      </c>
      <c r="J1722" s="27" t="s">
        <v>3979</v>
      </c>
      <c r="L1722" s="27" t="s">
        <v>3983</v>
      </c>
      <c r="N1722" s="27" t="s">
        <v>2101</v>
      </c>
      <c r="P1722" s="27" t="s">
        <v>11306</v>
      </c>
      <c r="Q1722" s="26" t="str">
        <f>HYPERLINK("https://ictv.global/taxonomy/taxondetails?taxnode_id=202512183&amp;ictv_id=ICTV202112183","ICTV202112183")</f>
        <v>ICTV202112183</v>
      </c>
      <c r="R1722" t="s">
        <v>579</v>
      </c>
      <c r="S1722" t="s">
        <v>824</v>
      </c>
      <c r="T1722">
        <v>39</v>
      </c>
      <c r="U1722" s="26" t="str">
        <f t="shared" si="57"/>
        <v>2023.001A.Archaeal_binomials.zip</v>
      </c>
    </row>
    <row r="1723" spans="1:21">
      <c r="A1723">
        <v>1722</v>
      </c>
      <c r="B1723" s="27" t="s">
        <v>1449</v>
      </c>
      <c r="D1723" s="27" t="s">
        <v>1450</v>
      </c>
      <c r="F1723" s="27" t="s">
        <v>1453</v>
      </c>
      <c r="H1723" s="27" t="s">
        <v>1454</v>
      </c>
      <c r="J1723" s="27" t="s">
        <v>3979</v>
      </c>
      <c r="L1723" s="27" t="s">
        <v>3983</v>
      </c>
      <c r="N1723" s="27" t="s">
        <v>2101</v>
      </c>
      <c r="P1723" s="27" t="s">
        <v>11307</v>
      </c>
      <c r="Q1723" s="26" t="str">
        <f>HYPERLINK("https://ictv.global/taxonomy/taxondetails?taxnode_id=202512182&amp;ictv_id=ICTV202112182","ICTV202112182")</f>
        <v>ICTV202112182</v>
      </c>
      <c r="R1723" t="s">
        <v>579</v>
      </c>
      <c r="S1723" t="s">
        <v>824</v>
      </c>
      <c r="T1723">
        <v>39</v>
      </c>
      <c r="U1723" s="26" t="str">
        <f t="shared" si="57"/>
        <v>2023.001A.Archaeal_binomials.zip</v>
      </c>
    </row>
    <row r="1724" spans="1:21">
      <c r="A1724">
        <v>1723</v>
      </c>
      <c r="B1724" s="27" t="s">
        <v>1449</v>
      </c>
      <c r="D1724" s="27" t="s">
        <v>1450</v>
      </c>
      <c r="F1724" s="27" t="s">
        <v>1453</v>
      </c>
      <c r="H1724" s="27" t="s">
        <v>1454</v>
      </c>
      <c r="J1724" s="27" t="s">
        <v>3979</v>
      </c>
      <c r="L1724" s="27" t="s">
        <v>3983</v>
      </c>
      <c r="N1724" s="27" t="s">
        <v>3984</v>
      </c>
      <c r="P1724" s="27" t="s">
        <v>11308</v>
      </c>
      <c r="Q1724" s="26" t="str">
        <f>HYPERLINK("https://ictv.global/taxonomy/taxondetails?taxnode_id=202512187&amp;ictv_id=ICTV202112187","ICTV202112187")</f>
        <v>ICTV202112187</v>
      </c>
      <c r="R1724" t="s">
        <v>579</v>
      </c>
      <c r="S1724" t="s">
        <v>824</v>
      </c>
      <c r="T1724">
        <v>39</v>
      </c>
      <c r="U1724" s="26" t="str">
        <f t="shared" si="57"/>
        <v>2023.001A.Archaeal_binomials.zip</v>
      </c>
    </row>
    <row r="1725" spans="1:21">
      <c r="A1725">
        <v>1724</v>
      </c>
      <c r="B1725" s="27" t="s">
        <v>1449</v>
      </c>
      <c r="D1725" s="27" t="s">
        <v>1450</v>
      </c>
      <c r="F1725" s="27" t="s">
        <v>1453</v>
      </c>
      <c r="H1725" s="27" t="s">
        <v>1454</v>
      </c>
      <c r="J1725" s="27" t="s">
        <v>3979</v>
      </c>
      <c r="L1725" s="27" t="s">
        <v>3983</v>
      </c>
      <c r="N1725" s="27" t="s">
        <v>3985</v>
      </c>
      <c r="P1725" s="27" t="s">
        <v>11309</v>
      </c>
      <c r="Q1725" s="26" t="str">
        <f>HYPERLINK("https://ictv.global/taxonomy/taxondetails?taxnode_id=202512185&amp;ictv_id=ICTV202112185","ICTV202112185")</f>
        <v>ICTV202112185</v>
      </c>
      <c r="R1725" t="s">
        <v>579</v>
      </c>
      <c r="S1725" t="s">
        <v>824</v>
      </c>
      <c r="T1725">
        <v>39</v>
      </c>
      <c r="U1725" s="26" t="str">
        <f t="shared" si="57"/>
        <v>2023.001A.Archaeal_binomials.zip</v>
      </c>
    </row>
    <row r="1726" spans="1:21">
      <c r="A1726">
        <v>1725</v>
      </c>
      <c r="B1726" s="27" t="s">
        <v>1449</v>
      </c>
      <c r="D1726" s="27" t="s">
        <v>1450</v>
      </c>
      <c r="F1726" s="27" t="s">
        <v>1453</v>
      </c>
      <c r="H1726" s="27" t="s">
        <v>1454</v>
      </c>
      <c r="J1726" s="27" t="s">
        <v>3979</v>
      </c>
      <c r="L1726" s="27" t="s">
        <v>3983</v>
      </c>
      <c r="N1726" s="27" t="s">
        <v>3986</v>
      </c>
      <c r="P1726" s="27" t="s">
        <v>11310</v>
      </c>
      <c r="Q1726" s="26" t="str">
        <f>HYPERLINK("https://ictv.global/taxonomy/taxondetails?taxnode_id=202512189&amp;ictv_id=ICTV202112189","ICTV202112189")</f>
        <v>ICTV202112189</v>
      </c>
      <c r="R1726" t="s">
        <v>579</v>
      </c>
      <c r="S1726" t="s">
        <v>824</v>
      </c>
      <c r="T1726">
        <v>39</v>
      </c>
      <c r="U1726" s="26" t="str">
        <f t="shared" si="57"/>
        <v>2023.001A.Archaeal_binomials.zip</v>
      </c>
    </row>
    <row r="1727" spans="1:21">
      <c r="A1727">
        <v>1726</v>
      </c>
      <c r="B1727" s="27" t="s">
        <v>1449</v>
      </c>
      <c r="D1727" s="27" t="s">
        <v>1450</v>
      </c>
      <c r="F1727" s="27" t="s">
        <v>1453</v>
      </c>
      <c r="H1727" s="27" t="s">
        <v>1454</v>
      </c>
      <c r="J1727" s="27" t="s">
        <v>3979</v>
      </c>
      <c r="L1727" s="27" t="s">
        <v>3987</v>
      </c>
      <c r="N1727" s="27" t="s">
        <v>3988</v>
      </c>
      <c r="P1727" s="27" t="s">
        <v>11311</v>
      </c>
      <c r="Q1727" s="26" t="str">
        <f>HYPERLINK("https://ictv.global/taxonomy/taxondetails?taxnode_id=202512197&amp;ictv_id=ICTV202112197","ICTV202112197")</f>
        <v>ICTV202112197</v>
      </c>
      <c r="R1727" t="s">
        <v>579</v>
      </c>
      <c r="S1727" t="s">
        <v>824</v>
      </c>
      <c r="T1727">
        <v>39</v>
      </c>
      <c r="U1727" s="26" t="str">
        <f t="shared" si="57"/>
        <v>2023.001A.Archaeal_binomials.zip</v>
      </c>
    </row>
    <row r="1728" spans="1:21">
      <c r="A1728">
        <v>1727</v>
      </c>
      <c r="B1728" s="27" t="s">
        <v>1449</v>
      </c>
      <c r="D1728" s="27" t="s">
        <v>1450</v>
      </c>
      <c r="F1728" s="27" t="s">
        <v>1453</v>
      </c>
      <c r="H1728" s="27" t="s">
        <v>1454</v>
      </c>
      <c r="J1728" s="27" t="s">
        <v>3979</v>
      </c>
      <c r="L1728" s="27" t="s">
        <v>3989</v>
      </c>
      <c r="N1728" s="27" t="s">
        <v>3990</v>
      </c>
      <c r="P1728" s="27" t="s">
        <v>11312</v>
      </c>
      <c r="Q1728" s="26" t="str">
        <f>HYPERLINK("https://ictv.global/taxonomy/taxondetails?taxnode_id=202512195&amp;ictv_id=ICTV202112195","ICTV202112195")</f>
        <v>ICTV202112195</v>
      </c>
      <c r="R1728" t="s">
        <v>579</v>
      </c>
      <c r="S1728" t="s">
        <v>824</v>
      </c>
      <c r="T1728">
        <v>39</v>
      </c>
      <c r="U1728" s="26" t="str">
        <f t="shared" si="57"/>
        <v>2023.001A.Archaeal_binomials.zip</v>
      </c>
    </row>
    <row r="1729" spans="1:21">
      <c r="A1729">
        <v>1728</v>
      </c>
      <c r="B1729" s="27" t="s">
        <v>1449</v>
      </c>
      <c r="D1729" s="27" t="s">
        <v>1450</v>
      </c>
      <c r="F1729" s="27" t="s">
        <v>1453</v>
      </c>
      <c r="H1729" s="27" t="s">
        <v>1454</v>
      </c>
      <c r="L1729" s="27" t="s">
        <v>4054</v>
      </c>
      <c r="N1729" s="27" t="s">
        <v>4055</v>
      </c>
      <c r="P1729" s="27" t="s">
        <v>4056</v>
      </c>
      <c r="Q1729" s="26" t="str">
        <f>HYPERLINK("https://ictv.global/taxonomy/taxondetails?taxnode_id=202513575&amp;ictv_id=ICTV202113575","ICTV202113575")</f>
        <v>ICTV202113575</v>
      </c>
      <c r="R1729" t="s">
        <v>579</v>
      </c>
      <c r="S1729" t="s">
        <v>823</v>
      </c>
      <c r="T1729">
        <v>37</v>
      </c>
      <c r="U1729" s="26" t="str">
        <f>HYPERLINK("https://ictv.global/ictv/proposals/2021.029B.R.Flavophages_9_families.zip","2021.029B.R.Flavophages_9_families.zip")</f>
        <v>2021.029B.R.Flavophages_9_families.zip</v>
      </c>
    </row>
    <row r="1730" spans="1:21">
      <c r="A1730">
        <v>1729</v>
      </c>
      <c r="B1730" s="27" t="s">
        <v>1449</v>
      </c>
      <c r="D1730" s="27" t="s">
        <v>1450</v>
      </c>
      <c r="F1730" s="27" t="s">
        <v>1453</v>
      </c>
      <c r="H1730" s="27" t="s">
        <v>1454</v>
      </c>
      <c r="L1730" s="27" t="s">
        <v>4057</v>
      </c>
      <c r="N1730" s="27" t="s">
        <v>1336</v>
      </c>
      <c r="P1730" s="27" t="s">
        <v>4058</v>
      </c>
      <c r="Q1730" s="26" t="str">
        <f>HYPERLINK("https://ictv.global/taxonomy/taxondetails?taxnode_id=202514425&amp;ictv_id=ICTV202214425","ICTV202214425")</f>
        <v>ICTV202214425</v>
      </c>
      <c r="R1730" t="s">
        <v>579</v>
      </c>
      <c r="S1730" t="s">
        <v>823</v>
      </c>
      <c r="T1730">
        <v>38</v>
      </c>
      <c r="U1730" s="26" t="str">
        <f t="shared" ref="U1730:U1761" si="58">HYPERLINK("https://ictv.global/ictv/proposals/2022.001B.Aliceevansviridae.zip","2022.001B.Aliceevansviridae.zip")</f>
        <v>2022.001B.Aliceevansviridae.zip</v>
      </c>
    </row>
    <row r="1731" spans="1:21">
      <c r="A1731">
        <v>1730</v>
      </c>
      <c r="B1731" s="27" t="s">
        <v>1449</v>
      </c>
      <c r="D1731" s="27" t="s">
        <v>1450</v>
      </c>
      <c r="F1731" s="27" t="s">
        <v>1453</v>
      </c>
      <c r="H1731" s="27" t="s">
        <v>1454</v>
      </c>
      <c r="L1731" s="27" t="s">
        <v>4057</v>
      </c>
      <c r="N1731" s="27" t="s">
        <v>1336</v>
      </c>
      <c r="P1731" s="27" t="s">
        <v>4059</v>
      </c>
      <c r="Q1731" s="26" t="str">
        <f>HYPERLINK("https://ictv.global/taxonomy/taxondetails?taxnode_id=202501269&amp;ictv_id=ICTV20140472","ICTV20140472")</f>
        <v>ICTV20140472</v>
      </c>
      <c r="R1731" t="s">
        <v>579</v>
      </c>
      <c r="S1731" t="s">
        <v>22763</v>
      </c>
      <c r="T1731">
        <v>38</v>
      </c>
      <c r="U1731" s="26" t="str">
        <f t="shared" si="58"/>
        <v>2022.001B.Aliceevansviridae.zip</v>
      </c>
    </row>
    <row r="1732" spans="1:21">
      <c r="A1732">
        <v>1731</v>
      </c>
      <c r="B1732" s="27" t="s">
        <v>1449</v>
      </c>
      <c r="D1732" s="27" t="s">
        <v>1450</v>
      </c>
      <c r="F1732" s="27" t="s">
        <v>1453</v>
      </c>
      <c r="H1732" s="27" t="s">
        <v>1454</v>
      </c>
      <c r="L1732" s="27" t="s">
        <v>4057</v>
      </c>
      <c r="N1732" s="27" t="s">
        <v>1336</v>
      </c>
      <c r="P1732" s="27" t="s">
        <v>4060</v>
      </c>
      <c r="Q1732" s="26" t="str">
        <f>HYPERLINK("https://ictv.global/taxonomy/taxondetails?taxnode_id=202501267&amp;ictv_id=ICTV20140473","ICTV20140473")</f>
        <v>ICTV20140473</v>
      </c>
      <c r="R1732" t="s">
        <v>579</v>
      </c>
      <c r="S1732" t="s">
        <v>22763</v>
      </c>
      <c r="T1732">
        <v>38</v>
      </c>
      <c r="U1732" s="26" t="str">
        <f t="shared" si="58"/>
        <v>2022.001B.Aliceevansviridae.zip</v>
      </c>
    </row>
    <row r="1733" spans="1:21">
      <c r="A1733">
        <v>1732</v>
      </c>
      <c r="B1733" s="27" t="s">
        <v>1449</v>
      </c>
      <c r="D1733" s="27" t="s">
        <v>1450</v>
      </c>
      <c r="F1733" s="27" t="s">
        <v>1453</v>
      </c>
      <c r="H1733" s="27" t="s">
        <v>1454</v>
      </c>
      <c r="L1733" s="27" t="s">
        <v>4057</v>
      </c>
      <c r="N1733" s="27" t="s">
        <v>1336</v>
      </c>
      <c r="P1733" s="27" t="s">
        <v>4061</v>
      </c>
      <c r="Q1733" s="26" t="str">
        <f>HYPERLINK("https://ictv.global/taxonomy/taxondetails?taxnode_id=202501268&amp;ictv_id=ICTV20140471","ICTV20140471")</f>
        <v>ICTV20140471</v>
      </c>
      <c r="R1733" t="s">
        <v>579</v>
      </c>
      <c r="S1733" t="s">
        <v>22763</v>
      </c>
      <c r="T1733">
        <v>38</v>
      </c>
      <c r="U1733" s="26" t="str">
        <f t="shared" si="58"/>
        <v>2022.001B.Aliceevansviridae.zip</v>
      </c>
    </row>
    <row r="1734" spans="1:21">
      <c r="A1734">
        <v>1733</v>
      </c>
      <c r="B1734" s="27" t="s">
        <v>1449</v>
      </c>
      <c r="D1734" s="27" t="s">
        <v>1450</v>
      </c>
      <c r="F1734" s="27" t="s">
        <v>1453</v>
      </c>
      <c r="H1734" s="27" t="s">
        <v>1454</v>
      </c>
      <c r="L1734" s="27" t="s">
        <v>4057</v>
      </c>
      <c r="N1734" s="27" t="s">
        <v>1336</v>
      </c>
      <c r="P1734" s="27" t="s">
        <v>4062</v>
      </c>
      <c r="Q1734" s="26" t="str">
        <f>HYPERLINK("https://ictv.global/taxonomy/taxondetails?taxnode_id=202501270&amp;ictv_id=ICTV20140470","ICTV20140470")</f>
        <v>ICTV20140470</v>
      </c>
      <c r="R1734" t="s">
        <v>579</v>
      </c>
      <c r="S1734" t="s">
        <v>22763</v>
      </c>
      <c r="T1734">
        <v>38</v>
      </c>
      <c r="U1734" s="26" t="str">
        <f t="shared" si="58"/>
        <v>2022.001B.Aliceevansviridae.zip</v>
      </c>
    </row>
    <row r="1735" spans="1:21">
      <c r="A1735">
        <v>1734</v>
      </c>
      <c r="B1735" s="27" t="s">
        <v>1449</v>
      </c>
      <c r="D1735" s="27" t="s">
        <v>1450</v>
      </c>
      <c r="F1735" s="27" t="s">
        <v>1453</v>
      </c>
      <c r="H1735" s="27" t="s">
        <v>1454</v>
      </c>
      <c r="L1735" s="27" t="s">
        <v>4057</v>
      </c>
      <c r="N1735" s="27" t="s">
        <v>1336</v>
      </c>
      <c r="P1735" s="27" t="s">
        <v>4063</v>
      </c>
      <c r="Q1735" s="26" t="str">
        <f>HYPERLINK("https://ictv.global/taxonomy/taxondetails?taxnode_id=202514433&amp;ictv_id=ICTV202214433","ICTV202214433")</f>
        <v>ICTV202214433</v>
      </c>
      <c r="R1735" t="s">
        <v>579</v>
      </c>
      <c r="S1735" t="s">
        <v>823</v>
      </c>
      <c r="T1735">
        <v>38</v>
      </c>
      <c r="U1735" s="26" t="str">
        <f t="shared" si="58"/>
        <v>2022.001B.Aliceevansviridae.zip</v>
      </c>
    </row>
    <row r="1736" spans="1:21">
      <c r="A1736">
        <v>1735</v>
      </c>
      <c r="B1736" s="27" t="s">
        <v>1449</v>
      </c>
      <c r="D1736" s="27" t="s">
        <v>1450</v>
      </c>
      <c r="F1736" s="27" t="s">
        <v>1453</v>
      </c>
      <c r="H1736" s="27" t="s">
        <v>1454</v>
      </c>
      <c r="L1736" s="27" t="s">
        <v>4057</v>
      </c>
      <c r="N1736" s="27" t="s">
        <v>1336</v>
      </c>
      <c r="P1736" s="27" t="s">
        <v>4064</v>
      </c>
      <c r="Q1736" s="26" t="str">
        <f>HYPERLINK("https://ictv.global/taxonomy/taxondetails?taxnode_id=202514434&amp;ictv_id=ICTV202214434","ICTV202214434")</f>
        <v>ICTV202214434</v>
      </c>
      <c r="R1736" t="s">
        <v>579</v>
      </c>
      <c r="S1736" t="s">
        <v>823</v>
      </c>
      <c r="T1736">
        <v>38</v>
      </c>
      <c r="U1736" s="26" t="str">
        <f t="shared" si="58"/>
        <v>2022.001B.Aliceevansviridae.zip</v>
      </c>
    </row>
    <row r="1737" spans="1:21">
      <c r="A1737">
        <v>1736</v>
      </c>
      <c r="B1737" s="27" t="s">
        <v>1449</v>
      </c>
      <c r="D1737" s="27" t="s">
        <v>1450</v>
      </c>
      <c r="F1737" s="27" t="s">
        <v>1453</v>
      </c>
      <c r="H1737" s="27" t="s">
        <v>1454</v>
      </c>
      <c r="L1737" s="27" t="s">
        <v>4057</v>
      </c>
      <c r="N1737" s="27" t="s">
        <v>1336</v>
      </c>
      <c r="P1737" s="27" t="s">
        <v>4065</v>
      </c>
      <c r="Q1737" s="26" t="str">
        <f>HYPERLINK("https://ictv.global/taxonomy/taxondetails?taxnode_id=202514435&amp;ictv_id=ICTV202214435","ICTV202214435")</f>
        <v>ICTV202214435</v>
      </c>
      <c r="R1737" t="s">
        <v>579</v>
      </c>
      <c r="S1737" t="s">
        <v>823</v>
      </c>
      <c r="T1737">
        <v>38</v>
      </c>
      <c r="U1737" s="26" t="str">
        <f t="shared" si="58"/>
        <v>2022.001B.Aliceevansviridae.zip</v>
      </c>
    </row>
    <row r="1738" spans="1:21">
      <c r="A1738">
        <v>1737</v>
      </c>
      <c r="B1738" s="27" t="s">
        <v>1449</v>
      </c>
      <c r="D1738" s="27" t="s">
        <v>1450</v>
      </c>
      <c r="F1738" s="27" t="s">
        <v>1453</v>
      </c>
      <c r="H1738" s="27" t="s">
        <v>1454</v>
      </c>
      <c r="L1738" s="27" t="s">
        <v>4057</v>
      </c>
      <c r="N1738" s="27" t="s">
        <v>1336</v>
      </c>
      <c r="P1738" s="27" t="s">
        <v>4066</v>
      </c>
      <c r="Q1738" s="26" t="str">
        <f>HYPERLINK("https://ictv.global/taxonomy/taxondetails?taxnode_id=202514436&amp;ictv_id=ICTV202214436","ICTV202214436")</f>
        <v>ICTV202214436</v>
      </c>
      <c r="R1738" t="s">
        <v>579</v>
      </c>
      <c r="S1738" t="s">
        <v>823</v>
      </c>
      <c r="T1738">
        <v>38</v>
      </c>
      <c r="U1738" s="26" t="str">
        <f t="shared" si="58"/>
        <v>2022.001B.Aliceevansviridae.zip</v>
      </c>
    </row>
    <row r="1739" spans="1:21">
      <c r="A1739">
        <v>1738</v>
      </c>
      <c r="B1739" s="27" t="s">
        <v>1449</v>
      </c>
      <c r="D1739" s="27" t="s">
        <v>1450</v>
      </c>
      <c r="F1739" s="27" t="s">
        <v>1453</v>
      </c>
      <c r="H1739" s="27" t="s">
        <v>1454</v>
      </c>
      <c r="L1739" s="27" t="s">
        <v>4057</v>
      </c>
      <c r="N1739" s="27" t="s">
        <v>1336</v>
      </c>
      <c r="P1739" s="27" t="s">
        <v>4067</v>
      </c>
      <c r="Q1739" s="26" t="str">
        <f>HYPERLINK("https://ictv.global/taxonomy/taxondetails?taxnode_id=202514437&amp;ictv_id=ICTV202214437","ICTV202214437")</f>
        <v>ICTV202214437</v>
      </c>
      <c r="R1739" t="s">
        <v>579</v>
      </c>
      <c r="S1739" t="s">
        <v>823</v>
      </c>
      <c r="T1739">
        <v>38</v>
      </c>
      <c r="U1739" s="26" t="str">
        <f t="shared" si="58"/>
        <v>2022.001B.Aliceevansviridae.zip</v>
      </c>
    </row>
    <row r="1740" spans="1:21">
      <c r="A1740">
        <v>1739</v>
      </c>
      <c r="B1740" s="27" t="s">
        <v>1449</v>
      </c>
      <c r="D1740" s="27" t="s">
        <v>1450</v>
      </c>
      <c r="F1740" s="27" t="s">
        <v>1453</v>
      </c>
      <c r="H1740" s="27" t="s">
        <v>1454</v>
      </c>
      <c r="L1740" s="27" t="s">
        <v>4057</v>
      </c>
      <c r="N1740" s="27" t="s">
        <v>1336</v>
      </c>
      <c r="P1740" s="27" t="s">
        <v>4068</v>
      </c>
      <c r="Q1740" s="26" t="str">
        <f>HYPERLINK("https://ictv.global/taxonomy/taxondetails?taxnode_id=202514426&amp;ictv_id=ICTV202214426","ICTV202214426")</f>
        <v>ICTV202214426</v>
      </c>
      <c r="R1740" t="s">
        <v>579</v>
      </c>
      <c r="S1740" t="s">
        <v>823</v>
      </c>
      <c r="T1740">
        <v>38</v>
      </c>
      <c r="U1740" s="26" t="str">
        <f t="shared" si="58"/>
        <v>2022.001B.Aliceevansviridae.zip</v>
      </c>
    </row>
    <row r="1741" spans="1:21">
      <c r="A1741">
        <v>1740</v>
      </c>
      <c r="B1741" s="27" t="s">
        <v>1449</v>
      </c>
      <c r="D1741" s="27" t="s">
        <v>1450</v>
      </c>
      <c r="F1741" s="27" t="s">
        <v>1453</v>
      </c>
      <c r="H1741" s="27" t="s">
        <v>1454</v>
      </c>
      <c r="L1741" s="27" t="s">
        <v>4057</v>
      </c>
      <c r="N1741" s="27" t="s">
        <v>1336</v>
      </c>
      <c r="P1741" s="27" t="s">
        <v>4069</v>
      </c>
      <c r="Q1741" s="26" t="str">
        <f>HYPERLINK("https://ictv.global/taxonomy/taxondetails?taxnode_id=202514427&amp;ictv_id=ICTV202214427","ICTV202214427")</f>
        <v>ICTV202214427</v>
      </c>
      <c r="R1741" t="s">
        <v>579</v>
      </c>
      <c r="S1741" t="s">
        <v>823</v>
      </c>
      <c r="T1741">
        <v>38</v>
      </c>
      <c r="U1741" s="26" t="str">
        <f t="shared" si="58"/>
        <v>2022.001B.Aliceevansviridae.zip</v>
      </c>
    </row>
    <row r="1742" spans="1:21">
      <c r="A1742">
        <v>1741</v>
      </c>
      <c r="B1742" s="27" t="s">
        <v>1449</v>
      </c>
      <c r="D1742" s="27" t="s">
        <v>1450</v>
      </c>
      <c r="F1742" s="27" t="s">
        <v>1453</v>
      </c>
      <c r="H1742" s="27" t="s">
        <v>1454</v>
      </c>
      <c r="L1742" s="27" t="s">
        <v>4057</v>
      </c>
      <c r="N1742" s="27" t="s">
        <v>1336</v>
      </c>
      <c r="P1742" s="27" t="s">
        <v>4070</v>
      </c>
      <c r="Q1742" s="26" t="str">
        <f>HYPERLINK("https://ictv.global/taxonomy/taxondetails?taxnode_id=202514428&amp;ictv_id=ICTV202214428","ICTV202214428")</f>
        <v>ICTV202214428</v>
      </c>
      <c r="R1742" t="s">
        <v>579</v>
      </c>
      <c r="S1742" t="s">
        <v>823</v>
      </c>
      <c r="T1742">
        <v>38</v>
      </c>
      <c r="U1742" s="26" t="str">
        <f t="shared" si="58"/>
        <v>2022.001B.Aliceevansviridae.zip</v>
      </c>
    </row>
    <row r="1743" spans="1:21">
      <c r="A1743">
        <v>1742</v>
      </c>
      <c r="B1743" s="27" t="s">
        <v>1449</v>
      </c>
      <c r="D1743" s="27" t="s">
        <v>1450</v>
      </c>
      <c r="F1743" s="27" t="s">
        <v>1453</v>
      </c>
      <c r="H1743" s="27" t="s">
        <v>1454</v>
      </c>
      <c r="L1743" s="27" t="s">
        <v>4057</v>
      </c>
      <c r="N1743" s="27" t="s">
        <v>1336</v>
      </c>
      <c r="P1743" s="27" t="s">
        <v>4071</v>
      </c>
      <c r="Q1743" s="26" t="str">
        <f>HYPERLINK("https://ictv.global/taxonomy/taxondetails?taxnode_id=202514429&amp;ictv_id=ICTV202214429","ICTV202214429")</f>
        <v>ICTV202214429</v>
      </c>
      <c r="R1743" t="s">
        <v>579</v>
      </c>
      <c r="S1743" t="s">
        <v>823</v>
      </c>
      <c r="T1743">
        <v>38</v>
      </c>
      <c r="U1743" s="26" t="str">
        <f t="shared" si="58"/>
        <v>2022.001B.Aliceevansviridae.zip</v>
      </c>
    </row>
    <row r="1744" spans="1:21">
      <c r="A1744">
        <v>1743</v>
      </c>
      <c r="B1744" s="27" t="s">
        <v>1449</v>
      </c>
      <c r="D1744" s="27" t="s">
        <v>1450</v>
      </c>
      <c r="F1744" s="27" t="s">
        <v>1453</v>
      </c>
      <c r="H1744" s="27" t="s">
        <v>1454</v>
      </c>
      <c r="L1744" s="27" t="s">
        <v>4057</v>
      </c>
      <c r="N1744" s="27" t="s">
        <v>1336</v>
      </c>
      <c r="P1744" s="27" t="s">
        <v>4072</v>
      </c>
      <c r="Q1744" s="26" t="str">
        <f>HYPERLINK("https://ictv.global/taxonomy/taxondetails?taxnode_id=202514430&amp;ictv_id=ICTV202214430","ICTV202214430")</f>
        <v>ICTV202214430</v>
      </c>
      <c r="R1744" t="s">
        <v>579</v>
      </c>
      <c r="S1744" t="s">
        <v>823</v>
      </c>
      <c r="T1744">
        <v>38</v>
      </c>
      <c r="U1744" s="26" t="str">
        <f t="shared" si="58"/>
        <v>2022.001B.Aliceevansviridae.zip</v>
      </c>
    </row>
    <row r="1745" spans="1:21">
      <c r="A1745">
        <v>1744</v>
      </c>
      <c r="B1745" s="27" t="s">
        <v>1449</v>
      </c>
      <c r="D1745" s="27" t="s">
        <v>1450</v>
      </c>
      <c r="F1745" s="27" t="s">
        <v>1453</v>
      </c>
      <c r="H1745" s="27" t="s">
        <v>1454</v>
      </c>
      <c r="L1745" s="27" t="s">
        <v>4057</v>
      </c>
      <c r="N1745" s="27" t="s">
        <v>1336</v>
      </c>
      <c r="P1745" s="27" t="s">
        <v>4073</v>
      </c>
      <c r="Q1745" s="26" t="str">
        <f>HYPERLINK("https://ictv.global/taxonomy/taxondetails?taxnode_id=202514431&amp;ictv_id=ICTV202214431","ICTV202214431")</f>
        <v>ICTV202214431</v>
      </c>
      <c r="R1745" t="s">
        <v>579</v>
      </c>
      <c r="S1745" t="s">
        <v>823</v>
      </c>
      <c r="T1745">
        <v>38</v>
      </c>
      <c r="U1745" s="26" t="str">
        <f t="shared" si="58"/>
        <v>2022.001B.Aliceevansviridae.zip</v>
      </c>
    </row>
    <row r="1746" spans="1:21">
      <c r="A1746">
        <v>1745</v>
      </c>
      <c r="B1746" s="27" t="s">
        <v>1449</v>
      </c>
      <c r="D1746" s="27" t="s">
        <v>1450</v>
      </c>
      <c r="F1746" s="27" t="s">
        <v>1453</v>
      </c>
      <c r="H1746" s="27" t="s">
        <v>1454</v>
      </c>
      <c r="L1746" s="27" t="s">
        <v>4057</v>
      </c>
      <c r="N1746" s="27" t="s">
        <v>1336</v>
      </c>
      <c r="P1746" s="27" t="s">
        <v>4074</v>
      </c>
      <c r="Q1746" s="26" t="str">
        <f>HYPERLINK("https://ictv.global/taxonomy/taxondetails?taxnode_id=202514432&amp;ictv_id=ICTV202214432","ICTV202214432")</f>
        <v>ICTV202214432</v>
      </c>
      <c r="R1746" t="s">
        <v>579</v>
      </c>
      <c r="S1746" t="s">
        <v>823</v>
      </c>
      <c r="T1746">
        <v>38</v>
      </c>
      <c r="U1746" s="26" t="str">
        <f t="shared" si="58"/>
        <v>2022.001B.Aliceevansviridae.zip</v>
      </c>
    </row>
    <row r="1747" spans="1:21">
      <c r="A1747">
        <v>1746</v>
      </c>
      <c r="B1747" s="27" t="s">
        <v>1449</v>
      </c>
      <c r="D1747" s="27" t="s">
        <v>1450</v>
      </c>
      <c r="F1747" s="27" t="s">
        <v>1453</v>
      </c>
      <c r="H1747" s="27" t="s">
        <v>1454</v>
      </c>
      <c r="L1747" s="27" t="s">
        <v>4057</v>
      </c>
      <c r="N1747" s="27" t="s">
        <v>1336</v>
      </c>
      <c r="P1747" s="27" t="s">
        <v>4075</v>
      </c>
      <c r="Q1747" s="26" t="str">
        <f>HYPERLINK("https://ictv.global/taxonomy/taxondetails?taxnode_id=202514438&amp;ictv_id=ICTV202214438","ICTV202214438")</f>
        <v>ICTV202214438</v>
      </c>
      <c r="R1747" t="s">
        <v>579</v>
      </c>
      <c r="S1747" t="s">
        <v>823</v>
      </c>
      <c r="T1747">
        <v>38</v>
      </c>
      <c r="U1747" s="26" t="str">
        <f t="shared" si="58"/>
        <v>2022.001B.Aliceevansviridae.zip</v>
      </c>
    </row>
    <row r="1748" spans="1:21">
      <c r="A1748">
        <v>1747</v>
      </c>
      <c r="B1748" s="27" t="s">
        <v>1449</v>
      </c>
      <c r="D1748" s="27" t="s">
        <v>1450</v>
      </c>
      <c r="F1748" s="27" t="s">
        <v>1453</v>
      </c>
      <c r="H1748" s="27" t="s">
        <v>1454</v>
      </c>
      <c r="L1748" s="27" t="s">
        <v>4057</v>
      </c>
      <c r="N1748" s="27" t="s">
        <v>1336</v>
      </c>
      <c r="P1748" s="27" t="s">
        <v>4076</v>
      </c>
      <c r="Q1748" s="26" t="str">
        <f>HYPERLINK("https://ictv.global/taxonomy/taxondetails?taxnode_id=202514439&amp;ictv_id=ICTV202214439","ICTV202214439")</f>
        <v>ICTV202214439</v>
      </c>
      <c r="R1748" t="s">
        <v>579</v>
      </c>
      <c r="S1748" t="s">
        <v>823</v>
      </c>
      <c r="T1748">
        <v>38</v>
      </c>
      <c r="U1748" s="26" t="str">
        <f t="shared" si="58"/>
        <v>2022.001B.Aliceevansviridae.zip</v>
      </c>
    </row>
    <row r="1749" spans="1:21">
      <c r="A1749">
        <v>1748</v>
      </c>
      <c r="B1749" s="27" t="s">
        <v>1449</v>
      </c>
      <c r="D1749" s="27" t="s">
        <v>1450</v>
      </c>
      <c r="F1749" s="27" t="s">
        <v>1453</v>
      </c>
      <c r="H1749" s="27" t="s">
        <v>1454</v>
      </c>
      <c r="L1749" s="27" t="s">
        <v>4057</v>
      </c>
      <c r="N1749" s="27" t="s">
        <v>1336</v>
      </c>
      <c r="P1749" s="27" t="s">
        <v>4077</v>
      </c>
      <c r="Q1749" s="26" t="str">
        <f>HYPERLINK("https://ictv.global/taxonomy/taxondetails?taxnode_id=202514440&amp;ictv_id=ICTV202214440","ICTV202214440")</f>
        <v>ICTV202214440</v>
      </c>
      <c r="R1749" t="s">
        <v>579</v>
      </c>
      <c r="S1749" t="s">
        <v>823</v>
      </c>
      <c r="T1749">
        <v>38</v>
      </c>
      <c r="U1749" s="26" t="str">
        <f t="shared" si="58"/>
        <v>2022.001B.Aliceevansviridae.zip</v>
      </c>
    </row>
    <row r="1750" spans="1:21">
      <c r="A1750">
        <v>1749</v>
      </c>
      <c r="B1750" s="27" t="s">
        <v>1449</v>
      </c>
      <c r="D1750" s="27" t="s">
        <v>1450</v>
      </c>
      <c r="F1750" s="27" t="s">
        <v>1453</v>
      </c>
      <c r="H1750" s="27" t="s">
        <v>1454</v>
      </c>
      <c r="L1750" s="27" t="s">
        <v>4057</v>
      </c>
      <c r="N1750" s="27" t="s">
        <v>1336</v>
      </c>
      <c r="P1750" s="27" t="s">
        <v>4078</v>
      </c>
      <c r="Q1750" s="26" t="str">
        <f>HYPERLINK("https://ictv.global/taxonomy/taxondetails?taxnode_id=202514441&amp;ictv_id=ICTV202214441","ICTV202214441")</f>
        <v>ICTV202214441</v>
      </c>
      <c r="R1750" t="s">
        <v>579</v>
      </c>
      <c r="S1750" t="s">
        <v>823</v>
      </c>
      <c r="T1750">
        <v>38</v>
      </c>
      <c r="U1750" s="26" t="str">
        <f t="shared" si="58"/>
        <v>2022.001B.Aliceevansviridae.zip</v>
      </c>
    </row>
    <row r="1751" spans="1:21">
      <c r="A1751">
        <v>1750</v>
      </c>
      <c r="B1751" s="27" t="s">
        <v>1449</v>
      </c>
      <c r="D1751" s="27" t="s">
        <v>1450</v>
      </c>
      <c r="F1751" s="27" t="s">
        <v>1453</v>
      </c>
      <c r="H1751" s="27" t="s">
        <v>1454</v>
      </c>
      <c r="L1751" s="27" t="s">
        <v>4057</v>
      </c>
      <c r="N1751" s="27" t="s">
        <v>1336</v>
      </c>
      <c r="P1751" s="27" t="s">
        <v>4079</v>
      </c>
      <c r="Q1751" s="26" t="str">
        <f>HYPERLINK("https://ictv.global/taxonomy/taxondetails?taxnode_id=202514442&amp;ictv_id=ICTV202214442","ICTV202214442")</f>
        <v>ICTV202214442</v>
      </c>
      <c r="R1751" t="s">
        <v>579</v>
      </c>
      <c r="S1751" t="s">
        <v>823</v>
      </c>
      <c r="T1751">
        <v>38</v>
      </c>
      <c r="U1751" s="26" t="str">
        <f t="shared" si="58"/>
        <v>2022.001B.Aliceevansviridae.zip</v>
      </c>
    </row>
    <row r="1752" spans="1:21">
      <c r="A1752">
        <v>1751</v>
      </c>
      <c r="B1752" s="27" t="s">
        <v>1449</v>
      </c>
      <c r="D1752" s="27" t="s">
        <v>1450</v>
      </c>
      <c r="F1752" s="27" t="s">
        <v>1453</v>
      </c>
      <c r="H1752" s="27" t="s">
        <v>1454</v>
      </c>
      <c r="L1752" s="27" t="s">
        <v>4057</v>
      </c>
      <c r="N1752" s="27" t="s">
        <v>1336</v>
      </c>
      <c r="P1752" s="27" t="s">
        <v>4080</v>
      </c>
      <c r="Q1752" s="26" t="str">
        <f>HYPERLINK("https://ictv.global/taxonomy/taxondetails?taxnode_id=202514443&amp;ictv_id=ICTV202214443","ICTV202214443")</f>
        <v>ICTV202214443</v>
      </c>
      <c r="R1752" t="s">
        <v>579</v>
      </c>
      <c r="S1752" t="s">
        <v>823</v>
      </c>
      <c r="T1752">
        <v>38</v>
      </c>
      <c r="U1752" s="26" t="str">
        <f t="shared" si="58"/>
        <v>2022.001B.Aliceevansviridae.zip</v>
      </c>
    </row>
    <row r="1753" spans="1:21">
      <c r="A1753">
        <v>1752</v>
      </c>
      <c r="B1753" s="27" t="s">
        <v>1449</v>
      </c>
      <c r="D1753" s="27" t="s">
        <v>1450</v>
      </c>
      <c r="F1753" s="27" t="s">
        <v>1453</v>
      </c>
      <c r="H1753" s="27" t="s">
        <v>1454</v>
      </c>
      <c r="L1753" s="27" t="s">
        <v>4057</v>
      </c>
      <c r="N1753" s="27" t="s">
        <v>1336</v>
      </c>
      <c r="P1753" s="27" t="s">
        <v>4081</v>
      </c>
      <c r="Q1753" s="26" t="str">
        <f>HYPERLINK("https://ictv.global/taxonomy/taxondetails?taxnode_id=202514444&amp;ictv_id=ICTV202214444","ICTV202214444")</f>
        <v>ICTV202214444</v>
      </c>
      <c r="R1753" t="s">
        <v>579</v>
      </c>
      <c r="S1753" t="s">
        <v>823</v>
      </c>
      <c r="T1753">
        <v>38</v>
      </c>
      <c r="U1753" s="26" t="str">
        <f t="shared" si="58"/>
        <v>2022.001B.Aliceevansviridae.zip</v>
      </c>
    </row>
    <row r="1754" spans="1:21">
      <c r="A1754">
        <v>1753</v>
      </c>
      <c r="B1754" s="27" t="s">
        <v>1449</v>
      </c>
      <c r="D1754" s="27" t="s">
        <v>1450</v>
      </c>
      <c r="F1754" s="27" t="s">
        <v>1453</v>
      </c>
      <c r="H1754" s="27" t="s">
        <v>1454</v>
      </c>
      <c r="L1754" s="27" t="s">
        <v>4057</v>
      </c>
      <c r="N1754" s="27" t="s">
        <v>1336</v>
      </c>
      <c r="P1754" s="27" t="s">
        <v>4082</v>
      </c>
      <c r="Q1754" s="26" t="str">
        <f>HYPERLINK("https://ictv.global/taxonomy/taxondetails?taxnode_id=202514445&amp;ictv_id=ICTV202214445","ICTV202214445")</f>
        <v>ICTV202214445</v>
      </c>
      <c r="R1754" t="s">
        <v>579</v>
      </c>
      <c r="S1754" t="s">
        <v>823</v>
      </c>
      <c r="T1754">
        <v>38</v>
      </c>
      <c r="U1754" s="26" t="str">
        <f t="shared" si="58"/>
        <v>2022.001B.Aliceevansviridae.zip</v>
      </c>
    </row>
    <row r="1755" spans="1:21">
      <c r="A1755">
        <v>1754</v>
      </c>
      <c r="B1755" s="27" t="s">
        <v>1449</v>
      </c>
      <c r="D1755" s="27" t="s">
        <v>1450</v>
      </c>
      <c r="F1755" s="27" t="s">
        <v>1453</v>
      </c>
      <c r="H1755" s="27" t="s">
        <v>1454</v>
      </c>
      <c r="L1755" s="27" t="s">
        <v>4057</v>
      </c>
      <c r="N1755" s="27" t="s">
        <v>1336</v>
      </c>
      <c r="P1755" s="27" t="s">
        <v>4083</v>
      </c>
      <c r="Q1755" s="26" t="str">
        <f>HYPERLINK("https://ictv.global/taxonomy/taxondetails?taxnode_id=202501271&amp;ictv_id=ICTV20140469","ICTV20140469")</f>
        <v>ICTV20140469</v>
      </c>
      <c r="R1755" t="s">
        <v>579</v>
      </c>
      <c r="S1755" t="s">
        <v>22763</v>
      </c>
      <c r="T1755">
        <v>38</v>
      </c>
      <c r="U1755" s="26" t="str">
        <f t="shared" si="58"/>
        <v>2022.001B.Aliceevansviridae.zip</v>
      </c>
    </row>
    <row r="1756" spans="1:21">
      <c r="A1756">
        <v>1755</v>
      </c>
      <c r="B1756" s="27" t="s">
        <v>1449</v>
      </c>
      <c r="D1756" s="27" t="s">
        <v>1450</v>
      </c>
      <c r="F1756" s="27" t="s">
        <v>1453</v>
      </c>
      <c r="H1756" s="27" t="s">
        <v>1454</v>
      </c>
      <c r="L1756" s="27" t="s">
        <v>4057</v>
      </c>
      <c r="N1756" s="27" t="s">
        <v>1336</v>
      </c>
      <c r="P1756" s="27" t="s">
        <v>4084</v>
      </c>
      <c r="Q1756" s="26" t="str">
        <f>HYPERLINK("https://ictv.global/taxonomy/taxondetails?taxnode_id=202514447&amp;ictv_id=ICTV202214447","ICTV202214447")</f>
        <v>ICTV202214447</v>
      </c>
      <c r="R1756" t="s">
        <v>579</v>
      </c>
      <c r="S1756" t="s">
        <v>823</v>
      </c>
      <c r="T1756">
        <v>38</v>
      </c>
      <c r="U1756" s="26" t="str">
        <f t="shared" si="58"/>
        <v>2022.001B.Aliceevansviridae.zip</v>
      </c>
    </row>
    <row r="1757" spans="1:21">
      <c r="A1757">
        <v>1756</v>
      </c>
      <c r="B1757" s="27" t="s">
        <v>1449</v>
      </c>
      <c r="D1757" s="27" t="s">
        <v>1450</v>
      </c>
      <c r="F1757" s="27" t="s">
        <v>1453</v>
      </c>
      <c r="H1757" s="27" t="s">
        <v>1454</v>
      </c>
      <c r="L1757" s="27" t="s">
        <v>4057</v>
      </c>
      <c r="N1757" s="27" t="s">
        <v>1336</v>
      </c>
      <c r="P1757" s="27" t="s">
        <v>4085</v>
      </c>
      <c r="Q1757" s="26" t="str">
        <f>HYPERLINK("https://ictv.global/taxonomy/taxondetails?taxnode_id=202514448&amp;ictv_id=ICTV202214448","ICTV202214448")</f>
        <v>ICTV202214448</v>
      </c>
      <c r="R1757" t="s">
        <v>579</v>
      </c>
      <c r="S1757" t="s">
        <v>823</v>
      </c>
      <c r="T1757">
        <v>38</v>
      </c>
      <c r="U1757" s="26" t="str">
        <f t="shared" si="58"/>
        <v>2022.001B.Aliceevansviridae.zip</v>
      </c>
    </row>
    <row r="1758" spans="1:21">
      <c r="A1758">
        <v>1757</v>
      </c>
      <c r="B1758" s="27" t="s">
        <v>1449</v>
      </c>
      <c r="D1758" s="27" t="s">
        <v>1450</v>
      </c>
      <c r="F1758" s="27" t="s">
        <v>1453</v>
      </c>
      <c r="H1758" s="27" t="s">
        <v>1454</v>
      </c>
      <c r="L1758" s="27" t="s">
        <v>4057</v>
      </c>
      <c r="N1758" s="27" t="s">
        <v>1336</v>
      </c>
      <c r="P1758" s="27" t="s">
        <v>4086</v>
      </c>
      <c r="Q1758" s="26" t="str">
        <f>HYPERLINK("https://ictv.global/taxonomy/taxondetails?taxnode_id=202514449&amp;ictv_id=ICTV202214449","ICTV202214449")</f>
        <v>ICTV202214449</v>
      </c>
      <c r="R1758" t="s">
        <v>579</v>
      </c>
      <c r="S1758" t="s">
        <v>823</v>
      </c>
      <c r="T1758">
        <v>38</v>
      </c>
      <c r="U1758" s="26" t="str">
        <f t="shared" si="58"/>
        <v>2022.001B.Aliceevansviridae.zip</v>
      </c>
    </row>
    <row r="1759" spans="1:21">
      <c r="A1759">
        <v>1758</v>
      </c>
      <c r="B1759" s="27" t="s">
        <v>1449</v>
      </c>
      <c r="D1759" s="27" t="s">
        <v>1450</v>
      </c>
      <c r="F1759" s="27" t="s">
        <v>1453</v>
      </c>
      <c r="H1759" s="27" t="s">
        <v>1454</v>
      </c>
      <c r="L1759" s="27" t="s">
        <v>4057</v>
      </c>
      <c r="N1759" s="27" t="s">
        <v>1336</v>
      </c>
      <c r="P1759" s="27" t="s">
        <v>4087</v>
      </c>
      <c r="Q1759" s="26" t="str">
        <f>HYPERLINK("https://ictv.global/taxonomy/taxondetails?taxnode_id=202514450&amp;ictv_id=ICTV202214450","ICTV202214450")</f>
        <v>ICTV202214450</v>
      </c>
      <c r="R1759" t="s">
        <v>579</v>
      </c>
      <c r="S1759" t="s">
        <v>823</v>
      </c>
      <c r="T1759">
        <v>38</v>
      </c>
      <c r="U1759" s="26" t="str">
        <f t="shared" si="58"/>
        <v>2022.001B.Aliceevansviridae.zip</v>
      </c>
    </row>
    <row r="1760" spans="1:21">
      <c r="A1760">
        <v>1759</v>
      </c>
      <c r="B1760" s="27" t="s">
        <v>1449</v>
      </c>
      <c r="D1760" s="27" t="s">
        <v>1450</v>
      </c>
      <c r="F1760" s="27" t="s">
        <v>1453</v>
      </c>
      <c r="H1760" s="27" t="s">
        <v>1454</v>
      </c>
      <c r="L1760" s="27" t="s">
        <v>4057</v>
      </c>
      <c r="N1760" s="27" t="s">
        <v>1336</v>
      </c>
      <c r="P1760" s="27" t="s">
        <v>4088</v>
      </c>
      <c r="Q1760" s="26" t="str">
        <f>HYPERLINK("https://ictv.global/taxonomy/taxondetails?taxnode_id=202514446&amp;ictv_id=ICTV202214446","ICTV202214446")</f>
        <v>ICTV202214446</v>
      </c>
      <c r="R1760" t="s">
        <v>579</v>
      </c>
      <c r="S1760" t="s">
        <v>823</v>
      </c>
      <c r="T1760">
        <v>38</v>
      </c>
      <c r="U1760" s="26" t="str">
        <f t="shared" si="58"/>
        <v>2022.001B.Aliceevansviridae.zip</v>
      </c>
    </row>
    <row r="1761" spans="1:21">
      <c r="A1761">
        <v>1760</v>
      </c>
      <c r="B1761" s="27" t="s">
        <v>1449</v>
      </c>
      <c r="D1761" s="27" t="s">
        <v>1450</v>
      </c>
      <c r="F1761" s="27" t="s">
        <v>1453</v>
      </c>
      <c r="H1761" s="27" t="s">
        <v>1454</v>
      </c>
      <c r="L1761" s="27" t="s">
        <v>4057</v>
      </c>
      <c r="N1761" s="27" t="s">
        <v>1336</v>
      </c>
      <c r="P1761" s="27" t="s">
        <v>4089</v>
      </c>
      <c r="Q1761" s="26" t="str">
        <f>HYPERLINK("https://ictv.global/taxonomy/taxondetails?taxnode_id=202514451&amp;ictv_id=ICTV202214451","ICTV202214451")</f>
        <v>ICTV202214451</v>
      </c>
      <c r="R1761" t="s">
        <v>579</v>
      </c>
      <c r="S1761" t="s">
        <v>823</v>
      </c>
      <c r="T1761">
        <v>38</v>
      </c>
      <c r="U1761" s="26" t="str">
        <f t="shared" si="58"/>
        <v>2022.001B.Aliceevansviridae.zip</v>
      </c>
    </row>
    <row r="1762" spans="1:21">
      <c r="A1762">
        <v>1761</v>
      </c>
      <c r="B1762" s="27" t="s">
        <v>1449</v>
      </c>
      <c r="D1762" s="27" t="s">
        <v>1450</v>
      </c>
      <c r="F1762" s="27" t="s">
        <v>1453</v>
      </c>
      <c r="H1762" s="27" t="s">
        <v>1454</v>
      </c>
      <c r="L1762" s="27" t="s">
        <v>4057</v>
      </c>
      <c r="N1762" s="27" t="s">
        <v>1336</v>
      </c>
      <c r="P1762" s="27" t="s">
        <v>4090</v>
      </c>
      <c r="Q1762" s="26" t="str">
        <f>HYPERLINK("https://ictv.global/taxonomy/taxondetails?taxnode_id=202514452&amp;ictv_id=ICTV202214452","ICTV202214452")</f>
        <v>ICTV202214452</v>
      </c>
      <c r="R1762" t="s">
        <v>579</v>
      </c>
      <c r="S1762" t="s">
        <v>823</v>
      </c>
      <c r="T1762">
        <v>38</v>
      </c>
      <c r="U1762" s="26" t="str">
        <f t="shared" ref="U1762:U1793" si="59">HYPERLINK("https://ictv.global/ictv/proposals/2022.001B.Aliceevansviridae.zip","2022.001B.Aliceevansviridae.zip")</f>
        <v>2022.001B.Aliceevansviridae.zip</v>
      </c>
    </row>
    <row r="1763" spans="1:21">
      <c r="A1763">
        <v>1762</v>
      </c>
      <c r="B1763" s="27" t="s">
        <v>1449</v>
      </c>
      <c r="D1763" s="27" t="s">
        <v>1450</v>
      </c>
      <c r="F1763" s="27" t="s">
        <v>1453</v>
      </c>
      <c r="H1763" s="27" t="s">
        <v>1454</v>
      </c>
      <c r="L1763" s="27" t="s">
        <v>4057</v>
      </c>
      <c r="N1763" s="27" t="s">
        <v>1336</v>
      </c>
      <c r="P1763" s="27" t="s">
        <v>4091</v>
      </c>
      <c r="Q1763" s="26" t="str">
        <f>HYPERLINK("https://ictv.global/taxonomy/taxondetails?taxnode_id=202514453&amp;ictv_id=ICTV202214453","ICTV202214453")</f>
        <v>ICTV202214453</v>
      </c>
      <c r="R1763" t="s">
        <v>579</v>
      </c>
      <c r="S1763" t="s">
        <v>823</v>
      </c>
      <c r="T1763">
        <v>38</v>
      </c>
      <c r="U1763" s="26" t="str">
        <f t="shared" si="59"/>
        <v>2022.001B.Aliceevansviridae.zip</v>
      </c>
    </row>
    <row r="1764" spans="1:21">
      <c r="A1764">
        <v>1763</v>
      </c>
      <c r="B1764" s="27" t="s">
        <v>1449</v>
      </c>
      <c r="D1764" s="27" t="s">
        <v>1450</v>
      </c>
      <c r="F1764" s="27" t="s">
        <v>1453</v>
      </c>
      <c r="H1764" s="27" t="s">
        <v>1454</v>
      </c>
      <c r="L1764" s="27" t="s">
        <v>4057</v>
      </c>
      <c r="N1764" s="27" t="s">
        <v>1390</v>
      </c>
      <c r="P1764" s="27" t="s">
        <v>4092</v>
      </c>
      <c r="Q1764" s="26" t="str">
        <f>HYPERLINK("https://ictv.global/taxonomy/taxondetails?taxnode_id=202501275&amp;ictv_id=ICTV20140496","ICTV20140496")</f>
        <v>ICTV20140496</v>
      </c>
      <c r="R1764" t="s">
        <v>579</v>
      </c>
      <c r="S1764" t="s">
        <v>22763</v>
      </c>
      <c r="T1764">
        <v>38</v>
      </c>
      <c r="U1764" s="26" t="str">
        <f t="shared" si="59"/>
        <v>2022.001B.Aliceevansviridae.zip</v>
      </c>
    </row>
    <row r="1765" spans="1:21">
      <c r="A1765">
        <v>1764</v>
      </c>
      <c r="B1765" s="27" t="s">
        <v>1449</v>
      </c>
      <c r="D1765" s="27" t="s">
        <v>1450</v>
      </c>
      <c r="F1765" s="27" t="s">
        <v>1453</v>
      </c>
      <c r="H1765" s="27" t="s">
        <v>1454</v>
      </c>
      <c r="L1765" s="27" t="s">
        <v>4057</v>
      </c>
      <c r="N1765" s="27" t="s">
        <v>1390</v>
      </c>
      <c r="P1765" s="27" t="s">
        <v>4093</v>
      </c>
      <c r="Q1765" s="26" t="str">
        <f>HYPERLINK("https://ictv.global/taxonomy/taxondetails?taxnode_id=202514353&amp;ictv_id=ICTV202214353","ICTV202214353")</f>
        <v>ICTV202214353</v>
      </c>
      <c r="R1765" t="s">
        <v>579</v>
      </c>
      <c r="S1765" t="s">
        <v>823</v>
      </c>
      <c r="T1765">
        <v>38</v>
      </c>
      <c r="U1765" s="26" t="str">
        <f t="shared" si="59"/>
        <v>2022.001B.Aliceevansviridae.zip</v>
      </c>
    </row>
    <row r="1766" spans="1:21">
      <c r="A1766">
        <v>1765</v>
      </c>
      <c r="B1766" s="27" t="s">
        <v>1449</v>
      </c>
      <c r="D1766" s="27" t="s">
        <v>1450</v>
      </c>
      <c r="F1766" s="27" t="s">
        <v>1453</v>
      </c>
      <c r="H1766" s="27" t="s">
        <v>1454</v>
      </c>
      <c r="L1766" s="27" t="s">
        <v>4057</v>
      </c>
      <c r="N1766" s="27" t="s">
        <v>1390</v>
      </c>
      <c r="P1766" s="27" t="s">
        <v>4094</v>
      </c>
      <c r="Q1766" s="26" t="str">
        <f>HYPERLINK("https://ictv.global/taxonomy/taxondetails?taxnode_id=202514367&amp;ictv_id=ICTV202214367","ICTV202214367")</f>
        <v>ICTV202214367</v>
      </c>
      <c r="R1766" t="s">
        <v>579</v>
      </c>
      <c r="S1766" t="s">
        <v>823</v>
      </c>
      <c r="T1766">
        <v>38</v>
      </c>
      <c r="U1766" s="26" t="str">
        <f t="shared" si="59"/>
        <v>2022.001B.Aliceevansviridae.zip</v>
      </c>
    </row>
    <row r="1767" spans="1:21">
      <c r="A1767">
        <v>1766</v>
      </c>
      <c r="B1767" s="27" t="s">
        <v>1449</v>
      </c>
      <c r="D1767" s="27" t="s">
        <v>1450</v>
      </c>
      <c r="F1767" s="27" t="s">
        <v>1453</v>
      </c>
      <c r="H1767" s="27" t="s">
        <v>1454</v>
      </c>
      <c r="L1767" s="27" t="s">
        <v>4057</v>
      </c>
      <c r="N1767" s="27" t="s">
        <v>1390</v>
      </c>
      <c r="P1767" s="27" t="s">
        <v>4095</v>
      </c>
      <c r="Q1767" s="26" t="str">
        <f>HYPERLINK("https://ictv.global/taxonomy/taxondetails?taxnode_id=202514368&amp;ictv_id=ICTV202214368","ICTV202214368")</f>
        <v>ICTV202214368</v>
      </c>
      <c r="R1767" t="s">
        <v>579</v>
      </c>
      <c r="S1767" t="s">
        <v>823</v>
      </c>
      <c r="T1767">
        <v>38</v>
      </c>
      <c r="U1767" s="26" t="str">
        <f t="shared" si="59"/>
        <v>2022.001B.Aliceevansviridae.zip</v>
      </c>
    </row>
    <row r="1768" spans="1:21">
      <c r="A1768">
        <v>1767</v>
      </c>
      <c r="B1768" s="27" t="s">
        <v>1449</v>
      </c>
      <c r="D1768" s="27" t="s">
        <v>1450</v>
      </c>
      <c r="F1768" s="27" t="s">
        <v>1453</v>
      </c>
      <c r="H1768" s="27" t="s">
        <v>1454</v>
      </c>
      <c r="L1768" s="27" t="s">
        <v>4057</v>
      </c>
      <c r="N1768" s="27" t="s">
        <v>1390</v>
      </c>
      <c r="P1768" s="27" t="s">
        <v>4096</v>
      </c>
      <c r="Q1768" s="26" t="str">
        <f>HYPERLINK("https://ictv.global/taxonomy/taxondetails?taxnode_id=202514369&amp;ictv_id=ICTV202214369","ICTV202214369")</f>
        <v>ICTV202214369</v>
      </c>
      <c r="R1768" t="s">
        <v>579</v>
      </c>
      <c r="S1768" t="s">
        <v>823</v>
      </c>
      <c r="T1768">
        <v>38</v>
      </c>
      <c r="U1768" s="26" t="str">
        <f t="shared" si="59"/>
        <v>2022.001B.Aliceevansviridae.zip</v>
      </c>
    </row>
    <row r="1769" spans="1:21">
      <c r="A1769">
        <v>1768</v>
      </c>
      <c r="B1769" s="27" t="s">
        <v>1449</v>
      </c>
      <c r="D1769" s="27" t="s">
        <v>1450</v>
      </c>
      <c r="F1769" s="27" t="s">
        <v>1453</v>
      </c>
      <c r="H1769" s="27" t="s">
        <v>1454</v>
      </c>
      <c r="L1769" s="27" t="s">
        <v>4057</v>
      </c>
      <c r="N1769" s="27" t="s">
        <v>1390</v>
      </c>
      <c r="P1769" s="27" t="s">
        <v>4097</v>
      </c>
      <c r="Q1769" s="26" t="str">
        <f>HYPERLINK("https://ictv.global/taxonomy/taxondetails?taxnode_id=202514370&amp;ictv_id=ICTV202214370","ICTV202214370")</f>
        <v>ICTV202214370</v>
      </c>
      <c r="R1769" t="s">
        <v>579</v>
      </c>
      <c r="S1769" t="s">
        <v>823</v>
      </c>
      <c r="T1769">
        <v>38</v>
      </c>
      <c r="U1769" s="26" t="str">
        <f t="shared" si="59"/>
        <v>2022.001B.Aliceevansviridae.zip</v>
      </c>
    </row>
    <row r="1770" spans="1:21">
      <c r="A1770">
        <v>1769</v>
      </c>
      <c r="B1770" s="27" t="s">
        <v>1449</v>
      </c>
      <c r="D1770" s="27" t="s">
        <v>1450</v>
      </c>
      <c r="F1770" s="27" t="s">
        <v>1453</v>
      </c>
      <c r="H1770" s="27" t="s">
        <v>1454</v>
      </c>
      <c r="L1770" s="27" t="s">
        <v>4057</v>
      </c>
      <c r="N1770" s="27" t="s">
        <v>1390</v>
      </c>
      <c r="P1770" s="27" t="s">
        <v>4098</v>
      </c>
      <c r="Q1770" s="26" t="str">
        <f>HYPERLINK("https://ictv.global/taxonomy/taxondetails?taxnode_id=202514371&amp;ictv_id=ICTV202214371","ICTV202214371")</f>
        <v>ICTV202214371</v>
      </c>
      <c r="R1770" t="s">
        <v>579</v>
      </c>
      <c r="S1770" t="s">
        <v>823</v>
      </c>
      <c r="T1770">
        <v>38</v>
      </c>
      <c r="U1770" s="26" t="str">
        <f t="shared" si="59"/>
        <v>2022.001B.Aliceevansviridae.zip</v>
      </c>
    </row>
    <row r="1771" spans="1:21">
      <c r="A1771">
        <v>1770</v>
      </c>
      <c r="B1771" s="27" t="s">
        <v>1449</v>
      </c>
      <c r="D1771" s="27" t="s">
        <v>1450</v>
      </c>
      <c r="F1771" s="27" t="s">
        <v>1453</v>
      </c>
      <c r="H1771" s="27" t="s">
        <v>1454</v>
      </c>
      <c r="L1771" s="27" t="s">
        <v>4057</v>
      </c>
      <c r="N1771" s="27" t="s">
        <v>1390</v>
      </c>
      <c r="P1771" s="27" t="s">
        <v>4099</v>
      </c>
      <c r="Q1771" s="26" t="str">
        <f>HYPERLINK("https://ictv.global/taxonomy/taxondetails?taxnode_id=202514372&amp;ictv_id=ICTV202214372","ICTV202214372")</f>
        <v>ICTV202214372</v>
      </c>
      <c r="R1771" t="s">
        <v>579</v>
      </c>
      <c r="S1771" t="s">
        <v>823</v>
      </c>
      <c r="T1771">
        <v>38</v>
      </c>
      <c r="U1771" s="26" t="str">
        <f t="shared" si="59"/>
        <v>2022.001B.Aliceevansviridae.zip</v>
      </c>
    </row>
    <row r="1772" spans="1:21">
      <c r="A1772">
        <v>1771</v>
      </c>
      <c r="B1772" s="27" t="s">
        <v>1449</v>
      </c>
      <c r="D1772" s="27" t="s">
        <v>1450</v>
      </c>
      <c r="F1772" s="27" t="s">
        <v>1453</v>
      </c>
      <c r="H1772" s="27" t="s">
        <v>1454</v>
      </c>
      <c r="L1772" s="27" t="s">
        <v>4057</v>
      </c>
      <c r="N1772" s="27" t="s">
        <v>1390</v>
      </c>
      <c r="P1772" s="27" t="s">
        <v>4100</v>
      </c>
      <c r="Q1772" s="26" t="str">
        <f>HYPERLINK("https://ictv.global/taxonomy/taxondetails?taxnode_id=202514373&amp;ictv_id=ICTV202214373","ICTV202214373")</f>
        <v>ICTV202214373</v>
      </c>
      <c r="R1772" t="s">
        <v>579</v>
      </c>
      <c r="S1772" t="s">
        <v>823</v>
      </c>
      <c r="T1772">
        <v>38</v>
      </c>
      <c r="U1772" s="26" t="str">
        <f t="shared" si="59"/>
        <v>2022.001B.Aliceevansviridae.zip</v>
      </c>
    </row>
    <row r="1773" spans="1:21">
      <c r="A1773">
        <v>1772</v>
      </c>
      <c r="B1773" s="27" t="s">
        <v>1449</v>
      </c>
      <c r="D1773" s="27" t="s">
        <v>1450</v>
      </c>
      <c r="F1773" s="27" t="s">
        <v>1453</v>
      </c>
      <c r="H1773" s="27" t="s">
        <v>1454</v>
      </c>
      <c r="L1773" s="27" t="s">
        <v>4057</v>
      </c>
      <c r="N1773" s="27" t="s">
        <v>1390</v>
      </c>
      <c r="P1773" s="27" t="s">
        <v>4101</v>
      </c>
      <c r="Q1773" s="26" t="str">
        <f>HYPERLINK("https://ictv.global/taxonomy/taxondetails?taxnode_id=202514374&amp;ictv_id=ICTV202214374","ICTV202214374")</f>
        <v>ICTV202214374</v>
      </c>
      <c r="R1773" t="s">
        <v>579</v>
      </c>
      <c r="S1773" t="s">
        <v>823</v>
      </c>
      <c r="T1773">
        <v>38</v>
      </c>
      <c r="U1773" s="26" t="str">
        <f t="shared" si="59"/>
        <v>2022.001B.Aliceevansviridae.zip</v>
      </c>
    </row>
    <row r="1774" spans="1:21">
      <c r="A1774">
        <v>1773</v>
      </c>
      <c r="B1774" s="27" t="s">
        <v>1449</v>
      </c>
      <c r="D1774" s="27" t="s">
        <v>1450</v>
      </c>
      <c r="F1774" s="27" t="s">
        <v>1453</v>
      </c>
      <c r="H1774" s="27" t="s">
        <v>1454</v>
      </c>
      <c r="L1774" s="27" t="s">
        <v>4057</v>
      </c>
      <c r="N1774" s="27" t="s">
        <v>1390</v>
      </c>
      <c r="P1774" s="27" t="s">
        <v>4102</v>
      </c>
      <c r="Q1774" s="26" t="str">
        <f>HYPERLINK("https://ictv.global/taxonomy/taxondetails?taxnode_id=202514375&amp;ictv_id=ICTV202214375","ICTV202214375")</f>
        <v>ICTV202214375</v>
      </c>
      <c r="R1774" t="s">
        <v>579</v>
      </c>
      <c r="S1774" t="s">
        <v>823</v>
      </c>
      <c r="T1774">
        <v>38</v>
      </c>
      <c r="U1774" s="26" t="str">
        <f t="shared" si="59"/>
        <v>2022.001B.Aliceevansviridae.zip</v>
      </c>
    </row>
    <row r="1775" spans="1:21">
      <c r="A1775">
        <v>1774</v>
      </c>
      <c r="B1775" s="27" t="s">
        <v>1449</v>
      </c>
      <c r="D1775" s="27" t="s">
        <v>1450</v>
      </c>
      <c r="F1775" s="27" t="s">
        <v>1453</v>
      </c>
      <c r="H1775" s="27" t="s">
        <v>1454</v>
      </c>
      <c r="L1775" s="27" t="s">
        <v>4057</v>
      </c>
      <c r="N1775" s="27" t="s">
        <v>1390</v>
      </c>
      <c r="P1775" s="27" t="s">
        <v>4103</v>
      </c>
      <c r="Q1775" s="26" t="str">
        <f>HYPERLINK("https://ictv.global/taxonomy/taxondetails?taxnode_id=202514376&amp;ictv_id=ICTV202214376","ICTV202214376")</f>
        <v>ICTV202214376</v>
      </c>
      <c r="R1775" t="s">
        <v>579</v>
      </c>
      <c r="S1775" t="s">
        <v>823</v>
      </c>
      <c r="T1775">
        <v>38</v>
      </c>
      <c r="U1775" s="26" t="str">
        <f t="shared" si="59"/>
        <v>2022.001B.Aliceevansviridae.zip</v>
      </c>
    </row>
    <row r="1776" spans="1:21">
      <c r="A1776">
        <v>1775</v>
      </c>
      <c r="B1776" s="27" t="s">
        <v>1449</v>
      </c>
      <c r="D1776" s="27" t="s">
        <v>1450</v>
      </c>
      <c r="F1776" s="27" t="s">
        <v>1453</v>
      </c>
      <c r="H1776" s="27" t="s">
        <v>1454</v>
      </c>
      <c r="L1776" s="27" t="s">
        <v>4057</v>
      </c>
      <c r="N1776" s="27" t="s">
        <v>1390</v>
      </c>
      <c r="P1776" s="27" t="s">
        <v>4104</v>
      </c>
      <c r="Q1776" s="26" t="str">
        <f>HYPERLINK("https://ictv.global/taxonomy/taxondetails?taxnode_id=202514377&amp;ictv_id=ICTV202214377","ICTV202214377")</f>
        <v>ICTV202214377</v>
      </c>
      <c r="R1776" t="s">
        <v>579</v>
      </c>
      <c r="S1776" t="s">
        <v>823</v>
      </c>
      <c r="T1776">
        <v>38</v>
      </c>
      <c r="U1776" s="26" t="str">
        <f t="shared" si="59"/>
        <v>2022.001B.Aliceevansviridae.zip</v>
      </c>
    </row>
    <row r="1777" spans="1:21">
      <c r="A1777">
        <v>1776</v>
      </c>
      <c r="B1777" s="27" t="s">
        <v>1449</v>
      </c>
      <c r="D1777" s="27" t="s">
        <v>1450</v>
      </c>
      <c r="F1777" s="27" t="s">
        <v>1453</v>
      </c>
      <c r="H1777" s="27" t="s">
        <v>1454</v>
      </c>
      <c r="L1777" s="27" t="s">
        <v>4057</v>
      </c>
      <c r="N1777" s="27" t="s">
        <v>1390</v>
      </c>
      <c r="P1777" s="27" t="s">
        <v>4105</v>
      </c>
      <c r="Q1777" s="26" t="str">
        <f>HYPERLINK("https://ictv.global/taxonomy/taxondetails?taxnode_id=202514378&amp;ictv_id=ICTV202214378","ICTV202214378")</f>
        <v>ICTV202214378</v>
      </c>
      <c r="R1777" t="s">
        <v>579</v>
      </c>
      <c r="S1777" t="s">
        <v>823</v>
      </c>
      <c r="T1777">
        <v>38</v>
      </c>
      <c r="U1777" s="26" t="str">
        <f t="shared" si="59"/>
        <v>2022.001B.Aliceevansviridae.zip</v>
      </c>
    </row>
    <row r="1778" spans="1:21">
      <c r="A1778">
        <v>1777</v>
      </c>
      <c r="B1778" s="27" t="s">
        <v>1449</v>
      </c>
      <c r="D1778" s="27" t="s">
        <v>1450</v>
      </c>
      <c r="F1778" s="27" t="s">
        <v>1453</v>
      </c>
      <c r="H1778" s="27" t="s">
        <v>1454</v>
      </c>
      <c r="L1778" s="27" t="s">
        <v>4057</v>
      </c>
      <c r="N1778" s="27" t="s">
        <v>1390</v>
      </c>
      <c r="P1778" s="27" t="s">
        <v>4106</v>
      </c>
      <c r="Q1778" s="26" t="str">
        <f>HYPERLINK("https://ictv.global/taxonomy/taxondetails?taxnode_id=202514379&amp;ictv_id=ICTV202214379","ICTV202214379")</f>
        <v>ICTV202214379</v>
      </c>
      <c r="R1778" t="s">
        <v>579</v>
      </c>
      <c r="S1778" t="s">
        <v>823</v>
      </c>
      <c r="T1778">
        <v>38</v>
      </c>
      <c r="U1778" s="26" t="str">
        <f t="shared" si="59"/>
        <v>2022.001B.Aliceevansviridae.zip</v>
      </c>
    </row>
    <row r="1779" spans="1:21">
      <c r="A1779">
        <v>1778</v>
      </c>
      <c r="B1779" s="27" t="s">
        <v>1449</v>
      </c>
      <c r="D1779" s="27" t="s">
        <v>1450</v>
      </c>
      <c r="F1779" s="27" t="s">
        <v>1453</v>
      </c>
      <c r="H1779" s="27" t="s">
        <v>1454</v>
      </c>
      <c r="L1779" s="27" t="s">
        <v>4057</v>
      </c>
      <c r="N1779" s="27" t="s">
        <v>1390</v>
      </c>
      <c r="P1779" s="27" t="s">
        <v>4107</v>
      </c>
      <c r="Q1779" s="26" t="str">
        <f>HYPERLINK("https://ictv.global/taxonomy/taxondetails?taxnode_id=202514380&amp;ictv_id=ICTV202214380","ICTV202214380")</f>
        <v>ICTV202214380</v>
      </c>
      <c r="R1779" t="s">
        <v>579</v>
      </c>
      <c r="S1779" t="s">
        <v>823</v>
      </c>
      <c r="T1779">
        <v>38</v>
      </c>
      <c r="U1779" s="26" t="str">
        <f t="shared" si="59"/>
        <v>2022.001B.Aliceevansviridae.zip</v>
      </c>
    </row>
    <row r="1780" spans="1:21">
      <c r="A1780">
        <v>1779</v>
      </c>
      <c r="B1780" s="27" t="s">
        <v>1449</v>
      </c>
      <c r="D1780" s="27" t="s">
        <v>1450</v>
      </c>
      <c r="F1780" s="27" t="s">
        <v>1453</v>
      </c>
      <c r="H1780" s="27" t="s">
        <v>1454</v>
      </c>
      <c r="L1780" s="27" t="s">
        <v>4057</v>
      </c>
      <c r="N1780" s="27" t="s">
        <v>1390</v>
      </c>
      <c r="P1780" s="27" t="s">
        <v>4108</v>
      </c>
      <c r="Q1780" s="26" t="str">
        <f>HYPERLINK("https://ictv.global/taxonomy/taxondetails?taxnode_id=202514381&amp;ictv_id=ICTV202214381","ICTV202214381")</f>
        <v>ICTV202214381</v>
      </c>
      <c r="R1780" t="s">
        <v>579</v>
      </c>
      <c r="S1780" t="s">
        <v>823</v>
      </c>
      <c r="T1780">
        <v>38</v>
      </c>
      <c r="U1780" s="26" t="str">
        <f t="shared" si="59"/>
        <v>2022.001B.Aliceevansviridae.zip</v>
      </c>
    </row>
    <row r="1781" spans="1:21">
      <c r="A1781">
        <v>1780</v>
      </c>
      <c r="B1781" s="27" t="s">
        <v>1449</v>
      </c>
      <c r="D1781" s="27" t="s">
        <v>1450</v>
      </c>
      <c r="F1781" s="27" t="s">
        <v>1453</v>
      </c>
      <c r="H1781" s="27" t="s">
        <v>1454</v>
      </c>
      <c r="L1781" s="27" t="s">
        <v>4057</v>
      </c>
      <c r="N1781" s="27" t="s">
        <v>1390</v>
      </c>
      <c r="P1781" s="27" t="s">
        <v>4109</v>
      </c>
      <c r="Q1781" s="26" t="str">
        <f>HYPERLINK("https://ictv.global/taxonomy/taxondetails?taxnode_id=202514354&amp;ictv_id=ICTV202214354","ICTV202214354")</f>
        <v>ICTV202214354</v>
      </c>
      <c r="R1781" t="s">
        <v>579</v>
      </c>
      <c r="S1781" t="s">
        <v>823</v>
      </c>
      <c r="T1781">
        <v>38</v>
      </c>
      <c r="U1781" s="26" t="str">
        <f t="shared" si="59"/>
        <v>2022.001B.Aliceevansviridae.zip</v>
      </c>
    </row>
    <row r="1782" spans="1:21">
      <c r="A1782">
        <v>1781</v>
      </c>
      <c r="B1782" s="27" t="s">
        <v>1449</v>
      </c>
      <c r="D1782" s="27" t="s">
        <v>1450</v>
      </c>
      <c r="F1782" s="27" t="s">
        <v>1453</v>
      </c>
      <c r="H1782" s="27" t="s">
        <v>1454</v>
      </c>
      <c r="L1782" s="27" t="s">
        <v>4057</v>
      </c>
      <c r="N1782" s="27" t="s">
        <v>1390</v>
      </c>
      <c r="P1782" s="27" t="s">
        <v>4110</v>
      </c>
      <c r="Q1782" s="26" t="str">
        <f>HYPERLINK("https://ictv.global/taxonomy/taxondetails?taxnode_id=202514355&amp;ictv_id=ICTV202214355","ICTV202214355")</f>
        <v>ICTV202214355</v>
      </c>
      <c r="R1782" t="s">
        <v>579</v>
      </c>
      <c r="S1782" t="s">
        <v>823</v>
      </c>
      <c r="T1782">
        <v>38</v>
      </c>
      <c r="U1782" s="26" t="str">
        <f t="shared" si="59"/>
        <v>2022.001B.Aliceevansviridae.zip</v>
      </c>
    </row>
    <row r="1783" spans="1:21">
      <c r="A1783">
        <v>1782</v>
      </c>
      <c r="B1783" s="27" t="s">
        <v>1449</v>
      </c>
      <c r="D1783" s="27" t="s">
        <v>1450</v>
      </c>
      <c r="F1783" s="27" t="s">
        <v>1453</v>
      </c>
      <c r="H1783" s="27" t="s">
        <v>1454</v>
      </c>
      <c r="L1783" s="27" t="s">
        <v>4057</v>
      </c>
      <c r="N1783" s="27" t="s">
        <v>1390</v>
      </c>
      <c r="P1783" s="27" t="s">
        <v>4111</v>
      </c>
      <c r="Q1783" s="26" t="str">
        <f>HYPERLINK("https://ictv.global/taxonomy/taxondetails?taxnode_id=202514356&amp;ictv_id=ICTV202214356","ICTV202214356")</f>
        <v>ICTV202214356</v>
      </c>
      <c r="R1783" t="s">
        <v>579</v>
      </c>
      <c r="S1783" t="s">
        <v>823</v>
      </c>
      <c r="T1783">
        <v>38</v>
      </c>
      <c r="U1783" s="26" t="str">
        <f t="shared" si="59"/>
        <v>2022.001B.Aliceevansviridae.zip</v>
      </c>
    </row>
    <row r="1784" spans="1:21">
      <c r="A1784">
        <v>1783</v>
      </c>
      <c r="B1784" s="27" t="s">
        <v>1449</v>
      </c>
      <c r="D1784" s="27" t="s">
        <v>1450</v>
      </c>
      <c r="F1784" s="27" t="s">
        <v>1453</v>
      </c>
      <c r="H1784" s="27" t="s">
        <v>1454</v>
      </c>
      <c r="L1784" s="27" t="s">
        <v>4057</v>
      </c>
      <c r="N1784" s="27" t="s">
        <v>1390</v>
      </c>
      <c r="P1784" s="27" t="s">
        <v>4112</v>
      </c>
      <c r="Q1784" s="26" t="str">
        <f>HYPERLINK("https://ictv.global/taxonomy/taxondetails?taxnode_id=202514357&amp;ictv_id=ICTV202214357","ICTV202214357")</f>
        <v>ICTV202214357</v>
      </c>
      <c r="R1784" t="s">
        <v>579</v>
      </c>
      <c r="S1784" t="s">
        <v>823</v>
      </c>
      <c r="T1784">
        <v>38</v>
      </c>
      <c r="U1784" s="26" t="str">
        <f t="shared" si="59"/>
        <v>2022.001B.Aliceevansviridae.zip</v>
      </c>
    </row>
    <row r="1785" spans="1:21">
      <c r="A1785">
        <v>1784</v>
      </c>
      <c r="B1785" s="27" t="s">
        <v>1449</v>
      </c>
      <c r="D1785" s="27" t="s">
        <v>1450</v>
      </c>
      <c r="F1785" s="27" t="s">
        <v>1453</v>
      </c>
      <c r="H1785" s="27" t="s">
        <v>1454</v>
      </c>
      <c r="L1785" s="27" t="s">
        <v>4057</v>
      </c>
      <c r="N1785" s="27" t="s">
        <v>1390</v>
      </c>
      <c r="P1785" s="27" t="s">
        <v>4113</v>
      </c>
      <c r="Q1785" s="26" t="str">
        <f>HYPERLINK("https://ictv.global/taxonomy/taxondetails?taxnode_id=202514358&amp;ictv_id=ICTV202214358","ICTV202214358")</f>
        <v>ICTV202214358</v>
      </c>
      <c r="R1785" t="s">
        <v>579</v>
      </c>
      <c r="S1785" t="s">
        <v>823</v>
      </c>
      <c r="T1785">
        <v>38</v>
      </c>
      <c r="U1785" s="26" t="str">
        <f t="shared" si="59"/>
        <v>2022.001B.Aliceevansviridae.zip</v>
      </c>
    </row>
    <row r="1786" spans="1:21">
      <c r="A1786">
        <v>1785</v>
      </c>
      <c r="B1786" s="27" t="s">
        <v>1449</v>
      </c>
      <c r="D1786" s="27" t="s">
        <v>1450</v>
      </c>
      <c r="F1786" s="27" t="s">
        <v>1453</v>
      </c>
      <c r="H1786" s="27" t="s">
        <v>1454</v>
      </c>
      <c r="L1786" s="27" t="s">
        <v>4057</v>
      </c>
      <c r="N1786" s="27" t="s">
        <v>1390</v>
      </c>
      <c r="P1786" s="27" t="s">
        <v>4114</v>
      </c>
      <c r="Q1786" s="26" t="str">
        <f>HYPERLINK("https://ictv.global/taxonomy/taxondetails?taxnode_id=202514359&amp;ictv_id=ICTV202214359","ICTV202214359")</f>
        <v>ICTV202214359</v>
      </c>
      <c r="R1786" t="s">
        <v>579</v>
      </c>
      <c r="S1786" t="s">
        <v>823</v>
      </c>
      <c r="T1786">
        <v>38</v>
      </c>
      <c r="U1786" s="26" t="str">
        <f t="shared" si="59"/>
        <v>2022.001B.Aliceevansviridae.zip</v>
      </c>
    </row>
    <row r="1787" spans="1:21">
      <c r="A1787">
        <v>1786</v>
      </c>
      <c r="B1787" s="27" t="s">
        <v>1449</v>
      </c>
      <c r="D1787" s="27" t="s">
        <v>1450</v>
      </c>
      <c r="F1787" s="27" t="s">
        <v>1453</v>
      </c>
      <c r="H1787" s="27" t="s">
        <v>1454</v>
      </c>
      <c r="L1787" s="27" t="s">
        <v>4057</v>
      </c>
      <c r="N1787" s="27" t="s">
        <v>1390</v>
      </c>
      <c r="P1787" s="27" t="s">
        <v>4115</v>
      </c>
      <c r="Q1787" s="26" t="str">
        <f>HYPERLINK("https://ictv.global/taxonomy/taxondetails?taxnode_id=202514360&amp;ictv_id=ICTV202214360","ICTV202214360")</f>
        <v>ICTV202214360</v>
      </c>
      <c r="R1787" t="s">
        <v>579</v>
      </c>
      <c r="S1787" t="s">
        <v>823</v>
      </c>
      <c r="T1787">
        <v>38</v>
      </c>
      <c r="U1787" s="26" t="str">
        <f t="shared" si="59"/>
        <v>2022.001B.Aliceevansviridae.zip</v>
      </c>
    </row>
    <row r="1788" spans="1:21">
      <c r="A1788">
        <v>1787</v>
      </c>
      <c r="B1788" s="27" t="s">
        <v>1449</v>
      </c>
      <c r="D1788" s="27" t="s">
        <v>1450</v>
      </c>
      <c r="F1788" s="27" t="s">
        <v>1453</v>
      </c>
      <c r="H1788" s="27" t="s">
        <v>1454</v>
      </c>
      <c r="L1788" s="27" t="s">
        <v>4057</v>
      </c>
      <c r="N1788" s="27" t="s">
        <v>1390</v>
      </c>
      <c r="P1788" s="27" t="s">
        <v>4116</v>
      </c>
      <c r="Q1788" s="26" t="str">
        <f>HYPERLINK("https://ictv.global/taxonomy/taxondetails?taxnode_id=202514361&amp;ictv_id=ICTV202214361","ICTV202214361")</f>
        <v>ICTV202214361</v>
      </c>
      <c r="R1788" t="s">
        <v>579</v>
      </c>
      <c r="S1788" t="s">
        <v>823</v>
      </c>
      <c r="T1788">
        <v>38</v>
      </c>
      <c r="U1788" s="26" t="str">
        <f t="shared" si="59"/>
        <v>2022.001B.Aliceevansviridae.zip</v>
      </c>
    </row>
    <row r="1789" spans="1:21">
      <c r="A1789">
        <v>1788</v>
      </c>
      <c r="B1789" s="27" t="s">
        <v>1449</v>
      </c>
      <c r="D1789" s="27" t="s">
        <v>1450</v>
      </c>
      <c r="F1789" s="27" t="s">
        <v>1453</v>
      </c>
      <c r="H1789" s="27" t="s">
        <v>1454</v>
      </c>
      <c r="L1789" s="27" t="s">
        <v>4057</v>
      </c>
      <c r="N1789" s="27" t="s">
        <v>1390</v>
      </c>
      <c r="P1789" s="27" t="s">
        <v>4117</v>
      </c>
      <c r="Q1789" s="26" t="str">
        <f>HYPERLINK("https://ictv.global/taxonomy/taxondetails?taxnode_id=202514362&amp;ictv_id=ICTV202214362","ICTV202214362")</f>
        <v>ICTV202214362</v>
      </c>
      <c r="R1789" t="s">
        <v>579</v>
      </c>
      <c r="S1789" t="s">
        <v>823</v>
      </c>
      <c r="T1789">
        <v>38</v>
      </c>
      <c r="U1789" s="26" t="str">
        <f t="shared" si="59"/>
        <v>2022.001B.Aliceevansviridae.zip</v>
      </c>
    </row>
    <row r="1790" spans="1:21">
      <c r="A1790">
        <v>1789</v>
      </c>
      <c r="B1790" s="27" t="s">
        <v>1449</v>
      </c>
      <c r="D1790" s="27" t="s">
        <v>1450</v>
      </c>
      <c r="F1790" s="27" t="s">
        <v>1453</v>
      </c>
      <c r="H1790" s="27" t="s">
        <v>1454</v>
      </c>
      <c r="L1790" s="27" t="s">
        <v>4057</v>
      </c>
      <c r="N1790" s="27" t="s">
        <v>1390</v>
      </c>
      <c r="P1790" s="27" t="s">
        <v>4118</v>
      </c>
      <c r="Q1790" s="26" t="str">
        <f>HYPERLINK("https://ictv.global/taxonomy/taxondetails?taxnode_id=202514363&amp;ictv_id=ICTV202214363","ICTV202214363")</f>
        <v>ICTV202214363</v>
      </c>
      <c r="R1790" t="s">
        <v>579</v>
      </c>
      <c r="S1790" t="s">
        <v>823</v>
      </c>
      <c r="T1790">
        <v>38</v>
      </c>
      <c r="U1790" s="26" t="str">
        <f t="shared" si="59"/>
        <v>2022.001B.Aliceevansviridae.zip</v>
      </c>
    </row>
    <row r="1791" spans="1:21">
      <c r="A1791">
        <v>1790</v>
      </c>
      <c r="B1791" s="27" t="s">
        <v>1449</v>
      </c>
      <c r="D1791" s="27" t="s">
        <v>1450</v>
      </c>
      <c r="F1791" s="27" t="s">
        <v>1453</v>
      </c>
      <c r="H1791" s="27" t="s">
        <v>1454</v>
      </c>
      <c r="L1791" s="27" t="s">
        <v>4057</v>
      </c>
      <c r="N1791" s="27" t="s">
        <v>1390</v>
      </c>
      <c r="P1791" s="27" t="s">
        <v>4119</v>
      </c>
      <c r="Q1791" s="26" t="str">
        <f>HYPERLINK("https://ictv.global/taxonomy/taxondetails?taxnode_id=202514364&amp;ictv_id=ICTV202214364","ICTV202214364")</f>
        <v>ICTV202214364</v>
      </c>
      <c r="R1791" t="s">
        <v>579</v>
      </c>
      <c r="S1791" t="s">
        <v>823</v>
      </c>
      <c r="T1791">
        <v>38</v>
      </c>
      <c r="U1791" s="26" t="str">
        <f t="shared" si="59"/>
        <v>2022.001B.Aliceevansviridae.zip</v>
      </c>
    </row>
    <row r="1792" spans="1:21">
      <c r="A1792">
        <v>1791</v>
      </c>
      <c r="B1792" s="27" t="s">
        <v>1449</v>
      </c>
      <c r="D1792" s="27" t="s">
        <v>1450</v>
      </c>
      <c r="F1792" s="27" t="s">
        <v>1453</v>
      </c>
      <c r="H1792" s="27" t="s">
        <v>1454</v>
      </c>
      <c r="L1792" s="27" t="s">
        <v>4057</v>
      </c>
      <c r="N1792" s="27" t="s">
        <v>1390</v>
      </c>
      <c r="P1792" s="27" t="s">
        <v>4120</v>
      </c>
      <c r="Q1792" s="26" t="str">
        <f>HYPERLINK("https://ictv.global/taxonomy/taxondetails?taxnode_id=202514365&amp;ictv_id=ICTV202214365","ICTV202214365")</f>
        <v>ICTV202214365</v>
      </c>
      <c r="R1792" t="s">
        <v>579</v>
      </c>
      <c r="S1792" t="s">
        <v>823</v>
      </c>
      <c r="T1792">
        <v>38</v>
      </c>
      <c r="U1792" s="26" t="str">
        <f t="shared" si="59"/>
        <v>2022.001B.Aliceevansviridae.zip</v>
      </c>
    </row>
    <row r="1793" spans="1:21">
      <c r="A1793">
        <v>1792</v>
      </c>
      <c r="B1793" s="27" t="s">
        <v>1449</v>
      </c>
      <c r="D1793" s="27" t="s">
        <v>1450</v>
      </c>
      <c r="F1793" s="27" t="s">
        <v>1453</v>
      </c>
      <c r="H1793" s="27" t="s">
        <v>1454</v>
      </c>
      <c r="L1793" s="27" t="s">
        <v>4057</v>
      </c>
      <c r="N1793" s="27" t="s">
        <v>1390</v>
      </c>
      <c r="P1793" s="27" t="s">
        <v>4121</v>
      </c>
      <c r="Q1793" s="26" t="str">
        <f>HYPERLINK("https://ictv.global/taxonomy/taxondetails?taxnode_id=202514366&amp;ictv_id=ICTV202214366","ICTV202214366")</f>
        <v>ICTV202214366</v>
      </c>
      <c r="R1793" t="s">
        <v>579</v>
      </c>
      <c r="S1793" t="s">
        <v>823</v>
      </c>
      <c r="T1793">
        <v>38</v>
      </c>
      <c r="U1793" s="26" t="str">
        <f t="shared" si="59"/>
        <v>2022.001B.Aliceevansviridae.zip</v>
      </c>
    </row>
    <row r="1794" spans="1:21">
      <c r="A1794">
        <v>1793</v>
      </c>
      <c r="B1794" s="27" t="s">
        <v>1449</v>
      </c>
      <c r="D1794" s="27" t="s">
        <v>1450</v>
      </c>
      <c r="F1794" s="27" t="s">
        <v>1453</v>
      </c>
      <c r="H1794" s="27" t="s">
        <v>1454</v>
      </c>
      <c r="L1794" s="27" t="s">
        <v>4057</v>
      </c>
      <c r="N1794" s="27" t="s">
        <v>1390</v>
      </c>
      <c r="P1794" s="27" t="s">
        <v>4122</v>
      </c>
      <c r="Q1794" s="26" t="str">
        <f>HYPERLINK("https://ictv.global/taxonomy/taxondetails?taxnode_id=202514382&amp;ictv_id=ICTV202214382","ICTV202214382")</f>
        <v>ICTV202214382</v>
      </c>
      <c r="R1794" t="s">
        <v>579</v>
      </c>
      <c r="S1794" t="s">
        <v>823</v>
      </c>
      <c r="T1794">
        <v>38</v>
      </c>
      <c r="U1794" s="26" t="str">
        <f t="shared" ref="U1794:U1825" si="60">HYPERLINK("https://ictv.global/ictv/proposals/2022.001B.Aliceevansviridae.zip","2022.001B.Aliceevansviridae.zip")</f>
        <v>2022.001B.Aliceevansviridae.zip</v>
      </c>
    </row>
    <row r="1795" spans="1:21">
      <c r="A1795">
        <v>1794</v>
      </c>
      <c r="B1795" s="27" t="s">
        <v>1449</v>
      </c>
      <c r="D1795" s="27" t="s">
        <v>1450</v>
      </c>
      <c r="F1795" s="27" t="s">
        <v>1453</v>
      </c>
      <c r="H1795" s="27" t="s">
        <v>1454</v>
      </c>
      <c r="L1795" s="27" t="s">
        <v>4057</v>
      </c>
      <c r="N1795" s="27" t="s">
        <v>1390</v>
      </c>
      <c r="P1795" s="27" t="s">
        <v>4123</v>
      </c>
      <c r="Q1795" s="26" t="str">
        <f>HYPERLINK("https://ictv.global/taxonomy/taxondetails?taxnode_id=202514383&amp;ictv_id=ICTV202214383","ICTV202214383")</f>
        <v>ICTV202214383</v>
      </c>
      <c r="R1795" t="s">
        <v>579</v>
      </c>
      <c r="S1795" t="s">
        <v>823</v>
      </c>
      <c r="T1795">
        <v>38</v>
      </c>
      <c r="U1795" s="26" t="str">
        <f t="shared" si="60"/>
        <v>2022.001B.Aliceevansviridae.zip</v>
      </c>
    </row>
    <row r="1796" spans="1:21">
      <c r="A1796">
        <v>1795</v>
      </c>
      <c r="B1796" s="27" t="s">
        <v>1449</v>
      </c>
      <c r="D1796" s="27" t="s">
        <v>1450</v>
      </c>
      <c r="F1796" s="27" t="s">
        <v>1453</v>
      </c>
      <c r="H1796" s="27" t="s">
        <v>1454</v>
      </c>
      <c r="L1796" s="27" t="s">
        <v>4057</v>
      </c>
      <c r="N1796" s="27" t="s">
        <v>1390</v>
      </c>
      <c r="P1796" s="27" t="s">
        <v>4124</v>
      </c>
      <c r="Q1796" s="26" t="str">
        <f>HYPERLINK("https://ictv.global/taxonomy/taxondetails?taxnode_id=202514384&amp;ictv_id=ICTV202214384","ICTV202214384")</f>
        <v>ICTV202214384</v>
      </c>
      <c r="R1796" t="s">
        <v>579</v>
      </c>
      <c r="S1796" t="s">
        <v>823</v>
      </c>
      <c r="T1796">
        <v>38</v>
      </c>
      <c r="U1796" s="26" t="str">
        <f t="shared" si="60"/>
        <v>2022.001B.Aliceevansviridae.zip</v>
      </c>
    </row>
    <row r="1797" spans="1:21">
      <c r="A1797">
        <v>1796</v>
      </c>
      <c r="B1797" s="27" t="s">
        <v>1449</v>
      </c>
      <c r="D1797" s="27" t="s">
        <v>1450</v>
      </c>
      <c r="F1797" s="27" t="s">
        <v>1453</v>
      </c>
      <c r="H1797" s="27" t="s">
        <v>1454</v>
      </c>
      <c r="L1797" s="27" t="s">
        <v>4057</v>
      </c>
      <c r="N1797" s="27" t="s">
        <v>1390</v>
      </c>
      <c r="P1797" s="27" t="s">
        <v>4125</v>
      </c>
      <c r="Q1797" s="26" t="str">
        <f>HYPERLINK("https://ictv.global/taxonomy/taxondetails?taxnode_id=202501274&amp;ictv_id=ICTV20140493","ICTV20140493")</f>
        <v>ICTV20140493</v>
      </c>
      <c r="R1797" t="s">
        <v>579</v>
      </c>
      <c r="S1797" t="s">
        <v>22763</v>
      </c>
      <c r="T1797">
        <v>38</v>
      </c>
      <c r="U1797" s="26" t="str">
        <f t="shared" si="60"/>
        <v>2022.001B.Aliceevansviridae.zip</v>
      </c>
    </row>
    <row r="1798" spans="1:21">
      <c r="A1798">
        <v>1797</v>
      </c>
      <c r="B1798" s="27" t="s">
        <v>1449</v>
      </c>
      <c r="D1798" s="27" t="s">
        <v>1450</v>
      </c>
      <c r="F1798" s="27" t="s">
        <v>1453</v>
      </c>
      <c r="H1798" s="27" t="s">
        <v>1454</v>
      </c>
      <c r="L1798" s="27" t="s">
        <v>4057</v>
      </c>
      <c r="N1798" s="27" t="s">
        <v>1390</v>
      </c>
      <c r="P1798" s="27" t="s">
        <v>4126</v>
      </c>
      <c r="Q1798" s="26" t="str">
        <f>HYPERLINK("https://ictv.global/taxonomy/taxondetails?taxnode_id=202514385&amp;ictv_id=ICTV202214385","ICTV202214385")</f>
        <v>ICTV202214385</v>
      </c>
      <c r="R1798" t="s">
        <v>579</v>
      </c>
      <c r="S1798" t="s">
        <v>823</v>
      </c>
      <c r="T1798">
        <v>38</v>
      </c>
      <c r="U1798" s="26" t="str">
        <f t="shared" si="60"/>
        <v>2022.001B.Aliceevansviridae.zip</v>
      </c>
    </row>
    <row r="1799" spans="1:21">
      <c r="A1799">
        <v>1798</v>
      </c>
      <c r="B1799" s="27" t="s">
        <v>1449</v>
      </c>
      <c r="D1799" s="27" t="s">
        <v>1450</v>
      </c>
      <c r="F1799" s="27" t="s">
        <v>1453</v>
      </c>
      <c r="H1799" s="27" t="s">
        <v>1454</v>
      </c>
      <c r="L1799" s="27" t="s">
        <v>4057</v>
      </c>
      <c r="N1799" s="27" t="s">
        <v>1390</v>
      </c>
      <c r="P1799" s="27" t="s">
        <v>4127</v>
      </c>
      <c r="Q1799" s="26" t="str">
        <f>HYPERLINK("https://ictv.global/taxonomy/taxondetails?taxnode_id=202514386&amp;ictv_id=ICTV202214386","ICTV202214386")</f>
        <v>ICTV202214386</v>
      </c>
      <c r="R1799" t="s">
        <v>579</v>
      </c>
      <c r="S1799" t="s">
        <v>823</v>
      </c>
      <c r="T1799">
        <v>38</v>
      </c>
      <c r="U1799" s="26" t="str">
        <f t="shared" si="60"/>
        <v>2022.001B.Aliceevansviridae.zip</v>
      </c>
    </row>
    <row r="1800" spans="1:21">
      <c r="A1800">
        <v>1799</v>
      </c>
      <c r="B1800" s="27" t="s">
        <v>1449</v>
      </c>
      <c r="D1800" s="27" t="s">
        <v>1450</v>
      </c>
      <c r="F1800" s="27" t="s">
        <v>1453</v>
      </c>
      <c r="H1800" s="27" t="s">
        <v>1454</v>
      </c>
      <c r="L1800" s="27" t="s">
        <v>4057</v>
      </c>
      <c r="N1800" s="27" t="s">
        <v>1390</v>
      </c>
      <c r="P1800" s="27" t="s">
        <v>4128</v>
      </c>
      <c r="Q1800" s="26" t="str">
        <f>HYPERLINK("https://ictv.global/taxonomy/taxondetails?taxnode_id=202514387&amp;ictv_id=ICTV202214387","ICTV202214387")</f>
        <v>ICTV202214387</v>
      </c>
      <c r="R1800" t="s">
        <v>579</v>
      </c>
      <c r="S1800" t="s">
        <v>823</v>
      </c>
      <c r="T1800">
        <v>38</v>
      </c>
      <c r="U1800" s="26" t="str">
        <f t="shared" si="60"/>
        <v>2022.001B.Aliceevansviridae.zip</v>
      </c>
    </row>
    <row r="1801" spans="1:21">
      <c r="A1801">
        <v>1800</v>
      </c>
      <c r="B1801" s="27" t="s">
        <v>1449</v>
      </c>
      <c r="D1801" s="27" t="s">
        <v>1450</v>
      </c>
      <c r="F1801" s="27" t="s">
        <v>1453</v>
      </c>
      <c r="H1801" s="27" t="s">
        <v>1454</v>
      </c>
      <c r="L1801" s="27" t="s">
        <v>4057</v>
      </c>
      <c r="N1801" s="27" t="s">
        <v>1390</v>
      </c>
      <c r="P1801" s="27" t="s">
        <v>4129</v>
      </c>
      <c r="Q1801" s="26" t="str">
        <f>HYPERLINK("https://ictv.global/taxonomy/taxondetails?taxnode_id=202514350&amp;ictv_id=ICTV202214350","ICTV202214350")</f>
        <v>ICTV202214350</v>
      </c>
      <c r="R1801" t="s">
        <v>579</v>
      </c>
      <c r="S1801" t="s">
        <v>823</v>
      </c>
      <c r="T1801">
        <v>38</v>
      </c>
      <c r="U1801" s="26" t="str">
        <f t="shared" si="60"/>
        <v>2022.001B.Aliceevansviridae.zip</v>
      </c>
    </row>
    <row r="1802" spans="1:21">
      <c r="A1802">
        <v>1801</v>
      </c>
      <c r="B1802" s="27" t="s">
        <v>1449</v>
      </c>
      <c r="D1802" s="27" t="s">
        <v>1450</v>
      </c>
      <c r="F1802" s="27" t="s">
        <v>1453</v>
      </c>
      <c r="H1802" s="27" t="s">
        <v>1454</v>
      </c>
      <c r="L1802" s="27" t="s">
        <v>4057</v>
      </c>
      <c r="N1802" s="27" t="s">
        <v>1390</v>
      </c>
      <c r="P1802" s="27" t="s">
        <v>4130</v>
      </c>
      <c r="Q1802" s="26" t="str">
        <f>HYPERLINK("https://ictv.global/taxonomy/taxondetails?taxnode_id=202514351&amp;ictv_id=ICTV202214351","ICTV202214351")</f>
        <v>ICTV202214351</v>
      </c>
      <c r="R1802" t="s">
        <v>579</v>
      </c>
      <c r="S1802" t="s">
        <v>823</v>
      </c>
      <c r="T1802">
        <v>38</v>
      </c>
      <c r="U1802" s="26" t="str">
        <f t="shared" si="60"/>
        <v>2022.001B.Aliceevansviridae.zip</v>
      </c>
    </row>
    <row r="1803" spans="1:21">
      <c r="A1803">
        <v>1802</v>
      </c>
      <c r="B1803" s="27" t="s">
        <v>1449</v>
      </c>
      <c r="D1803" s="27" t="s">
        <v>1450</v>
      </c>
      <c r="F1803" s="27" t="s">
        <v>1453</v>
      </c>
      <c r="H1803" s="27" t="s">
        <v>1454</v>
      </c>
      <c r="L1803" s="27" t="s">
        <v>4057</v>
      </c>
      <c r="N1803" s="27" t="s">
        <v>1390</v>
      </c>
      <c r="P1803" s="27" t="s">
        <v>4131</v>
      </c>
      <c r="Q1803" s="26" t="str">
        <f>HYPERLINK("https://ictv.global/taxonomy/taxondetails?taxnode_id=202514349&amp;ictv_id=ICTV202214349","ICTV202214349")</f>
        <v>ICTV202214349</v>
      </c>
      <c r="R1803" t="s">
        <v>579</v>
      </c>
      <c r="S1803" t="s">
        <v>823</v>
      </c>
      <c r="T1803">
        <v>38</v>
      </c>
      <c r="U1803" s="26" t="str">
        <f t="shared" si="60"/>
        <v>2022.001B.Aliceevansviridae.zip</v>
      </c>
    </row>
    <row r="1804" spans="1:21">
      <c r="A1804">
        <v>1803</v>
      </c>
      <c r="B1804" s="27" t="s">
        <v>1449</v>
      </c>
      <c r="D1804" s="27" t="s">
        <v>1450</v>
      </c>
      <c r="F1804" s="27" t="s">
        <v>1453</v>
      </c>
      <c r="H1804" s="27" t="s">
        <v>1454</v>
      </c>
      <c r="L1804" s="27" t="s">
        <v>4057</v>
      </c>
      <c r="N1804" s="27" t="s">
        <v>1390</v>
      </c>
      <c r="P1804" s="27" t="s">
        <v>4132</v>
      </c>
      <c r="Q1804" s="26" t="str">
        <f>HYPERLINK("https://ictv.global/taxonomy/taxondetails?taxnode_id=202501273&amp;ictv_id=ICTV20140497","ICTV20140497")</f>
        <v>ICTV20140497</v>
      </c>
      <c r="R1804" t="s">
        <v>579</v>
      </c>
      <c r="S1804" t="s">
        <v>22763</v>
      </c>
      <c r="T1804">
        <v>38</v>
      </c>
      <c r="U1804" s="26" t="str">
        <f t="shared" si="60"/>
        <v>2022.001B.Aliceevansviridae.zip</v>
      </c>
    </row>
    <row r="1805" spans="1:21">
      <c r="A1805">
        <v>1804</v>
      </c>
      <c r="B1805" s="27" t="s">
        <v>1449</v>
      </c>
      <c r="D1805" s="27" t="s">
        <v>1450</v>
      </c>
      <c r="F1805" s="27" t="s">
        <v>1453</v>
      </c>
      <c r="H1805" s="27" t="s">
        <v>1454</v>
      </c>
      <c r="L1805" s="27" t="s">
        <v>4057</v>
      </c>
      <c r="N1805" s="27" t="s">
        <v>1390</v>
      </c>
      <c r="P1805" s="27" t="s">
        <v>4133</v>
      </c>
      <c r="Q1805" s="26" t="str">
        <f>HYPERLINK("https://ictv.global/taxonomy/taxondetails?taxnode_id=202514352&amp;ictv_id=ICTV202214352","ICTV202214352")</f>
        <v>ICTV202214352</v>
      </c>
      <c r="R1805" t="s">
        <v>579</v>
      </c>
      <c r="S1805" t="s">
        <v>823</v>
      </c>
      <c r="T1805">
        <v>38</v>
      </c>
      <c r="U1805" s="26" t="str">
        <f t="shared" si="60"/>
        <v>2022.001B.Aliceevansviridae.zip</v>
      </c>
    </row>
    <row r="1806" spans="1:21">
      <c r="A1806">
        <v>1805</v>
      </c>
      <c r="B1806" s="27" t="s">
        <v>1449</v>
      </c>
      <c r="D1806" s="27" t="s">
        <v>1450</v>
      </c>
      <c r="F1806" s="27" t="s">
        <v>1453</v>
      </c>
      <c r="H1806" s="27" t="s">
        <v>1454</v>
      </c>
      <c r="L1806" s="27" t="s">
        <v>4057</v>
      </c>
      <c r="N1806" s="27" t="s">
        <v>1390</v>
      </c>
      <c r="P1806" s="27" t="s">
        <v>4134</v>
      </c>
      <c r="Q1806" s="26" t="str">
        <f>HYPERLINK("https://ictv.global/taxonomy/taxondetails?taxnode_id=202514388&amp;ictv_id=ICTV202214388","ICTV202214388")</f>
        <v>ICTV202214388</v>
      </c>
      <c r="R1806" t="s">
        <v>579</v>
      </c>
      <c r="S1806" t="s">
        <v>823</v>
      </c>
      <c r="T1806">
        <v>38</v>
      </c>
      <c r="U1806" s="26" t="str">
        <f t="shared" si="60"/>
        <v>2022.001B.Aliceevansviridae.zip</v>
      </c>
    </row>
    <row r="1807" spans="1:21">
      <c r="A1807">
        <v>1806</v>
      </c>
      <c r="B1807" s="27" t="s">
        <v>1449</v>
      </c>
      <c r="D1807" s="27" t="s">
        <v>1450</v>
      </c>
      <c r="F1807" s="27" t="s">
        <v>1453</v>
      </c>
      <c r="H1807" s="27" t="s">
        <v>1454</v>
      </c>
      <c r="L1807" s="27" t="s">
        <v>4057</v>
      </c>
      <c r="N1807" s="27" t="s">
        <v>1390</v>
      </c>
      <c r="P1807" s="27" t="s">
        <v>4135</v>
      </c>
      <c r="Q1807" s="26" t="str">
        <f>HYPERLINK("https://ictv.global/taxonomy/taxondetails?taxnode_id=202514389&amp;ictv_id=ICTV202214389","ICTV202214389")</f>
        <v>ICTV202214389</v>
      </c>
      <c r="R1807" t="s">
        <v>579</v>
      </c>
      <c r="S1807" t="s">
        <v>823</v>
      </c>
      <c r="T1807">
        <v>38</v>
      </c>
      <c r="U1807" s="26" t="str">
        <f t="shared" si="60"/>
        <v>2022.001B.Aliceevansviridae.zip</v>
      </c>
    </row>
    <row r="1808" spans="1:21">
      <c r="A1808">
        <v>1807</v>
      </c>
      <c r="B1808" s="27" t="s">
        <v>1449</v>
      </c>
      <c r="D1808" s="27" t="s">
        <v>1450</v>
      </c>
      <c r="F1808" s="27" t="s">
        <v>1453</v>
      </c>
      <c r="H1808" s="27" t="s">
        <v>1454</v>
      </c>
      <c r="L1808" s="27" t="s">
        <v>4057</v>
      </c>
      <c r="N1808" s="27" t="s">
        <v>1390</v>
      </c>
      <c r="P1808" s="27" t="s">
        <v>4136</v>
      </c>
      <c r="Q1808" s="26" t="str">
        <f>HYPERLINK("https://ictv.global/taxonomy/taxondetails?taxnode_id=202514390&amp;ictv_id=ICTV202214390","ICTV202214390")</f>
        <v>ICTV202214390</v>
      </c>
      <c r="R1808" t="s">
        <v>579</v>
      </c>
      <c r="S1808" t="s">
        <v>823</v>
      </c>
      <c r="T1808">
        <v>38</v>
      </c>
      <c r="U1808" s="26" t="str">
        <f t="shared" si="60"/>
        <v>2022.001B.Aliceevansviridae.zip</v>
      </c>
    </row>
    <row r="1809" spans="1:21">
      <c r="A1809">
        <v>1808</v>
      </c>
      <c r="B1809" s="27" t="s">
        <v>1449</v>
      </c>
      <c r="D1809" s="27" t="s">
        <v>1450</v>
      </c>
      <c r="F1809" s="27" t="s">
        <v>1453</v>
      </c>
      <c r="H1809" s="27" t="s">
        <v>1454</v>
      </c>
      <c r="L1809" s="27" t="s">
        <v>4057</v>
      </c>
      <c r="N1809" s="27" t="s">
        <v>1390</v>
      </c>
      <c r="P1809" s="27" t="s">
        <v>4137</v>
      </c>
      <c r="Q1809" s="26" t="str">
        <f>HYPERLINK("https://ictv.global/taxonomy/taxondetails?taxnode_id=202514391&amp;ictv_id=ICTV202214391","ICTV202214391")</f>
        <v>ICTV202214391</v>
      </c>
      <c r="R1809" t="s">
        <v>579</v>
      </c>
      <c r="S1809" t="s">
        <v>823</v>
      </c>
      <c r="T1809">
        <v>38</v>
      </c>
      <c r="U1809" s="26" t="str">
        <f t="shared" si="60"/>
        <v>2022.001B.Aliceevansviridae.zip</v>
      </c>
    </row>
    <row r="1810" spans="1:21">
      <c r="A1810">
        <v>1809</v>
      </c>
      <c r="B1810" s="27" t="s">
        <v>1449</v>
      </c>
      <c r="D1810" s="27" t="s">
        <v>1450</v>
      </c>
      <c r="F1810" s="27" t="s">
        <v>1453</v>
      </c>
      <c r="H1810" s="27" t="s">
        <v>1454</v>
      </c>
      <c r="L1810" s="27" t="s">
        <v>4057</v>
      </c>
      <c r="N1810" s="27" t="s">
        <v>1390</v>
      </c>
      <c r="P1810" s="27" t="s">
        <v>4138</v>
      </c>
      <c r="Q1810" s="26" t="str">
        <f>HYPERLINK("https://ictv.global/taxonomy/taxondetails?taxnode_id=202514392&amp;ictv_id=ICTV202214392","ICTV202214392")</f>
        <v>ICTV202214392</v>
      </c>
      <c r="R1810" t="s">
        <v>579</v>
      </c>
      <c r="S1810" t="s">
        <v>823</v>
      </c>
      <c r="T1810">
        <v>38</v>
      </c>
      <c r="U1810" s="26" t="str">
        <f t="shared" si="60"/>
        <v>2022.001B.Aliceevansviridae.zip</v>
      </c>
    </row>
    <row r="1811" spans="1:21">
      <c r="A1811">
        <v>1810</v>
      </c>
      <c r="B1811" s="27" t="s">
        <v>1449</v>
      </c>
      <c r="D1811" s="27" t="s">
        <v>1450</v>
      </c>
      <c r="F1811" s="27" t="s">
        <v>1453</v>
      </c>
      <c r="H1811" s="27" t="s">
        <v>1454</v>
      </c>
      <c r="L1811" s="27" t="s">
        <v>4057</v>
      </c>
      <c r="N1811" s="27" t="s">
        <v>1390</v>
      </c>
      <c r="P1811" s="27" t="s">
        <v>4139</v>
      </c>
      <c r="Q1811" s="26" t="str">
        <f>HYPERLINK("https://ictv.global/taxonomy/taxondetails?taxnode_id=202514393&amp;ictv_id=ICTV202214393","ICTV202214393")</f>
        <v>ICTV202214393</v>
      </c>
      <c r="R1811" t="s">
        <v>579</v>
      </c>
      <c r="S1811" t="s">
        <v>823</v>
      </c>
      <c r="T1811">
        <v>38</v>
      </c>
      <c r="U1811" s="26" t="str">
        <f t="shared" si="60"/>
        <v>2022.001B.Aliceevansviridae.zip</v>
      </c>
    </row>
    <row r="1812" spans="1:21">
      <c r="A1812">
        <v>1811</v>
      </c>
      <c r="B1812" s="27" t="s">
        <v>1449</v>
      </c>
      <c r="D1812" s="27" t="s">
        <v>1450</v>
      </c>
      <c r="F1812" s="27" t="s">
        <v>1453</v>
      </c>
      <c r="H1812" s="27" t="s">
        <v>1454</v>
      </c>
      <c r="L1812" s="27" t="s">
        <v>4057</v>
      </c>
      <c r="N1812" s="27" t="s">
        <v>1390</v>
      </c>
      <c r="P1812" s="27" t="s">
        <v>4140</v>
      </c>
      <c r="Q1812" s="26" t="str">
        <f>HYPERLINK("https://ictv.global/taxonomy/taxondetails?taxnode_id=202514394&amp;ictv_id=ICTV202214394","ICTV202214394")</f>
        <v>ICTV202214394</v>
      </c>
      <c r="R1812" t="s">
        <v>579</v>
      </c>
      <c r="S1812" t="s">
        <v>823</v>
      </c>
      <c r="T1812">
        <v>38</v>
      </c>
      <c r="U1812" s="26" t="str">
        <f t="shared" si="60"/>
        <v>2022.001B.Aliceevansviridae.zip</v>
      </c>
    </row>
    <row r="1813" spans="1:21">
      <c r="A1813">
        <v>1812</v>
      </c>
      <c r="B1813" s="27" t="s">
        <v>1449</v>
      </c>
      <c r="D1813" s="27" t="s">
        <v>1450</v>
      </c>
      <c r="F1813" s="27" t="s">
        <v>1453</v>
      </c>
      <c r="H1813" s="27" t="s">
        <v>1454</v>
      </c>
      <c r="L1813" s="27" t="s">
        <v>4057</v>
      </c>
      <c r="N1813" s="27" t="s">
        <v>1390</v>
      </c>
      <c r="P1813" s="27" t="s">
        <v>4141</v>
      </c>
      <c r="Q1813" s="26" t="str">
        <f>HYPERLINK("https://ictv.global/taxonomy/taxondetails?taxnode_id=202514395&amp;ictv_id=ICTV202214395","ICTV202214395")</f>
        <v>ICTV202214395</v>
      </c>
      <c r="R1813" t="s">
        <v>579</v>
      </c>
      <c r="S1813" t="s">
        <v>823</v>
      </c>
      <c r="T1813">
        <v>38</v>
      </c>
      <c r="U1813" s="26" t="str">
        <f t="shared" si="60"/>
        <v>2022.001B.Aliceevansviridae.zip</v>
      </c>
    </row>
    <row r="1814" spans="1:21">
      <c r="A1814">
        <v>1813</v>
      </c>
      <c r="B1814" s="27" t="s">
        <v>1449</v>
      </c>
      <c r="D1814" s="27" t="s">
        <v>1450</v>
      </c>
      <c r="F1814" s="27" t="s">
        <v>1453</v>
      </c>
      <c r="H1814" s="27" t="s">
        <v>1454</v>
      </c>
      <c r="L1814" s="27" t="s">
        <v>4057</v>
      </c>
      <c r="N1814" s="27" t="s">
        <v>1390</v>
      </c>
      <c r="P1814" s="27" t="s">
        <v>4142</v>
      </c>
      <c r="Q1814" s="26" t="str">
        <f>HYPERLINK("https://ictv.global/taxonomy/taxondetails?taxnode_id=202514396&amp;ictv_id=ICTV202214396","ICTV202214396")</f>
        <v>ICTV202214396</v>
      </c>
      <c r="R1814" t="s">
        <v>579</v>
      </c>
      <c r="S1814" t="s">
        <v>823</v>
      </c>
      <c r="T1814">
        <v>38</v>
      </c>
      <c r="U1814" s="26" t="str">
        <f t="shared" si="60"/>
        <v>2022.001B.Aliceevansviridae.zip</v>
      </c>
    </row>
    <row r="1815" spans="1:21">
      <c r="A1815">
        <v>1814</v>
      </c>
      <c r="B1815" s="27" t="s">
        <v>1449</v>
      </c>
      <c r="D1815" s="27" t="s">
        <v>1450</v>
      </c>
      <c r="F1815" s="27" t="s">
        <v>1453</v>
      </c>
      <c r="H1815" s="27" t="s">
        <v>1454</v>
      </c>
      <c r="L1815" s="27" t="s">
        <v>4057</v>
      </c>
      <c r="N1815" s="27" t="s">
        <v>1390</v>
      </c>
      <c r="P1815" s="27" t="s">
        <v>4143</v>
      </c>
      <c r="Q1815" s="26" t="str">
        <f>HYPERLINK("https://ictv.global/taxonomy/taxondetails?taxnode_id=202514397&amp;ictv_id=ICTV202214397","ICTV202214397")</f>
        <v>ICTV202214397</v>
      </c>
      <c r="R1815" t="s">
        <v>579</v>
      </c>
      <c r="S1815" t="s">
        <v>823</v>
      </c>
      <c r="T1815">
        <v>38</v>
      </c>
      <c r="U1815" s="26" t="str">
        <f t="shared" si="60"/>
        <v>2022.001B.Aliceevansviridae.zip</v>
      </c>
    </row>
    <row r="1816" spans="1:21">
      <c r="A1816">
        <v>1815</v>
      </c>
      <c r="B1816" s="27" t="s">
        <v>1449</v>
      </c>
      <c r="D1816" s="27" t="s">
        <v>1450</v>
      </c>
      <c r="F1816" s="27" t="s">
        <v>1453</v>
      </c>
      <c r="H1816" s="27" t="s">
        <v>1454</v>
      </c>
      <c r="L1816" s="27" t="s">
        <v>4057</v>
      </c>
      <c r="N1816" s="27" t="s">
        <v>1390</v>
      </c>
      <c r="P1816" s="27" t="s">
        <v>4144</v>
      </c>
      <c r="Q1816" s="26" t="str">
        <f>HYPERLINK("https://ictv.global/taxonomy/taxondetails?taxnode_id=202514398&amp;ictv_id=ICTV202214398","ICTV202214398")</f>
        <v>ICTV202214398</v>
      </c>
      <c r="R1816" t="s">
        <v>579</v>
      </c>
      <c r="S1816" t="s">
        <v>823</v>
      </c>
      <c r="T1816">
        <v>38</v>
      </c>
      <c r="U1816" s="26" t="str">
        <f t="shared" si="60"/>
        <v>2022.001B.Aliceevansviridae.zip</v>
      </c>
    </row>
    <row r="1817" spans="1:21">
      <c r="A1817">
        <v>1816</v>
      </c>
      <c r="B1817" s="27" t="s">
        <v>1449</v>
      </c>
      <c r="D1817" s="27" t="s">
        <v>1450</v>
      </c>
      <c r="F1817" s="27" t="s">
        <v>1453</v>
      </c>
      <c r="H1817" s="27" t="s">
        <v>1454</v>
      </c>
      <c r="L1817" s="27" t="s">
        <v>4057</v>
      </c>
      <c r="N1817" s="27" t="s">
        <v>1390</v>
      </c>
      <c r="P1817" s="27" t="s">
        <v>4145</v>
      </c>
      <c r="Q1817" s="26" t="str">
        <f>HYPERLINK("https://ictv.global/taxonomy/taxondetails?taxnode_id=202514399&amp;ictv_id=ICTV202214399","ICTV202214399")</f>
        <v>ICTV202214399</v>
      </c>
      <c r="R1817" t="s">
        <v>579</v>
      </c>
      <c r="S1817" t="s">
        <v>823</v>
      </c>
      <c r="T1817">
        <v>38</v>
      </c>
      <c r="U1817" s="26" t="str">
        <f t="shared" si="60"/>
        <v>2022.001B.Aliceevansviridae.zip</v>
      </c>
    </row>
    <row r="1818" spans="1:21">
      <c r="A1818">
        <v>1817</v>
      </c>
      <c r="B1818" s="27" t="s">
        <v>1449</v>
      </c>
      <c r="D1818" s="27" t="s">
        <v>1450</v>
      </c>
      <c r="F1818" s="27" t="s">
        <v>1453</v>
      </c>
      <c r="H1818" s="27" t="s">
        <v>1454</v>
      </c>
      <c r="L1818" s="27" t="s">
        <v>4057</v>
      </c>
      <c r="N1818" s="27" t="s">
        <v>1390</v>
      </c>
      <c r="P1818" s="27" t="s">
        <v>4146</v>
      </c>
      <c r="Q1818" s="26" t="str">
        <f>HYPERLINK("https://ictv.global/taxonomy/taxondetails?taxnode_id=202514400&amp;ictv_id=ICTV202214400","ICTV202214400")</f>
        <v>ICTV202214400</v>
      </c>
      <c r="R1818" t="s">
        <v>579</v>
      </c>
      <c r="S1818" t="s">
        <v>823</v>
      </c>
      <c r="T1818">
        <v>38</v>
      </c>
      <c r="U1818" s="26" t="str">
        <f t="shared" si="60"/>
        <v>2022.001B.Aliceevansviridae.zip</v>
      </c>
    </row>
    <row r="1819" spans="1:21">
      <c r="A1819">
        <v>1818</v>
      </c>
      <c r="B1819" s="27" t="s">
        <v>1449</v>
      </c>
      <c r="D1819" s="27" t="s">
        <v>1450</v>
      </c>
      <c r="F1819" s="27" t="s">
        <v>1453</v>
      </c>
      <c r="H1819" s="27" t="s">
        <v>1454</v>
      </c>
      <c r="L1819" s="27" t="s">
        <v>4057</v>
      </c>
      <c r="N1819" s="27" t="s">
        <v>1390</v>
      </c>
      <c r="P1819" s="27" t="s">
        <v>4147</v>
      </c>
      <c r="Q1819" s="26" t="str">
        <f>HYPERLINK("https://ictv.global/taxonomy/taxondetails?taxnode_id=202514401&amp;ictv_id=ICTV202214401","ICTV202214401")</f>
        <v>ICTV202214401</v>
      </c>
      <c r="R1819" t="s">
        <v>579</v>
      </c>
      <c r="S1819" t="s">
        <v>823</v>
      </c>
      <c r="T1819">
        <v>38</v>
      </c>
      <c r="U1819" s="26" t="str">
        <f t="shared" si="60"/>
        <v>2022.001B.Aliceevansviridae.zip</v>
      </c>
    </row>
    <row r="1820" spans="1:21">
      <c r="A1820">
        <v>1819</v>
      </c>
      <c r="B1820" s="27" t="s">
        <v>1449</v>
      </c>
      <c r="D1820" s="27" t="s">
        <v>1450</v>
      </c>
      <c r="F1820" s="27" t="s">
        <v>1453</v>
      </c>
      <c r="H1820" s="27" t="s">
        <v>1454</v>
      </c>
      <c r="L1820" s="27" t="s">
        <v>4057</v>
      </c>
      <c r="N1820" s="27" t="s">
        <v>1390</v>
      </c>
      <c r="P1820" s="27" t="s">
        <v>4148</v>
      </c>
      <c r="Q1820" s="26" t="str">
        <f>HYPERLINK("https://ictv.global/taxonomy/taxondetails?taxnode_id=202514402&amp;ictv_id=ICTV202214402","ICTV202214402")</f>
        <v>ICTV202214402</v>
      </c>
      <c r="R1820" t="s">
        <v>579</v>
      </c>
      <c r="S1820" t="s">
        <v>823</v>
      </c>
      <c r="T1820">
        <v>38</v>
      </c>
      <c r="U1820" s="26" t="str">
        <f t="shared" si="60"/>
        <v>2022.001B.Aliceevansviridae.zip</v>
      </c>
    </row>
    <row r="1821" spans="1:21">
      <c r="A1821">
        <v>1820</v>
      </c>
      <c r="B1821" s="27" t="s">
        <v>1449</v>
      </c>
      <c r="D1821" s="27" t="s">
        <v>1450</v>
      </c>
      <c r="F1821" s="27" t="s">
        <v>1453</v>
      </c>
      <c r="H1821" s="27" t="s">
        <v>1454</v>
      </c>
      <c r="L1821" s="27" t="s">
        <v>4057</v>
      </c>
      <c r="N1821" s="27" t="s">
        <v>1390</v>
      </c>
      <c r="P1821" s="27" t="s">
        <v>4149</v>
      </c>
      <c r="Q1821" s="26" t="str">
        <f>HYPERLINK("https://ictv.global/taxonomy/taxondetails?taxnode_id=202514403&amp;ictv_id=ICTV202214403","ICTV202214403")</f>
        <v>ICTV202214403</v>
      </c>
      <c r="R1821" t="s">
        <v>579</v>
      </c>
      <c r="S1821" t="s">
        <v>823</v>
      </c>
      <c r="T1821">
        <v>38</v>
      </c>
      <c r="U1821" s="26" t="str">
        <f t="shared" si="60"/>
        <v>2022.001B.Aliceevansviridae.zip</v>
      </c>
    </row>
    <row r="1822" spans="1:21">
      <c r="A1822">
        <v>1821</v>
      </c>
      <c r="B1822" s="27" t="s">
        <v>1449</v>
      </c>
      <c r="D1822" s="27" t="s">
        <v>1450</v>
      </c>
      <c r="F1822" s="27" t="s">
        <v>1453</v>
      </c>
      <c r="H1822" s="27" t="s">
        <v>1454</v>
      </c>
      <c r="L1822" s="27" t="s">
        <v>4057</v>
      </c>
      <c r="N1822" s="27" t="s">
        <v>1390</v>
      </c>
      <c r="P1822" s="27" t="s">
        <v>4150</v>
      </c>
      <c r="Q1822" s="26" t="str">
        <f>HYPERLINK("https://ictv.global/taxonomy/taxondetails?taxnode_id=202514404&amp;ictv_id=ICTV202214404","ICTV202214404")</f>
        <v>ICTV202214404</v>
      </c>
      <c r="R1822" t="s">
        <v>579</v>
      </c>
      <c r="S1822" t="s">
        <v>823</v>
      </c>
      <c r="T1822">
        <v>38</v>
      </c>
      <c r="U1822" s="26" t="str">
        <f t="shared" si="60"/>
        <v>2022.001B.Aliceevansviridae.zip</v>
      </c>
    </row>
    <row r="1823" spans="1:21">
      <c r="A1823">
        <v>1822</v>
      </c>
      <c r="B1823" s="27" t="s">
        <v>1449</v>
      </c>
      <c r="D1823" s="27" t="s">
        <v>1450</v>
      </c>
      <c r="F1823" s="27" t="s">
        <v>1453</v>
      </c>
      <c r="H1823" s="27" t="s">
        <v>1454</v>
      </c>
      <c r="L1823" s="27" t="s">
        <v>4057</v>
      </c>
      <c r="N1823" s="27" t="s">
        <v>1390</v>
      </c>
      <c r="P1823" s="27" t="s">
        <v>4151</v>
      </c>
      <c r="Q1823" s="26" t="str">
        <f>HYPERLINK("https://ictv.global/taxonomy/taxondetails?taxnode_id=202514405&amp;ictv_id=ICTV202214405","ICTV202214405")</f>
        <v>ICTV202214405</v>
      </c>
      <c r="R1823" t="s">
        <v>579</v>
      </c>
      <c r="S1823" t="s">
        <v>823</v>
      </c>
      <c r="T1823">
        <v>38</v>
      </c>
      <c r="U1823" s="26" t="str">
        <f t="shared" si="60"/>
        <v>2022.001B.Aliceevansviridae.zip</v>
      </c>
    </row>
    <row r="1824" spans="1:21">
      <c r="A1824">
        <v>1823</v>
      </c>
      <c r="B1824" s="27" t="s">
        <v>1449</v>
      </c>
      <c r="D1824" s="27" t="s">
        <v>1450</v>
      </c>
      <c r="F1824" s="27" t="s">
        <v>1453</v>
      </c>
      <c r="H1824" s="27" t="s">
        <v>1454</v>
      </c>
      <c r="L1824" s="27" t="s">
        <v>4057</v>
      </c>
      <c r="N1824" s="27" t="s">
        <v>1390</v>
      </c>
      <c r="P1824" s="27" t="s">
        <v>4152</v>
      </c>
      <c r="Q1824" s="26" t="str">
        <f>HYPERLINK("https://ictv.global/taxonomy/taxondetails?taxnode_id=202514406&amp;ictv_id=ICTV202214406","ICTV202214406")</f>
        <v>ICTV202214406</v>
      </c>
      <c r="R1824" t="s">
        <v>579</v>
      </c>
      <c r="S1824" t="s">
        <v>823</v>
      </c>
      <c r="T1824">
        <v>38</v>
      </c>
      <c r="U1824" s="26" t="str">
        <f t="shared" si="60"/>
        <v>2022.001B.Aliceevansviridae.zip</v>
      </c>
    </row>
    <row r="1825" spans="1:21">
      <c r="A1825">
        <v>1824</v>
      </c>
      <c r="B1825" s="27" t="s">
        <v>1449</v>
      </c>
      <c r="D1825" s="27" t="s">
        <v>1450</v>
      </c>
      <c r="F1825" s="27" t="s">
        <v>1453</v>
      </c>
      <c r="H1825" s="27" t="s">
        <v>1454</v>
      </c>
      <c r="L1825" s="27" t="s">
        <v>4057</v>
      </c>
      <c r="N1825" s="27" t="s">
        <v>1390</v>
      </c>
      <c r="P1825" s="27" t="s">
        <v>4153</v>
      </c>
      <c r="Q1825" s="26" t="str">
        <f>HYPERLINK("https://ictv.global/taxonomy/taxondetails?taxnode_id=202514407&amp;ictv_id=ICTV202214407","ICTV202214407")</f>
        <v>ICTV202214407</v>
      </c>
      <c r="R1825" t="s">
        <v>579</v>
      </c>
      <c r="S1825" t="s">
        <v>823</v>
      </c>
      <c r="T1825">
        <v>38</v>
      </c>
      <c r="U1825" s="26" t="str">
        <f t="shared" si="60"/>
        <v>2022.001B.Aliceevansviridae.zip</v>
      </c>
    </row>
    <row r="1826" spans="1:21">
      <c r="A1826">
        <v>1825</v>
      </c>
      <c r="B1826" s="27" t="s">
        <v>1449</v>
      </c>
      <c r="D1826" s="27" t="s">
        <v>1450</v>
      </c>
      <c r="F1826" s="27" t="s">
        <v>1453</v>
      </c>
      <c r="H1826" s="27" t="s">
        <v>1454</v>
      </c>
      <c r="L1826" s="27" t="s">
        <v>4057</v>
      </c>
      <c r="N1826" s="27" t="s">
        <v>1390</v>
      </c>
      <c r="P1826" s="27" t="s">
        <v>4154</v>
      </c>
      <c r="Q1826" s="26" t="str">
        <f>HYPERLINK("https://ictv.global/taxonomy/taxondetails?taxnode_id=202514408&amp;ictv_id=ICTV202214408","ICTV202214408")</f>
        <v>ICTV202214408</v>
      </c>
      <c r="R1826" t="s">
        <v>579</v>
      </c>
      <c r="S1826" t="s">
        <v>823</v>
      </c>
      <c r="T1826">
        <v>38</v>
      </c>
      <c r="U1826" s="26" t="str">
        <f t="shared" ref="U1826:U1855" si="61">HYPERLINK("https://ictv.global/ictv/proposals/2022.001B.Aliceevansviridae.zip","2022.001B.Aliceevansviridae.zip")</f>
        <v>2022.001B.Aliceevansviridae.zip</v>
      </c>
    </row>
    <row r="1827" spans="1:21">
      <c r="A1827">
        <v>1826</v>
      </c>
      <c r="B1827" s="27" t="s">
        <v>1449</v>
      </c>
      <c r="D1827" s="27" t="s">
        <v>1450</v>
      </c>
      <c r="F1827" s="27" t="s">
        <v>1453</v>
      </c>
      <c r="H1827" s="27" t="s">
        <v>1454</v>
      </c>
      <c r="L1827" s="27" t="s">
        <v>4057</v>
      </c>
      <c r="N1827" s="27" t="s">
        <v>1390</v>
      </c>
      <c r="P1827" s="27" t="s">
        <v>4155</v>
      </c>
      <c r="Q1827" s="26" t="str">
        <f>HYPERLINK("https://ictv.global/taxonomy/taxondetails?taxnode_id=202514409&amp;ictv_id=ICTV202214409","ICTV202214409")</f>
        <v>ICTV202214409</v>
      </c>
      <c r="R1827" t="s">
        <v>579</v>
      </c>
      <c r="S1827" t="s">
        <v>823</v>
      </c>
      <c r="T1827">
        <v>38</v>
      </c>
      <c r="U1827" s="26" t="str">
        <f t="shared" si="61"/>
        <v>2022.001B.Aliceevansviridae.zip</v>
      </c>
    </row>
    <row r="1828" spans="1:21">
      <c r="A1828">
        <v>1827</v>
      </c>
      <c r="B1828" s="27" t="s">
        <v>1449</v>
      </c>
      <c r="D1828" s="27" t="s">
        <v>1450</v>
      </c>
      <c r="F1828" s="27" t="s">
        <v>1453</v>
      </c>
      <c r="H1828" s="27" t="s">
        <v>1454</v>
      </c>
      <c r="L1828" s="27" t="s">
        <v>4057</v>
      </c>
      <c r="N1828" s="27" t="s">
        <v>1390</v>
      </c>
      <c r="P1828" s="27" t="s">
        <v>4156</v>
      </c>
      <c r="Q1828" s="26" t="str">
        <f>HYPERLINK("https://ictv.global/taxonomy/taxondetails?taxnode_id=202514410&amp;ictv_id=ICTV202214410","ICTV202214410")</f>
        <v>ICTV202214410</v>
      </c>
      <c r="R1828" t="s">
        <v>579</v>
      </c>
      <c r="S1828" t="s">
        <v>823</v>
      </c>
      <c r="T1828">
        <v>38</v>
      </c>
      <c r="U1828" s="26" t="str">
        <f t="shared" si="61"/>
        <v>2022.001B.Aliceevansviridae.zip</v>
      </c>
    </row>
    <row r="1829" spans="1:21">
      <c r="A1829">
        <v>1828</v>
      </c>
      <c r="B1829" s="27" t="s">
        <v>1449</v>
      </c>
      <c r="D1829" s="27" t="s">
        <v>1450</v>
      </c>
      <c r="F1829" s="27" t="s">
        <v>1453</v>
      </c>
      <c r="H1829" s="27" t="s">
        <v>1454</v>
      </c>
      <c r="L1829" s="27" t="s">
        <v>4057</v>
      </c>
      <c r="N1829" s="27" t="s">
        <v>1390</v>
      </c>
      <c r="P1829" s="27" t="s">
        <v>4157</v>
      </c>
      <c r="Q1829" s="26" t="str">
        <f>HYPERLINK("https://ictv.global/taxonomy/taxondetails?taxnode_id=202501276&amp;ictv_id=ICTV20140494","ICTV20140494")</f>
        <v>ICTV20140494</v>
      </c>
      <c r="R1829" t="s">
        <v>579</v>
      </c>
      <c r="S1829" t="s">
        <v>22763</v>
      </c>
      <c r="T1829">
        <v>38</v>
      </c>
      <c r="U1829" s="26" t="str">
        <f t="shared" si="61"/>
        <v>2022.001B.Aliceevansviridae.zip</v>
      </c>
    </row>
    <row r="1830" spans="1:21">
      <c r="A1830">
        <v>1829</v>
      </c>
      <c r="B1830" s="27" t="s">
        <v>1449</v>
      </c>
      <c r="D1830" s="27" t="s">
        <v>1450</v>
      </c>
      <c r="F1830" s="27" t="s">
        <v>1453</v>
      </c>
      <c r="H1830" s="27" t="s">
        <v>1454</v>
      </c>
      <c r="L1830" s="27" t="s">
        <v>4057</v>
      </c>
      <c r="N1830" s="27" t="s">
        <v>1390</v>
      </c>
      <c r="P1830" s="27" t="s">
        <v>4158</v>
      </c>
      <c r="Q1830" s="26" t="str">
        <f>HYPERLINK("https://ictv.global/taxonomy/taxondetails?taxnode_id=202501277&amp;ictv_id=ICTV20140495","ICTV20140495")</f>
        <v>ICTV20140495</v>
      </c>
      <c r="R1830" t="s">
        <v>579</v>
      </c>
      <c r="S1830" t="s">
        <v>22763</v>
      </c>
      <c r="T1830">
        <v>38</v>
      </c>
      <c r="U1830" s="26" t="str">
        <f t="shared" si="61"/>
        <v>2022.001B.Aliceevansviridae.zip</v>
      </c>
    </row>
    <row r="1831" spans="1:21">
      <c r="A1831">
        <v>1830</v>
      </c>
      <c r="B1831" s="27" t="s">
        <v>1449</v>
      </c>
      <c r="D1831" s="27" t="s">
        <v>1450</v>
      </c>
      <c r="F1831" s="27" t="s">
        <v>1453</v>
      </c>
      <c r="H1831" s="27" t="s">
        <v>1454</v>
      </c>
      <c r="L1831" s="27" t="s">
        <v>4057</v>
      </c>
      <c r="N1831" s="27" t="s">
        <v>1390</v>
      </c>
      <c r="P1831" s="27" t="s">
        <v>4159</v>
      </c>
      <c r="Q1831" s="26" t="str">
        <f>HYPERLINK("https://ictv.global/taxonomy/taxondetails?taxnode_id=202514411&amp;ictv_id=ICTV202214411","ICTV202214411")</f>
        <v>ICTV202214411</v>
      </c>
      <c r="R1831" t="s">
        <v>579</v>
      </c>
      <c r="S1831" t="s">
        <v>823</v>
      </c>
      <c r="T1831">
        <v>38</v>
      </c>
      <c r="U1831" s="26" t="str">
        <f t="shared" si="61"/>
        <v>2022.001B.Aliceevansviridae.zip</v>
      </c>
    </row>
    <row r="1832" spans="1:21">
      <c r="A1832">
        <v>1831</v>
      </c>
      <c r="B1832" s="27" t="s">
        <v>1449</v>
      </c>
      <c r="D1832" s="27" t="s">
        <v>1450</v>
      </c>
      <c r="F1832" s="27" t="s">
        <v>1453</v>
      </c>
      <c r="H1832" s="27" t="s">
        <v>1454</v>
      </c>
      <c r="L1832" s="27" t="s">
        <v>4057</v>
      </c>
      <c r="N1832" s="27" t="s">
        <v>1390</v>
      </c>
      <c r="P1832" s="27" t="s">
        <v>4160</v>
      </c>
      <c r="Q1832" s="26" t="str">
        <f>HYPERLINK("https://ictv.global/taxonomy/taxondetails?taxnode_id=202514412&amp;ictv_id=ICTV202214412","ICTV202214412")</f>
        <v>ICTV202214412</v>
      </c>
      <c r="R1832" t="s">
        <v>579</v>
      </c>
      <c r="S1832" t="s">
        <v>823</v>
      </c>
      <c r="T1832">
        <v>38</v>
      </c>
      <c r="U1832" s="26" t="str">
        <f t="shared" si="61"/>
        <v>2022.001B.Aliceevansviridae.zip</v>
      </c>
    </row>
    <row r="1833" spans="1:21">
      <c r="A1833">
        <v>1832</v>
      </c>
      <c r="B1833" s="27" t="s">
        <v>1449</v>
      </c>
      <c r="D1833" s="27" t="s">
        <v>1450</v>
      </c>
      <c r="F1833" s="27" t="s">
        <v>1453</v>
      </c>
      <c r="H1833" s="27" t="s">
        <v>1454</v>
      </c>
      <c r="L1833" s="27" t="s">
        <v>4057</v>
      </c>
      <c r="N1833" s="27" t="s">
        <v>1390</v>
      </c>
      <c r="P1833" s="27" t="s">
        <v>4161</v>
      </c>
      <c r="Q1833" s="26" t="str">
        <f>HYPERLINK("https://ictv.global/taxonomy/taxondetails?taxnode_id=202514415&amp;ictv_id=ICTV202214415","ICTV202214415")</f>
        <v>ICTV202214415</v>
      </c>
      <c r="R1833" t="s">
        <v>579</v>
      </c>
      <c r="S1833" t="s">
        <v>823</v>
      </c>
      <c r="T1833">
        <v>38</v>
      </c>
      <c r="U1833" s="26" t="str">
        <f t="shared" si="61"/>
        <v>2022.001B.Aliceevansviridae.zip</v>
      </c>
    </row>
    <row r="1834" spans="1:21">
      <c r="A1834">
        <v>1833</v>
      </c>
      <c r="B1834" s="27" t="s">
        <v>1449</v>
      </c>
      <c r="D1834" s="27" t="s">
        <v>1450</v>
      </c>
      <c r="F1834" s="27" t="s">
        <v>1453</v>
      </c>
      <c r="H1834" s="27" t="s">
        <v>1454</v>
      </c>
      <c r="L1834" s="27" t="s">
        <v>4057</v>
      </c>
      <c r="N1834" s="27" t="s">
        <v>1390</v>
      </c>
      <c r="P1834" s="27" t="s">
        <v>4162</v>
      </c>
      <c r="Q1834" s="26" t="str">
        <f>HYPERLINK("https://ictv.global/taxonomy/taxondetails?taxnode_id=202514416&amp;ictv_id=ICTV202214416","ICTV202214416")</f>
        <v>ICTV202214416</v>
      </c>
      <c r="R1834" t="s">
        <v>579</v>
      </c>
      <c r="S1834" t="s">
        <v>823</v>
      </c>
      <c r="T1834">
        <v>38</v>
      </c>
      <c r="U1834" s="26" t="str">
        <f t="shared" si="61"/>
        <v>2022.001B.Aliceevansviridae.zip</v>
      </c>
    </row>
    <row r="1835" spans="1:21">
      <c r="A1835">
        <v>1834</v>
      </c>
      <c r="B1835" s="27" t="s">
        <v>1449</v>
      </c>
      <c r="D1835" s="27" t="s">
        <v>1450</v>
      </c>
      <c r="F1835" s="27" t="s">
        <v>1453</v>
      </c>
      <c r="H1835" s="27" t="s">
        <v>1454</v>
      </c>
      <c r="L1835" s="27" t="s">
        <v>4057</v>
      </c>
      <c r="N1835" s="27" t="s">
        <v>1390</v>
      </c>
      <c r="P1835" s="27" t="s">
        <v>4163</v>
      </c>
      <c r="Q1835" s="26" t="str">
        <f>HYPERLINK("https://ictv.global/taxonomy/taxondetails?taxnode_id=202514417&amp;ictv_id=ICTV202214417","ICTV202214417")</f>
        <v>ICTV202214417</v>
      </c>
      <c r="R1835" t="s">
        <v>579</v>
      </c>
      <c r="S1835" t="s">
        <v>823</v>
      </c>
      <c r="T1835">
        <v>38</v>
      </c>
      <c r="U1835" s="26" t="str">
        <f t="shared" si="61"/>
        <v>2022.001B.Aliceevansviridae.zip</v>
      </c>
    </row>
    <row r="1836" spans="1:21">
      <c r="A1836">
        <v>1835</v>
      </c>
      <c r="B1836" s="27" t="s">
        <v>1449</v>
      </c>
      <c r="D1836" s="27" t="s">
        <v>1450</v>
      </c>
      <c r="F1836" s="27" t="s">
        <v>1453</v>
      </c>
      <c r="H1836" s="27" t="s">
        <v>1454</v>
      </c>
      <c r="L1836" s="27" t="s">
        <v>4057</v>
      </c>
      <c r="N1836" s="27" t="s">
        <v>1390</v>
      </c>
      <c r="P1836" s="27" t="s">
        <v>4164</v>
      </c>
      <c r="Q1836" s="26" t="str">
        <f>HYPERLINK("https://ictv.global/taxonomy/taxondetails?taxnode_id=202514418&amp;ictv_id=ICTV202214418","ICTV202214418")</f>
        <v>ICTV202214418</v>
      </c>
      <c r="R1836" t="s">
        <v>579</v>
      </c>
      <c r="S1836" t="s">
        <v>823</v>
      </c>
      <c r="T1836">
        <v>38</v>
      </c>
      <c r="U1836" s="26" t="str">
        <f t="shared" si="61"/>
        <v>2022.001B.Aliceevansviridae.zip</v>
      </c>
    </row>
    <row r="1837" spans="1:21">
      <c r="A1837">
        <v>1836</v>
      </c>
      <c r="B1837" s="27" t="s">
        <v>1449</v>
      </c>
      <c r="D1837" s="27" t="s">
        <v>1450</v>
      </c>
      <c r="F1837" s="27" t="s">
        <v>1453</v>
      </c>
      <c r="H1837" s="27" t="s">
        <v>1454</v>
      </c>
      <c r="L1837" s="27" t="s">
        <v>4057</v>
      </c>
      <c r="N1837" s="27" t="s">
        <v>1390</v>
      </c>
      <c r="P1837" s="27" t="s">
        <v>4165</v>
      </c>
      <c r="Q1837" s="26" t="str">
        <f>HYPERLINK("https://ictv.global/taxonomy/taxondetails?taxnode_id=202514419&amp;ictv_id=ICTV202214419","ICTV202214419")</f>
        <v>ICTV202214419</v>
      </c>
      <c r="R1837" t="s">
        <v>579</v>
      </c>
      <c r="S1837" t="s">
        <v>823</v>
      </c>
      <c r="T1837">
        <v>38</v>
      </c>
      <c r="U1837" s="26" t="str">
        <f t="shared" si="61"/>
        <v>2022.001B.Aliceevansviridae.zip</v>
      </c>
    </row>
    <row r="1838" spans="1:21">
      <c r="A1838">
        <v>1837</v>
      </c>
      <c r="B1838" s="27" t="s">
        <v>1449</v>
      </c>
      <c r="D1838" s="27" t="s">
        <v>1450</v>
      </c>
      <c r="F1838" s="27" t="s">
        <v>1453</v>
      </c>
      <c r="H1838" s="27" t="s">
        <v>1454</v>
      </c>
      <c r="L1838" s="27" t="s">
        <v>4057</v>
      </c>
      <c r="N1838" s="27" t="s">
        <v>1390</v>
      </c>
      <c r="P1838" s="27" t="s">
        <v>4166</v>
      </c>
      <c r="Q1838" s="26" t="str">
        <f>HYPERLINK("https://ictv.global/taxonomy/taxondetails?taxnode_id=202514420&amp;ictv_id=ICTV202214420","ICTV202214420")</f>
        <v>ICTV202214420</v>
      </c>
      <c r="R1838" t="s">
        <v>579</v>
      </c>
      <c r="S1838" t="s">
        <v>823</v>
      </c>
      <c r="T1838">
        <v>38</v>
      </c>
      <c r="U1838" s="26" t="str">
        <f t="shared" si="61"/>
        <v>2022.001B.Aliceevansviridae.zip</v>
      </c>
    </row>
    <row r="1839" spans="1:21">
      <c r="A1839">
        <v>1838</v>
      </c>
      <c r="B1839" s="27" t="s">
        <v>1449</v>
      </c>
      <c r="D1839" s="27" t="s">
        <v>1450</v>
      </c>
      <c r="F1839" s="27" t="s">
        <v>1453</v>
      </c>
      <c r="H1839" s="27" t="s">
        <v>1454</v>
      </c>
      <c r="L1839" s="27" t="s">
        <v>4057</v>
      </c>
      <c r="N1839" s="27" t="s">
        <v>1390</v>
      </c>
      <c r="P1839" s="27" t="s">
        <v>4167</v>
      </c>
      <c r="Q1839" s="26" t="str">
        <f>HYPERLINK("https://ictv.global/taxonomy/taxondetails?taxnode_id=202514413&amp;ictv_id=ICTV202214413","ICTV202214413")</f>
        <v>ICTV202214413</v>
      </c>
      <c r="R1839" t="s">
        <v>579</v>
      </c>
      <c r="S1839" t="s">
        <v>823</v>
      </c>
      <c r="T1839">
        <v>38</v>
      </c>
      <c r="U1839" s="26" t="str">
        <f t="shared" si="61"/>
        <v>2022.001B.Aliceevansviridae.zip</v>
      </c>
    </row>
    <row r="1840" spans="1:21">
      <c r="A1840">
        <v>1839</v>
      </c>
      <c r="B1840" s="27" t="s">
        <v>1449</v>
      </c>
      <c r="D1840" s="27" t="s">
        <v>1450</v>
      </c>
      <c r="F1840" s="27" t="s">
        <v>1453</v>
      </c>
      <c r="H1840" s="27" t="s">
        <v>1454</v>
      </c>
      <c r="L1840" s="27" t="s">
        <v>4057</v>
      </c>
      <c r="N1840" s="27" t="s">
        <v>1390</v>
      </c>
      <c r="P1840" s="27" t="s">
        <v>4168</v>
      </c>
      <c r="Q1840" s="26" t="str">
        <f>HYPERLINK("https://ictv.global/taxonomy/taxondetails?taxnode_id=202514414&amp;ictv_id=ICTV202214414","ICTV202214414")</f>
        <v>ICTV202214414</v>
      </c>
      <c r="R1840" t="s">
        <v>579</v>
      </c>
      <c r="S1840" t="s">
        <v>823</v>
      </c>
      <c r="T1840">
        <v>38</v>
      </c>
      <c r="U1840" s="26" t="str">
        <f t="shared" si="61"/>
        <v>2022.001B.Aliceevansviridae.zip</v>
      </c>
    </row>
    <row r="1841" spans="1:21">
      <c r="A1841">
        <v>1840</v>
      </c>
      <c r="B1841" s="27" t="s">
        <v>1449</v>
      </c>
      <c r="D1841" s="27" t="s">
        <v>1450</v>
      </c>
      <c r="F1841" s="27" t="s">
        <v>1453</v>
      </c>
      <c r="H1841" s="27" t="s">
        <v>1454</v>
      </c>
      <c r="L1841" s="27" t="s">
        <v>4057</v>
      </c>
      <c r="N1841" s="27" t="s">
        <v>1390</v>
      </c>
      <c r="P1841" s="27" t="s">
        <v>4169</v>
      </c>
      <c r="Q1841" s="26" t="str">
        <f>HYPERLINK("https://ictv.global/taxonomy/taxondetails?taxnode_id=202514421&amp;ictv_id=ICTV202214421","ICTV202214421")</f>
        <v>ICTV202214421</v>
      </c>
      <c r="R1841" t="s">
        <v>579</v>
      </c>
      <c r="S1841" t="s">
        <v>823</v>
      </c>
      <c r="T1841">
        <v>38</v>
      </c>
      <c r="U1841" s="26" t="str">
        <f t="shared" si="61"/>
        <v>2022.001B.Aliceevansviridae.zip</v>
      </c>
    </row>
    <row r="1842" spans="1:21">
      <c r="A1842">
        <v>1841</v>
      </c>
      <c r="B1842" s="27" t="s">
        <v>1449</v>
      </c>
      <c r="D1842" s="27" t="s">
        <v>1450</v>
      </c>
      <c r="F1842" s="27" t="s">
        <v>1453</v>
      </c>
      <c r="H1842" s="27" t="s">
        <v>1454</v>
      </c>
      <c r="L1842" s="27" t="s">
        <v>4057</v>
      </c>
      <c r="N1842" s="27" t="s">
        <v>1390</v>
      </c>
      <c r="P1842" s="27" t="s">
        <v>4170</v>
      </c>
      <c r="Q1842" s="26" t="str">
        <f>HYPERLINK("https://ictv.global/taxonomy/taxondetails?taxnode_id=202514422&amp;ictv_id=ICTV202214422","ICTV202214422")</f>
        <v>ICTV202214422</v>
      </c>
      <c r="R1842" t="s">
        <v>579</v>
      </c>
      <c r="S1842" t="s">
        <v>823</v>
      </c>
      <c r="T1842">
        <v>38</v>
      </c>
      <c r="U1842" s="26" t="str">
        <f t="shared" si="61"/>
        <v>2022.001B.Aliceevansviridae.zip</v>
      </c>
    </row>
    <row r="1843" spans="1:21">
      <c r="A1843">
        <v>1842</v>
      </c>
      <c r="B1843" s="27" t="s">
        <v>1449</v>
      </c>
      <c r="D1843" s="27" t="s">
        <v>1450</v>
      </c>
      <c r="F1843" s="27" t="s">
        <v>1453</v>
      </c>
      <c r="H1843" s="27" t="s">
        <v>1454</v>
      </c>
      <c r="L1843" s="27" t="s">
        <v>4057</v>
      </c>
      <c r="N1843" s="27" t="s">
        <v>1390</v>
      </c>
      <c r="P1843" s="27" t="s">
        <v>4171</v>
      </c>
      <c r="Q1843" s="26" t="str">
        <f>HYPERLINK("https://ictv.global/taxonomy/taxondetails?taxnode_id=202514423&amp;ictv_id=ICTV202214423","ICTV202214423")</f>
        <v>ICTV202214423</v>
      </c>
      <c r="R1843" t="s">
        <v>579</v>
      </c>
      <c r="S1843" t="s">
        <v>823</v>
      </c>
      <c r="T1843">
        <v>38</v>
      </c>
      <c r="U1843" s="26" t="str">
        <f t="shared" si="61"/>
        <v>2022.001B.Aliceevansviridae.zip</v>
      </c>
    </row>
    <row r="1844" spans="1:21">
      <c r="A1844">
        <v>1843</v>
      </c>
      <c r="B1844" s="27" t="s">
        <v>1449</v>
      </c>
      <c r="D1844" s="27" t="s">
        <v>1450</v>
      </c>
      <c r="F1844" s="27" t="s">
        <v>1453</v>
      </c>
      <c r="H1844" s="27" t="s">
        <v>1454</v>
      </c>
      <c r="L1844" s="27" t="s">
        <v>4057</v>
      </c>
      <c r="N1844" s="27" t="s">
        <v>1390</v>
      </c>
      <c r="P1844" s="27" t="s">
        <v>4172</v>
      </c>
      <c r="Q1844" s="26" t="str">
        <f>HYPERLINK("https://ictv.global/taxonomy/taxondetails?taxnode_id=202514424&amp;ictv_id=ICTV202214424","ICTV202214424")</f>
        <v>ICTV202214424</v>
      </c>
      <c r="R1844" t="s">
        <v>579</v>
      </c>
      <c r="S1844" t="s">
        <v>823</v>
      </c>
      <c r="T1844">
        <v>38</v>
      </c>
      <c r="U1844" s="26" t="str">
        <f t="shared" si="61"/>
        <v>2022.001B.Aliceevansviridae.zip</v>
      </c>
    </row>
    <row r="1845" spans="1:21">
      <c r="A1845">
        <v>1844</v>
      </c>
      <c r="B1845" s="27" t="s">
        <v>1449</v>
      </c>
      <c r="D1845" s="27" t="s">
        <v>1450</v>
      </c>
      <c r="F1845" s="27" t="s">
        <v>1453</v>
      </c>
      <c r="H1845" s="27" t="s">
        <v>1454</v>
      </c>
      <c r="L1845" s="27" t="s">
        <v>4057</v>
      </c>
      <c r="N1845" s="27" t="s">
        <v>4173</v>
      </c>
      <c r="P1845" s="27" t="s">
        <v>4174</v>
      </c>
      <c r="Q1845" s="26" t="str">
        <f>HYPERLINK("https://ictv.global/taxonomy/taxondetails?taxnode_id=202514345&amp;ictv_id=ICTV202214345","ICTV202214345")</f>
        <v>ICTV202214345</v>
      </c>
      <c r="R1845" t="s">
        <v>579</v>
      </c>
      <c r="S1845" t="s">
        <v>823</v>
      </c>
      <c r="T1845">
        <v>38</v>
      </c>
      <c r="U1845" s="26" t="str">
        <f t="shared" si="61"/>
        <v>2022.001B.Aliceevansviridae.zip</v>
      </c>
    </row>
    <row r="1846" spans="1:21">
      <c r="A1846">
        <v>1845</v>
      </c>
      <c r="B1846" s="27" t="s">
        <v>1449</v>
      </c>
      <c r="D1846" s="27" t="s">
        <v>1450</v>
      </c>
      <c r="F1846" s="27" t="s">
        <v>1453</v>
      </c>
      <c r="H1846" s="27" t="s">
        <v>1454</v>
      </c>
      <c r="L1846" s="27" t="s">
        <v>4057</v>
      </c>
      <c r="N1846" s="27" t="s">
        <v>4173</v>
      </c>
      <c r="P1846" s="27" t="s">
        <v>4175</v>
      </c>
      <c r="Q1846" s="26" t="str">
        <f>HYPERLINK("https://ictv.global/taxonomy/taxondetails?taxnode_id=202514340&amp;ictv_id=ICTV202214340","ICTV202214340")</f>
        <v>ICTV202214340</v>
      </c>
      <c r="R1846" t="s">
        <v>579</v>
      </c>
      <c r="S1846" t="s">
        <v>823</v>
      </c>
      <c r="T1846">
        <v>38</v>
      </c>
      <c r="U1846" s="26" t="str">
        <f t="shared" si="61"/>
        <v>2022.001B.Aliceevansviridae.zip</v>
      </c>
    </row>
    <row r="1847" spans="1:21">
      <c r="A1847">
        <v>1846</v>
      </c>
      <c r="B1847" s="27" t="s">
        <v>1449</v>
      </c>
      <c r="D1847" s="27" t="s">
        <v>1450</v>
      </c>
      <c r="F1847" s="27" t="s">
        <v>1453</v>
      </c>
      <c r="H1847" s="27" t="s">
        <v>1454</v>
      </c>
      <c r="L1847" s="27" t="s">
        <v>4057</v>
      </c>
      <c r="N1847" s="27" t="s">
        <v>4173</v>
      </c>
      <c r="P1847" s="27" t="s">
        <v>4176</v>
      </c>
      <c r="Q1847" s="26" t="str">
        <f>HYPERLINK("https://ictv.global/taxonomy/taxondetails?taxnode_id=202514344&amp;ictv_id=ICTV202214344","ICTV202214344")</f>
        <v>ICTV202214344</v>
      </c>
      <c r="R1847" t="s">
        <v>579</v>
      </c>
      <c r="S1847" t="s">
        <v>823</v>
      </c>
      <c r="T1847">
        <v>38</v>
      </c>
      <c r="U1847" s="26" t="str">
        <f t="shared" si="61"/>
        <v>2022.001B.Aliceevansviridae.zip</v>
      </c>
    </row>
    <row r="1848" spans="1:21">
      <c r="A1848">
        <v>1847</v>
      </c>
      <c r="B1848" s="27" t="s">
        <v>1449</v>
      </c>
      <c r="D1848" s="27" t="s">
        <v>1450</v>
      </c>
      <c r="F1848" s="27" t="s">
        <v>1453</v>
      </c>
      <c r="H1848" s="27" t="s">
        <v>1454</v>
      </c>
      <c r="L1848" s="27" t="s">
        <v>4057</v>
      </c>
      <c r="N1848" s="27" t="s">
        <v>4173</v>
      </c>
      <c r="P1848" s="27" t="s">
        <v>4177</v>
      </c>
      <c r="Q1848" s="26" t="str">
        <f>HYPERLINK("https://ictv.global/taxonomy/taxondetails?taxnode_id=202514346&amp;ictv_id=ICTV202214346","ICTV202214346")</f>
        <v>ICTV202214346</v>
      </c>
      <c r="R1848" t="s">
        <v>579</v>
      </c>
      <c r="S1848" t="s">
        <v>823</v>
      </c>
      <c r="T1848">
        <v>38</v>
      </c>
      <c r="U1848" s="26" t="str">
        <f t="shared" si="61"/>
        <v>2022.001B.Aliceevansviridae.zip</v>
      </c>
    </row>
    <row r="1849" spans="1:21">
      <c r="A1849">
        <v>1848</v>
      </c>
      <c r="B1849" s="27" t="s">
        <v>1449</v>
      </c>
      <c r="D1849" s="27" t="s">
        <v>1450</v>
      </c>
      <c r="F1849" s="27" t="s">
        <v>1453</v>
      </c>
      <c r="H1849" s="27" t="s">
        <v>1454</v>
      </c>
      <c r="L1849" s="27" t="s">
        <v>4057</v>
      </c>
      <c r="N1849" s="27" t="s">
        <v>4173</v>
      </c>
      <c r="P1849" s="27" t="s">
        <v>4178</v>
      </c>
      <c r="Q1849" s="26" t="str">
        <f>HYPERLINK("https://ictv.global/taxonomy/taxondetails?taxnode_id=202514343&amp;ictv_id=ICTV202214343","ICTV202214343")</f>
        <v>ICTV202214343</v>
      </c>
      <c r="R1849" t="s">
        <v>579</v>
      </c>
      <c r="S1849" t="s">
        <v>823</v>
      </c>
      <c r="T1849">
        <v>38</v>
      </c>
      <c r="U1849" s="26" t="str">
        <f t="shared" si="61"/>
        <v>2022.001B.Aliceevansviridae.zip</v>
      </c>
    </row>
    <row r="1850" spans="1:21">
      <c r="A1850">
        <v>1849</v>
      </c>
      <c r="B1850" s="27" t="s">
        <v>1449</v>
      </c>
      <c r="D1850" s="27" t="s">
        <v>1450</v>
      </c>
      <c r="F1850" s="27" t="s">
        <v>1453</v>
      </c>
      <c r="H1850" s="27" t="s">
        <v>1454</v>
      </c>
      <c r="L1850" s="27" t="s">
        <v>4057</v>
      </c>
      <c r="N1850" s="27" t="s">
        <v>4173</v>
      </c>
      <c r="P1850" s="27" t="s">
        <v>4179</v>
      </c>
      <c r="Q1850" s="26" t="str">
        <f>HYPERLINK("https://ictv.global/taxonomy/taxondetails?taxnode_id=202514341&amp;ictv_id=ICTV202214341","ICTV202214341")</f>
        <v>ICTV202214341</v>
      </c>
      <c r="R1850" t="s">
        <v>579</v>
      </c>
      <c r="S1850" t="s">
        <v>823</v>
      </c>
      <c r="T1850">
        <v>38</v>
      </c>
      <c r="U1850" s="26" t="str">
        <f t="shared" si="61"/>
        <v>2022.001B.Aliceevansviridae.zip</v>
      </c>
    </row>
    <row r="1851" spans="1:21">
      <c r="A1851">
        <v>1850</v>
      </c>
      <c r="B1851" s="27" t="s">
        <v>1449</v>
      </c>
      <c r="D1851" s="27" t="s">
        <v>1450</v>
      </c>
      <c r="F1851" s="27" t="s">
        <v>1453</v>
      </c>
      <c r="H1851" s="27" t="s">
        <v>1454</v>
      </c>
      <c r="L1851" s="27" t="s">
        <v>4057</v>
      </c>
      <c r="N1851" s="27" t="s">
        <v>4173</v>
      </c>
      <c r="P1851" s="27" t="s">
        <v>4180</v>
      </c>
      <c r="Q1851" s="26" t="str">
        <f>HYPERLINK("https://ictv.global/taxonomy/taxondetails?taxnode_id=202514347&amp;ictv_id=ICTV202214347","ICTV202214347")</f>
        <v>ICTV202214347</v>
      </c>
      <c r="R1851" t="s">
        <v>579</v>
      </c>
      <c r="S1851" t="s">
        <v>823</v>
      </c>
      <c r="T1851">
        <v>38</v>
      </c>
      <c r="U1851" s="26" t="str">
        <f t="shared" si="61"/>
        <v>2022.001B.Aliceevansviridae.zip</v>
      </c>
    </row>
    <row r="1852" spans="1:21">
      <c r="A1852">
        <v>1851</v>
      </c>
      <c r="B1852" s="27" t="s">
        <v>1449</v>
      </c>
      <c r="D1852" s="27" t="s">
        <v>1450</v>
      </c>
      <c r="F1852" s="27" t="s">
        <v>1453</v>
      </c>
      <c r="H1852" s="27" t="s">
        <v>1454</v>
      </c>
      <c r="L1852" s="27" t="s">
        <v>4057</v>
      </c>
      <c r="N1852" s="27" t="s">
        <v>4173</v>
      </c>
      <c r="P1852" s="27" t="s">
        <v>4181</v>
      </c>
      <c r="Q1852" s="26" t="str">
        <f>HYPERLINK("https://ictv.global/taxonomy/taxondetails?taxnode_id=202514338&amp;ictv_id=ICTV202214338","ICTV202214338")</f>
        <v>ICTV202214338</v>
      </c>
      <c r="R1852" t="s">
        <v>579</v>
      </c>
      <c r="S1852" t="s">
        <v>823</v>
      </c>
      <c r="T1852">
        <v>38</v>
      </c>
      <c r="U1852" s="26" t="str">
        <f t="shared" si="61"/>
        <v>2022.001B.Aliceevansviridae.zip</v>
      </c>
    </row>
    <row r="1853" spans="1:21">
      <c r="A1853">
        <v>1852</v>
      </c>
      <c r="B1853" s="27" t="s">
        <v>1449</v>
      </c>
      <c r="D1853" s="27" t="s">
        <v>1450</v>
      </c>
      <c r="F1853" s="27" t="s">
        <v>1453</v>
      </c>
      <c r="H1853" s="27" t="s">
        <v>1454</v>
      </c>
      <c r="L1853" s="27" t="s">
        <v>4057</v>
      </c>
      <c r="N1853" s="27" t="s">
        <v>4173</v>
      </c>
      <c r="P1853" s="27" t="s">
        <v>4182</v>
      </c>
      <c r="Q1853" s="26" t="str">
        <f>HYPERLINK("https://ictv.global/taxonomy/taxondetails?taxnode_id=202514348&amp;ictv_id=ICTV202214348","ICTV202214348")</f>
        <v>ICTV202214348</v>
      </c>
      <c r="R1853" t="s">
        <v>579</v>
      </c>
      <c r="S1853" t="s">
        <v>823</v>
      </c>
      <c r="T1853">
        <v>38</v>
      </c>
      <c r="U1853" s="26" t="str">
        <f t="shared" si="61"/>
        <v>2022.001B.Aliceevansviridae.zip</v>
      </c>
    </row>
    <row r="1854" spans="1:21">
      <c r="A1854">
        <v>1853</v>
      </c>
      <c r="B1854" s="27" t="s">
        <v>1449</v>
      </c>
      <c r="D1854" s="27" t="s">
        <v>1450</v>
      </c>
      <c r="F1854" s="27" t="s">
        <v>1453</v>
      </c>
      <c r="H1854" s="27" t="s">
        <v>1454</v>
      </c>
      <c r="L1854" s="27" t="s">
        <v>4057</v>
      </c>
      <c r="N1854" s="27" t="s">
        <v>4173</v>
      </c>
      <c r="P1854" s="27" t="s">
        <v>4183</v>
      </c>
      <c r="Q1854" s="26" t="str">
        <f>HYPERLINK("https://ictv.global/taxonomy/taxondetails?taxnode_id=202514342&amp;ictv_id=ICTV202214342","ICTV202214342")</f>
        <v>ICTV202214342</v>
      </c>
      <c r="R1854" t="s">
        <v>579</v>
      </c>
      <c r="S1854" t="s">
        <v>823</v>
      </c>
      <c r="T1854">
        <v>38</v>
      </c>
      <c r="U1854" s="26" t="str">
        <f t="shared" si="61"/>
        <v>2022.001B.Aliceevansviridae.zip</v>
      </c>
    </row>
    <row r="1855" spans="1:21">
      <c r="A1855">
        <v>1854</v>
      </c>
      <c r="B1855" s="27" t="s">
        <v>1449</v>
      </c>
      <c r="D1855" s="27" t="s">
        <v>1450</v>
      </c>
      <c r="F1855" s="27" t="s">
        <v>1453</v>
      </c>
      <c r="H1855" s="27" t="s">
        <v>1454</v>
      </c>
      <c r="L1855" s="27" t="s">
        <v>4057</v>
      </c>
      <c r="N1855" s="27" t="s">
        <v>4173</v>
      </c>
      <c r="P1855" s="27" t="s">
        <v>4184</v>
      </c>
      <c r="Q1855" s="26" t="str">
        <f>HYPERLINK("https://ictv.global/taxonomy/taxondetails?taxnode_id=202514339&amp;ictv_id=ICTV202214339","ICTV202214339")</f>
        <v>ICTV202214339</v>
      </c>
      <c r="R1855" t="s">
        <v>579</v>
      </c>
      <c r="S1855" t="s">
        <v>823</v>
      </c>
      <c r="T1855">
        <v>38</v>
      </c>
      <c r="U1855" s="26" t="str">
        <f t="shared" si="61"/>
        <v>2022.001B.Aliceevansviridae.zip</v>
      </c>
    </row>
    <row r="1856" spans="1:21">
      <c r="A1856">
        <v>1855</v>
      </c>
      <c r="B1856" s="27" t="s">
        <v>1449</v>
      </c>
      <c r="D1856" s="27" t="s">
        <v>1450</v>
      </c>
      <c r="F1856" s="27" t="s">
        <v>1453</v>
      </c>
      <c r="H1856" s="27" t="s">
        <v>1454</v>
      </c>
      <c r="L1856" s="27" t="s">
        <v>19311</v>
      </c>
      <c r="N1856" s="27" t="s">
        <v>19312</v>
      </c>
      <c r="P1856" s="27" t="s">
        <v>19313</v>
      </c>
      <c r="Q1856" s="26" t="str">
        <f>HYPERLINK("https://ictv.global/taxonomy/taxondetails?taxnode_id=202519927&amp;ictv_id=ICTV202419927","ICTV202419927")</f>
        <v>ICTV202419927</v>
      </c>
      <c r="R1856" t="s">
        <v>579</v>
      </c>
      <c r="S1856" t="s">
        <v>823</v>
      </c>
      <c r="T1856">
        <v>40</v>
      </c>
      <c r="U1856" s="26" t="str">
        <f t="shared" ref="U1856:U1863" si="62">HYPERLINK("https://ictv.global/ictv/proposals/2024.001B.Alisviridae_Ludisviridae_Nixviridae_3nf_7ng_24ns.zip","2024.001B.Alisviridae_Ludisviridae_Nixviridae_3nf_7ng_24ns.zip")</f>
        <v>2024.001B.Alisviridae_Ludisviridae_Nixviridae_3nf_7ng_24ns.zip</v>
      </c>
    </row>
    <row r="1857" spans="1:21">
      <c r="A1857">
        <v>1856</v>
      </c>
      <c r="B1857" s="27" t="s">
        <v>1449</v>
      </c>
      <c r="D1857" s="27" t="s">
        <v>1450</v>
      </c>
      <c r="F1857" s="27" t="s">
        <v>1453</v>
      </c>
      <c r="H1857" s="27" t="s">
        <v>1454</v>
      </c>
      <c r="L1857" s="27" t="s">
        <v>19311</v>
      </c>
      <c r="N1857" s="27" t="s">
        <v>19312</v>
      </c>
      <c r="P1857" s="27" t="s">
        <v>19314</v>
      </c>
      <c r="Q1857" s="26" t="str">
        <f>HYPERLINK("https://ictv.global/taxonomy/taxondetails?taxnode_id=202519928&amp;ictv_id=ICTV202419928","ICTV202419928")</f>
        <v>ICTV202419928</v>
      </c>
      <c r="R1857" t="s">
        <v>579</v>
      </c>
      <c r="S1857" t="s">
        <v>823</v>
      </c>
      <c r="T1857">
        <v>40</v>
      </c>
      <c r="U1857" s="26" t="str">
        <f t="shared" si="62"/>
        <v>2024.001B.Alisviridae_Ludisviridae_Nixviridae_3nf_7ng_24ns.zip</v>
      </c>
    </row>
    <row r="1858" spans="1:21">
      <c r="A1858">
        <v>1857</v>
      </c>
      <c r="B1858" s="27" t="s">
        <v>1449</v>
      </c>
      <c r="D1858" s="27" t="s">
        <v>1450</v>
      </c>
      <c r="F1858" s="27" t="s">
        <v>1453</v>
      </c>
      <c r="H1858" s="27" t="s">
        <v>1454</v>
      </c>
      <c r="L1858" s="27" t="s">
        <v>19311</v>
      </c>
      <c r="N1858" s="27" t="s">
        <v>19312</v>
      </c>
      <c r="P1858" s="27" t="s">
        <v>19315</v>
      </c>
      <c r="Q1858" s="26" t="str">
        <f>HYPERLINK("https://ictv.global/taxonomy/taxondetails?taxnode_id=202519929&amp;ictv_id=ICTV202419929","ICTV202419929")</f>
        <v>ICTV202419929</v>
      </c>
      <c r="R1858" t="s">
        <v>579</v>
      </c>
      <c r="S1858" t="s">
        <v>823</v>
      </c>
      <c r="T1858">
        <v>40</v>
      </c>
      <c r="U1858" s="26" t="str">
        <f t="shared" si="62"/>
        <v>2024.001B.Alisviridae_Ludisviridae_Nixviridae_3nf_7ng_24ns.zip</v>
      </c>
    </row>
    <row r="1859" spans="1:21">
      <c r="A1859">
        <v>1858</v>
      </c>
      <c r="B1859" s="27" t="s">
        <v>1449</v>
      </c>
      <c r="D1859" s="27" t="s">
        <v>1450</v>
      </c>
      <c r="F1859" s="27" t="s">
        <v>1453</v>
      </c>
      <c r="H1859" s="27" t="s">
        <v>1454</v>
      </c>
      <c r="L1859" s="27" t="s">
        <v>19311</v>
      </c>
      <c r="N1859" s="27" t="s">
        <v>19312</v>
      </c>
      <c r="P1859" s="27" t="s">
        <v>19316</v>
      </c>
      <c r="Q1859" s="26" t="str">
        <f>HYPERLINK("https://ictv.global/taxonomy/taxondetails?taxnode_id=202519930&amp;ictv_id=ICTV202419930","ICTV202419930")</f>
        <v>ICTV202419930</v>
      </c>
      <c r="R1859" t="s">
        <v>579</v>
      </c>
      <c r="S1859" t="s">
        <v>823</v>
      </c>
      <c r="T1859">
        <v>40</v>
      </c>
      <c r="U1859" s="26" t="str">
        <f t="shared" si="62"/>
        <v>2024.001B.Alisviridae_Ludisviridae_Nixviridae_3nf_7ng_24ns.zip</v>
      </c>
    </row>
    <row r="1860" spans="1:21">
      <c r="A1860">
        <v>1859</v>
      </c>
      <c r="B1860" s="27" t="s">
        <v>1449</v>
      </c>
      <c r="D1860" s="27" t="s">
        <v>1450</v>
      </c>
      <c r="F1860" s="27" t="s">
        <v>1453</v>
      </c>
      <c r="H1860" s="27" t="s">
        <v>1454</v>
      </c>
      <c r="L1860" s="27" t="s">
        <v>19311</v>
      </c>
      <c r="N1860" s="27" t="s">
        <v>19312</v>
      </c>
      <c r="P1860" s="27" t="s">
        <v>19317</v>
      </c>
      <c r="Q1860" s="26" t="str">
        <f>HYPERLINK("https://ictv.global/taxonomy/taxondetails?taxnode_id=202519931&amp;ictv_id=ICTV202419931","ICTV202419931")</f>
        <v>ICTV202419931</v>
      </c>
      <c r="R1860" t="s">
        <v>579</v>
      </c>
      <c r="S1860" t="s">
        <v>823</v>
      </c>
      <c r="T1860">
        <v>40</v>
      </c>
      <c r="U1860" s="26" t="str">
        <f t="shared" si="62"/>
        <v>2024.001B.Alisviridae_Ludisviridae_Nixviridae_3nf_7ng_24ns.zip</v>
      </c>
    </row>
    <row r="1861" spans="1:21">
      <c r="A1861">
        <v>1860</v>
      </c>
      <c r="B1861" s="27" t="s">
        <v>1449</v>
      </c>
      <c r="D1861" s="27" t="s">
        <v>1450</v>
      </c>
      <c r="F1861" s="27" t="s">
        <v>1453</v>
      </c>
      <c r="H1861" s="27" t="s">
        <v>1454</v>
      </c>
      <c r="L1861" s="27" t="s">
        <v>19311</v>
      </c>
      <c r="N1861" s="27" t="s">
        <v>19312</v>
      </c>
      <c r="P1861" s="27" t="s">
        <v>19318</v>
      </c>
      <c r="Q1861" s="26" t="str">
        <f>HYPERLINK("https://ictv.global/taxonomy/taxondetails?taxnode_id=202519932&amp;ictv_id=ICTV202419932","ICTV202419932")</f>
        <v>ICTV202419932</v>
      </c>
      <c r="R1861" t="s">
        <v>579</v>
      </c>
      <c r="S1861" t="s">
        <v>823</v>
      </c>
      <c r="T1861">
        <v>40</v>
      </c>
      <c r="U1861" s="26" t="str">
        <f t="shared" si="62"/>
        <v>2024.001B.Alisviridae_Ludisviridae_Nixviridae_3nf_7ng_24ns.zip</v>
      </c>
    </row>
    <row r="1862" spans="1:21">
      <c r="A1862">
        <v>1861</v>
      </c>
      <c r="B1862" s="27" t="s">
        <v>1449</v>
      </c>
      <c r="D1862" s="27" t="s">
        <v>1450</v>
      </c>
      <c r="F1862" s="27" t="s">
        <v>1453</v>
      </c>
      <c r="H1862" s="27" t="s">
        <v>1454</v>
      </c>
      <c r="L1862" s="27" t="s">
        <v>19311</v>
      </c>
      <c r="N1862" s="27" t="s">
        <v>19312</v>
      </c>
      <c r="P1862" s="27" t="s">
        <v>19319</v>
      </c>
      <c r="Q1862" s="26" t="str">
        <f>HYPERLINK("https://ictv.global/taxonomy/taxondetails?taxnode_id=202519933&amp;ictv_id=ICTV202419933","ICTV202419933")</f>
        <v>ICTV202419933</v>
      </c>
      <c r="R1862" t="s">
        <v>579</v>
      </c>
      <c r="S1862" t="s">
        <v>823</v>
      </c>
      <c r="T1862">
        <v>40</v>
      </c>
      <c r="U1862" s="26" t="str">
        <f t="shared" si="62"/>
        <v>2024.001B.Alisviridae_Ludisviridae_Nixviridae_3nf_7ng_24ns.zip</v>
      </c>
    </row>
    <row r="1863" spans="1:21">
      <c r="A1863">
        <v>1862</v>
      </c>
      <c r="B1863" s="27" t="s">
        <v>1449</v>
      </c>
      <c r="D1863" s="27" t="s">
        <v>1450</v>
      </c>
      <c r="F1863" s="27" t="s">
        <v>1453</v>
      </c>
      <c r="H1863" s="27" t="s">
        <v>1454</v>
      </c>
      <c r="L1863" s="27" t="s">
        <v>19311</v>
      </c>
      <c r="N1863" s="27" t="s">
        <v>19312</v>
      </c>
      <c r="P1863" s="27" t="s">
        <v>19320</v>
      </c>
      <c r="Q1863" s="26" t="str">
        <f>HYPERLINK("https://ictv.global/taxonomy/taxondetails?taxnode_id=202519934&amp;ictv_id=ICTV202419934","ICTV202419934")</f>
        <v>ICTV202419934</v>
      </c>
      <c r="R1863" t="s">
        <v>579</v>
      </c>
      <c r="S1863" t="s">
        <v>823</v>
      </c>
      <c r="T1863">
        <v>40</v>
      </c>
      <c r="U1863" s="26" t="str">
        <f t="shared" si="62"/>
        <v>2024.001B.Alisviridae_Ludisviridae_Nixviridae_3nf_7ng_24ns.zip</v>
      </c>
    </row>
    <row r="1864" spans="1:21">
      <c r="A1864">
        <v>1863</v>
      </c>
      <c r="B1864" s="27" t="s">
        <v>1449</v>
      </c>
      <c r="D1864" s="27" t="s">
        <v>1450</v>
      </c>
      <c r="F1864" s="27" t="s">
        <v>1453</v>
      </c>
      <c r="H1864" s="27" t="s">
        <v>1454</v>
      </c>
      <c r="L1864" s="27" t="s">
        <v>21084</v>
      </c>
      <c r="N1864" s="27" t="s">
        <v>21085</v>
      </c>
      <c r="P1864" s="27" t="s">
        <v>21087</v>
      </c>
      <c r="Q1864" s="26" t="str">
        <f>HYPERLINK("https://ictv.global/taxonomy/taxondetails?taxnode_id=202522032&amp;ictv_id=ICTV202522032","ICTV202522032")</f>
        <v>ICTV202522032</v>
      </c>
      <c r="R1864" t="s">
        <v>579</v>
      </c>
      <c r="S1864" t="s">
        <v>823</v>
      </c>
      <c r="T1864">
        <v>41</v>
      </c>
      <c r="U1864" s="26" t="str">
        <f>HYPERLINK("https://ictv.global/ictv/proposals/2025.001A.Crust_viruses_6nf.zip","2025.001A.Crust_viruses_6nf.zip")</f>
        <v>2025.001A.Crust_viruses_6nf.zip</v>
      </c>
    </row>
    <row r="1865" spans="1:21">
      <c r="A1865">
        <v>1864</v>
      </c>
      <c r="B1865" s="27" t="s">
        <v>1449</v>
      </c>
      <c r="D1865" s="27" t="s">
        <v>1450</v>
      </c>
      <c r="F1865" s="27" t="s">
        <v>1453</v>
      </c>
      <c r="H1865" s="27" t="s">
        <v>1454</v>
      </c>
      <c r="L1865" s="27" t="s">
        <v>21084</v>
      </c>
      <c r="N1865" s="27" t="s">
        <v>21085</v>
      </c>
      <c r="P1865" s="27" t="s">
        <v>21086</v>
      </c>
      <c r="Q1865" s="26" t="str">
        <f>HYPERLINK("https://ictv.global/taxonomy/taxondetails?taxnode_id=202522031&amp;ictv_id=ICTV202522031","ICTV202522031")</f>
        <v>ICTV202522031</v>
      </c>
      <c r="R1865" t="s">
        <v>579</v>
      </c>
      <c r="S1865" t="s">
        <v>823</v>
      </c>
      <c r="T1865">
        <v>41</v>
      </c>
      <c r="U1865" s="26" t="str">
        <f>HYPERLINK("https://ictv.global/ictv/proposals/2025.001A.Crust_viruses_6nf.zip","2025.001A.Crust_viruses_6nf.zip")</f>
        <v>2025.001A.Crust_viruses_6nf.zip</v>
      </c>
    </row>
    <row r="1866" spans="1:21">
      <c r="A1866">
        <v>1865</v>
      </c>
      <c r="B1866" s="27" t="s">
        <v>1449</v>
      </c>
      <c r="D1866" s="27" t="s">
        <v>1450</v>
      </c>
      <c r="F1866" s="27" t="s">
        <v>1453</v>
      </c>
      <c r="H1866" s="27" t="s">
        <v>1454</v>
      </c>
      <c r="L1866" s="27" t="s">
        <v>20764</v>
      </c>
      <c r="M1866" s="27" t="s">
        <v>6265</v>
      </c>
      <c r="N1866" s="27" t="s">
        <v>6266</v>
      </c>
      <c r="P1866" s="27" t="s">
        <v>22755</v>
      </c>
      <c r="Q1866" s="26" t="str">
        <f>HYPERLINK("https://ictv.global/taxonomy/taxondetails?taxnode_id=202523325&amp;ictv_id=ICTV202523325","ICTV202523325")</f>
        <v>ICTV202523325</v>
      </c>
      <c r="R1866" t="s">
        <v>579</v>
      </c>
      <c r="S1866" t="s">
        <v>823</v>
      </c>
      <c r="T1866">
        <v>41</v>
      </c>
      <c r="U1866" s="26" t="str">
        <f t="shared" ref="U1866:U1893" si="63">HYPERLINK("https://ictv.global/ictv/proposals/2025.090B.Anamaviridae_1nf.zip","2025.090B.Anamaviridae_1nf.zip")</f>
        <v>2025.090B.Anamaviridae_1nf.zip</v>
      </c>
    </row>
    <row r="1867" spans="1:21">
      <c r="A1867">
        <v>1866</v>
      </c>
      <c r="B1867" s="27" t="s">
        <v>1449</v>
      </c>
      <c r="D1867" s="27" t="s">
        <v>1450</v>
      </c>
      <c r="F1867" s="27" t="s">
        <v>1453</v>
      </c>
      <c r="H1867" s="27" t="s">
        <v>1454</v>
      </c>
      <c r="L1867" s="27" t="s">
        <v>20764</v>
      </c>
      <c r="M1867" s="27" t="s">
        <v>6265</v>
      </c>
      <c r="N1867" s="27" t="s">
        <v>6266</v>
      </c>
      <c r="P1867" s="27" t="s">
        <v>6267</v>
      </c>
      <c r="Q1867" s="26" t="str">
        <f>HYPERLINK("https://ictv.global/taxonomy/taxondetails?taxnode_id=202512352&amp;ictv_id=ICTV202112352","ICTV202112352")</f>
        <v>ICTV202112352</v>
      </c>
      <c r="R1867" t="s">
        <v>579</v>
      </c>
      <c r="S1867" t="s">
        <v>22763</v>
      </c>
      <c r="T1867">
        <v>41</v>
      </c>
      <c r="U1867" s="26" t="str">
        <f t="shared" si="63"/>
        <v>2025.090B.Anamaviridae_1nf.zip</v>
      </c>
    </row>
    <row r="1868" spans="1:21">
      <c r="A1868">
        <v>1867</v>
      </c>
      <c r="B1868" s="27" t="s">
        <v>1449</v>
      </c>
      <c r="D1868" s="27" t="s">
        <v>1450</v>
      </c>
      <c r="F1868" s="27" t="s">
        <v>1453</v>
      </c>
      <c r="H1868" s="27" t="s">
        <v>1454</v>
      </c>
      <c r="L1868" s="27" t="s">
        <v>20764</v>
      </c>
      <c r="M1868" s="27" t="s">
        <v>6265</v>
      </c>
      <c r="N1868" s="27" t="s">
        <v>6266</v>
      </c>
      <c r="P1868" s="27" t="s">
        <v>22756</v>
      </c>
      <c r="Q1868" s="26" t="str">
        <f>HYPERLINK("https://ictv.global/taxonomy/taxondetails?taxnode_id=202523326&amp;ictv_id=ICTV202523326","ICTV202523326")</f>
        <v>ICTV202523326</v>
      </c>
      <c r="R1868" t="s">
        <v>579</v>
      </c>
      <c r="S1868" t="s">
        <v>823</v>
      </c>
      <c r="T1868">
        <v>41</v>
      </c>
      <c r="U1868" s="26" t="str">
        <f t="shared" si="63"/>
        <v>2025.090B.Anamaviridae_1nf.zip</v>
      </c>
    </row>
    <row r="1869" spans="1:21">
      <c r="A1869">
        <v>1868</v>
      </c>
      <c r="B1869" s="27" t="s">
        <v>1449</v>
      </c>
      <c r="D1869" s="27" t="s">
        <v>1450</v>
      </c>
      <c r="F1869" s="27" t="s">
        <v>1453</v>
      </c>
      <c r="H1869" s="27" t="s">
        <v>1454</v>
      </c>
      <c r="L1869" s="27" t="s">
        <v>20764</v>
      </c>
      <c r="M1869" s="27" t="s">
        <v>6265</v>
      </c>
      <c r="N1869" s="27" t="s">
        <v>6266</v>
      </c>
      <c r="P1869" s="27" t="s">
        <v>6268</v>
      </c>
      <c r="Q1869" s="26" t="str">
        <f>HYPERLINK("https://ictv.global/taxonomy/taxondetails?taxnode_id=202512353&amp;ictv_id=ICTV202112353","ICTV202112353")</f>
        <v>ICTV202112353</v>
      </c>
      <c r="R1869" t="s">
        <v>579</v>
      </c>
      <c r="S1869" t="s">
        <v>22763</v>
      </c>
      <c r="T1869">
        <v>41</v>
      </c>
      <c r="U1869" s="26" t="str">
        <f t="shared" si="63"/>
        <v>2025.090B.Anamaviridae_1nf.zip</v>
      </c>
    </row>
    <row r="1870" spans="1:21">
      <c r="A1870">
        <v>1869</v>
      </c>
      <c r="B1870" s="27" t="s">
        <v>1449</v>
      </c>
      <c r="D1870" s="27" t="s">
        <v>1450</v>
      </c>
      <c r="F1870" s="27" t="s">
        <v>1453</v>
      </c>
      <c r="H1870" s="27" t="s">
        <v>1454</v>
      </c>
      <c r="L1870" s="27" t="s">
        <v>20764</v>
      </c>
      <c r="M1870" s="27" t="s">
        <v>6265</v>
      </c>
      <c r="N1870" s="27" t="s">
        <v>6269</v>
      </c>
      <c r="P1870" s="27" t="s">
        <v>6270</v>
      </c>
      <c r="Q1870" s="26" t="str">
        <f>HYPERLINK("https://ictv.global/taxonomy/taxondetails?taxnode_id=202500406&amp;ictv_id=ICTV20115459","ICTV20115459")</f>
        <v>ICTV20115459</v>
      </c>
      <c r="R1870" t="s">
        <v>579</v>
      </c>
      <c r="S1870" t="s">
        <v>22763</v>
      </c>
      <c r="T1870">
        <v>41</v>
      </c>
      <c r="U1870" s="26" t="str">
        <f t="shared" si="63"/>
        <v>2025.090B.Anamaviridae_1nf.zip</v>
      </c>
    </row>
    <row r="1871" spans="1:21">
      <c r="A1871">
        <v>1870</v>
      </c>
      <c r="B1871" s="27" t="s">
        <v>1449</v>
      </c>
      <c r="D1871" s="27" t="s">
        <v>1450</v>
      </c>
      <c r="F1871" s="27" t="s">
        <v>1453</v>
      </c>
      <c r="H1871" s="27" t="s">
        <v>1454</v>
      </c>
      <c r="L1871" s="27" t="s">
        <v>20764</v>
      </c>
      <c r="M1871" s="27" t="s">
        <v>6265</v>
      </c>
      <c r="N1871" s="27" t="s">
        <v>6269</v>
      </c>
      <c r="P1871" s="27" t="s">
        <v>22751</v>
      </c>
      <c r="Q1871" s="26" t="str">
        <f>HYPERLINK("https://ictv.global/taxonomy/taxondetails?taxnode_id=202523321&amp;ictv_id=ICTV202523321","ICTV202523321")</f>
        <v>ICTV202523321</v>
      </c>
      <c r="R1871" t="s">
        <v>579</v>
      </c>
      <c r="S1871" t="s">
        <v>823</v>
      </c>
      <c r="T1871">
        <v>41</v>
      </c>
      <c r="U1871" s="26" t="str">
        <f t="shared" si="63"/>
        <v>2025.090B.Anamaviridae_1nf.zip</v>
      </c>
    </row>
    <row r="1872" spans="1:21">
      <c r="A1872">
        <v>1871</v>
      </c>
      <c r="B1872" s="27" t="s">
        <v>1449</v>
      </c>
      <c r="D1872" s="27" t="s">
        <v>1450</v>
      </c>
      <c r="F1872" s="27" t="s">
        <v>1453</v>
      </c>
      <c r="H1872" s="27" t="s">
        <v>1454</v>
      </c>
      <c r="L1872" s="27" t="s">
        <v>20764</v>
      </c>
      <c r="M1872" s="27" t="s">
        <v>6265</v>
      </c>
      <c r="N1872" s="27" t="s">
        <v>6269</v>
      </c>
      <c r="P1872" s="27" t="s">
        <v>22752</v>
      </c>
      <c r="Q1872" s="26" t="str">
        <f>HYPERLINK("https://ictv.global/taxonomy/taxondetails?taxnode_id=202523322&amp;ictv_id=ICTV202523322","ICTV202523322")</f>
        <v>ICTV202523322</v>
      </c>
      <c r="R1872" t="s">
        <v>579</v>
      </c>
      <c r="S1872" t="s">
        <v>823</v>
      </c>
      <c r="T1872">
        <v>41</v>
      </c>
      <c r="U1872" s="26" t="str">
        <f t="shared" si="63"/>
        <v>2025.090B.Anamaviridae_1nf.zip</v>
      </c>
    </row>
    <row r="1873" spans="1:21">
      <c r="A1873">
        <v>1872</v>
      </c>
      <c r="B1873" s="27" t="s">
        <v>1449</v>
      </c>
      <c r="D1873" s="27" t="s">
        <v>1450</v>
      </c>
      <c r="F1873" s="27" t="s">
        <v>1453</v>
      </c>
      <c r="H1873" s="27" t="s">
        <v>1454</v>
      </c>
      <c r="L1873" s="27" t="s">
        <v>20764</v>
      </c>
      <c r="M1873" s="27" t="s">
        <v>6265</v>
      </c>
      <c r="N1873" s="27" t="s">
        <v>6269</v>
      </c>
      <c r="P1873" s="27" t="s">
        <v>6271</v>
      </c>
      <c r="Q1873" s="26" t="str">
        <f>HYPERLINK("https://ictv.global/taxonomy/taxondetails?taxnode_id=202512349&amp;ictv_id=ICTV202112349","ICTV202112349")</f>
        <v>ICTV202112349</v>
      </c>
      <c r="R1873" t="s">
        <v>579</v>
      </c>
      <c r="S1873" t="s">
        <v>22763</v>
      </c>
      <c r="T1873">
        <v>41</v>
      </c>
      <c r="U1873" s="26" t="str">
        <f t="shared" si="63"/>
        <v>2025.090B.Anamaviridae_1nf.zip</v>
      </c>
    </row>
    <row r="1874" spans="1:21">
      <c r="A1874">
        <v>1873</v>
      </c>
      <c r="B1874" s="27" t="s">
        <v>1449</v>
      </c>
      <c r="D1874" s="27" t="s">
        <v>1450</v>
      </c>
      <c r="F1874" s="27" t="s">
        <v>1453</v>
      </c>
      <c r="H1874" s="27" t="s">
        <v>1454</v>
      </c>
      <c r="L1874" s="27" t="s">
        <v>20764</v>
      </c>
      <c r="M1874" s="27" t="s">
        <v>6265</v>
      </c>
      <c r="N1874" s="27" t="s">
        <v>6269</v>
      </c>
      <c r="P1874" s="27" t="s">
        <v>22747</v>
      </c>
      <c r="Q1874" s="26" t="str">
        <f>HYPERLINK("https://ictv.global/taxonomy/taxondetails?taxnode_id=202523317&amp;ictv_id=ICTV202523317","ICTV202523317")</f>
        <v>ICTV202523317</v>
      </c>
      <c r="R1874" t="s">
        <v>579</v>
      </c>
      <c r="S1874" t="s">
        <v>823</v>
      </c>
      <c r="T1874">
        <v>41</v>
      </c>
      <c r="U1874" s="26" t="str">
        <f t="shared" si="63"/>
        <v>2025.090B.Anamaviridae_1nf.zip</v>
      </c>
    </row>
    <row r="1875" spans="1:21">
      <c r="A1875">
        <v>1874</v>
      </c>
      <c r="B1875" s="27" t="s">
        <v>1449</v>
      </c>
      <c r="D1875" s="27" t="s">
        <v>1450</v>
      </c>
      <c r="F1875" s="27" t="s">
        <v>1453</v>
      </c>
      <c r="H1875" s="27" t="s">
        <v>1454</v>
      </c>
      <c r="L1875" s="27" t="s">
        <v>20764</v>
      </c>
      <c r="M1875" s="27" t="s">
        <v>6265</v>
      </c>
      <c r="N1875" s="27" t="s">
        <v>6269</v>
      </c>
      <c r="P1875" s="27" t="s">
        <v>22748</v>
      </c>
      <c r="Q1875" s="26" t="str">
        <f>HYPERLINK("https://ictv.global/taxonomy/taxondetails?taxnode_id=202523318&amp;ictv_id=ICTV202523318","ICTV202523318")</f>
        <v>ICTV202523318</v>
      </c>
      <c r="R1875" t="s">
        <v>579</v>
      </c>
      <c r="S1875" t="s">
        <v>823</v>
      </c>
      <c r="T1875">
        <v>41</v>
      </c>
      <c r="U1875" s="26" t="str">
        <f t="shared" si="63"/>
        <v>2025.090B.Anamaviridae_1nf.zip</v>
      </c>
    </row>
    <row r="1876" spans="1:21">
      <c r="A1876">
        <v>1875</v>
      </c>
      <c r="B1876" s="27" t="s">
        <v>1449</v>
      </c>
      <c r="D1876" s="27" t="s">
        <v>1450</v>
      </c>
      <c r="F1876" s="27" t="s">
        <v>1453</v>
      </c>
      <c r="H1876" s="27" t="s">
        <v>1454</v>
      </c>
      <c r="L1876" s="27" t="s">
        <v>20764</v>
      </c>
      <c r="M1876" s="27" t="s">
        <v>6265</v>
      </c>
      <c r="N1876" s="27" t="s">
        <v>6269</v>
      </c>
      <c r="P1876" s="27" t="s">
        <v>22746</v>
      </c>
      <c r="Q1876" s="26" t="str">
        <f>HYPERLINK("https://ictv.global/taxonomy/taxondetails?taxnode_id=202523316&amp;ictv_id=ICTV202523316","ICTV202523316")</f>
        <v>ICTV202523316</v>
      </c>
      <c r="R1876" t="s">
        <v>579</v>
      </c>
      <c r="S1876" t="s">
        <v>823</v>
      </c>
      <c r="T1876">
        <v>41</v>
      </c>
      <c r="U1876" s="26" t="str">
        <f t="shared" si="63"/>
        <v>2025.090B.Anamaviridae_1nf.zip</v>
      </c>
    </row>
    <row r="1877" spans="1:21">
      <c r="A1877">
        <v>1876</v>
      </c>
      <c r="B1877" s="27" t="s">
        <v>1449</v>
      </c>
      <c r="D1877" s="27" t="s">
        <v>1450</v>
      </c>
      <c r="F1877" s="27" t="s">
        <v>1453</v>
      </c>
      <c r="H1877" s="27" t="s">
        <v>1454</v>
      </c>
      <c r="L1877" s="27" t="s">
        <v>20764</v>
      </c>
      <c r="M1877" s="27" t="s">
        <v>6265</v>
      </c>
      <c r="N1877" s="27" t="s">
        <v>6269</v>
      </c>
      <c r="P1877" s="27" t="s">
        <v>22749</v>
      </c>
      <c r="Q1877" s="26" t="str">
        <f>HYPERLINK("https://ictv.global/taxonomy/taxondetails?taxnode_id=202523319&amp;ictv_id=ICTV202523319","ICTV202523319")</f>
        <v>ICTV202523319</v>
      </c>
      <c r="R1877" t="s">
        <v>579</v>
      </c>
      <c r="S1877" t="s">
        <v>823</v>
      </c>
      <c r="T1877">
        <v>41</v>
      </c>
      <c r="U1877" s="26" t="str">
        <f t="shared" si="63"/>
        <v>2025.090B.Anamaviridae_1nf.zip</v>
      </c>
    </row>
    <row r="1878" spans="1:21">
      <c r="A1878">
        <v>1877</v>
      </c>
      <c r="B1878" s="27" t="s">
        <v>1449</v>
      </c>
      <c r="D1878" s="27" t="s">
        <v>1450</v>
      </c>
      <c r="F1878" s="27" t="s">
        <v>1453</v>
      </c>
      <c r="H1878" s="27" t="s">
        <v>1454</v>
      </c>
      <c r="L1878" s="27" t="s">
        <v>20764</v>
      </c>
      <c r="M1878" s="27" t="s">
        <v>6265</v>
      </c>
      <c r="N1878" s="27" t="s">
        <v>6269</v>
      </c>
      <c r="P1878" s="27" t="s">
        <v>22750</v>
      </c>
      <c r="Q1878" s="26" t="str">
        <f>HYPERLINK("https://ictv.global/taxonomy/taxondetails?taxnode_id=202523320&amp;ictv_id=ICTV202523320","ICTV202523320")</f>
        <v>ICTV202523320</v>
      </c>
      <c r="R1878" t="s">
        <v>579</v>
      </c>
      <c r="S1878" t="s">
        <v>823</v>
      </c>
      <c r="T1878">
        <v>41</v>
      </c>
      <c r="U1878" s="26" t="str">
        <f t="shared" si="63"/>
        <v>2025.090B.Anamaviridae_1nf.zip</v>
      </c>
    </row>
    <row r="1879" spans="1:21">
      <c r="A1879">
        <v>1878</v>
      </c>
      <c r="B1879" s="27" t="s">
        <v>1449</v>
      </c>
      <c r="D1879" s="27" t="s">
        <v>1450</v>
      </c>
      <c r="F1879" s="27" t="s">
        <v>1453</v>
      </c>
      <c r="H1879" s="27" t="s">
        <v>1454</v>
      </c>
      <c r="L1879" s="27" t="s">
        <v>20764</v>
      </c>
      <c r="M1879" s="27" t="s">
        <v>6265</v>
      </c>
      <c r="N1879" s="27" t="s">
        <v>6269</v>
      </c>
      <c r="P1879" s="27" t="s">
        <v>6272</v>
      </c>
      <c r="Q1879" s="26" t="str">
        <f>HYPERLINK("https://ictv.global/taxonomy/taxondetails?taxnode_id=202512350&amp;ictv_id=ICTV202112350","ICTV202112350")</f>
        <v>ICTV202112350</v>
      </c>
      <c r="R1879" t="s">
        <v>579</v>
      </c>
      <c r="S1879" t="s">
        <v>22763</v>
      </c>
      <c r="T1879">
        <v>41</v>
      </c>
      <c r="U1879" s="26" t="str">
        <f t="shared" si="63"/>
        <v>2025.090B.Anamaviridae_1nf.zip</v>
      </c>
    </row>
    <row r="1880" spans="1:21">
      <c r="A1880">
        <v>1879</v>
      </c>
      <c r="B1880" s="27" t="s">
        <v>1449</v>
      </c>
      <c r="D1880" s="27" t="s">
        <v>1450</v>
      </c>
      <c r="F1880" s="27" t="s">
        <v>1453</v>
      </c>
      <c r="H1880" s="27" t="s">
        <v>1454</v>
      </c>
      <c r="L1880" s="27" t="s">
        <v>20764</v>
      </c>
      <c r="M1880" s="27" t="s">
        <v>6265</v>
      </c>
      <c r="N1880" s="27" t="s">
        <v>6269</v>
      </c>
      <c r="P1880" s="27" t="s">
        <v>22754</v>
      </c>
      <c r="Q1880" s="26" t="str">
        <f>HYPERLINK("https://ictv.global/taxonomy/taxondetails?taxnode_id=202523324&amp;ictv_id=ICTV202523324","ICTV202523324")</f>
        <v>ICTV202523324</v>
      </c>
      <c r="R1880" t="s">
        <v>579</v>
      </c>
      <c r="S1880" t="s">
        <v>823</v>
      </c>
      <c r="T1880">
        <v>41</v>
      </c>
      <c r="U1880" s="26" t="str">
        <f t="shared" si="63"/>
        <v>2025.090B.Anamaviridae_1nf.zip</v>
      </c>
    </row>
    <row r="1881" spans="1:21">
      <c r="A1881">
        <v>1880</v>
      </c>
      <c r="B1881" s="27" t="s">
        <v>1449</v>
      </c>
      <c r="D1881" s="27" t="s">
        <v>1450</v>
      </c>
      <c r="F1881" s="27" t="s">
        <v>1453</v>
      </c>
      <c r="H1881" s="27" t="s">
        <v>1454</v>
      </c>
      <c r="L1881" s="27" t="s">
        <v>20764</v>
      </c>
      <c r="M1881" s="27" t="s">
        <v>6265</v>
      </c>
      <c r="N1881" s="27" t="s">
        <v>6269</v>
      </c>
      <c r="P1881" s="27" t="s">
        <v>22753</v>
      </c>
      <c r="Q1881" s="26" t="str">
        <f>HYPERLINK("https://ictv.global/taxonomy/taxondetails?taxnode_id=202523323&amp;ictv_id=ICTV202523323","ICTV202523323")</f>
        <v>ICTV202523323</v>
      </c>
      <c r="R1881" t="s">
        <v>579</v>
      </c>
      <c r="S1881" t="s">
        <v>823</v>
      </c>
      <c r="T1881">
        <v>41</v>
      </c>
      <c r="U1881" s="26" t="str">
        <f t="shared" si="63"/>
        <v>2025.090B.Anamaviridae_1nf.zip</v>
      </c>
    </row>
    <row r="1882" spans="1:21">
      <c r="A1882">
        <v>1881</v>
      </c>
      <c r="B1882" s="27" t="s">
        <v>1449</v>
      </c>
      <c r="D1882" s="27" t="s">
        <v>1450</v>
      </c>
      <c r="F1882" s="27" t="s">
        <v>1453</v>
      </c>
      <c r="H1882" s="27" t="s">
        <v>1454</v>
      </c>
      <c r="L1882" s="27" t="s">
        <v>20764</v>
      </c>
      <c r="M1882" s="27" t="s">
        <v>6265</v>
      </c>
      <c r="N1882" s="27" t="s">
        <v>22757</v>
      </c>
      <c r="P1882" s="27" t="s">
        <v>22758</v>
      </c>
      <c r="Q1882" s="26" t="str">
        <f>HYPERLINK("https://ictv.global/taxonomy/taxondetails?taxnode_id=202523327&amp;ictv_id=ICTV202523327","ICTV202523327")</f>
        <v>ICTV202523327</v>
      </c>
      <c r="R1882" t="s">
        <v>579</v>
      </c>
      <c r="S1882" t="s">
        <v>823</v>
      </c>
      <c r="T1882">
        <v>41</v>
      </c>
      <c r="U1882" s="26" t="str">
        <f t="shared" si="63"/>
        <v>2025.090B.Anamaviridae_1nf.zip</v>
      </c>
    </row>
    <row r="1883" spans="1:21">
      <c r="A1883">
        <v>1882</v>
      </c>
      <c r="B1883" s="27" t="s">
        <v>1449</v>
      </c>
      <c r="D1883" s="27" t="s">
        <v>1450</v>
      </c>
      <c r="F1883" s="27" t="s">
        <v>1453</v>
      </c>
      <c r="H1883" s="27" t="s">
        <v>1454</v>
      </c>
      <c r="L1883" s="27" t="s">
        <v>20764</v>
      </c>
      <c r="M1883" s="27" t="s">
        <v>20765</v>
      </c>
      <c r="N1883" s="27" t="s">
        <v>2092</v>
      </c>
      <c r="P1883" s="27" t="s">
        <v>22743</v>
      </c>
      <c r="Q1883" s="26" t="str">
        <f>HYPERLINK("https://ictv.global/taxonomy/taxondetails?taxnode_id=202523313&amp;ictv_id=ICTV202523313","ICTV202523313")</f>
        <v>ICTV202523313</v>
      </c>
      <c r="R1883" t="s">
        <v>579</v>
      </c>
      <c r="S1883" t="s">
        <v>823</v>
      </c>
      <c r="T1883">
        <v>41</v>
      </c>
      <c r="U1883" s="26" t="str">
        <f t="shared" si="63"/>
        <v>2025.090B.Anamaviridae_1nf.zip</v>
      </c>
    </row>
    <row r="1884" spans="1:21">
      <c r="A1884">
        <v>1883</v>
      </c>
      <c r="B1884" s="27" t="s">
        <v>1449</v>
      </c>
      <c r="D1884" s="27" t="s">
        <v>1450</v>
      </c>
      <c r="F1884" s="27" t="s">
        <v>1453</v>
      </c>
      <c r="H1884" s="27" t="s">
        <v>1454</v>
      </c>
      <c r="L1884" s="27" t="s">
        <v>20764</v>
      </c>
      <c r="M1884" s="27" t="s">
        <v>20765</v>
      </c>
      <c r="N1884" s="27" t="s">
        <v>2092</v>
      </c>
      <c r="P1884" s="27" t="s">
        <v>6658</v>
      </c>
      <c r="Q1884" s="26" t="str">
        <f>HYPERLINK("https://ictv.global/taxonomy/taxondetails?taxnode_id=202511649&amp;ictv_id=ICTV202011649","ICTV202011649")</f>
        <v>ICTV202011649</v>
      </c>
      <c r="R1884" t="s">
        <v>579</v>
      </c>
      <c r="S1884" t="s">
        <v>22763</v>
      </c>
      <c r="T1884">
        <v>41</v>
      </c>
      <c r="U1884" s="26" t="str">
        <f t="shared" si="63"/>
        <v>2025.090B.Anamaviridae_1nf.zip</v>
      </c>
    </row>
    <row r="1885" spans="1:21">
      <c r="A1885">
        <v>1884</v>
      </c>
      <c r="B1885" s="27" t="s">
        <v>1449</v>
      </c>
      <c r="D1885" s="27" t="s">
        <v>1450</v>
      </c>
      <c r="F1885" s="27" t="s">
        <v>1453</v>
      </c>
      <c r="H1885" s="27" t="s">
        <v>1454</v>
      </c>
      <c r="L1885" s="27" t="s">
        <v>20764</v>
      </c>
      <c r="M1885" s="27" t="s">
        <v>20765</v>
      </c>
      <c r="N1885" s="27" t="s">
        <v>2092</v>
      </c>
      <c r="P1885" s="27" t="s">
        <v>22742</v>
      </c>
      <c r="Q1885" s="26" t="str">
        <f>HYPERLINK("https://ictv.global/taxonomy/taxondetails?taxnode_id=202523312&amp;ictv_id=ICTV202523312","ICTV202523312")</f>
        <v>ICTV202523312</v>
      </c>
      <c r="R1885" t="s">
        <v>579</v>
      </c>
      <c r="S1885" t="s">
        <v>823</v>
      </c>
      <c r="T1885">
        <v>41</v>
      </c>
      <c r="U1885" s="26" t="str">
        <f t="shared" si="63"/>
        <v>2025.090B.Anamaviridae_1nf.zip</v>
      </c>
    </row>
    <row r="1886" spans="1:21">
      <c r="A1886">
        <v>1885</v>
      </c>
      <c r="B1886" s="27" t="s">
        <v>1449</v>
      </c>
      <c r="D1886" s="27" t="s">
        <v>1450</v>
      </c>
      <c r="F1886" s="27" t="s">
        <v>1453</v>
      </c>
      <c r="H1886" s="27" t="s">
        <v>1454</v>
      </c>
      <c r="L1886" s="27" t="s">
        <v>20764</v>
      </c>
      <c r="M1886" s="27" t="s">
        <v>20765</v>
      </c>
      <c r="N1886" s="27" t="s">
        <v>2092</v>
      </c>
      <c r="P1886" s="27" t="s">
        <v>22745</v>
      </c>
      <c r="Q1886" s="26" t="str">
        <f>HYPERLINK("https://ictv.global/taxonomy/taxondetails?taxnode_id=202523315&amp;ictv_id=ICTV202523315","ICTV202523315")</f>
        <v>ICTV202523315</v>
      </c>
      <c r="R1886" t="s">
        <v>579</v>
      </c>
      <c r="S1886" t="s">
        <v>823</v>
      </c>
      <c r="T1886">
        <v>41</v>
      </c>
      <c r="U1886" s="26" t="str">
        <f t="shared" si="63"/>
        <v>2025.090B.Anamaviridae_1nf.zip</v>
      </c>
    </row>
    <row r="1887" spans="1:21">
      <c r="A1887">
        <v>1886</v>
      </c>
      <c r="B1887" s="27" t="s">
        <v>1449</v>
      </c>
      <c r="D1887" s="27" t="s">
        <v>1450</v>
      </c>
      <c r="F1887" s="27" t="s">
        <v>1453</v>
      </c>
      <c r="H1887" s="27" t="s">
        <v>1454</v>
      </c>
      <c r="L1887" s="27" t="s">
        <v>20764</v>
      </c>
      <c r="M1887" s="27" t="s">
        <v>20765</v>
      </c>
      <c r="N1887" s="27" t="s">
        <v>2092</v>
      </c>
      <c r="P1887" s="27" t="s">
        <v>22744</v>
      </c>
      <c r="Q1887" s="26" t="str">
        <f>HYPERLINK("https://ictv.global/taxonomy/taxondetails?taxnode_id=202523314&amp;ictv_id=ICTV202523314","ICTV202523314")</f>
        <v>ICTV202523314</v>
      </c>
      <c r="R1887" t="s">
        <v>579</v>
      </c>
      <c r="S1887" t="s">
        <v>823</v>
      </c>
      <c r="T1887">
        <v>41</v>
      </c>
      <c r="U1887" s="26" t="str">
        <f t="shared" si="63"/>
        <v>2025.090B.Anamaviridae_1nf.zip</v>
      </c>
    </row>
    <row r="1888" spans="1:21">
      <c r="A1888">
        <v>1887</v>
      </c>
      <c r="B1888" s="27" t="s">
        <v>1449</v>
      </c>
      <c r="D1888" s="27" t="s">
        <v>1450</v>
      </c>
      <c r="F1888" s="27" t="s">
        <v>1453</v>
      </c>
      <c r="H1888" s="27" t="s">
        <v>1454</v>
      </c>
      <c r="L1888" s="27" t="s">
        <v>20764</v>
      </c>
      <c r="M1888" s="27" t="s">
        <v>20765</v>
      </c>
      <c r="N1888" s="27" t="s">
        <v>2092</v>
      </c>
      <c r="P1888" s="27" t="s">
        <v>6659</v>
      </c>
      <c r="Q1888" s="26" t="str">
        <f>HYPERLINK("https://ictv.global/taxonomy/taxondetails?taxnode_id=202511650&amp;ictv_id=ICTV202011650","ICTV202011650")</f>
        <v>ICTV202011650</v>
      </c>
      <c r="R1888" t="s">
        <v>579</v>
      </c>
      <c r="S1888" t="s">
        <v>22763</v>
      </c>
      <c r="T1888">
        <v>41</v>
      </c>
      <c r="U1888" s="26" t="str">
        <f t="shared" si="63"/>
        <v>2025.090B.Anamaviridae_1nf.zip</v>
      </c>
    </row>
    <row r="1889" spans="1:21">
      <c r="A1889">
        <v>1888</v>
      </c>
      <c r="B1889" s="27" t="s">
        <v>1449</v>
      </c>
      <c r="D1889" s="27" t="s">
        <v>1450</v>
      </c>
      <c r="F1889" s="27" t="s">
        <v>1453</v>
      </c>
      <c r="H1889" s="27" t="s">
        <v>1454</v>
      </c>
      <c r="L1889" s="27" t="s">
        <v>20764</v>
      </c>
      <c r="M1889" s="27" t="s">
        <v>20765</v>
      </c>
      <c r="N1889" s="27" t="s">
        <v>22740</v>
      </c>
      <c r="P1889" s="27" t="s">
        <v>22741</v>
      </c>
      <c r="Q1889" s="26" t="str">
        <f>HYPERLINK("https://ictv.global/taxonomy/taxondetails?taxnode_id=202523311&amp;ictv_id=ICTV202523311","ICTV202523311")</f>
        <v>ICTV202523311</v>
      </c>
      <c r="R1889" t="s">
        <v>579</v>
      </c>
      <c r="S1889" t="s">
        <v>823</v>
      </c>
      <c r="T1889">
        <v>41</v>
      </c>
      <c r="U1889" s="26" t="str">
        <f t="shared" si="63"/>
        <v>2025.090B.Anamaviridae_1nf.zip</v>
      </c>
    </row>
    <row r="1890" spans="1:21">
      <c r="A1890">
        <v>1889</v>
      </c>
      <c r="B1890" s="27" t="s">
        <v>1449</v>
      </c>
      <c r="D1890" s="27" t="s">
        <v>1450</v>
      </c>
      <c r="F1890" s="27" t="s">
        <v>1453</v>
      </c>
      <c r="H1890" s="27" t="s">
        <v>1454</v>
      </c>
      <c r="L1890" s="27" t="s">
        <v>20764</v>
      </c>
      <c r="M1890" s="27" t="s">
        <v>20765</v>
      </c>
      <c r="N1890" s="27" t="s">
        <v>1689</v>
      </c>
      <c r="P1890" s="27" t="s">
        <v>7470</v>
      </c>
      <c r="Q1890" s="26" t="str">
        <f>HYPERLINK("https://ictv.global/taxonomy/taxondetails?taxnode_id=202500402&amp;ictv_id=ICTV20115457","ICTV20115457")</f>
        <v>ICTV20115457</v>
      </c>
      <c r="R1890" t="s">
        <v>579</v>
      </c>
      <c r="S1890" t="s">
        <v>22763</v>
      </c>
      <c r="T1890">
        <v>41</v>
      </c>
      <c r="U1890" s="26" t="str">
        <f t="shared" si="63"/>
        <v>2025.090B.Anamaviridae_1nf.zip</v>
      </c>
    </row>
    <row r="1891" spans="1:21">
      <c r="A1891">
        <v>1890</v>
      </c>
      <c r="B1891" s="27" t="s">
        <v>1449</v>
      </c>
      <c r="D1891" s="27" t="s">
        <v>1450</v>
      </c>
      <c r="F1891" s="27" t="s">
        <v>1453</v>
      </c>
      <c r="H1891" s="27" t="s">
        <v>1454</v>
      </c>
      <c r="L1891" s="27" t="s">
        <v>20764</v>
      </c>
      <c r="M1891" s="27" t="s">
        <v>20765</v>
      </c>
      <c r="N1891" s="27" t="s">
        <v>1689</v>
      </c>
      <c r="P1891" s="27" t="s">
        <v>7471</v>
      </c>
      <c r="Q1891" s="26" t="str">
        <f>HYPERLINK("https://ictv.global/taxonomy/taxondetails?taxnode_id=202500403&amp;ictv_id=ICTV20115456","ICTV20115456")</f>
        <v>ICTV20115456</v>
      </c>
      <c r="R1891" t="s">
        <v>579</v>
      </c>
      <c r="S1891" t="s">
        <v>22763</v>
      </c>
      <c r="T1891">
        <v>41</v>
      </c>
      <c r="U1891" s="26" t="str">
        <f t="shared" si="63"/>
        <v>2025.090B.Anamaviridae_1nf.zip</v>
      </c>
    </row>
    <row r="1892" spans="1:21">
      <c r="A1892">
        <v>1891</v>
      </c>
      <c r="B1892" s="27" t="s">
        <v>1449</v>
      </c>
      <c r="D1892" s="27" t="s">
        <v>1450</v>
      </c>
      <c r="F1892" s="27" t="s">
        <v>1453</v>
      </c>
      <c r="H1892" s="27" t="s">
        <v>1454</v>
      </c>
      <c r="L1892" s="27" t="s">
        <v>20764</v>
      </c>
      <c r="M1892" s="27" t="s">
        <v>20765</v>
      </c>
      <c r="N1892" s="27" t="s">
        <v>1689</v>
      </c>
      <c r="P1892" s="27" t="s">
        <v>7472</v>
      </c>
      <c r="Q1892" s="26" t="str">
        <f>HYPERLINK("https://ictv.global/taxonomy/taxondetails?taxnode_id=202500404&amp;ictv_id=ICTV20115460","ICTV20115460")</f>
        <v>ICTV20115460</v>
      </c>
      <c r="R1892" t="s">
        <v>579</v>
      </c>
      <c r="S1892" t="s">
        <v>22763</v>
      </c>
      <c r="T1892">
        <v>41</v>
      </c>
      <c r="U1892" s="26" t="str">
        <f t="shared" si="63"/>
        <v>2025.090B.Anamaviridae_1nf.zip</v>
      </c>
    </row>
    <row r="1893" spans="1:21">
      <c r="A1893">
        <v>1892</v>
      </c>
      <c r="B1893" s="27" t="s">
        <v>1449</v>
      </c>
      <c r="D1893" s="27" t="s">
        <v>1450</v>
      </c>
      <c r="F1893" s="27" t="s">
        <v>1453</v>
      </c>
      <c r="H1893" s="27" t="s">
        <v>1454</v>
      </c>
      <c r="L1893" s="27" t="s">
        <v>20764</v>
      </c>
      <c r="M1893" s="27" t="s">
        <v>20765</v>
      </c>
      <c r="N1893" s="27" t="s">
        <v>1689</v>
      </c>
      <c r="P1893" s="27" t="s">
        <v>7473</v>
      </c>
      <c r="Q1893" s="26" t="str">
        <f>HYPERLINK("https://ictv.global/taxonomy/taxondetails?taxnode_id=202500405&amp;ictv_id=ICTV20115458","ICTV20115458")</f>
        <v>ICTV20115458</v>
      </c>
      <c r="R1893" t="s">
        <v>579</v>
      </c>
      <c r="S1893" t="s">
        <v>22763</v>
      </c>
      <c r="T1893">
        <v>41</v>
      </c>
      <c r="U1893" s="26" t="str">
        <f t="shared" si="63"/>
        <v>2025.090B.Anamaviridae_1nf.zip</v>
      </c>
    </row>
    <row r="1894" spans="1:21">
      <c r="A1894">
        <v>1893</v>
      </c>
      <c r="B1894" s="27" t="s">
        <v>1449</v>
      </c>
      <c r="D1894" s="27" t="s">
        <v>1450</v>
      </c>
      <c r="F1894" s="27" t="s">
        <v>1453</v>
      </c>
      <c r="H1894" s="27" t="s">
        <v>1454</v>
      </c>
      <c r="L1894" s="27" t="s">
        <v>19321</v>
      </c>
      <c r="M1894" s="27" t="s">
        <v>731</v>
      </c>
      <c r="N1894" s="27" t="s">
        <v>1202</v>
      </c>
      <c r="P1894" s="27" t="s">
        <v>19322</v>
      </c>
      <c r="Q1894" s="26" t="str">
        <f>HYPERLINK("https://ictv.global/taxonomy/taxondetails?taxnode_id=202520040&amp;ictv_id=ICTV202420040","ICTV202420040")</f>
        <v>ICTV202420040</v>
      </c>
      <c r="R1894" t="s">
        <v>579</v>
      </c>
      <c r="S1894" t="s">
        <v>823</v>
      </c>
      <c r="T1894">
        <v>40</v>
      </c>
      <c r="U1894" s="26" t="str">
        <f t="shared" ref="U1894:U1925" si="64">HYPERLINK("https://ictv.global/ictv/proposals/2024.002B.Andersonviridae_1nf_2ng_98ns.zip","2024.002B.Andersonviridae_1nf_2ng_98ns.zip")</f>
        <v>2024.002B.Andersonviridae_1nf_2ng_98ns.zip</v>
      </c>
    </row>
    <row r="1895" spans="1:21">
      <c r="A1895">
        <v>1894</v>
      </c>
      <c r="B1895" s="27" t="s">
        <v>1449</v>
      </c>
      <c r="D1895" s="27" t="s">
        <v>1450</v>
      </c>
      <c r="F1895" s="27" t="s">
        <v>1453</v>
      </c>
      <c r="H1895" s="27" t="s">
        <v>1454</v>
      </c>
      <c r="L1895" s="27" t="s">
        <v>19321</v>
      </c>
      <c r="M1895" s="27" t="s">
        <v>731</v>
      </c>
      <c r="N1895" s="27" t="s">
        <v>1202</v>
      </c>
      <c r="P1895" s="27" t="s">
        <v>6323</v>
      </c>
      <c r="Q1895" s="26" t="str">
        <f>HYPERLINK("https://ictv.global/taxonomy/taxondetails?taxnode_id=202507010&amp;ictv_id=ICTV201857010","ICTV201857010")</f>
        <v>ICTV201857010</v>
      </c>
      <c r="R1895" t="s">
        <v>579</v>
      </c>
      <c r="S1895" t="s">
        <v>22763</v>
      </c>
      <c r="T1895">
        <v>40</v>
      </c>
      <c r="U1895" s="26" t="str">
        <f t="shared" si="64"/>
        <v>2024.002B.Andersonviridae_1nf_2ng_98ns.zip</v>
      </c>
    </row>
    <row r="1896" spans="1:21">
      <c r="A1896">
        <v>1895</v>
      </c>
      <c r="B1896" s="27" t="s">
        <v>1449</v>
      </c>
      <c r="D1896" s="27" t="s">
        <v>1450</v>
      </c>
      <c r="F1896" s="27" t="s">
        <v>1453</v>
      </c>
      <c r="H1896" s="27" t="s">
        <v>1454</v>
      </c>
      <c r="L1896" s="27" t="s">
        <v>19321</v>
      </c>
      <c r="M1896" s="27" t="s">
        <v>731</v>
      </c>
      <c r="N1896" s="27" t="s">
        <v>1202</v>
      </c>
      <c r="P1896" s="27" t="s">
        <v>19323</v>
      </c>
      <c r="Q1896" s="26" t="str">
        <f>HYPERLINK("https://ictv.global/taxonomy/taxondetails?taxnode_id=202520035&amp;ictv_id=ICTV202420035","ICTV202420035")</f>
        <v>ICTV202420035</v>
      </c>
      <c r="R1896" t="s">
        <v>579</v>
      </c>
      <c r="S1896" t="s">
        <v>823</v>
      </c>
      <c r="T1896">
        <v>40</v>
      </c>
      <c r="U1896" s="26" t="str">
        <f t="shared" si="64"/>
        <v>2024.002B.Andersonviridae_1nf_2ng_98ns.zip</v>
      </c>
    </row>
    <row r="1897" spans="1:21">
      <c r="A1897">
        <v>1896</v>
      </c>
      <c r="B1897" s="27" t="s">
        <v>1449</v>
      </c>
      <c r="D1897" s="27" t="s">
        <v>1450</v>
      </c>
      <c r="F1897" s="27" t="s">
        <v>1453</v>
      </c>
      <c r="H1897" s="27" t="s">
        <v>1454</v>
      </c>
      <c r="L1897" s="27" t="s">
        <v>19321</v>
      </c>
      <c r="M1897" s="27" t="s">
        <v>731</v>
      </c>
      <c r="N1897" s="27" t="s">
        <v>1202</v>
      </c>
      <c r="P1897" s="27" t="s">
        <v>19324</v>
      </c>
      <c r="Q1897" s="26" t="str">
        <f>HYPERLINK("https://ictv.global/taxonomy/taxondetails?taxnode_id=202520053&amp;ictv_id=ICTV202420053","ICTV202420053")</f>
        <v>ICTV202420053</v>
      </c>
      <c r="R1897" t="s">
        <v>579</v>
      </c>
      <c r="S1897" t="s">
        <v>823</v>
      </c>
      <c r="T1897">
        <v>40</v>
      </c>
      <c r="U1897" s="26" t="str">
        <f t="shared" si="64"/>
        <v>2024.002B.Andersonviridae_1nf_2ng_98ns.zip</v>
      </c>
    </row>
    <row r="1898" spans="1:21">
      <c r="A1898">
        <v>1897</v>
      </c>
      <c r="B1898" s="27" t="s">
        <v>1449</v>
      </c>
      <c r="D1898" s="27" t="s">
        <v>1450</v>
      </c>
      <c r="F1898" s="27" t="s">
        <v>1453</v>
      </c>
      <c r="H1898" s="27" t="s">
        <v>1454</v>
      </c>
      <c r="L1898" s="27" t="s">
        <v>19321</v>
      </c>
      <c r="M1898" s="27" t="s">
        <v>731</v>
      </c>
      <c r="N1898" s="27" t="s">
        <v>1202</v>
      </c>
      <c r="P1898" s="27" t="s">
        <v>19325</v>
      </c>
      <c r="Q1898" s="26" t="str">
        <f>HYPERLINK("https://ictv.global/taxonomy/taxondetails?taxnode_id=202520020&amp;ictv_id=ICTV202420020","ICTV202420020")</f>
        <v>ICTV202420020</v>
      </c>
      <c r="R1898" t="s">
        <v>579</v>
      </c>
      <c r="S1898" t="s">
        <v>823</v>
      </c>
      <c r="T1898">
        <v>40</v>
      </c>
      <c r="U1898" s="26" t="str">
        <f t="shared" si="64"/>
        <v>2024.002B.Andersonviridae_1nf_2ng_98ns.zip</v>
      </c>
    </row>
    <row r="1899" spans="1:21">
      <c r="A1899">
        <v>1898</v>
      </c>
      <c r="B1899" s="27" t="s">
        <v>1449</v>
      </c>
      <c r="D1899" s="27" t="s">
        <v>1450</v>
      </c>
      <c r="F1899" s="27" t="s">
        <v>1453</v>
      </c>
      <c r="H1899" s="27" t="s">
        <v>1454</v>
      </c>
      <c r="L1899" s="27" t="s">
        <v>19321</v>
      </c>
      <c r="M1899" s="27" t="s">
        <v>731</v>
      </c>
      <c r="N1899" s="27" t="s">
        <v>1202</v>
      </c>
      <c r="P1899" s="27" t="s">
        <v>6324</v>
      </c>
      <c r="Q1899" s="26" t="str">
        <f>HYPERLINK("https://ictv.global/taxonomy/taxondetails?taxnode_id=202500208&amp;ictv_id=ICTV20150126","ICTV20150126")</f>
        <v>ICTV20150126</v>
      </c>
      <c r="R1899" t="s">
        <v>579</v>
      </c>
      <c r="S1899" t="s">
        <v>22763</v>
      </c>
      <c r="T1899">
        <v>40</v>
      </c>
      <c r="U1899" s="26" t="str">
        <f t="shared" si="64"/>
        <v>2024.002B.Andersonviridae_1nf_2ng_98ns.zip</v>
      </c>
    </row>
    <row r="1900" spans="1:21">
      <c r="A1900">
        <v>1899</v>
      </c>
      <c r="B1900" s="27" t="s">
        <v>1449</v>
      </c>
      <c r="D1900" s="27" t="s">
        <v>1450</v>
      </c>
      <c r="F1900" s="27" t="s">
        <v>1453</v>
      </c>
      <c r="H1900" s="27" t="s">
        <v>1454</v>
      </c>
      <c r="L1900" s="27" t="s">
        <v>19321</v>
      </c>
      <c r="M1900" s="27" t="s">
        <v>731</v>
      </c>
      <c r="N1900" s="27" t="s">
        <v>1202</v>
      </c>
      <c r="P1900" s="27" t="s">
        <v>19326</v>
      </c>
      <c r="Q1900" s="26" t="str">
        <f>HYPERLINK("https://ictv.global/taxonomy/taxondetails?taxnode_id=202520027&amp;ictv_id=ICTV202420027","ICTV202420027")</f>
        <v>ICTV202420027</v>
      </c>
      <c r="R1900" t="s">
        <v>579</v>
      </c>
      <c r="S1900" t="s">
        <v>823</v>
      </c>
      <c r="T1900">
        <v>40</v>
      </c>
      <c r="U1900" s="26" t="str">
        <f t="shared" si="64"/>
        <v>2024.002B.Andersonviridae_1nf_2ng_98ns.zip</v>
      </c>
    </row>
    <row r="1901" spans="1:21">
      <c r="A1901">
        <v>1900</v>
      </c>
      <c r="B1901" s="27" t="s">
        <v>1449</v>
      </c>
      <c r="D1901" s="27" t="s">
        <v>1450</v>
      </c>
      <c r="F1901" s="27" t="s">
        <v>1453</v>
      </c>
      <c r="H1901" s="27" t="s">
        <v>1454</v>
      </c>
      <c r="L1901" s="27" t="s">
        <v>19321</v>
      </c>
      <c r="M1901" s="27" t="s">
        <v>731</v>
      </c>
      <c r="N1901" s="27" t="s">
        <v>1202</v>
      </c>
      <c r="P1901" s="27" t="s">
        <v>6325</v>
      </c>
      <c r="Q1901" s="26" t="str">
        <f>HYPERLINK("https://ictv.global/taxonomy/taxondetails?taxnode_id=202507009&amp;ictv_id=ICTV201857009","ICTV201857009")</f>
        <v>ICTV201857009</v>
      </c>
      <c r="R1901" t="s">
        <v>579</v>
      </c>
      <c r="S1901" t="s">
        <v>22763</v>
      </c>
      <c r="T1901">
        <v>40</v>
      </c>
      <c r="U1901" s="26" t="str">
        <f t="shared" si="64"/>
        <v>2024.002B.Andersonviridae_1nf_2ng_98ns.zip</v>
      </c>
    </row>
    <row r="1902" spans="1:21">
      <c r="A1902">
        <v>1901</v>
      </c>
      <c r="B1902" s="27" t="s">
        <v>1449</v>
      </c>
      <c r="D1902" s="27" t="s">
        <v>1450</v>
      </c>
      <c r="F1902" s="27" t="s">
        <v>1453</v>
      </c>
      <c r="H1902" s="27" t="s">
        <v>1454</v>
      </c>
      <c r="L1902" s="27" t="s">
        <v>19321</v>
      </c>
      <c r="M1902" s="27" t="s">
        <v>731</v>
      </c>
      <c r="N1902" s="27" t="s">
        <v>1202</v>
      </c>
      <c r="P1902" s="27" t="s">
        <v>6326</v>
      </c>
      <c r="Q1902" s="26" t="str">
        <f>HYPERLINK("https://ictv.global/taxonomy/taxondetails?taxnode_id=202507007&amp;ictv_id=ICTV201857007","ICTV201857007")</f>
        <v>ICTV201857007</v>
      </c>
      <c r="R1902" t="s">
        <v>579</v>
      </c>
      <c r="S1902" t="s">
        <v>22763</v>
      </c>
      <c r="T1902">
        <v>40</v>
      </c>
      <c r="U1902" s="26" t="str">
        <f t="shared" si="64"/>
        <v>2024.002B.Andersonviridae_1nf_2ng_98ns.zip</v>
      </c>
    </row>
    <row r="1903" spans="1:21">
      <c r="A1903">
        <v>1902</v>
      </c>
      <c r="B1903" s="27" t="s">
        <v>1449</v>
      </c>
      <c r="D1903" s="27" t="s">
        <v>1450</v>
      </c>
      <c r="F1903" s="27" t="s">
        <v>1453</v>
      </c>
      <c r="H1903" s="27" t="s">
        <v>1454</v>
      </c>
      <c r="L1903" s="27" t="s">
        <v>19321</v>
      </c>
      <c r="M1903" s="27" t="s">
        <v>731</v>
      </c>
      <c r="N1903" s="27" t="s">
        <v>1202</v>
      </c>
      <c r="P1903" s="27" t="s">
        <v>6327</v>
      </c>
      <c r="Q1903" s="26" t="str">
        <f>HYPERLINK("https://ictv.global/taxonomy/taxondetails?taxnode_id=202507006&amp;ictv_id=ICTV201857006","ICTV201857006")</f>
        <v>ICTV201857006</v>
      </c>
      <c r="R1903" t="s">
        <v>579</v>
      </c>
      <c r="S1903" t="s">
        <v>22763</v>
      </c>
      <c r="T1903">
        <v>40</v>
      </c>
      <c r="U1903" s="26" t="str">
        <f t="shared" si="64"/>
        <v>2024.002B.Andersonviridae_1nf_2ng_98ns.zip</v>
      </c>
    </row>
    <row r="1904" spans="1:21">
      <c r="A1904">
        <v>1903</v>
      </c>
      <c r="B1904" s="27" t="s">
        <v>1449</v>
      </c>
      <c r="D1904" s="27" t="s">
        <v>1450</v>
      </c>
      <c r="F1904" s="27" t="s">
        <v>1453</v>
      </c>
      <c r="H1904" s="27" t="s">
        <v>1454</v>
      </c>
      <c r="L1904" s="27" t="s">
        <v>19321</v>
      </c>
      <c r="M1904" s="27" t="s">
        <v>731</v>
      </c>
      <c r="N1904" s="27" t="s">
        <v>1202</v>
      </c>
      <c r="P1904" s="27" t="s">
        <v>19327</v>
      </c>
      <c r="Q1904" s="26" t="str">
        <f>HYPERLINK("https://ictv.global/taxonomy/taxondetails?taxnode_id=202519995&amp;ictv_id=ICTV202419995","ICTV202419995")</f>
        <v>ICTV202419995</v>
      </c>
      <c r="R1904" t="s">
        <v>579</v>
      </c>
      <c r="S1904" t="s">
        <v>823</v>
      </c>
      <c r="T1904">
        <v>40</v>
      </c>
      <c r="U1904" s="26" t="str">
        <f t="shared" si="64"/>
        <v>2024.002B.Andersonviridae_1nf_2ng_98ns.zip</v>
      </c>
    </row>
    <row r="1905" spans="1:21">
      <c r="A1905">
        <v>1904</v>
      </c>
      <c r="B1905" s="27" t="s">
        <v>1449</v>
      </c>
      <c r="D1905" s="27" t="s">
        <v>1450</v>
      </c>
      <c r="F1905" s="27" t="s">
        <v>1453</v>
      </c>
      <c r="H1905" s="27" t="s">
        <v>1454</v>
      </c>
      <c r="L1905" s="27" t="s">
        <v>19321</v>
      </c>
      <c r="M1905" s="27" t="s">
        <v>731</v>
      </c>
      <c r="N1905" s="27" t="s">
        <v>1202</v>
      </c>
      <c r="P1905" s="27" t="s">
        <v>19328</v>
      </c>
      <c r="Q1905" s="26" t="str">
        <f>HYPERLINK("https://ictv.global/taxonomy/taxondetails?taxnode_id=202520038&amp;ictv_id=ICTV202420038","ICTV202420038")</f>
        <v>ICTV202420038</v>
      </c>
      <c r="R1905" t="s">
        <v>579</v>
      </c>
      <c r="S1905" t="s">
        <v>823</v>
      </c>
      <c r="T1905">
        <v>40</v>
      </c>
      <c r="U1905" s="26" t="str">
        <f t="shared" si="64"/>
        <v>2024.002B.Andersonviridae_1nf_2ng_98ns.zip</v>
      </c>
    </row>
    <row r="1906" spans="1:21">
      <c r="A1906">
        <v>1905</v>
      </c>
      <c r="B1906" s="27" t="s">
        <v>1449</v>
      </c>
      <c r="D1906" s="27" t="s">
        <v>1450</v>
      </c>
      <c r="F1906" s="27" t="s">
        <v>1453</v>
      </c>
      <c r="H1906" s="27" t="s">
        <v>1454</v>
      </c>
      <c r="L1906" s="27" t="s">
        <v>19321</v>
      </c>
      <c r="M1906" s="27" t="s">
        <v>731</v>
      </c>
      <c r="N1906" s="27" t="s">
        <v>1202</v>
      </c>
      <c r="P1906" s="27" t="s">
        <v>19329</v>
      </c>
      <c r="Q1906" s="26" t="str">
        <f>HYPERLINK("https://ictv.global/taxonomy/taxondetails?taxnode_id=202519984&amp;ictv_id=ICTV202419984","ICTV202419984")</f>
        <v>ICTV202419984</v>
      </c>
      <c r="R1906" t="s">
        <v>579</v>
      </c>
      <c r="S1906" t="s">
        <v>823</v>
      </c>
      <c r="T1906">
        <v>40</v>
      </c>
      <c r="U1906" s="26" t="str">
        <f t="shared" si="64"/>
        <v>2024.002B.Andersonviridae_1nf_2ng_98ns.zip</v>
      </c>
    </row>
    <row r="1907" spans="1:21">
      <c r="A1907">
        <v>1906</v>
      </c>
      <c r="B1907" s="27" t="s">
        <v>1449</v>
      </c>
      <c r="D1907" s="27" t="s">
        <v>1450</v>
      </c>
      <c r="F1907" s="27" t="s">
        <v>1453</v>
      </c>
      <c r="H1907" s="27" t="s">
        <v>1454</v>
      </c>
      <c r="L1907" s="27" t="s">
        <v>19321</v>
      </c>
      <c r="M1907" s="27" t="s">
        <v>731</v>
      </c>
      <c r="N1907" s="27" t="s">
        <v>1202</v>
      </c>
      <c r="P1907" s="27" t="s">
        <v>19330</v>
      </c>
      <c r="Q1907" s="26" t="str">
        <f>HYPERLINK("https://ictv.global/taxonomy/taxondetails?taxnode_id=202520009&amp;ictv_id=ICTV202420009","ICTV202420009")</f>
        <v>ICTV202420009</v>
      </c>
      <c r="R1907" t="s">
        <v>579</v>
      </c>
      <c r="S1907" t="s">
        <v>823</v>
      </c>
      <c r="T1907">
        <v>40</v>
      </c>
      <c r="U1907" s="26" t="str">
        <f t="shared" si="64"/>
        <v>2024.002B.Andersonviridae_1nf_2ng_98ns.zip</v>
      </c>
    </row>
    <row r="1908" spans="1:21">
      <c r="A1908">
        <v>1907</v>
      </c>
      <c r="B1908" s="27" t="s">
        <v>1449</v>
      </c>
      <c r="D1908" s="27" t="s">
        <v>1450</v>
      </c>
      <c r="F1908" s="27" t="s">
        <v>1453</v>
      </c>
      <c r="H1908" s="27" t="s">
        <v>1454</v>
      </c>
      <c r="L1908" s="27" t="s">
        <v>19321</v>
      </c>
      <c r="M1908" s="27" t="s">
        <v>731</v>
      </c>
      <c r="N1908" s="27" t="s">
        <v>1202</v>
      </c>
      <c r="P1908" s="27" t="s">
        <v>19331</v>
      </c>
      <c r="Q1908" s="26" t="str">
        <f>HYPERLINK("https://ictv.global/taxonomy/taxondetails?taxnode_id=202519999&amp;ictv_id=ICTV202419999","ICTV202419999")</f>
        <v>ICTV202419999</v>
      </c>
      <c r="R1908" t="s">
        <v>579</v>
      </c>
      <c r="S1908" t="s">
        <v>823</v>
      </c>
      <c r="T1908">
        <v>40</v>
      </c>
      <c r="U1908" s="26" t="str">
        <f t="shared" si="64"/>
        <v>2024.002B.Andersonviridae_1nf_2ng_98ns.zip</v>
      </c>
    </row>
    <row r="1909" spans="1:21">
      <c r="A1909">
        <v>1908</v>
      </c>
      <c r="B1909" s="27" t="s">
        <v>1449</v>
      </c>
      <c r="D1909" s="27" t="s">
        <v>1450</v>
      </c>
      <c r="F1909" s="27" t="s">
        <v>1453</v>
      </c>
      <c r="H1909" s="27" t="s">
        <v>1454</v>
      </c>
      <c r="L1909" s="27" t="s">
        <v>19321</v>
      </c>
      <c r="M1909" s="27" t="s">
        <v>731</v>
      </c>
      <c r="N1909" s="27" t="s">
        <v>1202</v>
      </c>
      <c r="P1909" s="27" t="s">
        <v>19332</v>
      </c>
      <c r="Q1909" s="26" t="str">
        <f>HYPERLINK("https://ictv.global/taxonomy/taxondetails?taxnode_id=202519996&amp;ictv_id=ICTV202419996","ICTV202419996")</f>
        <v>ICTV202419996</v>
      </c>
      <c r="R1909" t="s">
        <v>579</v>
      </c>
      <c r="S1909" t="s">
        <v>823</v>
      </c>
      <c r="T1909">
        <v>40</v>
      </c>
      <c r="U1909" s="26" t="str">
        <f t="shared" si="64"/>
        <v>2024.002B.Andersonviridae_1nf_2ng_98ns.zip</v>
      </c>
    </row>
    <row r="1910" spans="1:21">
      <c r="A1910">
        <v>1909</v>
      </c>
      <c r="B1910" s="27" t="s">
        <v>1449</v>
      </c>
      <c r="D1910" s="27" t="s">
        <v>1450</v>
      </c>
      <c r="F1910" s="27" t="s">
        <v>1453</v>
      </c>
      <c r="H1910" s="27" t="s">
        <v>1454</v>
      </c>
      <c r="L1910" s="27" t="s">
        <v>19321</v>
      </c>
      <c r="M1910" s="27" t="s">
        <v>731</v>
      </c>
      <c r="N1910" s="27" t="s">
        <v>1202</v>
      </c>
      <c r="P1910" s="27" t="s">
        <v>19333</v>
      </c>
      <c r="Q1910" s="26" t="str">
        <f>HYPERLINK("https://ictv.global/taxonomy/taxondetails?taxnode_id=202519997&amp;ictv_id=ICTV202419997","ICTV202419997")</f>
        <v>ICTV202419997</v>
      </c>
      <c r="R1910" t="s">
        <v>579</v>
      </c>
      <c r="S1910" t="s">
        <v>823</v>
      </c>
      <c r="T1910">
        <v>40</v>
      </c>
      <c r="U1910" s="26" t="str">
        <f t="shared" si="64"/>
        <v>2024.002B.Andersonviridae_1nf_2ng_98ns.zip</v>
      </c>
    </row>
    <row r="1911" spans="1:21">
      <c r="A1911">
        <v>1910</v>
      </c>
      <c r="B1911" s="27" t="s">
        <v>1449</v>
      </c>
      <c r="D1911" s="27" t="s">
        <v>1450</v>
      </c>
      <c r="F1911" s="27" t="s">
        <v>1453</v>
      </c>
      <c r="H1911" s="27" t="s">
        <v>1454</v>
      </c>
      <c r="L1911" s="27" t="s">
        <v>19321</v>
      </c>
      <c r="M1911" s="27" t="s">
        <v>731</v>
      </c>
      <c r="N1911" s="27" t="s">
        <v>1202</v>
      </c>
      <c r="P1911" s="27" t="s">
        <v>19334</v>
      </c>
      <c r="Q1911" s="26" t="str">
        <f>HYPERLINK("https://ictv.global/taxonomy/taxondetails?taxnode_id=202520014&amp;ictv_id=ICTV202420014","ICTV202420014")</f>
        <v>ICTV202420014</v>
      </c>
      <c r="R1911" t="s">
        <v>579</v>
      </c>
      <c r="S1911" t="s">
        <v>823</v>
      </c>
      <c r="T1911">
        <v>40</v>
      </c>
      <c r="U1911" s="26" t="str">
        <f t="shared" si="64"/>
        <v>2024.002B.Andersonviridae_1nf_2ng_98ns.zip</v>
      </c>
    </row>
    <row r="1912" spans="1:21">
      <c r="A1912">
        <v>1911</v>
      </c>
      <c r="B1912" s="27" t="s">
        <v>1449</v>
      </c>
      <c r="D1912" s="27" t="s">
        <v>1450</v>
      </c>
      <c r="F1912" s="27" t="s">
        <v>1453</v>
      </c>
      <c r="H1912" s="27" t="s">
        <v>1454</v>
      </c>
      <c r="L1912" s="27" t="s">
        <v>19321</v>
      </c>
      <c r="M1912" s="27" t="s">
        <v>731</v>
      </c>
      <c r="N1912" s="27" t="s">
        <v>1202</v>
      </c>
      <c r="P1912" s="27" t="s">
        <v>19335</v>
      </c>
      <c r="Q1912" s="26" t="str">
        <f>HYPERLINK("https://ictv.global/taxonomy/taxondetails?taxnode_id=202520043&amp;ictv_id=ICTV202420043","ICTV202420043")</f>
        <v>ICTV202420043</v>
      </c>
      <c r="R1912" t="s">
        <v>579</v>
      </c>
      <c r="S1912" t="s">
        <v>823</v>
      </c>
      <c r="T1912">
        <v>40</v>
      </c>
      <c r="U1912" s="26" t="str">
        <f t="shared" si="64"/>
        <v>2024.002B.Andersonviridae_1nf_2ng_98ns.zip</v>
      </c>
    </row>
    <row r="1913" spans="1:21">
      <c r="A1913">
        <v>1912</v>
      </c>
      <c r="B1913" s="27" t="s">
        <v>1449</v>
      </c>
      <c r="D1913" s="27" t="s">
        <v>1450</v>
      </c>
      <c r="F1913" s="27" t="s">
        <v>1453</v>
      </c>
      <c r="H1913" s="27" t="s">
        <v>1454</v>
      </c>
      <c r="L1913" s="27" t="s">
        <v>19321</v>
      </c>
      <c r="M1913" s="27" t="s">
        <v>731</v>
      </c>
      <c r="N1913" s="27" t="s">
        <v>1202</v>
      </c>
      <c r="P1913" s="27" t="s">
        <v>19336</v>
      </c>
      <c r="Q1913" s="26" t="str">
        <f>HYPERLINK("https://ictv.global/taxonomy/taxondetails?taxnode_id=202520031&amp;ictv_id=ICTV202420031","ICTV202420031")</f>
        <v>ICTV202420031</v>
      </c>
      <c r="R1913" t="s">
        <v>579</v>
      </c>
      <c r="S1913" t="s">
        <v>823</v>
      </c>
      <c r="T1913">
        <v>40</v>
      </c>
      <c r="U1913" s="26" t="str">
        <f t="shared" si="64"/>
        <v>2024.002B.Andersonviridae_1nf_2ng_98ns.zip</v>
      </c>
    </row>
    <row r="1914" spans="1:21">
      <c r="A1914">
        <v>1913</v>
      </c>
      <c r="B1914" s="27" t="s">
        <v>1449</v>
      </c>
      <c r="D1914" s="27" t="s">
        <v>1450</v>
      </c>
      <c r="F1914" s="27" t="s">
        <v>1453</v>
      </c>
      <c r="H1914" s="27" t="s">
        <v>1454</v>
      </c>
      <c r="L1914" s="27" t="s">
        <v>19321</v>
      </c>
      <c r="M1914" s="27" t="s">
        <v>731</v>
      </c>
      <c r="N1914" s="27" t="s">
        <v>1202</v>
      </c>
      <c r="P1914" s="27" t="s">
        <v>6328</v>
      </c>
      <c r="Q1914" s="26" t="str">
        <f>HYPERLINK("https://ictv.global/taxonomy/taxondetails?taxnode_id=202500209&amp;ictv_id=ICTV20150128","ICTV20150128")</f>
        <v>ICTV20150128</v>
      </c>
      <c r="R1914" t="s">
        <v>579</v>
      </c>
      <c r="S1914" t="s">
        <v>22763</v>
      </c>
      <c r="T1914">
        <v>40</v>
      </c>
      <c r="U1914" s="26" t="str">
        <f t="shared" si="64"/>
        <v>2024.002B.Andersonviridae_1nf_2ng_98ns.zip</v>
      </c>
    </row>
    <row r="1915" spans="1:21">
      <c r="A1915">
        <v>1914</v>
      </c>
      <c r="B1915" s="27" t="s">
        <v>1449</v>
      </c>
      <c r="D1915" s="27" t="s">
        <v>1450</v>
      </c>
      <c r="F1915" s="27" t="s">
        <v>1453</v>
      </c>
      <c r="H1915" s="27" t="s">
        <v>1454</v>
      </c>
      <c r="L1915" s="27" t="s">
        <v>19321</v>
      </c>
      <c r="M1915" s="27" t="s">
        <v>731</v>
      </c>
      <c r="N1915" s="27" t="s">
        <v>1202</v>
      </c>
      <c r="P1915" s="27" t="s">
        <v>19337</v>
      </c>
      <c r="Q1915" s="26" t="str">
        <f>HYPERLINK("https://ictv.global/taxonomy/taxondetails?taxnode_id=202520059&amp;ictv_id=ICTV202420059","ICTV202420059")</f>
        <v>ICTV202420059</v>
      </c>
      <c r="R1915" t="s">
        <v>579</v>
      </c>
      <c r="S1915" t="s">
        <v>823</v>
      </c>
      <c r="T1915">
        <v>40</v>
      </c>
      <c r="U1915" s="26" t="str">
        <f t="shared" si="64"/>
        <v>2024.002B.Andersonviridae_1nf_2ng_98ns.zip</v>
      </c>
    </row>
    <row r="1916" spans="1:21">
      <c r="A1916">
        <v>1915</v>
      </c>
      <c r="B1916" s="27" t="s">
        <v>1449</v>
      </c>
      <c r="D1916" s="27" t="s">
        <v>1450</v>
      </c>
      <c r="F1916" s="27" t="s">
        <v>1453</v>
      </c>
      <c r="H1916" s="27" t="s">
        <v>1454</v>
      </c>
      <c r="L1916" s="27" t="s">
        <v>19321</v>
      </c>
      <c r="M1916" s="27" t="s">
        <v>731</v>
      </c>
      <c r="N1916" s="27" t="s">
        <v>1202</v>
      </c>
      <c r="P1916" s="27" t="s">
        <v>19338</v>
      </c>
      <c r="Q1916" s="26" t="str">
        <f>HYPERLINK("https://ictv.global/taxonomy/taxondetails?taxnode_id=202520052&amp;ictv_id=ICTV202420052","ICTV202420052")</f>
        <v>ICTV202420052</v>
      </c>
      <c r="R1916" t="s">
        <v>579</v>
      </c>
      <c r="S1916" t="s">
        <v>823</v>
      </c>
      <c r="T1916">
        <v>40</v>
      </c>
      <c r="U1916" s="26" t="str">
        <f t="shared" si="64"/>
        <v>2024.002B.Andersonviridae_1nf_2ng_98ns.zip</v>
      </c>
    </row>
    <row r="1917" spans="1:21">
      <c r="A1917">
        <v>1916</v>
      </c>
      <c r="B1917" s="27" t="s">
        <v>1449</v>
      </c>
      <c r="D1917" s="27" t="s">
        <v>1450</v>
      </c>
      <c r="F1917" s="27" t="s">
        <v>1453</v>
      </c>
      <c r="H1917" s="27" t="s">
        <v>1454</v>
      </c>
      <c r="L1917" s="27" t="s">
        <v>19321</v>
      </c>
      <c r="M1917" s="27" t="s">
        <v>731</v>
      </c>
      <c r="N1917" s="27" t="s">
        <v>1202</v>
      </c>
      <c r="P1917" s="27" t="s">
        <v>19339</v>
      </c>
      <c r="Q1917" s="26" t="str">
        <f>HYPERLINK("https://ictv.global/taxonomy/taxondetails?taxnode_id=202520011&amp;ictv_id=ICTV202420011","ICTV202420011")</f>
        <v>ICTV202420011</v>
      </c>
      <c r="R1917" t="s">
        <v>579</v>
      </c>
      <c r="S1917" t="s">
        <v>823</v>
      </c>
      <c r="T1917">
        <v>40</v>
      </c>
      <c r="U1917" s="26" t="str">
        <f t="shared" si="64"/>
        <v>2024.002B.Andersonviridae_1nf_2ng_98ns.zip</v>
      </c>
    </row>
    <row r="1918" spans="1:21">
      <c r="A1918">
        <v>1917</v>
      </c>
      <c r="B1918" s="27" t="s">
        <v>1449</v>
      </c>
      <c r="D1918" s="27" t="s">
        <v>1450</v>
      </c>
      <c r="F1918" s="27" t="s">
        <v>1453</v>
      </c>
      <c r="H1918" s="27" t="s">
        <v>1454</v>
      </c>
      <c r="L1918" s="27" t="s">
        <v>19321</v>
      </c>
      <c r="M1918" s="27" t="s">
        <v>731</v>
      </c>
      <c r="N1918" s="27" t="s">
        <v>1202</v>
      </c>
      <c r="P1918" s="27" t="s">
        <v>19340</v>
      </c>
      <c r="Q1918" s="26" t="str">
        <f>HYPERLINK("https://ictv.global/taxonomy/taxondetails?taxnode_id=202520042&amp;ictv_id=ICTV202420042","ICTV202420042")</f>
        <v>ICTV202420042</v>
      </c>
      <c r="R1918" t="s">
        <v>579</v>
      </c>
      <c r="S1918" t="s">
        <v>823</v>
      </c>
      <c r="T1918">
        <v>40</v>
      </c>
      <c r="U1918" s="26" t="str">
        <f t="shared" si="64"/>
        <v>2024.002B.Andersonviridae_1nf_2ng_98ns.zip</v>
      </c>
    </row>
    <row r="1919" spans="1:21">
      <c r="A1919">
        <v>1918</v>
      </c>
      <c r="B1919" s="27" t="s">
        <v>1449</v>
      </c>
      <c r="D1919" s="27" t="s">
        <v>1450</v>
      </c>
      <c r="F1919" s="27" t="s">
        <v>1453</v>
      </c>
      <c r="H1919" s="27" t="s">
        <v>1454</v>
      </c>
      <c r="L1919" s="27" t="s">
        <v>19321</v>
      </c>
      <c r="M1919" s="27" t="s">
        <v>731</v>
      </c>
      <c r="N1919" s="27" t="s">
        <v>1202</v>
      </c>
      <c r="P1919" s="27" t="s">
        <v>19341</v>
      </c>
      <c r="Q1919" s="26" t="str">
        <f>HYPERLINK("https://ictv.global/taxonomy/taxondetails?taxnode_id=202520056&amp;ictv_id=ICTV202420056","ICTV202420056")</f>
        <v>ICTV202420056</v>
      </c>
      <c r="R1919" t="s">
        <v>579</v>
      </c>
      <c r="S1919" t="s">
        <v>823</v>
      </c>
      <c r="T1919">
        <v>40</v>
      </c>
      <c r="U1919" s="26" t="str">
        <f t="shared" si="64"/>
        <v>2024.002B.Andersonviridae_1nf_2ng_98ns.zip</v>
      </c>
    </row>
    <row r="1920" spans="1:21">
      <c r="A1920">
        <v>1919</v>
      </c>
      <c r="B1920" s="27" t="s">
        <v>1449</v>
      </c>
      <c r="D1920" s="27" t="s">
        <v>1450</v>
      </c>
      <c r="F1920" s="27" t="s">
        <v>1453</v>
      </c>
      <c r="H1920" s="27" t="s">
        <v>1454</v>
      </c>
      <c r="L1920" s="27" t="s">
        <v>19321</v>
      </c>
      <c r="M1920" s="27" t="s">
        <v>731</v>
      </c>
      <c r="N1920" s="27" t="s">
        <v>1202</v>
      </c>
      <c r="P1920" s="27" t="s">
        <v>19342</v>
      </c>
      <c r="Q1920" s="26" t="str">
        <f>HYPERLINK("https://ictv.global/taxonomy/taxondetails?taxnode_id=202520057&amp;ictv_id=ICTV202420057","ICTV202420057")</f>
        <v>ICTV202420057</v>
      </c>
      <c r="R1920" t="s">
        <v>579</v>
      </c>
      <c r="S1920" t="s">
        <v>823</v>
      </c>
      <c r="T1920">
        <v>40</v>
      </c>
      <c r="U1920" s="26" t="str">
        <f t="shared" si="64"/>
        <v>2024.002B.Andersonviridae_1nf_2ng_98ns.zip</v>
      </c>
    </row>
    <row r="1921" spans="1:21">
      <c r="A1921">
        <v>1920</v>
      </c>
      <c r="B1921" s="27" t="s">
        <v>1449</v>
      </c>
      <c r="D1921" s="27" t="s">
        <v>1450</v>
      </c>
      <c r="F1921" s="27" t="s">
        <v>1453</v>
      </c>
      <c r="H1921" s="27" t="s">
        <v>1454</v>
      </c>
      <c r="L1921" s="27" t="s">
        <v>19321</v>
      </c>
      <c r="M1921" s="27" t="s">
        <v>731</v>
      </c>
      <c r="N1921" s="27" t="s">
        <v>1202</v>
      </c>
      <c r="P1921" s="27" t="s">
        <v>19343</v>
      </c>
      <c r="Q1921" s="26" t="str">
        <f>HYPERLINK("https://ictv.global/taxonomy/taxondetails?taxnode_id=202520058&amp;ictv_id=ICTV202420058","ICTV202420058")</f>
        <v>ICTV202420058</v>
      </c>
      <c r="R1921" t="s">
        <v>579</v>
      </c>
      <c r="S1921" t="s">
        <v>823</v>
      </c>
      <c r="T1921">
        <v>40</v>
      </c>
      <c r="U1921" s="26" t="str">
        <f t="shared" si="64"/>
        <v>2024.002B.Andersonviridae_1nf_2ng_98ns.zip</v>
      </c>
    </row>
    <row r="1922" spans="1:21">
      <c r="A1922">
        <v>1921</v>
      </c>
      <c r="B1922" s="27" t="s">
        <v>1449</v>
      </c>
      <c r="D1922" s="27" t="s">
        <v>1450</v>
      </c>
      <c r="F1922" s="27" t="s">
        <v>1453</v>
      </c>
      <c r="H1922" s="27" t="s">
        <v>1454</v>
      </c>
      <c r="L1922" s="27" t="s">
        <v>19321</v>
      </c>
      <c r="M1922" s="27" t="s">
        <v>731</v>
      </c>
      <c r="N1922" s="27" t="s">
        <v>1202</v>
      </c>
      <c r="P1922" s="27" t="s">
        <v>19344</v>
      </c>
      <c r="Q1922" s="26" t="str">
        <f>HYPERLINK("https://ictv.global/taxonomy/taxondetails?taxnode_id=202520018&amp;ictv_id=ICTV202420018","ICTV202420018")</f>
        <v>ICTV202420018</v>
      </c>
      <c r="R1922" t="s">
        <v>579</v>
      </c>
      <c r="S1922" t="s">
        <v>823</v>
      </c>
      <c r="T1922">
        <v>40</v>
      </c>
      <c r="U1922" s="26" t="str">
        <f t="shared" si="64"/>
        <v>2024.002B.Andersonviridae_1nf_2ng_98ns.zip</v>
      </c>
    </row>
    <row r="1923" spans="1:21">
      <c r="A1923">
        <v>1922</v>
      </c>
      <c r="B1923" s="27" t="s">
        <v>1449</v>
      </c>
      <c r="D1923" s="27" t="s">
        <v>1450</v>
      </c>
      <c r="F1923" s="27" t="s">
        <v>1453</v>
      </c>
      <c r="H1923" s="27" t="s">
        <v>1454</v>
      </c>
      <c r="L1923" s="27" t="s">
        <v>19321</v>
      </c>
      <c r="M1923" s="27" t="s">
        <v>731</v>
      </c>
      <c r="N1923" s="27" t="s">
        <v>1202</v>
      </c>
      <c r="P1923" s="27" t="s">
        <v>19345</v>
      </c>
      <c r="Q1923" s="26" t="str">
        <f>HYPERLINK("https://ictv.global/taxonomy/taxondetails?taxnode_id=202520015&amp;ictv_id=ICTV202420015","ICTV202420015")</f>
        <v>ICTV202420015</v>
      </c>
      <c r="R1923" t="s">
        <v>579</v>
      </c>
      <c r="S1923" t="s">
        <v>823</v>
      </c>
      <c r="T1923">
        <v>40</v>
      </c>
      <c r="U1923" s="26" t="str">
        <f t="shared" si="64"/>
        <v>2024.002B.Andersonviridae_1nf_2ng_98ns.zip</v>
      </c>
    </row>
    <row r="1924" spans="1:21">
      <c r="A1924">
        <v>1923</v>
      </c>
      <c r="B1924" s="27" t="s">
        <v>1449</v>
      </c>
      <c r="D1924" s="27" t="s">
        <v>1450</v>
      </c>
      <c r="F1924" s="27" t="s">
        <v>1453</v>
      </c>
      <c r="H1924" s="27" t="s">
        <v>1454</v>
      </c>
      <c r="L1924" s="27" t="s">
        <v>19321</v>
      </c>
      <c r="M1924" s="27" t="s">
        <v>731</v>
      </c>
      <c r="N1924" s="27" t="s">
        <v>1202</v>
      </c>
      <c r="P1924" s="27" t="s">
        <v>19346</v>
      </c>
      <c r="Q1924" s="26" t="str">
        <f>HYPERLINK("https://ictv.global/taxonomy/taxondetails?taxnode_id=202520019&amp;ictv_id=ICTV202420019","ICTV202420019")</f>
        <v>ICTV202420019</v>
      </c>
      <c r="R1924" t="s">
        <v>579</v>
      </c>
      <c r="S1924" t="s">
        <v>823</v>
      </c>
      <c r="T1924">
        <v>40</v>
      </c>
      <c r="U1924" s="26" t="str">
        <f t="shared" si="64"/>
        <v>2024.002B.Andersonviridae_1nf_2ng_98ns.zip</v>
      </c>
    </row>
    <row r="1925" spans="1:21">
      <c r="A1925">
        <v>1924</v>
      </c>
      <c r="B1925" s="27" t="s">
        <v>1449</v>
      </c>
      <c r="D1925" s="27" t="s">
        <v>1450</v>
      </c>
      <c r="F1925" s="27" t="s">
        <v>1453</v>
      </c>
      <c r="H1925" s="27" t="s">
        <v>1454</v>
      </c>
      <c r="L1925" s="27" t="s">
        <v>19321</v>
      </c>
      <c r="M1925" s="27" t="s">
        <v>731</v>
      </c>
      <c r="N1925" s="27" t="s">
        <v>1202</v>
      </c>
      <c r="P1925" s="27" t="s">
        <v>6329</v>
      </c>
      <c r="Q1925" s="26" t="str">
        <f>HYPERLINK("https://ictv.global/taxonomy/taxondetails?taxnode_id=202500215&amp;ictv_id=ICTV20115474","ICTV20115474")</f>
        <v>ICTV20115474</v>
      </c>
      <c r="R1925" t="s">
        <v>579</v>
      </c>
      <c r="S1925" t="s">
        <v>22763</v>
      </c>
      <c r="T1925">
        <v>40</v>
      </c>
      <c r="U1925" s="26" t="str">
        <f t="shared" si="64"/>
        <v>2024.002B.Andersonviridae_1nf_2ng_98ns.zip</v>
      </c>
    </row>
    <row r="1926" spans="1:21">
      <c r="A1926">
        <v>1925</v>
      </c>
      <c r="B1926" s="27" t="s">
        <v>1449</v>
      </c>
      <c r="D1926" s="27" t="s">
        <v>1450</v>
      </c>
      <c r="F1926" s="27" t="s">
        <v>1453</v>
      </c>
      <c r="H1926" s="27" t="s">
        <v>1454</v>
      </c>
      <c r="L1926" s="27" t="s">
        <v>19321</v>
      </c>
      <c r="M1926" s="27" t="s">
        <v>731</v>
      </c>
      <c r="N1926" s="27" t="s">
        <v>1202</v>
      </c>
      <c r="P1926" s="27" t="s">
        <v>19347</v>
      </c>
      <c r="Q1926" s="26" t="str">
        <f>HYPERLINK("https://ictv.global/taxonomy/taxondetails?taxnode_id=202520024&amp;ictv_id=ICTV202420024","ICTV202420024")</f>
        <v>ICTV202420024</v>
      </c>
      <c r="R1926" t="s">
        <v>579</v>
      </c>
      <c r="S1926" t="s">
        <v>823</v>
      </c>
      <c r="T1926">
        <v>40</v>
      </c>
      <c r="U1926" s="26" t="str">
        <f t="shared" ref="U1926:U1957" si="65">HYPERLINK("https://ictv.global/ictv/proposals/2024.002B.Andersonviridae_1nf_2ng_98ns.zip","2024.002B.Andersonviridae_1nf_2ng_98ns.zip")</f>
        <v>2024.002B.Andersonviridae_1nf_2ng_98ns.zip</v>
      </c>
    </row>
    <row r="1927" spans="1:21">
      <c r="A1927">
        <v>1926</v>
      </c>
      <c r="B1927" s="27" t="s">
        <v>1449</v>
      </c>
      <c r="D1927" s="27" t="s">
        <v>1450</v>
      </c>
      <c r="F1927" s="27" t="s">
        <v>1453</v>
      </c>
      <c r="H1927" s="27" t="s">
        <v>1454</v>
      </c>
      <c r="L1927" s="27" t="s">
        <v>19321</v>
      </c>
      <c r="M1927" s="27" t="s">
        <v>731</v>
      </c>
      <c r="N1927" s="27" t="s">
        <v>1202</v>
      </c>
      <c r="P1927" s="27" t="s">
        <v>19348</v>
      </c>
      <c r="Q1927" s="26" t="str">
        <f>HYPERLINK("https://ictv.global/taxonomy/taxondetails?taxnode_id=202520030&amp;ictv_id=ICTV202420030","ICTV202420030")</f>
        <v>ICTV202420030</v>
      </c>
      <c r="R1927" t="s">
        <v>579</v>
      </c>
      <c r="S1927" t="s">
        <v>823</v>
      </c>
      <c r="T1927">
        <v>40</v>
      </c>
      <c r="U1927" s="26" t="str">
        <f t="shared" si="65"/>
        <v>2024.002B.Andersonviridae_1nf_2ng_98ns.zip</v>
      </c>
    </row>
    <row r="1928" spans="1:21">
      <c r="A1928">
        <v>1927</v>
      </c>
      <c r="B1928" s="27" t="s">
        <v>1449</v>
      </c>
      <c r="D1928" s="27" t="s">
        <v>1450</v>
      </c>
      <c r="F1928" s="27" t="s">
        <v>1453</v>
      </c>
      <c r="H1928" s="27" t="s">
        <v>1454</v>
      </c>
      <c r="L1928" s="27" t="s">
        <v>19321</v>
      </c>
      <c r="M1928" s="27" t="s">
        <v>731</v>
      </c>
      <c r="N1928" s="27" t="s">
        <v>1202</v>
      </c>
      <c r="P1928" s="27" t="s">
        <v>19349</v>
      </c>
      <c r="Q1928" s="26" t="str">
        <f>HYPERLINK("https://ictv.global/taxonomy/taxondetails?taxnode_id=202519985&amp;ictv_id=ICTV202419985","ICTV202419985")</f>
        <v>ICTV202419985</v>
      </c>
      <c r="R1928" t="s">
        <v>579</v>
      </c>
      <c r="S1928" t="s">
        <v>823</v>
      </c>
      <c r="T1928">
        <v>40</v>
      </c>
      <c r="U1928" s="26" t="str">
        <f t="shared" si="65"/>
        <v>2024.002B.Andersonviridae_1nf_2ng_98ns.zip</v>
      </c>
    </row>
    <row r="1929" spans="1:21">
      <c r="A1929">
        <v>1928</v>
      </c>
      <c r="B1929" s="27" t="s">
        <v>1449</v>
      </c>
      <c r="D1929" s="27" t="s">
        <v>1450</v>
      </c>
      <c r="F1929" s="27" t="s">
        <v>1453</v>
      </c>
      <c r="H1929" s="27" t="s">
        <v>1454</v>
      </c>
      <c r="L1929" s="27" t="s">
        <v>19321</v>
      </c>
      <c r="M1929" s="27" t="s">
        <v>731</v>
      </c>
      <c r="N1929" s="27" t="s">
        <v>1202</v>
      </c>
      <c r="P1929" s="27" t="s">
        <v>19350</v>
      </c>
      <c r="Q1929" s="26" t="str">
        <f>HYPERLINK("https://ictv.global/taxonomy/taxondetails?taxnode_id=202520049&amp;ictv_id=ICTV202420049","ICTV202420049")</f>
        <v>ICTV202420049</v>
      </c>
      <c r="R1929" t="s">
        <v>579</v>
      </c>
      <c r="S1929" t="s">
        <v>823</v>
      </c>
      <c r="T1929">
        <v>40</v>
      </c>
      <c r="U1929" s="26" t="str">
        <f t="shared" si="65"/>
        <v>2024.002B.Andersonviridae_1nf_2ng_98ns.zip</v>
      </c>
    </row>
    <row r="1930" spans="1:21">
      <c r="A1930">
        <v>1929</v>
      </c>
      <c r="B1930" s="27" t="s">
        <v>1449</v>
      </c>
      <c r="D1930" s="27" t="s">
        <v>1450</v>
      </c>
      <c r="F1930" s="27" t="s">
        <v>1453</v>
      </c>
      <c r="H1930" s="27" t="s">
        <v>1454</v>
      </c>
      <c r="L1930" s="27" t="s">
        <v>19321</v>
      </c>
      <c r="M1930" s="27" t="s">
        <v>731</v>
      </c>
      <c r="N1930" s="27" t="s">
        <v>1202</v>
      </c>
      <c r="P1930" s="27" t="s">
        <v>19351</v>
      </c>
      <c r="Q1930" s="26" t="str">
        <f>HYPERLINK("https://ictv.global/taxonomy/taxondetails?taxnode_id=202520036&amp;ictv_id=ICTV202420036","ICTV202420036")</f>
        <v>ICTV202420036</v>
      </c>
      <c r="R1930" t="s">
        <v>579</v>
      </c>
      <c r="S1930" t="s">
        <v>823</v>
      </c>
      <c r="T1930">
        <v>40</v>
      </c>
      <c r="U1930" s="26" t="str">
        <f t="shared" si="65"/>
        <v>2024.002B.Andersonviridae_1nf_2ng_98ns.zip</v>
      </c>
    </row>
    <row r="1931" spans="1:21">
      <c r="A1931">
        <v>1930</v>
      </c>
      <c r="B1931" s="27" t="s">
        <v>1449</v>
      </c>
      <c r="D1931" s="27" t="s">
        <v>1450</v>
      </c>
      <c r="F1931" s="27" t="s">
        <v>1453</v>
      </c>
      <c r="H1931" s="27" t="s">
        <v>1454</v>
      </c>
      <c r="L1931" s="27" t="s">
        <v>19321</v>
      </c>
      <c r="M1931" s="27" t="s">
        <v>731</v>
      </c>
      <c r="N1931" s="27" t="s">
        <v>1202</v>
      </c>
      <c r="P1931" s="27" t="s">
        <v>19352</v>
      </c>
      <c r="Q1931" s="26" t="str">
        <f>HYPERLINK("https://ictv.global/taxonomy/taxondetails?taxnode_id=202519991&amp;ictv_id=ICTV202419991","ICTV202419991")</f>
        <v>ICTV202419991</v>
      </c>
      <c r="R1931" t="s">
        <v>579</v>
      </c>
      <c r="S1931" t="s">
        <v>823</v>
      </c>
      <c r="T1931">
        <v>40</v>
      </c>
      <c r="U1931" s="26" t="str">
        <f t="shared" si="65"/>
        <v>2024.002B.Andersonviridae_1nf_2ng_98ns.zip</v>
      </c>
    </row>
    <row r="1932" spans="1:21">
      <c r="A1932">
        <v>1931</v>
      </c>
      <c r="B1932" s="27" t="s">
        <v>1449</v>
      </c>
      <c r="D1932" s="27" t="s">
        <v>1450</v>
      </c>
      <c r="F1932" s="27" t="s">
        <v>1453</v>
      </c>
      <c r="H1932" s="27" t="s">
        <v>1454</v>
      </c>
      <c r="L1932" s="27" t="s">
        <v>19321</v>
      </c>
      <c r="M1932" s="27" t="s">
        <v>731</v>
      </c>
      <c r="N1932" s="27" t="s">
        <v>1202</v>
      </c>
      <c r="P1932" s="27" t="s">
        <v>19353</v>
      </c>
      <c r="Q1932" s="26" t="str">
        <f>HYPERLINK("https://ictv.global/taxonomy/taxondetails?taxnode_id=202520028&amp;ictv_id=ICTV202420028","ICTV202420028")</f>
        <v>ICTV202420028</v>
      </c>
      <c r="R1932" t="s">
        <v>579</v>
      </c>
      <c r="S1932" t="s">
        <v>823</v>
      </c>
      <c r="T1932">
        <v>40</v>
      </c>
      <c r="U1932" s="26" t="str">
        <f t="shared" si="65"/>
        <v>2024.002B.Andersonviridae_1nf_2ng_98ns.zip</v>
      </c>
    </row>
    <row r="1933" spans="1:21">
      <c r="A1933">
        <v>1932</v>
      </c>
      <c r="B1933" s="27" t="s">
        <v>1449</v>
      </c>
      <c r="D1933" s="27" t="s">
        <v>1450</v>
      </c>
      <c r="F1933" s="27" t="s">
        <v>1453</v>
      </c>
      <c r="H1933" s="27" t="s">
        <v>1454</v>
      </c>
      <c r="L1933" s="27" t="s">
        <v>19321</v>
      </c>
      <c r="M1933" s="27" t="s">
        <v>731</v>
      </c>
      <c r="N1933" s="27" t="s">
        <v>1202</v>
      </c>
      <c r="P1933" s="27" t="s">
        <v>19354</v>
      </c>
      <c r="Q1933" s="26" t="str">
        <f>HYPERLINK("https://ictv.global/taxonomy/taxondetails?taxnode_id=202520044&amp;ictv_id=ICTV202420044","ICTV202420044")</f>
        <v>ICTV202420044</v>
      </c>
      <c r="R1933" t="s">
        <v>579</v>
      </c>
      <c r="S1933" t="s">
        <v>823</v>
      </c>
      <c r="T1933">
        <v>40</v>
      </c>
      <c r="U1933" s="26" t="str">
        <f t="shared" si="65"/>
        <v>2024.002B.Andersonviridae_1nf_2ng_98ns.zip</v>
      </c>
    </row>
    <row r="1934" spans="1:21">
      <c r="A1934">
        <v>1933</v>
      </c>
      <c r="B1934" s="27" t="s">
        <v>1449</v>
      </c>
      <c r="D1934" s="27" t="s">
        <v>1450</v>
      </c>
      <c r="F1934" s="27" t="s">
        <v>1453</v>
      </c>
      <c r="H1934" s="27" t="s">
        <v>1454</v>
      </c>
      <c r="L1934" s="27" t="s">
        <v>19321</v>
      </c>
      <c r="M1934" s="27" t="s">
        <v>731</v>
      </c>
      <c r="N1934" s="27" t="s">
        <v>1202</v>
      </c>
      <c r="P1934" s="27" t="s">
        <v>6330</v>
      </c>
      <c r="Q1934" s="26" t="str">
        <f>HYPERLINK("https://ictv.global/taxonomy/taxondetails?taxnode_id=202500210&amp;ictv_id=ICTV20164822","ICTV20164822")</f>
        <v>ICTV20164822</v>
      </c>
      <c r="R1934" t="s">
        <v>579</v>
      </c>
      <c r="S1934" t="s">
        <v>22763</v>
      </c>
      <c r="T1934">
        <v>40</v>
      </c>
      <c r="U1934" s="26" t="str">
        <f t="shared" si="65"/>
        <v>2024.002B.Andersonviridae_1nf_2ng_98ns.zip</v>
      </c>
    </row>
    <row r="1935" spans="1:21">
      <c r="A1935">
        <v>1934</v>
      </c>
      <c r="B1935" s="27" t="s">
        <v>1449</v>
      </c>
      <c r="D1935" s="27" t="s">
        <v>1450</v>
      </c>
      <c r="F1935" s="27" t="s">
        <v>1453</v>
      </c>
      <c r="H1935" s="27" t="s">
        <v>1454</v>
      </c>
      <c r="L1935" s="27" t="s">
        <v>19321</v>
      </c>
      <c r="M1935" s="27" t="s">
        <v>731</v>
      </c>
      <c r="N1935" s="27" t="s">
        <v>1202</v>
      </c>
      <c r="P1935" s="27" t="s">
        <v>19355</v>
      </c>
      <c r="Q1935" s="26" t="str">
        <f>HYPERLINK("https://ictv.global/taxonomy/taxondetails?taxnode_id=202520061&amp;ictv_id=ICTV202420061","ICTV202420061")</f>
        <v>ICTV202420061</v>
      </c>
      <c r="R1935" t="s">
        <v>579</v>
      </c>
      <c r="S1935" t="s">
        <v>823</v>
      </c>
      <c r="T1935">
        <v>40</v>
      </c>
      <c r="U1935" s="26" t="str">
        <f t="shared" si="65"/>
        <v>2024.002B.Andersonviridae_1nf_2ng_98ns.zip</v>
      </c>
    </row>
    <row r="1936" spans="1:21">
      <c r="A1936">
        <v>1935</v>
      </c>
      <c r="B1936" s="27" t="s">
        <v>1449</v>
      </c>
      <c r="D1936" s="27" t="s">
        <v>1450</v>
      </c>
      <c r="F1936" s="27" t="s">
        <v>1453</v>
      </c>
      <c r="H1936" s="27" t="s">
        <v>1454</v>
      </c>
      <c r="L1936" s="27" t="s">
        <v>19321</v>
      </c>
      <c r="M1936" s="27" t="s">
        <v>731</v>
      </c>
      <c r="N1936" s="27" t="s">
        <v>1202</v>
      </c>
      <c r="P1936" s="27" t="s">
        <v>6331</v>
      </c>
      <c r="Q1936" s="26" t="str">
        <f>HYPERLINK("https://ictv.global/taxonomy/taxondetails?taxnode_id=202500211&amp;ictv_id=ICTV20150125","ICTV20150125")</f>
        <v>ICTV20150125</v>
      </c>
      <c r="R1936" t="s">
        <v>579</v>
      </c>
      <c r="S1936" t="s">
        <v>22763</v>
      </c>
      <c r="T1936">
        <v>40</v>
      </c>
      <c r="U1936" s="26" t="str">
        <f t="shared" si="65"/>
        <v>2024.002B.Andersonviridae_1nf_2ng_98ns.zip</v>
      </c>
    </row>
    <row r="1937" spans="1:21">
      <c r="A1937">
        <v>1936</v>
      </c>
      <c r="B1937" s="27" t="s">
        <v>1449</v>
      </c>
      <c r="D1937" s="27" t="s">
        <v>1450</v>
      </c>
      <c r="F1937" s="27" t="s">
        <v>1453</v>
      </c>
      <c r="H1937" s="27" t="s">
        <v>1454</v>
      </c>
      <c r="L1937" s="27" t="s">
        <v>19321</v>
      </c>
      <c r="M1937" s="27" t="s">
        <v>731</v>
      </c>
      <c r="N1937" s="27" t="s">
        <v>1202</v>
      </c>
      <c r="P1937" s="27" t="s">
        <v>19356</v>
      </c>
      <c r="Q1937" s="26" t="str">
        <f>HYPERLINK("https://ictv.global/taxonomy/taxondetails?taxnode_id=202520041&amp;ictv_id=ICTV202420041","ICTV202420041")</f>
        <v>ICTV202420041</v>
      </c>
      <c r="R1937" t="s">
        <v>579</v>
      </c>
      <c r="S1937" t="s">
        <v>823</v>
      </c>
      <c r="T1937">
        <v>40</v>
      </c>
      <c r="U1937" s="26" t="str">
        <f t="shared" si="65"/>
        <v>2024.002B.Andersonviridae_1nf_2ng_98ns.zip</v>
      </c>
    </row>
    <row r="1938" spans="1:21">
      <c r="A1938">
        <v>1937</v>
      </c>
      <c r="B1938" s="27" t="s">
        <v>1449</v>
      </c>
      <c r="D1938" s="27" t="s">
        <v>1450</v>
      </c>
      <c r="F1938" s="27" t="s">
        <v>1453</v>
      </c>
      <c r="H1938" s="27" t="s">
        <v>1454</v>
      </c>
      <c r="L1938" s="27" t="s">
        <v>19321</v>
      </c>
      <c r="M1938" s="27" t="s">
        <v>731</v>
      </c>
      <c r="N1938" s="27" t="s">
        <v>1202</v>
      </c>
      <c r="P1938" s="27" t="s">
        <v>19357</v>
      </c>
      <c r="Q1938" s="26" t="str">
        <f>HYPERLINK("https://ictv.global/taxonomy/taxondetails?taxnode_id=202520048&amp;ictv_id=ICTV202420048","ICTV202420048")</f>
        <v>ICTV202420048</v>
      </c>
      <c r="R1938" t="s">
        <v>579</v>
      </c>
      <c r="S1938" t="s">
        <v>823</v>
      </c>
      <c r="T1938">
        <v>40</v>
      </c>
      <c r="U1938" s="26" t="str">
        <f t="shared" si="65"/>
        <v>2024.002B.Andersonviridae_1nf_2ng_98ns.zip</v>
      </c>
    </row>
    <row r="1939" spans="1:21">
      <c r="A1939">
        <v>1938</v>
      </c>
      <c r="B1939" s="27" t="s">
        <v>1449</v>
      </c>
      <c r="D1939" s="27" t="s">
        <v>1450</v>
      </c>
      <c r="F1939" s="27" t="s">
        <v>1453</v>
      </c>
      <c r="H1939" s="27" t="s">
        <v>1454</v>
      </c>
      <c r="L1939" s="27" t="s">
        <v>19321</v>
      </c>
      <c r="M1939" s="27" t="s">
        <v>731</v>
      </c>
      <c r="N1939" s="27" t="s">
        <v>1202</v>
      </c>
      <c r="P1939" s="27" t="s">
        <v>19358</v>
      </c>
      <c r="Q1939" s="26" t="str">
        <f>HYPERLINK("https://ictv.global/taxonomy/taxondetails?taxnode_id=202520029&amp;ictv_id=ICTV202420029","ICTV202420029")</f>
        <v>ICTV202420029</v>
      </c>
      <c r="R1939" t="s">
        <v>579</v>
      </c>
      <c r="S1939" t="s">
        <v>823</v>
      </c>
      <c r="T1939">
        <v>40</v>
      </c>
      <c r="U1939" s="26" t="str">
        <f t="shared" si="65"/>
        <v>2024.002B.Andersonviridae_1nf_2ng_98ns.zip</v>
      </c>
    </row>
    <row r="1940" spans="1:21">
      <c r="A1940">
        <v>1939</v>
      </c>
      <c r="B1940" s="27" t="s">
        <v>1449</v>
      </c>
      <c r="D1940" s="27" t="s">
        <v>1450</v>
      </c>
      <c r="F1940" s="27" t="s">
        <v>1453</v>
      </c>
      <c r="H1940" s="27" t="s">
        <v>1454</v>
      </c>
      <c r="L1940" s="27" t="s">
        <v>19321</v>
      </c>
      <c r="M1940" s="27" t="s">
        <v>731</v>
      </c>
      <c r="N1940" s="27" t="s">
        <v>1202</v>
      </c>
      <c r="P1940" s="27" t="s">
        <v>19359</v>
      </c>
      <c r="Q1940" s="26" t="str">
        <f>HYPERLINK("https://ictv.global/taxonomy/taxondetails?taxnode_id=202520000&amp;ictv_id=ICTV202420000","ICTV202420000")</f>
        <v>ICTV202420000</v>
      </c>
      <c r="R1940" t="s">
        <v>579</v>
      </c>
      <c r="S1940" t="s">
        <v>823</v>
      </c>
      <c r="T1940">
        <v>40</v>
      </c>
      <c r="U1940" s="26" t="str">
        <f t="shared" si="65"/>
        <v>2024.002B.Andersonviridae_1nf_2ng_98ns.zip</v>
      </c>
    </row>
    <row r="1941" spans="1:21">
      <c r="A1941">
        <v>1940</v>
      </c>
      <c r="B1941" s="27" t="s">
        <v>1449</v>
      </c>
      <c r="D1941" s="27" t="s">
        <v>1450</v>
      </c>
      <c r="F1941" s="27" t="s">
        <v>1453</v>
      </c>
      <c r="H1941" s="27" t="s">
        <v>1454</v>
      </c>
      <c r="L1941" s="27" t="s">
        <v>19321</v>
      </c>
      <c r="M1941" s="27" t="s">
        <v>731</v>
      </c>
      <c r="N1941" s="27" t="s">
        <v>1202</v>
      </c>
      <c r="P1941" s="27" t="s">
        <v>19360</v>
      </c>
      <c r="Q1941" s="26" t="str">
        <f>HYPERLINK("https://ictv.global/taxonomy/taxondetails?taxnode_id=202520021&amp;ictv_id=ICTV202420021","ICTV202420021")</f>
        <v>ICTV202420021</v>
      </c>
      <c r="R1941" t="s">
        <v>579</v>
      </c>
      <c r="S1941" t="s">
        <v>823</v>
      </c>
      <c r="T1941">
        <v>40</v>
      </c>
      <c r="U1941" s="26" t="str">
        <f t="shared" si="65"/>
        <v>2024.002B.Andersonviridae_1nf_2ng_98ns.zip</v>
      </c>
    </row>
    <row r="1942" spans="1:21">
      <c r="A1942">
        <v>1941</v>
      </c>
      <c r="B1942" s="27" t="s">
        <v>1449</v>
      </c>
      <c r="D1942" s="27" t="s">
        <v>1450</v>
      </c>
      <c r="F1942" s="27" t="s">
        <v>1453</v>
      </c>
      <c r="H1942" s="27" t="s">
        <v>1454</v>
      </c>
      <c r="L1942" s="27" t="s">
        <v>19321</v>
      </c>
      <c r="M1942" s="27" t="s">
        <v>731</v>
      </c>
      <c r="N1942" s="27" t="s">
        <v>1202</v>
      </c>
      <c r="P1942" s="27" t="s">
        <v>19361</v>
      </c>
      <c r="Q1942" s="26" t="str">
        <f>HYPERLINK("https://ictv.global/taxonomy/taxondetails?taxnode_id=202520016&amp;ictv_id=ICTV202420016","ICTV202420016")</f>
        <v>ICTV202420016</v>
      </c>
      <c r="R1942" t="s">
        <v>579</v>
      </c>
      <c r="S1942" t="s">
        <v>823</v>
      </c>
      <c r="T1942">
        <v>40</v>
      </c>
      <c r="U1942" s="26" t="str">
        <f t="shared" si="65"/>
        <v>2024.002B.Andersonviridae_1nf_2ng_98ns.zip</v>
      </c>
    </row>
    <row r="1943" spans="1:21">
      <c r="A1943">
        <v>1942</v>
      </c>
      <c r="B1943" s="27" t="s">
        <v>1449</v>
      </c>
      <c r="D1943" s="27" t="s">
        <v>1450</v>
      </c>
      <c r="F1943" s="27" t="s">
        <v>1453</v>
      </c>
      <c r="H1943" s="27" t="s">
        <v>1454</v>
      </c>
      <c r="L1943" s="27" t="s">
        <v>19321</v>
      </c>
      <c r="M1943" s="27" t="s">
        <v>731</v>
      </c>
      <c r="N1943" s="27" t="s">
        <v>1202</v>
      </c>
      <c r="P1943" s="27" t="s">
        <v>19362</v>
      </c>
      <c r="Q1943" s="26" t="str">
        <f>HYPERLINK("https://ictv.global/taxonomy/taxondetails?taxnode_id=202520050&amp;ictv_id=ICTV202420050","ICTV202420050")</f>
        <v>ICTV202420050</v>
      </c>
      <c r="R1943" t="s">
        <v>579</v>
      </c>
      <c r="S1943" t="s">
        <v>823</v>
      </c>
      <c r="T1943">
        <v>40</v>
      </c>
      <c r="U1943" s="26" t="str">
        <f t="shared" si="65"/>
        <v>2024.002B.Andersonviridae_1nf_2ng_98ns.zip</v>
      </c>
    </row>
    <row r="1944" spans="1:21">
      <c r="A1944">
        <v>1943</v>
      </c>
      <c r="B1944" s="27" t="s">
        <v>1449</v>
      </c>
      <c r="D1944" s="27" t="s">
        <v>1450</v>
      </c>
      <c r="F1944" s="27" t="s">
        <v>1453</v>
      </c>
      <c r="H1944" s="27" t="s">
        <v>1454</v>
      </c>
      <c r="L1944" s="27" t="s">
        <v>19321</v>
      </c>
      <c r="M1944" s="27" t="s">
        <v>731</v>
      </c>
      <c r="N1944" s="27" t="s">
        <v>1202</v>
      </c>
      <c r="P1944" s="27" t="s">
        <v>19363</v>
      </c>
      <c r="Q1944" s="26" t="str">
        <f>HYPERLINK("https://ictv.global/taxonomy/taxondetails?taxnode_id=202520017&amp;ictv_id=ICTV202420017","ICTV202420017")</f>
        <v>ICTV202420017</v>
      </c>
      <c r="R1944" t="s">
        <v>579</v>
      </c>
      <c r="S1944" t="s">
        <v>823</v>
      </c>
      <c r="T1944">
        <v>40</v>
      </c>
      <c r="U1944" s="26" t="str">
        <f t="shared" si="65"/>
        <v>2024.002B.Andersonviridae_1nf_2ng_98ns.zip</v>
      </c>
    </row>
    <row r="1945" spans="1:21">
      <c r="A1945">
        <v>1944</v>
      </c>
      <c r="B1945" s="27" t="s">
        <v>1449</v>
      </c>
      <c r="D1945" s="27" t="s">
        <v>1450</v>
      </c>
      <c r="F1945" s="27" t="s">
        <v>1453</v>
      </c>
      <c r="H1945" s="27" t="s">
        <v>1454</v>
      </c>
      <c r="L1945" s="27" t="s">
        <v>19321</v>
      </c>
      <c r="M1945" s="27" t="s">
        <v>731</v>
      </c>
      <c r="N1945" s="27" t="s">
        <v>1202</v>
      </c>
      <c r="P1945" s="27" t="s">
        <v>19364</v>
      </c>
      <c r="Q1945" s="26" t="str">
        <f>HYPERLINK("https://ictv.global/taxonomy/taxondetails?taxnode_id=202519993&amp;ictv_id=ICTV202419993","ICTV202419993")</f>
        <v>ICTV202419993</v>
      </c>
      <c r="R1945" t="s">
        <v>579</v>
      </c>
      <c r="S1945" t="s">
        <v>823</v>
      </c>
      <c r="T1945">
        <v>40</v>
      </c>
      <c r="U1945" s="26" t="str">
        <f t="shared" si="65"/>
        <v>2024.002B.Andersonviridae_1nf_2ng_98ns.zip</v>
      </c>
    </row>
    <row r="1946" spans="1:21">
      <c r="A1946">
        <v>1945</v>
      </c>
      <c r="B1946" s="27" t="s">
        <v>1449</v>
      </c>
      <c r="D1946" s="27" t="s">
        <v>1450</v>
      </c>
      <c r="F1946" s="27" t="s">
        <v>1453</v>
      </c>
      <c r="H1946" s="27" t="s">
        <v>1454</v>
      </c>
      <c r="L1946" s="27" t="s">
        <v>19321</v>
      </c>
      <c r="M1946" s="27" t="s">
        <v>731</v>
      </c>
      <c r="N1946" s="27" t="s">
        <v>1202</v>
      </c>
      <c r="P1946" s="27" t="s">
        <v>19365</v>
      </c>
      <c r="Q1946" s="26" t="str">
        <f>HYPERLINK("https://ictv.global/taxonomy/taxondetails?taxnode_id=202519988&amp;ictv_id=ICTV202419988","ICTV202419988")</f>
        <v>ICTV202419988</v>
      </c>
      <c r="R1946" t="s">
        <v>579</v>
      </c>
      <c r="S1946" t="s">
        <v>823</v>
      </c>
      <c r="T1946">
        <v>40</v>
      </c>
      <c r="U1946" s="26" t="str">
        <f t="shared" si="65"/>
        <v>2024.002B.Andersonviridae_1nf_2ng_98ns.zip</v>
      </c>
    </row>
    <row r="1947" spans="1:21">
      <c r="A1947">
        <v>1946</v>
      </c>
      <c r="B1947" s="27" t="s">
        <v>1449</v>
      </c>
      <c r="D1947" s="27" t="s">
        <v>1450</v>
      </c>
      <c r="F1947" s="27" t="s">
        <v>1453</v>
      </c>
      <c r="H1947" s="27" t="s">
        <v>1454</v>
      </c>
      <c r="L1947" s="27" t="s">
        <v>19321</v>
      </c>
      <c r="M1947" s="27" t="s">
        <v>731</v>
      </c>
      <c r="N1947" s="27" t="s">
        <v>1202</v>
      </c>
      <c r="P1947" s="27" t="s">
        <v>19366</v>
      </c>
      <c r="Q1947" s="26" t="str">
        <f>HYPERLINK("https://ictv.global/taxonomy/taxondetails?taxnode_id=202520025&amp;ictv_id=ICTV202420025","ICTV202420025")</f>
        <v>ICTV202420025</v>
      </c>
      <c r="R1947" t="s">
        <v>579</v>
      </c>
      <c r="S1947" t="s">
        <v>823</v>
      </c>
      <c r="T1947">
        <v>40</v>
      </c>
      <c r="U1947" s="26" t="str">
        <f t="shared" si="65"/>
        <v>2024.002B.Andersonviridae_1nf_2ng_98ns.zip</v>
      </c>
    </row>
    <row r="1948" spans="1:21">
      <c r="A1948">
        <v>1947</v>
      </c>
      <c r="B1948" s="27" t="s">
        <v>1449</v>
      </c>
      <c r="D1948" s="27" t="s">
        <v>1450</v>
      </c>
      <c r="F1948" s="27" t="s">
        <v>1453</v>
      </c>
      <c r="H1948" s="27" t="s">
        <v>1454</v>
      </c>
      <c r="L1948" s="27" t="s">
        <v>19321</v>
      </c>
      <c r="M1948" s="27" t="s">
        <v>731</v>
      </c>
      <c r="N1948" s="27" t="s">
        <v>1202</v>
      </c>
      <c r="P1948" s="27" t="s">
        <v>19367</v>
      </c>
      <c r="Q1948" s="26" t="str">
        <f>HYPERLINK("https://ictv.global/taxonomy/taxondetails?taxnode_id=202520037&amp;ictv_id=ICTV202420037","ICTV202420037")</f>
        <v>ICTV202420037</v>
      </c>
      <c r="R1948" t="s">
        <v>579</v>
      </c>
      <c r="S1948" t="s">
        <v>823</v>
      </c>
      <c r="T1948">
        <v>40</v>
      </c>
      <c r="U1948" s="26" t="str">
        <f t="shared" si="65"/>
        <v>2024.002B.Andersonviridae_1nf_2ng_98ns.zip</v>
      </c>
    </row>
    <row r="1949" spans="1:21">
      <c r="A1949">
        <v>1948</v>
      </c>
      <c r="B1949" s="27" t="s">
        <v>1449</v>
      </c>
      <c r="D1949" s="27" t="s">
        <v>1450</v>
      </c>
      <c r="F1949" s="27" t="s">
        <v>1453</v>
      </c>
      <c r="H1949" s="27" t="s">
        <v>1454</v>
      </c>
      <c r="L1949" s="27" t="s">
        <v>19321</v>
      </c>
      <c r="M1949" s="27" t="s">
        <v>731</v>
      </c>
      <c r="N1949" s="27" t="s">
        <v>1202</v>
      </c>
      <c r="P1949" s="27" t="s">
        <v>6332</v>
      </c>
      <c r="Q1949" s="26" t="str">
        <f>HYPERLINK("https://ictv.global/taxonomy/taxondetails?taxnode_id=202500217&amp;ictv_id=ICTV20150124","ICTV20150124")</f>
        <v>ICTV20150124</v>
      </c>
      <c r="R1949" t="s">
        <v>579</v>
      </c>
      <c r="S1949" t="s">
        <v>22763</v>
      </c>
      <c r="T1949">
        <v>40</v>
      </c>
      <c r="U1949" s="26" t="str">
        <f t="shared" si="65"/>
        <v>2024.002B.Andersonviridae_1nf_2ng_98ns.zip</v>
      </c>
    </row>
    <row r="1950" spans="1:21">
      <c r="A1950">
        <v>1949</v>
      </c>
      <c r="B1950" s="27" t="s">
        <v>1449</v>
      </c>
      <c r="D1950" s="27" t="s">
        <v>1450</v>
      </c>
      <c r="F1950" s="27" t="s">
        <v>1453</v>
      </c>
      <c r="H1950" s="27" t="s">
        <v>1454</v>
      </c>
      <c r="L1950" s="27" t="s">
        <v>19321</v>
      </c>
      <c r="M1950" s="27" t="s">
        <v>731</v>
      </c>
      <c r="N1950" s="27" t="s">
        <v>1202</v>
      </c>
      <c r="P1950" s="27" t="s">
        <v>19368</v>
      </c>
      <c r="Q1950" s="26" t="str">
        <f>HYPERLINK("https://ictv.global/taxonomy/taxondetails?taxnode_id=202520034&amp;ictv_id=ICTV202420034","ICTV202420034")</f>
        <v>ICTV202420034</v>
      </c>
      <c r="R1950" t="s">
        <v>579</v>
      </c>
      <c r="S1950" t="s">
        <v>823</v>
      </c>
      <c r="T1950">
        <v>40</v>
      </c>
      <c r="U1950" s="26" t="str">
        <f t="shared" si="65"/>
        <v>2024.002B.Andersonviridae_1nf_2ng_98ns.zip</v>
      </c>
    </row>
    <row r="1951" spans="1:21">
      <c r="A1951">
        <v>1950</v>
      </c>
      <c r="B1951" s="27" t="s">
        <v>1449</v>
      </c>
      <c r="D1951" s="27" t="s">
        <v>1450</v>
      </c>
      <c r="F1951" s="27" t="s">
        <v>1453</v>
      </c>
      <c r="H1951" s="27" t="s">
        <v>1454</v>
      </c>
      <c r="L1951" s="27" t="s">
        <v>19321</v>
      </c>
      <c r="M1951" s="27" t="s">
        <v>731</v>
      </c>
      <c r="N1951" s="27" t="s">
        <v>1202</v>
      </c>
      <c r="P1951" s="27" t="s">
        <v>19369</v>
      </c>
      <c r="Q1951" s="26" t="str">
        <f>HYPERLINK("https://ictv.global/taxonomy/taxondetails?taxnode_id=202520007&amp;ictv_id=ICTV202420007","ICTV202420007")</f>
        <v>ICTV202420007</v>
      </c>
      <c r="R1951" t="s">
        <v>579</v>
      </c>
      <c r="S1951" t="s">
        <v>823</v>
      </c>
      <c r="T1951">
        <v>40</v>
      </c>
      <c r="U1951" s="26" t="str">
        <f t="shared" si="65"/>
        <v>2024.002B.Andersonviridae_1nf_2ng_98ns.zip</v>
      </c>
    </row>
    <row r="1952" spans="1:21">
      <c r="A1952">
        <v>1951</v>
      </c>
      <c r="B1952" s="27" t="s">
        <v>1449</v>
      </c>
      <c r="D1952" s="27" t="s">
        <v>1450</v>
      </c>
      <c r="F1952" s="27" t="s">
        <v>1453</v>
      </c>
      <c r="H1952" s="27" t="s">
        <v>1454</v>
      </c>
      <c r="L1952" s="27" t="s">
        <v>19321</v>
      </c>
      <c r="M1952" s="27" t="s">
        <v>731</v>
      </c>
      <c r="N1952" s="27" t="s">
        <v>1202</v>
      </c>
      <c r="P1952" s="27" t="s">
        <v>19370</v>
      </c>
      <c r="Q1952" s="26" t="str">
        <f>HYPERLINK("https://ictv.global/taxonomy/taxondetails?taxnode_id=202520010&amp;ictv_id=ICTV202420010","ICTV202420010")</f>
        <v>ICTV202420010</v>
      </c>
      <c r="R1952" t="s">
        <v>579</v>
      </c>
      <c r="S1952" t="s">
        <v>823</v>
      </c>
      <c r="T1952">
        <v>40</v>
      </c>
      <c r="U1952" s="26" t="str">
        <f t="shared" si="65"/>
        <v>2024.002B.Andersonviridae_1nf_2ng_98ns.zip</v>
      </c>
    </row>
    <row r="1953" spans="1:21">
      <c r="A1953">
        <v>1952</v>
      </c>
      <c r="B1953" s="27" t="s">
        <v>1449</v>
      </c>
      <c r="D1953" s="27" t="s">
        <v>1450</v>
      </c>
      <c r="F1953" s="27" t="s">
        <v>1453</v>
      </c>
      <c r="H1953" s="27" t="s">
        <v>1454</v>
      </c>
      <c r="L1953" s="27" t="s">
        <v>19321</v>
      </c>
      <c r="M1953" s="27" t="s">
        <v>731</v>
      </c>
      <c r="N1953" s="27" t="s">
        <v>1202</v>
      </c>
      <c r="P1953" s="27" t="s">
        <v>19371</v>
      </c>
      <c r="Q1953" s="26" t="str">
        <f>HYPERLINK("https://ictv.global/taxonomy/taxondetails?taxnode_id=202520051&amp;ictv_id=ICTV202420051","ICTV202420051")</f>
        <v>ICTV202420051</v>
      </c>
      <c r="R1953" t="s">
        <v>579</v>
      </c>
      <c r="S1953" t="s">
        <v>823</v>
      </c>
      <c r="T1953">
        <v>40</v>
      </c>
      <c r="U1953" s="26" t="str">
        <f t="shared" si="65"/>
        <v>2024.002B.Andersonviridae_1nf_2ng_98ns.zip</v>
      </c>
    </row>
    <row r="1954" spans="1:21">
      <c r="A1954">
        <v>1953</v>
      </c>
      <c r="B1954" s="27" t="s">
        <v>1449</v>
      </c>
      <c r="D1954" s="27" t="s">
        <v>1450</v>
      </c>
      <c r="F1954" s="27" t="s">
        <v>1453</v>
      </c>
      <c r="H1954" s="27" t="s">
        <v>1454</v>
      </c>
      <c r="L1954" s="27" t="s">
        <v>19321</v>
      </c>
      <c r="M1954" s="27" t="s">
        <v>731</v>
      </c>
      <c r="N1954" s="27" t="s">
        <v>1202</v>
      </c>
      <c r="P1954" s="27" t="s">
        <v>19372</v>
      </c>
      <c r="Q1954" s="26" t="str">
        <f>HYPERLINK("https://ictv.global/taxonomy/taxondetails?taxnode_id=202519994&amp;ictv_id=ICTV202419994","ICTV202419994")</f>
        <v>ICTV202419994</v>
      </c>
      <c r="R1954" t="s">
        <v>579</v>
      </c>
      <c r="S1954" t="s">
        <v>823</v>
      </c>
      <c r="T1954">
        <v>40</v>
      </c>
      <c r="U1954" s="26" t="str">
        <f t="shared" si="65"/>
        <v>2024.002B.Andersonviridae_1nf_2ng_98ns.zip</v>
      </c>
    </row>
    <row r="1955" spans="1:21">
      <c r="A1955">
        <v>1954</v>
      </c>
      <c r="B1955" s="27" t="s">
        <v>1449</v>
      </c>
      <c r="D1955" s="27" t="s">
        <v>1450</v>
      </c>
      <c r="F1955" s="27" t="s">
        <v>1453</v>
      </c>
      <c r="H1955" s="27" t="s">
        <v>1454</v>
      </c>
      <c r="L1955" s="27" t="s">
        <v>19321</v>
      </c>
      <c r="M1955" s="27" t="s">
        <v>731</v>
      </c>
      <c r="N1955" s="27" t="s">
        <v>1202</v>
      </c>
      <c r="P1955" s="27" t="s">
        <v>19373</v>
      </c>
      <c r="Q1955" s="26" t="str">
        <f>HYPERLINK("https://ictv.global/taxonomy/taxondetails?taxnode_id=202519983&amp;ictv_id=ICTV202419983","ICTV202419983")</f>
        <v>ICTV202419983</v>
      </c>
      <c r="R1955" t="s">
        <v>579</v>
      </c>
      <c r="S1955" t="s">
        <v>823</v>
      </c>
      <c r="T1955">
        <v>40</v>
      </c>
      <c r="U1955" s="26" t="str">
        <f t="shared" si="65"/>
        <v>2024.002B.Andersonviridae_1nf_2ng_98ns.zip</v>
      </c>
    </row>
    <row r="1956" spans="1:21">
      <c r="A1956">
        <v>1955</v>
      </c>
      <c r="B1956" s="27" t="s">
        <v>1449</v>
      </c>
      <c r="D1956" s="27" t="s">
        <v>1450</v>
      </c>
      <c r="F1956" s="27" t="s">
        <v>1453</v>
      </c>
      <c r="H1956" s="27" t="s">
        <v>1454</v>
      </c>
      <c r="L1956" s="27" t="s">
        <v>19321</v>
      </c>
      <c r="M1956" s="27" t="s">
        <v>731</v>
      </c>
      <c r="N1956" s="27" t="s">
        <v>1202</v>
      </c>
      <c r="P1956" s="27" t="s">
        <v>19374</v>
      </c>
      <c r="Q1956" s="26" t="str">
        <f>HYPERLINK("https://ictv.global/taxonomy/taxondetails?taxnode_id=202520002&amp;ictv_id=ICTV202420002","ICTV202420002")</f>
        <v>ICTV202420002</v>
      </c>
      <c r="R1956" t="s">
        <v>579</v>
      </c>
      <c r="S1956" t="s">
        <v>823</v>
      </c>
      <c r="T1956">
        <v>40</v>
      </c>
      <c r="U1956" s="26" t="str">
        <f t="shared" si="65"/>
        <v>2024.002B.Andersonviridae_1nf_2ng_98ns.zip</v>
      </c>
    </row>
    <row r="1957" spans="1:21">
      <c r="A1957">
        <v>1956</v>
      </c>
      <c r="B1957" s="27" t="s">
        <v>1449</v>
      </c>
      <c r="D1957" s="27" t="s">
        <v>1450</v>
      </c>
      <c r="F1957" s="27" t="s">
        <v>1453</v>
      </c>
      <c r="H1957" s="27" t="s">
        <v>1454</v>
      </c>
      <c r="L1957" s="27" t="s">
        <v>19321</v>
      </c>
      <c r="M1957" s="27" t="s">
        <v>731</v>
      </c>
      <c r="N1957" s="27" t="s">
        <v>1202</v>
      </c>
      <c r="P1957" s="27" t="s">
        <v>19375</v>
      </c>
      <c r="Q1957" s="26" t="str">
        <f>HYPERLINK("https://ictv.global/taxonomy/taxondetails?taxnode_id=202519992&amp;ictv_id=ICTV202419992","ICTV202419992")</f>
        <v>ICTV202419992</v>
      </c>
      <c r="R1957" t="s">
        <v>579</v>
      </c>
      <c r="S1957" t="s">
        <v>823</v>
      </c>
      <c r="T1957">
        <v>40</v>
      </c>
      <c r="U1957" s="26" t="str">
        <f t="shared" si="65"/>
        <v>2024.002B.Andersonviridae_1nf_2ng_98ns.zip</v>
      </c>
    </row>
    <row r="1958" spans="1:21">
      <c r="A1958">
        <v>1957</v>
      </c>
      <c r="B1958" s="27" t="s">
        <v>1449</v>
      </c>
      <c r="D1958" s="27" t="s">
        <v>1450</v>
      </c>
      <c r="F1958" s="27" t="s">
        <v>1453</v>
      </c>
      <c r="H1958" s="27" t="s">
        <v>1454</v>
      </c>
      <c r="L1958" s="27" t="s">
        <v>19321</v>
      </c>
      <c r="M1958" s="27" t="s">
        <v>731</v>
      </c>
      <c r="N1958" s="27" t="s">
        <v>1202</v>
      </c>
      <c r="P1958" s="27" t="s">
        <v>19376</v>
      </c>
      <c r="Q1958" s="26" t="str">
        <f>HYPERLINK("https://ictv.global/taxonomy/taxondetails?taxnode_id=202520005&amp;ictv_id=ICTV202420005","ICTV202420005")</f>
        <v>ICTV202420005</v>
      </c>
      <c r="R1958" t="s">
        <v>579</v>
      </c>
      <c r="S1958" t="s">
        <v>823</v>
      </c>
      <c r="T1958">
        <v>40</v>
      </c>
      <c r="U1958" s="26" t="str">
        <f t="shared" ref="U1958:U1983" si="66">HYPERLINK("https://ictv.global/ictv/proposals/2024.002B.Andersonviridae_1nf_2ng_98ns.zip","2024.002B.Andersonviridae_1nf_2ng_98ns.zip")</f>
        <v>2024.002B.Andersonviridae_1nf_2ng_98ns.zip</v>
      </c>
    </row>
    <row r="1959" spans="1:21">
      <c r="A1959">
        <v>1958</v>
      </c>
      <c r="B1959" s="27" t="s">
        <v>1449</v>
      </c>
      <c r="D1959" s="27" t="s">
        <v>1450</v>
      </c>
      <c r="F1959" s="27" t="s">
        <v>1453</v>
      </c>
      <c r="H1959" s="27" t="s">
        <v>1454</v>
      </c>
      <c r="L1959" s="27" t="s">
        <v>19321</v>
      </c>
      <c r="M1959" s="27" t="s">
        <v>731</v>
      </c>
      <c r="N1959" s="27" t="s">
        <v>1202</v>
      </c>
      <c r="P1959" s="27" t="s">
        <v>19377</v>
      </c>
      <c r="Q1959" s="26" t="str">
        <f>HYPERLINK("https://ictv.global/taxonomy/taxondetails?taxnode_id=202520032&amp;ictv_id=ICTV202420032","ICTV202420032")</f>
        <v>ICTV202420032</v>
      </c>
      <c r="R1959" t="s">
        <v>579</v>
      </c>
      <c r="S1959" t="s">
        <v>823</v>
      </c>
      <c r="T1959">
        <v>40</v>
      </c>
      <c r="U1959" s="26" t="str">
        <f t="shared" si="66"/>
        <v>2024.002B.Andersonviridae_1nf_2ng_98ns.zip</v>
      </c>
    </row>
    <row r="1960" spans="1:21">
      <c r="A1960">
        <v>1959</v>
      </c>
      <c r="B1960" s="27" t="s">
        <v>1449</v>
      </c>
      <c r="D1960" s="27" t="s">
        <v>1450</v>
      </c>
      <c r="F1960" s="27" t="s">
        <v>1453</v>
      </c>
      <c r="H1960" s="27" t="s">
        <v>1454</v>
      </c>
      <c r="L1960" s="27" t="s">
        <v>19321</v>
      </c>
      <c r="M1960" s="27" t="s">
        <v>731</v>
      </c>
      <c r="N1960" s="27" t="s">
        <v>1202</v>
      </c>
      <c r="P1960" s="27" t="s">
        <v>19378</v>
      </c>
      <c r="Q1960" s="26" t="str">
        <f>HYPERLINK("https://ictv.global/taxonomy/taxondetails?taxnode_id=202520012&amp;ictv_id=ICTV202420012","ICTV202420012")</f>
        <v>ICTV202420012</v>
      </c>
      <c r="R1960" t="s">
        <v>579</v>
      </c>
      <c r="S1960" t="s">
        <v>823</v>
      </c>
      <c r="T1960">
        <v>40</v>
      </c>
      <c r="U1960" s="26" t="str">
        <f t="shared" si="66"/>
        <v>2024.002B.Andersonviridae_1nf_2ng_98ns.zip</v>
      </c>
    </row>
    <row r="1961" spans="1:21">
      <c r="A1961">
        <v>1960</v>
      </c>
      <c r="B1961" s="27" t="s">
        <v>1449</v>
      </c>
      <c r="D1961" s="27" t="s">
        <v>1450</v>
      </c>
      <c r="F1961" s="27" t="s">
        <v>1453</v>
      </c>
      <c r="H1961" s="27" t="s">
        <v>1454</v>
      </c>
      <c r="L1961" s="27" t="s">
        <v>19321</v>
      </c>
      <c r="M1961" s="27" t="s">
        <v>731</v>
      </c>
      <c r="N1961" s="27" t="s">
        <v>1202</v>
      </c>
      <c r="P1961" s="27" t="s">
        <v>19379</v>
      </c>
      <c r="Q1961" s="26" t="str">
        <f>HYPERLINK("https://ictv.global/taxonomy/taxondetails?taxnode_id=202519989&amp;ictv_id=ICTV202419989","ICTV202419989")</f>
        <v>ICTV202419989</v>
      </c>
      <c r="R1961" t="s">
        <v>579</v>
      </c>
      <c r="S1961" t="s">
        <v>823</v>
      </c>
      <c r="T1961">
        <v>40</v>
      </c>
      <c r="U1961" s="26" t="str">
        <f t="shared" si="66"/>
        <v>2024.002B.Andersonviridae_1nf_2ng_98ns.zip</v>
      </c>
    </row>
    <row r="1962" spans="1:21">
      <c r="A1962">
        <v>1961</v>
      </c>
      <c r="B1962" s="27" t="s">
        <v>1449</v>
      </c>
      <c r="D1962" s="27" t="s">
        <v>1450</v>
      </c>
      <c r="F1962" s="27" t="s">
        <v>1453</v>
      </c>
      <c r="H1962" s="27" t="s">
        <v>1454</v>
      </c>
      <c r="L1962" s="27" t="s">
        <v>19321</v>
      </c>
      <c r="M1962" s="27" t="s">
        <v>731</v>
      </c>
      <c r="N1962" s="27" t="s">
        <v>1202</v>
      </c>
      <c r="P1962" s="27" t="s">
        <v>19380</v>
      </c>
      <c r="Q1962" s="26" t="str">
        <f>HYPERLINK("https://ictv.global/taxonomy/taxondetails?taxnode_id=202520045&amp;ictv_id=ICTV202420045","ICTV202420045")</f>
        <v>ICTV202420045</v>
      </c>
      <c r="R1962" t="s">
        <v>579</v>
      </c>
      <c r="S1962" t="s">
        <v>823</v>
      </c>
      <c r="T1962">
        <v>40</v>
      </c>
      <c r="U1962" s="26" t="str">
        <f t="shared" si="66"/>
        <v>2024.002B.Andersonviridae_1nf_2ng_98ns.zip</v>
      </c>
    </row>
    <row r="1963" spans="1:21">
      <c r="A1963">
        <v>1962</v>
      </c>
      <c r="B1963" s="27" t="s">
        <v>1449</v>
      </c>
      <c r="D1963" s="27" t="s">
        <v>1450</v>
      </c>
      <c r="F1963" s="27" t="s">
        <v>1453</v>
      </c>
      <c r="H1963" s="27" t="s">
        <v>1454</v>
      </c>
      <c r="L1963" s="27" t="s">
        <v>19321</v>
      </c>
      <c r="M1963" s="27" t="s">
        <v>731</v>
      </c>
      <c r="N1963" s="27" t="s">
        <v>1202</v>
      </c>
      <c r="P1963" s="27" t="s">
        <v>19381</v>
      </c>
      <c r="Q1963" s="26" t="str">
        <f>HYPERLINK("https://ictv.global/taxonomy/taxondetails?taxnode_id=202520047&amp;ictv_id=ICTV202420047","ICTV202420047")</f>
        <v>ICTV202420047</v>
      </c>
      <c r="R1963" t="s">
        <v>579</v>
      </c>
      <c r="S1963" t="s">
        <v>823</v>
      </c>
      <c r="T1963">
        <v>40</v>
      </c>
      <c r="U1963" s="26" t="str">
        <f t="shared" si="66"/>
        <v>2024.002B.Andersonviridae_1nf_2ng_98ns.zip</v>
      </c>
    </row>
    <row r="1964" spans="1:21">
      <c r="A1964">
        <v>1963</v>
      </c>
      <c r="B1964" s="27" t="s">
        <v>1449</v>
      </c>
      <c r="D1964" s="27" t="s">
        <v>1450</v>
      </c>
      <c r="F1964" s="27" t="s">
        <v>1453</v>
      </c>
      <c r="H1964" s="27" t="s">
        <v>1454</v>
      </c>
      <c r="L1964" s="27" t="s">
        <v>19321</v>
      </c>
      <c r="M1964" s="27" t="s">
        <v>731</v>
      </c>
      <c r="N1964" s="27" t="s">
        <v>1202</v>
      </c>
      <c r="P1964" s="27" t="s">
        <v>19382</v>
      </c>
      <c r="Q1964" s="26" t="str">
        <f>HYPERLINK("https://ictv.global/taxonomy/taxondetails?taxnode_id=202520046&amp;ictv_id=ICTV202420046","ICTV202420046")</f>
        <v>ICTV202420046</v>
      </c>
      <c r="R1964" t="s">
        <v>579</v>
      </c>
      <c r="S1964" t="s">
        <v>823</v>
      </c>
      <c r="T1964">
        <v>40</v>
      </c>
      <c r="U1964" s="26" t="str">
        <f t="shared" si="66"/>
        <v>2024.002B.Andersonviridae_1nf_2ng_98ns.zip</v>
      </c>
    </row>
    <row r="1965" spans="1:21">
      <c r="A1965">
        <v>1964</v>
      </c>
      <c r="B1965" s="27" t="s">
        <v>1449</v>
      </c>
      <c r="D1965" s="27" t="s">
        <v>1450</v>
      </c>
      <c r="F1965" s="27" t="s">
        <v>1453</v>
      </c>
      <c r="H1965" s="27" t="s">
        <v>1454</v>
      </c>
      <c r="L1965" s="27" t="s">
        <v>19321</v>
      </c>
      <c r="M1965" s="27" t="s">
        <v>731</v>
      </c>
      <c r="N1965" s="27" t="s">
        <v>1202</v>
      </c>
      <c r="P1965" s="27" t="s">
        <v>19383</v>
      </c>
      <c r="Q1965" s="26" t="str">
        <f>HYPERLINK("https://ictv.global/taxonomy/taxondetails?taxnode_id=202520013&amp;ictv_id=ICTV202420013","ICTV202420013")</f>
        <v>ICTV202420013</v>
      </c>
      <c r="R1965" t="s">
        <v>579</v>
      </c>
      <c r="S1965" t="s">
        <v>823</v>
      </c>
      <c r="T1965">
        <v>40</v>
      </c>
      <c r="U1965" s="26" t="str">
        <f t="shared" si="66"/>
        <v>2024.002B.Andersonviridae_1nf_2ng_98ns.zip</v>
      </c>
    </row>
    <row r="1966" spans="1:21">
      <c r="A1966">
        <v>1965</v>
      </c>
      <c r="B1966" s="27" t="s">
        <v>1449</v>
      </c>
      <c r="D1966" s="27" t="s">
        <v>1450</v>
      </c>
      <c r="F1966" s="27" t="s">
        <v>1453</v>
      </c>
      <c r="H1966" s="27" t="s">
        <v>1454</v>
      </c>
      <c r="L1966" s="27" t="s">
        <v>19321</v>
      </c>
      <c r="M1966" s="27" t="s">
        <v>731</v>
      </c>
      <c r="N1966" s="27" t="s">
        <v>1202</v>
      </c>
      <c r="P1966" s="27" t="s">
        <v>19384</v>
      </c>
      <c r="Q1966" s="26" t="str">
        <f>HYPERLINK("https://ictv.global/taxonomy/taxondetails?taxnode_id=202520022&amp;ictv_id=ICTV202420022","ICTV202420022")</f>
        <v>ICTV202420022</v>
      </c>
      <c r="R1966" t="s">
        <v>579</v>
      </c>
      <c r="S1966" t="s">
        <v>823</v>
      </c>
      <c r="T1966">
        <v>40</v>
      </c>
      <c r="U1966" s="26" t="str">
        <f t="shared" si="66"/>
        <v>2024.002B.Andersonviridae_1nf_2ng_98ns.zip</v>
      </c>
    </row>
    <row r="1967" spans="1:21">
      <c r="A1967">
        <v>1966</v>
      </c>
      <c r="B1967" s="27" t="s">
        <v>1449</v>
      </c>
      <c r="D1967" s="27" t="s">
        <v>1450</v>
      </c>
      <c r="F1967" s="27" t="s">
        <v>1453</v>
      </c>
      <c r="H1967" s="27" t="s">
        <v>1454</v>
      </c>
      <c r="L1967" s="27" t="s">
        <v>19321</v>
      </c>
      <c r="M1967" s="27" t="s">
        <v>731</v>
      </c>
      <c r="N1967" s="27" t="s">
        <v>1202</v>
      </c>
      <c r="P1967" s="27" t="s">
        <v>6333</v>
      </c>
      <c r="Q1967" s="26" t="str">
        <f>HYPERLINK("https://ictv.global/taxonomy/taxondetails?taxnode_id=202514552&amp;ictv_id=ICTV202214552","ICTV202214552")</f>
        <v>ICTV202214552</v>
      </c>
      <c r="R1967" t="s">
        <v>579</v>
      </c>
      <c r="S1967" t="s">
        <v>22763</v>
      </c>
      <c r="T1967">
        <v>40</v>
      </c>
      <c r="U1967" s="26" t="str">
        <f t="shared" si="66"/>
        <v>2024.002B.Andersonviridae_1nf_2ng_98ns.zip</v>
      </c>
    </row>
    <row r="1968" spans="1:21">
      <c r="A1968">
        <v>1967</v>
      </c>
      <c r="B1968" s="27" t="s">
        <v>1449</v>
      </c>
      <c r="D1968" s="27" t="s">
        <v>1450</v>
      </c>
      <c r="F1968" s="27" t="s">
        <v>1453</v>
      </c>
      <c r="H1968" s="27" t="s">
        <v>1454</v>
      </c>
      <c r="L1968" s="27" t="s">
        <v>19321</v>
      </c>
      <c r="M1968" s="27" t="s">
        <v>731</v>
      </c>
      <c r="N1968" s="27" t="s">
        <v>1202</v>
      </c>
      <c r="P1968" s="27" t="s">
        <v>19385</v>
      </c>
      <c r="Q1968" s="26" t="str">
        <f>HYPERLINK("https://ictv.global/taxonomy/taxondetails?taxnode_id=202520008&amp;ictv_id=ICTV202420008","ICTV202420008")</f>
        <v>ICTV202420008</v>
      </c>
      <c r="R1968" t="s">
        <v>579</v>
      </c>
      <c r="S1968" t="s">
        <v>823</v>
      </c>
      <c r="T1968">
        <v>40</v>
      </c>
      <c r="U1968" s="26" t="str">
        <f t="shared" si="66"/>
        <v>2024.002B.Andersonviridae_1nf_2ng_98ns.zip</v>
      </c>
    </row>
    <row r="1969" spans="1:21">
      <c r="A1969">
        <v>1968</v>
      </c>
      <c r="B1969" s="27" t="s">
        <v>1449</v>
      </c>
      <c r="D1969" s="27" t="s">
        <v>1450</v>
      </c>
      <c r="F1969" s="27" t="s">
        <v>1453</v>
      </c>
      <c r="H1969" s="27" t="s">
        <v>1454</v>
      </c>
      <c r="L1969" s="27" t="s">
        <v>19321</v>
      </c>
      <c r="M1969" s="27" t="s">
        <v>731</v>
      </c>
      <c r="N1969" s="27" t="s">
        <v>1202</v>
      </c>
      <c r="P1969" s="27" t="s">
        <v>19386</v>
      </c>
      <c r="Q1969" s="26" t="str">
        <f>HYPERLINK("https://ictv.global/taxonomy/taxondetails?taxnode_id=202520062&amp;ictv_id=ICTV202420062","ICTV202420062")</f>
        <v>ICTV202420062</v>
      </c>
      <c r="R1969" t="s">
        <v>579</v>
      </c>
      <c r="S1969" t="s">
        <v>823</v>
      </c>
      <c r="T1969">
        <v>40</v>
      </c>
      <c r="U1969" s="26" t="str">
        <f t="shared" si="66"/>
        <v>2024.002B.Andersonviridae_1nf_2ng_98ns.zip</v>
      </c>
    </row>
    <row r="1970" spans="1:21">
      <c r="A1970">
        <v>1969</v>
      </c>
      <c r="B1970" s="27" t="s">
        <v>1449</v>
      </c>
      <c r="D1970" s="27" t="s">
        <v>1450</v>
      </c>
      <c r="F1970" s="27" t="s">
        <v>1453</v>
      </c>
      <c r="H1970" s="27" t="s">
        <v>1454</v>
      </c>
      <c r="L1970" s="27" t="s">
        <v>19321</v>
      </c>
      <c r="M1970" s="27" t="s">
        <v>731</v>
      </c>
      <c r="N1970" s="27" t="s">
        <v>1202</v>
      </c>
      <c r="P1970" s="27" t="s">
        <v>19387</v>
      </c>
      <c r="Q1970" s="26" t="str">
        <f>HYPERLINK("https://ictv.global/taxonomy/taxondetails?taxnode_id=202520003&amp;ictv_id=ICTV202420003","ICTV202420003")</f>
        <v>ICTV202420003</v>
      </c>
      <c r="R1970" t="s">
        <v>579</v>
      </c>
      <c r="S1970" t="s">
        <v>823</v>
      </c>
      <c r="T1970">
        <v>40</v>
      </c>
      <c r="U1970" s="26" t="str">
        <f t="shared" si="66"/>
        <v>2024.002B.Andersonviridae_1nf_2ng_98ns.zip</v>
      </c>
    </row>
    <row r="1971" spans="1:21">
      <c r="A1971">
        <v>1970</v>
      </c>
      <c r="B1971" s="27" t="s">
        <v>1449</v>
      </c>
      <c r="D1971" s="27" t="s">
        <v>1450</v>
      </c>
      <c r="F1971" s="27" t="s">
        <v>1453</v>
      </c>
      <c r="H1971" s="27" t="s">
        <v>1454</v>
      </c>
      <c r="L1971" s="27" t="s">
        <v>19321</v>
      </c>
      <c r="M1971" s="27" t="s">
        <v>731</v>
      </c>
      <c r="N1971" s="27" t="s">
        <v>1202</v>
      </c>
      <c r="P1971" s="27" t="s">
        <v>6334</v>
      </c>
      <c r="Q1971" s="26" t="str">
        <f>HYPERLINK("https://ictv.global/taxonomy/taxondetails?taxnode_id=202507008&amp;ictv_id=ICTV201857008","ICTV201857008")</f>
        <v>ICTV201857008</v>
      </c>
      <c r="R1971" t="s">
        <v>579</v>
      </c>
      <c r="S1971" t="s">
        <v>22763</v>
      </c>
      <c r="T1971">
        <v>40</v>
      </c>
      <c r="U1971" s="26" t="str">
        <f t="shared" si="66"/>
        <v>2024.002B.Andersonviridae_1nf_2ng_98ns.zip</v>
      </c>
    </row>
    <row r="1972" spans="1:21">
      <c r="A1972">
        <v>1971</v>
      </c>
      <c r="B1972" s="27" t="s">
        <v>1449</v>
      </c>
      <c r="D1972" s="27" t="s">
        <v>1450</v>
      </c>
      <c r="F1972" s="27" t="s">
        <v>1453</v>
      </c>
      <c r="H1972" s="27" t="s">
        <v>1454</v>
      </c>
      <c r="L1972" s="27" t="s">
        <v>19321</v>
      </c>
      <c r="M1972" s="27" t="s">
        <v>731</v>
      </c>
      <c r="N1972" s="27" t="s">
        <v>1202</v>
      </c>
      <c r="P1972" s="27" t="s">
        <v>19388</v>
      </c>
      <c r="Q1972" s="26" t="str">
        <f>HYPERLINK("https://ictv.global/taxonomy/taxondetails?taxnode_id=202520023&amp;ictv_id=ICTV202420023","ICTV202420023")</f>
        <v>ICTV202420023</v>
      </c>
      <c r="R1972" t="s">
        <v>579</v>
      </c>
      <c r="S1972" t="s">
        <v>823</v>
      </c>
      <c r="T1972">
        <v>40</v>
      </c>
      <c r="U1972" s="26" t="str">
        <f t="shared" si="66"/>
        <v>2024.002B.Andersonviridae_1nf_2ng_98ns.zip</v>
      </c>
    </row>
    <row r="1973" spans="1:21">
      <c r="A1973">
        <v>1972</v>
      </c>
      <c r="B1973" s="27" t="s">
        <v>1449</v>
      </c>
      <c r="D1973" s="27" t="s">
        <v>1450</v>
      </c>
      <c r="F1973" s="27" t="s">
        <v>1453</v>
      </c>
      <c r="H1973" s="27" t="s">
        <v>1454</v>
      </c>
      <c r="L1973" s="27" t="s">
        <v>19321</v>
      </c>
      <c r="M1973" s="27" t="s">
        <v>731</v>
      </c>
      <c r="N1973" s="27" t="s">
        <v>1202</v>
      </c>
      <c r="P1973" s="27" t="s">
        <v>19389</v>
      </c>
      <c r="Q1973" s="26" t="str">
        <f>HYPERLINK("https://ictv.global/taxonomy/taxondetails?taxnode_id=202520006&amp;ictv_id=ICTV202420006","ICTV202420006")</f>
        <v>ICTV202420006</v>
      </c>
      <c r="R1973" t="s">
        <v>579</v>
      </c>
      <c r="S1973" t="s">
        <v>823</v>
      </c>
      <c r="T1973">
        <v>40</v>
      </c>
      <c r="U1973" s="26" t="str">
        <f t="shared" si="66"/>
        <v>2024.002B.Andersonviridae_1nf_2ng_98ns.zip</v>
      </c>
    </row>
    <row r="1974" spans="1:21">
      <c r="A1974">
        <v>1973</v>
      </c>
      <c r="B1974" s="27" t="s">
        <v>1449</v>
      </c>
      <c r="D1974" s="27" t="s">
        <v>1450</v>
      </c>
      <c r="F1974" s="27" t="s">
        <v>1453</v>
      </c>
      <c r="H1974" s="27" t="s">
        <v>1454</v>
      </c>
      <c r="L1974" s="27" t="s">
        <v>19321</v>
      </c>
      <c r="M1974" s="27" t="s">
        <v>731</v>
      </c>
      <c r="N1974" s="27" t="s">
        <v>1202</v>
      </c>
      <c r="P1974" s="27" t="s">
        <v>6335</v>
      </c>
      <c r="Q1974" s="26" t="str">
        <f>HYPERLINK("https://ictv.global/taxonomy/taxondetails?taxnode_id=202506902&amp;ictv_id=ICTV201856902","ICTV201856902")</f>
        <v>ICTV201856902</v>
      </c>
      <c r="R1974" t="s">
        <v>579</v>
      </c>
      <c r="S1974" t="s">
        <v>22763</v>
      </c>
      <c r="T1974">
        <v>40</v>
      </c>
      <c r="U1974" s="26" t="str">
        <f t="shared" si="66"/>
        <v>2024.002B.Andersonviridae_1nf_2ng_98ns.zip</v>
      </c>
    </row>
    <row r="1975" spans="1:21">
      <c r="A1975">
        <v>1974</v>
      </c>
      <c r="B1975" s="27" t="s">
        <v>1449</v>
      </c>
      <c r="D1975" s="27" t="s">
        <v>1450</v>
      </c>
      <c r="F1975" s="27" t="s">
        <v>1453</v>
      </c>
      <c r="H1975" s="27" t="s">
        <v>1454</v>
      </c>
      <c r="L1975" s="27" t="s">
        <v>19321</v>
      </c>
      <c r="M1975" s="27" t="s">
        <v>731</v>
      </c>
      <c r="N1975" s="27" t="s">
        <v>1202</v>
      </c>
      <c r="P1975" s="27" t="s">
        <v>19390</v>
      </c>
      <c r="Q1975" s="26" t="str">
        <f>HYPERLINK("https://ictv.global/taxonomy/taxondetails?taxnode_id=202520001&amp;ictv_id=ICTV202420001","ICTV202420001")</f>
        <v>ICTV202420001</v>
      </c>
      <c r="R1975" t="s">
        <v>579</v>
      </c>
      <c r="S1975" t="s">
        <v>823</v>
      </c>
      <c r="T1975">
        <v>40</v>
      </c>
      <c r="U1975" s="26" t="str">
        <f t="shared" si="66"/>
        <v>2024.002B.Andersonviridae_1nf_2ng_98ns.zip</v>
      </c>
    </row>
    <row r="1976" spans="1:21">
      <c r="A1976">
        <v>1975</v>
      </c>
      <c r="B1976" s="27" t="s">
        <v>1449</v>
      </c>
      <c r="D1976" s="27" t="s">
        <v>1450</v>
      </c>
      <c r="F1976" s="27" t="s">
        <v>1453</v>
      </c>
      <c r="H1976" s="27" t="s">
        <v>1454</v>
      </c>
      <c r="L1976" s="27" t="s">
        <v>19321</v>
      </c>
      <c r="M1976" s="27" t="s">
        <v>731</v>
      </c>
      <c r="N1976" s="27" t="s">
        <v>1202</v>
      </c>
      <c r="P1976" s="27" t="s">
        <v>19391</v>
      </c>
      <c r="Q1976" s="26" t="str">
        <f>HYPERLINK("https://ictv.global/taxonomy/taxondetails?taxnode_id=202519986&amp;ictv_id=ICTV202419986","ICTV202419986")</f>
        <v>ICTV202419986</v>
      </c>
      <c r="R1976" t="s">
        <v>579</v>
      </c>
      <c r="S1976" t="s">
        <v>823</v>
      </c>
      <c r="T1976">
        <v>40</v>
      </c>
      <c r="U1976" s="26" t="str">
        <f t="shared" si="66"/>
        <v>2024.002B.Andersonviridae_1nf_2ng_98ns.zip</v>
      </c>
    </row>
    <row r="1977" spans="1:21">
      <c r="A1977">
        <v>1976</v>
      </c>
      <c r="B1977" s="27" t="s">
        <v>1449</v>
      </c>
      <c r="D1977" s="27" t="s">
        <v>1450</v>
      </c>
      <c r="F1977" s="27" t="s">
        <v>1453</v>
      </c>
      <c r="H1977" s="27" t="s">
        <v>1454</v>
      </c>
      <c r="L1977" s="27" t="s">
        <v>19321</v>
      </c>
      <c r="M1977" s="27" t="s">
        <v>731</v>
      </c>
      <c r="N1977" s="27" t="s">
        <v>1202</v>
      </c>
      <c r="P1977" s="27" t="s">
        <v>19392</v>
      </c>
      <c r="Q1977" s="26" t="str">
        <f>HYPERLINK("https://ictv.global/taxonomy/taxondetails?taxnode_id=202520054&amp;ictv_id=ICTV202420054","ICTV202420054")</f>
        <v>ICTV202420054</v>
      </c>
      <c r="R1977" t="s">
        <v>579</v>
      </c>
      <c r="S1977" t="s">
        <v>823</v>
      </c>
      <c r="T1977">
        <v>40</v>
      </c>
      <c r="U1977" s="26" t="str">
        <f t="shared" si="66"/>
        <v>2024.002B.Andersonviridae_1nf_2ng_98ns.zip</v>
      </c>
    </row>
    <row r="1978" spans="1:21">
      <c r="A1978">
        <v>1977</v>
      </c>
      <c r="B1978" s="27" t="s">
        <v>1449</v>
      </c>
      <c r="D1978" s="27" t="s">
        <v>1450</v>
      </c>
      <c r="F1978" s="27" t="s">
        <v>1453</v>
      </c>
      <c r="H1978" s="27" t="s">
        <v>1454</v>
      </c>
      <c r="L1978" s="27" t="s">
        <v>19321</v>
      </c>
      <c r="M1978" s="27" t="s">
        <v>731</v>
      </c>
      <c r="N1978" s="27" t="s">
        <v>1202</v>
      </c>
      <c r="P1978" s="27" t="s">
        <v>19393</v>
      </c>
      <c r="Q1978" s="26" t="str">
        <f>HYPERLINK("https://ictv.global/taxonomy/taxondetails?taxnode_id=202519990&amp;ictv_id=ICTV202419990","ICTV202419990")</f>
        <v>ICTV202419990</v>
      </c>
      <c r="R1978" t="s">
        <v>579</v>
      </c>
      <c r="S1978" t="s">
        <v>823</v>
      </c>
      <c r="T1978">
        <v>40</v>
      </c>
      <c r="U1978" s="26" t="str">
        <f t="shared" si="66"/>
        <v>2024.002B.Andersonviridae_1nf_2ng_98ns.zip</v>
      </c>
    </row>
    <row r="1979" spans="1:21">
      <c r="A1979">
        <v>1978</v>
      </c>
      <c r="B1979" s="27" t="s">
        <v>1449</v>
      </c>
      <c r="D1979" s="27" t="s">
        <v>1450</v>
      </c>
      <c r="F1979" s="27" t="s">
        <v>1453</v>
      </c>
      <c r="H1979" s="27" t="s">
        <v>1454</v>
      </c>
      <c r="L1979" s="27" t="s">
        <v>19321</v>
      </c>
      <c r="M1979" s="27" t="s">
        <v>731</v>
      </c>
      <c r="N1979" s="27" t="s">
        <v>1202</v>
      </c>
      <c r="P1979" s="27" t="s">
        <v>19394</v>
      </c>
      <c r="Q1979" s="26" t="str">
        <f>HYPERLINK("https://ictv.global/taxonomy/taxondetails?taxnode_id=202519987&amp;ictv_id=ICTV202419987","ICTV202419987")</f>
        <v>ICTV202419987</v>
      </c>
      <c r="R1979" t="s">
        <v>579</v>
      </c>
      <c r="S1979" t="s">
        <v>823</v>
      </c>
      <c r="T1979">
        <v>40</v>
      </c>
      <c r="U1979" s="26" t="str">
        <f t="shared" si="66"/>
        <v>2024.002B.Andersonviridae_1nf_2ng_98ns.zip</v>
      </c>
    </row>
    <row r="1980" spans="1:21">
      <c r="A1980">
        <v>1979</v>
      </c>
      <c r="B1980" s="27" t="s">
        <v>1449</v>
      </c>
      <c r="D1980" s="27" t="s">
        <v>1450</v>
      </c>
      <c r="F1980" s="27" t="s">
        <v>1453</v>
      </c>
      <c r="H1980" s="27" t="s">
        <v>1454</v>
      </c>
      <c r="L1980" s="27" t="s">
        <v>19321</v>
      </c>
      <c r="M1980" s="27" t="s">
        <v>731</v>
      </c>
      <c r="N1980" s="27" t="s">
        <v>1202</v>
      </c>
      <c r="P1980" s="27" t="s">
        <v>19395</v>
      </c>
      <c r="Q1980" s="26" t="str">
        <f>HYPERLINK("https://ictv.global/taxonomy/taxondetails?taxnode_id=202520039&amp;ictv_id=ICTV202420039","ICTV202420039")</f>
        <v>ICTV202420039</v>
      </c>
      <c r="R1980" t="s">
        <v>579</v>
      </c>
      <c r="S1980" t="s">
        <v>823</v>
      </c>
      <c r="T1980">
        <v>40</v>
      </c>
      <c r="U1980" s="26" t="str">
        <f t="shared" si="66"/>
        <v>2024.002B.Andersonviridae_1nf_2ng_98ns.zip</v>
      </c>
    </row>
    <row r="1981" spans="1:21">
      <c r="A1981">
        <v>1980</v>
      </c>
      <c r="B1981" s="27" t="s">
        <v>1449</v>
      </c>
      <c r="D1981" s="27" t="s">
        <v>1450</v>
      </c>
      <c r="F1981" s="27" t="s">
        <v>1453</v>
      </c>
      <c r="H1981" s="27" t="s">
        <v>1454</v>
      </c>
      <c r="L1981" s="27" t="s">
        <v>19321</v>
      </c>
      <c r="M1981" s="27" t="s">
        <v>731</v>
      </c>
      <c r="N1981" s="27" t="s">
        <v>1202</v>
      </c>
      <c r="P1981" s="27" t="s">
        <v>6336</v>
      </c>
      <c r="Q1981" s="26" t="str">
        <f>HYPERLINK("https://ictv.global/taxonomy/taxondetails?taxnode_id=202500212&amp;ictv_id=ICTV20164823","ICTV20164823")</f>
        <v>ICTV20164823</v>
      </c>
      <c r="R1981" t="s">
        <v>579</v>
      </c>
      <c r="S1981" t="s">
        <v>22763</v>
      </c>
      <c r="T1981">
        <v>40</v>
      </c>
      <c r="U1981" s="26" t="str">
        <f t="shared" si="66"/>
        <v>2024.002B.Andersonviridae_1nf_2ng_98ns.zip</v>
      </c>
    </row>
    <row r="1982" spans="1:21">
      <c r="A1982">
        <v>1981</v>
      </c>
      <c r="B1982" s="27" t="s">
        <v>1449</v>
      </c>
      <c r="D1982" s="27" t="s">
        <v>1450</v>
      </c>
      <c r="F1982" s="27" t="s">
        <v>1453</v>
      </c>
      <c r="H1982" s="27" t="s">
        <v>1454</v>
      </c>
      <c r="L1982" s="27" t="s">
        <v>19321</v>
      </c>
      <c r="M1982" s="27" t="s">
        <v>731</v>
      </c>
      <c r="N1982" s="27" t="s">
        <v>1202</v>
      </c>
      <c r="P1982" s="27" t="s">
        <v>19396</v>
      </c>
      <c r="Q1982" s="26" t="str">
        <f>HYPERLINK("https://ictv.global/taxonomy/taxondetails?taxnode_id=202520033&amp;ictv_id=ICTV202420033","ICTV202420033")</f>
        <v>ICTV202420033</v>
      </c>
      <c r="R1982" t="s">
        <v>579</v>
      </c>
      <c r="S1982" t="s">
        <v>823</v>
      </c>
      <c r="T1982">
        <v>40</v>
      </c>
      <c r="U1982" s="26" t="str">
        <f t="shared" si="66"/>
        <v>2024.002B.Andersonviridae_1nf_2ng_98ns.zip</v>
      </c>
    </row>
    <row r="1983" spans="1:21">
      <c r="A1983">
        <v>1982</v>
      </c>
      <c r="B1983" s="27" t="s">
        <v>1449</v>
      </c>
      <c r="D1983" s="27" t="s">
        <v>1450</v>
      </c>
      <c r="F1983" s="27" t="s">
        <v>1453</v>
      </c>
      <c r="H1983" s="27" t="s">
        <v>1454</v>
      </c>
      <c r="L1983" s="27" t="s">
        <v>19321</v>
      </c>
      <c r="M1983" s="27" t="s">
        <v>731</v>
      </c>
      <c r="N1983" s="27" t="s">
        <v>1202</v>
      </c>
      <c r="P1983" s="27" t="s">
        <v>6337</v>
      </c>
      <c r="Q1983" s="26" t="str">
        <f>HYPERLINK("https://ictv.global/taxonomy/taxondetails?taxnode_id=202500218&amp;ictv_id=ICTV20150122","ICTV20150122")</f>
        <v>ICTV20150122</v>
      </c>
      <c r="R1983" t="s">
        <v>579</v>
      </c>
      <c r="S1983" t="s">
        <v>22763</v>
      </c>
      <c r="T1983">
        <v>40</v>
      </c>
      <c r="U1983" s="26" t="str">
        <f t="shared" si="66"/>
        <v>2024.002B.Andersonviridae_1nf_2ng_98ns.zip</v>
      </c>
    </row>
    <row r="1984" spans="1:21">
      <c r="A1984">
        <v>1983</v>
      </c>
      <c r="B1984" s="27" t="s">
        <v>1449</v>
      </c>
      <c r="D1984" s="27" t="s">
        <v>1450</v>
      </c>
      <c r="F1984" s="27" t="s">
        <v>1453</v>
      </c>
      <c r="H1984" s="27" t="s">
        <v>1454</v>
      </c>
      <c r="L1984" s="27" t="s">
        <v>19321</v>
      </c>
      <c r="M1984" s="27" t="s">
        <v>731</v>
      </c>
      <c r="N1984" s="27" t="s">
        <v>1202</v>
      </c>
      <c r="P1984" s="27" t="s">
        <v>21929</v>
      </c>
      <c r="Q1984" s="26" t="str">
        <f>HYPERLINK("https://ictv.global/taxonomy/taxondetails?taxnode_id=202522738&amp;ictv_id=ICTV202522738","ICTV202522738")</f>
        <v>ICTV202522738</v>
      </c>
      <c r="R1984" t="s">
        <v>579</v>
      </c>
      <c r="S1984" t="s">
        <v>823</v>
      </c>
      <c r="T1984">
        <v>41</v>
      </c>
      <c r="U1984" s="26" t="str">
        <f>HYPERLINK("https://ictv.global/ictv/proposals/2025.018B.Felixounavirus_3ns.zip","2025.018B.Felixounavirus_3ns.zip")</f>
        <v>2025.018B.Felixounavirus_3ns.zip</v>
      </c>
    </row>
    <row r="1985" spans="1:21">
      <c r="A1985">
        <v>1984</v>
      </c>
      <c r="B1985" s="27" t="s">
        <v>1449</v>
      </c>
      <c r="D1985" s="27" t="s">
        <v>1450</v>
      </c>
      <c r="F1985" s="27" t="s">
        <v>1453</v>
      </c>
      <c r="H1985" s="27" t="s">
        <v>1454</v>
      </c>
      <c r="L1985" s="27" t="s">
        <v>19321</v>
      </c>
      <c r="M1985" s="27" t="s">
        <v>731</v>
      </c>
      <c r="N1985" s="27" t="s">
        <v>1202</v>
      </c>
      <c r="P1985" s="27" t="s">
        <v>21927</v>
      </c>
      <c r="Q1985" s="26" t="str">
        <f>HYPERLINK("https://ictv.global/taxonomy/taxondetails?taxnode_id=202522736&amp;ictv_id=ICTV202522736","ICTV202522736")</f>
        <v>ICTV202522736</v>
      </c>
      <c r="R1985" t="s">
        <v>579</v>
      </c>
      <c r="S1985" t="s">
        <v>823</v>
      </c>
      <c r="T1985">
        <v>41</v>
      </c>
      <c r="U1985" s="26" t="str">
        <f>HYPERLINK("https://ictv.global/ictv/proposals/2025.018B.Felixounavirus_3ns.zip","2025.018B.Felixounavirus_3ns.zip")</f>
        <v>2025.018B.Felixounavirus_3ns.zip</v>
      </c>
    </row>
    <row r="1986" spans="1:21">
      <c r="A1986">
        <v>1985</v>
      </c>
      <c r="B1986" s="27" t="s">
        <v>1449</v>
      </c>
      <c r="D1986" s="27" t="s">
        <v>1450</v>
      </c>
      <c r="F1986" s="27" t="s">
        <v>1453</v>
      </c>
      <c r="H1986" s="27" t="s">
        <v>1454</v>
      </c>
      <c r="L1986" s="27" t="s">
        <v>19321</v>
      </c>
      <c r="M1986" s="27" t="s">
        <v>731</v>
      </c>
      <c r="N1986" s="27" t="s">
        <v>1202</v>
      </c>
      <c r="P1986" s="27" t="s">
        <v>21928</v>
      </c>
      <c r="Q1986" s="26" t="str">
        <f>HYPERLINK("https://ictv.global/taxonomy/taxondetails?taxnode_id=202522737&amp;ictv_id=ICTV202522737","ICTV202522737")</f>
        <v>ICTV202522737</v>
      </c>
      <c r="R1986" t="s">
        <v>579</v>
      </c>
      <c r="S1986" t="s">
        <v>823</v>
      </c>
      <c r="T1986">
        <v>41</v>
      </c>
      <c r="U1986" s="26" t="str">
        <f>HYPERLINK("https://ictv.global/ictv/proposals/2025.018B.Felixounavirus_3ns.zip","2025.018B.Felixounavirus_3ns.zip")</f>
        <v>2025.018B.Felixounavirus_3ns.zip</v>
      </c>
    </row>
    <row r="1987" spans="1:21">
      <c r="A1987">
        <v>1986</v>
      </c>
      <c r="B1987" s="27" t="s">
        <v>1449</v>
      </c>
      <c r="D1987" s="27" t="s">
        <v>1450</v>
      </c>
      <c r="F1987" s="27" t="s">
        <v>1453</v>
      </c>
      <c r="H1987" s="27" t="s">
        <v>1454</v>
      </c>
      <c r="L1987" s="27" t="s">
        <v>19321</v>
      </c>
      <c r="M1987" s="27" t="s">
        <v>731</v>
      </c>
      <c r="N1987" s="27" t="s">
        <v>1202</v>
      </c>
      <c r="P1987" s="27" t="s">
        <v>6338</v>
      </c>
      <c r="Q1987" s="26" t="str">
        <f>HYPERLINK("https://ictv.global/taxonomy/taxondetails?taxnode_id=202500213&amp;ictv_id=ICTV20150123","ICTV20150123")</f>
        <v>ICTV20150123</v>
      </c>
      <c r="R1987" t="s">
        <v>579</v>
      </c>
      <c r="S1987" t="s">
        <v>22763</v>
      </c>
      <c r="T1987">
        <v>40</v>
      </c>
      <c r="U1987" s="26" t="str">
        <f t="shared" ref="U1987:U2019" si="67">HYPERLINK("https://ictv.global/ictv/proposals/2024.002B.Andersonviridae_1nf_2ng_98ns.zip","2024.002B.Andersonviridae_1nf_2ng_98ns.zip")</f>
        <v>2024.002B.Andersonviridae_1nf_2ng_98ns.zip</v>
      </c>
    </row>
    <row r="1988" spans="1:21">
      <c r="A1988">
        <v>1987</v>
      </c>
      <c r="B1988" s="27" t="s">
        <v>1449</v>
      </c>
      <c r="D1988" s="27" t="s">
        <v>1450</v>
      </c>
      <c r="F1988" s="27" t="s">
        <v>1453</v>
      </c>
      <c r="H1988" s="27" t="s">
        <v>1454</v>
      </c>
      <c r="L1988" s="27" t="s">
        <v>19321</v>
      </c>
      <c r="M1988" s="27" t="s">
        <v>731</v>
      </c>
      <c r="N1988" s="27" t="s">
        <v>1202</v>
      </c>
      <c r="P1988" s="27" t="s">
        <v>19397</v>
      </c>
      <c r="Q1988" s="26" t="str">
        <f>HYPERLINK("https://ictv.global/taxonomy/taxondetails?taxnode_id=202520055&amp;ictv_id=ICTV202420055","ICTV202420055")</f>
        <v>ICTV202420055</v>
      </c>
      <c r="R1988" t="s">
        <v>579</v>
      </c>
      <c r="S1988" t="s">
        <v>823</v>
      </c>
      <c r="T1988">
        <v>40</v>
      </c>
      <c r="U1988" s="26" t="str">
        <f t="shared" si="67"/>
        <v>2024.002B.Andersonviridae_1nf_2ng_98ns.zip</v>
      </c>
    </row>
    <row r="1989" spans="1:21">
      <c r="A1989">
        <v>1988</v>
      </c>
      <c r="B1989" s="27" t="s">
        <v>1449</v>
      </c>
      <c r="D1989" s="27" t="s">
        <v>1450</v>
      </c>
      <c r="F1989" s="27" t="s">
        <v>1453</v>
      </c>
      <c r="H1989" s="27" t="s">
        <v>1454</v>
      </c>
      <c r="L1989" s="27" t="s">
        <v>19321</v>
      </c>
      <c r="M1989" s="27" t="s">
        <v>731</v>
      </c>
      <c r="N1989" s="27" t="s">
        <v>1202</v>
      </c>
      <c r="P1989" s="27" t="s">
        <v>19398</v>
      </c>
      <c r="Q1989" s="26" t="str">
        <f>HYPERLINK("https://ictv.global/taxonomy/taxondetails?taxnode_id=202520026&amp;ictv_id=ICTV202420026","ICTV202420026")</f>
        <v>ICTV202420026</v>
      </c>
      <c r="R1989" t="s">
        <v>579</v>
      </c>
      <c r="S1989" t="s">
        <v>823</v>
      </c>
      <c r="T1989">
        <v>40</v>
      </c>
      <c r="U1989" s="26" t="str">
        <f t="shared" si="67"/>
        <v>2024.002B.Andersonviridae_1nf_2ng_98ns.zip</v>
      </c>
    </row>
    <row r="1990" spans="1:21">
      <c r="A1990">
        <v>1989</v>
      </c>
      <c r="B1990" s="27" t="s">
        <v>1449</v>
      </c>
      <c r="D1990" s="27" t="s">
        <v>1450</v>
      </c>
      <c r="F1990" s="27" t="s">
        <v>1453</v>
      </c>
      <c r="H1990" s="27" t="s">
        <v>1454</v>
      </c>
      <c r="L1990" s="27" t="s">
        <v>19321</v>
      </c>
      <c r="M1990" s="27" t="s">
        <v>731</v>
      </c>
      <c r="N1990" s="27" t="s">
        <v>1202</v>
      </c>
      <c r="P1990" s="27" t="s">
        <v>19399</v>
      </c>
      <c r="Q1990" s="26" t="str">
        <f>HYPERLINK("https://ictv.global/taxonomy/taxondetails?taxnode_id=202520060&amp;ictv_id=ICTV202420060","ICTV202420060")</f>
        <v>ICTV202420060</v>
      </c>
      <c r="R1990" t="s">
        <v>579</v>
      </c>
      <c r="S1990" t="s">
        <v>823</v>
      </c>
      <c r="T1990">
        <v>40</v>
      </c>
      <c r="U1990" s="26" t="str">
        <f t="shared" si="67"/>
        <v>2024.002B.Andersonviridae_1nf_2ng_98ns.zip</v>
      </c>
    </row>
    <row r="1991" spans="1:21">
      <c r="A1991">
        <v>1990</v>
      </c>
      <c r="B1991" s="27" t="s">
        <v>1449</v>
      </c>
      <c r="D1991" s="27" t="s">
        <v>1450</v>
      </c>
      <c r="F1991" s="27" t="s">
        <v>1453</v>
      </c>
      <c r="H1991" s="27" t="s">
        <v>1454</v>
      </c>
      <c r="L1991" s="27" t="s">
        <v>19321</v>
      </c>
      <c r="M1991" s="27" t="s">
        <v>731</v>
      </c>
      <c r="N1991" s="27" t="s">
        <v>1202</v>
      </c>
      <c r="P1991" s="27" t="s">
        <v>6339</v>
      </c>
      <c r="Q1991" s="26" t="str">
        <f>HYPERLINK("https://ictv.global/taxonomy/taxondetails?taxnode_id=202500214&amp;ictv_id=ICTV20115473","ICTV20115473")</f>
        <v>ICTV20115473</v>
      </c>
      <c r="R1991" t="s">
        <v>579</v>
      </c>
      <c r="S1991" t="s">
        <v>22763</v>
      </c>
      <c r="T1991">
        <v>40</v>
      </c>
      <c r="U1991" s="26" t="str">
        <f t="shared" si="67"/>
        <v>2024.002B.Andersonviridae_1nf_2ng_98ns.zip</v>
      </c>
    </row>
    <row r="1992" spans="1:21">
      <c r="A1992">
        <v>1991</v>
      </c>
      <c r="B1992" s="27" t="s">
        <v>1449</v>
      </c>
      <c r="D1992" s="27" t="s">
        <v>1450</v>
      </c>
      <c r="F1992" s="27" t="s">
        <v>1453</v>
      </c>
      <c r="H1992" s="27" t="s">
        <v>1454</v>
      </c>
      <c r="L1992" s="27" t="s">
        <v>19321</v>
      </c>
      <c r="M1992" s="27" t="s">
        <v>731</v>
      </c>
      <c r="N1992" s="27" t="s">
        <v>1202</v>
      </c>
      <c r="P1992" s="27" t="s">
        <v>19400</v>
      </c>
      <c r="Q1992" s="26" t="str">
        <f>HYPERLINK("https://ictv.global/taxonomy/taxondetails?taxnode_id=202519998&amp;ictv_id=ICTV202419998","ICTV202419998")</f>
        <v>ICTV202419998</v>
      </c>
      <c r="R1992" t="s">
        <v>579</v>
      </c>
      <c r="S1992" t="s">
        <v>823</v>
      </c>
      <c r="T1992">
        <v>40</v>
      </c>
      <c r="U1992" s="26" t="str">
        <f t="shared" si="67"/>
        <v>2024.002B.Andersonviridae_1nf_2ng_98ns.zip</v>
      </c>
    </row>
    <row r="1993" spans="1:21">
      <c r="A1993">
        <v>1992</v>
      </c>
      <c r="B1993" s="27" t="s">
        <v>1449</v>
      </c>
      <c r="D1993" s="27" t="s">
        <v>1450</v>
      </c>
      <c r="F1993" s="27" t="s">
        <v>1453</v>
      </c>
      <c r="H1993" s="27" t="s">
        <v>1454</v>
      </c>
      <c r="L1993" s="27" t="s">
        <v>19321</v>
      </c>
      <c r="M1993" s="27" t="s">
        <v>731</v>
      </c>
      <c r="N1993" s="27" t="s">
        <v>1202</v>
      </c>
      <c r="P1993" s="27" t="s">
        <v>19401</v>
      </c>
      <c r="Q1993" s="26" t="str">
        <f>HYPERLINK("https://ictv.global/taxonomy/taxondetails?taxnode_id=202520004&amp;ictv_id=ICTV202420004","ICTV202420004")</f>
        <v>ICTV202420004</v>
      </c>
      <c r="R1993" t="s">
        <v>579</v>
      </c>
      <c r="S1993" t="s">
        <v>823</v>
      </c>
      <c r="T1993">
        <v>40</v>
      </c>
      <c r="U1993" s="26" t="str">
        <f t="shared" si="67"/>
        <v>2024.002B.Andersonviridae_1nf_2ng_98ns.zip</v>
      </c>
    </row>
    <row r="1994" spans="1:21">
      <c r="A1994">
        <v>1993</v>
      </c>
      <c r="B1994" s="27" t="s">
        <v>1449</v>
      </c>
      <c r="D1994" s="27" t="s">
        <v>1450</v>
      </c>
      <c r="F1994" s="27" t="s">
        <v>1453</v>
      </c>
      <c r="H1994" s="27" t="s">
        <v>1454</v>
      </c>
      <c r="L1994" s="27" t="s">
        <v>19321</v>
      </c>
      <c r="M1994" s="27" t="s">
        <v>731</v>
      </c>
      <c r="N1994" s="27" t="s">
        <v>1203</v>
      </c>
      <c r="P1994" s="27" t="s">
        <v>6340</v>
      </c>
      <c r="Q1994" s="26" t="str">
        <f>HYPERLINK("https://ictv.global/taxonomy/taxondetails?taxnode_id=202500205&amp;ictv_id=ICTV20115472","ICTV20115472")</f>
        <v>ICTV20115472</v>
      </c>
      <c r="R1994" t="s">
        <v>579</v>
      </c>
      <c r="S1994" t="s">
        <v>22763</v>
      </c>
      <c r="T1994">
        <v>40</v>
      </c>
      <c r="U1994" s="26" t="str">
        <f t="shared" si="67"/>
        <v>2024.002B.Andersonviridae_1nf_2ng_98ns.zip</v>
      </c>
    </row>
    <row r="1995" spans="1:21">
      <c r="A1995">
        <v>1994</v>
      </c>
      <c r="B1995" s="27" t="s">
        <v>1449</v>
      </c>
      <c r="D1995" s="27" t="s">
        <v>1450</v>
      </c>
      <c r="F1995" s="27" t="s">
        <v>1453</v>
      </c>
      <c r="H1995" s="27" t="s">
        <v>1454</v>
      </c>
      <c r="L1995" s="27" t="s">
        <v>19321</v>
      </c>
      <c r="M1995" s="27" t="s">
        <v>731</v>
      </c>
      <c r="N1995" s="27" t="s">
        <v>1203</v>
      </c>
      <c r="P1995" s="27" t="s">
        <v>6341</v>
      </c>
      <c r="Q1995" s="26" t="str">
        <f>HYPERLINK("https://ictv.global/taxonomy/taxondetails?taxnode_id=202500206&amp;ictv_id=ICTV20164821","ICTV20164821")</f>
        <v>ICTV20164821</v>
      </c>
      <c r="R1995" t="s">
        <v>579</v>
      </c>
      <c r="S1995" t="s">
        <v>22763</v>
      </c>
      <c r="T1995">
        <v>40</v>
      </c>
      <c r="U1995" s="26" t="str">
        <f t="shared" si="67"/>
        <v>2024.002B.Andersonviridae_1nf_2ng_98ns.zip</v>
      </c>
    </row>
    <row r="1996" spans="1:21">
      <c r="A1996">
        <v>1995</v>
      </c>
      <c r="B1996" s="27" t="s">
        <v>1449</v>
      </c>
      <c r="D1996" s="27" t="s">
        <v>1450</v>
      </c>
      <c r="F1996" s="27" t="s">
        <v>1453</v>
      </c>
      <c r="H1996" s="27" t="s">
        <v>1454</v>
      </c>
      <c r="L1996" s="27" t="s">
        <v>19321</v>
      </c>
      <c r="M1996" s="27" t="s">
        <v>731</v>
      </c>
      <c r="N1996" s="27" t="s">
        <v>1203</v>
      </c>
      <c r="P1996" s="27" t="s">
        <v>19402</v>
      </c>
      <c r="Q1996" s="26" t="str">
        <f>HYPERLINK("https://ictv.global/taxonomy/taxondetails?taxnode_id=202519971&amp;ictv_id=ICTV202419971","ICTV202419971")</f>
        <v>ICTV202419971</v>
      </c>
      <c r="R1996" t="s">
        <v>579</v>
      </c>
      <c r="S1996" t="s">
        <v>823</v>
      </c>
      <c r="T1996">
        <v>40</v>
      </c>
      <c r="U1996" s="26" t="str">
        <f t="shared" si="67"/>
        <v>2024.002B.Andersonviridae_1nf_2ng_98ns.zip</v>
      </c>
    </row>
    <row r="1997" spans="1:21">
      <c r="A1997">
        <v>1996</v>
      </c>
      <c r="B1997" s="27" t="s">
        <v>1449</v>
      </c>
      <c r="D1997" s="27" t="s">
        <v>1450</v>
      </c>
      <c r="F1997" s="27" t="s">
        <v>1453</v>
      </c>
      <c r="H1997" s="27" t="s">
        <v>1454</v>
      </c>
      <c r="L1997" s="27" t="s">
        <v>19321</v>
      </c>
      <c r="M1997" s="27" t="s">
        <v>731</v>
      </c>
      <c r="N1997" s="27" t="s">
        <v>758</v>
      </c>
      <c r="P1997" s="27" t="s">
        <v>19403</v>
      </c>
      <c r="Q1997" s="26" t="str">
        <f>HYPERLINK("https://ictv.global/taxonomy/taxondetails?taxnode_id=202519979&amp;ictv_id=ICTV202419979","ICTV202419979")</f>
        <v>ICTV202419979</v>
      </c>
      <c r="R1997" t="s">
        <v>579</v>
      </c>
      <c r="S1997" t="s">
        <v>823</v>
      </c>
      <c r="T1997">
        <v>40</v>
      </c>
      <c r="U1997" s="26" t="str">
        <f t="shared" si="67"/>
        <v>2024.002B.Andersonviridae_1nf_2ng_98ns.zip</v>
      </c>
    </row>
    <row r="1998" spans="1:21">
      <c r="A1998">
        <v>1997</v>
      </c>
      <c r="B1998" s="27" t="s">
        <v>1449</v>
      </c>
      <c r="D1998" s="27" t="s">
        <v>1450</v>
      </c>
      <c r="F1998" s="27" t="s">
        <v>1453</v>
      </c>
      <c r="H1998" s="27" t="s">
        <v>1454</v>
      </c>
      <c r="L1998" s="27" t="s">
        <v>19321</v>
      </c>
      <c r="M1998" s="27" t="s">
        <v>731</v>
      </c>
      <c r="N1998" s="27" t="s">
        <v>758</v>
      </c>
      <c r="P1998" s="27" t="s">
        <v>19404</v>
      </c>
      <c r="Q1998" s="26" t="str">
        <f>HYPERLINK("https://ictv.global/taxonomy/taxondetails?taxnode_id=202519980&amp;ictv_id=ICTV202419980","ICTV202419980")</f>
        <v>ICTV202419980</v>
      </c>
      <c r="R1998" t="s">
        <v>579</v>
      </c>
      <c r="S1998" t="s">
        <v>823</v>
      </c>
      <c r="T1998">
        <v>40</v>
      </c>
      <c r="U1998" s="26" t="str">
        <f t="shared" si="67"/>
        <v>2024.002B.Andersonviridae_1nf_2ng_98ns.zip</v>
      </c>
    </row>
    <row r="1999" spans="1:21">
      <c r="A1999">
        <v>1998</v>
      </c>
      <c r="B1999" s="27" t="s">
        <v>1449</v>
      </c>
      <c r="D1999" s="27" t="s">
        <v>1450</v>
      </c>
      <c r="F1999" s="27" t="s">
        <v>1453</v>
      </c>
      <c r="H1999" s="27" t="s">
        <v>1454</v>
      </c>
      <c r="L1999" s="27" t="s">
        <v>19321</v>
      </c>
      <c r="M1999" s="27" t="s">
        <v>731</v>
      </c>
      <c r="N1999" s="27" t="s">
        <v>758</v>
      </c>
      <c r="P1999" s="27" t="s">
        <v>19405</v>
      </c>
      <c r="Q1999" s="26" t="str">
        <f>HYPERLINK("https://ictv.global/taxonomy/taxondetails?taxnode_id=202519975&amp;ictv_id=ICTV202419975","ICTV202419975")</f>
        <v>ICTV202419975</v>
      </c>
      <c r="R1999" t="s">
        <v>579</v>
      </c>
      <c r="S1999" t="s">
        <v>823</v>
      </c>
      <c r="T1999">
        <v>40</v>
      </c>
      <c r="U1999" s="26" t="str">
        <f t="shared" si="67"/>
        <v>2024.002B.Andersonviridae_1nf_2ng_98ns.zip</v>
      </c>
    </row>
    <row r="2000" spans="1:21">
      <c r="A2000">
        <v>1999</v>
      </c>
      <c r="B2000" s="27" t="s">
        <v>1449</v>
      </c>
      <c r="D2000" s="27" t="s">
        <v>1450</v>
      </c>
      <c r="F2000" s="27" t="s">
        <v>1453</v>
      </c>
      <c r="H2000" s="27" t="s">
        <v>1454</v>
      </c>
      <c r="L2000" s="27" t="s">
        <v>19321</v>
      </c>
      <c r="M2000" s="27" t="s">
        <v>731</v>
      </c>
      <c r="N2000" s="27" t="s">
        <v>758</v>
      </c>
      <c r="P2000" s="27" t="s">
        <v>19406</v>
      </c>
      <c r="Q2000" s="26" t="str">
        <f>HYPERLINK("https://ictv.global/taxonomy/taxondetails?taxnode_id=202519977&amp;ictv_id=ICTV202419977","ICTV202419977")</f>
        <v>ICTV202419977</v>
      </c>
      <c r="R2000" t="s">
        <v>579</v>
      </c>
      <c r="S2000" t="s">
        <v>823</v>
      </c>
      <c r="T2000">
        <v>40</v>
      </c>
      <c r="U2000" s="26" t="str">
        <f t="shared" si="67"/>
        <v>2024.002B.Andersonviridae_1nf_2ng_98ns.zip</v>
      </c>
    </row>
    <row r="2001" spans="1:21">
      <c r="A2001">
        <v>2000</v>
      </c>
      <c r="B2001" s="27" t="s">
        <v>1449</v>
      </c>
      <c r="D2001" s="27" t="s">
        <v>1450</v>
      </c>
      <c r="F2001" s="27" t="s">
        <v>1453</v>
      </c>
      <c r="H2001" s="27" t="s">
        <v>1454</v>
      </c>
      <c r="L2001" s="27" t="s">
        <v>19321</v>
      </c>
      <c r="M2001" s="27" t="s">
        <v>731</v>
      </c>
      <c r="N2001" s="27" t="s">
        <v>758</v>
      </c>
      <c r="P2001" s="27" t="s">
        <v>19407</v>
      </c>
      <c r="Q2001" s="26" t="str">
        <f>HYPERLINK("https://ictv.global/taxonomy/taxondetails?taxnode_id=202519976&amp;ictv_id=ICTV202419976","ICTV202419976")</f>
        <v>ICTV202419976</v>
      </c>
      <c r="R2001" t="s">
        <v>579</v>
      </c>
      <c r="S2001" t="s">
        <v>823</v>
      </c>
      <c r="T2001">
        <v>40</v>
      </c>
      <c r="U2001" s="26" t="str">
        <f t="shared" si="67"/>
        <v>2024.002B.Andersonviridae_1nf_2ng_98ns.zip</v>
      </c>
    </row>
    <row r="2002" spans="1:21">
      <c r="A2002">
        <v>2001</v>
      </c>
      <c r="B2002" s="27" t="s">
        <v>1449</v>
      </c>
      <c r="D2002" s="27" t="s">
        <v>1450</v>
      </c>
      <c r="F2002" s="27" t="s">
        <v>1453</v>
      </c>
      <c r="H2002" s="27" t="s">
        <v>1454</v>
      </c>
      <c r="L2002" s="27" t="s">
        <v>19321</v>
      </c>
      <c r="M2002" s="27" t="s">
        <v>731</v>
      </c>
      <c r="N2002" s="27" t="s">
        <v>758</v>
      </c>
      <c r="P2002" s="27" t="s">
        <v>19408</v>
      </c>
      <c r="Q2002" s="26" t="str">
        <f>HYPERLINK("https://ictv.global/taxonomy/taxondetails?taxnode_id=202519973&amp;ictv_id=ICTV202419973","ICTV202419973")</f>
        <v>ICTV202419973</v>
      </c>
      <c r="R2002" t="s">
        <v>579</v>
      </c>
      <c r="S2002" t="s">
        <v>823</v>
      </c>
      <c r="T2002">
        <v>40</v>
      </c>
      <c r="U2002" s="26" t="str">
        <f t="shared" si="67"/>
        <v>2024.002B.Andersonviridae_1nf_2ng_98ns.zip</v>
      </c>
    </row>
    <row r="2003" spans="1:21">
      <c r="A2003">
        <v>2002</v>
      </c>
      <c r="B2003" s="27" t="s">
        <v>1449</v>
      </c>
      <c r="D2003" s="27" t="s">
        <v>1450</v>
      </c>
      <c r="F2003" s="27" t="s">
        <v>1453</v>
      </c>
      <c r="H2003" s="27" t="s">
        <v>1454</v>
      </c>
      <c r="L2003" s="27" t="s">
        <v>19321</v>
      </c>
      <c r="M2003" s="27" t="s">
        <v>731</v>
      </c>
      <c r="N2003" s="27" t="s">
        <v>758</v>
      </c>
      <c r="P2003" s="27" t="s">
        <v>19409</v>
      </c>
      <c r="Q2003" s="26" t="str">
        <f>HYPERLINK("https://ictv.global/taxonomy/taxondetails?taxnode_id=202519978&amp;ictv_id=ICTV202419978","ICTV202419978")</f>
        <v>ICTV202419978</v>
      </c>
      <c r="R2003" t="s">
        <v>579</v>
      </c>
      <c r="S2003" t="s">
        <v>823</v>
      </c>
      <c r="T2003">
        <v>40</v>
      </c>
      <c r="U2003" s="26" t="str">
        <f t="shared" si="67"/>
        <v>2024.002B.Andersonviridae_1nf_2ng_98ns.zip</v>
      </c>
    </row>
    <row r="2004" spans="1:21">
      <c r="A2004">
        <v>2003</v>
      </c>
      <c r="B2004" s="27" t="s">
        <v>1449</v>
      </c>
      <c r="D2004" s="27" t="s">
        <v>1450</v>
      </c>
      <c r="F2004" s="27" t="s">
        <v>1453</v>
      </c>
      <c r="H2004" s="27" t="s">
        <v>1454</v>
      </c>
      <c r="L2004" s="27" t="s">
        <v>19321</v>
      </c>
      <c r="M2004" s="27" t="s">
        <v>731</v>
      </c>
      <c r="N2004" s="27" t="s">
        <v>758</v>
      </c>
      <c r="P2004" s="27" t="s">
        <v>19410</v>
      </c>
      <c r="Q2004" s="26" t="str">
        <f>HYPERLINK("https://ictv.global/taxonomy/taxondetails?taxnode_id=202519981&amp;ictv_id=ICTV202419981","ICTV202419981")</f>
        <v>ICTV202419981</v>
      </c>
      <c r="R2004" t="s">
        <v>579</v>
      </c>
      <c r="S2004" t="s">
        <v>823</v>
      </c>
      <c r="T2004">
        <v>40</v>
      </c>
      <c r="U2004" s="26" t="str">
        <f t="shared" si="67"/>
        <v>2024.002B.Andersonviridae_1nf_2ng_98ns.zip</v>
      </c>
    </row>
    <row r="2005" spans="1:21">
      <c r="A2005">
        <v>2004</v>
      </c>
      <c r="B2005" s="27" t="s">
        <v>1449</v>
      </c>
      <c r="D2005" s="27" t="s">
        <v>1450</v>
      </c>
      <c r="F2005" s="27" t="s">
        <v>1453</v>
      </c>
      <c r="H2005" s="27" t="s">
        <v>1454</v>
      </c>
      <c r="L2005" s="27" t="s">
        <v>19321</v>
      </c>
      <c r="M2005" s="27" t="s">
        <v>731</v>
      </c>
      <c r="N2005" s="27" t="s">
        <v>758</v>
      </c>
      <c r="P2005" s="27" t="s">
        <v>6342</v>
      </c>
      <c r="Q2005" s="26" t="str">
        <f>HYPERLINK("https://ictv.global/taxonomy/taxondetails?taxnode_id=202500220&amp;ictv_id=ICTV20164824","ICTV20164824")</f>
        <v>ICTV20164824</v>
      </c>
      <c r="R2005" t="s">
        <v>579</v>
      </c>
      <c r="S2005" t="s">
        <v>22763</v>
      </c>
      <c r="T2005">
        <v>40</v>
      </c>
      <c r="U2005" s="26" t="str">
        <f t="shared" si="67"/>
        <v>2024.002B.Andersonviridae_1nf_2ng_98ns.zip</v>
      </c>
    </row>
    <row r="2006" spans="1:21">
      <c r="A2006">
        <v>2005</v>
      </c>
      <c r="B2006" s="27" t="s">
        <v>1449</v>
      </c>
      <c r="D2006" s="27" t="s">
        <v>1450</v>
      </c>
      <c r="F2006" s="27" t="s">
        <v>1453</v>
      </c>
      <c r="H2006" s="27" t="s">
        <v>1454</v>
      </c>
      <c r="L2006" s="27" t="s">
        <v>19321</v>
      </c>
      <c r="M2006" s="27" t="s">
        <v>731</v>
      </c>
      <c r="N2006" s="27" t="s">
        <v>758</v>
      </c>
      <c r="P2006" s="27" t="s">
        <v>6343</v>
      </c>
      <c r="Q2006" s="26" t="str">
        <f>HYPERLINK("https://ictv.global/taxonomy/taxondetails?taxnode_id=202500221&amp;ictv_id=ICTV20164825","ICTV20164825")</f>
        <v>ICTV20164825</v>
      </c>
      <c r="R2006" t="s">
        <v>579</v>
      </c>
      <c r="S2006" t="s">
        <v>22763</v>
      </c>
      <c r="T2006">
        <v>40</v>
      </c>
      <c r="U2006" s="26" t="str">
        <f t="shared" si="67"/>
        <v>2024.002B.Andersonviridae_1nf_2ng_98ns.zip</v>
      </c>
    </row>
    <row r="2007" spans="1:21">
      <c r="A2007">
        <v>2006</v>
      </c>
      <c r="B2007" s="27" t="s">
        <v>1449</v>
      </c>
      <c r="D2007" s="27" t="s">
        <v>1450</v>
      </c>
      <c r="F2007" s="27" t="s">
        <v>1453</v>
      </c>
      <c r="H2007" s="27" t="s">
        <v>1454</v>
      </c>
      <c r="L2007" s="27" t="s">
        <v>19321</v>
      </c>
      <c r="M2007" s="27" t="s">
        <v>731</v>
      </c>
      <c r="N2007" s="27" t="s">
        <v>758</v>
      </c>
      <c r="P2007" s="27" t="s">
        <v>19411</v>
      </c>
      <c r="Q2007" s="26" t="str">
        <f>HYPERLINK("https://ictv.global/taxonomy/taxondetails?taxnode_id=202519982&amp;ictv_id=ICTV202419982","ICTV202419982")</f>
        <v>ICTV202419982</v>
      </c>
      <c r="R2007" t="s">
        <v>579</v>
      </c>
      <c r="S2007" t="s">
        <v>823</v>
      </c>
      <c r="T2007">
        <v>40</v>
      </c>
      <c r="U2007" s="26" t="str">
        <f t="shared" si="67"/>
        <v>2024.002B.Andersonviridae_1nf_2ng_98ns.zip</v>
      </c>
    </row>
    <row r="2008" spans="1:21">
      <c r="A2008">
        <v>2007</v>
      </c>
      <c r="B2008" s="27" t="s">
        <v>1449</v>
      </c>
      <c r="D2008" s="27" t="s">
        <v>1450</v>
      </c>
      <c r="F2008" s="27" t="s">
        <v>1453</v>
      </c>
      <c r="H2008" s="27" t="s">
        <v>1454</v>
      </c>
      <c r="L2008" s="27" t="s">
        <v>19321</v>
      </c>
      <c r="M2008" s="27" t="s">
        <v>731</v>
      </c>
      <c r="N2008" s="27" t="s">
        <v>758</v>
      </c>
      <c r="P2008" s="27" t="s">
        <v>6344</v>
      </c>
      <c r="Q2008" s="26" t="str">
        <f>HYPERLINK("https://ictv.global/taxonomy/taxondetails?taxnode_id=202507011&amp;ictv_id=ICTV201857011","ICTV201857011")</f>
        <v>ICTV201857011</v>
      </c>
      <c r="R2008" t="s">
        <v>579</v>
      </c>
      <c r="S2008" t="s">
        <v>22763</v>
      </c>
      <c r="T2008">
        <v>40</v>
      </c>
      <c r="U2008" s="26" t="str">
        <f t="shared" si="67"/>
        <v>2024.002B.Andersonviridae_1nf_2ng_98ns.zip</v>
      </c>
    </row>
    <row r="2009" spans="1:21">
      <c r="A2009">
        <v>2008</v>
      </c>
      <c r="B2009" s="27" t="s">
        <v>1449</v>
      </c>
      <c r="D2009" s="27" t="s">
        <v>1450</v>
      </c>
      <c r="F2009" s="27" t="s">
        <v>1453</v>
      </c>
      <c r="H2009" s="27" t="s">
        <v>1454</v>
      </c>
      <c r="L2009" s="27" t="s">
        <v>19321</v>
      </c>
      <c r="M2009" s="27" t="s">
        <v>731</v>
      </c>
      <c r="N2009" s="27" t="s">
        <v>758</v>
      </c>
      <c r="P2009" s="27" t="s">
        <v>6345</v>
      </c>
      <c r="Q2009" s="26" t="str">
        <f>HYPERLINK("https://ictv.global/taxonomy/taxondetails?taxnode_id=202507012&amp;ictv_id=ICTV201857012","ICTV201857012")</f>
        <v>ICTV201857012</v>
      </c>
      <c r="R2009" t="s">
        <v>579</v>
      </c>
      <c r="S2009" t="s">
        <v>22763</v>
      </c>
      <c r="T2009">
        <v>40</v>
      </c>
      <c r="U2009" s="26" t="str">
        <f t="shared" si="67"/>
        <v>2024.002B.Andersonviridae_1nf_2ng_98ns.zip</v>
      </c>
    </row>
    <row r="2010" spans="1:21">
      <c r="A2010">
        <v>2009</v>
      </c>
      <c r="B2010" s="27" t="s">
        <v>1449</v>
      </c>
      <c r="D2010" s="27" t="s">
        <v>1450</v>
      </c>
      <c r="F2010" s="27" t="s">
        <v>1453</v>
      </c>
      <c r="H2010" s="27" t="s">
        <v>1454</v>
      </c>
      <c r="L2010" s="27" t="s">
        <v>19321</v>
      </c>
      <c r="M2010" s="27" t="s">
        <v>731</v>
      </c>
      <c r="N2010" s="27" t="s">
        <v>758</v>
      </c>
      <c r="P2010" s="27" t="s">
        <v>6346</v>
      </c>
      <c r="Q2010" s="26" t="str">
        <f>HYPERLINK("https://ictv.global/taxonomy/taxondetails?taxnode_id=202507013&amp;ictv_id=ICTV201857013","ICTV201857013")</f>
        <v>ICTV201857013</v>
      </c>
      <c r="R2010" t="s">
        <v>579</v>
      </c>
      <c r="S2010" t="s">
        <v>22763</v>
      </c>
      <c r="T2010">
        <v>40</v>
      </c>
      <c r="U2010" s="26" t="str">
        <f t="shared" si="67"/>
        <v>2024.002B.Andersonviridae_1nf_2ng_98ns.zip</v>
      </c>
    </row>
    <row r="2011" spans="1:21">
      <c r="A2011">
        <v>2010</v>
      </c>
      <c r="B2011" s="27" t="s">
        <v>1449</v>
      </c>
      <c r="D2011" s="27" t="s">
        <v>1450</v>
      </c>
      <c r="F2011" s="27" t="s">
        <v>1453</v>
      </c>
      <c r="H2011" s="27" t="s">
        <v>1454</v>
      </c>
      <c r="L2011" s="27" t="s">
        <v>19321</v>
      </c>
      <c r="M2011" s="27" t="s">
        <v>731</v>
      </c>
      <c r="N2011" s="27" t="s">
        <v>758</v>
      </c>
      <c r="P2011" s="27" t="s">
        <v>19412</v>
      </c>
      <c r="Q2011" s="26" t="str">
        <f>HYPERLINK("https://ictv.global/taxonomy/taxondetails?taxnode_id=202519974&amp;ictv_id=ICTV202419974","ICTV202419974")</f>
        <v>ICTV202419974</v>
      </c>
      <c r="R2011" t="s">
        <v>579</v>
      </c>
      <c r="S2011" t="s">
        <v>823</v>
      </c>
      <c r="T2011">
        <v>40</v>
      </c>
      <c r="U2011" s="26" t="str">
        <f t="shared" si="67"/>
        <v>2024.002B.Andersonviridae_1nf_2ng_98ns.zip</v>
      </c>
    </row>
    <row r="2012" spans="1:21">
      <c r="A2012">
        <v>2011</v>
      </c>
      <c r="B2012" s="27" t="s">
        <v>1449</v>
      </c>
      <c r="D2012" s="27" t="s">
        <v>1450</v>
      </c>
      <c r="F2012" s="27" t="s">
        <v>1453</v>
      </c>
      <c r="H2012" s="27" t="s">
        <v>1454</v>
      </c>
      <c r="L2012" s="27" t="s">
        <v>19321</v>
      </c>
      <c r="M2012" s="27" t="s">
        <v>731</v>
      </c>
      <c r="N2012" s="27" t="s">
        <v>758</v>
      </c>
      <c r="P2012" s="27" t="s">
        <v>19413</v>
      </c>
      <c r="Q2012" s="26" t="str">
        <f>HYPERLINK("https://ictv.global/taxonomy/taxondetails?taxnode_id=202519972&amp;ictv_id=ICTV202419972","ICTV202419972")</f>
        <v>ICTV202419972</v>
      </c>
      <c r="R2012" t="s">
        <v>579</v>
      </c>
      <c r="S2012" t="s">
        <v>823</v>
      </c>
      <c r="T2012">
        <v>40</v>
      </c>
      <c r="U2012" s="26" t="str">
        <f t="shared" si="67"/>
        <v>2024.002B.Andersonviridae_1nf_2ng_98ns.zip</v>
      </c>
    </row>
    <row r="2013" spans="1:21">
      <c r="A2013">
        <v>2012</v>
      </c>
      <c r="B2013" s="27" t="s">
        <v>1449</v>
      </c>
      <c r="D2013" s="27" t="s">
        <v>1450</v>
      </c>
      <c r="F2013" s="27" t="s">
        <v>1453</v>
      </c>
      <c r="H2013" s="27" t="s">
        <v>1454</v>
      </c>
      <c r="L2013" s="27" t="s">
        <v>19321</v>
      </c>
      <c r="M2013" s="27" t="s">
        <v>731</v>
      </c>
      <c r="N2013" s="27" t="s">
        <v>758</v>
      </c>
      <c r="P2013" s="27" t="s">
        <v>19414</v>
      </c>
      <c r="Q2013" s="26" t="str">
        <f>HYPERLINK("https://ictv.global/taxonomy/taxondetails?taxnode_id=202500223&amp;ictv_id=ICTV20164826","ICTV20164826")</f>
        <v>ICTV20164826</v>
      </c>
      <c r="R2013" t="s">
        <v>579</v>
      </c>
      <c r="S2013" t="s">
        <v>22764</v>
      </c>
      <c r="T2013">
        <v>40</v>
      </c>
      <c r="U2013" s="26" t="str">
        <f t="shared" si="67"/>
        <v>2024.002B.Andersonviridae_1nf_2ng_98ns.zip</v>
      </c>
    </row>
    <row r="2014" spans="1:21">
      <c r="A2014">
        <v>2013</v>
      </c>
      <c r="B2014" s="27" t="s">
        <v>1449</v>
      </c>
      <c r="D2014" s="27" t="s">
        <v>1450</v>
      </c>
      <c r="F2014" s="27" t="s">
        <v>1453</v>
      </c>
      <c r="H2014" s="27" t="s">
        <v>1454</v>
      </c>
      <c r="L2014" s="27" t="s">
        <v>19321</v>
      </c>
      <c r="M2014" s="27" t="s">
        <v>731</v>
      </c>
      <c r="N2014" s="27" t="s">
        <v>758</v>
      </c>
      <c r="P2014" s="27" t="s">
        <v>19415</v>
      </c>
      <c r="Q2014" s="26" t="str">
        <f>HYPERLINK("https://ictv.global/taxonomy/taxondetails?taxnode_id=202500224&amp;ictv_id=ICTV20164827","ICTV20164827")</f>
        <v>ICTV20164827</v>
      </c>
      <c r="R2014" t="s">
        <v>579</v>
      </c>
      <c r="S2014" t="s">
        <v>22764</v>
      </c>
      <c r="T2014">
        <v>40</v>
      </c>
      <c r="U2014" s="26" t="str">
        <f t="shared" si="67"/>
        <v>2024.002B.Andersonviridae_1nf_2ng_98ns.zip</v>
      </c>
    </row>
    <row r="2015" spans="1:21">
      <c r="A2015">
        <v>2014</v>
      </c>
      <c r="B2015" s="27" t="s">
        <v>1449</v>
      </c>
      <c r="D2015" s="27" t="s">
        <v>1450</v>
      </c>
      <c r="F2015" s="27" t="s">
        <v>1453</v>
      </c>
      <c r="H2015" s="27" t="s">
        <v>1454</v>
      </c>
      <c r="L2015" s="27" t="s">
        <v>19321</v>
      </c>
      <c r="N2015" s="27" t="s">
        <v>19416</v>
      </c>
      <c r="P2015" s="27" t="s">
        <v>19417</v>
      </c>
      <c r="Q2015" s="26" t="str">
        <f>HYPERLINK("https://ictv.global/taxonomy/taxondetails?taxnode_id=202519968&amp;ictv_id=ICTV202419968","ICTV202419968")</f>
        <v>ICTV202419968</v>
      </c>
      <c r="R2015" t="s">
        <v>579</v>
      </c>
      <c r="S2015" t="s">
        <v>823</v>
      </c>
      <c r="T2015">
        <v>40</v>
      </c>
      <c r="U2015" s="26" t="str">
        <f t="shared" si="67"/>
        <v>2024.002B.Andersonviridae_1nf_2ng_98ns.zip</v>
      </c>
    </row>
    <row r="2016" spans="1:21">
      <c r="A2016">
        <v>2015</v>
      </c>
      <c r="B2016" s="27" t="s">
        <v>1449</v>
      </c>
      <c r="D2016" s="27" t="s">
        <v>1450</v>
      </c>
      <c r="F2016" s="27" t="s">
        <v>1453</v>
      </c>
      <c r="H2016" s="27" t="s">
        <v>1454</v>
      </c>
      <c r="L2016" s="27" t="s">
        <v>19321</v>
      </c>
      <c r="N2016" s="27" t="s">
        <v>19416</v>
      </c>
      <c r="P2016" s="27" t="s">
        <v>19418</v>
      </c>
      <c r="Q2016" s="26" t="str">
        <f>HYPERLINK("https://ictv.global/taxonomy/taxondetails?taxnode_id=202519970&amp;ictv_id=ICTV202419970","ICTV202419970")</f>
        <v>ICTV202419970</v>
      </c>
      <c r="R2016" t="s">
        <v>579</v>
      </c>
      <c r="S2016" t="s">
        <v>823</v>
      </c>
      <c r="T2016">
        <v>40</v>
      </c>
      <c r="U2016" s="26" t="str">
        <f t="shared" si="67"/>
        <v>2024.002B.Andersonviridae_1nf_2ng_98ns.zip</v>
      </c>
    </row>
    <row r="2017" spans="1:21">
      <c r="A2017">
        <v>2016</v>
      </c>
      <c r="B2017" s="27" t="s">
        <v>1449</v>
      </c>
      <c r="D2017" s="27" t="s">
        <v>1450</v>
      </c>
      <c r="F2017" s="27" t="s">
        <v>1453</v>
      </c>
      <c r="H2017" s="27" t="s">
        <v>1454</v>
      </c>
      <c r="L2017" s="27" t="s">
        <v>19321</v>
      </c>
      <c r="N2017" s="27" t="s">
        <v>19416</v>
      </c>
      <c r="P2017" s="27" t="s">
        <v>19419</v>
      </c>
      <c r="Q2017" s="26" t="str">
        <f>HYPERLINK("https://ictv.global/taxonomy/taxondetails?taxnode_id=202519969&amp;ictv_id=ICTV202419969","ICTV202419969")</f>
        <v>ICTV202419969</v>
      </c>
      <c r="R2017" t="s">
        <v>579</v>
      </c>
      <c r="S2017" t="s">
        <v>823</v>
      </c>
      <c r="T2017">
        <v>40</v>
      </c>
      <c r="U2017" s="26" t="str">
        <f t="shared" si="67"/>
        <v>2024.002B.Andersonviridae_1nf_2ng_98ns.zip</v>
      </c>
    </row>
    <row r="2018" spans="1:21">
      <c r="A2018">
        <v>2017</v>
      </c>
      <c r="B2018" s="27" t="s">
        <v>1449</v>
      </c>
      <c r="D2018" s="27" t="s">
        <v>1450</v>
      </c>
      <c r="F2018" s="27" t="s">
        <v>1453</v>
      </c>
      <c r="H2018" s="27" t="s">
        <v>1454</v>
      </c>
      <c r="L2018" s="27" t="s">
        <v>19321</v>
      </c>
      <c r="N2018" s="27" t="s">
        <v>19420</v>
      </c>
      <c r="P2018" s="27" t="s">
        <v>19421</v>
      </c>
      <c r="Q2018" s="26" t="str">
        <f>HYPERLINK("https://ictv.global/taxonomy/taxondetails?taxnode_id=202519966&amp;ictv_id=ICTV202419966","ICTV202419966")</f>
        <v>ICTV202419966</v>
      </c>
      <c r="R2018" t="s">
        <v>579</v>
      </c>
      <c r="S2018" t="s">
        <v>823</v>
      </c>
      <c r="T2018">
        <v>40</v>
      </c>
      <c r="U2018" s="26" t="str">
        <f t="shared" si="67"/>
        <v>2024.002B.Andersonviridae_1nf_2ng_98ns.zip</v>
      </c>
    </row>
    <row r="2019" spans="1:21">
      <c r="A2019">
        <v>2018</v>
      </c>
      <c r="B2019" s="27" t="s">
        <v>1449</v>
      </c>
      <c r="D2019" s="27" t="s">
        <v>1450</v>
      </c>
      <c r="F2019" s="27" t="s">
        <v>1453</v>
      </c>
      <c r="H2019" s="27" t="s">
        <v>1454</v>
      </c>
      <c r="L2019" s="27" t="s">
        <v>19321</v>
      </c>
      <c r="N2019" s="27" t="s">
        <v>19420</v>
      </c>
      <c r="P2019" s="27" t="s">
        <v>19422</v>
      </c>
      <c r="Q2019" s="26" t="str">
        <f>HYPERLINK("https://ictv.global/taxonomy/taxondetails?taxnode_id=202519967&amp;ictv_id=ICTV202419967","ICTV202419967")</f>
        <v>ICTV202419967</v>
      </c>
      <c r="R2019" t="s">
        <v>579</v>
      </c>
      <c r="S2019" t="s">
        <v>823</v>
      </c>
      <c r="T2019">
        <v>40</v>
      </c>
      <c r="U2019" s="26" t="str">
        <f t="shared" si="67"/>
        <v>2024.002B.Andersonviridae_1nf_2ng_98ns.zip</v>
      </c>
    </row>
    <row r="2020" spans="1:21">
      <c r="A2020">
        <v>2019</v>
      </c>
      <c r="B2020" s="27" t="s">
        <v>1449</v>
      </c>
      <c r="D2020" s="27" t="s">
        <v>1450</v>
      </c>
      <c r="F2020" s="27" t="s">
        <v>1453</v>
      </c>
      <c r="H2020" s="27" t="s">
        <v>1454</v>
      </c>
      <c r="L2020" s="27" t="s">
        <v>4185</v>
      </c>
      <c r="N2020" s="27" t="s">
        <v>4186</v>
      </c>
      <c r="P2020" s="27" t="s">
        <v>4187</v>
      </c>
      <c r="Q2020" s="26" t="str">
        <f>HYPERLINK("https://ictv.global/taxonomy/taxondetails?taxnode_id=202514489&amp;ictv_id=ICTV202214489","ICTV202214489")</f>
        <v>ICTV202214489</v>
      </c>
      <c r="R2020" t="s">
        <v>579</v>
      </c>
      <c r="S2020" t="s">
        <v>823</v>
      </c>
      <c r="T2020">
        <v>38</v>
      </c>
      <c r="U2020" s="26" t="str">
        <f>HYPERLINK("https://ictv.global/ictv/proposals/2022.006B.Arenbergviridae_nf.zip","2022.006B.Arenbergviridae_nf.zip")</f>
        <v>2022.006B.Arenbergviridae_nf.zip</v>
      </c>
    </row>
    <row r="2021" spans="1:21">
      <c r="A2021">
        <v>2020</v>
      </c>
      <c r="B2021" s="27" t="s">
        <v>1449</v>
      </c>
      <c r="D2021" s="27" t="s">
        <v>1450</v>
      </c>
      <c r="F2021" s="27" t="s">
        <v>1453</v>
      </c>
      <c r="H2021" s="27" t="s">
        <v>1454</v>
      </c>
      <c r="L2021" s="27" t="s">
        <v>21141</v>
      </c>
      <c r="N2021" s="27" t="s">
        <v>21142</v>
      </c>
      <c r="P2021" s="27" t="s">
        <v>21143</v>
      </c>
      <c r="Q2021" s="26" t="str">
        <f>HYPERLINK("https://ictv.global/taxonomy/taxondetails?taxnode_id=202522073&amp;ictv_id=ICTV202522073","ICTV202522073")</f>
        <v>ICTV202522073</v>
      </c>
      <c r="R2021" t="s">
        <v>579</v>
      </c>
      <c r="S2021" t="s">
        <v>823</v>
      </c>
      <c r="T2021">
        <v>41</v>
      </c>
      <c r="U2021" s="26" t="str">
        <f>HYPERLINK("https://ictv.global/ictv/proposals/2025.002A.Archaeal_Caudoviricetes_8nf.zip","2025.002A.Archaeal_Caudoviricetes_8nf.zip")</f>
        <v>2025.002A.Archaeal_Caudoviricetes_8nf.zip</v>
      </c>
    </row>
    <row r="2022" spans="1:21">
      <c r="A2022">
        <v>2021</v>
      </c>
      <c r="B2022" s="27" t="s">
        <v>1449</v>
      </c>
      <c r="D2022" s="27" t="s">
        <v>1450</v>
      </c>
      <c r="F2022" s="27" t="s">
        <v>1453</v>
      </c>
      <c r="H2022" s="27" t="s">
        <v>1454</v>
      </c>
      <c r="L2022" s="27" t="s">
        <v>4188</v>
      </c>
      <c r="N2022" s="27" t="s">
        <v>4189</v>
      </c>
      <c r="P2022" s="27" t="s">
        <v>4190</v>
      </c>
      <c r="Q2022" s="26" t="str">
        <f>HYPERLINK("https://ictv.global/taxonomy/taxondetails?taxnode_id=202513553&amp;ictv_id=ICTV202113553","ICTV202113553")</f>
        <v>ICTV202113553</v>
      </c>
      <c r="R2022" t="s">
        <v>579</v>
      </c>
      <c r="S2022" t="s">
        <v>823</v>
      </c>
      <c r="T2022">
        <v>37</v>
      </c>
      <c r="U2022" s="26" t="str">
        <f>HYPERLINK("https://ictv.global/ictv/proposals/2021.029B.R.Flavophages_9_families.zip","2021.029B.R.Flavophages_9_families.zip")</f>
        <v>2021.029B.R.Flavophages_9_families.zip</v>
      </c>
    </row>
    <row r="2023" spans="1:21">
      <c r="A2023">
        <v>2022</v>
      </c>
      <c r="B2023" s="27" t="s">
        <v>1449</v>
      </c>
      <c r="D2023" s="27" t="s">
        <v>1450</v>
      </c>
      <c r="F2023" s="27" t="s">
        <v>1453</v>
      </c>
      <c r="H2023" s="27" t="s">
        <v>1454</v>
      </c>
      <c r="L2023" s="27" t="s">
        <v>4188</v>
      </c>
      <c r="N2023" s="27" t="s">
        <v>4191</v>
      </c>
      <c r="P2023" s="27" t="s">
        <v>4192</v>
      </c>
      <c r="Q2023" s="26" t="str">
        <f>HYPERLINK("https://ictv.global/taxonomy/taxondetails?taxnode_id=202513555&amp;ictv_id=ICTV202113555","ICTV202113555")</f>
        <v>ICTV202113555</v>
      </c>
      <c r="R2023" t="s">
        <v>579</v>
      </c>
      <c r="S2023" t="s">
        <v>823</v>
      </c>
      <c r="T2023">
        <v>37</v>
      </c>
      <c r="U2023" s="26" t="str">
        <f>HYPERLINK("https://ictv.global/ictv/proposals/2021.029B.R.Flavophages_9_families.zip","2021.029B.R.Flavophages_9_families.zip")</f>
        <v>2021.029B.R.Flavophages_9_families.zip</v>
      </c>
    </row>
    <row r="2024" spans="1:21">
      <c r="A2024">
        <v>2023</v>
      </c>
      <c r="B2024" s="27" t="s">
        <v>1449</v>
      </c>
      <c r="D2024" s="27" t="s">
        <v>1450</v>
      </c>
      <c r="F2024" s="27" t="s">
        <v>1453</v>
      </c>
      <c r="H2024" s="27" t="s">
        <v>1454</v>
      </c>
      <c r="L2024" s="27" t="s">
        <v>4188</v>
      </c>
      <c r="N2024" s="27" t="s">
        <v>4193</v>
      </c>
      <c r="P2024" s="27" t="s">
        <v>4194</v>
      </c>
      <c r="Q2024" s="26" t="str">
        <f>HYPERLINK("https://ictv.global/taxonomy/taxondetails?taxnode_id=202513551&amp;ictv_id=ICTV202113551","ICTV202113551")</f>
        <v>ICTV202113551</v>
      </c>
      <c r="R2024" t="s">
        <v>579</v>
      </c>
      <c r="S2024" t="s">
        <v>823</v>
      </c>
      <c r="T2024">
        <v>37</v>
      </c>
      <c r="U2024" s="26" t="str">
        <f>HYPERLINK("https://ictv.global/ictv/proposals/2021.029B.R.Flavophages_9_families.zip","2021.029B.R.Flavophages_9_families.zip")</f>
        <v>2021.029B.R.Flavophages_9_families.zip</v>
      </c>
    </row>
    <row r="2025" spans="1:21">
      <c r="A2025">
        <v>2024</v>
      </c>
      <c r="B2025" s="27" t="s">
        <v>1449</v>
      </c>
      <c r="D2025" s="27" t="s">
        <v>1450</v>
      </c>
      <c r="F2025" s="27" t="s">
        <v>1453</v>
      </c>
      <c r="H2025" s="27" t="s">
        <v>1454</v>
      </c>
      <c r="L2025" s="27" t="s">
        <v>19423</v>
      </c>
      <c r="N2025" s="27" t="s">
        <v>19424</v>
      </c>
      <c r="P2025" s="27" t="s">
        <v>19425</v>
      </c>
      <c r="Q2025" s="26" t="str">
        <f>HYPERLINK("https://ictv.global/taxonomy/taxondetails?taxnode_id=202520092&amp;ictv_id=ICTV202420092","ICTV202420092")</f>
        <v>ICTV202420092</v>
      </c>
      <c r="R2025" t="s">
        <v>579</v>
      </c>
      <c r="S2025" t="s">
        <v>823</v>
      </c>
      <c r="T2025">
        <v>40</v>
      </c>
      <c r="U2025" s="26" t="str">
        <f t="shared" ref="U2025:U2045" si="68">HYPERLINK("https://ictv.global/ictv/proposals/2024.003B.Berryhillviridae_1nf_7ng_3mg_10ns.zip","2024.003B.Berryhillviridae_1nf_7ng_3mg_10ns.zip")</f>
        <v>2024.003B.Berryhillviridae_1nf_7ng_3mg_10ns.zip</v>
      </c>
    </row>
    <row r="2026" spans="1:21">
      <c r="A2026">
        <v>2025</v>
      </c>
      <c r="B2026" s="27" t="s">
        <v>1449</v>
      </c>
      <c r="D2026" s="27" t="s">
        <v>1450</v>
      </c>
      <c r="F2026" s="27" t="s">
        <v>1453</v>
      </c>
      <c r="H2026" s="27" t="s">
        <v>1454</v>
      </c>
      <c r="L2026" s="27" t="s">
        <v>19423</v>
      </c>
      <c r="N2026" s="27" t="s">
        <v>19424</v>
      </c>
      <c r="P2026" s="27" t="s">
        <v>19426</v>
      </c>
      <c r="Q2026" s="26" t="str">
        <f>HYPERLINK("https://ictv.global/taxonomy/taxondetails?taxnode_id=202520093&amp;ictv_id=ICTV202420093","ICTV202420093")</f>
        <v>ICTV202420093</v>
      </c>
      <c r="R2026" t="s">
        <v>579</v>
      </c>
      <c r="S2026" t="s">
        <v>823</v>
      </c>
      <c r="T2026">
        <v>40</v>
      </c>
      <c r="U2026" s="26" t="str">
        <f t="shared" si="68"/>
        <v>2024.003B.Berryhillviridae_1nf_7ng_3mg_10ns.zip</v>
      </c>
    </row>
    <row r="2027" spans="1:21">
      <c r="A2027">
        <v>2026</v>
      </c>
      <c r="B2027" s="27" t="s">
        <v>1449</v>
      </c>
      <c r="D2027" s="27" t="s">
        <v>1450</v>
      </c>
      <c r="F2027" s="27" t="s">
        <v>1453</v>
      </c>
      <c r="H2027" s="27" t="s">
        <v>1454</v>
      </c>
      <c r="L2027" s="27" t="s">
        <v>19423</v>
      </c>
      <c r="N2027" s="27" t="s">
        <v>2091</v>
      </c>
      <c r="P2027" s="27" t="s">
        <v>6635</v>
      </c>
      <c r="Q2027" s="26" t="str">
        <f>HYPERLINK("https://ictv.global/taxonomy/taxondetails?taxnode_id=202509548&amp;ictv_id=ICTV202009548","ICTV202009548")</f>
        <v>ICTV202009548</v>
      </c>
      <c r="R2027" t="s">
        <v>579</v>
      </c>
      <c r="S2027" t="s">
        <v>22763</v>
      </c>
      <c r="T2027">
        <v>40</v>
      </c>
      <c r="U2027" s="26" t="str">
        <f t="shared" si="68"/>
        <v>2024.003B.Berryhillviridae_1nf_7ng_3mg_10ns.zip</v>
      </c>
    </row>
    <row r="2028" spans="1:21">
      <c r="A2028">
        <v>2027</v>
      </c>
      <c r="B2028" s="27" t="s">
        <v>1449</v>
      </c>
      <c r="D2028" s="27" t="s">
        <v>1450</v>
      </c>
      <c r="F2028" s="27" t="s">
        <v>1453</v>
      </c>
      <c r="H2028" s="27" t="s">
        <v>1454</v>
      </c>
      <c r="L2028" s="27" t="s">
        <v>19423</v>
      </c>
      <c r="N2028" s="27" t="s">
        <v>19427</v>
      </c>
      <c r="P2028" s="27" t="s">
        <v>19428</v>
      </c>
      <c r="Q2028" s="26" t="str">
        <f>HYPERLINK("https://ictv.global/taxonomy/taxondetails?taxnode_id=202520094&amp;ictv_id=ICTV202420094","ICTV202420094")</f>
        <v>ICTV202420094</v>
      </c>
      <c r="R2028" t="s">
        <v>579</v>
      </c>
      <c r="S2028" t="s">
        <v>823</v>
      </c>
      <c r="T2028">
        <v>40</v>
      </c>
      <c r="U2028" s="26" t="str">
        <f t="shared" si="68"/>
        <v>2024.003B.Berryhillviridae_1nf_7ng_3mg_10ns.zip</v>
      </c>
    </row>
    <row r="2029" spans="1:21">
      <c r="A2029">
        <v>2028</v>
      </c>
      <c r="B2029" s="27" t="s">
        <v>1449</v>
      </c>
      <c r="D2029" s="27" t="s">
        <v>1450</v>
      </c>
      <c r="F2029" s="27" t="s">
        <v>1453</v>
      </c>
      <c r="H2029" s="27" t="s">
        <v>1454</v>
      </c>
      <c r="L2029" s="27" t="s">
        <v>19423</v>
      </c>
      <c r="N2029" s="27" t="s">
        <v>19429</v>
      </c>
      <c r="P2029" s="27" t="s">
        <v>19430</v>
      </c>
      <c r="Q2029" s="26" t="str">
        <f>HYPERLINK("https://ictv.global/taxonomy/taxondetails?taxnode_id=202507003&amp;ictv_id=ICTV201857003","ICTV201857003")</f>
        <v>ICTV201857003</v>
      </c>
      <c r="R2029" t="s">
        <v>579</v>
      </c>
      <c r="S2029" t="s">
        <v>22764</v>
      </c>
      <c r="T2029">
        <v>40</v>
      </c>
      <c r="U2029" s="26" t="str">
        <f t="shared" si="68"/>
        <v>2024.003B.Berryhillviridae_1nf_7ng_3mg_10ns.zip</v>
      </c>
    </row>
    <row r="2030" spans="1:21">
      <c r="A2030">
        <v>2029</v>
      </c>
      <c r="B2030" s="27" t="s">
        <v>1449</v>
      </c>
      <c r="D2030" s="27" t="s">
        <v>1450</v>
      </c>
      <c r="F2030" s="27" t="s">
        <v>1453</v>
      </c>
      <c r="H2030" s="27" t="s">
        <v>1454</v>
      </c>
      <c r="L2030" s="27" t="s">
        <v>19423</v>
      </c>
      <c r="N2030" s="27" t="s">
        <v>19429</v>
      </c>
      <c r="P2030" s="27" t="s">
        <v>19431</v>
      </c>
      <c r="Q2030" s="26" t="str">
        <f>HYPERLINK("https://ictv.global/taxonomy/taxondetails?taxnode_id=202500448&amp;ictv_id=ICTV20164869","ICTV20164869")</f>
        <v>ICTV20164869</v>
      </c>
      <c r="R2030" t="s">
        <v>579</v>
      </c>
      <c r="S2030" t="s">
        <v>22764</v>
      </c>
      <c r="T2030">
        <v>40</v>
      </c>
      <c r="U2030" s="26" t="str">
        <f t="shared" si="68"/>
        <v>2024.003B.Berryhillviridae_1nf_7ng_3mg_10ns.zip</v>
      </c>
    </row>
    <row r="2031" spans="1:21">
      <c r="A2031">
        <v>2030</v>
      </c>
      <c r="B2031" s="27" t="s">
        <v>1449</v>
      </c>
      <c r="D2031" s="27" t="s">
        <v>1450</v>
      </c>
      <c r="F2031" s="27" t="s">
        <v>1453</v>
      </c>
      <c r="H2031" s="27" t="s">
        <v>1454</v>
      </c>
      <c r="L2031" s="27" t="s">
        <v>19423</v>
      </c>
      <c r="N2031" s="27" t="s">
        <v>19429</v>
      </c>
      <c r="P2031" s="27" t="s">
        <v>19432</v>
      </c>
      <c r="Q2031" s="26" t="str">
        <f>HYPERLINK("https://ictv.global/taxonomy/taxondetails?taxnode_id=202500449&amp;ictv_id=ICTV20164870","ICTV20164870")</f>
        <v>ICTV20164870</v>
      </c>
      <c r="R2031" t="s">
        <v>579</v>
      </c>
      <c r="S2031" t="s">
        <v>22764</v>
      </c>
      <c r="T2031">
        <v>40</v>
      </c>
      <c r="U2031" s="26" t="str">
        <f t="shared" si="68"/>
        <v>2024.003B.Berryhillviridae_1nf_7ng_3mg_10ns.zip</v>
      </c>
    </row>
    <row r="2032" spans="1:21">
      <c r="A2032">
        <v>2031</v>
      </c>
      <c r="B2032" s="27" t="s">
        <v>1449</v>
      </c>
      <c r="D2032" s="27" t="s">
        <v>1450</v>
      </c>
      <c r="F2032" s="27" t="s">
        <v>1453</v>
      </c>
      <c r="H2032" s="27" t="s">
        <v>1454</v>
      </c>
      <c r="L2032" s="27" t="s">
        <v>19423</v>
      </c>
      <c r="N2032" s="27" t="s">
        <v>19429</v>
      </c>
      <c r="P2032" s="27" t="s">
        <v>19433</v>
      </c>
      <c r="Q2032" s="26" t="str">
        <f>HYPERLINK("https://ictv.global/taxonomy/taxondetails?taxnode_id=202520086&amp;ictv_id=ICTV202420086","ICTV202420086")</f>
        <v>ICTV202420086</v>
      </c>
      <c r="R2032" t="s">
        <v>579</v>
      </c>
      <c r="S2032" t="s">
        <v>823</v>
      </c>
      <c r="T2032">
        <v>40</v>
      </c>
      <c r="U2032" s="26" t="str">
        <f t="shared" si="68"/>
        <v>2024.003B.Berryhillviridae_1nf_7ng_3mg_10ns.zip</v>
      </c>
    </row>
    <row r="2033" spans="1:21">
      <c r="A2033">
        <v>2032</v>
      </c>
      <c r="B2033" s="27" t="s">
        <v>1449</v>
      </c>
      <c r="D2033" s="27" t="s">
        <v>1450</v>
      </c>
      <c r="F2033" s="27" t="s">
        <v>1453</v>
      </c>
      <c r="H2033" s="27" t="s">
        <v>1454</v>
      </c>
      <c r="L2033" s="27" t="s">
        <v>19423</v>
      </c>
      <c r="N2033" s="27" t="s">
        <v>19429</v>
      </c>
      <c r="P2033" s="27" t="s">
        <v>19434</v>
      </c>
      <c r="Q2033" s="26" t="str">
        <f>HYPERLINK("https://ictv.global/taxonomy/taxondetails?taxnode_id=202507004&amp;ictv_id=ICTV201857004","ICTV201857004")</f>
        <v>ICTV201857004</v>
      </c>
      <c r="R2033" t="s">
        <v>579</v>
      </c>
      <c r="S2033" t="s">
        <v>22764</v>
      </c>
      <c r="T2033">
        <v>40</v>
      </c>
      <c r="U2033" s="26" t="str">
        <f t="shared" si="68"/>
        <v>2024.003B.Berryhillviridae_1nf_7ng_3mg_10ns.zip</v>
      </c>
    </row>
    <row r="2034" spans="1:21">
      <c r="A2034">
        <v>2033</v>
      </c>
      <c r="B2034" s="27" t="s">
        <v>1449</v>
      </c>
      <c r="D2034" s="27" t="s">
        <v>1450</v>
      </c>
      <c r="F2034" s="27" t="s">
        <v>1453</v>
      </c>
      <c r="H2034" s="27" t="s">
        <v>1454</v>
      </c>
      <c r="L2034" s="27" t="s">
        <v>19423</v>
      </c>
      <c r="N2034" s="27" t="s">
        <v>19435</v>
      </c>
      <c r="P2034" s="27" t="s">
        <v>19436</v>
      </c>
      <c r="Q2034" s="26" t="str">
        <f>HYPERLINK("https://ictv.global/taxonomy/taxondetails?taxnode_id=202520087&amp;ictv_id=ICTV202420087","ICTV202420087")</f>
        <v>ICTV202420087</v>
      </c>
      <c r="R2034" t="s">
        <v>579</v>
      </c>
      <c r="S2034" t="s">
        <v>823</v>
      </c>
      <c r="T2034">
        <v>40</v>
      </c>
      <c r="U2034" s="26" t="str">
        <f t="shared" si="68"/>
        <v>2024.003B.Berryhillviridae_1nf_7ng_3mg_10ns.zip</v>
      </c>
    </row>
    <row r="2035" spans="1:21">
      <c r="A2035">
        <v>2034</v>
      </c>
      <c r="B2035" s="27" t="s">
        <v>1449</v>
      </c>
      <c r="D2035" s="27" t="s">
        <v>1450</v>
      </c>
      <c r="F2035" s="27" t="s">
        <v>1453</v>
      </c>
      <c r="H2035" s="27" t="s">
        <v>1454</v>
      </c>
      <c r="L2035" s="27" t="s">
        <v>19423</v>
      </c>
      <c r="N2035" s="27" t="s">
        <v>19437</v>
      </c>
      <c r="P2035" s="27" t="s">
        <v>19438</v>
      </c>
      <c r="Q2035" s="26" t="str">
        <f>HYPERLINK("https://ictv.global/taxonomy/taxondetails?taxnode_id=202520089&amp;ictv_id=ICTV202420089","ICTV202420089")</f>
        <v>ICTV202420089</v>
      </c>
      <c r="R2035" t="s">
        <v>579</v>
      </c>
      <c r="S2035" t="s">
        <v>823</v>
      </c>
      <c r="T2035">
        <v>40</v>
      </c>
      <c r="U2035" s="26" t="str">
        <f t="shared" si="68"/>
        <v>2024.003B.Berryhillviridae_1nf_7ng_3mg_10ns.zip</v>
      </c>
    </row>
    <row r="2036" spans="1:21">
      <c r="A2036">
        <v>2035</v>
      </c>
      <c r="B2036" s="27" t="s">
        <v>1449</v>
      </c>
      <c r="D2036" s="27" t="s">
        <v>1450</v>
      </c>
      <c r="F2036" s="27" t="s">
        <v>1453</v>
      </c>
      <c r="H2036" s="27" t="s">
        <v>1454</v>
      </c>
      <c r="L2036" s="27" t="s">
        <v>19423</v>
      </c>
      <c r="N2036" s="27" t="s">
        <v>19437</v>
      </c>
      <c r="P2036" s="27" t="s">
        <v>19439</v>
      </c>
      <c r="Q2036" s="26" t="str">
        <f>HYPERLINK("https://ictv.global/taxonomy/taxondetails?taxnode_id=202520091&amp;ictv_id=ICTV202420091","ICTV202420091")</f>
        <v>ICTV202420091</v>
      </c>
      <c r="R2036" t="s">
        <v>579</v>
      </c>
      <c r="S2036" t="s">
        <v>823</v>
      </c>
      <c r="T2036">
        <v>40</v>
      </c>
      <c r="U2036" s="26" t="str">
        <f t="shared" si="68"/>
        <v>2024.003B.Berryhillviridae_1nf_7ng_3mg_10ns.zip</v>
      </c>
    </row>
    <row r="2037" spans="1:21">
      <c r="A2037">
        <v>2036</v>
      </c>
      <c r="B2037" s="27" t="s">
        <v>1449</v>
      </c>
      <c r="D2037" s="27" t="s">
        <v>1450</v>
      </c>
      <c r="F2037" s="27" t="s">
        <v>1453</v>
      </c>
      <c r="H2037" s="27" t="s">
        <v>1454</v>
      </c>
      <c r="L2037" s="27" t="s">
        <v>19423</v>
      </c>
      <c r="N2037" s="27" t="s">
        <v>19437</v>
      </c>
      <c r="P2037" s="27" t="s">
        <v>19440</v>
      </c>
      <c r="Q2037" s="26" t="str">
        <f>HYPERLINK("https://ictv.global/taxonomy/taxondetails?taxnode_id=202520088&amp;ictv_id=ICTV202420088","ICTV202420088")</f>
        <v>ICTV202420088</v>
      </c>
      <c r="R2037" t="s">
        <v>579</v>
      </c>
      <c r="S2037" t="s">
        <v>823</v>
      </c>
      <c r="T2037">
        <v>40</v>
      </c>
      <c r="U2037" s="26" t="str">
        <f t="shared" si="68"/>
        <v>2024.003B.Berryhillviridae_1nf_7ng_3mg_10ns.zip</v>
      </c>
    </row>
    <row r="2038" spans="1:21">
      <c r="A2038">
        <v>2037</v>
      </c>
      <c r="B2038" s="27" t="s">
        <v>1449</v>
      </c>
      <c r="D2038" s="27" t="s">
        <v>1450</v>
      </c>
      <c r="F2038" s="27" t="s">
        <v>1453</v>
      </c>
      <c r="H2038" s="27" t="s">
        <v>1454</v>
      </c>
      <c r="L2038" s="27" t="s">
        <v>19423</v>
      </c>
      <c r="N2038" s="27" t="s">
        <v>19437</v>
      </c>
      <c r="P2038" s="27" t="s">
        <v>19441</v>
      </c>
      <c r="Q2038" s="26" t="str">
        <f>HYPERLINK("https://ictv.global/taxonomy/taxondetails?taxnode_id=202520090&amp;ictv_id=ICTV202420090","ICTV202420090")</f>
        <v>ICTV202420090</v>
      </c>
      <c r="R2038" t="s">
        <v>579</v>
      </c>
      <c r="S2038" t="s">
        <v>823</v>
      </c>
      <c r="T2038">
        <v>40</v>
      </c>
      <c r="U2038" s="26" t="str">
        <f t="shared" si="68"/>
        <v>2024.003B.Berryhillviridae_1nf_7ng_3mg_10ns.zip</v>
      </c>
    </row>
    <row r="2039" spans="1:21">
      <c r="A2039">
        <v>2038</v>
      </c>
      <c r="B2039" s="27" t="s">
        <v>1449</v>
      </c>
      <c r="D2039" s="27" t="s">
        <v>1450</v>
      </c>
      <c r="F2039" s="27" t="s">
        <v>1453</v>
      </c>
      <c r="H2039" s="27" t="s">
        <v>1454</v>
      </c>
      <c r="L2039" s="27" t="s">
        <v>19423</v>
      </c>
      <c r="N2039" s="27" t="s">
        <v>763</v>
      </c>
      <c r="P2039" s="27" t="s">
        <v>7380</v>
      </c>
      <c r="Q2039" s="26" t="str">
        <f>HYPERLINK("https://ictv.global/taxonomy/taxondetails?taxnode_id=202507002&amp;ictv_id=ICTV201857002","ICTV201857002")</f>
        <v>ICTV201857002</v>
      </c>
      <c r="R2039" t="s">
        <v>579</v>
      </c>
      <c r="S2039" t="s">
        <v>22763</v>
      </c>
      <c r="T2039">
        <v>40</v>
      </c>
      <c r="U2039" s="26" t="str">
        <f t="shared" si="68"/>
        <v>2024.003B.Berryhillviridae_1nf_7ng_3mg_10ns.zip</v>
      </c>
    </row>
    <row r="2040" spans="1:21">
      <c r="A2040">
        <v>2039</v>
      </c>
      <c r="B2040" s="27" t="s">
        <v>1449</v>
      </c>
      <c r="D2040" s="27" t="s">
        <v>1450</v>
      </c>
      <c r="F2040" s="27" t="s">
        <v>1453</v>
      </c>
      <c r="H2040" s="27" t="s">
        <v>1454</v>
      </c>
      <c r="L2040" s="27" t="s">
        <v>19423</v>
      </c>
      <c r="N2040" s="27" t="s">
        <v>763</v>
      </c>
      <c r="P2040" s="27" t="s">
        <v>7381</v>
      </c>
      <c r="Q2040" s="26" t="str">
        <f>HYPERLINK("https://ictv.global/taxonomy/taxondetails?taxnode_id=202500450&amp;ictv_id=ICTV20164871","ICTV20164871")</f>
        <v>ICTV20164871</v>
      </c>
      <c r="R2040" t="s">
        <v>579</v>
      </c>
      <c r="S2040" t="s">
        <v>22763</v>
      </c>
      <c r="T2040">
        <v>40</v>
      </c>
      <c r="U2040" s="26" t="str">
        <f t="shared" si="68"/>
        <v>2024.003B.Berryhillviridae_1nf_7ng_3mg_10ns.zip</v>
      </c>
    </row>
    <row r="2041" spans="1:21">
      <c r="A2041">
        <v>2040</v>
      </c>
      <c r="B2041" s="27" t="s">
        <v>1449</v>
      </c>
      <c r="D2041" s="27" t="s">
        <v>1450</v>
      </c>
      <c r="F2041" s="27" t="s">
        <v>1453</v>
      </c>
      <c r="H2041" s="27" t="s">
        <v>1454</v>
      </c>
      <c r="L2041" s="27" t="s">
        <v>19423</v>
      </c>
      <c r="N2041" s="27" t="s">
        <v>763</v>
      </c>
      <c r="P2041" s="27" t="s">
        <v>7382</v>
      </c>
      <c r="Q2041" s="26" t="str">
        <f>HYPERLINK("https://ictv.global/taxonomy/taxondetails?taxnode_id=202507005&amp;ictv_id=ICTV201857005","ICTV201857005")</f>
        <v>ICTV201857005</v>
      </c>
      <c r="R2041" t="s">
        <v>579</v>
      </c>
      <c r="S2041" t="s">
        <v>22763</v>
      </c>
      <c r="T2041">
        <v>40</v>
      </c>
      <c r="U2041" s="26" t="str">
        <f t="shared" si="68"/>
        <v>2024.003B.Berryhillviridae_1nf_7ng_3mg_10ns.zip</v>
      </c>
    </row>
    <row r="2042" spans="1:21">
      <c r="A2042">
        <v>2041</v>
      </c>
      <c r="B2042" s="27" t="s">
        <v>1449</v>
      </c>
      <c r="D2042" s="27" t="s">
        <v>1450</v>
      </c>
      <c r="F2042" s="27" t="s">
        <v>1453</v>
      </c>
      <c r="H2042" s="27" t="s">
        <v>1454</v>
      </c>
      <c r="L2042" s="27" t="s">
        <v>19423</v>
      </c>
      <c r="N2042" s="27" t="s">
        <v>763</v>
      </c>
      <c r="P2042" s="27" t="s">
        <v>7383</v>
      </c>
      <c r="Q2042" s="26" t="str">
        <f>HYPERLINK("https://ictv.global/taxonomy/taxondetails?taxnode_id=202511532&amp;ictv_id=ICTV202011532","ICTV202011532")</f>
        <v>ICTV202011532</v>
      </c>
      <c r="R2042" t="s">
        <v>579</v>
      </c>
      <c r="S2042" t="s">
        <v>22763</v>
      </c>
      <c r="T2042">
        <v>40</v>
      </c>
      <c r="U2042" s="26" t="str">
        <f t="shared" si="68"/>
        <v>2024.003B.Berryhillviridae_1nf_7ng_3mg_10ns.zip</v>
      </c>
    </row>
    <row r="2043" spans="1:21">
      <c r="A2043">
        <v>2042</v>
      </c>
      <c r="B2043" s="27" t="s">
        <v>1449</v>
      </c>
      <c r="D2043" s="27" t="s">
        <v>1450</v>
      </c>
      <c r="F2043" s="27" t="s">
        <v>1453</v>
      </c>
      <c r="H2043" s="27" t="s">
        <v>1454</v>
      </c>
      <c r="L2043" s="27" t="s">
        <v>19423</v>
      </c>
      <c r="N2043" s="27" t="s">
        <v>19442</v>
      </c>
      <c r="P2043" s="27" t="s">
        <v>19443</v>
      </c>
      <c r="Q2043" s="26" t="str">
        <f>HYPERLINK("https://ictv.global/taxonomy/taxondetails?taxnode_id=202520095&amp;ictv_id=ICTV202420095","ICTV202420095")</f>
        <v>ICTV202420095</v>
      </c>
      <c r="R2043" t="s">
        <v>579</v>
      </c>
      <c r="S2043" t="s">
        <v>823</v>
      </c>
      <c r="T2043">
        <v>40</v>
      </c>
      <c r="U2043" s="26" t="str">
        <f t="shared" si="68"/>
        <v>2024.003B.Berryhillviridae_1nf_7ng_3mg_10ns.zip</v>
      </c>
    </row>
    <row r="2044" spans="1:21">
      <c r="A2044">
        <v>2043</v>
      </c>
      <c r="B2044" s="27" t="s">
        <v>1449</v>
      </c>
      <c r="D2044" s="27" t="s">
        <v>1450</v>
      </c>
      <c r="F2044" s="27" t="s">
        <v>1453</v>
      </c>
      <c r="H2044" s="27" t="s">
        <v>1454</v>
      </c>
      <c r="L2044" s="27" t="s">
        <v>19423</v>
      </c>
      <c r="N2044" s="27" t="s">
        <v>19442</v>
      </c>
      <c r="P2044" s="27" t="s">
        <v>19444</v>
      </c>
      <c r="Q2044" s="26" t="str">
        <f>HYPERLINK("https://ictv.global/taxonomy/taxondetails?taxnode_id=202520096&amp;ictv_id=ICTV202420096","ICTV202420096")</f>
        <v>ICTV202420096</v>
      </c>
      <c r="R2044" t="s">
        <v>579</v>
      </c>
      <c r="S2044" t="s">
        <v>823</v>
      </c>
      <c r="T2044">
        <v>40</v>
      </c>
      <c r="U2044" s="26" t="str">
        <f t="shared" si="68"/>
        <v>2024.003B.Berryhillviridae_1nf_7ng_3mg_10ns.zip</v>
      </c>
    </row>
    <row r="2045" spans="1:21">
      <c r="A2045">
        <v>2044</v>
      </c>
      <c r="B2045" s="27" t="s">
        <v>1449</v>
      </c>
      <c r="D2045" s="27" t="s">
        <v>1450</v>
      </c>
      <c r="F2045" s="27" t="s">
        <v>1453</v>
      </c>
      <c r="H2045" s="27" t="s">
        <v>1454</v>
      </c>
      <c r="L2045" s="27" t="s">
        <v>19423</v>
      </c>
      <c r="N2045" s="27" t="s">
        <v>2126</v>
      </c>
      <c r="P2045" s="27" t="s">
        <v>8108</v>
      </c>
      <c r="Q2045" s="26" t="str">
        <f>HYPERLINK("https://ictv.global/taxonomy/taxondetails?taxnode_id=202512088&amp;ictv_id=ICTV202012088","ICTV202012088")</f>
        <v>ICTV202012088</v>
      </c>
      <c r="R2045" t="s">
        <v>579</v>
      </c>
      <c r="S2045" t="s">
        <v>22763</v>
      </c>
      <c r="T2045">
        <v>40</v>
      </c>
      <c r="U2045" s="26" t="str">
        <f t="shared" si="68"/>
        <v>2024.003B.Berryhillviridae_1nf_7ng_3mg_10ns.zip</v>
      </c>
    </row>
    <row r="2046" spans="1:21">
      <c r="A2046">
        <v>2045</v>
      </c>
      <c r="B2046" s="27" t="s">
        <v>1449</v>
      </c>
      <c r="D2046" s="27" t="s">
        <v>1450</v>
      </c>
      <c r="F2046" s="27" t="s">
        <v>1453</v>
      </c>
      <c r="H2046" s="27" t="s">
        <v>1454</v>
      </c>
      <c r="L2046" s="27" t="s">
        <v>21155</v>
      </c>
      <c r="N2046" s="27" t="s">
        <v>21156</v>
      </c>
      <c r="P2046" s="27" t="s">
        <v>21157</v>
      </c>
      <c r="Q2046" s="26" t="str">
        <f>HYPERLINK("https://ictv.global/taxonomy/taxondetails?taxnode_id=202522078&amp;ictv_id=ICTV202522078","ICTV202522078")</f>
        <v>ICTV202522078</v>
      </c>
      <c r="R2046" t="s">
        <v>579</v>
      </c>
      <c r="S2046" t="s">
        <v>823</v>
      </c>
      <c r="T2046">
        <v>41</v>
      </c>
      <c r="U2046" s="26" t="str">
        <f>HYPERLINK("https://ictv.global/ictv/proposals/2025.002A.Archaeal_Caudoviricetes_8nf.zip","2025.002A.Archaeal_Caudoviricetes_8nf.zip")</f>
        <v>2025.002A.Archaeal_Caudoviricetes_8nf.zip</v>
      </c>
    </row>
    <row r="2047" spans="1:21">
      <c r="A2047">
        <v>2046</v>
      </c>
      <c r="B2047" s="27" t="s">
        <v>1449</v>
      </c>
      <c r="D2047" s="27" t="s">
        <v>1450</v>
      </c>
      <c r="F2047" s="27" t="s">
        <v>1453</v>
      </c>
      <c r="H2047" s="27" t="s">
        <v>1454</v>
      </c>
      <c r="L2047" s="27" t="s">
        <v>20864</v>
      </c>
      <c r="N2047" s="27" t="s">
        <v>20865</v>
      </c>
      <c r="P2047" s="27" t="s">
        <v>20866</v>
      </c>
      <c r="Q2047" s="26" t="str">
        <f>HYPERLINK("https://ictv.global/taxonomy/taxondetails?taxnode_id=202506930&amp;ictv_id=ICTV201856930","ICTV201856930")</f>
        <v>ICTV201856930</v>
      </c>
      <c r="R2047" t="s">
        <v>579</v>
      </c>
      <c r="S2047" t="s">
        <v>22764</v>
      </c>
      <c r="T2047">
        <v>41</v>
      </c>
      <c r="U2047" s="26" t="str">
        <f t="shared" ref="U2047:U2060" si="69">HYPERLINK("https://ictv.global/ictv/proposals/2025.006B.Buchnerviridae_1nf_6ng_1mg_1mrs_13ns.zip","2025.006B.Buchnerviridae_1nf_6ng_1mg_1mrs_13ns.zip")</f>
        <v>2025.006B.Buchnerviridae_1nf_6ng_1mg_1mrs_13ns.zip</v>
      </c>
    </row>
    <row r="2048" spans="1:21">
      <c r="A2048">
        <v>2047</v>
      </c>
      <c r="B2048" s="27" t="s">
        <v>1449</v>
      </c>
      <c r="D2048" s="27" t="s">
        <v>1450</v>
      </c>
      <c r="F2048" s="27" t="s">
        <v>1453</v>
      </c>
      <c r="H2048" s="27" t="s">
        <v>1454</v>
      </c>
      <c r="L2048" s="27" t="s">
        <v>20864</v>
      </c>
      <c r="N2048" s="27" t="s">
        <v>21383</v>
      </c>
      <c r="P2048" s="27" t="s">
        <v>21384</v>
      </c>
      <c r="Q2048" s="26" t="str">
        <f>HYPERLINK("https://ictv.global/taxonomy/taxondetails?taxnode_id=202522269&amp;ictv_id=ICTV202522269","ICTV202522269")</f>
        <v>ICTV202522269</v>
      </c>
      <c r="R2048" t="s">
        <v>579</v>
      </c>
      <c r="S2048" t="s">
        <v>823</v>
      </c>
      <c r="T2048">
        <v>41</v>
      </c>
      <c r="U2048" s="26" t="str">
        <f t="shared" si="69"/>
        <v>2025.006B.Buchnerviridae_1nf_6ng_1mg_1mrs_13ns.zip</v>
      </c>
    </row>
    <row r="2049" spans="1:21">
      <c r="A2049">
        <v>2048</v>
      </c>
      <c r="B2049" s="27" t="s">
        <v>1449</v>
      </c>
      <c r="D2049" s="27" t="s">
        <v>1450</v>
      </c>
      <c r="F2049" s="27" t="s">
        <v>1453</v>
      </c>
      <c r="H2049" s="27" t="s">
        <v>1454</v>
      </c>
      <c r="L2049" s="27" t="s">
        <v>20864</v>
      </c>
      <c r="N2049" s="27" t="s">
        <v>21371</v>
      </c>
      <c r="P2049" s="27" t="s">
        <v>21375</v>
      </c>
      <c r="Q2049" s="26" t="str">
        <f>HYPERLINK("https://ictv.global/taxonomy/taxondetails?taxnode_id=202522263&amp;ictv_id=ICTV202522263","ICTV202522263")</f>
        <v>ICTV202522263</v>
      </c>
      <c r="R2049" t="s">
        <v>579</v>
      </c>
      <c r="S2049" t="s">
        <v>823</v>
      </c>
      <c r="T2049">
        <v>41</v>
      </c>
      <c r="U2049" s="26" t="str">
        <f t="shared" si="69"/>
        <v>2025.006B.Buchnerviridae_1nf_6ng_1mg_1mrs_13ns.zip</v>
      </c>
    </row>
    <row r="2050" spans="1:21">
      <c r="A2050">
        <v>2049</v>
      </c>
      <c r="B2050" s="27" t="s">
        <v>1449</v>
      </c>
      <c r="D2050" s="27" t="s">
        <v>1450</v>
      </c>
      <c r="F2050" s="27" t="s">
        <v>1453</v>
      </c>
      <c r="H2050" s="27" t="s">
        <v>1454</v>
      </c>
      <c r="L2050" s="27" t="s">
        <v>20864</v>
      </c>
      <c r="N2050" s="27" t="s">
        <v>21371</v>
      </c>
      <c r="P2050" s="27" t="s">
        <v>21373</v>
      </c>
      <c r="Q2050" s="26" t="str">
        <f>HYPERLINK("https://ictv.global/taxonomy/taxondetails?taxnode_id=202522261&amp;ictv_id=ICTV202522261","ICTV202522261")</f>
        <v>ICTV202522261</v>
      </c>
      <c r="R2050" t="s">
        <v>579</v>
      </c>
      <c r="S2050" t="s">
        <v>823</v>
      </c>
      <c r="T2050">
        <v>41</v>
      </c>
      <c r="U2050" s="26" t="str">
        <f t="shared" si="69"/>
        <v>2025.006B.Buchnerviridae_1nf_6ng_1mg_1mrs_13ns.zip</v>
      </c>
    </row>
    <row r="2051" spans="1:21">
      <c r="A2051">
        <v>2050</v>
      </c>
      <c r="B2051" s="27" t="s">
        <v>1449</v>
      </c>
      <c r="D2051" s="27" t="s">
        <v>1450</v>
      </c>
      <c r="F2051" s="27" t="s">
        <v>1453</v>
      </c>
      <c r="H2051" s="27" t="s">
        <v>1454</v>
      </c>
      <c r="L2051" s="27" t="s">
        <v>20864</v>
      </c>
      <c r="N2051" s="27" t="s">
        <v>21371</v>
      </c>
      <c r="P2051" s="27" t="s">
        <v>21372</v>
      </c>
      <c r="Q2051" s="26" t="str">
        <f>HYPERLINK("https://ictv.global/taxonomy/taxondetails?taxnode_id=202522260&amp;ictv_id=ICTV202522260","ICTV202522260")</f>
        <v>ICTV202522260</v>
      </c>
      <c r="R2051" t="s">
        <v>579</v>
      </c>
      <c r="S2051" t="s">
        <v>823</v>
      </c>
      <c r="T2051">
        <v>41</v>
      </c>
      <c r="U2051" s="26" t="str">
        <f t="shared" si="69"/>
        <v>2025.006B.Buchnerviridae_1nf_6ng_1mg_1mrs_13ns.zip</v>
      </c>
    </row>
    <row r="2052" spans="1:21">
      <c r="A2052">
        <v>2051</v>
      </c>
      <c r="B2052" s="27" t="s">
        <v>1449</v>
      </c>
      <c r="D2052" s="27" t="s">
        <v>1450</v>
      </c>
      <c r="F2052" s="27" t="s">
        <v>1453</v>
      </c>
      <c r="H2052" s="27" t="s">
        <v>1454</v>
      </c>
      <c r="L2052" s="27" t="s">
        <v>20864</v>
      </c>
      <c r="N2052" s="27" t="s">
        <v>21371</v>
      </c>
      <c r="P2052" s="27" t="s">
        <v>21374</v>
      </c>
      <c r="Q2052" s="26" t="str">
        <f>HYPERLINK("https://ictv.global/taxonomy/taxondetails?taxnode_id=202522262&amp;ictv_id=ICTV202522262","ICTV202522262")</f>
        <v>ICTV202522262</v>
      </c>
      <c r="R2052" t="s">
        <v>579</v>
      </c>
      <c r="S2052" t="s">
        <v>823</v>
      </c>
      <c r="T2052">
        <v>41</v>
      </c>
      <c r="U2052" s="26" t="str">
        <f t="shared" si="69"/>
        <v>2025.006B.Buchnerviridae_1nf_6ng_1mg_1mrs_13ns.zip</v>
      </c>
    </row>
    <row r="2053" spans="1:21">
      <c r="A2053">
        <v>2052</v>
      </c>
      <c r="B2053" s="27" t="s">
        <v>1449</v>
      </c>
      <c r="D2053" s="27" t="s">
        <v>1450</v>
      </c>
      <c r="F2053" s="27" t="s">
        <v>1453</v>
      </c>
      <c r="H2053" s="27" t="s">
        <v>1454</v>
      </c>
      <c r="L2053" s="27" t="s">
        <v>20864</v>
      </c>
      <c r="N2053" s="27" t="s">
        <v>21371</v>
      </c>
      <c r="P2053" s="27" t="s">
        <v>21376</v>
      </c>
      <c r="Q2053" s="26" t="str">
        <f>HYPERLINK("https://ictv.global/taxonomy/taxondetails?taxnode_id=202522264&amp;ictv_id=ICTV202522264","ICTV202522264")</f>
        <v>ICTV202522264</v>
      </c>
      <c r="R2053" t="s">
        <v>579</v>
      </c>
      <c r="S2053" t="s">
        <v>823</v>
      </c>
      <c r="T2053">
        <v>41</v>
      </c>
      <c r="U2053" s="26" t="str">
        <f t="shared" si="69"/>
        <v>2025.006B.Buchnerviridae_1nf_6ng_1mg_1mrs_13ns.zip</v>
      </c>
    </row>
    <row r="2054" spans="1:21">
      <c r="A2054">
        <v>2053</v>
      </c>
      <c r="B2054" s="27" t="s">
        <v>1449</v>
      </c>
      <c r="D2054" s="27" t="s">
        <v>1450</v>
      </c>
      <c r="F2054" s="27" t="s">
        <v>1453</v>
      </c>
      <c r="H2054" s="27" t="s">
        <v>1454</v>
      </c>
      <c r="L2054" s="27" t="s">
        <v>20864</v>
      </c>
      <c r="N2054" s="27" t="s">
        <v>21371</v>
      </c>
      <c r="P2054" s="27" t="s">
        <v>21377</v>
      </c>
      <c r="Q2054" s="26" t="str">
        <f>HYPERLINK("https://ictv.global/taxonomy/taxondetails?taxnode_id=202522265&amp;ictv_id=ICTV202522265","ICTV202522265")</f>
        <v>ICTV202522265</v>
      </c>
      <c r="R2054" t="s">
        <v>579</v>
      </c>
      <c r="S2054" t="s">
        <v>823</v>
      </c>
      <c r="T2054">
        <v>41</v>
      </c>
      <c r="U2054" s="26" t="str">
        <f t="shared" si="69"/>
        <v>2025.006B.Buchnerviridae_1nf_6ng_1mg_1mrs_13ns.zip</v>
      </c>
    </row>
    <row r="2055" spans="1:21">
      <c r="A2055">
        <v>2054</v>
      </c>
      <c r="B2055" s="27" t="s">
        <v>1449</v>
      </c>
      <c r="D2055" s="27" t="s">
        <v>1450</v>
      </c>
      <c r="F2055" s="27" t="s">
        <v>1453</v>
      </c>
      <c r="H2055" s="27" t="s">
        <v>1454</v>
      </c>
      <c r="L2055" s="27" t="s">
        <v>20864</v>
      </c>
      <c r="N2055" s="27" t="s">
        <v>21369</v>
      </c>
      <c r="P2055" s="27" t="s">
        <v>21370</v>
      </c>
      <c r="Q2055" s="26" t="str">
        <f>HYPERLINK("https://ictv.global/taxonomy/taxondetails?taxnode_id=202522259&amp;ictv_id=ICTV202522259","ICTV202522259")</f>
        <v>ICTV202522259</v>
      </c>
      <c r="R2055" t="s">
        <v>579</v>
      </c>
      <c r="S2055" t="s">
        <v>823</v>
      </c>
      <c r="T2055">
        <v>41</v>
      </c>
      <c r="U2055" s="26" t="str">
        <f t="shared" si="69"/>
        <v>2025.006B.Buchnerviridae_1nf_6ng_1mg_1mrs_13ns.zip</v>
      </c>
    </row>
    <row r="2056" spans="1:21">
      <c r="A2056">
        <v>2055</v>
      </c>
      <c r="B2056" s="27" t="s">
        <v>1449</v>
      </c>
      <c r="D2056" s="27" t="s">
        <v>1450</v>
      </c>
      <c r="F2056" s="27" t="s">
        <v>1453</v>
      </c>
      <c r="H2056" s="27" t="s">
        <v>1454</v>
      </c>
      <c r="L2056" s="27" t="s">
        <v>20864</v>
      </c>
      <c r="N2056" s="27" t="s">
        <v>21380</v>
      </c>
      <c r="P2056" s="27" t="s">
        <v>21382</v>
      </c>
      <c r="Q2056" s="26" t="str">
        <f>HYPERLINK("https://ictv.global/taxonomy/taxondetails?taxnode_id=202522268&amp;ictv_id=ICTV202522268","ICTV202522268")</f>
        <v>ICTV202522268</v>
      </c>
      <c r="R2056" t="s">
        <v>579</v>
      </c>
      <c r="S2056" t="s">
        <v>823</v>
      </c>
      <c r="T2056">
        <v>41</v>
      </c>
      <c r="U2056" s="26" t="str">
        <f t="shared" si="69"/>
        <v>2025.006B.Buchnerviridae_1nf_6ng_1mg_1mrs_13ns.zip</v>
      </c>
    </row>
    <row r="2057" spans="1:21">
      <c r="A2057">
        <v>2056</v>
      </c>
      <c r="B2057" s="27" t="s">
        <v>1449</v>
      </c>
      <c r="D2057" s="27" t="s">
        <v>1450</v>
      </c>
      <c r="F2057" s="27" t="s">
        <v>1453</v>
      </c>
      <c r="H2057" s="27" t="s">
        <v>1454</v>
      </c>
      <c r="L2057" s="27" t="s">
        <v>20864</v>
      </c>
      <c r="N2057" s="27" t="s">
        <v>21380</v>
      </c>
      <c r="P2057" s="27" t="s">
        <v>21381</v>
      </c>
      <c r="Q2057" s="26" t="str">
        <f>HYPERLINK("https://ictv.global/taxonomy/taxondetails?taxnode_id=202522267&amp;ictv_id=ICTV202522267","ICTV202522267")</f>
        <v>ICTV202522267</v>
      </c>
      <c r="R2057" t="s">
        <v>579</v>
      </c>
      <c r="S2057" t="s">
        <v>823</v>
      </c>
      <c r="T2057">
        <v>41</v>
      </c>
      <c r="U2057" s="26" t="str">
        <f t="shared" si="69"/>
        <v>2025.006B.Buchnerviridae_1nf_6ng_1mg_1mrs_13ns.zip</v>
      </c>
    </row>
    <row r="2058" spans="1:21">
      <c r="A2058">
        <v>2057</v>
      </c>
      <c r="B2058" s="27" t="s">
        <v>1449</v>
      </c>
      <c r="D2058" s="27" t="s">
        <v>1450</v>
      </c>
      <c r="F2058" s="27" t="s">
        <v>1453</v>
      </c>
      <c r="H2058" s="27" t="s">
        <v>1454</v>
      </c>
      <c r="L2058" s="27" t="s">
        <v>20864</v>
      </c>
      <c r="N2058" s="27" t="s">
        <v>21378</v>
      </c>
      <c r="P2058" s="27" t="s">
        <v>21379</v>
      </c>
      <c r="Q2058" s="26" t="str">
        <f>HYPERLINK("https://ictv.global/taxonomy/taxondetails?taxnode_id=202522266&amp;ictv_id=ICTV202522266","ICTV202522266")</f>
        <v>ICTV202522266</v>
      </c>
      <c r="R2058" t="s">
        <v>579</v>
      </c>
      <c r="S2058" t="s">
        <v>823</v>
      </c>
      <c r="T2058">
        <v>41</v>
      </c>
      <c r="U2058" s="26" t="str">
        <f t="shared" si="69"/>
        <v>2025.006B.Buchnerviridae_1nf_6ng_1mg_1mrs_13ns.zip</v>
      </c>
    </row>
    <row r="2059" spans="1:21">
      <c r="A2059">
        <v>2058</v>
      </c>
      <c r="B2059" s="27" t="s">
        <v>1449</v>
      </c>
      <c r="D2059" s="27" t="s">
        <v>1450</v>
      </c>
      <c r="F2059" s="27" t="s">
        <v>1453</v>
      </c>
      <c r="H2059" s="27" t="s">
        <v>1454</v>
      </c>
      <c r="L2059" s="27" t="s">
        <v>20864</v>
      </c>
      <c r="N2059" s="27" t="s">
        <v>1431</v>
      </c>
      <c r="P2059" s="27" t="s">
        <v>21385</v>
      </c>
      <c r="Q2059" s="26" t="str">
        <f>HYPERLINK("https://ictv.global/taxonomy/taxondetails?taxnode_id=202522270&amp;ictv_id=ICTV202522270","ICTV202522270")</f>
        <v>ICTV202522270</v>
      </c>
      <c r="R2059" t="s">
        <v>579</v>
      </c>
      <c r="S2059" t="s">
        <v>823</v>
      </c>
      <c r="T2059">
        <v>41</v>
      </c>
      <c r="U2059" s="26" t="str">
        <f t="shared" si="69"/>
        <v>2025.006B.Buchnerviridae_1nf_6ng_1mg_1mrs_13ns.zip</v>
      </c>
    </row>
    <row r="2060" spans="1:21">
      <c r="A2060">
        <v>2059</v>
      </c>
      <c r="B2060" s="27" t="s">
        <v>1449</v>
      </c>
      <c r="D2060" s="27" t="s">
        <v>1450</v>
      </c>
      <c r="F2060" s="27" t="s">
        <v>1453</v>
      </c>
      <c r="H2060" s="27" t="s">
        <v>1454</v>
      </c>
      <c r="L2060" s="27" t="s">
        <v>20864</v>
      </c>
      <c r="N2060" s="27" t="s">
        <v>1431</v>
      </c>
      <c r="P2060" s="27" t="s">
        <v>8112</v>
      </c>
      <c r="Q2060" s="26" t="str">
        <f>HYPERLINK("https://ictv.global/taxonomy/taxondetails?taxnode_id=202506929&amp;ictv_id=ICTV201856929","ICTV201856929")</f>
        <v>ICTV201856929</v>
      </c>
      <c r="R2060" t="s">
        <v>579</v>
      </c>
      <c r="S2060" t="s">
        <v>22763</v>
      </c>
      <c r="T2060">
        <v>41</v>
      </c>
      <c r="U2060" s="26" t="str">
        <f t="shared" si="69"/>
        <v>2025.006B.Buchnerviridae_1nf_6ng_1mg_1mrs_13ns.zip</v>
      </c>
    </row>
    <row r="2061" spans="1:21">
      <c r="A2061">
        <v>2060</v>
      </c>
      <c r="B2061" s="27" t="s">
        <v>1449</v>
      </c>
      <c r="D2061" s="27" t="s">
        <v>1450</v>
      </c>
      <c r="F2061" s="27" t="s">
        <v>1453</v>
      </c>
      <c r="H2061" s="27" t="s">
        <v>1454</v>
      </c>
      <c r="L2061" s="27" t="s">
        <v>19445</v>
      </c>
      <c r="N2061" s="27" t="s">
        <v>6656</v>
      </c>
      <c r="P2061" s="27" t="s">
        <v>6657</v>
      </c>
      <c r="Q2061" s="26" t="str">
        <f>HYPERLINK("https://ictv.global/taxonomy/taxondetails?taxnode_id=202514512&amp;ictv_id=ICTV202214512","ICTV202214512")</f>
        <v>ICTV202214512</v>
      </c>
      <c r="R2061" t="s">
        <v>579</v>
      </c>
      <c r="S2061" t="s">
        <v>22763</v>
      </c>
      <c r="T2061">
        <v>40</v>
      </c>
      <c r="U2061" s="26" t="str">
        <f t="shared" ref="U2061:U2071" si="70">HYPERLINK("https://ictv.global/ictv/proposals/2024.005B.Casidaviridae_1nf_9ng_23ns.zip","2024.005B.Casidaviridae_1nf_9ng_23ns.zip")</f>
        <v>2024.005B.Casidaviridae_1nf_9ng_23ns.zip</v>
      </c>
    </row>
    <row r="2062" spans="1:21">
      <c r="A2062">
        <v>2061</v>
      </c>
      <c r="B2062" s="27" t="s">
        <v>1449</v>
      </c>
      <c r="D2062" s="27" t="s">
        <v>1450</v>
      </c>
      <c r="F2062" s="27" t="s">
        <v>1453</v>
      </c>
      <c r="H2062" s="27" t="s">
        <v>1454</v>
      </c>
      <c r="L2062" s="27" t="s">
        <v>19445</v>
      </c>
      <c r="N2062" s="27" t="s">
        <v>6656</v>
      </c>
      <c r="P2062" s="27" t="s">
        <v>19446</v>
      </c>
      <c r="Q2062" s="26" t="str">
        <f>HYPERLINK("https://ictv.global/taxonomy/taxondetails?taxnode_id=202520190&amp;ictv_id=ICTV202420190","ICTV202420190")</f>
        <v>ICTV202420190</v>
      </c>
      <c r="R2062" t="s">
        <v>579</v>
      </c>
      <c r="S2062" t="s">
        <v>823</v>
      </c>
      <c r="T2062">
        <v>40</v>
      </c>
      <c r="U2062" s="26" t="str">
        <f t="shared" si="70"/>
        <v>2024.005B.Casidaviridae_1nf_9ng_23ns.zip</v>
      </c>
    </row>
    <row r="2063" spans="1:21">
      <c r="A2063">
        <v>2062</v>
      </c>
      <c r="B2063" s="27" t="s">
        <v>1449</v>
      </c>
      <c r="D2063" s="27" t="s">
        <v>1450</v>
      </c>
      <c r="F2063" s="27" t="s">
        <v>1453</v>
      </c>
      <c r="H2063" s="27" t="s">
        <v>1454</v>
      </c>
      <c r="L2063" s="27" t="s">
        <v>19445</v>
      </c>
      <c r="N2063" s="27" t="s">
        <v>19447</v>
      </c>
      <c r="P2063" s="27" t="s">
        <v>19448</v>
      </c>
      <c r="Q2063" s="26" t="str">
        <f>HYPERLINK("https://ictv.global/taxonomy/taxondetails?taxnode_id=202520206&amp;ictv_id=ICTV202420206","ICTV202420206")</f>
        <v>ICTV202420206</v>
      </c>
      <c r="R2063" t="s">
        <v>579</v>
      </c>
      <c r="S2063" t="s">
        <v>823</v>
      </c>
      <c r="T2063">
        <v>40</v>
      </c>
      <c r="U2063" s="26" t="str">
        <f t="shared" si="70"/>
        <v>2024.005B.Casidaviridae_1nf_9ng_23ns.zip</v>
      </c>
    </row>
    <row r="2064" spans="1:21">
      <c r="A2064">
        <v>2063</v>
      </c>
      <c r="B2064" s="27" t="s">
        <v>1449</v>
      </c>
      <c r="D2064" s="27" t="s">
        <v>1450</v>
      </c>
      <c r="F2064" s="27" t="s">
        <v>1453</v>
      </c>
      <c r="H2064" s="27" t="s">
        <v>1454</v>
      </c>
      <c r="L2064" s="27" t="s">
        <v>19445</v>
      </c>
      <c r="N2064" s="27" t="s">
        <v>19447</v>
      </c>
      <c r="P2064" s="27" t="s">
        <v>19449</v>
      </c>
      <c r="Q2064" s="26" t="str">
        <f>HYPERLINK("https://ictv.global/taxonomy/taxondetails?taxnode_id=202520207&amp;ictv_id=ICTV202420207","ICTV202420207")</f>
        <v>ICTV202420207</v>
      </c>
      <c r="R2064" t="s">
        <v>579</v>
      </c>
      <c r="S2064" t="s">
        <v>823</v>
      </c>
      <c r="T2064">
        <v>40</v>
      </c>
      <c r="U2064" s="26" t="str">
        <f t="shared" si="70"/>
        <v>2024.005B.Casidaviridae_1nf_9ng_23ns.zip</v>
      </c>
    </row>
    <row r="2065" spans="1:21">
      <c r="A2065">
        <v>2064</v>
      </c>
      <c r="B2065" s="27" t="s">
        <v>1449</v>
      </c>
      <c r="D2065" s="27" t="s">
        <v>1450</v>
      </c>
      <c r="F2065" s="27" t="s">
        <v>1453</v>
      </c>
      <c r="H2065" s="27" t="s">
        <v>1454</v>
      </c>
      <c r="L2065" s="27" t="s">
        <v>19445</v>
      </c>
      <c r="N2065" s="27" t="s">
        <v>19450</v>
      </c>
      <c r="P2065" s="27" t="s">
        <v>19451</v>
      </c>
      <c r="Q2065" s="26" t="str">
        <f>HYPERLINK("https://ictv.global/taxonomy/taxondetails?taxnode_id=202520209&amp;ictv_id=ICTV202420209","ICTV202420209")</f>
        <v>ICTV202420209</v>
      </c>
      <c r="R2065" t="s">
        <v>579</v>
      </c>
      <c r="S2065" t="s">
        <v>823</v>
      </c>
      <c r="T2065">
        <v>40</v>
      </c>
      <c r="U2065" s="26" t="str">
        <f t="shared" si="70"/>
        <v>2024.005B.Casidaviridae_1nf_9ng_23ns.zip</v>
      </c>
    </row>
    <row r="2066" spans="1:21">
      <c r="A2066">
        <v>2065</v>
      </c>
      <c r="B2066" s="27" t="s">
        <v>1449</v>
      </c>
      <c r="D2066" s="27" t="s">
        <v>1450</v>
      </c>
      <c r="F2066" s="27" t="s">
        <v>1453</v>
      </c>
      <c r="H2066" s="27" t="s">
        <v>1454</v>
      </c>
      <c r="L2066" s="27" t="s">
        <v>19445</v>
      </c>
      <c r="N2066" s="27" t="s">
        <v>19452</v>
      </c>
      <c r="P2066" s="27" t="s">
        <v>19453</v>
      </c>
      <c r="Q2066" s="26" t="str">
        <f>HYPERLINK("https://ictv.global/taxonomy/taxondetails?taxnode_id=202520210&amp;ictv_id=ICTV202420210","ICTV202420210")</f>
        <v>ICTV202420210</v>
      </c>
      <c r="R2066" t="s">
        <v>579</v>
      </c>
      <c r="S2066" t="s">
        <v>823</v>
      </c>
      <c r="T2066">
        <v>40</v>
      </c>
      <c r="U2066" s="26" t="str">
        <f t="shared" si="70"/>
        <v>2024.005B.Casidaviridae_1nf_9ng_23ns.zip</v>
      </c>
    </row>
    <row r="2067" spans="1:21">
      <c r="A2067">
        <v>2066</v>
      </c>
      <c r="B2067" s="27" t="s">
        <v>1449</v>
      </c>
      <c r="D2067" s="27" t="s">
        <v>1450</v>
      </c>
      <c r="F2067" s="27" t="s">
        <v>1453</v>
      </c>
      <c r="H2067" s="27" t="s">
        <v>1454</v>
      </c>
      <c r="L2067" s="27" t="s">
        <v>19445</v>
      </c>
      <c r="N2067" s="27" t="s">
        <v>5852</v>
      </c>
      <c r="P2067" s="27" t="s">
        <v>5853</v>
      </c>
      <c r="Q2067" s="26" t="str">
        <f>HYPERLINK("https://ictv.global/taxonomy/taxondetails?taxnode_id=202514510&amp;ictv_id=ICTV202214510","ICTV202214510")</f>
        <v>ICTV202214510</v>
      </c>
      <c r="R2067" t="s">
        <v>579</v>
      </c>
      <c r="S2067" t="s">
        <v>22765</v>
      </c>
      <c r="T2067">
        <v>40</v>
      </c>
      <c r="U2067" s="26" t="str">
        <f t="shared" si="70"/>
        <v>2024.005B.Casidaviridae_1nf_9ng_23ns.zip</v>
      </c>
    </row>
    <row r="2068" spans="1:21">
      <c r="A2068">
        <v>2067</v>
      </c>
      <c r="B2068" s="27" t="s">
        <v>1449</v>
      </c>
      <c r="D2068" s="27" t="s">
        <v>1450</v>
      </c>
      <c r="F2068" s="27" t="s">
        <v>1453</v>
      </c>
      <c r="H2068" s="27" t="s">
        <v>1454</v>
      </c>
      <c r="L2068" s="27" t="s">
        <v>19445</v>
      </c>
      <c r="N2068" s="27" t="s">
        <v>19454</v>
      </c>
      <c r="P2068" s="27" t="s">
        <v>19455</v>
      </c>
      <c r="Q2068" s="26" t="str">
        <f>HYPERLINK("https://ictv.global/taxonomy/taxondetails?taxnode_id=202520201&amp;ictv_id=ICTV202420201","ICTV202420201")</f>
        <v>ICTV202420201</v>
      </c>
      <c r="R2068" t="s">
        <v>579</v>
      </c>
      <c r="S2068" t="s">
        <v>823</v>
      </c>
      <c r="T2068">
        <v>40</v>
      </c>
      <c r="U2068" s="26" t="str">
        <f t="shared" si="70"/>
        <v>2024.005B.Casidaviridae_1nf_9ng_23ns.zip</v>
      </c>
    </row>
    <row r="2069" spans="1:21">
      <c r="A2069">
        <v>2068</v>
      </c>
      <c r="B2069" s="27" t="s">
        <v>1449</v>
      </c>
      <c r="D2069" s="27" t="s">
        <v>1450</v>
      </c>
      <c r="F2069" s="27" t="s">
        <v>1453</v>
      </c>
      <c r="H2069" s="27" t="s">
        <v>1454</v>
      </c>
      <c r="L2069" s="27" t="s">
        <v>19445</v>
      </c>
      <c r="N2069" s="27" t="s">
        <v>19454</v>
      </c>
      <c r="P2069" s="27" t="s">
        <v>19456</v>
      </c>
      <c r="Q2069" s="26" t="str">
        <f>HYPERLINK("https://ictv.global/taxonomy/taxondetails?taxnode_id=202520202&amp;ictv_id=ICTV202420202","ICTV202420202")</f>
        <v>ICTV202420202</v>
      </c>
      <c r="R2069" t="s">
        <v>579</v>
      </c>
      <c r="S2069" t="s">
        <v>823</v>
      </c>
      <c r="T2069">
        <v>40</v>
      </c>
      <c r="U2069" s="26" t="str">
        <f t="shared" si="70"/>
        <v>2024.005B.Casidaviridae_1nf_9ng_23ns.zip</v>
      </c>
    </row>
    <row r="2070" spans="1:21">
      <c r="A2070">
        <v>2069</v>
      </c>
      <c r="B2070" s="27" t="s">
        <v>1449</v>
      </c>
      <c r="D2070" s="27" t="s">
        <v>1450</v>
      </c>
      <c r="F2070" s="27" t="s">
        <v>1453</v>
      </c>
      <c r="H2070" s="27" t="s">
        <v>1454</v>
      </c>
      <c r="L2070" s="27" t="s">
        <v>19445</v>
      </c>
      <c r="N2070" s="27" t="s">
        <v>19457</v>
      </c>
      <c r="P2070" s="27" t="s">
        <v>19458</v>
      </c>
      <c r="Q2070" s="26" t="str">
        <f>HYPERLINK("https://ictv.global/taxonomy/taxondetails?taxnode_id=202520211&amp;ictv_id=ICTV202420211","ICTV202420211")</f>
        <v>ICTV202420211</v>
      </c>
      <c r="R2070" t="s">
        <v>579</v>
      </c>
      <c r="S2070" t="s">
        <v>823</v>
      </c>
      <c r="T2070">
        <v>40</v>
      </c>
      <c r="U2070" s="26" t="str">
        <f t="shared" si="70"/>
        <v>2024.005B.Casidaviridae_1nf_9ng_23ns.zip</v>
      </c>
    </row>
    <row r="2071" spans="1:21">
      <c r="A2071">
        <v>2070</v>
      </c>
      <c r="B2071" s="27" t="s">
        <v>1449</v>
      </c>
      <c r="D2071" s="27" t="s">
        <v>1450</v>
      </c>
      <c r="F2071" s="27" t="s">
        <v>1453</v>
      </c>
      <c r="H2071" s="27" t="s">
        <v>1454</v>
      </c>
      <c r="L2071" s="27" t="s">
        <v>19445</v>
      </c>
      <c r="N2071" s="27" t="s">
        <v>19459</v>
      </c>
      <c r="P2071" s="27" t="s">
        <v>19460</v>
      </c>
      <c r="Q2071" s="26" t="str">
        <f>HYPERLINK("https://ictv.global/taxonomy/taxondetails?taxnode_id=202520208&amp;ictv_id=ICTV202420208","ICTV202420208")</f>
        <v>ICTV202420208</v>
      </c>
      <c r="R2071" t="s">
        <v>579</v>
      </c>
      <c r="S2071" t="s">
        <v>823</v>
      </c>
      <c r="T2071">
        <v>40</v>
      </c>
      <c r="U2071" s="26" t="str">
        <f t="shared" si="70"/>
        <v>2024.005B.Casidaviridae_1nf_9ng_23ns.zip</v>
      </c>
    </row>
    <row r="2072" spans="1:21">
      <c r="A2072">
        <v>2071</v>
      </c>
      <c r="B2072" s="27" t="s">
        <v>1449</v>
      </c>
      <c r="D2072" s="27" t="s">
        <v>1450</v>
      </c>
      <c r="F2072" s="27" t="s">
        <v>1453</v>
      </c>
      <c r="H2072" s="27" t="s">
        <v>1454</v>
      </c>
      <c r="L2072" s="27" t="s">
        <v>19445</v>
      </c>
      <c r="N2072" s="27" t="s">
        <v>1764</v>
      </c>
      <c r="P2072" s="27" t="s">
        <v>19461</v>
      </c>
      <c r="Q2072" s="26" t="str">
        <f>HYPERLINK("https://ictv.global/taxonomy/taxondetails?taxnode_id=202508063&amp;ictv_id=ICTV201908063","ICTV201908063")</f>
        <v>ICTV201908063</v>
      </c>
      <c r="R2072" t="s">
        <v>579</v>
      </c>
      <c r="S2072" t="s">
        <v>824</v>
      </c>
      <c r="T2072">
        <v>40</v>
      </c>
      <c r="U2072" s="26" t="str">
        <f>HYPERLINK("https://ictv.global/ictv/proposals/2024.036B.Caudoviricetes_Faserviricetes_Name_Corrections.zip","2024.036B.Caudoviricetes_Faserviricetes_Name_Corrections.zip")</f>
        <v>2024.036B.Caudoviricetes_Faserviricetes_Name_Corrections.zip</v>
      </c>
    </row>
    <row r="2073" spans="1:21">
      <c r="A2073">
        <v>2072</v>
      </c>
      <c r="B2073" s="27" t="s">
        <v>1449</v>
      </c>
      <c r="D2073" s="27" t="s">
        <v>1450</v>
      </c>
      <c r="F2073" s="27" t="s">
        <v>1453</v>
      </c>
      <c r="H2073" s="27" t="s">
        <v>1454</v>
      </c>
      <c r="L2073" s="27" t="s">
        <v>19445</v>
      </c>
      <c r="N2073" s="27" t="s">
        <v>1764</v>
      </c>
      <c r="P2073" s="27" t="s">
        <v>19462</v>
      </c>
      <c r="Q2073" s="26" t="str">
        <f>HYPERLINK("https://ictv.global/taxonomy/taxondetails?taxnode_id=202520200&amp;ictv_id=ICTV202420200","ICTV202420200")</f>
        <v>ICTV202420200</v>
      </c>
      <c r="R2073" t="s">
        <v>579</v>
      </c>
      <c r="S2073" t="s">
        <v>823</v>
      </c>
      <c r="T2073">
        <v>40</v>
      </c>
      <c r="U2073" s="26" t="str">
        <f t="shared" ref="U2073:U2101" si="71">HYPERLINK("https://ictv.global/ictv/proposals/2024.005B.Casidaviridae_1nf_9ng_23ns.zip","2024.005B.Casidaviridae_1nf_9ng_23ns.zip")</f>
        <v>2024.005B.Casidaviridae_1nf_9ng_23ns.zip</v>
      </c>
    </row>
    <row r="2074" spans="1:21">
      <c r="A2074">
        <v>2073</v>
      </c>
      <c r="B2074" s="27" t="s">
        <v>1449</v>
      </c>
      <c r="D2074" s="27" t="s">
        <v>1450</v>
      </c>
      <c r="F2074" s="27" t="s">
        <v>1453</v>
      </c>
      <c r="H2074" s="27" t="s">
        <v>1454</v>
      </c>
      <c r="L2074" s="27" t="s">
        <v>19445</v>
      </c>
      <c r="N2074" s="27" t="s">
        <v>19463</v>
      </c>
      <c r="P2074" s="27" t="s">
        <v>19464</v>
      </c>
      <c r="Q2074" s="26" t="str">
        <f>HYPERLINK("https://ictv.global/taxonomy/taxondetails?taxnode_id=202520205&amp;ictv_id=ICTV202420205","ICTV202420205")</f>
        <v>ICTV202420205</v>
      </c>
      <c r="R2074" t="s">
        <v>579</v>
      </c>
      <c r="S2074" t="s">
        <v>823</v>
      </c>
      <c r="T2074">
        <v>40</v>
      </c>
      <c r="U2074" s="26" t="str">
        <f t="shared" si="71"/>
        <v>2024.005B.Casidaviridae_1nf_9ng_23ns.zip</v>
      </c>
    </row>
    <row r="2075" spans="1:21">
      <c r="A2075">
        <v>2074</v>
      </c>
      <c r="B2075" s="27" t="s">
        <v>1449</v>
      </c>
      <c r="D2075" s="27" t="s">
        <v>1450</v>
      </c>
      <c r="F2075" s="27" t="s">
        <v>1453</v>
      </c>
      <c r="H2075" s="27" t="s">
        <v>1454</v>
      </c>
      <c r="L2075" s="27" t="s">
        <v>19445</v>
      </c>
      <c r="N2075" s="27" t="s">
        <v>1769</v>
      </c>
      <c r="P2075" s="27" t="s">
        <v>5854</v>
      </c>
      <c r="Q2075" s="26" t="str">
        <f>HYPERLINK("https://ictv.global/taxonomy/taxondetails?taxnode_id=202514508&amp;ictv_id=ICTV202214508","ICTV202214508")</f>
        <v>ICTV202214508</v>
      </c>
      <c r="R2075" t="s">
        <v>579</v>
      </c>
      <c r="S2075" t="s">
        <v>22765</v>
      </c>
      <c r="T2075">
        <v>40</v>
      </c>
      <c r="U2075" s="26" t="str">
        <f t="shared" si="71"/>
        <v>2024.005B.Casidaviridae_1nf_9ng_23ns.zip</v>
      </c>
    </row>
    <row r="2076" spans="1:21">
      <c r="A2076">
        <v>2075</v>
      </c>
      <c r="B2076" s="27" t="s">
        <v>1449</v>
      </c>
      <c r="D2076" s="27" t="s">
        <v>1450</v>
      </c>
      <c r="F2076" s="27" t="s">
        <v>1453</v>
      </c>
      <c r="H2076" s="27" t="s">
        <v>1454</v>
      </c>
      <c r="L2076" s="27" t="s">
        <v>19445</v>
      </c>
      <c r="N2076" s="27" t="s">
        <v>1769</v>
      </c>
      <c r="P2076" s="27" t="s">
        <v>5855</v>
      </c>
      <c r="Q2076" s="26" t="str">
        <f>HYPERLINK("https://ictv.global/taxonomy/taxondetails?taxnode_id=202508065&amp;ictv_id=ICTV201908065","ICTV201908065")</f>
        <v>ICTV201908065</v>
      </c>
      <c r="R2076" t="s">
        <v>579</v>
      </c>
      <c r="S2076" t="s">
        <v>22765</v>
      </c>
      <c r="T2076">
        <v>40</v>
      </c>
      <c r="U2076" s="26" t="str">
        <f t="shared" si="71"/>
        <v>2024.005B.Casidaviridae_1nf_9ng_23ns.zip</v>
      </c>
    </row>
    <row r="2077" spans="1:21">
      <c r="A2077">
        <v>2076</v>
      </c>
      <c r="B2077" s="27" t="s">
        <v>1449</v>
      </c>
      <c r="D2077" s="27" t="s">
        <v>1450</v>
      </c>
      <c r="F2077" s="27" t="s">
        <v>1453</v>
      </c>
      <c r="H2077" s="27" t="s">
        <v>1454</v>
      </c>
      <c r="L2077" s="27" t="s">
        <v>19445</v>
      </c>
      <c r="N2077" s="27" t="s">
        <v>1769</v>
      </c>
      <c r="P2077" s="27" t="s">
        <v>5856</v>
      </c>
      <c r="Q2077" s="26" t="str">
        <f>HYPERLINK("https://ictv.global/taxonomy/taxondetails?taxnode_id=202514509&amp;ictv_id=ICTV202214509","ICTV202214509")</f>
        <v>ICTV202214509</v>
      </c>
      <c r="R2077" t="s">
        <v>579</v>
      </c>
      <c r="S2077" t="s">
        <v>22765</v>
      </c>
      <c r="T2077">
        <v>40</v>
      </c>
      <c r="U2077" s="26" t="str">
        <f t="shared" si="71"/>
        <v>2024.005B.Casidaviridae_1nf_9ng_23ns.zip</v>
      </c>
    </row>
    <row r="2078" spans="1:21">
      <c r="A2078">
        <v>2077</v>
      </c>
      <c r="B2078" s="27" t="s">
        <v>1449</v>
      </c>
      <c r="D2078" s="27" t="s">
        <v>1450</v>
      </c>
      <c r="F2078" s="27" t="s">
        <v>1453</v>
      </c>
      <c r="H2078" s="27" t="s">
        <v>1454</v>
      </c>
      <c r="L2078" s="27" t="s">
        <v>19445</v>
      </c>
      <c r="N2078" s="27" t="s">
        <v>1769</v>
      </c>
      <c r="P2078" s="27" t="s">
        <v>5857</v>
      </c>
      <c r="Q2078" s="26" t="str">
        <f>HYPERLINK("https://ictv.global/taxonomy/taxondetails?taxnode_id=202514506&amp;ictv_id=ICTV202214506","ICTV202214506")</f>
        <v>ICTV202214506</v>
      </c>
      <c r="R2078" t="s">
        <v>579</v>
      </c>
      <c r="S2078" t="s">
        <v>22765</v>
      </c>
      <c r="T2078">
        <v>40</v>
      </c>
      <c r="U2078" s="26" t="str">
        <f t="shared" si="71"/>
        <v>2024.005B.Casidaviridae_1nf_9ng_23ns.zip</v>
      </c>
    </row>
    <row r="2079" spans="1:21">
      <c r="A2079">
        <v>2078</v>
      </c>
      <c r="B2079" s="27" t="s">
        <v>1449</v>
      </c>
      <c r="D2079" s="27" t="s">
        <v>1450</v>
      </c>
      <c r="F2079" s="27" t="s">
        <v>1453</v>
      </c>
      <c r="H2079" s="27" t="s">
        <v>1454</v>
      </c>
      <c r="L2079" s="27" t="s">
        <v>19445</v>
      </c>
      <c r="N2079" s="27" t="s">
        <v>1769</v>
      </c>
      <c r="P2079" s="27" t="s">
        <v>5858</v>
      </c>
      <c r="Q2079" s="26" t="str">
        <f>HYPERLINK("https://ictv.global/taxonomy/taxondetails?taxnode_id=202514507&amp;ictv_id=ICTV202214507","ICTV202214507")</f>
        <v>ICTV202214507</v>
      </c>
      <c r="R2079" t="s">
        <v>579</v>
      </c>
      <c r="S2079" t="s">
        <v>22765</v>
      </c>
      <c r="T2079">
        <v>40</v>
      </c>
      <c r="U2079" s="26" t="str">
        <f t="shared" si="71"/>
        <v>2024.005B.Casidaviridae_1nf_9ng_23ns.zip</v>
      </c>
    </row>
    <row r="2080" spans="1:21">
      <c r="A2080">
        <v>2079</v>
      </c>
      <c r="B2080" s="27" t="s">
        <v>1449</v>
      </c>
      <c r="D2080" s="27" t="s">
        <v>1450</v>
      </c>
      <c r="F2080" s="27" t="s">
        <v>1453</v>
      </c>
      <c r="H2080" s="27" t="s">
        <v>1454</v>
      </c>
      <c r="L2080" s="27" t="s">
        <v>19445</v>
      </c>
      <c r="N2080" s="27" t="s">
        <v>1769</v>
      </c>
      <c r="P2080" s="27" t="s">
        <v>19465</v>
      </c>
      <c r="Q2080" s="26" t="str">
        <f>HYPERLINK("https://ictv.global/taxonomy/taxondetails?taxnode_id=202520198&amp;ictv_id=ICTV202420198","ICTV202420198")</f>
        <v>ICTV202420198</v>
      </c>
      <c r="R2080" t="s">
        <v>579</v>
      </c>
      <c r="S2080" t="s">
        <v>823</v>
      </c>
      <c r="T2080">
        <v>40</v>
      </c>
      <c r="U2080" s="26" t="str">
        <f t="shared" si="71"/>
        <v>2024.005B.Casidaviridae_1nf_9ng_23ns.zip</v>
      </c>
    </row>
    <row r="2081" spans="1:21">
      <c r="A2081">
        <v>2080</v>
      </c>
      <c r="B2081" s="27" t="s">
        <v>1449</v>
      </c>
      <c r="D2081" s="27" t="s">
        <v>1450</v>
      </c>
      <c r="F2081" s="27" t="s">
        <v>1453</v>
      </c>
      <c r="H2081" s="27" t="s">
        <v>1454</v>
      </c>
      <c r="L2081" s="27" t="s">
        <v>19445</v>
      </c>
      <c r="N2081" s="27" t="s">
        <v>1769</v>
      </c>
      <c r="P2081" s="27" t="s">
        <v>19466</v>
      </c>
      <c r="Q2081" s="26" t="str">
        <f>HYPERLINK("https://ictv.global/taxonomy/taxondetails?taxnode_id=202520199&amp;ictv_id=ICTV202420199","ICTV202420199")</f>
        <v>ICTV202420199</v>
      </c>
      <c r="R2081" t="s">
        <v>579</v>
      </c>
      <c r="S2081" t="s">
        <v>823</v>
      </c>
      <c r="T2081">
        <v>40</v>
      </c>
      <c r="U2081" s="26" t="str">
        <f t="shared" si="71"/>
        <v>2024.005B.Casidaviridae_1nf_9ng_23ns.zip</v>
      </c>
    </row>
    <row r="2082" spans="1:21">
      <c r="A2082">
        <v>2081</v>
      </c>
      <c r="B2082" s="27" t="s">
        <v>1449</v>
      </c>
      <c r="D2082" s="27" t="s">
        <v>1450</v>
      </c>
      <c r="F2082" s="27" t="s">
        <v>1453</v>
      </c>
      <c r="H2082" s="27" t="s">
        <v>1454</v>
      </c>
      <c r="L2082" s="27" t="s">
        <v>19445</v>
      </c>
      <c r="N2082" s="27" t="s">
        <v>19467</v>
      </c>
      <c r="P2082" s="27" t="s">
        <v>19468</v>
      </c>
      <c r="Q2082" s="26" t="str">
        <f>HYPERLINK("https://ictv.global/taxonomy/taxondetails?taxnode_id=202520204&amp;ictv_id=ICTV202420204","ICTV202420204")</f>
        <v>ICTV202420204</v>
      </c>
      <c r="R2082" t="s">
        <v>579</v>
      </c>
      <c r="S2082" t="s">
        <v>823</v>
      </c>
      <c r="T2082">
        <v>40</v>
      </c>
      <c r="U2082" s="26" t="str">
        <f t="shared" si="71"/>
        <v>2024.005B.Casidaviridae_1nf_9ng_23ns.zip</v>
      </c>
    </row>
    <row r="2083" spans="1:21">
      <c r="A2083">
        <v>2082</v>
      </c>
      <c r="B2083" s="27" t="s">
        <v>1449</v>
      </c>
      <c r="D2083" s="27" t="s">
        <v>1450</v>
      </c>
      <c r="F2083" s="27" t="s">
        <v>1453</v>
      </c>
      <c r="H2083" s="27" t="s">
        <v>1454</v>
      </c>
      <c r="L2083" s="27" t="s">
        <v>19445</v>
      </c>
      <c r="N2083" s="27" t="s">
        <v>19467</v>
      </c>
      <c r="P2083" s="27" t="s">
        <v>19469</v>
      </c>
      <c r="Q2083" s="26" t="str">
        <f>HYPERLINK("https://ictv.global/taxonomy/taxondetails?taxnode_id=202520203&amp;ictv_id=ICTV202420203","ICTV202420203")</f>
        <v>ICTV202420203</v>
      </c>
      <c r="R2083" t="s">
        <v>579</v>
      </c>
      <c r="S2083" t="s">
        <v>823</v>
      </c>
      <c r="T2083">
        <v>40</v>
      </c>
      <c r="U2083" s="26" t="str">
        <f t="shared" si="71"/>
        <v>2024.005B.Casidaviridae_1nf_9ng_23ns.zip</v>
      </c>
    </row>
    <row r="2084" spans="1:21">
      <c r="A2084">
        <v>2083</v>
      </c>
      <c r="B2084" s="27" t="s">
        <v>1449</v>
      </c>
      <c r="D2084" s="27" t="s">
        <v>1450</v>
      </c>
      <c r="F2084" s="27" t="s">
        <v>1453</v>
      </c>
      <c r="H2084" s="27" t="s">
        <v>1454</v>
      </c>
      <c r="L2084" s="27" t="s">
        <v>19445</v>
      </c>
      <c r="N2084" s="27" t="s">
        <v>19470</v>
      </c>
      <c r="P2084" s="27" t="s">
        <v>19471</v>
      </c>
      <c r="Q2084" s="26" t="str">
        <f>HYPERLINK("https://ictv.global/taxonomy/taxondetails?taxnode_id=202520212&amp;ictv_id=ICTV202420212","ICTV202420212")</f>
        <v>ICTV202420212</v>
      </c>
      <c r="R2084" t="s">
        <v>579</v>
      </c>
      <c r="S2084" t="s">
        <v>823</v>
      </c>
      <c r="T2084">
        <v>40</v>
      </c>
      <c r="U2084" s="26" t="str">
        <f t="shared" si="71"/>
        <v>2024.005B.Casidaviridae_1nf_9ng_23ns.zip</v>
      </c>
    </row>
    <row r="2085" spans="1:21">
      <c r="A2085">
        <v>2084</v>
      </c>
      <c r="B2085" s="27" t="s">
        <v>1449</v>
      </c>
      <c r="D2085" s="27" t="s">
        <v>1450</v>
      </c>
      <c r="F2085" s="27" t="s">
        <v>1453</v>
      </c>
      <c r="H2085" s="27" t="s">
        <v>1454</v>
      </c>
      <c r="L2085" s="27" t="s">
        <v>19445</v>
      </c>
      <c r="N2085" s="27" t="s">
        <v>1798</v>
      </c>
      <c r="P2085" s="27" t="s">
        <v>5859</v>
      </c>
      <c r="Q2085" s="26" t="str">
        <f>HYPERLINK("https://ictv.global/taxonomy/taxondetails?taxnode_id=202514503&amp;ictv_id=ICTV202214503","ICTV202214503")</f>
        <v>ICTV202214503</v>
      </c>
      <c r="R2085" t="s">
        <v>579</v>
      </c>
      <c r="S2085" t="s">
        <v>22765</v>
      </c>
      <c r="T2085">
        <v>40</v>
      </c>
      <c r="U2085" s="26" t="str">
        <f t="shared" si="71"/>
        <v>2024.005B.Casidaviridae_1nf_9ng_23ns.zip</v>
      </c>
    </row>
    <row r="2086" spans="1:21">
      <c r="A2086">
        <v>2085</v>
      </c>
      <c r="B2086" s="27" t="s">
        <v>1449</v>
      </c>
      <c r="D2086" s="27" t="s">
        <v>1450</v>
      </c>
      <c r="F2086" s="27" t="s">
        <v>1453</v>
      </c>
      <c r="H2086" s="27" t="s">
        <v>1454</v>
      </c>
      <c r="L2086" s="27" t="s">
        <v>19445</v>
      </c>
      <c r="N2086" s="27" t="s">
        <v>1798</v>
      </c>
      <c r="P2086" s="27" t="s">
        <v>5860</v>
      </c>
      <c r="Q2086" s="26" t="str">
        <f>HYPERLINK("https://ictv.global/taxonomy/taxondetails?taxnode_id=202514500&amp;ictv_id=ICTV202214500","ICTV202214500")</f>
        <v>ICTV202214500</v>
      </c>
      <c r="R2086" t="s">
        <v>579</v>
      </c>
      <c r="S2086" t="s">
        <v>22765</v>
      </c>
      <c r="T2086">
        <v>40</v>
      </c>
      <c r="U2086" s="26" t="str">
        <f t="shared" si="71"/>
        <v>2024.005B.Casidaviridae_1nf_9ng_23ns.zip</v>
      </c>
    </row>
    <row r="2087" spans="1:21">
      <c r="A2087">
        <v>2086</v>
      </c>
      <c r="B2087" s="27" t="s">
        <v>1449</v>
      </c>
      <c r="D2087" s="27" t="s">
        <v>1450</v>
      </c>
      <c r="F2087" s="27" t="s">
        <v>1453</v>
      </c>
      <c r="H2087" s="27" t="s">
        <v>1454</v>
      </c>
      <c r="L2087" s="27" t="s">
        <v>19445</v>
      </c>
      <c r="N2087" s="27" t="s">
        <v>1798</v>
      </c>
      <c r="P2087" s="27" t="s">
        <v>19472</v>
      </c>
      <c r="Q2087" s="26" t="str">
        <f>HYPERLINK("https://ictv.global/taxonomy/taxondetails?taxnode_id=202520194&amp;ictv_id=ICTV202420194","ICTV202420194")</f>
        <v>ICTV202420194</v>
      </c>
      <c r="R2087" t="s">
        <v>579</v>
      </c>
      <c r="S2087" t="s">
        <v>823</v>
      </c>
      <c r="T2087">
        <v>40</v>
      </c>
      <c r="U2087" s="26" t="str">
        <f t="shared" si="71"/>
        <v>2024.005B.Casidaviridae_1nf_9ng_23ns.zip</v>
      </c>
    </row>
    <row r="2088" spans="1:21">
      <c r="A2088">
        <v>2087</v>
      </c>
      <c r="B2088" s="27" t="s">
        <v>1449</v>
      </c>
      <c r="D2088" s="27" t="s">
        <v>1450</v>
      </c>
      <c r="F2088" s="27" t="s">
        <v>1453</v>
      </c>
      <c r="H2088" s="27" t="s">
        <v>1454</v>
      </c>
      <c r="L2088" s="27" t="s">
        <v>19445</v>
      </c>
      <c r="N2088" s="27" t="s">
        <v>1798</v>
      </c>
      <c r="P2088" s="27" t="s">
        <v>19473</v>
      </c>
      <c r="Q2088" s="26" t="str">
        <f>HYPERLINK("https://ictv.global/taxonomy/taxondetails?taxnode_id=202520193&amp;ictv_id=ICTV202420193","ICTV202420193")</f>
        <v>ICTV202420193</v>
      </c>
      <c r="R2088" t="s">
        <v>579</v>
      </c>
      <c r="S2088" t="s">
        <v>823</v>
      </c>
      <c r="T2088">
        <v>40</v>
      </c>
      <c r="U2088" s="26" t="str">
        <f t="shared" si="71"/>
        <v>2024.005B.Casidaviridae_1nf_9ng_23ns.zip</v>
      </c>
    </row>
    <row r="2089" spans="1:21">
      <c r="A2089">
        <v>2088</v>
      </c>
      <c r="B2089" s="27" t="s">
        <v>1449</v>
      </c>
      <c r="D2089" s="27" t="s">
        <v>1450</v>
      </c>
      <c r="F2089" s="27" t="s">
        <v>1453</v>
      </c>
      <c r="H2089" s="27" t="s">
        <v>1454</v>
      </c>
      <c r="L2089" s="27" t="s">
        <v>19445</v>
      </c>
      <c r="N2089" s="27" t="s">
        <v>1798</v>
      </c>
      <c r="P2089" s="27" t="s">
        <v>19474</v>
      </c>
      <c r="Q2089" s="26" t="str">
        <f>HYPERLINK("https://ictv.global/taxonomy/taxondetails?taxnode_id=202520195&amp;ictv_id=ICTV202420195","ICTV202420195")</f>
        <v>ICTV202420195</v>
      </c>
      <c r="R2089" t="s">
        <v>579</v>
      </c>
      <c r="S2089" t="s">
        <v>823</v>
      </c>
      <c r="T2089">
        <v>40</v>
      </c>
      <c r="U2089" s="26" t="str">
        <f t="shared" si="71"/>
        <v>2024.005B.Casidaviridae_1nf_9ng_23ns.zip</v>
      </c>
    </row>
    <row r="2090" spans="1:21">
      <c r="A2090">
        <v>2089</v>
      </c>
      <c r="B2090" s="27" t="s">
        <v>1449</v>
      </c>
      <c r="D2090" s="27" t="s">
        <v>1450</v>
      </c>
      <c r="F2090" s="27" t="s">
        <v>1453</v>
      </c>
      <c r="H2090" s="27" t="s">
        <v>1454</v>
      </c>
      <c r="L2090" s="27" t="s">
        <v>19445</v>
      </c>
      <c r="N2090" s="27" t="s">
        <v>1798</v>
      </c>
      <c r="P2090" s="27" t="s">
        <v>5861</v>
      </c>
      <c r="Q2090" s="26" t="str">
        <f>HYPERLINK("https://ictv.global/taxonomy/taxondetails?taxnode_id=202514504&amp;ictv_id=ICTV202214504","ICTV202214504")</f>
        <v>ICTV202214504</v>
      </c>
      <c r="R2090" t="s">
        <v>579</v>
      </c>
      <c r="S2090" t="s">
        <v>22765</v>
      </c>
      <c r="T2090">
        <v>40</v>
      </c>
      <c r="U2090" s="26" t="str">
        <f t="shared" si="71"/>
        <v>2024.005B.Casidaviridae_1nf_9ng_23ns.zip</v>
      </c>
    </row>
    <row r="2091" spans="1:21">
      <c r="A2091">
        <v>2090</v>
      </c>
      <c r="B2091" s="27" t="s">
        <v>1449</v>
      </c>
      <c r="D2091" s="27" t="s">
        <v>1450</v>
      </c>
      <c r="F2091" s="27" t="s">
        <v>1453</v>
      </c>
      <c r="H2091" s="27" t="s">
        <v>1454</v>
      </c>
      <c r="L2091" s="27" t="s">
        <v>19445</v>
      </c>
      <c r="N2091" s="27" t="s">
        <v>1798</v>
      </c>
      <c r="P2091" s="27" t="s">
        <v>19475</v>
      </c>
      <c r="Q2091" s="26" t="str">
        <f>HYPERLINK("https://ictv.global/taxonomy/taxondetails?taxnode_id=202520191&amp;ictv_id=ICTV202420191","ICTV202420191")</f>
        <v>ICTV202420191</v>
      </c>
      <c r="R2091" t="s">
        <v>579</v>
      </c>
      <c r="S2091" t="s">
        <v>823</v>
      </c>
      <c r="T2091">
        <v>40</v>
      </c>
      <c r="U2091" s="26" t="str">
        <f t="shared" si="71"/>
        <v>2024.005B.Casidaviridae_1nf_9ng_23ns.zip</v>
      </c>
    </row>
    <row r="2092" spans="1:21">
      <c r="A2092">
        <v>2091</v>
      </c>
      <c r="B2092" s="27" t="s">
        <v>1449</v>
      </c>
      <c r="D2092" s="27" t="s">
        <v>1450</v>
      </c>
      <c r="F2092" s="27" t="s">
        <v>1453</v>
      </c>
      <c r="H2092" s="27" t="s">
        <v>1454</v>
      </c>
      <c r="L2092" s="27" t="s">
        <v>19445</v>
      </c>
      <c r="N2092" s="27" t="s">
        <v>1798</v>
      </c>
      <c r="P2092" s="27" t="s">
        <v>5862</v>
      </c>
      <c r="Q2092" s="26" t="str">
        <f>HYPERLINK("https://ictv.global/taxonomy/taxondetails?taxnode_id=202514505&amp;ictv_id=ICTV202214505","ICTV202214505")</f>
        <v>ICTV202214505</v>
      </c>
      <c r="R2092" t="s">
        <v>579</v>
      </c>
      <c r="S2092" t="s">
        <v>22765</v>
      </c>
      <c r="T2092">
        <v>40</v>
      </c>
      <c r="U2092" s="26" t="str">
        <f t="shared" si="71"/>
        <v>2024.005B.Casidaviridae_1nf_9ng_23ns.zip</v>
      </c>
    </row>
    <row r="2093" spans="1:21">
      <c r="A2093">
        <v>2092</v>
      </c>
      <c r="B2093" s="27" t="s">
        <v>1449</v>
      </c>
      <c r="D2093" s="27" t="s">
        <v>1450</v>
      </c>
      <c r="F2093" s="27" t="s">
        <v>1453</v>
      </c>
      <c r="H2093" s="27" t="s">
        <v>1454</v>
      </c>
      <c r="L2093" s="27" t="s">
        <v>19445</v>
      </c>
      <c r="N2093" s="27" t="s">
        <v>1798</v>
      </c>
      <c r="P2093" s="27" t="s">
        <v>5863</v>
      </c>
      <c r="Q2093" s="26" t="str">
        <f>HYPERLINK("https://ictv.global/taxonomy/taxondetails?taxnode_id=202514498&amp;ictv_id=ICTV202214498","ICTV202214498")</f>
        <v>ICTV202214498</v>
      </c>
      <c r="R2093" t="s">
        <v>579</v>
      </c>
      <c r="S2093" t="s">
        <v>22765</v>
      </c>
      <c r="T2093">
        <v>40</v>
      </c>
      <c r="U2093" s="26" t="str">
        <f t="shared" si="71"/>
        <v>2024.005B.Casidaviridae_1nf_9ng_23ns.zip</v>
      </c>
    </row>
    <row r="2094" spans="1:21">
      <c r="A2094">
        <v>2093</v>
      </c>
      <c r="B2094" s="27" t="s">
        <v>1449</v>
      </c>
      <c r="D2094" s="27" t="s">
        <v>1450</v>
      </c>
      <c r="F2094" s="27" t="s">
        <v>1453</v>
      </c>
      <c r="H2094" s="27" t="s">
        <v>1454</v>
      </c>
      <c r="L2094" s="27" t="s">
        <v>19445</v>
      </c>
      <c r="N2094" s="27" t="s">
        <v>1798</v>
      </c>
      <c r="P2094" s="27" t="s">
        <v>19476</v>
      </c>
      <c r="Q2094" s="26" t="str">
        <f>HYPERLINK("https://ictv.global/taxonomy/taxondetails?taxnode_id=202520197&amp;ictv_id=ICTV202420197","ICTV202420197")</f>
        <v>ICTV202420197</v>
      </c>
      <c r="R2094" t="s">
        <v>579</v>
      </c>
      <c r="S2094" t="s">
        <v>823</v>
      </c>
      <c r="T2094">
        <v>40</v>
      </c>
      <c r="U2094" s="26" t="str">
        <f t="shared" si="71"/>
        <v>2024.005B.Casidaviridae_1nf_9ng_23ns.zip</v>
      </c>
    </row>
    <row r="2095" spans="1:21">
      <c r="A2095">
        <v>2094</v>
      </c>
      <c r="B2095" s="27" t="s">
        <v>1449</v>
      </c>
      <c r="D2095" s="27" t="s">
        <v>1450</v>
      </c>
      <c r="F2095" s="27" t="s">
        <v>1453</v>
      </c>
      <c r="H2095" s="27" t="s">
        <v>1454</v>
      </c>
      <c r="L2095" s="27" t="s">
        <v>19445</v>
      </c>
      <c r="N2095" s="27" t="s">
        <v>1798</v>
      </c>
      <c r="P2095" s="27" t="s">
        <v>5864</v>
      </c>
      <c r="Q2095" s="26" t="str">
        <f>HYPERLINK("https://ictv.global/taxonomy/taxondetails?taxnode_id=202514499&amp;ictv_id=ICTV202214499","ICTV202214499")</f>
        <v>ICTV202214499</v>
      </c>
      <c r="R2095" t="s">
        <v>579</v>
      </c>
      <c r="S2095" t="s">
        <v>22765</v>
      </c>
      <c r="T2095">
        <v>40</v>
      </c>
      <c r="U2095" s="26" t="str">
        <f t="shared" si="71"/>
        <v>2024.005B.Casidaviridae_1nf_9ng_23ns.zip</v>
      </c>
    </row>
    <row r="2096" spans="1:21">
      <c r="A2096">
        <v>2095</v>
      </c>
      <c r="B2096" s="27" t="s">
        <v>1449</v>
      </c>
      <c r="D2096" s="27" t="s">
        <v>1450</v>
      </c>
      <c r="F2096" s="27" t="s">
        <v>1453</v>
      </c>
      <c r="H2096" s="27" t="s">
        <v>1454</v>
      </c>
      <c r="L2096" s="27" t="s">
        <v>19445</v>
      </c>
      <c r="N2096" s="27" t="s">
        <v>1798</v>
      </c>
      <c r="P2096" s="27" t="s">
        <v>5865</v>
      </c>
      <c r="Q2096" s="26" t="str">
        <f>HYPERLINK("https://ictv.global/taxonomy/taxondetails?taxnode_id=202514501&amp;ictv_id=ICTV202214501","ICTV202214501")</f>
        <v>ICTV202214501</v>
      </c>
      <c r="R2096" t="s">
        <v>579</v>
      </c>
      <c r="S2096" t="s">
        <v>22765</v>
      </c>
      <c r="T2096">
        <v>40</v>
      </c>
      <c r="U2096" s="26" t="str">
        <f t="shared" si="71"/>
        <v>2024.005B.Casidaviridae_1nf_9ng_23ns.zip</v>
      </c>
    </row>
    <row r="2097" spans="1:21">
      <c r="A2097">
        <v>2096</v>
      </c>
      <c r="B2097" s="27" t="s">
        <v>1449</v>
      </c>
      <c r="D2097" s="27" t="s">
        <v>1450</v>
      </c>
      <c r="F2097" s="27" t="s">
        <v>1453</v>
      </c>
      <c r="H2097" s="27" t="s">
        <v>1454</v>
      </c>
      <c r="L2097" s="27" t="s">
        <v>19445</v>
      </c>
      <c r="N2097" s="27" t="s">
        <v>1798</v>
      </c>
      <c r="P2097" s="27" t="s">
        <v>19477</v>
      </c>
      <c r="Q2097" s="26" t="str">
        <f>HYPERLINK("https://ictv.global/taxonomy/taxondetails?taxnode_id=202520196&amp;ictv_id=ICTV202420196","ICTV202420196")</f>
        <v>ICTV202420196</v>
      </c>
      <c r="R2097" t="s">
        <v>579</v>
      </c>
      <c r="S2097" t="s">
        <v>823</v>
      </c>
      <c r="T2097">
        <v>40</v>
      </c>
      <c r="U2097" s="26" t="str">
        <f t="shared" si="71"/>
        <v>2024.005B.Casidaviridae_1nf_9ng_23ns.zip</v>
      </c>
    </row>
    <row r="2098" spans="1:21">
      <c r="A2098">
        <v>2097</v>
      </c>
      <c r="B2098" s="27" t="s">
        <v>1449</v>
      </c>
      <c r="D2098" s="27" t="s">
        <v>1450</v>
      </c>
      <c r="F2098" s="27" t="s">
        <v>1453</v>
      </c>
      <c r="H2098" s="27" t="s">
        <v>1454</v>
      </c>
      <c r="L2098" s="27" t="s">
        <v>19445</v>
      </c>
      <c r="N2098" s="27" t="s">
        <v>1798</v>
      </c>
      <c r="P2098" s="27" t="s">
        <v>19478</v>
      </c>
      <c r="Q2098" s="26" t="str">
        <f>HYPERLINK("https://ictv.global/taxonomy/taxondetails?taxnode_id=202520192&amp;ictv_id=ICTV202420192","ICTV202420192")</f>
        <v>ICTV202420192</v>
      </c>
      <c r="R2098" t="s">
        <v>579</v>
      </c>
      <c r="S2098" t="s">
        <v>823</v>
      </c>
      <c r="T2098">
        <v>40</v>
      </c>
      <c r="U2098" s="26" t="str">
        <f t="shared" si="71"/>
        <v>2024.005B.Casidaviridae_1nf_9ng_23ns.zip</v>
      </c>
    </row>
    <row r="2099" spans="1:21">
      <c r="A2099">
        <v>2098</v>
      </c>
      <c r="B2099" s="27" t="s">
        <v>1449</v>
      </c>
      <c r="D2099" s="27" t="s">
        <v>1450</v>
      </c>
      <c r="F2099" s="27" t="s">
        <v>1453</v>
      </c>
      <c r="H2099" s="27" t="s">
        <v>1454</v>
      </c>
      <c r="L2099" s="27" t="s">
        <v>19445</v>
      </c>
      <c r="N2099" s="27" t="s">
        <v>1798</v>
      </c>
      <c r="P2099" s="27" t="s">
        <v>5866</v>
      </c>
      <c r="Q2099" s="26" t="str">
        <f>HYPERLINK("https://ictv.global/taxonomy/taxondetails?taxnode_id=202514502&amp;ictv_id=ICTV202214502","ICTV202214502")</f>
        <v>ICTV202214502</v>
      </c>
      <c r="R2099" t="s">
        <v>579</v>
      </c>
      <c r="S2099" t="s">
        <v>22765</v>
      </c>
      <c r="T2099">
        <v>40</v>
      </c>
      <c r="U2099" s="26" t="str">
        <f t="shared" si="71"/>
        <v>2024.005B.Casidaviridae_1nf_9ng_23ns.zip</v>
      </c>
    </row>
    <row r="2100" spans="1:21">
      <c r="A2100">
        <v>2099</v>
      </c>
      <c r="B2100" s="27" t="s">
        <v>1449</v>
      </c>
      <c r="D2100" s="27" t="s">
        <v>1450</v>
      </c>
      <c r="F2100" s="27" t="s">
        <v>1453</v>
      </c>
      <c r="H2100" s="27" t="s">
        <v>1454</v>
      </c>
      <c r="L2100" s="27" t="s">
        <v>19445</v>
      </c>
      <c r="N2100" s="27" t="s">
        <v>1798</v>
      </c>
      <c r="P2100" s="27" t="s">
        <v>5867</v>
      </c>
      <c r="Q2100" s="26" t="str">
        <f>HYPERLINK("https://ictv.global/taxonomy/taxondetails?taxnode_id=202508061&amp;ictv_id=ICTV201908061","ICTV201908061")</f>
        <v>ICTV201908061</v>
      </c>
      <c r="R2100" t="s">
        <v>579</v>
      </c>
      <c r="S2100" t="s">
        <v>22765</v>
      </c>
      <c r="T2100">
        <v>40</v>
      </c>
      <c r="U2100" s="26" t="str">
        <f t="shared" si="71"/>
        <v>2024.005B.Casidaviridae_1nf_9ng_23ns.zip</v>
      </c>
    </row>
    <row r="2101" spans="1:21">
      <c r="A2101">
        <v>2100</v>
      </c>
      <c r="B2101" s="27" t="s">
        <v>1449</v>
      </c>
      <c r="D2101" s="27" t="s">
        <v>1450</v>
      </c>
      <c r="F2101" s="27" t="s">
        <v>1453</v>
      </c>
      <c r="H2101" s="27" t="s">
        <v>1454</v>
      </c>
      <c r="L2101" s="27" t="s">
        <v>19445</v>
      </c>
      <c r="N2101" s="27" t="s">
        <v>1799</v>
      </c>
      <c r="P2101" s="27" t="s">
        <v>8188</v>
      </c>
      <c r="Q2101" s="26" t="str">
        <f>HYPERLINK("https://ictv.global/taxonomy/taxondetails?taxnode_id=202508079&amp;ictv_id=ICTV201908079","ICTV201908079")</f>
        <v>ICTV201908079</v>
      </c>
      <c r="R2101" t="s">
        <v>579</v>
      </c>
      <c r="S2101" t="s">
        <v>22763</v>
      </c>
      <c r="T2101">
        <v>40</v>
      </c>
      <c r="U2101" s="26" t="str">
        <f t="shared" si="71"/>
        <v>2024.005B.Casidaviridae_1nf_9ng_23ns.zip</v>
      </c>
    </row>
    <row r="2102" spans="1:21">
      <c r="A2102">
        <v>2101</v>
      </c>
      <c r="B2102" s="27" t="s">
        <v>1449</v>
      </c>
      <c r="D2102" s="27" t="s">
        <v>1450</v>
      </c>
      <c r="F2102" s="27" t="s">
        <v>1453</v>
      </c>
      <c r="H2102" s="27" t="s">
        <v>1454</v>
      </c>
      <c r="L2102" s="27" t="s">
        <v>4517</v>
      </c>
      <c r="N2102" s="27" t="s">
        <v>1327</v>
      </c>
      <c r="P2102" s="27" t="s">
        <v>19479</v>
      </c>
      <c r="Q2102" s="26" t="str">
        <f>HYPERLINK("https://ictv.global/taxonomy/taxondetails?taxnode_id=202506759&amp;ictv_id=ICTV201856759","ICTV201856759")</f>
        <v>ICTV201856759</v>
      </c>
      <c r="R2102" t="s">
        <v>579</v>
      </c>
      <c r="S2102" t="s">
        <v>824</v>
      </c>
      <c r="T2102">
        <v>40</v>
      </c>
      <c r="U2102" s="26" t="str">
        <f>HYPERLINK("https://ictv.global/ictv/proposals/2024.036B.Caudoviricetes_Faserviricetes_Name_Corrections.zip","2024.036B.Caudoviricetes_Faserviricetes_Name_Corrections.zip")</f>
        <v>2024.036B.Caudoviricetes_Faserviricetes_Name_Corrections.zip</v>
      </c>
    </row>
    <row r="2103" spans="1:21">
      <c r="A2103">
        <v>2102</v>
      </c>
      <c r="B2103" s="27" t="s">
        <v>1449</v>
      </c>
      <c r="D2103" s="27" t="s">
        <v>1450</v>
      </c>
      <c r="F2103" s="27" t="s">
        <v>1453</v>
      </c>
      <c r="H2103" s="27" t="s">
        <v>1454</v>
      </c>
      <c r="L2103" s="27" t="s">
        <v>4517</v>
      </c>
      <c r="N2103" s="27" t="s">
        <v>4518</v>
      </c>
      <c r="P2103" s="27" t="s">
        <v>4519</v>
      </c>
      <c r="Q2103" s="26" t="str">
        <f>HYPERLINK("https://ictv.global/taxonomy/taxondetails?taxnode_id=202512990&amp;ictv_id=ICTV202112990","ICTV202112990")</f>
        <v>ICTV202112990</v>
      </c>
      <c r="R2103" t="s">
        <v>579</v>
      </c>
      <c r="S2103" t="s">
        <v>823</v>
      </c>
      <c r="T2103">
        <v>37</v>
      </c>
      <c r="U2103" s="26" t="str">
        <f>HYPERLINK("https://ictv.global/ictv/proposals/2021.015B.R.Casjensviridae.zip","2021.015B.R.Casjensviridae.zip")</f>
        <v>2021.015B.R.Casjensviridae.zip</v>
      </c>
    </row>
    <row r="2104" spans="1:21">
      <c r="A2104">
        <v>2103</v>
      </c>
      <c r="B2104" s="27" t="s">
        <v>1449</v>
      </c>
      <c r="D2104" s="27" t="s">
        <v>1450</v>
      </c>
      <c r="F2104" s="27" t="s">
        <v>1453</v>
      </c>
      <c r="H2104" s="27" t="s">
        <v>1454</v>
      </c>
      <c r="L2104" s="27" t="s">
        <v>4517</v>
      </c>
      <c r="N2104" s="27" t="s">
        <v>4520</v>
      </c>
      <c r="P2104" s="27" t="s">
        <v>4521</v>
      </c>
      <c r="Q2104" s="26" t="str">
        <f>HYPERLINK("https://ictv.global/taxonomy/taxondetails?taxnode_id=202513003&amp;ictv_id=ICTV202113003","ICTV202113003")</f>
        <v>ICTV202113003</v>
      </c>
      <c r="R2104" t="s">
        <v>579</v>
      </c>
      <c r="S2104" t="s">
        <v>823</v>
      </c>
      <c r="T2104">
        <v>37</v>
      </c>
      <c r="U2104" s="26" t="str">
        <f>HYPERLINK("https://ictv.global/ictv/proposals/2021.015B.R.Casjensviridae.zip","2021.015B.R.Casjensviridae.zip")</f>
        <v>2021.015B.R.Casjensviridae.zip</v>
      </c>
    </row>
    <row r="2105" spans="1:21">
      <c r="A2105">
        <v>2104</v>
      </c>
      <c r="B2105" s="27" t="s">
        <v>1449</v>
      </c>
      <c r="D2105" s="27" t="s">
        <v>1450</v>
      </c>
      <c r="F2105" s="27" t="s">
        <v>1453</v>
      </c>
      <c r="H2105" s="27" t="s">
        <v>1454</v>
      </c>
      <c r="L2105" s="27" t="s">
        <v>4517</v>
      </c>
      <c r="N2105" s="27" t="s">
        <v>617</v>
      </c>
      <c r="P2105" s="27" t="s">
        <v>19480</v>
      </c>
      <c r="Q2105" s="26" t="str">
        <f>HYPERLINK("https://ictv.global/taxonomy/taxondetails?taxnode_id=202509870&amp;ictv_id=ICTV202009870","ICTV202009870")</f>
        <v>ICTV202009870</v>
      </c>
      <c r="R2105" t="s">
        <v>579</v>
      </c>
      <c r="S2105" t="s">
        <v>824</v>
      </c>
      <c r="T2105">
        <v>40</v>
      </c>
      <c r="U2105" s="26" t="str">
        <f>HYPERLINK("https://ictv.global/ictv/proposals/2024.036B.Caudoviricetes_Faserviricetes_Name_Corrections.zip","2024.036B.Caudoviricetes_Faserviricetes_Name_Corrections.zip")</f>
        <v>2024.036B.Caudoviricetes_Faserviricetes_Name_Corrections.zip</v>
      </c>
    </row>
    <row r="2106" spans="1:21">
      <c r="A2106">
        <v>2105</v>
      </c>
      <c r="B2106" s="27" t="s">
        <v>1449</v>
      </c>
      <c r="D2106" s="27" t="s">
        <v>1450</v>
      </c>
      <c r="F2106" s="27" t="s">
        <v>1453</v>
      </c>
      <c r="H2106" s="27" t="s">
        <v>1454</v>
      </c>
      <c r="L2106" s="27" t="s">
        <v>4517</v>
      </c>
      <c r="N2106" s="27" t="s">
        <v>617</v>
      </c>
      <c r="P2106" s="27" t="s">
        <v>4522</v>
      </c>
      <c r="Q2106" s="26" t="str">
        <f>HYPERLINK("https://ictv.global/taxonomy/taxondetails?taxnode_id=202509872&amp;ictv_id=ICTV202009872","ICTV202009872")</f>
        <v>ICTV202009872</v>
      </c>
      <c r="R2106" t="s">
        <v>579</v>
      </c>
      <c r="S2106" t="s">
        <v>824</v>
      </c>
      <c r="T2106">
        <v>37</v>
      </c>
      <c r="U2106" s="26" t="str">
        <f>HYPERLINK("https://ictv.global/ictv/proposals/2021.010B.R.Binomial_names.zip","2021.010B.R.Binomial_names.zip")</f>
        <v>2021.010B.R.Binomial_names.zip</v>
      </c>
    </row>
    <row r="2107" spans="1:21">
      <c r="A2107">
        <v>2106</v>
      </c>
      <c r="B2107" s="27" t="s">
        <v>1449</v>
      </c>
      <c r="D2107" s="27" t="s">
        <v>1450</v>
      </c>
      <c r="F2107" s="27" t="s">
        <v>1453</v>
      </c>
      <c r="H2107" s="27" t="s">
        <v>1454</v>
      </c>
      <c r="L2107" s="27" t="s">
        <v>4517</v>
      </c>
      <c r="N2107" s="27" t="s">
        <v>617</v>
      </c>
      <c r="P2107" s="27" t="s">
        <v>4523</v>
      </c>
      <c r="Q2107" s="26" t="str">
        <f>HYPERLINK("https://ictv.global/taxonomy/taxondetails?taxnode_id=202500924&amp;ictv_id=ICTV20140508","ICTV20140508")</f>
        <v>ICTV20140508</v>
      </c>
      <c r="R2107" t="s">
        <v>579</v>
      </c>
      <c r="S2107" t="s">
        <v>824</v>
      </c>
      <c r="T2107">
        <v>37</v>
      </c>
      <c r="U2107" s="26" t="str">
        <f>HYPERLINK("https://ictv.global/ictv/proposals/2021.010B.R.Binomial_names.zip","2021.010B.R.Binomial_names.zip")</f>
        <v>2021.010B.R.Binomial_names.zip</v>
      </c>
    </row>
    <row r="2108" spans="1:21">
      <c r="A2108">
        <v>2107</v>
      </c>
      <c r="B2108" s="27" t="s">
        <v>1449</v>
      </c>
      <c r="D2108" s="27" t="s">
        <v>1450</v>
      </c>
      <c r="F2108" s="27" t="s">
        <v>1453</v>
      </c>
      <c r="H2108" s="27" t="s">
        <v>1454</v>
      </c>
      <c r="L2108" s="27" t="s">
        <v>4517</v>
      </c>
      <c r="N2108" s="27" t="s">
        <v>617</v>
      </c>
      <c r="P2108" s="27" t="s">
        <v>4524</v>
      </c>
      <c r="Q2108" s="26" t="str">
        <f>HYPERLINK("https://ictv.global/taxonomy/taxondetails?taxnode_id=202509868&amp;ictv_id=ICTV202009868","ICTV202009868")</f>
        <v>ICTV202009868</v>
      </c>
      <c r="R2108" t="s">
        <v>579</v>
      </c>
      <c r="S2108" t="s">
        <v>824</v>
      </c>
      <c r="T2108">
        <v>37</v>
      </c>
      <c r="U2108" s="26" t="str">
        <f>HYPERLINK("https://ictv.global/ictv/proposals/2021.010B.R.Binomial_names.zip","2021.010B.R.Binomial_names.zip")</f>
        <v>2021.010B.R.Binomial_names.zip</v>
      </c>
    </row>
    <row r="2109" spans="1:21">
      <c r="A2109">
        <v>2108</v>
      </c>
      <c r="B2109" s="27" t="s">
        <v>1449</v>
      </c>
      <c r="D2109" s="27" t="s">
        <v>1450</v>
      </c>
      <c r="F2109" s="27" t="s">
        <v>1453</v>
      </c>
      <c r="H2109" s="27" t="s">
        <v>1454</v>
      </c>
      <c r="L2109" s="27" t="s">
        <v>4517</v>
      </c>
      <c r="N2109" s="27" t="s">
        <v>617</v>
      </c>
      <c r="P2109" s="27" t="s">
        <v>4525</v>
      </c>
      <c r="Q2109" s="26" t="str">
        <f>HYPERLINK("https://ictv.global/taxonomy/taxondetails?taxnode_id=202509866&amp;ictv_id=ICTV202009866","ICTV202009866")</f>
        <v>ICTV202009866</v>
      </c>
      <c r="R2109" t="s">
        <v>579</v>
      </c>
      <c r="S2109" t="s">
        <v>824</v>
      </c>
      <c r="T2109">
        <v>37</v>
      </c>
      <c r="U2109" s="26" t="str">
        <f>HYPERLINK("https://ictv.global/ictv/proposals/2021.010B.R.Binomial_names.zip","2021.010B.R.Binomial_names.zip")</f>
        <v>2021.010B.R.Binomial_names.zip</v>
      </c>
    </row>
    <row r="2110" spans="1:21">
      <c r="A2110">
        <v>2109</v>
      </c>
      <c r="B2110" s="27" t="s">
        <v>1449</v>
      </c>
      <c r="D2110" s="27" t="s">
        <v>1450</v>
      </c>
      <c r="F2110" s="27" t="s">
        <v>1453</v>
      </c>
      <c r="H2110" s="27" t="s">
        <v>1454</v>
      </c>
      <c r="L2110" s="27" t="s">
        <v>4517</v>
      </c>
      <c r="N2110" s="27" t="s">
        <v>617</v>
      </c>
      <c r="P2110" s="27" t="s">
        <v>4526</v>
      </c>
      <c r="Q2110" s="26" t="str">
        <f>HYPERLINK("https://ictv.global/taxonomy/taxondetails?taxnode_id=202509871&amp;ictv_id=ICTV202009871","ICTV202009871")</f>
        <v>ICTV202009871</v>
      </c>
      <c r="R2110" t="s">
        <v>579</v>
      </c>
      <c r="S2110" t="s">
        <v>824</v>
      </c>
      <c r="T2110">
        <v>37</v>
      </c>
      <c r="U2110" s="26" t="str">
        <f>HYPERLINK("https://ictv.global/ictv/proposals/2021.010B.R.Binomial_names.zip","2021.010B.R.Binomial_names.zip")</f>
        <v>2021.010B.R.Binomial_names.zip</v>
      </c>
    </row>
    <row r="2111" spans="1:21">
      <c r="A2111">
        <v>2110</v>
      </c>
      <c r="B2111" s="27" t="s">
        <v>1449</v>
      </c>
      <c r="D2111" s="27" t="s">
        <v>1450</v>
      </c>
      <c r="F2111" s="27" t="s">
        <v>1453</v>
      </c>
      <c r="H2111" s="27" t="s">
        <v>1454</v>
      </c>
      <c r="L2111" s="27" t="s">
        <v>4517</v>
      </c>
      <c r="N2111" s="27" t="s">
        <v>617</v>
      </c>
      <c r="P2111" s="27" t="s">
        <v>4527</v>
      </c>
      <c r="Q2111" s="26" t="str">
        <f>HYPERLINK("https://ictv.global/taxonomy/taxondetails?taxnode_id=202512987&amp;ictv_id=ICTV202112987","ICTV202112987")</f>
        <v>ICTV202112987</v>
      </c>
      <c r="R2111" t="s">
        <v>579</v>
      </c>
      <c r="S2111" t="s">
        <v>823</v>
      </c>
      <c r="T2111">
        <v>37</v>
      </c>
      <c r="U2111" s="26" t="str">
        <f>HYPERLINK("https://ictv.global/ictv/proposals/2021.015B.R.Casjensviridae.zip","2021.015B.R.Casjensviridae.zip")</f>
        <v>2021.015B.R.Casjensviridae.zip</v>
      </c>
    </row>
    <row r="2112" spans="1:21">
      <c r="A2112">
        <v>2111</v>
      </c>
      <c r="B2112" s="27" t="s">
        <v>1449</v>
      </c>
      <c r="D2112" s="27" t="s">
        <v>1450</v>
      </c>
      <c r="F2112" s="27" t="s">
        <v>1453</v>
      </c>
      <c r="H2112" s="27" t="s">
        <v>1454</v>
      </c>
      <c r="L2112" s="27" t="s">
        <v>4517</v>
      </c>
      <c r="N2112" s="27" t="s">
        <v>617</v>
      </c>
      <c r="P2112" s="27" t="s">
        <v>4528</v>
      </c>
      <c r="Q2112" s="26" t="str">
        <f>HYPERLINK("https://ictv.global/taxonomy/taxondetails?taxnode_id=202500925&amp;ictv_id=ICTV20140512","ICTV20140512")</f>
        <v>ICTV20140512</v>
      </c>
      <c r="R2112" t="s">
        <v>579</v>
      </c>
      <c r="S2112" t="s">
        <v>824</v>
      </c>
      <c r="T2112">
        <v>37</v>
      </c>
      <c r="U2112" s="26" t="str">
        <f>HYPERLINK("https://ictv.global/ictv/proposals/2021.010B.R.Binomial_names.zip","2021.010B.R.Binomial_names.zip")</f>
        <v>2021.010B.R.Binomial_names.zip</v>
      </c>
    </row>
    <row r="2113" spans="1:21">
      <c r="A2113">
        <v>2112</v>
      </c>
      <c r="B2113" s="27" t="s">
        <v>1449</v>
      </c>
      <c r="D2113" s="27" t="s">
        <v>1450</v>
      </c>
      <c r="F2113" s="27" t="s">
        <v>1453</v>
      </c>
      <c r="H2113" s="27" t="s">
        <v>1454</v>
      </c>
      <c r="L2113" s="27" t="s">
        <v>4517</v>
      </c>
      <c r="N2113" s="27" t="s">
        <v>617</v>
      </c>
      <c r="P2113" s="27" t="s">
        <v>4529</v>
      </c>
      <c r="Q2113" s="26" t="str">
        <f>HYPERLINK("https://ictv.global/taxonomy/taxondetails?taxnode_id=202500926&amp;ictv_id=ICTV20140511","ICTV20140511")</f>
        <v>ICTV20140511</v>
      </c>
      <c r="R2113" t="s">
        <v>579</v>
      </c>
      <c r="S2113" t="s">
        <v>824</v>
      </c>
      <c r="T2113">
        <v>37</v>
      </c>
      <c r="U2113" s="26" t="str">
        <f>HYPERLINK("https://ictv.global/ictv/proposals/2021.010B.R.Binomial_names.zip","2021.010B.R.Binomial_names.zip")</f>
        <v>2021.010B.R.Binomial_names.zip</v>
      </c>
    </row>
    <row r="2114" spans="1:21">
      <c r="A2114">
        <v>2113</v>
      </c>
      <c r="B2114" s="27" t="s">
        <v>1449</v>
      </c>
      <c r="D2114" s="27" t="s">
        <v>1450</v>
      </c>
      <c r="F2114" s="27" t="s">
        <v>1453</v>
      </c>
      <c r="H2114" s="27" t="s">
        <v>1454</v>
      </c>
      <c r="L2114" s="27" t="s">
        <v>4517</v>
      </c>
      <c r="N2114" s="27" t="s">
        <v>617</v>
      </c>
      <c r="P2114" s="27" t="s">
        <v>4530</v>
      </c>
      <c r="Q2114" s="26" t="str">
        <f>HYPERLINK("https://ictv.global/taxonomy/taxondetails?taxnode_id=202500927&amp;ictv_id=ICTV20140510","ICTV20140510")</f>
        <v>ICTV20140510</v>
      </c>
      <c r="R2114" t="s">
        <v>579</v>
      </c>
      <c r="S2114" t="s">
        <v>824</v>
      </c>
      <c r="T2114">
        <v>37</v>
      </c>
      <c r="U2114" s="26" t="str">
        <f>HYPERLINK("https://ictv.global/ictv/proposals/2021.010B.R.Binomial_names.zip","2021.010B.R.Binomial_names.zip")</f>
        <v>2021.010B.R.Binomial_names.zip</v>
      </c>
    </row>
    <row r="2115" spans="1:21">
      <c r="A2115">
        <v>2114</v>
      </c>
      <c r="B2115" s="27" t="s">
        <v>1449</v>
      </c>
      <c r="D2115" s="27" t="s">
        <v>1450</v>
      </c>
      <c r="F2115" s="27" t="s">
        <v>1453</v>
      </c>
      <c r="H2115" s="27" t="s">
        <v>1454</v>
      </c>
      <c r="L2115" s="27" t="s">
        <v>4517</v>
      </c>
      <c r="N2115" s="27" t="s">
        <v>617</v>
      </c>
      <c r="P2115" s="27" t="s">
        <v>4531</v>
      </c>
      <c r="Q2115" s="26" t="str">
        <f>HYPERLINK("https://ictv.global/taxonomy/taxondetails?taxnode_id=202509869&amp;ictv_id=ICTV202009869","ICTV202009869")</f>
        <v>ICTV202009869</v>
      </c>
      <c r="R2115" t="s">
        <v>579</v>
      </c>
      <c r="S2115" t="s">
        <v>824</v>
      </c>
      <c r="T2115">
        <v>37</v>
      </c>
      <c r="U2115" s="26" t="str">
        <f>HYPERLINK("https://ictv.global/ictv/proposals/2021.010B.R.Binomial_names.zip","2021.010B.R.Binomial_names.zip")</f>
        <v>2021.010B.R.Binomial_names.zip</v>
      </c>
    </row>
    <row r="2116" spans="1:21">
      <c r="A2116">
        <v>2115</v>
      </c>
      <c r="B2116" s="27" t="s">
        <v>1449</v>
      </c>
      <c r="D2116" s="27" t="s">
        <v>1450</v>
      </c>
      <c r="F2116" s="27" t="s">
        <v>1453</v>
      </c>
      <c r="H2116" s="27" t="s">
        <v>1454</v>
      </c>
      <c r="L2116" s="27" t="s">
        <v>4517</v>
      </c>
      <c r="N2116" s="27" t="s">
        <v>617</v>
      </c>
      <c r="P2116" s="27" t="s">
        <v>4532</v>
      </c>
      <c r="Q2116" s="26" t="str">
        <f>HYPERLINK("https://ictv.global/taxonomy/taxondetails?taxnode_id=202512986&amp;ictv_id=ICTV202112986","ICTV202112986")</f>
        <v>ICTV202112986</v>
      </c>
      <c r="R2116" t="s">
        <v>579</v>
      </c>
      <c r="S2116" t="s">
        <v>823</v>
      </c>
      <c r="T2116">
        <v>37</v>
      </c>
      <c r="U2116" s="26" t="str">
        <f>HYPERLINK("https://ictv.global/ictv/proposals/2021.015B.R.Casjensviridae.zip","2021.015B.R.Casjensviridae.zip")</f>
        <v>2021.015B.R.Casjensviridae.zip</v>
      </c>
    </row>
    <row r="2117" spans="1:21">
      <c r="A2117">
        <v>2116</v>
      </c>
      <c r="B2117" s="27" t="s">
        <v>1449</v>
      </c>
      <c r="D2117" s="27" t="s">
        <v>1450</v>
      </c>
      <c r="F2117" s="27" t="s">
        <v>1453</v>
      </c>
      <c r="H2117" s="27" t="s">
        <v>1454</v>
      </c>
      <c r="L2117" s="27" t="s">
        <v>4517</v>
      </c>
      <c r="N2117" s="27" t="s">
        <v>617</v>
      </c>
      <c r="P2117" s="27" t="s">
        <v>4533</v>
      </c>
      <c r="Q2117" s="26" t="str">
        <f>HYPERLINK("https://ictv.global/taxonomy/taxondetails?taxnode_id=202512988&amp;ictv_id=ICTV202112988","ICTV202112988")</f>
        <v>ICTV202112988</v>
      </c>
      <c r="R2117" t="s">
        <v>579</v>
      </c>
      <c r="S2117" t="s">
        <v>823</v>
      </c>
      <c r="T2117">
        <v>37</v>
      </c>
      <c r="U2117" s="26" t="str">
        <f>HYPERLINK("https://ictv.global/ictv/proposals/2021.015B.R.Casjensviridae.zip","2021.015B.R.Casjensviridae.zip")</f>
        <v>2021.015B.R.Casjensviridae.zip</v>
      </c>
    </row>
    <row r="2118" spans="1:21">
      <c r="A2118">
        <v>2117</v>
      </c>
      <c r="B2118" s="27" t="s">
        <v>1449</v>
      </c>
      <c r="D2118" s="27" t="s">
        <v>1450</v>
      </c>
      <c r="F2118" s="27" t="s">
        <v>1453</v>
      </c>
      <c r="H2118" s="27" t="s">
        <v>1454</v>
      </c>
      <c r="L2118" s="27" t="s">
        <v>4517</v>
      </c>
      <c r="N2118" s="27" t="s">
        <v>617</v>
      </c>
      <c r="P2118" s="27" t="s">
        <v>4534</v>
      </c>
      <c r="Q2118" s="26" t="str">
        <f>HYPERLINK("https://ictv.global/taxonomy/taxondetails?taxnode_id=202509873&amp;ictv_id=ICTV202009873","ICTV202009873")</f>
        <v>ICTV202009873</v>
      </c>
      <c r="R2118" t="s">
        <v>579</v>
      </c>
      <c r="S2118" t="s">
        <v>824</v>
      </c>
      <c r="T2118">
        <v>37</v>
      </c>
      <c r="U2118" s="26" t="str">
        <f>HYPERLINK("https://ictv.global/ictv/proposals/2021.010B.R.Binomial_names.zip","2021.010B.R.Binomial_names.zip")</f>
        <v>2021.010B.R.Binomial_names.zip</v>
      </c>
    </row>
    <row r="2119" spans="1:21">
      <c r="A2119">
        <v>2118</v>
      </c>
      <c r="B2119" s="27" t="s">
        <v>1449</v>
      </c>
      <c r="D2119" s="27" t="s">
        <v>1450</v>
      </c>
      <c r="F2119" s="27" t="s">
        <v>1453</v>
      </c>
      <c r="H2119" s="27" t="s">
        <v>1454</v>
      </c>
      <c r="L2119" s="27" t="s">
        <v>4517</v>
      </c>
      <c r="N2119" s="27" t="s">
        <v>617</v>
      </c>
      <c r="P2119" s="27" t="s">
        <v>4535</v>
      </c>
      <c r="Q2119" s="26" t="str">
        <f>HYPERLINK("https://ictv.global/taxonomy/taxondetails?taxnode_id=202500928&amp;ictv_id=ICTV20140509","ICTV20140509")</f>
        <v>ICTV20140509</v>
      </c>
      <c r="R2119" t="s">
        <v>579</v>
      </c>
      <c r="S2119" t="s">
        <v>824</v>
      </c>
      <c r="T2119">
        <v>37</v>
      </c>
      <c r="U2119" s="26" t="str">
        <f>HYPERLINK("https://ictv.global/ictv/proposals/2021.010B.R.Binomial_names.zip","2021.010B.R.Binomial_names.zip")</f>
        <v>2021.010B.R.Binomial_names.zip</v>
      </c>
    </row>
    <row r="2120" spans="1:21">
      <c r="A2120">
        <v>2119</v>
      </c>
      <c r="B2120" s="27" t="s">
        <v>1449</v>
      </c>
      <c r="D2120" s="27" t="s">
        <v>1450</v>
      </c>
      <c r="F2120" s="27" t="s">
        <v>1453</v>
      </c>
      <c r="H2120" s="27" t="s">
        <v>1454</v>
      </c>
      <c r="L2120" s="27" t="s">
        <v>4517</v>
      </c>
      <c r="N2120" s="27" t="s">
        <v>617</v>
      </c>
      <c r="P2120" s="27" t="s">
        <v>4536</v>
      </c>
      <c r="Q2120" s="26" t="str">
        <f>HYPERLINK("https://ictv.global/taxonomy/taxondetails?taxnode_id=202509867&amp;ictv_id=ICTV202009867","ICTV202009867")</f>
        <v>ICTV202009867</v>
      </c>
      <c r="R2120" t="s">
        <v>579</v>
      </c>
      <c r="S2120" t="s">
        <v>824</v>
      </c>
      <c r="T2120">
        <v>37</v>
      </c>
      <c r="U2120" s="26" t="str">
        <f>HYPERLINK("https://ictv.global/ictv/proposals/2021.010B.R.Binomial_names.zip","2021.010B.R.Binomial_names.zip")</f>
        <v>2021.010B.R.Binomial_names.zip</v>
      </c>
    </row>
    <row r="2121" spans="1:21">
      <c r="A2121">
        <v>2120</v>
      </c>
      <c r="B2121" s="27" t="s">
        <v>1449</v>
      </c>
      <c r="D2121" s="27" t="s">
        <v>1450</v>
      </c>
      <c r="F2121" s="27" t="s">
        <v>1453</v>
      </c>
      <c r="H2121" s="27" t="s">
        <v>1454</v>
      </c>
      <c r="L2121" s="27" t="s">
        <v>4517</v>
      </c>
      <c r="N2121" s="27" t="s">
        <v>617</v>
      </c>
      <c r="P2121" s="27" t="s">
        <v>4537</v>
      </c>
      <c r="Q2121" s="26" t="str">
        <f>HYPERLINK("https://ictv.global/taxonomy/taxondetails?taxnode_id=202509874&amp;ictv_id=ICTV202009874","ICTV202009874")</f>
        <v>ICTV202009874</v>
      </c>
      <c r="R2121" t="s">
        <v>579</v>
      </c>
      <c r="S2121" t="s">
        <v>824</v>
      </c>
      <c r="T2121">
        <v>37</v>
      </c>
      <c r="U2121" s="26" t="str">
        <f>HYPERLINK("https://ictv.global/ictv/proposals/2021.010B.R.Binomial_names.zip","2021.010B.R.Binomial_names.zip")</f>
        <v>2021.010B.R.Binomial_names.zip</v>
      </c>
    </row>
    <row r="2122" spans="1:21">
      <c r="A2122">
        <v>2121</v>
      </c>
      <c r="B2122" s="27" t="s">
        <v>1449</v>
      </c>
      <c r="D2122" s="27" t="s">
        <v>1450</v>
      </c>
      <c r="F2122" s="27" t="s">
        <v>1453</v>
      </c>
      <c r="H2122" s="27" t="s">
        <v>1454</v>
      </c>
      <c r="L2122" s="27" t="s">
        <v>4517</v>
      </c>
      <c r="N2122" s="27" t="s">
        <v>4538</v>
      </c>
      <c r="P2122" s="27" t="s">
        <v>4539</v>
      </c>
      <c r="Q2122" s="26" t="str">
        <f>HYPERLINK("https://ictv.global/taxonomy/taxondetails?taxnode_id=202513023&amp;ictv_id=ICTV202113023","ICTV202113023")</f>
        <v>ICTV202113023</v>
      </c>
      <c r="R2122" t="s">
        <v>579</v>
      </c>
      <c r="S2122" t="s">
        <v>823</v>
      </c>
      <c r="T2122">
        <v>37</v>
      </c>
      <c r="U2122" s="26" t="str">
        <f t="shared" ref="U2122:U2128" si="72">HYPERLINK("https://ictv.global/ictv/proposals/2021.015B.R.Casjensviridae.zip","2021.015B.R.Casjensviridae.zip")</f>
        <v>2021.015B.R.Casjensviridae.zip</v>
      </c>
    </row>
    <row r="2123" spans="1:21">
      <c r="A2123">
        <v>2122</v>
      </c>
      <c r="B2123" s="27" t="s">
        <v>1449</v>
      </c>
      <c r="D2123" s="27" t="s">
        <v>1450</v>
      </c>
      <c r="F2123" s="27" t="s">
        <v>1453</v>
      </c>
      <c r="H2123" s="27" t="s">
        <v>1454</v>
      </c>
      <c r="L2123" s="27" t="s">
        <v>4517</v>
      </c>
      <c r="N2123" s="27" t="s">
        <v>4540</v>
      </c>
      <c r="P2123" s="27" t="s">
        <v>4541</v>
      </c>
      <c r="Q2123" s="26" t="str">
        <f>HYPERLINK("https://ictv.global/taxonomy/taxondetails?taxnode_id=202513033&amp;ictv_id=ICTV202113033","ICTV202113033")</f>
        <v>ICTV202113033</v>
      </c>
      <c r="R2123" t="s">
        <v>579</v>
      </c>
      <c r="S2123" t="s">
        <v>823</v>
      </c>
      <c r="T2123">
        <v>37</v>
      </c>
      <c r="U2123" s="26" t="str">
        <f t="shared" si="72"/>
        <v>2021.015B.R.Casjensviridae.zip</v>
      </c>
    </row>
    <row r="2124" spans="1:21">
      <c r="A2124">
        <v>2123</v>
      </c>
      <c r="B2124" s="27" t="s">
        <v>1449</v>
      </c>
      <c r="D2124" s="27" t="s">
        <v>1450</v>
      </c>
      <c r="F2124" s="27" t="s">
        <v>1453</v>
      </c>
      <c r="H2124" s="27" t="s">
        <v>1454</v>
      </c>
      <c r="L2124" s="27" t="s">
        <v>4517</v>
      </c>
      <c r="N2124" s="27" t="s">
        <v>4542</v>
      </c>
      <c r="P2124" s="27" t="s">
        <v>4543</v>
      </c>
      <c r="Q2124" s="26" t="str">
        <f>HYPERLINK("https://ictv.global/taxonomy/taxondetails?taxnode_id=202513027&amp;ictv_id=ICTV202113027","ICTV202113027")</f>
        <v>ICTV202113027</v>
      </c>
      <c r="R2124" t="s">
        <v>579</v>
      </c>
      <c r="S2124" t="s">
        <v>823</v>
      </c>
      <c r="T2124">
        <v>37</v>
      </c>
      <c r="U2124" s="26" t="str">
        <f t="shared" si="72"/>
        <v>2021.015B.R.Casjensviridae.zip</v>
      </c>
    </row>
    <row r="2125" spans="1:21">
      <c r="A2125">
        <v>2124</v>
      </c>
      <c r="B2125" s="27" t="s">
        <v>1449</v>
      </c>
      <c r="D2125" s="27" t="s">
        <v>1450</v>
      </c>
      <c r="F2125" s="27" t="s">
        <v>1453</v>
      </c>
      <c r="H2125" s="27" t="s">
        <v>1454</v>
      </c>
      <c r="L2125" s="27" t="s">
        <v>4517</v>
      </c>
      <c r="N2125" s="27" t="s">
        <v>4544</v>
      </c>
      <c r="P2125" s="27" t="s">
        <v>4545</v>
      </c>
      <c r="Q2125" s="26" t="str">
        <f>HYPERLINK("https://ictv.global/taxonomy/taxondetails?taxnode_id=202512996&amp;ictv_id=ICTV202112996","ICTV202112996")</f>
        <v>ICTV202112996</v>
      </c>
      <c r="R2125" t="s">
        <v>579</v>
      </c>
      <c r="S2125" t="s">
        <v>823</v>
      </c>
      <c r="T2125">
        <v>37</v>
      </c>
      <c r="U2125" s="26" t="str">
        <f t="shared" si="72"/>
        <v>2021.015B.R.Casjensviridae.zip</v>
      </c>
    </row>
    <row r="2126" spans="1:21">
      <c r="A2126">
        <v>2125</v>
      </c>
      <c r="B2126" s="27" t="s">
        <v>1449</v>
      </c>
      <c r="D2126" s="27" t="s">
        <v>1450</v>
      </c>
      <c r="F2126" s="27" t="s">
        <v>1453</v>
      </c>
      <c r="H2126" s="27" t="s">
        <v>1454</v>
      </c>
      <c r="L2126" s="27" t="s">
        <v>4517</v>
      </c>
      <c r="N2126" s="27" t="s">
        <v>4546</v>
      </c>
      <c r="P2126" s="27" t="s">
        <v>4547</v>
      </c>
      <c r="Q2126" s="26" t="str">
        <f>HYPERLINK("https://ictv.global/taxonomy/taxondetails?taxnode_id=202513025&amp;ictv_id=ICTV202113025","ICTV202113025")</f>
        <v>ICTV202113025</v>
      </c>
      <c r="R2126" t="s">
        <v>579</v>
      </c>
      <c r="S2126" t="s">
        <v>823</v>
      </c>
      <c r="T2126">
        <v>37</v>
      </c>
      <c r="U2126" s="26" t="str">
        <f t="shared" si="72"/>
        <v>2021.015B.R.Casjensviridae.zip</v>
      </c>
    </row>
    <row r="2127" spans="1:21">
      <c r="A2127">
        <v>2126</v>
      </c>
      <c r="B2127" s="27" t="s">
        <v>1449</v>
      </c>
      <c r="D2127" s="27" t="s">
        <v>1450</v>
      </c>
      <c r="F2127" s="27" t="s">
        <v>1453</v>
      </c>
      <c r="H2127" s="27" t="s">
        <v>1454</v>
      </c>
      <c r="L2127" s="27" t="s">
        <v>4517</v>
      </c>
      <c r="N2127" s="27" t="s">
        <v>4548</v>
      </c>
      <c r="P2127" s="27" t="s">
        <v>4549</v>
      </c>
      <c r="Q2127" s="26" t="str">
        <f>HYPERLINK("https://ictv.global/taxonomy/taxondetails?taxnode_id=202513015&amp;ictv_id=ICTV202113015","ICTV202113015")</f>
        <v>ICTV202113015</v>
      </c>
      <c r="R2127" t="s">
        <v>579</v>
      </c>
      <c r="S2127" t="s">
        <v>823</v>
      </c>
      <c r="T2127">
        <v>37</v>
      </c>
      <c r="U2127" s="26" t="str">
        <f t="shared" si="72"/>
        <v>2021.015B.R.Casjensviridae.zip</v>
      </c>
    </row>
    <row r="2128" spans="1:21">
      <c r="A2128">
        <v>2127</v>
      </c>
      <c r="B2128" s="27" t="s">
        <v>1449</v>
      </c>
      <c r="D2128" s="27" t="s">
        <v>1450</v>
      </c>
      <c r="F2128" s="27" t="s">
        <v>1453</v>
      </c>
      <c r="H2128" s="27" t="s">
        <v>1454</v>
      </c>
      <c r="L2128" s="27" t="s">
        <v>4517</v>
      </c>
      <c r="N2128" s="27" t="s">
        <v>4550</v>
      </c>
      <c r="P2128" s="27" t="s">
        <v>4551</v>
      </c>
      <c r="Q2128" s="26" t="str">
        <f>HYPERLINK("https://ictv.global/taxonomy/taxondetails?taxnode_id=202513005&amp;ictv_id=ICTV202113005","ICTV202113005")</f>
        <v>ICTV202113005</v>
      </c>
      <c r="R2128" t="s">
        <v>579</v>
      </c>
      <c r="S2128" t="s">
        <v>823</v>
      </c>
      <c r="T2128">
        <v>37</v>
      </c>
      <c r="U2128" s="26" t="str">
        <f t="shared" si="72"/>
        <v>2021.015B.R.Casjensviridae.zip</v>
      </c>
    </row>
    <row r="2129" spans="1:21">
      <c r="A2129">
        <v>2128</v>
      </c>
      <c r="B2129" s="27" t="s">
        <v>1449</v>
      </c>
      <c r="D2129" s="27" t="s">
        <v>1450</v>
      </c>
      <c r="F2129" s="27" t="s">
        <v>1453</v>
      </c>
      <c r="H2129" s="27" t="s">
        <v>1454</v>
      </c>
      <c r="L2129" s="27" t="s">
        <v>4517</v>
      </c>
      <c r="N2129" s="27" t="s">
        <v>4552</v>
      </c>
      <c r="P2129" s="27" t="s">
        <v>19481</v>
      </c>
      <c r="Q2129" s="26" t="str">
        <f>HYPERLINK("https://ictv.global/taxonomy/taxondetails?taxnode_id=202513009&amp;ictv_id=ICTV202113009","ICTV202113009")</f>
        <v>ICTV202113009</v>
      </c>
      <c r="R2129" t="s">
        <v>579</v>
      </c>
      <c r="S2129" t="s">
        <v>824</v>
      </c>
      <c r="T2129">
        <v>40</v>
      </c>
      <c r="U2129" s="26" t="str">
        <f>HYPERLINK("https://ictv.global/ictv/proposals/2024.036B.Caudoviricetes_Faserviricetes_Name_Corrections.zip","2024.036B.Caudoviricetes_Faserviricetes_Name_Corrections.zip")</f>
        <v>2024.036B.Caudoviricetes_Faserviricetes_Name_Corrections.zip</v>
      </c>
    </row>
    <row r="2130" spans="1:21">
      <c r="A2130">
        <v>2129</v>
      </c>
      <c r="B2130" s="27" t="s">
        <v>1449</v>
      </c>
      <c r="D2130" s="27" t="s">
        <v>1450</v>
      </c>
      <c r="F2130" s="27" t="s">
        <v>1453</v>
      </c>
      <c r="H2130" s="27" t="s">
        <v>1454</v>
      </c>
      <c r="L2130" s="27" t="s">
        <v>4517</v>
      </c>
      <c r="N2130" s="27" t="s">
        <v>4552</v>
      </c>
      <c r="P2130" s="27" t="s">
        <v>19482</v>
      </c>
      <c r="Q2130" s="26" t="str">
        <f>HYPERLINK("https://ictv.global/taxonomy/taxondetails?taxnode_id=202513007&amp;ictv_id=ICTV202113007","ICTV202113007")</f>
        <v>ICTV202113007</v>
      </c>
      <c r="R2130" t="s">
        <v>579</v>
      </c>
      <c r="S2130" t="s">
        <v>824</v>
      </c>
      <c r="T2130">
        <v>40</v>
      </c>
      <c r="U2130" s="26" t="str">
        <f>HYPERLINK("https://ictv.global/ictv/proposals/2024.036B.Caudoviricetes_Faserviricetes_Name_Corrections.zip","2024.036B.Caudoviricetes_Faserviricetes_Name_Corrections.zip")</f>
        <v>2024.036B.Caudoviricetes_Faserviricetes_Name_Corrections.zip</v>
      </c>
    </row>
    <row r="2131" spans="1:21">
      <c r="A2131">
        <v>2130</v>
      </c>
      <c r="B2131" s="27" t="s">
        <v>1449</v>
      </c>
      <c r="D2131" s="27" t="s">
        <v>1450</v>
      </c>
      <c r="F2131" s="27" t="s">
        <v>1453</v>
      </c>
      <c r="H2131" s="27" t="s">
        <v>1454</v>
      </c>
      <c r="L2131" s="27" t="s">
        <v>4517</v>
      </c>
      <c r="N2131" s="27" t="s">
        <v>4552</v>
      </c>
      <c r="P2131" s="27" t="s">
        <v>19483</v>
      </c>
      <c r="Q2131" s="26" t="str">
        <f>HYPERLINK("https://ictv.global/taxonomy/taxondetails?taxnode_id=202513008&amp;ictv_id=ICTV202113008","ICTV202113008")</f>
        <v>ICTV202113008</v>
      </c>
      <c r="R2131" t="s">
        <v>579</v>
      </c>
      <c r="S2131" t="s">
        <v>824</v>
      </c>
      <c r="T2131">
        <v>40</v>
      </c>
      <c r="U2131" s="26" t="str">
        <f>HYPERLINK("https://ictv.global/ictv/proposals/2024.036B.Caudoviricetes_Faserviricetes_Name_Corrections.zip","2024.036B.Caudoviricetes_Faserviricetes_Name_Corrections.zip")</f>
        <v>2024.036B.Caudoviricetes_Faserviricetes_Name_Corrections.zip</v>
      </c>
    </row>
    <row r="2132" spans="1:21">
      <c r="A2132">
        <v>2131</v>
      </c>
      <c r="B2132" s="27" t="s">
        <v>1449</v>
      </c>
      <c r="D2132" s="27" t="s">
        <v>1450</v>
      </c>
      <c r="F2132" s="27" t="s">
        <v>1453</v>
      </c>
      <c r="H2132" s="27" t="s">
        <v>1454</v>
      </c>
      <c r="L2132" s="27" t="s">
        <v>4517</v>
      </c>
      <c r="N2132" s="27" t="s">
        <v>4553</v>
      </c>
      <c r="P2132" s="27" t="s">
        <v>4554</v>
      </c>
      <c r="Q2132" s="26" t="str">
        <f>HYPERLINK("https://ictv.global/taxonomy/taxondetails?taxnode_id=202513029&amp;ictv_id=ICTV202113029","ICTV202113029")</f>
        <v>ICTV202113029</v>
      </c>
      <c r="R2132" t="s">
        <v>579</v>
      </c>
      <c r="S2132" t="s">
        <v>823</v>
      </c>
      <c r="T2132">
        <v>37</v>
      </c>
      <c r="U2132" s="26" t="str">
        <f>HYPERLINK("https://ictv.global/ictv/proposals/2021.015B.R.Casjensviridae.zip","2021.015B.R.Casjensviridae.zip")</f>
        <v>2021.015B.R.Casjensviridae.zip</v>
      </c>
    </row>
    <row r="2133" spans="1:21">
      <c r="A2133">
        <v>2132</v>
      </c>
      <c r="B2133" s="27" t="s">
        <v>1449</v>
      </c>
      <c r="D2133" s="27" t="s">
        <v>1450</v>
      </c>
      <c r="F2133" s="27" t="s">
        <v>1453</v>
      </c>
      <c r="H2133" s="27" t="s">
        <v>1454</v>
      </c>
      <c r="L2133" s="27" t="s">
        <v>4517</v>
      </c>
      <c r="N2133" s="27" t="s">
        <v>1247</v>
      </c>
      <c r="P2133" s="27" t="s">
        <v>19484</v>
      </c>
      <c r="Q2133" s="26" t="str">
        <f>HYPERLINK("https://ictv.global/taxonomy/taxondetails?taxnode_id=202506776&amp;ictv_id=ICTV201856776","ICTV201856776")</f>
        <v>ICTV201856776</v>
      </c>
      <c r="R2133" t="s">
        <v>579</v>
      </c>
      <c r="S2133" t="s">
        <v>824</v>
      </c>
      <c r="T2133">
        <v>40</v>
      </c>
      <c r="U2133" s="26" t="str">
        <f>HYPERLINK("https://ictv.global/ictv/proposals/2024.036B.Caudoviricetes_Faserviricetes_Name_Corrections.zip","2024.036B.Caudoviricetes_Faserviricetes_Name_Corrections.zip")</f>
        <v>2024.036B.Caudoviricetes_Faserviricetes_Name_Corrections.zip</v>
      </c>
    </row>
    <row r="2134" spans="1:21">
      <c r="A2134">
        <v>2133</v>
      </c>
      <c r="B2134" s="27" t="s">
        <v>1449</v>
      </c>
      <c r="D2134" s="27" t="s">
        <v>1450</v>
      </c>
      <c r="F2134" s="27" t="s">
        <v>1453</v>
      </c>
      <c r="H2134" s="27" t="s">
        <v>1454</v>
      </c>
      <c r="L2134" s="27" t="s">
        <v>4517</v>
      </c>
      <c r="N2134" s="27" t="s">
        <v>4555</v>
      </c>
      <c r="P2134" s="27" t="s">
        <v>4556</v>
      </c>
      <c r="Q2134" s="26" t="str">
        <f>HYPERLINK("https://ictv.global/taxonomy/taxondetails?taxnode_id=202513031&amp;ictv_id=ICTV202113031","ICTV202113031")</f>
        <v>ICTV202113031</v>
      </c>
      <c r="R2134" t="s">
        <v>579</v>
      </c>
      <c r="S2134" t="s">
        <v>823</v>
      </c>
      <c r="T2134">
        <v>37</v>
      </c>
      <c r="U2134" s="26" t="str">
        <f t="shared" ref="U2134:U2141" si="73">HYPERLINK("https://ictv.global/ictv/proposals/2021.015B.R.Casjensviridae.zip","2021.015B.R.Casjensviridae.zip")</f>
        <v>2021.015B.R.Casjensviridae.zip</v>
      </c>
    </row>
    <row r="2135" spans="1:21">
      <c r="A2135">
        <v>2134</v>
      </c>
      <c r="B2135" s="27" t="s">
        <v>1449</v>
      </c>
      <c r="D2135" s="27" t="s">
        <v>1450</v>
      </c>
      <c r="F2135" s="27" t="s">
        <v>1453</v>
      </c>
      <c r="H2135" s="27" t="s">
        <v>1454</v>
      </c>
      <c r="L2135" s="27" t="s">
        <v>4517</v>
      </c>
      <c r="N2135" s="27" t="s">
        <v>4557</v>
      </c>
      <c r="P2135" s="27" t="s">
        <v>4558</v>
      </c>
      <c r="Q2135" s="26" t="str">
        <f>HYPERLINK("https://ictv.global/taxonomy/taxondetails?taxnode_id=202513000&amp;ictv_id=ICTV202113000","ICTV202113000")</f>
        <v>ICTV202113000</v>
      </c>
      <c r="R2135" t="s">
        <v>579</v>
      </c>
      <c r="S2135" t="s">
        <v>823</v>
      </c>
      <c r="T2135">
        <v>37</v>
      </c>
      <c r="U2135" s="26" t="str">
        <f t="shared" si="73"/>
        <v>2021.015B.R.Casjensviridae.zip</v>
      </c>
    </row>
    <row r="2136" spans="1:21">
      <c r="A2136">
        <v>2135</v>
      </c>
      <c r="B2136" s="27" t="s">
        <v>1449</v>
      </c>
      <c r="D2136" s="27" t="s">
        <v>1450</v>
      </c>
      <c r="F2136" s="27" t="s">
        <v>1453</v>
      </c>
      <c r="H2136" s="27" t="s">
        <v>1454</v>
      </c>
      <c r="L2136" s="27" t="s">
        <v>4517</v>
      </c>
      <c r="N2136" s="27" t="s">
        <v>4557</v>
      </c>
      <c r="P2136" s="27" t="s">
        <v>4559</v>
      </c>
      <c r="Q2136" s="26" t="str">
        <f>HYPERLINK("https://ictv.global/taxonomy/taxondetails?taxnode_id=202513001&amp;ictv_id=ICTV202113001","ICTV202113001")</f>
        <v>ICTV202113001</v>
      </c>
      <c r="R2136" t="s">
        <v>579</v>
      </c>
      <c r="S2136" t="s">
        <v>823</v>
      </c>
      <c r="T2136">
        <v>37</v>
      </c>
      <c r="U2136" s="26" t="str">
        <f t="shared" si="73"/>
        <v>2021.015B.R.Casjensviridae.zip</v>
      </c>
    </row>
    <row r="2137" spans="1:21">
      <c r="A2137">
        <v>2136</v>
      </c>
      <c r="B2137" s="27" t="s">
        <v>1449</v>
      </c>
      <c r="D2137" s="27" t="s">
        <v>1450</v>
      </c>
      <c r="F2137" s="27" t="s">
        <v>1453</v>
      </c>
      <c r="H2137" s="27" t="s">
        <v>1454</v>
      </c>
      <c r="L2137" s="27" t="s">
        <v>4517</v>
      </c>
      <c r="N2137" s="27" t="s">
        <v>4560</v>
      </c>
      <c r="P2137" s="27" t="s">
        <v>4561</v>
      </c>
      <c r="Q2137" s="26" t="str">
        <f>HYPERLINK("https://ictv.global/taxonomy/taxondetails?taxnode_id=202513020&amp;ictv_id=ICTV202113020","ICTV202113020")</f>
        <v>ICTV202113020</v>
      </c>
      <c r="R2137" t="s">
        <v>579</v>
      </c>
      <c r="S2137" t="s">
        <v>823</v>
      </c>
      <c r="T2137">
        <v>37</v>
      </c>
      <c r="U2137" s="26" t="str">
        <f t="shared" si="73"/>
        <v>2021.015B.R.Casjensviridae.zip</v>
      </c>
    </row>
    <row r="2138" spans="1:21">
      <c r="A2138">
        <v>2137</v>
      </c>
      <c r="B2138" s="27" t="s">
        <v>1449</v>
      </c>
      <c r="D2138" s="27" t="s">
        <v>1450</v>
      </c>
      <c r="F2138" s="27" t="s">
        <v>1453</v>
      </c>
      <c r="H2138" s="27" t="s">
        <v>1454</v>
      </c>
      <c r="L2138" s="27" t="s">
        <v>4517</v>
      </c>
      <c r="N2138" s="27" t="s">
        <v>4560</v>
      </c>
      <c r="P2138" s="27" t="s">
        <v>4562</v>
      </c>
      <c r="Q2138" s="26" t="str">
        <f>HYPERLINK("https://ictv.global/taxonomy/taxondetails?taxnode_id=202513019&amp;ictv_id=ICTV202113019","ICTV202113019")</f>
        <v>ICTV202113019</v>
      </c>
      <c r="R2138" t="s">
        <v>579</v>
      </c>
      <c r="S2138" t="s">
        <v>823</v>
      </c>
      <c r="T2138">
        <v>37</v>
      </c>
      <c r="U2138" s="26" t="str">
        <f t="shared" si="73"/>
        <v>2021.015B.R.Casjensviridae.zip</v>
      </c>
    </row>
    <row r="2139" spans="1:21">
      <c r="A2139">
        <v>2138</v>
      </c>
      <c r="B2139" s="27" t="s">
        <v>1449</v>
      </c>
      <c r="D2139" s="27" t="s">
        <v>1450</v>
      </c>
      <c r="F2139" s="27" t="s">
        <v>1453</v>
      </c>
      <c r="H2139" s="27" t="s">
        <v>1454</v>
      </c>
      <c r="L2139" s="27" t="s">
        <v>4517</v>
      </c>
      <c r="N2139" s="27" t="s">
        <v>4560</v>
      </c>
      <c r="P2139" s="27" t="s">
        <v>4563</v>
      </c>
      <c r="Q2139" s="26" t="str">
        <f>HYPERLINK("https://ictv.global/taxonomy/taxondetails?taxnode_id=202513021&amp;ictv_id=ICTV202113021","ICTV202113021")</f>
        <v>ICTV202113021</v>
      </c>
      <c r="R2139" t="s">
        <v>579</v>
      </c>
      <c r="S2139" t="s">
        <v>823</v>
      </c>
      <c r="T2139">
        <v>37</v>
      </c>
      <c r="U2139" s="26" t="str">
        <f t="shared" si="73"/>
        <v>2021.015B.R.Casjensviridae.zip</v>
      </c>
    </row>
    <row r="2140" spans="1:21">
      <c r="A2140">
        <v>2139</v>
      </c>
      <c r="B2140" s="27" t="s">
        <v>1449</v>
      </c>
      <c r="D2140" s="27" t="s">
        <v>1450</v>
      </c>
      <c r="F2140" s="27" t="s">
        <v>1453</v>
      </c>
      <c r="H2140" s="27" t="s">
        <v>1454</v>
      </c>
      <c r="L2140" s="27" t="s">
        <v>4517</v>
      </c>
      <c r="N2140" s="27" t="s">
        <v>4564</v>
      </c>
      <c r="P2140" s="27" t="s">
        <v>4565</v>
      </c>
      <c r="Q2140" s="26" t="str">
        <f>HYPERLINK("https://ictv.global/taxonomy/taxondetails?taxnode_id=202512994&amp;ictv_id=ICTV202112994","ICTV202112994")</f>
        <v>ICTV202112994</v>
      </c>
      <c r="R2140" t="s">
        <v>579</v>
      </c>
      <c r="S2140" t="s">
        <v>823</v>
      </c>
      <c r="T2140">
        <v>37</v>
      </c>
      <c r="U2140" s="26" t="str">
        <f t="shared" si="73"/>
        <v>2021.015B.R.Casjensviridae.zip</v>
      </c>
    </row>
    <row r="2141" spans="1:21">
      <c r="A2141">
        <v>2140</v>
      </c>
      <c r="B2141" s="27" t="s">
        <v>1449</v>
      </c>
      <c r="D2141" s="27" t="s">
        <v>1450</v>
      </c>
      <c r="F2141" s="27" t="s">
        <v>1453</v>
      </c>
      <c r="H2141" s="27" t="s">
        <v>1454</v>
      </c>
      <c r="L2141" s="27" t="s">
        <v>4517</v>
      </c>
      <c r="N2141" s="27" t="s">
        <v>4564</v>
      </c>
      <c r="P2141" s="27" t="s">
        <v>4566</v>
      </c>
      <c r="Q2141" s="26" t="str">
        <f>HYPERLINK("https://ictv.global/taxonomy/taxondetails?taxnode_id=202506884&amp;ictv_id=ICTV201856884","ICTV201856884")</f>
        <v>ICTV201856884</v>
      </c>
      <c r="R2141" t="s">
        <v>579</v>
      </c>
      <c r="S2141" t="s">
        <v>22764</v>
      </c>
      <c r="T2141">
        <v>37</v>
      </c>
      <c r="U2141" s="26" t="str">
        <f t="shared" si="73"/>
        <v>2021.015B.R.Casjensviridae.zip</v>
      </c>
    </row>
    <row r="2142" spans="1:21">
      <c r="A2142">
        <v>2141</v>
      </c>
      <c r="B2142" s="27" t="s">
        <v>1449</v>
      </c>
      <c r="D2142" s="27" t="s">
        <v>1450</v>
      </c>
      <c r="F2142" s="27" t="s">
        <v>1453</v>
      </c>
      <c r="H2142" s="27" t="s">
        <v>1454</v>
      </c>
      <c r="L2142" s="27" t="s">
        <v>4517</v>
      </c>
      <c r="N2142" s="27" t="s">
        <v>1413</v>
      </c>
      <c r="P2142" s="27" t="s">
        <v>19485</v>
      </c>
      <c r="Q2142" s="26" t="str">
        <f>HYPERLINK("https://ictv.global/taxonomy/taxondetails?taxnode_id=202506883&amp;ictv_id=ICTV201856883","ICTV201856883")</f>
        <v>ICTV201856883</v>
      </c>
      <c r="R2142" t="s">
        <v>579</v>
      </c>
      <c r="S2142" t="s">
        <v>824</v>
      </c>
      <c r="T2142">
        <v>40</v>
      </c>
      <c r="U2142" s="26" t="str">
        <f>HYPERLINK("https://ictv.global/ictv/proposals/2024.036B.Caudoviricetes_Faserviricetes_Name_Corrections.zip","2024.036B.Caudoviricetes_Faserviricetes_Name_Corrections.zip")</f>
        <v>2024.036B.Caudoviricetes_Faserviricetes_Name_Corrections.zip</v>
      </c>
    </row>
    <row r="2143" spans="1:21">
      <c r="A2143">
        <v>2142</v>
      </c>
      <c r="B2143" s="27" t="s">
        <v>1449</v>
      </c>
      <c r="D2143" s="27" t="s">
        <v>1450</v>
      </c>
      <c r="F2143" s="27" t="s">
        <v>1453</v>
      </c>
      <c r="H2143" s="27" t="s">
        <v>1454</v>
      </c>
      <c r="L2143" s="27" t="s">
        <v>4517</v>
      </c>
      <c r="N2143" s="27" t="s">
        <v>4567</v>
      </c>
      <c r="P2143" s="27" t="s">
        <v>4568</v>
      </c>
      <c r="Q2143" s="26" t="str">
        <f>HYPERLINK("https://ictv.global/taxonomy/taxondetails?taxnode_id=202512998&amp;ictv_id=ICTV202112998","ICTV202112998")</f>
        <v>ICTV202112998</v>
      </c>
      <c r="R2143" t="s">
        <v>579</v>
      </c>
      <c r="S2143" t="s">
        <v>823</v>
      </c>
      <c r="T2143">
        <v>37</v>
      </c>
      <c r="U2143" s="26" t="str">
        <f>HYPERLINK("https://ictv.global/ictv/proposals/2021.015B.R.Casjensviridae.zip","2021.015B.R.Casjensviridae.zip")</f>
        <v>2021.015B.R.Casjensviridae.zip</v>
      </c>
    </row>
    <row r="2144" spans="1:21">
      <c r="A2144">
        <v>2143</v>
      </c>
      <c r="B2144" s="27" t="s">
        <v>1449</v>
      </c>
      <c r="D2144" s="27" t="s">
        <v>1450</v>
      </c>
      <c r="F2144" s="27" t="s">
        <v>1453</v>
      </c>
      <c r="H2144" s="27" t="s">
        <v>1454</v>
      </c>
      <c r="L2144" s="27" t="s">
        <v>4517</v>
      </c>
      <c r="N2144" s="27" t="s">
        <v>4569</v>
      </c>
      <c r="P2144" s="27" t="s">
        <v>4570</v>
      </c>
      <c r="Q2144" s="26" t="str">
        <f>HYPERLINK("https://ictv.global/taxonomy/taxondetails?taxnode_id=202512992&amp;ictv_id=ICTV202112992","ICTV202112992")</f>
        <v>ICTV202112992</v>
      </c>
      <c r="R2144" t="s">
        <v>579</v>
      </c>
      <c r="S2144" t="s">
        <v>823</v>
      </c>
      <c r="T2144">
        <v>37</v>
      </c>
      <c r="U2144" s="26" t="str">
        <f>HYPERLINK("https://ictv.global/ictv/proposals/2021.015B.R.Casjensviridae.zip","2021.015B.R.Casjensviridae.zip")</f>
        <v>2021.015B.R.Casjensviridae.zip</v>
      </c>
    </row>
    <row r="2145" spans="1:21">
      <c r="A2145">
        <v>2144</v>
      </c>
      <c r="B2145" s="27" t="s">
        <v>1449</v>
      </c>
      <c r="D2145" s="27" t="s">
        <v>1450</v>
      </c>
      <c r="F2145" s="27" t="s">
        <v>1453</v>
      </c>
      <c r="H2145" s="27" t="s">
        <v>1454</v>
      </c>
      <c r="L2145" s="27" t="s">
        <v>4517</v>
      </c>
      <c r="N2145" s="27" t="s">
        <v>4571</v>
      </c>
      <c r="P2145" s="27" t="s">
        <v>4572</v>
      </c>
      <c r="Q2145" s="26" t="str">
        <f>HYPERLINK("https://ictv.global/taxonomy/taxondetails?taxnode_id=202513013&amp;ictv_id=ICTV202113013","ICTV202113013")</f>
        <v>ICTV202113013</v>
      </c>
      <c r="R2145" t="s">
        <v>579</v>
      </c>
      <c r="S2145" t="s">
        <v>823</v>
      </c>
      <c r="T2145">
        <v>37</v>
      </c>
      <c r="U2145" s="26" t="str">
        <f>HYPERLINK("https://ictv.global/ictv/proposals/2021.015B.R.Casjensviridae.zip","2021.015B.R.Casjensviridae.zip")</f>
        <v>2021.015B.R.Casjensviridae.zip</v>
      </c>
    </row>
    <row r="2146" spans="1:21">
      <c r="A2146">
        <v>2145</v>
      </c>
      <c r="B2146" s="27" t="s">
        <v>1449</v>
      </c>
      <c r="D2146" s="27" t="s">
        <v>1450</v>
      </c>
      <c r="F2146" s="27" t="s">
        <v>1453</v>
      </c>
      <c r="H2146" s="27" t="s">
        <v>1454</v>
      </c>
      <c r="L2146" s="27" t="s">
        <v>4517</v>
      </c>
      <c r="N2146" s="27" t="s">
        <v>4571</v>
      </c>
      <c r="P2146" s="27" t="s">
        <v>4573</v>
      </c>
      <c r="Q2146" s="26" t="str">
        <f>HYPERLINK("https://ictv.global/taxonomy/taxondetails?taxnode_id=202513012&amp;ictv_id=ICTV202113012","ICTV202113012")</f>
        <v>ICTV202113012</v>
      </c>
      <c r="R2146" t="s">
        <v>579</v>
      </c>
      <c r="S2146" t="s">
        <v>823</v>
      </c>
      <c r="T2146">
        <v>37</v>
      </c>
      <c r="U2146" s="26" t="str">
        <f>HYPERLINK("https://ictv.global/ictv/proposals/2021.015B.R.Casjensviridae.zip","2021.015B.R.Casjensviridae.zip")</f>
        <v>2021.015B.R.Casjensviridae.zip</v>
      </c>
    </row>
    <row r="2147" spans="1:21">
      <c r="A2147">
        <v>2146</v>
      </c>
      <c r="B2147" s="27" t="s">
        <v>1449</v>
      </c>
      <c r="D2147" s="27" t="s">
        <v>1450</v>
      </c>
      <c r="F2147" s="27" t="s">
        <v>1453</v>
      </c>
      <c r="H2147" s="27" t="s">
        <v>1454</v>
      </c>
      <c r="L2147" s="27" t="s">
        <v>4517</v>
      </c>
      <c r="N2147" s="27" t="s">
        <v>4571</v>
      </c>
      <c r="P2147" s="27" t="s">
        <v>4574</v>
      </c>
      <c r="Q2147" s="26" t="str">
        <f>HYPERLINK("https://ictv.global/taxonomy/taxondetails?taxnode_id=202513011&amp;ictv_id=ICTV202113011","ICTV202113011")</f>
        <v>ICTV202113011</v>
      </c>
      <c r="R2147" t="s">
        <v>579</v>
      </c>
      <c r="S2147" t="s">
        <v>823</v>
      </c>
      <c r="T2147">
        <v>37</v>
      </c>
      <c r="U2147" s="26" t="str">
        <f>HYPERLINK("https://ictv.global/ictv/proposals/2021.015B.R.Casjensviridae.zip","2021.015B.R.Casjensviridae.zip")</f>
        <v>2021.015B.R.Casjensviridae.zip</v>
      </c>
    </row>
    <row r="2148" spans="1:21">
      <c r="A2148">
        <v>2147</v>
      </c>
      <c r="B2148" s="27" t="s">
        <v>1449</v>
      </c>
      <c r="D2148" s="27" t="s">
        <v>1450</v>
      </c>
      <c r="F2148" s="27" t="s">
        <v>1453</v>
      </c>
      <c r="H2148" s="27" t="s">
        <v>1454</v>
      </c>
      <c r="L2148" s="27" t="s">
        <v>4517</v>
      </c>
      <c r="N2148" s="27" t="s">
        <v>4571</v>
      </c>
      <c r="P2148" s="27" t="s">
        <v>19486</v>
      </c>
      <c r="Q2148" s="26" t="str">
        <f>HYPERLINK("https://ictv.global/taxonomy/taxondetails?taxnode_id=202520874&amp;ictv_id=ICTV202420874","ICTV202420874")</f>
        <v>ICTV202420874</v>
      </c>
      <c r="R2148" t="s">
        <v>579</v>
      </c>
      <c r="S2148" t="s">
        <v>823</v>
      </c>
      <c r="T2148">
        <v>40</v>
      </c>
      <c r="U2148" s="26" t="str">
        <f>HYPERLINK("https://ictv.global/ictv/proposals/2024.040B.Sharonstreetvirus_1ns.zip","2024.040B.Sharonstreetvirus_1ns.zip")</f>
        <v>2024.040B.Sharonstreetvirus_1ns.zip</v>
      </c>
    </row>
    <row r="2149" spans="1:21">
      <c r="A2149">
        <v>2148</v>
      </c>
      <c r="B2149" s="27" t="s">
        <v>1449</v>
      </c>
      <c r="D2149" s="27" t="s">
        <v>1450</v>
      </c>
      <c r="F2149" s="27" t="s">
        <v>1453</v>
      </c>
      <c r="H2149" s="27" t="s">
        <v>1454</v>
      </c>
      <c r="L2149" s="27" t="s">
        <v>4517</v>
      </c>
      <c r="N2149" s="27" t="s">
        <v>2321</v>
      </c>
      <c r="P2149" s="27" t="s">
        <v>4575</v>
      </c>
      <c r="Q2149" s="26" t="str">
        <f>HYPERLINK("https://ictv.global/taxonomy/taxondetails?taxnode_id=202512126&amp;ictv_id=ICTV202012126","ICTV202012126")</f>
        <v>ICTV202012126</v>
      </c>
      <c r="R2149" t="s">
        <v>579</v>
      </c>
      <c r="S2149" t="s">
        <v>824</v>
      </c>
      <c r="T2149">
        <v>37</v>
      </c>
      <c r="U2149" s="26" t="str">
        <f>HYPERLINK("https://ictv.global/ictv/proposals/2021.015B.R.Casjensviridae.zip","2021.015B.R.Casjensviridae.zip")</f>
        <v>2021.015B.R.Casjensviridae.zip</v>
      </c>
    </row>
    <row r="2150" spans="1:21">
      <c r="A2150">
        <v>2149</v>
      </c>
      <c r="B2150" s="27" t="s">
        <v>1449</v>
      </c>
      <c r="D2150" s="27" t="s">
        <v>1450</v>
      </c>
      <c r="F2150" s="27" t="s">
        <v>1453</v>
      </c>
      <c r="H2150" s="27" t="s">
        <v>1454</v>
      </c>
      <c r="L2150" s="27" t="s">
        <v>4517</v>
      </c>
      <c r="N2150" s="27" t="s">
        <v>2321</v>
      </c>
      <c r="P2150" s="27" t="s">
        <v>4576</v>
      </c>
      <c r="Q2150" s="26" t="str">
        <f>HYPERLINK("https://ictv.global/taxonomy/taxondetails?taxnode_id=202512127&amp;ictv_id=ICTV202012127","ICTV202012127")</f>
        <v>ICTV202012127</v>
      </c>
      <c r="R2150" t="s">
        <v>579</v>
      </c>
      <c r="S2150" t="s">
        <v>824</v>
      </c>
      <c r="T2150">
        <v>37</v>
      </c>
      <c r="U2150" s="26" t="str">
        <f>HYPERLINK("https://ictv.global/ictv/proposals/2021.015B.R.Casjensviridae.zip","2021.015B.R.Casjensviridae.zip")</f>
        <v>2021.015B.R.Casjensviridae.zip</v>
      </c>
    </row>
    <row r="2151" spans="1:21">
      <c r="A2151">
        <v>2150</v>
      </c>
      <c r="B2151" s="27" t="s">
        <v>1449</v>
      </c>
      <c r="D2151" s="27" t="s">
        <v>1450</v>
      </c>
      <c r="F2151" s="27" t="s">
        <v>1453</v>
      </c>
      <c r="H2151" s="27" t="s">
        <v>1454</v>
      </c>
      <c r="L2151" s="27" t="s">
        <v>4517</v>
      </c>
      <c r="N2151" s="27" t="s">
        <v>2321</v>
      </c>
      <c r="P2151" s="27" t="s">
        <v>4577</v>
      </c>
      <c r="Q2151" s="26" t="str">
        <f>HYPERLINK("https://ictv.global/taxonomy/taxondetails?taxnode_id=202512128&amp;ictv_id=ICTV202012128","ICTV202012128")</f>
        <v>ICTV202012128</v>
      </c>
      <c r="R2151" t="s">
        <v>579</v>
      </c>
      <c r="S2151" t="s">
        <v>824</v>
      </c>
      <c r="T2151">
        <v>37</v>
      </c>
      <c r="U2151" s="26" t="str">
        <f>HYPERLINK("https://ictv.global/ictv/proposals/2021.015B.R.Casjensviridae.zip","2021.015B.R.Casjensviridae.zip")</f>
        <v>2021.015B.R.Casjensviridae.zip</v>
      </c>
    </row>
    <row r="2152" spans="1:21">
      <c r="A2152">
        <v>2151</v>
      </c>
      <c r="B2152" s="27" t="s">
        <v>1449</v>
      </c>
      <c r="D2152" s="27" t="s">
        <v>1450</v>
      </c>
      <c r="F2152" s="27" t="s">
        <v>1453</v>
      </c>
      <c r="H2152" s="27" t="s">
        <v>1454</v>
      </c>
      <c r="L2152" s="27" t="s">
        <v>4517</v>
      </c>
      <c r="N2152" s="27" t="s">
        <v>4578</v>
      </c>
      <c r="P2152" s="27" t="s">
        <v>4579</v>
      </c>
      <c r="Q2152" s="26" t="str">
        <f>HYPERLINK("https://ictv.global/taxonomy/taxondetails?taxnode_id=202513017&amp;ictv_id=ICTV202113017","ICTV202113017")</f>
        <v>ICTV202113017</v>
      </c>
      <c r="R2152" t="s">
        <v>579</v>
      </c>
      <c r="S2152" t="s">
        <v>823</v>
      </c>
      <c r="T2152">
        <v>37</v>
      </c>
      <c r="U2152" s="26" t="str">
        <f>HYPERLINK("https://ictv.global/ictv/proposals/2021.015B.R.Casjensviridae.zip","2021.015B.R.Casjensviridae.zip")</f>
        <v>2021.015B.R.Casjensviridae.zip</v>
      </c>
    </row>
    <row r="2153" spans="1:21">
      <c r="A2153">
        <v>2152</v>
      </c>
      <c r="B2153" s="27" t="s">
        <v>1449</v>
      </c>
      <c r="D2153" s="27" t="s">
        <v>1450</v>
      </c>
      <c r="F2153" s="27" t="s">
        <v>1453</v>
      </c>
      <c r="H2153" s="27" t="s">
        <v>1454</v>
      </c>
      <c r="L2153" s="27" t="s">
        <v>1602</v>
      </c>
      <c r="M2153" s="27" t="s">
        <v>2044</v>
      </c>
      <c r="N2153" s="27" t="s">
        <v>1603</v>
      </c>
      <c r="P2153" s="27" t="s">
        <v>11318</v>
      </c>
      <c r="Q2153" s="26" t="str">
        <f>HYPERLINK("https://ictv.global/taxonomy/taxondetails?taxnode_id=202518076&amp;ictv_id=ICTV202318076","ICTV202318076")</f>
        <v>ICTV202318076</v>
      </c>
      <c r="R2153" t="s">
        <v>579</v>
      </c>
      <c r="S2153" t="s">
        <v>823</v>
      </c>
      <c r="T2153">
        <v>39</v>
      </c>
      <c r="U2153" s="26" t="str">
        <f>HYPERLINK("https://ictv.global/ictv/proposals/2023.014B.Chaseviridae_4ng.zip","2023.014B.Chaseviridae_4ng.zip")</f>
        <v>2023.014B.Chaseviridae_4ng.zip</v>
      </c>
    </row>
    <row r="2154" spans="1:21">
      <c r="A2154">
        <v>2153</v>
      </c>
      <c r="B2154" s="27" t="s">
        <v>1449</v>
      </c>
      <c r="D2154" s="27" t="s">
        <v>1450</v>
      </c>
      <c r="F2154" s="27" t="s">
        <v>1453</v>
      </c>
      <c r="H2154" s="27" t="s">
        <v>1454</v>
      </c>
      <c r="L2154" s="27" t="s">
        <v>1602</v>
      </c>
      <c r="M2154" s="27" t="s">
        <v>2044</v>
      </c>
      <c r="N2154" s="27" t="s">
        <v>1603</v>
      </c>
      <c r="P2154" s="27" t="s">
        <v>11319</v>
      </c>
      <c r="Q2154" s="26" t="str">
        <f>HYPERLINK("https://ictv.global/taxonomy/taxondetails?taxnode_id=202518077&amp;ictv_id=ICTV202318077","ICTV202318077")</f>
        <v>ICTV202318077</v>
      </c>
      <c r="R2154" t="s">
        <v>579</v>
      </c>
      <c r="S2154" t="s">
        <v>823</v>
      </c>
      <c r="T2154">
        <v>39</v>
      </c>
      <c r="U2154" s="26" t="str">
        <f>HYPERLINK("https://ictv.global/ictv/proposals/2023.014B.Chaseviridae_4ng.zip","2023.014B.Chaseviridae_4ng.zip")</f>
        <v>2023.014B.Chaseviridae_4ng.zip</v>
      </c>
    </row>
    <row r="2155" spans="1:21">
      <c r="A2155">
        <v>2154</v>
      </c>
      <c r="B2155" s="27" t="s">
        <v>1449</v>
      </c>
      <c r="D2155" s="27" t="s">
        <v>1450</v>
      </c>
      <c r="F2155" s="27" t="s">
        <v>1453</v>
      </c>
      <c r="H2155" s="27" t="s">
        <v>1454</v>
      </c>
      <c r="L2155" s="27" t="s">
        <v>1602</v>
      </c>
      <c r="M2155" s="27" t="s">
        <v>2044</v>
      </c>
      <c r="N2155" s="27" t="s">
        <v>1603</v>
      </c>
      <c r="P2155" s="27" t="s">
        <v>11320</v>
      </c>
      <c r="Q2155" s="26" t="str">
        <f>HYPERLINK("https://ictv.global/taxonomy/taxondetails?taxnode_id=202518079&amp;ictv_id=ICTV202318079","ICTV202318079")</f>
        <v>ICTV202318079</v>
      </c>
      <c r="R2155" t="s">
        <v>579</v>
      </c>
      <c r="S2155" t="s">
        <v>823</v>
      </c>
      <c r="T2155">
        <v>39</v>
      </c>
      <c r="U2155" s="26" t="str">
        <f>HYPERLINK("https://ictv.global/ictv/proposals/2023.014B.Chaseviridae_4ng.zip","2023.014B.Chaseviridae_4ng.zip")</f>
        <v>2023.014B.Chaseviridae_4ng.zip</v>
      </c>
    </row>
    <row r="2156" spans="1:21">
      <c r="A2156">
        <v>2155</v>
      </c>
      <c r="B2156" s="27" t="s">
        <v>1449</v>
      </c>
      <c r="D2156" s="27" t="s">
        <v>1450</v>
      </c>
      <c r="F2156" s="27" t="s">
        <v>1453</v>
      </c>
      <c r="H2156" s="27" t="s">
        <v>1454</v>
      </c>
      <c r="L2156" s="27" t="s">
        <v>1602</v>
      </c>
      <c r="M2156" s="27" t="s">
        <v>2044</v>
      </c>
      <c r="N2156" s="27" t="s">
        <v>1603</v>
      </c>
      <c r="P2156" s="27" t="s">
        <v>21617</v>
      </c>
      <c r="Q2156" s="26" t="str">
        <f>HYPERLINK("https://ictv.global/taxonomy/taxondetails?taxnode_id=202522483&amp;ictv_id=ICTV202522483","ICTV202522483")</f>
        <v>ICTV202522483</v>
      </c>
      <c r="R2156" t="s">
        <v>579</v>
      </c>
      <c r="S2156" t="s">
        <v>823</v>
      </c>
      <c r="T2156">
        <v>41</v>
      </c>
      <c r="U2156" s="26" t="str">
        <f>HYPERLINK("https://ictv.global/ictv/proposals/2025.011B.Chaseviridae_1ng_12ns.zip","2025.011B.Chaseviridae_1ng_12ns.zip")</f>
        <v>2025.011B.Chaseviridae_1ng_12ns.zip</v>
      </c>
    </row>
    <row r="2157" spans="1:21">
      <c r="A2157">
        <v>2156</v>
      </c>
      <c r="B2157" s="27" t="s">
        <v>1449</v>
      </c>
      <c r="D2157" s="27" t="s">
        <v>1450</v>
      </c>
      <c r="F2157" s="27" t="s">
        <v>1453</v>
      </c>
      <c r="H2157" s="27" t="s">
        <v>1454</v>
      </c>
      <c r="L2157" s="27" t="s">
        <v>1602</v>
      </c>
      <c r="M2157" s="27" t="s">
        <v>2044</v>
      </c>
      <c r="N2157" s="27" t="s">
        <v>1603</v>
      </c>
      <c r="P2157" s="27" t="s">
        <v>4580</v>
      </c>
      <c r="Q2157" s="26" t="str">
        <f>HYPERLINK("https://ictv.global/taxonomy/taxondetails?taxnode_id=202509855&amp;ictv_id=ICTV202009855","ICTV202009855")</f>
        <v>ICTV202009855</v>
      </c>
      <c r="R2157" t="s">
        <v>579</v>
      </c>
      <c r="S2157" t="s">
        <v>824</v>
      </c>
      <c r="T2157">
        <v>37</v>
      </c>
      <c r="U2157" s="26" t="str">
        <f>HYPERLINK("https://ictv.global/ictv/proposals/2021.010B.R.Binomial_names.zip","2021.010B.R.Binomial_names.zip")</f>
        <v>2021.010B.R.Binomial_names.zip</v>
      </c>
    </row>
    <row r="2158" spans="1:21">
      <c r="A2158">
        <v>2157</v>
      </c>
      <c r="B2158" s="27" t="s">
        <v>1449</v>
      </c>
      <c r="D2158" s="27" t="s">
        <v>1450</v>
      </c>
      <c r="F2158" s="27" t="s">
        <v>1453</v>
      </c>
      <c r="H2158" s="27" t="s">
        <v>1454</v>
      </c>
      <c r="L2158" s="27" t="s">
        <v>1602</v>
      </c>
      <c r="M2158" s="27" t="s">
        <v>2044</v>
      </c>
      <c r="N2158" s="27" t="s">
        <v>1603</v>
      </c>
      <c r="P2158" s="27" t="s">
        <v>21615</v>
      </c>
      <c r="Q2158" s="26" t="str">
        <f>HYPERLINK("https://ictv.global/taxonomy/taxondetails?taxnode_id=202522481&amp;ictv_id=ICTV202522481","ICTV202522481")</f>
        <v>ICTV202522481</v>
      </c>
      <c r="R2158" t="s">
        <v>579</v>
      </c>
      <c r="S2158" t="s">
        <v>823</v>
      </c>
      <c r="T2158">
        <v>41</v>
      </c>
      <c r="U2158" s="26" t="str">
        <f>HYPERLINK("https://ictv.global/ictv/proposals/2025.011B.Chaseviridae_1ng_12ns.zip","2025.011B.Chaseviridae_1ng_12ns.zip")</f>
        <v>2025.011B.Chaseviridae_1ng_12ns.zip</v>
      </c>
    </row>
    <row r="2159" spans="1:21">
      <c r="A2159">
        <v>2158</v>
      </c>
      <c r="B2159" s="27" t="s">
        <v>1449</v>
      </c>
      <c r="D2159" s="27" t="s">
        <v>1450</v>
      </c>
      <c r="F2159" s="27" t="s">
        <v>1453</v>
      </c>
      <c r="H2159" s="27" t="s">
        <v>1454</v>
      </c>
      <c r="L2159" s="27" t="s">
        <v>1602</v>
      </c>
      <c r="M2159" s="27" t="s">
        <v>2044</v>
      </c>
      <c r="N2159" s="27" t="s">
        <v>1603</v>
      </c>
      <c r="P2159" s="27" t="s">
        <v>4581</v>
      </c>
      <c r="Q2159" s="26" t="str">
        <f>HYPERLINK("https://ictv.global/taxonomy/taxondetails?taxnode_id=202507739&amp;ictv_id=ICTV201907739","ICTV201907739")</f>
        <v>ICTV201907739</v>
      </c>
      <c r="R2159" t="s">
        <v>579</v>
      </c>
      <c r="S2159" t="s">
        <v>824</v>
      </c>
      <c r="T2159">
        <v>37</v>
      </c>
      <c r="U2159" s="26" t="str">
        <f>HYPERLINK("https://ictv.global/ictv/proposals/2021.010B.R.Binomial_names.zip","2021.010B.R.Binomial_names.zip")</f>
        <v>2021.010B.R.Binomial_names.zip</v>
      </c>
    </row>
    <row r="2160" spans="1:21">
      <c r="A2160">
        <v>2159</v>
      </c>
      <c r="B2160" s="27" t="s">
        <v>1449</v>
      </c>
      <c r="D2160" s="27" t="s">
        <v>1450</v>
      </c>
      <c r="F2160" s="27" t="s">
        <v>1453</v>
      </c>
      <c r="H2160" s="27" t="s">
        <v>1454</v>
      </c>
      <c r="L2160" s="27" t="s">
        <v>1602</v>
      </c>
      <c r="M2160" s="27" t="s">
        <v>2044</v>
      </c>
      <c r="N2160" s="27" t="s">
        <v>1603</v>
      </c>
      <c r="P2160" s="27" t="s">
        <v>21616</v>
      </c>
      <c r="Q2160" s="26" t="str">
        <f>HYPERLINK("https://ictv.global/taxonomy/taxondetails?taxnode_id=202522482&amp;ictv_id=ICTV202522482","ICTV202522482")</f>
        <v>ICTV202522482</v>
      </c>
      <c r="R2160" t="s">
        <v>579</v>
      </c>
      <c r="S2160" t="s">
        <v>823</v>
      </c>
      <c r="T2160">
        <v>41</v>
      </c>
      <c r="U2160" s="26" t="str">
        <f>HYPERLINK("https://ictv.global/ictv/proposals/2025.011B.Chaseviridae_1ng_12ns.zip","2025.011B.Chaseviridae_1ng_12ns.zip")</f>
        <v>2025.011B.Chaseviridae_1ng_12ns.zip</v>
      </c>
    </row>
    <row r="2161" spans="1:21">
      <c r="A2161">
        <v>2160</v>
      </c>
      <c r="B2161" s="27" t="s">
        <v>1449</v>
      </c>
      <c r="D2161" s="27" t="s">
        <v>1450</v>
      </c>
      <c r="F2161" s="27" t="s">
        <v>1453</v>
      </c>
      <c r="H2161" s="27" t="s">
        <v>1454</v>
      </c>
      <c r="L2161" s="27" t="s">
        <v>1602</v>
      </c>
      <c r="M2161" s="27" t="s">
        <v>2044</v>
      </c>
      <c r="N2161" s="27" t="s">
        <v>1603</v>
      </c>
      <c r="P2161" s="27" t="s">
        <v>4582</v>
      </c>
      <c r="Q2161" s="26" t="str">
        <f>HYPERLINK("https://ictv.global/taxonomy/taxondetails?taxnode_id=202509854&amp;ictv_id=ICTV202009854","ICTV202009854")</f>
        <v>ICTV202009854</v>
      </c>
      <c r="R2161" t="s">
        <v>579</v>
      </c>
      <c r="S2161" t="s">
        <v>824</v>
      </c>
      <c r="T2161">
        <v>37</v>
      </c>
      <c r="U2161" s="26" t="str">
        <f>HYPERLINK("https://ictv.global/ictv/proposals/2021.010B.R.Binomial_names.zip","2021.010B.R.Binomial_names.zip")</f>
        <v>2021.010B.R.Binomial_names.zip</v>
      </c>
    </row>
    <row r="2162" spans="1:21">
      <c r="A2162">
        <v>2161</v>
      </c>
      <c r="B2162" s="27" t="s">
        <v>1449</v>
      </c>
      <c r="D2162" s="27" t="s">
        <v>1450</v>
      </c>
      <c r="F2162" s="27" t="s">
        <v>1453</v>
      </c>
      <c r="H2162" s="27" t="s">
        <v>1454</v>
      </c>
      <c r="L2162" s="27" t="s">
        <v>1602</v>
      </c>
      <c r="M2162" s="27" t="s">
        <v>2044</v>
      </c>
      <c r="N2162" s="27" t="s">
        <v>1603</v>
      </c>
      <c r="P2162" s="27" t="s">
        <v>11321</v>
      </c>
      <c r="Q2162" s="26" t="str">
        <f>HYPERLINK("https://ictv.global/taxonomy/taxondetails?taxnode_id=202518071&amp;ictv_id=ICTV202318071","ICTV202318071")</f>
        <v>ICTV202318071</v>
      </c>
      <c r="R2162" t="s">
        <v>579</v>
      </c>
      <c r="S2162" t="s">
        <v>823</v>
      </c>
      <c r="T2162">
        <v>39</v>
      </c>
      <c r="U2162" s="26" t="str">
        <f t="shared" ref="U2162:U2168" si="74">HYPERLINK("https://ictv.global/ictv/proposals/2023.014B.Chaseviridae_4ng.zip","2023.014B.Chaseviridae_4ng.zip")</f>
        <v>2023.014B.Chaseviridae_4ng.zip</v>
      </c>
    </row>
    <row r="2163" spans="1:21">
      <c r="A2163">
        <v>2162</v>
      </c>
      <c r="B2163" s="27" t="s">
        <v>1449</v>
      </c>
      <c r="D2163" s="27" t="s">
        <v>1450</v>
      </c>
      <c r="F2163" s="27" t="s">
        <v>1453</v>
      </c>
      <c r="H2163" s="27" t="s">
        <v>1454</v>
      </c>
      <c r="L2163" s="27" t="s">
        <v>1602</v>
      </c>
      <c r="M2163" s="27" t="s">
        <v>2044</v>
      </c>
      <c r="N2163" s="27" t="s">
        <v>1603</v>
      </c>
      <c r="P2163" s="27" t="s">
        <v>11322</v>
      </c>
      <c r="Q2163" s="26" t="str">
        <f>HYPERLINK("https://ictv.global/taxonomy/taxondetails?taxnode_id=202518070&amp;ictv_id=ICTV202318070","ICTV202318070")</f>
        <v>ICTV202318070</v>
      </c>
      <c r="R2163" t="s">
        <v>579</v>
      </c>
      <c r="S2163" t="s">
        <v>823</v>
      </c>
      <c r="T2163">
        <v>39</v>
      </c>
      <c r="U2163" s="26" t="str">
        <f t="shared" si="74"/>
        <v>2023.014B.Chaseviridae_4ng.zip</v>
      </c>
    </row>
    <row r="2164" spans="1:21">
      <c r="A2164">
        <v>2163</v>
      </c>
      <c r="B2164" s="27" t="s">
        <v>1449</v>
      </c>
      <c r="D2164" s="27" t="s">
        <v>1450</v>
      </c>
      <c r="F2164" s="27" t="s">
        <v>1453</v>
      </c>
      <c r="H2164" s="27" t="s">
        <v>1454</v>
      </c>
      <c r="L2164" s="27" t="s">
        <v>1602</v>
      </c>
      <c r="M2164" s="27" t="s">
        <v>2044</v>
      </c>
      <c r="N2164" s="27" t="s">
        <v>1603</v>
      </c>
      <c r="P2164" s="27" t="s">
        <v>11323</v>
      </c>
      <c r="Q2164" s="26" t="str">
        <f>HYPERLINK("https://ictv.global/taxonomy/taxondetails?taxnode_id=202518074&amp;ictv_id=ICTV202318074","ICTV202318074")</f>
        <v>ICTV202318074</v>
      </c>
      <c r="R2164" t="s">
        <v>579</v>
      </c>
      <c r="S2164" t="s">
        <v>823</v>
      </c>
      <c r="T2164">
        <v>39</v>
      </c>
      <c r="U2164" s="26" t="str">
        <f t="shared" si="74"/>
        <v>2023.014B.Chaseviridae_4ng.zip</v>
      </c>
    </row>
    <row r="2165" spans="1:21">
      <c r="A2165">
        <v>2164</v>
      </c>
      <c r="B2165" s="27" t="s">
        <v>1449</v>
      </c>
      <c r="D2165" s="27" t="s">
        <v>1450</v>
      </c>
      <c r="F2165" s="27" t="s">
        <v>1453</v>
      </c>
      <c r="H2165" s="27" t="s">
        <v>1454</v>
      </c>
      <c r="L2165" s="27" t="s">
        <v>1602</v>
      </c>
      <c r="M2165" s="27" t="s">
        <v>2044</v>
      </c>
      <c r="N2165" s="27" t="s">
        <v>1603</v>
      </c>
      <c r="P2165" s="27" t="s">
        <v>11324</v>
      </c>
      <c r="Q2165" s="26" t="str">
        <f>HYPERLINK("https://ictv.global/taxonomy/taxondetails?taxnode_id=202518073&amp;ictv_id=ICTV202318073","ICTV202318073")</f>
        <v>ICTV202318073</v>
      </c>
      <c r="R2165" t="s">
        <v>579</v>
      </c>
      <c r="S2165" t="s">
        <v>823</v>
      </c>
      <c r="T2165">
        <v>39</v>
      </c>
      <c r="U2165" s="26" t="str">
        <f t="shared" si="74"/>
        <v>2023.014B.Chaseviridae_4ng.zip</v>
      </c>
    </row>
    <row r="2166" spans="1:21">
      <c r="A2166">
        <v>2165</v>
      </c>
      <c r="B2166" s="27" t="s">
        <v>1449</v>
      </c>
      <c r="D2166" s="27" t="s">
        <v>1450</v>
      </c>
      <c r="F2166" s="27" t="s">
        <v>1453</v>
      </c>
      <c r="H2166" s="27" t="s">
        <v>1454</v>
      </c>
      <c r="L2166" s="27" t="s">
        <v>1602</v>
      </c>
      <c r="M2166" s="27" t="s">
        <v>2044</v>
      </c>
      <c r="N2166" s="27" t="s">
        <v>1603</v>
      </c>
      <c r="P2166" s="27" t="s">
        <v>11325</v>
      </c>
      <c r="Q2166" s="26" t="str">
        <f>HYPERLINK("https://ictv.global/taxonomy/taxondetails?taxnode_id=202518072&amp;ictv_id=ICTV202318072","ICTV202318072")</f>
        <v>ICTV202318072</v>
      </c>
      <c r="R2166" t="s">
        <v>579</v>
      </c>
      <c r="S2166" t="s">
        <v>823</v>
      </c>
      <c r="T2166">
        <v>39</v>
      </c>
      <c r="U2166" s="26" t="str">
        <f t="shared" si="74"/>
        <v>2023.014B.Chaseviridae_4ng.zip</v>
      </c>
    </row>
    <row r="2167" spans="1:21">
      <c r="A2167">
        <v>2166</v>
      </c>
      <c r="B2167" s="27" t="s">
        <v>1449</v>
      </c>
      <c r="D2167" s="27" t="s">
        <v>1450</v>
      </c>
      <c r="F2167" s="27" t="s">
        <v>1453</v>
      </c>
      <c r="H2167" s="27" t="s">
        <v>1454</v>
      </c>
      <c r="L2167" s="27" t="s">
        <v>1602</v>
      </c>
      <c r="M2167" s="27" t="s">
        <v>2044</v>
      </c>
      <c r="N2167" s="27" t="s">
        <v>1603</v>
      </c>
      <c r="P2167" s="27" t="s">
        <v>11326</v>
      </c>
      <c r="Q2167" s="26" t="str">
        <f>HYPERLINK("https://ictv.global/taxonomy/taxondetails?taxnode_id=202518078&amp;ictv_id=ICTV202318078","ICTV202318078")</f>
        <v>ICTV202318078</v>
      </c>
      <c r="R2167" t="s">
        <v>579</v>
      </c>
      <c r="S2167" t="s">
        <v>823</v>
      </c>
      <c r="T2167">
        <v>39</v>
      </c>
      <c r="U2167" s="26" t="str">
        <f t="shared" si="74"/>
        <v>2023.014B.Chaseviridae_4ng.zip</v>
      </c>
    </row>
    <row r="2168" spans="1:21">
      <c r="A2168">
        <v>2167</v>
      </c>
      <c r="B2168" s="27" t="s">
        <v>1449</v>
      </c>
      <c r="D2168" s="27" t="s">
        <v>1450</v>
      </c>
      <c r="F2168" s="27" t="s">
        <v>1453</v>
      </c>
      <c r="H2168" s="27" t="s">
        <v>1454</v>
      </c>
      <c r="L2168" s="27" t="s">
        <v>1602</v>
      </c>
      <c r="M2168" s="27" t="s">
        <v>2044</v>
      </c>
      <c r="N2168" s="27" t="s">
        <v>1603</v>
      </c>
      <c r="P2168" s="27" t="s">
        <v>11327</v>
      </c>
      <c r="Q2168" s="26" t="str">
        <f>HYPERLINK("https://ictv.global/taxonomy/taxondetails?taxnode_id=202518075&amp;ictv_id=ICTV202318075","ICTV202318075")</f>
        <v>ICTV202318075</v>
      </c>
      <c r="R2168" t="s">
        <v>579</v>
      </c>
      <c r="S2168" t="s">
        <v>823</v>
      </c>
      <c r="T2168">
        <v>39</v>
      </c>
      <c r="U2168" s="26" t="str">
        <f t="shared" si="74"/>
        <v>2023.014B.Chaseviridae_4ng.zip</v>
      </c>
    </row>
    <row r="2169" spans="1:21">
      <c r="A2169">
        <v>2168</v>
      </c>
      <c r="B2169" s="27" t="s">
        <v>1449</v>
      </c>
      <c r="D2169" s="27" t="s">
        <v>1450</v>
      </c>
      <c r="F2169" s="27" t="s">
        <v>1453</v>
      </c>
      <c r="H2169" s="27" t="s">
        <v>1454</v>
      </c>
      <c r="L2169" s="27" t="s">
        <v>1602</v>
      </c>
      <c r="M2169" s="27" t="s">
        <v>2044</v>
      </c>
      <c r="N2169" s="27" t="s">
        <v>1603</v>
      </c>
      <c r="P2169" s="27" t="s">
        <v>4583</v>
      </c>
      <c r="Q2169" s="26" t="str">
        <f>HYPERLINK("https://ictv.global/taxonomy/taxondetails?taxnode_id=202507740&amp;ictv_id=ICTV201907740","ICTV201907740")</f>
        <v>ICTV201907740</v>
      </c>
      <c r="R2169" t="s">
        <v>579</v>
      </c>
      <c r="S2169" t="s">
        <v>824</v>
      </c>
      <c r="T2169">
        <v>37</v>
      </c>
      <c r="U2169" s="26" t="str">
        <f>HYPERLINK("https://ictv.global/ictv/proposals/2021.010B.R.Binomial_names.zip","2021.010B.R.Binomial_names.zip")</f>
        <v>2021.010B.R.Binomial_names.zip</v>
      </c>
    </row>
    <row r="2170" spans="1:21">
      <c r="A2170">
        <v>2169</v>
      </c>
      <c r="B2170" s="27" t="s">
        <v>1449</v>
      </c>
      <c r="D2170" s="27" t="s">
        <v>1450</v>
      </c>
      <c r="F2170" s="27" t="s">
        <v>1453</v>
      </c>
      <c r="H2170" s="27" t="s">
        <v>1454</v>
      </c>
      <c r="L2170" s="27" t="s">
        <v>1602</v>
      </c>
      <c r="M2170" s="27" t="s">
        <v>2044</v>
      </c>
      <c r="N2170" s="27" t="s">
        <v>1603</v>
      </c>
      <c r="P2170" s="27" t="s">
        <v>21614</v>
      </c>
      <c r="Q2170" s="26" t="str">
        <f>HYPERLINK("https://ictv.global/taxonomy/taxondetails?taxnode_id=202522480&amp;ictv_id=ICTV202522480","ICTV202522480")</f>
        <v>ICTV202522480</v>
      </c>
      <c r="R2170" t="s">
        <v>579</v>
      </c>
      <c r="S2170" t="s">
        <v>823</v>
      </c>
      <c r="T2170">
        <v>41</v>
      </c>
      <c r="U2170" s="26" t="str">
        <f>HYPERLINK("https://ictv.global/ictv/proposals/2025.011B.Chaseviridae_1ng_12ns.zip","2025.011B.Chaseviridae_1ng_12ns.zip")</f>
        <v>2025.011B.Chaseviridae_1ng_12ns.zip</v>
      </c>
    </row>
    <row r="2171" spans="1:21">
      <c r="A2171">
        <v>2170</v>
      </c>
      <c r="B2171" s="27" t="s">
        <v>1449</v>
      </c>
      <c r="D2171" s="27" t="s">
        <v>1450</v>
      </c>
      <c r="F2171" s="27" t="s">
        <v>1453</v>
      </c>
      <c r="H2171" s="27" t="s">
        <v>1454</v>
      </c>
      <c r="L2171" s="27" t="s">
        <v>1602</v>
      </c>
      <c r="M2171" s="27" t="s">
        <v>2044</v>
      </c>
      <c r="N2171" s="27" t="s">
        <v>1604</v>
      </c>
      <c r="P2171" s="27" t="s">
        <v>4584</v>
      </c>
      <c r="Q2171" s="26" t="str">
        <f>HYPERLINK("https://ictv.global/taxonomy/taxondetails?taxnode_id=202507742&amp;ictv_id=ICTV201907742","ICTV201907742")</f>
        <v>ICTV201907742</v>
      </c>
      <c r="R2171" t="s">
        <v>579</v>
      </c>
      <c r="S2171" t="s">
        <v>824</v>
      </c>
      <c r="T2171">
        <v>37</v>
      </c>
      <c r="U2171" s="26" t="str">
        <f>HYPERLINK("https://ictv.global/ictv/proposals/2021.010B.R.Binomial_names.zip","2021.010B.R.Binomial_names.zip")</f>
        <v>2021.010B.R.Binomial_names.zip</v>
      </c>
    </row>
    <row r="2172" spans="1:21">
      <c r="A2172">
        <v>2171</v>
      </c>
      <c r="B2172" s="27" t="s">
        <v>1449</v>
      </c>
      <c r="D2172" s="27" t="s">
        <v>1450</v>
      </c>
      <c r="F2172" s="27" t="s">
        <v>1453</v>
      </c>
      <c r="H2172" s="27" t="s">
        <v>1454</v>
      </c>
      <c r="L2172" s="27" t="s">
        <v>1602</v>
      </c>
      <c r="M2172" s="27" t="s">
        <v>2044</v>
      </c>
      <c r="N2172" s="27" t="s">
        <v>11328</v>
      </c>
      <c r="P2172" s="27" t="s">
        <v>21610</v>
      </c>
      <c r="Q2172" s="26" t="str">
        <f>HYPERLINK("https://ictv.global/taxonomy/taxondetails?taxnode_id=202522476&amp;ictv_id=ICTV202522476","ICTV202522476")</f>
        <v>ICTV202522476</v>
      </c>
      <c r="R2172" t="s">
        <v>579</v>
      </c>
      <c r="S2172" t="s">
        <v>823</v>
      </c>
      <c r="T2172">
        <v>41</v>
      </c>
      <c r="U2172" s="26" t="str">
        <f>HYPERLINK("https://ictv.global/ictv/proposals/2025.011B.Chaseviridae_1ng_12ns.zip","2025.011B.Chaseviridae_1ng_12ns.zip")</f>
        <v>2025.011B.Chaseviridae_1ng_12ns.zip</v>
      </c>
    </row>
    <row r="2173" spans="1:21">
      <c r="A2173">
        <v>2172</v>
      </c>
      <c r="B2173" s="27" t="s">
        <v>1449</v>
      </c>
      <c r="D2173" s="27" t="s">
        <v>1450</v>
      </c>
      <c r="F2173" s="27" t="s">
        <v>1453</v>
      </c>
      <c r="H2173" s="27" t="s">
        <v>1454</v>
      </c>
      <c r="L2173" s="27" t="s">
        <v>1602</v>
      </c>
      <c r="M2173" s="27" t="s">
        <v>2044</v>
      </c>
      <c r="N2173" s="27" t="s">
        <v>11328</v>
      </c>
      <c r="P2173" s="27" t="s">
        <v>21609</v>
      </c>
      <c r="Q2173" s="26" t="str">
        <f>HYPERLINK("https://ictv.global/taxonomy/taxondetails?taxnode_id=202522475&amp;ictv_id=ICTV202522475","ICTV202522475")</f>
        <v>ICTV202522475</v>
      </c>
      <c r="R2173" t="s">
        <v>579</v>
      </c>
      <c r="S2173" t="s">
        <v>823</v>
      </c>
      <c r="T2173">
        <v>41</v>
      </c>
      <c r="U2173" s="26" t="str">
        <f>HYPERLINK("https://ictv.global/ictv/proposals/2025.011B.Chaseviridae_1ng_12ns.zip","2025.011B.Chaseviridae_1ng_12ns.zip")</f>
        <v>2025.011B.Chaseviridae_1ng_12ns.zip</v>
      </c>
    </row>
    <row r="2174" spans="1:21">
      <c r="A2174">
        <v>2173</v>
      </c>
      <c r="B2174" s="27" t="s">
        <v>1449</v>
      </c>
      <c r="D2174" s="27" t="s">
        <v>1450</v>
      </c>
      <c r="F2174" s="27" t="s">
        <v>1453</v>
      </c>
      <c r="H2174" s="27" t="s">
        <v>1454</v>
      </c>
      <c r="L2174" s="27" t="s">
        <v>1602</v>
      </c>
      <c r="M2174" s="27" t="s">
        <v>2044</v>
      </c>
      <c r="N2174" s="27" t="s">
        <v>11328</v>
      </c>
      <c r="P2174" s="27" t="s">
        <v>11329</v>
      </c>
      <c r="Q2174" s="26" t="str">
        <f>HYPERLINK("https://ictv.global/taxonomy/taxondetails?taxnode_id=202518069&amp;ictv_id=ICTV202318069","ICTV202318069")</f>
        <v>ICTV202318069</v>
      </c>
      <c r="R2174" t="s">
        <v>579</v>
      </c>
      <c r="S2174" t="s">
        <v>823</v>
      </c>
      <c r="T2174">
        <v>39</v>
      </c>
      <c r="U2174" s="26" t="str">
        <f>HYPERLINK("https://ictv.global/ictv/proposals/2023.014B.Chaseviridae_4ng.zip","2023.014B.Chaseviridae_4ng.zip")</f>
        <v>2023.014B.Chaseviridae_4ng.zip</v>
      </c>
    </row>
    <row r="2175" spans="1:21">
      <c r="A2175">
        <v>2174</v>
      </c>
      <c r="B2175" s="27" t="s">
        <v>1449</v>
      </c>
      <c r="D2175" s="27" t="s">
        <v>1450</v>
      </c>
      <c r="F2175" s="27" t="s">
        <v>1453</v>
      </c>
      <c r="H2175" s="27" t="s">
        <v>1454</v>
      </c>
      <c r="L2175" s="27" t="s">
        <v>1602</v>
      </c>
      <c r="M2175" s="27" t="s">
        <v>2044</v>
      </c>
      <c r="N2175" s="27" t="s">
        <v>11328</v>
      </c>
      <c r="P2175" s="27" t="s">
        <v>21611</v>
      </c>
      <c r="Q2175" s="26" t="str">
        <f>HYPERLINK("https://ictv.global/taxonomy/taxondetails?taxnode_id=202522477&amp;ictv_id=ICTV202522477","ICTV202522477")</f>
        <v>ICTV202522477</v>
      </c>
      <c r="R2175" t="s">
        <v>579</v>
      </c>
      <c r="S2175" t="s">
        <v>823</v>
      </c>
      <c r="T2175">
        <v>41</v>
      </c>
      <c r="U2175" s="26" t="str">
        <f>HYPERLINK("https://ictv.global/ictv/proposals/2025.011B.Chaseviridae_1ng_12ns.zip","2025.011B.Chaseviridae_1ng_12ns.zip")</f>
        <v>2025.011B.Chaseviridae_1ng_12ns.zip</v>
      </c>
    </row>
    <row r="2176" spans="1:21">
      <c r="A2176">
        <v>2175</v>
      </c>
      <c r="B2176" s="27" t="s">
        <v>1449</v>
      </c>
      <c r="D2176" s="27" t="s">
        <v>1450</v>
      </c>
      <c r="F2176" s="27" t="s">
        <v>1453</v>
      </c>
      <c r="H2176" s="27" t="s">
        <v>1454</v>
      </c>
      <c r="L2176" s="27" t="s">
        <v>1602</v>
      </c>
      <c r="M2176" s="27" t="s">
        <v>2044</v>
      </c>
      <c r="N2176" s="27" t="s">
        <v>1605</v>
      </c>
      <c r="P2176" s="27" t="s">
        <v>21613</v>
      </c>
      <c r="Q2176" s="26" t="str">
        <f>HYPERLINK("https://ictv.global/taxonomy/taxondetails?taxnode_id=202522479&amp;ictv_id=ICTV202522479","ICTV202522479")</f>
        <v>ICTV202522479</v>
      </c>
      <c r="R2176" t="s">
        <v>579</v>
      </c>
      <c r="S2176" t="s">
        <v>823</v>
      </c>
      <c r="T2176">
        <v>41</v>
      </c>
      <c r="U2176" s="26" t="str">
        <f>HYPERLINK("https://ictv.global/ictv/proposals/2025.011B.Chaseviridae_1ng_12ns.zip","2025.011B.Chaseviridae_1ng_12ns.zip")</f>
        <v>2025.011B.Chaseviridae_1ng_12ns.zip</v>
      </c>
    </row>
    <row r="2177" spans="1:21">
      <c r="A2177">
        <v>2176</v>
      </c>
      <c r="B2177" s="27" t="s">
        <v>1449</v>
      </c>
      <c r="D2177" s="27" t="s">
        <v>1450</v>
      </c>
      <c r="F2177" s="27" t="s">
        <v>1453</v>
      </c>
      <c r="H2177" s="27" t="s">
        <v>1454</v>
      </c>
      <c r="L2177" s="27" t="s">
        <v>1602</v>
      </c>
      <c r="M2177" s="27" t="s">
        <v>2044</v>
      </c>
      <c r="N2177" s="27" t="s">
        <v>1605</v>
      </c>
      <c r="P2177" s="27" t="s">
        <v>21612</v>
      </c>
      <c r="Q2177" s="26" t="str">
        <f>HYPERLINK("https://ictv.global/taxonomy/taxondetails?taxnode_id=202522478&amp;ictv_id=ICTV202522478","ICTV202522478")</f>
        <v>ICTV202522478</v>
      </c>
      <c r="R2177" t="s">
        <v>579</v>
      </c>
      <c r="S2177" t="s">
        <v>823</v>
      </c>
      <c r="T2177">
        <v>41</v>
      </c>
      <c r="U2177" s="26" t="str">
        <f>HYPERLINK("https://ictv.global/ictv/proposals/2025.011B.Chaseviridae_1ng_12ns.zip","2025.011B.Chaseviridae_1ng_12ns.zip")</f>
        <v>2025.011B.Chaseviridae_1ng_12ns.zip</v>
      </c>
    </row>
    <row r="2178" spans="1:21">
      <c r="A2178">
        <v>2177</v>
      </c>
      <c r="B2178" s="27" t="s">
        <v>1449</v>
      </c>
      <c r="D2178" s="27" t="s">
        <v>1450</v>
      </c>
      <c r="F2178" s="27" t="s">
        <v>1453</v>
      </c>
      <c r="H2178" s="27" t="s">
        <v>1454</v>
      </c>
      <c r="L2178" s="27" t="s">
        <v>1602</v>
      </c>
      <c r="M2178" s="27" t="s">
        <v>2044</v>
      </c>
      <c r="N2178" s="27" t="s">
        <v>1605</v>
      </c>
      <c r="P2178" s="27" t="s">
        <v>4585</v>
      </c>
      <c r="Q2178" s="26" t="str">
        <f>HYPERLINK("https://ictv.global/taxonomy/taxondetails?taxnode_id=202509858&amp;ictv_id=ICTV202009858","ICTV202009858")</f>
        <v>ICTV202009858</v>
      </c>
      <c r="R2178" t="s">
        <v>579</v>
      </c>
      <c r="S2178" t="s">
        <v>824</v>
      </c>
      <c r="T2178">
        <v>37</v>
      </c>
      <c r="U2178" s="26" t="str">
        <f>HYPERLINK("https://ictv.global/ictv/proposals/2021.010B.R.Binomial_names.zip","2021.010B.R.Binomial_names.zip")</f>
        <v>2021.010B.R.Binomial_names.zip</v>
      </c>
    </row>
    <row r="2179" spans="1:21">
      <c r="A2179">
        <v>2178</v>
      </c>
      <c r="B2179" s="27" t="s">
        <v>1449</v>
      </c>
      <c r="D2179" s="27" t="s">
        <v>1450</v>
      </c>
      <c r="F2179" s="27" t="s">
        <v>1453</v>
      </c>
      <c r="H2179" s="27" t="s">
        <v>1454</v>
      </c>
      <c r="L2179" s="27" t="s">
        <v>1602</v>
      </c>
      <c r="M2179" s="27" t="s">
        <v>2044</v>
      </c>
      <c r="N2179" s="27" t="s">
        <v>1605</v>
      </c>
      <c r="P2179" s="27" t="s">
        <v>4586</v>
      </c>
      <c r="Q2179" s="26" t="str">
        <f>HYPERLINK("https://ictv.global/taxonomy/taxondetails?taxnode_id=202507752&amp;ictv_id=ICTV201907752","ICTV201907752")</f>
        <v>ICTV201907752</v>
      </c>
      <c r="R2179" t="s">
        <v>579</v>
      </c>
      <c r="S2179" t="s">
        <v>824</v>
      </c>
      <c r="T2179">
        <v>37</v>
      </c>
      <c r="U2179" s="26" t="str">
        <f>HYPERLINK("https://ictv.global/ictv/proposals/2021.010B.R.Binomial_names.zip","2021.010B.R.Binomial_names.zip")</f>
        <v>2021.010B.R.Binomial_names.zip</v>
      </c>
    </row>
    <row r="2180" spans="1:21">
      <c r="A2180">
        <v>2179</v>
      </c>
      <c r="B2180" s="27" t="s">
        <v>1449</v>
      </c>
      <c r="D2180" s="27" t="s">
        <v>1450</v>
      </c>
      <c r="F2180" s="27" t="s">
        <v>1453</v>
      </c>
      <c r="H2180" s="27" t="s">
        <v>1454</v>
      </c>
      <c r="L2180" s="27" t="s">
        <v>1602</v>
      </c>
      <c r="M2180" s="27" t="s">
        <v>2044</v>
      </c>
      <c r="N2180" s="27" t="s">
        <v>2045</v>
      </c>
      <c r="P2180" s="27" t="s">
        <v>4587</v>
      </c>
      <c r="Q2180" s="26" t="str">
        <f>HYPERLINK("https://ictv.global/taxonomy/taxondetails?taxnode_id=202509857&amp;ictv_id=ICTV202009857","ICTV202009857")</f>
        <v>ICTV202009857</v>
      </c>
      <c r="R2180" t="s">
        <v>579</v>
      </c>
      <c r="S2180" t="s">
        <v>824</v>
      </c>
      <c r="T2180">
        <v>37</v>
      </c>
      <c r="U2180" s="26" t="str">
        <f>HYPERLINK("https://ictv.global/ictv/proposals/2021.010B.R.Binomial_names.zip","2021.010B.R.Binomial_names.zip")</f>
        <v>2021.010B.R.Binomial_names.zip</v>
      </c>
    </row>
    <row r="2181" spans="1:21">
      <c r="A2181">
        <v>2180</v>
      </c>
      <c r="B2181" s="27" t="s">
        <v>1449</v>
      </c>
      <c r="D2181" s="27" t="s">
        <v>1450</v>
      </c>
      <c r="F2181" s="27" t="s">
        <v>1453</v>
      </c>
      <c r="H2181" s="27" t="s">
        <v>1454</v>
      </c>
      <c r="L2181" s="27" t="s">
        <v>1602</v>
      </c>
      <c r="M2181" s="27" t="s">
        <v>2044</v>
      </c>
      <c r="N2181" s="27" t="s">
        <v>21618</v>
      </c>
      <c r="P2181" s="27" t="s">
        <v>21619</v>
      </c>
      <c r="Q2181" s="26" t="str">
        <f>HYPERLINK("https://ictv.global/taxonomy/taxondetails?taxnode_id=202522484&amp;ictv_id=ICTV202522484","ICTV202522484")</f>
        <v>ICTV202522484</v>
      </c>
      <c r="R2181" t="s">
        <v>579</v>
      </c>
      <c r="S2181" t="s">
        <v>823</v>
      </c>
      <c r="T2181">
        <v>41</v>
      </c>
      <c r="U2181" s="26" t="str">
        <f>HYPERLINK("https://ictv.global/ictv/proposals/2025.011B.Chaseviridae_1ng_12ns.zip","2025.011B.Chaseviridae_1ng_12ns.zip")</f>
        <v>2025.011B.Chaseviridae_1ng_12ns.zip</v>
      </c>
    </row>
    <row r="2182" spans="1:21">
      <c r="A2182">
        <v>2181</v>
      </c>
      <c r="B2182" s="27" t="s">
        <v>1449</v>
      </c>
      <c r="D2182" s="27" t="s">
        <v>1450</v>
      </c>
      <c r="F2182" s="27" t="s">
        <v>1453</v>
      </c>
      <c r="H2182" s="27" t="s">
        <v>1454</v>
      </c>
      <c r="L2182" s="27" t="s">
        <v>1602</v>
      </c>
      <c r="M2182" s="27" t="s">
        <v>2044</v>
      </c>
      <c r="N2182" s="27" t="s">
        <v>2046</v>
      </c>
      <c r="P2182" s="27" t="s">
        <v>4588</v>
      </c>
      <c r="Q2182" s="26" t="str">
        <f>HYPERLINK("https://ictv.global/taxonomy/taxondetails?taxnode_id=202509860&amp;ictv_id=ICTV202009860","ICTV202009860")</f>
        <v>ICTV202009860</v>
      </c>
      <c r="R2182" t="s">
        <v>579</v>
      </c>
      <c r="S2182" t="s">
        <v>824</v>
      </c>
      <c r="T2182">
        <v>37</v>
      </c>
      <c r="U2182" s="26" t="str">
        <f>HYPERLINK("https://ictv.global/ictv/proposals/2021.010B.R.Binomial_names.zip","2021.010B.R.Binomial_names.zip")</f>
        <v>2021.010B.R.Binomial_names.zip</v>
      </c>
    </row>
    <row r="2183" spans="1:21">
      <c r="A2183">
        <v>2182</v>
      </c>
      <c r="B2183" s="27" t="s">
        <v>1449</v>
      </c>
      <c r="D2183" s="27" t="s">
        <v>1450</v>
      </c>
      <c r="F2183" s="27" t="s">
        <v>1453</v>
      </c>
      <c r="H2183" s="27" t="s">
        <v>1454</v>
      </c>
      <c r="L2183" s="27" t="s">
        <v>1602</v>
      </c>
      <c r="M2183" s="27" t="s">
        <v>2044</v>
      </c>
      <c r="N2183" s="27" t="s">
        <v>1607</v>
      </c>
      <c r="P2183" s="27" t="s">
        <v>4589</v>
      </c>
      <c r="Q2183" s="26" t="str">
        <f>HYPERLINK("https://ictv.global/taxonomy/taxondetails?taxnode_id=202507744&amp;ictv_id=ICTV201907744","ICTV201907744")</f>
        <v>ICTV201907744</v>
      </c>
      <c r="R2183" t="s">
        <v>579</v>
      </c>
      <c r="S2183" t="s">
        <v>824</v>
      </c>
      <c r="T2183">
        <v>37</v>
      </c>
      <c r="U2183" s="26" t="str">
        <f>HYPERLINK("https://ictv.global/ictv/proposals/2021.010B.R.Binomial_names.zip","2021.010B.R.Binomial_names.zip")</f>
        <v>2021.010B.R.Binomial_names.zip</v>
      </c>
    </row>
    <row r="2184" spans="1:21">
      <c r="A2184">
        <v>2183</v>
      </c>
      <c r="B2184" s="27" t="s">
        <v>1449</v>
      </c>
      <c r="D2184" s="27" t="s">
        <v>1450</v>
      </c>
      <c r="F2184" s="27" t="s">
        <v>1453</v>
      </c>
      <c r="H2184" s="27" t="s">
        <v>1454</v>
      </c>
      <c r="L2184" s="27" t="s">
        <v>1602</v>
      </c>
      <c r="M2184" s="27" t="s">
        <v>2044</v>
      </c>
      <c r="N2184" s="27" t="s">
        <v>1607</v>
      </c>
      <c r="P2184" s="27" t="s">
        <v>4590</v>
      </c>
      <c r="Q2184" s="26" t="str">
        <f>HYPERLINK("https://ictv.global/taxonomy/taxondetails?taxnode_id=202507745&amp;ictv_id=ICTV201907745","ICTV201907745")</f>
        <v>ICTV201907745</v>
      </c>
      <c r="R2184" t="s">
        <v>579</v>
      </c>
      <c r="S2184" t="s">
        <v>824</v>
      </c>
      <c r="T2184">
        <v>37</v>
      </c>
      <c r="U2184" s="26" t="str">
        <f>HYPERLINK("https://ictv.global/ictv/proposals/2021.010B.R.Binomial_names.zip","2021.010B.R.Binomial_names.zip")</f>
        <v>2021.010B.R.Binomial_names.zip</v>
      </c>
    </row>
    <row r="2185" spans="1:21">
      <c r="A2185">
        <v>2184</v>
      </c>
      <c r="B2185" s="27" t="s">
        <v>1449</v>
      </c>
      <c r="D2185" s="27" t="s">
        <v>1450</v>
      </c>
      <c r="F2185" s="27" t="s">
        <v>1453</v>
      </c>
      <c r="H2185" s="27" t="s">
        <v>1454</v>
      </c>
      <c r="L2185" s="27" t="s">
        <v>1602</v>
      </c>
      <c r="M2185" s="27" t="s">
        <v>2047</v>
      </c>
      <c r="N2185" s="27" t="s">
        <v>11330</v>
      </c>
      <c r="P2185" s="27" t="s">
        <v>11331</v>
      </c>
      <c r="Q2185" s="26" t="str">
        <f>HYPERLINK("https://ictv.global/taxonomy/taxondetails?taxnode_id=202518080&amp;ictv_id=ICTV202318080","ICTV202318080")</f>
        <v>ICTV202318080</v>
      </c>
      <c r="R2185" t="s">
        <v>579</v>
      </c>
      <c r="S2185" t="s">
        <v>823</v>
      </c>
      <c r="T2185">
        <v>39</v>
      </c>
      <c r="U2185" s="26" t="str">
        <f>HYPERLINK("https://ictv.global/ictv/proposals/2023.014B.Chaseviridae_4ng.zip","2023.014B.Chaseviridae_4ng.zip")</f>
        <v>2023.014B.Chaseviridae_4ng.zip</v>
      </c>
    </row>
    <row r="2186" spans="1:21">
      <c r="A2186">
        <v>2185</v>
      </c>
      <c r="B2186" s="27" t="s">
        <v>1449</v>
      </c>
      <c r="D2186" s="27" t="s">
        <v>1450</v>
      </c>
      <c r="F2186" s="27" t="s">
        <v>1453</v>
      </c>
      <c r="H2186" s="27" t="s">
        <v>1454</v>
      </c>
      <c r="L2186" s="27" t="s">
        <v>1602</v>
      </c>
      <c r="M2186" s="27" t="s">
        <v>2047</v>
      </c>
      <c r="N2186" s="27" t="s">
        <v>11332</v>
      </c>
      <c r="P2186" s="27" t="s">
        <v>11333</v>
      </c>
      <c r="Q2186" s="26" t="str">
        <f>HYPERLINK("https://ictv.global/taxonomy/taxondetails?taxnode_id=202518081&amp;ictv_id=ICTV202318081","ICTV202318081")</f>
        <v>ICTV202318081</v>
      </c>
      <c r="R2186" t="s">
        <v>579</v>
      </c>
      <c r="S2186" t="s">
        <v>823</v>
      </c>
      <c r="T2186">
        <v>39</v>
      </c>
      <c r="U2186" s="26" t="str">
        <f>HYPERLINK("https://ictv.global/ictv/proposals/2023.014B.Chaseviridae_4ng.zip","2023.014B.Chaseviridae_4ng.zip")</f>
        <v>2023.014B.Chaseviridae_4ng.zip</v>
      </c>
    </row>
    <row r="2187" spans="1:21">
      <c r="A2187">
        <v>2186</v>
      </c>
      <c r="B2187" s="27" t="s">
        <v>1449</v>
      </c>
      <c r="D2187" s="27" t="s">
        <v>1450</v>
      </c>
      <c r="F2187" s="27" t="s">
        <v>1453</v>
      </c>
      <c r="H2187" s="27" t="s">
        <v>1454</v>
      </c>
      <c r="L2187" s="27" t="s">
        <v>1602</v>
      </c>
      <c r="M2187" s="27" t="s">
        <v>2047</v>
      </c>
      <c r="N2187" s="27" t="s">
        <v>11332</v>
      </c>
      <c r="P2187" s="27" t="s">
        <v>21620</v>
      </c>
      <c r="Q2187" s="26" t="str">
        <f>HYPERLINK("https://ictv.global/taxonomy/taxondetails?taxnode_id=202522485&amp;ictv_id=ICTV202522485","ICTV202522485")</f>
        <v>ICTV202522485</v>
      </c>
      <c r="R2187" t="s">
        <v>579</v>
      </c>
      <c r="S2187" t="s">
        <v>823</v>
      </c>
      <c r="T2187">
        <v>41</v>
      </c>
      <c r="U2187" s="26" t="str">
        <f>HYPERLINK("https://ictv.global/ictv/proposals/2025.011B.Chaseviridae_1ng_12ns.zip","2025.011B.Chaseviridae_1ng_12ns.zip")</f>
        <v>2025.011B.Chaseviridae_1ng_12ns.zip</v>
      </c>
    </row>
    <row r="2188" spans="1:21">
      <c r="A2188">
        <v>2187</v>
      </c>
      <c r="B2188" s="27" t="s">
        <v>1449</v>
      </c>
      <c r="D2188" s="27" t="s">
        <v>1450</v>
      </c>
      <c r="F2188" s="27" t="s">
        <v>1453</v>
      </c>
      <c r="H2188" s="27" t="s">
        <v>1454</v>
      </c>
      <c r="L2188" s="27" t="s">
        <v>1602</v>
      </c>
      <c r="M2188" s="27" t="s">
        <v>2047</v>
      </c>
      <c r="N2188" s="27" t="s">
        <v>1606</v>
      </c>
      <c r="P2188" s="27" t="s">
        <v>4591</v>
      </c>
      <c r="Q2188" s="26" t="str">
        <f>HYPERLINK("https://ictv.global/taxonomy/taxondetails?taxnode_id=202507750&amp;ictv_id=ICTV201907750","ICTV201907750")</f>
        <v>ICTV201907750</v>
      </c>
      <c r="R2188" t="s">
        <v>579</v>
      </c>
      <c r="S2188" t="s">
        <v>824</v>
      </c>
      <c r="T2188">
        <v>37</v>
      </c>
      <c r="U2188" s="26" t="str">
        <f>HYPERLINK("https://ictv.global/ictv/proposals/2021.010B.R.Binomial_names.zip","2021.010B.R.Binomial_names.zip")</f>
        <v>2021.010B.R.Binomial_names.zip</v>
      </c>
    </row>
    <row r="2189" spans="1:21">
      <c r="A2189">
        <v>2188</v>
      </c>
      <c r="B2189" s="27" t="s">
        <v>1449</v>
      </c>
      <c r="D2189" s="27" t="s">
        <v>1450</v>
      </c>
      <c r="F2189" s="27" t="s">
        <v>1453</v>
      </c>
      <c r="H2189" s="27" t="s">
        <v>1454</v>
      </c>
      <c r="L2189" s="27" t="s">
        <v>1602</v>
      </c>
      <c r="M2189" s="27" t="s">
        <v>2047</v>
      </c>
      <c r="N2189" s="27" t="s">
        <v>11334</v>
      </c>
      <c r="P2189" s="27" t="s">
        <v>11335</v>
      </c>
      <c r="Q2189" s="26" t="str">
        <f>HYPERLINK("https://ictv.global/taxonomy/taxondetails?taxnode_id=202518082&amp;ictv_id=ICTV202318082","ICTV202318082")</f>
        <v>ICTV202318082</v>
      </c>
      <c r="R2189" t="s">
        <v>579</v>
      </c>
      <c r="S2189" t="s">
        <v>823</v>
      </c>
      <c r="T2189">
        <v>39</v>
      </c>
      <c r="U2189" s="26" t="str">
        <f>HYPERLINK("https://ictv.global/ictv/proposals/2023.014B.Chaseviridae_4ng.zip","2023.014B.Chaseviridae_4ng.zip")</f>
        <v>2023.014B.Chaseviridae_4ng.zip</v>
      </c>
    </row>
    <row r="2190" spans="1:21">
      <c r="A2190">
        <v>2189</v>
      </c>
      <c r="B2190" s="27" t="s">
        <v>1449</v>
      </c>
      <c r="D2190" s="27" t="s">
        <v>1450</v>
      </c>
      <c r="F2190" s="27" t="s">
        <v>1453</v>
      </c>
      <c r="H2190" s="27" t="s">
        <v>1454</v>
      </c>
      <c r="L2190" s="27" t="s">
        <v>1602</v>
      </c>
      <c r="M2190" s="27" t="s">
        <v>2047</v>
      </c>
      <c r="N2190" s="27" t="s">
        <v>11334</v>
      </c>
      <c r="P2190" s="27" t="s">
        <v>11336</v>
      </c>
      <c r="Q2190" s="26" t="str">
        <f>HYPERLINK("https://ictv.global/taxonomy/taxondetails?taxnode_id=202518083&amp;ictv_id=ICTV202318083","ICTV202318083")</f>
        <v>ICTV202318083</v>
      </c>
      <c r="R2190" t="s">
        <v>579</v>
      </c>
      <c r="S2190" t="s">
        <v>823</v>
      </c>
      <c r="T2190">
        <v>39</v>
      </c>
      <c r="U2190" s="26" t="str">
        <f>HYPERLINK("https://ictv.global/ictv/proposals/2023.014B.Chaseviridae_4ng.zip","2023.014B.Chaseviridae_4ng.zip")</f>
        <v>2023.014B.Chaseviridae_4ng.zip</v>
      </c>
    </row>
    <row r="2191" spans="1:21">
      <c r="A2191">
        <v>2190</v>
      </c>
      <c r="B2191" s="27" t="s">
        <v>1449</v>
      </c>
      <c r="D2191" s="27" t="s">
        <v>1450</v>
      </c>
      <c r="F2191" s="27" t="s">
        <v>1453</v>
      </c>
      <c r="H2191" s="27" t="s">
        <v>1454</v>
      </c>
      <c r="L2191" s="27" t="s">
        <v>1602</v>
      </c>
      <c r="M2191" s="27" t="s">
        <v>2047</v>
      </c>
      <c r="N2191" s="27" t="s">
        <v>4594</v>
      </c>
      <c r="P2191" s="27" t="s">
        <v>21621</v>
      </c>
      <c r="Q2191" s="26" t="str">
        <f>HYPERLINK("https://ictv.global/taxonomy/taxondetails?taxnode_id=202522486&amp;ictv_id=ICTV202522486","ICTV202522486")</f>
        <v>ICTV202522486</v>
      </c>
      <c r="R2191" t="s">
        <v>579</v>
      </c>
      <c r="S2191" t="s">
        <v>823</v>
      </c>
      <c r="T2191">
        <v>41</v>
      </c>
      <c r="U2191" s="26" t="str">
        <f>HYPERLINK("https://ictv.global/ictv/proposals/2025.011B.Chaseviridae_1ng_12ns.zip","2025.011B.Chaseviridae_1ng_12ns.zip")</f>
        <v>2025.011B.Chaseviridae_1ng_12ns.zip</v>
      </c>
    </row>
    <row r="2192" spans="1:21">
      <c r="A2192">
        <v>2191</v>
      </c>
      <c r="B2192" s="27" t="s">
        <v>1449</v>
      </c>
      <c r="D2192" s="27" t="s">
        <v>1450</v>
      </c>
      <c r="F2192" s="27" t="s">
        <v>1453</v>
      </c>
      <c r="H2192" s="27" t="s">
        <v>1454</v>
      </c>
      <c r="L2192" s="27" t="s">
        <v>1602</v>
      </c>
      <c r="M2192" s="27" t="s">
        <v>2047</v>
      </c>
      <c r="N2192" s="27" t="s">
        <v>4594</v>
      </c>
      <c r="P2192" s="27" t="s">
        <v>4595</v>
      </c>
      <c r="Q2192" s="26" t="str">
        <f>HYPERLINK("https://ictv.global/taxonomy/taxondetails?taxnode_id=202514850&amp;ictv_id=ICTV202214850","ICTV202214850")</f>
        <v>ICTV202214850</v>
      </c>
      <c r="R2192" t="s">
        <v>579</v>
      </c>
      <c r="S2192" t="s">
        <v>22763</v>
      </c>
      <c r="T2192">
        <v>39</v>
      </c>
      <c r="U2192" s="26" t="str">
        <f>HYPERLINK("https://ictv.global/ictv/proposals/2023.014B.Chaseviridae_4ng.zip","2023.014B.Chaseviridae_4ng.zip")</f>
        <v>2023.014B.Chaseviridae_4ng.zip</v>
      </c>
    </row>
    <row r="2193" spans="1:21">
      <c r="A2193">
        <v>2192</v>
      </c>
      <c r="B2193" s="27" t="s">
        <v>1449</v>
      </c>
      <c r="D2193" s="27" t="s">
        <v>1450</v>
      </c>
      <c r="F2193" s="27" t="s">
        <v>1453</v>
      </c>
      <c r="H2193" s="27" t="s">
        <v>1454</v>
      </c>
      <c r="L2193" s="27" t="s">
        <v>1602</v>
      </c>
      <c r="M2193" s="27" t="s">
        <v>2047</v>
      </c>
      <c r="N2193" s="27" t="s">
        <v>1608</v>
      </c>
      <c r="P2193" s="27" t="s">
        <v>4592</v>
      </c>
      <c r="Q2193" s="26" t="str">
        <f>HYPERLINK("https://ictv.global/taxonomy/taxondetails?taxnode_id=202507747&amp;ictv_id=ICTV201907747","ICTV201907747")</f>
        <v>ICTV201907747</v>
      </c>
      <c r="R2193" t="s">
        <v>579</v>
      </c>
      <c r="S2193" t="s">
        <v>824</v>
      </c>
      <c r="T2193">
        <v>37</v>
      </c>
      <c r="U2193" s="26" t="str">
        <f>HYPERLINK("https://ictv.global/ictv/proposals/2021.010B.R.Binomial_names.zip","2021.010B.R.Binomial_names.zip")</f>
        <v>2021.010B.R.Binomial_names.zip</v>
      </c>
    </row>
    <row r="2194" spans="1:21">
      <c r="A2194">
        <v>2193</v>
      </c>
      <c r="B2194" s="27" t="s">
        <v>1449</v>
      </c>
      <c r="D2194" s="27" t="s">
        <v>1450</v>
      </c>
      <c r="F2194" s="27" t="s">
        <v>1453</v>
      </c>
      <c r="H2194" s="27" t="s">
        <v>1454</v>
      </c>
      <c r="L2194" s="27" t="s">
        <v>1602</v>
      </c>
      <c r="M2194" s="27" t="s">
        <v>2047</v>
      </c>
      <c r="N2194" s="27" t="s">
        <v>1608</v>
      </c>
      <c r="P2194" s="27" t="s">
        <v>4593</v>
      </c>
      <c r="Q2194" s="26" t="str">
        <f>HYPERLINK("https://ictv.global/taxonomy/taxondetails?taxnode_id=202507748&amp;ictv_id=ICTV201907748","ICTV201907748")</f>
        <v>ICTV201907748</v>
      </c>
      <c r="R2194" t="s">
        <v>579</v>
      </c>
      <c r="S2194" t="s">
        <v>824</v>
      </c>
      <c r="T2194">
        <v>37</v>
      </c>
      <c r="U2194" s="26" t="str">
        <f>HYPERLINK("https://ictv.global/ictv/proposals/2021.010B.R.Binomial_names.zip","2021.010B.R.Binomial_names.zip")</f>
        <v>2021.010B.R.Binomial_names.zip</v>
      </c>
    </row>
    <row r="2195" spans="1:21">
      <c r="A2195">
        <v>2194</v>
      </c>
      <c r="B2195" s="27" t="s">
        <v>1449</v>
      </c>
      <c r="D2195" s="27" t="s">
        <v>1450</v>
      </c>
      <c r="F2195" s="27" t="s">
        <v>1453</v>
      </c>
      <c r="H2195" s="27" t="s">
        <v>1454</v>
      </c>
      <c r="L2195" s="27" t="s">
        <v>11337</v>
      </c>
      <c r="M2195" s="27" t="s">
        <v>2076</v>
      </c>
      <c r="N2195" s="27" t="s">
        <v>1222</v>
      </c>
      <c r="P2195" s="27" t="s">
        <v>6115</v>
      </c>
      <c r="Q2195" s="26" t="str">
        <f>HYPERLINK("https://ictv.global/taxonomy/taxondetails?taxnode_id=202506799&amp;ictv_id=ICTV201856799","ICTV201856799")</f>
        <v>ICTV201856799</v>
      </c>
      <c r="R2195" t="s">
        <v>579</v>
      </c>
      <c r="S2195" t="s">
        <v>22763</v>
      </c>
      <c r="T2195">
        <v>39</v>
      </c>
      <c r="U2195" s="26" t="str">
        <f t="shared" ref="U2195:U2206" si="75">HYPERLINK("https://ictv.global/ictv/proposals/2023.015B.Chimalliviridae_nf.zip","2023.015B.Chimalliviridae_nf.zip")</f>
        <v>2023.015B.Chimalliviridae_nf.zip</v>
      </c>
    </row>
    <row r="2196" spans="1:21">
      <c r="A2196">
        <v>2195</v>
      </c>
      <c r="B2196" s="27" t="s">
        <v>1449</v>
      </c>
      <c r="D2196" s="27" t="s">
        <v>1450</v>
      </c>
      <c r="F2196" s="27" t="s">
        <v>1453</v>
      </c>
      <c r="H2196" s="27" t="s">
        <v>1454</v>
      </c>
      <c r="L2196" s="27" t="s">
        <v>11337</v>
      </c>
      <c r="M2196" s="27" t="s">
        <v>2076</v>
      </c>
      <c r="N2196" s="27" t="s">
        <v>1222</v>
      </c>
      <c r="P2196" s="27" t="s">
        <v>6116</v>
      </c>
      <c r="Q2196" s="26" t="str">
        <f>HYPERLINK("https://ictv.global/taxonomy/taxondetails?taxnode_id=202510052&amp;ictv_id=ICTV202010052","ICTV202010052")</f>
        <v>ICTV202010052</v>
      </c>
      <c r="R2196" t="s">
        <v>579</v>
      </c>
      <c r="S2196" t="s">
        <v>22763</v>
      </c>
      <c r="T2196">
        <v>39</v>
      </c>
      <c r="U2196" s="26" t="str">
        <f t="shared" si="75"/>
        <v>2023.015B.Chimalliviridae_nf.zip</v>
      </c>
    </row>
    <row r="2197" spans="1:21">
      <c r="A2197">
        <v>2196</v>
      </c>
      <c r="B2197" s="27" t="s">
        <v>1449</v>
      </c>
      <c r="D2197" s="27" t="s">
        <v>1450</v>
      </c>
      <c r="F2197" s="27" t="s">
        <v>1453</v>
      </c>
      <c r="H2197" s="27" t="s">
        <v>1454</v>
      </c>
      <c r="L2197" s="27" t="s">
        <v>11337</v>
      </c>
      <c r="M2197" s="27" t="s">
        <v>2076</v>
      </c>
      <c r="N2197" s="27" t="s">
        <v>1222</v>
      </c>
      <c r="P2197" s="27" t="s">
        <v>6117</v>
      </c>
      <c r="Q2197" s="26" t="str">
        <f>HYPERLINK("https://ictv.global/taxonomy/taxondetails?taxnode_id=202510053&amp;ictv_id=ICTV202010053","ICTV202010053")</f>
        <v>ICTV202010053</v>
      </c>
      <c r="R2197" t="s">
        <v>579</v>
      </c>
      <c r="S2197" t="s">
        <v>22763</v>
      </c>
      <c r="T2197">
        <v>39</v>
      </c>
      <c r="U2197" s="26" t="str">
        <f t="shared" si="75"/>
        <v>2023.015B.Chimalliviridae_nf.zip</v>
      </c>
    </row>
    <row r="2198" spans="1:21">
      <c r="A2198">
        <v>2197</v>
      </c>
      <c r="B2198" s="27" t="s">
        <v>1449</v>
      </c>
      <c r="D2198" s="27" t="s">
        <v>1450</v>
      </c>
      <c r="F2198" s="27" t="s">
        <v>1453</v>
      </c>
      <c r="H2198" s="27" t="s">
        <v>1454</v>
      </c>
      <c r="L2198" s="27" t="s">
        <v>11337</v>
      </c>
      <c r="M2198" s="27" t="s">
        <v>2076</v>
      </c>
      <c r="N2198" s="27" t="s">
        <v>1222</v>
      </c>
      <c r="P2198" s="27" t="s">
        <v>6118</v>
      </c>
      <c r="Q2198" s="26" t="str">
        <f>HYPERLINK("https://ictv.global/taxonomy/taxondetails?taxnode_id=202510051&amp;ictv_id=ICTV202010051","ICTV202010051")</f>
        <v>ICTV202010051</v>
      </c>
      <c r="R2198" t="s">
        <v>579</v>
      </c>
      <c r="S2198" t="s">
        <v>22763</v>
      </c>
      <c r="T2198">
        <v>39</v>
      </c>
      <c r="U2198" s="26" t="str">
        <f t="shared" si="75"/>
        <v>2023.015B.Chimalliviridae_nf.zip</v>
      </c>
    </row>
    <row r="2199" spans="1:21">
      <c r="A2199">
        <v>2198</v>
      </c>
      <c r="B2199" s="27" t="s">
        <v>1449</v>
      </c>
      <c r="D2199" s="27" t="s">
        <v>1450</v>
      </c>
      <c r="F2199" s="27" t="s">
        <v>1453</v>
      </c>
      <c r="H2199" s="27" t="s">
        <v>1454</v>
      </c>
      <c r="L2199" s="27" t="s">
        <v>11337</v>
      </c>
      <c r="M2199" s="27" t="s">
        <v>2076</v>
      </c>
      <c r="N2199" s="27" t="s">
        <v>1265</v>
      </c>
      <c r="P2199" s="27" t="s">
        <v>6119</v>
      </c>
      <c r="Q2199" s="26" t="str">
        <f>HYPERLINK("https://ictv.global/taxonomy/taxondetails?taxnode_id=202506892&amp;ictv_id=ICTV201856892","ICTV201856892")</f>
        <v>ICTV201856892</v>
      </c>
      <c r="R2199" t="s">
        <v>579</v>
      </c>
      <c r="S2199" t="s">
        <v>22763</v>
      </c>
      <c r="T2199">
        <v>39</v>
      </c>
      <c r="U2199" s="26" t="str">
        <f t="shared" si="75"/>
        <v>2023.015B.Chimalliviridae_nf.zip</v>
      </c>
    </row>
    <row r="2200" spans="1:21">
      <c r="A2200">
        <v>2199</v>
      </c>
      <c r="B2200" s="27" t="s">
        <v>1449</v>
      </c>
      <c r="D2200" s="27" t="s">
        <v>1450</v>
      </c>
      <c r="F2200" s="27" t="s">
        <v>1453</v>
      </c>
      <c r="H2200" s="27" t="s">
        <v>1454</v>
      </c>
      <c r="L2200" s="27" t="s">
        <v>11337</v>
      </c>
      <c r="M2200" s="27" t="s">
        <v>2076</v>
      </c>
      <c r="N2200" s="27" t="s">
        <v>1265</v>
      </c>
      <c r="P2200" s="27" t="s">
        <v>6120</v>
      </c>
      <c r="Q2200" s="26" t="str">
        <f>HYPERLINK("https://ictv.global/taxonomy/taxondetails?taxnode_id=202506893&amp;ictv_id=ICTV201856893","ICTV201856893")</f>
        <v>ICTV201856893</v>
      </c>
      <c r="R2200" t="s">
        <v>579</v>
      </c>
      <c r="S2200" t="s">
        <v>22763</v>
      </c>
      <c r="T2200">
        <v>39</v>
      </c>
      <c r="U2200" s="26" t="str">
        <f t="shared" si="75"/>
        <v>2023.015B.Chimalliviridae_nf.zip</v>
      </c>
    </row>
    <row r="2201" spans="1:21">
      <c r="A2201">
        <v>2200</v>
      </c>
      <c r="B2201" s="27" t="s">
        <v>1449</v>
      </c>
      <c r="D2201" s="27" t="s">
        <v>1450</v>
      </c>
      <c r="F2201" s="27" t="s">
        <v>1453</v>
      </c>
      <c r="H2201" s="27" t="s">
        <v>1454</v>
      </c>
      <c r="L2201" s="27" t="s">
        <v>11337</v>
      </c>
      <c r="N2201" s="27" t="s">
        <v>1220</v>
      </c>
      <c r="P2201" s="27" t="s">
        <v>6554</v>
      </c>
      <c r="Q2201" s="26" t="str">
        <f>HYPERLINK("https://ictv.global/taxonomy/taxondetails?taxnode_id=202500371&amp;ictv_id=ICTV20164848","ICTV20164848")</f>
        <v>ICTV20164848</v>
      </c>
      <c r="R2201" t="s">
        <v>579</v>
      </c>
      <c r="S2201" t="s">
        <v>22763</v>
      </c>
      <c r="T2201">
        <v>39</v>
      </c>
      <c r="U2201" s="26" t="str">
        <f t="shared" si="75"/>
        <v>2023.015B.Chimalliviridae_nf.zip</v>
      </c>
    </row>
    <row r="2202" spans="1:21">
      <c r="A2202">
        <v>2201</v>
      </c>
      <c r="B2202" s="27" t="s">
        <v>1449</v>
      </c>
      <c r="D2202" s="27" t="s">
        <v>1450</v>
      </c>
      <c r="F2202" s="27" t="s">
        <v>1453</v>
      </c>
      <c r="H2202" s="27" t="s">
        <v>1454</v>
      </c>
      <c r="L2202" s="27" t="s">
        <v>11337</v>
      </c>
      <c r="N2202" s="27" t="s">
        <v>1220</v>
      </c>
      <c r="P2202" s="27" t="s">
        <v>6555</v>
      </c>
      <c r="Q2202" s="26" t="str">
        <f>HYPERLINK("https://ictv.global/taxonomy/taxondetails?taxnode_id=202506995&amp;ictv_id=ICTV201856995","ICTV201856995")</f>
        <v>ICTV201856995</v>
      </c>
      <c r="R2202" t="s">
        <v>579</v>
      </c>
      <c r="S2202" t="s">
        <v>22763</v>
      </c>
      <c r="T2202">
        <v>39</v>
      </c>
      <c r="U2202" s="26" t="str">
        <f t="shared" si="75"/>
        <v>2023.015B.Chimalliviridae_nf.zip</v>
      </c>
    </row>
    <row r="2203" spans="1:21">
      <c r="A2203">
        <v>2202</v>
      </c>
      <c r="B2203" s="27" t="s">
        <v>1449</v>
      </c>
      <c r="D2203" s="27" t="s">
        <v>1450</v>
      </c>
      <c r="F2203" s="27" t="s">
        <v>1453</v>
      </c>
      <c r="H2203" s="27" t="s">
        <v>1454</v>
      </c>
      <c r="L2203" s="27" t="s">
        <v>11337</v>
      </c>
      <c r="N2203" s="27" t="s">
        <v>1220</v>
      </c>
      <c r="P2203" s="27" t="s">
        <v>6556</v>
      </c>
      <c r="Q2203" s="26" t="str">
        <f>HYPERLINK("https://ictv.global/taxonomy/taxondetails?taxnode_id=202500372&amp;ictv_id=ICTV20164849","ICTV20164849")</f>
        <v>ICTV20164849</v>
      </c>
      <c r="R2203" t="s">
        <v>579</v>
      </c>
      <c r="S2203" t="s">
        <v>22763</v>
      </c>
      <c r="T2203">
        <v>39</v>
      </c>
      <c r="U2203" s="26" t="str">
        <f t="shared" si="75"/>
        <v>2023.015B.Chimalliviridae_nf.zip</v>
      </c>
    </row>
    <row r="2204" spans="1:21">
      <c r="A2204">
        <v>2203</v>
      </c>
      <c r="B2204" s="27" t="s">
        <v>1449</v>
      </c>
      <c r="D2204" s="27" t="s">
        <v>1450</v>
      </c>
      <c r="F2204" s="27" t="s">
        <v>1453</v>
      </c>
      <c r="H2204" s="27" t="s">
        <v>1454</v>
      </c>
      <c r="L2204" s="27" t="s">
        <v>11337</v>
      </c>
      <c r="N2204" s="27" t="s">
        <v>1220</v>
      </c>
      <c r="P2204" s="27" t="s">
        <v>6557</v>
      </c>
      <c r="Q2204" s="26" t="str">
        <f>HYPERLINK("https://ictv.global/taxonomy/taxondetails?taxnode_id=202500373&amp;ictv_id=ICTV20164850","ICTV20164850")</f>
        <v>ICTV20164850</v>
      </c>
      <c r="R2204" t="s">
        <v>579</v>
      </c>
      <c r="S2204" t="s">
        <v>22763</v>
      </c>
      <c r="T2204">
        <v>39</v>
      </c>
      <c r="U2204" s="26" t="str">
        <f t="shared" si="75"/>
        <v>2023.015B.Chimalliviridae_nf.zip</v>
      </c>
    </row>
    <row r="2205" spans="1:21">
      <c r="A2205">
        <v>2204</v>
      </c>
      <c r="B2205" s="27" t="s">
        <v>1449</v>
      </c>
      <c r="D2205" s="27" t="s">
        <v>1450</v>
      </c>
      <c r="F2205" s="27" t="s">
        <v>1453</v>
      </c>
      <c r="H2205" s="27" t="s">
        <v>1454</v>
      </c>
      <c r="L2205" s="27" t="s">
        <v>11337</v>
      </c>
      <c r="N2205" s="27" t="s">
        <v>1220</v>
      </c>
      <c r="P2205" s="27" t="s">
        <v>6558</v>
      </c>
      <c r="Q2205" s="26" t="str">
        <f>HYPERLINK("https://ictv.global/taxonomy/taxondetails?taxnode_id=202500374&amp;ictv_id=ICTV20164851","ICTV20164851")</f>
        <v>ICTV20164851</v>
      </c>
      <c r="R2205" t="s">
        <v>579</v>
      </c>
      <c r="S2205" t="s">
        <v>22763</v>
      </c>
      <c r="T2205">
        <v>39</v>
      </c>
      <c r="U2205" s="26" t="str">
        <f t="shared" si="75"/>
        <v>2023.015B.Chimalliviridae_nf.zip</v>
      </c>
    </row>
    <row r="2206" spans="1:21">
      <c r="A2206">
        <v>2205</v>
      </c>
      <c r="B2206" s="27" t="s">
        <v>1449</v>
      </c>
      <c r="D2206" s="27" t="s">
        <v>1450</v>
      </c>
      <c r="F2206" s="27" t="s">
        <v>1453</v>
      </c>
      <c r="H2206" s="27" t="s">
        <v>1454</v>
      </c>
      <c r="L2206" s="27" t="s">
        <v>11337</v>
      </c>
      <c r="N2206" s="27" t="s">
        <v>1220</v>
      </c>
      <c r="P2206" s="27" t="s">
        <v>6559</v>
      </c>
      <c r="Q2206" s="26" t="str">
        <f>HYPERLINK("https://ictv.global/taxonomy/taxondetails?taxnode_id=202500375&amp;ictv_id=ICTV20164852","ICTV20164852")</f>
        <v>ICTV20164852</v>
      </c>
      <c r="R2206" t="s">
        <v>579</v>
      </c>
      <c r="S2206" t="s">
        <v>22763</v>
      </c>
      <c r="T2206">
        <v>39</v>
      </c>
      <c r="U2206" s="26" t="str">
        <f t="shared" si="75"/>
        <v>2023.015B.Chimalliviridae_nf.zip</v>
      </c>
    </row>
    <row r="2207" spans="1:21">
      <c r="A2207">
        <v>2206</v>
      </c>
      <c r="B2207" s="27" t="s">
        <v>1449</v>
      </c>
      <c r="D2207" s="27" t="s">
        <v>1450</v>
      </c>
      <c r="F2207" s="27" t="s">
        <v>1453</v>
      </c>
      <c r="H2207" s="27" t="s">
        <v>1454</v>
      </c>
      <c r="L2207" s="27" t="s">
        <v>11337</v>
      </c>
      <c r="N2207" s="27" t="s">
        <v>6716</v>
      </c>
      <c r="P2207" s="27" t="s">
        <v>6717</v>
      </c>
      <c r="Q2207" s="26" t="str">
        <f>HYPERLINK("https://ictv.global/taxonomy/taxondetails?taxnode_id=202514525&amp;ictv_id=ICTV202214525","ICTV202214525")</f>
        <v>ICTV202214525</v>
      </c>
      <c r="R2207" t="s">
        <v>579</v>
      </c>
      <c r="S2207" t="s">
        <v>22763</v>
      </c>
      <c r="T2207">
        <v>40</v>
      </c>
      <c r="U2207" s="26" t="str">
        <f>HYPERLINK("https://ictv.global/ictv/proposals/2024.007B.Chimalliviridae_16mg.zip","2024.007B.Chimalliviridae_16mg.zip")</f>
        <v>2024.007B.Chimalliviridae_16mg.zip</v>
      </c>
    </row>
    <row r="2208" spans="1:21">
      <c r="A2208">
        <v>2207</v>
      </c>
      <c r="B2208" s="27" t="s">
        <v>1449</v>
      </c>
      <c r="D2208" s="27" t="s">
        <v>1450</v>
      </c>
      <c r="F2208" s="27" t="s">
        <v>1453</v>
      </c>
      <c r="H2208" s="27" t="s">
        <v>1454</v>
      </c>
      <c r="L2208" s="27" t="s">
        <v>11337</v>
      </c>
      <c r="N2208" s="27" t="s">
        <v>6827</v>
      </c>
      <c r="P2208" s="27" t="s">
        <v>6828</v>
      </c>
      <c r="Q2208" s="26" t="str">
        <f>HYPERLINK("https://ictv.global/taxonomy/taxondetails?taxnode_id=202514556&amp;ictv_id=ICTV202214556","ICTV202214556")</f>
        <v>ICTV202214556</v>
      </c>
      <c r="R2208" t="s">
        <v>579</v>
      </c>
      <c r="S2208" t="s">
        <v>22763</v>
      </c>
      <c r="T2208">
        <v>40</v>
      </c>
      <c r="U2208" s="26" t="str">
        <f>HYPERLINK("https://ictv.global/ictv/proposals/2024.007B.Chimalliviridae_16mg.zip","2024.007B.Chimalliviridae_16mg.zip")</f>
        <v>2024.007B.Chimalliviridae_16mg.zip</v>
      </c>
    </row>
    <row r="2209" spans="1:21">
      <c r="A2209">
        <v>2208</v>
      </c>
      <c r="B2209" s="27" t="s">
        <v>1449</v>
      </c>
      <c r="D2209" s="27" t="s">
        <v>1450</v>
      </c>
      <c r="F2209" s="27" t="s">
        <v>1453</v>
      </c>
      <c r="H2209" s="27" t="s">
        <v>1454</v>
      </c>
      <c r="L2209" s="27" t="s">
        <v>11337</v>
      </c>
      <c r="N2209" s="27" t="s">
        <v>1229</v>
      </c>
      <c r="P2209" s="27" t="s">
        <v>6832</v>
      </c>
      <c r="Q2209" s="26" t="str">
        <f>HYPERLINK("https://ictv.global/taxonomy/taxondetails?taxnode_id=202500493&amp;ictv_id=ICTV20164877","ICTV20164877")</f>
        <v>ICTV20164877</v>
      </c>
      <c r="R2209" t="s">
        <v>579</v>
      </c>
      <c r="S2209" t="s">
        <v>22763</v>
      </c>
      <c r="T2209">
        <v>39</v>
      </c>
      <c r="U2209" s="26" t="str">
        <f>HYPERLINK("https://ictv.global/ictv/proposals/2023.015B.Chimalliviridae_nf.zip","2023.015B.Chimalliviridae_nf.zip")</f>
        <v>2023.015B.Chimalliviridae_nf.zip</v>
      </c>
    </row>
    <row r="2210" spans="1:21">
      <c r="A2210">
        <v>2209</v>
      </c>
      <c r="B2210" s="27" t="s">
        <v>1449</v>
      </c>
      <c r="D2210" s="27" t="s">
        <v>1450</v>
      </c>
      <c r="F2210" s="27" t="s">
        <v>1453</v>
      </c>
      <c r="H2210" s="27" t="s">
        <v>1454</v>
      </c>
      <c r="L2210" s="27" t="s">
        <v>11337</v>
      </c>
      <c r="N2210" s="27" t="s">
        <v>1229</v>
      </c>
      <c r="P2210" s="27" t="s">
        <v>6833</v>
      </c>
      <c r="Q2210" s="26" t="str">
        <f>HYPERLINK("https://ictv.global/taxonomy/taxondetails?taxnode_id=202500494&amp;ictv_id=ICTV20164878","ICTV20164878")</f>
        <v>ICTV20164878</v>
      </c>
      <c r="R2210" t="s">
        <v>579</v>
      </c>
      <c r="S2210" t="s">
        <v>22763</v>
      </c>
      <c r="T2210">
        <v>39</v>
      </c>
      <c r="U2210" s="26" t="str">
        <f>HYPERLINK("https://ictv.global/ictv/proposals/2023.015B.Chimalliviridae_nf.zip","2023.015B.Chimalliviridae_nf.zip")</f>
        <v>2023.015B.Chimalliviridae_nf.zip</v>
      </c>
    </row>
    <row r="2211" spans="1:21">
      <c r="A2211">
        <v>2210</v>
      </c>
      <c r="B2211" s="27" t="s">
        <v>1449</v>
      </c>
      <c r="D2211" s="27" t="s">
        <v>1450</v>
      </c>
      <c r="F2211" s="27" t="s">
        <v>1453</v>
      </c>
      <c r="H2211" s="27" t="s">
        <v>1454</v>
      </c>
      <c r="L2211" s="27" t="s">
        <v>11337</v>
      </c>
      <c r="N2211" s="27" t="s">
        <v>1676</v>
      </c>
      <c r="P2211" s="27" t="s">
        <v>6892</v>
      </c>
      <c r="Q2211" s="26" t="str">
        <f>HYPERLINK("https://ictv.global/taxonomy/taxondetails?taxnode_id=202507837&amp;ictv_id=ICTV201907837","ICTV201907837")</f>
        <v>ICTV201907837</v>
      </c>
      <c r="R2211" t="s">
        <v>579</v>
      </c>
      <c r="S2211" t="s">
        <v>22763</v>
      </c>
      <c r="T2211">
        <v>39</v>
      </c>
      <c r="U2211" s="26" t="str">
        <f>HYPERLINK("https://ictv.global/ictv/proposals/2023.015B.Chimalliviridae_nf.zip","2023.015B.Chimalliviridae_nf.zip")</f>
        <v>2023.015B.Chimalliviridae_nf.zip</v>
      </c>
    </row>
    <row r="2212" spans="1:21">
      <c r="A2212">
        <v>2211</v>
      </c>
      <c r="B2212" s="27" t="s">
        <v>1449</v>
      </c>
      <c r="D2212" s="27" t="s">
        <v>1450</v>
      </c>
      <c r="F2212" s="27" t="s">
        <v>1453</v>
      </c>
      <c r="H2212" s="27" t="s">
        <v>1454</v>
      </c>
      <c r="L2212" s="27" t="s">
        <v>11337</v>
      </c>
      <c r="N2212" s="27" t="s">
        <v>732</v>
      </c>
      <c r="P2212" s="27" t="s">
        <v>6951</v>
      </c>
      <c r="Q2212" s="26" t="str">
        <f>HYPERLINK("https://ictv.global/taxonomy/taxondetails?taxnode_id=202500432&amp;ictv_id=ICTV20094097","ICTV20094097")</f>
        <v>ICTV20094097</v>
      </c>
      <c r="R2212" t="s">
        <v>579</v>
      </c>
      <c r="S2212" t="s">
        <v>22763</v>
      </c>
      <c r="T2212">
        <v>39</v>
      </c>
      <c r="U2212" s="26" t="str">
        <f>HYPERLINK("https://ictv.global/ictv/proposals/2023.015B.Chimalliviridae_nf.zip","2023.015B.Chimalliviridae_nf.zip")</f>
        <v>2023.015B.Chimalliviridae_nf.zip</v>
      </c>
    </row>
    <row r="2213" spans="1:21">
      <c r="A2213">
        <v>2212</v>
      </c>
      <c r="B2213" s="27" t="s">
        <v>1449</v>
      </c>
      <c r="D2213" s="27" t="s">
        <v>1450</v>
      </c>
      <c r="F2213" s="27" t="s">
        <v>1453</v>
      </c>
      <c r="H2213" s="27" t="s">
        <v>1454</v>
      </c>
      <c r="L2213" s="27" t="s">
        <v>11337</v>
      </c>
      <c r="N2213" s="27" t="s">
        <v>6969</v>
      </c>
      <c r="P2213" s="27" t="s">
        <v>6970</v>
      </c>
      <c r="Q2213" s="26" t="str">
        <f>HYPERLINK("https://ictv.global/taxonomy/taxondetails?taxnode_id=202514579&amp;ictv_id=ICTV202214579","ICTV202214579")</f>
        <v>ICTV202214579</v>
      </c>
      <c r="R2213" t="s">
        <v>579</v>
      </c>
      <c r="S2213" t="s">
        <v>22763</v>
      </c>
      <c r="T2213">
        <v>40</v>
      </c>
      <c r="U2213" s="26" t="str">
        <f>HYPERLINK("https://ictv.global/ictv/proposals/2024.007B.Chimalliviridae_16mg.zip","2024.007B.Chimalliviridae_16mg.zip")</f>
        <v>2024.007B.Chimalliviridae_16mg.zip</v>
      </c>
    </row>
    <row r="2214" spans="1:21">
      <c r="A2214">
        <v>2213</v>
      </c>
      <c r="B2214" s="27" t="s">
        <v>1449</v>
      </c>
      <c r="D2214" s="27" t="s">
        <v>1450</v>
      </c>
      <c r="F2214" s="27" t="s">
        <v>1453</v>
      </c>
      <c r="H2214" s="27" t="s">
        <v>1454</v>
      </c>
      <c r="L2214" s="27" t="s">
        <v>11337</v>
      </c>
      <c r="N2214" s="27" t="s">
        <v>1232</v>
      </c>
      <c r="P2214" s="27" t="s">
        <v>6974</v>
      </c>
      <c r="Q2214" s="26" t="str">
        <f>HYPERLINK("https://ictv.global/taxonomy/taxondetails?taxnode_id=202505480&amp;ictv_id=ICTV20175480","ICTV20175480")</f>
        <v>ICTV20175480</v>
      </c>
      <c r="R2214" t="s">
        <v>579</v>
      </c>
      <c r="S2214" t="s">
        <v>22763</v>
      </c>
      <c r="T2214">
        <v>39</v>
      </c>
      <c r="U2214" s="26" t="str">
        <f>HYPERLINK("https://ictv.global/ictv/proposals/2023.015B.Chimalliviridae_nf.zip","2023.015B.Chimalliviridae_nf.zip")</f>
        <v>2023.015B.Chimalliviridae_nf.zip</v>
      </c>
    </row>
    <row r="2215" spans="1:21">
      <c r="A2215">
        <v>2214</v>
      </c>
      <c r="B2215" s="27" t="s">
        <v>1449</v>
      </c>
      <c r="D2215" s="27" t="s">
        <v>1450</v>
      </c>
      <c r="F2215" s="27" t="s">
        <v>1453</v>
      </c>
      <c r="H2215" s="27" t="s">
        <v>1454</v>
      </c>
      <c r="L2215" s="27" t="s">
        <v>11337</v>
      </c>
      <c r="N2215" s="27" t="s">
        <v>1232</v>
      </c>
      <c r="P2215" s="27" t="s">
        <v>6975</v>
      </c>
      <c r="Q2215" s="26" t="str">
        <f>HYPERLINK("https://ictv.global/taxonomy/taxondetails?taxnode_id=202505481&amp;ictv_id=ICTV20175481","ICTV20175481")</f>
        <v>ICTV20175481</v>
      </c>
      <c r="R2215" t="s">
        <v>579</v>
      </c>
      <c r="S2215" t="s">
        <v>22763</v>
      </c>
      <c r="T2215">
        <v>39</v>
      </c>
      <c r="U2215" s="26" t="str">
        <f>HYPERLINK("https://ictv.global/ictv/proposals/2023.015B.Chimalliviridae_nf.zip","2023.015B.Chimalliviridae_nf.zip")</f>
        <v>2023.015B.Chimalliviridae_nf.zip</v>
      </c>
    </row>
    <row r="2216" spans="1:21">
      <c r="A2216">
        <v>2215</v>
      </c>
      <c r="B2216" s="27" t="s">
        <v>1449</v>
      </c>
      <c r="D2216" s="27" t="s">
        <v>1450</v>
      </c>
      <c r="F2216" s="27" t="s">
        <v>1453</v>
      </c>
      <c r="H2216" s="27" t="s">
        <v>1454</v>
      </c>
      <c r="L2216" s="27" t="s">
        <v>11337</v>
      </c>
      <c r="N2216" s="27" t="s">
        <v>7007</v>
      </c>
      <c r="P2216" s="27" t="s">
        <v>7008</v>
      </c>
      <c r="Q2216" s="26" t="str">
        <f>HYPERLINK("https://ictv.global/taxonomy/taxondetails?taxnode_id=202514582&amp;ictv_id=ICTV202214582","ICTV202214582")</f>
        <v>ICTV202214582</v>
      </c>
      <c r="R2216" t="s">
        <v>579</v>
      </c>
      <c r="S2216" t="s">
        <v>22763</v>
      </c>
      <c r="T2216">
        <v>40</v>
      </c>
      <c r="U2216" s="26" t="str">
        <f>HYPERLINK("https://ictv.global/ictv/proposals/2024.007B.Chimalliviridae_16mg.zip","2024.007B.Chimalliviridae_16mg.zip")</f>
        <v>2024.007B.Chimalliviridae_16mg.zip</v>
      </c>
    </row>
    <row r="2217" spans="1:21">
      <c r="A2217">
        <v>2216</v>
      </c>
      <c r="B2217" s="27" t="s">
        <v>1449</v>
      </c>
      <c r="D2217" s="27" t="s">
        <v>1450</v>
      </c>
      <c r="F2217" s="27" t="s">
        <v>1453</v>
      </c>
      <c r="H2217" s="27" t="s">
        <v>1454</v>
      </c>
      <c r="L2217" s="27" t="s">
        <v>11337</v>
      </c>
      <c r="N2217" s="27" t="s">
        <v>7007</v>
      </c>
      <c r="P2217" s="27" t="s">
        <v>7009</v>
      </c>
      <c r="Q2217" s="26" t="str">
        <f>HYPERLINK("https://ictv.global/taxonomy/taxondetails?taxnode_id=202514581&amp;ictv_id=ICTV202214581","ICTV202214581")</f>
        <v>ICTV202214581</v>
      </c>
      <c r="R2217" t="s">
        <v>579</v>
      </c>
      <c r="S2217" t="s">
        <v>22763</v>
      </c>
      <c r="T2217">
        <v>40</v>
      </c>
      <c r="U2217" s="26" t="str">
        <f>HYPERLINK("https://ictv.global/ictv/proposals/2024.007B.Chimalliviridae_16mg.zip","2024.007B.Chimalliviridae_16mg.zip")</f>
        <v>2024.007B.Chimalliviridae_16mg.zip</v>
      </c>
    </row>
    <row r="2218" spans="1:21">
      <c r="A2218">
        <v>2217</v>
      </c>
      <c r="B2218" s="27" t="s">
        <v>1449</v>
      </c>
      <c r="D2218" s="27" t="s">
        <v>1450</v>
      </c>
      <c r="F2218" s="27" t="s">
        <v>1453</v>
      </c>
      <c r="H2218" s="27" t="s">
        <v>1454</v>
      </c>
      <c r="L2218" s="27" t="s">
        <v>11337</v>
      </c>
      <c r="N2218" s="27" t="s">
        <v>1679</v>
      </c>
      <c r="P2218" s="27" t="s">
        <v>7113</v>
      </c>
      <c r="Q2218" s="26" t="str">
        <f>HYPERLINK("https://ictv.global/taxonomy/taxondetails?taxnode_id=202507371&amp;ictv_id=ICTV201907371","ICTV201907371")</f>
        <v>ICTV201907371</v>
      </c>
      <c r="R2218" t="s">
        <v>579</v>
      </c>
      <c r="S2218" t="s">
        <v>22763</v>
      </c>
      <c r="T2218">
        <v>39</v>
      </c>
      <c r="U2218" s="26" t="str">
        <f>HYPERLINK("https://ictv.global/ictv/proposals/2023.015B.Chimalliviridae_nf.zip","2023.015B.Chimalliviridae_nf.zip")</f>
        <v>2023.015B.Chimalliviridae_nf.zip</v>
      </c>
    </row>
    <row r="2219" spans="1:21">
      <c r="A2219">
        <v>2218</v>
      </c>
      <c r="B2219" s="27" t="s">
        <v>1449</v>
      </c>
      <c r="D2219" s="27" t="s">
        <v>1450</v>
      </c>
      <c r="F2219" s="27" t="s">
        <v>1453</v>
      </c>
      <c r="H2219" s="27" t="s">
        <v>1454</v>
      </c>
      <c r="L2219" s="27" t="s">
        <v>11337</v>
      </c>
      <c r="N2219" s="27" t="s">
        <v>1236</v>
      </c>
      <c r="P2219" s="27" t="s">
        <v>7157</v>
      </c>
      <c r="Q2219" s="26" t="str">
        <f>HYPERLINK("https://ictv.global/taxonomy/taxondetails?taxnode_id=202506317&amp;ictv_id=ICTV201856317","ICTV201856317")</f>
        <v>ICTV201856317</v>
      </c>
      <c r="R2219" t="s">
        <v>579</v>
      </c>
      <c r="S2219" t="s">
        <v>22763</v>
      </c>
      <c r="T2219">
        <v>39</v>
      </c>
      <c r="U2219" s="26" t="str">
        <f>HYPERLINK("https://ictv.global/ictv/proposals/2023.015B.Chimalliviridae_nf.zip","2023.015B.Chimalliviridae_nf.zip")</f>
        <v>2023.015B.Chimalliviridae_nf.zip</v>
      </c>
    </row>
    <row r="2220" spans="1:21">
      <c r="A2220">
        <v>2219</v>
      </c>
      <c r="B2220" s="27" t="s">
        <v>1449</v>
      </c>
      <c r="D2220" s="27" t="s">
        <v>1450</v>
      </c>
      <c r="F2220" s="27" t="s">
        <v>1453</v>
      </c>
      <c r="H2220" s="27" t="s">
        <v>1454</v>
      </c>
      <c r="L2220" s="27" t="s">
        <v>11337</v>
      </c>
      <c r="N2220" s="27" t="s">
        <v>7351</v>
      </c>
      <c r="P2220" s="27" t="s">
        <v>7352</v>
      </c>
      <c r="Q2220" s="26" t="str">
        <f>HYPERLINK("https://ictv.global/taxonomy/taxondetails?taxnode_id=202514660&amp;ictv_id=ICTV202214660","ICTV202214660")</f>
        <v>ICTV202214660</v>
      </c>
      <c r="R2220" t="s">
        <v>579</v>
      </c>
      <c r="S2220" t="s">
        <v>22763</v>
      </c>
      <c r="T2220">
        <v>40</v>
      </c>
      <c r="U2220" s="26" t="str">
        <f>HYPERLINK("https://ictv.global/ictv/proposals/2024.007B.Chimalliviridae_16mg.zip","2024.007B.Chimalliviridae_16mg.zip")</f>
        <v>2024.007B.Chimalliviridae_16mg.zip</v>
      </c>
    </row>
    <row r="2221" spans="1:21">
      <c r="A2221">
        <v>2220</v>
      </c>
      <c r="B2221" s="27" t="s">
        <v>1449</v>
      </c>
      <c r="D2221" s="27" t="s">
        <v>1450</v>
      </c>
      <c r="F2221" s="27" t="s">
        <v>1453</v>
      </c>
      <c r="H2221" s="27" t="s">
        <v>1454</v>
      </c>
      <c r="L2221" s="27" t="s">
        <v>11337</v>
      </c>
      <c r="N2221" s="27" t="s">
        <v>7351</v>
      </c>
      <c r="P2221" s="27" t="s">
        <v>7353</v>
      </c>
      <c r="Q2221" s="26" t="str">
        <f>HYPERLINK("https://ictv.global/taxonomy/taxondetails?taxnode_id=202514661&amp;ictv_id=ICTV202214661","ICTV202214661")</f>
        <v>ICTV202214661</v>
      </c>
      <c r="R2221" t="s">
        <v>579</v>
      </c>
      <c r="S2221" t="s">
        <v>22763</v>
      </c>
      <c r="T2221">
        <v>40</v>
      </c>
      <c r="U2221" s="26" t="str">
        <f>HYPERLINK("https://ictv.global/ictv/proposals/2024.007B.Chimalliviridae_16mg.zip","2024.007B.Chimalliviridae_16mg.zip")</f>
        <v>2024.007B.Chimalliviridae_16mg.zip</v>
      </c>
    </row>
    <row r="2222" spans="1:21">
      <c r="A2222">
        <v>2221</v>
      </c>
      <c r="B2222" s="27" t="s">
        <v>1449</v>
      </c>
      <c r="D2222" s="27" t="s">
        <v>1450</v>
      </c>
      <c r="F2222" s="27" t="s">
        <v>1453</v>
      </c>
      <c r="H2222" s="27" t="s">
        <v>1454</v>
      </c>
      <c r="L2222" s="27" t="s">
        <v>11337</v>
      </c>
      <c r="N2222" s="27" t="s">
        <v>7351</v>
      </c>
      <c r="P2222" s="27" t="s">
        <v>7354</v>
      </c>
      <c r="Q2222" s="26" t="str">
        <f>HYPERLINK("https://ictv.global/taxonomy/taxondetails?taxnode_id=202514659&amp;ictv_id=ICTV202214659","ICTV202214659")</f>
        <v>ICTV202214659</v>
      </c>
      <c r="R2222" t="s">
        <v>579</v>
      </c>
      <c r="S2222" t="s">
        <v>22763</v>
      </c>
      <c r="T2222">
        <v>40</v>
      </c>
      <c r="U2222" s="26" t="str">
        <f>HYPERLINK("https://ictv.global/ictv/proposals/2024.007B.Chimalliviridae_16mg.zip","2024.007B.Chimalliviridae_16mg.zip")</f>
        <v>2024.007B.Chimalliviridae_16mg.zip</v>
      </c>
    </row>
    <row r="2223" spans="1:21">
      <c r="A2223">
        <v>2222</v>
      </c>
      <c r="B2223" s="27" t="s">
        <v>1449</v>
      </c>
      <c r="D2223" s="27" t="s">
        <v>1450</v>
      </c>
      <c r="F2223" s="27" t="s">
        <v>1453</v>
      </c>
      <c r="H2223" s="27" t="s">
        <v>1454</v>
      </c>
      <c r="L2223" s="27" t="s">
        <v>11337</v>
      </c>
      <c r="N2223" s="27" t="s">
        <v>7358</v>
      </c>
      <c r="P2223" s="27" t="s">
        <v>21467</v>
      </c>
      <c r="Q2223" s="26" t="str">
        <f>HYPERLINK("https://ictv.global/taxonomy/taxondetails?taxnode_id=202522338&amp;ictv_id=ICTV202522338","ICTV202522338")</f>
        <v>ICTV202522338</v>
      </c>
      <c r="R2223" t="s">
        <v>579</v>
      </c>
      <c r="S2223" t="s">
        <v>823</v>
      </c>
      <c r="T2223">
        <v>41</v>
      </c>
      <c r="U2223" s="26" t="str">
        <f>HYPERLINK("https://ictv.global/ictv/proposals/2025.008B.Caudoviricetes_11ns.zip","2025.008B.Caudoviricetes_11ns.zip")</f>
        <v>2025.008B.Caudoviricetes_11ns.zip</v>
      </c>
    </row>
    <row r="2224" spans="1:21">
      <c r="A2224">
        <v>2223</v>
      </c>
      <c r="B2224" s="27" t="s">
        <v>1449</v>
      </c>
      <c r="D2224" s="27" t="s">
        <v>1450</v>
      </c>
      <c r="F2224" s="27" t="s">
        <v>1453</v>
      </c>
      <c r="H2224" s="27" t="s">
        <v>1454</v>
      </c>
      <c r="L2224" s="27" t="s">
        <v>11337</v>
      </c>
      <c r="N2224" s="27" t="s">
        <v>7358</v>
      </c>
      <c r="P2224" s="27" t="s">
        <v>7359</v>
      </c>
      <c r="Q2224" s="26" t="str">
        <f>HYPERLINK("https://ictv.global/taxonomy/taxondetails?taxnode_id=202514663&amp;ictv_id=ICTV202214663","ICTV202214663")</f>
        <v>ICTV202214663</v>
      </c>
      <c r="R2224" t="s">
        <v>579</v>
      </c>
      <c r="S2224" t="s">
        <v>22763</v>
      </c>
      <c r="T2224">
        <v>40</v>
      </c>
      <c r="U2224" s="26" t="str">
        <f>HYPERLINK("https://ictv.global/ictv/proposals/2024.007B.Chimalliviridae_16mg.zip","2024.007B.Chimalliviridae_16mg.zip")</f>
        <v>2024.007B.Chimalliviridae_16mg.zip</v>
      </c>
    </row>
    <row r="2225" spans="1:21">
      <c r="A2225">
        <v>2224</v>
      </c>
      <c r="B2225" s="27" t="s">
        <v>1449</v>
      </c>
      <c r="D2225" s="27" t="s">
        <v>1450</v>
      </c>
      <c r="F2225" s="27" t="s">
        <v>1453</v>
      </c>
      <c r="H2225" s="27" t="s">
        <v>1454</v>
      </c>
      <c r="L2225" s="27" t="s">
        <v>11337</v>
      </c>
      <c r="N2225" s="27" t="s">
        <v>829</v>
      </c>
      <c r="P2225" s="27" t="s">
        <v>7363</v>
      </c>
      <c r="Q2225" s="26" t="str">
        <f>HYPERLINK("https://ictv.global/taxonomy/taxondetails?taxnode_id=202505483&amp;ictv_id=ICTV20175483","ICTV20175483")</f>
        <v>ICTV20175483</v>
      </c>
      <c r="R2225" t="s">
        <v>579</v>
      </c>
      <c r="S2225" t="s">
        <v>22763</v>
      </c>
      <c r="T2225">
        <v>39</v>
      </c>
      <c r="U2225" s="26" t="str">
        <f>HYPERLINK("https://ictv.global/ictv/proposals/2023.015B.Chimalliviridae_nf.zip","2023.015B.Chimalliviridae_nf.zip")</f>
        <v>2023.015B.Chimalliviridae_nf.zip</v>
      </c>
    </row>
    <row r="2226" spans="1:21">
      <c r="A2226">
        <v>2225</v>
      </c>
      <c r="B2226" s="27" t="s">
        <v>1449</v>
      </c>
      <c r="D2226" s="27" t="s">
        <v>1450</v>
      </c>
      <c r="F2226" s="27" t="s">
        <v>1453</v>
      </c>
      <c r="H2226" s="27" t="s">
        <v>1454</v>
      </c>
      <c r="L2226" s="27" t="s">
        <v>11337</v>
      </c>
      <c r="N2226" s="27" t="s">
        <v>7389</v>
      </c>
      <c r="P2226" s="27" t="s">
        <v>7390</v>
      </c>
      <c r="Q2226" s="26" t="str">
        <f>HYPERLINK("https://ictv.global/taxonomy/taxondetails?taxnode_id=202514671&amp;ictv_id=ICTV202214671","ICTV202214671")</f>
        <v>ICTV202214671</v>
      </c>
      <c r="R2226" t="s">
        <v>579</v>
      </c>
      <c r="S2226" t="s">
        <v>22763</v>
      </c>
      <c r="T2226">
        <v>40</v>
      </c>
      <c r="U2226" s="26" t="str">
        <f>HYPERLINK("https://ictv.global/ictv/proposals/2024.007B.Chimalliviridae_16mg.zip","2024.007B.Chimalliviridae_16mg.zip")</f>
        <v>2024.007B.Chimalliviridae_16mg.zip</v>
      </c>
    </row>
    <row r="2227" spans="1:21">
      <c r="A2227">
        <v>2226</v>
      </c>
      <c r="B2227" s="27" t="s">
        <v>1449</v>
      </c>
      <c r="D2227" s="27" t="s">
        <v>1450</v>
      </c>
      <c r="F2227" s="27" t="s">
        <v>1453</v>
      </c>
      <c r="H2227" s="27" t="s">
        <v>1454</v>
      </c>
      <c r="L2227" s="27" t="s">
        <v>11337</v>
      </c>
      <c r="N2227" s="27" t="s">
        <v>7400</v>
      </c>
      <c r="P2227" s="27" t="s">
        <v>7401</v>
      </c>
      <c r="Q2227" s="26" t="str">
        <f>HYPERLINK("https://ictv.global/taxonomy/taxondetails?taxnode_id=202514674&amp;ictv_id=ICTV202214674","ICTV202214674")</f>
        <v>ICTV202214674</v>
      </c>
      <c r="R2227" t="s">
        <v>579</v>
      </c>
      <c r="S2227" t="s">
        <v>22763</v>
      </c>
      <c r="T2227">
        <v>40</v>
      </c>
      <c r="U2227" s="26" t="str">
        <f>HYPERLINK("https://ictv.global/ictv/proposals/2024.007B.Chimalliviridae_16mg.zip","2024.007B.Chimalliviridae_16mg.zip")</f>
        <v>2024.007B.Chimalliviridae_16mg.zip</v>
      </c>
    </row>
    <row r="2228" spans="1:21">
      <c r="A2228">
        <v>2227</v>
      </c>
      <c r="B2228" s="27" t="s">
        <v>1449</v>
      </c>
      <c r="D2228" s="27" t="s">
        <v>1450</v>
      </c>
      <c r="F2228" s="27" t="s">
        <v>1453</v>
      </c>
      <c r="H2228" s="27" t="s">
        <v>1454</v>
      </c>
      <c r="L2228" s="27" t="s">
        <v>11337</v>
      </c>
      <c r="N2228" s="27" t="s">
        <v>7415</v>
      </c>
      <c r="P2228" s="27" t="s">
        <v>7416</v>
      </c>
      <c r="Q2228" s="26" t="str">
        <f>HYPERLINK("https://ictv.global/taxonomy/taxondetails?taxnode_id=202514785&amp;ictv_id=ICTV202214785","ICTV202214785")</f>
        <v>ICTV202214785</v>
      </c>
      <c r="R2228" t="s">
        <v>579</v>
      </c>
      <c r="S2228" t="s">
        <v>22763</v>
      </c>
      <c r="T2228">
        <v>40</v>
      </c>
      <c r="U2228" s="26" t="str">
        <f>HYPERLINK("https://ictv.global/ictv/proposals/2024.007B.Chimalliviridae_16mg.zip","2024.007B.Chimalliviridae_16mg.zip")</f>
        <v>2024.007B.Chimalliviridae_16mg.zip</v>
      </c>
    </row>
    <row r="2229" spans="1:21">
      <c r="A2229">
        <v>2228</v>
      </c>
      <c r="B2229" s="27" t="s">
        <v>1449</v>
      </c>
      <c r="D2229" s="27" t="s">
        <v>1450</v>
      </c>
      <c r="F2229" s="27" t="s">
        <v>1453</v>
      </c>
      <c r="H2229" s="27" t="s">
        <v>1454</v>
      </c>
      <c r="L2229" s="27" t="s">
        <v>11337</v>
      </c>
      <c r="N2229" s="27" t="s">
        <v>2109</v>
      </c>
      <c r="P2229" s="27" t="s">
        <v>7420</v>
      </c>
      <c r="Q2229" s="26" t="str">
        <f>HYPERLINK("https://ictv.global/taxonomy/taxondetails?taxnode_id=202511539&amp;ictv_id=ICTV202011539","ICTV202011539")</f>
        <v>ICTV202011539</v>
      </c>
      <c r="R2229" t="s">
        <v>579</v>
      </c>
      <c r="S2229" t="s">
        <v>22763</v>
      </c>
      <c r="T2229">
        <v>39</v>
      </c>
      <c r="U2229" s="26" t="str">
        <f>HYPERLINK("https://ictv.global/ictv/proposals/2023.015B.Chimalliviridae_nf.zip","2023.015B.Chimalliviridae_nf.zip")</f>
        <v>2023.015B.Chimalliviridae_nf.zip</v>
      </c>
    </row>
    <row r="2230" spans="1:21">
      <c r="A2230">
        <v>2229</v>
      </c>
      <c r="B2230" s="27" t="s">
        <v>1449</v>
      </c>
      <c r="D2230" s="27" t="s">
        <v>1450</v>
      </c>
      <c r="F2230" s="27" t="s">
        <v>1453</v>
      </c>
      <c r="H2230" s="27" t="s">
        <v>1454</v>
      </c>
      <c r="L2230" s="27" t="s">
        <v>11337</v>
      </c>
      <c r="N2230" s="27" t="s">
        <v>2109</v>
      </c>
      <c r="P2230" s="27" t="s">
        <v>7421</v>
      </c>
      <c r="Q2230" s="26" t="str">
        <f>HYPERLINK("https://ictv.global/taxonomy/taxondetails?taxnode_id=202511540&amp;ictv_id=ICTV202011540","ICTV202011540")</f>
        <v>ICTV202011540</v>
      </c>
      <c r="R2230" t="s">
        <v>579</v>
      </c>
      <c r="S2230" t="s">
        <v>22763</v>
      </c>
      <c r="T2230">
        <v>39</v>
      </c>
      <c r="U2230" s="26" t="str">
        <f>HYPERLINK("https://ictv.global/ictv/proposals/2023.015B.Chimalliviridae_nf.zip","2023.015B.Chimalliviridae_nf.zip")</f>
        <v>2023.015B.Chimalliviridae_nf.zip</v>
      </c>
    </row>
    <row r="2231" spans="1:21">
      <c r="A2231">
        <v>2230</v>
      </c>
      <c r="B2231" s="27" t="s">
        <v>1449</v>
      </c>
      <c r="D2231" s="27" t="s">
        <v>1450</v>
      </c>
      <c r="F2231" s="27" t="s">
        <v>1453</v>
      </c>
      <c r="H2231" s="27" t="s">
        <v>1454</v>
      </c>
      <c r="L2231" s="27" t="s">
        <v>11337</v>
      </c>
      <c r="N2231" s="27" t="s">
        <v>7490</v>
      </c>
      <c r="P2231" s="27" t="s">
        <v>7491</v>
      </c>
      <c r="Q2231" s="26" t="str">
        <f>HYPERLINK("https://ictv.global/taxonomy/taxondetails?taxnode_id=202514694&amp;ictv_id=ICTV202214694","ICTV202214694")</f>
        <v>ICTV202214694</v>
      </c>
      <c r="R2231" t="s">
        <v>579</v>
      </c>
      <c r="S2231" t="s">
        <v>22763</v>
      </c>
      <c r="T2231">
        <v>40</v>
      </c>
      <c r="U2231" s="26" t="str">
        <f>HYPERLINK("https://ictv.global/ictv/proposals/2024.007B.Chimalliviridae_16mg.zip","2024.007B.Chimalliviridae_16mg.zip")</f>
        <v>2024.007B.Chimalliviridae_16mg.zip</v>
      </c>
    </row>
    <row r="2232" spans="1:21">
      <c r="A2232">
        <v>2231</v>
      </c>
      <c r="B2232" s="27" t="s">
        <v>1449</v>
      </c>
      <c r="D2232" s="27" t="s">
        <v>1450</v>
      </c>
      <c r="F2232" s="27" t="s">
        <v>1453</v>
      </c>
      <c r="H2232" s="27" t="s">
        <v>1454</v>
      </c>
      <c r="L2232" s="27" t="s">
        <v>11337</v>
      </c>
      <c r="N2232" s="27" t="s">
        <v>1249</v>
      </c>
      <c r="P2232" s="27" t="s">
        <v>7497</v>
      </c>
      <c r="Q2232" s="26" t="str">
        <f>HYPERLINK("https://ictv.global/taxonomy/taxondetails?taxnode_id=202506327&amp;ictv_id=ICTV201856327","ICTV201856327")</f>
        <v>ICTV201856327</v>
      </c>
      <c r="R2232" t="s">
        <v>579</v>
      </c>
      <c r="S2232" t="s">
        <v>22763</v>
      </c>
      <c r="T2232">
        <v>39</v>
      </c>
      <c r="U2232" s="26" t="str">
        <f>HYPERLINK("https://ictv.global/ictv/proposals/2023.015B.Chimalliviridae_nf.zip","2023.015B.Chimalliviridae_nf.zip")</f>
        <v>2023.015B.Chimalliviridae_nf.zip</v>
      </c>
    </row>
    <row r="2233" spans="1:21">
      <c r="A2233">
        <v>2232</v>
      </c>
      <c r="B2233" s="27" t="s">
        <v>1449</v>
      </c>
      <c r="D2233" s="27" t="s">
        <v>1450</v>
      </c>
      <c r="F2233" s="27" t="s">
        <v>1453</v>
      </c>
      <c r="H2233" s="27" t="s">
        <v>1454</v>
      </c>
      <c r="L2233" s="27" t="s">
        <v>11337</v>
      </c>
      <c r="N2233" s="27" t="s">
        <v>7617</v>
      </c>
      <c r="P2233" s="27" t="s">
        <v>7618</v>
      </c>
      <c r="Q2233" s="26" t="str">
        <f>HYPERLINK("https://ictv.global/taxonomy/taxondetails?taxnode_id=202514786&amp;ictv_id=ICTV202214786","ICTV202214786")</f>
        <v>ICTV202214786</v>
      </c>
      <c r="R2233" t="s">
        <v>579</v>
      </c>
      <c r="S2233" t="s">
        <v>22763</v>
      </c>
      <c r="T2233">
        <v>40</v>
      </c>
      <c r="U2233" s="26" t="str">
        <f>HYPERLINK("https://ictv.global/ictv/proposals/2024.007B.Chimalliviridae_16mg.zip","2024.007B.Chimalliviridae_16mg.zip")</f>
        <v>2024.007B.Chimalliviridae_16mg.zip</v>
      </c>
    </row>
    <row r="2234" spans="1:21">
      <c r="A2234">
        <v>2233</v>
      </c>
      <c r="B2234" s="27" t="s">
        <v>1449</v>
      </c>
      <c r="D2234" s="27" t="s">
        <v>1450</v>
      </c>
      <c r="F2234" s="27" t="s">
        <v>1453</v>
      </c>
      <c r="H2234" s="27" t="s">
        <v>1454</v>
      </c>
      <c r="L2234" s="27" t="s">
        <v>11337</v>
      </c>
      <c r="N2234" s="27" t="s">
        <v>1696</v>
      </c>
      <c r="P2234" s="27" t="s">
        <v>7658</v>
      </c>
      <c r="Q2234" s="26" t="str">
        <f>HYPERLINK("https://ictv.global/taxonomy/taxondetails?taxnode_id=202507985&amp;ictv_id=ICTV201907985","ICTV201907985")</f>
        <v>ICTV201907985</v>
      </c>
      <c r="R2234" t="s">
        <v>579</v>
      </c>
      <c r="S2234" t="s">
        <v>22763</v>
      </c>
      <c r="T2234">
        <v>39</v>
      </c>
      <c r="U2234" s="26" t="str">
        <f>HYPERLINK("https://ictv.global/ictv/proposals/2023.015B.Chimalliviridae_nf.zip","2023.015B.Chimalliviridae_nf.zip")</f>
        <v>2023.015B.Chimalliviridae_nf.zip</v>
      </c>
    </row>
    <row r="2235" spans="1:21">
      <c r="A2235">
        <v>2234</v>
      </c>
      <c r="B2235" s="27" t="s">
        <v>1449</v>
      </c>
      <c r="D2235" s="27" t="s">
        <v>1450</v>
      </c>
      <c r="F2235" s="27" t="s">
        <v>1453</v>
      </c>
      <c r="H2235" s="27" t="s">
        <v>1454</v>
      </c>
      <c r="L2235" s="27" t="s">
        <v>11337</v>
      </c>
      <c r="N2235" s="27" t="s">
        <v>7659</v>
      </c>
      <c r="P2235" s="27" t="s">
        <v>7660</v>
      </c>
      <c r="Q2235" s="26" t="str">
        <f>HYPERLINK("https://ictv.global/taxonomy/taxondetails?taxnode_id=202514783&amp;ictv_id=ICTV202214783","ICTV202214783")</f>
        <v>ICTV202214783</v>
      </c>
      <c r="R2235" t="s">
        <v>579</v>
      </c>
      <c r="S2235" t="s">
        <v>22763</v>
      </c>
      <c r="T2235">
        <v>40</v>
      </c>
      <c r="U2235" s="26" t="str">
        <f>HYPERLINK("https://ictv.global/ictv/proposals/2024.007B.Chimalliviridae_16mg.zip","2024.007B.Chimalliviridae_16mg.zip")</f>
        <v>2024.007B.Chimalliviridae_16mg.zip</v>
      </c>
    </row>
    <row r="2236" spans="1:21">
      <c r="A2236">
        <v>2235</v>
      </c>
      <c r="B2236" s="27" t="s">
        <v>1449</v>
      </c>
      <c r="D2236" s="27" t="s">
        <v>1450</v>
      </c>
      <c r="F2236" s="27" t="s">
        <v>1453</v>
      </c>
      <c r="H2236" s="27" t="s">
        <v>1454</v>
      </c>
      <c r="L2236" s="27" t="s">
        <v>11337</v>
      </c>
      <c r="N2236" s="27" t="s">
        <v>599</v>
      </c>
      <c r="P2236" s="27" t="s">
        <v>7668</v>
      </c>
      <c r="Q2236" s="26" t="str">
        <f>HYPERLINK("https://ictv.global/taxonomy/taxondetails?taxnode_id=202500488&amp;ictv_id=ICTV20164876","ICTV20164876")</f>
        <v>ICTV20164876</v>
      </c>
      <c r="R2236" t="s">
        <v>579</v>
      </c>
      <c r="S2236" t="s">
        <v>22763</v>
      </c>
      <c r="T2236">
        <v>39</v>
      </c>
      <c r="U2236" s="26" t="str">
        <f t="shared" ref="U2236:U2241" si="76">HYPERLINK("https://ictv.global/ictv/proposals/2023.015B.Chimalliviridae_nf.zip","2023.015B.Chimalliviridae_nf.zip")</f>
        <v>2023.015B.Chimalliviridae_nf.zip</v>
      </c>
    </row>
    <row r="2237" spans="1:21">
      <c r="A2237">
        <v>2236</v>
      </c>
      <c r="B2237" s="27" t="s">
        <v>1449</v>
      </c>
      <c r="D2237" s="27" t="s">
        <v>1450</v>
      </c>
      <c r="F2237" s="27" t="s">
        <v>1453</v>
      </c>
      <c r="H2237" s="27" t="s">
        <v>1454</v>
      </c>
      <c r="L2237" s="27" t="s">
        <v>11337</v>
      </c>
      <c r="N2237" s="27" t="s">
        <v>599</v>
      </c>
      <c r="P2237" s="27" t="s">
        <v>7669</v>
      </c>
      <c r="Q2237" s="26" t="str">
        <f>HYPERLINK("https://ictv.global/taxonomy/taxondetails?taxnode_id=202500489&amp;ictv_id=ICTV20094099","ICTV20094099")</f>
        <v>ICTV20094099</v>
      </c>
      <c r="R2237" t="s">
        <v>579</v>
      </c>
      <c r="S2237" t="s">
        <v>22763</v>
      </c>
      <c r="T2237">
        <v>39</v>
      </c>
      <c r="U2237" s="26" t="str">
        <f t="shared" si="76"/>
        <v>2023.015B.Chimalliviridae_nf.zip</v>
      </c>
    </row>
    <row r="2238" spans="1:21">
      <c r="A2238">
        <v>2237</v>
      </c>
      <c r="B2238" s="27" t="s">
        <v>1449</v>
      </c>
      <c r="D2238" s="27" t="s">
        <v>1450</v>
      </c>
      <c r="F2238" s="27" t="s">
        <v>1453</v>
      </c>
      <c r="H2238" s="27" t="s">
        <v>1454</v>
      </c>
      <c r="L2238" s="27" t="s">
        <v>11337</v>
      </c>
      <c r="N2238" s="27" t="s">
        <v>599</v>
      </c>
      <c r="P2238" s="27" t="s">
        <v>7670</v>
      </c>
      <c r="Q2238" s="26" t="str">
        <f>HYPERLINK("https://ictv.global/taxonomy/taxondetails?taxnode_id=202507032&amp;ictv_id=ICTV201857032","ICTV201857032")</f>
        <v>ICTV201857032</v>
      </c>
      <c r="R2238" t="s">
        <v>579</v>
      </c>
      <c r="S2238" t="s">
        <v>22763</v>
      </c>
      <c r="T2238">
        <v>39</v>
      </c>
      <c r="U2238" s="26" t="str">
        <f t="shared" si="76"/>
        <v>2023.015B.Chimalliviridae_nf.zip</v>
      </c>
    </row>
    <row r="2239" spans="1:21">
      <c r="A2239">
        <v>2238</v>
      </c>
      <c r="B2239" s="27" t="s">
        <v>1449</v>
      </c>
      <c r="D2239" s="27" t="s">
        <v>1450</v>
      </c>
      <c r="F2239" s="27" t="s">
        <v>1453</v>
      </c>
      <c r="H2239" s="27" t="s">
        <v>1454</v>
      </c>
      <c r="L2239" s="27" t="s">
        <v>11337</v>
      </c>
      <c r="N2239" s="27" t="s">
        <v>1257</v>
      </c>
      <c r="P2239" s="27" t="s">
        <v>7750</v>
      </c>
      <c r="Q2239" s="26" t="str">
        <f>HYPERLINK("https://ictv.global/taxonomy/taxondetails?taxnode_id=202506865&amp;ictv_id=ICTV201856865","ICTV201856865")</f>
        <v>ICTV201856865</v>
      </c>
      <c r="R2239" t="s">
        <v>579</v>
      </c>
      <c r="S2239" t="s">
        <v>22763</v>
      </c>
      <c r="T2239">
        <v>39</v>
      </c>
      <c r="U2239" s="26" t="str">
        <f t="shared" si="76"/>
        <v>2023.015B.Chimalliviridae_nf.zip</v>
      </c>
    </row>
    <row r="2240" spans="1:21">
      <c r="A2240">
        <v>2239</v>
      </c>
      <c r="B2240" s="27" t="s">
        <v>1449</v>
      </c>
      <c r="D2240" s="27" t="s">
        <v>1450</v>
      </c>
      <c r="F2240" s="27" t="s">
        <v>1453</v>
      </c>
      <c r="H2240" s="27" t="s">
        <v>1454</v>
      </c>
      <c r="L2240" s="27" t="s">
        <v>11337</v>
      </c>
      <c r="N2240" s="27" t="s">
        <v>1258</v>
      </c>
      <c r="P2240" s="27" t="s">
        <v>7751</v>
      </c>
      <c r="Q2240" s="26" t="str">
        <f>HYPERLINK("https://ictv.global/taxonomy/taxondetails?taxnode_id=202506867&amp;ictv_id=ICTV201856867","ICTV201856867")</f>
        <v>ICTV201856867</v>
      </c>
      <c r="R2240" t="s">
        <v>579</v>
      </c>
      <c r="S2240" t="s">
        <v>22763</v>
      </c>
      <c r="T2240">
        <v>39</v>
      </c>
      <c r="U2240" s="26" t="str">
        <f t="shared" si="76"/>
        <v>2023.015B.Chimalliviridae_nf.zip</v>
      </c>
    </row>
    <row r="2241" spans="1:21">
      <c r="A2241">
        <v>2240</v>
      </c>
      <c r="B2241" s="27" t="s">
        <v>1449</v>
      </c>
      <c r="D2241" s="27" t="s">
        <v>1450</v>
      </c>
      <c r="F2241" s="27" t="s">
        <v>1453</v>
      </c>
      <c r="H2241" s="27" t="s">
        <v>1454</v>
      </c>
      <c r="L2241" s="27" t="s">
        <v>11337</v>
      </c>
      <c r="N2241" s="27" t="s">
        <v>1259</v>
      </c>
      <c r="P2241" s="27" t="s">
        <v>7830</v>
      </c>
      <c r="Q2241" s="26" t="str">
        <f>HYPERLINK("https://ictv.global/taxonomy/taxondetails?taxnode_id=202500508&amp;ictv_id=ICTV20164882","ICTV20164882")</f>
        <v>ICTV20164882</v>
      </c>
      <c r="R2241" t="s">
        <v>579</v>
      </c>
      <c r="S2241" t="s">
        <v>22763</v>
      </c>
      <c r="T2241">
        <v>39</v>
      </c>
      <c r="U2241" s="26" t="str">
        <f t="shared" si="76"/>
        <v>2023.015B.Chimalliviridae_nf.zip</v>
      </c>
    </row>
    <row r="2242" spans="1:21">
      <c r="A2242">
        <v>2241</v>
      </c>
      <c r="B2242" s="27" t="s">
        <v>1449</v>
      </c>
      <c r="D2242" s="27" t="s">
        <v>1450</v>
      </c>
      <c r="F2242" s="27" t="s">
        <v>1453</v>
      </c>
      <c r="H2242" s="27" t="s">
        <v>1454</v>
      </c>
      <c r="L2242" s="27" t="s">
        <v>11337</v>
      </c>
      <c r="N2242" s="27" t="s">
        <v>7834</v>
      </c>
      <c r="P2242" s="27" t="s">
        <v>7835</v>
      </c>
      <c r="Q2242" s="26" t="str">
        <f>HYPERLINK("https://ictv.global/taxonomy/taxondetails?taxnode_id=202514784&amp;ictv_id=ICTV202214784","ICTV202214784")</f>
        <v>ICTV202214784</v>
      </c>
      <c r="R2242" t="s">
        <v>579</v>
      </c>
      <c r="S2242" t="s">
        <v>22763</v>
      </c>
      <c r="T2242">
        <v>40</v>
      </c>
      <c r="U2242" s="26" t="str">
        <f>HYPERLINK("https://ictv.global/ictv/proposals/2024.007B.Chimalliviridae_16mg.zip","2024.007B.Chimalliviridae_16mg.zip")</f>
        <v>2024.007B.Chimalliviridae_16mg.zip</v>
      </c>
    </row>
    <row r="2243" spans="1:21">
      <c r="A2243">
        <v>2242</v>
      </c>
      <c r="B2243" s="27" t="s">
        <v>1449</v>
      </c>
      <c r="D2243" s="27" t="s">
        <v>1450</v>
      </c>
      <c r="F2243" s="27" t="s">
        <v>1453</v>
      </c>
      <c r="H2243" s="27" t="s">
        <v>1454</v>
      </c>
      <c r="L2243" s="27" t="s">
        <v>11337</v>
      </c>
      <c r="N2243" s="27" t="s">
        <v>7855</v>
      </c>
      <c r="P2243" s="27" t="s">
        <v>7856</v>
      </c>
      <c r="Q2243" s="26" t="str">
        <f>HYPERLINK("https://ictv.global/taxonomy/taxondetails?taxnode_id=202514854&amp;ictv_id=ICTV202214854","ICTV202214854")</f>
        <v>ICTV202214854</v>
      </c>
      <c r="R2243" t="s">
        <v>579</v>
      </c>
      <c r="S2243" t="s">
        <v>22763</v>
      </c>
      <c r="T2243">
        <v>40</v>
      </c>
      <c r="U2243" s="26" t="str">
        <f>HYPERLINK("https://ictv.global/ictv/proposals/2024.007B.Chimalliviridae_16mg.zip","2024.007B.Chimalliviridae_16mg.zip")</f>
        <v>2024.007B.Chimalliviridae_16mg.zip</v>
      </c>
    </row>
    <row r="2244" spans="1:21">
      <c r="A2244">
        <v>2243</v>
      </c>
      <c r="B2244" s="27" t="s">
        <v>1449</v>
      </c>
      <c r="D2244" s="27" t="s">
        <v>1450</v>
      </c>
      <c r="F2244" s="27" t="s">
        <v>1453</v>
      </c>
      <c r="H2244" s="27" t="s">
        <v>1454</v>
      </c>
      <c r="L2244" s="27" t="s">
        <v>11337</v>
      </c>
      <c r="N2244" s="27" t="s">
        <v>8017</v>
      </c>
      <c r="P2244" s="27" t="s">
        <v>8018</v>
      </c>
      <c r="Q2244" s="26" t="str">
        <f>HYPERLINK("https://ictv.global/taxonomy/taxondetails?taxnode_id=202514782&amp;ictv_id=ICTV202214782","ICTV202214782")</f>
        <v>ICTV202214782</v>
      </c>
      <c r="R2244" t="s">
        <v>579</v>
      </c>
      <c r="S2244" t="s">
        <v>22763</v>
      </c>
      <c r="T2244">
        <v>40</v>
      </c>
      <c r="U2244" s="26" t="str">
        <f>HYPERLINK("https://ictv.global/ictv/proposals/2024.007B.Chimalliviridae_16mg.zip","2024.007B.Chimalliviridae_16mg.zip")</f>
        <v>2024.007B.Chimalliviridae_16mg.zip</v>
      </c>
    </row>
    <row r="2245" spans="1:21">
      <c r="A2245">
        <v>2244</v>
      </c>
      <c r="B2245" s="27" t="s">
        <v>1449</v>
      </c>
      <c r="D2245" s="27" t="s">
        <v>1450</v>
      </c>
      <c r="F2245" s="27" t="s">
        <v>1453</v>
      </c>
      <c r="H2245" s="27" t="s">
        <v>1454</v>
      </c>
      <c r="L2245" s="27" t="s">
        <v>11337</v>
      </c>
      <c r="N2245" s="27" t="s">
        <v>1714</v>
      </c>
      <c r="P2245" s="27" t="s">
        <v>8135</v>
      </c>
      <c r="Q2245" s="26" t="str">
        <f>HYPERLINK("https://ictv.global/taxonomy/taxondetails?taxnode_id=202508072&amp;ictv_id=ICTV201908072","ICTV201908072")</f>
        <v>ICTV201908072</v>
      </c>
      <c r="R2245" t="s">
        <v>579</v>
      </c>
      <c r="S2245" t="s">
        <v>22763</v>
      </c>
      <c r="T2245">
        <v>39</v>
      </c>
      <c r="U2245" s="26" t="str">
        <f>HYPERLINK("https://ictv.global/ictv/proposals/2023.015B.Chimalliviridae_nf.zip","2023.015B.Chimalliviridae_nf.zip")</f>
        <v>2023.015B.Chimalliviridae_nf.zip</v>
      </c>
    </row>
    <row r="2246" spans="1:21">
      <c r="A2246">
        <v>2245</v>
      </c>
      <c r="B2246" s="27" t="s">
        <v>1449</v>
      </c>
      <c r="D2246" s="27" t="s">
        <v>1450</v>
      </c>
      <c r="F2246" s="27" t="s">
        <v>1453</v>
      </c>
      <c r="H2246" s="27" t="s">
        <v>1454</v>
      </c>
      <c r="L2246" s="27" t="s">
        <v>11338</v>
      </c>
      <c r="N2246" s="27" t="s">
        <v>11339</v>
      </c>
      <c r="P2246" s="27" t="s">
        <v>11340</v>
      </c>
      <c r="Q2246" s="26" t="str">
        <f>HYPERLINK("https://ictv.global/taxonomy/taxondetails?taxnode_id=202517738&amp;ictv_id=ICTV202317738","ICTV202317738")</f>
        <v>ICTV202317738</v>
      </c>
      <c r="R2246" t="s">
        <v>579</v>
      </c>
      <c r="S2246" t="s">
        <v>823</v>
      </c>
      <c r="T2246">
        <v>39</v>
      </c>
      <c r="U2246" s="26" t="str">
        <f>HYPERLINK("https://ictv.global/ictv/proposals/2023.002A.Caudoviricetes_5nf_v2.zip","2023.002A.Caudoviricetes_5nf_v2.zip")</f>
        <v>2023.002A.Caudoviricetes_5nf_v2.zip</v>
      </c>
    </row>
    <row r="2247" spans="1:21">
      <c r="A2247">
        <v>2246</v>
      </c>
      <c r="B2247" s="27" t="s">
        <v>1449</v>
      </c>
      <c r="D2247" s="27" t="s">
        <v>1450</v>
      </c>
      <c r="F2247" s="27" t="s">
        <v>1453</v>
      </c>
      <c r="H2247" s="27" t="s">
        <v>1454</v>
      </c>
      <c r="L2247" s="27" t="s">
        <v>19487</v>
      </c>
      <c r="N2247" s="27" t="s">
        <v>1384</v>
      </c>
      <c r="P2247" s="27" t="s">
        <v>7344</v>
      </c>
      <c r="Q2247" s="26" t="str">
        <f>HYPERLINK("https://ictv.global/taxonomy/taxondetails?taxnode_id=202501185&amp;ictv_id=ICTV20140210","ICTV20140210")</f>
        <v>ICTV20140210</v>
      </c>
      <c r="R2247" t="s">
        <v>579</v>
      </c>
      <c r="S2247" t="s">
        <v>22763</v>
      </c>
      <c r="T2247">
        <v>40</v>
      </c>
      <c r="U2247" s="26" t="str">
        <f t="shared" ref="U2247:U2259" si="77">HYPERLINK("https://ictv.global/ictv/proposals/2024.008B.Colingsworthviridae_1nf_4ng_3mg_8ns.zip","2024.008B.Colingsworthviridae_1nf_4ng_3mg_8ns.zip")</f>
        <v>2024.008B.Colingsworthviridae_1nf_4ng_3mg_8ns.zip</v>
      </c>
    </row>
    <row r="2248" spans="1:21">
      <c r="A2248">
        <v>2247</v>
      </c>
      <c r="B2248" s="27" t="s">
        <v>1449</v>
      </c>
      <c r="D2248" s="27" t="s">
        <v>1450</v>
      </c>
      <c r="F2248" s="27" t="s">
        <v>1453</v>
      </c>
      <c r="H2248" s="27" t="s">
        <v>1454</v>
      </c>
      <c r="L2248" s="27" t="s">
        <v>19487</v>
      </c>
      <c r="N2248" s="27" t="s">
        <v>1384</v>
      </c>
      <c r="P2248" s="27" t="s">
        <v>7345</v>
      </c>
      <c r="Q2248" s="26" t="str">
        <f>HYPERLINK("https://ictv.global/taxonomy/taxondetails?taxnode_id=202501186&amp;ictv_id=ICTV20040492","ICTV20040492")</f>
        <v>ICTV20040492</v>
      </c>
      <c r="R2248" t="s">
        <v>579</v>
      </c>
      <c r="S2248" t="s">
        <v>22763</v>
      </c>
      <c r="T2248">
        <v>40</v>
      </c>
      <c r="U2248" s="26" t="str">
        <f t="shared" si="77"/>
        <v>2024.008B.Colingsworthviridae_1nf_4ng_3mg_8ns.zip</v>
      </c>
    </row>
    <row r="2249" spans="1:21">
      <c r="A2249">
        <v>2248</v>
      </c>
      <c r="B2249" s="27" t="s">
        <v>1449</v>
      </c>
      <c r="D2249" s="27" t="s">
        <v>1450</v>
      </c>
      <c r="F2249" s="27" t="s">
        <v>1453</v>
      </c>
      <c r="H2249" s="27" t="s">
        <v>1454</v>
      </c>
      <c r="L2249" s="27" t="s">
        <v>19487</v>
      </c>
      <c r="N2249" s="27" t="s">
        <v>1384</v>
      </c>
      <c r="P2249" s="27" t="s">
        <v>19488</v>
      </c>
      <c r="Q2249" s="26" t="str">
        <f>HYPERLINK("https://ictv.global/taxonomy/taxondetails?taxnode_id=202520266&amp;ictv_id=ICTV202420266","ICTV202420266")</f>
        <v>ICTV202420266</v>
      </c>
      <c r="R2249" t="s">
        <v>579</v>
      </c>
      <c r="S2249" t="s">
        <v>823</v>
      </c>
      <c r="T2249">
        <v>40</v>
      </c>
      <c r="U2249" s="26" t="str">
        <f t="shared" si="77"/>
        <v>2024.008B.Colingsworthviridae_1nf_4ng_3mg_8ns.zip</v>
      </c>
    </row>
    <row r="2250" spans="1:21">
      <c r="A2250">
        <v>2249</v>
      </c>
      <c r="B2250" s="27" t="s">
        <v>1449</v>
      </c>
      <c r="D2250" s="27" t="s">
        <v>1450</v>
      </c>
      <c r="F2250" s="27" t="s">
        <v>1453</v>
      </c>
      <c r="H2250" s="27" t="s">
        <v>1454</v>
      </c>
      <c r="L2250" s="27" t="s">
        <v>19487</v>
      </c>
      <c r="N2250" s="27" t="s">
        <v>19489</v>
      </c>
      <c r="P2250" s="27" t="s">
        <v>19490</v>
      </c>
      <c r="Q2250" s="26" t="str">
        <f>HYPERLINK("https://ictv.global/taxonomy/taxondetails?taxnode_id=202520263&amp;ictv_id=ICTV202420263","ICTV202420263")</f>
        <v>ICTV202420263</v>
      </c>
      <c r="R2250" t="s">
        <v>579</v>
      </c>
      <c r="S2250" t="s">
        <v>823</v>
      </c>
      <c r="T2250">
        <v>40</v>
      </c>
      <c r="U2250" s="26" t="str">
        <f t="shared" si="77"/>
        <v>2024.008B.Colingsworthviridae_1nf_4ng_3mg_8ns.zip</v>
      </c>
    </row>
    <row r="2251" spans="1:21">
      <c r="A2251">
        <v>2250</v>
      </c>
      <c r="B2251" s="27" t="s">
        <v>1449</v>
      </c>
      <c r="D2251" s="27" t="s">
        <v>1450</v>
      </c>
      <c r="F2251" s="27" t="s">
        <v>1453</v>
      </c>
      <c r="H2251" s="27" t="s">
        <v>1454</v>
      </c>
      <c r="L2251" s="27" t="s">
        <v>19487</v>
      </c>
      <c r="N2251" s="27" t="s">
        <v>19489</v>
      </c>
      <c r="P2251" s="27" t="s">
        <v>19491</v>
      </c>
      <c r="Q2251" s="26" t="str">
        <f>HYPERLINK("https://ictv.global/taxonomy/taxondetails?taxnode_id=202520264&amp;ictv_id=ICTV202420264","ICTV202420264")</f>
        <v>ICTV202420264</v>
      </c>
      <c r="R2251" t="s">
        <v>579</v>
      </c>
      <c r="S2251" t="s">
        <v>823</v>
      </c>
      <c r="T2251">
        <v>40</v>
      </c>
      <c r="U2251" s="26" t="str">
        <f t="shared" si="77"/>
        <v>2024.008B.Colingsworthviridae_1nf_4ng_3mg_8ns.zip</v>
      </c>
    </row>
    <row r="2252" spans="1:21">
      <c r="A2252">
        <v>2251</v>
      </c>
      <c r="B2252" s="27" t="s">
        <v>1449</v>
      </c>
      <c r="D2252" s="27" t="s">
        <v>1450</v>
      </c>
      <c r="F2252" s="27" t="s">
        <v>1453</v>
      </c>
      <c r="H2252" s="27" t="s">
        <v>1454</v>
      </c>
      <c r="L2252" s="27" t="s">
        <v>19487</v>
      </c>
      <c r="N2252" s="27" t="s">
        <v>19489</v>
      </c>
      <c r="P2252" s="27" t="s">
        <v>19492</v>
      </c>
      <c r="Q2252" s="26" t="str">
        <f>HYPERLINK("https://ictv.global/taxonomy/taxondetails?taxnode_id=202520262&amp;ictv_id=ICTV202420262","ICTV202420262")</f>
        <v>ICTV202420262</v>
      </c>
      <c r="R2252" t="s">
        <v>579</v>
      </c>
      <c r="S2252" t="s">
        <v>823</v>
      </c>
      <c r="T2252">
        <v>40</v>
      </c>
      <c r="U2252" s="26" t="str">
        <f t="shared" si="77"/>
        <v>2024.008B.Colingsworthviridae_1nf_4ng_3mg_8ns.zip</v>
      </c>
    </row>
    <row r="2253" spans="1:21">
      <c r="A2253">
        <v>2252</v>
      </c>
      <c r="B2253" s="27" t="s">
        <v>1449</v>
      </c>
      <c r="D2253" s="27" t="s">
        <v>1450</v>
      </c>
      <c r="F2253" s="27" t="s">
        <v>1453</v>
      </c>
      <c r="H2253" s="27" t="s">
        <v>1454</v>
      </c>
      <c r="L2253" s="27" t="s">
        <v>19487</v>
      </c>
      <c r="N2253" s="27" t="s">
        <v>19493</v>
      </c>
      <c r="P2253" s="27" t="s">
        <v>19494</v>
      </c>
      <c r="Q2253" s="26" t="str">
        <f>HYPERLINK("https://ictv.global/taxonomy/taxondetails?taxnode_id=202520259&amp;ictv_id=ICTV202420259","ICTV202420259")</f>
        <v>ICTV202420259</v>
      </c>
      <c r="R2253" t="s">
        <v>579</v>
      </c>
      <c r="S2253" t="s">
        <v>823</v>
      </c>
      <c r="T2253">
        <v>40</v>
      </c>
      <c r="U2253" s="26" t="str">
        <f t="shared" si="77"/>
        <v>2024.008B.Colingsworthviridae_1nf_4ng_3mg_8ns.zip</v>
      </c>
    </row>
    <row r="2254" spans="1:21">
      <c r="A2254">
        <v>2253</v>
      </c>
      <c r="B2254" s="27" t="s">
        <v>1449</v>
      </c>
      <c r="D2254" s="27" t="s">
        <v>1450</v>
      </c>
      <c r="F2254" s="27" t="s">
        <v>1453</v>
      </c>
      <c r="H2254" s="27" t="s">
        <v>1454</v>
      </c>
      <c r="L2254" s="27" t="s">
        <v>19487</v>
      </c>
      <c r="N2254" s="27" t="s">
        <v>19495</v>
      </c>
      <c r="P2254" s="27" t="s">
        <v>19496</v>
      </c>
      <c r="Q2254" s="26" t="str">
        <f>HYPERLINK("https://ictv.global/taxonomy/taxondetails?taxnode_id=202520261&amp;ictv_id=ICTV202420261","ICTV202420261")</f>
        <v>ICTV202420261</v>
      </c>
      <c r="R2254" t="s">
        <v>579</v>
      </c>
      <c r="S2254" t="s">
        <v>823</v>
      </c>
      <c r="T2254">
        <v>40</v>
      </c>
      <c r="U2254" s="26" t="str">
        <f t="shared" si="77"/>
        <v>2024.008B.Colingsworthviridae_1nf_4ng_3mg_8ns.zip</v>
      </c>
    </row>
    <row r="2255" spans="1:21">
      <c r="A2255">
        <v>2254</v>
      </c>
      <c r="B2255" s="27" t="s">
        <v>1449</v>
      </c>
      <c r="D2255" s="27" t="s">
        <v>1450</v>
      </c>
      <c r="F2255" s="27" t="s">
        <v>1453</v>
      </c>
      <c r="H2255" s="27" t="s">
        <v>1454</v>
      </c>
      <c r="L2255" s="27" t="s">
        <v>19487</v>
      </c>
      <c r="N2255" s="27" t="s">
        <v>19497</v>
      </c>
      <c r="P2255" s="27" t="s">
        <v>19498</v>
      </c>
      <c r="Q2255" s="26" t="str">
        <f>HYPERLINK("https://ictv.global/taxonomy/taxondetails?taxnode_id=202520260&amp;ictv_id=ICTV202420260","ICTV202420260")</f>
        <v>ICTV202420260</v>
      </c>
      <c r="R2255" t="s">
        <v>579</v>
      </c>
      <c r="S2255" t="s">
        <v>823</v>
      </c>
      <c r="T2255">
        <v>40</v>
      </c>
      <c r="U2255" s="26" t="str">
        <f t="shared" si="77"/>
        <v>2024.008B.Colingsworthviridae_1nf_4ng_3mg_8ns.zip</v>
      </c>
    </row>
    <row r="2256" spans="1:21">
      <c r="A2256">
        <v>2255</v>
      </c>
      <c r="B2256" s="27" t="s">
        <v>1449</v>
      </c>
      <c r="D2256" s="27" t="s">
        <v>1450</v>
      </c>
      <c r="F2256" s="27" t="s">
        <v>1453</v>
      </c>
      <c r="H2256" s="27" t="s">
        <v>1454</v>
      </c>
      <c r="L2256" s="27" t="s">
        <v>19487</v>
      </c>
      <c r="N2256" s="27" t="s">
        <v>1794</v>
      </c>
      <c r="P2256" s="27" t="s">
        <v>8029</v>
      </c>
      <c r="Q2256" s="26" t="str">
        <f>HYPERLINK("https://ictv.global/taxonomy/taxondetails?taxnode_id=202501187&amp;ictv_id=ICTV20140211","ICTV20140211")</f>
        <v>ICTV20140211</v>
      </c>
      <c r="R2256" t="s">
        <v>579</v>
      </c>
      <c r="S2256" t="s">
        <v>22763</v>
      </c>
      <c r="T2256">
        <v>40</v>
      </c>
      <c r="U2256" s="26" t="str">
        <f t="shared" si="77"/>
        <v>2024.008B.Colingsworthviridae_1nf_4ng_3mg_8ns.zip</v>
      </c>
    </row>
    <row r="2257" spans="1:21">
      <c r="A2257">
        <v>2256</v>
      </c>
      <c r="B2257" s="27" t="s">
        <v>1449</v>
      </c>
      <c r="D2257" s="27" t="s">
        <v>1450</v>
      </c>
      <c r="F2257" s="27" t="s">
        <v>1453</v>
      </c>
      <c r="H2257" s="27" t="s">
        <v>1454</v>
      </c>
      <c r="L2257" s="27" t="s">
        <v>19487</v>
      </c>
      <c r="N2257" s="27" t="s">
        <v>1796</v>
      </c>
      <c r="P2257" s="27" t="s">
        <v>19499</v>
      </c>
      <c r="Q2257" s="26" t="str">
        <f>HYPERLINK("https://ictv.global/taxonomy/taxondetails?taxnode_id=202520265&amp;ictv_id=ICTV202420265","ICTV202420265")</f>
        <v>ICTV202420265</v>
      </c>
      <c r="R2257" t="s">
        <v>579</v>
      </c>
      <c r="S2257" t="s">
        <v>823</v>
      </c>
      <c r="T2257">
        <v>40</v>
      </c>
      <c r="U2257" s="26" t="str">
        <f t="shared" si="77"/>
        <v>2024.008B.Colingsworthviridae_1nf_4ng_3mg_8ns.zip</v>
      </c>
    </row>
    <row r="2258" spans="1:21">
      <c r="A2258">
        <v>2257</v>
      </c>
      <c r="B2258" s="27" t="s">
        <v>1449</v>
      </c>
      <c r="D2258" s="27" t="s">
        <v>1450</v>
      </c>
      <c r="F2258" s="27" t="s">
        <v>1453</v>
      </c>
      <c r="H2258" s="27" t="s">
        <v>1454</v>
      </c>
      <c r="L2258" s="27" t="s">
        <v>19487</v>
      </c>
      <c r="N2258" s="27" t="s">
        <v>1796</v>
      </c>
      <c r="P2258" s="27" t="s">
        <v>8089</v>
      </c>
      <c r="Q2258" s="26" t="str">
        <f>HYPERLINK("https://ictv.global/taxonomy/taxondetails?taxnode_id=202508191&amp;ictv_id=ICTV201908191","ICTV201908191")</f>
        <v>ICTV201908191</v>
      </c>
      <c r="R2258" t="s">
        <v>579</v>
      </c>
      <c r="S2258" t="s">
        <v>22763</v>
      </c>
      <c r="T2258">
        <v>40</v>
      </c>
      <c r="U2258" s="26" t="str">
        <f t="shared" si="77"/>
        <v>2024.008B.Colingsworthviridae_1nf_4ng_3mg_8ns.zip</v>
      </c>
    </row>
    <row r="2259" spans="1:21">
      <c r="A2259">
        <v>2258</v>
      </c>
      <c r="B2259" s="27" t="s">
        <v>1449</v>
      </c>
      <c r="D2259" s="27" t="s">
        <v>1450</v>
      </c>
      <c r="F2259" s="27" t="s">
        <v>1453</v>
      </c>
      <c r="H2259" s="27" t="s">
        <v>1454</v>
      </c>
      <c r="L2259" s="27" t="s">
        <v>19487</v>
      </c>
      <c r="N2259" s="27" t="s">
        <v>1796</v>
      </c>
      <c r="P2259" s="27" t="s">
        <v>8090</v>
      </c>
      <c r="Q2259" s="26" t="str">
        <f>HYPERLINK("https://ictv.global/taxonomy/taxondetails?taxnode_id=202508190&amp;ictv_id=ICTV201908190","ICTV201908190")</f>
        <v>ICTV201908190</v>
      </c>
      <c r="R2259" t="s">
        <v>579</v>
      </c>
      <c r="S2259" t="s">
        <v>22763</v>
      </c>
      <c r="T2259">
        <v>40</v>
      </c>
      <c r="U2259" s="26" t="str">
        <f t="shared" si="77"/>
        <v>2024.008B.Colingsworthviridae_1nf_4ng_3mg_8ns.zip</v>
      </c>
    </row>
    <row r="2260" spans="1:21">
      <c r="A2260">
        <v>2259</v>
      </c>
      <c r="B2260" s="27" t="s">
        <v>1449</v>
      </c>
      <c r="D2260" s="27" t="s">
        <v>1450</v>
      </c>
      <c r="F2260" s="27" t="s">
        <v>1453</v>
      </c>
      <c r="H2260" s="27" t="s">
        <v>1454</v>
      </c>
      <c r="L2260" s="27" t="s">
        <v>19500</v>
      </c>
      <c r="N2260" s="27" t="s">
        <v>1200</v>
      </c>
      <c r="P2260" s="27" t="s">
        <v>19501</v>
      </c>
      <c r="Q2260" s="26" t="str">
        <f>HYPERLINK("https://ictv.global/taxonomy/taxondetails?taxnode_id=202520371&amp;ictv_id=ICTV202420371","ICTV202420371")</f>
        <v>ICTV202420371</v>
      </c>
      <c r="R2260" t="s">
        <v>579</v>
      </c>
      <c r="S2260" t="s">
        <v>823</v>
      </c>
      <c r="T2260">
        <v>40</v>
      </c>
      <c r="U2260" s="26" t="str">
        <f t="shared" ref="U2260:U2279" si="78">HYPERLINK("https://ictv.global/ictv/proposals/2024.009B.Connertonviridae_1nf_2mg_12ns.zip","2024.009B.Connertonviridae_1nf_2mg_12ns.zip")</f>
        <v>2024.009B.Connertonviridae_1nf_2mg_12ns.zip</v>
      </c>
    </row>
    <row r="2261" spans="1:21">
      <c r="A2261">
        <v>2260</v>
      </c>
      <c r="B2261" s="27" t="s">
        <v>1449</v>
      </c>
      <c r="D2261" s="27" t="s">
        <v>1450</v>
      </c>
      <c r="F2261" s="27" t="s">
        <v>1453</v>
      </c>
      <c r="H2261" s="27" t="s">
        <v>1454</v>
      </c>
      <c r="L2261" s="27" t="s">
        <v>19500</v>
      </c>
      <c r="N2261" s="27" t="s">
        <v>1200</v>
      </c>
      <c r="P2261" s="27" t="s">
        <v>19502</v>
      </c>
      <c r="Q2261" s="26" t="str">
        <f>HYPERLINK("https://ictv.global/taxonomy/taxondetails?taxnode_id=202520372&amp;ictv_id=ICTV202420372","ICTV202420372")</f>
        <v>ICTV202420372</v>
      </c>
      <c r="R2261" t="s">
        <v>579</v>
      </c>
      <c r="S2261" t="s">
        <v>823</v>
      </c>
      <c r="T2261">
        <v>40</v>
      </c>
      <c r="U2261" s="26" t="str">
        <f t="shared" si="78"/>
        <v>2024.009B.Connertonviridae_1nf_2mg_12ns.zip</v>
      </c>
    </row>
    <row r="2262" spans="1:21">
      <c r="A2262">
        <v>2261</v>
      </c>
      <c r="B2262" s="27" t="s">
        <v>1449</v>
      </c>
      <c r="D2262" s="27" t="s">
        <v>1450</v>
      </c>
      <c r="F2262" s="27" t="s">
        <v>1453</v>
      </c>
      <c r="H2262" s="27" t="s">
        <v>1454</v>
      </c>
      <c r="L2262" s="27" t="s">
        <v>19500</v>
      </c>
      <c r="N2262" s="27" t="s">
        <v>1200</v>
      </c>
      <c r="P2262" s="27" t="s">
        <v>19503</v>
      </c>
      <c r="Q2262" s="26" t="str">
        <f>HYPERLINK("https://ictv.global/taxonomy/taxondetails?taxnode_id=202520369&amp;ictv_id=ICTV202420369","ICTV202420369")</f>
        <v>ICTV202420369</v>
      </c>
      <c r="R2262" t="s">
        <v>579</v>
      </c>
      <c r="S2262" t="s">
        <v>823</v>
      </c>
      <c r="T2262">
        <v>40</v>
      </c>
      <c r="U2262" s="26" t="str">
        <f t="shared" si="78"/>
        <v>2024.009B.Connertonviridae_1nf_2mg_12ns.zip</v>
      </c>
    </row>
    <row r="2263" spans="1:21">
      <c r="A2263">
        <v>2262</v>
      </c>
      <c r="B2263" s="27" t="s">
        <v>1449</v>
      </c>
      <c r="D2263" s="27" t="s">
        <v>1450</v>
      </c>
      <c r="F2263" s="27" t="s">
        <v>1453</v>
      </c>
      <c r="H2263" s="27" t="s">
        <v>1454</v>
      </c>
      <c r="L2263" s="27" t="s">
        <v>19500</v>
      </c>
      <c r="N2263" s="27" t="s">
        <v>1200</v>
      </c>
      <c r="P2263" s="27" t="s">
        <v>6061</v>
      </c>
      <c r="Q2263" s="26" t="str">
        <f>HYPERLINK("https://ictv.global/taxonomy/taxondetails?taxnode_id=202500194&amp;ictv_id=ICTV20140119","ICTV20140119")</f>
        <v>ICTV20140119</v>
      </c>
      <c r="R2263" t="s">
        <v>579</v>
      </c>
      <c r="S2263" t="s">
        <v>22763</v>
      </c>
      <c r="T2263">
        <v>40</v>
      </c>
      <c r="U2263" s="26" t="str">
        <f t="shared" si="78"/>
        <v>2024.009B.Connertonviridae_1nf_2mg_12ns.zip</v>
      </c>
    </row>
    <row r="2264" spans="1:21">
      <c r="A2264">
        <v>2263</v>
      </c>
      <c r="B2264" s="27" t="s">
        <v>1449</v>
      </c>
      <c r="D2264" s="27" t="s">
        <v>1450</v>
      </c>
      <c r="F2264" s="27" t="s">
        <v>1453</v>
      </c>
      <c r="H2264" s="27" t="s">
        <v>1454</v>
      </c>
      <c r="L2264" s="27" t="s">
        <v>19500</v>
      </c>
      <c r="N2264" s="27" t="s">
        <v>1200</v>
      </c>
      <c r="P2264" s="27" t="s">
        <v>6062</v>
      </c>
      <c r="Q2264" s="26" t="str">
        <f>HYPERLINK("https://ictv.global/taxonomy/taxondetails?taxnode_id=202500195&amp;ictv_id=ICTV20140116","ICTV20140116")</f>
        <v>ICTV20140116</v>
      </c>
      <c r="R2264" t="s">
        <v>579</v>
      </c>
      <c r="S2264" t="s">
        <v>22763</v>
      </c>
      <c r="T2264">
        <v>40</v>
      </c>
      <c r="U2264" s="26" t="str">
        <f t="shared" si="78"/>
        <v>2024.009B.Connertonviridae_1nf_2mg_12ns.zip</v>
      </c>
    </row>
    <row r="2265" spans="1:21">
      <c r="A2265">
        <v>2264</v>
      </c>
      <c r="B2265" s="27" t="s">
        <v>1449</v>
      </c>
      <c r="D2265" s="27" t="s">
        <v>1450</v>
      </c>
      <c r="F2265" s="27" t="s">
        <v>1453</v>
      </c>
      <c r="H2265" s="27" t="s">
        <v>1454</v>
      </c>
      <c r="L2265" s="27" t="s">
        <v>19500</v>
      </c>
      <c r="N2265" s="27" t="s">
        <v>1200</v>
      </c>
      <c r="P2265" s="27" t="s">
        <v>6063</v>
      </c>
      <c r="Q2265" s="26" t="str">
        <f>HYPERLINK("https://ictv.global/taxonomy/taxondetails?taxnode_id=202500196&amp;ictv_id=ICTV20140117","ICTV20140117")</f>
        <v>ICTV20140117</v>
      </c>
      <c r="R2265" t="s">
        <v>579</v>
      </c>
      <c r="S2265" t="s">
        <v>22763</v>
      </c>
      <c r="T2265">
        <v>40</v>
      </c>
      <c r="U2265" s="26" t="str">
        <f t="shared" si="78"/>
        <v>2024.009B.Connertonviridae_1nf_2mg_12ns.zip</v>
      </c>
    </row>
    <row r="2266" spans="1:21">
      <c r="A2266">
        <v>2265</v>
      </c>
      <c r="B2266" s="27" t="s">
        <v>1449</v>
      </c>
      <c r="D2266" s="27" t="s">
        <v>1450</v>
      </c>
      <c r="F2266" s="27" t="s">
        <v>1453</v>
      </c>
      <c r="H2266" s="27" t="s">
        <v>1454</v>
      </c>
      <c r="L2266" s="27" t="s">
        <v>19500</v>
      </c>
      <c r="N2266" s="27" t="s">
        <v>1200</v>
      </c>
      <c r="P2266" s="27" t="s">
        <v>19504</v>
      </c>
      <c r="Q2266" s="26" t="str">
        <f>HYPERLINK("https://ictv.global/taxonomy/taxondetails?taxnode_id=202520370&amp;ictv_id=ICTV202420370","ICTV202420370")</f>
        <v>ICTV202420370</v>
      </c>
      <c r="R2266" t="s">
        <v>579</v>
      </c>
      <c r="S2266" t="s">
        <v>823</v>
      </c>
      <c r="T2266">
        <v>40</v>
      </c>
      <c r="U2266" s="26" t="str">
        <f t="shared" si="78"/>
        <v>2024.009B.Connertonviridae_1nf_2mg_12ns.zip</v>
      </c>
    </row>
    <row r="2267" spans="1:21">
      <c r="A2267">
        <v>2266</v>
      </c>
      <c r="B2267" s="27" t="s">
        <v>1449</v>
      </c>
      <c r="D2267" s="27" t="s">
        <v>1450</v>
      </c>
      <c r="F2267" s="27" t="s">
        <v>1453</v>
      </c>
      <c r="H2267" s="27" t="s">
        <v>1454</v>
      </c>
      <c r="L2267" s="27" t="s">
        <v>19500</v>
      </c>
      <c r="N2267" s="27" t="s">
        <v>1201</v>
      </c>
      <c r="P2267" s="27" t="s">
        <v>19505</v>
      </c>
      <c r="Q2267" s="26" t="str">
        <f>HYPERLINK("https://ictv.global/taxonomy/taxondetails?taxnode_id=202520365&amp;ictv_id=ICTV202420365","ICTV202420365")</f>
        <v>ICTV202420365</v>
      </c>
      <c r="R2267" t="s">
        <v>579</v>
      </c>
      <c r="S2267" t="s">
        <v>823</v>
      </c>
      <c r="T2267">
        <v>40</v>
      </c>
      <c r="U2267" s="26" t="str">
        <f t="shared" si="78"/>
        <v>2024.009B.Connertonviridae_1nf_2mg_12ns.zip</v>
      </c>
    </row>
    <row r="2268" spans="1:21">
      <c r="A2268">
        <v>2267</v>
      </c>
      <c r="B2268" s="27" t="s">
        <v>1449</v>
      </c>
      <c r="D2268" s="27" t="s">
        <v>1450</v>
      </c>
      <c r="F2268" s="27" t="s">
        <v>1453</v>
      </c>
      <c r="H2268" s="27" t="s">
        <v>1454</v>
      </c>
      <c r="L2268" s="27" t="s">
        <v>19500</v>
      </c>
      <c r="N2268" s="27" t="s">
        <v>1201</v>
      </c>
      <c r="P2268" s="27" t="s">
        <v>19506</v>
      </c>
      <c r="Q2268" s="26" t="str">
        <f>HYPERLINK("https://ictv.global/taxonomy/taxondetails?taxnode_id=202520366&amp;ictv_id=ICTV202420366","ICTV202420366")</f>
        <v>ICTV202420366</v>
      </c>
      <c r="R2268" t="s">
        <v>579</v>
      </c>
      <c r="S2268" t="s">
        <v>823</v>
      </c>
      <c r="T2268">
        <v>40</v>
      </c>
      <c r="U2268" s="26" t="str">
        <f t="shared" si="78"/>
        <v>2024.009B.Connertonviridae_1nf_2mg_12ns.zip</v>
      </c>
    </row>
    <row r="2269" spans="1:21">
      <c r="A2269">
        <v>2268</v>
      </c>
      <c r="B2269" s="27" t="s">
        <v>1449</v>
      </c>
      <c r="D2269" s="27" t="s">
        <v>1450</v>
      </c>
      <c r="F2269" s="27" t="s">
        <v>1453</v>
      </c>
      <c r="H2269" s="27" t="s">
        <v>1454</v>
      </c>
      <c r="L2269" s="27" t="s">
        <v>19500</v>
      </c>
      <c r="N2269" s="27" t="s">
        <v>1201</v>
      </c>
      <c r="P2269" s="27" t="s">
        <v>6064</v>
      </c>
      <c r="Q2269" s="26" t="str">
        <f>HYPERLINK("https://ictv.global/taxonomy/taxondetails?taxnode_id=202500199&amp;ictv_id=ICTV20140121","ICTV20140121")</f>
        <v>ICTV20140121</v>
      </c>
      <c r="R2269" t="s">
        <v>579</v>
      </c>
      <c r="S2269" t="s">
        <v>22763</v>
      </c>
      <c r="T2269">
        <v>40</v>
      </c>
      <c r="U2269" s="26" t="str">
        <f t="shared" si="78"/>
        <v>2024.009B.Connertonviridae_1nf_2mg_12ns.zip</v>
      </c>
    </row>
    <row r="2270" spans="1:21">
      <c r="A2270">
        <v>2269</v>
      </c>
      <c r="B2270" s="27" t="s">
        <v>1449</v>
      </c>
      <c r="D2270" s="27" t="s">
        <v>1450</v>
      </c>
      <c r="F2270" s="27" t="s">
        <v>1453</v>
      </c>
      <c r="H2270" s="27" t="s">
        <v>1454</v>
      </c>
      <c r="L2270" s="27" t="s">
        <v>19500</v>
      </c>
      <c r="N2270" s="27" t="s">
        <v>1201</v>
      </c>
      <c r="P2270" s="27" t="s">
        <v>6065</v>
      </c>
      <c r="Q2270" s="26" t="str">
        <f>HYPERLINK("https://ictv.global/taxonomy/taxondetails?taxnode_id=202500200&amp;ictv_id=ICTV20164820","ICTV20164820")</f>
        <v>ICTV20164820</v>
      </c>
      <c r="R2270" t="s">
        <v>579</v>
      </c>
      <c r="S2270" t="s">
        <v>22763</v>
      </c>
      <c r="T2270">
        <v>40</v>
      </c>
      <c r="U2270" s="26" t="str">
        <f t="shared" si="78"/>
        <v>2024.009B.Connertonviridae_1nf_2mg_12ns.zip</v>
      </c>
    </row>
    <row r="2271" spans="1:21">
      <c r="A2271">
        <v>2270</v>
      </c>
      <c r="B2271" s="27" t="s">
        <v>1449</v>
      </c>
      <c r="D2271" s="27" t="s">
        <v>1450</v>
      </c>
      <c r="F2271" s="27" t="s">
        <v>1453</v>
      </c>
      <c r="H2271" s="27" t="s">
        <v>1454</v>
      </c>
      <c r="L2271" s="27" t="s">
        <v>19500</v>
      </c>
      <c r="N2271" s="27" t="s">
        <v>1201</v>
      </c>
      <c r="P2271" s="27" t="s">
        <v>6066</v>
      </c>
      <c r="Q2271" s="26" t="str">
        <f>HYPERLINK("https://ictv.global/taxonomy/taxondetails?taxnode_id=202500201&amp;ictv_id=ICTV20140122","ICTV20140122")</f>
        <v>ICTV20140122</v>
      </c>
      <c r="R2271" t="s">
        <v>579</v>
      </c>
      <c r="S2271" t="s">
        <v>22763</v>
      </c>
      <c r="T2271">
        <v>40</v>
      </c>
      <c r="U2271" s="26" t="str">
        <f t="shared" si="78"/>
        <v>2024.009B.Connertonviridae_1nf_2mg_12ns.zip</v>
      </c>
    </row>
    <row r="2272" spans="1:21">
      <c r="A2272">
        <v>2271</v>
      </c>
      <c r="B2272" s="27" t="s">
        <v>1449</v>
      </c>
      <c r="D2272" s="27" t="s">
        <v>1450</v>
      </c>
      <c r="F2272" s="27" t="s">
        <v>1453</v>
      </c>
      <c r="H2272" s="27" t="s">
        <v>1454</v>
      </c>
      <c r="L2272" s="27" t="s">
        <v>19500</v>
      </c>
      <c r="N2272" s="27" t="s">
        <v>1201</v>
      </c>
      <c r="P2272" s="27" t="s">
        <v>19507</v>
      </c>
      <c r="Q2272" s="26" t="str">
        <f>HYPERLINK("https://ictv.global/taxonomy/taxondetails?taxnode_id=202520368&amp;ictv_id=ICTV202420368","ICTV202420368")</f>
        <v>ICTV202420368</v>
      </c>
      <c r="R2272" t="s">
        <v>579</v>
      </c>
      <c r="S2272" t="s">
        <v>823</v>
      </c>
      <c r="T2272">
        <v>40</v>
      </c>
      <c r="U2272" s="26" t="str">
        <f t="shared" si="78"/>
        <v>2024.009B.Connertonviridae_1nf_2mg_12ns.zip</v>
      </c>
    </row>
    <row r="2273" spans="1:21">
      <c r="A2273">
        <v>2272</v>
      </c>
      <c r="B2273" s="27" t="s">
        <v>1449</v>
      </c>
      <c r="D2273" s="27" t="s">
        <v>1450</v>
      </c>
      <c r="F2273" s="27" t="s">
        <v>1453</v>
      </c>
      <c r="H2273" s="27" t="s">
        <v>1454</v>
      </c>
      <c r="L2273" s="27" t="s">
        <v>19500</v>
      </c>
      <c r="N2273" s="27" t="s">
        <v>1201</v>
      </c>
      <c r="P2273" s="27" t="s">
        <v>19508</v>
      </c>
      <c r="Q2273" s="26" t="str">
        <f>HYPERLINK("https://ictv.global/taxonomy/taxondetails?taxnode_id=202520364&amp;ictv_id=ICTV202420364","ICTV202420364")</f>
        <v>ICTV202420364</v>
      </c>
      <c r="R2273" t="s">
        <v>579</v>
      </c>
      <c r="S2273" t="s">
        <v>823</v>
      </c>
      <c r="T2273">
        <v>40</v>
      </c>
      <c r="U2273" s="26" t="str">
        <f t="shared" si="78"/>
        <v>2024.009B.Connertonviridae_1nf_2mg_12ns.zip</v>
      </c>
    </row>
    <row r="2274" spans="1:21">
      <c r="A2274">
        <v>2273</v>
      </c>
      <c r="B2274" s="27" t="s">
        <v>1449</v>
      </c>
      <c r="D2274" s="27" t="s">
        <v>1450</v>
      </c>
      <c r="F2274" s="27" t="s">
        <v>1453</v>
      </c>
      <c r="H2274" s="27" t="s">
        <v>1454</v>
      </c>
      <c r="L2274" s="27" t="s">
        <v>19500</v>
      </c>
      <c r="N2274" s="27" t="s">
        <v>1201</v>
      </c>
      <c r="P2274" s="27" t="s">
        <v>19509</v>
      </c>
      <c r="Q2274" s="26" t="str">
        <f>HYPERLINK("https://ictv.global/taxonomy/taxondetails?taxnode_id=202520361&amp;ictv_id=ICTV202420361","ICTV202420361")</f>
        <v>ICTV202420361</v>
      </c>
      <c r="R2274" t="s">
        <v>579</v>
      </c>
      <c r="S2274" t="s">
        <v>823</v>
      </c>
      <c r="T2274">
        <v>40</v>
      </c>
      <c r="U2274" s="26" t="str">
        <f t="shared" si="78"/>
        <v>2024.009B.Connertonviridae_1nf_2mg_12ns.zip</v>
      </c>
    </row>
    <row r="2275" spans="1:21">
      <c r="A2275">
        <v>2274</v>
      </c>
      <c r="B2275" s="27" t="s">
        <v>1449</v>
      </c>
      <c r="D2275" s="27" t="s">
        <v>1450</v>
      </c>
      <c r="F2275" s="27" t="s">
        <v>1453</v>
      </c>
      <c r="H2275" s="27" t="s">
        <v>1454</v>
      </c>
      <c r="L2275" s="27" t="s">
        <v>19500</v>
      </c>
      <c r="N2275" s="27" t="s">
        <v>1201</v>
      </c>
      <c r="P2275" s="27" t="s">
        <v>19510</v>
      </c>
      <c r="Q2275" s="26" t="str">
        <f>HYPERLINK("https://ictv.global/taxonomy/taxondetails?taxnode_id=202520367&amp;ictv_id=ICTV202420367","ICTV202420367")</f>
        <v>ICTV202420367</v>
      </c>
      <c r="R2275" t="s">
        <v>579</v>
      </c>
      <c r="S2275" t="s">
        <v>823</v>
      </c>
      <c r="T2275">
        <v>40</v>
      </c>
      <c r="U2275" s="26" t="str">
        <f t="shared" si="78"/>
        <v>2024.009B.Connertonviridae_1nf_2mg_12ns.zip</v>
      </c>
    </row>
    <row r="2276" spans="1:21">
      <c r="A2276">
        <v>2275</v>
      </c>
      <c r="B2276" s="27" t="s">
        <v>1449</v>
      </c>
      <c r="D2276" s="27" t="s">
        <v>1450</v>
      </c>
      <c r="F2276" s="27" t="s">
        <v>1453</v>
      </c>
      <c r="H2276" s="27" t="s">
        <v>1454</v>
      </c>
      <c r="L2276" s="27" t="s">
        <v>19500</v>
      </c>
      <c r="N2276" s="27" t="s">
        <v>1201</v>
      </c>
      <c r="P2276" s="27" t="s">
        <v>6067</v>
      </c>
      <c r="Q2276" s="26" t="str">
        <f>HYPERLINK("https://ictv.global/taxonomy/taxondetails?taxnode_id=202506998&amp;ictv_id=ICTV201856998","ICTV201856998")</f>
        <v>ICTV201856998</v>
      </c>
      <c r="R2276" t="s">
        <v>579</v>
      </c>
      <c r="S2276" t="s">
        <v>22763</v>
      </c>
      <c r="T2276">
        <v>40</v>
      </c>
      <c r="U2276" s="26" t="str">
        <f t="shared" si="78"/>
        <v>2024.009B.Connertonviridae_1nf_2mg_12ns.zip</v>
      </c>
    </row>
    <row r="2277" spans="1:21">
      <c r="A2277">
        <v>2276</v>
      </c>
      <c r="B2277" s="27" t="s">
        <v>1449</v>
      </c>
      <c r="D2277" s="27" t="s">
        <v>1450</v>
      </c>
      <c r="F2277" s="27" t="s">
        <v>1453</v>
      </c>
      <c r="H2277" s="27" t="s">
        <v>1454</v>
      </c>
      <c r="L2277" s="27" t="s">
        <v>19500</v>
      </c>
      <c r="N2277" s="27" t="s">
        <v>1201</v>
      </c>
      <c r="P2277" s="27" t="s">
        <v>6068</v>
      </c>
      <c r="Q2277" s="26" t="str">
        <f>HYPERLINK("https://ictv.global/taxonomy/taxondetails?taxnode_id=202500202&amp;ictv_id=ICTV20140123","ICTV20140123")</f>
        <v>ICTV20140123</v>
      </c>
      <c r="R2277" t="s">
        <v>579</v>
      </c>
      <c r="S2277" t="s">
        <v>22763</v>
      </c>
      <c r="T2277">
        <v>40</v>
      </c>
      <c r="U2277" s="26" t="str">
        <f t="shared" si="78"/>
        <v>2024.009B.Connertonviridae_1nf_2mg_12ns.zip</v>
      </c>
    </row>
    <row r="2278" spans="1:21">
      <c r="A2278">
        <v>2277</v>
      </c>
      <c r="B2278" s="27" t="s">
        <v>1449</v>
      </c>
      <c r="D2278" s="27" t="s">
        <v>1450</v>
      </c>
      <c r="F2278" s="27" t="s">
        <v>1453</v>
      </c>
      <c r="H2278" s="27" t="s">
        <v>1454</v>
      </c>
      <c r="L2278" s="27" t="s">
        <v>19500</v>
      </c>
      <c r="N2278" s="27" t="s">
        <v>1201</v>
      </c>
      <c r="P2278" s="27" t="s">
        <v>19511</v>
      </c>
      <c r="Q2278" s="26" t="str">
        <f>HYPERLINK("https://ictv.global/taxonomy/taxondetails?taxnode_id=202520363&amp;ictv_id=ICTV202420363","ICTV202420363")</f>
        <v>ICTV202420363</v>
      </c>
      <c r="R2278" t="s">
        <v>579</v>
      </c>
      <c r="S2278" t="s">
        <v>823</v>
      </c>
      <c r="T2278">
        <v>40</v>
      </c>
      <c r="U2278" s="26" t="str">
        <f t="shared" si="78"/>
        <v>2024.009B.Connertonviridae_1nf_2mg_12ns.zip</v>
      </c>
    </row>
    <row r="2279" spans="1:21">
      <c r="A2279">
        <v>2278</v>
      </c>
      <c r="B2279" s="27" t="s">
        <v>1449</v>
      </c>
      <c r="D2279" s="27" t="s">
        <v>1450</v>
      </c>
      <c r="F2279" s="27" t="s">
        <v>1453</v>
      </c>
      <c r="H2279" s="27" t="s">
        <v>1454</v>
      </c>
      <c r="L2279" s="27" t="s">
        <v>19500</v>
      </c>
      <c r="N2279" s="27" t="s">
        <v>1201</v>
      </c>
      <c r="P2279" s="27" t="s">
        <v>19512</v>
      </c>
      <c r="Q2279" s="26" t="str">
        <f>HYPERLINK("https://ictv.global/taxonomy/taxondetails?taxnode_id=202520362&amp;ictv_id=ICTV202420362","ICTV202420362")</f>
        <v>ICTV202420362</v>
      </c>
      <c r="R2279" t="s">
        <v>579</v>
      </c>
      <c r="S2279" t="s">
        <v>823</v>
      </c>
      <c r="T2279">
        <v>40</v>
      </c>
      <c r="U2279" s="26" t="str">
        <f t="shared" si="78"/>
        <v>2024.009B.Connertonviridae_1nf_2mg_12ns.zip</v>
      </c>
    </row>
    <row r="2280" spans="1:21">
      <c r="A2280">
        <v>2279</v>
      </c>
      <c r="B2280" s="27" t="s">
        <v>1449</v>
      </c>
      <c r="D2280" s="27" t="s">
        <v>1450</v>
      </c>
      <c r="F2280" s="27" t="s">
        <v>1453</v>
      </c>
      <c r="H2280" s="27" t="s">
        <v>1454</v>
      </c>
      <c r="L2280" s="27" t="s">
        <v>21138</v>
      </c>
      <c r="N2280" s="27" t="s">
        <v>21139</v>
      </c>
      <c r="P2280" s="27" t="s">
        <v>21140</v>
      </c>
      <c r="Q2280" s="26" t="str">
        <f>HYPERLINK("https://ictv.global/taxonomy/taxondetails?taxnode_id=202522072&amp;ictv_id=ICTV202522072","ICTV202522072")</f>
        <v>ICTV202522072</v>
      </c>
      <c r="R2280" t="s">
        <v>579</v>
      </c>
      <c r="S2280" t="s">
        <v>823</v>
      </c>
      <c r="T2280">
        <v>41</v>
      </c>
      <c r="U2280" s="26" t="str">
        <f>HYPERLINK("https://ictv.global/ictv/proposals/2025.002A.Archaeal_Caudoviricetes_8nf.zip","2025.002A.Archaeal_Caudoviricetes_8nf.zip")</f>
        <v>2025.002A.Archaeal_Caudoviricetes_8nf.zip</v>
      </c>
    </row>
    <row r="2281" spans="1:21">
      <c r="A2281">
        <v>2280</v>
      </c>
      <c r="B2281" s="27" t="s">
        <v>1449</v>
      </c>
      <c r="D2281" s="27" t="s">
        <v>1450</v>
      </c>
      <c r="F2281" s="27" t="s">
        <v>1453</v>
      </c>
      <c r="H2281" s="27" t="s">
        <v>1454</v>
      </c>
      <c r="L2281" s="27" t="s">
        <v>21135</v>
      </c>
      <c r="N2281" s="27" t="s">
        <v>21136</v>
      </c>
      <c r="P2281" s="27" t="s">
        <v>21137</v>
      </c>
      <c r="Q2281" s="26" t="str">
        <f>HYPERLINK("https://ictv.global/taxonomy/taxondetails?taxnode_id=202522071&amp;ictv_id=ICTV202522071","ICTV202522071")</f>
        <v>ICTV202522071</v>
      </c>
      <c r="R2281" t="s">
        <v>579</v>
      </c>
      <c r="S2281" t="s">
        <v>823</v>
      </c>
      <c r="T2281">
        <v>41</v>
      </c>
      <c r="U2281" s="26" t="str">
        <f>HYPERLINK("https://ictv.global/ictv/proposals/2025.002A.Archaeal_Caudoviricetes_8nf.zip","2025.002A.Archaeal_Caudoviricetes_8nf.zip")</f>
        <v>2025.002A.Archaeal_Caudoviricetes_8nf.zip</v>
      </c>
    </row>
    <row r="2282" spans="1:21">
      <c r="A2282">
        <v>2281</v>
      </c>
      <c r="B2282" s="27" t="s">
        <v>1449</v>
      </c>
      <c r="D2282" s="27" t="s">
        <v>1450</v>
      </c>
      <c r="F2282" s="27" t="s">
        <v>1453</v>
      </c>
      <c r="H2282" s="27" t="s">
        <v>1454</v>
      </c>
      <c r="L2282" s="27" t="s">
        <v>1609</v>
      </c>
      <c r="M2282" s="27" t="s">
        <v>1610</v>
      </c>
      <c r="N2282" s="27" t="s">
        <v>1341</v>
      </c>
      <c r="P2282" s="27" t="s">
        <v>4596</v>
      </c>
      <c r="Q2282" s="26" t="str">
        <f>HYPERLINK("https://ictv.global/taxonomy/taxondetails?taxnode_id=202507086&amp;ictv_id=ICTV201857086","ICTV201857086")</f>
        <v>ICTV201857086</v>
      </c>
      <c r="R2282" t="s">
        <v>579</v>
      </c>
      <c r="S2282" t="s">
        <v>824</v>
      </c>
      <c r="T2282">
        <v>37</v>
      </c>
      <c r="U2282" s="26" t="str">
        <f>HYPERLINK("https://ictv.global/ictv/proposals/2021.010B.R.Binomial_names.zip","2021.010B.R.Binomial_names.zip")</f>
        <v>2021.010B.R.Binomial_names.zip</v>
      </c>
    </row>
    <row r="2283" spans="1:21">
      <c r="A2283">
        <v>2282</v>
      </c>
      <c r="B2283" s="27" t="s">
        <v>1449</v>
      </c>
      <c r="D2283" s="27" t="s">
        <v>1450</v>
      </c>
      <c r="F2283" s="27" t="s">
        <v>1453</v>
      </c>
      <c r="H2283" s="27" t="s">
        <v>1454</v>
      </c>
      <c r="L2283" s="27" t="s">
        <v>1609</v>
      </c>
      <c r="M2283" s="27" t="s">
        <v>1610</v>
      </c>
      <c r="N2283" s="27" t="s">
        <v>1375</v>
      </c>
      <c r="P2283" s="27" t="s">
        <v>4597</v>
      </c>
      <c r="Q2283" s="26" t="str">
        <f>HYPERLINK("https://ictv.global/taxonomy/taxondetails?taxnode_id=202506955&amp;ictv_id=ICTV201856955","ICTV201856955")</f>
        <v>ICTV201856955</v>
      </c>
      <c r="R2283" t="s">
        <v>579</v>
      </c>
      <c r="S2283" t="s">
        <v>824</v>
      </c>
      <c r="T2283">
        <v>37</v>
      </c>
      <c r="U2283" s="26" t="str">
        <f>HYPERLINK("https://ictv.global/ictv/proposals/2021.010B.R.Binomial_names.zip","2021.010B.R.Binomial_names.zip")</f>
        <v>2021.010B.R.Binomial_names.zip</v>
      </c>
    </row>
    <row r="2284" spans="1:21">
      <c r="A2284">
        <v>2283</v>
      </c>
      <c r="B2284" s="27" t="s">
        <v>1449</v>
      </c>
      <c r="D2284" s="27" t="s">
        <v>1450</v>
      </c>
      <c r="F2284" s="27" t="s">
        <v>1453</v>
      </c>
      <c r="H2284" s="27" t="s">
        <v>1454</v>
      </c>
      <c r="L2284" s="27" t="s">
        <v>1609</v>
      </c>
      <c r="M2284" s="27" t="s">
        <v>1610</v>
      </c>
      <c r="N2284" s="27" t="s">
        <v>1375</v>
      </c>
      <c r="P2284" s="27" t="s">
        <v>4598</v>
      </c>
      <c r="Q2284" s="26" t="str">
        <f>HYPERLINK("https://ictv.global/taxonomy/taxondetails?taxnode_id=202508127&amp;ictv_id=ICTV201908127","ICTV201908127")</f>
        <v>ICTV201908127</v>
      </c>
      <c r="R2284" t="s">
        <v>579</v>
      </c>
      <c r="S2284" t="s">
        <v>824</v>
      </c>
      <c r="T2284">
        <v>37</v>
      </c>
      <c r="U2284" s="26" t="str">
        <f>HYPERLINK("https://ictv.global/ictv/proposals/2021.010B.R.Binomial_names.zip","2021.010B.R.Binomial_names.zip")</f>
        <v>2021.010B.R.Binomial_names.zip</v>
      </c>
    </row>
    <row r="2285" spans="1:21">
      <c r="A2285">
        <v>2284</v>
      </c>
      <c r="B2285" s="27" t="s">
        <v>1449</v>
      </c>
      <c r="D2285" s="27" t="s">
        <v>1450</v>
      </c>
      <c r="F2285" s="27" t="s">
        <v>1453</v>
      </c>
      <c r="H2285" s="27" t="s">
        <v>1454</v>
      </c>
      <c r="L2285" s="27" t="s">
        <v>1609</v>
      </c>
      <c r="M2285" s="27" t="s">
        <v>1610</v>
      </c>
      <c r="N2285" s="27" t="s">
        <v>1375</v>
      </c>
      <c r="P2285" s="27" t="s">
        <v>4599</v>
      </c>
      <c r="Q2285" s="26" t="str">
        <f>HYPERLINK("https://ictv.global/taxonomy/taxondetails?taxnode_id=202506956&amp;ictv_id=ICTV201856956","ICTV201856956")</f>
        <v>ICTV201856956</v>
      </c>
      <c r="R2285" t="s">
        <v>579</v>
      </c>
      <c r="S2285" t="s">
        <v>824</v>
      </c>
      <c r="T2285">
        <v>37</v>
      </c>
      <c r="U2285" s="26" t="str">
        <f>HYPERLINK("https://ictv.global/ictv/proposals/2021.010B.R.Binomial_names.zip","2021.010B.R.Binomial_names.zip")</f>
        <v>2021.010B.R.Binomial_names.zip</v>
      </c>
    </row>
    <row r="2286" spans="1:21">
      <c r="A2286">
        <v>2285</v>
      </c>
      <c r="B2286" s="27" t="s">
        <v>1449</v>
      </c>
      <c r="D2286" s="27" t="s">
        <v>1450</v>
      </c>
      <c r="F2286" s="27" t="s">
        <v>1453</v>
      </c>
      <c r="H2286" s="27" t="s">
        <v>1454</v>
      </c>
      <c r="L2286" s="27" t="s">
        <v>1609</v>
      </c>
      <c r="M2286" s="27" t="s">
        <v>1610</v>
      </c>
      <c r="N2286" s="27" t="s">
        <v>4600</v>
      </c>
      <c r="P2286" s="27" t="s">
        <v>4601</v>
      </c>
      <c r="Q2286" s="26" t="str">
        <f>HYPERLINK("https://ictv.global/taxonomy/taxondetails?taxnode_id=202513507&amp;ictv_id=ICTV202113507","ICTV202113507")</f>
        <v>ICTV202113507</v>
      </c>
      <c r="R2286" t="s">
        <v>579</v>
      </c>
      <c r="S2286" t="s">
        <v>823</v>
      </c>
      <c r="T2286">
        <v>37</v>
      </c>
      <c r="U2286" s="26" t="str">
        <f t="shared" ref="U2286:U2297" si="79">HYPERLINK("https://ictv.global/ictv/proposals/2021.023B.R.Demerecviridae_new_genera.zip","2021.023B.R.Demerecviridae_new_genera.zip")</f>
        <v>2021.023B.R.Demerecviridae_new_genera.zip</v>
      </c>
    </row>
    <row r="2287" spans="1:21">
      <c r="A2287">
        <v>2286</v>
      </c>
      <c r="B2287" s="27" t="s">
        <v>1449</v>
      </c>
      <c r="D2287" s="27" t="s">
        <v>1450</v>
      </c>
      <c r="F2287" s="27" t="s">
        <v>1453</v>
      </c>
      <c r="H2287" s="27" t="s">
        <v>1454</v>
      </c>
      <c r="L2287" s="27" t="s">
        <v>1609</v>
      </c>
      <c r="M2287" s="27" t="s">
        <v>1610</v>
      </c>
      <c r="N2287" s="27" t="s">
        <v>4600</v>
      </c>
      <c r="P2287" s="27" t="s">
        <v>4602</v>
      </c>
      <c r="Q2287" s="26" t="str">
        <f>HYPERLINK("https://ictv.global/taxonomy/taxondetails?taxnode_id=202513512&amp;ictv_id=ICTV202113512","ICTV202113512")</f>
        <v>ICTV202113512</v>
      </c>
      <c r="R2287" t="s">
        <v>579</v>
      </c>
      <c r="S2287" t="s">
        <v>823</v>
      </c>
      <c r="T2287">
        <v>37</v>
      </c>
      <c r="U2287" s="26" t="str">
        <f t="shared" si="79"/>
        <v>2021.023B.R.Demerecviridae_new_genera.zip</v>
      </c>
    </row>
    <row r="2288" spans="1:21">
      <c r="A2288">
        <v>2287</v>
      </c>
      <c r="B2288" s="27" t="s">
        <v>1449</v>
      </c>
      <c r="D2288" s="27" t="s">
        <v>1450</v>
      </c>
      <c r="F2288" s="27" t="s">
        <v>1453</v>
      </c>
      <c r="H2288" s="27" t="s">
        <v>1454</v>
      </c>
      <c r="L2288" s="27" t="s">
        <v>1609</v>
      </c>
      <c r="M2288" s="27" t="s">
        <v>1610</v>
      </c>
      <c r="N2288" s="27" t="s">
        <v>4600</v>
      </c>
      <c r="P2288" s="27" t="s">
        <v>4603</v>
      </c>
      <c r="Q2288" s="26" t="str">
        <f>HYPERLINK("https://ictv.global/taxonomy/taxondetails?taxnode_id=202513510&amp;ictv_id=ICTV202113510","ICTV202113510")</f>
        <v>ICTV202113510</v>
      </c>
      <c r="R2288" t="s">
        <v>579</v>
      </c>
      <c r="S2288" t="s">
        <v>823</v>
      </c>
      <c r="T2288">
        <v>37</v>
      </c>
      <c r="U2288" s="26" t="str">
        <f t="shared" si="79"/>
        <v>2021.023B.R.Demerecviridae_new_genera.zip</v>
      </c>
    </row>
    <row r="2289" spans="1:21">
      <c r="A2289">
        <v>2288</v>
      </c>
      <c r="B2289" s="27" t="s">
        <v>1449</v>
      </c>
      <c r="D2289" s="27" t="s">
        <v>1450</v>
      </c>
      <c r="F2289" s="27" t="s">
        <v>1453</v>
      </c>
      <c r="H2289" s="27" t="s">
        <v>1454</v>
      </c>
      <c r="L2289" s="27" t="s">
        <v>1609</v>
      </c>
      <c r="M2289" s="27" t="s">
        <v>1610</v>
      </c>
      <c r="N2289" s="27" t="s">
        <v>4600</v>
      </c>
      <c r="P2289" s="27" t="s">
        <v>4604</v>
      </c>
      <c r="Q2289" s="26" t="str">
        <f>HYPERLINK("https://ictv.global/taxonomy/taxondetails?taxnode_id=202513511&amp;ictv_id=ICTV202113511","ICTV202113511")</f>
        <v>ICTV202113511</v>
      </c>
      <c r="R2289" t="s">
        <v>579</v>
      </c>
      <c r="S2289" t="s">
        <v>823</v>
      </c>
      <c r="T2289">
        <v>37</v>
      </c>
      <c r="U2289" s="26" t="str">
        <f t="shared" si="79"/>
        <v>2021.023B.R.Demerecviridae_new_genera.zip</v>
      </c>
    </row>
    <row r="2290" spans="1:21">
      <c r="A2290">
        <v>2289</v>
      </c>
      <c r="B2290" s="27" t="s">
        <v>1449</v>
      </c>
      <c r="D2290" s="27" t="s">
        <v>1450</v>
      </c>
      <c r="F2290" s="27" t="s">
        <v>1453</v>
      </c>
      <c r="H2290" s="27" t="s">
        <v>1454</v>
      </c>
      <c r="L2290" s="27" t="s">
        <v>1609</v>
      </c>
      <c r="M2290" s="27" t="s">
        <v>1610</v>
      </c>
      <c r="N2290" s="27" t="s">
        <v>4600</v>
      </c>
      <c r="P2290" s="27" t="s">
        <v>4605</v>
      </c>
      <c r="Q2290" s="26" t="str">
        <f>HYPERLINK("https://ictv.global/taxonomy/taxondetails?taxnode_id=202513508&amp;ictv_id=ICTV202113508","ICTV202113508")</f>
        <v>ICTV202113508</v>
      </c>
      <c r="R2290" t="s">
        <v>579</v>
      </c>
      <c r="S2290" t="s">
        <v>823</v>
      </c>
      <c r="T2290">
        <v>37</v>
      </c>
      <c r="U2290" s="26" t="str">
        <f t="shared" si="79"/>
        <v>2021.023B.R.Demerecviridae_new_genera.zip</v>
      </c>
    </row>
    <row r="2291" spans="1:21">
      <c r="A2291">
        <v>2290</v>
      </c>
      <c r="B2291" s="27" t="s">
        <v>1449</v>
      </c>
      <c r="D2291" s="27" t="s">
        <v>1450</v>
      </c>
      <c r="F2291" s="27" t="s">
        <v>1453</v>
      </c>
      <c r="H2291" s="27" t="s">
        <v>1454</v>
      </c>
      <c r="L2291" s="27" t="s">
        <v>1609</v>
      </c>
      <c r="M2291" s="27" t="s">
        <v>1610</v>
      </c>
      <c r="N2291" s="27" t="s">
        <v>4600</v>
      </c>
      <c r="P2291" s="27" t="s">
        <v>4606</v>
      </c>
      <c r="Q2291" s="26" t="str">
        <f>HYPERLINK("https://ictv.global/taxonomy/taxondetails?taxnode_id=202513513&amp;ictv_id=ICTV202113513","ICTV202113513")</f>
        <v>ICTV202113513</v>
      </c>
      <c r="R2291" t="s">
        <v>579</v>
      </c>
      <c r="S2291" t="s">
        <v>823</v>
      </c>
      <c r="T2291">
        <v>37</v>
      </c>
      <c r="U2291" s="26" t="str">
        <f t="shared" si="79"/>
        <v>2021.023B.R.Demerecviridae_new_genera.zip</v>
      </c>
    </row>
    <row r="2292" spans="1:21">
      <c r="A2292">
        <v>2291</v>
      </c>
      <c r="B2292" s="27" t="s">
        <v>1449</v>
      </c>
      <c r="D2292" s="27" t="s">
        <v>1450</v>
      </c>
      <c r="F2292" s="27" t="s">
        <v>1453</v>
      </c>
      <c r="H2292" s="27" t="s">
        <v>1454</v>
      </c>
      <c r="L2292" s="27" t="s">
        <v>1609</v>
      </c>
      <c r="M2292" s="27" t="s">
        <v>1610</v>
      </c>
      <c r="N2292" s="27" t="s">
        <v>4600</v>
      </c>
      <c r="P2292" s="27" t="s">
        <v>4607</v>
      </c>
      <c r="Q2292" s="26" t="str">
        <f>HYPERLINK("https://ictv.global/taxonomy/taxondetails?taxnode_id=202513515&amp;ictv_id=ICTV202113515","ICTV202113515")</f>
        <v>ICTV202113515</v>
      </c>
      <c r="R2292" t="s">
        <v>579</v>
      </c>
      <c r="S2292" t="s">
        <v>823</v>
      </c>
      <c r="T2292">
        <v>37</v>
      </c>
      <c r="U2292" s="26" t="str">
        <f t="shared" si="79"/>
        <v>2021.023B.R.Demerecviridae_new_genera.zip</v>
      </c>
    </row>
    <row r="2293" spans="1:21">
      <c r="A2293">
        <v>2292</v>
      </c>
      <c r="B2293" s="27" t="s">
        <v>1449</v>
      </c>
      <c r="D2293" s="27" t="s">
        <v>1450</v>
      </c>
      <c r="F2293" s="27" t="s">
        <v>1453</v>
      </c>
      <c r="H2293" s="27" t="s">
        <v>1454</v>
      </c>
      <c r="L2293" s="27" t="s">
        <v>1609</v>
      </c>
      <c r="M2293" s="27" t="s">
        <v>1610</v>
      </c>
      <c r="N2293" s="27" t="s">
        <v>4600</v>
      </c>
      <c r="P2293" s="27" t="s">
        <v>4608</v>
      </c>
      <c r="Q2293" s="26" t="str">
        <f>HYPERLINK("https://ictv.global/taxonomy/taxondetails?taxnode_id=202513509&amp;ictv_id=ICTV202113509","ICTV202113509")</f>
        <v>ICTV202113509</v>
      </c>
      <c r="R2293" t="s">
        <v>579</v>
      </c>
      <c r="S2293" t="s">
        <v>823</v>
      </c>
      <c r="T2293">
        <v>37</v>
      </c>
      <c r="U2293" s="26" t="str">
        <f t="shared" si="79"/>
        <v>2021.023B.R.Demerecviridae_new_genera.zip</v>
      </c>
    </row>
    <row r="2294" spans="1:21">
      <c r="A2294">
        <v>2293</v>
      </c>
      <c r="B2294" s="27" t="s">
        <v>1449</v>
      </c>
      <c r="D2294" s="27" t="s">
        <v>1450</v>
      </c>
      <c r="F2294" s="27" t="s">
        <v>1453</v>
      </c>
      <c r="H2294" s="27" t="s">
        <v>1454</v>
      </c>
      <c r="L2294" s="27" t="s">
        <v>1609</v>
      </c>
      <c r="M2294" s="27" t="s">
        <v>1610</v>
      </c>
      <c r="N2294" s="27" t="s">
        <v>4600</v>
      </c>
      <c r="P2294" s="27" t="s">
        <v>4609</v>
      </c>
      <c r="Q2294" s="26" t="str">
        <f>HYPERLINK("https://ictv.global/taxonomy/taxondetails?taxnode_id=202513506&amp;ictv_id=ICTV202113506","ICTV202113506")</f>
        <v>ICTV202113506</v>
      </c>
      <c r="R2294" t="s">
        <v>579</v>
      </c>
      <c r="S2294" t="s">
        <v>823</v>
      </c>
      <c r="T2294">
        <v>37</v>
      </c>
      <c r="U2294" s="26" t="str">
        <f t="shared" si="79"/>
        <v>2021.023B.R.Demerecviridae_new_genera.zip</v>
      </c>
    </row>
    <row r="2295" spans="1:21">
      <c r="A2295">
        <v>2294</v>
      </c>
      <c r="B2295" s="27" t="s">
        <v>1449</v>
      </c>
      <c r="D2295" s="27" t="s">
        <v>1450</v>
      </c>
      <c r="F2295" s="27" t="s">
        <v>1453</v>
      </c>
      <c r="H2295" s="27" t="s">
        <v>1454</v>
      </c>
      <c r="L2295" s="27" t="s">
        <v>1609</v>
      </c>
      <c r="M2295" s="27" t="s">
        <v>1610</v>
      </c>
      <c r="N2295" s="27" t="s">
        <v>4600</v>
      </c>
      <c r="P2295" s="27" t="s">
        <v>4610</v>
      </c>
      <c r="Q2295" s="26" t="str">
        <f>HYPERLINK("https://ictv.global/taxonomy/taxondetails?taxnode_id=202513514&amp;ictv_id=ICTV202113514","ICTV202113514")</f>
        <v>ICTV202113514</v>
      </c>
      <c r="R2295" t="s">
        <v>579</v>
      </c>
      <c r="S2295" t="s">
        <v>823</v>
      </c>
      <c r="T2295">
        <v>37</v>
      </c>
      <c r="U2295" s="26" t="str">
        <f t="shared" si="79"/>
        <v>2021.023B.R.Demerecviridae_new_genera.zip</v>
      </c>
    </row>
    <row r="2296" spans="1:21">
      <c r="A2296">
        <v>2295</v>
      </c>
      <c r="B2296" s="27" t="s">
        <v>1449</v>
      </c>
      <c r="D2296" s="27" t="s">
        <v>1450</v>
      </c>
      <c r="F2296" s="27" t="s">
        <v>1453</v>
      </c>
      <c r="H2296" s="27" t="s">
        <v>1454</v>
      </c>
      <c r="L2296" s="27" t="s">
        <v>1609</v>
      </c>
      <c r="M2296" s="27" t="s">
        <v>1610</v>
      </c>
      <c r="N2296" s="27" t="s">
        <v>4600</v>
      </c>
      <c r="P2296" s="27" t="s">
        <v>4611</v>
      </c>
      <c r="Q2296" s="26" t="str">
        <f>HYPERLINK("https://ictv.global/taxonomy/taxondetails?taxnode_id=202513505&amp;ictv_id=ICTV202113505","ICTV202113505")</f>
        <v>ICTV202113505</v>
      </c>
      <c r="R2296" t="s">
        <v>579</v>
      </c>
      <c r="S2296" t="s">
        <v>823</v>
      </c>
      <c r="T2296">
        <v>37</v>
      </c>
      <c r="U2296" s="26" t="str">
        <f t="shared" si="79"/>
        <v>2021.023B.R.Demerecviridae_new_genera.zip</v>
      </c>
    </row>
    <row r="2297" spans="1:21">
      <c r="A2297">
        <v>2296</v>
      </c>
      <c r="B2297" s="27" t="s">
        <v>1449</v>
      </c>
      <c r="D2297" s="27" t="s">
        <v>1450</v>
      </c>
      <c r="F2297" s="27" t="s">
        <v>1453</v>
      </c>
      <c r="H2297" s="27" t="s">
        <v>1454</v>
      </c>
      <c r="L2297" s="27" t="s">
        <v>1609</v>
      </c>
      <c r="M2297" s="27" t="s">
        <v>1610</v>
      </c>
      <c r="N2297" s="27" t="s">
        <v>4600</v>
      </c>
      <c r="P2297" s="27" t="s">
        <v>4612</v>
      </c>
      <c r="Q2297" s="26" t="str">
        <f>HYPERLINK("https://ictv.global/taxonomy/taxondetails?taxnode_id=202507087&amp;ictv_id=ICTV201857087","ICTV201857087")</f>
        <v>ICTV201857087</v>
      </c>
      <c r="R2297" t="s">
        <v>579</v>
      </c>
      <c r="S2297" t="s">
        <v>22764</v>
      </c>
      <c r="T2297">
        <v>37</v>
      </c>
      <c r="U2297" s="26" t="str">
        <f t="shared" si="79"/>
        <v>2021.023B.R.Demerecviridae_new_genera.zip</v>
      </c>
    </row>
    <row r="2298" spans="1:21">
      <c r="A2298">
        <v>2297</v>
      </c>
      <c r="B2298" s="27" t="s">
        <v>1449</v>
      </c>
      <c r="D2298" s="27" t="s">
        <v>1450</v>
      </c>
      <c r="F2298" s="27" t="s">
        <v>1453</v>
      </c>
      <c r="H2298" s="27" t="s">
        <v>1454</v>
      </c>
      <c r="L2298" s="27" t="s">
        <v>1609</v>
      </c>
      <c r="M2298" s="27" t="s">
        <v>1610</v>
      </c>
      <c r="N2298" s="27" t="s">
        <v>1611</v>
      </c>
      <c r="P2298" s="27" t="s">
        <v>4613</v>
      </c>
      <c r="Q2298" s="26" t="str">
        <f>HYPERLINK("https://ictv.global/taxonomy/taxondetails?taxnode_id=202507088&amp;ictv_id=ICTV201857088","ICTV201857088")</f>
        <v>ICTV201857088</v>
      </c>
      <c r="R2298" t="s">
        <v>579</v>
      </c>
      <c r="S2298" t="s">
        <v>824</v>
      </c>
      <c r="T2298">
        <v>37</v>
      </c>
      <c r="U2298" s="26" t="str">
        <f>HYPERLINK("https://ictv.global/ictv/proposals/2021.010B.R.Binomial_names.zip","2021.010B.R.Binomial_names.zip")</f>
        <v>2021.010B.R.Binomial_names.zip</v>
      </c>
    </row>
    <row r="2299" spans="1:21">
      <c r="A2299">
        <v>2298</v>
      </c>
      <c r="B2299" s="27" t="s">
        <v>1449</v>
      </c>
      <c r="D2299" s="27" t="s">
        <v>1450</v>
      </c>
      <c r="F2299" s="27" t="s">
        <v>1453</v>
      </c>
      <c r="H2299" s="27" t="s">
        <v>1454</v>
      </c>
      <c r="L2299" s="27" t="s">
        <v>1609</v>
      </c>
      <c r="M2299" s="27" t="s">
        <v>1612</v>
      </c>
      <c r="N2299" s="27" t="s">
        <v>1613</v>
      </c>
      <c r="P2299" s="27" t="s">
        <v>4614</v>
      </c>
      <c r="Q2299" s="26" t="str">
        <f>HYPERLINK("https://ictv.global/taxonomy/taxondetails?taxnode_id=202509944&amp;ictv_id=ICTV202009944","ICTV202009944")</f>
        <v>ICTV202009944</v>
      </c>
      <c r="R2299" t="s">
        <v>579</v>
      </c>
      <c r="S2299" t="s">
        <v>824</v>
      </c>
      <c r="T2299">
        <v>37</v>
      </c>
      <c r="U2299" s="26" t="str">
        <f>HYPERLINK("https://ictv.global/ictv/proposals/2021.010B.R.Binomial_names.zip","2021.010B.R.Binomial_names.zip")</f>
        <v>2021.010B.R.Binomial_names.zip</v>
      </c>
    </row>
    <row r="2300" spans="1:21">
      <c r="A2300">
        <v>2299</v>
      </c>
      <c r="B2300" s="27" t="s">
        <v>1449</v>
      </c>
      <c r="D2300" s="27" t="s">
        <v>1450</v>
      </c>
      <c r="F2300" s="27" t="s">
        <v>1453</v>
      </c>
      <c r="H2300" s="27" t="s">
        <v>1454</v>
      </c>
      <c r="L2300" s="27" t="s">
        <v>1609</v>
      </c>
      <c r="M2300" s="27" t="s">
        <v>1612</v>
      </c>
      <c r="N2300" s="27" t="s">
        <v>1613</v>
      </c>
      <c r="P2300" s="27" t="s">
        <v>4615</v>
      </c>
      <c r="Q2300" s="26" t="str">
        <f>HYPERLINK("https://ictv.global/taxonomy/taxondetails?taxnode_id=202501329&amp;ictv_id=ICTV20165094","ICTV20165094")</f>
        <v>ICTV20165094</v>
      </c>
      <c r="R2300" t="s">
        <v>579</v>
      </c>
      <c r="S2300" t="s">
        <v>824</v>
      </c>
      <c r="T2300">
        <v>37</v>
      </c>
      <c r="U2300" s="26" t="str">
        <f>HYPERLINK("https://ictv.global/ictv/proposals/2021.010B.R.Binomial_names.zip","2021.010B.R.Binomial_names.zip")</f>
        <v>2021.010B.R.Binomial_names.zip</v>
      </c>
    </row>
    <row r="2301" spans="1:21">
      <c r="A2301">
        <v>2300</v>
      </c>
      <c r="B2301" s="27" t="s">
        <v>1449</v>
      </c>
      <c r="D2301" s="27" t="s">
        <v>1450</v>
      </c>
      <c r="F2301" s="27" t="s">
        <v>1453</v>
      </c>
      <c r="H2301" s="27" t="s">
        <v>1454</v>
      </c>
      <c r="L2301" s="27" t="s">
        <v>1609</v>
      </c>
      <c r="M2301" s="27" t="s">
        <v>1612</v>
      </c>
      <c r="N2301" s="27" t="s">
        <v>1613</v>
      </c>
      <c r="P2301" s="27" t="s">
        <v>11341</v>
      </c>
      <c r="Q2301" s="26" t="str">
        <f>HYPERLINK("https://ictv.global/taxonomy/taxondetails?taxnode_id=202518704&amp;ictv_id=ICTV202318704","ICTV202318704")</f>
        <v>ICTV202318704</v>
      </c>
      <c r="R2301" t="s">
        <v>579</v>
      </c>
      <c r="S2301" t="s">
        <v>823</v>
      </c>
      <c r="T2301">
        <v>39</v>
      </c>
      <c r="U2301" s="26" t="str">
        <f>HYPERLINK("https://ictv.global/ictv/proposals/2023.023B.Epseptimavirus_41ns.zip","2023.023B.Epseptimavirus_41ns.zip")</f>
        <v>2023.023B.Epseptimavirus_41ns.zip</v>
      </c>
    </row>
    <row r="2302" spans="1:21">
      <c r="A2302">
        <v>2301</v>
      </c>
      <c r="B2302" s="27" t="s">
        <v>1449</v>
      </c>
      <c r="D2302" s="27" t="s">
        <v>1450</v>
      </c>
      <c r="F2302" s="27" t="s">
        <v>1453</v>
      </c>
      <c r="H2302" s="27" t="s">
        <v>1454</v>
      </c>
      <c r="L2302" s="27" t="s">
        <v>1609</v>
      </c>
      <c r="M2302" s="27" t="s">
        <v>1612</v>
      </c>
      <c r="N2302" s="27" t="s">
        <v>1613</v>
      </c>
      <c r="P2302" s="27" t="s">
        <v>11342</v>
      </c>
      <c r="Q2302" s="26" t="str">
        <f>HYPERLINK("https://ictv.global/taxonomy/taxondetails?taxnode_id=202518700&amp;ictv_id=ICTV202318700","ICTV202318700")</f>
        <v>ICTV202318700</v>
      </c>
      <c r="R2302" t="s">
        <v>579</v>
      </c>
      <c r="S2302" t="s">
        <v>823</v>
      </c>
      <c r="T2302">
        <v>39</v>
      </c>
      <c r="U2302" s="26" t="str">
        <f>HYPERLINK("https://ictv.global/ictv/proposals/2023.023B.Epseptimavirus_41ns.zip","2023.023B.Epseptimavirus_41ns.zip")</f>
        <v>2023.023B.Epseptimavirus_41ns.zip</v>
      </c>
    </row>
    <row r="2303" spans="1:21">
      <c r="A2303">
        <v>2302</v>
      </c>
      <c r="B2303" s="27" t="s">
        <v>1449</v>
      </c>
      <c r="D2303" s="27" t="s">
        <v>1450</v>
      </c>
      <c r="F2303" s="27" t="s">
        <v>1453</v>
      </c>
      <c r="H2303" s="27" t="s">
        <v>1454</v>
      </c>
      <c r="L2303" s="27" t="s">
        <v>1609</v>
      </c>
      <c r="M2303" s="27" t="s">
        <v>1612</v>
      </c>
      <c r="N2303" s="27" t="s">
        <v>1613</v>
      </c>
      <c r="P2303" s="27" t="s">
        <v>4616</v>
      </c>
      <c r="Q2303" s="26" t="str">
        <f>HYPERLINK("https://ictv.global/taxonomy/taxondetails?taxnode_id=202509949&amp;ictv_id=ICTV202009949","ICTV202009949")</f>
        <v>ICTV202009949</v>
      </c>
      <c r="R2303" t="s">
        <v>579</v>
      </c>
      <c r="S2303" t="s">
        <v>824</v>
      </c>
      <c r="T2303">
        <v>37</v>
      </c>
      <c r="U2303" s="26" t="str">
        <f>HYPERLINK("https://ictv.global/ictv/proposals/2021.010B.R.Binomial_names.zip","2021.010B.R.Binomial_names.zip")</f>
        <v>2021.010B.R.Binomial_names.zip</v>
      </c>
    </row>
    <row r="2304" spans="1:21">
      <c r="A2304">
        <v>2303</v>
      </c>
      <c r="B2304" s="27" t="s">
        <v>1449</v>
      </c>
      <c r="D2304" s="27" t="s">
        <v>1450</v>
      </c>
      <c r="F2304" s="27" t="s">
        <v>1453</v>
      </c>
      <c r="H2304" s="27" t="s">
        <v>1454</v>
      </c>
      <c r="L2304" s="27" t="s">
        <v>1609</v>
      </c>
      <c r="M2304" s="27" t="s">
        <v>1612</v>
      </c>
      <c r="N2304" s="27" t="s">
        <v>1613</v>
      </c>
      <c r="P2304" s="27" t="s">
        <v>4617</v>
      </c>
      <c r="Q2304" s="26" t="str">
        <f>HYPERLINK("https://ictv.global/taxonomy/taxondetails?taxnode_id=202509948&amp;ictv_id=ICTV202009948","ICTV202009948")</f>
        <v>ICTV202009948</v>
      </c>
      <c r="R2304" t="s">
        <v>579</v>
      </c>
      <c r="S2304" t="s">
        <v>824</v>
      </c>
      <c r="T2304">
        <v>37</v>
      </c>
      <c r="U2304" s="26" t="str">
        <f>HYPERLINK("https://ictv.global/ictv/proposals/2021.010B.R.Binomial_names.zip","2021.010B.R.Binomial_names.zip")</f>
        <v>2021.010B.R.Binomial_names.zip</v>
      </c>
    </row>
    <row r="2305" spans="1:21">
      <c r="A2305">
        <v>2304</v>
      </c>
      <c r="B2305" s="27" t="s">
        <v>1449</v>
      </c>
      <c r="D2305" s="27" t="s">
        <v>1450</v>
      </c>
      <c r="F2305" s="27" t="s">
        <v>1453</v>
      </c>
      <c r="H2305" s="27" t="s">
        <v>1454</v>
      </c>
      <c r="L2305" s="27" t="s">
        <v>1609</v>
      </c>
      <c r="M2305" s="27" t="s">
        <v>1612</v>
      </c>
      <c r="N2305" s="27" t="s">
        <v>1613</v>
      </c>
      <c r="P2305" s="27" t="s">
        <v>11343</v>
      </c>
      <c r="Q2305" s="26" t="str">
        <f>HYPERLINK("https://ictv.global/taxonomy/taxondetails?taxnode_id=202518693&amp;ictv_id=ICTV202318693","ICTV202318693")</f>
        <v>ICTV202318693</v>
      </c>
      <c r="R2305" t="s">
        <v>579</v>
      </c>
      <c r="S2305" t="s">
        <v>823</v>
      </c>
      <c r="T2305">
        <v>39</v>
      </c>
      <c r="U2305" s="26" t="str">
        <f>HYPERLINK("https://ictv.global/ictv/proposals/2023.023B.Epseptimavirus_41ns.zip","2023.023B.Epseptimavirus_41ns.zip")</f>
        <v>2023.023B.Epseptimavirus_41ns.zip</v>
      </c>
    </row>
    <row r="2306" spans="1:21">
      <c r="A2306">
        <v>2305</v>
      </c>
      <c r="B2306" s="27" t="s">
        <v>1449</v>
      </c>
      <c r="D2306" s="27" t="s">
        <v>1450</v>
      </c>
      <c r="F2306" s="27" t="s">
        <v>1453</v>
      </c>
      <c r="H2306" s="27" t="s">
        <v>1454</v>
      </c>
      <c r="L2306" s="27" t="s">
        <v>1609</v>
      </c>
      <c r="M2306" s="27" t="s">
        <v>1612</v>
      </c>
      <c r="N2306" s="27" t="s">
        <v>1613</v>
      </c>
      <c r="P2306" s="27" t="s">
        <v>11344</v>
      </c>
      <c r="Q2306" s="26" t="str">
        <f>HYPERLINK("https://ictv.global/taxonomy/taxondetails?taxnode_id=202518686&amp;ictv_id=ICTV202318686","ICTV202318686")</f>
        <v>ICTV202318686</v>
      </c>
      <c r="R2306" t="s">
        <v>579</v>
      </c>
      <c r="S2306" t="s">
        <v>823</v>
      </c>
      <c r="T2306">
        <v>39</v>
      </c>
      <c r="U2306" s="26" t="str">
        <f>HYPERLINK("https://ictv.global/ictv/proposals/2023.023B.Epseptimavirus_41ns.zip","2023.023B.Epseptimavirus_41ns.zip")</f>
        <v>2023.023B.Epseptimavirus_41ns.zip</v>
      </c>
    </row>
    <row r="2307" spans="1:21">
      <c r="A2307">
        <v>2306</v>
      </c>
      <c r="B2307" s="27" t="s">
        <v>1449</v>
      </c>
      <c r="D2307" s="27" t="s">
        <v>1450</v>
      </c>
      <c r="F2307" s="27" t="s">
        <v>1453</v>
      </c>
      <c r="H2307" s="27" t="s">
        <v>1454</v>
      </c>
      <c r="L2307" s="27" t="s">
        <v>1609</v>
      </c>
      <c r="M2307" s="27" t="s">
        <v>1612</v>
      </c>
      <c r="N2307" s="27" t="s">
        <v>1613</v>
      </c>
      <c r="P2307" s="27" t="s">
        <v>11345</v>
      </c>
      <c r="Q2307" s="26" t="str">
        <f>HYPERLINK("https://ictv.global/taxonomy/taxondetails?taxnode_id=202518695&amp;ictv_id=ICTV202318695","ICTV202318695")</f>
        <v>ICTV202318695</v>
      </c>
      <c r="R2307" t="s">
        <v>579</v>
      </c>
      <c r="S2307" t="s">
        <v>823</v>
      </c>
      <c r="T2307">
        <v>39</v>
      </c>
      <c r="U2307" s="26" t="str">
        <f>HYPERLINK("https://ictv.global/ictv/proposals/2023.023B.Epseptimavirus_41ns.zip","2023.023B.Epseptimavirus_41ns.zip")</f>
        <v>2023.023B.Epseptimavirus_41ns.zip</v>
      </c>
    </row>
    <row r="2308" spans="1:21">
      <c r="A2308">
        <v>2307</v>
      </c>
      <c r="B2308" s="27" t="s">
        <v>1449</v>
      </c>
      <c r="D2308" s="27" t="s">
        <v>1450</v>
      </c>
      <c r="F2308" s="27" t="s">
        <v>1453</v>
      </c>
      <c r="H2308" s="27" t="s">
        <v>1454</v>
      </c>
      <c r="L2308" s="27" t="s">
        <v>1609</v>
      </c>
      <c r="M2308" s="27" t="s">
        <v>1612</v>
      </c>
      <c r="N2308" s="27" t="s">
        <v>1613</v>
      </c>
      <c r="P2308" s="27" t="s">
        <v>4618</v>
      </c>
      <c r="Q2308" s="26" t="str">
        <f>HYPERLINK("https://ictv.global/taxonomy/taxondetails?taxnode_id=202509943&amp;ictv_id=ICTV202009943","ICTV202009943")</f>
        <v>ICTV202009943</v>
      </c>
      <c r="R2308" t="s">
        <v>579</v>
      </c>
      <c r="S2308" t="s">
        <v>824</v>
      </c>
      <c r="T2308">
        <v>37</v>
      </c>
      <c r="U2308" s="26" t="str">
        <f>HYPERLINK("https://ictv.global/ictv/proposals/2021.010B.R.Binomial_names.zip","2021.010B.R.Binomial_names.zip")</f>
        <v>2021.010B.R.Binomial_names.zip</v>
      </c>
    </row>
    <row r="2309" spans="1:21">
      <c r="A2309">
        <v>2308</v>
      </c>
      <c r="B2309" s="27" t="s">
        <v>1449</v>
      </c>
      <c r="D2309" s="27" t="s">
        <v>1450</v>
      </c>
      <c r="F2309" s="27" t="s">
        <v>1453</v>
      </c>
      <c r="H2309" s="27" t="s">
        <v>1454</v>
      </c>
      <c r="L2309" s="27" t="s">
        <v>1609</v>
      </c>
      <c r="M2309" s="27" t="s">
        <v>1612</v>
      </c>
      <c r="N2309" s="27" t="s">
        <v>1613</v>
      </c>
      <c r="P2309" s="27" t="s">
        <v>11346</v>
      </c>
      <c r="Q2309" s="26" t="str">
        <f>HYPERLINK("https://ictv.global/taxonomy/taxondetails?taxnode_id=202518687&amp;ictv_id=ICTV202318687","ICTV202318687")</f>
        <v>ICTV202318687</v>
      </c>
      <c r="R2309" t="s">
        <v>579</v>
      </c>
      <c r="S2309" t="s">
        <v>823</v>
      </c>
      <c r="T2309">
        <v>39</v>
      </c>
      <c r="U2309" s="26" t="str">
        <f>HYPERLINK("https://ictv.global/ictv/proposals/2023.023B.Epseptimavirus_41ns.zip","2023.023B.Epseptimavirus_41ns.zip")</f>
        <v>2023.023B.Epseptimavirus_41ns.zip</v>
      </c>
    </row>
    <row r="2310" spans="1:21">
      <c r="A2310">
        <v>2309</v>
      </c>
      <c r="B2310" s="27" t="s">
        <v>1449</v>
      </c>
      <c r="D2310" s="27" t="s">
        <v>1450</v>
      </c>
      <c r="F2310" s="27" t="s">
        <v>1453</v>
      </c>
      <c r="H2310" s="27" t="s">
        <v>1454</v>
      </c>
      <c r="L2310" s="27" t="s">
        <v>1609</v>
      </c>
      <c r="M2310" s="27" t="s">
        <v>1612</v>
      </c>
      <c r="N2310" s="27" t="s">
        <v>1613</v>
      </c>
      <c r="P2310" s="27" t="s">
        <v>11347</v>
      </c>
      <c r="Q2310" s="26" t="str">
        <f>HYPERLINK("https://ictv.global/taxonomy/taxondetails?taxnode_id=202518682&amp;ictv_id=ICTV202318682","ICTV202318682")</f>
        <v>ICTV202318682</v>
      </c>
      <c r="R2310" t="s">
        <v>579</v>
      </c>
      <c r="S2310" t="s">
        <v>823</v>
      </c>
      <c r="T2310">
        <v>39</v>
      </c>
      <c r="U2310" s="26" t="str">
        <f>HYPERLINK("https://ictv.global/ictv/proposals/2023.023B.Epseptimavirus_41ns.zip","2023.023B.Epseptimavirus_41ns.zip")</f>
        <v>2023.023B.Epseptimavirus_41ns.zip</v>
      </c>
    </row>
    <row r="2311" spans="1:21">
      <c r="A2311">
        <v>2310</v>
      </c>
      <c r="B2311" s="27" t="s">
        <v>1449</v>
      </c>
      <c r="D2311" s="27" t="s">
        <v>1450</v>
      </c>
      <c r="F2311" s="27" t="s">
        <v>1453</v>
      </c>
      <c r="H2311" s="27" t="s">
        <v>1454</v>
      </c>
      <c r="L2311" s="27" t="s">
        <v>1609</v>
      </c>
      <c r="M2311" s="27" t="s">
        <v>1612</v>
      </c>
      <c r="N2311" s="27" t="s">
        <v>1613</v>
      </c>
      <c r="P2311" s="27" t="s">
        <v>4619</v>
      </c>
      <c r="Q2311" s="26" t="str">
        <f>HYPERLINK("https://ictv.global/taxonomy/taxondetails?taxnode_id=202501324&amp;ictv_id=ICTV20125855","ICTV20125855")</f>
        <v>ICTV20125855</v>
      </c>
      <c r="R2311" t="s">
        <v>579</v>
      </c>
      <c r="S2311" t="s">
        <v>824</v>
      </c>
      <c r="T2311">
        <v>37</v>
      </c>
      <c r="U2311" s="26" t="str">
        <f>HYPERLINK("https://ictv.global/ictv/proposals/2021.010B.R.Binomial_names.zip","2021.010B.R.Binomial_names.zip")</f>
        <v>2021.010B.R.Binomial_names.zip</v>
      </c>
    </row>
    <row r="2312" spans="1:21">
      <c r="A2312">
        <v>2311</v>
      </c>
      <c r="B2312" s="27" t="s">
        <v>1449</v>
      </c>
      <c r="D2312" s="27" t="s">
        <v>1450</v>
      </c>
      <c r="F2312" s="27" t="s">
        <v>1453</v>
      </c>
      <c r="H2312" s="27" t="s">
        <v>1454</v>
      </c>
      <c r="L2312" s="27" t="s">
        <v>1609</v>
      </c>
      <c r="M2312" s="27" t="s">
        <v>1612</v>
      </c>
      <c r="N2312" s="27" t="s">
        <v>1613</v>
      </c>
      <c r="P2312" s="27" t="s">
        <v>11348</v>
      </c>
      <c r="Q2312" s="26" t="str">
        <f>HYPERLINK("https://ictv.global/taxonomy/taxondetails?taxnode_id=202518706&amp;ictv_id=ICTV202318706","ICTV202318706")</f>
        <v>ICTV202318706</v>
      </c>
      <c r="R2312" t="s">
        <v>579</v>
      </c>
      <c r="S2312" t="s">
        <v>823</v>
      </c>
      <c r="T2312">
        <v>39</v>
      </c>
      <c r="U2312" s="26" t="str">
        <f>HYPERLINK("https://ictv.global/ictv/proposals/2023.023B.Epseptimavirus_41ns.zip","2023.023B.Epseptimavirus_41ns.zip")</f>
        <v>2023.023B.Epseptimavirus_41ns.zip</v>
      </c>
    </row>
    <row r="2313" spans="1:21">
      <c r="A2313">
        <v>2312</v>
      </c>
      <c r="B2313" s="27" t="s">
        <v>1449</v>
      </c>
      <c r="D2313" s="27" t="s">
        <v>1450</v>
      </c>
      <c r="F2313" s="27" t="s">
        <v>1453</v>
      </c>
      <c r="H2313" s="27" t="s">
        <v>1454</v>
      </c>
      <c r="L2313" s="27" t="s">
        <v>1609</v>
      </c>
      <c r="M2313" s="27" t="s">
        <v>1612</v>
      </c>
      <c r="N2313" s="27" t="s">
        <v>1613</v>
      </c>
      <c r="P2313" s="27" t="s">
        <v>4620</v>
      </c>
      <c r="Q2313" s="26" t="str">
        <f>HYPERLINK("https://ictv.global/taxonomy/taxondetails?taxnode_id=202509950&amp;ictv_id=ICTV202009950","ICTV202009950")</f>
        <v>ICTV202009950</v>
      </c>
      <c r="R2313" t="s">
        <v>579</v>
      </c>
      <c r="S2313" t="s">
        <v>824</v>
      </c>
      <c r="T2313">
        <v>37</v>
      </c>
      <c r="U2313" s="26" t="str">
        <f>HYPERLINK("https://ictv.global/ictv/proposals/2021.010B.R.Binomial_names.zip","2021.010B.R.Binomial_names.zip")</f>
        <v>2021.010B.R.Binomial_names.zip</v>
      </c>
    </row>
    <row r="2314" spans="1:21">
      <c r="A2314">
        <v>2313</v>
      </c>
      <c r="B2314" s="27" t="s">
        <v>1449</v>
      </c>
      <c r="D2314" s="27" t="s">
        <v>1450</v>
      </c>
      <c r="F2314" s="27" t="s">
        <v>1453</v>
      </c>
      <c r="H2314" s="27" t="s">
        <v>1454</v>
      </c>
      <c r="L2314" s="27" t="s">
        <v>1609</v>
      </c>
      <c r="M2314" s="27" t="s">
        <v>1612</v>
      </c>
      <c r="N2314" s="27" t="s">
        <v>1613</v>
      </c>
      <c r="P2314" s="27" t="s">
        <v>4621</v>
      </c>
      <c r="Q2314" s="26" t="str">
        <f>HYPERLINK("https://ictv.global/taxonomy/taxondetails?taxnode_id=202509938&amp;ictv_id=ICTV202009938","ICTV202009938")</f>
        <v>ICTV202009938</v>
      </c>
      <c r="R2314" t="s">
        <v>579</v>
      </c>
      <c r="S2314" t="s">
        <v>824</v>
      </c>
      <c r="T2314">
        <v>37</v>
      </c>
      <c r="U2314" s="26" t="str">
        <f>HYPERLINK("https://ictv.global/ictv/proposals/2021.010B.R.Binomial_names.zip","2021.010B.R.Binomial_names.zip")</f>
        <v>2021.010B.R.Binomial_names.zip</v>
      </c>
    </row>
    <row r="2315" spans="1:21">
      <c r="A2315">
        <v>2314</v>
      </c>
      <c r="B2315" s="27" t="s">
        <v>1449</v>
      </c>
      <c r="D2315" s="27" t="s">
        <v>1450</v>
      </c>
      <c r="F2315" s="27" t="s">
        <v>1453</v>
      </c>
      <c r="H2315" s="27" t="s">
        <v>1454</v>
      </c>
      <c r="L2315" s="27" t="s">
        <v>1609</v>
      </c>
      <c r="M2315" s="27" t="s">
        <v>1612</v>
      </c>
      <c r="N2315" s="27" t="s">
        <v>1613</v>
      </c>
      <c r="P2315" s="27" t="s">
        <v>4622</v>
      </c>
      <c r="Q2315" s="26" t="str">
        <f>HYPERLINK("https://ictv.global/taxonomy/taxondetails?taxnode_id=202508098&amp;ictv_id=ICTV201908098","ICTV201908098")</f>
        <v>ICTV201908098</v>
      </c>
      <c r="R2315" t="s">
        <v>579</v>
      </c>
      <c r="S2315" t="s">
        <v>824</v>
      </c>
      <c r="T2315">
        <v>37</v>
      </c>
      <c r="U2315" s="26" t="str">
        <f>HYPERLINK("https://ictv.global/ictv/proposals/2021.010B.R.Binomial_names.zip","2021.010B.R.Binomial_names.zip")</f>
        <v>2021.010B.R.Binomial_names.zip</v>
      </c>
    </row>
    <row r="2316" spans="1:21">
      <c r="A2316">
        <v>2315</v>
      </c>
      <c r="B2316" s="27" t="s">
        <v>1449</v>
      </c>
      <c r="D2316" s="27" t="s">
        <v>1450</v>
      </c>
      <c r="F2316" s="27" t="s">
        <v>1453</v>
      </c>
      <c r="H2316" s="27" t="s">
        <v>1454</v>
      </c>
      <c r="L2316" s="27" t="s">
        <v>1609</v>
      </c>
      <c r="M2316" s="27" t="s">
        <v>1612</v>
      </c>
      <c r="N2316" s="27" t="s">
        <v>1613</v>
      </c>
      <c r="P2316" s="27" t="s">
        <v>4623</v>
      </c>
      <c r="Q2316" s="26" t="str">
        <f>HYPERLINK("https://ictv.global/taxonomy/taxondetails?taxnode_id=202509937&amp;ictv_id=ICTV202009937","ICTV202009937")</f>
        <v>ICTV202009937</v>
      </c>
      <c r="R2316" t="s">
        <v>579</v>
      </c>
      <c r="S2316" t="s">
        <v>824</v>
      </c>
      <c r="T2316">
        <v>37</v>
      </c>
      <c r="U2316" s="26" t="str">
        <f>HYPERLINK("https://ictv.global/ictv/proposals/2021.010B.R.Binomial_names.zip","2021.010B.R.Binomial_names.zip")</f>
        <v>2021.010B.R.Binomial_names.zip</v>
      </c>
    </row>
    <row r="2317" spans="1:21">
      <c r="A2317">
        <v>2316</v>
      </c>
      <c r="B2317" s="27" t="s">
        <v>1449</v>
      </c>
      <c r="D2317" s="27" t="s">
        <v>1450</v>
      </c>
      <c r="F2317" s="27" t="s">
        <v>1453</v>
      </c>
      <c r="H2317" s="27" t="s">
        <v>1454</v>
      </c>
      <c r="L2317" s="27" t="s">
        <v>1609</v>
      </c>
      <c r="M2317" s="27" t="s">
        <v>1612</v>
      </c>
      <c r="N2317" s="27" t="s">
        <v>1613</v>
      </c>
      <c r="P2317" s="27" t="s">
        <v>4624</v>
      </c>
      <c r="Q2317" s="26" t="str">
        <f>HYPERLINK("https://ictv.global/taxonomy/taxondetails?taxnode_id=202509936&amp;ictv_id=ICTV202009936","ICTV202009936")</f>
        <v>ICTV202009936</v>
      </c>
      <c r="R2317" t="s">
        <v>579</v>
      </c>
      <c r="S2317" t="s">
        <v>824</v>
      </c>
      <c r="T2317">
        <v>37</v>
      </c>
      <c r="U2317" s="26" t="str">
        <f>HYPERLINK("https://ictv.global/ictv/proposals/2021.010B.R.Binomial_names.zip","2021.010B.R.Binomial_names.zip")</f>
        <v>2021.010B.R.Binomial_names.zip</v>
      </c>
    </row>
    <row r="2318" spans="1:21">
      <c r="A2318">
        <v>2317</v>
      </c>
      <c r="B2318" s="27" t="s">
        <v>1449</v>
      </c>
      <c r="D2318" s="27" t="s">
        <v>1450</v>
      </c>
      <c r="F2318" s="27" t="s">
        <v>1453</v>
      </c>
      <c r="H2318" s="27" t="s">
        <v>1454</v>
      </c>
      <c r="L2318" s="27" t="s">
        <v>1609</v>
      </c>
      <c r="M2318" s="27" t="s">
        <v>1612</v>
      </c>
      <c r="N2318" s="27" t="s">
        <v>1613</v>
      </c>
      <c r="P2318" s="27" t="s">
        <v>11349</v>
      </c>
      <c r="Q2318" s="26" t="str">
        <f>HYPERLINK("https://ictv.global/taxonomy/taxondetails?taxnode_id=202518683&amp;ictv_id=ICTV202318683","ICTV202318683")</f>
        <v>ICTV202318683</v>
      </c>
      <c r="R2318" t="s">
        <v>579</v>
      </c>
      <c r="S2318" t="s">
        <v>823</v>
      </c>
      <c r="T2318">
        <v>39</v>
      </c>
      <c r="U2318" s="26" t="str">
        <f>HYPERLINK("https://ictv.global/ictv/proposals/2023.023B.Epseptimavirus_41ns.zip","2023.023B.Epseptimavirus_41ns.zip")</f>
        <v>2023.023B.Epseptimavirus_41ns.zip</v>
      </c>
    </row>
    <row r="2319" spans="1:21">
      <c r="A2319">
        <v>2318</v>
      </c>
      <c r="B2319" s="27" t="s">
        <v>1449</v>
      </c>
      <c r="D2319" s="27" t="s">
        <v>1450</v>
      </c>
      <c r="F2319" s="27" t="s">
        <v>1453</v>
      </c>
      <c r="H2319" s="27" t="s">
        <v>1454</v>
      </c>
      <c r="L2319" s="27" t="s">
        <v>1609</v>
      </c>
      <c r="M2319" s="27" t="s">
        <v>1612</v>
      </c>
      <c r="N2319" s="27" t="s">
        <v>1613</v>
      </c>
      <c r="P2319" s="27" t="s">
        <v>4625</v>
      </c>
      <c r="Q2319" s="26" t="str">
        <f>HYPERLINK("https://ictv.global/taxonomy/taxondetails?taxnode_id=202509941&amp;ictv_id=ICTV202009941","ICTV202009941")</f>
        <v>ICTV202009941</v>
      </c>
      <c r="R2319" t="s">
        <v>579</v>
      </c>
      <c r="S2319" t="s">
        <v>824</v>
      </c>
      <c r="T2319">
        <v>37</v>
      </c>
      <c r="U2319" s="26" t="str">
        <f>HYPERLINK("https://ictv.global/ictv/proposals/2021.010B.R.Binomial_names.zip","2021.010B.R.Binomial_names.zip")</f>
        <v>2021.010B.R.Binomial_names.zip</v>
      </c>
    </row>
    <row r="2320" spans="1:21">
      <c r="A2320">
        <v>2319</v>
      </c>
      <c r="B2320" s="27" t="s">
        <v>1449</v>
      </c>
      <c r="D2320" s="27" t="s">
        <v>1450</v>
      </c>
      <c r="F2320" s="27" t="s">
        <v>1453</v>
      </c>
      <c r="H2320" s="27" t="s">
        <v>1454</v>
      </c>
      <c r="L2320" s="27" t="s">
        <v>1609</v>
      </c>
      <c r="M2320" s="27" t="s">
        <v>1612</v>
      </c>
      <c r="N2320" s="27" t="s">
        <v>1613</v>
      </c>
      <c r="P2320" s="27" t="s">
        <v>11350</v>
      </c>
      <c r="Q2320" s="26" t="str">
        <f>HYPERLINK("https://ictv.global/taxonomy/taxondetails?taxnode_id=202518689&amp;ictv_id=ICTV202318689","ICTV202318689")</f>
        <v>ICTV202318689</v>
      </c>
      <c r="R2320" t="s">
        <v>579</v>
      </c>
      <c r="S2320" t="s">
        <v>823</v>
      </c>
      <c r="T2320">
        <v>39</v>
      </c>
      <c r="U2320" s="26" t="str">
        <f>HYPERLINK("https://ictv.global/ictv/proposals/2023.023B.Epseptimavirus_41ns.zip","2023.023B.Epseptimavirus_41ns.zip")</f>
        <v>2023.023B.Epseptimavirus_41ns.zip</v>
      </c>
    </row>
    <row r="2321" spans="1:21">
      <c r="A2321">
        <v>2320</v>
      </c>
      <c r="B2321" s="27" t="s">
        <v>1449</v>
      </c>
      <c r="D2321" s="27" t="s">
        <v>1450</v>
      </c>
      <c r="F2321" s="27" t="s">
        <v>1453</v>
      </c>
      <c r="H2321" s="27" t="s">
        <v>1454</v>
      </c>
      <c r="L2321" s="27" t="s">
        <v>1609</v>
      </c>
      <c r="M2321" s="27" t="s">
        <v>1612</v>
      </c>
      <c r="N2321" s="27" t="s">
        <v>1613</v>
      </c>
      <c r="P2321" s="27" t="s">
        <v>4626</v>
      </c>
      <c r="Q2321" s="26" t="str">
        <f>HYPERLINK("https://ictv.global/taxonomy/taxondetails?taxnode_id=202509940&amp;ictv_id=ICTV202009940","ICTV202009940")</f>
        <v>ICTV202009940</v>
      </c>
      <c r="R2321" t="s">
        <v>579</v>
      </c>
      <c r="S2321" t="s">
        <v>824</v>
      </c>
      <c r="T2321">
        <v>37</v>
      </c>
      <c r="U2321" s="26" t="str">
        <f>HYPERLINK("https://ictv.global/ictv/proposals/2021.010B.R.Binomial_names.zip","2021.010B.R.Binomial_names.zip")</f>
        <v>2021.010B.R.Binomial_names.zip</v>
      </c>
    </row>
    <row r="2322" spans="1:21">
      <c r="A2322">
        <v>2321</v>
      </c>
      <c r="B2322" s="27" t="s">
        <v>1449</v>
      </c>
      <c r="D2322" s="27" t="s">
        <v>1450</v>
      </c>
      <c r="F2322" s="27" t="s">
        <v>1453</v>
      </c>
      <c r="H2322" s="27" t="s">
        <v>1454</v>
      </c>
      <c r="L2322" s="27" t="s">
        <v>1609</v>
      </c>
      <c r="M2322" s="27" t="s">
        <v>1612</v>
      </c>
      <c r="N2322" s="27" t="s">
        <v>1613</v>
      </c>
      <c r="P2322" s="27" t="s">
        <v>11351</v>
      </c>
      <c r="Q2322" s="26" t="str">
        <f>HYPERLINK("https://ictv.global/taxonomy/taxondetails?taxnode_id=202518702&amp;ictv_id=ICTV202318702","ICTV202318702")</f>
        <v>ICTV202318702</v>
      </c>
      <c r="R2322" t="s">
        <v>579</v>
      </c>
      <c r="S2322" t="s">
        <v>823</v>
      </c>
      <c r="T2322">
        <v>39</v>
      </c>
      <c r="U2322" s="26" t="str">
        <f t="shared" ref="U2322:U2328" si="80">HYPERLINK("https://ictv.global/ictv/proposals/2023.023B.Epseptimavirus_41ns.zip","2023.023B.Epseptimavirus_41ns.zip")</f>
        <v>2023.023B.Epseptimavirus_41ns.zip</v>
      </c>
    </row>
    <row r="2323" spans="1:21">
      <c r="A2323">
        <v>2322</v>
      </c>
      <c r="B2323" s="27" t="s">
        <v>1449</v>
      </c>
      <c r="D2323" s="27" t="s">
        <v>1450</v>
      </c>
      <c r="F2323" s="27" t="s">
        <v>1453</v>
      </c>
      <c r="H2323" s="27" t="s">
        <v>1454</v>
      </c>
      <c r="L2323" s="27" t="s">
        <v>1609</v>
      </c>
      <c r="M2323" s="27" t="s">
        <v>1612</v>
      </c>
      <c r="N2323" s="27" t="s">
        <v>1613</v>
      </c>
      <c r="P2323" s="27" t="s">
        <v>11352</v>
      </c>
      <c r="Q2323" s="26" t="str">
        <f>HYPERLINK("https://ictv.global/taxonomy/taxondetails?taxnode_id=202518696&amp;ictv_id=ICTV202318696","ICTV202318696")</f>
        <v>ICTV202318696</v>
      </c>
      <c r="R2323" t="s">
        <v>579</v>
      </c>
      <c r="S2323" t="s">
        <v>823</v>
      </c>
      <c r="T2323">
        <v>39</v>
      </c>
      <c r="U2323" s="26" t="str">
        <f t="shared" si="80"/>
        <v>2023.023B.Epseptimavirus_41ns.zip</v>
      </c>
    </row>
    <row r="2324" spans="1:21">
      <c r="A2324">
        <v>2323</v>
      </c>
      <c r="B2324" s="27" t="s">
        <v>1449</v>
      </c>
      <c r="D2324" s="27" t="s">
        <v>1450</v>
      </c>
      <c r="F2324" s="27" t="s">
        <v>1453</v>
      </c>
      <c r="H2324" s="27" t="s">
        <v>1454</v>
      </c>
      <c r="L2324" s="27" t="s">
        <v>1609</v>
      </c>
      <c r="M2324" s="27" t="s">
        <v>1612</v>
      </c>
      <c r="N2324" s="27" t="s">
        <v>1613</v>
      </c>
      <c r="P2324" s="27" t="s">
        <v>11353</v>
      </c>
      <c r="Q2324" s="26" t="str">
        <f>HYPERLINK("https://ictv.global/taxonomy/taxondetails?taxnode_id=202518699&amp;ictv_id=ICTV202318699","ICTV202318699")</f>
        <v>ICTV202318699</v>
      </c>
      <c r="R2324" t="s">
        <v>579</v>
      </c>
      <c r="S2324" t="s">
        <v>823</v>
      </c>
      <c r="T2324">
        <v>39</v>
      </c>
      <c r="U2324" s="26" t="str">
        <f t="shared" si="80"/>
        <v>2023.023B.Epseptimavirus_41ns.zip</v>
      </c>
    </row>
    <row r="2325" spans="1:21">
      <c r="A2325">
        <v>2324</v>
      </c>
      <c r="B2325" s="27" t="s">
        <v>1449</v>
      </c>
      <c r="D2325" s="27" t="s">
        <v>1450</v>
      </c>
      <c r="F2325" s="27" t="s">
        <v>1453</v>
      </c>
      <c r="H2325" s="27" t="s">
        <v>1454</v>
      </c>
      <c r="L2325" s="27" t="s">
        <v>1609</v>
      </c>
      <c r="M2325" s="27" t="s">
        <v>1612</v>
      </c>
      <c r="N2325" s="27" t="s">
        <v>1613</v>
      </c>
      <c r="P2325" s="27" t="s">
        <v>11354</v>
      </c>
      <c r="Q2325" s="26" t="str">
        <f>HYPERLINK("https://ictv.global/taxonomy/taxondetails?taxnode_id=202518671&amp;ictv_id=ICTV202318671","ICTV202318671")</f>
        <v>ICTV202318671</v>
      </c>
      <c r="R2325" t="s">
        <v>579</v>
      </c>
      <c r="S2325" t="s">
        <v>823</v>
      </c>
      <c r="T2325">
        <v>39</v>
      </c>
      <c r="U2325" s="26" t="str">
        <f t="shared" si="80"/>
        <v>2023.023B.Epseptimavirus_41ns.zip</v>
      </c>
    </row>
    <row r="2326" spans="1:21">
      <c r="A2326">
        <v>2325</v>
      </c>
      <c r="B2326" s="27" t="s">
        <v>1449</v>
      </c>
      <c r="D2326" s="27" t="s">
        <v>1450</v>
      </c>
      <c r="F2326" s="27" t="s">
        <v>1453</v>
      </c>
      <c r="H2326" s="27" t="s">
        <v>1454</v>
      </c>
      <c r="L2326" s="27" t="s">
        <v>1609</v>
      </c>
      <c r="M2326" s="27" t="s">
        <v>1612</v>
      </c>
      <c r="N2326" s="27" t="s">
        <v>1613</v>
      </c>
      <c r="P2326" s="27" t="s">
        <v>11355</v>
      </c>
      <c r="Q2326" s="26" t="str">
        <f>HYPERLINK("https://ictv.global/taxonomy/taxondetails?taxnode_id=202518701&amp;ictv_id=ICTV202318701","ICTV202318701")</f>
        <v>ICTV202318701</v>
      </c>
      <c r="R2326" t="s">
        <v>579</v>
      </c>
      <c r="S2326" t="s">
        <v>823</v>
      </c>
      <c r="T2326">
        <v>39</v>
      </c>
      <c r="U2326" s="26" t="str">
        <f t="shared" si="80"/>
        <v>2023.023B.Epseptimavirus_41ns.zip</v>
      </c>
    </row>
    <row r="2327" spans="1:21">
      <c r="A2327">
        <v>2326</v>
      </c>
      <c r="B2327" s="27" t="s">
        <v>1449</v>
      </c>
      <c r="D2327" s="27" t="s">
        <v>1450</v>
      </c>
      <c r="F2327" s="27" t="s">
        <v>1453</v>
      </c>
      <c r="H2327" s="27" t="s">
        <v>1454</v>
      </c>
      <c r="L2327" s="27" t="s">
        <v>1609</v>
      </c>
      <c r="M2327" s="27" t="s">
        <v>1612</v>
      </c>
      <c r="N2327" s="27" t="s">
        <v>1613</v>
      </c>
      <c r="P2327" s="27" t="s">
        <v>11356</v>
      </c>
      <c r="Q2327" s="26" t="str">
        <f>HYPERLINK("https://ictv.global/taxonomy/taxondetails?taxnode_id=202518694&amp;ictv_id=ICTV202318694","ICTV202318694")</f>
        <v>ICTV202318694</v>
      </c>
      <c r="R2327" t="s">
        <v>579</v>
      </c>
      <c r="S2327" t="s">
        <v>823</v>
      </c>
      <c r="T2327">
        <v>39</v>
      </c>
      <c r="U2327" s="26" t="str">
        <f t="shared" si="80"/>
        <v>2023.023B.Epseptimavirus_41ns.zip</v>
      </c>
    </row>
    <row r="2328" spans="1:21">
      <c r="A2328">
        <v>2327</v>
      </c>
      <c r="B2328" s="27" t="s">
        <v>1449</v>
      </c>
      <c r="D2328" s="27" t="s">
        <v>1450</v>
      </c>
      <c r="F2328" s="27" t="s">
        <v>1453</v>
      </c>
      <c r="H2328" s="27" t="s">
        <v>1454</v>
      </c>
      <c r="L2328" s="27" t="s">
        <v>1609</v>
      </c>
      <c r="M2328" s="27" t="s">
        <v>1612</v>
      </c>
      <c r="N2328" s="27" t="s">
        <v>1613</v>
      </c>
      <c r="P2328" s="27" t="s">
        <v>11357</v>
      </c>
      <c r="Q2328" s="26" t="str">
        <f>HYPERLINK("https://ictv.global/taxonomy/taxondetails?taxnode_id=202518705&amp;ictv_id=ICTV202318705","ICTV202318705")</f>
        <v>ICTV202318705</v>
      </c>
      <c r="R2328" t="s">
        <v>579</v>
      </c>
      <c r="S2328" t="s">
        <v>823</v>
      </c>
      <c r="T2328">
        <v>39</v>
      </c>
      <c r="U2328" s="26" t="str">
        <f t="shared" si="80"/>
        <v>2023.023B.Epseptimavirus_41ns.zip</v>
      </c>
    </row>
    <row r="2329" spans="1:21">
      <c r="A2329">
        <v>2328</v>
      </c>
      <c r="B2329" s="27" t="s">
        <v>1449</v>
      </c>
      <c r="D2329" s="27" t="s">
        <v>1450</v>
      </c>
      <c r="F2329" s="27" t="s">
        <v>1453</v>
      </c>
      <c r="H2329" s="27" t="s">
        <v>1454</v>
      </c>
      <c r="L2329" s="27" t="s">
        <v>1609</v>
      </c>
      <c r="M2329" s="27" t="s">
        <v>1612</v>
      </c>
      <c r="N2329" s="27" t="s">
        <v>1613</v>
      </c>
      <c r="P2329" s="27" t="s">
        <v>19513</v>
      </c>
      <c r="Q2329" s="26" t="str">
        <f>HYPERLINK("https://ictv.global/taxonomy/taxondetails?taxnode_id=202518676&amp;ictv_id=ICTV202318676","ICTV202318676")</f>
        <v>ICTV202318676</v>
      </c>
      <c r="R2329" t="s">
        <v>579</v>
      </c>
      <c r="S2329" t="s">
        <v>824</v>
      </c>
      <c r="T2329">
        <v>40</v>
      </c>
      <c r="U2329" s="26" t="str">
        <f>HYPERLINK("https://ictv.global/ictv/proposals/2024.036B.Caudoviricetes_Faserviricetes_Name_Corrections.zip","2024.036B.Caudoviricetes_Faserviricetes_Name_Corrections.zip")</f>
        <v>2024.036B.Caudoviricetes_Faserviricetes_Name_Corrections.zip</v>
      </c>
    </row>
    <row r="2330" spans="1:21">
      <c r="A2330">
        <v>2329</v>
      </c>
      <c r="B2330" s="27" t="s">
        <v>1449</v>
      </c>
      <c r="D2330" s="27" t="s">
        <v>1450</v>
      </c>
      <c r="F2330" s="27" t="s">
        <v>1453</v>
      </c>
      <c r="H2330" s="27" t="s">
        <v>1454</v>
      </c>
      <c r="L2330" s="27" t="s">
        <v>1609</v>
      </c>
      <c r="M2330" s="27" t="s">
        <v>1612</v>
      </c>
      <c r="N2330" s="27" t="s">
        <v>1613</v>
      </c>
      <c r="P2330" s="27" t="s">
        <v>4627</v>
      </c>
      <c r="Q2330" s="26" t="str">
        <f>HYPERLINK("https://ictv.global/taxonomy/taxondetails?taxnode_id=202508112&amp;ictv_id=ICTV201908112","ICTV201908112")</f>
        <v>ICTV201908112</v>
      </c>
      <c r="R2330" t="s">
        <v>579</v>
      </c>
      <c r="S2330" t="s">
        <v>824</v>
      </c>
      <c r="T2330">
        <v>37</v>
      </c>
      <c r="U2330" s="26" t="str">
        <f>HYPERLINK("https://ictv.global/ictv/proposals/2021.010B.R.Binomial_names.zip","2021.010B.R.Binomial_names.zip")</f>
        <v>2021.010B.R.Binomial_names.zip</v>
      </c>
    </row>
    <row r="2331" spans="1:21">
      <c r="A2331">
        <v>2330</v>
      </c>
      <c r="B2331" s="27" t="s">
        <v>1449</v>
      </c>
      <c r="D2331" s="27" t="s">
        <v>1450</v>
      </c>
      <c r="F2331" s="27" t="s">
        <v>1453</v>
      </c>
      <c r="H2331" s="27" t="s">
        <v>1454</v>
      </c>
      <c r="L2331" s="27" t="s">
        <v>1609</v>
      </c>
      <c r="M2331" s="27" t="s">
        <v>1612</v>
      </c>
      <c r="N2331" s="27" t="s">
        <v>1613</v>
      </c>
      <c r="P2331" s="27" t="s">
        <v>4628</v>
      </c>
      <c r="Q2331" s="26" t="str">
        <f>HYPERLINK("https://ictv.global/taxonomy/taxondetails?taxnode_id=202508097&amp;ictv_id=ICTV201908097","ICTV201908097")</f>
        <v>ICTV201908097</v>
      </c>
      <c r="R2331" t="s">
        <v>579</v>
      </c>
      <c r="S2331" t="s">
        <v>824</v>
      </c>
      <c r="T2331">
        <v>37</v>
      </c>
      <c r="U2331" s="26" t="str">
        <f>HYPERLINK("https://ictv.global/ictv/proposals/2021.010B.R.Binomial_names.zip","2021.010B.R.Binomial_names.zip")</f>
        <v>2021.010B.R.Binomial_names.zip</v>
      </c>
    </row>
    <row r="2332" spans="1:21">
      <c r="A2332">
        <v>2331</v>
      </c>
      <c r="B2332" s="27" t="s">
        <v>1449</v>
      </c>
      <c r="D2332" s="27" t="s">
        <v>1450</v>
      </c>
      <c r="F2332" s="27" t="s">
        <v>1453</v>
      </c>
      <c r="H2332" s="27" t="s">
        <v>1454</v>
      </c>
      <c r="L2332" s="27" t="s">
        <v>1609</v>
      </c>
      <c r="M2332" s="27" t="s">
        <v>1612</v>
      </c>
      <c r="N2332" s="27" t="s">
        <v>1613</v>
      </c>
      <c r="P2332" s="27" t="s">
        <v>11358</v>
      </c>
      <c r="Q2332" s="26" t="str">
        <f>HYPERLINK("https://ictv.global/taxonomy/taxondetails?taxnode_id=202518678&amp;ictv_id=ICTV202318678","ICTV202318678")</f>
        <v>ICTV202318678</v>
      </c>
      <c r="R2332" t="s">
        <v>579</v>
      </c>
      <c r="S2332" t="s">
        <v>823</v>
      </c>
      <c r="T2332">
        <v>39</v>
      </c>
      <c r="U2332" s="26" t="str">
        <f>HYPERLINK("https://ictv.global/ictv/proposals/2023.023B.Epseptimavirus_41ns.zip","2023.023B.Epseptimavirus_41ns.zip")</f>
        <v>2023.023B.Epseptimavirus_41ns.zip</v>
      </c>
    </row>
    <row r="2333" spans="1:21">
      <c r="A2333">
        <v>2332</v>
      </c>
      <c r="B2333" s="27" t="s">
        <v>1449</v>
      </c>
      <c r="D2333" s="27" t="s">
        <v>1450</v>
      </c>
      <c r="F2333" s="27" t="s">
        <v>1453</v>
      </c>
      <c r="H2333" s="27" t="s">
        <v>1454</v>
      </c>
      <c r="L2333" s="27" t="s">
        <v>1609</v>
      </c>
      <c r="M2333" s="27" t="s">
        <v>1612</v>
      </c>
      <c r="N2333" s="27" t="s">
        <v>1613</v>
      </c>
      <c r="P2333" s="27" t="s">
        <v>11359</v>
      </c>
      <c r="Q2333" s="26" t="str">
        <f>HYPERLINK("https://ictv.global/taxonomy/taxondetails?taxnode_id=202518677&amp;ictv_id=ICTV202318677","ICTV202318677")</f>
        <v>ICTV202318677</v>
      </c>
      <c r="R2333" t="s">
        <v>579</v>
      </c>
      <c r="S2333" t="s">
        <v>823</v>
      </c>
      <c r="T2333">
        <v>39</v>
      </c>
      <c r="U2333" s="26" t="str">
        <f>HYPERLINK("https://ictv.global/ictv/proposals/2023.023B.Epseptimavirus_41ns.zip","2023.023B.Epseptimavirus_41ns.zip")</f>
        <v>2023.023B.Epseptimavirus_41ns.zip</v>
      </c>
    </row>
    <row r="2334" spans="1:21">
      <c r="A2334">
        <v>2333</v>
      </c>
      <c r="B2334" s="27" t="s">
        <v>1449</v>
      </c>
      <c r="D2334" s="27" t="s">
        <v>1450</v>
      </c>
      <c r="F2334" s="27" t="s">
        <v>1453</v>
      </c>
      <c r="H2334" s="27" t="s">
        <v>1454</v>
      </c>
      <c r="L2334" s="27" t="s">
        <v>1609</v>
      </c>
      <c r="M2334" s="27" t="s">
        <v>1612</v>
      </c>
      <c r="N2334" s="27" t="s">
        <v>1613</v>
      </c>
      <c r="P2334" s="27" t="s">
        <v>11360</v>
      </c>
      <c r="Q2334" s="26" t="str">
        <f>HYPERLINK("https://ictv.global/taxonomy/taxondetails?taxnode_id=202518672&amp;ictv_id=ICTV202318672","ICTV202318672")</f>
        <v>ICTV202318672</v>
      </c>
      <c r="R2334" t="s">
        <v>579</v>
      </c>
      <c r="S2334" t="s">
        <v>823</v>
      </c>
      <c r="T2334">
        <v>39</v>
      </c>
      <c r="U2334" s="26" t="str">
        <f>HYPERLINK("https://ictv.global/ictv/proposals/2023.023B.Epseptimavirus_41ns.zip","2023.023B.Epseptimavirus_41ns.zip")</f>
        <v>2023.023B.Epseptimavirus_41ns.zip</v>
      </c>
    </row>
    <row r="2335" spans="1:21">
      <c r="A2335">
        <v>2334</v>
      </c>
      <c r="B2335" s="27" t="s">
        <v>1449</v>
      </c>
      <c r="D2335" s="27" t="s">
        <v>1450</v>
      </c>
      <c r="F2335" s="27" t="s">
        <v>1453</v>
      </c>
      <c r="H2335" s="27" t="s">
        <v>1454</v>
      </c>
      <c r="L2335" s="27" t="s">
        <v>1609</v>
      </c>
      <c r="M2335" s="27" t="s">
        <v>1612</v>
      </c>
      <c r="N2335" s="27" t="s">
        <v>1613</v>
      </c>
      <c r="P2335" s="27" t="s">
        <v>11361</v>
      </c>
      <c r="Q2335" s="26" t="str">
        <f>HYPERLINK("https://ictv.global/taxonomy/taxondetails?taxnode_id=202518673&amp;ictv_id=ICTV202318673","ICTV202318673")</f>
        <v>ICTV202318673</v>
      </c>
      <c r="R2335" t="s">
        <v>579</v>
      </c>
      <c r="S2335" t="s">
        <v>823</v>
      </c>
      <c r="T2335">
        <v>39</v>
      </c>
      <c r="U2335" s="26" t="str">
        <f>HYPERLINK("https://ictv.global/ictv/proposals/2023.023B.Epseptimavirus_41ns.zip","2023.023B.Epseptimavirus_41ns.zip")</f>
        <v>2023.023B.Epseptimavirus_41ns.zip</v>
      </c>
    </row>
    <row r="2336" spans="1:21">
      <c r="A2336">
        <v>2335</v>
      </c>
      <c r="B2336" s="27" t="s">
        <v>1449</v>
      </c>
      <c r="D2336" s="27" t="s">
        <v>1450</v>
      </c>
      <c r="F2336" s="27" t="s">
        <v>1453</v>
      </c>
      <c r="H2336" s="27" t="s">
        <v>1454</v>
      </c>
      <c r="L2336" s="27" t="s">
        <v>1609</v>
      </c>
      <c r="M2336" s="27" t="s">
        <v>1612</v>
      </c>
      <c r="N2336" s="27" t="s">
        <v>1613</v>
      </c>
      <c r="P2336" s="27" t="s">
        <v>4629</v>
      </c>
      <c r="Q2336" s="26" t="str">
        <f>HYPERLINK("https://ictv.global/taxonomy/taxondetails?taxnode_id=202509939&amp;ictv_id=ICTV202009939","ICTV202009939")</f>
        <v>ICTV202009939</v>
      </c>
      <c r="R2336" t="s">
        <v>579</v>
      </c>
      <c r="S2336" t="s">
        <v>824</v>
      </c>
      <c r="T2336">
        <v>37</v>
      </c>
      <c r="U2336" s="26" t="str">
        <f>HYPERLINK("https://ictv.global/ictv/proposals/2021.010B.R.Binomial_names.zip","2021.010B.R.Binomial_names.zip")</f>
        <v>2021.010B.R.Binomial_names.zip</v>
      </c>
    </row>
    <row r="2337" spans="1:21">
      <c r="A2337">
        <v>2336</v>
      </c>
      <c r="B2337" s="27" t="s">
        <v>1449</v>
      </c>
      <c r="D2337" s="27" t="s">
        <v>1450</v>
      </c>
      <c r="F2337" s="27" t="s">
        <v>1453</v>
      </c>
      <c r="H2337" s="27" t="s">
        <v>1454</v>
      </c>
      <c r="L2337" s="27" t="s">
        <v>1609</v>
      </c>
      <c r="M2337" s="27" t="s">
        <v>1612</v>
      </c>
      <c r="N2337" s="27" t="s">
        <v>1613</v>
      </c>
      <c r="P2337" s="27" t="s">
        <v>4630</v>
      </c>
      <c r="Q2337" s="26" t="str">
        <f>HYPERLINK("https://ictv.global/taxonomy/taxondetails?taxnode_id=202509935&amp;ictv_id=ICTV202009935","ICTV202009935")</f>
        <v>ICTV202009935</v>
      </c>
      <c r="R2337" t="s">
        <v>579</v>
      </c>
      <c r="S2337" t="s">
        <v>824</v>
      </c>
      <c r="T2337">
        <v>37</v>
      </c>
      <c r="U2337" s="26" t="str">
        <f>HYPERLINK("https://ictv.global/ictv/proposals/2021.010B.R.Binomial_names.zip","2021.010B.R.Binomial_names.zip")</f>
        <v>2021.010B.R.Binomial_names.zip</v>
      </c>
    </row>
    <row r="2338" spans="1:21">
      <c r="A2338">
        <v>2337</v>
      </c>
      <c r="B2338" s="27" t="s">
        <v>1449</v>
      </c>
      <c r="D2338" s="27" t="s">
        <v>1450</v>
      </c>
      <c r="F2338" s="27" t="s">
        <v>1453</v>
      </c>
      <c r="H2338" s="27" t="s">
        <v>1454</v>
      </c>
      <c r="L2338" s="27" t="s">
        <v>1609</v>
      </c>
      <c r="M2338" s="27" t="s">
        <v>1612</v>
      </c>
      <c r="N2338" s="27" t="s">
        <v>1613</v>
      </c>
      <c r="P2338" s="27" t="s">
        <v>11362</v>
      </c>
      <c r="Q2338" s="26" t="str">
        <f>HYPERLINK("https://ictv.global/taxonomy/taxondetails?taxnode_id=202518688&amp;ictv_id=ICTV202318688","ICTV202318688")</f>
        <v>ICTV202318688</v>
      </c>
      <c r="R2338" t="s">
        <v>579</v>
      </c>
      <c r="S2338" t="s">
        <v>823</v>
      </c>
      <c r="T2338">
        <v>39</v>
      </c>
      <c r="U2338" s="26" t="str">
        <f>HYPERLINK("https://ictv.global/ictv/proposals/2023.023B.Epseptimavirus_41ns.zip","2023.023B.Epseptimavirus_41ns.zip")</f>
        <v>2023.023B.Epseptimavirus_41ns.zip</v>
      </c>
    </row>
    <row r="2339" spans="1:21">
      <c r="A2339">
        <v>2338</v>
      </c>
      <c r="B2339" s="27" t="s">
        <v>1449</v>
      </c>
      <c r="D2339" s="27" t="s">
        <v>1450</v>
      </c>
      <c r="F2339" s="27" t="s">
        <v>1453</v>
      </c>
      <c r="H2339" s="27" t="s">
        <v>1454</v>
      </c>
      <c r="L2339" s="27" t="s">
        <v>1609</v>
      </c>
      <c r="M2339" s="27" t="s">
        <v>1612</v>
      </c>
      <c r="N2339" s="27" t="s">
        <v>1613</v>
      </c>
      <c r="P2339" s="27" t="s">
        <v>11363</v>
      </c>
      <c r="Q2339" s="26" t="str">
        <f>HYPERLINK("https://ictv.global/taxonomy/taxondetails?taxnode_id=202518681&amp;ictv_id=ICTV202318681","ICTV202318681")</f>
        <v>ICTV202318681</v>
      </c>
      <c r="R2339" t="s">
        <v>579</v>
      </c>
      <c r="S2339" t="s">
        <v>823</v>
      </c>
      <c r="T2339">
        <v>39</v>
      </c>
      <c r="U2339" s="26" t="str">
        <f>HYPERLINK("https://ictv.global/ictv/proposals/2023.023B.Epseptimavirus_41ns.zip","2023.023B.Epseptimavirus_41ns.zip")</f>
        <v>2023.023B.Epseptimavirus_41ns.zip</v>
      </c>
    </row>
    <row r="2340" spans="1:21">
      <c r="A2340">
        <v>2339</v>
      </c>
      <c r="B2340" s="27" t="s">
        <v>1449</v>
      </c>
      <c r="D2340" s="27" t="s">
        <v>1450</v>
      </c>
      <c r="F2340" s="27" t="s">
        <v>1453</v>
      </c>
      <c r="H2340" s="27" t="s">
        <v>1454</v>
      </c>
      <c r="L2340" s="27" t="s">
        <v>1609</v>
      </c>
      <c r="M2340" s="27" t="s">
        <v>1612</v>
      </c>
      <c r="N2340" s="27" t="s">
        <v>1613</v>
      </c>
      <c r="P2340" s="27" t="s">
        <v>11364</v>
      </c>
      <c r="Q2340" s="26" t="str">
        <f>HYPERLINK("https://ictv.global/taxonomy/taxondetails?taxnode_id=202518707&amp;ictv_id=ICTV202318707","ICTV202318707")</f>
        <v>ICTV202318707</v>
      </c>
      <c r="R2340" t="s">
        <v>579</v>
      </c>
      <c r="S2340" t="s">
        <v>823</v>
      </c>
      <c r="T2340">
        <v>39</v>
      </c>
      <c r="U2340" s="26" t="str">
        <f>HYPERLINK("https://ictv.global/ictv/proposals/2023.023B.Epseptimavirus_41ns.zip","2023.023B.Epseptimavirus_41ns.zip")</f>
        <v>2023.023B.Epseptimavirus_41ns.zip</v>
      </c>
    </row>
    <row r="2341" spans="1:21">
      <c r="A2341">
        <v>2340</v>
      </c>
      <c r="B2341" s="27" t="s">
        <v>1449</v>
      </c>
      <c r="D2341" s="27" t="s">
        <v>1450</v>
      </c>
      <c r="F2341" s="27" t="s">
        <v>1453</v>
      </c>
      <c r="H2341" s="27" t="s">
        <v>1454</v>
      </c>
      <c r="L2341" s="27" t="s">
        <v>1609</v>
      </c>
      <c r="M2341" s="27" t="s">
        <v>1612</v>
      </c>
      <c r="N2341" s="27" t="s">
        <v>1613</v>
      </c>
      <c r="P2341" s="27" t="s">
        <v>4631</v>
      </c>
      <c r="Q2341" s="26" t="str">
        <f>HYPERLINK("https://ictv.global/taxonomy/taxondetails?taxnode_id=202508114&amp;ictv_id=ICTV201908114","ICTV201908114")</f>
        <v>ICTV201908114</v>
      </c>
      <c r="R2341" t="s">
        <v>579</v>
      </c>
      <c r="S2341" t="s">
        <v>22764</v>
      </c>
      <c r="T2341">
        <v>38</v>
      </c>
      <c r="U2341" s="26" t="str">
        <f>HYPERLINK("https://ictv.global/ictv/proposals/2022.003B.Abolish_Haartmanvirus.zip","2022.003B.Abolish_Haartmanvirus.zip")</f>
        <v>2022.003B.Abolish_Haartmanvirus.zip</v>
      </c>
    </row>
    <row r="2342" spans="1:21">
      <c r="A2342">
        <v>2341</v>
      </c>
      <c r="B2342" s="27" t="s">
        <v>1449</v>
      </c>
      <c r="D2342" s="27" t="s">
        <v>1450</v>
      </c>
      <c r="F2342" s="27" t="s">
        <v>1453</v>
      </c>
      <c r="H2342" s="27" t="s">
        <v>1454</v>
      </c>
      <c r="L2342" s="27" t="s">
        <v>1609</v>
      </c>
      <c r="M2342" s="27" t="s">
        <v>1612</v>
      </c>
      <c r="N2342" s="27" t="s">
        <v>1613</v>
      </c>
      <c r="P2342" s="27" t="s">
        <v>4632</v>
      </c>
      <c r="Q2342" s="26" t="str">
        <f>HYPERLINK("https://ictv.global/taxonomy/taxondetails?taxnode_id=202514493&amp;ictv_id=ICTV202214493","ICTV202214493")</f>
        <v>ICTV202214493</v>
      </c>
      <c r="R2342" t="s">
        <v>579</v>
      </c>
      <c r="S2342" t="s">
        <v>823</v>
      </c>
      <c r="T2342">
        <v>38</v>
      </c>
      <c r="U2342" s="26" t="str">
        <f>HYPERLINK("https://ictv.global/ictv/proposals/2022.008B.Autographiviridae_2nsp.zip","2022.008B.Autographiviridae_2nsp.zip")</f>
        <v>2022.008B.Autographiviridae_2nsp.zip</v>
      </c>
    </row>
    <row r="2343" spans="1:21">
      <c r="A2343">
        <v>2342</v>
      </c>
      <c r="B2343" s="27" t="s">
        <v>1449</v>
      </c>
      <c r="D2343" s="27" t="s">
        <v>1450</v>
      </c>
      <c r="F2343" s="27" t="s">
        <v>1453</v>
      </c>
      <c r="H2343" s="27" t="s">
        <v>1454</v>
      </c>
      <c r="L2343" s="27" t="s">
        <v>1609</v>
      </c>
      <c r="M2343" s="27" t="s">
        <v>1612</v>
      </c>
      <c r="N2343" s="27" t="s">
        <v>1613</v>
      </c>
      <c r="P2343" s="27" t="s">
        <v>4633</v>
      </c>
      <c r="Q2343" s="26" t="str">
        <f>HYPERLINK("https://ictv.global/taxonomy/taxondetails?taxnode_id=202509946&amp;ictv_id=ICTV202009946","ICTV202009946")</f>
        <v>ICTV202009946</v>
      </c>
      <c r="R2343" t="s">
        <v>579</v>
      </c>
      <c r="S2343" t="s">
        <v>824</v>
      </c>
      <c r="T2343">
        <v>37</v>
      </c>
      <c r="U2343" s="26" t="str">
        <f>HYPERLINK("https://ictv.global/ictv/proposals/2021.010B.R.Binomial_names.zip","2021.010B.R.Binomial_names.zip")</f>
        <v>2021.010B.R.Binomial_names.zip</v>
      </c>
    </row>
    <row r="2344" spans="1:21">
      <c r="A2344">
        <v>2343</v>
      </c>
      <c r="B2344" s="27" t="s">
        <v>1449</v>
      </c>
      <c r="D2344" s="27" t="s">
        <v>1450</v>
      </c>
      <c r="F2344" s="27" t="s">
        <v>1453</v>
      </c>
      <c r="H2344" s="27" t="s">
        <v>1454</v>
      </c>
      <c r="L2344" s="27" t="s">
        <v>1609</v>
      </c>
      <c r="M2344" s="27" t="s">
        <v>1612</v>
      </c>
      <c r="N2344" s="27" t="s">
        <v>1613</v>
      </c>
      <c r="P2344" s="27" t="s">
        <v>11365</v>
      </c>
      <c r="Q2344" s="26" t="str">
        <f>HYPERLINK("https://ictv.global/taxonomy/taxondetails?taxnode_id=202518679&amp;ictv_id=ICTV202318679","ICTV202318679")</f>
        <v>ICTV202318679</v>
      </c>
      <c r="R2344" t="s">
        <v>579</v>
      </c>
      <c r="S2344" t="s">
        <v>823</v>
      </c>
      <c r="T2344">
        <v>39</v>
      </c>
      <c r="U2344" s="26" t="str">
        <f>HYPERLINK("https://ictv.global/ictv/proposals/2023.023B.Epseptimavirus_41ns.zip","2023.023B.Epseptimavirus_41ns.zip")</f>
        <v>2023.023B.Epseptimavirus_41ns.zip</v>
      </c>
    </row>
    <row r="2345" spans="1:21">
      <c r="A2345">
        <v>2344</v>
      </c>
      <c r="B2345" s="27" t="s">
        <v>1449</v>
      </c>
      <c r="D2345" s="27" t="s">
        <v>1450</v>
      </c>
      <c r="F2345" s="27" t="s">
        <v>1453</v>
      </c>
      <c r="H2345" s="27" t="s">
        <v>1454</v>
      </c>
      <c r="L2345" s="27" t="s">
        <v>1609</v>
      </c>
      <c r="M2345" s="27" t="s">
        <v>1612</v>
      </c>
      <c r="N2345" s="27" t="s">
        <v>1613</v>
      </c>
      <c r="P2345" s="27" t="s">
        <v>4634</v>
      </c>
      <c r="Q2345" s="26" t="str">
        <f>HYPERLINK("https://ictv.global/taxonomy/taxondetails?taxnode_id=202508100&amp;ictv_id=ICTV201908100","ICTV201908100")</f>
        <v>ICTV201908100</v>
      </c>
      <c r="R2345" t="s">
        <v>579</v>
      </c>
      <c r="S2345" t="s">
        <v>824</v>
      </c>
      <c r="T2345">
        <v>37</v>
      </c>
      <c r="U2345" s="26" t="str">
        <f t="shared" ref="U2345:U2353" si="81">HYPERLINK("https://ictv.global/ictv/proposals/2021.010B.R.Binomial_names.zip","2021.010B.R.Binomial_names.zip")</f>
        <v>2021.010B.R.Binomial_names.zip</v>
      </c>
    </row>
    <row r="2346" spans="1:21">
      <c r="A2346">
        <v>2345</v>
      </c>
      <c r="B2346" s="27" t="s">
        <v>1449</v>
      </c>
      <c r="D2346" s="27" t="s">
        <v>1450</v>
      </c>
      <c r="F2346" s="27" t="s">
        <v>1453</v>
      </c>
      <c r="H2346" s="27" t="s">
        <v>1454</v>
      </c>
      <c r="L2346" s="27" t="s">
        <v>1609</v>
      </c>
      <c r="M2346" s="27" t="s">
        <v>1612</v>
      </c>
      <c r="N2346" s="27" t="s">
        <v>1613</v>
      </c>
      <c r="P2346" s="27" t="s">
        <v>4635</v>
      </c>
      <c r="Q2346" s="26" t="str">
        <f>HYPERLINK("https://ictv.global/taxonomy/taxondetails?taxnode_id=202508102&amp;ictv_id=ICTV201908102","ICTV201908102")</f>
        <v>ICTV201908102</v>
      </c>
      <c r="R2346" t="s">
        <v>579</v>
      </c>
      <c r="S2346" t="s">
        <v>824</v>
      </c>
      <c r="T2346">
        <v>37</v>
      </c>
      <c r="U2346" s="26" t="str">
        <f t="shared" si="81"/>
        <v>2021.010B.R.Binomial_names.zip</v>
      </c>
    </row>
    <row r="2347" spans="1:21">
      <c r="A2347">
        <v>2346</v>
      </c>
      <c r="B2347" s="27" t="s">
        <v>1449</v>
      </c>
      <c r="D2347" s="27" t="s">
        <v>1450</v>
      </c>
      <c r="F2347" s="27" t="s">
        <v>1453</v>
      </c>
      <c r="H2347" s="27" t="s">
        <v>1454</v>
      </c>
      <c r="L2347" s="27" t="s">
        <v>1609</v>
      </c>
      <c r="M2347" s="27" t="s">
        <v>1612</v>
      </c>
      <c r="N2347" s="27" t="s">
        <v>1613</v>
      </c>
      <c r="P2347" s="27" t="s">
        <v>4636</v>
      </c>
      <c r="Q2347" s="26" t="str">
        <f>HYPERLINK("https://ictv.global/taxonomy/taxondetails?taxnode_id=202508106&amp;ictv_id=ICTV201908106","ICTV201908106")</f>
        <v>ICTV201908106</v>
      </c>
      <c r="R2347" t="s">
        <v>579</v>
      </c>
      <c r="S2347" t="s">
        <v>824</v>
      </c>
      <c r="T2347">
        <v>37</v>
      </c>
      <c r="U2347" s="26" t="str">
        <f t="shared" si="81"/>
        <v>2021.010B.R.Binomial_names.zip</v>
      </c>
    </row>
    <row r="2348" spans="1:21">
      <c r="A2348">
        <v>2347</v>
      </c>
      <c r="B2348" s="27" t="s">
        <v>1449</v>
      </c>
      <c r="D2348" s="27" t="s">
        <v>1450</v>
      </c>
      <c r="F2348" s="27" t="s">
        <v>1453</v>
      </c>
      <c r="H2348" s="27" t="s">
        <v>1454</v>
      </c>
      <c r="L2348" s="27" t="s">
        <v>1609</v>
      </c>
      <c r="M2348" s="27" t="s">
        <v>1612</v>
      </c>
      <c r="N2348" s="27" t="s">
        <v>1613</v>
      </c>
      <c r="P2348" s="27" t="s">
        <v>4637</v>
      </c>
      <c r="Q2348" s="26" t="str">
        <f>HYPERLINK("https://ictv.global/taxonomy/taxondetails?taxnode_id=202508096&amp;ictv_id=ICTV201908096","ICTV201908096")</f>
        <v>ICTV201908096</v>
      </c>
      <c r="R2348" t="s">
        <v>579</v>
      </c>
      <c r="S2348" t="s">
        <v>824</v>
      </c>
      <c r="T2348">
        <v>37</v>
      </c>
      <c r="U2348" s="26" t="str">
        <f t="shared" si="81"/>
        <v>2021.010B.R.Binomial_names.zip</v>
      </c>
    </row>
    <row r="2349" spans="1:21">
      <c r="A2349">
        <v>2348</v>
      </c>
      <c r="B2349" s="27" t="s">
        <v>1449</v>
      </c>
      <c r="D2349" s="27" t="s">
        <v>1450</v>
      </c>
      <c r="F2349" s="27" t="s">
        <v>1453</v>
      </c>
      <c r="H2349" s="27" t="s">
        <v>1454</v>
      </c>
      <c r="L2349" s="27" t="s">
        <v>1609</v>
      </c>
      <c r="M2349" s="27" t="s">
        <v>1612</v>
      </c>
      <c r="N2349" s="27" t="s">
        <v>1613</v>
      </c>
      <c r="P2349" s="27" t="s">
        <v>4638</v>
      </c>
      <c r="Q2349" s="26" t="str">
        <f>HYPERLINK("https://ictv.global/taxonomy/taxondetails?taxnode_id=202508099&amp;ictv_id=ICTV201908099","ICTV201908099")</f>
        <v>ICTV201908099</v>
      </c>
      <c r="R2349" t="s">
        <v>579</v>
      </c>
      <c r="S2349" t="s">
        <v>824</v>
      </c>
      <c r="T2349">
        <v>37</v>
      </c>
      <c r="U2349" s="26" t="str">
        <f t="shared" si="81"/>
        <v>2021.010B.R.Binomial_names.zip</v>
      </c>
    </row>
    <row r="2350" spans="1:21">
      <c r="A2350">
        <v>2349</v>
      </c>
      <c r="B2350" s="27" t="s">
        <v>1449</v>
      </c>
      <c r="D2350" s="27" t="s">
        <v>1450</v>
      </c>
      <c r="F2350" s="27" t="s">
        <v>1453</v>
      </c>
      <c r="H2350" s="27" t="s">
        <v>1454</v>
      </c>
      <c r="L2350" s="27" t="s">
        <v>1609</v>
      </c>
      <c r="M2350" s="27" t="s">
        <v>1612</v>
      </c>
      <c r="N2350" s="27" t="s">
        <v>1613</v>
      </c>
      <c r="P2350" s="27" t="s">
        <v>4639</v>
      </c>
      <c r="Q2350" s="26" t="str">
        <f>HYPERLINK("https://ictv.global/taxonomy/taxondetails?taxnode_id=202508109&amp;ictv_id=ICTV201908109","ICTV201908109")</f>
        <v>ICTV201908109</v>
      </c>
      <c r="R2350" t="s">
        <v>579</v>
      </c>
      <c r="S2350" t="s">
        <v>824</v>
      </c>
      <c r="T2350">
        <v>37</v>
      </c>
      <c r="U2350" s="26" t="str">
        <f t="shared" si="81"/>
        <v>2021.010B.R.Binomial_names.zip</v>
      </c>
    </row>
    <row r="2351" spans="1:21">
      <c r="A2351">
        <v>2350</v>
      </c>
      <c r="B2351" s="27" t="s">
        <v>1449</v>
      </c>
      <c r="D2351" s="27" t="s">
        <v>1450</v>
      </c>
      <c r="F2351" s="27" t="s">
        <v>1453</v>
      </c>
      <c r="H2351" s="27" t="s">
        <v>1454</v>
      </c>
      <c r="L2351" s="27" t="s">
        <v>1609</v>
      </c>
      <c r="M2351" s="27" t="s">
        <v>1612</v>
      </c>
      <c r="N2351" s="27" t="s">
        <v>1613</v>
      </c>
      <c r="P2351" s="27" t="s">
        <v>4640</v>
      </c>
      <c r="Q2351" s="26" t="str">
        <f>HYPERLINK("https://ictv.global/taxonomy/taxondetails?taxnode_id=202508103&amp;ictv_id=ICTV201908103","ICTV201908103")</f>
        <v>ICTV201908103</v>
      </c>
      <c r="R2351" t="s">
        <v>579</v>
      </c>
      <c r="S2351" t="s">
        <v>824</v>
      </c>
      <c r="T2351">
        <v>37</v>
      </c>
      <c r="U2351" s="26" t="str">
        <f t="shared" si="81"/>
        <v>2021.010B.R.Binomial_names.zip</v>
      </c>
    </row>
    <row r="2352" spans="1:21">
      <c r="A2352">
        <v>2351</v>
      </c>
      <c r="B2352" s="27" t="s">
        <v>1449</v>
      </c>
      <c r="D2352" s="27" t="s">
        <v>1450</v>
      </c>
      <c r="F2352" s="27" t="s">
        <v>1453</v>
      </c>
      <c r="H2352" s="27" t="s">
        <v>1454</v>
      </c>
      <c r="L2352" s="27" t="s">
        <v>1609</v>
      </c>
      <c r="M2352" s="27" t="s">
        <v>1612</v>
      </c>
      <c r="N2352" s="27" t="s">
        <v>1613</v>
      </c>
      <c r="P2352" s="27" t="s">
        <v>4641</v>
      </c>
      <c r="Q2352" s="26" t="str">
        <f>HYPERLINK("https://ictv.global/taxonomy/taxondetails?taxnode_id=202508101&amp;ictv_id=ICTV201908101","ICTV201908101")</f>
        <v>ICTV201908101</v>
      </c>
      <c r="R2352" t="s">
        <v>579</v>
      </c>
      <c r="S2352" t="s">
        <v>824</v>
      </c>
      <c r="T2352">
        <v>37</v>
      </c>
      <c r="U2352" s="26" t="str">
        <f t="shared" si="81"/>
        <v>2021.010B.R.Binomial_names.zip</v>
      </c>
    </row>
    <row r="2353" spans="1:21">
      <c r="A2353">
        <v>2352</v>
      </c>
      <c r="B2353" s="27" t="s">
        <v>1449</v>
      </c>
      <c r="D2353" s="27" t="s">
        <v>1450</v>
      </c>
      <c r="F2353" s="27" t="s">
        <v>1453</v>
      </c>
      <c r="H2353" s="27" t="s">
        <v>1454</v>
      </c>
      <c r="L2353" s="27" t="s">
        <v>1609</v>
      </c>
      <c r="M2353" s="27" t="s">
        <v>1612</v>
      </c>
      <c r="N2353" s="27" t="s">
        <v>1613</v>
      </c>
      <c r="P2353" s="27" t="s">
        <v>4642</v>
      </c>
      <c r="Q2353" s="26" t="str">
        <f>HYPERLINK("https://ictv.global/taxonomy/taxondetails?taxnode_id=202508111&amp;ictv_id=ICTV201908111","ICTV201908111")</f>
        <v>ICTV201908111</v>
      </c>
      <c r="R2353" t="s">
        <v>579</v>
      </c>
      <c r="S2353" t="s">
        <v>824</v>
      </c>
      <c r="T2353">
        <v>37</v>
      </c>
      <c r="U2353" s="26" t="str">
        <f t="shared" si="81"/>
        <v>2021.010B.R.Binomial_names.zip</v>
      </c>
    </row>
    <row r="2354" spans="1:21">
      <c r="A2354">
        <v>2353</v>
      </c>
      <c r="B2354" s="27" t="s">
        <v>1449</v>
      </c>
      <c r="D2354" s="27" t="s">
        <v>1450</v>
      </c>
      <c r="F2354" s="27" t="s">
        <v>1453</v>
      </c>
      <c r="H2354" s="27" t="s">
        <v>1454</v>
      </c>
      <c r="L2354" s="27" t="s">
        <v>1609</v>
      </c>
      <c r="M2354" s="27" t="s">
        <v>1612</v>
      </c>
      <c r="N2354" s="27" t="s">
        <v>1613</v>
      </c>
      <c r="P2354" s="27" t="s">
        <v>11366</v>
      </c>
      <c r="Q2354" s="26" t="str">
        <f>HYPERLINK("https://ictv.global/taxonomy/taxondetails?taxnode_id=202518698&amp;ictv_id=ICTV202318698","ICTV202318698")</f>
        <v>ICTV202318698</v>
      </c>
      <c r="R2354" t="s">
        <v>579</v>
      </c>
      <c r="S2354" t="s">
        <v>823</v>
      </c>
      <c r="T2354">
        <v>39</v>
      </c>
      <c r="U2354" s="26" t="str">
        <f>HYPERLINK("https://ictv.global/ictv/proposals/2023.023B.Epseptimavirus_41ns.zip","2023.023B.Epseptimavirus_41ns.zip")</f>
        <v>2023.023B.Epseptimavirus_41ns.zip</v>
      </c>
    </row>
    <row r="2355" spans="1:21">
      <c r="A2355">
        <v>2354</v>
      </c>
      <c r="B2355" s="27" t="s">
        <v>1449</v>
      </c>
      <c r="D2355" s="27" t="s">
        <v>1450</v>
      </c>
      <c r="F2355" s="27" t="s">
        <v>1453</v>
      </c>
      <c r="H2355" s="27" t="s">
        <v>1454</v>
      </c>
      <c r="L2355" s="27" t="s">
        <v>1609</v>
      </c>
      <c r="M2355" s="27" t="s">
        <v>1612</v>
      </c>
      <c r="N2355" s="27" t="s">
        <v>1613</v>
      </c>
      <c r="P2355" s="27" t="s">
        <v>11367</v>
      </c>
      <c r="Q2355" s="26" t="str">
        <f>HYPERLINK("https://ictv.global/taxonomy/taxondetails?taxnode_id=202518709&amp;ictv_id=ICTV202318709","ICTV202318709")</f>
        <v>ICTV202318709</v>
      </c>
      <c r="R2355" t="s">
        <v>579</v>
      </c>
      <c r="S2355" t="s">
        <v>823</v>
      </c>
      <c r="T2355">
        <v>39</v>
      </c>
      <c r="U2355" s="26" t="str">
        <f>HYPERLINK("https://ictv.global/ictv/proposals/2023.023B.Epseptimavirus_41ns.zip","2023.023B.Epseptimavirus_41ns.zip")</f>
        <v>2023.023B.Epseptimavirus_41ns.zip</v>
      </c>
    </row>
    <row r="2356" spans="1:21">
      <c r="A2356">
        <v>2355</v>
      </c>
      <c r="B2356" s="27" t="s">
        <v>1449</v>
      </c>
      <c r="D2356" s="27" t="s">
        <v>1450</v>
      </c>
      <c r="F2356" s="27" t="s">
        <v>1453</v>
      </c>
      <c r="H2356" s="27" t="s">
        <v>1454</v>
      </c>
      <c r="L2356" s="27" t="s">
        <v>1609</v>
      </c>
      <c r="M2356" s="27" t="s">
        <v>1612</v>
      </c>
      <c r="N2356" s="27" t="s">
        <v>1613</v>
      </c>
      <c r="P2356" s="27" t="s">
        <v>4643</v>
      </c>
      <c r="Q2356" s="26" t="str">
        <f>HYPERLINK("https://ictv.global/taxonomy/taxondetails?taxnode_id=202509942&amp;ictv_id=ICTV202009942","ICTV202009942")</f>
        <v>ICTV202009942</v>
      </c>
      <c r="R2356" t="s">
        <v>579</v>
      </c>
      <c r="S2356" t="s">
        <v>824</v>
      </c>
      <c r="T2356">
        <v>37</v>
      </c>
      <c r="U2356" s="26" t="str">
        <f>HYPERLINK("https://ictv.global/ictv/proposals/2021.010B.R.Binomial_names.zip","2021.010B.R.Binomial_names.zip")</f>
        <v>2021.010B.R.Binomial_names.zip</v>
      </c>
    </row>
    <row r="2357" spans="1:21">
      <c r="A2357">
        <v>2356</v>
      </c>
      <c r="B2357" s="27" t="s">
        <v>1449</v>
      </c>
      <c r="D2357" s="27" t="s">
        <v>1450</v>
      </c>
      <c r="F2357" s="27" t="s">
        <v>1453</v>
      </c>
      <c r="H2357" s="27" t="s">
        <v>1454</v>
      </c>
      <c r="L2357" s="27" t="s">
        <v>1609</v>
      </c>
      <c r="M2357" s="27" t="s">
        <v>1612</v>
      </c>
      <c r="N2357" s="27" t="s">
        <v>1613</v>
      </c>
      <c r="P2357" s="27" t="s">
        <v>11368</v>
      </c>
      <c r="Q2357" s="26" t="str">
        <f>HYPERLINK("https://ictv.global/taxonomy/taxondetails?taxnode_id=202518708&amp;ictv_id=ICTV202318708","ICTV202318708")</f>
        <v>ICTV202318708</v>
      </c>
      <c r="R2357" t="s">
        <v>579</v>
      </c>
      <c r="S2357" t="s">
        <v>823</v>
      </c>
      <c r="T2357">
        <v>39</v>
      </c>
      <c r="U2357" s="26" t="str">
        <f>HYPERLINK("https://ictv.global/ictv/proposals/2023.023B.Epseptimavirus_41ns.zip","2023.023B.Epseptimavirus_41ns.zip")</f>
        <v>2023.023B.Epseptimavirus_41ns.zip</v>
      </c>
    </row>
    <row r="2358" spans="1:21">
      <c r="A2358">
        <v>2357</v>
      </c>
      <c r="B2358" s="27" t="s">
        <v>1449</v>
      </c>
      <c r="D2358" s="27" t="s">
        <v>1450</v>
      </c>
      <c r="F2358" s="27" t="s">
        <v>1453</v>
      </c>
      <c r="H2358" s="27" t="s">
        <v>1454</v>
      </c>
      <c r="L2358" s="27" t="s">
        <v>1609</v>
      </c>
      <c r="M2358" s="27" t="s">
        <v>1612</v>
      </c>
      <c r="N2358" s="27" t="s">
        <v>1613</v>
      </c>
      <c r="P2358" s="27" t="s">
        <v>11369</v>
      </c>
      <c r="Q2358" s="26" t="str">
        <f>HYPERLINK("https://ictv.global/taxonomy/taxondetails?taxnode_id=202518690&amp;ictv_id=ICTV202318690","ICTV202318690")</f>
        <v>ICTV202318690</v>
      </c>
      <c r="R2358" t="s">
        <v>579</v>
      </c>
      <c r="S2358" t="s">
        <v>823</v>
      </c>
      <c r="T2358">
        <v>39</v>
      </c>
      <c r="U2358" s="26" t="str">
        <f>HYPERLINK("https://ictv.global/ictv/proposals/2023.023B.Epseptimavirus_41ns.zip","2023.023B.Epseptimavirus_41ns.zip")</f>
        <v>2023.023B.Epseptimavirus_41ns.zip</v>
      </c>
    </row>
    <row r="2359" spans="1:21">
      <c r="A2359">
        <v>2358</v>
      </c>
      <c r="B2359" s="27" t="s">
        <v>1449</v>
      </c>
      <c r="D2359" s="27" t="s">
        <v>1450</v>
      </c>
      <c r="F2359" s="27" t="s">
        <v>1453</v>
      </c>
      <c r="H2359" s="27" t="s">
        <v>1454</v>
      </c>
      <c r="L2359" s="27" t="s">
        <v>1609</v>
      </c>
      <c r="M2359" s="27" t="s">
        <v>1612</v>
      </c>
      <c r="N2359" s="27" t="s">
        <v>1613</v>
      </c>
      <c r="P2359" s="27" t="s">
        <v>4644</v>
      </c>
      <c r="Q2359" s="26" t="str">
        <f>HYPERLINK("https://ictv.global/taxonomy/taxondetails?taxnode_id=202509947&amp;ictv_id=ICTV202009947","ICTV202009947")</f>
        <v>ICTV202009947</v>
      </c>
      <c r="R2359" t="s">
        <v>579</v>
      </c>
      <c r="S2359" t="s">
        <v>824</v>
      </c>
      <c r="T2359">
        <v>37</v>
      </c>
      <c r="U2359" s="26" t="str">
        <f>HYPERLINK("https://ictv.global/ictv/proposals/2021.010B.R.Binomial_names.zip","2021.010B.R.Binomial_names.zip")</f>
        <v>2021.010B.R.Binomial_names.zip</v>
      </c>
    </row>
    <row r="2360" spans="1:21">
      <c r="A2360">
        <v>2359</v>
      </c>
      <c r="B2360" s="27" t="s">
        <v>1449</v>
      </c>
      <c r="D2360" s="27" t="s">
        <v>1450</v>
      </c>
      <c r="F2360" s="27" t="s">
        <v>1453</v>
      </c>
      <c r="H2360" s="27" t="s">
        <v>1454</v>
      </c>
      <c r="L2360" s="27" t="s">
        <v>1609</v>
      </c>
      <c r="M2360" s="27" t="s">
        <v>1612</v>
      </c>
      <c r="N2360" s="27" t="s">
        <v>1613</v>
      </c>
      <c r="P2360" s="27" t="s">
        <v>4645</v>
      </c>
      <c r="Q2360" s="26" t="str">
        <f>HYPERLINK("https://ictv.global/taxonomy/taxondetails?taxnode_id=202508104&amp;ictv_id=ICTV201908104","ICTV201908104")</f>
        <v>ICTV201908104</v>
      </c>
      <c r="R2360" t="s">
        <v>579</v>
      </c>
      <c r="S2360" t="s">
        <v>824</v>
      </c>
      <c r="T2360">
        <v>37</v>
      </c>
      <c r="U2360" s="26" t="str">
        <f>HYPERLINK("https://ictv.global/ictv/proposals/2021.010B.R.Binomial_names.zip","2021.010B.R.Binomial_names.zip")</f>
        <v>2021.010B.R.Binomial_names.zip</v>
      </c>
    </row>
    <row r="2361" spans="1:21">
      <c r="A2361">
        <v>2360</v>
      </c>
      <c r="B2361" s="27" t="s">
        <v>1449</v>
      </c>
      <c r="D2361" s="27" t="s">
        <v>1450</v>
      </c>
      <c r="F2361" s="27" t="s">
        <v>1453</v>
      </c>
      <c r="H2361" s="27" t="s">
        <v>1454</v>
      </c>
      <c r="L2361" s="27" t="s">
        <v>1609</v>
      </c>
      <c r="M2361" s="27" t="s">
        <v>1612</v>
      </c>
      <c r="N2361" s="27" t="s">
        <v>1613</v>
      </c>
      <c r="P2361" s="27" t="s">
        <v>4646</v>
      </c>
      <c r="Q2361" s="26" t="str">
        <f>HYPERLINK("https://ictv.global/taxonomy/taxondetails?taxnode_id=202509945&amp;ictv_id=ICTV202009945","ICTV202009945")</f>
        <v>ICTV202009945</v>
      </c>
      <c r="R2361" t="s">
        <v>579</v>
      </c>
      <c r="S2361" t="s">
        <v>824</v>
      </c>
      <c r="T2361">
        <v>37</v>
      </c>
      <c r="U2361" s="26" t="str">
        <f>HYPERLINK("https://ictv.global/ictv/proposals/2021.010B.R.Binomial_names.zip","2021.010B.R.Binomial_names.zip")</f>
        <v>2021.010B.R.Binomial_names.zip</v>
      </c>
    </row>
    <row r="2362" spans="1:21">
      <c r="A2362">
        <v>2361</v>
      </c>
      <c r="B2362" s="27" t="s">
        <v>1449</v>
      </c>
      <c r="D2362" s="27" t="s">
        <v>1450</v>
      </c>
      <c r="F2362" s="27" t="s">
        <v>1453</v>
      </c>
      <c r="H2362" s="27" t="s">
        <v>1454</v>
      </c>
      <c r="L2362" s="27" t="s">
        <v>1609</v>
      </c>
      <c r="M2362" s="27" t="s">
        <v>1612</v>
      </c>
      <c r="N2362" s="27" t="s">
        <v>1613</v>
      </c>
      <c r="P2362" s="27" t="s">
        <v>4647</v>
      </c>
      <c r="Q2362" s="26" t="str">
        <f>HYPERLINK("https://ictv.global/taxonomy/taxondetails?taxnode_id=202508107&amp;ictv_id=ICTV201908107","ICTV201908107")</f>
        <v>ICTV201908107</v>
      </c>
      <c r="R2362" t="s">
        <v>579</v>
      </c>
      <c r="S2362" t="s">
        <v>824</v>
      </c>
      <c r="T2362">
        <v>37</v>
      </c>
      <c r="U2362" s="26" t="str">
        <f>HYPERLINK("https://ictv.global/ictv/proposals/2021.010B.R.Binomial_names.zip","2021.010B.R.Binomial_names.zip")</f>
        <v>2021.010B.R.Binomial_names.zip</v>
      </c>
    </row>
    <row r="2363" spans="1:21">
      <c r="A2363">
        <v>2362</v>
      </c>
      <c r="B2363" s="27" t="s">
        <v>1449</v>
      </c>
      <c r="D2363" s="27" t="s">
        <v>1450</v>
      </c>
      <c r="F2363" s="27" t="s">
        <v>1453</v>
      </c>
      <c r="H2363" s="27" t="s">
        <v>1454</v>
      </c>
      <c r="L2363" s="27" t="s">
        <v>1609</v>
      </c>
      <c r="M2363" s="27" t="s">
        <v>1612</v>
      </c>
      <c r="N2363" s="27" t="s">
        <v>1613</v>
      </c>
      <c r="P2363" s="27" t="s">
        <v>11370</v>
      </c>
      <c r="Q2363" s="26" t="str">
        <f>HYPERLINK("https://ictv.global/taxonomy/taxondetails?taxnode_id=202518675&amp;ictv_id=ICTV202318675","ICTV202318675")</f>
        <v>ICTV202318675</v>
      </c>
      <c r="R2363" t="s">
        <v>579</v>
      </c>
      <c r="S2363" t="s">
        <v>823</v>
      </c>
      <c r="T2363">
        <v>39</v>
      </c>
      <c r="U2363" s="26" t="str">
        <f>HYPERLINK("https://ictv.global/ictv/proposals/2023.023B.Epseptimavirus_41ns.zip","2023.023B.Epseptimavirus_41ns.zip")</f>
        <v>2023.023B.Epseptimavirus_41ns.zip</v>
      </c>
    </row>
    <row r="2364" spans="1:21">
      <c r="A2364">
        <v>2363</v>
      </c>
      <c r="B2364" s="27" t="s">
        <v>1449</v>
      </c>
      <c r="D2364" s="27" t="s">
        <v>1450</v>
      </c>
      <c r="F2364" s="27" t="s">
        <v>1453</v>
      </c>
      <c r="H2364" s="27" t="s">
        <v>1454</v>
      </c>
      <c r="L2364" s="27" t="s">
        <v>1609</v>
      </c>
      <c r="M2364" s="27" t="s">
        <v>1612</v>
      </c>
      <c r="N2364" s="27" t="s">
        <v>1613</v>
      </c>
      <c r="P2364" s="27" t="s">
        <v>11371</v>
      </c>
      <c r="Q2364" s="26" t="str">
        <f>HYPERLINK("https://ictv.global/taxonomy/taxondetails?taxnode_id=202518692&amp;ictv_id=ICTV202318692","ICTV202318692")</f>
        <v>ICTV202318692</v>
      </c>
      <c r="R2364" t="s">
        <v>579</v>
      </c>
      <c r="S2364" t="s">
        <v>823</v>
      </c>
      <c r="T2364">
        <v>39</v>
      </c>
      <c r="U2364" s="26" t="str">
        <f>HYPERLINK("https://ictv.global/ictv/proposals/2023.023B.Epseptimavirus_41ns.zip","2023.023B.Epseptimavirus_41ns.zip")</f>
        <v>2023.023B.Epseptimavirus_41ns.zip</v>
      </c>
    </row>
    <row r="2365" spans="1:21">
      <c r="A2365">
        <v>2364</v>
      </c>
      <c r="B2365" s="27" t="s">
        <v>1449</v>
      </c>
      <c r="D2365" s="27" t="s">
        <v>1450</v>
      </c>
      <c r="F2365" s="27" t="s">
        <v>1453</v>
      </c>
      <c r="H2365" s="27" t="s">
        <v>1454</v>
      </c>
      <c r="L2365" s="27" t="s">
        <v>1609</v>
      </c>
      <c r="M2365" s="27" t="s">
        <v>1612</v>
      </c>
      <c r="N2365" s="27" t="s">
        <v>1613</v>
      </c>
      <c r="P2365" s="27" t="s">
        <v>4648</v>
      </c>
      <c r="Q2365" s="26" t="str">
        <f>HYPERLINK("https://ictv.global/taxonomy/taxondetails?taxnode_id=202508110&amp;ictv_id=ICTV201908110","ICTV201908110")</f>
        <v>ICTV201908110</v>
      </c>
      <c r="R2365" t="s">
        <v>579</v>
      </c>
      <c r="S2365" t="s">
        <v>824</v>
      </c>
      <c r="T2365">
        <v>37</v>
      </c>
      <c r="U2365" s="26" t="str">
        <f>HYPERLINK("https://ictv.global/ictv/proposals/2021.010B.R.Binomial_names.zip","2021.010B.R.Binomial_names.zip")</f>
        <v>2021.010B.R.Binomial_names.zip</v>
      </c>
    </row>
    <row r="2366" spans="1:21">
      <c r="A2366">
        <v>2365</v>
      </c>
      <c r="B2366" s="27" t="s">
        <v>1449</v>
      </c>
      <c r="D2366" s="27" t="s">
        <v>1450</v>
      </c>
      <c r="F2366" s="27" t="s">
        <v>1453</v>
      </c>
      <c r="H2366" s="27" t="s">
        <v>1454</v>
      </c>
      <c r="L2366" s="27" t="s">
        <v>1609</v>
      </c>
      <c r="M2366" s="27" t="s">
        <v>1612</v>
      </c>
      <c r="N2366" s="27" t="s">
        <v>1613</v>
      </c>
      <c r="P2366" s="27" t="s">
        <v>4649</v>
      </c>
      <c r="Q2366" s="26" t="str">
        <f>HYPERLINK("https://ictv.global/taxonomy/taxondetails?taxnode_id=202501332&amp;ictv_id=ICTV20150711","ICTV20150711")</f>
        <v>ICTV20150711</v>
      </c>
      <c r="R2366" t="s">
        <v>579</v>
      </c>
      <c r="S2366" t="s">
        <v>824</v>
      </c>
      <c r="T2366">
        <v>37</v>
      </c>
      <c r="U2366" s="26" t="str">
        <f>HYPERLINK("https://ictv.global/ictv/proposals/2021.010B.R.Binomial_names.zip","2021.010B.R.Binomial_names.zip")</f>
        <v>2021.010B.R.Binomial_names.zip</v>
      </c>
    </row>
    <row r="2367" spans="1:21">
      <c r="A2367">
        <v>2366</v>
      </c>
      <c r="B2367" s="27" t="s">
        <v>1449</v>
      </c>
      <c r="D2367" s="27" t="s">
        <v>1450</v>
      </c>
      <c r="F2367" s="27" t="s">
        <v>1453</v>
      </c>
      <c r="H2367" s="27" t="s">
        <v>1454</v>
      </c>
      <c r="L2367" s="27" t="s">
        <v>1609</v>
      </c>
      <c r="M2367" s="27" t="s">
        <v>1612</v>
      </c>
      <c r="N2367" s="27" t="s">
        <v>1613</v>
      </c>
      <c r="P2367" s="27" t="s">
        <v>11372</v>
      </c>
      <c r="Q2367" s="26" t="str">
        <f>HYPERLINK("https://ictv.global/taxonomy/taxondetails?taxnode_id=202518674&amp;ictv_id=ICTV202318674","ICTV202318674")</f>
        <v>ICTV202318674</v>
      </c>
      <c r="R2367" t="s">
        <v>579</v>
      </c>
      <c r="S2367" t="s">
        <v>823</v>
      </c>
      <c r="T2367">
        <v>39</v>
      </c>
      <c r="U2367" s="26" t="str">
        <f>HYPERLINK("https://ictv.global/ictv/proposals/2023.023B.Epseptimavirus_41ns.zip","2023.023B.Epseptimavirus_41ns.zip")</f>
        <v>2023.023B.Epseptimavirus_41ns.zip</v>
      </c>
    </row>
    <row r="2368" spans="1:21">
      <c r="A2368">
        <v>2367</v>
      </c>
      <c r="B2368" s="27" t="s">
        <v>1449</v>
      </c>
      <c r="D2368" s="27" t="s">
        <v>1450</v>
      </c>
      <c r="F2368" s="27" t="s">
        <v>1453</v>
      </c>
      <c r="H2368" s="27" t="s">
        <v>1454</v>
      </c>
      <c r="L2368" s="27" t="s">
        <v>1609</v>
      </c>
      <c r="M2368" s="27" t="s">
        <v>1612</v>
      </c>
      <c r="N2368" s="27" t="s">
        <v>1613</v>
      </c>
      <c r="P2368" s="27" t="s">
        <v>11373</v>
      </c>
      <c r="Q2368" s="26" t="str">
        <f>HYPERLINK("https://ictv.global/taxonomy/taxondetails?taxnode_id=202518697&amp;ictv_id=ICTV202318697","ICTV202318697")</f>
        <v>ICTV202318697</v>
      </c>
      <c r="R2368" t="s">
        <v>579</v>
      </c>
      <c r="S2368" t="s">
        <v>823</v>
      </c>
      <c r="T2368">
        <v>39</v>
      </c>
      <c r="U2368" s="26" t="str">
        <f>HYPERLINK("https://ictv.global/ictv/proposals/2023.023B.Epseptimavirus_41ns.zip","2023.023B.Epseptimavirus_41ns.zip")</f>
        <v>2023.023B.Epseptimavirus_41ns.zip</v>
      </c>
    </row>
    <row r="2369" spans="1:21">
      <c r="A2369">
        <v>2368</v>
      </c>
      <c r="B2369" s="27" t="s">
        <v>1449</v>
      </c>
      <c r="D2369" s="27" t="s">
        <v>1450</v>
      </c>
      <c r="F2369" s="27" t="s">
        <v>1453</v>
      </c>
      <c r="H2369" s="27" t="s">
        <v>1454</v>
      </c>
      <c r="L2369" s="27" t="s">
        <v>1609</v>
      </c>
      <c r="M2369" s="27" t="s">
        <v>1612</v>
      </c>
      <c r="N2369" s="27" t="s">
        <v>1613</v>
      </c>
      <c r="P2369" s="27" t="s">
        <v>11374</v>
      </c>
      <c r="Q2369" s="26" t="str">
        <f>HYPERLINK("https://ictv.global/taxonomy/taxondetails?taxnode_id=202518691&amp;ictv_id=ICTV202318691","ICTV202318691")</f>
        <v>ICTV202318691</v>
      </c>
      <c r="R2369" t="s">
        <v>579</v>
      </c>
      <c r="S2369" t="s">
        <v>823</v>
      </c>
      <c r="T2369">
        <v>39</v>
      </c>
      <c r="U2369" s="26" t="str">
        <f>HYPERLINK("https://ictv.global/ictv/proposals/2023.023B.Epseptimavirus_41ns.zip","2023.023B.Epseptimavirus_41ns.zip")</f>
        <v>2023.023B.Epseptimavirus_41ns.zip</v>
      </c>
    </row>
    <row r="2370" spans="1:21">
      <c r="A2370">
        <v>2369</v>
      </c>
      <c r="B2370" s="27" t="s">
        <v>1449</v>
      </c>
      <c r="D2370" s="27" t="s">
        <v>1450</v>
      </c>
      <c r="F2370" s="27" t="s">
        <v>1453</v>
      </c>
      <c r="H2370" s="27" t="s">
        <v>1454</v>
      </c>
      <c r="L2370" s="27" t="s">
        <v>1609</v>
      </c>
      <c r="M2370" s="27" t="s">
        <v>1612</v>
      </c>
      <c r="N2370" s="27" t="s">
        <v>1613</v>
      </c>
      <c r="P2370" s="27" t="s">
        <v>4650</v>
      </c>
      <c r="Q2370" s="26" t="str">
        <f>HYPERLINK("https://ictv.global/taxonomy/taxondetails?taxnode_id=202508108&amp;ictv_id=ICTV201908108","ICTV201908108")</f>
        <v>ICTV201908108</v>
      </c>
      <c r="R2370" t="s">
        <v>579</v>
      </c>
      <c r="S2370" t="s">
        <v>824</v>
      </c>
      <c r="T2370">
        <v>37</v>
      </c>
      <c r="U2370" s="26" t="str">
        <f>HYPERLINK("https://ictv.global/ictv/proposals/2021.010B.R.Binomial_names.zip","2021.010B.R.Binomial_names.zip")</f>
        <v>2021.010B.R.Binomial_names.zip</v>
      </c>
    </row>
    <row r="2371" spans="1:21">
      <c r="A2371">
        <v>2370</v>
      </c>
      <c r="B2371" s="27" t="s">
        <v>1449</v>
      </c>
      <c r="D2371" s="27" t="s">
        <v>1450</v>
      </c>
      <c r="F2371" s="27" t="s">
        <v>1453</v>
      </c>
      <c r="H2371" s="27" t="s">
        <v>1454</v>
      </c>
      <c r="L2371" s="27" t="s">
        <v>1609</v>
      </c>
      <c r="M2371" s="27" t="s">
        <v>1612</v>
      </c>
      <c r="N2371" s="27" t="s">
        <v>1613</v>
      </c>
      <c r="P2371" s="27" t="s">
        <v>11375</v>
      </c>
      <c r="Q2371" s="26" t="str">
        <f>HYPERLINK("https://ictv.global/taxonomy/taxondetails?taxnode_id=202518685&amp;ictv_id=ICTV202318685","ICTV202318685")</f>
        <v>ICTV202318685</v>
      </c>
      <c r="R2371" t="s">
        <v>579</v>
      </c>
      <c r="S2371" t="s">
        <v>823</v>
      </c>
      <c r="T2371">
        <v>39</v>
      </c>
      <c r="U2371" s="26" t="str">
        <f t="shared" ref="U2371:U2376" si="82">HYPERLINK("https://ictv.global/ictv/proposals/2023.023B.Epseptimavirus_41ns.zip","2023.023B.Epseptimavirus_41ns.zip")</f>
        <v>2023.023B.Epseptimavirus_41ns.zip</v>
      </c>
    </row>
    <row r="2372" spans="1:21">
      <c r="A2372">
        <v>2371</v>
      </c>
      <c r="B2372" s="27" t="s">
        <v>1449</v>
      </c>
      <c r="D2372" s="27" t="s">
        <v>1450</v>
      </c>
      <c r="F2372" s="27" t="s">
        <v>1453</v>
      </c>
      <c r="H2372" s="27" t="s">
        <v>1454</v>
      </c>
      <c r="L2372" s="27" t="s">
        <v>1609</v>
      </c>
      <c r="M2372" s="27" t="s">
        <v>1612</v>
      </c>
      <c r="N2372" s="27" t="s">
        <v>1613</v>
      </c>
      <c r="P2372" s="27" t="s">
        <v>11376</v>
      </c>
      <c r="Q2372" s="26" t="str">
        <f>HYPERLINK("https://ictv.global/taxonomy/taxondetails?taxnode_id=202518669&amp;ictv_id=ICTV202318669","ICTV202318669")</f>
        <v>ICTV202318669</v>
      </c>
      <c r="R2372" t="s">
        <v>579</v>
      </c>
      <c r="S2372" t="s">
        <v>823</v>
      </c>
      <c r="T2372">
        <v>39</v>
      </c>
      <c r="U2372" s="26" t="str">
        <f t="shared" si="82"/>
        <v>2023.023B.Epseptimavirus_41ns.zip</v>
      </c>
    </row>
    <row r="2373" spans="1:21">
      <c r="A2373">
        <v>2372</v>
      </c>
      <c r="B2373" s="27" t="s">
        <v>1449</v>
      </c>
      <c r="D2373" s="27" t="s">
        <v>1450</v>
      </c>
      <c r="F2373" s="27" t="s">
        <v>1453</v>
      </c>
      <c r="H2373" s="27" t="s">
        <v>1454</v>
      </c>
      <c r="L2373" s="27" t="s">
        <v>1609</v>
      </c>
      <c r="M2373" s="27" t="s">
        <v>1612</v>
      </c>
      <c r="N2373" s="27" t="s">
        <v>1613</v>
      </c>
      <c r="P2373" s="27" t="s">
        <v>11377</v>
      </c>
      <c r="Q2373" s="26" t="str">
        <f>HYPERLINK("https://ictv.global/taxonomy/taxondetails?taxnode_id=202518684&amp;ictv_id=ICTV202318684","ICTV202318684")</f>
        <v>ICTV202318684</v>
      </c>
      <c r="R2373" t="s">
        <v>579</v>
      </c>
      <c r="S2373" t="s">
        <v>823</v>
      </c>
      <c r="T2373">
        <v>39</v>
      </c>
      <c r="U2373" s="26" t="str">
        <f t="shared" si="82"/>
        <v>2023.023B.Epseptimavirus_41ns.zip</v>
      </c>
    </row>
    <row r="2374" spans="1:21">
      <c r="A2374">
        <v>2373</v>
      </c>
      <c r="B2374" s="27" t="s">
        <v>1449</v>
      </c>
      <c r="D2374" s="27" t="s">
        <v>1450</v>
      </c>
      <c r="F2374" s="27" t="s">
        <v>1453</v>
      </c>
      <c r="H2374" s="27" t="s">
        <v>1454</v>
      </c>
      <c r="L2374" s="27" t="s">
        <v>1609</v>
      </c>
      <c r="M2374" s="27" t="s">
        <v>1612</v>
      </c>
      <c r="N2374" s="27" t="s">
        <v>1613</v>
      </c>
      <c r="P2374" s="27" t="s">
        <v>11378</v>
      </c>
      <c r="Q2374" s="26" t="str">
        <f>HYPERLINK("https://ictv.global/taxonomy/taxondetails?taxnode_id=202518670&amp;ictv_id=ICTV202318670","ICTV202318670")</f>
        <v>ICTV202318670</v>
      </c>
      <c r="R2374" t="s">
        <v>579</v>
      </c>
      <c r="S2374" t="s">
        <v>823</v>
      </c>
      <c r="T2374">
        <v>39</v>
      </c>
      <c r="U2374" s="26" t="str">
        <f t="shared" si="82"/>
        <v>2023.023B.Epseptimavirus_41ns.zip</v>
      </c>
    </row>
    <row r="2375" spans="1:21">
      <c r="A2375">
        <v>2374</v>
      </c>
      <c r="B2375" s="27" t="s">
        <v>1449</v>
      </c>
      <c r="D2375" s="27" t="s">
        <v>1450</v>
      </c>
      <c r="F2375" s="27" t="s">
        <v>1453</v>
      </c>
      <c r="H2375" s="27" t="s">
        <v>1454</v>
      </c>
      <c r="L2375" s="27" t="s">
        <v>1609</v>
      </c>
      <c r="M2375" s="27" t="s">
        <v>1612</v>
      </c>
      <c r="N2375" s="27" t="s">
        <v>1613</v>
      </c>
      <c r="P2375" s="27" t="s">
        <v>11379</v>
      </c>
      <c r="Q2375" s="26" t="str">
        <f>HYPERLINK("https://ictv.global/taxonomy/taxondetails?taxnode_id=202518703&amp;ictv_id=ICTV202318703","ICTV202318703")</f>
        <v>ICTV202318703</v>
      </c>
      <c r="R2375" t="s">
        <v>579</v>
      </c>
      <c r="S2375" t="s">
        <v>823</v>
      </c>
      <c r="T2375">
        <v>39</v>
      </c>
      <c r="U2375" s="26" t="str">
        <f t="shared" si="82"/>
        <v>2023.023B.Epseptimavirus_41ns.zip</v>
      </c>
    </row>
    <row r="2376" spans="1:21">
      <c r="A2376">
        <v>2375</v>
      </c>
      <c r="B2376" s="27" t="s">
        <v>1449</v>
      </c>
      <c r="D2376" s="27" t="s">
        <v>1450</v>
      </c>
      <c r="F2376" s="27" t="s">
        <v>1453</v>
      </c>
      <c r="H2376" s="27" t="s">
        <v>1454</v>
      </c>
      <c r="L2376" s="27" t="s">
        <v>1609</v>
      </c>
      <c r="M2376" s="27" t="s">
        <v>1612</v>
      </c>
      <c r="N2376" s="27" t="s">
        <v>1613</v>
      </c>
      <c r="P2376" s="27" t="s">
        <v>11380</v>
      </c>
      <c r="Q2376" s="26" t="str">
        <f>HYPERLINK("https://ictv.global/taxonomy/taxondetails?taxnode_id=202518680&amp;ictv_id=ICTV202318680","ICTV202318680")</f>
        <v>ICTV202318680</v>
      </c>
      <c r="R2376" t="s">
        <v>579</v>
      </c>
      <c r="S2376" t="s">
        <v>823</v>
      </c>
      <c r="T2376">
        <v>39</v>
      </c>
      <c r="U2376" s="26" t="str">
        <f t="shared" si="82"/>
        <v>2023.023B.Epseptimavirus_41ns.zip</v>
      </c>
    </row>
    <row r="2377" spans="1:21">
      <c r="A2377">
        <v>2376</v>
      </c>
      <c r="B2377" s="27" t="s">
        <v>1449</v>
      </c>
      <c r="D2377" s="27" t="s">
        <v>1450</v>
      </c>
      <c r="F2377" s="27" t="s">
        <v>1453</v>
      </c>
      <c r="H2377" s="27" t="s">
        <v>1454</v>
      </c>
      <c r="L2377" s="27" t="s">
        <v>1609</v>
      </c>
      <c r="M2377" s="27" t="s">
        <v>1612</v>
      </c>
      <c r="N2377" s="27" t="s">
        <v>19514</v>
      </c>
      <c r="P2377" s="27" t="s">
        <v>19515</v>
      </c>
      <c r="Q2377" s="26" t="str">
        <f>HYPERLINK("https://ictv.global/taxonomy/taxondetails?taxnode_id=202520793&amp;ictv_id=ICTV202420793","ICTV202420793")</f>
        <v>ICTV202420793</v>
      </c>
      <c r="R2377" t="s">
        <v>579</v>
      </c>
      <c r="S2377" t="s">
        <v>823</v>
      </c>
      <c r="T2377">
        <v>40</v>
      </c>
      <c r="U2377" s="26" t="str">
        <f>HYPERLINK("https://ictv.global/ictv/proposals/2024.022B.Markadamsvirinae_1ng_1ns.zip","2024.022B.Markadamsvirinae_1ng_1ns.zip")</f>
        <v>2024.022B.Markadamsvirinae_1ng_1ns.zip</v>
      </c>
    </row>
    <row r="2378" spans="1:21">
      <c r="A2378">
        <v>2377</v>
      </c>
      <c r="B2378" s="27" t="s">
        <v>1449</v>
      </c>
      <c r="D2378" s="27" t="s">
        <v>1450</v>
      </c>
      <c r="F2378" s="27" t="s">
        <v>1453</v>
      </c>
      <c r="H2378" s="27" t="s">
        <v>1454</v>
      </c>
      <c r="L2378" s="27" t="s">
        <v>1609</v>
      </c>
      <c r="M2378" s="27" t="s">
        <v>1612</v>
      </c>
      <c r="N2378" s="27" t="s">
        <v>1423</v>
      </c>
      <c r="P2378" s="27" t="s">
        <v>11381</v>
      </c>
      <c r="Q2378" s="26" t="str">
        <f>HYPERLINK("https://ictv.global/taxonomy/taxondetails?taxnode_id=202519360&amp;ictv_id=ICTV202319360","ICTV202319360")</f>
        <v>ICTV202319360</v>
      </c>
      <c r="R2378" t="s">
        <v>579</v>
      </c>
      <c r="S2378" t="s">
        <v>823</v>
      </c>
      <c r="T2378">
        <v>39</v>
      </c>
      <c r="U2378" s="26" t="str">
        <f>HYPERLINK("https://ictv.global/ictv/proposals/2023.067B.Tequintavirus_35ns.zip","2023.067B.Tequintavirus_35ns.zip")</f>
        <v>2023.067B.Tequintavirus_35ns.zip</v>
      </c>
    </row>
    <row r="2379" spans="1:21">
      <c r="A2379">
        <v>2378</v>
      </c>
      <c r="B2379" s="27" t="s">
        <v>1449</v>
      </c>
      <c r="D2379" s="27" t="s">
        <v>1450</v>
      </c>
      <c r="F2379" s="27" t="s">
        <v>1453</v>
      </c>
      <c r="H2379" s="27" t="s">
        <v>1454</v>
      </c>
      <c r="L2379" s="27" t="s">
        <v>1609</v>
      </c>
      <c r="M2379" s="27" t="s">
        <v>1612</v>
      </c>
      <c r="N2379" s="27" t="s">
        <v>1423</v>
      </c>
      <c r="P2379" s="27" t="s">
        <v>11382</v>
      </c>
      <c r="Q2379" s="26" t="str">
        <f>HYPERLINK("https://ictv.global/taxonomy/taxondetails?taxnode_id=202519356&amp;ictv_id=ICTV202319356","ICTV202319356")</f>
        <v>ICTV202319356</v>
      </c>
      <c r="R2379" t="s">
        <v>579</v>
      </c>
      <c r="S2379" t="s">
        <v>823</v>
      </c>
      <c r="T2379">
        <v>39</v>
      </c>
      <c r="U2379" s="26" t="str">
        <f>HYPERLINK("https://ictv.global/ictv/proposals/2023.067B.Tequintavirus_35ns.zip","2023.067B.Tequintavirus_35ns.zip")</f>
        <v>2023.067B.Tequintavirus_35ns.zip</v>
      </c>
    </row>
    <row r="2380" spans="1:21">
      <c r="A2380">
        <v>2379</v>
      </c>
      <c r="B2380" s="27" t="s">
        <v>1449</v>
      </c>
      <c r="D2380" s="27" t="s">
        <v>1450</v>
      </c>
      <c r="F2380" s="27" t="s">
        <v>1453</v>
      </c>
      <c r="H2380" s="27" t="s">
        <v>1454</v>
      </c>
      <c r="L2380" s="27" t="s">
        <v>1609</v>
      </c>
      <c r="M2380" s="27" t="s">
        <v>1612</v>
      </c>
      <c r="N2380" s="27" t="s">
        <v>1423</v>
      </c>
      <c r="P2380" s="27" t="s">
        <v>4651</v>
      </c>
      <c r="Q2380" s="26" t="str">
        <f>HYPERLINK("https://ictv.global/taxonomy/taxondetails?taxnode_id=202501321&amp;ictv_id=ICTV20125854","ICTV20125854")</f>
        <v>ICTV20125854</v>
      </c>
      <c r="R2380" t="s">
        <v>579</v>
      </c>
      <c r="S2380" t="s">
        <v>824</v>
      </c>
      <c r="T2380">
        <v>37</v>
      </c>
      <c r="U2380" s="26" t="str">
        <f>HYPERLINK("https://ictv.global/ictv/proposals/2021.010B.R.Binomial_names.zip","2021.010B.R.Binomial_names.zip")</f>
        <v>2021.010B.R.Binomial_names.zip</v>
      </c>
    </row>
    <row r="2381" spans="1:21">
      <c r="A2381">
        <v>2380</v>
      </c>
      <c r="B2381" s="27" t="s">
        <v>1449</v>
      </c>
      <c r="D2381" s="27" t="s">
        <v>1450</v>
      </c>
      <c r="F2381" s="27" t="s">
        <v>1453</v>
      </c>
      <c r="H2381" s="27" t="s">
        <v>1454</v>
      </c>
      <c r="L2381" s="27" t="s">
        <v>1609</v>
      </c>
      <c r="M2381" s="27" t="s">
        <v>1612</v>
      </c>
      <c r="N2381" s="27" t="s">
        <v>1423</v>
      </c>
      <c r="P2381" s="27" t="s">
        <v>4652</v>
      </c>
      <c r="Q2381" s="26" t="str">
        <f>HYPERLINK("https://ictv.global/taxonomy/taxondetails?taxnode_id=202508092&amp;ictv_id=ICTV201908092","ICTV201908092")</f>
        <v>ICTV201908092</v>
      </c>
      <c r="R2381" t="s">
        <v>579</v>
      </c>
      <c r="S2381" t="s">
        <v>824</v>
      </c>
      <c r="T2381">
        <v>37</v>
      </c>
      <c r="U2381" s="26" t="str">
        <f>HYPERLINK("https://ictv.global/ictv/proposals/2021.010B.R.Binomial_names.zip","2021.010B.R.Binomial_names.zip")</f>
        <v>2021.010B.R.Binomial_names.zip</v>
      </c>
    </row>
    <row r="2382" spans="1:21">
      <c r="A2382">
        <v>2381</v>
      </c>
      <c r="B2382" s="27" t="s">
        <v>1449</v>
      </c>
      <c r="D2382" s="27" t="s">
        <v>1450</v>
      </c>
      <c r="F2382" s="27" t="s">
        <v>1453</v>
      </c>
      <c r="H2382" s="27" t="s">
        <v>1454</v>
      </c>
      <c r="L2382" s="27" t="s">
        <v>1609</v>
      </c>
      <c r="M2382" s="27" t="s">
        <v>1612</v>
      </c>
      <c r="N2382" s="27" t="s">
        <v>1423</v>
      </c>
      <c r="P2382" s="27" t="s">
        <v>11383</v>
      </c>
      <c r="Q2382" s="26" t="str">
        <f>HYPERLINK("https://ictv.global/taxonomy/taxondetails?taxnode_id=202519380&amp;ictv_id=ICTV202319380","ICTV202319380")</f>
        <v>ICTV202319380</v>
      </c>
      <c r="R2382" t="s">
        <v>579</v>
      </c>
      <c r="S2382" t="s">
        <v>823</v>
      </c>
      <c r="T2382">
        <v>39</v>
      </c>
      <c r="U2382" s="26" t="str">
        <f>HYPERLINK("https://ictv.global/ictv/proposals/2023.067B.Tequintavirus_35ns.zip","2023.067B.Tequintavirus_35ns.zip")</f>
        <v>2023.067B.Tequintavirus_35ns.zip</v>
      </c>
    </row>
    <row r="2383" spans="1:21">
      <c r="A2383">
        <v>2382</v>
      </c>
      <c r="B2383" s="27" t="s">
        <v>1449</v>
      </c>
      <c r="D2383" s="27" t="s">
        <v>1450</v>
      </c>
      <c r="F2383" s="27" t="s">
        <v>1453</v>
      </c>
      <c r="H2383" s="27" t="s">
        <v>1454</v>
      </c>
      <c r="L2383" s="27" t="s">
        <v>1609</v>
      </c>
      <c r="M2383" s="27" t="s">
        <v>1612</v>
      </c>
      <c r="N2383" s="27" t="s">
        <v>1423</v>
      </c>
      <c r="P2383" s="27" t="s">
        <v>4653</v>
      </c>
      <c r="Q2383" s="26" t="str">
        <f>HYPERLINK("https://ictv.global/taxonomy/taxondetails?taxnode_id=202501322&amp;ictv_id=ICTV20125857","ICTV20125857")</f>
        <v>ICTV20125857</v>
      </c>
      <c r="R2383" t="s">
        <v>579</v>
      </c>
      <c r="S2383" t="s">
        <v>824</v>
      </c>
      <c r="T2383">
        <v>37</v>
      </c>
      <c r="U2383" s="26" t="str">
        <f>HYPERLINK("https://ictv.global/ictv/proposals/2021.010B.R.Binomial_names.zip","2021.010B.R.Binomial_names.zip")</f>
        <v>2021.010B.R.Binomial_names.zip</v>
      </c>
    </row>
    <row r="2384" spans="1:21">
      <c r="A2384">
        <v>2383</v>
      </c>
      <c r="B2384" s="27" t="s">
        <v>1449</v>
      </c>
      <c r="D2384" s="27" t="s">
        <v>1450</v>
      </c>
      <c r="F2384" s="27" t="s">
        <v>1453</v>
      </c>
      <c r="H2384" s="27" t="s">
        <v>1454</v>
      </c>
      <c r="L2384" s="27" t="s">
        <v>1609</v>
      </c>
      <c r="M2384" s="27" t="s">
        <v>1612</v>
      </c>
      <c r="N2384" s="27" t="s">
        <v>1423</v>
      </c>
      <c r="P2384" s="27" t="s">
        <v>4654</v>
      </c>
      <c r="Q2384" s="26" t="str">
        <f>HYPERLINK("https://ictv.global/taxonomy/taxondetails?taxnode_id=202508093&amp;ictv_id=ICTV201908093","ICTV201908093")</f>
        <v>ICTV201908093</v>
      </c>
      <c r="R2384" t="s">
        <v>579</v>
      </c>
      <c r="S2384" t="s">
        <v>824</v>
      </c>
      <c r="T2384">
        <v>37</v>
      </c>
      <c r="U2384" s="26" t="str">
        <f>HYPERLINK("https://ictv.global/ictv/proposals/2021.010B.R.Binomial_names.zip","2021.010B.R.Binomial_names.zip")</f>
        <v>2021.010B.R.Binomial_names.zip</v>
      </c>
    </row>
    <row r="2385" spans="1:21">
      <c r="A2385">
        <v>2384</v>
      </c>
      <c r="B2385" s="27" t="s">
        <v>1449</v>
      </c>
      <c r="D2385" s="27" t="s">
        <v>1450</v>
      </c>
      <c r="F2385" s="27" t="s">
        <v>1453</v>
      </c>
      <c r="H2385" s="27" t="s">
        <v>1454</v>
      </c>
      <c r="L2385" s="27" t="s">
        <v>1609</v>
      </c>
      <c r="M2385" s="27" t="s">
        <v>1612</v>
      </c>
      <c r="N2385" s="27" t="s">
        <v>1423</v>
      </c>
      <c r="P2385" s="27" t="s">
        <v>11384</v>
      </c>
      <c r="Q2385" s="26" t="str">
        <f>HYPERLINK("https://ictv.global/taxonomy/taxondetails?taxnode_id=202519352&amp;ictv_id=ICTV202319352","ICTV202319352")</f>
        <v>ICTV202319352</v>
      </c>
      <c r="R2385" t="s">
        <v>579</v>
      </c>
      <c r="S2385" t="s">
        <v>823</v>
      </c>
      <c r="T2385">
        <v>39</v>
      </c>
      <c r="U2385" s="26" t="str">
        <f>HYPERLINK("https://ictv.global/ictv/proposals/2023.067B.Tequintavirus_35ns.zip","2023.067B.Tequintavirus_35ns.zip")</f>
        <v>2023.067B.Tequintavirus_35ns.zip</v>
      </c>
    </row>
    <row r="2386" spans="1:21">
      <c r="A2386">
        <v>2385</v>
      </c>
      <c r="B2386" s="27" t="s">
        <v>1449</v>
      </c>
      <c r="D2386" s="27" t="s">
        <v>1450</v>
      </c>
      <c r="F2386" s="27" t="s">
        <v>1453</v>
      </c>
      <c r="H2386" s="27" t="s">
        <v>1454</v>
      </c>
      <c r="L2386" s="27" t="s">
        <v>1609</v>
      </c>
      <c r="M2386" s="27" t="s">
        <v>1612</v>
      </c>
      <c r="N2386" s="27" t="s">
        <v>1423</v>
      </c>
      <c r="P2386" s="27" t="s">
        <v>4655</v>
      </c>
      <c r="Q2386" s="26" t="str">
        <f>HYPERLINK("https://ictv.global/taxonomy/taxondetails?taxnode_id=202508083&amp;ictv_id=ICTV201908083","ICTV201908083")</f>
        <v>ICTV201908083</v>
      </c>
      <c r="R2386" t="s">
        <v>579</v>
      </c>
      <c r="S2386" t="s">
        <v>824</v>
      </c>
      <c r="T2386">
        <v>37</v>
      </c>
      <c r="U2386" s="26" t="str">
        <f>HYPERLINK("https://ictv.global/ictv/proposals/2021.010B.R.Binomial_names.zip","2021.010B.R.Binomial_names.zip")</f>
        <v>2021.010B.R.Binomial_names.zip</v>
      </c>
    </row>
    <row r="2387" spans="1:21">
      <c r="A2387">
        <v>2386</v>
      </c>
      <c r="B2387" s="27" t="s">
        <v>1449</v>
      </c>
      <c r="D2387" s="27" t="s">
        <v>1450</v>
      </c>
      <c r="F2387" s="27" t="s">
        <v>1453</v>
      </c>
      <c r="H2387" s="27" t="s">
        <v>1454</v>
      </c>
      <c r="L2387" s="27" t="s">
        <v>1609</v>
      </c>
      <c r="M2387" s="27" t="s">
        <v>1612</v>
      </c>
      <c r="N2387" s="27" t="s">
        <v>1423</v>
      </c>
      <c r="P2387" s="27" t="s">
        <v>4656</v>
      </c>
      <c r="Q2387" s="26" t="str">
        <f>HYPERLINK("https://ictv.global/taxonomy/taxondetails?taxnode_id=202501323&amp;ictv_id=ICTV20150712","ICTV20150712")</f>
        <v>ICTV20150712</v>
      </c>
      <c r="R2387" t="s">
        <v>579</v>
      </c>
      <c r="S2387" t="s">
        <v>824</v>
      </c>
      <c r="T2387">
        <v>37</v>
      </c>
      <c r="U2387" s="26" t="str">
        <f>HYPERLINK("https://ictv.global/ictv/proposals/2021.010B.R.Binomial_names.zip","2021.010B.R.Binomial_names.zip")</f>
        <v>2021.010B.R.Binomial_names.zip</v>
      </c>
    </row>
    <row r="2388" spans="1:21">
      <c r="A2388">
        <v>2387</v>
      </c>
      <c r="B2388" s="27" t="s">
        <v>1449</v>
      </c>
      <c r="D2388" s="27" t="s">
        <v>1450</v>
      </c>
      <c r="F2388" s="27" t="s">
        <v>1453</v>
      </c>
      <c r="H2388" s="27" t="s">
        <v>1454</v>
      </c>
      <c r="L2388" s="27" t="s">
        <v>1609</v>
      </c>
      <c r="M2388" s="27" t="s">
        <v>1612</v>
      </c>
      <c r="N2388" s="27" t="s">
        <v>1423</v>
      </c>
      <c r="P2388" s="27" t="s">
        <v>11385</v>
      </c>
      <c r="Q2388" s="26" t="str">
        <f>HYPERLINK("https://ictv.global/taxonomy/taxondetails?taxnode_id=202519358&amp;ictv_id=ICTV202319358","ICTV202319358")</f>
        <v>ICTV202319358</v>
      </c>
      <c r="R2388" t="s">
        <v>579</v>
      </c>
      <c r="S2388" t="s">
        <v>823</v>
      </c>
      <c r="T2388">
        <v>39</v>
      </c>
      <c r="U2388" s="26" t="str">
        <f t="shared" ref="U2388:U2394" si="83">HYPERLINK("https://ictv.global/ictv/proposals/2023.067B.Tequintavirus_35ns.zip","2023.067B.Tequintavirus_35ns.zip")</f>
        <v>2023.067B.Tequintavirus_35ns.zip</v>
      </c>
    </row>
    <row r="2389" spans="1:21">
      <c r="A2389">
        <v>2388</v>
      </c>
      <c r="B2389" s="27" t="s">
        <v>1449</v>
      </c>
      <c r="D2389" s="27" t="s">
        <v>1450</v>
      </c>
      <c r="F2389" s="27" t="s">
        <v>1453</v>
      </c>
      <c r="H2389" s="27" t="s">
        <v>1454</v>
      </c>
      <c r="L2389" s="27" t="s">
        <v>1609</v>
      </c>
      <c r="M2389" s="27" t="s">
        <v>1612</v>
      </c>
      <c r="N2389" s="27" t="s">
        <v>1423</v>
      </c>
      <c r="P2389" s="27" t="s">
        <v>11386</v>
      </c>
      <c r="Q2389" s="26" t="str">
        <f>HYPERLINK("https://ictv.global/taxonomy/taxondetails?taxnode_id=202519362&amp;ictv_id=ICTV202319362","ICTV202319362")</f>
        <v>ICTV202319362</v>
      </c>
      <c r="R2389" t="s">
        <v>579</v>
      </c>
      <c r="S2389" t="s">
        <v>823</v>
      </c>
      <c r="T2389">
        <v>39</v>
      </c>
      <c r="U2389" s="26" t="str">
        <f t="shared" si="83"/>
        <v>2023.067B.Tequintavirus_35ns.zip</v>
      </c>
    </row>
    <row r="2390" spans="1:21">
      <c r="A2390">
        <v>2389</v>
      </c>
      <c r="B2390" s="27" t="s">
        <v>1449</v>
      </c>
      <c r="D2390" s="27" t="s">
        <v>1450</v>
      </c>
      <c r="F2390" s="27" t="s">
        <v>1453</v>
      </c>
      <c r="H2390" s="27" t="s">
        <v>1454</v>
      </c>
      <c r="L2390" s="27" t="s">
        <v>1609</v>
      </c>
      <c r="M2390" s="27" t="s">
        <v>1612</v>
      </c>
      <c r="N2390" s="27" t="s">
        <v>1423</v>
      </c>
      <c r="P2390" s="27" t="s">
        <v>11387</v>
      </c>
      <c r="Q2390" s="26" t="str">
        <f>HYPERLINK("https://ictv.global/taxonomy/taxondetails?taxnode_id=202519363&amp;ictv_id=ICTV202319363","ICTV202319363")</f>
        <v>ICTV202319363</v>
      </c>
      <c r="R2390" t="s">
        <v>579</v>
      </c>
      <c r="S2390" t="s">
        <v>823</v>
      </c>
      <c r="T2390">
        <v>39</v>
      </c>
      <c r="U2390" s="26" t="str">
        <f t="shared" si="83"/>
        <v>2023.067B.Tequintavirus_35ns.zip</v>
      </c>
    </row>
    <row r="2391" spans="1:21">
      <c r="A2391">
        <v>2390</v>
      </c>
      <c r="B2391" s="27" t="s">
        <v>1449</v>
      </c>
      <c r="D2391" s="27" t="s">
        <v>1450</v>
      </c>
      <c r="F2391" s="27" t="s">
        <v>1453</v>
      </c>
      <c r="H2391" s="27" t="s">
        <v>1454</v>
      </c>
      <c r="L2391" s="27" t="s">
        <v>1609</v>
      </c>
      <c r="M2391" s="27" t="s">
        <v>1612</v>
      </c>
      <c r="N2391" s="27" t="s">
        <v>1423</v>
      </c>
      <c r="P2391" s="27" t="s">
        <v>11388</v>
      </c>
      <c r="Q2391" s="26" t="str">
        <f>HYPERLINK("https://ictv.global/taxonomy/taxondetails?taxnode_id=202519354&amp;ictv_id=ICTV202319354","ICTV202319354")</f>
        <v>ICTV202319354</v>
      </c>
      <c r="R2391" t="s">
        <v>579</v>
      </c>
      <c r="S2391" t="s">
        <v>823</v>
      </c>
      <c r="T2391">
        <v>39</v>
      </c>
      <c r="U2391" s="26" t="str">
        <f t="shared" si="83"/>
        <v>2023.067B.Tequintavirus_35ns.zip</v>
      </c>
    </row>
    <row r="2392" spans="1:21">
      <c r="A2392">
        <v>2391</v>
      </c>
      <c r="B2392" s="27" t="s">
        <v>1449</v>
      </c>
      <c r="D2392" s="27" t="s">
        <v>1450</v>
      </c>
      <c r="F2392" s="27" t="s">
        <v>1453</v>
      </c>
      <c r="H2392" s="27" t="s">
        <v>1454</v>
      </c>
      <c r="L2392" s="27" t="s">
        <v>1609</v>
      </c>
      <c r="M2392" s="27" t="s">
        <v>1612</v>
      </c>
      <c r="N2392" s="27" t="s">
        <v>1423</v>
      </c>
      <c r="P2392" s="27" t="s">
        <v>11389</v>
      </c>
      <c r="Q2392" s="26" t="str">
        <f>HYPERLINK("https://ictv.global/taxonomy/taxondetails?taxnode_id=202519372&amp;ictv_id=ICTV202319372","ICTV202319372")</f>
        <v>ICTV202319372</v>
      </c>
      <c r="R2392" t="s">
        <v>579</v>
      </c>
      <c r="S2392" t="s">
        <v>823</v>
      </c>
      <c r="T2392">
        <v>39</v>
      </c>
      <c r="U2392" s="26" t="str">
        <f t="shared" si="83"/>
        <v>2023.067B.Tequintavirus_35ns.zip</v>
      </c>
    </row>
    <row r="2393" spans="1:21">
      <c r="A2393">
        <v>2392</v>
      </c>
      <c r="B2393" s="27" t="s">
        <v>1449</v>
      </c>
      <c r="D2393" s="27" t="s">
        <v>1450</v>
      </c>
      <c r="F2393" s="27" t="s">
        <v>1453</v>
      </c>
      <c r="H2393" s="27" t="s">
        <v>1454</v>
      </c>
      <c r="L2393" s="27" t="s">
        <v>1609</v>
      </c>
      <c r="M2393" s="27" t="s">
        <v>1612</v>
      </c>
      <c r="N2393" s="27" t="s">
        <v>1423</v>
      </c>
      <c r="P2393" s="27" t="s">
        <v>11390</v>
      </c>
      <c r="Q2393" s="26" t="str">
        <f>HYPERLINK("https://ictv.global/taxonomy/taxondetails?taxnode_id=202519369&amp;ictv_id=ICTV202319369","ICTV202319369")</f>
        <v>ICTV202319369</v>
      </c>
      <c r="R2393" t="s">
        <v>579</v>
      </c>
      <c r="S2393" t="s">
        <v>823</v>
      </c>
      <c r="T2393">
        <v>39</v>
      </c>
      <c r="U2393" s="26" t="str">
        <f t="shared" si="83"/>
        <v>2023.067B.Tequintavirus_35ns.zip</v>
      </c>
    </row>
    <row r="2394" spans="1:21">
      <c r="A2394">
        <v>2393</v>
      </c>
      <c r="B2394" s="27" t="s">
        <v>1449</v>
      </c>
      <c r="D2394" s="27" t="s">
        <v>1450</v>
      </c>
      <c r="F2394" s="27" t="s">
        <v>1453</v>
      </c>
      <c r="H2394" s="27" t="s">
        <v>1454</v>
      </c>
      <c r="L2394" s="27" t="s">
        <v>1609</v>
      </c>
      <c r="M2394" s="27" t="s">
        <v>1612</v>
      </c>
      <c r="N2394" s="27" t="s">
        <v>1423</v>
      </c>
      <c r="P2394" s="27" t="s">
        <v>11391</v>
      </c>
      <c r="Q2394" s="26" t="str">
        <f>HYPERLINK("https://ictv.global/taxonomy/taxondetails?taxnode_id=202519351&amp;ictv_id=ICTV202319351","ICTV202319351")</f>
        <v>ICTV202319351</v>
      </c>
      <c r="R2394" t="s">
        <v>579</v>
      </c>
      <c r="S2394" t="s">
        <v>823</v>
      </c>
      <c r="T2394">
        <v>39</v>
      </c>
      <c r="U2394" s="26" t="str">
        <f t="shared" si="83"/>
        <v>2023.067B.Tequintavirus_35ns.zip</v>
      </c>
    </row>
    <row r="2395" spans="1:21">
      <c r="A2395">
        <v>2394</v>
      </c>
      <c r="B2395" s="27" t="s">
        <v>1449</v>
      </c>
      <c r="D2395" s="27" t="s">
        <v>1450</v>
      </c>
      <c r="F2395" s="27" t="s">
        <v>1453</v>
      </c>
      <c r="H2395" s="27" t="s">
        <v>1454</v>
      </c>
      <c r="L2395" s="27" t="s">
        <v>1609</v>
      </c>
      <c r="M2395" s="27" t="s">
        <v>1612</v>
      </c>
      <c r="N2395" s="27" t="s">
        <v>1423</v>
      </c>
      <c r="P2395" s="27" t="s">
        <v>4657</v>
      </c>
      <c r="Q2395" s="26" t="str">
        <f>HYPERLINK("https://ictv.global/taxonomy/taxondetails?taxnode_id=202501325&amp;ictv_id=ICTV20150709","ICTV20150709")</f>
        <v>ICTV20150709</v>
      </c>
      <c r="R2395" t="s">
        <v>579</v>
      </c>
      <c r="S2395" t="s">
        <v>824</v>
      </c>
      <c r="T2395">
        <v>37</v>
      </c>
      <c r="U2395" s="26" t="str">
        <f>HYPERLINK("https://ictv.global/ictv/proposals/2021.010B.R.Binomial_names.zip","2021.010B.R.Binomial_names.zip")</f>
        <v>2021.010B.R.Binomial_names.zip</v>
      </c>
    </row>
    <row r="2396" spans="1:21">
      <c r="A2396">
        <v>2395</v>
      </c>
      <c r="B2396" s="27" t="s">
        <v>1449</v>
      </c>
      <c r="D2396" s="27" t="s">
        <v>1450</v>
      </c>
      <c r="F2396" s="27" t="s">
        <v>1453</v>
      </c>
      <c r="H2396" s="27" t="s">
        <v>1454</v>
      </c>
      <c r="L2396" s="27" t="s">
        <v>1609</v>
      </c>
      <c r="M2396" s="27" t="s">
        <v>1612</v>
      </c>
      <c r="N2396" s="27" t="s">
        <v>1423</v>
      </c>
      <c r="P2396" s="27" t="s">
        <v>4658</v>
      </c>
      <c r="Q2396" s="26" t="str">
        <f>HYPERLINK("https://ictv.global/taxonomy/taxondetails?taxnode_id=202509961&amp;ictv_id=ICTV202009961","ICTV202009961")</f>
        <v>ICTV202009961</v>
      </c>
      <c r="R2396" t="s">
        <v>579</v>
      </c>
      <c r="S2396" t="s">
        <v>824</v>
      </c>
      <c r="T2396">
        <v>37</v>
      </c>
      <c r="U2396" s="26" t="str">
        <f>HYPERLINK("https://ictv.global/ictv/proposals/2021.010B.R.Binomial_names.zip","2021.010B.R.Binomial_names.zip")</f>
        <v>2021.010B.R.Binomial_names.zip</v>
      </c>
    </row>
    <row r="2397" spans="1:21">
      <c r="A2397">
        <v>2396</v>
      </c>
      <c r="B2397" s="27" t="s">
        <v>1449</v>
      </c>
      <c r="D2397" s="27" t="s">
        <v>1450</v>
      </c>
      <c r="F2397" s="27" t="s">
        <v>1453</v>
      </c>
      <c r="H2397" s="27" t="s">
        <v>1454</v>
      </c>
      <c r="L2397" s="27" t="s">
        <v>1609</v>
      </c>
      <c r="M2397" s="27" t="s">
        <v>1612</v>
      </c>
      <c r="N2397" s="27" t="s">
        <v>1423</v>
      </c>
      <c r="P2397" s="27" t="s">
        <v>4659</v>
      </c>
      <c r="Q2397" s="26" t="str">
        <f>HYPERLINK("https://ictv.global/taxonomy/taxondetails?taxnode_id=202508082&amp;ictv_id=ICTV201908082","ICTV201908082")</f>
        <v>ICTV201908082</v>
      </c>
      <c r="R2397" t="s">
        <v>579</v>
      </c>
      <c r="S2397" t="s">
        <v>824</v>
      </c>
      <c r="T2397">
        <v>37</v>
      </c>
      <c r="U2397" s="26" t="str">
        <f>HYPERLINK("https://ictv.global/ictv/proposals/2021.010B.R.Binomial_names.zip","2021.010B.R.Binomial_names.zip")</f>
        <v>2021.010B.R.Binomial_names.zip</v>
      </c>
    </row>
    <row r="2398" spans="1:21">
      <c r="A2398">
        <v>2397</v>
      </c>
      <c r="B2398" s="27" t="s">
        <v>1449</v>
      </c>
      <c r="D2398" s="27" t="s">
        <v>1450</v>
      </c>
      <c r="F2398" s="27" t="s">
        <v>1453</v>
      </c>
      <c r="H2398" s="27" t="s">
        <v>1454</v>
      </c>
      <c r="L2398" s="27" t="s">
        <v>1609</v>
      </c>
      <c r="M2398" s="27" t="s">
        <v>1612</v>
      </c>
      <c r="N2398" s="27" t="s">
        <v>1423</v>
      </c>
      <c r="P2398" s="27" t="s">
        <v>11392</v>
      </c>
      <c r="Q2398" s="26" t="str">
        <f>HYPERLINK("https://ictv.global/taxonomy/taxondetails?taxnode_id=202519357&amp;ictv_id=ICTV202319357","ICTV202319357")</f>
        <v>ICTV202319357</v>
      </c>
      <c r="R2398" t="s">
        <v>579</v>
      </c>
      <c r="S2398" t="s">
        <v>823</v>
      </c>
      <c r="T2398">
        <v>39</v>
      </c>
      <c r="U2398" s="26" t="str">
        <f>HYPERLINK("https://ictv.global/ictv/proposals/2023.067B.Tequintavirus_35ns.zip","2023.067B.Tequintavirus_35ns.zip")</f>
        <v>2023.067B.Tequintavirus_35ns.zip</v>
      </c>
    </row>
    <row r="2399" spans="1:21">
      <c r="A2399">
        <v>2398</v>
      </c>
      <c r="B2399" s="27" t="s">
        <v>1449</v>
      </c>
      <c r="D2399" s="27" t="s">
        <v>1450</v>
      </c>
      <c r="F2399" s="27" t="s">
        <v>1453</v>
      </c>
      <c r="H2399" s="27" t="s">
        <v>1454</v>
      </c>
      <c r="L2399" s="27" t="s">
        <v>1609</v>
      </c>
      <c r="M2399" s="27" t="s">
        <v>1612</v>
      </c>
      <c r="N2399" s="27" t="s">
        <v>1423</v>
      </c>
      <c r="P2399" s="27" t="s">
        <v>4660</v>
      </c>
      <c r="Q2399" s="26" t="str">
        <f>HYPERLINK("https://ictv.global/taxonomy/taxondetails?taxnode_id=202501326&amp;ictv_id=ICTV20125858","ICTV20125858")</f>
        <v>ICTV20125858</v>
      </c>
      <c r="R2399" t="s">
        <v>579</v>
      </c>
      <c r="S2399" t="s">
        <v>824</v>
      </c>
      <c r="T2399">
        <v>37</v>
      </c>
      <c r="U2399" s="26" t="str">
        <f>HYPERLINK("https://ictv.global/ictv/proposals/2021.010B.R.Binomial_names.zip","2021.010B.R.Binomial_names.zip")</f>
        <v>2021.010B.R.Binomial_names.zip</v>
      </c>
    </row>
    <row r="2400" spans="1:21">
      <c r="A2400">
        <v>2399</v>
      </c>
      <c r="B2400" s="27" t="s">
        <v>1449</v>
      </c>
      <c r="D2400" s="27" t="s">
        <v>1450</v>
      </c>
      <c r="F2400" s="27" t="s">
        <v>1453</v>
      </c>
      <c r="H2400" s="27" t="s">
        <v>1454</v>
      </c>
      <c r="L2400" s="27" t="s">
        <v>1609</v>
      </c>
      <c r="M2400" s="27" t="s">
        <v>1612</v>
      </c>
      <c r="N2400" s="27" t="s">
        <v>1423</v>
      </c>
      <c r="P2400" s="27" t="s">
        <v>11393</v>
      </c>
      <c r="Q2400" s="26" t="str">
        <f>HYPERLINK("https://ictv.global/taxonomy/taxondetails?taxnode_id=202519379&amp;ictv_id=ICTV202319379","ICTV202319379")</f>
        <v>ICTV202319379</v>
      </c>
      <c r="R2400" t="s">
        <v>579</v>
      </c>
      <c r="S2400" t="s">
        <v>823</v>
      </c>
      <c r="T2400">
        <v>39</v>
      </c>
      <c r="U2400" s="26" t="str">
        <f>HYPERLINK("https://ictv.global/ictv/proposals/2023.067B.Tequintavirus_35ns.zip","2023.067B.Tequintavirus_35ns.zip")</f>
        <v>2023.067B.Tequintavirus_35ns.zip</v>
      </c>
    </row>
    <row r="2401" spans="1:21">
      <c r="A2401">
        <v>2400</v>
      </c>
      <c r="B2401" s="27" t="s">
        <v>1449</v>
      </c>
      <c r="D2401" s="27" t="s">
        <v>1450</v>
      </c>
      <c r="F2401" s="27" t="s">
        <v>1453</v>
      </c>
      <c r="H2401" s="27" t="s">
        <v>1454</v>
      </c>
      <c r="L2401" s="27" t="s">
        <v>1609</v>
      </c>
      <c r="M2401" s="27" t="s">
        <v>1612</v>
      </c>
      <c r="N2401" s="27" t="s">
        <v>1423</v>
      </c>
      <c r="P2401" s="27" t="s">
        <v>4661</v>
      </c>
      <c r="Q2401" s="26" t="str">
        <f>HYPERLINK("https://ictv.global/taxonomy/taxondetails?taxnode_id=202509954&amp;ictv_id=ICTV202009954","ICTV202009954")</f>
        <v>ICTV202009954</v>
      </c>
      <c r="R2401" t="s">
        <v>579</v>
      </c>
      <c r="S2401" t="s">
        <v>824</v>
      </c>
      <c r="T2401">
        <v>37</v>
      </c>
      <c r="U2401" s="26" t="str">
        <f>HYPERLINK("https://ictv.global/ictv/proposals/2021.010B.R.Binomial_names.zip","2021.010B.R.Binomial_names.zip")</f>
        <v>2021.010B.R.Binomial_names.zip</v>
      </c>
    </row>
    <row r="2402" spans="1:21">
      <c r="A2402">
        <v>2401</v>
      </c>
      <c r="B2402" s="27" t="s">
        <v>1449</v>
      </c>
      <c r="D2402" s="27" t="s">
        <v>1450</v>
      </c>
      <c r="F2402" s="27" t="s">
        <v>1453</v>
      </c>
      <c r="H2402" s="27" t="s">
        <v>1454</v>
      </c>
      <c r="L2402" s="27" t="s">
        <v>1609</v>
      </c>
      <c r="M2402" s="27" t="s">
        <v>1612</v>
      </c>
      <c r="N2402" s="27" t="s">
        <v>1423</v>
      </c>
      <c r="P2402" s="27" t="s">
        <v>11394</v>
      </c>
      <c r="Q2402" s="26" t="str">
        <f>HYPERLINK("https://ictv.global/taxonomy/taxondetails?taxnode_id=202519370&amp;ictv_id=ICTV202319370","ICTV202319370")</f>
        <v>ICTV202319370</v>
      </c>
      <c r="R2402" t="s">
        <v>579</v>
      </c>
      <c r="S2402" t="s">
        <v>823</v>
      </c>
      <c r="T2402">
        <v>39</v>
      </c>
      <c r="U2402" s="26" t="str">
        <f t="shared" ref="U2402:U2407" si="84">HYPERLINK("https://ictv.global/ictv/proposals/2023.067B.Tequintavirus_35ns.zip","2023.067B.Tequintavirus_35ns.zip")</f>
        <v>2023.067B.Tequintavirus_35ns.zip</v>
      </c>
    </row>
    <row r="2403" spans="1:21">
      <c r="A2403">
        <v>2402</v>
      </c>
      <c r="B2403" s="27" t="s">
        <v>1449</v>
      </c>
      <c r="D2403" s="27" t="s">
        <v>1450</v>
      </c>
      <c r="F2403" s="27" t="s">
        <v>1453</v>
      </c>
      <c r="H2403" s="27" t="s">
        <v>1454</v>
      </c>
      <c r="L2403" s="27" t="s">
        <v>1609</v>
      </c>
      <c r="M2403" s="27" t="s">
        <v>1612</v>
      </c>
      <c r="N2403" s="27" t="s">
        <v>1423</v>
      </c>
      <c r="P2403" s="27" t="s">
        <v>11395</v>
      </c>
      <c r="Q2403" s="26" t="str">
        <f>HYPERLINK("https://ictv.global/taxonomy/taxondetails?taxnode_id=202519365&amp;ictv_id=ICTV202319365","ICTV202319365")</f>
        <v>ICTV202319365</v>
      </c>
      <c r="R2403" t="s">
        <v>579</v>
      </c>
      <c r="S2403" t="s">
        <v>823</v>
      </c>
      <c r="T2403">
        <v>39</v>
      </c>
      <c r="U2403" s="26" t="str">
        <f t="shared" si="84"/>
        <v>2023.067B.Tequintavirus_35ns.zip</v>
      </c>
    </row>
    <row r="2404" spans="1:21">
      <c r="A2404">
        <v>2403</v>
      </c>
      <c r="B2404" s="27" t="s">
        <v>1449</v>
      </c>
      <c r="D2404" s="27" t="s">
        <v>1450</v>
      </c>
      <c r="F2404" s="27" t="s">
        <v>1453</v>
      </c>
      <c r="H2404" s="27" t="s">
        <v>1454</v>
      </c>
      <c r="L2404" s="27" t="s">
        <v>1609</v>
      </c>
      <c r="M2404" s="27" t="s">
        <v>1612</v>
      </c>
      <c r="N2404" s="27" t="s">
        <v>1423</v>
      </c>
      <c r="P2404" s="27" t="s">
        <v>11396</v>
      </c>
      <c r="Q2404" s="26" t="str">
        <f>HYPERLINK("https://ictv.global/taxonomy/taxondetails?taxnode_id=202519350&amp;ictv_id=ICTV202319350","ICTV202319350")</f>
        <v>ICTV202319350</v>
      </c>
      <c r="R2404" t="s">
        <v>579</v>
      </c>
      <c r="S2404" t="s">
        <v>823</v>
      </c>
      <c r="T2404">
        <v>39</v>
      </c>
      <c r="U2404" s="26" t="str">
        <f t="shared" si="84"/>
        <v>2023.067B.Tequintavirus_35ns.zip</v>
      </c>
    </row>
    <row r="2405" spans="1:21">
      <c r="A2405">
        <v>2404</v>
      </c>
      <c r="B2405" s="27" t="s">
        <v>1449</v>
      </c>
      <c r="D2405" s="27" t="s">
        <v>1450</v>
      </c>
      <c r="F2405" s="27" t="s">
        <v>1453</v>
      </c>
      <c r="H2405" s="27" t="s">
        <v>1454</v>
      </c>
      <c r="L2405" s="27" t="s">
        <v>1609</v>
      </c>
      <c r="M2405" s="27" t="s">
        <v>1612</v>
      </c>
      <c r="N2405" s="27" t="s">
        <v>1423</v>
      </c>
      <c r="P2405" s="27" t="s">
        <v>11397</v>
      </c>
      <c r="Q2405" s="26" t="str">
        <f>HYPERLINK("https://ictv.global/taxonomy/taxondetails?taxnode_id=202519364&amp;ictv_id=ICTV202319364","ICTV202319364")</f>
        <v>ICTV202319364</v>
      </c>
      <c r="R2405" t="s">
        <v>579</v>
      </c>
      <c r="S2405" t="s">
        <v>823</v>
      </c>
      <c r="T2405">
        <v>39</v>
      </c>
      <c r="U2405" s="26" t="str">
        <f t="shared" si="84"/>
        <v>2023.067B.Tequintavirus_35ns.zip</v>
      </c>
    </row>
    <row r="2406" spans="1:21">
      <c r="A2406">
        <v>2405</v>
      </c>
      <c r="B2406" s="27" t="s">
        <v>1449</v>
      </c>
      <c r="D2406" s="27" t="s">
        <v>1450</v>
      </c>
      <c r="F2406" s="27" t="s">
        <v>1453</v>
      </c>
      <c r="H2406" s="27" t="s">
        <v>1454</v>
      </c>
      <c r="L2406" s="27" t="s">
        <v>1609</v>
      </c>
      <c r="M2406" s="27" t="s">
        <v>1612</v>
      </c>
      <c r="N2406" s="27" t="s">
        <v>1423</v>
      </c>
      <c r="P2406" s="27" t="s">
        <v>11398</v>
      </c>
      <c r="Q2406" s="26" t="str">
        <f>HYPERLINK("https://ictv.global/taxonomy/taxondetails?taxnode_id=202519349&amp;ictv_id=ICTV202319349","ICTV202319349")</f>
        <v>ICTV202319349</v>
      </c>
      <c r="R2406" t="s">
        <v>579</v>
      </c>
      <c r="S2406" t="s">
        <v>823</v>
      </c>
      <c r="T2406">
        <v>39</v>
      </c>
      <c r="U2406" s="26" t="str">
        <f t="shared" si="84"/>
        <v>2023.067B.Tequintavirus_35ns.zip</v>
      </c>
    </row>
    <row r="2407" spans="1:21">
      <c r="A2407">
        <v>2406</v>
      </c>
      <c r="B2407" s="27" t="s">
        <v>1449</v>
      </c>
      <c r="D2407" s="27" t="s">
        <v>1450</v>
      </c>
      <c r="F2407" s="27" t="s">
        <v>1453</v>
      </c>
      <c r="H2407" s="27" t="s">
        <v>1454</v>
      </c>
      <c r="L2407" s="27" t="s">
        <v>1609</v>
      </c>
      <c r="M2407" s="27" t="s">
        <v>1612</v>
      </c>
      <c r="N2407" s="27" t="s">
        <v>1423</v>
      </c>
      <c r="P2407" s="27" t="s">
        <v>11399</v>
      </c>
      <c r="Q2407" s="26" t="str">
        <f>HYPERLINK("https://ictv.global/taxonomy/taxondetails?taxnode_id=202519355&amp;ictv_id=ICTV202319355","ICTV202319355")</f>
        <v>ICTV202319355</v>
      </c>
      <c r="R2407" t="s">
        <v>579</v>
      </c>
      <c r="S2407" t="s">
        <v>823</v>
      </c>
      <c r="T2407">
        <v>39</v>
      </c>
      <c r="U2407" s="26" t="str">
        <f t="shared" si="84"/>
        <v>2023.067B.Tequintavirus_35ns.zip</v>
      </c>
    </row>
    <row r="2408" spans="1:21">
      <c r="A2408">
        <v>2407</v>
      </c>
      <c r="B2408" s="27" t="s">
        <v>1449</v>
      </c>
      <c r="D2408" s="27" t="s">
        <v>1450</v>
      </c>
      <c r="F2408" s="27" t="s">
        <v>1453</v>
      </c>
      <c r="H2408" s="27" t="s">
        <v>1454</v>
      </c>
      <c r="L2408" s="27" t="s">
        <v>1609</v>
      </c>
      <c r="M2408" s="27" t="s">
        <v>1612</v>
      </c>
      <c r="N2408" s="27" t="s">
        <v>1423</v>
      </c>
      <c r="P2408" s="27" t="s">
        <v>4662</v>
      </c>
      <c r="Q2408" s="26" t="str">
        <f>HYPERLINK("https://ictv.global/taxonomy/taxondetails?taxnode_id=202509959&amp;ictv_id=ICTV202009959","ICTV202009959")</f>
        <v>ICTV202009959</v>
      </c>
      <c r="R2408" t="s">
        <v>579</v>
      </c>
      <c r="S2408" t="s">
        <v>824</v>
      </c>
      <c r="T2408">
        <v>37</v>
      </c>
      <c r="U2408" s="26" t="str">
        <f>HYPERLINK("https://ictv.global/ictv/proposals/2021.010B.R.Binomial_names.zip","2021.010B.R.Binomial_names.zip")</f>
        <v>2021.010B.R.Binomial_names.zip</v>
      </c>
    </row>
    <row r="2409" spans="1:21">
      <c r="A2409">
        <v>2408</v>
      </c>
      <c r="B2409" s="27" t="s">
        <v>1449</v>
      </c>
      <c r="D2409" s="27" t="s">
        <v>1450</v>
      </c>
      <c r="F2409" s="27" t="s">
        <v>1453</v>
      </c>
      <c r="H2409" s="27" t="s">
        <v>1454</v>
      </c>
      <c r="L2409" s="27" t="s">
        <v>1609</v>
      </c>
      <c r="M2409" s="27" t="s">
        <v>1612</v>
      </c>
      <c r="N2409" s="27" t="s">
        <v>1423</v>
      </c>
      <c r="P2409" s="27" t="s">
        <v>11400</v>
      </c>
      <c r="Q2409" s="26" t="str">
        <f>HYPERLINK("https://ictv.global/taxonomy/taxondetails?taxnode_id=202519366&amp;ictv_id=ICTV202319366","ICTV202319366")</f>
        <v>ICTV202319366</v>
      </c>
      <c r="R2409" t="s">
        <v>579</v>
      </c>
      <c r="S2409" t="s">
        <v>823</v>
      </c>
      <c r="T2409">
        <v>39</v>
      </c>
      <c r="U2409" s="26" t="str">
        <f>HYPERLINK("https://ictv.global/ictv/proposals/2023.067B.Tequintavirus_35ns.zip","2023.067B.Tequintavirus_35ns.zip")</f>
        <v>2023.067B.Tequintavirus_35ns.zip</v>
      </c>
    </row>
    <row r="2410" spans="1:21">
      <c r="A2410">
        <v>2409</v>
      </c>
      <c r="B2410" s="27" t="s">
        <v>1449</v>
      </c>
      <c r="D2410" s="27" t="s">
        <v>1450</v>
      </c>
      <c r="F2410" s="27" t="s">
        <v>1453</v>
      </c>
      <c r="H2410" s="27" t="s">
        <v>1454</v>
      </c>
      <c r="L2410" s="27" t="s">
        <v>1609</v>
      </c>
      <c r="M2410" s="27" t="s">
        <v>1612</v>
      </c>
      <c r="N2410" s="27" t="s">
        <v>1423</v>
      </c>
      <c r="P2410" s="27" t="s">
        <v>4663</v>
      </c>
      <c r="Q2410" s="26" t="str">
        <f>HYPERLINK("https://ictv.global/taxonomy/taxondetails?taxnode_id=202508089&amp;ictv_id=ICTV201908089","ICTV201908089")</f>
        <v>ICTV201908089</v>
      </c>
      <c r="R2410" t="s">
        <v>579</v>
      </c>
      <c r="S2410" t="s">
        <v>824</v>
      </c>
      <c r="T2410">
        <v>37</v>
      </c>
      <c r="U2410" s="26" t="str">
        <f>HYPERLINK("https://ictv.global/ictv/proposals/2021.010B.R.Binomial_names.zip","2021.010B.R.Binomial_names.zip")</f>
        <v>2021.010B.R.Binomial_names.zip</v>
      </c>
    </row>
    <row r="2411" spans="1:21">
      <c r="A2411">
        <v>2410</v>
      </c>
      <c r="B2411" s="27" t="s">
        <v>1449</v>
      </c>
      <c r="D2411" s="27" t="s">
        <v>1450</v>
      </c>
      <c r="F2411" s="27" t="s">
        <v>1453</v>
      </c>
      <c r="H2411" s="27" t="s">
        <v>1454</v>
      </c>
      <c r="L2411" s="27" t="s">
        <v>1609</v>
      </c>
      <c r="M2411" s="27" t="s">
        <v>1612</v>
      </c>
      <c r="N2411" s="27" t="s">
        <v>1423</v>
      </c>
      <c r="P2411" s="27" t="s">
        <v>11401</v>
      </c>
      <c r="Q2411" s="26" t="str">
        <f>HYPERLINK("https://ictv.global/taxonomy/taxondetails?taxnode_id=202519377&amp;ictv_id=ICTV202319377","ICTV202319377")</f>
        <v>ICTV202319377</v>
      </c>
      <c r="R2411" t="s">
        <v>579</v>
      </c>
      <c r="S2411" t="s">
        <v>823</v>
      </c>
      <c r="T2411">
        <v>39</v>
      </c>
      <c r="U2411" s="26" t="str">
        <f>HYPERLINK("https://ictv.global/ictv/proposals/2023.067B.Tequintavirus_35ns.zip","2023.067B.Tequintavirus_35ns.zip")</f>
        <v>2023.067B.Tequintavirus_35ns.zip</v>
      </c>
    </row>
    <row r="2412" spans="1:21">
      <c r="A2412">
        <v>2411</v>
      </c>
      <c r="B2412" s="27" t="s">
        <v>1449</v>
      </c>
      <c r="D2412" s="27" t="s">
        <v>1450</v>
      </c>
      <c r="F2412" s="27" t="s">
        <v>1453</v>
      </c>
      <c r="H2412" s="27" t="s">
        <v>1454</v>
      </c>
      <c r="L2412" s="27" t="s">
        <v>1609</v>
      </c>
      <c r="M2412" s="27" t="s">
        <v>1612</v>
      </c>
      <c r="N2412" s="27" t="s">
        <v>1423</v>
      </c>
      <c r="P2412" s="27" t="s">
        <v>4664</v>
      </c>
      <c r="Q2412" s="26" t="str">
        <f>HYPERLINK("https://ictv.global/taxonomy/taxondetails?taxnode_id=202508088&amp;ictv_id=ICTV201908088","ICTV201908088")</f>
        <v>ICTV201908088</v>
      </c>
      <c r="R2412" t="s">
        <v>579</v>
      </c>
      <c r="S2412" t="s">
        <v>824</v>
      </c>
      <c r="T2412">
        <v>37</v>
      </c>
      <c r="U2412" s="26" t="str">
        <f>HYPERLINK("https://ictv.global/ictv/proposals/2021.010B.R.Binomial_names.zip","2021.010B.R.Binomial_names.zip")</f>
        <v>2021.010B.R.Binomial_names.zip</v>
      </c>
    </row>
    <row r="2413" spans="1:21">
      <c r="A2413">
        <v>2412</v>
      </c>
      <c r="B2413" s="27" t="s">
        <v>1449</v>
      </c>
      <c r="D2413" s="27" t="s">
        <v>1450</v>
      </c>
      <c r="F2413" s="27" t="s">
        <v>1453</v>
      </c>
      <c r="H2413" s="27" t="s">
        <v>1454</v>
      </c>
      <c r="L2413" s="27" t="s">
        <v>1609</v>
      </c>
      <c r="M2413" s="27" t="s">
        <v>1612</v>
      </c>
      <c r="N2413" s="27" t="s">
        <v>1423</v>
      </c>
      <c r="P2413" s="27" t="s">
        <v>11402</v>
      </c>
      <c r="Q2413" s="26" t="str">
        <f>HYPERLINK("https://ictv.global/taxonomy/taxondetails?taxnode_id=202519374&amp;ictv_id=ICTV202319374","ICTV202319374")</f>
        <v>ICTV202319374</v>
      </c>
      <c r="R2413" t="s">
        <v>579</v>
      </c>
      <c r="S2413" t="s">
        <v>823</v>
      </c>
      <c r="T2413">
        <v>39</v>
      </c>
      <c r="U2413" s="26" t="str">
        <f>HYPERLINK("https://ictv.global/ictv/proposals/2023.067B.Tequintavirus_35ns.zip","2023.067B.Tequintavirus_35ns.zip")</f>
        <v>2023.067B.Tequintavirus_35ns.zip</v>
      </c>
    </row>
    <row r="2414" spans="1:21">
      <c r="A2414">
        <v>2413</v>
      </c>
      <c r="B2414" s="27" t="s">
        <v>1449</v>
      </c>
      <c r="D2414" s="27" t="s">
        <v>1450</v>
      </c>
      <c r="F2414" s="27" t="s">
        <v>1453</v>
      </c>
      <c r="H2414" s="27" t="s">
        <v>1454</v>
      </c>
      <c r="L2414" s="27" t="s">
        <v>1609</v>
      </c>
      <c r="M2414" s="27" t="s">
        <v>1612</v>
      </c>
      <c r="N2414" s="27" t="s">
        <v>1423</v>
      </c>
      <c r="P2414" s="27" t="s">
        <v>4665</v>
      </c>
      <c r="Q2414" s="26" t="str">
        <f>HYPERLINK("https://ictv.global/taxonomy/taxondetails?taxnode_id=202509955&amp;ictv_id=ICTV202009955","ICTV202009955")</f>
        <v>ICTV202009955</v>
      </c>
      <c r="R2414" t="s">
        <v>579</v>
      </c>
      <c r="S2414" t="s">
        <v>824</v>
      </c>
      <c r="T2414">
        <v>37</v>
      </c>
      <c r="U2414" s="26" t="str">
        <f t="shared" ref="U2414:U2420" si="85">HYPERLINK("https://ictv.global/ictv/proposals/2021.010B.R.Binomial_names.zip","2021.010B.R.Binomial_names.zip")</f>
        <v>2021.010B.R.Binomial_names.zip</v>
      </c>
    </row>
    <row r="2415" spans="1:21">
      <c r="A2415">
        <v>2414</v>
      </c>
      <c r="B2415" s="27" t="s">
        <v>1449</v>
      </c>
      <c r="D2415" s="27" t="s">
        <v>1450</v>
      </c>
      <c r="F2415" s="27" t="s">
        <v>1453</v>
      </c>
      <c r="H2415" s="27" t="s">
        <v>1454</v>
      </c>
      <c r="L2415" s="27" t="s">
        <v>1609</v>
      </c>
      <c r="M2415" s="27" t="s">
        <v>1612</v>
      </c>
      <c r="N2415" s="27" t="s">
        <v>1423</v>
      </c>
      <c r="P2415" s="27" t="s">
        <v>4666</v>
      </c>
      <c r="Q2415" s="26" t="str">
        <f>HYPERLINK("https://ictv.global/taxonomy/taxondetails?taxnode_id=202509958&amp;ictv_id=ICTV202009958","ICTV202009958")</f>
        <v>ICTV202009958</v>
      </c>
      <c r="R2415" t="s">
        <v>579</v>
      </c>
      <c r="S2415" t="s">
        <v>824</v>
      </c>
      <c r="T2415">
        <v>37</v>
      </c>
      <c r="U2415" s="26" t="str">
        <f t="shared" si="85"/>
        <v>2021.010B.R.Binomial_names.zip</v>
      </c>
    </row>
    <row r="2416" spans="1:21">
      <c r="A2416">
        <v>2415</v>
      </c>
      <c r="B2416" s="27" t="s">
        <v>1449</v>
      </c>
      <c r="D2416" s="27" t="s">
        <v>1450</v>
      </c>
      <c r="F2416" s="27" t="s">
        <v>1453</v>
      </c>
      <c r="H2416" s="27" t="s">
        <v>1454</v>
      </c>
      <c r="L2416" s="27" t="s">
        <v>1609</v>
      </c>
      <c r="M2416" s="27" t="s">
        <v>1612</v>
      </c>
      <c r="N2416" s="27" t="s">
        <v>1423</v>
      </c>
      <c r="P2416" s="27" t="s">
        <v>4667</v>
      </c>
      <c r="Q2416" s="26" t="str">
        <f>HYPERLINK("https://ictv.global/taxonomy/taxondetails?taxnode_id=202509951&amp;ictv_id=ICTV202009951","ICTV202009951")</f>
        <v>ICTV202009951</v>
      </c>
      <c r="R2416" t="s">
        <v>579</v>
      </c>
      <c r="S2416" t="s">
        <v>824</v>
      </c>
      <c r="T2416">
        <v>37</v>
      </c>
      <c r="U2416" s="26" t="str">
        <f t="shared" si="85"/>
        <v>2021.010B.R.Binomial_names.zip</v>
      </c>
    </row>
    <row r="2417" spans="1:21">
      <c r="A2417">
        <v>2416</v>
      </c>
      <c r="B2417" s="27" t="s">
        <v>1449</v>
      </c>
      <c r="D2417" s="27" t="s">
        <v>1450</v>
      </c>
      <c r="F2417" s="27" t="s">
        <v>1453</v>
      </c>
      <c r="H2417" s="27" t="s">
        <v>1454</v>
      </c>
      <c r="L2417" s="27" t="s">
        <v>1609</v>
      </c>
      <c r="M2417" s="27" t="s">
        <v>1612</v>
      </c>
      <c r="N2417" s="27" t="s">
        <v>1423</v>
      </c>
      <c r="P2417" s="27" t="s">
        <v>4668</v>
      </c>
      <c r="Q2417" s="26" t="str">
        <f>HYPERLINK("https://ictv.global/taxonomy/taxondetails?taxnode_id=202509962&amp;ictv_id=ICTV202009962","ICTV202009962")</f>
        <v>ICTV202009962</v>
      </c>
      <c r="R2417" t="s">
        <v>579</v>
      </c>
      <c r="S2417" t="s">
        <v>824</v>
      </c>
      <c r="T2417">
        <v>37</v>
      </c>
      <c r="U2417" s="26" t="str">
        <f t="shared" si="85"/>
        <v>2021.010B.R.Binomial_names.zip</v>
      </c>
    </row>
    <row r="2418" spans="1:21">
      <c r="A2418">
        <v>2417</v>
      </c>
      <c r="B2418" s="27" t="s">
        <v>1449</v>
      </c>
      <c r="D2418" s="27" t="s">
        <v>1450</v>
      </c>
      <c r="F2418" s="27" t="s">
        <v>1453</v>
      </c>
      <c r="H2418" s="27" t="s">
        <v>1454</v>
      </c>
      <c r="L2418" s="27" t="s">
        <v>1609</v>
      </c>
      <c r="M2418" s="27" t="s">
        <v>1612</v>
      </c>
      <c r="N2418" s="27" t="s">
        <v>1423</v>
      </c>
      <c r="P2418" s="27" t="s">
        <v>4669</v>
      </c>
      <c r="Q2418" s="26" t="str">
        <f>HYPERLINK("https://ictv.global/taxonomy/taxondetails?taxnode_id=202508084&amp;ictv_id=ICTV201908084","ICTV201908084")</f>
        <v>ICTV201908084</v>
      </c>
      <c r="R2418" t="s">
        <v>579</v>
      </c>
      <c r="S2418" t="s">
        <v>824</v>
      </c>
      <c r="T2418">
        <v>37</v>
      </c>
      <c r="U2418" s="26" t="str">
        <f t="shared" si="85"/>
        <v>2021.010B.R.Binomial_names.zip</v>
      </c>
    </row>
    <row r="2419" spans="1:21">
      <c r="A2419">
        <v>2418</v>
      </c>
      <c r="B2419" s="27" t="s">
        <v>1449</v>
      </c>
      <c r="D2419" s="27" t="s">
        <v>1450</v>
      </c>
      <c r="F2419" s="27" t="s">
        <v>1453</v>
      </c>
      <c r="H2419" s="27" t="s">
        <v>1454</v>
      </c>
      <c r="L2419" s="27" t="s">
        <v>1609</v>
      </c>
      <c r="M2419" s="27" t="s">
        <v>1612</v>
      </c>
      <c r="N2419" s="27" t="s">
        <v>1423</v>
      </c>
      <c r="P2419" s="27" t="s">
        <v>4670</v>
      </c>
      <c r="Q2419" s="26" t="str">
        <f>HYPERLINK("https://ictv.global/taxonomy/taxondetails?taxnode_id=202509952&amp;ictv_id=ICTV202009952","ICTV202009952")</f>
        <v>ICTV202009952</v>
      </c>
      <c r="R2419" t="s">
        <v>579</v>
      </c>
      <c r="S2419" t="s">
        <v>824</v>
      </c>
      <c r="T2419">
        <v>37</v>
      </c>
      <c r="U2419" s="26" t="str">
        <f t="shared" si="85"/>
        <v>2021.010B.R.Binomial_names.zip</v>
      </c>
    </row>
    <row r="2420" spans="1:21">
      <c r="A2420">
        <v>2419</v>
      </c>
      <c r="B2420" s="27" t="s">
        <v>1449</v>
      </c>
      <c r="D2420" s="27" t="s">
        <v>1450</v>
      </c>
      <c r="F2420" s="27" t="s">
        <v>1453</v>
      </c>
      <c r="H2420" s="27" t="s">
        <v>1454</v>
      </c>
      <c r="L2420" s="27" t="s">
        <v>1609</v>
      </c>
      <c r="M2420" s="27" t="s">
        <v>1612</v>
      </c>
      <c r="N2420" s="27" t="s">
        <v>1423</v>
      </c>
      <c r="P2420" s="27" t="s">
        <v>4671</v>
      </c>
      <c r="Q2420" s="26" t="str">
        <f>HYPERLINK("https://ictv.global/taxonomy/taxondetails?taxnode_id=202508091&amp;ictv_id=ICTV201908091","ICTV201908091")</f>
        <v>ICTV201908091</v>
      </c>
      <c r="R2420" t="s">
        <v>579</v>
      </c>
      <c r="S2420" t="s">
        <v>824</v>
      </c>
      <c r="T2420">
        <v>37</v>
      </c>
      <c r="U2420" s="26" t="str">
        <f t="shared" si="85"/>
        <v>2021.010B.R.Binomial_names.zip</v>
      </c>
    </row>
    <row r="2421" spans="1:21">
      <c r="A2421">
        <v>2420</v>
      </c>
      <c r="B2421" s="27" t="s">
        <v>1449</v>
      </c>
      <c r="D2421" s="27" t="s">
        <v>1450</v>
      </c>
      <c r="F2421" s="27" t="s">
        <v>1453</v>
      </c>
      <c r="H2421" s="27" t="s">
        <v>1454</v>
      </c>
      <c r="L2421" s="27" t="s">
        <v>1609</v>
      </c>
      <c r="M2421" s="27" t="s">
        <v>1612</v>
      </c>
      <c r="N2421" s="27" t="s">
        <v>1423</v>
      </c>
      <c r="P2421" s="27" t="s">
        <v>11403</v>
      </c>
      <c r="Q2421" s="26" t="str">
        <f>HYPERLINK("https://ictv.global/taxonomy/taxondetails?taxnode_id=202519378&amp;ictv_id=ICTV202319378","ICTV202319378")</f>
        <v>ICTV202319378</v>
      </c>
      <c r="R2421" t="s">
        <v>579</v>
      </c>
      <c r="S2421" t="s">
        <v>823</v>
      </c>
      <c r="T2421">
        <v>39</v>
      </c>
      <c r="U2421" s="26" t="str">
        <f t="shared" ref="U2421:U2426" si="86">HYPERLINK("https://ictv.global/ictv/proposals/2023.067B.Tequintavirus_35ns.zip","2023.067B.Tequintavirus_35ns.zip")</f>
        <v>2023.067B.Tequintavirus_35ns.zip</v>
      </c>
    </row>
    <row r="2422" spans="1:21">
      <c r="A2422">
        <v>2421</v>
      </c>
      <c r="B2422" s="27" t="s">
        <v>1449</v>
      </c>
      <c r="D2422" s="27" t="s">
        <v>1450</v>
      </c>
      <c r="F2422" s="27" t="s">
        <v>1453</v>
      </c>
      <c r="H2422" s="27" t="s">
        <v>1454</v>
      </c>
      <c r="L2422" s="27" t="s">
        <v>1609</v>
      </c>
      <c r="M2422" s="27" t="s">
        <v>1612</v>
      </c>
      <c r="N2422" s="27" t="s">
        <v>1423</v>
      </c>
      <c r="P2422" s="27" t="s">
        <v>11404</v>
      </c>
      <c r="Q2422" s="26" t="str">
        <f>HYPERLINK("https://ictv.global/taxonomy/taxondetails?taxnode_id=202519347&amp;ictv_id=ICTV202319347","ICTV202319347")</f>
        <v>ICTV202319347</v>
      </c>
      <c r="R2422" t="s">
        <v>579</v>
      </c>
      <c r="S2422" t="s">
        <v>823</v>
      </c>
      <c r="T2422">
        <v>39</v>
      </c>
      <c r="U2422" s="26" t="str">
        <f t="shared" si="86"/>
        <v>2023.067B.Tequintavirus_35ns.zip</v>
      </c>
    </row>
    <row r="2423" spans="1:21">
      <c r="A2423">
        <v>2422</v>
      </c>
      <c r="B2423" s="27" t="s">
        <v>1449</v>
      </c>
      <c r="D2423" s="27" t="s">
        <v>1450</v>
      </c>
      <c r="F2423" s="27" t="s">
        <v>1453</v>
      </c>
      <c r="H2423" s="27" t="s">
        <v>1454</v>
      </c>
      <c r="L2423" s="27" t="s">
        <v>1609</v>
      </c>
      <c r="M2423" s="27" t="s">
        <v>1612</v>
      </c>
      <c r="N2423" s="27" t="s">
        <v>1423</v>
      </c>
      <c r="P2423" s="27" t="s">
        <v>11405</v>
      </c>
      <c r="Q2423" s="26" t="str">
        <f>HYPERLINK("https://ictv.global/taxonomy/taxondetails?taxnode_id=202519367&amp;ictv_id=ICTV202319367","ICTV202319367")</f>
        <v>ICTV202319367</v>
      </c>
      <c r="R2423" t="s">
        <v>579</v>
      </c>
      <c r="S2423" t="s">
        <v>823</v>
      </c>
      <c r="T2423">
        <v>39</v>
      </c>
      <c r="U2423" s="26" t="str">
        <f t="shared" si="86"/>
        <v>2023.067B.Tequintavirus_35ns.zip</v>
      </c>
    </row>
    <row r="2424" spans="1:21">
      <c r="A2424">
        <v>2423</v>
      </c>
      <c r="B2424" s="27" t="s">
        <v>1449</v>
      </c>
      <c r="D2424" s="27" t="s">
        <v>1450</v>
      </c>
      <c r="F2424" s="27" t="s">
        <v>1453</v>
      </c>
      <c r="H2424" s="27" t="s">
        <v>1454</v>
      </c>
      <c r="L2424" s="27" t="s">
        <v>1609</v>
      </c>
      <c r="M2424" s="27" t="s">
        <v>1612</v>
      </c>
      <c r="N2424" s="27" t="s">
        <v>1423</v>
      </c>
      <c r="P2424" s="27" t="s">
        <v>11406</v>
      </c>
      <c r="Q2424" s="26" t="str">
        <f>HYPERLINK("https://ictv.global/taxonomy/taxondetails?taxnode_id=202519368&amp;ictv_id=ICTV202319368","ICTV202319368")</f>
        <v>ICTV202319368</v>
      </c>
      <c r="R2424" t="s">
        <v>579</v>
      </c>
      <c r="S2424" t="s">
        <v>823</v>
      </c>
      <c r="T2424">
        <v>39</v>
      </c>
      <c r="U2424" s="26" t="str">
        <f t="shared" si="86"/>
        <v>2023.067B.Tequintavirus_35ns.zip</v>
      </c>
    </row>
    <row r="2425" spans="1:21">
      <c r="A2425">
        <v>2424</v>
      </c>
      <c r="B2425" s="27" t="s">
        <v>1449</v>
      </c>
      <c r="D2425" s="27" t="s">
        <v>1450</v>
      </c>
      <c r="F2425" s="27" t="s">
        <v>1453</v>
      </c>
      <c r="H2425" s="27" t="s">
        <v>1454</v>
      </c>
      <c r="L2425" s="27" t="s">
        <v>1609</v>
      </c>
      <c r="M2425" s="27" t="s">
        <v>1612</v>
      </c>
      <c r="N2425" s="27" t="s">
        <v>1423</v>
      </c>
      <c r="P2425" s="27" t="s">
        <v>11407</v>
      </c>
      <c r="Q2425" s="26" t="str">
        <f>HYPERLINK("https://ictv.global/taxonomy/taxondetails?taxnode_id=202519361&amp;ictv_id=ICTV202319361","ICTV202319361")</f>
        <v>ICTV202319361</v>
      </c>
      <c r="R2425" t="s">
        <v>579</v>
      </c>
      <c r="S2425" t="s">
        <v>823</v>
      </c>
      <c r="T2425">
        <v>39</v>
      </c>
      <c r="U2425" s="26" t="str">
        <f t="shared" si="86"/>
        <v>2023.067B.Tequintavirus_35ns.zip</v>
      </c>
    </row>
    <row r="2426" spans="1:21">
      <c r="A2426">
        <v>2425</v>
      </c>
      <c r="B2426" s="27" t="s">
        <v>1449</v>
      </c>
      <c r="D2426" s="27" t="s">
        <v>1450</v>
      </c>
      <c r="F2426" s="27" t="s">
        <v>1453</v>
      </c>
      <c r="H2426" s="27" t="s">
        <v>1454</v>
      </c>
      <c r="L2426" s="27" t="s">
        <v>1609</v>
      </c>
      <c r="M2426" s="27" t="s">
        <v>1612</v>
      </c>
      <c r="N2426" s="27" t="s">
        <v>1423</v>
      </c>
      <c r="P2426" s="27" t="s">
        <v>11408</v>
      </c>
      <c r="Q2426" s="26" t="str">
        <f>HYPERLINK("https://ictv.global/taxonomy/taxondetails?taxnode_id=202519359&amp;ictv_id=ICTV202319359","ICTV202319359")</f>
        <v>ICTV202319359</v>
      </c>
      <c r="R2426" t="s">
        <v>579</v>
      </c>
      <c r="S2426" t="s">
        <v>823</v>
      </c>
      <c r="T2426">
        <v>39</v>
      </c>
      <c r="U2426" s="26" t="str">
        <f t="shared" si="86"/>
        <v>2023.067B.Tequintavirus_35ns.zip</v>
      </c>
    </row>
    <row r="2427" spans="1:21">
      <c r="A2427">
        <v>2426</v>
      </c>
      <c r="B2427" s="27" t="s">
        <v>1449</v>
      </c>
      <c r="D2427" s="27" t="s">
        <v>1450</v>
      </c>
      <c r="F2427" s="27" t="s">
        <v>1453</v>
      </c>
      <c r="H2427" s="27" t="s">
        <v>1454</v>
      </c>
      <c r="L2427" s="27" t="s">
        <v>1609</v>
      </c>
      <c r="M2427" s="27" t="s">
        <v>1612</v>
      </c>
      <c r="N2427" s="27" t="s">
        <v>1423</v>
      </c>
      <c r="P2427" s="27" t="s">
        <v>4672</v>
      </c>
      <c r="Q2427" s="26" t="str">
        <f>HYPERLINK("https://ictv.global/taxonomy/taxondetails?taxnode_id=202508090&amp;ictv_id=ICTV201908090","ICTV201908090")</f>
        <v>ICTV201908090</v>
      </c>
      <c r="R2427" t="s">
        <v>579</v>
      </c>
      <c r="S2427" t="s">
        <v>824</v>
      </c>
      <c r="T2427">
        <v>37</v>
      </c>
      <c r="U2427" s="26" t="str">
        <f>HYPERLINK("https://ictv.global/ictv/proposals/2021.010B.R.Binomial_names.zip","2021.010B.R.Binomial_names.zip")</f>
        <v>2021.010B.R.Binomial_names.zip</v>
      </c>
    </row>
    <row r="2428" spans="1:21">
      <c r="A2428">
        <v>2427</v>
      </c>
      <c r="B2428" s="27" t="s">
        <v>1449</v>
      </c>
      <c r="D2428" s="27" t="s">
        <v>1450</v>
      </c>
      <c r="F2428" s="27" t="s">
        <v>1453</v>
      </c>
      <c r="H2428" s="27" t="s">
        <v>1454</v>
      </c>
      <c r="L2428" s="27" t="s">
        <v>1609</v>
      </c>
      <c r="M2428" s="27" t="s">
        <v>1612</v>
      </c>
      <c r="N2428" s="27" t="s">
        <v>1423</v>
      </c>
      <c r="P2428" s="27" t="s">
        <v>11409</v>
      </c>
      <c r="Q2428" s="26" t="str">
        <f>HYPERLINK("https://ictv.global/taxonomy/taxondetails?taxnode_id=202519348&amp;ictv_id=ICTV202319348","ICTV202319348")</f>
        <v>ICTV202319348</v>
      </c>
      <c r="R2428" t="s">
        <v>579</v>
      </c>
      <c r="S2428" t="s">
        <v>823</v>
      </c>
      <c r="T2428">
        <v>39</v>
      </c>
      <c r="U2428" s="26" t="str">
        <f>HYPERLINK("https://ictv.global/ictv/proposals/2023.067B.Tequintavirus_35ns.zip","2023.067B.Tequintavirus_35ns.zip")</f>
        <v>2023.067B.Tequintavirus_35ns.zip</v>
      </c>
    </row>
    <row r="2429" spans="1:21">
      <c r="A2429">
        <v>2428</v>
      </c>
      <c r="B2429" s="27" t="s">
        <v>1449</v>
      </c>
      <c r="D2429" s="27" t="s">
        <v>1450</v>
      </c>
      <c r="F2429" s="27" t="s">
        <v>1453</v>
      </c>
      <c r="H2429" s="27" t="s">
        <v>1454</v>
      </c>
      <c r="L2429" s="27" t="s">
        <v>1609</v>
      </c>
      <c r="M2429" s="27" t="s">
        <v>1612</v>
      </c>
      <c r="N2429" s="27" t="s">
        <v>1423</v>
      </c>
      <c r="P2429" s="27" t="s">
        <v>4673</v>
      </c>
      <c r="Q2429" s="26" t="str">
        <f>HYPERLINK("https://ictv.global/taxonomy/taxondetails?taxnode_id=202509963&amp;ictv_id=ICTV202009963","ICTV202009963")</f>
        <v>ICTV202009963</v>
      </c>
      <c r="R2429" t="s">
        <v>579</v>
      </c>
      <c r="S2429" t="s">
        <v>824</v>
      </c>
      <c r="T2429">
        <v>37</v>
      </c>
      <c r="U2429" s="26" t="str">
        <f>HYPERLINK("https://ictv.global/ictv/proposals/2021.010B.R.Binomial_names.zip","2021.010B.R.Binomial_names.zip")</f>
        <v>2021.010B.R.Binomial_names.zip</v>
      </c>
    </row>
    <row r="2430" spans="1:21">
      <c r="A2430">
        <v>2429</v>
      </c>
      <c r="B2430" s="27" t="s">
        <v>1449</v>
      </c>
      <c r="D2430" s="27" t="s">
        <v>1450</v>
      </c>
      <c r="F2430" s="27" t="s">
        <v>1453</v>
      </c>
      <c r="H2430" s="27" t="s">
        <v>1454</v>
      </c>
      <c r="L2430" s="27" t="s">
        <v>1609</v>
      </c>
      <c r="M2430" s="27" t="s">
        <v>1612</v>
      </c>
      <c r="N2430" s="27" t="s">
        <v>1423</v>
      </c>
      <c r="P2430" s="27" t="s">
        <v>11410</v>
      </c>
      <c r="Q2430" s="26" t="str">
        <f>HYPERLINK("https://ictv.global/taxonomy/taxondetails?taxnode_id=202519346&amp;ictv_id=ICTV202319346","ICTV202319346")</f>
        <v>ICTV202319346</v>
      </c>
      <c r="R2430" t="s">
        <v>579</v>
      </c>
      <c r="S2430" t="s">
        <v>823</v>
      </c>
      <c r="T2430">
        <v>39</v>
      </c>
      <c r="U2430" s="26" t="str">
        <f>HYPERLINK("https://ictv.global/ictv/proposals/2023.067B.Tequintavirus_35ns.zip","2023.067B.Tequintavirus_35ns.zip")</f>
        <v>2023.067B.Tequintavirus_35ns.zip</v>
      </c>
    </row>
    <row r="2431" spans="1:21">
      <c r="A2431">
        <v>2430</v>
      </c>
      <c r="B2431" s="27" t="s">
        <v>1449</v>
      </c>
      <c r="D2431" s="27" t="s">
        <v>1450</v>
      </c>
      <c r="F2431" s="27" t="s">
        <v>1453</v>
      </c>
      <c r="H2431" s="27" t="s">
        <v>1454</v>
      </c>
      <c r="L2431" s="27" t="s">
        <v>1609</v>
      </c>
      <c r="M2431" s="27" t="s">
        <v>1612</v>
      </c>
      <c r="N2431" s="27" t="s">
        <v>1423</v>
      </c>
      <c r="P2431" s="27" t="s">
        <v>4674</v>
      </c>
      <c r="Q2431" s="26" t="str">
        <f>HYPERLINK("https://ictv.global/taxonomy/taxondetails?taxnode_id=202501330&amp;ictv_id=ICTV20150710","ICTV20150710")</f>
        <v>ICTV20150710</v>
      </c>
      <c r="R2431" t="s">
        <v>579</v>
      </c>
      <c r="S2431" t="s">
        <v>824</v>
      </c>
      <c r="T2431">
        <v>37</v>
      </c>
      <c r="U2431" s="26" t="str">
        <f t="shared" ref="U2431:U2440" si="87">HYPERLINK("https://ictv.global/ictv/proposals/2021.010B.R.Binomial_names.zip","2021.010B.R.Binomial_names.zip")</f>
        <v>2021.010B.R.Binomial_names.zip</v>
      </c>
    </row>
    <row r="2432" spans="1:21">
      <c r="A2432">
        <v>2431</v>
      </c>
      <c r="B2432" s="27" t="s">
        <v>1449</v>
      </c>
      <c r="D2432" s="27" t="s">
        <v>1450</v>
      </c>
      <c r="F2432" s="27" t="s">
        <v>1453</v>
      </c>
      <c r="H2432" s="27" t="s">
        <v>1454</v>
      </c>
      <c r="L2432" s="27" t="s">
        <v>1609</v>
      </c>
      <c r="M2432" s="27" t="s">
        <v>1612</v>
      </c>
      <c r="N2432" s="27" t="s">
        <v>1423</v>
      </c>
      <c r="P2432" s="27" t="s">
        <v>4675</v>
      </c>
      <c r="Q2432" s="26" t="str">
        <f>HYPERLINK("https://ictv.global/taxonomy/taxondetails?taxnode_id=202508094&amp;ictv_id=ICTV201908094","ICTV201908094")</f>
        <v>ICTV201908094</v>
      </c>
      <c r="R2432" t="s">
        <v>579</v>
      </c>
      <c r="S2432" t="s">
        <v>824</v>
      </c>
      <c r="T2432">
        <v>37</v>
      </c>
      <c r="U2432" s="26" t="str">
        <f t="shared" si="87"/>
        <v>2021.010B.R.Binomial_names.zip</v>
      </c>
    </row>
    <row r="2433" spans="1:21">
      <c r="A2433">
        <v>2432</v>
      </c>
      <c r="B2433" s="27" t="s">
        <v>1449</v>
      </c>
      <c r="D2433" s="27" t="s">
        <v>1450</v>
      </c>
      <c r="F2433" s="27" t="s">
        <v>1453</v>
      </c>
      <c r="H2433" s="27" t="s">
        <v>1454</v>
      </c>
      <c r="L2433" s="27" t="s">
        <v>1609</v>
      </c>
      <c r="M2433" s="27" t="s">
        <v>1612</v>
      </c>
      <c r="N2433" s="27" t="s">
        <v>1423</v>
      </c>
      <c r="P2433" s="27" t="s">
        <v>4676</v>
      </c>
      <c r="Q2433" s="26" t="str">
        <f>HYPERLINK("https://ictv.global/taxonomy/taxondetails?taxnode_id=202501327&amp;ictv_id=ICTV20165093","ICTV20165093")</f>
        <v>ICTV20165093</v>
      </c>
      <c r="R2433" t="s">
        <v>579</v>
      </c>
      <c r="S2433" t="s">
        <v>824</v>
      </c>
      <c r="T2433">
        <v>37</v>
      </c>
      <c r="U2433" s="26" t="str">
        <f t="shared" si="87"/>
        <v>2021.010B.R.Binomial_names.zip</v>
      </c>
    </row>
    <row r="2434" spans="1:21">
      <c r="A2434">
        <v>2433</v>
      </c>
      <c r="B2434" s="27" t="s">
        <v>1449</v>
      </c>
      <c r="D2434" s="27" t="s">
        <v>1450</v>
      </c>
      <c r="F2434" s="27" t="s">
        <v>1453</v>
      </c>
      <c r="H2434" s="27" t="s">
        <v>1454</v>
      </c>
      <c r="L2434" s="27" t="s">
        <v>1609</v>
      </c>
      <c r="M2434" s="27" t="s">
        <v>1612</v>
      </c>
      <c r="N2434" s="27" t="s">
        <v>1423</v>
      </c>
      <c r="P2434" s="27" t="s">
        <v>4677</v>
      </c>
      <c r="Q2434" s="26" t="str">
        <f>HYPERLINK("https://ictv.global/taxonomy/taxondetails?taxnode_id=202508086&amp;ictv_id=ICTV201908086","ICTV201908086")</f>
        <v>ICTV201908086</v>
      </c>
      <c r="R2434" t="s">
        <v>579</v>
      </c>
      <c r="S2434" t="s">
        <v>824</v>
      </c>
      <c r="T2434">
        <v>37</v>
      </c>
      <c r="U2434" s="26" t="str">
        <f t="shared" si="87"/>
        <v>2021.010B.R.Binomial_names.zip</v>
      </c>
    </row>
    <row r="2435" spans="1:21">
      <c r="A2435">
        <v>2434</v>
      </c>
      <c r="B2435" s="27" t="s">
        <v>1449</v>
      </c>
      <c r="D2435" s="27" t="s">
        <v>1450</v>
      </c>
      <c r="F2435" s="27" t="s">
        <v>1453</v>
      </c>
      <c r="H2435" s="27" t="s">
        <v>1454</v>
      </c>
      <c r="L2435" s="27" t="s">
        <v>1609</v>
      </c>
      <c r="M2435" s="27" t="s">
        <v>1612</v>
      </c>
      <c r="N2435" s="27" t="s">
        <v>1423</v>
      </c>
      <c r="P2435" s="27" t="s">
        <v>4678</v>
      </c>
      <c r="Q2435" s="26" t="str">
        <f>HYPERLINK("https://ictv.global/taxonomy/taxondetails?taxnode_id=202508085&amp;ictv_id=ICTV201908085","ICTV201908085")</f>
        <v>ICTV201908085</v>
      </c>
      <c r="R2435" t="s">
        <v>579</v>
      </c>
      <c r="S2435" t="s">
        <v>824</v>
      </c>
      <c r="T2435">
        <v>37</v>
      </c>
      <c r="U2435" s="26" t="str">
        <f t="shared" si="87"/>
        <v>2021.010B.R.Binomial_names.zip</v>
      </c>
    </row>
    <row r="2436" spans="1:21">
      <c r="A2436">
        <v>2435</v>
      </c>
      <c r="B2436" s="27" t="s">
        <v>1449</v>
      </c>
      <c r="D2436" s="27" t="s">
        <v>1450</v>
      </c>
      <c r="F2436" s="27" t="s">
        <v>1453</v>
      </c>
      <c r="H2436" s="27" t="s">
        <v>1454</v>
      </c>
      <c r="L2436" s="27" t="s">
        <v>1609</v>
      </c>
      <c r="M2436" s="27" t="s">
        <v>1612</v>
      </c>
      <c r="N2436" s="27" t="s">
        <v>1423</v>
      </c>
      <c r="P2436" s="27" t="s">
        <v>4679</v>
      </c>
      <c r="Q2436" s="26" t="str">
        <f>HYPERLINK("https://ictv.global/taxonomy/taxondetails?taxnode_id=202509960&amp;ictv_id=ICTV202009960","ICTV202009960")</f>
        <v>ICTV202009960</v>
      </c>
      <c r="R2436" t="s">
        <v>579</v>
      </c>
      <c r="S2436" t="s">
        <v>824</v>
      </c>
      <c r="T2436">
        <v>37</v>
      </c>
      <c r="U2436" s="26" t="str">
        <f t="shared" si="87"/>
        <v>2021.010B.R.Binomial_names.zip</v>
      </c>
    </row>
    <row r="2437" spans="1:21">
      <c r="A2437">
        <v>2436</v>
      </c>
      <c r="B2437" s="27" t="s">
        <v>1449</v>
      </c>
      <c r="D2437" s="27" t="s">
        <v>1450</v>
      </c>
      <c r="F2437" s="27" t="s">
        <v>1453</v>
      </c>
      <c r="H2437" s="27" t="s">
        <v>1454</v>
      </c>
      <c r="L2437" s="27" t="s">
        <v>1609</v>
      </c>
      <c r="M2437" s="27" t="s">
        <v>1612</v>
      </c>
      <c r="N2437" s="27" t="s">
        <v>1423</v>
      </c>
      <c r="P2437" s="27" t="s">
        <v>4680</v>
      </c>
      <c r="Q2437" s="26" t="str">
        <f>HYPERLINK("https://ictv.global/taxonomy/taxondetails?taxnode_id=202501331&amp;ictv_id=ICTV20125856","ICTV20125856")</f>
        <v>ICTV20125856</v>
      </c>
      <c r="R2437" t="s">
        <v>579</v>
      </c>
      <c r="S2437" t="s">
        <v>824</v>
      </c>
      <c r="T2437">
        <v>37</v>
      </c>
      <c r="U2437" s="26" t="str">
        <f t="shared" si="87"/>
        <v>2021.010B.R.Binomial_names.zip</v>
      </c>
    </row>
    <row r="2438" spans="1:21">
      <c r="A2438">
        <v>2437</v>
      </c>
      <c r="B2438" s="27" t="s">
        <v>1449</v>
      </c>
      <c r="D2438" s="27" t="s">
        <v>1450</v>
      </c>
      <c r="F2438" s="27" t="s">
        <v>1453</v>
      </c>
      <c r="H2438" s="27" t="s">
        <v>1454</v>
      </c>
      <c r="L2438" s="27" t="s">
        <v>1609</v>
      </c>
      <c r="M2438" s="27" t="s">
        <v>1612</v>
      </c>
      <c r="N2438" s="27" t="s">
        <v>1423</v>
      </c>
      <c r="P2438" s="27" t="s">
        <v>4681</v>
      </c>
      <c r="Q2438" s="26" t="str">
        <f>HYPERLINK("https://ictv.global/taxonomy/taxondetails?taxnode_id=202508087&amp;ictv_id=ICTV201908087","ICTV201908087")</f>
        <v>ICTV201908087</v>
      </c>
      <c r="R2438" t="s">
        <v>579</v>
      </c>
      <c r="S2438" t="s">
        <v>824</v>
      </c>
      <c r="T2438">
        <v>37</v>
      </c>
      <c r="U2438" s="26" t="str">
        <f t="shared" si="87"/>
        <v>2021.010B.R.Binomial_names.zip</v>
      </c>
    </row>
    <row r="2439" spans="1:21">
      <c r="A2439">
        <v>2438</v>
      </c>
      <c r="B2439" s="27" t="s">
        <v>1449</v>
      </c>
      <c r="D2439" s="27" t="s">
        <v>1450</v>
      </c>
      <c r="F2439" s="27" t="s">
        <v>1453</v>
      </c>
      <c r="H2439" s="27" t="s">
        <v>1454</v>
      </c>
      <c r="L2439" s="27" t="s">
        <v>1609</v>
      </c>
      <c r="M2439" s="27" t="s">
        <v>1612</v>
      </c>
      <c r="N2439" s="27" t="s">
        <v>1423</v>
      </c>
      <c r="P2439" s="27" t="s">
        <v>4682</v>
      </c>
      <c r="Q2439" s="26" t="str">
        <f>HYPERLINK("https://ictv.global/taxonomy/taxondetails?taxnode_id=202501328&amp;ictv_id=ICTV20125853","ICTV20125853")</f>
        <v>ICTV20125853</v>
      </c>
      <c r="R2439" t="s">
        <v>579</v>
      </c>
      <c r="S2439" t="s">
        <v>824</v>
      </c>
      <c r="T2439">
        <v>37</v>
      </c>
      <c r="U2439" s="26" t="str">
        <f t="shared" si="87"/>
        <v>2021.010B.R.Binomial_names.zip</v>
      </c>
    </row>
    <row r="2440" spans="1:21">
      <c r="A2440">
        <v>2439</v>
      </c>
      <c r="B2440" s="27" t="s">
        <v>1449</v>
      </c>
      <c r="D2440" s="27" t="s">
        <v>1450</v>
      </c>
      <c r="F2440" s="27" t="s">
        <v>1453</v>
      </c>
      <c r="H2440" s="27" t="s">
        <v>1454</v>
      </c>
      <c r="L2440" s="27" t="s">
        <v>1609</v>
      </c>
      <c r="M2440" s="27" t="s">
        <v>1612</v>
      </c>
      <c r="N2440" s="27" t="s">
        <v>1423</v>
      </c>
      <c r="P2440" s="27" t="s">
        <v>4683</v>
      </c>
      <c r="Q2440" s="26" t="str">
        <f>HYPERLINK("https://ictv.global/taxonomy/taxondetails?taxnode_id=202509953&amp;ictv_id=ICTV202009953","ICTV202009953")</f>
        <v>ICTV202009953</v>
      </c>
      <c r="R2440" t="s">
        <v>579</v>
      </c>
      <c r="S2440" t="s">
        <v>824</v>
      </c>
      <c r="T2440">
        <v>37</v>
      </c>
      <c r="U2440" s="26" t="str">
        <f t="shared" si="87"/>
        <v>2021.010B.R.Binomial_names.zip</v>
      </c>
    </row>
    <row r="2441" spans="1:21">
      <c r="A2441">
        <v>2440</v>
      </c>
      <c r="B2441" s="27" t="s">
        <v>1449</v>
      </c>
      <c r="D2441" s="27" t="s">
        <v>1450</v>
      </c>
      <c r="F2441" s="27" t="s">
        <v>1453</v>
      </c>
      <c r="H2441" s="27" t="s">
        <v>1454</v>
      </c>
      <c r="L2441" s="27" t="s">
        <v>1609</v>
      </c>
      <c r="M2441" s="27" t="s">
        <v>1612</v>
      </c>
      <c r="N2441" s="27" t="s">
        <v>1423</v>
      </c>
      <c r="P2441" s="27" t="s">
        <v>11411</v>
      </c>
      <c r="Q2441" s="26" t="str">
        <f>HYPERLINK("https://ictv.global/taxonomy/taxondetails?taxnode_id=202519353&amp;ictv_id=ICTV202319353","ICTV202319353")</f>
        <v>ICTV202319353</v>
      </c>
      <c r="R2441" t="s">
        <v>579</v>
      </c>
      <c r="S2441" t="s">
        <v>823</v>
      </c>
      <c r="T2441">
        <v>39</v>
      </c>
      <c r="U2441" s="26" t="str">
        <f>HYPERLINK("https://ictv.global/ictv/proposals/2023.067B.Tequintavirus_35ns.zip","2023.067B.Tequintavirus_35ns.zip")</f>
        <v>2023.067B.Tequintavirus_35ns.zip</v>
      </c>
    </row>
    <row r="2442" spans="1:21">
      <c r="A2442">
        <v>2441</v>
      </c>
      <c r="B2442" s="27" t="s">
        <v>1449</v>
      </c>
      <c r="D2442" s="27" t="s">
        <v>1450</v>
      </c>
      <c r="F2442" s="27" t="s">
        <v>1453</v>
      </c>
      <c r="H2442" s="27" t="s">
        <v>1454</v>
      </c>
      <c r="L2442" s="27" t="s">
        <v>1609</v>
      </c>
      <c r="M2442" s="27" t="s">
        <v>1612</v>
      </c>
      <c r="N2442" s="27" t="s">
        <v>1423</v>
      </c>
      <c r="P2442" s="27" t="s">
        <v>11412</v>
      </c>
      <c r="Q2442" s="26" t="str">
        <f>HYPERLINK("https://ictv.global/taxonomy/taxondetails?taxnode_id=202519375&amp;ictv_id=ICTV202319375","ICTV202319375")</f>
        <v>ICTV202319375</v>
      </c>
      <c r="R2442" t="s">
        <v>579</v>
      </c>
      <c r="S2442" t="s">
        <v>823</v>
      </c>
      <c r="T2442">
        <v>39</v>
      </c>
      <c r="U2442" s="26" t="str">
        <f>HYPERLINK("https://ictv.global/ictv/proposals/2023.067B.Tequintavirus_35ns.zip","2023.067B.Tequintavirus_35ns.zip")</f>
        <v>2023.067B.Tequintavirus_35ns.zip</v>
      </c>
    </row>
    <row r="2443" spans="1:21">
      <c r="A2443">
        <v>2442</v>
      </c>
      <c r="B2443" s="27" t="s">
        <v>1449</v>
      </c>
      <c r="D2443" s="27" t="s">
        <v>1450</v>
      </c>
      <c r="F2443" s="27" t="s">
        <v>1453</v>
      </c>
      <c r="H2443" s="27" t="s">
        <v>1454</v>
      </c>
      <c r="L2443" s="27" t="s">
        <v>1609</v>
      </c>
      <c r="M2443" s="27" t="s">
        <v>1612</v>
      </c>
      <c r="N2443" s="27" t="s">
        <v>1423</v>
      </c>
      <c r="P2443" s="27" t="s">
        <v>11413</v>
      </c>
      <c r="Q2443" s="26" t="str">
        <f>HYPERLINK("https://ictv.global/taxonomy/taxondetails?taxnode_id=202519376&amp;ictv_id=ICTV202319376","ICTV202319376")</f>
        <v>ICTV202319376</v>
      </c>
      <c r="R2443" t="s">
        <v>579</v>
      </c>
      <c r="S2443" t="s">
        <v>823</v>
      </c>
      <c r="T2443">
        <v>39</v>
      </c>
      <c r="U2443" s="26" t="str">
        <f>HYPERLINK("https://ictv.global/ictv/proposals/2023.067B.Tequintavirus_35ns.zip","2023.067B.Tequintavirus_35ns.zip")</f>
        <v>2023.067B.Tequintavirus_35ns.zip</v>
      </c>
    </row>
    <row r="2444" spans="1:21">
      <c r="A2444">
        <v>2443</v>
      </c>
      <c r="B2444" s="27" t="s">
        <v>1449</v>
      </c>
      <c r="D2444" s="27" t="s">
        <v>1450</v>
      </c>
      <c r="F2444" s="27" t="s">
        <v>1453</v>
      </c>
      <c r="H2444" s="27" t="s">
        <v>1454</v>
      </c>
      <c r="L2444" s="27" t="s">
        <v>1609</v>
      </c>
      <c r="M2444" s="27" t="s">
        <v>1612</v>
      </c>
      <c r="N2444" s="27" t="s">
        <v>1423</v>
      </c>
      <c r="P2444" s="27" t="s">
        <v>11414</v>
      </c>
      <c r="Q2444" s="26" t="str">
        <f>HYPERLINK("https://ictv.global/taxonomy/taxondetails?taxnode_id=202519373&amp;ictv_id=ICTV202319373","ICTV202319373")</f>
        <v>ICTV202319373</v>
      </c>
      <c r="R2444" t="s">
        <v>579</v>
      </c>
      <c r="S2444" t="s">
        <v>823</v>
      </c>
      <c r="T2444">
        <v>39</v>
      </c>
      <c r="U2444" s="26" t="str">
        <f>HYPERLINK("https://ictv.global/ictv/proposals/2023.067B.Tequintavirus_35ns.zip","2023.067B.Tequintavirus_35ns.zip")</f>
        <v>2023.067B.Tequintavirus_35ns.zip</v>
      </c>
    </row>
    <row r="2445" spans="1:21">
      <c r="A2445">
        <v>2444</v>
      </c>
      <c r="B2445" s="27" t="s">
        <v>1449</v>
      </c>
      <c r="D2445" s="27" t="s">
        <v>1450</v>
      </c>
      <c r="F2445" s="27" t="s">
        <v>1453</v>
      </c>
      <c r="H2445" s="27" t="s">
        <v>1454</v>
      </c>
      <c r="L2445" s="27" t="s">
        <v>1609</v>
      </c>
      <c r="M2445" s="27" t="s">
        <v>1612</v>
      </c>
      <c r="N2445" s="27" t="s">
        <v>1423</v>
      </c>
      <c r="P2445" s="27" t="s">
        <v>4684</v>
      </c>
      <c r="Q2445" s="26" t="str">
        <f>HYPERLINK("https://ictv.global/taxonomy/taxondetails?taxnode_id=202509956&amp;ictv_id=ICTV202009956","ICTV202009956")</f>
        <v>ICTV202009956</v>
      </c>
      <c r="R2445" t="s">
        <v>579</v>
      </c>
      <c r="S2445" t="s">
        <v>824</v>
      </c>
      <c r="T2445">
        <v>37</v>
      </c>
      <c r="U2445" s="26" t="str">
        <f>HYPERLINK("https://ictv.global/ictv/proposals/2021.010B.R.Binomial_names.zip","2021.010B.R.Binomial_names.zip")</f>
        <v>2021.010B.R.Binomial_names.zip</v>
      </c>
    </row>
    <row r="2446" spans="1:21">
      <c r="A2446">
        <v>2445</v>
      </c>
      <c r="B2446" s="27" t="s">
        <v>1449</v>
      </c>
      <c r="D2446" s="27" t="s">
        <v>1450</v>
      </c>
      <c r="F2446" s="27" t="s">
        <v>1453</v>
      </c>
      <c r="H2446" s="27" t="s">
        <v>1454</v>
      </c>
      <c r="L2446" s="27" t="s">
        <v>1609</v>
      </c>
      <c r="M2446" s="27" t="s">
        <v>1612</v>
      </c>
      <c r="N2446" s="27" t="s">
        <v>1423</v>
      </c>
      <c r="P2446" s="27" t="s">
        <v>22635</v>
      </c>
      <c r="Q2446" s="26" t="str">
        <f>HYPERLINK("https://ictv.global/taxonomy/taxondetails?taxnode_id=202523226&amp;ictv_id=ICTV202523226","ICTV202523226")</f>
        <v>ICTV202523226</v>
      </c>
      <c r="R2446" t="s">
        <v>579</v>
      </c>
      <c r="S2446" t="s">
        <v>823</v>
      </c>
      <c r="T2446">
        <v>41</v>
      </c>
      <c r="U2446" s="26" t="str">
        <f>HYPERLINK("https://ictv.global/ictv/proposals/2025.076B.Tequintavirus_1ns.zip","2025.076B.Tequintavirus_1ns.zip")</f>
        <v>2025.076B.Tequintavirus_1ns.zip</v>
      </c>
    </row>
    <row r="2447" spans="1:21">
      <c r="A2447">
        <v>2446</v>
      </c>
      <c r="B2447" s="27" t="s">
        <v>1449</v>
      </c>
      <c r="D2447" s="27" t="s">
        <v>1450</v>
      </c>
      <c r="F2447" s="27" t="s">
        <v>1453</v>
      </c>
      <c r="H2447" s="27" t="s">
        <v>1454</v>
      </c>
      <c r="L2447" s="27" t="s">
        <v>1609</v>
      </c>
      <c r="M2447" s="27" t="s">
        <v>1612</v>
      </c>
      <c r="N2447" s="27" t="s">
        <v>1423</v>
      </c>
      <c r="P2447" s="27" t="s">
        <v>4685</v>
      </c>
      <c r="Q2447" s="26" t="str">
        <f>HYPERLINK("https://ictv.global/taxonomy/taxondetails?taxnode_id=202509957&amp;ictv_id=ICTV202009957","ICTV202009957")</f>
        <v>ICTV202009957</v>
      </c>
      <c r="R2447" t="s">
        <v>579</v>
      </c>
      <c r="S2447" t="s">
        <v>824</v>
      </c>
      <c r="T2447">
        <v>37</v>
      </c>
      <c r="U2447" s="26" t="str">
        <f>HYPERLINK("https://ictv.global/ictv/proposals/2021.010B.R.Binomial_names.zip","2021.010B.R.Binomial_names.zip")</f>
        <v>2021.010B.R.Binomial_names.zip</v>
      </c>
    </row>
    <row r="2448" spans="1:21">
      <c r="A2448">
        <v>2447</v>
      </c>
      <c r="B2448" s="27" t="s">
        <v>1449</v>
      </c>
      <c r="D2448" s="27" t="s">
        <v>1450</v>
      </c>
      <c r="F2448" s="27" t="s">
        <v>1453</v>
      </c>
      <c r="H2448" s="27" t="s">
        <v>1454</v>
      </c>
      <c r="L2448" s="27" t="s">
        <v>1609</v>
      </c>
      <c r="M2448" s="27" t="s">
        <v>1612</v>
      </c>
      <c r="N2448" s="27" t="s">
        <v>1423</v>
      </c>
      <c r="P2448" s="27" t="s">
        <v>11415</v>
      </c>
      <c r="Q2448" s="26" t="str">
        <f>HYPERLINK("https://ictv.global/taxonomy/taxondetails?taxnode_id=202519371&amp;ictv_id=ICTV202319371","ICTV202319371")</f>
        <v>ICTV202319371</v>
      </c>
      <c r="R2448" t="s">
        <v>579</v>
      </c>
      <c r="S2448" t="s">
        <v>823</v>
      </c>
      <c r="T2448">
        <v>39</v>
      </c>
      <c r="U2448" s="26" t="str">
        <f>HYPERLINK("https://ictv.global/ictv/proposals/2023.067B.Tequintavirus_35ns.zip","2023.067B.Tequintavirus_35ns.zip")</f>
        <v>2023.067B.Tequintavirus_35ns.zip</v>
      </c>
    </row>
    <row r="2449" spans="1:21">
      <c r="A2449">
        <v>2448</v>
      </c>
      <c r="B2449" s="27" t="s">
        <v>1449</v>
      </c>
      <c r="D2449" s="27" t="s">
        <v>1450</v>
      </c>
      <c r="F2449" s="27" t="s">
        <v>1453</v>
      </c>
      <c r="H2449" s="27" t="s">
        <v>1454</v>
      </c>
      <c r="L2449" s="27" t="s">
        <v>1609</v>
      </c>
      <c r="M2449" s="27" t="s">
        <v>1614</v>
      </c>
      <c r="N2449" s="27" t="s">
        <v>1615</v>
      </c>
      <c r="P2449" s="27" t="s">
        <v>4686</v>
      </c>
      <c r="Q2449" s="26" t="str">
        <f>HYPERLINK("https://ictv.global/taxonomy/taxondetails?taxnode_id=202508124&amp;ictv_id=ICTV201908124","ICTV201908124")</f>
        <v>ICTV201908124</v>
      </c>
      <c r="R2449" t="s">
        <v>579</v>
      </c>
      <c r="S2449" t="s">
        <v>824</v>
      </c>
      <c r="T2449">
        <v>37</v>
      </c>
      <c r="U2449" s="26" t="str">
        <f>HYPERLINK("https://ictv.global/ictv/proposals/2021.010B.R.Binomial_names.zip","2021.010B.R.Binomial_names.zip")</f>
        <v>2021.010B.R.Binomial_names.zip</v>
      </c>
    </row>
    <row r="2450" spans="1:21">
      <c r="A2450">
        <v>2449</v>
      </c>
      <c r="B2450" s="27" t="s">
        <v>1449</v>
      </c>
      <c r="D2450" s="27" t="s">
        <v>1450</v>
      </c>
      <c r="F2450" s="27" t="s">
        <v>1453</v>
      </c>
      <c r="H2450" s="27" t="s">
        <v>1454</v>
      </c>
      <c r="L2450" s="27" t="s">
        <v>1609</v>
      </c>
      <c r="M2450" s="27" t="s">
        <v>1614</v>
      </c>
      <c r="N2450" s="27" t="s">
        <v>1391</v>
      </c>
      <c r="P2450" s="27" t="s">
        <v>4687</v>
      </c>
      <c r="Q2450" s="26" t="str">
        <f>HYPERLINK("https://ictv.global/taxonomy/taxondetails?taxnode_id=202507058&amp;ictv_id=ICTV201857058","ICTV201857058")</f>
        <v>ICTV201857058</v>
      </c>
      <c r="R2450" t="s">
        <v>579</v>
      </c>
      <c r="S2450" t="s">
        <v>824</v>
      </c>
      <c r="T2450">
        <v>37</v>
      </c>
      <c r="U2450" s="26" t="str">
        <f>HYPERLINK("https://ictv.global/ictv/proposals/2021.010B.R.Binomial_names.zip","2021.010B.R.Binomial_names.zip")</f>
        <v>2021.010B.R.Binomial_names.zip</v>
      </c>
    </row>
    <row r="2451" spans="1:21">
      <c r="A2451">
        <v>2450</v>
      </c>
      <c r="B2451" s="27" t="s">
        <v>1449</v>
      </c>
      <c r="D2451" s="27" t="s">
        <v>1450</v>
      </c>
      <c r="F2451" s="27" t="s">
        <v>1453</v>
      </c>
      <c r="H2451" s="27" t="s">
        <v>1454</v>
      </c>
      <c r="L2451" s="27" t="s">
        <v>1609</v>
      </c>
      <c r="N2451" s="27" t="s">
        <v>11416</v>
      </c>
      <c r="P2451" s="27" t="s">
        <v>11417</v>
      </c>
      <c r="Q2451" s="26" t="str">
        <f>HYPERLINK("https://ictv.global/taxonomy/taxondetails?taxnode_id=202519186&amp;ictv_id=ICTV202319186","ICTV202319186")</f>
        <v>ICTV202319186</v>
      </c>
      <c r="R2451" t="s">
        <v>579</v>
      </c>
      <c r="S2451" t="s">
        <v>823</v>
      </c>
      <c r="T2451">
        <v>39</v>
      </c>
      <c r="U2451" s="26" t="str">
        <f>HYPERLINK("https://ictv.global/ictv/proposals/2023.041B.Keyvirus_ng.zip","2023.041B.Keyvirus_ng.zip")</f>
        <v>2023.041B.Keyvirus_ng.zip</v>
      </c>
    </row>
    <row r="2452" spans="1:21">
      <c r="A2452">
        <v>2451</v>
      </c>
      <c r="B2452" s="27" t="s">
        <v>1449</v>
      </c>
      <c r="D2452" s="27" t="s">
        <v>1450</v>
      </c>
      <c r="F2452" s="27" t="s">
        <v>1453</v>
      </c>
      <c r="H2452" s="27" t="s">
        <v>1454</v>
      </c>
      <c r="L2452" s="27" t="s">
        <v>1609</v>
      </c>
      <c r="N2452" s="27" t="s">
        <v>11416</v>
      </c>
      <c r="P2452" s="27" t="s">
        <v>11418</v>
      </c>
      <c r="Q2452" s="26" t="str">
        <f>HYPERLINK("https://ictv.global/taxonomy/taxondetails?taxnode_id=202519187&amp;ictv_id=ICTV202319187","ICTV202319187")</f>
        <v>ICTV202319187</v>
      </c>
      <c r="R2452" t="s">
        <v>579</v>
      </c>
      <c r="S2452" t="s">
        <v>823</v>
      </c>
      <c r="T2452">
        <v>39</v>
      </c>
      <c r="U2452" s="26" t="str">
        <f>HYPERLINK("https://ictv.global/ictv/proposals/2023.041B.Keyvirus_ng.zip","2023.041B.Keyvirus_ng.zip")</f>
        <v>2023.041B.Keyvirus_ng.zip</v>
      </c>
    </row>
    <row r="2453" spans="1:21">
      <c r="A2453">
        <v>2452</v>
      </c>
      <c r="B2453" s="27" t="s">
        <v>1449</v>
      </c>
      <c r="D2453" s="27" t="s">
        <v>1450</v>
      </c>
      <c r="F2453" s="27" t="s">
        <v>1453</v>
      </c>
      <c r="H2453" s="27" t="s">
        <v>1454</v>
      </c>
      <c r="L2453" s="27" t="s">
        <v>1609</v>
      </c>
      <c r="N2453" s="27" t="s">
        <v>1395</v>
      </c>
      <c r="P2453" s="27" t="s">
        <v>4688</v>
      </c>
      <c r="Q2453" s="26" t="str">
        <f>HYPERLINK("https://ictv.global/taxonomy/taxondetails?taxnode_id=202507060&amp;ictv_id=ICTV201857060","ICTV201857060")</f>
        <v>ICTV201857060</v>
      </c>
      <c r="R2453" t="s">
        <v>579</v>
      </c>
      <c r="S2453" t="s">
        <v>824</v>
      </c>
      <c r="T2453">
        <v>37</v>
      </c>
      <c r="U2453" s="26" t="str">
        <f>HYPERLINK("https://ictv.global/ictv/proposals/2021.010B.R.Binomial_names.zip","2021.010B.R.Binomial_names.zip")</f>
        <v>2021.010B.R.Binomial_names.zip</v>
      </c>
    </row>
    <row r="2454" spans="1:21">
      <c r="A2454">
        <v>2453</v>
      </c>
      <c r="B2454" s="27" t="s">
        <v>1449</v>
      </c>
      <c r="D2454" s="27" t="s">
        <v>1450</v>
      </c>
      <c r="F2454" s="27" t="s">
        <v>1453</v>
      </c>
      <c r="H2454" s="27" t="s">
        <v>1454</v>
      </c>
      <c r="L2454" s="27" t="s">
        <v>1609</v>
      </c>
      <c r="N2454" s="27" t="s">
        <v>1395</v>
      </c>
      <c r="P2454" s="27" t="s">
        <v>4689</v>
      </c>
      <c r="Q2454" s="26" t="str">
        <f>HYPERLINK("https://ictv.global/taxonomy/taxondetails?taxnode_id=202508118&amp;ictv_id=ICTV201908118","ICTV201908118")</f>
        <v>ICTV201908118</v>
      </c>
      <c r="R2454" t="s">
        <v>579</v>
      </c>
      <c r="S2454" t="s">
        <v>824</v>
      </c>
      <c r="T2454">
        <v>37</v>
      </c>
      <c r="U2454" s="26" t="str">
        <f>HYPERLINK("https://ictv.global/ictv/proposals/2021.010B.R.Binomial_names.zip","2021.010B.R.Binomial_names.zip")</f>
        <v>2021.010B.R.Binomial_names.zip</v>
      </c>
    </row>
    <row r="2455" spans="1:21">
      <c r="A2455">
        <v>2454</v>
      </c>
      <c r="B2455" s="27" t="s">
        <v>1449</v>
      </c>
      <c r="D2455" s="27" t="s">
        <v>1450</v>
      </c>
      <c r="F2455" s="27" t="s">
        <v>1453</v>
      </c>
      <c r="H2455" s="27" t="s">
        <v>1454</v>
      </c>
      <c r="L2455" s="27" t="s">
        <v>1609</v>
      </c>
      <c r="N2455" s="27" t="s">
        <v>1616</v>
      </c>
      <c r="P2455" s="27" t="s">
        <v>4690</v>
      </c>
      <c r="Q2455" s="26" t="str">
        <f>HYPERLINK("https://ictv.global/taxonomy/taxondetails?taxnode_id=202508120&amp;ictv_id=ICTV201908120","ICTV201908120")</f>
        <v>ICTV201908120</v>
      </c>
      <c r="R2455" t="s">
        <v>579</v>
      </c>
      <c r="S2455" t="s">
        <v>824</v>
      </c>
      <c r="T2455">
        <v>37</v>
      </c>
      <c r="U2455" s="26" t="str">
        <f>HYPERLINK("https://ictv.global/ictv/proposals/2021.010B.R.Binomial_names.zip","2021.010B.R.Binomial_names.zip")</f>
        <v>2021.010B.R.Binomial_names.zip</v>
      </c>
    </row>
    <row r="2456" spans="1:21">
      <c r="A2456">
        <v>2455</v>
      </c>
      <c r="B2456" s="27" t="s">
        <v>1449</v>
      </c>
      <c r="D2456" s="27" t="s">
        <v>1450</v>
      </c>
      <c r="F2456" s="27" t="s">
        <v>1453</v>
      </c>
      <c r="H2456" s="27" t="s">
        <v>1454</v>
      </c>
      <c r="L2456" s="27" t="s">
        <v>1609</v>
      </c>
      <c r="N2456" s="27" t="s">
        <v>1616</v>
      </c>
      <c r="P2456" s="27" t="s">
        <v>4691</v>
      </c>
      <c r="Q2456" s="26" t="str">
        <f>HYPERLINK("https://ictv.global/taxonomy/taxondetails?taxnode_id=202508121&amp;ictv_id=ICTV201908121","ICTV201908121")</f>
        <v>ICTV201908121</v>
      </c>
      <c r="R2456" t="s">
        <v>579</v>
      </c>
      <c r="S2456" t="s">
        <v>824</v>
      </c>
      <c r="T2456">
        <v>37</v>
      </c>
      <c r="U2456" s="26" t="str">
        <f>HYPERLINK("https://ictv.global/ictv/proposals/2021.010B.R.Binomial_names.zip","2021.010B.R.Binomial_names.zip")</f>
        <v>2021.010B.R.Binomial_names.zip</v>
      </c>
    </row>
    <row r="2457" spans="1:21">
      <c r="A2457">
        <v>2456</v>
      </c>
      <c r="B2457" s="27" t="s">
        <v>1449</v>
      </c>
      <c r="D2457" s="27" t="s">
        <v>1450</v>
      </c>
      <c r="F2457" s="27" t="s">
        <v>1453</v>
      </c>
      <c r="H2457" s="27" t="s">
        <v>1454</v>
      </c>
      <c r="L2457" s="27" t="s">
        <v>1609</v>
      </c>
      <c r="N2457" s="27" t="s">
        <v>1404</v>
      </c>
      <c r="P2457" s="27" t="s">
        <v>4692</v>
      </c>
      <c r="Q2457" s="26" t="str">
        <f>HYPERLINK("https://ictv.global/taxonomy/taxondetails?taxnode_id=202507062&amp;ictv_id=ICTV201857062","ICTV201857062")</f>
        <v>ICTV201857062</v>
      </c>
      <c r="R2457" t="s">
        <v>579</v>
      </c>
      <c r="S2457" t="s">
        <v>824</v>
      </c>
      <c r="T2457">
        <v>37</v>
      </c>
      <c r="U2457" s="26" t="str">
        <f>HYPERLINK("https://ictv.global/ictv/proposals/2021.023B.R.Demerecviridae_new_genera.zip","2021.023B.R.Demerecviridae_new_genera.zip")</f>
        <v>2021.023B.R.Demerecviridae_new_genera.zip</v>
      </c>
    </row>
    <row r="2458" spans="1:21">
      <c r="A2458">
        <v>2457</v>
      </c>
      <c r="B2458" s="27" t="s">
        <v>1449</v>
      </c>
      <c r="D2458" s="27" t="s">
        <v>1450</v>
      </c>
      <c r="F2458" s="27" t="s">
        <v>1453</v>
      </c>
      <c r="H2458" s="27" t="s">
        <v>1454</v>
      </c>
      <c r="L2458" s="27" t="s">
        <v>1609</v>
      </c>
      <c r="N2458" s="27" t="s">
        <v>1404</v>
      </c>
      <c r="P2458" s="27" t="s">
        <v>4693</v>
      </c>
      <c r="Q2458" s="26" t="str">
        <f>HYPERLINK("https://ictv.global/taxonomy/taxondetails?taxnode_id=202513516&amp;ictv_id=ICTV202113516","ICTV202113516")</f>
        <v>ICTV202113516</v>
      </c>
      <c r="R2458" t="s">
        <v>579</v>
      </c>
      <c r="S2458" t="s">
        <v>823</v>
      </c>
      <c r="T2458">
        <v>37</v>
      </c>
      <c r="U2458" s="26" t="str">
        <f>HYPERLINK("https://ictv.global/ictv/proposals/2021.023B.R.Demerecviridae_new_genera.zip","2021.023B.R.Demerecviridae_new_genera.zip")</f>
        <v>2021.023B.R.Demerecviridae_new_genera.zip</v>
      </c>
    </row>
    <row r="2459" spans="1:21">
      <c r="A2459">
        <v>2458</v>
      </c>
      <c r="B2459" s="27" t="s">
        <v>1449</v>
      </c>
      <c r="D2459" s="27" t="s">
        <v>1450</v>
      </c>
      <c r="F2459" s="27" t="s">
        <v>1453</v>
      </c>
      <c r="H2459" s="27" t="s">
        <v>1454</v>
      </c>
      <c r="L2459" s="27" t="s">
        <v>1609</v>
      </c>
      <c r="N2459" s="27" t="s">
        <v>1617</v>
      </c>
      <c r="P2459" s="27" t="s">
        <v>4694</v>
      </c>
      <c r="Q2459" s="26" t="str">
        <f>HYPERLINK("https://ictv.global/taxonomy/taxondetails?taxnode_id=202508117&amp;ictv_id=ICTV201908117","ICTV201908117")</f>
        <v>ICTV201908117</v>
      </c>
      <c r="R2459" t="s">
        <v>579</v>
      </c>
      <c r="S2459" t="s">
        <v>824</v>
      </c>
      <c r="T2459">
        <v>37</v>
      </c>
      <c r="U2459" s="26" t="str">
        <f>HYPERLINK("https://ictv.global/ictv/proposals/2021.010B.R.Binomial_names.zip","2021.010B.R.Binomial_names.zip")</f>
        <v>2021.010B.R.Binomial_names.zip</v>
      </c>
    </row>
    <row r="2460" spans="1:21">
      <c r="A2460">
        <v>2459</v>
      </c>
      <c r="B2460" s="27" t="s">
        <v>1449</v>
      </c>
      <c r="D2460" s="27" t="s">
        <v>1450</v>
      </c>
      <c r="F2460" s="27" t="s">
        <v>1453</v>
      </c>
      <c r="H2460" s="27" t="s">
        <v>1454</v>
      </c>
      <c r="L2460" s="27" t="s">
        <v>1609</v>
      </c>
      <c r="N2460" s="27" t="s">
        <v>1617</v>
      </c>
      <c r="P2460" s="27" t="s">
        <v>4695</v>
      </c>
      <c r="Q2460" s="26" t="str">
        <f>HYPERLINK("https://ictv.global/taxonomy/taxondetails?taxnode_id=202508116&amp;ictv_id=ICTV201908116","ICTV201908116")</f>
        <v>ICTV201908116</v>
      </c>
      <c r="R2460" t="s">
        <v>579</v>
      </c>
      <c r="S2460" t="s">
        <v>824</v>
      </c>
      <c r="T2460">
        <v>37</v>
      </c>
      <c r="U2460" s="26" t="str">
        <f>HYPERLINK("https://ictv.global/ictv/proposals/2021.010B.R.Binomial_names.zip","2021.010B.R.Binomial_names.zip")</f>
        <v>2021.010B.R.Binomial_names.zip</v>
      </c>
    </row>
    <row r="2461" spans="1:21">
      <c r="A2461">
        <v>2460</v>
      </c>
      <c r="B2461" s="27" t="s">
        <v>1449</v>
      </c>
      <c r="D2461" s="27" t="s">
        <v>1450</v>
      </c>
      <c r="F2461" s="27" t="s">
        <v>1453</v>
      </c>
      <c r="H2461" s="27" t="s">
        <v>1454</v>
      </c>
      <c r="L2461" s="27" t="s">
        <v>1609</v>
      </c>
      <c r="N2461" s="27" t="s">
        <v>1422</v>
      </c>
      <c r="P2461" s="27" t="s">
        <v>11419</v>
      </c>
      <c r="Q2461" s="26" t="str">
        <f>HYPERLINK("https://ictv.global/taxonomy/taxondetails?taxnode_id=202519298&amp;ictv_id=ICTV202319298","ICTV202319298")</f>
        <v>ICTV202319298</v>
      </c>
      <c r="R2461" t="s">
        <v>579</v>
      </c>
      <c r="S2461" t="s">
        <v>823</v>
      </c>
      <c r="T2461">
        <v>39</v>
      </c>
      <c r="U2461" s="26" t="str">
        <f>HYPERLINK("https://ictv.global/ictv/proposals/2023.064B.Sugarlandvirus_16ns.zip","2023.064B.Sugarlandvirus_16ns.zip")</f>
        <v>2023.064B.Sugarlandvirus_16ns.zip</v>
      </c>
    </row>
    <row r="2462" spans="1:21">
      <c r="A2462">
        <v>2461</v>
      </c>
      <c r="B2462" s="27" t="s">
        <v>1449</v>
      </c>
      <c r="D2462" s="27" t="s">
        <v>1450</v>
      </c>
      <c r="F2462" s="27" t="s">
        <v>1453</v>
      </c>
      <c r="H2462" s="27" t="s">
        <v>1454</v>
      </c>
      <c r="L2462" s="27" t="s">
        <v>1609</v>
      </c>
      <c r="N2462" s="27" t="s">
        <v>1422</v>
      </c>
      <c r="P2462" s="27" t="s">
        <v>11420</v>
      </c>
      <c r="Q2462" s="26" t="str">
        <f>HYPERLINK("https://ictv.global/taxonomy/taxondetails?taxnode_id=202519306&amp;ictv_id=ICTV202319306","ICTV202319306")</f>
        <v>ICTV202319306</v>
      </c>
      <c r="R2462" t="s">
        <v>579</v>
      </c>
      <c r="S2462" t="s">
        <v>823</v>
      </c>
      <c r="T2462">
        <v>39</v>
      </c>
      <c r="U2462" s="26" t="str">
        <f>HYPERLINK("https://ictv.global/ictv/proposals/2023.064B.Sugarlandvirus_16ns.zip","2023.064B.Sugarlandvirus_16ns.zip")</f>
        <v>2023.064B.Sugarlandvirus_16ns.zip</v>
      </c>
    </row>
    <row r="2463" spans="1:21">
      <c r="A2463">
        <v>2462</v>
      </c>
      <c r="B2463" s="27" t="s">
        <v>1449</v>
      </c>
      <c r="D2463" s="27" t="s">
        <v>1450</v>
      </c>
      <c r="F2463" s="27" t="s">
        <v>1453</v>
      </c>
      <c r="H2463" s="27" t="s">
        <v>1454</v>
      </c>
      <c r="L2463" s="27" t="s">
        <v>1609</v>
      </c>
      <c r="N2463" s="27" t="s">
        <v>1422</v>
      </c>
      <c r="P2463" s="27" t="s">
        <v>11421</v>
      </c>
      <c r="Q2463" s="26" t="str">
        <f>HYPERLINK("https://ictv.global/taxonomy/taxondetails?taxnode_id=202519307&amp;ictv_id=ICTV202319307","ICTV202319307")</f>
        <v>ICTV202319307</v>
      </c>
      <c r="R2463" t="s">
        <v>579</v>
      </c>
      <c r="S2463" t="s">
        <v>823</v>
      </c>
      <c r="T2463">
        <v>39</v>
      </c>
      <c r="U2463" s="26" t="str">
        <f>HYPERLINK("https://ictv.global/ictv/proposals/2023.064B.Sugarlandvirus_16ns.zip","2023.064B.Sugarlandvirus_16ns.zip")</f>
        <v>2023.064B.Sugarlandvirus_16ns.zip</v>
      </c>
    </row>
    <row r="2464" spans="1:21">
      <c r="A2464">
        <v>2463</v>
      </c>
      <c r="B2464" s="27" t="s">
        <v>1449</v>
      </c>
      <c r="D2464" s="27" t="s">
        <v>1450</v>
      </c>
      <c r="F2464" s="27" t="s">
        <v>1453</v>
      </c>
      <c r="H2464" s="27" t="s">
        <v>1454</v>
      </c>
      <c r="L2464" s="27" t="s">
        <v>1609</v>
      </c>
      <c r="N2464" s="27" t="s">
        <v>1422</v>
      </c>
      <c r="P2464" s="27" t="s">
        <v>11422</v>
      </c>
      <c r="Q2464" s="26" t="str">
        <f>HYPERLINK("https://ictv.global/taxonomy/taxondetails?taxnode_id=202519311&amp;ictv_id=ICTV202319311","ICTV202319311")</f>
        <v>ICTV202319311</v>
      </c>
      <c r="R2464" t="s">
        <v>579</v>
      </c>
      <c r="S2464" t="s">
        <v>823</v>
      </c>
      <c r="T2464">
        <v>39</v>
      </c>
      <c r="U2464" s="26" t="str">
        <f>HYPERLINK("https://ictv.global/ictv/proposals/2023.064B.Sugarlandvirus_16ns.zip","2023.064B.Sugarlandvirus_16ns.zip")</f>
        <v>2023.064B.Sugarlandvirus_16ns.zip</v>
      </c>
    </row>
    <row r="2465" spans="1:21">
      <c r="A2465">
        <v>2464</v>
      </c>
      <c r="B2465" s="27" t="s">
        <v>1449</v>
      </c>
      <c r="D2465" s="27" t="s">
        <v>1450</v>
      </c>
      <c r="F2465" s="27" t="s">
        <v>1453</v>
      </c>
      <c r="H2465" s="27" t="s">
        <v>1454</v>
      </c>
      <c r="L2465" s="27" t="s">
        <v>1609</v>
      </c>
      <c r="N2465" s="27" t="s">
        <v>1422</v>
      </c>
      <c r="P2465" s="27" t="s">
        <v>11423</v>
      </c>
      <c r="Q2465" s="26" t="str">
        <f>HYPERLINK("https://ictv.global/taxonomy/taxondetails?taxnode_id=202519299&amp;ictv_id=ICTV202319299","ICTV202319299")</f>
        <v>ICTV202319299</v>
      </c>
      <c r="R2465" t="s">
        <v>579</v>
      </c>
      <c r="S2465" t="s">
        <v>823</v>
      </c>
      <c r="T2465">
        <v>39</v>
      </c>
      <c r="U2465" s="26" t="str">
        <f>HYPERLINK("https://ictv.global/ictv/proposals/2023.064B.Sugarlandvirus_16ns.zip","2023.064B.Sugarlandvirus_16ns.zip")</f>
        <v>2023.064B.Sugarlandvirus_16ns.zip</v>
      </c>
    </row>
    <row r="2466" spans="1:21">
      <c r="A2466">
        <v>2465</v>
      </c>
      <c r="B2466" s="27" t="s">
        <v>1449</v>
      </c>
      <c r="D2466" s="27" t="s">
        <v>1450</v>
      </c>
      <c r="F2466" s="27" t="s">
        <v>1453</v>
      </c>
      <c r="H2466" s="27" t="s">
        <v>1454</v>
      </c>
      <c r="L2466" s="27" t="s">
        <v>1609</v>
      </c>
      <c r="N2466" s="27" t="s">
        <v>1422</v>
      </c>
      <c r="P2466" s="27" t="s">
        <v>4696</v>
      </c>
      <c r="Q2466" s="26" t="str">
        <f>HYPERLINK("https://ictv.global/taxonomy/taxondetails?taxnode_id=202507065&amp;ictv_id=ICTV201857065","ICTV201857065")</f>
        <v>ICTV201857065</v>
      </c>
      <c r="R2466" t="s">
        <v>579</v>
      </c>
      <c r="S2466" t="s">
        <v>824</v>
      </c>
      <c r="T2466">
        <v>37</v>
      </c>
      <c r="U2466" s="26" t="str">
        <f>HYPERLINK("https://ictv.global/ictv/proposals/2021.010B.R.Binomial_names.zip","2021.010B.R.Binomial_names.zip")</f>
        <v>2021.010B.R.Binomial_names.zip</v>
      </c>
    </row>
    <row r="2467" spans="1:21">
      <c r="A2467">
        <v>2466</v>
      </c>
      <c r="B2467" s="27" t="s">
        <v>1449</v>
      </c>
      <c r="D2467" s="27" t="s">
        <v>1450</v>
      </c>
      <c r="F2467" s="27" t="s">
        <v>1453</v>
      </c>
      <c r="H2467" s="27" t="s">
        <v>1454</v>
      </c>
      <c r="L2467" s="27" t="s">
        <v>1609</v>
      </c>
      <c r="N2467" s="27" t="s">
        <v>1422</v>
      </c>
      <c r="P2467" s="27" t="s">
        <v>11424</v>
      </c>
      <c r="Q2467" s="26" t="str">
        <f>HYPERLINK("https://ictv.global/taxonomy/taxondetails?taxnode_id=202519301&amp;ictv_id=ICTV202319301","ICTV202319301")</f>
        <v>ICTV202319301</v>
      </c>
      <c r="R2467" t="s">
        <v>579</v>
      </c>
      <c r="S2467" t="s">
        <v>823</v>
      </c>
      <c r="T2467">
        <v>39</v>
      </c>
      <c r="U2467" s="26" t="str">
        <f t="shared" ref="U2467:U2472" si="88">HYPERLINK("https://ictv.global/ictv/proposals/2023.064B.Sugarlandvirus_16ns.zip","2023.064B.Sugarlandvirus_16ns.zip")</f>
        <v>2023.064B.Sugarlandvirus_16ns.zip</v>
      </c>
    </row>
    <row r="2468" spans="1:21">
      <c r="A2468">
        <v>2467</v>
      </c>
      <c r="B2468" s="27" t="s">
        <v>1449</v>
      </c>
      <c r="D2468" s="27" t="s">
        <v>1450</v>
      </c>
      <c r="F2468" s="27" t="s">
        <v>1453</v>
      </c>
      <c r="H2468" s="27" t="s">
        <v>1454</v>
      </c>
      <c r="L2468" s="27" t="s">
        <v>1609</v>
      </c>
      <c r="N2468" s="27" t="s">
        <v>1422</v>
      </c>
      <c r="P2468" s="27" t="s">
        <v>11425</v>
      </c>
      <c r="Q2468" s="26" t="str">
        <f>HYPERLINK("https://ictv.global/taxonomy/taxondetails?taxnode_id=202519303&amp;ictv_id=ICTV202319303","ICTV202319303")</f>
        <v>ICTV202319303</v>
      </c>
      <c r="R2468" t="s">
        <v>579</v>
      </c>
      <c r="S2468" t="s">
        <v>823</v>
      </c>
      <c r="T2468">
        <v>39</v>
      </c>
      <c r="U2468" s="26" t="str">
        <f t="shared" si="88"/>
        <v>2023.064B.Sugarlandvirus_16ns.zip</v>
      </c>
    </row>
    <row r="2469" spans="1:21">
      <c r="A2469">
        <v>2468</v>
      </c>
      <c r="B2469" s="27" t="s">
        <v>1449</v>
      </c>
      <c r="D2469" s="27" t="s">
        <v>1450</v>
      </c>
      <c r="F2469" s="27" t="s">
        <v>1453</v>
      </c>
      <c r="H2469" s="27" t="s">
        <v>1454</v>
      </c>
      <c r="L2469" s="27" t="s">
        <v>1609</v>
      </c>
      <c r="N2469" s="27" t="s">
        <v>1422</v>
      </c>
      <c r="P2469" s="27" t="s">
        <v>11426</v>
      </c>
      <c r="Q2469" s="26" t="str">
        <f>HYPERLINK("https://ictv.global/taxonomy/taxondetails?taxnode_id=202519300&amp;ictv_id=ICTV202319300","ICTV202319300")</f>
        <v>ICTV202319300</v>
      </c>
      <c r="R2469" t="s">
        <v>579</v>
      </c>
      <c r="S2469" t="s">
        <v>823</v>
      </c>
      <c r="T2469">
        <v>39</v>
      </c>
      <c r="U2469" s="26" t="str">
        <f t="shared" si="88"/>
        <v>2023.064B.Sugarlandvirus_16ns.zip</v>
      </c>
    </row>
    <row r="2470" spans="1:21">
      <c r="A2470">
        <v>2469</v>
      </c>
      <c r="B2470" s="27" t="s">
        <v>1449</v>
      </c>
      <c r="D2470" s="27" t="s">
        <v>1450</v>
      </c>
      <c r="F2470" s="27" t="s">
        <v>1453</v>
      </c>
      <c r="H2470" s="27" t="s">
        <v>1454</v>
      </c>
      <c r="L2470" s="27" t="s">
        <v>1609</v>
      </c>
      <c r="N2470" s="27" t="s">
        <v>1422</v>
      </c>
      <c r="P2470" s="27" t="s">
        <v>11427</v>
      </c>
      <c r="Q2470" s="26" t="str">
        <f>HYPERLINK("https://ictv.global/taxonomy/taxondetails?taxnode_id=202519312&amp;ictv_id=ICTV202319312","ICTV202319312")</f>
        <v>ICTV202319312</v>
      </c>
      <c r="R2470" t="s">
        <v>579</v>
      </c>
      <c r="S2470" t="s">
        <v>823</v>
      </c>
      <c r="T2470">
        <v>39</v>
      </c>
      <c r="U2470" s="26" t="str">
        <f t="shared" si="88"/>
        <v>2023.064B.Sugarlandvirus_16ns.zip</v>
      </c>
    </row>
    <row r="2471" spans="1:21">
      <c r="A2471">
        <v>2470</v>
      </c>
      <c r="B2471" s="27" t="s">
        <v>1449</v>
      </c>
      <c r="D2471" s="27" t="s">
        <v>1450</v>
      </c>
      <c r="F2471" s="27" t="s">
        <v>1453</v>
      </c>
      <c r="H2471" s="27" t="s">
        <v>1454</v>
      </c>
      <c r="L2471" s="27" t="s">
        <v>1609</v>
      </c>
      <c r="N2471" s="27" t="s">
        <v>1422</v>
      </c>
      <c r="P2471" s="27" t="s">
        <v>11428</v>
      </c>
      <c r="Q2471" s="26" t="str">
        <f>HYPERLINK("https://ictv.global/taxonomy/taxondetails?taxnode_id=202519308&amp;ictv_id=ICTV202319308","ICTV202319308")</f>
        <v>ICTV202319308</v>
      </c>
      <c r="R2471" t="s">
        <v>579</v>
      </c>
      <c r="S2471" t="s">
        <v>823</v>
      </c>
      <c r="T2471">
        <v>39</v>
      </c>
      <c r="U2471" s="26" t="str">
        <f t="shared" si="88"/>
        <v>2023.064B.Sugarlandvirus_16ns.zip</v>
      </c>
    </row>
    <row r="2472" spans="1:21">
      <c r="A2472">
        <v>2471</v>
      </c>
      <c r="B2472" s="27" t="s">
        <v>1449</v>
      </c>
      <c r="D2472" s="27" t="s">
        <v>1450</v>
      </c>
      <c r="F2472" s="27" t="s">
        <v>1453</v>
      </c>
      <c r="H2472" s="27" t="s">
        <v>1454</v>
      </c>
      <c r="L2472" s="27" t="s">
        <v>1609</v>
      </c>
      <c r="N2472" s="27" t="s">
        <v>1422</v>
      </c>
      <c r="P2472" s="27" t="s">
        <v>11429</v>
      </c>
      <c r="Q2472" s="26" t="str">
        <f>HYPERLINK("https://ictv.global/taxonomy/taxondetails?taxnode_id=202519305&amp;ictv_id=ICTV202319305","ICTV202319305")</f>
        <v>ICTV202319305</v>
      </c>
      <c r="R2472" t="s">
        <v>579</v>
      </c>
      <c r="S2472" t="s">
        <v>823</v>
      </c>
      <c r="T2472">
        <v>39</v>
      </c>
      <c r="U2472" s="26" t="str">
        <f t="shared" si="88"/>
        <v>2023.064B.Sugarlandvirus_16ns.zip</v>
      </c>
    </row>
    <row r="2473" spans="1:21">
      <c r="A2473">
        <v>2472</v>
      </c>
      <c r="B2473" s="27" t="s">
        <v>1449</v>
      </c>
      <c r="D2473" s="27" t="s">
        <v>1450</v>
      </c>
      <c r="F2473" s="27" t="s">
        <v>1453</v>
      </c>
      <c r="H2473" s="27" t="s">
        <v>1454</v>
      </c>
      <c r="L2473" s="27" t="s">
        <v>1609</v>
      </c>
      <c r="N2473" s="27" t="s">
        <v>1422</v>
      </c>
      <c r="P2473" s="27" t="s">
        <v>4697</v>
      </c>
      <c r="Q2473" s="26" t="str">
        <f>HYPERLINK("https://ictv.global/taxonomy/taxondetails?taxnode_id=202507064&amp;ictv_id=ICTV201857064","ICTV201857064")</f>
        <v>ICTV201857064</v>
      </c>
      <c r="R2473" t="s">
        <v>579</v>
      </c>
      <c r="S2473" t="s">
        <v>824</v>
      </c>
      <c r="T2473">
        <v>37</v>
      </c>
      <c r="U2473" s="26" t="str">
        <f>HYPERLINK("https://ictv.global/ictv/proposals/2021.010B.R.Binomial_names.zip","2021.010B.R.Binomial_names.zip")</f>
        <v>2021.010B.R.Binomial_names.zip</v>
      </c>
    </row>
    <row r="2474" spans="1:21">
      <c r="A2474">
        <v>2473</v>
      </c>
      <c r="B2474" s="27" t="s">
        <v>1449</v>
      </c>
      <c r="D2474" s="27" t="s">
        <v>1450</v>
      </c>
      <c r="F2474" s="27" t="s">
        <v>1453</v>
      </c>
      <c r="H2474" s="27" t="s">
        <v>1454</v>
      </c>
      <c r="L2474" s="27" t="s">
        <v>1609</v>
      </c>
      <c r="N2474" s="27" t="s">
        <v>1422</v>
      </c>
      <c r="P2474" s="27" t="s">
        <v>11430</v>
      </c>
      <c r="Q2474" s="26" t="str">
        <f>HYPERLINK("https://ictv.global/taxonomy/taxondetails?taxnode_id=202519304&amp;ictv_id=ICTV202319304","ICTV202319304")</f>
        <v>ICTV202319304</v>
      </c>
      <c r="R2474" t="s">
        <v>579</v>
      </c>
      <c r="S2474" t="s">
        <v>823</v>
      </c>
      <c r="T2474">
        <v>39</v>
      </c>
      <c r="U2474" s="26" t="str">
        <f>HYPERLINK("https://ictv.global/ictv/proposals/2023.064B.Sugarlandvirus_16ns.zip","2023.064B.Sugarlandvirus_16ns.zip")</f>
        <v>2023.064B.Sugarlandvirus_16ns.zip</v>
      </c>
    </row>
    <row r="2475" spans="1:21">
      <c r="A2475">
        <v>2474</v>
      </c>
      <c r="B2475" s="27" t="s">
        <v>1449</v>
      </c>
      <c r="D2475" s="27" t="s">
        <v>1450</v>
      </c>
      <c r="F2475" s="27" t="s">
        <v>1453</v>
      </c>
      <c r="H2475" s="27" t="s">
        <v>1454</v>
      </c>
      <c r="L2475" s="27" t="s">
        <v>1609</v>
      </c>
      <c r="N2475" s="27" t="s">
        <v>1422</v>
      </c>
      <c r="P2475" s="27" t="s">
        <v>11431</v>
      </c>
      <c r="Q2475" s="26" t="str">
        <f>HYPERLINK("https://ictv.global/taxonomy/taxondetails?taxnode_id=202519310&amp;ictv_id=ICTV202319310","ICTV202319310")</f>
        <v>ICTV202319310</v>
      </c>
      <c r="R2475" t="s">
        <v>579</v>
      </c>
      <c r="S2475" t="s">
        <v>823</v>
      </c>
      <c r="T2475">
        <v>39</v>
      </c>
      <c r="U2475" s="26" t="str">
        <f>HYPERLINK("https://ictv.global/ictv/proposals/2023.064B.Sugarlandvirus_16ns.zip","2023.064B.Sugarlandvirus_16ns.zip")</f>
        <v>2023.064B.Sugarlandvirus_16ns.zip</v>
      </c>
    </row>
    <row r="2476" spans="1:21">
      <c r="A2476">
        <v>2475</v>
      </c>
      <c r="B2476" s="27" t="s">
        <v>1449</v>
      </c>
      <c r="D2476" s="27" t="s">
        <v>1450</v>
      </c>
      <c r="F2476" s="27" t="s">
        <v>1453</v>
      </c>
      <c r="H2476" s="27" t="s">
        <v>1454</v>
      </c>
      <c r="L2476" s="27" t="s">
        <v>1609</v>
      </c>
      <c r="N2476" s="27" t="s">
        <v>1422</v>
      </c>
      <c r="P2476" s="27" t="s">
        <v>11432</v>
      </c>
      <c r="Q2476" s="26" t="str">
        <f>HYPERLINK("https://ictv.global/taxonomy/taxondetails?taxnode_id=202519309&amp;ictv_id=ICTV202319309","ICTV202319309")</f>
        <v>ICTV202319309</v>
      </c>
      <c r="R2476" t="s">
        <v>579</v>
      </c>
      <c r="S2476" t="s">
        <v>823</v>
      </c>
      <c r="T2476">
        <v>39</v>
      </c>
      <c r="U2476" s="26" t="str">
        <f>HYPERLINK("https://ictv.global/ictv/proposals/2023.064B.Sugarlandvirus_16ns.zip","2023.064B.Sugarlandvirus_16ns.zip")</f>
        <v>2023.064B.Sugarlandvirus_16ns.zip</v>
      </c>
    </row>
    <row r="2477" spans="1:21">
      <c r="A2477">
        <v>2476</v>
      </c>
      <c r="B2477" s="27" t="s">
        <v>1449</v>
      </c>
      <c r="D2477" s="27" t="s">
        <v>1450</v>
      </c>
      <c r="F2477" s="27" t="s">
        <v>1453</v>
      </c>
      <c r="H2477" s="27" t="s">
        <v>1454</v>
      </c>
      <c r="L2477" s="27" t="s">
        <v>1609</v>
      </c>
      <c r="N2477" s="27" t="s">
        <v>1422</v>
      </c>
      <c r="P2477" s="27" t="s">
        <v>11433</v>
      </c>
      <c r="Q2477" s="26" t="str">
        <f>HYPERLINK("https://ictv.global/taxonomy/taxondetails?taxnode_id=202519302&amp;ictv_id=ICTV202319302","ICTV202319302")</f>
        <v>ICTV202319302</v>
      </c>
      <c r="R2477" t="s">
        <v>579</v>
      </c>
      <c r="S2477" t="s">
        <v>823</v>
      </c>
      <c r="T2477">
        <v>39</v>
      </c>
      <c r="U2477" s="26" t="str">
        <f>HYPERLINK("https://ictv.global/ictv/proposals/2023.064B.Sugarlandvirus_16ns.zip","2023.064B.Sugarlandvirus_16ns.zip")</f>
        <v>2023.064B.Sugarlandvirus_16ns.zip</v>
      </c>
    </row>
    <row r="2478" spans="1:21">
      <c r="A2478">
        <v>2477</v>
      </c>
      <c r="B2478" s="27" t="s">
        <v>1449</v>
      </c>
      <c r="D2478" s="27" t="s">
        <v>1450</v>
      </c>
      <c r="F2478" s="27" t="s">
        <v>1453</v>
      </c>
      <c r="H2478" s="27" t="s">
        <v>1454</v>
      </c>
      <c r="L2478" s="27" t="s">
        <v>1609</v>
      </c>
      <c r="N2478" s="27" t="s">
        <v>1422</v>
      </c>
      <c r="P2478" s="27" t="s">
        <v>11434</v>
      </c>
      <c r="Q2478" s="26" t="str">
        <f>HYPERLINK("https://ictv.global/taxonomy/taxondetails?taxnode_id=202519297&amp;ictv_id=ICTV202319297","ICTV202319297")</f>
        <v>ICTV202319297</v>
      </c>
      <c r="R2478" t="s">
        <v>579</v>
      </c>
      <c r="S2478" t="s">
        <v>823</v>
      </c>
      <c r="T2478">
        <v>39</v>
      </c>
      <c r="U2478" s="26" t="str">
        <f>HYPERLINK("https://ictv.global/ictv/proposals/2023.064B.Sugarlandvirus_16ns.zip","2023.064B.Sugarlandvirus_16ns.zip")</f>
        <v>2023.064B.Sugarlandvirus_16ns.zip</v>
      </c>
    </row>
    <row r="2479" spans="1:21">
      <c r="A2479">
        <v>2478</v>
      </c>
      <c r="B2479" s="27" t="s">
        <v>1449</v>
      </c>
      <c r="D2479" s="27" t="s">
        <v>1450</v>
      </c>
      <c r="F2479" s="27" t="s">
        <v>1453</v>
      </c>
      <c r="H2479" s="27" t="s">
        <v>1454</v>
      </c>
      <c r="L2479" s="27" t="s">
        <v>1618</v>
      </c>
      <c r="M2479" s="27" t="s">
        <v>1619</v>
      </c>
      <c r="N2479" s="27" t="s">
        <v>11435</v>
      </c>
      <c r="P2479" s="27" t="s">
        <v>11436</v>
      </c>
      <c r="Q2479" s="26" t="str">
        <f>HYPERLINK("https://ictv.global/taxonomy/taxondetails?taxnode_id=202517952&amp;ictv_id=ICTV202317952","ICTV202317952")</f>
        <v>ICTV202317952</v>
      </c>
      <c r="R2479" t="s">
        <v>579</v>
      </c>
      <c r="S2479" t="s">
        <v>823</v>
      </c>
      <c r="T2479">
        <v>39</v>
      </c>
      <c r="U2479" s="26" t="str">
        <f>HYPERLINK("https://ictv.global/ictv/proposals/2023.011B.Braunvirinae_3ng.zip","2023.011B.Braunvirinae_3ng.zip")</f>
        <v>2023.011B.Braunvirinae_3ng.zip</v>
      </c>
    </row>
    <row r="2480" spans="1:21">
      <c r="A2480">
        <v>2479</v>
      </c>
      <c r="B2480" s="27" t="s">
        <v>1449</v>
      </c>
      <c r="D2480" s="27" t="s">
        <v>1450</v>
      </c>
      <c r="F2480" s="27" t="s">
        <v>1453</v>
      </c>
      <c r="H2480" s="27" t="s">
        <v>1454</v>
      </c>
      <c r="L2480" s="27" t="s">
        <v>1618</v>
      </c>
      <c r="M2480" s="27" t="s">
        <v>1619</v>
      </c>
      <c r="N2480" s="27" t="s">
        <v>1620</v>
      </c>
      <c r="P2480" s="27" t="s">
        <v>4698</v>
      </c>
      <c r="Q2480" s="26" t="str">
        <f>HYPERLINK("https://ictv.global/taxonomy/taxondetails?taxnode_id=202508146&amp;ictv_id=ICTV201908146","ICTV201908146")</f>
        <v>ICTV201908146</v>
      </c>
      <c r="R2480" t="s">
        <v>579</v>
      </c>
      <c r="S2480" t="s">
        <v>824</v>
      </c>
      <c r="T2480">
        <v>37</v>
      </c>
      <c r="U2480" s="26" t="str">
        <f>HYPERLINK("https://ictv.global/ictv/proposals/2021.010B.R.Binomial_names.zip","2021.010B.R.Binomial_names.zip")</f>
        <v>2021.010B.R.Binomial_names.zip</v>
      </c>
    </row>
    <row r="2481" spans="1:21">
      <c r="A2481">
        <v>2480</v>
      </c>
      <c r="B2481" s="27" t="s">
        <v>1449</v>
      </c>
      <c r="D2481" s="27" t="s">
        <v>1450</v>
      </c>
      <c r="F2481" s="27" t="s">
        <v>1453</v>
      </c>
      <c r="H2481" s="27" t="s">
        <v>1454</v>
      </c>
      <c r="L2481" s="27" t="s">
        <v>1618</v>
      </c>
      <c r="M2481" s="27" t="s">
        <v>1619</v>
      </c>
      <c r="N2481" s="27" t="s">
        <v>1621</v>
      </c>
      <c r="P2481" s="27" t="s">
        <v>4699</v>
      </c>
      <c r="Q2481" s="26" t="str">
        <f>HYPERLINK("https://ictv.global/taxonomy/taxondetails?taxnode_id=202500822&amp;ictv_id=ICTV20150815","ICTV20150815")</f>
        <v>ICTV20150815</v>
      </c>
      <c r="R2481" t="s">
        <v>579</v>
      </c>
      <c r="S2481" t="s">
        <v>824</v>
      </c>
      <c r="T2481">
        <v>37</v>
      </c>
      <c r="U2481" s="26" t="str">
        <f>HYPERLINK("https://ictv.global/ictv/proposals/2021.010B.R.Binomial_names.zip","2021.010B.R.Binomial_names.zip")</f>
        <v>2021.010B.R.Binomial_names.zip</v>
      </c>
    </row>
    <row r="2482" spans="1:21">
      <c r="A2482">
        <v>2481</v>
      </c>
      <c r="B2482" s="27" t="s">
        <v>1449</v>
      </c>
      <c r="D2482" s="27" t="s">
        <v>1450</v>
      </c>
      <c r="F2482" s="27" t="s">
        <v>1453</v>
      </c>
      <c r="H2482" s="27" t="s">
        <v>1454</v>
      </c>
      <c r="L2482" s="27" t="s">
        <v>1618</v>
      </c>
      <c r="M2482" s="27" t="s">
        <v>1619</v>
      </c>
      <c r="N2482" s="27" t="s">
        <v>1621</v>
      </c>
      <c r="P2482" s="27" t="s">
        <v>11437</v>
      </c>
      <c r="Q2482" s="26" t="str">
        <f>HYPERLINK("https://ictv.global/taxonomy/taxondetails?taxnode_id=202517959&amp;ictv_id=ICTV202317959","ICTV202317959")</f>
        <v>ICTV202317959</v>
      </c>
      <c r="R2482" t="s">
        <v>579</v>
      </c>
      <c r="S2482" t="s">
        <v>823</v>
      </c>
      <c r="T2482">
        <v>39</v>
      </c>
      <c r="U2482" s="26" t="str">
        <f>HYPERLINK("https://ictv.global/ictv/proposals/2023.011B.Braunvirinae_3ng.zip","2023.011B.Braunvirinae_3ng.zip")</f>
        <v>2023.011B.Braunvirinae_3ng.zip</v>
      </c>
    </row>
    <row r="2483" spans="1:21">
      <c r="A2483">
        <v>2482</v>
      </c>
      <c r="B2483" s="27" t="s">
        <v>1449</v>
      </c>
      <c r="D2483" s="27" t="s">
        <v>1450</v>
      </c>
      <c r="F2483" s="27" t="s">
        <v>1453</v>
      </c>
      <c r="H2483" s="27" t="s">
        <v>1454</v>
      </c>
      <c r="L2483" s="27" t="s">
        <v>1618</v>
      </c>
      <c r="M2483" s="27" t="s">
        <v>1619</v>
      </c>
      <c r="N2483" s="27" t="s">
        <v>11438</v>
      </c>
      <c r="P2483" s="27" t="s">
        <v>11439</v>
      </c>
      <c r="Q2483" s="26" t="str">
        <f>HYPERLINK("https://ictv.global/taxonomy/taxondetails?taxnode_id=202517951&amp;ictv_id=ICTV202317951","ICTV202317951")</f>
        <v>ICTV202317951</v>
      </c>
      <c r="R2483" t="s">
        <v>579</v>
      </c>
      <c r="S2483" t="s">
        <v>823</v>
      </c>
      <c r="T2483">
        <v>39</v>
      </c>
      <c r="U2483" s="26" t="str">
        <f>HYPERLINK("https://ictv.global/ictv/proposals/2023.011B.Braunvirinae_3ng.zip","2023.011B.Braunvirinae_3ng.zip")</f>
        <v>2023.011B.Braunvirinae_3ng.zip</v>
      </c>
    </row>
    <row r="2484" spans="1:21">
      <c r="A2484">
        <v>2483</v>
      </c>
      <c r="B2484" s="27" t="s">
        <v>1449</v>
      </c>
      <c r="D2484" s="27" t="s">
        <v>1450</v>
      </c>
      <c r="F2484" s="27" t="s">
        <v>1453</v>
      </c>
      <c r="H2484" s="27" t="s">
        <v>1454</v>
      </c>
      <c r="L2484" s="27" t="s">
        <v>1618</v>
      </c>
      <c r="M2484" s="27" t="s">
        <v>1619</v>
      </c>
      <c r="N2484" s="27" t="s">
        <v>11440</v>
      </c>
      <c r="P2484" s="27" t="s">
        <v>11441</v>
      </c>
      <c r="Q2484" s="26" t="str">
        <f>HYPERLINK("https://ictv.global/taxonomy/taxondetails?taxnode_id=202517953&amp;ictv_id=ICTV202317953","ICTV202317953")</f>
        <v>ICTV202317953</v>
      </c>
      <c r="R2484" t="s">
        <v>579</v>
      </c>
      <c r="S2484" t="s">
        <v>823</v>
      </c>
      <c r="T2484">
        <v>39</v>
      </c>
      <c r="U2484" s="26" t="str">
        <f>HYPERLINK("https://ictv.global/ictv/proposals/2023.011B.Braunvirinae_3ng.zip","2023.011B.Braunvirinae_3ng.zip")</f>
        <v>2023.011B.Braunvirinae_3ng.zip</v>
      </c>
    </row>
    <row r="2485" spans="1:21">
      <c r="A2485">
        <v>2484</v>
      </c>
      <c r="B2485" s="27" t="s">
        <v>1449</v>
      </c>
      <c r="D2485" s="27" t="s">
        <v>1450</v>
      </c>
      <c r="F2485" s="27" t="s">
        <v>1453</v>
      </c>
      <c r="H2485" s="27" t="s">
        <v>1454</v>
      </c>
      <c r="L2485" s="27" t="s">
        <v>1618</v>
      </c>
      <c r="M2485" s="27" t="s">
        <v>1619</v>
      </c>
      <c r="N2485" s="27" t="s">
        <v>1622</v>
      </c>
      <c r="P2485" s="27" t="s">
        <v>4700</v>
      </c>
      <c r="Q2485" s="26" t="str">
        <f>HYPERLINK("https://ictv.global/taxonomy/taxondetails?taxnode_id=202508148&amp;ictv_id=ICTV201908148","ICTV201908148")</f>
        <v>ICTV201908148</v>
      </c>
      <c r="R2485" t="s">
        <v>579</v>
      </c>
      <c r="S2485" t="s">
        <v>824</v>
      </c>
      <c r="T2485">
        <v>37</v>
      </c>
      <c r="U2485" s="26" t="str">
        <f>HYPERLINK("https://ictv.global/ictv/proposals/2021.010B.R.Binomial_names.zip","2021.010B.R.Binomial_names.zip")</f>
        <v>2021.010B.R.Binomial_names.zip</v>
      </c>
    </row>
    <row r="2486" spans="1:21">
      <c r="A2486">
        <v>2485</v>
      </c>
      <c r="B2486" s="27" t="s">
        <v>1449</v>
      </c>
      <c r="D2486" s="27" t="s">
        <v>1450</v>
      </c>
      <c r="F2486" s="27" t="s">
        <v>1453</v>
      </c>
      <c r="H2486" s="27" t="s">
        <v>1454</v>
      </c>
      <c r="L2486" s="27" t="s">
        <v>1618</v>
      </c>
      <c r="M2486" s="27" t="s">
        <v>1619</v>
      </c>
      <c r="N2486" s="27" t="s">
        <v>1622</v>
      </c>
      <c r="P2486" s="27" t="s">
        <v>11442</v>
      </c>
      <c r="Q2486" s="26" t="str">
        <f>HYPERLINK("https://ictv.global/taxonomy/taxondetails?taxnode_id=202508150&amp;ictv_id=ICTV201908150","ICTV201908150")</f>
        <v>ICTV201908150</v>
      </c>
      <c r="R2486" t="s">
        <v>579</v>
      </c>
      <c r="S2486" t="s">
        <v>22764</v>
      </c>
      <c r="T2486">
        <v>39</v>
      </c>
      <c r="U2486" s="26" t="str">
        <f>HYPERLINK("https://ictv.global/ictv/proposals/2023.011B.Braunvirinae_3ng.zip","2023.011B.Braunvirinae_3ng.zip")</f>
        <v>2023.011B.Braunvirinae_3ng.zip</v>
      </c>
    </row>
    <row r="2487" spans="1:21">
      <c r="A2487">
        <v>2486</v>
      </c>
      <c r="B2487" s="27" t="s">
        <v>1449</v>
      </c>
      <c r="D2487" s="27" t="s">
        <v>1450</v>
      </c>
      <c r="F2487" s="27" t="s">
        <v>1453</v>
      </c>
      <c r="H2487" s="27" t="s">
        <v>1454</v>
      </c>
      <c r="L2487" s="27" t="s">
        <v>1618</v>
      </c>
      <c r="M2487" s="27" t="s">
        <v>1619</v>
      </c>
      <c r="N2487" s="27" t="s">
        <v>607</v>
      </c>
      <c r="P2487" s="27" t="s">
        <v>4701</v>
      </c>
      <c r="Q2487" s="26" t="str">
        <f>HYPERLINK("https://ictv.global/taxonomy/taxondetails?taxnode_id=202508144&amp;ictv_id=ICTV201908144","ICTV201908144")</f>
        <v>ICTV201908144</v>
      </c>
      <c r="R2487" t="s">
        <v>579</v>
      </c>
      <c r="S2487" t="s">
        <v>824</v>
      </c>
      <c r="T2487">
        <v>37</v>
      </c>
      <c r="U2487" s="26" t="str">
        <f>HYPERLINK("https://ictv.global/ictv/proposals/2021.010B.R.Binomial_names.zip","2021.010B.R.Binomial_names.zip")</f>
        <v>2021.010B.R.Binomial_names.zip</v>
      </c>
    </row>
    <row r="2488" spans="1:21">
      <c r="A2488">
        <v>2487</v>
      </c>
      <c r="B2488" s="27" t="s">
        <v>1449</v>
      </c>
      <c r="D2488" s="27" t="s">
        <v>1450</v>
      </c>
      <c r="F2488" s="27" t="s">
        <v>1453</v>
      </c>
      <c r="H2488" s="27" t="s">
        <v>1454</v>
      </c>
      <c r="L2488" s="27" t="s">
        <v>1618</v>
      </c>
      <c r="M2488" s="27" t="s">
        <v>1619</v>
      </c>
      <c r="N2488" s="27" t="s">
        <v>607</v>
      </c>
      <c r="P2488" s="27" t="s">
        <v>4702</v>
      </c>
      <c r="Q2488" s="26" t="str">
        <f>HYPERLINK("https://ictv.global/taxonomy/taxondetails?taxnode_id=202500823&amp;ictv_id=ICTV20125848","ICTV20125848")</f>
        <v>ICTV20125848</v>
      </c>
      <c r="R2488" t="s">
        <v>579</v>
      </c>
      <c r="S2488" t="s">
        <v>824</v>
      </c>
      <c r="T2488">
        <v>37</v>
      </c>
      <c r="U2488" s="26" t="str">
        <f>HYPERLINK("https://ictv.global/ictv/proposals/2021.010B.R.Binomial_names.zip","2021.010B.R.Binomial_names.zip")</f>
        <v>2021.010B.R.Binomial_names.zip</v>
      </c>
    </row>
    <row r="2489" spans="1:21">
      <c r="A2489">
        <v>2488</v>
      </c>
      <c r="B2489" s="27" t="s">
        <v>1449</v>
      </c>
      <c r="D2489" s="27" t="s">
        <v>1450</v>
      </c>
      <c r="F2489" s="27" t="s">
        <v>1453</v>
      </c>
      <c r="H2489" s="27" t="s">
        <v>1454</v>
      </c>
      <c r="L2489" s="27" t="s">
        <v>1618</v>
      </c>
      <c r="M2489" s="27" t="s">
        <v>1619</v>
      </c>
      <c r="N2489" s="27" t="s">
        <v>607</v>
      </c>
      <c r="P2489" s="27" t="s">
        <v>11443</v>
      </c>
      <c r="Q2489" s="26" t="str">
        <f>HYPERLINK("https://ictv.global/taxonomy/taxondetails?taxnode_id=202517954&amp;ictv_id=ICTV202317954","ICTV202317954")</f>
        <v>ICTV202317954</v>
      </c>
      <c r="R2489" t="s">
        <v>579</v>
      </c>
      <c r="S2489" t="s">
        <v>823</v>
      </c>
      <c r="T2489">
        <v>39</v>
      </c>
      <c r="U2489" s="26" t="str">
        <f>HYPERLINK("https://ictv.global/ictv/proposals/2023.011B.Braunvirinae_3ng.zip","2023.011B.Braunvirinae_3ng.zip")</f>
        <v>2023.011B.Braunvirinae_3ng.zip</v>
      </c>
    </row>
    <row r="2490" spans="1:21">
      <c r="A2490">
        <v>2489</v>
      </c>
      <c r="B2490" s="27" t="s">
        <v>1449</v>
      </c>
      <c r="D2490" s="27" t="s">
        <v>1450</v>
      </c>
      <c r="F2490" s="27" t="s">
        <v>1453</v>
      </c>
      <c r="H2490" s="27" t="s">
        <v>1454</v>
      </c>
      <c r="L2490" s="27" t="s">
        <v>1618</v>
      </c>
      <c r="M2490" s="27" t="s">
        <v>1619</v>
      </c>
      <c r="N2490" s="27" t="s">
        <v>2048</v>
      </c>
      <c r="P2490" s="27" t="s">
        <v>11444</v>
      </c>
      <c r="Q2490" s="26" t="str">
        <f>HYPERLINK("https://ictv.global/taxonomy/taxondetails?taxnode_id=202517955&amp;ictv_id=ICTV202317955","ICTV202317955")</f>
        <v>ICTV202317955</v>
      </c>
      <c r="R2490" t="s">
        <v>579</v>
      </c>
      <c r="S2490" t="s">
        <v>823</v>
      </c>
      <c r="T2490">
        <v>39</v>
      </c>
      <c r="U2490" s="26" t="str">
        <f>HYPERLINK("https://ictv.global/ictv/proposals/2023.011B.Braunvirinae_3ng.zip","2023.011B.Braunvirinae_3ng.zip")</f>
        <v>2023.011B.Braunvirinae_3ng.zip</v>
      </c>
    </row>
    <row r="2491" spans="1:21">
      <c r="A2491">
        <v>2490</v>
      </c>
      <c r="B2491" s="27" t="s">
        <v>1449</v>
      </c>
      <c r="D2491" s="27" t="s">
        <v>1450</v>
      </c>
      <c r="F2491" s="27" t="s">
        <v>1453</v>
      </c>
      <c r="H2491" s="27" t="s">
        <v>1454</v>
      </c>
      <c r="L2491" s="27" t="s">
        <v>1618</v>
      </c>
      <c r="M2491" s="27" t="s">
        <v>1619</v>
      </c>
      <c r="N2491" s="27" t="s">
        <v>2048</v>
      </c>
      <c r="P2491" s="27" t="s">
        <v>11445</v>
      </c>
      <c r="Q2491" s="26" t="str">
        <f>HYPERLINK("https://ictv.global/taxonomy/taxondetails?taxnode_id=202517956&amp;ictv_id=ICTV202317956","ICTV202317956")</f>
        <v>ICTV202317956</v>
      </c>
      <c r="R2491" t="s">
        <v>579</v>
      </c>
      <c r="S2491" t="s">
        <v>823</v>
      </c>
      <c r="T2491">
        <v>39</v>
      </c>
      <c r="U2491" s="26" t="str">
        <f>HYPERLINK("https://ictv.global/ictv/proposals/2023.011B.Braunvirinae_3ng.zip","2023.011B.Braunvirinae_3ng.zip")</f>
        <v>2023.011B.Braunvirinae_3ng.zip</v>
      </c>
    </row>
    <row r="2492" spans="1:21">
      <c r="A2492">
        <v>2491</v>
      </c>
      <c r="B2492" s="27" t="s">
        <v>1449</v>
      </c>
      <c r="D2492" s="27" t="s">
        <v>1450</v>
      </c>
      <c r="F2492" s="27" t="s">
        <v>1453</v>
      </c>
      <c r="H2492" s="27" t="s">
        <v>1454</v>
      </c>
      <c r="L2492" s="27" t="s">
        <v>1618</v>
      </c>
      <c r="M2492" s="27" t="s">
        <v>1619</v>
      </c>
      <c r="N2492" s="27" t="s">
        <v>2048</v>
      </c>
      <c r="P2492" s="27" t="s">
        <v>11446</v>
      </c>
      <c r="Q2492" s="26" t="str">
        <f>HYPERLINK("https://ictv.global/taxonomy/taxondetails?taxnode_id=202517958&amp;ictv_id=ICTV202317958","ICTV202317958")</f>
        <v>ICTV202317958</v>
      </c>
      <c r="R2492" t="s">
        <v>579</v>
      </c>
      <c r="S2492" t="s">
        <v>823</v>
      </c>
      <c r="T2492">
        <v>39</v>
      </c>
      <c r="U2492" s="26" t="str">
        <f>HYPERLINK("https://ictv.global/ictv/proposals/2023.011B.Braunvirinae_3ng.zip","2023.011B.Braunvirinae_3ng.zip")</f>
        <v>2023.011B.Braunvirinae_3ng.zip</v>
      </c>
    </row>
    <row r="2493" spans="1:21">
      <c r="A2493">
        <v>2492</v>
      </c>
      <c r="B2493" s="27" t="s">
        <v>1449</v>
      </c>
      <c r="D2493" s="27" t="s">
        <v>1450</v>
      </c>
      <c r="F2493" s="27" t="s">
        <v>1453</v>
      </c>
      <c r="H2493" s="27" t="s">
        <v>1454</v>
      </c>
      <c r="L2493" s="27" t="s">
        <v>1618</v>
      </c>
      <c r="M2493" s="27" t="s">
        <v>1619</v>
      </c>
      <c r="N2493" s="27" t="s">
        <v>2048</v>
      </c>
      <c r="P2493" s="27" t="s">
        <v>4703</v>
      </c>
      <c r="Q2493" s="26" t="str">
        <f>HYPERLINK("https://ictv.global/taxonomy/taxondetails?taxnode_id=202512086&amp;ictv_id=ICTV202012086","ICTV202012086")</f>
        <v>ICTV202012086</v>
      </c>
      <c r="R2493" t="s">
        <v>579</v>
      </c>
      <c r="S2493" t="s">
        <v>824</v>
      </c>
      <c r="T2493">
        <v>37</v>
      </c>
      <c r="U2493" s="26" t="str">
        <f>HYPERLINK("https://ictv.global/ictv/proposals/2021.010B.R.Binomial_names.zip","2021.010B.R.Binomial_names.zip")</f>
        <v>2021.010B.R.Binomial_names.zip</v>
      </c>
    </row>
    <row r="2494" spans="1:21">
      <c r="A2494">
        <v>2493</v>
      </c>
      <c r="B2494" s="27" t="s">
        <v>1449</v>
      </c>
      <c r="D2494" s="27" t="s">
        <v>1450</v>
      </c>
      <c r="F2494" s="27" t="s">
        <v>1453</v>
      </c>
      <c r="H2494" s="27" t="s">
        <v>1454</v>
      </c>
      <c r="L2494" s="27" t="s">
        <v>1618</v>
      </c>
      <c r="M2494" s="27" t="s">
        <v>1619</v>
      </c>
      <c r="N2494" s="27" t="s">
        <v>2048</v>
      </c>
      <c r="P2494" s="27" t="s">
        <v>11447</v>
      </c>
      <c r="Q2494" s="26" t="str">
        <f>HYPERLINK("https://ictv.global/taxonomy/taxondetails?taxnode_id=202517957&amp;ictv_id=ICTV202317957","ICTV202317957")</f>
        <v>ICTV202317957</v>
      </c>
      <c r="R2494" t="s">
        <v>579</v>
      </c>
      <c r="S2494" t="s">
        <v>823</v>
      </c>
      <c r="T2494">
        <v>39</v>
      </c>
      <c r="U2494" s="26" t="str">
        <f>HYPERLINK("https://ictv.global/ictv/proposals/2023.011B.Braunvirinae_3ng.zip","2023.011B.Braunvirinae_3ng.zip")</f>
        <v>2023.011B.Braunvirinae_3ng.zip</v>
      </c>
    </row>
    <row r="2495" spans="1:21">
      <c r="A2495">
        <v>2494</v>
      </c>
      <c r="B2495" s="27" t="s">
        <v>1449</v>
      </c>
      <c r="D2495" s="27" t="s">
        <v>1450</v>
      </c>
      <c r="F2495" s="27" t="s">
        <v>1453</v>
      </c>
      <c r="H2495" s="27" t="s">
        <v>1454</v>
      </c>
      <c r="L2495" s="27" t="s">
        <v>1618</v>
      </c>
      <c r="M2495" s="27" t="s">
        <v>1623</v>
      </c>
      <c r="N2495" s="27" t="s">
        <v>1624</v>
      </c>
      <c r="P2495" s="27" t="s">
        <v>4704</v>
      </c>
      <c r="Q2495" s="26" t="str">
        <f>HYPERLINK("https://ictv.global/taxonomy/taxondetails?taxnode_id=202508154&amp;ictv_id=ICTV201908154","ICTV201908154")</f>
        <v>ICTV201908154</v>
      </c>
      <c r="R2495" t="s">
        <v>579</v>
      </c>
      <c r="S2495" t="s">
        <v>824</v>
      </c>
      <c r="T2495">
        <v>37</v>
      </c>
      <c r="U2495" s="26" t="str">
        <f>HYPERLINK("https://ictv.global/ictv/proposals/2021.010B.R.Binomial_names.zip","2021.010B.R.Binomial_names.zip")</f>
        <v>2021.010B.R.Binomial_names.zip</v>
      </c>
    </row>
    <row r="2496" spans="1:21">
      <c r="A2496">
        <v>2495</v>
      </c>
      <c r="B2496" s="27" t="s">
        <v>1449</v>
      </c>
      <c r="D2496" s="27" t="s">
        <v>1450</v>
      </c>
      <c r="F2496" s="27" t="s">
        <v>1453</v>
      </c>
      <c r="H2496" s="27" t="s">
        <v>1454</v>
      </c>
      <c r="L2496" s="27" t="s">
        <v>1618</v>
      </c>
      <c r="M2496" s="27" t="s">
        <v>1623</v>
      </c>
      <c r="N2496" s="27" t="s">
        <v>1625</v>
      </c>
      <c r="P2496" s="27" t="s">
        <v>4705</v>
      </c>
      <c r="Q2496" s="26" t="str">
        <f>HYPERLINK("https://ictv.global/taxonomy/taxondetails?taxnode_id=202508158&amp;ictv_id=ICTV201908158","ICTV201908158")</f>
        <v>ICTV201908158</v>
      </c>
      <c r="R2496" t="s">
        <v>579</v>
      </c>
      <c r="S2496" t="s">
        <v>824</v>
      </c>
      <c r="T2496">
        <v>37</v>
      </c>
      <c r="U2496" s="26" t="str">
        <f>HYPERLINK("https://ictv.global/ictv/proposals/2021.010B.R.Binomial_names.zip","2021.010B.R.Binomial_names.zip")</f>
        <v>2021.010B.R.Binomial_names.zip</v>
      </c>
    </row>
    <row r="2497" spans="1:21">
      <c r="A2497">
        <v>2496</v>
      </c>
      <c r="B2497" s="27" t="s">
        <v>1449</v>
      </c>
      <c r="D2497" s="27" t="s">
        <v>1450</v>
      </c>
      <c r="F2497" s="27" t="s">
        <v>1453</v>
      </c>
      <c r="H2497" s="27" t="s">
        <v>1454</v>
      </c>
      <c r="L2497" s="27" t="s">
        <v>1618</v>
      </c>
      <c r="M2497" s="27" t="s">
        <v>1623</v>
      </c>
      <c r="N2497" s="27" t="s">
        <v>1322</v>
      </c>
      <c r="P2497" s="27" t="s">
        <v>4706</v>
      </c>
      <c r="Q2497" s="26" t="str">
        <f>HYPERLINK("https://ictv.global/taxonomy/taxondetails?taxnode_id=202500812&amp;ictv_id=ICTV20150822","ICTV20150822")</f>
        <v>ICTV20150822</v>
      </c>
      <c r="R2497" t="s">
        <v>579</v>
      </c>
      <c r="S2497" t="s">
        <v>824</v>
      </c>
      <c r="T2497">
        <v>37</v>
      </c>
      <c r="U2497" s="26" t="str">
        <f>HYPERLINK("https://ictv.global/ictv/proposals/2021.010B.R.Binomial_names.zip","2021.010B.R.Binomial_names.zip")</f>
        <v>2021.010B.R.Binomial_names.zip</v>
      </c>
    </row>
    <row r="2498" spans="1:21">
      <c r="A2498">
        <v>2497</v>
      </c>
      <c r="B2498" s="27" t="s">
        <v>1449</v>
      </c>
      <c r="D2498" s="27" t="s">
        <v>1450</v>
      </c>
      <c r="F2498" s="27" t="s">
        <v>1453</v>
      </c>
      <c r="H2498" s="27" t="s">
        <v>1454</v>
      </c>
      <c r="L2498" s="27" t="s">
        <v>1618</v>
      </c>
      <c r="M2498" s="27" t="s">
        <v>1623</v>
      </c>
      <c r="N2498" s="27" t="s">
        <v>1322</v>
      </c>
      <c r="P2498" s="27" t="s">
        <v>4707</v>
      </c>
      <c r="Q2498" s="26" t="str">
        <f>HYPERLINK("https://ictv.global/taxonomy/taxondetails?taxnode_id=202500813&amp;ictv_id=ICTV20150820","ICTV20150820")</f>
        <v>ICTV20150820</v>
      </c>
      <c r="R2498" t="s">
        <v>579</v>
      </c>
      <c r="S2498" t="s">
        <v>824</v>
      </c>
      <c r="T2498">
        <v>37</v>
      </c>
      <c r="U2498" s="26" t="str">
        <f>HYPERLINK("https://ictv.global/ictv/proposals/2021.010B.R.Binomial_names.zip","2021.010B.R.Binomial_names.zip")</f>
        <v>2021.010B.R.Binomial_names.zip</v>
      </c>
    </row>
    <row r="2499" spans="1:21">
      <c r="A2499">
        <v>2498</v>
      </c>
      <c r="B2499" s="27" t="s">
        <v>1449</v>
      </c>
      <c r="D2499" s="27" t="s">
        <v>1450</v>
      </c>
      <c r="F2499" s="27" t="s">
        <v>1453</v>
      </c>
      <c r="H2499" s="27" t="s">
        <v>1454</v>
      </c>
      <c r="L2499" s="27" t="s">
        <v>1618</v>
      </c>
      <c r="M2499" s="27" t="s">
        <v>1623</v>
      </c>
      <c r="N2499" s="27" t="s">
        <v>1322</v>
      </c>
      <c r="P2499" s="27" t="s">
        <v>4708</v>
      </c>
      <c r="Q2499" s="26" t="str">
        <f>HYPERLINK("https://ictv.global/taxonomy/taxondetails?taxnode_id=202500814&amp;ictv_id=ICTV20150823","ICTV20150823")</f>
        <v>ICTV20150823</v>
      </c>
      <c r="R2499" t="s">
        <v>579</v>
      </c>
      <c r="S2499" t="s">
        <v>824</v>
      </c>
      <c r="T2499">
        <v>37</v>
      </c>
      <c r="U2499" s="26" t="str">
        <f>HYPERLINK("https://ictv.global/ictv/proposals/2021.010B.R.Binomial_names.zip","2021.010B.R.Binomial_names.zip")</f>
        <v>2021.010B.R.Binomial_names.zip</v>
      </c>
    </row>
    <row r="2500" spans="1:21">
      <c r="A2500">
        <v>2499</v>
      </c>
      <c r="B2500" s="27" t="s">
        <v>1449</v>
      </c>
      <c r="D2500" s="27" t="s">
        <v>1450</v>
      </c>
      <c r="F2500" s="27" t="s">
        <v>1453</v>
      </c>
      <c r="H2500" s="27" t="s">
        <v>1454</v>
      </c>
      <c r="L2500" s="27" t="s">
        <v>1618</v>
      </c>
      <c r="M2500" s="27" t="s">
        <v>1623</v>
      </c>
      <c r="N2500" s="27" t="s">
        <v>1322</v>
      </c>
      <c r="P2500" s="27" t="s">
        <v>11448</v>
      </c>
      <c r="Q2500" s="26" t="str">
        <f>HYPERLINK("https://ictv.global/taxonomy/taxondetails?taxnode_id=202519249&amp;ictv_id=ICTV202319249","ICTV202319249")</f>
        <v>ICTV202319249</v>
      </c>
      <c r="R2500" t="s">
        <v>579</v>
      </c>
      <c r="S2500" t="s">
        <v>823</v>
      </c>
      <c r="T2500">
        <v>39</v>
      </c>
      <c r="U2500" s="26" t="str">
        <f>HYPERLINK("https://ictv.global/ictv/proposals/2023.055B.Rogunavirinae_2ns_1ng.zip","2023.055B.Rogunavirinae_2ns_1ng.zip")</f>
        <v>2023.055B.Rogunavirinae_2ns_1ng.zip</v>
      </c>
    </row>
    <row r="2501" spans="1:21">
      <c r="A2501">
        <v>2500</v>
      </c>
      <c r="B2501" s="27" t="s">
        <v>1449</v>
      </c>
      <c r="D2501" s="27" t="s">
        <v>1450</v>
      </c>
      <c r="F2501" s="27" t="s">
        <v>1453</v>
      </c>
      <c r="H2501" s="27" t="s">
        <v>1454</v>
      </c>
      <c r="L2501" s="27" t="s">
        <v>1618</v>
      </c>
      <c r="M2501" s="27" t="s">
        <v>1623</v>
      </c>
      <c r="N2501" s="27" t="s">
        <v>1322</v>
      </c>
      <c r="P2501" s="27" t="s">
        <v>4709</v>
      </c>
      <c r="Q2501" s="26" t="str">
        <f>HYPERLINK("https://ictv.global/taxonomy/taxondetails?taxnode_id=202500815&amp;ictv_id=ICTV20164970","ICTV20164970")</f>
        <v>ICTV20164970</v>
      </c>
      <c r="R2501" t="s">
        <v>579</v>
      </c>
      <c r="S2501" t="s">
        <v>824</v>
      </c>
      <c r="T2501">
        <v>37</v>
      </c>
      <c r="U2501" s="26" t="str">
        <f t="shared" ref="U2501:U2506" si="89">HYPERLINK("https://ictv.global/ictv/proposals/2021.010B.R.Binomial_names.zip","2021.010B.R.Binomial_names.zip")</f>
        <v>2021.010B.R.Binomial_names.zip</v>
      </c>
    </row>
    <row r="2502" spans="1:21">
      <c r="A2502">
        <v>2501</v>
      </c>
      <c r="B2502" s="27" t="s">
        <v>1449</v>
      </c>
      <c r="D2502" s="27" t="s">
        <v>1450</v>
      </c>
      <c r="F2502" s="27" t="s">
        <v>1453</v>
      </c>
      <c r="H2502" s="27" t="s">
        <v>1454</v>
      </c>
      <c r="L2502" s="27" t="s">
        <v>1618</v>
      </c>
      <c r="M2502" s="27" t="s">
        <v>1623</v>
      </c>
      <c r="N2502" s="27" t="s">
        <v>1322</v>
      </c>
      <c r="P2502" s="27" t="s">
        <v>4710</v>
      </c>
      <c r="Q2502" s="26" t="str">
        <f>HYPERLINK("https://ictv.global/taxonomy/taxondetails?taxnode_id=202500816&amp;ictv_id=ICTV20150824","ICTV20150824")</f>
        <v>ICTV20150824</v>
      </c>
      <c r="R2502" t="s">
        <v>579</v>
      </c>
      <c r="S2502" t="s">
        <v>824</v>
      </c>
      <c r="T2502">
        <v>37</v>
      </c>
      <c r="U2502" s="26" t="str">
        <f t="shared" si="89"/>
        <v>2021.010B.R.Binomial_names.zip</v>
      </c>
    </row>
    <row r="2503" spans="1:21">
      <c r="A2503">
        <v>2502</v>
      </c>
      <c r="B2503" s="27" t="s">
        <v>1449</v>
      </c>
      <c r="D2503" s="27" t="s">
        <v>1450</v>
      </c>
      <c r="F2503" s="27" t="s">
        <v>1453</v>
      </c>
      <c r="H2503" s="27" t="s">
        <v>1454</v>
      </c>
      <c r="L2503" s="27" t="s">
        <v>1618</v>
      </c>
      <c r="M2503" s="27" t="s">
        <v>1623</v>
      </c>
      <c r="N2503" s="27" t="s">
        <v>1322</v>
      </c>
      <c r="P2503" s="27" t="s">
        <v>4711</v>
      </c>
      <c r="Q2503" s="26" t="str">
        <f>HYPERLINK("https://ictv.global/taxonomy/taxondetails?taxnode_id=202500818&amp;ictv_id=ICTV20125846","ICTV20125846")</f>
        <v>ICTV20125846</v>
      </c>
      <c r="R2503" t="s">
        <v>579</v>
      </c>
      <c r="S2503" t="s">
        <v>824</v>
      </c>
      <c r="T2503">
        <v>37</v>
      </c>
      <c r="U2503" s="26" t="str">
        <f t="shared" si="89"/>
        <v>2021.010B.R.Binomial_names.zip</v>
      </c>
    </row>
    <row r="2504" spans="1:21">
      <c r="A2504">
        <v>2503</v>
      </c>
      <c r="B2504" s="27" t="s">
        <v>1449</v>
      </c>
      <c r="D2504" s="27" t="s">
        <v>1450</v>
      </c>
      <c r="F2504" s="27" t="s">
        <v>1453</v>
      </c>
      <c r="H2504" s="27" t="s">
        <v>1454</v>
      </c>
      <c r="L2504" s="27" t="s">
        <v>1618</v>
      </c>
      <c r="M2504" s="27" t="s">
        <v>1623</v>
      </c>
      <c r="N2504" s="27" t="s">
        <v>1322</v>
      </c>
      <c r="P2504" s="27" t="s">
        <v>4712</v>
      </c>
      <c r="Q2504" s="26" t="str">
        <f>HYPERLINK("https://ictv.global/taxonomy/taxondetails?taxnode_id=202508152&amp;ictv_id=ICTV201908152","ICTV201908152")</f>
        <v>ICTV201908152</v>
      </c>
      <c r="R2504" t="s">
        <v>579</v>
      </c>
      <c r="S2504" t="s">
        <v>824</v>
      </c>
      <c r="T2504">
        <v>37</v>
      </c>
      <c r="U2504" s="26" t="str">
        <f t="shared" si="89"/>
        <v>2021.010B.R.Binomial_names.zip</v>
      </c>
    </row>
    <row r="2505" spans="1:21">
      <c r="A2505">
        <v>2504</v>
      </c>
      <c r="B2505" s="27" t="s">
        <v>1449</v>
      </c>
      <c r="D2505" s="27" t="s">
        <v>1450</v>
      </c>
      <c r="F2505" s="27" t="s">
        <v>1453</v>
      </c>
      <c r="H2505" s="27" t="s">
        <v>1454</v>
      </c>
      <c r="L2505" s="27" t="s">
        <v>1618</v>
      </c>
      <c r="M2505" s="27" t="s">
        <v>1623</v>
      </c>
      <c r="N2505" s="27" t="s">
        <v>1322</v>
      </c>
      <c r="P2505" s="27" t="s">
        <v>4713</v>
      </c>
      <c r="Q2505" s="26" t="str">
        <f>HYPERLINK("https://ictv.global/taxonomy/taxondetails?taxnode_id=202500819&amp;ictv_id=ICTV20150821","ICTV20150821")</f>
        <v>ICTV20150821</v>
      </c>
      <c r="R2505" t="s">
        <v>579</v>
      </c>
      <c r="S2505" t="s">
        <v>824</v>
      </c>
      <c r="T2505">
        <v>37</v>
      </c>
      <c r="U2505" s="26" t="str">
        <f t="shared" si="89"/>
        <v>2021.010B.R.Binomial_names.zip</v>
      </c>
    </row>
    <row r="2506" spans="1:21">
      <c r="A2506">
        <v>2505</v>
      </c>
      <c r="B2506" s="27" t="s">
        <v>1449</v>
      </c>
      <c r="D2506" s="27" t="s">
        <v>1450</v>
      </c>
      <c r="F2506" s="27" t="s">
        <v>1453</v>
      </c>
      <c r="H2506" s="27" t="s">
        <v>1454</v>
      </c>
      <c r="L2506" s="27" t="s">
        <v>1618</v>
      </c>
      <c r="M2506" s="27" t="s">
        <v>1623</v>
      </c>
      <c r="N2506" s="27" t="s">
        <v>1322</v>
      </c>
      <c r="P2506" s="27" t="s">
        <v>4714</v>
      </c>
      <c r="Q2506" s="26" t="str">
        <f>HYPERLINK("https://ictv.global/taxonomy/taxondetails?taxnode_id=202500820&amp;ictv_id=ICTV20125845","ICTV20125845")</f>
        <v>ICTV20125845</v>
      </c>
      <c r="R2506" t="s">
        <v>579</v>
      </c>
      <c r="S2506" t="s">
        <v>824</v>
      </c>
      <c r="T2506">
        <v>37</v>
      </c>
      <c r="U2506" s="26" t="str">
        <f t="shared" si="89"/>
        <v>2021.010B.R.Binomial_names.zip</v>
      </c>
    </row>
    <row r="2507" spans="1:21">
      <c r="A2507">
        <v>2506</v>
      </c>
      <c r="B2507" s="27" t="s">
        <v>1449</v>
      </c>
      <c r="D2507" s="27" t="s">
        <v>1450</v>
      </c>
      <c r="F2507" s="27" t="s">
        <v>1453</v>
      </c>
      <c r="H2507" s="27" t="s">
        <v>1454</v>
      </c>
      <c r="L2507" s="27" t="s">
        <v>1618</v>
      </c>
      <c r="M2507" s="27" t="s">
        <v>1623</v>
      </c>
      <c r="N2507" s="27" t="s">
        <v>1322</v>
      </c>
      <c r="P2507" s="27" t="s">
        <v>11449</v>
      </c>
      <c r="Q2507" s="26" t="str">
        <f>HYPERLINK("https://ictv.global/taxonomy/taxondetails?taxnode_id=202519250&amp;ictv_id=ICTV202319250","ICTV202319250")</f>
        <v>ICTV202319250</v>
      </c>
      <c r="R2507" t="s">
        <v>579</v>
      </c>
      <c r="S2507" t="s">
        <v>823</v>
      </c>
      <c r="T2507">
        <v>39</v>
      </c>
      <c r="U2507" s="26" t="str">
        <f>HYPERLINK("https://ictv.global/ictv/proposals/2023.055B.Rogunavirinae_2ns_1ng.zip","2023.055B.Rogunavirinae_2ns_1ng.zip")</f>
        <v>2023.055B.Rogunavirinae_2ns_1ng.zip</v>
      </c>
    </row>
    <row r="2508" spans="1:21">
      <c r="A2508">
        <v>2507</v>
      </c>
      <c r="B2508" s="27" t="s">
        <v>1449</v>
      </c>
      <c r="D2508" s="27" t="s">
        <v>1450</v>
      </c>
      <c r="F2508" s="27" t="s">
        <v>1453</v>
      </c>
      <c r="H2508" s="27" t="s">
        <v>1454</v>
      </c>
      <c r="L2508" s="27" t="s">
        <v>1618</v>
      </c>
      <c r="M2508" s="27" t="s">
        <v>1623</v>
      </c>
      <c r="N2508" s="27" t="s">
        <v>11450</v>
      </c>
      <c r="P2508" s="27" t="s">
        <v>11451</v>
      </c>
      <c r="Q2508" s="26" t="str">
        <f>HYPERLINK("https://ictv.global/taxonomy/taxondetails?taxnode_id=202519251&amp;ictv_id=ICTV202319251","ICTV202319251")</f>
        <v>ICTV202319251</v>
      </c>
      <c r="R2508" t="s">
        <v>579</v>
      </c>
      <c r="S2508" t="s">
        <v>823</v>
      </c>
      <c r="T2508">
        <v>39</v>
      </c>
      <c r="U2508" s="26" t="str">
        <f>HYPERLINK("https://ictv.global/ictv/proposals/2023.055B.Rogunavirinae_2ns_1ng.zip","2023.055B.Rogunavirinae_2ns_1ng.zip")</f>
        <v>2023.055B.Rogunavirinae_2ns_1ng.zip</v>
      </c>
    </row>
    <row r="2509" spans="1:21">
      <c r="A2509">
        <v>2508</v>
      </c>
      <c r="B2509" s="27" t="s">
        <v>1449</v>
      </c>
      <c r="D2509" s="27" t="s">
        <v>1450</v>
      </c>
      <c r="F2509" s="27" t="s">
        <v>1453</v>
      </c>
      <c r="H2509" s="27" t="s">
        <v>1454</v>
      </c>
      <c r="L2509" s="27" t="s">
        <v>1618</v>
      </c>
      <c r="M2509" s="27" t="s">
        <v>1623</v>
      </c>
      <c r="N2509" s="27" t="s">
        <v>1626</v>
      </c>
      <c r="P2509" s="27" t="s">
        <v>4715</v>
      </c>
      <c r="Q2509" s="26" t="str">
        <f>HYPERLINK("https://ictv.global/taxonomy/taxondetails?taxnode_id=202508156&amp;ictv_id=ICTV201908156","ICTV201908156")</f>
        <v>ICTV201908156</v>
      </c>
      <c r="R2509" t="s">
        <v>579</v>
      </c>
      <c r="S2509" t="s">
        <v>824</v>
      </c>
      <c r="T2509">
        <v>37</v>
      </c>
      <c r="U2509" s="26" t="str">
        <f>HYPERLINK("https://ictv.global/ictv/proposals/2021.010B.R.Binomial_names.zip","2021.010B.R.Binomial_names.zip")</f>
        <v>2021.010B.R.Binomial_names.zip</v>
      </c>
    </row>
    <row r="2510" spans="1:21">
      <c r="A2510">
        <v>2509</v>
      </c>
      <c r="B2510" s="27" t="s">
        <v>1449</v>
      </c>
      <c r="D2510" s="27" t="s">
        <v>1450</v>
      </c>
      <c r="F2510" s="27" t="s">
        <v>1453</v>
      </c>
      <c r="H2510" s="27" t="s">
        <v>1454</v>
      </c>
      <c r="L2510" s="27" t="s">
        <v>1618</v>
      </c>
      <c r="M2510" s="27" t="s">
        <v>1627</v>
      </c>
      <c r="N2510" s="27" t="s">
        <v>11452</v>
      </c>
      <c r="P2510" s="27" t="s">
        <v>11453</v>
      </c>
      <c r="Q2510" s="26" t="str">
        <f>HYPERLINK("https://ictv.global/taxonomy/taxondetails?taxnode_id=202509975&amp;ictv_id=ICTV202009975","ICTV202009975")</f>
        <v>ICTV202009975</v>
      </c>
      <c r="R2510" t="s">
        <v>579</v>
      </c>
      <c r="S2510" t="s">
        <v>22764</v>
      </c>
      <c r="T2510">
        <v>39</v>
      </c>
      <c r="U2510" s="26" t="str">
        <f>HYPERLINK("https://ictv.global/ictv/proposals/2023.065B.Tempevirinae_4ng_33ns.zip","2023.065B.Tempevirinae_4ng_33ns.zip")</f>
        <v>2023.065B.Tempevirinae_4ng_33ns.zip</v>
      </c>
    </row>
    <row r="2511" spans="1:21">
      <c r="A2511">
        <v>2510</v>
      </c>
      <c r="B2511" s="27" t="s">
        <v>1449</v>
      </c>
      <c r="D2511" s="27" t="s">
        <v>1450</v>
      </c>
      <c r="F2511" s="27" t="s">
        <v>1453</v>
      </c>
      <c r="H2511" s="27" t="s">
        <v>1454</v>
      </c>
      <c r="L2511" s="27" t="s">
        <v>1618</v>
      </c>
      <c r="M2511" s="27" t="s">
        <v>1627</v>
      </c>
      <c r="N2511" s="27" t="s">
        <v>2049</v>
      </c>
      <c r="P2511" s="27" t="s">
        <v>11454</v>
      </c>
      <c r="Q2511" s="26" t="str">
        <f>HYPERLINK("https://ictv.global/taxonomy/taxondetails?taxnode_id=202519341&amp;ictv_id=ICTV202319341","ICTV202319341")</f>
        <v>ICTV202319341</v>
      </c>
      <c r="R2511" t="s">
        <v>579</v>
      </c>
      <c r="S2511" t="s">
        <v>823</v>
      </c>
      <c r="T2511">
        <v>39</v>
      </c>
      <c r="U2511" s="26" t="str">
        <f>HYPERLINK("https://ictv.global/ictv/proposals/2023.065B.Tempevirinae_4ng_33ns.zip","2023.065B.Tempevirinae_4ng_33ns.zip")</f>
        <v>2023.065B.Tempevirinae_4ng_33ns.zip</v>
      </c>
    </row>
    <row r="2512" spans="1:21">
      <c r="A2512">
        <v>2511</v>
      </c>
      <c r="B2512" s="27" t="s">
        <v>1449</v>
      </c>
      <c r="D2512" s="27" t="s">
        <v>1450</v>
      </c>
      <c r="F2512" s="27" t="s">
        <v>1453</v>
      </c>
      <c r="H2512" s="27" t="s">
        <v>1454</v>
      </c>
      <c r="L2512" s="27" t="s">
        <v>1618</v>
      </c>
      <c r="M2512" s="27" t="s">
        <v>1627</v>
      </c>
      <c r="N2512" s="27" t="s">
        <v>2049</v>
      </c>
      <c r="P2512" s="27" t="s">
        <v>4716</v>
      </c>
      <c r="Q2512" s="26" t="str">
        <f>HYPERLINK("https://ictv.global/taxonomy/taxondetails?taxnode_id=202509974&amp;ictv_id=ICTV202009974","ICTV202009974")</f>
        <v>ICTV202009974</v>
      </c>
      <c r="R2512" t="s">
        <v>579</v>
      </c>
      <c r="S2512" t="s">
        <v>824</v>
      </c>
      <c r="T2512">
        <v>37</v>
      </c>
      <c r="U2512" s="26" t="str">
        <f>HYPERLINK("https://ictv.global/ictv/proposals/2021.010B.R.Binomial_names.zip","2021.010B.R.Binomial_names.zip")</f>
        <v>2021.010B.R.Binomial_names.zip</v>
      </c>
    </row>
    <row r="2513" spans="1:21">
      <c r="A2513">
        <v>2512</v>
      </c>
      <c r="B2513" s="27" t="s">
        <v>1449</v>
      </c>
      <c r="D2513" s="27" t="s">
        <v>1450</v>
      </c>
      <c r="F2513" s="27" t="s">
        <v>1453</v>
      </c>
      <c r="H2513" s="27" t="s">
        <v>1454</v>
      </c>
      <c r="L2513" s="27" t="s">
        <v>1618</v>
      </c>
      <c r="M2513" s="27" t="s">
        <v>1627</v>
      </c>
      <c r="N2513" s="27" t="s">
        <v>1321</v>
      </c>
      <c r="P2513" s="27" t="s">
        <v>4717</v>
      </c>
      <c r="Q2513" s="26" t="str">
        <f>HYPERLINK("https://ictv.global/taxonomy/taxondetails?taxnode_id=202510090&amp;ictv_id=ICTV202010090","ICTV202010090")</f>
        <v>ICTV202010090</v>
      </c>
      <c r="R2513" t="s">
        <v>579</v>
      </c>
      <c r="S2513" t="s">
        <v>824</v>
      </c>
      <c r="T2513">
        <v>37</v>
      </c>
      <c r="U2513" s="26" t="str">
        <f>HYPERLINK("https://ictv.global/ictv/proposals/2021.010B.R.Binomial_names.zip","2021.010B.R.Binomial_names.zip")</f>
        <v>2021.010B.R.Binomial_names.zip</v>
      </c>
    </row>
    <row r="2514" spans="1:21">
      <c r="A2514">
        <v>2513</v>
      </c>
      <c r="B2514" s="27" t="s">
        <v>1449</v>
      </c>
      <c r="D2514" s="27" t="s">
        <v>1450</v>
      </c>
      <c r="F2514" s="27" t="s">
        <v>1453</v>
      </c>
      <c r="H2514" s="27" t="s">
        <v>1454</v>
      </c>
      <c r="L2514" s="27" t="s">
        <v>1618</v>
      </c>
      <c r="M2514" s="27" t="s">
        <v>1627</v>
      </c>
      <c r="N2514" s="27" t="s">
        <v>1321</v>
      </c>
      <c r="P2514" s="27" t="s">
        <v>4718</v>
      </c>
      <c r="Q2514" s="26" t="str">
        <f>HYPERLINK("https://ictv.global/taxonomy/taxondetails?taxnode_id=202510087&amp;ictv_id=ICTV202010087","ICTV202010087")</f>
        <v>ICTV202010087</v>
      </c>
      <c r="R2514" t="s">
        <v>579</v>
      </c>
      <c r="S2514" t="s">
        <v>824</v>
      </c>
      <c r="T2514">
        <v>37</v>
      </c>
      <c r="U2514" s="26" t="str">
        <f>HYPERLINK("https://ictv.global/ictv/proposals/2021.010B.R.Binomial_names.zip","2021.010B.R.Binomial_names.zip")</f>
        <v>2021.010B.R.Binomial_names.zip</v>
      </c>
    </row>
    <row r="2515" spans="1:21">
      <c r="A2515">
        <v>2514</v>
      </c>
      <c r="B2515" s="27" t="s">
        <v>1449</v>
      </c>
      <c r="D2515" s="27" t="s">
        <v>1450</v>
      </c>
      <c r="F2515" s="27" t="s">
        <v>1453</v>
      </c>
      <c r="H2515" s="27" t="s">
        <v>1454</v>
      </c>
      <c r="L2515" s="27" t="s">
        <v>1618</v>
      </c>
      <c r="M2515" s="27" t="s">
        <v>1627</v>
      </c>
      <c r="N2515" s="27" t="s">
        <v>1321</v>
      </c>
      <c r="P2515" s="27" t="s">
        <v>4719</v>
      </c>
      <c r="Q2515" s="26" t="str">
        <f>HYPERLINK("https://ictv.global/taxonomy/taxondetails?taxnode_id=202510088&amp;ictv_id=ICTV202010088","ICTV202010088")</f>
        <v>ICTV202010088</v>
      </c>
      <c r="R2515" t="s">
        <v>579</v>
      </c>
      <c r="S2515" t="s">
        <v>824</v>
      </c>
      <c r="T2515">
        <v>37</v>
      </c>
      <c r="U2515" s="26" t="str">
        <f>HYPERLINK("https://ictv.global/ictv/proposals/2021.010B.R.Binomial_names.zip","2021.010B.R.Binomial_names.zip")</f>
        <v>2021.010B.R.Binomial_names.zip</v>
      </c>
    </row>
    <row r="2516" spans="1:21">
      <c r="A2516">
        <v>2515</v>
      </c>
      <c r="B2516" s="27" t="s">
        <v>1449</v>
      </c>
      <c r="D2516" s="27" t="s">
        <v>1450</v>
      </c>
      <c r="F2516" s="27" t="s">
        <v>1453</v>
      </c>
      <c r="H2516" s="27" t="s">
        <v>1454</v>
      </c>
      <c r="L2516" s="27" t="s">
        <v>1618</v>
      </c>
      <c r="M2516" s="27" t="s">
        <v>1627</v>
      </c>
      <c r="N2516" s="27" t="s">
        <v>1321</v>
      </c>
      <c r="P2516" s="27" t="s">
        <v>11455</v>
      </c>
      <c r="Q2516" s="26" t="str">
        <f>HYPERLINK("https://ictv.global/taxonomy/taxondetails?taxnode_id=202519329&amp;ictv_id=ICTV202319329","ICTV202319329")</f>
        <v>ICTV202319329</v>
      </c>
      <c r="R2516" t="s">
        <v>579</v>
      </c>
      <c r="S2516" t="s">
        <v>823</v>
      </c>
      <c r="T2516">
        <v>39</v>
      </c>
      <c r="U2516" s="26" t="str">
        <f>HYPERLINK("https://ictv.global/ictv/proposals/2023.065B.Tempevirinae_4ng_33ns.zip","2023.065B.Tempevirinae_4ng_33ns.zip")</f>
        <v>2023.065B.Tempevirinae_4ng_33ns.zip</v>
      </c>
    </row>
    <row r="2517" spans="1:21">
      <c r="A2517">
        <v>2516</v>
      </c>
      <c r="B2517" s="27" t="s">
        <v>1449</v>
      </c>
      <c r="D2517" s="27" t="s">
        <v>1450</v>
      </c>
      <c r="F2517" s="27" t="s">
        <v>1453</v>
      </c>
      <c r="H2517" s="27" t="s">
        <v>1454</v>
      </c>
      <c r="L2517" s="27" t="s">
        <v>1618</v>
      </c>
      <c r="M2517" s="27" t="s">
        <v>1627</v>
      </c>
      <c r="N2517" s="27" t="s">
        <v>1321</v>
      </c>
      <c r="P2517" s="27" t="s">
        <v>4720</v>
      </c>
      <c r="Q2517" s="26" t="str">
        <f>HYPERLINK("https://ictv.global/taxonomy/taxondetails?taxnode_id=202510084&amp;ictv_id=ICTV202010084","ICTV202010084")</f>
        <v>ICTV202010084</v>
      </c>
      <c r="R2517" t="s">
        <v>579</v>
      </c>
      <c r="S2517" t="s">
        <v>824</v>
      </c>
      <c r="T2517">
        <v>37</v>
      </c>
      <c r="U2517" s="26" t="str">
        <f>HYPERLINK("https://ictv.global/ictv/proposals/2021.010B.R.Binomial_names.zip","2021.010B.R.Binomial_names.zip")</f>
        <v>2021.010B.R.Binomial_names.zip</v>
      </c>
    </row>
    <row r="2518" spans="1:21">
      <c r="A2518">
        <v>2517</v>
      </c>
      <c r="B2518" s="27" t="s">
        <v>1449</v>
      </c>
      <c r="D2518" s="27" t="s">
        <v>1450</v>
      </c>
      <c r="F2518" s="27" t="s">
        <v>1453</v>
      </c>
      <c r="H2518" s="27" t="s">
        <v>1454</v>
      </c>
      <c r="L2518" s="27" t="s">
        <v>1618</v>
      </c>
      <c r="M2518" s="27" t="s">
        <v>1627</v>
      </c>
      <c r="N2518" s="27" t="s">
        <v>1321</v>
      </c>
      <c r="P2518" s="27" t="s">
        <v>11456</v>
      </c>
      <c r="Q2518" s="26" t="str">
        <f>HYPERLINK("https://ictv.global/taxonomy/taxondetails?taxnode_id=202519331&amp;ictv_id=ICTV202319331","ICTV202319331")</f>
        <v>ICTV202319331</v>
      </c>
      <c r="R2518" t="s">
        <v>579</v>
      </c>
      <c r="S2518" t="s">
        <v>823</v>
      </c>
      <c r="T2518">
        <v>39</v>
      </c>
      <c r="U2518" s="26" t="str">
        <f>HYPERLINK("https://ictv.global/ictv/proposals/2023.065B.Tempevirinae_4ng_33ns.zip","2023.065B.Tempevirinae_4ng_33ns.zip")</f>
        <v>2023.065B.Tempevirinae_4ng_33ns.zip</v>
      </c>
    </row>
    <row r="2519" spans="1:21">
      <c r="A2519">
        <v>2518</v>
      </c>
      <c r="B2519" s="27" t="s">
        <v>1449</v>
      </c>
      <c r="D2519" s="27" t="s">
        <v>1450</v>
      </c>
      <c r="F2519" s="27" t="s">
        <v>1453</v>
      </c>
      <c r="H2519" s="27" t="s">
        <v>1454</v>
      </c>
      <c r="L2519" s="27" t="s">
        <v>1618</v>
      </c>
      <c r="M2519" s="27" t="s">
        <v>1627</v>
      </c>
      <c r="N2519" s="27" t="s">
        <v>1321</v>
      </c>
      <c r="P2519" s="27" t="s">
        <v>4721</v>
      </c>
      <c r="Q2519" s="26" t="str">
        <f>HYPERLINK("https://ictv.global/taxonomy/taxondetails?taxnode_id=202510081&amp;ictv_id=ICTV202010081","ICTV202010081")</f>
        <v>ICTV202010081</v>
      </c>
      <c r="R2519" t="s">
        <v>579</v>
      </c>
      <c r="S2519" t="s">
        <v>824</v>
      </c>
      <c r="T2519">
        <v>37</v>
      </c>
      <c r="U2519" s="26" t="str">
        <f t="shared" ref="U2519:U2524" si="90">HYPERLINK("https://ictv.global/ictv/proposals/2021.010B.R.Binomial_names.zip","2021.010B.R.Binomial_names.zip")</f>
        <v>2021.010B.R.Binomial_names.zip</v>
      </c>
    </row>
    <row r="2520" spans="1:21">
      <c r="A2520">
        <v>2519</v>
      </c>
      <c r="B2520" s="27" t="s">
        <v>1449</v>
      </c>
      <c r="D2520" s="27" t="s">
        <v>1450</v>
      </c>
      <c r="F2520" s="27" t="s">
        <v>1453</v>
      </c>
      <c r="H2520" s="27" t="s">
        <v>1454</v>
      </c>
      <c r="L2520" s="27" t="s">
        <v>1618</v>
      </c>
      <c r="M2520" s="27" t="s">
        <v>1627</v>
      </c>
      <c r="N2520" s="27" t="s">
        <v>1321</v>
      </c>
      <c r="P2520" s="27" t="s">
        <v>4722</v>
      </c>
      <c r="Q2520" s="26" t="str">
        <f>HYPERLINK("https://ictv.global/taxonomy/taxondetails?taxnode_id=202510086&amp;ictv_id=ICTV202010086","ICTV202010086")</f>
        <v>ICTV202010086</v>
      </c>
      <c r="R2520" t="s">
        <v>579</v>
      </c>
      <c r="S2520" t="s">
        <v>824</v>
      </c>
      <c r="T2520">
        <v>37</v>
      </c>
      <c r="U2520" s="26" t="str">
        <f t="shared" si="90"/>
        <v>2021.010B.R.Binomial_names.zip</v>
      </c>
    </row>
    <row r="2521" spans="1:21">
      <c r="A2521">
        <v>2520</v>
      </c>
      <c r="B2521" s="27" t="s">
        <v>1449</v>
      </c>
      <c r="D2521" s="27" t="s">
        <v>1450</v>
      </c>
      <c r="F2521" s="27" t="s">
        <v>1453</v>
      </c>
      <c r="H2521" s="27" t="s">
        <v>1454</v>
      </c>
      <c r="L2521" s="27" t="s">
        <v>1618</v>
      </c>
      <c r="M2521" s="27" t="s">
        <v>1627</v>
      </c>
      <c r="N2521" s="27" t="s">
        <v>1321</v>
      </c>
      <c r="P2521" s="27" t="s">
        <v>4723</v>
      </c>
      <c r="Q2521" s="26" t="str">
        <f>HYPERLINK("https://ictv.global/taxonomy/taxondetails?taxnode_id=202510089&amp;ictv_id=ICTV202010089","ICTV202010089")</f>
        <v>ICTV202010089</v>
      </c>
      <c r="R2521" t="s">
        <v>579</v>
      </c>
      <c r="S2521" t="s">
        <v>824</v>
      </c>
      <c r="T2521">
        <v>37</v>
      </c>
      <c r="U2521" s="26" t="str">
        <f t="shared" si="90"/>
        <v>2021.010B.R.Binomial_names.zip</v>
      </c>
    </row>
    <row r="2522" spans="1:21">
      <c r="A2522">
        <v>2521</v>
      </c>
      <c r="B2522" s="27" t="s">
        <v>1449</v>
      </c>
      <c r="D2522" s="27" t="s">
        <v>1450</v>
      </c>
      <c r="F2522" s="27" t="s">
        <v>1453</v>
      </c>
      <c r="H2522" s="27" t="s">
        <v>1454</v>
      </c>
      <c r="L2522" s="27" t="s">
        <v>1618</v>
      </c>
      <c r="M2522" s="27" t="s">
        <v>1627</v>
      </c>
      <c r="N2522" s="27" t="s">
        <v>1321</v>
      </c>
      <c r="P2522" s="27" t="s">
        <v>4724</v>
      </c>
      <c r="Q2522" s="26" t="str">
        <f>HYPERLINK("https://ictv.global/taxonomy/taxondetails?taxnode_id=202510085&amp;ictv_id=ICTV202010085","ICTV202010085")</f>
        <v>ICTV202010085</v>
      </c>
      <c r="R2522" t="s">
        <v>579</v>
      </c>
      <c r="S2522" t="s">
        <v>824</v>
      </c>
      <c r="T2522">
        <v>37</v>
      </c>
      <c r="U2522" s="26" t="str">
        <f t="shared" si="90"/>
        <v>2021.010B.R.Binomial_names.zip</v>
      </c>
    </row>
    <row r="2523" spans="1:21">
      <c r="A2523">
        <v>2522</v>
      </c>
      <c r="B2523" s="27" t="s">
        <v>1449</v>
      </c>
      <c r="D2523" s="27" t="s">
        <v>1450</v>
      </c>
      <c r="F2523" s="27" t="s">
        <v>1453</v>
      </c>
      <c r="H2523" s="27" t="s">
        <v>1454</v>
      </c>
      <c r="L2523" s="27" t="s">
        <v>1618</v>
      </c>
      <c r="M2523" s="27" t="s">
        <v>1627</v>
      </c>
      <c r="N2523" s="27" t="s">
        <v>1321</v>
      </c>
      <c r="P2523" s="27" t="s">
        <v>4725</v>
      </c>
      <c r="Q2523" s="26" t="str">
        <f>HYPERLINK("https://ictv.global/taxonomy/taxondetails?taxnode_id=202510082&amp;ictv_id=ICTV202010082","ICTV202010082")</f>
        <v>ICTV202010082</v>
      </c>
      <c r="R2523" t="s">
        <v>579</v>
      </c>
      <c r="S2523" t="s">
        <v>824</v>
      </c>
      <c r="T2523">
        <v>37</v>
      </c>
      <c r="U2523" s="26" t="str">
        <f t="shared" si="90"/>
        <v>2021.010B.R.Binomial_names.zip</v>
      </c>
    </row>
    <row r="2524" spans="1:21">
      <c r="A2524">
        <v>2523</v>
      </c>
      <c r="B2524" s="27" t="s">
        <v>1449</v>
      </c>
      <c r="D2524" s="27" t="s">
        <v>1450</v>
      </c>
      <c r="F2524" s="27" t="s">
        <v>1453</v>
      </c>
      <c r="H2524" s="27" t="s">
        <v>1454</v>
      </c>
      <c r="L2524" s="27" t="s">
        <v>1618</v>
      </c>
      <c r="M2524" s="27" t="s">
        <v>1627</v>
      </c>
      <c r="N2524" s="27" t="s">
        <v>1321</v>
      </c>
      <c r="P2524" s="27" t="s">
        <v>4726</v>
      </c>
      <c r="Q2524" s="26" t="str">
        <f>HYPERLINK("https://ictv.global/taxonomy/taxondetails?taxnode_id=202510079&amp;ictv_id=ICTV202010079","ICTV202010079")</f>
        <v>ICTV202010079</v>
      </c>
      <c r="R2524" t="s">
        <v>579</v>
      </c>
      <c r="S2524" t="s">
        <v>824</v>
      </c>
      <c r="T2524">
        <v>37</v>
      </c>
      <c r="U2524" s="26" t="str">
        <f t="shared" si="90"/>
        <v>2021.010B.R.Binomial_names.zip</v>
      </c>
    </row>
    <row r="2525" spans="1:21">
      <c r="A2525">
        <v>2524</v>
      </c>
      <c r="B2525" s="27" t="s">
        <v>1449</v>
      </c>
      <c r="D2525" s="27" t="s">
        <v>1450</v>
      </c>
      <c r="F2525" s="27" t="s">
        <v>1453</v>
      </c>
      <c r="H2525" s="27" t="s">
        <v>1454</v>
      </c>
      <c r="L2525" s="27" t="s">
        <v>1618</v>
      </c>
      <c r="M2525" s="27" t="s">
        <v>1627</v>
      </c>
      <c r="N2525" s="27" t="s">
        <v>1321</v>
      </c>
      <c r="P2525" s="27" t="s">
        <v>11457</v>
      </c>
      <c r="Q2525" s="26" t="str">
        <f>HYPERLINK("https://ictv.global/taxonomy/taxondetails?taxnode_id=202519330&amp;ictv_id=ICTV202319330","ICTV202319330")</f>
        <v>ICTV202319330</v>
      </c>
      <c r="R2525" t="s">
        <v>579</v>
      </c>
      <c r="S2525" t="s">
        <v>823</v>
      </c>
      <c r="T2525">
        <v>39</v>
      </c>
      <c r="U2525" s="26" t="str">
        <f>HYPERLINK("https://ictv.global/ictv/proposals/2023.065B.Tempevirinae_4ng_33ns.zip","2023.065B.Tempevirinae_4ng_33ns.zip")</f>
        <v>2023.065B.Tempevirinae_4ng_33ns.zip</v>
      </c>
    </row>
    <row r="2526" spans="1:21">
      <c r="A2526">
        <v>2525</v>
      </c>
      <c r="B2526" s="27" t="s">
        <v>1449</v>
      </c>
      <c r="D2526" s="27" t="s">
        <v>1450</v>
      </c>
      <c r="F2526" s="27" t="s">
        <v>1453</v>
      </c>
      <c r="H2526" s="27" t="s">
        <v>1454</v>
      </c>
      <c r="L2526" s="27" t="s">
        <v>1618</v>
      </c>
      <c r="M2526" s="27" t="s">
        <v>1627</v>
      </c>
      <c r="N2526" s="27" t="s">
        <v>1321</v>
      </c>
      <c r="P2526" s="27" t="s">
        <v>11458</v>
      </c>
      <c r="Q2526" s="26" t="str">
        <f>HYPERLINK("https://ictv.global/taxonomy/taxondetails?taxnode_id=202519333&amp;ictv_id=ICTV202319333","ICTV202319333")</f>
        <v>ICTV202319333</v>
      </c>
      <c r="R2526" t="s">
        <v>579</v>
      </c>
      <c r="S2526" t="s">
        <v>823</v>
      </c>
      <c r="T2526">
        <v>39</v>
      </c>
      <c r="U2526" s="26" t="str">
        <f>HYPERLINK("https://ictv.global/ictv/proposals/2023.065B.Tempevirinae_4ng_33ns.zip","2023.065B.Tempevirinae_4ng_33ns.zip")</f>
        <v>2023.065B.Tempevirinae_4ng_33ns.zip</v>
      </c>
    </row>
    <row r="2527" spans="1:21">
      <c r="A2527">
        <v>2526</v>
      </c>
      <c r="B2527" s="27" t="s">
        <v>1449</v>
      </c>
      <c r="D2527" s="27" t="s">
        <v>1450</v>
      </c>
      <c r="F2527" s="27" t="s">
        <v>1453</v>
      </c>
      <c r="H2527" s="27" t="s">
        <v>1454</v>
      </c>
      <c r="L2527" s="27" t="s">
        <v>1618</v>
      </c>
      <c r="M2527" s="27" t="s">
        <v>1627</v>
      </c>
      <c r="N2527" s="27" t="s">
        <v>1321</v>
      </c>
      <c r="P2527" s="27" t="s">
        <v>11459</v>
      </c>
      <c r="Q2527" s="26" t="str">
        <f>HYPERLINK("https://ictv.global/taxonomy/taxondetails?taxnode_id=202519332&amp;ictv_id=ICTV202319332","ICTV202319332")</f>
        <v>ICTV202319332</v>
      </c>
      <c r="R2527" t="s">
        <v>579</v>
      </c>
      <c r="S2527" t="s">
        <v>823</v>
      </c>
      <c r="T2527">
        <v>39</v>
      </c>
      <c r="U2527" s="26" t="str">
        <f>HYPERLINK("https://ictv.global/ictv/proposals/2023.065B.Tempevirinae_4ng_33ns.zip","2023.065B.Tempevirinae_4ng_33ns.zip")</f>
        <v>2023.065B.Tempevirinae_4ng_33ns.zip</v>
      </c>
    </row>
    <row r="2528" spans="1:21">
      <c r="A2528">
        <v>2527</v>
      </c>
      <c r="B2528" s="27" t="s">
        <v>1449</v>
      </c>
      <c r="D2528" s="27" t="s">
        <v>1450</v>
      </c>
      <c r="F2528" s="27" t="s">
        <v>1453</v>
      </c>
      <c r="H2528" s="27" t="s">
        <v>1454</v>
      </c>
      <c r="L2528" s="27" t="s">
        <v>1618</v>
      </c>
      <c r="M2528" s="27" t="s">
        <v>1627</v>
      </c>
      <c r="N2528" s="27" t="s">
        <v>1321</v>
      </c>
      <c r="P2528" s="27" t="s">
        <v>4727</v>
      </c>
      <c r="Q2528" s="26" t="str">
        <f>HYPERLINK("https://ictv.global/taxonomy/taxondetails?taxnode_id=202510091&amp;ictv_id=ICTV202010091","ICTV202010091")</f>
        <v>ICTV202010091</v>
      </c>
      <c r="R2528" t="s">
        <v>579</v>
      </c>
      <c r="S2528" t="s">
        <v>824</v>
      </c>
      <c r="T2528">
        <v>37</v>
      </c>
      <c r="U2528" s="26" t="str">
        <f>HYPERLINK("https://ictv.global/ictv/proposals/2021.010B.R.Binomial_names.zip","2021.010B.R.Binomial_names.zip")</f>
        <v>2021.010B.R.Binomial_names.zip</v>
      </c>
    </row>
    <row r="2529" spans="1:21">
      <c r="A2529">
        <v>2528</v>
      </c>
      <c r="B2529" s="27" t="s">
        <v>1449</v>
      </c>
      <c r="D2529" s="27" t="s">
        <v>1450</v>
      </c>
      <c r="F2529" s="27" t="s">
        <v>1453</v>
      </c>
      <c r="H2529" s="27" t="s">
        <v>1454</v>
      </c>
      <c r="L2529" s="27" t="s">
        <v>1618</v>
      </c>
      <c r="M2529" s="27" t="s">
        <v>1627</v>
      </c>
      <c r="N2529" s="27" t="s">
        <v>1321</v>
      </c>
      <c r="P2529" s="27" t="s">
        <v>4728</v>
      </c>
      <c r="Q2529" s="26" t="str">
        <f>HYPERLINK("https://ictv.global/taxonomy/taxondetails?taxnode_id=202507069&amp;ictv_id=ICTV201857069","ICTV201857069")</f>
        <v>ICTV201857069</v>
      </c>
      <c r="R2529" t="s">
        <v>579</v>
      </c>
      <c r="S2529" t="s">
        <v>824</v>
      </c>
      <c r="T2529">
        <v>37</v>
      </c>
      <c r="U2529" s="26" t="str">
        <f>HYPERLINK("https://ictv.global/ictv/proposals/2021.010B.R.Binomial_names.zip","2021.010B.R.Binomial_names.zip")</f>
        <v>2021.010B.R.Binomial_names.zip</v>
      </c>
    </row>
    <row r="2530" spans="1:21">
      <c r="A2530">
        <v>2529</v>
      </c>
      <c r="B2530" s="27" t="s">
        <v>1449</v>
      </c>
      <c r="D2530" s="27" t="s">
        <v>1450</v>
      </c>
      <c r="F2530" s="27" t="s">
        <v>1453</v>
      </c>
      <c r="H2530" s="27" t="s">
        <v>1454</v>
      </c>
      <c r="L2530" s="27" t="s">
        <v>1618</v>
      </c>
      <c r="M2530" s="27" t="s">
        <v>1627</v>
      </c>
      <c r="N2530" s="27" t="s">
        <v>1321</v>
      </c>
      <c r="P2530" s="27" t="s">
        <v>11460</v>
      </c>
      <c r="Q2530" s="26" t="str">
        <f>HYPERLINK("https://ictv.global/taxonomy/taxondetails?taxnode_id=202519334&amp;ictv_id=ICTV202319334","ICTV202319334")</f>
        <v>ICTV202319334</v>
      </c>
      <c r="R2530" t="s">
        <v>579</v>
      </c>
      <c r="S2530" t="s">
        <v>823</v>
      </c>
      <c r="T2530">
        <v>39</v>
      </c>
      <c r="U2530" s="26" t="str">
        <f>HYPERLINK("https://ictv.global/ictv/proposals/2023.065B.Tempevirinae_4ng_33ns.zip","2023.065B.Tempevirinae_4ng_33ns.zip")</f>
        <v>2023.065B.Tempevirinae_4ng_33ns.zip</v>
      </c>
    </row>
    <row r="2531" spans="1:21">
      <c r="A2531">
        <v>2530</v>
      </c>
      <c r="B2531" s="27" t="s">
        <v>1449</v>
      </c>
      <c r="D2531" s="27" t="s">
        <v>1450</v>
      </c>
      <c r="F2531" s="27" t="s">
        <v>1453</v>
      </c>
      <c r="H2531" s="27" t="s">
        <v>1454</v>
      </c>
      <c r="L2531" s="27" t="s">
        <v>1618</v>
      </c>
      <c r="M2531" s="27" t="s">
        <v>1627</v>
      </c>
      <c r="N2531" s="27" t="s">
        <v>1321</v>
      </c>
      <c r="P2531" s="27" t="s">
        <v>4729</v>
      </c>
      <c r="Q2531" s="26" t="str">
        <f>HYPERLINK("https://ictv.global/taxonomy/taxondetails?taxnode_id=202510080&amp;ictv_id=ICTV202010080","ICTV202010080")</f>
        <v>ICTV202010080</v>
      </c>
      <c r="R2531" t="s">
        <v>579</v>
      </c>
      <c r="S2531" t="s">
        <v>824</v>
      </c>
      <c r="T2531">
        <v>37</v>
      </c>
      <c r="U2531" s="26" t="str">
        <f>HYPERLINK("https://ictv.global/ictv/proposals/2021.010B.R.Binomial_names.zip","2021.010B.R.Binomial_names.zip")</f>
        <v>2021.010B.R.Binomial_names.zip</v>
      </c>
    </row>
    <row r="2532" spans="1:21">
      <c r="A2532">
        <v>2531</v>
      </c>
      <c r="B2532" s="27" t="s">
        <v>1449</v>
      </c>
      <c r="D2532" s="27" t="s">
        <v>1450</v>
      </c>
      <c r="F2532" s="27" t="s">
        <v>1453</v>
      </c>
      <c r="H2532" s="27" t="s">
        <v>1454</v>
      </c>
      <c r="L2532" s="27" t="s">
        <v>1618</v>
      </c>
      <c r="M2532" s="27" t="s">
        <v>1627</v>
      </c>
      <c r="N2532" s="27" t="s">
        <v>1321</v>
      </c>
      <c r="P2532" s="27" t="s">
        <v>4730</v>
      </c>
      <c r="Q2532" s="26" t="str">
        <f>HYPERLINK("https://ictv.global/taxonomy/taxondetails?taxnode_id=202510083&amp;ictv_id=ICTV202010083","ICTV202010083")</f>
        <v>ICTV202010083</v>
      </c>
      <c r="R2532" t="s">
        <v>579</v>
      </c>
      <c r="S2532" t="s">
        <v>824</v>
      </c>
      <c r="T2532">
        <v>37</v>
      </c>
      <c r="U2532" s="26" t="str">
        <f>HYPERLINK("https://ictv.global/ictv/proposals/2021.010B.R.Binomial_names.zip","2021.010B.R.Binomial_names.zip")</f>
        <v>2021.010B.R.Binomial_names.zip</v>
      </c>
    </row>
    <row r="2533" spans="1:21">
      <c r="A2533">
        <v>2532</v>
      </c>
      <c r="B2533" s="27" t="s">
        <v>1449</v>
      </c>
      <c r="D2533" s="27" t="s">
        <v>1450</v>
      </c>
      <c r="F2533" s="27" t="s">
        <v>1453</v>
      </c>
      <c r="H2533" s="27" t="s">
        <v>1454</v>
      </c>
      <c r="L2533" s="27" t="s">
        <v>1618</v>
      </c>
      <c r="M2533" s="27" t="s">
        <v>1627</v>
      </c>
      <c r="N2533" s="27" t="s">
        <v>2050</v>
      </c>
      <c r="P2533" s="27" t="s">
        <v>4731</v>
      </c>
      <c r="Q2533" s="26" t="str">
        <f>HYPERLINK("https://ictv.global/taxonomy/taxondetails?taxnode_id=202509972&amp;ictv_id=ICTV202009972","ICTV202009972")</f>
        <v>ICTV202009972</v>
      </c>
      <c r="R2533" t="s">
        <v>579</v>
      </c>
      <c r="S2533" t="s">
        <v>824</v>
      </c>
      <c r="T2533">
        <v>37</v>
      </c>
      <c r="U2533" s="26" t="str">
        <f>HYPERLINK("https://ictv.global/ictv/proposals/2021.010B.R.Binomial_names.zip","2021.010B.R.Binomial_names.zip")</f>
        <v>2021.010B.R.Binomial_names.zip</v>
      </c>
    </row>
    <row r="2534" spans="1:21">
      <c r="A2534">
        <v>2533</v>
      </c>
      <c r="B2534" s="27" t="s">
        <v>1449</v>
      </c>
      <c r="D2534" s="27" t="s">
        <v>1450</v>
      </c>
      <c r="F2534" s="27" t="s">
        <v>1453</v>
      </c>
      <c r="H2534" s="27" t="s">
        <v>1454</v>
      </c>
      <c r="L2534" s="27" t="s">
        <v>1618</v>
      </c>
      <c r="M2534" s="27" t="s">
        <v>1627</v>
      </c>
      <c r="N2534" s="27" t="s">
        <v>2050</v>
      </c>
      <c r="P2534" s="27" t="s">
        <v>11461</v>
      </c>
      <c r="Q2534" s="26" t="str">
        <f>HYPERLINK("https://ictv.global/taxonomy/taxondetails?taxnode_id=202519342&amp;ictv_id=ICTV202319342","ICTV202319342")</f>
        <v>ICTV202319342</v>
      </c>
      <c r="R2534" t="s">
        <v>579</v>
      </c>
      <c r="S2534" t="s">
        <v>823</v>
      </c>
      <c r="T2534">
        <v>39</v>
      </c>
      <c r="U2534" s="26" t="str">
        <f t="shared" ref="U2534:U2542" si="91">HYPERLINK("https://ictv.global/ictv/proposals/2023.065B.Tempevirinae_4ng_33ns.zip","2023.065B.Tempevirinae_4ng_33ns.zip")</f>
        <v>2023.065B.Tempevirinae_4ng_33ns.zip</v>
      </c>
    </row>
    <row r="2535" spans="1:21">
      <c r="A2535">
        <v>2534</v>
      </c>
      <c r="B2535" s="27" t="s">
        <v>1449</v>
      </c>
      <c r="D2535" s="27" t="s">
        <v>1450</v>
      </c>
      <c r="F2535" s="27" t="s">
        <v>1453</v>
      </c>
      <c r="H2535" s="27" t="s">
        <v>1454</v>
      </c>
      <c r="L2535" s="27" t="s">
        <v>1618</v>
      </c>
      <c r="M2535" s="27" t="s">
        <v>1627</v>
      </c>
      <c r="N2535" s="27" t="s">
        <v>2050</v>
      </c>
      <c r="P2535" s="27" t="s">
        <v>11462</v>
      </c>
      <c r="Q2535" s="26" t="str">
        <f>HYPERLINK("https://ictv.global/taxonomy/taxondetails?taxnode_id=202519343&amp;ictv_id=ICTV202319343","ICTV202319343")</f>
        <v>ICTV202319343</v>
      </c>
      <c r="R2535" t="s">
        <v>579</v>
      </c>
      <c r="S2535" t="s">
        <v>823</v>
      </c>
      <c r="T2535">
        <v>39</v>
      </c>
      <c r="U2535" s="26" t="str">
        <f t="shared" si="91"/>
        <v>2023.065B.Tempevirinae_4ng_33ns.zip</v>
      </c>
    </row>
    <row r="2536" spans="1:21">
      <c r="A2536">
        <v>2535</v>
      </c>
      <c r="B2536" s="27" t="s">
        <v>1449</v>
      </c>
      <c r="D2536" s="27" t="s">
        <v>1450</v>
      </c>
      <c r="F2536" s="27" t="s">
        <v>1453</v>
      </c>
      <c r="H2536" s="27" t="s">
        <v>1454</v>
      </c>
      <c r="L2536" s="27" t="s">
        <v>1618</v>
      </c>
      <c r="M2536" s="27" t="s">
        <v>1627</v>
      </c>
      <c r="N2536" s="27" t="s">
        <v>2050</v>
      </c>
      <c r="P2536" s="27" t="s">
        <v>11463</v>
      </c>
      <c r="Q2536" s="26" t="str">
        <f>HYPERLINK("https://ictv.global/taxonomy/taxondetails?taxnode_id=202519344&amp;ictv_id=ICTV202319344","ICTV202319344")</f>
        <v>ICTV202319344</v>
      </c>
      <c r="R2536" t="s">
        <v>579</v>
      </c>
      <c r="S2536" t="s">
        <v>823</v>
      </c>
      <c r="T2536">
        <v>39</v>
      </c>
      <c r="U2536" s="26" t="str">
        <f t="shared" si="91"/>
        <v>2023.065B.Tempevirinae_4ng_33ns.zip</v>
      </c>
    </row>
    <row r="2537" spans="1:21">
      <c r="A2537">
        <v>2536</v>
      </c>
      <c r="B2537" s="27" t="s">
        <v>1449</v>
      </c>
      <c r="D2537" s="27" t="s">
        <v>1450</v>
      </c>
      <c r="F2537" s="27" t="s">
        <v>1453</v>
      </c>
      <c r="H2537" s="27" t="s">
        <v>1454</v>
      </c>
      <c r="L2537" s="27" t="s">
        <v>1618</v>
      </c>
      <c r="M2537" s="27" t="s">
        <v>1627</v>
      </c>
      <c r="N2537" s="27" t="s">
        <v>11464</v>
      </c>
      <c r="P2537" s="27" t="s">
        <v>11465</v>
      </c>
      <c r="Q2537" s="26" t="str">
        <f>HYPERLINK("https://ictv.global/taxonomy/taxondetails?taxnode_id=202519315&amp;ictv_id=ICTV202319315","ICTV202319315")</f>
        <v>ICTV202319315</v>
      </c>
      <c r="R2537" t="s">
        <v>579</v>
      </c>
      <c r="S2537" t="s">
        <v>823</v>
      </c>
      <c r="T2537">
        <v>39</v>
      </c>
      <c r="U2537" s="26" t="str">
        <f t="shared" si="91"/>
        <v>2023.065B.Tempevirinae_4ng_33ns.zip</v>
      </c>
    </row>
    <row r="2538" spans="1:21">
      <c r="A2538">
        <v>2537</v>
      </c>
      <c r="B2538" s="27" t="s">
        <v>1449</v>
      </c>
      <c r="D2538" s="27" t="s">
        <v>1450</v>
      </c>
      <c r="F2538" s="27" t="s">
        <v>1453</v>
      </c>
      <c r="H2538" s="27" t="s">
        <v>1454</v>
      </c>
      <c r="L2538" s="27" t="s">
        <v>1618</v>
      </c>
      <c r="M2538" s="27" t="s">
        <v>1627</v>
      </c>
      <c r="N2538" s="27" t="s">
        <v>11466</v>
      </c>
      <c r="P2538" s="27" t="s">
        <v>11467</v>
      </c>
      <c r="Q2538" s="26" t="str">
        <f>HYPERLINK("https://ictv.global/taxonomy/taxondetails?taxnode_id=202519314&amp;ictv_id=ICTV202319314","ICTV202319314")</f>
        <v>ICTV202319314</v>
      </c>
      <c r="R2538" t="s">
        <v>579</v>
      </c>
      <c r="S2538" t="s">
        <v>823</v>
      </c>
      <c r="T2538">
        <v>39</v>
      </c>
      <c r="U2538" s="26" t="str">
        <f t="shared" si="91"/>
        <v>2023.065B.Tempevirinae_4ng_33ns.zip</v>
      </c>
    </row>
    <row r="2539" spans="1:21">
      <c r="A2539">
        <v>2538</v>
      </c>
      <c r="B2539" s="27" t="s">
        <v>1449</v>
      </c>
      <c r="D2539" s="27" t="s">
        <v>1450</v>
      </c>
      <c r="F2539" s="27" t="s">
        <v>1453</v>
      </c>
      <c r="H2539" s="27" t="s">
        <v>1454</v>
      </c>
      <c r="L2539" s="27" t="s">
        <v>1618</v>
      </c>
      <c r="M2539" s="27" t="s">
        <v>1627</v>
      </c>
      <c r="N2539" s="27" t="s">
        <v>11468</v>
      </c>
      <c r="P2539" s="27" t="s">
        <v>11469</v>
      </c>
      <c r="Q2539" s="26" t="str">
        <f>HYPERLINK("https://ictv.global/taxonomy/taxondetails?taxnode_id=202519313&amp;ictv_id=ICTV202319313","ICTV202319313")</f>
        <v>ICTV202319313</v>
      </c>
      <c r="R2539" t="s">
        <v>579</v>
      </c>
      <c r="S2539" t="s">
        <v>823</v>
      </c>
      <c r="T2539">
        <v>39</v>
      </c>
      <c r="U2539" s="26" t="str">
        <f t="shared" si="91"/>
        <v>2023.065B.Tempevirinae_4ng_33ns.zip</v>
      </c>
    </row>
    <row r="2540" spans="1:21">
      <c r="A2540">
        <v>2539</v>
      </c>
      <c r="B2540" s="27" t="s">
        <v>1449</v>
      </c>
      <c r="D2540" s="27" t="s">
        <v>1450</v>
      </c>
      <c r="F2540" s="27" t="s">
        <v>1453</v>
      </c>
      <c r="H2540" s="27" t="s">
        <v>1454</v>
      </c>
      <c r="L2540" s="27" t="s">
        <v>1618</v>
      </c>
      <c r="M2540" s="27" t="s">
        <v>1627</v>
      </c>
      <c r="N2540" s="27" t="s">
        <v>608</v>
      </c>
      <c r="P2540" s="27" t="s">
        <v>11470</v>
      </c>
      <c r="Q2540" s="26" t="str">
        <f>HYPERLINK("https://ictv.global/taxonomy/taxondetails?taxnode_id=202519322&amp;ictv_id=ICTV202319322","ICTV202319322")</f>
        <v>ICTV202319322</v>
      </c>
      <c r="R2540" t="s">
        <v>579</v>
      </c>
      <c r="S2540" t="s">
        <v>823</v>
      </c>
      <c r="T2540">
        <v>39</v>
      </c>
      <c r="U2540" s="26" t="str">
        <f t="shared" si="91"/>
        <v>2023.065B.Tempevirinae_4ng_33ns.zip</v>
      </c>
    </row>
    <row r="2541" spans="1:21">
      <c r="A2541">
        <v>2540</v>
      </c>
      <c r="B2541" s="27" t="s">
        <v>1449</v>
      </c>
      <c r="D2541" s="27" t="s">
        <v>1450</v>
      </c>
      <c r="F2541" s="27" t="s">
        <v>1453</v>
      </c>
      <c r="H2541" s="27" t="s">
        <v>1454</v>
      </c>
      <c r="L2541" s="27" t="s">
        <v>1618</v>
      </c>
      <c r="M2541" s="27" t="s">
        <v>1627</v>
      </c>
      <c r="N2541" s="27" t="s">
        <v>608</v>
      </c>
      <c r="P2541" s="27" t="s">
        <v>11471</v>
      </c>
      <c r="Q2541" s="26" t="str">
        <f>HYPERLINK("https://ictv.global/taxonomy/taxondetails?taxnode_id=202519325&amp;ictv_id=ICTV202319325","ICTV202319325")</f>
        <v>ICTV202319325</v>
      </c>
      <c r="R2541" t="s">
        <v>579</v>
      </c>
      <c r="S2541" t="s">
        <v>823</v>
      </c>
      <c r="T2541">
        <v>39</v>
      </c>
      <c r="U2541" s="26" t="str">
        <f t="shared" si="91"/>
        <v>2023.065B.Tempevirinae_4ng_33ns.zip</v>
      </c>
    </row>
    <row r="2542" spans="1:21">
      <c r="A2542">
        <v>2541</v>
      </c>
      <c r="B2542" s="27" t="s">
        <v>1449</v>
      </c>
      <c r="D2542" s="27" t="s">
        <v>1450</v>
      </c>
      <c r="F2542" s="27" t="s">
        <v>1453</v>
      </c>
      <c r="H2542" s="27" t="s">
        <v>1454</v>
      </c>
      <c r="L2542" s="27" t="s">
        <v>1618</v>
      </c>
      <c r="M2542" s="27" t="s">
        <v>1627</v>
      </c>
      <c r="N2542" s="27" t="s">
        <v>608</v>
      </c>
      <c r="P2542" s="27" t="s">
        <v>11472</v>
      </c>
      <c r="Q2542" s="26" t="str">
        <f>HYPERLINK("https://ictv.global/taxonomy/taxondetails?taxnode_id=202519327&amp;ictv_id=ICTV202319327","ICTV202319327")</f>
        <v>ICTV202319327</v>
      </c>
      <c r="R2542" t="s">
        <v>579</v>
      </c>
      <c r="S2542" t="s">
        <v>823</v>
      </c>
      <c r="T2542">
        <v>39</v>
      </c>
      <c r="U2542" s="26" t="str">
        <f t="shared" si="91"/>
        <v>2023.065B.Tempevirinae_4ng_33ns.zip</v>
      </c>
    </row>
    <row r="2543" spans="1:21">
      <c r="A2543">
        <v>2542</v>
      </c>
      <c r="B2543" s="27" t="s">
        <v>1449</v>
      </c>
      <c r="D2543" s="27" t="s">
        <v>1450</v>
      </c>
      <c r="F2543" s="27" t="s">
        <v>1453</v>
      </c>
      <c r="H2543" s="27" t="s">
        <v>1454</v>
      </c>
      <c r="L2543" s="27" t="s">
        <v>1618</v>
      </c>
      <c r="M2543" s="27" t="s">
        <v>1627</v>
      </c>
      <c r="N2543" s="27" t="s">
        <v>608</v>
      </c>
      <c r="P2543" s="27" t="s">
        <v>4732</v>
      </c>
      <c r="Q2543" s="26" t="str">
        <f>HYPERLINK("https://ictv.global/taxonomy/taxondetails?taxnode_id=202508140&amp;ictv_id=ICTV201908140","ICTV201908140")</f>
        <v>ICTV201908140</v>
      </c>
      <c r="R2543" t="s">
        <v>579</v>
      </c>
      <c r="S2543" t="s">
        <v>824</v>
      </c>
      <c r="T2543">
        <v>37</v>
      </c>
      <c r="U2543" s="26" t="str">
        <f>HYPERLINK("https://ictv.global/ictv/proposals/2021.010B.R.Binomial_names.zip","2021.010B.R.Binomial_names.zip")</f>
        <v>2021.010B.R.Binomial_names.zip</v>
      </c>
    </row>
    <row r="2544" spans="1:21">
      <c r="A2544">
        <v>2543</v>
      </c>
      <c r="B2544" s="27" t="s">
        <v>1449</v>
      </c>
      <c r="D2544" s="27" t="s">
        <v>1450</v>
      </c>
      <c r="F2544" s="27" t="s">
        <v>1453</v>
      </c>
      <c r="H2544" s="27" t="s">
        <v>1454</v>
      </c>
      <c r="L2544" s="27" t="s">
        <v>1618</v>
      </c>
      <c r="M2544" s="27" t="s">
        <v>1627</v>
      </c>
      <c r="N2544" s="27" t="s">
        <v>608</v>
      </c>
      <c r="P2544" s="27" t="s">
        <v>11473</v>
      </c>
      <c r="Q2544" s="26" t="str">
        <f>HYPERLINK("https://ictv.global/taxonomy/taxondetails?taxnode_id=202519320&amp;ictv_id=ICTV202319320","ICTV202319320")</f>
        <v>ICTV202319320</v>
      </c>
      <c r="R2544" t="s">
        <v>579</v>
      </c>
      <c r="S2544" t="s">
        <v>823</v>
      </c>
      <c r="T2544">
        <v>39</v>
      </c>
      <c r="U2544" s="26" t="str">
        <f>HYPERLINK("https://ictv.global/ictv/proposals/2023.065B.Tempevirinae_4ng_33ns.zip","2023.065B.Tempevirinae_4ng_33ns.zip")</f>
        <v>2023.065B.Tempevirinae_4ng_33ns.zip</v>
      </c>
    </row>
    <row r="2545" spans="1:21">
      <c r="A2545">
        <v>2544</v>
      </c>
      <c r="B2545" s="27" t="s">
        <v>1449</v>
      </c>
      <c r="D2545" s="27" t="s">
        <v>1450</v>
      </c>
      <c r="F2545" s="27" t="s">
        <v>1453</v>
      </c>
      <c r="H2545" s="27" t="s">
        <v>1454</v>
      </c>
      <c r="L2545" s="27" t="s">
        <v>1618</v>
      </c>
      <c r="M2545" s="27" t="s">
        <v>1627</v>
      </c>
      <c r="N2545" s="27" t="s">
        <v>608</v>
      </c>
      <c r="P2545" s="27" t="s">
        <v>11474</v>
      </c>
      <c r="Q2545" s="26" t="str">
        <f>HYPERLINK("https://ictv.global/taxonomy/taxondetails?taxnode_id=202519316&amp;ictv_id=ICTV202319316","ICTV202319316")</f>
        <v>ICTV202319316</v>
      </c>
      <c r="R2545" t="s">
        <v>579</v>
      </c>
      <c r="S2545" t="s">
        <v>823</v>
      </c>
      <c r="T2545">
        <v>39</v>
      </c>
      <c r="U2545" s="26" t="str">
        <f>HYPERLINK("https://ictv.global/ictv/proposals/2023.065B.Tempevirinae_4ng_33ns.zip","2023.065B.Tempevirinae_4ng_33ns.zip")</f>
        <v>2023.065B.Tempevirinae_4ng_33ns.zip</v>
      </c>
    </row>
    <row r="2546" spans="1:21">
      <c r="A2546">
        <v>2545</v>
      </c>
      <c r="B2546" s="27" t="s">
        <v>1449</v>
      </c>
      <c r="D2546" s="27" t="s">
        <v>1450</v>
      </c>
      <c r="F2546" s="27" t="s">
        <v>1453</v>
      </c>
      <c r="H2546" s="27" t="s">
        <v>1454</v>
      </c>
      <c r="L2546" s="27" t="s">
        <v>1618</v>
      </c>
      <c r="M2546" s="27" t="s">
        <v>1627</v>
      </c>
      <c r="N2546" s="27" t="s">
        <v>608</v>
      </c>
      <c r="P2546" s="27" t="s">
        <v>11475</v>
      </c>
      <c r="Q2546" s="26" t="str">
        <f>HYPERLINK("https://ictv.global/taxonomy/taxondetails?taxnode_id=202519323&amp;ictv_id=ICTV202319323","ICTV202319323")</f>
        <v>ICTV202319323</v>
      </c>
      <c r="R2546" t="s">
        <v>579</v>
      </c>
      <c r="S2546" t="s">
        <v>823</v>
      </c>
      <c r="T2546">
        <v>39</v>
      </c>
      <c r="U2546" s="26" t="str">
        <f>HYPERLINK("https://ictv.global/ictv/proposals/2023.065B.Tempevirinae_4ng_33ns.zip","2023.065B.Tempevirinae_4ng_33ns.zip")</f>
        <v>2023.065B.Tempevirinae_4ng_33ns.zip</v>
      </c>
    </row>
    <row r="2547" spans="1:21">
      <c r="A2547">
        <v>2546</v>
      </c>
      <c r="B2547" s="27" t="s">
        <v>1449</v>
      </c>
      <c r="D2547" s="27" t="s">
        <v>1450</v>
      </c>
      <c r="F2547" s="27" t="s">
        <v>1453</v>
      </c>
      <c r="H2547" s="27" t="s">
        <v>1454</v>
      </c>
      <c r="L2547" s="27" t="s">
        <v>1618</v>
      </c>
      <c r="M2547" s="27" t="s">
        <v>1627</v>
      </c>
      <c r="N2547" s="27" t="s">
        <v>608</v>
      </c>
      <c r="P2547" s="27" t="s">
        <v>4733</v>
      </c>
      <c r="Q2547" s="26" t="str">
        <f>HYPERLINK("https://ictv.global/taxonomy/taxondetails?taxnode_id=202508139&amp;ictv_id=ICTV201908139","ICTV201908139")</f>
        <v>ICTV201908139</v>
      </c>
      <c r="R2547" t="s">
        <v>579</v>
      </c>
      <c r="S2547" t="s">
        <v>824</v>
      </c>
      <c r="T2547">
        <v>37</v>
      </c>
      <c r="U2547" s="26" t="str">
        <f>HYPERLINK("https://ictv.global/ictv/proposals/2021.010B.R.Binomial_names.zip","2021.010B.R.Binomial_names.zip")</f>
        <v>2021.010B.R.Binomial_names.zip</v>
      </c>
    </row>
    <row r="2548" spans="1:21">
      <c r="A2548">
        <v>2547</v>
      </c>
      <c r="B2548" s="27" t="s">
        <v>1449</v>
      </c>
      <c r="D2548" s="27" t="s">
        <v>1450</v>
      </c>
      <c r="F2548" s="27" t="s">
        <v>1453</v>
      </c>
      <c r="H2548" s="27" t="s">
        <v>1454</v>
      </c>
      <c r="L2548" s="27" t="s">
        <v>1618</v>
      </c>
      <c r="M2548" s="27" t="s">
        <v>1627</v>
      </c>
      <c r="N2548" s="27" t="s">
        <v>608</v>
      </c>
      <c r="P2548" s="27" t="s">
        <v>11476</v>
      </c>
      <c r="Q2548" s="26" t="str">
        <f>HYPERLINK("https://ictv.global/taxonomy/taxondetails?taxnode_id=202519321&amp;ictv_id=ICTV202319321","ICTV202319321")</f>
        <v>ICTV202319321</v>
      </c>
      <c r="R2548" t="s">
        <v>579</v>
      </c>
      <c r="S2548" t="s">
        <v>823</v>
      </c>
      <c r="T2548">
        <v>39</v>
      </c>
      <c r="U2548" s="26" t="str">
        <f>HYPERLINK("https://ictv.global/ictv/proposals/2023.065B.Tempevirinae_4ng_33ns.zip","2023.065B.Tempevirinae_4ng_33ns.zip")</f>
        <v>2023.065B.Tempevirinae_4ng_33ns.zip</v>
      </c>
    </row>
    <row r="2549" spans="1:21">
      <c r="A2549">
        <v>2548</v>
      </c>
      <c r="B2549" s="27" t="s">
        <v>1449</v>
      </c>
      <c r="D2549" s="27" t="s">
        <v>1450</v>
      </c>
      <c r="F2549" s="27" t="s">
        <v>1453</v>
      </c>
      <c r="H2549" s="27" t="s">
        <v>1454</v>
      </c>
      <c r="L2549" s="27" t="s">
        <v>1618</v>
      </c>
      <c r="M2549" s="27" t="s">
        <v>1627</v>
      </c>
      <c r="N2549" s="27" t="s">
        <v>608</v>
      </c>
      <c r="P2549" s="27" t="s">
        <v>4734</v>
      </c>
      <c r="Q2549" s="26" t="str">
        <f>HYPERLINK("https://ictv.global/taxonomy/taxondetails?taxnode_id=202508137&amp;ictv_id=ICTV201908137","ICTV201908137")</f>
        <v>ICTV201908137</v>
      </c>
      <c r="R2549" t="s">
        <v>579</v>
      </c>
      <c r="S2549" t="s">
        <v>824</v>
      </c>
      <c r="T2549">
        <v>37</v>
      </c>
      <c r="U2549" s="26" t="str">
        <f>HYPERLINK("https://ictv.global/ictv/proposals/2021.010B.R.Binomial_names.zip","2021.010B.R.Binomial_names.zip")</f>
        <v>2021.010B.R.Binomial_names.zip</v>
      </c>
    </row>
    <row r="2550" spans="1:21">
      <c r="A2550">
        <v>2549</v>
      </c>
      <c r="B2550" s="27" t="s">
        <v>1449</v>
      </c>
      <c r="D2550" s="27" t="s">
        <v>1450</v>
      </c>
      <c r="F2550" s="27" t="s">
        <v>1453</v>
      </c>
      <c r="H2550" s="27" t="s">
        <v>1454</v>
      </c>
      <c r="L2550" s="27" t="s">
        <v>1618</v>
      </c>
      <c r="M2550" s="27" t="s">
        <v>1627</v>
      </c>
      <c r="N2550" s="27" t="s">
        <v>608</v>
      </c>
      <c r="P2550" s="27" t="s">
        <v>4735</v>
      </c>
      <c r="Q2550" s="26" t="str">
        <f>HYPERLINK("https://ictv.global/taxonomy/taxondetails?taxnode_id=202508141&amp;ictv_id=ICTV201908141","ICTV201908141")</f>
        <v>ICTV201908141</v>
      </c>
      <c r="R2550" t="s">
        <v>579</v>
      </c>
      <c r="S2550" t="s">
        <v>824</v>
      </c>
      <c r="T2550">
        <v>37</v>
      </c>
      <c r="U2550" s="26" t="str">
        <f>HYPERLINK("https://ictv.global/ictv/proposals/2021.010B.R.Binomial_names.zip","2021.010B.R.Binomial_names.zip")</f>
        <v>2021.010B.R.Binomial_names.zip</v>
      </c>
    </row>
    <row r="2551" spans="1:21">
      <c r="A2551">
        <v>2550</v>
      </c>
      <c r="B2551" s="27" t="s">
        <v>1449</v>
      </c>
      <c r="D2551" s="27" t="s">
        <v>1450</v>
      </c>
      <c r="F2551" s="27" t="s">
        <v>1453</v>
      </c>
      <c r="H2551" s="27" t="s">
        <v>1454</v>
      </c>
      <c r="L2551" s="27" t="s">
        <v>1618</v>
      </c>
      <c r="M2551" s="27" t="s">
        <v>1627</v>
      </c>
      <c r="N2551" s="27" t="s">
        <v>608</v>
      </c>
      <c r="P2551" s="27" t="s">
        <v>4736</v>
      </c>
      <c r="Q2551" s="26" t="str">
        <f>HYPERLINK("https://ictv.global/taxonomy/taxondetails?taxnode_id=202508142&amp;ictv_id=ICTV201908142","ICTV201908142")</f>
        <v>ICTV201908142</v>
      </c>
      <c r="R2551" t="s">
        <v>579</v>
      </c>
      <c r="S2551" t="s">
        <v>824</v>
      </c>
      <c r="T2551">
        <v>37</v>
      </c>
      <c r="U2551" s="26" t="str">
        <f>HYPERLINK("https://ictv.global/ictv/proposals/2021.010B.R.Binomial_names.zip","2021.010B.R.Binomial_names.zip")</f>
        <v>2021.010B.R.Binomial_names.zip</v>
      </c>
    </row>
    <row r="2552" spans="1:21">
      <c r="A2552">
        <v>2551</v>
      </c>
      <c r="B2552" s="27" t="s">
        <v>1449</v>
      </c>
      <c r="D2552" s="27" t="s">
        <v>1450</v>
      </c>
      <c r="F2552" s="27" t="s">
        <v>1453</v>
      </c>
      <c r="H2552" s="27" t="s">
        <v>1454</v>
      </c>
      <c r="L2552" s="27" t="s">
        <v>1618</v>
      </c>
      <c r="M2552" s="27" t="s">
        <v>1627</v>
      </c>
      <c r="N2552" s="27" t="s">
        <v>608</v>
      </c>
      <c r="P2552" s="27" t="s">
        <v>11477</v>
      </c>
      <c r="Q2552" s="26" t="str">
        <f>HYPERLINK("https://ictv.global/taxonomy/taxondetails?taxnode_id=202519328&amp;ictv_id=ICTV202319328","ICTV202319328")</f>
        <v>ICTV202319328</v>
      </c>
      <c r="R2552" t="s">
        <v>579</v>
      </c>
      <c r="S2552" t="s">
        <v>823</v>
      </c>
      <c r="T2552">
        <v>39</v>
      </c>
      <c r="U2552" s="26" t="str">
        <f>HYPERLINK("https://ictv.global/ictv/proposals/2023.065B.Tempevirinae_4ng_33ns.zip","2023.065B.Tempevirinae_4ng_33ns.zip")</f>
        <v>2023.065B.Tempevirinae_4ng_33ns.zip</v>
      </c>
    </row>
    <row r="2553" spans="1:21">
      <c r="A2553">
        <v>2552</v>
      </c>
      <c r="B2553" s="27" t="s">
        <v>1449</v>
      </c>
      <c r="D2553" s="27" t="s">
        <v>1450</v>
      </c>
      <c r="F2553" s="27" t="s">
        <v>1453</v>
      </c>
      <c r="H2553" s="27" t="s">
        <v>1454</v>
      </c>
      <c r="L2553" s="27" t="s">
        <v>1618</v>
      </c>
      <c r="M2553" s="27" t="s">
        <v>1627</v>
      </c>
      <c r="N2553" s="27" t="s">
        <v>608</v>
      </c>
      <c r="P2553" s="27" t="s">
        <v>4737</v>
      </c>
      <c r="Q2553" s="26" t="str">
        <f>HYPERLINK("https://ictv.global/taxonomy/taxondetails?taxnode_id=202500834&amp;ictv_id=ICTV20150812","ICTV20150812")</f>
        <v>ICTV20150812</v>
      </c>
      <c r="R2553" t="s">
        <v>579</v>
      </c>
      <c r="S2553" t="s">
        <v>824</v>
      </c>
      <c r="T2553">
        <v>37</v>
      </c>
      <c r="U2553" s="26" t="str">
        <f>HYPERLINK("https://ictv.global/ictv/proposals/2021.010B.R.Binomial_names.zip","2021.010B.R.Binomial_names.zip")</f>
        <v>2021.010B.R.Binomial_names.zip</v>
      </c>
    </row>
    <row r="2554" spans="1:21">
      <c r="A2554">
        <v>2553</v>
      </c>
      <c r="B2554" s="27" t="s">
        <v>1449</v>
      </c>
      <c r="D2554" s="27" t="s">
        <v>1450</v>
      </c>
      <c r="F2554" s="27" t="s">
        <v>1453</v>
      </c>
      <c r="H2554" s="27" t="s">
        <v>1454</v>
      </c>
      <c r="L2554" s="27" t="s">
        <v>1618</v>
      </c>
      <c r="M2554" s="27" t="s">
        <v>1627</v>
      </c>
      <c r="N2554" s="27" t="s">
        <v>608</v>
      </c>
      <c r="P2554" s="27" t="s">
        <v>4738</v>
      </c>
      <c r="Q2554" s="26" t="str">
        <f>HYPERLINK("https://ictv.global/taxonomy/taxondetails?taxnode_id=202500832&amp;ictv_id=ICTV20150813","ICTV20150813")</f>
        <v>ICTV20150813</v>
      </c>
      <c r="R2554" t="s">
        <v>579</v>
      </c>
      <c r="S2554" t="s">
        <v>824</v>
      </c>
      <c r="T2554">
        <v>37</v>
      </c>
      <c r="U2554" s="26" t="str">
        <f>HYPERLINK("https://ictv.global/ictv/proposals/2021.010B.R.Binomial_names.zip","2021.010B.R.Binomial_names.zip")</f>
        <v>2021.010B.R.Binomial_names.zip</v>
      </c>
    </row>
    <row r="2555" spans="1:21">
      <c r="A2555">
        <v>2554</v>
      </c>
      <c r="B2555" s="27" t="s">
        <v>1449</v>
      </c>
      <c r="D2555" s="27" t="s">
        <v>1450</v>
      </c>
      <c r="F2555" s="27" t="s">
        <v>1453</v>
      </c>
      <c r="H2555" s="27" t="s">
        <v>1454</v>
      </c>
      <c r="L2555" s="27" t="s">
        <v>1618</v>
      </c>
      <c r="M2555" s="27" t="s">
        <v>1627</v>
      </c>
      <c r="N2555" s="27" t="s">
        <v>608</v>
      </c>
      <c r="P2555" s="27" t="s">
        <v>11478</v>
      </c>
      <c r="Q2555" s="26" t="str">
        <f>HYPERLINK("https://ictv.global/taxonomy/taxondetails?taxnode_id=202519317&amp;ictv_id=ICTV202319317","ICTV202319317")</f>
        <v>ICTV202319317</v>
      </c>
      <c r="R2555" t="s">
        <v>579</v>
      </c>
      <c r="S2555" t="s">
        <v>823</v>
      </c>
      <c r="T2555">
        <v>39</v>
      </c>
      <c r="U2555" s="26" t="str">
        <f>HYPERLINK("https://ictv.global/ictv/proposals/2023.065B.Tempevirinae_4ng_33ns.zip","2023.065B.Tempevirinae_4ng_33ns.zip")</f>
        <v>2023.065B.Tempevirinae_4ng_33ns.zip</v>
      </c>
    </row>
    <row r="2556" spans="1:21">
      <c r="A2556">
        <v>2555</v>
      </c>
      <c r="B2556" s="27" t="s">
        <v>1449</v>
      </c>
      <c r="D2556" s="27" t="s">
        <v>1450</v>
      </c>
      <c r="F2556" s="27" t="s">
        <v>1453</v>
      </c>
      <c r="H2556" s="27" t="s">
        <v>1454</v>
      </c>
      <c r="L2556" s="27" t="s">
        <v>1618</v>
      </c>
      <c r="M2556" s="27" t="s">
        <v>1627</v>
      </c>
      <c r="N2556" s="27" t="s">
        <v>608</v>
      </c>
      <c r="P2556" s="27" t="s">
        <v>4739</v>
      </c>
      <c r="Q2556" s="26" t="str">
        <f>HYPERLINK("https://ictv.global/taxonomy/taxondetails?taxnode_id=202500833&amp;ictv_id=ICTV20125849","ICTV20125849")</f>
        <v>ICTV20125849</v>
      </c>
      <c r="R2556" t="s">
        <v>579</v>
      </c>
      <c r="S2556" t="s">
        <v>824</v>
      </c>
      <c r="T2556">
        <v>37</v>
      </c>
      <c r="U2556" s="26" t="str">
        <f>HYPERLINK("https://ictv.global/ictv/proposals/2021.010B.R.Binomial_names.zip","2021.010B.R.Binomial_names.zip")</f>
        <v>2021.010B.R.Binomial_names.zip</v>
      </c>
    </row>
    <row r="2557" spans="1:21">
      <c r="A2557">
        <v>2556</v>
      </c>
      <c r="B2557" s="27" t="s">
        <v>1449</v>
      </c>
      <c r="D2557" s="27" t="s">
        <v>1450</v>
      </c>
      <c r="F2557" s="27" t="s">
        <v>1453</v>
      </c>
      <c r="H2557" s="27" t="s">
        <v>1454</v>
      </c>
      <c r="L2557" s="27" t="s">
        <v>1618</v>
      </c>
      <c r="M2557" s="27" t="s">
        <v>1627</v>
      </c>
      <c r="N2557" s="27" t="s">
        <v>608</v>
      </c>
      <c r="P2557" s="27" t="s">
        <v>11479</v>
      </c>
      <c r="Q2557" s="26" t="str">
        <f>HYPERLINK("https://ictv.global/taxonomy/taxondetails?taxnode_id=202519326&amp;ictv_id=ICTV202319326","ICTV202319326")</f>
        <v>ICTV202319326</v>
      </c>
      <c r="R2557" t="s">
        <v>579</v>
      </c>
      <c r="S2557" t="s">
        <v>823</v>
      </c>
      <c r="T2557">
        <v>39</v>
      </c>
      <c r="U2557" s="26" t="str">
        <f>HYPERLINK("https://ictv.global/ictv/proposals/2023.065B.Tempevirinae_4ng_33ns.zip","2023.065B.Tempevirinae_4ng_33ns.zip")</f>
        <v>2023.065B.Tempevirinae_4ng_33ns.zip</v>
      </c>
    </row>
    <row r="2558" spans="1:21">
      <c r="A2558">
        <v>2557</v>
      </c>
      <c r="B2558" s="27" t="s">
        <v>1449</v>
      </c>
      <c r="D2558" s="27" t="s">
        <v>1450</v>
      </c>
      <c r="F2558" s="27" t="s">
        <v>1453</v>
      </c>
      <c r="H2558" s="27" t="s">
        <v>1454</v>
      </c>
      <c r="L2558" s="27" t="s">
        <v>1618</v>
      </c>
      <c r="M2558" s="27" t="s">
        <v>1627</v>
      </c>
      <c r="N2558" s="27" t="s">
        <v>608</v>
      </c>
      <c r="P2558" s="27" t="s">
        <v>11480</v>
      </c>
      <c r="Q2558" s="26" t="str">
        <f>HYPERLINK("https://ictv.global/taxonomy/taxondetails?taxnode_id=202519318&amp;ictv_id=ICTV202319318","ICTV202319318")</f>
        <v>ICTV202319318</v>
      </c>
      <c r="R2558" t="s">
        <v>579</v>
      </c>
      <c r="S2558" t="s">
        <v>823</v>
      </c>
      <c r="T2558">
        <v>39</v>
      </c>
      <c r="U2558" s="26" t="str">
        <f>HYPERLINK("https://ictv.global/ictv/proposals/2023.065B.Tempevirinae_4ng_33ns.zip","2023.065B.Tempevirinae_4ng_33ns.zip")</f>
        <v>2023.065B.Tempevirinae_4ng_33ns.zip</v>
      </c>
    </row>
    <row r="2559" spans="1:21">
      <c r="A2559">
        <v>2558</v>
      </c>
      <c r="B2559" s="27" t="s">
        <v>1449</v>
      </c>
      <c r="D2559" s="27" t="s">
        <v>1450</v>
      </c>
      <c r="F2559" s="27" t="s">
        <v>1453</v>
      </c>
      <c r="H2559" s="27" t="s">
        <v>1454</v>
      </c>
      <c r="L2559" s="27" t="s">
        <v>1618</v>
      </c>
      <c r="M2559" s="27" t="s">
        <v>1627</v>
      </c>
      <c r="N2559" s="27" t="s">
        <v>608</v>
      </c>
      <c r="P2559" s="27" t="s">
        <v>11481</v>
      </c>
      <c r="Q2559" s="26" t="str">
        <f>HYPERLINK("https://ictv.global/taxonomy/taxondetails?taxnode_id=202519319&amp;ictv_id=ICTV202319319","ICTV202319319")</f>
        <v>ICTV202319319</v>
      </c>
      <c r="R2559" t="s">
        <v>579</v>
      </c>
      <c r="S2559" t="s">
        <v>823</v>
      </c>
      <c r="T2559">
        <v>39</v>
      </c>
      <c r="U2559" s="26" t="str">
        <f>HYPERLINK("https://ictv.global/ictv/proposals/2023.065B.Tempevirinae_4ng_33ns.zip","2023.065B.Tempevirinae_4ng_33ns.zip")</f>
        <v>2023.065B.Tempevirinae_4ng_33ns.zip</v>
      </c>
    </row>
    <row r="2560" spans="1:21">
      <c r="A2560">
        <v>2559</v>
      </c>
      <c r="B2560" s="27" t="s">
        <v>1449</v>
      </c>
      <c r="D2560" s="27" t="s">
        <v>1450</v>
      </c>
      <c r="F2560" s="27" t="s">
        <v>1453</v>
      </c>
      <c r="H2560" s="27" t="s">
        <v>1454</v>
      </c>
      <c r="L2560" s="27" t="s">
        <v>1618</v>
      </c>
      <c r="M2560" s="27" t="s">
        <v>1627</v>
      </c>
      <c r="N2560" s="27" t="s">
        <v>608</v>
      </c>
      <c r="P2560" s="27" t="s">
        <v>11482</v>
      </c>
      <c r="Q2560" s="26" t="str">
        <f>HYPERLINK("https://ictv.global/taxonomy/taxondetails?taxnode_id=202519324&amp;ictv_id=ICTV202319324","ICTV202319324")</f>
        <v>ICTV202319324</v>
      </c>
      <c r="R2560" t="s">
        <v>579</v>
      </c>
      <c r="S2560" t="s">
        <v>823</v>
      </c>
      <c r="T2560">
        <v>39</v>
      </c>
      <c r="U2560" s="26" t="str">
        <f>HYPERLINK("https://ictv.global/ictv/proposals/2023.065B.Tempevirinae_4ng_33ns.zip","2023.065B.Tempevirinae_4ng_33ns.zip")</f>
        <v>2023.065B.Tempevirinae_4ng_33ns.zip</v>
      </c>
    </row>
    <row r="2561" spans="1:21">
      <c r="A2561">
        <v>2560</v>
      </c>
      <c r="B2561" s="27" t="s">
        <v>1449</v>
      </c>
      <c r="D2561" s="27" t="s">
        <v>1450</v>
      </c>
      <c r="F2561" s="27" t="s">
        <v>1453</v>
      </c>
      <c r="H2561" s="27" t="s">
        <v>1454</v>
      </c>
      <c r="L2561" s="27" t="s">
        <v>1618</v>
      </c>
      <c r="M2561" s="27" t="s">
        <v>1627</v>
      </c>
      <c r="N2561" s="27" t="s">
        <v>608</v>
      </c>
      <c r="P2561" s="27" t="s">
        <v>4740</v>
      </c>
      <c r="Q2561" s="26" t="str">
        <f>HYPERLINK("https://ictv.global/taxonomy/taxondetails?taxnode_id=202508138&amp;ictv_id=ICTV201908138","ICTV201908138")</f>
        <v>ICTV201908138</v>
      </c>
      <c r="R2561" t="s">
        <v>579</v>
      </c>
      <c r="S2561" t="s">
        <v>824</v>
      </c>
      <c r="T2561">
        <v>37</v>
      </c>
      <c r="U2561" s="26" t="str">
        <f>HYPERLINK("https://ictv.global/ictv/proposals/2021.010B.R.Binomial_names.zip","2021.010B.R.Binomial_names.zip")</f>
        <v>2021.010B.R.Binomial_names.zip</v>
      </c>
    </row>
    <row r="2562" spans="1:21">
      <c r="A2562">
        <v>2561</v>
      </c>
      <c r="B2562" s="27" t="s">
        <v>1449</v>
      </c>
      <c r="D2562" s="27" t="s">
        <v>1450</v>
      </c>
      <c r="F2562" s="27" t="s">
        <v>1453</v>
      </c>
      <c r="H2562" s="27" t="s">
        <v>1454</v>
      </c>
      <c r="L2562" s="27" t="s">
        <v>1618</v>
      </c>
      <c r="M2562" s="27" t="s">
        <v>1627</v>
      </c>
      <c r="N2562" s="27" t="s">
        <v>1628</v>
      </c>
      <c r="P2562" s="27" t="s">
        <v>4741</v>
      </c>
      <c r="Q2562" s="26" t="str">
        <f>HYPERLINK("https://ictv.global/taxonomy/taxondetails?taxnode_id=202512096&amp;ictv_id=ICTV202012096","ICTV202012096")</f>
        <v>ICTV202012096</v>
      </c>
      <c r="R2562" t="s">
        <v>579</v>
      </c>
      <c r="S2562" t="s">
        <v>824</v>
      </c>
      <c r="T2562">
        <v>37</v>
      </c>
      <c r="U2562" s="26" t="str">
        <f>HYPERLINK("https://ictv.global/ictv/proposals/2021.010B.R.Binomial_names.zip","2021.010B.R.Binomial_names.zip")</f>
        <v>2021.010B.R.Binomial_names.zip</v>
      </c>
    </row>
    <row r="2563" spans="1:21">
      <c r="A2563">
        <v>2562</v>
      </c>
      <c r="B2563" s="27" t="s">
        <v>1449</v>
      </c>
      <c r="D2563" s="27" t="s">
        <v>1450</v>
      </c>
      <c r="F2563" s="27" t="s">
        <v>1453</v>
      </c>
      <c r="H2563" s="27" t="s">
        <v>1454</v>
      </c>
      <c r="L2563" s="27" t="s">
        <v>1618</v>
      </c>
      <c r="M2563" s="27" t="s">
        <v>1627</v>
      </c>
      <c r="N2563" s="27" t="s">
        <v>1628</v>
      </c>
      <c r="P2563" s="27" t="s">
        <v>11483</v>
      </c>
      <c r="Q2563" s="26" t="str">
        <f>HYPERLINK("https://ictv.global/taxonomy/taxondetails?taxnode_id=202519335&amp;ictv_id=ICTV202319335","ICTV202319335")</f>
        <v>ICTV202319335</v>
      </c>
      <c r="R2563" t="s">
        <v>579</v>
      </c>
      <c r="S2563" t="s">
        <v>823</v>
      </c>
      <c r="T2563">
        <v>39</v>
      </c>
      <c r="U2563" s="26" t="str">
        <f>HYPERLINK("https://ictv.global/ictv/proposals/2023.065B.Tempevirinae_4ng_33ns.zip","2023.065B.Tempevirinae_4ng_33ns.zip")</f>
        <v>2023.065B.Tempevirinae_4ng_33ns.zip</v>
      </c>
    </row>
    <row r="2564" spans="1:21">
      <c r="A2564">
        <v>2563</v>
      </c>
      <c r="B2564" s="27" t="s">
        <v>1449</v>
      </c>
      <c r="D2564" s="27" t="s">
        <v>1450</v>
      </c>
      <c r="F2564" s="27" t="s">
        <v>1453</v>
      </c>
      <c r="H2564" s="27" t="s">
        <v>1454</v>
      </c>
      <c r="L2564" s="27" t="s">
        <v>1618</v>
      </c>
      <c r="M2564" s="27" t="s">
        <v>1627</v>
      </c>
      <c r="N2564" s="27" t="s">
        <v>1628</v>
      </c>
      <c r="P2564" s="27" t="s">
        <v>4742</v>
      </c>
      <c r="Q2564" s="26" t="str">
        <f>HYPERLINK("https://ictv.global/taxonomy/taxondetails?taxnode_id=202512091&amp;ictv_id=ICTV202012091","ICTV202012091")</f>
        <v>ICTV202012091</v>
      </c>
      <c r="R2564" t="s">
        <v>579</v>
      </c>
      <c r="S2564" t="s">
        <v>824</v>
      </c>
      <c r="T2564">
        <v>37</v>
      </c>
      <c r="U2564" s="26" t="str">
        <f>HYPERLINK("https://ictv.global/ictv/proposals/2021.010B.R.Binomial_names.zip","2021.010B.R.Binomial_names.zip")</f>
        <v>2021.010B.R.Binomial_names.zip</v>
      </c>
    </row>
    <row r="2565" spans="1:21">
      <c r="A2565">
        <v>2564</v>
      </c>
      <c r="B2565" s="27" t="s">
        <v>1449</v>
      </c>
      <c r="D2565" s="27" t="s">
        <v>1450</v>
      </c>
      <c r="F2565" s="27" t="s">
        <v>1453</v>
      </c>
      <c r="H2565" s="27" t="s">
        <v>1454</v>
      </c>
      <c r="L2565" s="27" t="s">
        <v>1618</v>
      </c>
      <c r="M2565" s="27" t="s">
        <v>1627</v>
      </c>
      <c r="N2565" s="27" t="s">
        <v>1628</v>
      </c>
      <c r="P2565" s="27" t="s">
        <v>11484</v>
      </c>
      <c r="Q2565" s="26" t="str">
        <f>HYPERLINK("https://ictv.global/taxonomy/taxondetails?taxnode_id=202519337&amp;ictv_id=ICTV202319337","ICTV202319337")</f>
        <v>ICTV202319337</v>
      </c>
      <c r="R2565" t="s">
        <v>579</v>
      </c>
      <c r="S2565" t="s">
        <v>823</v>
      </c>
      <c r="T2565">
        <v>39</v>
      </c>
      <c r="U2565" s="26" t="str">
        <f>HYPERLINK("https://ictv.global/ictv/proposals/2023.065B.Tempevirinae_4ng_33ns.zip","2023.065B.Tempevirinae_4ng_33ns.zip")</f>
        <v>2023.065B.Tempevirinae_4ng_33ns.zip</v>
      </c>
    </row>
    <row r="2566" spans="1:21">
      <c r="A2566">
        <v>2565</v>
      </c>
      <c r="B2566" s="27" t="s">
        <v>1449</v>
      </c>
      <c r="D2566" s="27" t="s">
        <v>1450</v>
      </c>
      <c r="F2566" s="27" t="s">
        <v>1453</v>
      </c>
      <c r="H2566" s="27" t="s">
        <v>1454</v>
      </c>
      <c r="L2566" s="27" t="s">
        <v>1618</v>
      </c>
      <c r="M2566" s="27" t="s">
        <v>1627</v>
      </c>
      <c r="N2566" s="27" t="s">
        <v>1628</v>
      </c>
      <c r="P2566" s="27" t="s">
        <v>11485</v>
      </c>
      <c r="Q2566" s="26" t="str">
        <f>HYPERLINK("https://ictv.global/taxonomy/taxondetails?taxnode_id=202519338&amp;ictv_id=ICTV202319338","ICTV202319338")</f>
        <v>ICTV202319338</v>
      </c>
      <c r="R2566" t="s">
        <v>579</v>
      </c>
      <c r="S2566" t="s">
        <v>823</v>
      </c>
      <c r="T2566">
        <v>39</v>
      </c>
      <c r="U2566" s="26" t="str">
        <f>HYPERLINK("https://ictv.global/ictv/proposals/2023.065B.Tempevirinae_4ng_33ns.zip","2023.065B.Tempevirinae_4ng_33ns.zip")</f>
        <v>2023.065B.Tempevirinae_4ng_33ns.zip</v>
      </c>
    </row>
    <row r="2567" spans="1:21">
      <c r="A2567">
        <v>2566</v>
      </c>
      <c r="B2567" s="27" t="s">
        <v>1449</v>
      </c>
      <c r="D2567" s="27" t="s">
        <v>1450</v>
      </c>
      <c r="F2567" s="27" t="s">
        <v>1453</v>
      </c>
      <c r="H2567" s="27" t="s">
        <v>1454</v>
      </c>
      <c r="L2567" s="27" t="s">
        <v>1618</v>
      </c>
      <c r="M2567" s="27" t="s">
        <v>1627</v>
      </c>
      <c r="N2567" s="27" t="s">
        <v>1628</v>
      </c>
      <c r="P2567" s="27" t="s">
        <v>4743</v>
      </c>
      <c r="Q2567" s="26" t="str">
        <f>HYPERLINK("https://ictv.global/taxonomy/taxondetails?taxnode_id=202508134&amp;ictv_id=ICTV201908134","ICTV201908134")</f>
        <v>ICTV201908134</v>
      </c>
      <c r="R2567" t="s">
        <v>579</v>
      </c>
      <c r="S2567" t="s">
        <v>824</v>
      </c>
      <c r="T2567">
        <v>37</v>
      </c>
      <c r="U2567" s="26" t="str">
        <f>HYPERLINK("https://ictv.global/ictv/proposals/2021.010B.R.Binomial_names.zip","2021.010B.R.Binomial_names.zip")</f>
        <v>2021.010B.R.Binomial_names.zip</v>
      </c>
    </row>
    <row r="2568" spans="1:21">
      <c r="A2568">
        <v>2567</v>
      </c>
      <c r="B2568" s="27" t="s">
        <v>1449</v>
      </c>
      <c r="D2568" s="27" t="s">
        <v>1450</v>
      </c>
      <c r="F2568" s="27" t="s">
        <v>1453</v>
      </c>
      <c r="H2568" s="27" t="s">
        <v>1454</v>
      </c>
      <c r="L2568" s="27" t="s">
        <v>1618</v>
      </c>
      <c r="M2568" s="27" t="s">
        <v>1627</v>
      </c>
      <c r="N2568" s="27" t="s">
        <v>1628</v>
      </c>
      <c r="P2568" s="27" t="s">
        <v>11486</v>
      </c>
      <c r="Q2568" s="26" t="str">
        <f>HYPERLINK("https://ictv.global/taxonomy/taxondetails?taxnode_id=202519336&amp;ictv_id=ICTV202319336","ICTV202319336")</f>
        <v>ICTV202319336</v>
      </c>
      <c r="R2568" t="s">
        <v>579</v>
      </c>
      <c r="S2568" t="s">
        <v>823</v>
      </c>
      <c r="T2568">
        <v>39</v>
      </c>
      <c r="U2568" s="26" t="str">
        <f>HYPERLINK("https://ictv.global/ictv/proposals/2023.065B.Tempevirinae_4ng_33ns.zip","2023.065B.Tempevirinae_4ng_33ns.zip")</f>
        <v>2023.065B.Tempevirinae_4ng_33ns.zip</v>
      </c>
    </row>
    <row r="2569" spans="1:21">
      <c r="A2569">
        <v>2568</v>
      </c>
      <c r="B2569" s="27" t="s">
        <v>1449</v>
      </c>
      <c r="D2569" s="27" t="s">
        <v>1450</v>
      </c>
      <c r="F2569" s="27" t="s">
        <v>1453</v>
      </c>
      <c r="H2569" s="27" t="s">
        <v>1454</v>
      </c>
      <c r="L2569" s="27" t="s">
        <v>1618</v>
      </c>
      <c r="M2569" s="27" t="s">
        <v>1627</v>
      </c>
      <c r="N2569" s="27" t="s">
        <v>1628</v>
      </c>
      <c r="P2569" s="27" t="s">
        <v>11487</v>
      </c>
      <c r="Q2569" s="26" t="str">
        <f>HYPERLINK("https://ictv.global/taxonomy/taxondetails?taxnode_id=202519339&amp;ictv_id=ICTV202319339","ICTV202319339")</f>
        <v>ICTV202319339</v>
      </c>
      <c r="R2569" t="s">
        <v>579</v>
      </c>
      <c r="S2569" t="s">
        <v>823</v>
      </c>
      <c r="T2569">
        <v>39</v>
      </c>
      <c r="U2569" s="26" t="str">
        <f>HYPERLINK("https://ictv.global/ictv/proposals/2023.065B.Tempevirinae_4ng_33ns.zip","2023.065B.Tempevirinae_4ng_33ns.zip")</f>
        <v>2023.065B.Tempevirinae_4ng_33ns.zip</v>
      </c>
    </row>
    <row r="2570" spans="1:21">
      <c r="A2570">
        <v>2569</v>
      </c>
      <c r="B2570" s="27" t="s">
        <v>1449</v>
      </c>
      <c r="D2570" s="27" t="s">
        <v>1450</v>
      </c>
      <c r="F2570" s="27" t="s">
        <v>1453</v>
      </c>
      <c r="H2570" s="27" t="s">
        <v>1454</v>
      </c>
      <c r="L2570" s="27" t="s">
        <v>1618</v>
      </c>
      <c r="M2570" s="27" t="s">
        <v>1627</v>
      </c>
      <c r="N2570" s="27" t="s">
        <v>1628</v>
      </c>
      <c r="P2570" s="27" t="s">
        <v>4744</v>
      </c>
      <c r="Q2570" s="26" t="str">
        <f>HYPERLINK("https://ictv.global/taxonomy/taxondetails?taxnode_id=202508133&amp;ictv_id=ICTV201908133","ICTV201908133")</f>
        <v>ICTV201908133</v>
      </c>
      <c r="R2570" t="s">
        <v>579</v>
      </c>
      <c r="S2570" t="s">
        <v>824</v>
      </c>
      <c r="T2570">
        <v>37</v>
      </c>
      <c r="U2570" s="26" t="str">
        <f>HYPERLINK("https://ictv.global/ictv/proposals/2021.010B.R.Binomial_names.zip","2021.010B.R.Binomial_names.zip")</f>
        <v>2021.010B.R.Binomial_names.zip</v>
      </c>
    </row>
    <row r="2571" spans="1:21">
      <c r="A2571">
        <v>2570</v>
      </c>
      <c r="B2571" s="27" t="s">
        <v>1449</v>
      </c>
      <c r="D2571" s="27" t="s">
        <v>1450</v>
      </c>
      <c r="F2571" s="27" t="s">
        <v>1453</v>
      </c>
      <c r="H2571" s="27" t="s">
        <v>1454</v>
      </c>
      <c r="L2571" s="27" t="s">
        <v>1618</v>
      </c>
      <c r="M2571" s="27" t="s">
        <v>1627</v>
      </c>
      <c r="N2571" s="27" t="s">
        <v>1628</v>
      </c>
      <c r="P2571" s="27" t="s">
        <v>11488</v>
      </c>
      <c r="Q2571" s="26" t="str">
        <f>HYPERLINK("https://ictv.global/taxonomy/taxondetails?taxnode_id=202519340&amp;ictv_id=ICTV202319340","ICTV202319340")</f>
        <v>ICTV202319340</v>
      </c>
      <c r="R2571" t="s">
        <v>579</v>
      </c>
      <c r="S2571" t="s">
        <v>823</v>
      </c>
      <c r="T2571">
        <v>39</v>
      </c>
      <c r="U2571" s="26" t="str">
        <f>HYPERLINK("https://ictv.global/ictv/proposals/2023.065B.Tempevirinae_4ng_33ns.zip","2023.065B.Tempevirinae_4ng_33ns.zip")</f>
        <v>2023.065B.Tempevirinae_4ng_33ns.zip</v>
      </c>
    </row>
    <row r="2572" spans="1:21">
      <c r="A2572">
        <v>2571</v>
      </c>
      <c r="B2572" s="27" t="s">
        <v>1449</v>
      </c>
      <c r="D2572" s="27" t="s">
        <v>1450</v>
      </c>
      <c r="F2572" s="27" t="s">
        <v>1453</v>
      </c>
      <c r="H2572" s="27" t="s">
        <v>1454</v>
      </c>
      <c r="L2572" s="27" t="s">
        <v>1618</v>
      </c>
      <c r="M2572" s="27" t="s">
        <v>1627</v>
      </c>
      <c r="N2572" s="27" t="s">
        <v>1628</v>
      </c>
      <c r="P2572" s="27" t="s">
        <v>4745</v>
      </c>
      <c r="Q2572" s="26" t="str">
        <f>HYPERLINK("https://ictv.global/taxonomy/taxondetails?taxnode_id=202512098&amp;ictv_id=ICTV202012098","ICTV202012098")</f>
        <v>ICTV202012098</v>
      </c>
      <c r="R2572" t="s">
        <v>579</v>
      </c>
      <c r="S2572" t="s">
        <v>824</v>
      </c>
      <c r="T2572">
        <v>37</v>
      </c>
      <c r="U2572" s="26" t="str">
        <f t="shared" ref="U2572:U2580" si="92">HYPERLINK("https://ictv.global/ictv/proposals/2021.010B.R.Binomial_names.zip","2021.010B.R.Binomial_names.zip")</f>
        <v>2021.010B.R.Binomial_names.zip</v>
      </c>
    </row>
    <row r="2573" spans="1:21">
      <c r="A2573">
        <v>2572</v>
      </c>
      <c r="B2573" s="27" t="s">
        <v>1449</v>
      </c>
      <c r="D2573" s="27" t="s">
        <v>1450</v>
      </c>
      <c r="F2573" s="27" t="s">
        <v>1453</v>
      </c>
      <c r="H2573" s="27" t="s">
        <v>1454</v>
      </c>
      <c r="L2573" s="27" t="s">
        <v>1618</v>
      </c>
      <c r="M2573" s="27" t="s">
        <v>1627</v>
      </c>
      <c r="N2573" s="27" t="s">
        <v>1628</v>
      </c>
      <c r="P2573" s="27" t="s">
        <v>4746</v>
      </c>
      <c r="Q2573" s="26" t="str">
        <f>HYPERLINK("https://ictv.global/taxonomy/taxondetails?taxnode_id=202508131&amp;ictv_id=ICTV201908131","ICTV201908131")</f>
        <v>ICTV201908131</v>
      </c>
      <c r="R2573" t="s">
        <v>579</v>
      </c>
      <c r="S2573" t="s">
        <v>824</v>
      </c>
      <c r="T2573">
        <v>37</v>
      </c>
      <c r="U2573" s="26" t="str">
        <f t="shared" si="92"/>
        <v>2021.010B.R.Binomial_names.zip</v>
      </c>
    </row>
    <row r="2574" spans="1:21">
      <c r="A2574">
        <v>2573</v>
      </c>
      <c r="B2574" s="27" t="s">
        <v>1449</v>
      </c>
      <c r="D2574" s="27" t="s">
        <v>1450</v>
      </c>
      <c r="F2574" s="27" t="s">
        <v>1453</v>
      </c>
      <c r="H2574" s="27" t="s">
        <v>1454</v>
      </c>
      <c r="L2574" s="27" t="s">
        <v>1618</v>
      </c>
      <c r="M2574" s="27" t="s">
        <v>1627</v>
      </c>
      <c r="N2574" s="27" t="s">
        <v>1628</v>
      </c>
      <c r="P2574" s="27" t="s">
        <v>4747</v>
      </c>
      <c r="Q2574" s="26" t="str">
        <f>HYPERLINK("https://ictv.global/taxonomy/taxondetails?taxnode_id=202512097&amp;ictv_id=ICTV202012097","ICTV202012097")</f>
        <v>ICTV202012097</v>
      </c>
      <c r="R2574" t="s">
        <v>579</v>
      </c>
      <c r="S2574" t="s">
        <v>824</v>
      </c>
      <c r="T2574">
        <v>37</v>
      </c>
      <c r="U2574" s="26" t="str">
        <f t="shared" si="92"/>
        <v>2021.010B.R.Binomial_names.zip</v>
      </c>
    </row>
    <row r="2575" spans="1:21">
      <c r="A2575">
        <v>2574</v>
      </c>
      <c r="B2575" s="27" t="s">
        <v>1449</v>
      </c>
      <c r="D2575" s="27" t="s">
        <v>1450</v>
      </c>
      <c r="F2575" s="27" t="s">
        <v>1453</v>
      </c>
      <c r="H2575" s="27" t="s">
        <v>1454</v>
      </c>
      <c r="L2575" s="27" t="s">
        <v>1618</v>
      </c>
      <c r="M2575" s="27" t="s">
        <v>1627</v>
      </c>
      <c r="N2575" s="27" t="s">
        <v>1628</v>
      </c>
      <c r="P2575" s="27" t="s">
        <v>4748</v>
      </c>
      <c r="Q2575" s="26" t="str">
        <f>HYPERLINK("https://ictv.global/taxonomy/taxondetails?taxnode_id=202512095&amp;ictv_id=ICTV202012095","ICTV202012095")</f>
        <v>ICTV202012095</v>
      </c>
      <c r="R2575" t="s">
        <v>579</v>
      </c>
      <c r="S2575" t="s">
        <v>824</v>
      </c>
      <c r="T2575">
        <v>37</v>
      </c>
      <c r="U2575" s="26" t="str">
        <f t="shared" si="92"/>
        <v>2021.010B.R.Binomial_names.zip</v>
      </c>
    </row>
    <row r="2576" spans="1:21">
      <c r="A2576">
        <v>2575</v>
      </c>
      <c r="B2576" s="27" t="s">
        <v>1449</v>
      </c>
      <c r="D2576" s="27" t="s">
        <v>1450</v>
      </c>
      <c r="F2576" s="27" t="s">
        <v>1453</v>
      </c>
      <c r="H2576" s="27" t="s">
        <v>1454</v>
      </c>
      <c r="L2576" s="27" t="s">
        <v>1618</v>
      </c>
      <c r="M2576" s="27" t="s">
        <v>1627</v>
      </c>
      <c r="N2576" s="27" t="s">
        <v>1628</v>
      </c>
      <c r="P2576" s="27" t="s">
        <v>4749</v>
      </c>
      <c r="Q2576" s="26" t="str">
        <f>HYPERLINK("https://ictv.global/taxonomy/taxondetails?taxnode_id=202512092&amp;ictv_id=ICTV202012092","ICTV202012092")</f>
        <v>ICTV202012092</v>
      </c>
      <c r="R2576" t="s">
        <v>579</v>
      </c>
      <c r="S2576" t="s">
        <v>824</v>
      </c>
      <c r="T2576">
        <v>37</v>
      </c>
      <c r="U2576" s="26" t="str">
        <f t="shared" si="92"/>
        <v>2021.010B.R.Binomial_names.zip</v>
      </c>
    </row>
    <row r="2577" spans="1:21">
      <c r="A2577">
        <v>2576</v>
      </c>
      <c r="B2577" s="27" t="s">
        <v>1449</v>
      </c>
      <c r="D2577" s="27" t="s">
        <v>1450</v>
      </c>
      <c r="F2577" s="27" t="s">
        <v>1453</v>
      </c>
      <c r="H2577" s="27" t="s">
        <v>1454</v>
      </c>
      <c r="L2577" s="27" t="s">
        <v>1618</v>
      </c>
      <c r="M2577" s="27" t="s">
        <v>1627</v>
      </c>
      <c r="N2577" s="27" t="s">
        <v>1628</v>
      </c>
      <c r="P2577" s="27" t="s">
        <v>4750</v>
      </c>
      <c r="Q2577" s="26" t="str">
        <f>HYPERLINK("https://ictv.global/taxonomy/taxondetails?taxnode_id=202512094&amp;ictv_id=ICTV202012094","ICTV202012094")</f>
        <v>ICTV202012094</v>
      </c>
      <c r="R2577" t="s">
        <v>579</v>
      </c>
      <c r="S2577" t="s">
        <v>824</v>
      </c>
      <c r="T2577">
        <v>37</v>
      </c>
      <c r="U2577" s="26" t="str">
        <f t="shared" si="92"/>
        <v>2021.010B.R.Binomial_names.zip</v>
      </c>
    </row>
    <row r="2578" spans="1:21">
      <c r="A2578">
        <v>2577</v>
      </c>
      <c r="B2578" s="27" t="s">
        <v>1449</v>
      </c>
      <c r="D2578" s="27" t="s">
        <v>1450</v>
      </c>
      <c r="F2578" s="27" t="s">
        <v>1453</v>
      </c>
      <c r="H2578" s="27" t="s">
        <v>1454</v>
      </c>
      <c r="L2578" s="27" t="s">
        <v>1618</v>
      </c>
      <c r="M2578" s="27" t="s">
        <v>1627</v>
      </c>
      <c r="N2578" s="27" t="s">
        <v>1628</v>
      </c>
      <c r="P2578" s="27" t="s">
        <v>4751</v>
      </c>
      <c r="Q2578" s="26" t="str">
        <f>HYPERLINK("https://ictv.global/taxonomy/taxondetails?taxnode_id=202512093&amp;ictv_id=ICTV202012093","ICTV202012093")</f>
        <v>ICTV202012093</v>
      </c>
      <c r="R2578" t="s">
        <v>579</v>
      </c>
      <c r="S2578" t="s">
        <v>824</v>
      </c>
      <c r="T2578">
        <v>37</v>
      </c>
      <c r="U2578" s="26" t="str">
        <f t="shared" si="92"/>
        <v>2021.010B.R.Binomial_names.zip</v>
      </c>
    </row>
    <row r="2579" spans="1:21">
      <c r="A2579">
        <v>2578</v>
      </c>
      <c r="B2579" s="27" t="s">
        <v>1449</v>
      </c>
      <c r="D2579" s="27" t="s">
        <v>1450</v>
      </c>
      <c r="F2579" s="27" t="s">
        <v>1453</v>
      </c>
      <c r="H2579" s="27" t="s">
        <v>1454</v>
      </c>
      <c r="L2579" s="27" t="s">
        <v>1618</v>
      </c>
      <c r="M2579" s="27" t="s">
        <v>1627</v>
      </c>
      <c r="N2579" s="27" t="s">
        <v>1628</v>
      </c>
      <c r="P2579" s="27" t="s">
        <v>4752</v>
      </c>
      <c r="Q2579" s="26" t="str">
        <f>HYPERLINK("https://ictv.global/taxonomy/taxondetails?taxnode_id=202508132&amp;ictv_id=ICTV201908132","ICTV201908132")</f>
        <v>ICTV201908132</v>
      </c>
      <c r="R2579" t="s">
        <v>579</v>
      </c>
      <c r="S2579" t="s">
        <v>824</v>
      </c>
      <c r="T2579">
        <v>37</v>
      </c>
      <c r="U2579" s="26" t="str">
        <f t="shared" si="92"/>
        <v>2021.010B.R.Binomial_names.zip</v>
      </c>
    </row>
    <row r="2580" spans="1:21">
      <c r="A2580">
        <v>2579</v>
      </c>
      <c r="B2580" s="27" t="s">
        <v>1449</v>
      </c>
      <c r="D2580" s="27" t="s">
        <v>1450</v>
      </c>
      <c r="F2580" s="27" t="s">
        <v>1453</v>
      </c>
      <c r="H2580" s="27" t="s">
        <v>1454</v>
      </c>
      <c r="L2580" s="27" t="s">
        <v>1618</v>
      </c>
      <c r="M2580" s="27" t="s">
        <v>606</v>
      </c>
      <c r="N2580" s="27" t="s">
        <v>1629</v>
      </c>
      <c r="P2580" s="27" t="s">
        <v>4753</v>
      </c>
      <c r="Q2580" s="26" t="str">
        <f>HYPERLINK("https://ictv.global/taxonomy/taxondetails?taxnode_id=202508167&amp;ictv_id=ICTV201908167","ICTV201908167")</f>
        <v>ICTV201908167</v>
      </c>
      <c r="R2580" t="s">
        <v>579</v>
      </c>
      <c r="S2580" t="s">
        <v>824</v>
      </c>
      <c r="T2580">
        <v>37</v>
      </c>
      <c r="U2580" s="26" t="str">
        <f t="shared" si="92"/>
        <v>2021.010B.R.Binomial_names.zip</v>
      </c>
    </row>
    <row r="2581" spans="1:21">
      <c r="A2581">
        <v>2580</v>
      </c>
      <c r="B2581" s="27" t="s">
        <v>1449</v>
      </c>
      <c r="D2581" s="27" t="s">
        <v>1450</v>
      </c>
      <c r="F2581" s="27" t="s">
        <v>1453</v>
      </c>
      <c r="H2581" s="27" t="s">
        <v>1454</v>
      </c>
      <c r="L2581" s="27" t="s">
        <v>1618</v>
      </c>
      <c r="M2581" s="27" t="s">
        <v>606</v>
      </c>
      <c r="N2581" s="27" t="s">
        <v>1323</v>
      </c>
      <c r="P2581" s="27" t="s">
        <v>11489</v>
      </c>
      <c r="Q2581" s="26" t="str">
        <f>HYPERLINK("https://ictv.global/taxonomy/taxondetails?taxnode_id=202519408&amp;ictv_id=ICTV202319408","ICTV202319408")</f>
        <v>ICTV202319408</v>
      </c>
      <c r="R2581" t="s">
        <v>579</v>
      </c>
      <c r="S2581" t="s">
        <v>823</v>
      </c>
      <c r="T2581">
        <v>39</v>
      </c>
      <c r="U2581" s="26" t="str">
        <f>HYPERLINK("https://ictv.global/ictv/proposals/2023.071B.Tunavirinae_10ns.zip","2023.071B.Tunavirinae_10ns.zip")</f>
        <v>2023.071B.Tunavirinae_10ns.zip</v>
      </c>
    </row>
    <row r="2582" spans="1:21">
      <c r="A2582">
        <v>2581</v>
      </c>
      <c r="B2582" s="27" t="s">
        <v>1449</v>
      </c>
      <c r="D2582" s="27" t="s">
        <v>1450</v>
      </c>
      <c r="F2582" s="27" t="s">
        <v>1453</v>
      </c>
      <c r="H2582" s="27" t="s">
        <v>1454</v>
      </c>
      <c r="L2582" s="27" t="s">
        <v>1618</v>
      </c>
      <c r="M2582" s="27" t="s">
        <v>606</v>
      </c>
      <c r="N2582" s="27" t="s">
        <v>1323</v>
      </c>
      <c r="P2582" s="27" t="s">
        <v>4754</v>
      </c>
      <c r="Q2582" s="26" t="str">
        <f>HYPERLINK("https://ictv.global/taxonomy/taxondetails?taxnode_id=202507071&amp;ictv_id=ICTV201857071","ICTV201857071")</f>
        <v>ICTV201857071</v>
      </c>
      <c r="R2582" t="s">
        <v>579</v>
      </c>
      <c r="S2582" t="s">
        <v>824</v>
      </c>
      <c r="T2582">
        <v>37</v>
      </c>
      <c r="U2582" s="26" t="str">
        <f>HYPERLINK("https://ictv.global/ictv/proposals/2021.010B.R.Binomial_names.zip","2021.010B.R.Binomial_names.zip")</f>
        <v>2021.010B.R.Binomial_names.zip</v>
      </c>
    </row>
    <row r="2583" spans="1:21">
      <c r="A2583">
        <v>2582</v>
      </c>
      <c r="B2583" s="27" t="s">
        <v>1449</v>
      </c>
      <c r="D2583" s="27" t="s">
        <v>1450</v>
      </c>
      <c r="F2583" s="27" t="s">
        <v>1453</v>
      </c>
      <c r="H2583" s="27" t="s">
        <v>1454</v>
      </c>
      <c r="L2583" s="27" t="s">
        <v>1618</v>
      </c>
      <c r="M2583" s="27" t="s">
        <v>606</v>
      </c>
      <c r="N2583" s="27" t="s">
        <v>1324</v>
      </c>
      <c r="P2583" s="27" t="s">
        <v>4755</v>
      </c>
      <c r="Q2583" s="26" t="str">
        <f>HYPERLINK("https://ictv.global/taxonomy/taxondetails?taxnode_id=202500825&amp;ictv_id=ICTV20150809","ICTV20150809")</f>
        <v>ICTV20150809</v>
      </c>
      <c r="R2583" t="s">
        <v>579</v>
      </c>
      <c r="S2583" t="s">
        <v>824</v>
      </c>
      <c r="T2583">
        <v>37</v>
      </c>
      <c r="U2583" s="26" t="str">
        <f>HYPERLINK("https://ictv.global/ictv/proposals/2021.010B.R.Binomial_names.zip","2021.010B.R.Binomial_names.zip")</f>
        <v>2021.010B.R.Binomial_names.zip</v>
      </c>
    </row>
    <row r="2584" spans="1:21">
      <c r="A2584">
        <v>2583</v>
      </c>
      <c r="B2584" s="27" t="s">
        <v>1449</v>
      </c>
      <c r="D2584" s="27" t="s">
        <v>1450</v>
      </c>
      <c r="F2584" s="27" t="s">
        <v>1453</v>
      </c>
      <c r="H2584" s="27" t="s">
        <v>1454</v>
      </c>
      <c r="L2584" s="27" t="s">
        <v>1618</v>
      </c>
      <c r="M2584" s="27" t="s">
        <v>606</v>
      </c>
      <c r="N2584" s="27" t="s">
        <v>1324</v>
      </c>
      <c r="P2584" s="27" t="s">
        <v>4756</v>
      </c>
      <c r="Q2584" s="26" t="str">
        <f>HYPERLINK("https://ictv.global/taxonomy/taxondetails?taxnode_id=202508160&amp;ictv_id=ICTV201908160","ICTV201908160")</f>
        <v>ICTV201908160</v>
      </c>
      <c r="R2584" t="s">
        <v>579</v>
      </c>
      <c r="S2584" t="s">
        <v>824</v>
      </c>
      <c r="T2584">
        <v>37</v>
      </c>
      <c r="U2584" s="26" t="str">
        <f>HYPERLINK("https://ictv.global/ictv/proposals/2021.010B.R.Binomial_names.zip","2021.010B.R.Binomial_names.zip")</f>
        <v>2021.010B.R.Binomial_names.zip</v>
      </c>
    </row>
    <row r="2585" spans="1:21">
      <c r="A2585">
        <v>2584</v>
      </c>
      <c r="B2585" s="27" t="s">
        <v>1449</v>
      </c>
      <c r="D2585" s="27" t="s">
        <v>1450</v>
      </c>
      <c r="F2585" s="27" t="s">
        <v>1453</v>
      </c>
      <c r="H2585" s="27" t="s">
        <v>1454</v>
      </c>
      <c r="L2585" s="27" t="s">
        <v>1618</v>
      </c>
      <c r="M2585" s="27" t="s">
        <v>606</v>
      </c>
      <c r="N2585" s="27" t="s">
        <v>1324</v>
      </c>
      <c r="P2585" s="27" t="s">
        <v>11490</v>
      </c>
      <c r="Q2585" s="26" t="str">
        <f>HYPERLINK("https://ictv.global/taxonomy/taxondetails?taxnode_id=202519400&amp;ictv_id=ICTV202319400","ICTV202319400")</f>
        <v>ICTV202319400</v>
      </c>
      <c r="R2585" t="s">
        <v>579</v>
      </c>
      <c r="S2585" t="s">
        <v>823</v>
      </c>
      <c r="T2585">
        <v>39</v>
      </c>
      <c r="U2585" s="26" t="str">
        <f>HYPERLINK("https://ictv.global/ictv/proposals/2023.071B.Tunavirinae_10ns.zip","2023.071B.Tunavirinae_10ns.zip")</f>
        <v>2023.071B.Tunavirinae_10ns.zip</v>
      </c>
    </row>
    <row r="2586" spans="1:21">
      <c r="A2586">
        <v>2585</v>
      </c>
      <c r="B2586" s="27" t="s">
        <v>1449</v>
      </c>
      <c r="D2586" s="27" t="s">
        <v>1450</v>
      </c>
      <c r="F2586" s="27" t="s">
        <v>1453</v>
      </c>
      <c r="H2586" s="27" t="s">
        <v>1454</v>
      </c>
      <c r="L2586" s="27" t="s">
        <v>1618</v>
      </c>
      <c r="M2586" s="27" t="s">
        <v>606</v>
      </c>
      <c r="N2586" s="27" t="s">
        <v>1324</v>
      </c>
      <c r="P2586" s="27" t="s">
        <v>11491</v>
      </c>
      <c r="Q2586" s="26" t="str">
        <f>HYPERLINK("https://ictv.global/taxonomy/taxondetails?taxnode_id=202519406&amp;ictv_id=ICTV202319406","ICTV202319406")</f>
        <v>ICTV202319406</v>
      </c>
      <c r="R2586" t="s">
        <v>579</v>
      </c>
      <c r="S2586" t="s">
        <v>823</v>
      </c>
      <c r="T2586">
        <v>39</v>
      </c>
      <c r="U2586" s="26" t="str">
        <f>HYPERLINK("https://ictv.global/ictv/proposals/2023.071B.Tunavirinae_10ns.zip","2023.071B.Tunavirinae_10ns.zip")</f>
        <v>2023.071B.Tunavirinae_10ns.zip</v>
      </c>
    </row>
    <row r="2587" spans="1:21">
      <c r="A2587">
        <v>2586</v>
      </c>
      <c r="B2587" s="27" t="s">
        <v>1449</v>
      </c>
      <c r="D2587" s="27" t="s">
        <v>1450</v>
      </c>
      <c r="F2587" s="27" t="s">
        <v>1453</v>
      </c>
      <c r="H2587" s="27" t="s">
        <v>1454</v>
      </c>
      <c r="L2587" s="27" t="s">
        <v>1618</v>
      </c>
      <c r="M2587" s="27" t="s">
        <v>606</v>
      </c>
      <c r="N2587" s="27" t="s">
        <v>1324</v>
      </c>
      <c r="P2587" s="27" t="s">
        <v>4757</v>
      </c>
      <c r="Q2587" s="26" t="str">
        <f>HYPERLINK("https://ictv.global/taxonomy/taxondetails?taxnode_id=202512057&amp;ictv_id=ICTV202012057","ICTV202012057")</f>
        <v>ICTV202012057</v>
      </c>
      <c r="R2587" t="s">
        <v>579</v>
      </c>
      <c r="S2587" t="s">
        <v>824</v>
      </c>
      <c r="T2587">
        <v>37</v>
      </c>
      <c r="U2587" s="26" t="str">
        <f t="shared" ref="U2587:U2592" si="93">HYPERLINK("https://ictv.global/ictv/proposals/2021.010B.R.Binomial_names.zip","2021.010B.R.Binomial_names.zip")</f>
        <v>2021.010B.R.Binomial_names.zip</v>
      </c>
    </row>
    <row r="2588" spans="1:21">
      <c r="A2588">
        <v>2587</v>
      </c>
      <c r="B2588" s="27" t="s">
        <v>1449</v>
      </c>
      <c r="D2588" s="27" t="s">
        <v>1450</v>
      </c>
      <c r="F2588" s="27" t="s">
        <v>1453</v>
      </c>
      <c r="H2588" s="27" t="s">
        <v>1454</v>
      </c>
      <c r="L2588" s="27" t="s">
        <v>1618</v>
      </c>
      <c r="M2588" s="27" t="s">
        <v>606</v>
      </c>
      <c r="N2588" s="27" t="s">
        <v>1324</v>
      </c>
      <c r="P2588" s="27" t="s">
        <v>4758</v>
      </c>
      <c r="Q2588" s="26" t="str">
        <f>HYPERLINK("https://ictv.global/taxonomy/taxondetails?taxnode_id=202508164&amp;ictv_id=ICTV201908164","ICTV201908164")</f>
        <v>ICTV201908164</v>
      </c>
      <c r="R2588" t="s">
        <v>579</v>
      </c>
      <c r="S2588" t="s">
        <v>824</v>
      </c>
      <c r="T2588">
        <v>37</v>
      </c>
      <c r="U2588" s="26" t="str">
        <f t="shared" si="93"/>
        <v>2021.010B.R.Binomial_names.zip</v>
      </c>
    </row>
    <row r="2589" spans="1:21">
      <c r="A2589">
        <v>2588</v>
      </c>
      <c r="B2589" s="27" t="s">
        <v>1449</v>
      </c>
      <c r="D2589" s="27" t="s">
        <v>1450</v>
      </c>
      <c r="F2589" s="27" t="s">
        <v>1453</v>
      </c>
      <c r="H2589" s="27" t="s">
        <v>1454</v>
      </c>
      <c r="L2589" s="27" t="s">
        <v>1618</v>
      </c>
      <c r="M2589" s="27" t="s">
        <v>606</v>
      </c>
      <c r="N2589" s="27" t="s">
        <v>1324</v>
      </c>
      <c r="P2589" s="27" t="s">
        <v>4759</v>
      </c>
      <c r="Q2589" s="26" t="str">
        <f>HYPERLINK("https://ictv.global/taxonomy/taxondetails?taxnode_id=202508161&amp;ictv_id=ICTV201908161","ICTV201908161")</f>
        <v>ICTV201908161</v>
      </c>
      <c r="R2589" t="s">
        <v>579</v>
      </c>
      <c r="S2589" t="s">
        <v>824</v>
      </c>
      <c r="T2589">
        <v>37</v>
      </c>
      <c r="U2589" s="26" t="str">
        <f t="shared" si="93"/>
        <v>2021.010B.R.Binomial_names.zip</v>
      </c>
    </row>
    <row r="2590" spans="1:21">
      <c r="A2590">
        <v>2589</v>
      </c>
      <c r="B2590" s="27" t="s">
        <v>1449</v>
      </c>
      <c r="D2590" s="27" t="s">
        <v>1450</v>
      </c>
      <c r="F2590" s="27" t="s">
        <v>1453</v>
      </c>
      <c r="H2590" s="27" t="s">
        <v>1454</v>
      </c>
      <c r="L2590" s="27" t="s">
        <v>1618</v>
      </c>
      <c r="M2590" s="27" t="s">
        <v>606</v>
      </c>
      <c r="N2590" s="27" t="s">
        <v>1324</v>
      </c>
      <c r="P2590" s="27" t="s">
        <v>4760</v>
      </c>
      <c r="Q2590" s="26" t="str">
        <f>HYPERLINK("https://ictv.global/taxonomy/taxondetails?taxnode_id=202507089&amp;ictv_id=ICTV201857089","ICTV201857089")</f>
        <v>ICTV201857089</v>
      </c>
      <c r="R2590" t="s">
        <v>579</v>
      </c>
      <c r="S2590" t="s">
        <v>824</v>
      </c>
      <c r="T2590">
        <v>37</v>
      </c>
      <c r="U2590" s="26" t="str">
        <f t="shared" si="93"/>
        <v>2021.010B.R.Binomial_names.zip</v>
      </c>
    </row>
    <row r="2591" spans="1:21">
      <c r="A2591">
        <v>2590</v>
      </c>
      <c r="B2591" s="27" t="s">
        <v>1449</v>
      </c>
      <c r="D2591" s="27" t="s">
        <v>1450</v>
      </c>
      <c r="F2591" s="27" t="s">
        <v>1453</v>
      </c>
      <c r="H2591" s="27" t="s">
        <v>1454</v>
      </c>
      <c r="L2591" s="27" t="s">
        <v>1618</v>
      </c>
      <c r="M2591" s="27" t="s">
        <v>606</v>
      </c>
      <c r="N2591" s="27" t="s">
        <v>1324</v>
      </c>
      <c r="P2591" s="27" t="s">
        <v>4761</v>
      </c>
      <c r="Q2591" s="26" t="str">
        <f>HYPERLINK("https://ictv.global/taxonomy/taxondetails?taxnode_id=202500826&amp;ictv_id=ICTV20164971","ICTV20164971")</f>
        <v>ICTV20164971</v>
      </c>
      <c r="R2591" t="s">
        <v>579</v>
      </c>
      <c r="S2591" t="s">
        <v>824</v>
      </c>
      <c r="T2591">
        <v>37</v>
      </c>
      <c r="U2591" s="26" t="str">
        <f t="shared" si="93"/>
        <v>2021.010B.R.Binomial_names.zip</v>
      </c>
    </row>
    <row r="2592" spans="1:21">
      <c r="A2592">
        <v>2591</v>
      </c>
      <c r="B2592" s="27" t="s">
        <v>1449</v>
      </c>
      <c r="D2592" s="27" t="s">
        <v>1450</v>
      </c>
      <c r="F2592" s="27" t="s">
        <v>1453</v>
      </c>
      <c r="H2592" s="27" t="s">
        <v>1454</v>
      </c>
      <c r="L2592" s="27" t="s">
        <v>1618</v>
      </c>
      <c r="M2592" s="27" t="s">
        <v>606</v>
      </c>
      <c r="N2592" s="27" t="s">
        <v>1324</v>
      </c>
      <c r="P2592" s="27" t="s">
        <v>4762</v>
      </c>
      <c r="Q2592" s="26" t="str">
        <f>HYPERLINK("https://ictv.global/taxonomy/taxondetails?taxnode_id=202500827&amp;ictv_id=ICTV20164972","ICTV20164972")</f>
        <v>ICTV20164972</v>
      </c>
      <c r="R2592" t="s">
        <v>579</v>
      </c>
      <c r="S2592" t="s">
        <v>824</v>
      </c>
      <c r="T2592">
        <v>37</v>
      </c>
      <c r="U2592" s="26" t="str">
        <f t="shared" si="93"/>
        <v>2021.010B.R.Binomial_names.zip</v>
      </c>
    </row>
    <row r="2593" spans="1:21">
      <c r="A2593">
        <v>2592</v>
      </c>
      <c r="B2593" s="27" t="s">
        <v>1449</v>
      </c>
      <c r="D2593" s="27" t="s">
        <v>1450</v>
      </c>
      <c r="F2593" s="27" t="s">
        <v>1453</v>
      </c>
      <c r="H2593" s="27" t="s">
        <v>1454</v>
      </c>
      <c r="L2593" s="27" t="s">
        <v>1618</v>
      </c>
      <c r="M2593" s="27" t="s">
        <v>606</v>
      </c>
      <c r="N2593" s="27" t="s">
        <v>1324</v>
      </c>
      <c r="P2593" s="27" t="s">
        <v>11492</v>
      </c>
      <c r="Q2593" s="26" t="str">
        <f>HYPERLINK("https://ictv.global/taxonomy/taxondetails?taxnode_id=202519407&amp;ictv_id=ICTV202319407","ICTV202319407")</f>
        <v>ICTV202319407</v>
      </c>
      <c r="R2593" t="s">
        <v>579</v>
      </c>
      <c r="S2593" t="s">
        <v>823</v>
      </c>
      <c r="T2593">
        <v>39</v>
      </c>
      <c r="U2593" s="26" t="str">
        <f>HYPERLINK("https://ictv.global/ictv/proposals/2023.071B.Tunavirinae_10ns.zip","2023.071B.Tunavirinae_10ns.zip")</f>
        <v>2023.071B.Tunavirinae_10ns.zip</v>
      </c>
    </row>
    <row r="2594" spans="1:21">
      <c r="A2594">
        <v>2593</v>
      </c>
      <c r="B2594" s="27" t="s">
        <v>1449</v>
      </c>
      <c r="D2594" s="27" t="s">
        <v>1450</v>
      </c>
      <c r="F2594" s="27" t="s">
        <v>1453</v>
      </c>
      <c r="H2594" s="27" t="s">
        <v>1454</v>
      </c>
      <c r="L2594" s="27" t="s">
        <v>1618</v>
      </c>
      <c r="M2594" s="27" t="s">
        <v>606</v>
      </c>
      <c r="N2594" s="27" t="s">
        <v>1324</v>
      </c>
      <c r="P2594" s="27" t="s">
        <v>11493</v>
      </c>
      <c r="Q2594" s="26" t="str">
        <f>HYPERLINK("https://ictv.global/taxonomy/taxondetails?taxnode_id=202519404&amp;ictv_id=ICTV202319404","ICTV202319404")</f>
        <v>ICTV202319404</v>
      </c>
      <c r="R2594" t="s">
        <v>579</v>
      </c>
      <c r="S2594" t="s">
        <v>823</v>
      </c>
      <c r="T2594">
        <v>39</v>
      </c>
      <c r="U2594" s="26" t="str">
        <f>HYPERLINK("https://ictv.global/ictv/proposals/2023.071B.Tunavirinae_10ns.zip","2023.071B.Tunavirinae_10ns.zip")</f>
        <v>2023.071B.Tunavirinae_10ns.zip</v>
      </c>
    </row>
    <row r="2595" spans="1:21">
      <c r="A2595">
        <v>2594</v>
      </c>
      <c r="B2595" s="27" t="s">
        <v>1449</v>
      </c>
      <c r="D2595" s="27" t="s">
        <v>1450</v>
      </c>
      <c r="F2595" s="27" t="s">
        <v>1453</v>
      </c>
      <c r="H2595" s="27" t="s">
        <v>1454</v>
      </c>
      <c r="L2595" s="27" t="s">
        <v>1618</v>
      </c>
      <c r="M2595" s="27" t="s">
        <v>606</v>
      </c>
      <c r="N2595" s="27" t="s">
        <v>1324</v>
      </c>
      <c r="P2595" s="27" t="s">
        <v>11494</v>
      </c>
      <c r="Q2595" s="26" t="str">
        <f>HYPERLINK("https://ictv.global/taxonomy/taxondetails?taxnode_id=202519405&amp;ictv_id=ICTV202319405","ICTV202319405")</f>
        <v>ICTV202319405</v>
      </c>
      <c r="R2595" t="s">
        <v>579</v>
      </c>
      <c r="S2595" t="s">
        <v>823</v>
      </c>
      <c r="T2595">
        <v>39</v>
      </c>
      <c r="U2595" s="26" t="str">
        <f>HYPERLINK("https://ictv.global/ictv/proposals/2023.071B.Tunavirinae_10ns.zip","2023.071B.Tunavirinae_10ns.zip")</f>
        <v>2023.071B.Tunavirinae_10ns.zip</v>
      </c>
    </row>
    <row r="2596" spans="1:21">
      <c r="A2596">
        <v>2595</v>
      </c>
      <c r="B2596" s="27" t="s">
        <v>1449</v>
      </c>
      <c r="D2596" s="27" t="s">
        <v>1450</v>
      </c>
      <c r="F2596" s="27" t="s">
        <v>1453</v>
      </c>
      <c r="H2596" s="27" t="s">
        <v>1454</v>
      </c>
      <c r="L2596" s="27" t="s">
        <v>1618</v>
      </c>
      <c r="M2596" s="27" t="s">
        <v>606</v>
      </c>
      <c r="N2596" s="27" t="s">
        <v>1324</v>
      </c>
      <c r="P2596" s="27" t="s">
        <v>4763</v>
      </c>
      <c r="Q2596" s="26" t="str">
        <f>HYPERLINK("https://ictv.global/taxonomy/taxondetails?taxnode_id=202500829&amp;ictv_id=ICTV20150810","ICTV20150810")</f>
        <v>ICTV20150810</v>
      </c>
      <c r="R2596" t="s">
        <v>579</v>
      </c>
      <c r="S2596" t="s">
        <v>824</v>
      </c>
      <c r="T2596">
        <v>37</v>
      </c>
      <c r="U2596" s="26" t="str">
        <f>HYPERLINK("https://ictv.global/ictv/proposals/2021.010B.R.Binomial_names.zip","2021.010B.R.Binomial_names.zip")</f>
        <v>2021.010B.R.Binomial_names.zip</v>
      </c>
    </row>
    <row r="2597" spans="1:21">
      <c r="A2597">
        <v>2596</v>
      </c>
      <c r="B2597" s="27" t="s">
        <v>1449</v>
      </c>
      <c r="D2597" s="27" t="s">
        <v>1450</v>
      </c>
      <c r="F2597" s="27" t="s">
        <v>1453</v>
      </c>
      <c r="H2597" s="27" t="s">
        <v>1454</v>
      </c>
      <c r="L2597" s="27" t="s">
        <v>1618</v>
      </c>
      <c r="M2597" s="27" t="s">
        <v>606</v>
      </c>
      <c r="N2597" s="27" t="s">
        <v>1324</v>
      </c>
      <c r="P2597" s="27" t="s">
        <v>11495</v>
      </c>
      <c r="Q2597" s="26" t="str">
        <f>HYPERLINK("https://ictv.global/taxonomy/taxondetails?taxnode_id=202519403&amp;ictv_id=ICTV202319403","ICTV202319403")</f>
        <v>ICTV202319403</v>
      </c>
      <c r="R2597" t="s">
        <v>579</v>
      </c>
      <c r="S2597" t="s">
        <v>823</v>
      </c>
      <c r="T2597">
        <v>39</v>
      </c>
      <c r="U2597" s="26" t="str">
        <f>HYPERLINK("https://ictv.global/ictv/proposals/2023.071B.Tunavirinae_10ns.zip","2023.071B.Tunavirinae_10ns.zip")</f>
        <v>2023.071B.Tunavirinae_10ns.zip</v>
      </c>
    </row>
    <row r="2598" spans="1:21">
      <c r="A2598">
        <v>2597</v>
      </c>
      <c r="B2598" s="27" t="s">
        <v>1449</v>
      </c>
      <c r="D2598" s="27" t="s">
        <v>1450</v>
      </c>
      <c r="F2598" s="27" t="s">
        <v>1453</v>
      </c>
      <c r="H2598" s="27" t="s">
        <v>1454</v>
      </c>
      <c r="L2598" s="27" t="s">
        <v>1618</v>
      </c>
      <c r="M2598" s="27" t="s">
        <v>606</v>
      </c>
      <c r="N2598" s="27" t="s">
        <v>1324</v>
      </c>
      <c r="P2598" s="27" t="s">
        <v>11496</v>
      </c>
      <c r="Q2598" s="26" t="str">
        <f>HYPERLINK("https://ictv.global/taxonomy/taxondetails?taxnode_id=202519399&amp;ictv_id=ICTV202319399","ICTV202319399")</f>
        <v>ICTV202319399</v>
      </c>
      <c r="R2598" t="s">
        <v>579</v>
      </c>
      <c r="S2598" t="s">
        <v>823</v>
      </c>
      <c r="T2598">
        <v>39</v>
      </c>
      <c r="U2598" s="26" t="str">
        <f>HYPERLINK("https://ictv.global/ictv/proposals/2023.071B.Tunavirinae_10ns.zip","2023.071B.Tunavirinae_10ns.zip")</f>
        <v>2023.071B.Tunavirinae_10ns.zip</v>
      </c>
    </row>
    <row r="2599" spans="1:21">
      <c r="A2599">
        <v>2598</v>
      </c>
      <c r="B2599" s="27" t="s">
        <v>1449</v>
      </c>
      <c r="D2599" s="27" t="s">
        <v>1450</v>
      </c>
      <c r="F2599" s="27" t="s">
        <v>1453</v>
      </c>
      <c r="H2599" s="27" t="s">
        <v>1454</v>
      </c>
      <c r="L2599" s="27" t="s">
        <v>1618</v>
      </c>
      <c r="M2599" s="27" t="s">
        <v>606</v>
      </c>
      <c r="N2599" s="27" t="s">
        <v>1324</v>
      </c>
      <c r="P2599" s="27" t="s">
        <v>11497</v>
      </c>
      <c r="Q2599" s="26" t="str">
        <f>HYPERLINK("https://ictv.global/taxonomy/taxondetails?taxnode_id=202519401&amp;ictv_id=ICTV202319401","ICTV202319401")</f>
        <v>ICTV202319401</v>
      </c>
      <c r="R2599" t="s">
        <v>579</v>
      </c>
      <c r="S2599" t="s">
        <v>823</v>
      </c>
      <c r="T2599">
        <v>39</v>
      </c>
      <c r="U2599" s="26" t="str">
        <f>HYPERLINK("https://ictv.global/ictv/proposals/2023.071B.Tunavirinae_10ns.zip","2023.071B.Tunavirinae_10ns.zip")</f>
        <v>2023.071B.Tunavirinae_10ns.zip</v>
      </c>
    </row>
    <row r="2600" spans="1:21">
      <c r="A2600">
        <v>2599</v>
      </c>
      <c r="B2600" s="27" t="s">
        <v>1449</v>
      </c>
      <c r="D2600" s="27" t="s">
        <v>1450</v>
      </c>
      <c r="F2600" s="27" t="s">
        <v>1453</v>
      </c>
      <c r="H2600" s="27" t="s">
        <v>1454</v>
      </c>
      <c r="L2600" s="27" t="s">
        <v>1618</v>
      </c>
      <c r="M2600" s="27" t="s">
        <v>606</v>
      </c>
      <c r="N2600" s="27" t="s">
        <v>1324</v>
      </c>
      <c r="P2600" s="27" t="s">
        <v>11498</v>
      </c>
      <c r="Q2600" s="26" t="str">
        <f>HYPERLINK("https://ictv.global/taxonomy/taxondetails?taxnode_id=202519402&amp;ictv_id=ICTV202319402","ICTV202319402")</f>
        <v>ICTV202319402</v>
      </c>
      <c r="R2600" t="s">
        <v>579</v>
      </c>
      <c r="S2600" t="s">
        <v>823</v>
      </c>
      <c r="T2600">
        <v>39</v>
      </c>
      <c r="U2600" s="26" t="str">
        <f>HYPERLINK("https://ictv.global/ictv/proposals/2023.071B.Tunavirinae_10ns.zip","2023.071B.Tunavirinae_10ns.zip")</f>
        <v>2023.071B.Tunavirinae_10ns.zip</v>
      </c>
    </row>
    <row r="2601" spans="1:21">
      <c r="A2601">
        <v>2600</v>
      </c>
      <c r="B2601" s="27" t="s">
        <v>1449</v>
      </c>
      <c r="D2601" s="27" t="s">
        <v>1450</v>
      </c>
      <c r="F2601" s="27" t="s">
        <v>1453</v>
      </c>
      <c r="H2601" s="27" t="s">
        <v>1454</v>
      </c>
      <c r="L2601" s="27" t="s">
        <v>1618</v>
      </c>
      <c r="M2601" s="27" t="s">
        <v>606</v>
      </c>
      <c r="N2601" s="27" t="s">
        <v>1324</v>
      </c>
      <c r="P2601" s="27" t="s">
        <v>4764</v>
      </c>
      <c r="Q2601" s="26" t="str">
        <f>HYPERLINK("https://ictv.global/taxonomy/taxondetails?taxnode_id=202508163&amp;ictv_id=ICTV201908163","ICTV201908163")</f>
        <v>ICTV201908163</v>
      </c>
      <c r="R2601" t="s">
        <v>579</v>
      </c>
      <c r="S2601" t="s">
        <v>824</v>
      </c>
      <c r="T2601">
        <v>37</v>
      </c>
      <c r="U2601" s="26" t="str">
        <f t="shared" ref="U2601:U2614" si="94">HYPERLINK("https://ictv.global/ictv/proposals/2021.010B.R.Binomial_names.zip","2021.010B.R.Binomial_names.zip")</f>
        <v>2021.010B.R.Binomial_names.zip</v>
      </c>
    </row>
    <row r="2602" spans="1:21">
      <c r="A2602">
        <v>2601</v>
      </c>
      <c r="B2602" s="27" t="s">
        <v>1449</v>
      </c>
      <c r="D2602" s="27" t="s">
        <v>1450</v>
      </c>
      <c r="F2602" s="27" t="s">
        <v>1453</v>
      </c>
      <c r="H2602" s="27" t="s">
        <v>1454</v>
      </c>
      <c r="L2602" s="27" t="s">
        <v>1618</v>
      </c>
      <c r="M2602" s="27" t="s">
        <v>606</v>
      </c>
      <c r="N2602" s="27" t="s">
        <v>1324</v>
      </c>
      <c r="P2602" s="27" t="s">
        <v>4765</v>
      </c>
      <c r="Q2602" s="26" t="str">
        <f>HYPERLINK("https://ictv.global/taxonomy/taxondetails?taxnode_id=202512056&amp;ictv_id=ICTV202012056","ICTV202012056")</f>
        <v>ICTV202012056</v>
      </c>
      <c r="R2602" t="s">
        <v>579</v>
      </c>
      <c r="S2602" t="s">
        <v>824</v>
      </c>
      <c r="T2602">
        <v>37</v>
      </c>
      <c r="U2602" s="26" t="str">
        <f t="shared" si="94"/>
        <v>2021.010B.R.Binomial_names.zip</v>
      </c>
    </row>
    <row r="2603" spans="1:21">
      <c r="A2603">
        <v>2602</v>
      </c>
      <c r="B2603" s="27" t="s">
        <v>1449</v>
      </c>
      <c r="D2603" s="27" t="s">
        <v>1450</v>
      </c>
      <c r="F2603" s="27" t="s">
        <v>1453</v>
      </c>
      <c r="H2603" s="27" t="s">
        <v>1454</v>
      </c>
      <c r="L2603" s="27" t="s">
        <v>1618</v>
      </c>
      <c r="M2603" s="27" t="s">
        <v>606</v>
      </c>
      <c r="N2603" s="27" t="s">
        <v>1324</v>
      </c>
      <c r="P2603" s="27" t="s">
        <v>4766</v>
      </c>
      <c r="Q2603" s="26" t="str">
        <f>HYPERLINK("https://ictv.global/taxonomy/taxondetails?taxnode_id=202508165&amp;ictv_id=ICTV201908165","ICTV201908165")</f>
        <v>ICTV201908165</v>
      </c>
      <c r="R2603" t="s">
        <v>579</v>
      </c>
      <c r="S2603" t="s">
        <v>824</v>
      </c>
      <c r="T2603">
        <v>37</v>
      </c>
      <c r="U2603" s="26" t="str">
        <f t="shared" si="94"/>
        <v>2021.010B.R.Binomial_names.zip</v>
      </c>
    </row>
    <row r="2604" spans="1:21">
      <c r="A2604">
        <v>2603</v>
      </c>
      <c r="B2604" s="27" t="s">
        <v>1449</v>
      </c>
      <c r="D2604" s="27" t="s">
        <v>1450</v>
      </c>
      <c r="F2604" s="27" t="s">
        <v>1453</v>
      </c>
      <c r="H2604" s="27" t="s">
        <v>1454</v>
      </c>
      <c r="L2604" s="27" t="s">
        <v>1618</v>
      </c>
      <c r="M2604" s="27" t="s">
        <v>606</v>
      </c>
      <c r="N2604" s="27" t="s">
        <v>1324</v>
      </c>
      <c r="P2604" s="27" t="s">
        <v>4767</v>
      </c>
      <c r="Q2604" s="26" t="str">
        <f>HYPERLINK("https://ictv.global/taxonomy/taxondetails?taxnode_id=202508159&amp;ictv_id=ICTV201908159","ICTV201908159")</f>
        <v>ICTV201908159</v>
      </c>
      <c r="R2604" t="s">
        <v>579</v>
      </c>
      <c r="S2604" t="s">
        <v>824</v>
      </c>
      <c r="T2604">
        <v>37</v>
      </c>
      <c r="U2604" s="26" t="str">
        <f t="shared" si="94"/>
        <v>2021.010B.R.Binomial_names.zip</v>
      </c>
    </row>
    <row r="2605" spans="1:21">
      <c r="A2605">
        <v>2604</v>
      </c>
      <c r="B2605" s="27" t="s">
        <v>1449</v>
      </c>
      <c r="D2605" s="27" t="s">
        <v>1450</v>
      </c>
      <c r="F2605" s="27" t="s">
        <v>1453</v>
      </c>
      <c r="H2605" s="27" t="s">
        <v>1454</v>
      </c>
      <c r="L2605" s="27" t="s">
        <v>1618</v>
      </c>
      <c r="M2605" s="27" t="s">
        <v>606</v>
      </c>
      <c r="N2605" s="27" t="s">
        <v>1324</v>
      </c>
      <c r="P2605" s="27" t="s">
        <v>4768</v>
      </c>
      <c r="Q2605" s="26" t="str">
        <f>HYPERLINK("https://ictv.global/taxonomy/taxondetails?taxnode_id=202500830&amp;ictv_id=ICTV20125852","ICTV20125852")</f>
        <v>ICTV20125852</v>
      </c>
      <c r="R2605" t="s">
        <v>579</v>
      </c>
      <c r="S2605" t="s">
        <v>824</v>
      </c>
      <c r="T2605">
        <v>37</v>
      </c>
      <c r="U2605" s="26" t="str">
        <f t="shared" si="94"/>
        <v>2021.010B.R.Binomial_names.zip</v>
      </c>
    </row>
    <row r="2606" spans="1:21">
      <c r="A2606">
        <v>2605</v>
      </c>
      <c r="B2606" s="27" t="s">
        <v>1449</v>
      </c>
      <c r="D2606" s="27" t="s">
        <v>1450</v>
      </c>
      <c r="F2606" s="27" t="s">
        <v>1453</v>
      </c>
      <c r="H2606" s="27" t="s">
        <v>1454</v>
      </c>
      <c r="L2606" s="27" t="s">
        <v>1618</v>
      </c>
      <c r="M2606" s="27" t="s">
        <v>606</v>
      </c>
      <c r="N2606" s="27" t="s">
        <v>1324</v>
      </c>
      <c r="P2606" s="27" t="s">
        <v>4769</v>
      </c>
      <c r="Q2606" s="26" t="str">
        <f>HYPERLINK("https://ictv.global/taxonomy/taxondetails?taxnode_id=202500828&amp;ictv_id=ICTV19962184","ICTV19962184")</f>
        <v>ICTV19962184</v>
      </c>
      <c r="R2606" t="s">
        <v>579</v>
      </c>
      <c r="S2606" t="s">
        <v>824</v>
      </c>
      <c r="T2606">
        <v>37</v>
      </c>
      <c r="U2606" s="26" t="str">
        <f t="shared" si="94"/>
        <v>2021.010B.R.Binomial_names.zip</v>
      </c>
    </row>
    <row r="2607" spans="1:21">
      <c r="A2607">
        <v>2606</v>
      </c>
      <c r="B2607" s="27" t="s">
        <v>1449</v>
      </c>
      <c r="D2607" s="27" t="s">
        <v>1450</v>
      </c>
      <c r="F2607" s="27" t="s">
        <v>1453</v>
      </c>
      <c r="H2607" s="27" t="s">
        <v>1454</v>
      </c>
      <c r="L2607" s="27" t="s">
        <v>1618</v>
      </c>
      <c r="N2607" s="27" t="s">
        <v>1320</v>
      </c>
      <c r="P2607" s="27" t="s">
        <v>4770</v>
      </c>
      <c r="Q2607" s="26" t="str">
        <f>HYPERLINK("https://ictv.global/taxonomy/taxondetails?taxnode_id=202507067&amp;ictv_id=ICTV201857067","ICTV201857067")</f>
        <v>ICTV201857067</v>
      </c>
      <c r="R2607" t="s">
        <v>579</v>
      </c>
      <c r="S2607" t="s">
        <v>824</v>
      </c>
      <c r="T2607">
        <v>37</v>
      </c>
      <c r="U2607" s="26" t="str">
        <f t="shared" si="94"/>
        <v>2021.010B.R.Binomial_names.zip</v>
      </c>
    </row>
    <row r="2608" spans="1:21">
      <c r="A2608">
        <v>2607</v>
      </c>
      <c r="B2608" s="27" t="s">
        <v>1449</v>
      </c>
      <c r="D2608" s="27" t="s">
        <v>1450</v>
      </c>
      <c r="F2608" s="27" t="s">
        <v>1453</v>
      </c>
      <c r="H2608" s="27" t="s">
        <v>1454</v>
      </c>
      <c r="L2608" s="27" t="s">
        <v>1618</v>
      </c>
      <c r="N2608" s="27" t="s">
        <v>2051</v>
      </c>
      <c r="P2608" s="27" t="s">
        <v>4771</v>
      </c>
      <c r="Q2608" s="26" t="str">
        <f>HYPERLINK("https://ictv.global/taxonomy/taxondetails?taxnode_id=202509977&amp;ictv_id=ICTV202009977","ICTV202009977")</f>
        <v>ICTV202009977</v>
      </c>
      <c r="R2608" t="s">
        <v>579</v>
      </c>
      <c r="S2608" t="s">
        <v>824</v>
      </c>
      <c r="T2608">
        <v>37</v>
      </c>
      <c r="U2608" s="26" t="str">
        <f t="shared" si="94"/>
        <v>2021.010B.R.Binomial_names.zip</v>
      </c>
    </row>
    <row r="2609" spans="1:21">
      <c r="A2609">
        <v>2608</v>
      </c>
      <c r="B2609" s="27" t="s">
        <v>1449</v>
      </c>
      <c r="D2609" s="27" t="s">
        <v>1450</v>
      </c>
      <c r="F2609" s="27" t="s">
        <v>1453</v>
      </c>
      <c r="H2609" s="27" t="s">
        <v>1454</v>
      </c>
      <c r="L2609" s="27" t="s">
        <v>1618</v>
      </c>
      <c r="N2609" s="27" t="s">
        <v>2052</v>
      </c>
      <c r="P2609" s="27" t="s">
        <v>4772</v>
      </c>
      <c r="Q2609" s="26" t="str">
        <f>HYPERLINK("https://ictv.global/taxonomy/taxondetails?taxnode_id=202509979&amp;ictv_id=ICTV202009979","ICTV202009979")</f>
        <v>ICTV202009979</v>
      </c>
      <c r="R2609" t="s">
        <v>579</v>
      </c>
      <c r="S2609" t="s">
        <v>824</v>
      </c>
      <c r="T2609">
        <v>37</v>
      </c>
      <c r="U2609" s="26" t="str">
        <f t="shared" si="94"/>
        <v>2021.010B.R.Binomial_names.zip</v>
      </c>
    </row>
    <row r="2610" spans="1:21">
      <c r="A2610">
        <v>2609</v>
      </c>
      <c r="B2610" s="27" t="s">
        <v>1449</v>
      </c>
      <c r="D2610" s="27" t="s">
        <v>1450</v>
      </c>
      <c r="F2610" s="27" t="s">
        <v>1453</v>
      </c>
      <c r="H2610" s="27" t="s">
        <v>1454</v>
      </c>
      <c r="L2610" s="27" t="s">
        <v>1618</v>
      </c>
      <c r="N2610" s="27" t="s">
        <v>2053</v>
      </c>
      <c r="P2610" s="27" t="s">
        <v>4773</v>
      </c>
      <c r="Q2610" s="26" t="str">
        <f>HYPERLINK("https://ictv.global/taxonomy/taxondetails?taxnode_id=202509981&amp;ictv_id=ICTV202009981","ICTV202009981")</f>
        <v>ICTV202009981</v>
      </c>
      <c r="R2610" t="s">
        <v>579</v>
      </c>
      <c r="S2610" t="s">
        <v>824</v>
      </c>
      <c r="T2610">
        <v>37</v>
      </c>
      <c r="U2610" s="26" t="str">
        <f t="shared" si="94"/>
        <v>2021.010B.R.Binomial_names.zip</v>
      </c>
    </row>
    <row r="2611" spans="1:21">
      <c r="A2611">
        <v>2610</v>
      </c>
      <c r="B2611" s="27" t="s">
        <v>1449</v>
      </c>
      <c r="D2611" s="27" t="s">
        <v>1450</v>
      </c>
      <c r="F2611" s="27" t="s">
        <v>1453</v>
      </c>
      <c r="H2611" s="27" t="s">
        <v>1454</v>
      </c>
      <c r="L2611" s="27" t="s">
        <v>1618</v>
      </c>
      <c r="N2611" s="27" t="s">
        <v>2053</v>
      </c>
      <c r="P2611" s="27" t="s">
        <v>4774</v>
      </c>
      <c r="Q2611" s="26" t="str">
        <f>HYPERLINK("https://ictv.global/taxonomy/taxondetails?taxnode_id=202500836&amp;ictv_id=ICTV20125850","ICTV20125850")</f>
        <v>ICTV20125850</v>
      </c>
      <c r="R2611" t="s">
        <v>579</v>
      </c>
      <c r="S2611" t="s">
        <v>824</v>
      </c>
      <c r="T2611">
        <v>37</v>
      </c>
      <c r="U2611" s="26" t="str">
        <f t="shared" si="94"/>
        <v>2021.010B.R.Binomial_names.zip</v>
      </c>
    </row>
    <row r="2612" spans="1:21">
      <c r="A2612">
        <v>2611</v>
      </c>
      <c r="B2612" s="27" t="s">
        <v>1449</v>
      </c>
      <c r="D2612" s="27" t="s">
        <v>1450</v>
      </c>
      <c r="F2612" s="27" t="s">
        <v>1453</v>
      </c>
      <c r="H2612" s="27" t="s">
        <v>1454</v>
      </c>
      <c r="L2612" s="27" t="s">
        <v>1618</v>
      </c>
      <c r="N2612" s="27" t="s">
        <v>1630</v>
      </c>
      <c r="P2612" s="27" t="s">
        <v>4775</v>
      </c>
      <c r="Q2612" s="26" t="str">
        <f>HYPERLINK("https://ictv.global/taxonomy/taxondetails?taxnode_id=202508172&amp;ictv_id=ICTV201908172","ICTV201908172")</f>
        <v>ICTV201908172</v>
      </c>
      <c r="R2612" t="s">
        <v>579</v>
      </c>
      <c r="S2612" t="s">
        <v>824</v>
      </c>
      <c r="T2612">
        <v>37</v>
      </c>
      <c r="U2612" s="26" t="str">
        <f t="shared" si="94"/>
        <v>2021.010B.R.Binomial_names.zip</v>
      </c>
    </row>
    <row r="2613" spans="1:21">
      <c r="A2613">
        <v>2612</v>
      </c>
      <c r="B2613" s="27" t="s">
        <v>1449</v>
      </c>
      <c r="D2613" s="27" t="s">
        <v>1450</v>
      </c>
      <c r="F2613" s="27" t="s">
        <v>1453</v>
      </c>
      <c r="H2613" s="27" t="s">
        <v>1454</v>
      </c>
      <c r="L2613" s="27" t="s">
        <v>1618</v>
      </c>
      <c r="N2613" s="27" t="s">
        <v>1631</v>
      </c>
      <c r="P2613" s="27" t="s">
        <v>4776</v>
      </c>
      <c r="Q2613" s="26" t="str">
        <f>HYPERLINK("https://ictv.global/taxonomy/taxondetails?taxnode_id=202508174&amp;ictv_id=ICTV201908174","ICTV201908174")</f>
        <v>ICTV201908174</v>
      </c>
      <c r="R2613" t="s">
        <v>579</v>
      </c>
      <c r="S2613" t="s">
        <v>824</v>
      </c>
      <c r="T2613">
        <v>37</v>
      </c>
      <c r="U2613" s="26" t="str">
        <f t="shared" si="94"/>
        <v>2021.010B.R.Binomial_names.zip</v>
      </c>
    </row>
    <row r="2614" spans="1:21">
      <c r="A2614">
        <v>2613</v>
      </c>
      <c r="B2614" s="27" t="s">
        <v>1449</v>
      </c>
      <c r="D2614" s="27" t="s">
        <v>1450</v>
      </c>
      <c r="F2614" s="27" t="s">
        <v>1453</v>
      </c>
      <c r="H2614" s="27" t="s">
        <v>1454</v>
      </c>
      <c r="L2614" s="27" t="s">
        <v>1618</v>
      </c>
      <c r="N2614" s="27" t="s">
        <v>1632</v>
      </c>
      <c r="P2614" s="27" t="s">
        <v>4777</v>
      </c>
      <c r="Q2614" s="26" t="str">
        <f>HYPERLINK("https://ictv.global/taxonomy/taxondetails?taxnode_id=202508717&amp;ictv_id=ICTV201908717","ICTV201908717")</f>
        <v>ICTV201908717</v>
      </c>
      <c r="R2614" t="s">
        <v>579</v>
      </c>
      <c r="S2614" t="s">
        <v>824</v>
      </c>
      <c r="T2614">
        <v>37</v>
      </c>
      <c r="U2614" s="26" t="str">
        <f t="shared" si="94"/>
        <v>2021.010B.R.Binomial_names.zip</v>
      </c>
    </row>
    <row r="2615" spans="1:21">
      <c r="A2615">
        <v>2614</v>
      </c>
      <c r="B2615" s="27" t="s">
        <v>1449</v>
      </c>
      <c r="D2615" s="27" t="s">
        <v>1450</v>
      </c>
      <c r="F2615" s="27" t="s">
        <v>1453</v>
      </c>
      <c r="H2615" s="27" t="s">
        <v>1454</v>
      </c>
      <c r="L2615" s="27" t="s">
        <v>1618</v>
      </c>
      <c r="N2615" s="27" t="s">
        <v>1325</v>
      </c>
      <c r="P2615" s="27" t="s">
        <v>11499</v>
      </c>
      <c r="Q2615" s="26" t="str">
        <f>HYPERLINK("https://ictv.global/taxonomy/taxondetails?taxnode_id=202519565&amp;ictv_id=ICTV202319565","ICTV202319565")</f>
        <v>ICTV202319565</v>
      </c>
      <c r="R2615" t="s">
        <v>579</v>
      </c>
      <c r="S2615" t="s">
        <v>823</v>
      </c>
      <c r="T2615">
        <v>39</v>
      </c>
      <c r="U2615" s="26" t="str">
        <f>HYPERLINK("https://ictv.global/ictv/proposals/2023.077B.Webervirus_68ns.zip","2023.077B.Webervirus_68ns.zip")</f>
        <v>2023.077B.Webervirus_68ns.zip</v>
      </c>
    </row>
    <row r="2616" spans="1:21">
      <c r="A2616">
        <v>2615</v>
      </c>
      <c r="B2616" s="27" t="s">
        <v>1449</v>
      </c>
      <c r="D2616" s="27" t="s">
        <v>1450</v>
      </c>
      <c r="F2616" s="27" t="s">
        <v>1453</v>
      </c>
      <c r="H2616" s="27" t="s">
        <v>1454</v>
      </c>
      <c r="L2616" s="27" t="s">
        <v>1618</v>
      </c>
      <c r="N2616" s="27" t="s">
        <v>1325</v>
      </c>
      <c r="P2616" s="27" t="s">
        <v>11500</v>
      </c>
      <c r="Q2616" s="26" t="str">
        <f>HYPERLINK("https://ictv.global/taxonomy/taxondetails?taxnode_id=202519560&amp;ictv_id=ICTV202319560","ICTV202319560")</f>
        <v>ICTV202319560</v>
      </c>
      <c r="R2616" t="s">
        <v>579</v>
      </c>
      <c r="S2616" t="s">
        <v>823</v>
      </c>
      <c r="T2616">
        <v>39</v>
      </c>
      <c r="U2616" s="26" t="str">
        <f>HYPERLINK("https://ictv.global/ictv/proposals/2023.077B.Webervirus_68ns.zip","2023.077B.Webervirus_68ns.zip")</f>
        <v>2023.077B.Webervirus_68ns.zip</v>
      </c>
    </row>
    <row r="2617" spans="1:21">
      <c r="A2617">
        <v>2616</v>
      </c>
      <c r="B2617" s="27" t="s">
        <v>1449</v>
      </c>
      <c r="D2617" s="27" t="s">
        <v>1450</v>
      </c>
      <c r="F2617" s="27" t="s">
        <v>1453</v>
      </c>
      <c r="H2617" s="27" t="s">
        <v>1454</v>
      </c>
      <c r="L2617" s="27" t="s">
        <v>1618</v>
      </c>
      <c r="N2617" s="27" t="s">
        <v>1325</v>
      </c>
      <c r="P2617" s="27" t="s">
        <v>11501</v>
      </c>
      <c r="Q2617" s="26" t="str">
        <f>HYPERLINK("https://ictv.global/taxonomy/taxondetails?taxnode_id=202519540&amp;ictv_id=ICTV202319540","ICTV202319540")</f>
        <v>ICTV202319540</v>
      </c>
      <c r="R2617" t="s">
        <v>579</v>
      </c>
      <c r="S2617" t="s">
        <v>823</v>
      </c>
      <c r="T2617">
        <v>39</v>
      </c>
      <c r="U2617" s="26" t="str">
        <f>HYPERLINK("https://ictv.global/ictv/proposals/2023.077B.Webervirus_68ns.zip","2023.077B.Webervirus_68ns.zip")</f>
        <v>2023.077B.Webervirus_68ns.zip</v>
      </c>
    </row>
    <row r="2618" spans="1:21">
      <c r="A2618">
        <v>2617</v>
      </c>
      <c r="B2618" s="27" t="s">
        <v>1449</v>
      </c>
      <c r="D2618" s="27" t="s">
        <v>1450</v>
      </c>
      <c r="F2618" s="27" t="s">
        <v>1453</v>
      </c>
      <c r="H2618" s="27" t="s">
        <v>1454</v>
      </c>
      <c r="L2618" s="27" t="s">
        <v>1618</v>
      </c>
      <c r="N2618" s="27" t="s">
        <v>1325</v>
      </c>
      <c r="P2618" s="27" t="s">
        <v>4778</v>
      </c>
      <c r="Q2618" s="26" t="str">
        <f>HYPERLINK("https://ictv.global/taxonomy/taxondetails?taxnode_id=202512106&amp;ictv_id=ICTV202012106","ICTV202012106")</f>
        <v>ICTV202012106</v>
      </c>
      <c r="R2618" t="s">
        <v>579</v>
      </c>
      <c r="S2618" t="s">
        <v>824</v>
      </c>
      <c r="T2618">
        <v>37</v>
      </c>
      <c r="U2618" s="26" t="str">
        <f>HYPERLINK("https://ictv.global/ictv/proposals/2021.010B.R.Binomial_names.zip","2021.010B.R.Binomial_names.zip")</f>
        <v>2021.010B.R.Binomial_names.zip</v>
      </c>
    </row>
    <row r="2619" spans="1:21">
      <c r="A2619">
        <v>2618</v>
      </c>
      <c r="B2619" s="27" t="s">
        <v>1449</v>
      </c>
      <c r="D2619" s="27" t="s">
        <v>1450</v>
      </c>
      <c r="F2619" s="27" t="s">
        <v>1453</v>
      </c>
      <c r="H2619" s="27" t="s">
        <v>1454</v>
      </c>
      <c r="L2619" s="27" t="s">
        <v>1618</v>
      </c>
      <c r="N2619" s="27" t="s">
        <v>1325</v>
      </c>
      <c r="P2619" s="27" t="s">
        <v>11502</v>
      </c>
      <c r="Q2619" s="26" t="str">
        <f>HYPERLINK("https://ictv.global/taxonomy/taxondetails?taxnode_id=202519523&amp;ictv_id=ICTV202319523","ICTV202319523")</f>
        <v>ICTV202319523</v>
      </c>
      <c r="R2619" t="s">
        <v>579</v>
      </c>
      <c r="S2619" t="s">
        <v>823</v>
      </c>
      <c r="T2619">
        <v>39</v>
      </c>
      <c r="U2619" s="26" t="str">
        <f>HYPERLINK("https://ictv.global/ictv/proposals/2023.077B.Webervirus_68ns.zip","2023.077B.Webervirus_68ns.zip")</f>
        <v>2023.077B.Webervirus_68ns.zip</v>
      </c>
    </row>
    <row r="2620" spans="1:21">
      <c r="A2620">
        <v>2619</v>
      </c>
      <c r="B2620" s="27" t="s">
        <v>1449</v>
      </c>
      <c r="D2620" s="27" t="s">
        <v>1450</v>
      </c>
      <c r="F2620" s="27" t="s">
        <v>1453</v>
      </c>
      <c r="H2620" s="27" t="s">
        <v>1454</v>
      </c>
      <c r="L2620" s="27" t="s">
        <v>1618</v>
      </c>
      <c r="N2620" s="27" t="s">
        <v>1325</v>
      </c>
      <c r="P2620" s="27" t="s">
        <v>11503</v>
      </c>
      <c r="Q2620" s="26" t="str">
        <f>HYPERLINK("https://ictv.global/taxonomy/taxondetails?taxnode_id=202519524&amp;ictv_id=ICTV202319524","ICTV202319524")</f>
        <v>ICTV202319524</v>
      </c>
      <c r="R2620" t="s">
        <v>579</v>
      </c>
      <c r="S2620" t="s">
        <v>823</v>
      </c>
      <c r="T2620">
        <v>39</v>
      </c>
      <c r="U2620" s="26" t="str">
        <f>HYPERLINK("https://ictv.global/ictv/proposals/2023.077B.Webervirus_68ns.zip","2023.077B.Webervirus_68ns.zip")</f>
        <v>2023.077B.Webervirus_68ns.zip</v>
      </c>
    </row>
    <row r="2621" spans="1:21">
      <c r="A2621">
        <v>2620</v>
      </c>
      <c r="B2621" s="27" t="s">
        <v>1449</v>
      </c>
      <c r="D2621" s="27" t="s">
        <v>1450</v>
      </c>
      <c r="F2621" s="27" t="s">
        <v>1453</v>
      </c>
      <c r="H2621" s="27" t="s">
        <v>1454</v>
      </c>
      <c r="L2621" s="27" t="s">
        <v>1618</v>
      </c>
      <c r="N2621" s="27" t="s">
        <v>1325</v>
      </c>
      <c r="P2621" s="27" t="s">
        <v>11504</v>
      </c>
      <c r="Q2621" s="26" t="str">
        <f>HYPERLINK("https://ictv.global/taxonomy/taxondetails?taxnode_id=202519566&amp;ictv_id=ICTV202319566","ICTV202319566")</f>
        <v>ICTV202319566</v>
      </c>
      <c r="R2621" t="s">
        <v>579</v>
      </c>
      <c r="S2621" t="s">
        <v>823</v>
      </c>
      <c r="T2621">
        <v>39</v>
      </c>
      <c r="U2621" s="26" t="str">
        <f>HYPERLINK("https://ictv.global/ictv/proposals/2023.077B.Webervirus_68ns.zip","2023.077B.Webervirus_68ns.zip")</f>
        <v>2023.077B.Webervirus_68ns.zip</v>
      </c>
    </row>
    <row r="2622" spans="1:21">
      <c r="A2622">
        <v>2621</v>
      </c>
      <c r="B2622" s="27" t="s">
        <v>1449</v>
      </c>
      <c r="D2622" s="27" t="s">
        <v>1450</v>
      </c>
      <c r="F2622" s="27" t="s">
        <v>1453</v>
      </c>
      <c r="H2622" s="27" t="s">
        <v>1454</v>
      </c>
      <c r="L2622" s="27" t="s">
        <v>1618</v>
      </c>
      <c r="N2622" s="27" t="s">
        <v>1325</v>
      </c>
      <c r="P2622" s="27" t="s">
        <v>11505</v>
      </c>
      <c r="Q2622" s="26" t="str">
        <f>HYPERLINK("https://ictv.global/taxonomy/taxondetails?taxnode_id=202519527&amp;ictv_id=ICTV202319527","ICTV202319527")</f>
        <v>ICTV202319527</v>
      </c>
      <c r="R2622" t="s">
        <v>579</v>
      </c>
      <c r="S2622" t="s">
        <v>823</v>
      </c>
      <c r="T2622">
        <v>39</v>
      </c>
      <c r="U2622" s="26" t="str">
        <f>HYPERLINK("https://ictv.global/ictv/proposals/2023.077B.Webervirus_68ns.zip","2023.077B.Webervirus_68ns.zip")</f>
        <v>2023.077B.Webervirus_68ns.zip</v>
      </c>
    </row>
    <row r="2623" spans="1:21">
      <c r="A2623">
        <v>2622</v>
      </c>
      <c r="B2623" s="27" t="s">
        <v>1449</v>
      </c>
      <c r="D2623" s="27" t="s">
        <v>1450</v>
      </c>
      <c r="F2623" s="27" t="s">
        <v>1453</v>
      </c>
      <c r="H2623" s="27" t="s">
        <v>1454</v>
      </c>
      <c r="L2623" s="27" t="s">
        <v>1618</v>
      </c>
      <c r="N2623" s="27" t="s">
        <v>1325</v>
      </c>
      <c r="P2623" s="27" t="s">
        <v>4779</v>
      </c>
      <c r="Q2623" s="26" t="str">
        <f>HYPERLINK("https://ictv.global/taxonomy/taxondetails?taxnode_id=202512105&amp;ictv_id=ICTV202012105","ICTV202012105")</f>
        <v>ICTV202012105</v>
      </c>
      <c r="R2623" t="s">
        <v>579</v>
      </c>
      <c r="S2623" t="s">
        <v>824</v>
      </c>
      <c r="T2623">
        <v>37</v>
      </c>
      <c r="U2623" s="26" t="str">
        <f>HYPERLINK("https://ictv.global/ictv/proposals/2021.010B.R.Binomial_names.zip","2021.010B.R.Binomial_names.zip")</f>
        <v>2021.010B.R.Binomial_names.zip</v>
      </c>
    </row>
    <row r="2624" spans="1:21">
      <c r="A2624">
        <v>2623</v>
      </c>
      <c r="B2624" s="27" t="s">
        <v>1449</v>
      </c>
      <c r="D2624" s="27" t="s">
        <v>1450</v>
      </c>
      <c r="F2624" s="27" t="s">
        <v>1453</v>
      </c>
      <c r="H2624" s="27" t="s">
        <v>1454</v>
      </c>
      <c r="L2624" s="27" t="s">
        <v>1618</v>
      </c>
      <c r="N2624" s="27" t="s">
        <v>1325</v>
      </c>
      <c r="P2624" s="27" t="s">
        <v>11506</v>
      </c>
      <c r="Q2624" s="26" t="str">
        <f>HYPERLINK("https://ictv.global/taxonomy/taxondetails?taxnode_id=202519517&amp;ictv_id=ICTV202319517","ICTV202319517")</f>
        <v>ICTV202319517</v>
      </c>
      <c r="R2624" t="s">
        <v>579</v>
      </c>
      <c r="S2624" t="s">
        <v>823</v>
      </c>
      <c r="T2624">
        <v>39</v>
      </c>
      <c r="U2624" s="26" t="str">
        <f>HYPERLINK("https://ictv.global/ictv/proposals/2023.077B.Webervirus_68ns.zip","2023.077B.Webervirus_68ns.zip")</f>
        <v>2023.077B.Webervirus_68ns.zip</v>
      </c>
    </row>
    <row r="2625" spans="1:21">
      <c r="A2625">
        <v>2624</v>
      </c>
      <c r="B2625" s="27" t="s">
        <v>1449</v>
      </c>
      <c r="D2625" s="27" t="s">
        <v>1450</v>
      </c>
      <c r="F2625" s="27" t="s">
        <v>1453</v>
      </c>
      <c r="H2625" s="27" t="s">
        <v>1454</v>
      </c>
      <c r="L2625" s="27" t="s">
        <v>1618</v>
      </c>
      <c r="N2625" s="27" t="s">
        <v>1325</v>
      </c>
      <c r="P2625" s="27" t="s">
        <v>11507</v>
      </c>
      <c r="Q2625" s="26" t="str">
        <f>HYPERLINK("https://ictv.global/taxonomy/taxondetails?taxnode_id=202519520&amp;ictv_id=ICTV202319520","ICTV202319520")</f>
        <v>ICTV202319520</v>
      </c>
      <c r="R2625" t="s">
        <v>579</v>
      </c>
      <c r="S2625" t="s">
        <v>823</v>
      </c>
      <c r="T2625">
        <v>39</v>
      </c>
      <c r="U2625" s="26" t="str">
        <f>HYPERLINK("https://ictv.global/ictv/proposals/2023.077B.Webervirus_68ns.zip","2023.077B.Webervirus_68ns.zip")</f>
        <v>2023.077B.Webervirus_68ns.zip</v>
      </c>
    </row>
    <row r="2626" spans="1:21">
      <c r="A2626">
        <v>2625</v>
      </c>
      <c r="B2626" s="27" t="s">
        <v>1449</v>
      </c>
      <c r="D2626" s="27" t="s">
        <v>1450</v>
      </c>
      <c r="F2626" s="27" t="s">
        <v>1453</v>
      </c>
      <c r="H2626" s="27" t="s">
        <v>1454</v>
      </c>
      <c r="L2626" s="27" t="s">
        <v>1618</v>
      </c>
      <c r="N2626" s="27" t="s">
        <v>1325</v>
      </c>
      <c r="P2626" s="27" t="s">
        <v>11508</v>
      </c>
      <c r="Q2626" s="26" t="str">
        <f>HYPERLINK("https://ictv.global/taxonomy/taxondetails?taxnode_id=202519519&amp;ictv_id=ICTV202319519","ICTV202319519")</f>
        <v>ICTV202319519</v>
      </c>
      <c r="R2626" t="s">
        <v>579</v>
      </c>
      <c r="S2626" t="s">
        <v>823</v>
      </c>
      <c r="T2626">
        <v>39</v>
      </c>
      <c r="U2626" s="26" t="str">
        <f>HYPERLINK("https://ictv.global/ictv/proposals/2023.077B.Webervirus_68ns.zip","2023.077B.Webervirus_68ns.zip")</f>
        <v>2023.077B.Webervirus_68ns.zip</v>
      </c>
    </row>
    <row r="2627" spans="1:21">
      <c r="A2627">
        <v>2626</v>
      </c>
      <c r="B2627" s="27" t="s">
        <v>1449</v>
      </c>
      <c r="D2627" s="27" t="s">
        <v>1450</v>
      </c>
      <c r="F2627" s="27" t="s">
        <v>1453</v>
      </c>
      <c r="H2627" s="27" t="s">
        <v>1454</v>
      </c>
      <c r="L2627" s="27" t="s">
        <v>1618</v>
      </c>
      <c r="N2627" s="27" t="s">
        <v>1325</v>
      </c>
      <c r="P2627" s="27" t="s">
        <v>11509</v>
      </c>
      <c r="Q2627" s="26" t="str">
        <f>HYPERLINK("https://ictv.global/taxonomy/taxondetails?taxnode_id=202519568&amp;ictv_id=ICTV202319568","ICTV202319568")</f>
        <v>ICTV202319568</v>
      </c>
      <c r="R2627" t="s">
        <v>579</v>
      </c>
      <c r="S2627" t="s">
        <v>823</v>
      </c>
      <c r="T2627">
        <v>39</v>
      </c>
      <c r="U2627" s="26" t="str">
        <f>HYPERLINK("https://ictv.global/ictv/proposals/2023.077B.Webervirus_68ns.zip","2023.077B.Webervirus_68ns.zip")</f>
        <v>2023.077B.Webervirus_68ns.zip</v>
      </c>
    </row>
    <row r="2628" spans="1:21">
      <c r="A2628">
        <v>2627</v>
      </c>
      <c r="B2628" s="27" t="s">
        <v>1449</v>
      </c>
      <c r="D2628" s="27" t="s">
        <v>1450</v>
      </c>
      <c r="F2628" s="27" t="s">
        <v>1453</v>
      </c>
      <c r="H2628" s="27" t="s">
        <v>1454</v>
      </c>
      <c r="L2628" s="27" t="s">
        <v>1618</v>
      </c>
      <c r="N2628" s="27" t="s">
        <v>1325</v>
      </c>
      <c r="P2628" s="27" t="s">
        <v>11510</v>
      </c>
      <c r="Q2628" s="26" t="str">
        <f>HYPERLINK("https://ictv.global/taxonomy/taxondetails?taxnode_id=202519564&amp;ictv_id=ICTV202319564","ICTV202319564")</f>
        <v>ICTV202319564</v>
      </c>
      <c r="R2628" t="s">
        <v>579</v>
      </c>
      <c r="S2628" t="s">
        <v>823</v>
      </c>
      <c r="T2628">
        <v>39</v>
      </c>
      <c r="U2628" s="26" t="str">
        <f>HYPERLINK("https://ictv.global/ictv/proposals/2023.077B.Webervirus_68ns.zip","2023.077B.Webervirus_68ns.zip")</f>
        <v>2023.077B.Webervirus_68ns.zip</v>
      </c>
    </row>
    <row r="2629" spans="1:21">
      <c r="A2629">
        <v>2628</v>
      </c>
      <c r="B2629" s="27" t="s">
        <v>1449</v>
      </c>
      <c r="D2629" s="27" t="s">
        <v>1450</v>
      </c>
      <c r="F2629" s="27" t="s">
        <v>1453</v>
      </c>
      <c r="H2629" s="27" t="s">
        <v>1454</v>
      </c>
      <c r="L2629" s="27" t="s">
        <v>1618</v>
      </c>
      <c r="N2629" s="27" t="s">
        <v>1325</v>
      </c>
      <c r="P2629" s="27" t="s">
        <v>4780</v>
      </c>
      <c r="Q2629" s="26" t="str">
        <f>HYPERLINK("https://ictv.global/taxonomy/taxondetails?taxnode_id=202512104&amp;ictv_id=ICTV202012104","ICTV202012104")</f>
        <v>ICTV202012104</v>
      </c>
      <c r="R2629" t="s">
        <v>579</v>
      </c>
      <c r="S2629" t="s">
        <v>824</v>
      </c>
      <c r="T2629">
        <v>37</v>
      </c>
      <c r="U2629" s="26" t="str">
        <f>HYPERLINK("https://ictv.global/ictv/proposals/2021.010B.R.Binomial_names.zip","2021.010B.R.Binomial_names.zip")</f>
        <v>2021.010B.R.Binomial_names.zip</v>
      </c>
    </row>
    <row r="2630" spans="1:21">
      <c r="A2630">
        <v>2629</v>
      </c>
      <c r="B2630" s="27" t="s">
        <v>1449</v>
      </c>
      <c r="D2630" s="27" t="s">
        <v>1450</v>
      </c>
      <c r="F2630" s="27" t="s">
        <v>1453</v>
      </c>
      <c r="H2630" s="27" t="s">
        <v>1454</v>
      </c>
      <c r="L2630" s="27" t="s">
        <v>1618</v>
      </c>
      <c r="N2630" s="27" t="s">
        <v>1325</v>
      </c>
      <c r="P2630" s="27" t="s">
        <v>4781</v>
      </c>
      <c r="Q2630" s="26" t="str">
        <f>HYPERLINK("https://ictv.global/taxonomy/taxondetails?taxnode_id=202500805&amp;ictv_id=ICTV20125851","ICTV20125851")</f>
        <v>ICTV20125851</v>
      </c>
      <c r="R2630" t="s">
        <v>579</v>
      </c>
      <c r="S2630" t="s">
        <v>824</v>
      </c>
      <c r="T2630">
        <v>37</v>
      </c>
      <c r="U2630" s="26" t="str">
        <f>HYPERLINK("https://ictv.global/ictv/proposals/2021.010B.R.Binomial_names.zip","2021.010B.R.Binomial_names.zip")</f>
        <v>2021.010B.R.Binomial_names.zip</v>
      </c>
    </row>
    <row r="2631" spans="1:21">
      <c r="A2631">
        <v>2630</v>
      </c>
      <c r="B2631" s="27" t="s">
        <v>1449</v>
      </c>
      <c r="D2631" s="27" t="s">
        <v>1450</v>
      </c>
      <c r="F2631" s="27" t="s">
        <v>1453</v>
      </c>
      <c r="H2631" s="27" t="s">
        <v>1454</v>
      </c>
      <c r="L2631" s="27" t="s">
        <v>1618</v>
      </c>
      <c r="N2631" s="27" t="s">
        <v>1325</v>
      </c>
      <c r="P2631" s="27" t="s">
        <v>11511</v>
      </c>
      <c r="Q2631" s="26" t="str">
        <f>HYPERLINK("https://ictv.global/taxonomy/taxondetails?taxnode_id=202519550&amp;ictv_id=ICTV202319550","ICTV202319550")</f>
        <v>ICTV202319550</v>
      </c>
      <c r="R2631" t="s">
        <v>579</v>
      </c>
      <c r="S2631" t="s">
        <v>823</v>
      </c>
      <c r="T2631">
        <v>39</v>
      </c>
      <c r="U2631" s="26" t="str">
        <f>HYPERLINK("https://ictv.global/ictv/proposals/2023.077B.Webervirus_68ns.zip","2023.077B.Webervirus_68ns.zip")</f>
        <v>2023.077B.Webervirus_68ns.zip</v>
      </c>
    </row>
    <row r="2632" spans="1:21">
      <c r="A2632">
        <v>2631</v>
      </c>
      <c r="B2632" s="27" t="s">
        <v>1449</v>
      </c>
      <c r="D2632" s="27" t="s">
        <v>1450</v>
      </c>
      <c r="F2632" s="27" t="s">
        <v>1453</v>
      </c>
      <c r="H2632" s="27" t="s">
        <v>1454</v>
      </c>
      <c r="L2632" s="27" t="s">
        <v>1618</v>
      </c>
      <c r="N2632" s="27" t="s">
        <v>1325</v>
      </c>
      <c r="P2632" s="27" t="s">
        <v>11512</v>
      </c>
      <c r="Q2632" s="26" t="str">
        <f>HYPERLINK("https://ictv.global/taxonomy/taxondetails?taxnode_id=202519551&amp;ictv_id=ICTV202319551","ICTV202319551")</f>
        <v>ICTV202319551</v>
      </c>
      <c r="R2632" t="s">
        <v>579</v>
      </c>
      <c r="S2632" t="s">
        <v>823</v>
      </c>
      <c r="T2632">
        <v>39</v>
      </c>
      <c r="U2632" s="26" t="str">
        <f>HYPERLINK("https://ictv.global/ictv/proposals/2023.077B.Webervirus_68ns.zip","2023.077B.Webervirus_68ns.zip")</f>
        <v>2023.077B.Webervirus_68ns.zip</v>
      </c>
    </row>
    <row r="2633" spans="1:21">
      <c r="A2633">
        <v>2632</v>
      </c>
      <c r="B2633" s="27" t="s">
        <v>1449</v>
      </c>
      <c r="D2633" s="27" t="s">
        <v>1450</v>
      </c>
      <c r="F2633" s="27" t="s">
        <v>1453</v>
      </c>
      <c r="H2633" s="27" t="s">
        <v>1454</v>
      </c>
      <c r="L2633" s="27" t="s">
        <v>1618</v>
      </c>
      <c r="N2633" s="27" t="s">
        <v>1325</v>
      </c>
      <c r="P2633" s="27" t="s">
        <v>11513</v>
      </c>
      <c r="Q2633" s="26" t="str">
        <f>HYPERLINK("https://ictv.global/taxonomy/taxondetails?taxnode_id=202519535&amp;ictv_id=ICTV202319535","ICTV202319535")</f>
        <v>ICTV202319535</v>
      </c>
      <c r="R2633" t="s">
        <v>579</v>
      </c>
      <c r="S2633" t="s">
        <v>823</v>
      </c>
      <c r="T2633">
        <v>39</v>
      </c>
      <c r="U2633" s="26" t="str">
        <f>HYPERLINK("https://ictv.global/ictv/proposals/2023.077B.Webervirus_68ns.zip","2023.077B.Webervirus_68ns.zip")</f>
        <v>2023.077B.Webervirus_68ns.zip</v>
      </c>
    </row>
    <row r="2634" spans="1:21">
      <c r="A2634">
        <v>2633</v>
      </c>
      <c r="B2634" s="27" t="s">
        <v>1449</v>
      </c>
      <c r="D2634" s="27" t="s">
        <v>1450</v>
      </c>
      <c r="F2634" s="27" t="s">
        <v>1453</v>
      </c>
      <c r="H2634" s="27" t="s">
        <v>1454</v>
      </c>
      <c r="L2634" s="27" t="s">
        <v>1618</v>
      </c>
      <c r="N2634" s="27" t="s">
        <v>1325</v>
      </c>
      <c r="P2634" s="27" t="s">
        <v>4782</v>
      </c>
      <c r="Q2634" s="26" t="str">
        <f>HYPERLINK("https://ictv.global/taxonomy/taxondetails?taxnode_id=202512109&amp;ictv_id=ICTV202012109","ICTV202012109")</f>
        <v>ICTV202012109</v>
      </c>
      <c r="R2634" t="s">
        <v>579</v>
      </c>
      <c r="S2634" t="s">
        <v>824</v>
      </c>
      <c r="T2634">
        <v>37</v>
      </c>
      <c r="U2634" s="26" t="str">
        <f>HYPERLINK("https://ictv.global/ictv/proposals/2021.010B.R.Binomial_names.zip","2021.010B.R.Binomial_names.zip")</f>
        <v>2021.010B.R.Binomial_names.zip</v>
      </c>
    </row>
    <row r="2635" spans="1:21">
      <c r="A2635">
        <v>2634</v>
      </c>
      <c r="B2635" s="27" t="s">
        <v>1449</v>
      </c>
      <c r="D2635" s="27" t="s">
        <v>1450</v>
      </c>
      <c r="F2635" s="27" t="s">
        <v>1453</v>
      </c>
      <c r="H2635" s="27" t="s">
        <v>1454</v>
      </c>
      <c r="L2635" s="27" t="s">
        <v>1618</v>
      </c>
      <c r="N2635" s="27" t="s">
        <v>1325</v>
      </c>
      <c r="P2635" s="27" t="s">
        <v>22024</v>
      </c>
      <c r="Q2635" s="26" t="str">
        <f>HYPERLINK("https://ictv.global/taxonomy/taxondetails?taxnode_id=202522828&amp;ictv_id=ICTV202522828","ICTV202522828")</f>
        <v>ICTV202522828</v>
      </c>
      <c r="R2635" t="s">
        <v>579</v>
      </c>
      <c r="S2635" t="s">
        <v>823</v>
      </c>
      <c r="T2635">
        <v>41</v>
      </c>
      <c r="U2635" s="26" t="str">
        <f>HYPERLINK("https://ictv.global/ictv/proposals/2025.025B.Caudoviricetes_10ns_1rms.zip","2025.025B.Caudoviricetes_10ns_1rms.zip")</f>
        <v>2025.025B.Caudoviricetes_10ns_1rms.zip</v>
      </c>
    </row>
    <row r="2636" spans="1:21">
      <c r="A2636">
        <v>2635</v>
      </c>
      <c r="B2636" s="27" t="s">
        <v>1449</v>
      </c>
      <c r="D2636" s="27" t="s">
        <v>1450</v>
      </c>
      <c r="F2636" s="27" t="s">
        <v>1453</v>
      </c>
      <c r="H2636" s="27" t="s">
        <v>1454</v>
      </c>
      <c r="L2636" s="27" t="s">
        <v>1618</v>
      </c>
      <c r="N2636" s="27" t="s">
        <v>1325</v>
      </c>
      <c r="P2636" s="27" t="s">
        <v>4783</v>
      </c>
      <c r="Q2636" s="26" t="str">
        <f>HYPERLINK("https://ictv.global/taxonomy/taxondetails?taxnode_id=202508186&amp;ictv_id=ICTV201908186","ICTV201908186")</f>
        <v>ICTV201908186</v>
      </c>
      <c r="R2636" t="s">
        <v>579</v>
      </c>
      <c r="S2636" t="s">
        <v>824</v>
      </c>
      <c r="T2636">
        <v>37</v>
      </c>
      <c r="U2636" s="26" t="str">
        <f>HYPERLINK("https://ictv.global/ictv/proposals/2021.010B.R.Binomial_names.zip","2021.010B.R.Binomial_names.zip")</f>
        <v>2021.010B.R.Binomial_names.zip</v>
      </c>
    </row>
    <row r="2637" spans="1:21">
      <c r="A2637">
        <v>2636</v>
      </c>
      <c r="B2637" s="27" t="s">
        <v>1449</v>
      </c>
      <c r="D2637" s="27" t="s">
        <v>1450</v>
      </c>
      <c r="F2637" s="27" t="s">
        <v>1453</v>
      </c>
      <c r="H2637" s="27" t="s">
        <v>1454</v>
      </c>
      <c r="L2637" s="27" t="s">
        <v>1618</v>
      </c>
      <c r="N2637" s="27" t="s">
        <v>1325</v>
      </c>
      <c r="P2637" s="27" t="s">
        <v>11514</v>
      </c>
      <c r="Q2637" s="26" t="str">
        <f>HYPERLINK("https://ictv.global/taxonomy/taxondetails?taxnode_id=202519521&amp;ictv_id=ICTV202319521","ICTV202319521")</f>
        <v>ICTV202319521</v>
      </c>
      <c r="R2637" t="s">
        <v>579</v>
      </c>
      <c r="S2637" t="s">
        <v>823</v>
      </c>
      <c r="T2637">
        <v>39</v>
      </c>
      <c r="U2637" s="26" t="str">
        <f>HYPERLINK("https://ictv.global/ictv/proposals/2023.077B.Webervirus_68ns.zip","2023.077B.Webervirus_68ns.zip")</f>
        <v>2023.077B.Webervirus_68ns.zip</v>
      </c>
    </row>
    <row r="2638" spans="1:21">
      <c r="A2638">
        <v>2637</v>
      </c>
      <c r="B2638" s="27" t="s">
        <v>1449</v>
      </c>
      <c r="D2638" s="27" t="s">
        <v>1450</v>
      </c>
      <c r="F2638" s="27" t="s">
        <v>1453</v>
      </c>
      <c r="H2638" s="27" t="s">
        <v>1454</v>
      </c>
      <c r="L2638" s="27" t="s">
        <v>1618</v>
      </c>
      <c r="N2638" s="27" t="s">
        <v>1325</v>
      </c>
      <c r="P2638" s="27" t="s">
        <v>11515</v>
      </c>
      <c r="Q2638" s="26" t="str">
        <f>HYPERLINK("https://ictv.global/taxonomy/taxondetails?taxnode_id=202519548&amp;ictv_id=ICTV202319548","ICTV202319548")</f>
        <v>ICTV202319548</v>
      </c>
      <c r="R2638" t="s">
        <v>579</v>
      </c>
      <c r="S2638" t="s">
        <v>823</v>
      </c>
      <c r="T2638">
        <v>39</v>
      </c>
      <c r="U2638" s="26" t="str">
        <f>HYPERLINK("https://ictv.global/ictv/proposals/2023.077B.Webervirus_68ns.zip","2023.077B.Webervirus_68ns.zip")</f>
        <v>2023.077B.Webervirus_68ns.zip</v>
      </c>
    </row>
    <row r="2639" spans="1:21">
      <c r="A2639">
        <v>2638</v>
      </c>
      <c r="B2639" s="27" t="s">
        <v>1449</v>
      </c>
      <c r="D2639" s="27" t="s">
        <v>1450</v>
      </c>
      <c r="F2639" s="27" t="s">
        <v>1453</v>
      </c>
      <c r="H2639" s="27" t="s">
        <v>1454</v>
      </c>
      <c r="L2639" s="27" t="s">
        <v>1618</v>
      </c>
      <c r="N2639" s="27" t="s">
        <v>1325</v>
      </c>
      <c r="P2639" s="27" t="s">
        <v>11516</v>
      </c>
      <c r="Q2639" s="26" t="str">
        <f>HYPERLINK("https://ictv.global/taxonomy/taxondetails?taxnode_id=202519547&amp;ictv_id=ICTV202319547","ICTV202319547")</f>
        <v>ICTV202319547</v>
      </c>
      <c r="R2639" t="s">
        <v>579</v>
      </c>
      <c r="S2639" t="s">
        <v>823</v>
      </c>
      <c r="T2639">
        <v>39</v>
      </c>
      <c r="U2639" s="26" t="str">
        <f>HYPERLINK("https://ictv.global/ictv/proposals/2023.077B.Webervirus_68ns.zip","2023.077B.Webervirus_68ns.zip")</f>
        <v>2023.077B.Webervirus_68ns.zip</v>
      </c>
    </row>
    <row r="2640" spans="1:21">
      <c r="A2640">
        <v>2639</v>
      </c>
      <c r="B2640" s="27" t="s">
        <v>1449</v>
      </c>
      <c r="D2640" s="27" t="s">
        <v>1450</v>
      </c>
      <c r="F2640" s="27" t="s">
        <v>1453</v>
      </c>
      <c r="H2640" s="27" t="s">
        <v>1454</v>
      </c>
      <c r="L2640" s="27" t="s">
        <v>1618</v>
      </c>
      <c r="N2640" s="27" t="s">
        <v>1325</v>
      </c>
      <c r="P2640" s="27" t="s">
        <v>4784</v>
      </c>
      <c r="Q2640" s="26" t="str">
        <f>HYPERLINK("https://ictv.global/taxonomy/taxondetails?taxnode_id=202512103&amp;ictv_id=ICTV202012103","ICTV202012103")</f>
        <v>ICTV202012103</v>
      </c>
      <c r="R2640" t="s">
        <v>579</v>
      </c>
      <c r="S2640" t="s">
        <v>824</v>
      </c>
      <c r="T2640">
        <v>37</v>
      </c>
      <c r="U2640" s="26" t="str">
        <f>HYPERLINK("https://ictv.global/ictv/proposals/2021.010B.R.Binomial_names.zip","2021.010B.R.Binomial_names.zip")</f>
        <v>2021.010B.R.Binomial_names.zip</v>
      </c>
    </row>
    <row r="2641" spans="1:21">
      <c r="A2641">
        <v>2640</v>
      </c>
      <c r="B2641" s="27" t="s">
        <v>1449</v>
      </c>
      <c r="D2641" s="27" t="s">
        <v>1450</v>
      </c>
      <c r="F2641" s="27" t="s">
        <v>1453</v>
      </c>
      <c r="H2641" s="27" t="s">
        <v>1454</v>
      </c>
      <c r="L2641" s="27" t="s">
        <v>1618</v>
      </c>
      <c r="N2641" s="27" t="s">
        <v>1325</v>
      </c>
      <c r="P2641" s="27" t="s">
        <v>4785</v>
      </c>
      <c r="Q2641" s="26" t="str">
        <f>HYPERLINK("https://ictv.global/taxonomy/taxondetails?taxnode_id=202512112&amp;ictv_id=ICTV202012112","ICTV202012112")</f>
        <v>ICTV202012112</v>
      </c>
      <c r="R2641" t="s">
        <v>579</v>
      </c>
      <c r="S2641" t="s">
        <v>824</v>
      </c>
      <c r="T2641">
        <v>37</v>
      </c>
      <c r="U2641" s="26" t="str">
        <f>HYPERLINK("https://ictv.global/ictv/proposals/2021.010B.R.Binomial_names.zip","2021.010B.R.Binomial_names.zip")</f>
        <v>2021.010B.R.Binomial_names.zip</v>
      </c>
    </row>
    <row r="2642" spans="1:21">
      <c r="A2642">
        <v>2641</v>
      </c>
      <c r="B2642" s="27" t="s">
        <v>1449</v>
      </c>
      <c r="D2642" s="27" t="s">
        <v>1450</v>
      </c>
      <c r="F2642" s="27" t="s">
        <v>1453</v>
      </c>
      <c r="H2642" s="27" t="s">
        <v>1454</v>
      </c>
      <c r="L2642" s="27" t="s">
        <v>1618</v>
      </c>
      <c r="N2642" s="27" t="s">
        <v>1325</v>
      </c>
      <c r="P2642" s="27" t="s">
        <v>11517</v>
      </c>
      <c r="Q2642" s="26" t="str">
        <f>HYPERLINK("https://ictv.global/taxonomy/taxondetails?taxnode_id=202519554&amp;ictv_id=ICTV202319554","ICTV202319554")</f>
        <v>ICTV202319554</v>
      </c>
      <c r="R2642" t="s">
        <v>579</v>
      </c>
      <c r="S2642" t="s">
        <v>823</v>
      </c>
      <c r="T2642">
        <v>39</v>
      </c>
      <c r="U2642" s="26" t="str">
        <f>HYPERLINK("https://ictv.global/ictv/proposals/2023.077B.Webervirus_68ns.zip","2023.077B.Webervirus_68ns.zip")</f>
        <v>2023.077B.Webervirus_68ns.zip</v>
      </c>
    </row>
    <row r="2643" spans="1:21">
      <c r="A2643">
        <v>2642</v>
      </c>
      <c r="B2643" s="27" t="s">
        <v>1449</v>
      </c>
      <c r="D2643" s="27" t="s">
        <v>1450</v>
      </c>
      <c r="F2643" s="27" t="s">
        <v>1453</v>
      </c>
      <c r="H2643" s="27" t="s">
        <v>1454</v>
      </c>
      <c r="L2643" s="27" t="s">
        <v>1618</v>
      </c>
      <c r="N2643" s="27" t="s">
        <v>1325</v>
      </c>
      <c r="P2643" s="27" t="s">
        <v>4786</v>
      </c>
      <c r="Q2643" s="26" t="str">
        <f>HYPERLINK("https://ictv.global/taxonomy/taxondetails?taxnode_id=202512107&amp;ictv_id=ICTV202012107","ICTV202012107")</f>
        <v>ICTV202012107</v>
      </c>
      <c r="R2643" t="s">
        <v>579</v>
      </c>
      <c r="S2643" t="s">
        <v>824</v>
      </c>
      <c r="T2643">
        <v>37</v>
      </c>
      <c r="U2643" s="26" t="str">
        <f>HYPERLINK("https://ictv.global/ictv/proposals/2021.010B.R.Binomial_names.zip","2021.010B.R.Binomial_names.zip")</f>
        <v>2021.010B.R.Binomial_names.zip</v>
      </c>
    </row>
    <row r="2644" spans="1:21">
      <c r="A2644">
        <v>2643</v>
      </c>
      <c r="B2644" s="27" t="s">
        <v>1449</v>
      </c>
      <c r="D2644" s="27" t="s">
        <v>1450</v>
      </c>
      <c r="F2644" s="27" t="s">
        <v>1453</v>
      </c>
      <c r="H2644" s="27" t="s">
        <v>1454</v>
      </c>
      <c r="L2644" s="27" t="s">
        <v>1618</v>
      </c>
      <c r="N2644" s="27" t="s">
        <v>1325</v>
      </c>
      <c r="P2644" s="27" t="s">
        <v>4787</v>
      </c>
      <c r="Q2644" s="26" t="str">
        <f>HYPERLINK("https://ictv.global/taxonomy/taxondetails?taxnode_id=202500807&amp;ictv_id=ICTV20164967","ICTV20164967")</f>
        <v>ICTV20164967</v>
      </c>
      <c r="R2644" t="s">
        <v>579</v>
      </c>
      <c r="S2644" t="s">
        <v>824</v>
      </c>
      <c r="T2644">
        <v>37</v>
      </c>
      <c r="U2644" s="26" t="str">
        <f>HYPERLINK("https://ictv.global/ictv/proposals/2021.010B.R.Binomial_names.zip","2021.010B.R.Binomial_names.zip")</f>
        <v>2021.010B.R.Binomial_names.zip</v>
      </c>
    </row>
    <row r="2645" spans="1:21">
      <c r="A2645">
        <v>2644</v>
      </c>
      <c r="B2645" s="27" t="s">
        <v>1449</v>
      </c>
      <c r="D2645" s="27" t="s">
        <v>1450</v>
      </c>
      <c r="F2645" s="27" t="s">
        <v>1453</v>
      </c>
      <c r="H2645" s="27" t="s">
        <v>1454</v>
      </c>
      <c r="L2645" s="27" t="s">
        <v>1618</v>
      </c>
      <c r="N2645" s="27" t="s">
        <v>1325</v>
      </c>
      <c r="P2645" s="27" t="s">
        <v>4788</v>
      </c>
      <c r="Q2645" s="26" t="str">
        <f>HYPERLINK("https://ictv.global/taxonomy/taxondetails?taxnode_id=202512111&amp;ictv_id=ICTV202012111","ICTV202012111")</f>
        <v>ICTV202012111</v>
      </c>
      <c r="R2645" t="s">
        <v>579</v>
      </c>
      <c r="S2645" t="s">
        <v>824</v>
      </c>
      <c r="T2645">
        <v>37</v>
      </c>
      <c r="U2645" s="26" t="str">
        <f>HYPERLINK("https://ictv.global/ictv/proposals/2021.010B.R.Binomial_names.zip","2021.010B.R.Binomial_names.zip")</f>
        <v>2021.010B.R.Binomial_names.zip</v>
      </c>
    </row>
    <row r="2646" spans="1:21">
      <c r="A2646">
        <v>2645</v>
      </c>
      <c r="B2646" s="27" t="s">
        <v>1449</v>
      </c>
      <c r="D2646" s="27" t="s">
        <v>1450</v>
      </c>
      <c r="F2646" s="27" t="s">
        <v>1453</v>
      </c>
      <c r="H2646" s="27" t="s">
        <v>1454</v>
      </c>
      <c r="L2646" s="27" t="s">
        <v>1618</v>
      </c>
      <c r="N2646" s="27" t="s">
        <v>1325</v>
      </c>
      <c r="P2646" s="27" t="s">
        <v>4789</v>
      </c>
      <c r="Q2646" s="26" t="str">
        <f>HYPERLINK("https://ictv.global/taxonomy/taxondetails?taxnode_id=202508176&amp;ictv_id=ICTV201908176","ICTV201908176")</f>
        <v>ICTV201908176</v>
      </c>
      <c r="R2646" t="s">
        <v>579</v>
      </c>
      <c r="S2646" t="s">
        <v>824</v>
      </c>
      <c r="T2646">
        <v>37</v>
      </c>
      <c r="U2646" s="26" t="str">
        <f>HYPERLINK("https://ictv.global/ictv/proposals/2021.010B.R.Binomial_names.zip","2021.010B.R.Binomial_names.zip")</f>
        <v>2021.010B.R.Binomial_names.zip</v>
      </c>
    </row>
    <row r="2647" spans="1:21">
      <c r="A2647">
        <v>2646</v>
      </c>
      <c r="B2647" s="27" t="s">
        <v>1449</v>
      </c>
      <c r="D2647" s="27" t="s">
        <v>1450</v>
      </c>
      <c r="F2647" s="27" t="s">
        <v>1453</v>
      </c>
      <c r="H2647" s="27" t="s">
        <v>1454</v>
      </c>
      <c r="L2647" s="27" t="s">
        <v>1618</v>
      </c>
      <c r="N2647" s="27" t="s">
        <v>1325</v>
      </c>
      <c r="P2647" s="27" t="s">
        <v>4790</v>
      </c>
      <c r="Q2647" s="26" t="str">
        <f>HYPERLINK("https://ictv.global/taxonomy/taxondetails?taxnode_id=202500808&amp;ictv_id=ICTV20150817","ICTV20150817")</f>
        <v>ICTV20150817</v>
      </c>
      <c r="R2647" t="s">
        <v>579</v>
      </c>
      <c r="S2647" t="s">
        <v>824</v>
      </c>
      <c r="T2647">
        <v>37</v>
      </c>
      <c r="U2647" s="26" t="str">
        <f>HYPERLINK("https://ictv.global/ictv/proposals/2021.010B.R.Binomial_names.zip","2021.010B.R.Binomial_names.zip")</f>
        <v>2021.010B.R.Binomial_names.zip</v>
      </c>
    </row>
    <row r="2648" spans="1:21">
      <c r="A2648">
        <v>2647</v>
      </c>
      <c r="B2648" s="27" t="s">
        <v>1449</v>
      </c>
      <c r="D2648" s="27" t="s">
        <v>1450</v>
      </c>
      <c r="F2648" s="27" t="s">
        <v>1453</v>
      </c>
      <c r="H2648" s="27" t="s">
        <v>1454</v>
      </c>
      <c r="L2648" s="27" t="s">
        <v>1618</v>
      </c>
      <c r="N2648" s="27" t="s">
        <v>1325</v>
      </c>
      <c r="P2648" s="27" t="s">
        <v>11518</v>
      </c>
      <c r="Q2648" s="26" t="str">
        <f>HYPERLINK("https://ictv.global/taxonomy/taxondetails?taxnode_id=202519571&amp;ictv_id=ICTV202319571","ICTV202319571")</f>
        <v>ICTV202319571</v>
      </c>
      <c r="R2648" t="s">
        <v>579</v>
      </c>
      <c r="S2648" t="s">
        <v>823</v>
      </c>
      <c r="T2648">
        <v>39</v>
      </c>
      <c r="U2648" s="26" t="str">
        <f>HYPERLINK("https://ictv.global/ictv/proposals/2023.077B.Webervirus_68ns.zip","2023.077B.Webervirus_68ns.zip")</f>
        <v>2023.077B.Webervirus_68ns.zip</v>
      </c>
    </row>
    <row r="2649" spans="1:21">
      <c r="A2649">
        <v>2648</v>
      </c>
      <c r="B2649" s="27" t="s">
        <v>1449</v>
      </c>
      <c r="D2649" s="27" t="s">
        <v>1450</v>
      </c>
      <c r="F2649" s="27" t="s">
        <v>1453</v>
      </c>
      <c r="H2649" s="27" t="s">
        <v>1454</v>
      </c>
      <c r="L2649" s="27" t="s">
        <v>1618</v>
      </c>
      <c r="N2649" s="27" t="s">
        <v>1325</v>
      </c>
      <c r="P2649" s="27" t="s">
        <v>4791</v>
      </c>
      <c r="Q2649" s="26" t="str">
        <f>HYPERLINK("https://ictv.global/taxonomy/taxondetails?taxnode_id=202512117&amp;ictv_id=ICTV202012117","ICTV202012117")</f>
        <v>ICTV202012117</v>
      </c>
      <c r="R2649" t="s">
        <v>579</v>
      </c>
      <c r="S2649" t="s">
        <v>824</v>
      </c>
      <c r="T2649">
        <v>37</v>
      </c>
      <c r="U2649" s="26" t="str">
        <f>HYPERLINK("https://ictv.global/ictv/proposals/2021.010B.R.Binomial_names.zip","2021.010B.R.Binomial_names.zip")</f>
        <v>2021.010B.R.Binomial_names.zip</v>
      </c>
    </row>
    <row r="2650" spans="1:21">
      <c r="A2650">
        <v>2649</v>
      </c>
      <c r="B2650" s="27" t="s">
        <v>1449</v>
      </c>
      <c r="D2650" s="27" t="s">
        <v>1450</v>
      </c>
      <c r="F2650" s="27" t="s">
        <v>1453</v>
      </c>
      <c r="H2650" s="27" t="s">
        <v>1454</v>
      </c>
      <c r="L2650" s="27" t="s">
        <v>1618</v>
      </c>
      <c r="N2650" s="27" t="s">
        <v>1325</v>
      </c>
      <c r="P2650" s="27" t="s">
        <v>4792</v>
      </c>
      <c r="Q2650" s="26" t="str">
        <f>HYPERLINK("https://ictv.global/taxonomy/taxondetails?taxnode_id=202508183&amp;ictv_id=ICTV201908183","ICTV201908183")</f>
        <v>ICTV201908183</v>
      </c>
      <c r="R2650" t="s">
        <v>579</v>
      </c>
      <c r="S2650" t="s">
        <v>824</v>
      </c>
      <c r="T2650">
        <v>37</v>
      </c>
      <c r="U2650" s="26" t="str">
        <f>HYPERLINK("https://ictv.global/ictv/proposals/2021.010B.R.Binomial_names.zip","2021.010B.R.Binomial_names.zip")</f>
        <v>2021.010B.R.Binomial_names.zip</v>
      </c>
    </row>
    <row r="2651" spans="1:21">
      <c r="A2651">
        <v>2650</v>
      </c>
      <c r="B2651" s="27" t="s">
        <v>1449</v>
      </c>
      <c r="D2651" s="27" t="s">
        <v>1450</v>
      </c>
      <c r="F2651" s="27" t="s">
        <v>1453</v>
      </c>
      <c r="H2651" s="27" t="s">
        <v>1454</v>
      </c>
      <c r="L2651" s="27" t="s">
        <v>1618</v>
      </c>
      <c r="N2651" s="27" t="s">
        <v>1325</v>
      </c>
      <c r="P2651" s="27" t="s">
        <v>4793</v>
      </c>
      <c r="Q2651" s="26" t="str">
        <f>HYPERLINK("https://ictv.global/taxonomy/taxondetails?taxnode_id=202508185&amp;ictv_id=ICTV201908185","ICTV201908185")</f>
        <v>ICTV201908185</v>
      </c>
      <c r="R2651" t="s">
        <v>579</v>
      </c>
      <c r="S2651" t="s">
        <v>824</v>
      </c>
      <c r="T2651">
        <v>37</v>
      </c>
      <c r="U2651" s="26" t="str">
        <f>HYPERLINK("https://ictv.global/ictv/proposals/2021.010B.R.Binomial_names.zip","2021.010B.R.Binomial_names.zip")</f>
        <v>2021.010B.R.Binomial_names.zip</v>
      </c>
    </row>
    <row r="2652" spans="1:21">
      <c r="A2652">
        <v>2651</v>
      </c>
      <c r="B2652" s="27" t="s">
        <v>1449</v>
      </c>
      <c r="D2652" s="27" t="s">
        <v>1450</v>
      </c>
      <c r="F2652" s="27" t="s">
        <v>1453</v>
      </c>
      <c r="H2652" s="27" t="s">
        <v>1454</v>
      </c>
      <c r="L2652" s="27" t="s">
        <v>1618</v>
      </c>
      <c r="N2652" s="27" t="s">
        <v>1325</v>
      </c>
      <c r="P2652" s="27" t="s">
        <v>11519</v>
      </c>
      <c r="Q2652" s="26" t="str">
        <f>HYPERLINK("https://ictv.global/taxonomy/taxondetails?taxnode_id=202519514&amp;ictv_id=ICTV202319514","ICTV202319514")</f>
        <v>ICTV202319514</v>
      </c>
      <c r="R2652" t="s">
        <v>579</v>
      </c>
      <c r="S2652" t="s">
        <v>823</v>
      </c>
      <c r="T2652">
        <v>39</v>
      </c>
      <c r="U2652" s="26" t="str">
        <f>HYPERLINK("https://ictv.global/ictv/proposals/2023.077B.Webervirus_68ns.zip","2023.077B.Webervirus_68ns.zip")</f>
        <v>2023.077B.Webervirus_68ns.zip</v>
      </c>
    </row>
    <row r="2653" spans="1:21">
      <c r="A2653">
        <v>2652</v>
      </c>
      <c r="B2653" s="27" t="s">
        <v>1449</v>
      </c>
      <c r="D2653" s="27" t="s">
        <v>1450</v>
      </c>
      <c r="F2653" s="27" t="s">
        <v>1453</v>
      </c>
      <c r="H2653" s="27" t="s">
        <v>1454</v>
      </c>
      <c r="L2653" s="27" t="s">
        <v>1618</v>
      </c>
      <c r="N2653" s="27" t="s">
        <v>1325</v>
      </c>
      <c r="P2653" s="27" t="s">
        <v>4794</v>
      </c>
      <c r="Q2653" s="26" t="str">
        <f>HYPERLINK("https://ictv.global/taxonomy/taxondetails?taxnode_id=202512114&amp;ictv_id=ICTV202012114","ICTV202012114")</f>
        <v>ICTV202012114</v>
      </c>
      <c r="R2653" t="s">
        <v>579</v>
      </c>
      <c r="S2653" t="s">
        <v>824</v>
      </c>
      <c r="T2653">
        <v>37</v>
      </c>
      <c r="U2653" s="26" t="str">
        <f>HYPERLINK("https://ictv.global/ictv/proposals/2021.010B.R.Binomial_names.zip","2021.010B.R.Binomial_names.zip")</f>
        <v>2021.010B.R.Binomial_names.zip</v>
      </c>
    </row>
    <row r="2654" spans="1:21">
      <c r="A2654">
        <v>2653</v>
      </c>
      <c r="B2654" s="27" t="s">
        <v>1449</v>
      </c>
      <c r="D2654" s="27" t="s">
        <v>1450</v>
      </c>
      <c r="F2654" s="27" t="s">
        <v>1453</v>
      </c>
      <c r="H2654" s="27" t="s">
        <v>1454</v>
      </c>
      <c r="L2654" s="27" t="s">
        <v>1618</v>
      </c>
      <c r="N2654" s="27" t="s">
        <v>1325</v>
      </c>
      <c r="P2654" s="27" t="s">
        <v>11520</v>
      </c>
      <c r="Q2654" s="26" t="str">
        <f>HYPERLINK("https://ictv.global/taxonomy/taxondetails?taxnode_id=202519545&amp;ictv_id=ICTV202319545","ICTV202319545")</f>
        <v>ICTV202319545</v>
      </c>
      <c r="R2654" t="s">
        <v>579</v>
      </c>
      <c r="S2654" t="s">
        <v>823</v>
      </c>
      <c r="T2654">
        <v>39</v>
      </c>
      <c r="U2654" s="26" t="str">
        <f>HYPERLINK("https://ictv.global/ictv/proposals/2023.077B.Webervirus_68ns.zip","2023.077B.Webervirus_68ns.zip")</f>
        <v>2023.077B.Webervirus_68ns.zip</v>
      </c>
    </row>
    <row r="2655" spans="1:21">
      <c r="A2655">
        <v>2654</v>
      </c>
      <c r="B2655" s="27" t="s">
        <v>1449</v>
      </c>
      <c r="D2655" s="27" t="s">
        <v>1450</v>
      </c>
      <c r="F2655" s="27" t="s">
        <v>1453</v>
      </c>
      <c r="H2655" s="27" t="s">
        <v>1454</v>
      </c>
      <c r="L2655" s="27" t="s">
        <v>1618</v>
      </c>
      <c r="N2655" s="27" t="s">
        <v>1325</v>
      </c>
      <c r="P2655" s="27" t="s">
        <v>11521</v>
      </c>
      <c r="Q2655" s="26" t="str">
        <f>HYPERLINK("https://ictv.global/taxonomy/taxondetails?taxnode_id=202519542&amp;ictv_id=ICTV202319542","ICTV202319542")</f>
        <v>ICTV202319542</v>
      </c>
      <c r="R2655" t="s">
        <v>579</v>
      </c>
      <c r="S2655" t="s">
        <v>823</v>
      </c>
      <c r="T2655">
        <v>39</v>
      </c>
      <c r="U2655" s="26" t="str">
        <f>HYPERLINK("https://ictv.global/ictv/proposals/2023.077B.Webervirus_68ns.zip","2023.077B.Webervirus_68ns.zip")</f>
        <v>2023.077B.Webervirus_68ns.zip</v>
      </c>
    </row>
    <row r="2656" spans="1:21">
      <c r="A2656">
        <v>2655</v>
      </c>
      <c r="B2656" s="27" t="s">
        <v>1449</v>
      </c>
      <c r="D2656" s="27" t="s">
        <v>1450</v>
      </c>
      <c r="F2656" s="27" t="s">
        <v>1453</v>
      </c>
      <c r="H2656" s="27" t="s">
        <v>1454</v>
      </c>
      <c r="L2656" s="27" t="s">
        <v>1618</v>
      </c>
      <c r="N2656" s="27" t="s">
        <v>1325</v>
      </c>
      <c r="P2656" s="27" t="s">
        <v>4795</v>
      </c>
      <c r="Q2656" s="26" t="str">
        <f>HYPERLINK("https://ictv.global/taxonomy/taxondetails?taxnode_id=202508175&amp;ictv_id=ICTV201908175","ICTV201908175")</f>
        <v>ICTV201908175</v>
      </c>
      <c r="R2656" t="s">
        <v>579</v>
      </c>
      <c r="S2656" t="s">
        <v>824</v>
      </c>
      <c r="T2656">
        <v>37</v>
      </c>
      <c r="U2656" s="26" t="str">
        <f>HYPERLINK("https://ictv.global/ictv/proposals/2021.010B.R.Binomial_names.zip","2021.010B.R.Binomial_names.zip")</f>
        <v>2021.010B.R.Binomial_names.zip</v>
      </c>
    </row>
    <row r="2657" spans="1:21">
      <c r="A2657">
        <v>2656</v>
      </c>
      <c r="B2657" s="27" t="s">
        <v>1449</v>
      </c>
      <c r="D2657" s="27" t="s">
        <v>1450</v>
      </c>
      <c r="F2657" s="27" t="s">
        <v>1453</v>
      </c>
      <c r="H2657" s="27" t="s">
        <v>1454</v>
      </c>
      <c r="L2657" s="27" t="s">
        <v>1618</v>
      </c>
      <c r="N2657" s="27" t="s">
        <v>1325</v>
      </c>
      <c r="P2657" s="27" t="s">
        <v>11522</v>
      </c>
      <c r="Q2657" s="26" t="str">
        <f>HYPERLINK("https://ictv.global/taxonomy/taxondetails?taxnode_id=202519567&amp;ictv_id=ICTV202319567","ICTV202319567")</f>
        <v>ICTV202319567</v>
      </c>
      <c r="R2657" t="s">
        <v>579</v>
      </c>
      <c r="S2657" t="s">
        <v>823</v>
      </c>
      <c r="T2657">
        <v>39</v>
      </c>
      <c r="U2657" s="26" t="str">
        <f>HYPERLINK("https://ictv.global/ictv/proposals/2023.077B.Webervirus_68ns.zip","2023.077B.Webervirus_68ns.zip")</f>
        <v>2023.077B.Webervirus_68ns.zip</v>
      </c>
    </row>
    <row r="2658" spans="1:21">
      <c r="A2658">
        <v>2657</v>
      </c>
      <c r="B2658" s="27" t="s">
        <v>1449</v>
      </c>
      <c r="D2658" s="27" t="s">
        <v>1450</v>
      </c>
      <c r="F2658" s="27" t="s">
        <v>1453</v>
      </c>
      <c r="H2658" s="27" t="s">
        <v>1454</v>
      </c>
      <c r="L2658" s="27" t="s">
        <v>1618</v>
      </c>
      <c r="N2658" s="27" t="s">
        <v>1325</v>
      </c>
      <c r="P2658" s="27" t="s">
        <v>4796</v>
      </c>
      <c r="Q2658" s="26" t="str">
        <f>HYPERLINK("https://ictv.global/taxonomy/taxondetails?taxnode_id=202508182&amp;ictv_id=ICTV201908182","ICTV201908182")</f>
        <v>ICTV201908182</v>
      </c>
      <c r="R2658" t="s">
        <v>579</v>
      </c>
      <c r="S2658" t="s">
        <v>824</v>
      </c>
      <c r="T2658">
        <v>37</v>
      </c>
      <c r="U2658" s="26" t="str">
        <f>HYPERLINK("https://ictv.global/ictv/proposals/2021.010B.R.Binomial_names.zip","2021.010B.R.Binomial_names.zip")</f>
        <v>2021.010B.R.Binomial_names.zip</v>
      </c>
    </row>
    <row r="2659" spans="1:21">
      <c r="A2659">
        <v>2658</v>
      </c>
      <c r="B2659" s="27" t="s">
        <v>1449</v>
      </c>
      <c r="D2659" s="27" t="s">
        <v>1450</v>
      </c>
      <c r="F2659" s="27" t="s">
        <v>1453</v>
      </c>
      <c r="H2659" s="27" t="s">
        <v>1454</v>
      </c>
      <c r="L2659" s="27" t="s">
        <v>1618</v>
      </c>
      <c r="N2659" s="27" t="s">
        <v>1325</v>
      </c>
      <c r="P2659" s="27" t="s">
        <v>11523</v>
      </c>
      <c r="Q2659" s="26" t="str">
        <f>HYPERLINK("https://ictv.global/taxonomy/taxondetails?taxnode_id=202519558&amp;ictv_id=ICTV202319558","ICTV202319558")</f>
        <v>ICTV202319558</v>
      </c>
      <c r="R2659" t="s">
        <v>579</v>
      </c>
      <c r="S2659" t="s">
        <v>823</v>
      </c>
      <c r="T2659">
        <v>39</v>
      </c>
      <c r="U2659" s="26" t="str">
        <f t="shared" ref="U2659:U2668" si="95">HYPERLINK("https://ictv.global/ictv/proposals/2023.077B.Webervirus_68ns.zip","2023.077B.Webervirus_68ns.zip")</f>
        <v>2023.077B.Webervirus_68ns.zip</v>
      </c>
    </row>
    <row r="2660" spans="1:21">
      <c r="A2660">
        <v>2659</v>
      </c>
      <c r="B2660" s="27" t="s">
        <v>1449</v>
      </c>
      <c r="D2660" s="27" t="s">
        <v>1450</v>
      </c>
      <c r="F2660" s="27" t="s">
        <v>1453</v>
      </c>
      <c r="H2660" s="27" t="s">
        <v>1454</v>
      </c>
      <c r="L2660" s="27" t="s">
        <v>1618</v>
      </c>
      <c r="N2660" s="27" t="s">
        <v>1325</v>
      </c>
      <c r="P2660" s="27" t="s">
        <v>11524</v>
      </c>
      <c r="Q2660" s="26" t="str">
        <f>HYPERLINK("https://ictv.global/taxonomy/taxondetails?taxnode_id=202519516&amp;ictv_id=ICTV202319516","ICTV202319516")</f>
        <v>ICTV202319516</v>
      </c>
      <c r="R2660" t="s">
        <v>579</v>
      </c>
      <c r="S2660" t="s">
        <v>823</v>
      </c>
      <c r="T2660">
        <v>39</v>
      </c>
      <c r="U2660" s="26" t="str">
        <f t="shared" si="95"/>
        <v>2023.077B.Webervirus_68ns.zip</v>
      </c>
    </row>
    <row r="2661" spans="1:21">
      <c r="A2661">
        <v>2660</v>
      </c>
      <c r="B2661" s="27" t="s">
        <v>1449</v>
      </c>
      <c r="D2661" s="27" t="s">
        <v>1450</v>
      </c>
      <c r="F2661" s="27" t="s">
        <v>1453</v>
      </c>
      <c r="H2661" s="27" t="s">
        <v>1454</v>
      </c>
      <c r="L2661" s="27" t="s">
        <v>1618</v>
      </c>
      <c r="N2661" s="27" t="s">
        <v>1325</v>
      </c>
      <c r="P2661" s="27" t="s">
        <v>11525</v>
      </c>
      <c r="Q2661" s="26" t="str">
        <f>HYPERLINK("https://ictv.global/taxonomy/taxondetails?taxnode_id=202519539&amp;ictv_id=ICTV202319539","ICTV202319539")</f>
        <v>ICTV202319539</v>
      </c>
      <c r="R2661" t="s">
        <v>579</v>
      </c>
      <c r="S2661" t="s">
        <v>823</v>
      </c>
      <c r="T2661">
        <v>39</v>
      </c>
      <c r="U2661" s="26" t="str">
        <f t="shared" si="95"/>
        <v>2023.077B.Webervirus_68ns.zip</v>
      </c>
    </row>
    <row r="2662" spans="1:21">
      <c r="A2662">
        <v>2661</v>
      </c>
      <c r="B2662" s="27" t="s">
        <v>1449</v>
      </c>
      <c r="D2662" s="27" t="s">
        <v>1450</v>
      </c>
      <c r="F2662" s="27" t="s">
        <v>1453</v>
      </c>
      <c r="H2662" s="27" t="s">
        <v>1454</v>
      </c>
      <c r="L2662" s="27" t="s">
        <v>1618</v>
      </c>
      <c r="N2662" s="27" t="s">
        <v>1325</v>
      </c>
      <c r="P2662" s="27" t="s">
        <v>11526</v>
      </c>
      <c r="Q2662" s="26" t="str">
        <f>HYPERLINK("https://ictv.global/taxonomy/taxondetails?taxnode_id=202519529&amp;ictv_id=ICTV202319529","ICTV202319529")</f>
        <v>ICTV202319529</v>
      </c>
      <c r="R2662" t="s">
        <v>579</v>
      </c>
      <c r="S2662" t="s">
        <v>823</v>
      </c>
      <c r="T2662">
        <v>39</v>
      </c>
      <c r="U2662" s="26" t="str">
        <f t="shared" si="95"/>
        <v>2023.077B.Webervirus_68ns.zip</v>
      </c>
    </row>
    <row r="2663" spans="1:21">
      <c r="A2663">
        <v>2662</v>
      </c>
      <c r="B2663" s="27" t="s">
        <v>1449</v>
      </c>
      <c r="D2663" s="27" t="s">
        <v>1450</v>
      </c>
      <c r="F2663" s="27" t="s">
        <v>1453</v>
      </c>
      <c r="H2663" s="27" t="s">
        <v>1454</v>
      </c>
      <c r="L2663" s="27" t="s">
        <v>1618</v>
      </c>
      <c r="N2663" s="27" t="s">
        <v>1325</v>
      </c>
      <c r="P2663" s="27" t="s">
        <v>11527</v>
      </c>
      <c r="Q2663" s="26" t="str">
        <f>HYPERLINK("https://ictv.global/taxonomy/taxondetails?taxnode_id=202519534&amp;ictv_id=ICTV202319534","ICTV202319534")</f>
        <v>ICTV202319534</v>
      </c>
      <c r="R2663" t="s">
        <v>579</v>
      </c>
      <c r="S2663" t="s">
        <v>823</v>
      </c>
      <c r="T2663">
        <v>39</v>
      </c>
      <c r="U2663" s="26" t="str">
        <f t="shared" si="95"/>
        <v>2023.077B.Webervirus_68ns.zip</v>
      </c>
    </row>
    <row r="2664" spans="1:21">
      <c r="A2664">
        <v>2663</v>
      </c>
      <c r="B2664" s="27" t="s">
        <v>1449</v>
      </c>
      <c r="D2664" s="27" t="s">
        <v>1450</v>
      </c>
      <c r="F2664" s="27" t="s">
        <v>1453</v>
      </c>
      <c r="H2664" s="27" t="s">
        <v>1454</v>
      </c>
      <c r="L2664" s="27" t="s">
        <v>1618</v>
      </c>
      <c r="N2664" s="27" t="s">
        <v>1325</v>
      </c>
      <c r="P2664" s="27" t="s">
        <v>11528</v>
      </c>
      <c r="Q2664" s="26" t="str">
        <f>HYPERLINK("https://ictv.global/taxonomy/taxondetails?taxnode_id=202519506&amp;ictv_id=ICTV202319506","ICTV202319506")</f>
        <v>ICTV202319506</v>
      </c>
      <c r="R2664" t="s">
        <v>579</v>
      </c>
      <c r="S2664" t="s">
        <v>823</v>
      </c>
      <c r="T2664">
        <v>39</v>
      </c>
      <c r="U2664" s="26" t="str">
        <f t="shared" si="95"/>
        <v>2023.077B.Webervirus_68ns.zip</v>
      </c>
    </row>
    <row r="2665" spans="1:21">
      <c r="A2665">
        <v>2664</v>
      </c>
      <c r="B2665" s="27" t="s">
        <v>1449</v>
      </c>
      <c r="D2665" s="27" t="s">
        <v>1450</v>
      </c>
      <c r="F2665" s="27" t="s">
        <v>1453</v>
      </c>
      <c r="H2665" s="27" t="s">
        <v>1454</v>
      </c>
      <c r="L2665" s="27" t="s">
        <v>1618</v>
      </c>
      <c r="N2665" s="27" t="s">
        <v>1325</v>
      </c>
      <c r="P2665" s="27" t="s">
        <v>11529</v>
      </c>
      <c r="Q2665" s="26" t="str">
        <f>HYPERLINK("https://ictv.global/taxonomy/taxondetails?taxnode_id=202519533&amp;ictv_id=ICTV202319533","ICTV202319533")</f>
        <v>ICTV202319533</v>
      </c>
      <c r="R2665" t="s">
        <v>579</v>
      </c>
      <c r="S2665" t="s">
        <v>823</v>
      </c>
      <c r="T2665">
        <v>39</v>
      </c>
      <c r="U2665" s="26" t="str">
        <f t="shared" si="95"/>
        <v>2023.077B.Webervirus_68ns.zip</v>
      </c>
    </row>
    <row r="2666" spans="1:21">
      <c r="A2666">
        <v>2665</v>
      </c>
      <c r="B2666" s="27" t="s">
        <v>1449</v>
      </c>
      <c r="D2666" s="27" t="s">
        <v>1450</v>
      </c>
      <c r="F2666" s="27" t="s">
        <v>1453</v>
      </c>
      <c r="H2666" s="27" t="s">
        <v>1454</v>
      </c>
      <c r="L2666" s="27" t="s">
        <v>1618</v>
      </c>
      <c r="N2666" s="27" t="s">
        <v>1325</v>
      </c>
      <c r="P2666" s="27" t="s">
        <v>11530</v>
      </c>
      <c r="Q2666" s="26" t="str">
        <f>HYPERLINK("https://ictv.global/taxonomy/taxondetails?taxnode_id=202519507&amp;ictv_id=ICTV202319507","ICTV202319507")</f>
        <v>ICTV202319507</v>
      </c>
      <c r="R2666" t="s">
        <v>579</v>
      </c>
      <c r="S2666" t="s">
        <v>823</v>
      </c>
      <c r="T2666">
        <v>39</v>
      </c>
      <c r="U2666" s="26" t="str">
        <f t="shared" si="95"/>
        <v>2023.077B.Webervirus_68ns.zip</v>
      </c>
    </row>
    <row r="2667" spans="1:21">
      <c r="A2667">
        <v>2666</v>
      </c>
      <c r="B2667" s="27" t="s">
        <v>1449</v>
      </c>
      <c r="D2667" s="27" t="s">
        <v>1450</v>
      </c>
      <c r="F2667" s="27" t="s">
        <v>1453</v>
      </c>
      <c r="H2667" s="27" t="s">
        <v>1454</v>
      </c>
      <c r="L2667" s="27" t="s">
        <v>1618</v>
      </c>
      <c r="N2667" s="27" t="s">
        <v>1325</v>
      </c>
      <c r="P2667" s="27" t="s">
        <v>11531</v>
      </c>
      <c r="Q2667" s="26" t="str">
        <f>HYPERLINK("https://ictv.global/taxonomy/taxondetails?taxnode_id=202519508&amp;ictv_id=ICTV202319508","ICTV202319508")</f>
        <v>ICTV202319508</v>
      </c>
      <c r="R2667" t="s">
        <v>579</v>
      </c>
      <c r="S2667" t="s">
        <v>823</v>
      </c>
      <c r="T2667">
        <v>39</v>
      </c>
      <c r="U2667" s="26" t="str">
        <f t="shared" si="95"/>
        <v>2023.077B.Webervirus_68ns.zip</v>
      </c>
    </row>
    <row r="2668" spans="1:21">
      <c r="A2668">
        <v>2667</v>
      </c>
      <c r="B2668" s="27" t="s">
        <v>1449</v>
      </c>
      <c r="D2668" s="27" t="s">
        <v>1450</v>
      </c>
      <c r="F2668" s="27" t="s">
        <v>1453</v>
      </c>
      <c r="H2668" s="27" t="s">
        <v>1454</v>
      </c>
      <c r="L2668" s="27" t="s">
        <v>1618</v>
      </c>
      <c r="N2668" s="27" t="s">
        <v>1325</v>
      </c>
      <c r="P2668" s="27" t="s">
        <v>11532</v>
      </c>
      <c r="Q2668" s="26" t="str">
        <f>HYPERLINK("https://ictv.global/taxonomy/taxondetails?taxnode_id=202519537&amp;ictv_id=ICTV202319537","ICTV202319537")</f>
        <v>ICTV202319537</v>
      </c>
      <c r="R2668" t="s">
        <v>579</v>
      </c>
      <c r="S2668" t="s">
        <v>823</v>
      </c>
      <c r="T2668">
        <v>39</v>
      </c>
      <c r="U2668" s="26" t="str">
        <f t="shared" si="95"/>
        <v>2023.077B.Webervirus_68ns.zip</v>
      </c>
    </row>
    <row r="2669" spans="1:21">
      <c r="A2669">
        <v>2668</v>
      </c>
      <c r="B2669" s="27" t="s">
        <v>1449</v>
      </c>
      <c r="D2669" s="27" t="s">
        <v>1450</v>
      </c>
      <c r="F2669" s="27" t="s">
        <v>1453</v>
      </c>
      <c r="H2669" s="27" t="s">
        <v>1454</v>
      </c>
      <c r="L2669" s="27" t="s">
        <v>1618</v>
      </c>
      <c r="N2669" s="27" t="s">
        <v>1325</v>
      </c>
      <c r="P2669" s="27" t="s">
        <v>4797</v>
      </c>
      <c r="Q2669" s="26" t="str">
        <f>HYPERLINK("https://ictv.global/taxonomy/taxondetails?taxnode_id=202508184&amp;ictv_id=ICTV201908184","ICTV201908184")</f>
        <v>ICTV201908184</v>
      </c>
      <c r="R2669" t="s">
        <v>579</v>
      </c>
      <c r="S2669" t="s">
        <v>824</v>
      </c>
      <c r="T2669">
        <v>37</v>
      </c>
      <c r="U2669" s="26" t="str">
        <f>HYPERLINK("https://ictv.global/ictv/proposals/2021.010B.R.Binomial_names.zip","2021.010B.R.Binomial_names.zip")</f>
        <v>2021.010B.R.Binomial_names.zip</v>
      </c>
    </row>
    <row r="2670" spans="1:21">
      <c r="A2670">
        <v>2669</v>
      </c>
      <c r="B2670" s="27" t="s">
        <v>1449</v>
      </c>
      <c r="D2670" s="27" t="s">
        <v>1450</v>
      </c>
      <c r="F2670" s="27" t="s">
        <v>1453</v>
      </c>
      <c r="H2670" s="27" t="s">
        <v>1454</v>
      </c>
      <c r="L2670" s="27" t="s">
        <v>1618</v>
      </c>
      <c r="N2670" s="27" t="s">
        <v>1325</v>
      </c>
      <c r="P2670" s="27" t="s">
        <v>4798</v>
      </c>
      <c r="Q2670" s="26" t="str">
        <f>HYPERLINK("https://ictv.global/taxonomy/taxondetails?taxnode_id=202508178&amp;ictv_id=ICTV201908178","ICTV201908178")</f>
        <v>ICTV201908178</v>
      </c>
      <c r="R2670" t="s">
        <v>579</v>
      </c>
      <c r="S2670" t="s">
        <v>824</v>
      </c>
      <c r="T2670">
        <v>37</v>
      </c>
      <c r="U2670" s="26" t="str">
        <f>HYPERLINK("https://ictv.global/ictv/proposals/2021.010B.R.Binomial_names.zip","2021.010B.R.Binomial_names.zip")</f>
        <v>2021.010B.R.Binomial_names.zip</v>
      </c>
    </row>
    <row r="2671" spans="1:21">
      <c r="A2671">
        <v>2670</v>
      </c>
      <c r="B2671" s="27" t="s">
        <v>1449</v>
      </c>
      <c r="D2671" s="27" t="s">
        <v>1450</v>
      </c>
      <c r="F2671" s="27" t="s">
        <v>1453</v>
      </c>
      <c r="H2671" s="27" t="s">
        <v>1454</v>
      </c>
      <c r="L2671" s="27" t="s">
        <v>1618</v>
      </c>
      <c r="N2671" s="27" t="s">
        <v>1325</v>
      </c>
      <c r="P2671" s="27" t="s">
        <v>11533</v>
      </c>
      <c r="Q2671" s="26" t="str">
        <f>HYPERLINK("https://ictv.global/taxonomy/taxondetails?taxnode_id=202519541&amp;ictv_id=ICTV202319541","ICTV202319541")</f>
        <v>ICTV202319541</v>
      </c>
      <c r="R2671" t="s">
        <v>579</v>
      </c>
      <c r="S2671" t="s">
        <v>823</v>
      </c>
      <c r="T2671">
        <v>39</v>
      </c>
      <c r="U2671" s="26" t="str">
        <f t="shared" ref="U2671:U2678" si="96">HYPERLINK("https://ictv.global/ictv/proposals/2023.077B.Webervirus_68ns.zip","2023.077B.Webervirus_68ns.zip")</f>
        <v>2023.077B.Webervirus_68ns.zip</v>
      </c>
    </row>
    <row r="2672" spans="1:21">
      <c r="A2672">
        <v>2671</v>
      </c>
      <c r="B2672" s="27" t="s">
        <v>1449</v>
      </c>
      <c r="D2672" s="27" t="s">
        <v>1450</v>
      </c>
      <c r="F2672" s="27" t="s">
        <v>1453</v>
      </c>
      <c r="H2672" s="27" t="s">
        <v>1454</v>
      </c>
      <c r="L2672" s="27" t="s">
        <v>1618</v>
      </c>
      <c r="N2672" s="27" t="s">
        <v>1325</v>
      </c>
      <c r="P2672" s="27" t="s">
        <v>11534</v>
      </c>
      <c r="Q2672" s="26" t="str">
        <f>HYPERLINK("https://ictv.global/taxonomy/taxondetails?taxnode_id=202519544&amp;ictv_id=ICTV202319544","ICTV202319544")</f>
        <v>ICTV202319544</v>
      </c>
      <c r="R2672" t="s">
        <v>579</v>
      </c>
      <c r="S2672" t="s">
        <v>823</v>
      </c>
      <c r="T2672">
        <v>39</v>
      </c>
      <c r="U2672" s="26" t="str">
        <f t="shared" si="96"/>
        <v>2023.077B.Webervirus_68ns.zip</v>
      </c>
    </row>
    <row r="2673" spans="1:21">
      <c r="A2673">
        <v>2672</v>
      </c>
      <c r="B2673" s="27" t="s">
        <v>1449</v>
      </c>
      <c r="D2673" s="27" t="s">
        <v>1450</v>
      </c>
      <c r="F2673" s="27" t="s">
        <v>1453</v>
      </c>
      <c r="H2673" s="27" t="s">
        <v>1454</v>
      </c>
      <c r="L2673" s="27" t="s">
        <v>1618</v>
      </c>
      <c r="N2673" s="27" t="s">
        <v>1325</v>
      </c>
      <c r="P2673" s="27" t="s">
        <v>11535</v>
      </c>
      <c r="Q2673" s="26" t="str">
        <f>HYPERLINK("https://ictv.global/taxonomy/taxondetails?taxnode_id=202519559&amp;ictv_id=ICTV202319559","ICTV202319559")</f>
        <v>ICTV202319559</v>
      </c>
      <c r="R2673" t="s">
        <v>579</v>
      </c>
      <c r="S2673" t="s">
        <v>823</v>
      </c>
      <c r="T2673">
        <v>39</v>
      </c>
      <c r="U2673" s="26" t="str">
        <f t="shared" si="96"/>
        <v>2023.077B.Webervirus_68ns.zip</v>
      </c>
    </row>
    <row r="2674" spans="1:21">
      <c r="A2674">
        <v>2673</v>
      </c>
      <c r="B2674" s="27" t="s">
        <v>1449</v>
      </c>
      <c r="D2674" s="27" t="s">
        <v>1450</v>
      </c>
      <c r="F2674" s="27" t="s">
        <v>1453</v>
      </c>
      <c r="H2674" s="27" t="s">
        <v>1454</v>
      </c>
      <c r="L2674" s="27" t="s">
        <v>1618</v>
      </c>
      <c r="N2674" s="27" t="s">
        <v>1325</v>
      </c>
      <c r="P2674" s="27" t="s">
        <v>11536</v>
      </c>
      <c r="Q2674" s="26" t="str">
        <f>HYPERLINK("https://ictv.global/taxonomy/taxondetails?taxnode_id=202519569&amp;ictv_id=ICTV202319569","ICTV202319569")</f>
        <v>ICTV202319569</v>
      </c>
      <c r="R2674" t="s">
        <v>579</v>
      </c>
      <c r="S2674" t="s">
        <v>823</v>
      </c>
      <c r="T2674">
        <v>39</v>
      </c>
      <c r="U2674" s="26" t="str">
        <f t="shared" si="96"/>
        <v>2023.077B.Webervirus_68ns.zip</v>
      </c>
    </row>
    <row r="2675" spans="1:21">
      <c r="A2675">
        <v>2674</v>
      </c>
      <c r="B2675" s="27" t="s">
        <v>1449</v>
      </c>
      <c r="D2675" s="27" t="s">
        <v>1450</v>
      </c>
      <c r="F2675" s="27" t="s">
        <v>1453</v>
      </c>
      <c r="H2675" s="27" t="s">
        <v>1454</v>
      </c>
      <c r="L2675" s="27" t="s">
        <v>1618</v>
      </c>
      <c r="N2675" s="27" t="s">
        <v>1325</v>
      </c>
      <c r="P2675" s="27" t="s">
        <v>11537</v>
      </c>
      <c r="Q2675" s="26" t="str">
        <f>HYPERLINK("https://ictv.global/taxonomy/taxondetails?taxnode_id=202519557&amp;ictv_id=ICTV202319557","ICTV202319557")</f>
        <v>ICTV202319557</v>
      </c>
      <c r="R2675" t="s">
        <v>579</v>
      </c>
      <c r="S2675" t="s">
        <v>823</v>
      </c>
      <c r="T2675">
        <v>39</v>
      </c>
      <c r="U2675" s="26" t="str">
        <f t="shared" si="96"/>
        <v>2023.077B.Webervirus_68ns.zip</v>
      </c>
    </row>
    <row r="2676" spans="1:21">
      <c r="A2676">
        <v>2675</v>
      </c>
      <c r="B2676" s="27" t="s">
        <v>1449</v>
      </c>
      <c r="D2676" s="27" t="s">
        <v>1450</v>
      </c>
      <c r="F2676" s="27" t="s">
        <v>1453</v>
      </c>
      <c r="H2676" s="27" t="s">
        <v>1454</v>
      </c>
      <c r="L2676" s="27" t="s">
        <v>1618</v>
      </c>
      <c r="N2676" s="27" t="s">
        <v>1325</v>
      </c>
      <c r="P2676" s="27" t="s">
        <v>11538</v>
      </c>
      <c r="Q2676" s="26" t="str">
        <f>HYPERLINK("https://ictv.global/taxonomy/taxondetails?taxnode_id=202519556&amp;ictv_id=ICTV202319556","ICTV202319556")</f>
        <v>ICTV202319556</v>
      </c>
      <c r="R2676" t="s">
        <v>579</v>
      </c>
      <c r="S2676" t="s">
        <v>823</v>
      </c>
      <c r="T2676">
        <v>39</v>
      </c>
      <c r="U2676" s="26" t="str">
        <f t="shared" si="96"/>
        <v>2023.077B.Webervirus_68ns.zip</v>
      </c>
    </row>
    <row r="2677" spans="1:21">
      <c r="A2677">
        <v>2676</v>
      </c>
      <c r="B2677" s="27" t="s">
        <v>1449</v>
      </c>
      <c r="D2677" s="27" t="s">
        <v>1450</v>
      </c>
      <c r="F2677" s="27" t="s">
        <v>1453</v>
      </c>
      <c r="H2677" s="27" t="s">
        <v>1454</v>
      </c>
      <c r="L2677" s="27" t="s">
        <v>1618</v>
      </c>
      <c r="N2677" s="27" t="s">
        <v>1325</v>
      </c>
      <c r="P2677" s="27" t="s">
        <v>11539</v>
      </c>
      <c r="Q2677" s="26" t="str">
        <f>HYPERLINK("https://ictv.global/taxonomy/taxondetails?taxnode_id=202519536&amp;ictv_id=ICTV202319536","ICTV202319536")</f>
        <v>ICTV202319536</v>
      </c>
      <c r="R2677" t="s">
        <v>579</v>
      </c>
      <c r="S2677" t="s">
        <v>823</v>
      </c>
      <c r="T2677">
        <v>39</v>
      </c>
      <c r="U2677" s="26" t="str">
        <f t="shared" si="96"/>
        <v>2023.077B.Webervirus_68ns.zip</v>
      </c>
    </row>
    <row r="2678" spans="1:21">
      <c r="A2678">
        <v>2677</v>
      </c>
      <c r="B2678" s="27" t="s">
        <v>1449</v>
      </c>
      <c r="D2678" s="27" t="s">
        <v>1450</v>
      </c>
      <c r="F2678" s="27" t="s">
        <v>1453</v>
      </c>
      <c r="H2678" s="27" t="s">
        <v>1454</v>
      </c>
      <c r="L2678" s="27" t="s">
        <v>1618</v>
      </c>
      <c r="N2678" s="27" t="s">
        <v>1325</v>
      </c>
      <c r="P2678" s="27" t="s">
        <v>11540</v>
      </c>
      <c r="Q2678" s="26" t="str">
        <f>HYPERLINK("https://ictv.global/taxonomy/taxondetails?taxnode_id=202519510&amp;ictv_id=ICTV202319510","ICTV202319510")</f>
        <v>ICTV202319510</v>
      </c>
      <c r="R2678" t="s">
        <v>579</v>
      </c>
      <c r="S2678" t="s">
        <v>823</v>
      </c>
      <c r="T2678">
        <v>39</v>
      </c>
      <c r="U2678" s="26" t="str">
        <f t="shared" si="96"/>
        <v>2023.077B.Webervirus_68ns.zip</v>
      </c>
    </row>
    <row r="2679" spans="1:21">
      <c r="A2679">
        <v>2678</v>
      </c>
      <c r="B2679" s="27" t="s">
        <v>1449</v>
      </c>
      <c r="D2679" s="27" t="s">
        <v>1450</v>
      </c>
      <c r="F2679" s="27" t="s">
        <v>1453</v>
      </c>
      <c r="H2679" s="27" t="s">
        <v>1454</v>
      </c>
      <c r="L2679" s="27" t="s">
        <v>1618</v>
      </c>
      <c r="N2679" s="27" t="s">
        <v>1325</v>
      </c>
      <c r="P2679" s="27" t="s">
        <v>4799</v>
      </c>
      <c r="Q2679" s="26" t="str">
        <f>HYPERLINK("https://ictv.global/taxonomy/taxondetails?taxnode_id=202500809&amp;ictv_id=ICTV20164968","ICTV20164968")</f>
        <v>ICTV20164968</v>
      </c>
      <c r="R2679" t="s">
        <v>579</v>
      </c>
      <c r="S2679" t="s">
        <v>824</v>
      </c>
      <c r="T2679">
        <v>37</v>
      </c>
      <c r="U2679" s="26" t="str">
        <f>HYPERLINK("https://ictv.global/ictv/proposals/2021.010B.R.Binomial_names.zip","2021.010B.R.Binomial_names.zip")</f>
        <v>2021.010B.R.Binomial_names.zip</v>
      </c>
    </row>
    <row r="2680" spans="1:21">
      <c r="A2680">
        <v>2679</v>
      </c>
      <c r="B2680" s="27" t="s">
        <v>1449</v>
      </c>
      <c r="D2680" s="27" t="s">
        <v>1450</v>
      </c>
      <c r="F2680" s="27" t="s">
        <v>1453</v>
      </c>
      <c r="H2680" s="27" t="s">
        <v>1454</v>
      </c>
      <c r="L2680" s="27" t="s">
        <v>1618</v>
      </c>
      <c r="N2680" s="27" t="s">
        <v>1325</v>
      </c>
      <c r="P2680" s="27" t="s">
        <v>11541</v>
      </c>
      <c r="Q2680" s="26" t="str">
        <f>HYPERLINK("https://ictv.global/taxonomy/taxondetails?taxnode_id=202519549&amp;ictv_id=ICTV202319549","ICTV202319549")</f>
        <v>ICTV202319549</v>
      </c>
      <c r="R2680" t="s">
        <v>579</v>
      </c>
      <c r="S2680" t="s">
        <v>823</v>
      </c>
      <c r="T2680">
        <v>39</v>
      </c>
      <c r="U2680" s="26" t="str">
        <f t="shared" ref="U2680:U2685" si="97">HYPERLINK("https://ictv.global/ictv/proposals/2023.077B.Webervirus_68ns.zip","2023.077B.Webervirus_68ns.zip")</f>
        <v>2023.077B.Webervirus_68ns.zip</v>
      </c>
    </row>
    <row r="2681" spans="1:21">
      <c r="A2681">
        <v>2680</v>
      </c>
      <c r="B2681" s="27" t="s">
        <v>1449</v>
      </c>
      <c r="D2681" s="27" t="s">
        <v>1450</v>
      </c>
      <c r="F2681" s="27" t="s">
        <v>1453</v>
      </c>
      <c r="H2681" s="27" t="s">
        <v>1454</v>
      </c>
      <c r="L2681" s="27" t="s">
        <v>1618</v>
      </c>
      <c r="N2681" s="27" t="s">
        <v>1325</v>
      </c>
      <c r="P2681" s="27" t="s">
        <v>11542</v>
      </c>
      <c r="Q2681" s="26" t="str">
        <f>HYPERLINK("https://ictv.global/taxonomy/taxondetails?taxnode_id=202519522&amp;ictv_id=ICTV202319522","ICTV202319522")</f>
        <v>ICTV202319522</v>
      </c>
      <c r="R2681" t="s">
        <v>579</v>
      </c>
      <c r="S2681" t="s">
        <v>823</v>
      </c>
      <c r="T2681">
        <v>39</v>
      </c>
      <c r="U2681" s="26" t="str">
        <f t="shared" si="97"/>
        <v>2023.077B.Webervirus_68ns.zip</v>
      </c>
    </row>
    <row r="2682" spans="1:21">
      <c r="A2682">
        <v>2681</v>
      </c>
      <c r="B2682" s="27" t="s">
        <v>1449</v>
      </c>
      <c r="D2682" s="27" t="s">
        <v>1450</v>
      </c>
      <c r="F2682" s="27" t="s">
        <v>1453</v>
      </c>
      <c r="H2682" s="27" t="s">
        <v>1454</v>
      </c>
      <c r="L2682" s="27" t="s">
        <v>1618</v>
      </c>
      <c r="N2682" s="27" t="s">
        <v>1325</v>
      </c>
      <c r="P2682" s="27" t="s">
        <v>11543</v>
      </c>
      <c r="Q2682" s="26" t="str">
        <f>HYPERLINK("https://ictv.global/taxonomy/taxondetails?taxnode_id=202519509&amp;ictv_id=ICTV202319509","ICTV202319509")</f>
        <v>ICTV202319509</v>
      </c>
      <c r="R2682" t="s">
        <v>579</v>
      </c>
      <c r="S2682" t="s">
        <v>823</v>
      </c>
      <c r="T2682">
        <v>39</v>
      </c>
      <c r="U2682" s="26" t="str">
        <f t="shared" si="97"/>
        <v>2023.077B.Webervirus_68ns.zip</v>
      </c>
    </row>
    <row r="2683" spans="1:21">
      <c r="A2683">
        <v>2682</v>
      </c>
      <c r="B2683" s="27" t="s">
        <v>1449</v>
      </c>
      <c r="D2683" s="27" t="s">
        <v>1450</v>
      </c>
      <c r="F2683" s="27" t="s">
        <v>1453</v>
      </c>
      <c r="H2683" s="27" t="s">
        <v>1454</v>
      </c>
      <c r="L2683" s="27" t="s">
        <v>1618</v>
      </c>
      <c r="N2683" s="27" t="s">
        <v>1325</v>
      </c>
      <c r="P2683" s="27" t="s">
        <v>11544</v>
      </c>
      <c r="Q2683" s="26" t="str">
        <f>HYPERLINK("https://ictv.global/taxonomy/taxondetails?taxnode_id=202519561&amp;ictv_id=ICTV202319561","ICTV202319561")</f>
        <v>ICTV202319561</v>
      </c>
      <c r="R2683" t="s">
        <v>579</v>
      </c>
      <c r="S2683" t="s">
        <v>823</v>
      </c>
      <c r="T2683">
        <v>39</v>
      </c>
      <c r="U2683" s="26" t="str">
        <f t="shared" si="97"/>
        <v>2023.077B.Webervirus_68ns.zip</v>
      </c>
    </row>
    <row r="2684" spans="1:21">
      <c r="A2684">
        <v>2683</v>
      </c>
      <c r="B2684" s="27" t="s">
        <v>1449</v>
      </c>
      <c r="D2684" s="27" t="s">
        <v>1450</v>
      </c>
      <c r="F2684" s="27" t="s">
        <v>1453</v>
      </c>
      <c r="H2684" s="27" t="s">
        <v>1454</v>
      </c>
      <c r="L2684" s="27" t="s">
        <v>1618</v>
      </c>
      <c r="N2684" s="27" t="s">
        <v>1325</v>
      </c>
      <c r="P2684" s="27" t="s">
        <v>11545</v>
      </c>
      <c r="Q2684" s="26" t="str">
        <f>HYPERLINK("https://ictv.global/taxonomy/taxondetails?taxnode_id=202519563&amp;ictv_id=ICTV202319563","ICTV202319563")</f>
        <v>ICTV202319563</v>
      </c>
      <c r="R2684" t="s">
        <v>579</v>
      </c>
      <c r="S2684" t="s">
        <v>823</v>
      </c>
      <c r="T2684">
        <v>39</v>
      </c>
      <c r="U2684" s="26" t="str">
        <f t="shared" si="97"/>
        <v>2023.077B.Webervirus_68ns.zip</v>
      </c>
    </row>
    <row r="2685" spans="1:21">
      <c r="A2685">
        <v>2684</v>
      </c>
      <c r="B2685" s="27" t="s">
        <v>1449</v>
      </c>
      <c r="D2685" s="27" t="s">
        <v>1450</v>
      </c>
      <c r="F2685" s="27" t="s">
        <v>1453</v>
      </c>
      <c r="H2685" s="27" t="s">
        <v>1454</v>
      </c>
      <c r="L2685" s="27" t="s">
        <v>1618</v>
      </c>
      <c r="N2685" s="27" t="s">
        <v>1325</v>
      </c>
      <c r="P2685" s="27" t="s">
        <v>11546</v>
      </c>
      <c r="Q2685" s="26" t="str">
        <f>HYPERLINK("https://ictv.global/taxonomy/taxondetails?taxnode_id=202519518&amp;ictv_id=ICTV202319518","ICTV202319518")</f>
        <v>ICTV202319518</v>
      </c>
      <c r="R2685" t="s">
        <v>579</v>
      </c>
      <c r="S2685" t="s">
        <v>823</v>
      </c>
      <c r="T2685">
        <v>39</v>
      </c>
      <c r="U2685" s="26" t="str">
        <f t="shared" si="97"/>
        <v>2023.077B.Webervirus_68ns.zip</v>
      </c>
    </row>
    <row r="2686" spans="1:21">
      <c r="A2686">
        <v>2685</v>
      </c>
      <c r="B2686" s="27" t="s">
        <v>1449</v>
      </c>
      <c r="D2686" s="27" t="s">
        <v>1450</v>
      </c>
      <c r="F2686" s="27" t="s">
        <v>1453</v>
      </c>
      <c r="H2686" s="27" t="s">
        <v>1454</v>
      </c>
      <c r="L2686" s="27" t="s">
        <v>1618</v>
      </c>
      <c r="N2686" s="27" t="s">
        <v>1325</v>
      </c>
      <c r="P2686" s="27" t="s">
        <v>4800</v>
      </c>
      <c r="Q2686" s="26" t="str">
        <f>HYPERLINK("https://ictv.global/taxonomy/taxondetails?taxnode_id=202512102&amp;ictv_id=ICTV202012102","ICTV202012102")</f>
        <v>ICTV202012102</v>
      </c>
      <c r="R2686" t="s">
        <v>579</v>
      </c>
      <c r="S2686" t="s">
        <v>824</v>
      </c>
      <c r="T2686">
        <v>37</v>
      </c>
      <c r="U2686" s="26" t="str">
        <f>HYPERLINK("https://ictv.global/ictv/proposals/2021.010B.R.Binomial_names.zip","2021.010B.R.Binomial_names.zip")</f>
        <v>2021.010B.R.Binomial_names.zip</v>
      </c>
    </row>
    <row r="2687" spans="1:21">
      <c r="A2687">
        <v>2686</v>
      </c>
      <c r="B2687" s="27" t="s">
        <v>1449</v>
      </c>
      <c r="D2687" s="27" t="s">
        <v>1450</v>
      </c>
      <c r="F2687" s="27" t="s">
        <v>1453</v>
      </c>
      <c r="H2687" s="27" t="s">
        <v>1454</v>
      </c>
      <c r="L2687" s="27" t="s">
        <v>1618</v>
      </c>
      <c r="N2687" s="27" t="s">
        <v>1325</v>
      </c>
      <c r="P2687" s="27" t="s">
        <v>4801</v>
      </c>
      <c r="Q2687" s="26" t="str">
        <f>HYPERLINK("https://ictv.global/taxonomy/taxondetails?taxnode_id=202512115&amp;ictv_id=ICTV202012115","ICTV202012115")</f>
        <v>ICTV202012115</v>
      </c>
      <c r="R2687" t="s">
        <v>579</v>
      </c>
      <c r="S2687" t="s">
        <v>824</v>
      </c>
      <c r="T2687">
        <v>37</v>
      </c>
      <c r="U2687" s="26" t="str">
        <f>HYPERLINK("https://ictv.global/ictv/proposals/2021.010B.R.Binomial_names.zip","2021.010B.R.Binomial_names.zip")</f>
        <v>2021.010B.R.Binomial_names.zip</v>
      </c>
    </row>
    <row r="2688" spans="1:21">
      <c r="A2688">
        <v>2687</v>
      </c>
      <c r="B2688" s="27" t="s">
        <v>1449</v>
      </c>
      <c r="D2688" s="27" t="s">
        <v>1450</v>
      </c>
      <c r="F2688" s="27" t="s">
        <v>1453</v>
      </c>
      <c r="H2688" s="27" t="s">
        <v>1454</v>
      </c>
      <c r="L2688" s="27" t="s">
        <v>1618</v>
      </c>
      <c r="N2688" s="27" t="s">
        <v>1325</v>
      </c>
      <c r="P2688" s="27" t="s">
        <v>4802</v>
      </c>
      <c r="Q2688" s="26" t="str">
        <f>HYPERLINK("https://ictv.global/taxonomy/taxondetails?taxnode_id=202512116&amp;ictv_id=ICTV202012116","ICTV202012116")</f>
        <v>ICTV202012116</v>
      </c>
      <c r="R2688" t="s">
        <v>579</v>
      </c>
      <c r="S2688" t="s">
        <v>824</v>
      </c>
      <c r="T2688">
        <v>37</v>
      </c>
      <c r="U2688" s="26" t="str">
        <f>HYPERLINK("https://ictv.global/ictv/proposals/2021.010B.R.Binomial_names.zip","2021.010B.R.Binomial_names.zip")</f>
        <v>2021.010B.R.Binomial_names.zip</v>
      </c>
    </row>
    <row r="2689" spans="1:21">
      <c r="A2689">
        <v>2688</v>
      </c>
      <c r="B2689" s="27" t="s">
        <v>1449</v>
      </c>
      <c r="D2689" s="27" t="s">
        <v>1450</v>
      </c>
      <c r="F2689" s="27" t="s">
        <v>1453</v>
      </c>
      <c r="H2689" s="27" t="s">
        <v>1454</v>
      </c>
      <c r="L2689" s="27" t="s">
        <v>1618</v>
      </c>
      <c r="N2689" s="27" t="s">
        <v>1325</v>
      </c>
      <c r="P2689" s="27" t="s">
        <v>4803</v>
      </c>
      <c r="Q2689" s="26" t="str">
        <f>HYPERLINK("https://ictv.global/taxonomy/taxondetails?taxnode_id=202512110&amp;ictv_id=ICTV202012110","ICTV202012110")</f>
        <v>ICTV202012110</v>
      </c>
      <c r="R2689" t="s">
        <v>579</v>
      </c>
      <c r="S2689" t="s">
        <v>824</v>
      </c>
      <c r="T2689">
        <v>37</v>
      </c>
      <c r="U2689" s="26" t="str">
        <f>HYPERLINK("https://ictv.global/ictv/proposals/2021.010B.R.Binomial_names.zip","2021.010B.R.Binomial_names.zip")</f>
        <v>2021.010B.R.Binomial_names.zip</v>
      </c>
    </row>
    <row r="2690" spans="1:21">
      <c r="A2690">
        <v>2689</v>
      </c>
      <c r="B2690" s="27" t="s">
        <v>1449</v>
      </c>
      <c r="D2690" s="27" t="s">
        <v>1450</v>
      </c>
      <c r="F2690" s="27" t="s">
        <v>1453</v>
      </c>
      <c r="H2690" s="27" t="s">
        <v>1454</v>
      </c>
      <c r="L2690" s="27" t="s">
        <v>1618</v>
      </c>
      <c r="N2690" s="27" t="s">
        <v>1325</v>
      </c>
      <c r="P2690" s="27" t="s">
        <v>11547</v>
      </c>
      <c r="Q2690" s="26" t="str">
        <f>HYPERLINK("https://ictv.global/taxonomy/taxondetails?taxnode_id=202519553&amp;ictv_id=ICTV202319553","ICTV202319553")</f>
        <v>ICTV202319553</v>
      </c>
      <c r="R2690" t="s">
        <v>579</v>
      </c>
      <c r="S2690" t="s">
        <v>823</v>
      </c>
      <c r="T2690">
        <v>39</v>
      </c>
      <c r="U2690" s="26" t="str">
        <f>HYPERLINK("https://ictv.global/ictv/proposals/2023.077B.Webervirus_68ns.zip","2023.077B.Webervirus_68ns.zip")</f>
        <v>2023.077B.Webervirus_68ns.zip</v>
      </c>
    </row>
    <row r="2691" spans="1:21">
      <c r="A2691">
        <v>2690</v>
      </c>
      <c r="B2691" s="27" t="s">
        <v>1449</v>
      </c>
      <c r="D2691" s="27" t="s">
        <v>1450</v>
      </c>
      <c r="F2691" s="27" t="s">
        <v>1453</v>
      </c>
      <c r="H2691" s="27" t="s">
        <v>1454</v>
      </c>
      <c r="L2691" s="27" t="s">
        <v>1618</v>
      </c>
      <c r="N2691" s="27" t="s">
        <v>1325</v>
      </c>
      <c r="P2691" s="27" t="s">
        <v>4804</v>
      </c>
      <c r="Q2691" s="26" t="str">
        <f>HYPERLINK("https://ictv.global/taxonomy/taxondetails?taxnode_id=202500810&amp;ictv_id=ICTV20164969","ICTV20164969")</f>
        <v>ICTV20164969</v>
      </c>
      <c r="R2691" t="s">
        <v>579</v>
      </c>
      <c r="S2691" t="s">
        <v>824</v>
      </c>
      <c r="T2691">
        <v>37</v>
      </c>
      <c r="U2691" s="26" t="str">
        <f>HYPERLINK("https://ictv.global/ictv/proposals/2021.010B.R.Binomial_names.zip","2021.010B.R.Binomial_names.zip")</f>
        <v>2021.010B.R.Binomial_names.zip</v>
      </c>
    </row>
    <row r="2692" spans="1:21">
      <c r="A2692">
        <v>2691</v>
      </c>
      <c r="B2692" s="27" t="s">
        <v>1449</v>
      </c>
      <c r="D2692" s="27" t="s">
        <v>1450</v>
      </c>
      <c r="F2692" s="27" t="s">
        <v>1453</v>
      </c>
      <c r="H2692" s="27" t="s">
        <v>1454</v>
      </c>
      <c r="L2692" s="27" t="s">
        <v>1618</v>
      </c>
      <c r="N2692" s="27" t="s">
        <v>1325</v>
      </c>
      <c r="P2692" s="27" t="s">
        <v>4805</v>
      </c>
      <c r="Q2692" s="26" t="str">
        <f>HYPERLINK("https://ictv.global/taxonomy/taxondetails?taxnode_id=202512108&amp;ictv_id=ICTV202012108","ICTV202012108")</f>
        <v>ICTV202012108</v>
      </c>
      <c r="R2692" t="s">
        <v>579</v>
      </c>
      <c r="S2692" t="s">
        <v>824</v>
      </c>
      <c r="T2692">
        <v>37</v>
      </c>
      <c r="U2692" s="26" t="str">
        <f>HYPERLINK("https://ictv.global/ictv/proposals/2021.010B.R.Binomial_names.zip","2021.010B.R.Binomial_names.zip")</f>
        <v>2021.010B.R.Binomial_names.zip</v>
      </c>
    </row>
    <row r="2693" spans="1:21">
      <c r="A2693">
        <v>2692</v>
      </c>
      <c r="B2693" s="27" t="s">
        <v>1449</v>
      </c>
      <c r="D2693" s="27" t="s">
        <v>1450</v>
      </c>
      <c r="F2693" s="27" t="s">
        <v>1453</v>
      </c>
      <c r="H2693" s="27" t="s">
        <v>1454</v>
      </c>
      <c r="L2693" s="27" t="s">
        <v>1618</v>
      </c>
      <c r="N2693" s="27" t="s">
        <v>1325</v>
      </c>
      <c r="P2693" s="27" t="s">
        <v>4806</v>
      </c>
      <c r="Q2693" s="26" t="str">
        <f>HYPERLINK("https://ictv.global/taxonomy/taxondetails?taxnode_id=202508180&amp;ictv_id=ICTV201908180","ICTV201908180")</f>
        <v>ICTV201908180</v>
      </c>
      <c r="R2693" t="s">
        <v>579</v>
      </c>
      <c r="S2693" t="s">
        <v>824</v>
      </c>
      <c r="T2693">
        <v>37</v>
      </c>
      <c r="U2693" s="26" t="str">
        <f>HYPERLINK("https://ictv.global/ictv/proposals/2021.010B.R.Binomial_names.zip","2021.010B.R.Binomial_names.zip")</f>
        <v>2021.010B.R.Binomial_names.zip</v>
      </c>
    </row>
    <row r="2694" spans="1:21">
      <c r="A2694">
        <v>2693</v>
      </c>
      <c r="B2694" s="27" t="s">
        <v>1449</v>
      </c>
      <c r="D2694" s="27" t="s">
        <v>1450</v>
      </c>
      <c r="F2694" s="27" t="s">
        <v>1453</v>
      </c>
      <c r="H2694" s="27" t="s">
        <v>1454</v>
      </c>
      <c r="L2694" s="27" t="s">
        <v>1618</v>
      </c>
      <c r="N2694" s="27" t="s">
        <v>1325</v>
      </c>
      <c r="P2694" s="27" t="s">
        <v>4807</v>
      </c>
      <c r="Q2694" s="26" t="str">
        <f>HYPERLINK("https://ictv.global/taxonomy/taxondetails?taxnode_id=202508177&amp;ictv_id=ICTV201908177","ICTV201908177")</f>
        <v>ICTV201908177</v>
      </c>
      <c r="R2694" t="s">
        <v>579</v>
      </c>
      <c r="S2694" t="s">
        <v>824</v>
      </c>
      <c r="T2694">
        <v>37</v>
      </c>
      <c r="U2694" s="26" t="str">
        <f>HYPERLINK("https://ictv.global/ictv/proposals/2021.010B.R.Binomial_names.zip","2021.010B.R.Binomial_names.zip")</f>
        <v>2021.010B.R.Binomial_names.zip</v>
      </c>
    </row>
    <row r="2695" spans="1:21">
      <c r="A2695">
        <v>2694</v>
      </c>
      <c r="B2695" s="27" t="s">
        <v>1449</v>
      </c>
      <c r="D2695" s="27" t="s">
        <v>1450</v>
      </c>
      <c r="F2695" s="27" t="s">
        <v>1453</v>
      </c>
      <c r="H2695" s="27" t="s">
        <v>1454</v>
      </c>
      <c r="L2695" s="27" t="s">
        <v>1618</v>
      </c>
      <c r="N2695" s="27" t="s">
        <v>1325</v>
      </c>
      <c r="P2695" s="27" t="s">
        <v>11548</v>
      </c>
      <c r="Q2695" s="26" t="str">
        <f>HYPERLINK("https://ictv.global/taxonomy/taxondetails?taxnode_id=202519552&amp;ictv_id=ICTV202319552","ICTV202319552")</f>
        <v>ICTV202319552</v>
      </c>
      <c r="R2695" t="s">
        <v>579</v>
      </c>
      <c r="S2695" t="s">
        <v>823</v>
      </c>
      <c r="T2695">
        <v>39</v>
      </c>
      <c r="U2695" s="26" t="str">
        <f t="shared" ref="U2695:U2711" si="98">HYPERLINK("https://ictv.global/ictv/proposals/2023.077B.Webervirus_68ns.zip","2023.077B.Webervirus_68ns.zip")</f>
        <v>2023.077B.Webervirus_68ns.zip</v>
      </c>
    </row>
    <row r="2696" spans="1:21">
      <c r="A2696">
        <v>2695</v>
      </c>
      <c r="B2696" s="27" t="s">
        <v>1449</v>
      </c>
      <c r="D2696" s="27" t="s">
        <v>1450</v>
      </c>
      <c r="F2696" s="27" t="s">
        <v>1453</v>
      </c>
      <c r="H2696" s="27" t="s">
        <v>1454</v>
      </c>
      <c r="L2696" s="27" t="s">
        <v>1618</v>
      </c>
      <c r="N2696" s="27" t="s">
        <v>1325</v>
      </c>
      <c r="P2696" s="27" t="s">
        <v>11549</v>
      </c>
      <c r="Q2696" s="26" t="str">
        <f>HYPERLINK("https://ictv.global/taxonomy/taxondetails?taxnode_id=202519512&amp;ictv_id=ICTV202319512","ICTV202319512")</f>
        <v>ICTV202319512</v>
      </c>
      <c r="R2696" t="s">
        <v>579</v>
      </c>
      <c r="S2696" t="s">
        <v>823</v>
      </c>
      <c r="T2696">
        <v>39</v>
      </c>
      <c r="U2696" s="26" t="str">
        <f t="shared" si="98"/>
        <v>2023.077B.Webervirus_68ns.zip</v>
      </c>
    </row>
    <row r="2697" spans="1:21">
      <c r="A2697">
        <v>2696</v>
      </c>
      <c r="B2697" s="27" t="s">
        <v>1449</v>
      </c>
      <c r="D2697" s="27" t="s">
        <v>1450</v>
      </c>
      <c r="F2697" s="27" t="s">
        <v>1453</v>
      </c>
      <c r="H2697" s="27" t="s">
        <v>1454</v>
      </c>
      <c r="L2697" s="27" t="s">
        <v>1618</v>
      </c>
      <c r="N2697" s="27" t="s">
        <v>1325</v>
      </c>
      <c r="P2697" s="27" t="s">
        <v>11550</v>
      </c>
      <c r="Q2697" s="26" t="str">
        <f>HYPERLINK("https://ictv.global/taxonomy/taxondetails?taxnode_id=202519532&amp;ictv_id=ICTV202319532","ICTV202319532")</f>
        <v>ICTV202319532</v>
      </c>
      <c r="R2697" t="s">
        <v>579</v>
      </c>
      <c r="S2697" t="s">
        <v>823</v>
      </c>
      <c r="T2697">
        <v>39</v>
      </c>
      <c r="U2697" s="26" t="str">
        <f t="shared" si="98"/>
        <v>2023.077B.Webervirus_68ns.zip</v>
      </c>
    </row>
    <row r="2698" spans="1:21">
      <c r="A2698">
        <v>2697</v>
      </c>
      <c r="B2698" s="27" t="s">
        <v>1449</v>
      </c>
      <c r="D2698" s="27" t="s">
        <v>1450</v>
      </c>
      <c r="F2698" s="27" t="s">
        <v>1453</v>
      </c>
      <c r="H2698" s="27" t="s">
        <v>1454</v>
      </c>
      <c r="L2698" s="27" t="s">
        <v>1618</v>
      </c>
      <c r="N2698" s="27" t="s">
        <v>1325</v>
      </c>
      <c r="P2698" s="27" t="s">
        <v>11551</v>
      </c>
      <c r="Q2698" s="26" t="str">
        <f>HYPERLINK("https://ictv.global/taxonomy/taxondetails?taxnode_id=202519555&amp;ictv_id=ICTV202319555","ICTV202319555")</f>
        <v>ICTV202319555</v>
      </c>
      <c r="R2698" t="s">
        <v>579</v>
      </c>
      <c r="S2698" t="s">
        <v>823</v>
      </c>
      <c r="T2698">
        <v>39</v>
      </c>
      <c r="U2698" s="26" t="str">
        <f t="shared" si="98"/>
        <v>2023.077B.Webervirus_68ns.zip</v>
      </c>
    </row>
    <row r="2699" spans="1:21">
      <c r="A2699">
        <v>2698</v>
      </c>
      <c r="B2699" s="27" t="s">
        <v>1449</v>
      </c>
      <c r="D2699" s="27" t="s">
        <v>1450</v>
      </c>
      <c r="F2699" s="27" t="s">
        <v>1453</v>
      </c>
      <c r="H2699" s="27" t="s">
        <v>1454</v>
      </c>
      <c r="L2699" s="27" t="s">
        <v>1618</v>
      </c>
      <c r="N2699" s="27" t="s">
        <v>1325</v>
      </c>
      <c r="P2699" s="27" t="s">
        <v>11552</v>
      </c>
      <c r="Q2699" s="26" t="str">
        <f>HYPERLINK("https://ictv.global/taxonomy/taxondetails?taxnode_id=202519513&amp;ictv_id=ICTV202319513","ICTV202319513")</f>
        <v>ICTV202319513</v>
      </c>
      <c r="R2699" t="s">
        <v>579</v>
      </c>
      <c r="S2699" t="s">
        <v>823</v>
      </c>
      <c r="T2699">
        <v>39</v>
      </c>
      <c r="U2699" s="26" t="str">
        <f t="shared" si="98"/>
        <v>2023.077B.Webervirus_68ns.zip</v>
      </c>
    </row>
    <row r="2700" spans="1:21">
      <c r="A2700">
        <v>2699</v>
      </c>
      <c r="B2700" s="27" t="s">
        <v>1449</v>
      </c>
      <c r="D2700" s="27" t="s">
        <v>1450</v>
      </c>
      <c r="F2700" s="27" t="s">
        <v>1453</v>
      </c>
      <c r="H2700" s="27" t="s">
        <v>1454</v>
      </c>
      <c r="L2700" s="27" t="s">
        <v>1618</v>
      </c>
      <c r="N2700" s="27" t="s">
        <v>1325</v>
      </c>
      <c r="P2700" s="27" t="s">
        <v>11553</v>
      </c>
      <c r="Q2700" s="26" t="str">
        <f>HYPERLINK("https://ictv.global/taxonomy/taxondetails?taxnode_id=202519530&amp;ictv_id=ICTV202319530","ICTV202319530")</f>
        <v>ICTV202319530</v>
      </c>
      <c r="R2700" t="s">
        <v>579</v>
      </c>
      <c r="S2700" t="s">
        <v>823</v>
      </c>
      <c r="T2700">
        <v>39</v>
      </c>
      <c r="U2700" s="26" t="str">
        <f t="shared" si="98"/>
        <v>2023.077B.Webervirus_68ns.zip</v>
      </c>
    </row>
    <row r="2701" spans="1:21">
      <c r="A2701">
        <v>2700</v>
      </c>
      <c r="B2701" s="27" t="s">
        <v>1449</v>
      </c>
      <c r="D2701" s="27" t="s">
        <v>1450</v>
      </c>
      <c r="F2701" s="27" t="s">
        <v>1453</v>
      </c>
      <c r="H2701" s="27" t="s">
        <v>1454</v>
      </c>
      <c r="L2701" s="27" t="s">
        <v>1618</v>
      </c>
      <c r="N2701" s="27" t="s">
        <v>1325</v>
      </c>
      <c r="P2701" s="27" t="s">
        <v>11554</v>
      </c>
      <c r="Q2701" s="26" t="str">
        <f>HYPERLINK("https://ictv.global/taxonomy/taxondetails?taxnode_id=202519531&amp;ictv_id=ICTV202319531","ICTV202319531")</f>
        <v>ICTV202319531</v>
      </c>
      <c r="R2701" t="s">
        <v>579</v>
      </c>
      <c r="S2701" t="s">
        <v>823</v>
      </c>
      <c r="T2701">
        <v>39</v>
      </c>
      <c r="U2701" s="26" t="str">
        <f t="shared" si="98"/>
        <v>2023.077B.Webervirus_68ns.zip</v>
      </c>
    </row>
    <row r="2702" spans="1:21">
      <c r="A2702">
        <v>2701</v>
      </c>
      <c r="B2702" s="27" t="s">
        <v>1449</v>
      </c>
      <c r="D2702" s="27" t="s">
        <v>1450</v>
      </c>
      <c r="F2702" s="27" t="s">
        <v>1453</v>
      </c>
      <c r="H2702" s="27" t="s">
        <v>1454</v>
      </c>
      <c r="L2702" s="27" t="s">
        <v>1618</v>
      </c>
      <c r="N2702" s="27" t="s">
        <v>1325</v>
      </c>
      <c r="P2702" s="27" t="s">
        <v>11555</v>
      </c>
      <c r="Q2702" s="26" t="str">
        <f>HYPERLINK("https://ictv.global/taxonomy/taxondetails?taxnode_id=202519538&amp;ictv_id=ICTV202319538","ICTV202319538")</f>
        <v>ICTV202319538</v>
      </c>
      <c r="R2702" t="s">
        <v>579</v>
      </c>
      <c r="S2702" t="s">
        <v>823</v>
      </c>
      <c r="T2702">
        <v>39</v>
      </c>
      <c r="U2702" s="26" t="str">
        <f t="shared" si="98"/>
        <v>2023.077B.Webervirus_68ns.zip</v>
      </c>
    </row>
    <row r="2703" spans="1:21">
      <c r="A2703">
        <v>2702</v>
      </c>
      <c r="B2703" s="27" t="s">
        <v>1449</v>
      </c>
      <c r="D2703" s="27" t="s">
        <v>1450</v>
      </c>
      <c r="F2703" s="27" t="s">
        <v>1453</v>
      </c>
      <c r="H2703" s="27" t="s">
        <v>1454</v>
      </c>
      <c r="L2703" s="27" t="s">
        <v>1618</v>
      </c>
      <c r="N2703" s="27" t="s">
        <v>1325</v>
      </c>
      <c r="P2703" s="27" t="s">
        <v>11556</v>
      </c>
      <c r="Q2703" s="26" t="str">
        <f>HYPERLINK("https://ictv.global/taxonomy/taxondetails?taxnode_id=202519570&amp;ictv_id=ICTV202319570","ICTV202319570")</f>
        <v>ICTV202319570</v>
      </c>
      <c r="R2703" t="s">
        <v>579</v>
      </c>
      <c r="S2703" t="s">
        <v>823</v>
      </c>
      <c r="T2703">
        <v>39</v>
      </c>
      <c r="U2703" s="26" t="str">
        <f t="shared" si="98"/>
        <v>2023.077B.Webervirus_68ns.zip</v>
      </c>
    </row>
    <row r="2704" spans="1:21">
      <c r="A2704">
        <v>2703</v>
      </c>
      <c r="B2704" s="27" t="s">
        <v>1449</v>
      </c>
      <c r="D2704" s="27" t="s">
        <v>1450</v>
      </c>
      <c r="F2704" s="27" t="s">
        <v>1453</v>
      </c>
      <c r="H2704" s="27" t="s">
        <v>1454</v>
      </c>
      <c r="L2704" s="27" t="s">
        <v>1618</v>
      </c>
      <c r="N2704" s="27" t="s">
        <v>1325</v>
      </c>
      <c r="P2704" s="27" t="s">
        <v>11557</v>
      </c>
      <c r="Q2704" s="26" t="str">
        <f>HYPERLINK("https://ictv.global/taxonomy/taxondetails?taxnode_id=202519505&amp;ictv_id=ICTV202319505","ICTV202319505")</f>
        <v>ICTV202319505</v>
      </c>
      <c r="R2704" t="s">
        <v>579</v>
      </c>
      <c r="S2704" t="s">
        <v>823</v>
      </c>
      <c r="T2704">
        <v>39</v>
      </c>
      <c r="U2704" s="26" t="str">
        <f t="shared" si="98"/>
        <v>2023.077B.Webervirus_68ns.zip</v>
      </c>
    </row>
    <row r="2705" spans="1:21">
      <c r="A2705">
        <v>2704</v>
      </c>
      <c r="B2705" s="27" t="s">
        <v>1449</v>
      </c>
      <c r="D2705" s="27" t="s">
        <v>1450</v>
      </c>
      <c r="F2705" s="27" t="s">
        <v>1453</v>
      </c>
      <c r="H2705" s="27" t="s">
        <v>1454</v>
      </c>
      <c r="L2705" s="27" t="s">
        <v>1618</v>
      </c>
      <c r="N2705" s="27" t="s">
        <v>1325</v>
      </c>
      <c r="P2705" s="27" t="s">
        <v>11558</v>
      </c>
      <c r="Q2705" s="26" t="str">
        <f>HYPERLINK("https://ictv.global/taxonomy/taxondetails?taxnode_id=202519526&amp;ictv_id=ICTV202319526","ICTV202319526")</f>
        <v>ICTV202319526</v>
      </c>
      <c r="R2705" t="s">
        <v>579</v>
      </c>
      <c r="S2705" t="s">
        <v>823</v>
      </c>
      <c r="T2705">
        <v>39</v>
      </c>
      <c r="U2705" s="26" t="str">
        <f t="shared" si="98"/>
        <v>2023.077B.Webervirus_68ns.zip</v>
      </c>
    </row>
    <row r="2706" spans="1:21">
      <c r="A2706">
        <v>2705</v>
      </c>
      <c r="B2706" s="27" t="s">
        <v>1449</v>
      </c>
      <c r="D2706" s="27" t="s">
        <v>1450</v>
      </c>
      <c r="F2706" s="27" t="s">
        <v>1453</v>
      </c>
      <c r="H2706" s="27" t="s">
        <v>1454</v>
      </c>
      <c r="L2706" s="27" t="s">
        <v>1618</v>
      </c>
      <c r="N2706" s="27" t="s">
        <v>1325</v>
      </c>
      <c r="P2706" s="27" t="s">
        <v>11559</v>
      </c>
      <c r="Q2706" s="26" t="str">
        <f>HYPERLINK("https://ictv.global/taxonomy/taxondetails?taxnode_id=202519525&amp;ictv_id=ICTV202319525","ICTV202319525")</f>
        <v>ICTV202319525</v>
      </c>
      <c r="R2706" t="s">
        <v>579</v>
      </c>
      <c r="S2706" t="s">
        <v>823</v>
      </c>
      <c r="T2706">
        <v>39</v>
      </c>
      <c r="U2706" s="26" t="str">
        <f t="shared" si="98"/>
        <v>2023.077B.Webervirus_68ns.zip</v>
      </c>
    </row>
    <row r="2707" spans="1:21">
      <c r="A2707">
        <v>2706</v>
      </c>
      <c r="B2707" s="27" t="s">
        <v>1449</v>
      </c>
      <c r="D2707" s="27" t="s">
        <v>1450</v>
      </c>
      <c r="F2707" s="27" t="s">
        <v>1453</v>
      </c>
      <c r="H2707" s="27" t="s">
        <v>1454</v>
      </c>
      <c r="L2707" s="27" t="s">
        <v>1618</v>
      </c>
      <c r="N2707" s="27" t="s">
        <v>1325</v>
      </c>
      <c r="P2707" s="27" t="s">
        <v>11560</v>
      </c>
      <c r="Q2707" s="26" t="str">
        <f>HYPERLINK("https://ictv.global/taxonomy/taxondetails?taxnode_id=202519504&amp;ictv_id=ICTV202319504","ICTV202319504")</f>
        <v>ICTV202319504</v>
      </c>
      <c r="R2707" t="s">
        <v>579</v>
      </c>
      <c r="S2707" t="s">
        <v>823</v>
      </c>
      <c r="T2707">
        <v>39</v>
      </c>
      <c r="U2707" s="26" t="str">
        <f t="shared" si="98"/>
        <v>2023.077B.Webervirus_68ns.zip</v>
      </c>
    </row>
    <row r="2708" spans="1:21">
      <c r="A2708">
        <v>2707</v>
      </c>
      <c r="B2708" s="27" t="s">
        <v>1449</v>
      </c>
      <c r="D2708" s="27" t="s">
        <v>1450</v>
      </c>
      <c r="F2708" s="27" t="s">
        <v>1453</v>
      </c>
      <c r="H2708" s="27" t="s">
        <v>1454</v>
      </c>
      <c r="L2708" s="27" t="s">
        <v>1618</v>
      </c>
      <c r="N2708" s="27" t="s">
        <v>1325</v>
      </c>
      <c r="P2708" s="27" t="s">
        <v>11561</v>
      </c>
      <c r="Q2708" s="26" t="str">
        <f>HYPERLINK("https://ictv.global/taxonomy/taxondetails?taxnode_id=202519515&amp;ictv_id=ICTV202319515","ICTV202319515")</f>
        <v>ICTV202319515</v>
      </c>
      <c r="R2708" t="s">
        <v>579</v>
      </c>
      <c r="S2708" t="s">
        <v>823</v>
      </c>
      <c r="T2708">
        <v>39</v>
      </c>
      <c r="U2708" s="26" t="str">
        <f t="shared" si="98"/>
        <v>2023.077B.Webervirus_68ns.zip</v>
      </c>
    </row>
    <row r="2709" spans="1:21">
      <c r="A2709">
        <v>2708</v>
      </c>
      <c r="B2709" s="27" t="s">
        <v>1449</v>
      </c>
      <c r="D2709" s="27" t="s">
        <v>1450</v>
      </c>
      <c r="F2709" s="27" t="s">
        <v>1453</v>
      </c>
      <c r="H2709" s="27" t="s">
        <v>1454</v>
      </c>
      <c r="L2709" s="27" t="s">
        <v>1618</v>
      </c>
      <c r="N2709" s="27" t="s">
        <v>1325</v>
      </c>
      <c r="P2709" s="27" t="s">
        <v>11562</v>
      </c>
      <c r="Q2709" s="26" t="str">
        <f>HYPERLINK("https://ictv.global/taxonomy/taxondetails?taxnode_id=202519543&amp;ictv_id=ICTV202319543","ICTV202319543")</f>
        <v>ICTV202319543</v>
      </c>
      <c r="R2709" t="s">
        <v>579</v>
      </c>
      <c r="S2709" t="s">
        <v>823</v>
      </c>
      <c r="T2709">
        <v>39</v>
      </c>
      <c r="U2709" s="26" t="str">
        <f t="shared" si="98"/>
        <v>2023.077B.Webervirus_68ns.zip</v>
      </c>
    </row>
    <row r="2710" spans="1:21">
      <c r="A2710">
        <v>2709</v>
      </c>
      <c r="B2710" s="27" t="s">
        <v>1449</v>
      </c>
      <c r="D2710" s="27" t="s">
        <v>1450</v>
      </c>
      <c r="F2710" s="27" t="s">
        <v>1453</v>
      </c>
      <c r="H2710" s="27" t="s">
        <v>1454</v>
      </c>
      <c r="L2710" s="27" t="s">
        <v>1618</v>
      </c>
      <c r="N2710" s="27" t="s">
        <v>1325</v>
      </c>
      <c r="P2710" s="27" t="s">
        <v>11563</v>
      </c>
      <c r="Q2710" s="26" t="str">
        <f>HYPERLINK("https://ictv.global/taxonomy/taxondetails?taxnode_id=202519546&amp;ictv_id=ICTV202319546","ICTV202319546")</f>
        <v>ICTV202319546</v>
      </c>
      <c r="R2710" t="s">
        <v>579</v>
      </c>
      <c r="S2710" t="s">
        <v>823</v>
      </c>
      <c r="T2710">
        <v>39</v>
      </c>
      <c r="U2710" s="26" t="str">
        <f t="shared" si="98"/>
        <v>2023.077B.Webervirus_68ns.zip</v>
      </c>
    </row>
    <row r="2711" spans="1:21">
      <c r="A2711">
        <v>2710</v>
      </c>
      <c r="B2711" s="27" t="s">
        <v>1449</v>
      </c>
      <c r="D2711" s="27" t="s">
        <v>1450</v>
      </c>
      <c r="F2711" s="27" t="s">
        <v>1453</v>
      </c>
      <c r="H2711" s="27" t="s">
        <v>1454</v>
      </c>
      <c r="L2711" s="27" t="s">
        <v>1618</v>
      </c>
      <c r="N2711" s="27" t="s">
        <v>1325</v>
      </c>
      <c r="P2711" s="27" t="s">
        <v>11564</v>
      </c>
      <c r="Q2711" s="26" t="str">
        <f>HYPERLINK("https://ictv.global/taxonomy/taxondetails?taxnode_id=202519528&amp;ictv_id=ICTV202319528","ICTV202319528")</f>
        <v>ICTV202319528</v>
      </c>
      <c r="R2711" t="s">
        <v>579</v>
      </c>
      <c r="S2711" t="s">
        <v>823</v>
      </c>
      <c r="T2711">
        <v>39</v>
      </c>
      <c r="U2711" s="26" t="str">
        <f t="shared" si="98"/>
        <v>2023.077B.Webervirus_68ns.zip</v>
      </c>
    </row>
    <row r="2712" spans="1:21">
      <c r="A2712">
        <v>2711</v>
      </c>
      <c r="B2712" s="27" t="s">
        <v>1449</v>
      </c>
      <c r="D2712" s="27" t="s">
        <v>1450</v>
      </c>
      <c r="F2712" s="27" t="s">
        <v>1453</v>
      </c>
      <c r="H2712" s="27" t="s">
        <v>1454</v>
      </c>
      <c r="L2712" s="27" t="s">
        <v>1618</v>
      </c>
      <c r="N2712" s="27" t="s">
        <v>1325</v>
      </c>
      <c r="P2712" s="27" t="s">
        <v>4808</v>
      </c>
      <c r="Q2712" s="26" t="str">
        <f>HYPERLINK("https://ictv.global/taxonomy/taxondetails?taxnode_id=202512113&amp;ictv_id=ICTV202012113","ICTV202012113")</f>
        <v>ICTV202012113</v>
      </c>
      <c r="R2712" t="s">
        <v>579</v>
      </c>
      <c r="S2712" t="s">
        <v>824</v>
      </c>
      <c r="T2712">
        <v>37</v>
      </c>
      <c r="U2712" s="26" t="str">
        <f>HYPERLINK("https://ictv.global/ictv/proposals/2021.010B.R.Binomial_names.zip","2021.010B.R.Binomial_names.zip")</f>
        <v>2021.010B.R.Binomial_names.zip</v>
      </c>
    </row>
    <row r="2713" spans="1:21">
      <c r="A2713">
        <v>2712</v>
      </c>
      <c r="B2713" s="27" t="s">
        <v>1449</v>
      </c>
      <c r="D2713" s="27" t="s">
        <v>1450</v>
      </c>
      <c r="F2713" s="27" t="s">
        <v>1453</v>
      </c>
      <c r="H2713" s="27" t="s">
        <v>1454</v>
      </c>
      <c r="L2713" s="27" t="s">
        <v>1618</v>
      </c>
      <c r="N2713" s="27" t="s">
        <v>1325</v>
      </c>
      <c r="P2713" s="27" t="s">
        <v>4809</v>
      </c>
      <c r="Q2713" s="26" t="str">
        <f>HYPERLINK("https://ictv.global/taxonomy/taxondetails?taxnode_id=202500806&amp;ictv_id=ICTV20150818","ICTV20150818")</f>
        <v>ICTV20150818</v>
      </c>
      <c r="R2713" t="s">
        <v>579</v>
      </c>
      <c r="S2713" t="s">
        <v>824</v>
      </c>
      <c r="T2713">
        <v>37</v>
      </c>
      <c r="U2713" s="26" t="str">
        <f>HYPERLINK("https://ictv.global/ictv/proposals/2021.010B.R.Binomial_names.zip","2021.010B.R.Binomial_names.zip")</f>
        <v>2021.010B.R.Binomial_names.zip</v>
      </c>
    </row>
    <row r="2714" spans="1:21">
      <c r="A2714">
        <v>2713</v>
      </c>
      <c r="B2714" s="27" t="s">
        <v>1449</v>
      </c>
      <c r="D2714" s="27" t="s">
        <v>1450</v>
      </c>
      <c r="F2714" s="27" t="s">
        <v>1453</v>
      </c>
      <c r="H2714" s="27" t="s">
        <v>1454</v>
      </c>
      <c r="L2714" s="27" t="s">
        <v>1618</v>
      </c>
      <c r="N2714" s="27" t="s">
        <v>1325</v>
      </c>
      <c r="P2714" s="27" t="s">
        <v>11565</v>
      </c>
      <c r="Q2714" s="26" t="str">
        <f>HYPERLINK("https://ictv.global/taxonomy/taxondetails?taxnode_id=202519511&amp;ictv_id=ICTV202319511","ICTV202319511")</f>
        <v>ICTV202319511</v>
      </c>
      <c r="R2714" t="s">
        <v>579</v>
      </c>
      <c r="S2714" t="s">
        <v>823</v>
      </c>
      <c r="T2714">
        <v>39</v>
      </c>
      <c r="U2714" s="26" t="str">
        <f>HYPERLINK("https://ictv.global/ictv/proposals/2023.077B.Webervirus_68ns.zip","2023.077B.Webervirus_68ns.zip")</f>
        <v>2023.077B.Webervirus_68ns.zip</v>
      </c>
    </row>
    <row r="2715" spans="1:21">
      <c r="A2715">
        <v>2714</v>
      </c>
      <c r="B2715" s="27" t="s">
        <v>1449</v>
      </c>
      <c r="D2715" s="27" t="s">
        <v>1450</v>
      </c>
      <c r="F2715" s="27" t="s">
        <v>1453</v>
      </c>
      <c r="H2715" s="27" t="s">
        <v>1454</v>
      </c>
      <c r="L2715" s="27" t="s">
        <v>1618</v>
      </c>
      <c r="N2715" s="27" t="s">
        <v>1325</v>
      </c>
      <c r="P2715" s="27" t="s">
        <v>11566</v>
      </c>
      <c r="Q2715" s="26" t="str">
        <f>HYPERLINK("https://ictv.global/taxonomy/taxondetails?taxnode_id=202519562&amp;ictv_id=ICTV202319562","ICTV202319562")</f>
        <v>ICTV202319562</v>
      </c>
      <c r="R2715" t="s">
        <v>579</v>
      </c>
      <c r="S2715" t="s">
        <v>823</v>
      </c>
      <c r="T2715">
        <v>39</v>
      </c>
      <c r="U2715" s="26" t="str">
        <f>HYPERLINK("https://ictv.global/ictv/proposals/2023.077B.Webervirus_68ns.zip","2023.077B.Webervirus_68ns.zip")</f>
        <v>2023.077B.Webervirus_68ns.zip</v>
      </c>
    </row>
    <row r="2716" spans="1:21">
      <c r="A2716">
        <v>2715</v>
      </c>
      <c r="B2716" s="27" t="s">
        <v>1449</v>
      </c>
      <c r="D2716" s="27" t="s">
        <v>1450</v>
      </c>
      <c r="F2716" s="27" t="s">
        <v>1453</v>
      </c>
      <c r="H2716" s="27" t="s">
        <v>1454</v>
      </c>
      <c r="L2716" s="27" t="s">
        <v>4810</v>
      </c>
      <c r="N2716" s="27" t="s">
        <v>4811</v>
      </c>
      <c r="P2716" s="27" t="s">
        <v>4812</v>
      </c>
      <c r="Q2716" s="26" t="str">
        <f>HYPERLINK("https://ictv.global/taxonomy/taxondetails?taxnode_id=202513561&amp;ictv_id=ICTV202113561","ICTV202113561")</f>
        <v>ICTV202113561</v>
      </c>
      <c r="R2716" t="s">
        <v>579</v>
      </c>
      <c r="S2716" t="s">
        <v>823</v>
      </c>
      <c r="T2716">
        <v>37</v>
      </c>
      <c r="U2716" s="26" t="str">
        <f t="shared" ref="U2716:U2721" si="99">HYPERLINK("https://ictv.global/ictv/proposals/2021.029B.R.Flavophages_9_families.zip","2021.029B.R.Flavophages_9_families.zip")</f>
        <v>2021.029B.R.Flavophages_9_families.zip</v>
      </c>
    </row>
    <row r="2717" spans="1:21">
      <c r="A2717">
        <v>2716</v>
      </c>
      <c r="B2717" s="27" t="s">
        <v>1449</v>
      </c>
      <c r="D2717" s="27" t="s">
        <v>1450</v>
      </c>
      <c r="F2717" s="27" t="s">
        <v>1453</v>
      </c>
      <c r="H2717" s="27" t="s">
        <v>1454</v>
      </c>
      <c r="L2717" s="27" t="s">
        <v>4810</v>
      </c>
      <c r="N2717" s="27" t="s">
        <v>2280</v>
      </c>
      <c r="P2717" s="27" t="s">
        <v>4813</v>
      </c>
      <c r="Q2717" s="26" t="str">
        <f>HYPERLINK("https://ictv.global/taxonomy/taxondetails?taxnode_id=202510034&amp;ictv_id=ICTV202010034","ICTV202010034")</f>
        <v>ICTV202010034</v>
      </c>
      <c r="R2717" t="s">
        <v>579</v>
      </c>
      <c r="S2717" t="s">
        <v>824</v>
      </c>
      <c r="T2717">
        <v>37</v>
      </c>
      <c r="U2717" s="26" t="str">
        <f t="shared" si="99"/>
        <v>2021.029B.R.Flavophages_9_families.zip</v>
      </c>
    </row>
    <row r="2718" spans="1:21">
      <c r="A2718">
        <v>2717</v>
      </c>
      <c r="B2718" s="27" t="s">
        <v>1449</v>
      </c>
      <c r="D2718" s="27" t="s">
        <v>1450</v>
      </c>
      <c r="F2718" s="27" t="s">
        <v>1453</v>
      </c>
      <c r="H2718" s="27" t="s">
        <v>1454</v>
      </c>
      <c r="L2718" s="27" t="s">
        <v>4810</v>
      </c>
      <c r="N2718" s="27" t="s">
        <v>1428</v>
      </c>
      <c r="P2718" s="27" t="s">
        <v>4814</v>
      </c>
      <c r="Q2718" s="26" t="str">
        <f>HYPERLINK("https://ictv.global/taxonomy/taxondetails?taxnode_id=202507073&amp;ictv_id=ICTV201857073","ICTV201857073")</f>
        <v>ICTV201857073</v>
      </c>
      <c r="R2718" t="s">
        <v>579</v>
      </c>
      <c r="S2718" t="s">
        <v>824</v>
      </c>
      <c r="T2718">
        <v>37</v>
      </c>
      <c r="U2718" s="26" t="str">
        <f t="shared" si="99"/>
        <v>2021.029B.R.Flavophages_9_families.zip</v>
      </c>
    </row>
    <row r="2719" spans="1:21">
      <c r="A2719">
        <v>2718</v>
      </c>
      <c r="B2719" s="27" t="s">
        <v>1449</v>
      </c>
      <c r="D2719" s="27" t="s">
        <v>1450</v>
      </c>
      <c r="F2719" s="27" t="s">
        <v>1453</v>
      </c>
      <c r="H2719" s="27" t="s">
        <v>1454</v>
      </c>
      <c r="L2719" s="27" t="s">
        <v>4810</v>
      </c>
      <c r="N2719" s="27" t="s">
        <v>1428</v>
      </c>
      <c r="P2719" s="27" t="s">
        <v>4815</v>
      </c>
      <c r="Q2719" s="26" t="str">
        <f>HYPERLINK("https://ictv.global/taxonomy/taxondetails?taxnode_id=202507076&amp;ictv_id=ICTV201857076","ICTV201857076")</f>
        <v>ICTV201857076</v>
      </c>
      <c r="R2719" t="s">
        <v>579</v>
      </c>
      <c r="S2719" t="s">
        <v>824</v>
      </c>
      <c r="T2719">
        <v>37</v>
      </c>
      <c r="U2719" s="26" t="str">
        <f t="shared" si="99"/>
        <v>2021.029B.R.Flavophages_9_families.zip</v>
      </c>
    </row>
    <row r="2720" spans="1:21">
      <c r="A2720">
        <v>2719</v>
      </c>
      <c r="B2720" s="27" t="s">
        <v>1449</v>
      </c>
      <c r="D2720" s="27" t="s">
        <v>1450</v>
      </c>
      <c r="F2720" s="27" t="s">
        <v>1453</v>
      </c>
      <c r="H2720" s="27" t="s">
        <v>1454</v>
      </c>
      <c r="L2720" s="27" t="s">
        <v>4810</v>
      </c>
      <c r="N2720" s="27" t="s">
        <v>1428</v>
      </c>
      <c r="P2720" s="27" t="s">
        <v>4816</v>
      </c>
      <c r="Q2720" s="26" t="str">
        <f>HYPERLINK("https://ictv.global/taxonomy/taxondetails?taxnode_id=202507075&amp;ictv_id=ICTV201857075","ICTV201857075")</f>
        <v>ICTV201857075</v>
      </c>
      <c r="R2720" t="s">
        <v>579</v>
      </c>
      <c r="S2720" t="s">
        <v>824</v>
      </c>
      <c r="T2720">
        <v>37</v>
      </c>
      <c r="U2720" s="26" t="str">
        <f t="shared" si="99"/>
        <v>2021.029B.R.Flavophages_9_families.zip</v>
      </c>
    </row>
    <row r="2721" spans="1:21">
      <c r="A2721">
        <v>2720</v>
      </c>
      <c r="B2721" s="27" t="s">
        <v>1449</v>
      </c>
      <c r="D2721" s="27" t="s">
        <v>1450</v>
      </c>
      <c r="F2721" s="27" t="s">
        <v>1453</v>
      </c>
      <c r="H2721" s="27" t="s">
        <v>1454</v>
      </c>
      <c r="L2721" s="27" t="s">
        <v>4810</v>
      </c>
      <c r="N2721" s="27" t="s">
        <v>1428</v>
      </c>
      <c r="P2721" s="27" t="s">
        <v>4817</v>
      </c>
      <c r="Q2721" s="26" t="str">
        <f>HYPERLINK("https://ictv.global/taxonomy/taxondetails?taxnode_id=202507074&amp;ictv_id=ICTV201857074","ICTV201857074")</f>
        <v>ICTV201857074</v>
      </c>
      <c r="R2721" t="s">
        <v>579</v>
      </c>
      <c r="S2721" t="s">
        <v>824</v>
      </c>
      <c r="T2721">
        <v>37</v>
      </c>
      <c r="U2721" s="26" t="str">
        <f t="shared" si="99"/>
        <v>2021.029B.R.Flavophages_9_families.zip</v>
      </c>
    </row>
    <row r="2722" spans="1:21">
      <c r="A2722">
        <v>2721</v>
      </c>
      <c r="B2722" s="27" t="s">
        <v>1449</v>
      </c>
      <c r="D2722" s="27" t="s">
        <v>1450</v>
      </c>
      <c r="F2722" s="27" t="s">
        <v>1453</v>
      </c>
      <c r="H2722" s="27" t="s">
        <v>1454</v>
      </c>
      <c r="L2722" s="27" t="s">
        <v>19516</v>
      </c>
      <c r="N2722" s="27" t="s">
        <v>19517</v>
      </c>
      <c r="P2722" s="27" t="s">
        <v>19518</v>
      </c>
      <c r="Q2722" s="26" t="str">
        <f>HYPERLINK("https://ictv.global/taxonomy/taxondetails?taxnode_id=202520496&amp;ictv_id=ICTV202420496","ICTV202420496")</f>
        <v>ICTV202420496</v>
      </c>
      <c r="R2722" t="s">
        <v>579</v>
      </c>
      <c r="S2722" t="s">
        <v>823</v>
      </c>
      <c r="T2722">
        <v>40</v>
      </c>
      <c r="U2722" s="26" t="str">
        <f t="shared" ref="U2722:U2740" si="100">HYPERLINK("https://ictv.global/ictv/proposals/2024.012B.Ehrlichviridae_1nf_6ng_1mg_9ns.zip","2024.012B.Ehrlichviridae_1nf_6ng_1mg_9ns.zip")</f>
        <v>2024.012B.Ehrlichviridae_1nf_6ng_1mg_9ns.zip</v>
      </c>
    </row>
    <row r="2723" spans="1:21">
      <c r="A2723">
        <v>2722</v>
      </c>
      <c r="B2723" s="27" t="s">
        <v>1449</v>
      </c>
      <c r="D2723" s="27" t="s">
        <v>1450</v>
      </c>
      <c r="F2723" s="27" t="s">
        <v>1453</v>
      </c>
      <c r="H2723" s="27" t="s">
        <v>1454</v>
      </c>
      <c r="L2723" s="27" t="s">
        <v>19516</v>
      </c>
      <c r="N2723" s="27" t="s">
        <v>609</v>
      </c>
      <c r="P2723" s="27" t="s">
        <v>6586</v>
      </c>
      <c r="Q2723" s="26" t="str">
        <f>HYPERLINK("https://ictv.global/taxonomy/taxondetails?taxnode_id=202500845&amp;ictv_id=ICTV20140499","ICTV20140499")</f>
        <v>ICTV20140499</v>
      </c>
      <c r="R2723" t="s">
        <v>579</v>
      </c>
      <c r="S2723" t="s">
        <v>22763</v>
      </c>
      <c r="T2723">
        <v>40</v>
      </c>
      <c r="U2723" s="26" t="str">
        <f t="shared" si="100"/>
        <v>2024.012B.Ehrlichviridae_1nf_6ng_1mg_9ns.zip</v>
      </c>
    </row>
    <row r="2724" spans="1:21">
      <c r="A2724">
        <v>2723</v>
      </c>
      <c r="B2724" s="27" t="s">
        <v>1449</v>
      </c>
      <c r="D2724" s="27" t="s">
        <v>1450</v>
      </c>
      <c r="F2724" s="27" t="s">
        <v>1453</v>
      </c>
      <c r="H2724" s="27" t="s">
        <v>1454</v>
      </c>
      <c r="L2724" s="27" t="s">
        <v>19516</v>
      </c>
      <c r="N2724" s="27" t="s">
        <v>609</v>
      </c>
      <c r="P2724" s="27" t="s">
        <v>6587</v>
      </c>
      <c r="Q2724" s="26" t="str">
        <f>HYPERLINK("https://ictv.global/taxonomy/taxondetails?taxnode_id=202500846&amp;ictv_id=ICTV20140505","ICTV20140505")</f>
        <v>ICTV20140505</v>
      </c>
      <c r="R2724" t="s">
        <v>579</v>
      </c>
      <c r="S2724" t="s">
        <v>22763</v>
      </c>
      <c r="T2724">
        <v>40</v>
      </c>
      <c r="U2724" s="26" t="str">
        <f t="shared" si="100"/>
        <v>2024.012B.Ehrlichviridae_1nf_6ng_1mg_9ns.zip</v>
      </c>
    </row>
    <row r="2725" spans="1:21">
      <c r="A2725">
        <v>2724</v>
      </c>
      <c r="B2725" s="27" t="s">
        <v>1449</v>
      </c>
      <c r="D2725" s="27" t="s">
        <v>1450</v>
      </c>
      <c r="F2725" s="27" t="s">
        <v>1453</v>
      </c>
      <c r="H2725" s="27" t="s">
        <v>1454</v>
      </c>
      <c r="L2725" s="27" t="s">
        <v>19516</v>
      </c>
      <c r="N2725" s="27" t="s">
        <v>609</v>
      </c>
      <c r="P2725" s="27" t="s">
        <v>12023</v>
      </c>
      <c r="Q2725" s="26" t="str">
        <f>HYPERLINK("https://ictv.global/taxonomy/taxondetails?taxnode_id=202517797&amp;ictv_id=ICTV202317797","ICTV202317797")</f>
        <v>ICTV202317797</v>
      </c>
      <c r="R2725" t="s">
        <v>579</v>
      </c>
      <c r="S2725" t="s">
        <v>22763</v>
      </c>
      <c r="T2725">
        <v>40</v>
      </c>
      <c r="U2725" s="26" t="str">
        <f t="shared" si="100"/>
        <v>2024.012B.Ehrlichviridae_1nf_6ng_1mg_9ns.zip</v>
      </c>
    </row>
    <row r="2726" spans="1:21">
      <c r="A2726">
        <v>2725</v>
      </c>
      <c r="B2726" s="27" t="s">
        <v>1449</v>
      </c>
      <c r="D2726" s="27" t="s">
        <v>1450</v>
      </c>
      <c r="F2726" s="27" t="s">
        <v>1453</v>
      </c>
      <c r="H2726" s="27" t="s">
        <v>1454</v>
      </c>
      <c r="L2726" s="27" t="s">
        <v>19516</v>
      </c>
      <c r="N2726" s="27" t="s">
        <v>609</v>
      </c>
      <c r="P2726" s="27" t="s">
        <v>6588</v>
      </c>
      <c r="Q2726" s="26" t="str">
        <f>HYPERLINK("https://ictv.global/taxonomy/taxondetails?taxnode_id=202500847&amp;ictv_id=ICTV20140502","ICTV20140502")</f>
        <v>ICTV20140502</v>
      </c>
      <c r="R2726" t="s">
        <v>579</v>
      </c>
      <c r="S2726" t="s">
        <v>22763</v>
      </c>
      <c r="T2726">
        <v>40</v>
      </c>
      <c r="U2726" s="26" t="str">
        <f t="shared" si="100"/>
        <v>2024.012B.Ehrlichviridae_1nf_6ng_1mg_9ns.zip</v>
      </c>
    </row>
    <row r="2727" spans="1:21">
      <c r="A2727">
        <v>2726</v>
      </c>
      <c r="B2727" s="27" t="s">
        <v>1449</v>
      </c>
      <c r="D2727" s="27" t="s">
        <v>1450</v>
      </c>
      <c r="F2727" s="27" t="s">
        <v>1453</v>
      </c>
      <c r="H2727" s="27" t="s">
        <v>1454</v>
      </c>
      <c r="L2727" s="27" t="s">
        <v>19516</v>
      </c>
      <c r="N2727" s="27" t="s">
        <v>609</v>
      </c>
      <c r="P2727" s="27" t="s">
        <v>6589</v>
      </c>
      <c r="Q2727" s="26" t="str">
        <f>HYPERLINK("https://ictv.global/taxonomy/taxondetails?taxnode_id=202500848&amp;ictv_id=ICTV20140500","ICTV20140500")</f>
        <v>ICTV20140500</v>
      </c>
      <c r="R2727" t="s">
        <v>579</v>
      </c>
      <c r="S2727" t="s">
        <v>22763</v>
      </c>
      <c r="T2727">
        <v>40</v>
      </c>
      <c r="U2727" s="26" t="str">
        <f t="shared" si="100"/>
        <v>2024.012B.Ehrlichviridae_1nf_6ng_1mg_9ns.zip</v>
      </c>
    </row>
    <row r="2728" spans="1:21">
      <c r="A2728">
        <v>2727</v>
      </c>
      <c r="B2728" s="27" t="s">
        <v>1449</v>
      </c>
      <c r="D2728" s="27" t="s">
        <v>1450</v>
      </c>
      <c r="F2728" s="27" t="s">
        <v>1453</v>
      </c>
      <c r="H2728" s="27" t="s">
        <v>1454</v>
      </c>
      <c r="L2728" s="27" t="s">
        <v>19516</v>
      </c>
      <c r="N2728" s="27" t="s">
        <v>609</v>
      </c>
      <c r="P2728" s="27" t="s">
        <v>6590</v>
      </c>
      <c r="Q2728" s="26" t="str">
        <f>HYPERLINK("https://ictv.global/taxonomy/taxondetails?taxnode_id=202500849&amp;ictv_id=ICTV20140503","ICTV20140503")</f>
        <v>ICTV20140503</v>
      </c>
      <c r="R2728" t="s">
        <v>579</v>
      </c>
      <c r="S2728" t="s">
        <v>22763</v>
      </c>
      <c r="T2728">
        <v>40</v>
      </c>
      <c r="U2728" s="26" t="str">
        <f t="shared" si="100"/>
        <v>2024.012B.Ehrlichviridae_1nf_6ng_1mg_9ns.zip</v>
      </c>
    </row>
    <row r="2729" spans="1:21">
      <c r="A2729">
        <v>2728</v>
      </c>
      <c r="B2729" s="27" t="s">
        <v>1449</v>
      </c>
      <c r="D2729" s="27" t="s">
        <v>1450</v>
      </c>
      <c r="F2729" s="27" t="s">
        <v>1453</v>
      </c>
      <c r="H2729" s="27" t="s">
        <v>1454</v>
      </c>
      <c r="L2729" s="27" t="s">
        <v>19516</v>
      </c>
      <c r="N2729" s="27" t="s">
        <v>609</v>
      </c>
      <c r="P2729" s="27" t="s">
        <v>6591</v>
      </c>
      <c r="Q2729" s="26" t="str">
        <f>HYPERLINK("https://ictv.global/taxonomy/taxondetails?taxnode_id=202500850&amp;ictv_id=ICTV20140504","ICTV20140504")</f>
        <v>ICTV20140504</v>
      </c>
      <c r="R2729" t="s">
        <v>579</v>
      </c>
      <c r="S2729" t="s">
        <v>22763</v>
      </c>
      <c r="T2729">
        <v>40</v>
      </c>
      <c r="U2729" s="26" t="str">
        <f t="shared" si="100"/>
        <v>2024.012B.Ehrlichviridae_1nf_6ng_1mg_9ns.zip</v>
      </c>
    </row>
    <row r="2730" spans="1:21">
      <c r="A2730">
        <v>2729</v>
      </c>
      <c r="B2730" s="27" t="s">
        <v>1449</v>
      </c>
      <c r="D2730" s="27" t="s">
        <v>1450</v>
      </c>
      <c r="F2730" s="27" t="s">
        <v>1453</v>
      </c>
      <c r="H2730" s="27" t="s">
        <v>1454</v>
      </c>
      <c r="L2730" s="27" t="s">
        <v>19516</v>
      </c>
      <c r="N2730" s="27" t="s">
        <v>609</v>
      </c>
      <c r="P2730" s="27" t="s">
        <v>19519</v>
      </c>
      <c r="Q2730" s="26" t="str">
        <f>HYPERLINK("https://ictv.global/taxonomy/taxondetails?taxnode_id=202520491&amp;ictv_id=ICTV202420491","ICTV202420491")</f>
        <v>ICTV202420491</v>
      </c>
      <c r="R2730" t="s">
        <v>579</v>
      </c>
      <c r="S2730" t="s">
        <v>823</v>
      </c>
      <c r="T2730">
        <v>40</v>
      </c>
      <c r="U2730" s="26" t="str">
        <f t="shared" si="100"/>
        <v>2024.012B.Ehrlichviridae_1nf_6ng_1mg_9ns.zip</v>
      </c>
    </row>
    <row r="2731" spans="1:21">
      <c r="A2731">
        <v>2730</v>
      </c>
      <c r="B2731" s="27" t="s">
        <v>1449</v>
      </c>
      <c r="D2731" s="27" t="s">
        <v>1450</v>
      </c>
      <c r="F2731" s="27" t="s">
        <v>1453</v>
      </c>
      <c r="H2731" s="27" t="s">
        <v>1454</v>
      </c>
      <c r="L2731" s="27" t="s">
        <v>19516</v>
      </c>
      <c r="N2731" s="27" t="s">
        <v>609</v>
      </c>
      <c r="P2731" s="27" t="s">
        <v>12024</v>
      </c>
      <c r="Q2731" s="26" t="str">
        <f>HYPERLINK("https://ictv.global/taxonomy/taxondetails?taxnode_id=202517798&amp;ictv_id=ICTV202317798","ICTV202317798")</f>
        <v>ICTV202317798</v>
      </c>
      <c r="R2731" t="s">
        <v>579</v>
      </c>
      <c r="S2731" t="s">
        <v>22763</v>
      </c>
      <c r="T2731">
        <v>40</v>
      </c>
      <c r="U2731" s="26" t="str">
        <f t="shared" si="100"/>
        <v>2024.012B.Ehrlichviridae_1nf_6ng_1mg_9ns.zip</v>
      </c>
    </row>
    <row r="2732" spans="1:21">
      <c r="A2732">
        <v>2731</v>
      </c>
      <c r="B2732" s="27" t="s">
        <v>1449</v>
      </c>
      <c r="D2732" s="27" t="s">
        <v>1450</v>
      </c>
      <c r="F2732" s="27" t="s">
        <v>1453</v>
      </c>
      <c r="H2732" s="27" t="s">
        <v>1454</v>
      </c>
      <c r="L2732" s="27" t="s">
        <v>19516</v>
      </c>
      <c r="N2732" s="27" t="s">
        <v>609</v>
      </c>
      <c r="P2732" s="27" t="s">
        <v>6592</v>
      </c>
      <c r="Q2732" s="26" t="str">
        <f>HYPERLINK("https://ictv.global/taxonomy/taxondetails?taxnode_id=202500851&amp;ictv_id=ICTV20140506","ICTV20140506")</f>
        <v>ICTV20140506</v>
      </c>
      <c r="R2732" t="s">
        <v>579</v>
      </c>
      <c r="S2732" t="s">
        <v>22763</v>
      </c>
      <c r="T2732">
        <v>40</v>
      </c>
      <c r="U2732" s="26" t="str">
        <f t="shared" si="100"/>
        <v>2024.012B.Ehrlichviridae_1nf_6ng_1mg_9ns.zip</v>
      </c>
    </row>
    <row r="2733" spans="1:21">
      <c r="A2733">
        <v>2732</v>
      </c>
      <c r="B2733" s="27" t="s">
        <v>1449</v>
      </c>
      <c r="D2733" s="27" t="s">
        <v>1450</v>
      </c>
      <c r="F2733" s="27" t="s">
        <v>1453</v>
      </c>
      <c r="H2733" s="27" t="s">
        <v>1454</v>
      </c>
      <c r="L2733" s="27" t="s">
        <v>19516</v>
      </c>
      <c r="N2733" s="27" t="s">
        <v>609</v>
      </c>
      <c r="P2733" s="27" t="s">
        <v>6593</v>
      </c>
      <c r="Q2733" s="26" t="str">
        <f>HYPERLINK("https://ictv.global/taxonomy/taxondetails?taxnode_id=202500852&amp;ictv_id=ICTV20140501","ICTV20140501")</f>
        <v>ICTV20140501</v>
      </c>
      <c r="R2733" t="s">
        <v>579</v>
      </c>
      <c r="S2733" t="s">
        <v>22763</v>
      </c>
      <c r="T2733">
        <v>40</v>
      </c>
      <c r="U2733" s="26" t="str">
        <f t="shared" si="100"/>
        <v>2024.012B.Ehrlichviridae_1nf_6ng_1mg_9ns.zip</v>
      </c>
    </row>
    <row r="2734" spans="1:21">
      <c r="A2734">
        <v>2733</v>
      </c>
      <c r="B2734" s="27" t="s">
        <v>1449</v>
      </c>
      <c r="D2734" s="27" t="s">
        <v>1450</v>
      </c>
      <c r="F2734" s="27" t="s">
        <v>1453</v>
      </c>
      <c r="H2734" s="27" t="s">
        <v>1454</v>
      </c>
      <c r="L2734" s="27" t="s">
        <v>19516</v>
      </c>
      <c r="N2734" s="27" t="s">
        <v>19520</v>
      </c>
      <c r="P2734" s="27" t="s">
        <v>19521</v>
      </c>
      <c r="Q2734" s="26" t="str">
        <f>HYPERLINK("https://ictv.global/taxonomy/taxondetails?taxnode_id=202520498&amp;ictv_id=ICTV202420498","ICTV202420498")</f>
        <v>ICTV202420498</v>
      </c>
      <c r="R2734" t="s">
        <v>579</v>
      </c>
      <c r="S2734" t="s">
        <v>823</v>
      </c>
      <c r="T2734">
        <v>40</v>
      </c>
      <c r="U2734" s="26" t="str">
        <f t="shared" si="100"/>
        <v>2024.012B.Ehrlichviridae_1nf_6ng_1mg_9ns.zip</v>
      </c>
    </row>
    <row r="2735" spans="1:21">
      <c r="A2735">
        <v>2734</v>
      </c>
      <c r="B2735" s="27" t="s">
        <v>1449</v>
      </c>
      <c r="D2735" s="27" t="s">
        <v>1450</v>
      </c>
      <c r="F2735" s="27" t="s">
        <v>1453</v>
      </c>
      <c r="H2735" s="27" t="s">
        <v>1454</v>
      </c>
      <c r="L2735" s="27" t="s">
        <v>19516</v>
      </c>
      <c r="N2735" s="27" t="s">
        <v>19522</v>
      </c>
      <c r="P2735" s="27" t="s">
        <v>19523</v>
      </c>
      <c r="Q2735" s="26" t="str">
        <f>HYPERLINK("https://ictv.global/taxonomy/taxondetails?taxnode_id=202520497&amp;ictv_id=ICTV202420497","ICTV202420497")</f>
        <v>ICTV202420497</v>
      </c>
      <c r="R2735" t="s">
        <v>579</v>
      </c>
      <c r="S2735" t="s">
        <v>823</v>
      </c>
      <c r="T2735">
        <v>40</v>
      </c>
      <c r="U2735" s="26" t="str">
        <f t="shared" si="100"/>
        <v>2024.012B.Ehrlichviridae_1nf_6ng_1mg_9ns.zip</v>
      </c>
    </row>
    <row r="2736" spans="1:21">
      <c r="A2736">
        <v>2735</v>
      </c>
      <c r="B2736" s="27" t="s">
        <v>1449</v>
      </c>
      <c r="D2736" s="27" t="s">
        <v>1450</v>
      </c>
      <c r="F2736" s="27" t="s">
        <v>1453</v>
      </c>
      <c r="H2736" s="27" t="s">
        <v>1454</v>
      </c>
      <c r="L2736" s="27" t="s">
        <v>19516</v>
      </c>
      <c r="N2736" s="27" t="s">
        <v>19524</v>
      </c>
      <c r="P2736" s="27" t="s">
        <v>19525</v>
      </c>
      <c r="Q2736" s="26" t="str">
        <f>HYPERLINK("https://ictv.global/taxonomy/taxondetails?taxnode_id=202520495&amp;ictv_id=ICTV202420495","ICTV202420495")</f>
        <v>ICTV202420495</v>
      </c>
      <c r="R2736" t="s">
        <v>579</v>
      </c>
      <c r="S2736" t="s">
        <v>823</v>
      </c>
      <c r="T2736">
        <v>40</v>
      </c>
      <c r="U2736" s="26" t="str">
        <f t="shared" si="100"/>
        <v>2024.012B.Ehrlichviridae_1nf_6ng_1mg_9ns.zip</v>
      </c>
    </row>
    <row r="2737" spans="1:21">
      <c r="A2737">
        <v>2736</v>
      </c>
      <c r="B2737" s="27" t="s">
        <v>1449</v>
      </c>
      <c r="D2737" s="27" t="s">
        <v>1450</v>
      </c>
      <c r="F2737" s="27" t="s">
        <v>1453</v>
      </c>
      <c r="H2737" s="27" t="s">
        <v>1454</v>
      </c>
      <c r="L2737" s="27" t="s">
        <v>19516</v>
      </c>
      <c r="N2737" s="27" t="s">
        <v>19524</v>
      </c>
      <c r="P2737" s="27" t="s">
        <v>19526</v>
      </c>
      <c r="Q2737" s="26" t="str">
        <f>HYPERLINK("https://ictv.global/taxonomy/taxondetails?taxnode_id=202520493&amp;ictv_id=ICTV202420493","ICTV202420493")</f>
        <v>ICTV202420493</v>
      </c>
      <c r="R2737" t="s">
        <v>579</v>
      </c>
      <c r="S2737" t="s">
        <v>823</v>
      </c>
      <c r="T2737">
        <v>40</v>
      </c>
      <c r="U2737" s="26" t="str">
        <f t="shared" si="100"/>
        <v>2024.012B.Ehrlichviridae_1nf_6ng_1mg_9ns.zip</v>
      </c>
    </row>
    <row r="2738" spans="1:21">
      <c r="A2738">
        <v>2737</v>
      </c>
      <c r="B2738" s="27" t="s">
        <v>1449</v>
      </c>
      <c r="D2738" s="27" t="s">
        <v>1450</v>
      </c>
      <c r="F2738" s="27" t="s">
        <v>1453</v>
      </c>
      <c r="H2738" s="27" t="s">
        <v>1454</v>
      </c>
      <c r="L2738" s="27" t="s">
        <v>19516</v>
      </c>
      <c r="N2738" s="27" t="s">
        <v>19524</v>
      </c>
      <c r="P2738" s="27" t="s">
        <v>19527</v>
      </c>
      <c r="Q2738" s="26" t="str">
        <f>HYPERLINK("https://ictv.global/taxonomy/taxondetails?taxnode_id=202520494&amp;ictv_id=ICTV202420494","ICTV202420494")</f>
        <v>ICTV202420494</v>
      </c>
      <c r="R2738" t="s">
        <v>579</v>
      </c>
      <c r="S2738" t="s">
        <v>823</v>
      </c>
      <c r="T2738">
        <v>40</v>
      </c>
      <c r="U2738" s="26" t="str">
        <f t="shared" si="100"/>
        <v>2024.012B.Ehrlichviridae_1nf_6ng_1mg_9ns.zip</v>
      </c>
    </row>
    <row r="2739" spans="1:21">
      <c r="A2739">
        <v>2738</v>
      </c>
      <c r="B2739" s="27" t="s">
        <v>1449</v>
      </c>
      <c r="D2739" s="27" t="s">
        <v>1450</v>
      </c>
      <c r="F2739" s="27" t="s">
        <v>1453</v>
      </c>
      <c r="H2739" s="27" t="s">
        <v>1454</v>
      </c>
      <c r="L2739" s="27" t="s">
        <v>19516</v>
      </c>
      <c r="N2739" s="27" t="s">
        <v>19528</v>
      </c>
      <c r="P2739" s="27" t="s">
        <v>19529</v>
      </c>
      <c r="Q2739" s="26" t="str">
        <f>HYPERLINK("https://ictv.global/taxonomy/taxondetails?taxnode_id=202520499&amp;ictv_id=ICTV202420499","ICTV202420499")</f>
        <v>ICTV202420499</v>
      </c>
      <c r="R2739" t="s">
        <v>579</v>
      </c>
      <c r="S2739" t="s">
        <v>823</v>
      </c>
      <c r="T2739">
        <v>40</v>
      </c>
      <c r="U2739" s="26" t="str">
        <f t="shared" si="100"/>
        <v>2024.012B.Ehrlichviridae_1nf_6ng_1mg_9ns.zip</v>
      </c>
    </row>
    <row r="2740" spans="1:21">
      <c r="A2740">
        <v>2739</v>
      </c>
      <c r="B2740" s="27" t="s">
        <v>1449</v>
      </c>
      <c r="D2740" s="27" t="s">
        <v>1450</v>
      </c>
      <c r="F2740" s="27" t="s">
        <v>1453</v>
      </c>
      <c r="H2740" s="27" t="s">
        <v>1454</v>
      </c>
      <c r="L2740" s="27" t="s">
        <v>19516</v>
      </c>
      <c r="N2740" s="27" t="s">
        <v>19530</v>
      </c>
      <c r="P2740" s="27" t="s">
        <v>19531</v>
      </c>
      <c r="Q2740" s="26" t="str">
        <f>HYPERLINK("https://ictv.global/taxonomy/taxondetails?taxnode_id=202520492&amp;ictv_id=ICTV202420492","ICTV202420492")</f>
        <v>ICTV202420492</v>
      </c>
      <c r="R2740" t="s">
        <v>579</v>
      </c>
      <c r="S2740" t="s">
        <v>823</v>
      </c>
      <c r="T2740">
        <v>40</v>
      </c>
      <c r="U2740" s="26" t="str">
        <f t="shared" si="100"/>
        <v>2024.012B.Ehrlichviridae_1nf_6ng_1mg_9ns.zip</v>
      </c>
    </row>
    <row r="2741" spans="1:21">
      <c r="A2741">
        <v>2740</v>
      </c>
      <c r="B2741" s="27" t="s">
        <v>1449</v>
      </c>
      <c r="D2741" s="27" t="s">
        <v>1450</v>
      </c>
      <c r="F2741" s="27" t="s">
        <v>1453</v>
      </c>
      <c r="H2741" s="27" t="s">
        <v>1454</v>
      </c>
      <c r="L2741" s="27" t="s">
        <v>19532</v>
      </c>
      <c r="M2741" s="27" t="s">
        <v>19533</v>
      </c>
      <c r="N2741" s="27" t="s">
        <v>19534</v>
      </c>
      <c r="P2741" s="27" t="s">
        <v>19535</v>
      </c>
      <c r="Q2741" s="26" t="str">
        <f>HYPERLINK("https://ictv.global/taxonomy/taxondetails?taxnode_id=202520880&amp;ictv_id=ICTV202420880","ICTV202420880")</f>
        <v>ICTV202420880</v>
      </c>
      <c r="R2741" t="s">
        <v>579</v>
      </c>
      <c r="S2741" t="s">
        <v>823</v>
      </c>
      <c r="T2741">
        <v>40</v>
      </c>
      <c r="U2741" s="26" t="str">
        <f>HYPERLINK("https://ictv.global/ictv/proposals/2024.044B.Felixviridae_1nf_1nsf_2ng_1mg_2ns.zip","2024.044B.Felixviridae_1nf_1nsf_2ng_1mg_2ns.zip")</f>
        <v>2024.044B.Felixviridae_1nf_1nsf_2ng_1mg_2ns.zip</v>
      </c>
    </row>
    <row r="2742" spans="1:21">
      <c r="A2742">
        <v>2741</v>
      </c>
      <c r="B2742" s="27" t="s">
        <v>1449</v>
      </c>
      <c r="D2742" s="27" t="s">
        <v>1450</v>
      </c>
      <c r="F2742" s="27" t="s">
        <v>1453</v>
      </c>
      <c r="H2742" s="27" t="s">
        <v>1454</v>
      </c>
      <c r="L2742" s="27" t="s">
        <v>19532</v>
      </c>
      <c r="N2742" s="27" t="s">
        <v>6824</v>
      </c>
      <c r="P2742" s="27" t="s">
        <v>6825</v>
      </c>
      <c r="Q2742" s="26" t="str">
        <f>HYPERLINK("https://ictv.global/taxonomy/taxondetails?taxnode_id=202514554&amp;ictv_id=ICTV202214554","ICTV202214554")</f>
        <v>ICTV202214554</v>
      </c>
      <c r="R2742" t="s">
        <v>579</v>
      </c>
      <c r="S2742" t="s">
        <v>22763</v>
      </c>
      <c r="T2742">
        <v>40</v>
      </c>
      <c r="U2742" s="26" t="str">
        <f>HYPERLINK("https://ictv.global/ictv/proposals/2024.044B.Felixviridae_1nf_1nsf_2ng_1mg_2ns.zip","2024.044B.Felixviridae_1nf_1nsf_2ng_1mg_2ns.zip")</f>
        <v>2024.044B.Felixviridae_1nf_1nsf_2ng_1mg_2ns.zip</v>
      </c>
    </row>
    <row r="2743" spans="1:21">
      <c r="A2743">
        <v>2742</v>
      </c>
      <c r="B2743" s="27" t="s">
        <v>1449</v>
      </c>
      <c r="D2743" s="27" t="s">
        <v>1450</v>
      </c>
      <c r="F2743" s="27" t="s">
        <v>1453</v>
      </c>
      <c r="H2743" s="27" t="s">
        <v>1454</v>
      </c>
      <c r="L2743" s="27" t="s">
        <v>19532</v>
      </c>
      <c r="N2743" s="27" t="s">
        <v>19536</v>
      </c>
      <c r="P2743" s="27" t="s">
        <v>19537</v>
      </c>
      <c r="Q2743" s="26" t="str">
        <f>HYPERLINK("https://ictv.global/taxonomy/taxondetails?taxnode_id=202520881&amp;ictv_id=ICTV202420881","ICTV202420881")</f>
        <v>ICTV202420881</v>
      </c>
      <c r="R2743" t="s">
        <v>579</v>
      </c>
      <c r="S2743" t="s">
        <v>823</v>
      </c>
      <c r="T2743">
        <v>40</v>
      </c>
      <c r="U2743" s="26" t="str">
        <f>HYPERLINK("https://ictv.global/ictv/proposals/2024.044B.Felixviridae_1nf_1nsf_2ng_1mg_2ns.zip","2024.044B.Felixviridae_1nf_1nsf_2ng_1mg_2ns.zip")</f>
        <v>2024.044B.Felixviridae_1nf_1nsf_2ng_1mg_2ns.zip</v>
      </c>
    </row>
    <row r="2744" spans="1:21">
      <c r="A2744">
        <v>2743</v>
      </c>
      <c r="B2744" s="27" t="s">
        <v>1449</v>
      </c>
      <c r="D2744" s="27" t="s">
        <v>1450</v>
      </c>
      <c r="F2744" s="27" t="s">
        <v>1453</v>
      </c>
      <c r="H2744" s="27" t="s">
        <v>1454</v>
      </c>
      <c r="L2744" s="27" t="s">
        <v>4818</v>
      </c>
      <c r="N2744" s="27" t="s">
        <v>4819</v>
      </c>
      <c r="P2744" s="27" t="s">
        <v>4820</v>
      </c>
      <c r="Q2744" s="26" t="str">
        <f>HYPERLINK("https://ictv.global/taxonomy/taxondetails?taxnode_id=202514333&amp;ictv_id=ICTV202214333","ICTV202214333")</f>
        <v>ICTV202214333</v>
      </c>
      <c r="R2744" t="s">
        <v>579</v>
      </c>
      <c r="S2744" t="s">
        <v>823</v>
      </c>
      <c r="T2744">
        <v>38</v>
      </c>
      <c r="U2744" s="26" t="str">
        <f>HYPERLINK("https://ictv.global/ictv/proposals/2022.004A.Caudoviricetes_3nf.zip","2022.004A.Caudoviricetes_3nf.zip")</f>
        <v>2022.004A.Caudoviricetes_3nf.zip</v>
      </c>
    </row>
    <row r="2745" spans="1:21">
      <c r="A2745">
        <v>2744</v>
      </c>
      <c r="B2745" s="27" t="s">
        <v>1449</v>
      </c>
      <c r="D2745" s="27" t="s">
        <v>1450</v>
      </c>
      <c r="F2745" s="27" t="s">
        <v>1453</v>
      </c>
      <c r="H2745" s="27" t="s">
        <v>1454</v>
      </c>
      <c r="L2745" s="27" t="s">
        <v>4821</v>
      </c>
      <c r="N2745" s="27" t="s">
        <v>4822</v>
      </c>
      <c r="P2745" s="27" t="s">
        <v>4823</v>
      </c>
      <c r="Q2745" s="26" t="str">
        <f>HYPERLINK("https://ictv.global/taxonomy/taxondetails?taxnode_id=202513572&amp;ictv_id=ICTV202113572","ICTV202113572")</f>
        <v>ICTV202113572</v>
      </c>
      <c r="R2745" t="s">
        <v>579</v>
      </c>
      <c r="S2745" t="s">
        <v>823</v>
      </c>
      <c r="T2745">
        <v>37</v>
      </c>
      <c r="U2745" s="26" t="str">
        <f>HYPERLINK("https://ictv.global/ictv/proposals/2021.029B.R.Flavophages_9_families.zip","2021.029B.R.Flavophages_9_families.zip")</f>
        <v>2021.029B.R.Flavophages_9_families.zip</v>
      </c>
    </row>
    <row r="2746" spans="1:21">
      <c r="A2746">
        <v>2745</v>
      </c>
      <c r="B2746" s="27" t="s">
        <v>1449</v>
      </c>
      <c r="D2746" s="27" t="s">
        <v>1450</v>
      </c>
      <c r="F2746" s="27" t="s">
        <v>1453</v>
      </c>
      <c r="H2746" s="27" t="s">
        <v>1454</v>
      </c>
      <c r="L2746" s="27" t="s">
        <v>4821</v>
      </c>
      <c r="N2746" s="27" t="s">
        <v>4822</v>
      </c>
      <c r="P2746" s="27" t="s">
        <v>4824</v>
      </c>
      <c r="Q2746" s="26" t="str">
        <f>HYPERLINK("https://ictv.global/taxonomy/taxondetails?taxnode_id=202513571&amp;ictv_id=ICTV202113571","ICTV202113571")</f>
        <v>ICTV202113571</v>
      </c>
      <c r="R2746" t="s">
        <v>579</v>
      </c>
      <c r="S2746" t="s">
        <v>823</v>
      </c>
      <c r="T2746">
        <v>37</v>
      </c>
      <c r="U2746" s="26" t="str">
        <f>HYPERLINK("https://ictv.global/ictv/proposals/2021.029B.R.Flavophages_9_families.zip","2021.029B.R.Flavophages_9_families.zip")</f>
        <v>2021.029B.R.Flavophages_9_families.zip</v>
      </c>
    </row>
    <row r="2747" spans="1:21">
      <c r="A2747">
        <v>2746</v>
      </c>
      <c r="B2747" s="27" t="s">
        <v>1449</v>
      </c>
      <c r="D2747" s="27" t="s">
        <v>1450</v>
      </c>
      <c r="F2747" s="27" t="s">
        <v>1453</v>
      </c>
      <c r="H2747" s="27" t="s">
        <v>1454</v>
      </c>
      <c r="L2747" s="27" t="s">
        <v>4825</v>
      </c>
      <c r="N2747" s="27" t="s">
        <v>4826</v>
      </c>
      <c r="P2747" s="27" t="s">
        <v>4827</v>
      </c>
      <c r="Q2747" s="26" t="str">
        <f>HYPERLINK("https://ictv.global/taxonomy/taxondetails?taxnode_id=202500706&amp;ictv_id=ICTV20094387","ICTV20094387")</f>
        <v>ICTV20094387</v>
      </c>
      <c r="R2747" t="s">
        <v>579</v>
      </c>
      <c r="S2747" t="s">
        <v>22763</v>
      </c>
      <c r="T2747">
        <v>38</v>
      </c>
      <c r="U2747" s="26" t="str">
        <f>HYPERLINK("https://ictv.global/ictv/proposals/2022.033B.Fredfastierviridae_nf.zip","2022.033B.Fredfastierviridae_nf.zip")</f>
        <v>2022.033B.Fredfastierviridae_nf.zip</v>
      </c>
    </row>
    <row r="2748" spans="1:21">
      <c r="A2748">
        <v>2747</v>
      </c>
      <c r="B2748" s="27" t="s">
        <v>1449</v>
      </c>
      <c r="D2748" s="27" t="s">
        <v>1450</v>
      </c>
      <c r="F2748" s="27" t="s">
        <v>1453</v>
      </c>
      <c r="H2748" s="27" t="s">
        <v>1454</v>
      </c>
      <c r="L2748" s="27" t="s">
        <v>4825</v>
      </c>
      <c r="N2748" s="27" t="s">
        <v>4826</v>
      </c>
      <c r="P2748" s="27" t="s">
        <v>4828</v>
      </c>
      <c r="Q2748" s="26" t="str">
        <f>HYPERLINK("https://ictv.global/taxonomy/taxondetails?taxnode_id=202512357&amp;ictv_id=ICTV202112357","ICTV202112357")</f>
        <v>ICTV202112357</v>
      </c>
      <c r="R2748" t="s">
        <v>579</v>
      </c>
      <c r="S2748" t="s">
        <v>22763</v>
      </c>
      <c r="T2748">
        <v>38</v>
      </c>
      <c r="U2748" s="26" t="str">
        <f>HYPERLINK("https://ictv.global/ictv/proposals/2022.033B.Fredfastierviridae_nf.zip","2022.033B.Fredfastierviridae_nf.zip")</f>
        <v>2022.033B.Fredfastierviridae_nf.zip</v>
      </c>
    </row>
    <row r="2749" spans="1:21">
      <c r="A2749">
        <v>2748</v>
      </c>
      <c r="B2749" s="27" t="s">
        <v>1449</v>
      </c>
      <c r="D2749" s="27" t="s">
        <v>1450</v>
      </c>
      <c r="F2749" s="27" t="s">
        <v>1453</v>
      </c>
      <c r="H2749" s="27" t="s">
        <v>1454</v>
      </c>
      <c r="L2749" s="27" t="s">
        <v>19538</v>
      </c>
      <c r="N2749" s="27" t="s">
        <v>19539</v>
      </c>
      <c r="P2749" s="27" t="s">
        <v>19540</v>
      </c>
      <c r="Q2749" s="26" t="str">
        <f>HYPERLINK("https://ictv.global/taxonomy/taxondetails?taxnode_id=202520186&amp;ictv_id=ICTV202420186","ICTV202420186")</f>
        <v>ICTV202420186</v>
      </c>
      <c r="R2749" t="s">
        <v>579</v>
      </c>
      <c r="S2749" t="s">
        <v>823</v>
      </c>
      <c r="T2749">
        <v>40</v>
      </c>
      <c r="U2749" s="26" t="str">
        <f>HYPERLINK("https://ictv.global/ictv/proposals/2024.005A.Bathyarchaeia_4newfam.zip","2024.005A.Bathyarchaeia_4newfam.zip")</f>
        <v>2024.005A.Bathyarchaeia_4newfam.zip</v>
      </c>
    </row>
    <row r="2750" spans="1:21">
      <c r="A2750">
        <v>2749</v>
      </c>
      <c r="B2750" s="27" t="s">
        <v>1449</v>
      </c>
      <c r="D2750" s="27" t="s">
        <v>1450</v>
      </c>
      <c r="F2750" s="27" t="s">
        <v>1453</v>
      </c>
      <c r="H2750" s="27" t="s">
        <v>1454</v>
      </c>
      <c r="L2750" s="27" t="s">
        <v>4829</v>
      </c>
      <c r="N2750" s="27" t="s">
        <v>12025</v>
      </c>
      <c r="P2750" s="27" t="s">
        <v>12026</v>
      </c>
      <c r="Q2750" s="26" t="str">
        <f>HYPERLINK("https://ictv.global/taxonomy/taxondetails?taxnode_id=202517828&amp;ictv_id=ICTV202317828","ICTV202317828")</f>
        <v>ICTV202317828</v>
      </c>
      <c r="R2750" t="s">
        <v>579</v>
      </c>
      <c r="S2750" t="s">
        <v>22763</v>
      </c>
      <c r="T2750">
        <v>40</v>
      </c>
      <c r="U2750" s="26"/>
    </row>
    <row r="2751" spans="1:21">
      <c r="A2751">
        <v>2750</v>
      </c>
      <c r="B2751" s="27" t="s">
        <v>1449</v>
      </c>
      <c r="D2751" s="27" t="s">
        <v>1450</v>
      </c>
      <c r="F2751" s="27" t="s">
        <v>1453</v>
      </c>
      <c r="H2751" s="27" t="s">
        <v>1454</v>
      </c>
      <c r="L2751" s="27" t="s">
        <v>4829</v>
      </c>
      <c r="N2751" s="27" t="s">
        <v>4830</v>
      </c>
      <c r="P2751" s="27" t="s">
        <v>4831</v>
      </c>
      <c r="Q2751" s="26" t="str">
        <f>HYPERLINK("https://ictv.global/taxonomy/taxondetails?taxnode_id=202514620&amp;ictv_id=ICTV202214620","ICTV202214620")</f>
        <v>ICTV202214620</v>
      </c>
      <c r="R2751" t="s">
        <v>579</v>
      </c>
      <c r="S2751" t="s">
        <v>823</v>
      </c>
      <c r="T2751">
        <v>38</v>
      </c>
      <c r="U2751" s="26" t="str">
        <f>HYPERLINK("https://ictv.global/ictv/proposals/2022.035B.Grimontviridae_nf.zip","2022.035B.Grimontviridae_nf.zip")</f>
        <v>2022.035B.Grimontviridae_nf.zip</v>
      </c>
    </row>
    <row r="2752" spans="1:21">
      <c r="A2752">
        <v>2751</v>
      </c>
      <c r="B2752" s="27" t="s">
        <v>1449</v>
      </c>
      <c r="D2752" s="27" t="s">
        <v>1450</v>
      </c>
      <c r="F2752" s="27" t="s">
        <v>1453</v>
      </c>
      <c r="H2752" s="27" t="s">
        <v>1454</v>
      </c>
      <c r="L2752" s="27" t="s">
        <v>4829</v>
      </c>
      <c r="N2752" s="27" t="s">
        <v>4830</v>
      </c>
      <c r="P2752" s="27" t="s">
        <v>4832</v>
      </c>
      <c r="Q2752" s="26" t="str">
        <f>HYPERLINK("https://ictv.global/taxonomy/taxondetails?taxnode_id=202514619&amp;ictv_id=ICTV202214619","ICTV202214619")</f>
        <v>ICTV202214619</v>
      </c>
      <c r="R2752" t="s">
        <v>579</v>
      </c>
      <c r="S2752" t="s">
        <v>823</v>
      </c>
      <c r="T2752">
        <v>38</v>
      </c>
      <c r="U2752" s="26" t="str">
        <f>HYPERLINK("https://ictv.global/ictv/proposals/2022.035B.Grimontviridae_nf.zip","2022.035B.Grimontviridae_nf.zip")</f>
        <v>2022.035B.Grimontviridae_nf.zip</v>
      </c>
    </row>
    <row r="2753" spans="1:21">
      <c r="A2753">
        <v>2752</v>
      </c>
      <c r="B2753" s="27" t="s">
        <v>1449</v>
      </c>
      <c r="D2753" s="27" t="s">
        <v>1450</v>
      </c>
      <c r="F2753" s="27" t="s">
        <v>1453</v>
      </c>
      <c r="H2753" s="27" t="s">
        <v>1454</v>
      </c>
      <c r="L2753" s="27" t="s">
        <v>4829</v>
      </c>
      <c r="N2753" s="27" t="s">
        <v>4833</v>
      </c>
      <c r="P2753" s="27" t="s">
        <v>4834</v>
      </c>
      <c r="Q2753" s="26" t="str">
        <f>HYPERLINK("https://ictv.global/taxonomy/taxondetails?taxnode_id=202514626&amp;ictv_id=ICTV202214626","ICTV202214626")</f>
        <v>ICTV202214626</v>
      </c>
      <c r="R2753" t="s">
        <v>579</v>
      </c>
      <c r="S2753" t="s">
        <v>823</v>
      </c>
      <c r="T2753">
        <v>38</v>
      </c>
      <c r="U2753" s="26" t="str">
        <f>HYPERLINK("https://ictv.global/ictv/proposals/2022.035B.Grimontviridae_nf.zip","2022.035B.Grimontviridae_nf.zip")</f>
        <v>2022.035B.Grimontviridae_nf.zip</v>
      </c>
    </row>
    <row r="2754" spans="1:21">
      <c r="A2754">
        <v>2753</v>
      </c>
      <c r="B2754" s="27" t="s">
        <v>1449</v>
      </c>
      <c r="D2754" s="27" t="s">
        <v>1450</v>
      </c>
      <c r="F2754" s="27" t="s">
        <v>1453</v>
      </c>
      <c r="H2754" s="27" t="s">
        <v>1454</v>
      </c>
      <c r="L2754" s="27" t="s">
        <v>4829</v>
      </c>
      <c r="N2754" s="27" t="s">
        <v>2146</v>
      </c>
      <c r="P2754" s="27" t="s">
        <v>7288</v>
      </c>
      <c r="Q2754" s="26" t="str">
        <f>HYPERLINK("https://ictv.global/taxonomy/taxondetails?taxnode_id=202510161&amp;ictv_id=ICTV202010161","ICTV202010161")</f>
        <v>ICTV202010161</v>
      </c>
      <c r="R2754" t="s">
        <v>579</v>
      </c>
      <c r="S2754" t="s">
        <v>22763</v>
      </c>
      <c r="T2754">
        <v>40</v>
      </c>
      <c r="U2754" s="26" t="str">
        <f>HYPERLINK("https://ictv.global/ictv/proposals/2024.015B.Grimontviridae_2ng_1mg_2ns.zip","2024.015B.Grimontviridae_2ng_1mg_2ns.zip")</f>
        <v>2024.015B.Grimontviridae_2ng_1mg_2ns.zip</v>
      </c>
    </row>
    <row r="2755" spans="1:21">
      <c r="A2755">
        <v>2754</v>
      </c>
      <c r="B2755" s="27" t="s">
        <v>1449</v>
      </c>
      <c r="D2755" s="27" t="s">
        <v>1450</v>
      </c>
      <c r="F2755" s="27" t="s">
        <v>1453</v>
      </c>
      <c r="H2755" s="27" t="s">
        <v>1454</v>
      </c>
      <c r="L2755" s="27" t="s">
        <v>4829</v>
      </c>
      <c r="N2755" s="27" t="s">
        <v>2146</v>
      </c>
      <c r="P2755" s="27" t="s">
        <v>7289</v>
      </c>
      <c r="Q2755" s="26" t="str">
        <f>HYPERLINK("https://ictv.global/taxonomy/taxondetails?taxnode_id=202510163&amp;ictv_id=ICTV202010163","ICTV202010163")</f>
        <v>ICTV202010163</v>
      </c>
      <c r="R2755" t="s">
        <v>579</v>
      </c>
      <c r="S2755" t="s">
        <v>22763</v>
      </c>
      <c r="T2755">
        <v>40</v>
      </c>
      <c r="U2755" s="26" t="str">
        <f>HYPERLINK("https://ictv.global/ictv/proposals/2024.015B.Grimontviridae_2ng_1mg_2ns.zip","2024.015B.Grimontviridae_2ng_1mg_2ns.zip")</f>
        <v>2024.015B.Grimontviridae_2ng_1mg_2ns.zip</v>
      </c>
    </row>
    <row r="2756" spans="1:21">
      <c r="A2756">
        <v>2755</v>
      </c>
      <c r="B2756" s="27" t="s">
        <v>1449</v>
      </c>
      <c r="D2756" s="27" t="s">
        <v>1450</v>
      </c>
      <c r="F2756" s="27" t="s">
        <v>1453</v>
      </c>
      <c r="H2756" s="27" t="s">
        <v>1454</v>
      </c>
      <c r="L2756" s="27" t="s">
        <v>4829</v>
      </c>
      <c r="N2756" s="27" t="s">
        <v>2146</v>
      </c>
      <c r="P2756" s="27" t="s">
        <v>7290</v>
      </c>
      <c r="Q2756" s="26" t="str">
        <f>HYPERLINK("https://ictv.global/taxonomy/taxondetails?taxnode_id=202510164&amp;ictv_id=ICTV202010164","ICTV202010164")</f>
        <v>ICTV202010164</v>
      </c>
      <c r="R2756" t="s">
        <v>579</v>
      </c>
      <c r="S2756" t="s">
        <v>22763</v>
      </c>
      <c r="T2756">
        <v>40</v>
      </c>
      <c r="U2756" s="26" t="str">
        <f>HYPERLINK("https://ictv.global/ictv/proposals/2024.015B.Grimontviridae_2ng_1mg_2ns.zip","2024.015B.Grimontviridae_2ng_1mg_2ns.zip")</f>
        <v>2024.015B.Grimontviridae_2ng_1mg_2ns.zip</v>
      </c>
    </row>
    <row r="2757" spans="1:21">
      <c r="A2757">
        <v>2756</v>
      </c>
      <c r="B2757" s="27" t="s">
        <v>1449</v>
      </c>
      <c r="D2757" s="27" t="s">
        <v>1450</v>
      </c>
      <c r="F2757" s="27" t="s">
        <v>1453</v>
      </c>
      <c r="H2757" s="27" t="s">
        <v>1454</v>
      </c>
      <c r="L2757" s="27" t="s">
        <v>4829</v>
      </c>
      <c r="N2757" s="27" t="s">
        <v>2146</v>
      </c>
      <c r="P2757" s="27" t="s">
        <v>7291</v>
      </c>
      <c r="Q2757" s="26" t="str">
        <f>HYPERLINK("https://ictv.global/taxonomy/taxondetails?taxnode_id=202510162&amp;ictv_id=ICTV202010162","ICTV202010162")</f>
        <v>ICTV202010162</v>
      </c>
      <c r="R2757" t="s">
        <v>579</v>
      </c>
      <c r="S2757" t="s">
        <v>22763</v>
      </c>
      <c r="T2757">
        <v>40</v>
      </c>
      <c r="U2757" s="26" t="str">
        <f>HYPERLINK("https://ictv.global/ictv/proposals/2024.015B.Grimontviridae_2ng_1mg_2ns.zip","2024.015B.Grimontviridae_2ng_1mg_2ns.zip")</f>
        <v>2024.015B.Grimontviridae_2ng_1mg_2ns.zip</v>
      </c>
    </row>
    <row r="2758" spans="1:21">
      <c r="A2758">
        <v>2757</v>
      </c>
      <c r="B2758" s="27" t="s">
        <v>1449</v>
      </c>
      <c r="D2758" s="27" t="s">
        <v>1450</v>
      </c>
      <c r="F2758" s="27" t="s">
        <v>1453</v>
      </c>
      <c r="H2758" s="27" t="s">
        <v>1454</v>
      </c>
      <c r="L2758" s="27" t="s">
        <v>4829</v>
      </c>
      <c r="N2758" s="27" t="s">
        <v>4835</v>
      </c>
      <c r="P2758" s="27" t="s">
        <v>4836</v>
      </c>
      <c r="Q2758" s="26" t="str">
        <f>HYPERLINK("https://ictv.global/taxonomy/taxondetails?taxnode_id=202514625&amp;ictv_id=ICTV202214625","ICTV202214625")</f>
        <v>ICTV202214625</v>
      </c>
      <c r="R2758" t="s">
        <v>579</v>
      </c>
      <c r="S2758" t="s">
        <v>823</v>
      </c>
      <c r="T2758">
        <v>38</v>
      </c>
      <c r="U2758" s="26" t="str">
        <f>HYPERLINK("https://ictv.global/ictv/proposals/2022.035B.Grimontviridae_nf.zip","2022.035B.Grimontviridae_nf.zip")</f>
        <v>2022.035B.Grimontviridae_nf.zip</v>
      </c>
    </row>
    <row r="2759" spans="1:21">
      <c r="A2759">
        <v>2758</v>
      </c>
      <c r="B2759" s="27" t="s">
        <v>1449</v>
      </c>
      <c r="D2759" s="27" t="s">
        <v>1450</v>
      </c>
      <c r="F2759" s="27" t="s">
        <v>1453</v>
      </c>
      <c r="H2759" s="27" t="s">
        <v>1454</v>
      </c>
      <c r="L2759" s="27" t="s">
        <v>4829</v>
      </c>
      <c r="N2759" s="27" t="s">
        <v>19541</v>
      </c>
      <c r="P2759" s="27" t="s">
        <v>19542</v>
      </c>
      <c r="Q2759" s="26" t="str">
        <f>HYPERLINK("https://ictv.global/taxonomy/taxondetails?taxnode_id=202520628&amp;ictv_id=ICTV202420628","ICTV202420628")</f>
        <v>ICTV202420628</v>
      </c>
      <c r="R2759" t="s">
        <v>579</v>
      </c>
      <c r="S2759" t="s">
        <v>823</v>
      </c>
      <c r="T2759">
        <v>40</v>
      </c>
      <c r="U2759" s="26" t="str">
        <f>HYPERLINK("https://ictv.global/ictv/proposals/2024.015B.Grimontviridae_2ng_1mg_2ns.zip","2024.015B.Grimontviridae_2ng_1mg_2ns.zip")</f>
        <v>2024.015B.Grimontviridae_2ng_1mg_2ns.zip</v>
      </c>
    </row>
    <row r="2760" spans="1:21">
      <c r="A2760">
        <v>2759</v>
      </c>
      <c r="B2760" s="27" t="s">
        <v>1449</v>
      </c>
      <c r="D2760" s="27" t="s">
        <v>1450</v>
      </c>
      <c r="F2760" s="27" t="s">
        <v>1453</v>
      </c>
      <c r="H2760" s="27" t="s">
        <v>1454</v>
      </c>
      <c r="L2760" s="27" t="s">
        <v>4829</v>
      </c>
      <c r="N2760" s="27" t="s">
        <v>4837</v>
      </c>
      <c r="P2760" s="27" t="s">
        <v>4838</v>
      </c>
      <c r="Q2760" s="26" t="str">
        <f>HYPERLINK("https://ictv.global/taxonomy/taxondetails?taxnode_id=202514621&amp;ictv_id=ICTV202214621","ICTV202214621")</f>
        <v>ICTV202214621</v>
      </c>
      <c r="R2760" t="s">
        <v>579</v>
      </c>
      <c r="S2760" t="s">
        <v>823</v>
      </c>
      <c r="T2760">
        <v>38</v>
      </c>
      <c r="U2760" s="26" t="str">
        <f t="shared" ref="U2760:U2765" si="101">HYPERLINK("https://ictv.global/ictv/proposals/2022.035B.Grimontviridae_nf.zip","2022.035B.Grimontviridae_nf.zip")</f>
        <v>2022.035B.Grimontviridae_nf.zip</v>
      </c>
    </row>
    <row r="2761" spans="1:21">
      <c r="A2761">
        <v>2760</v>
      </c>
      <c r="B2761" s="27" t="s">
        <v>1449</v>
      </c>
      <c r="D2761" s="27" t="s">
        <v>1450</v>
      </c>
      <c r="F2761" s="27" t="s">
        <v>1453</v>
      </c>
      <c r="H2761" s="27" t="s">
        <v>1454</v>
      </c>
      <c r="L2761" s="27" t="s">
        <v>4829</v>
      </c>
      <c r="N2761" s="27" t="s">
        <v>4837</v>
      </c>
      <c r="P2761" s="27" t="s">
        <v>4839</v>
      </c>
      <c r="Q2761" s="26" t="str">
        <f>HYPERLINK("https://ictv.global/taxonomy/taxondetails?taxnode_id=202514622&amp;ictv_id=ICTV202214622","ICTV202214622")</f>
        <v>ICTV202214622</v>
      </c>
      <c r="R2761" t="s">
        <v>579</v>
      </c>
      <c r="S2761" t="s">
        <v>823</v>
      </c>
      <c r="T2761">
        <v>38</v>
      </c>
      <c r="U2761" s="26" t="str">
        <f t="shared" si="101"/>
        <v>2022.035B.Grimontviridae_nf.zip</v>
      </c>
    </row>
    <row r="2762" spans="1:21">
      <c r="A2762">
        <v>2761</v>
      </c>
      <c r="B2762" s="27" t="s">
        <v>1449</v>
      </c>
      <c r="D2762" s="27" t="s">
        <v>1450</v>
      </c>
      <c r="F2762" s="27" t="s">
        <v>1453</v>
      </c>
      <c r="H2762" s="27" t="s">
        <v>1454</v>
      </c>
      <c r="L2762" s="27" t="s">
        <v>4829</v>
      </c>
      <c r="N2762" s="27" t="s">
        <v>2149</v>
      </c>
      <c r="P2762" s="27" t="s">
        <v>4840</v>
      </c>
      <c r="Q2762" s="26" t="str">
        <f>HYPERLINK("https://ictv.global/taxonomy/taxondetails?taxnode_id=202514624&amp;ictv_id=ICTV202214624","ICTV202214624")</f>
        <v>ICTV202214624</v>
      </c>
      <c r="R2762" t="s">
        <v>579</v>
      </c>
      <c r="S2762" t="s">
        <v>823</v>
      </c>
      <c r="T2762">
        <v>38</v>
      </c>
      <c r="U2762" s="26" t="str">
        <f t="shared" si="101"/>
        <v>2022.035B.Grimontviridae_nf.zip</v>
      </c>
    </row>
    <row r="2763" spans="1:21">
      <c r="A2763">
        <v>2762</v>
      </c>
      <c r="B2763" s="27" t="s">
        <v>1449</v>
      </c>
      <c r="D2763" s="27" t="s">
        <v>1450</v>
      </c>
      <c r="F2763" s="27" t="s">
        <v>1453</v>
      </c>
      <c r="H2763" s="27" t="s">
        <v>1454</v>
      </c>
      <c r="L2763" s="27" t="s">
        <v>4829</v>
      </c>
      <c r="N2763" s="27" t="s">
        <v>2149</v>
      </c>
      <c r="P2763" s="27" t="s">
        <v>4841</v>
      </c>
      <c r="Q2763" s="26" t="str">
        <f>HYPERLINK("https://ictv.global/taxonomy/taxondetails?taxnode_id=202514623&amp;ictv_id=ICTV202214623","ICTV202214623")</f>
        <v>ICTV202214623</v>
      </c>
      <c r="R2763" t="s">
        <v>579</v>
      </c>
      <c r="S2763" t="s">
        <v>823</v>
      </c>
      <c r="T2763">
        <v>38</v>
      </c>
      <c r="U2763" s="26" t="str">
        <f t="shared" si="101"/>
        <v>2022.035B.Grimontviridae_nf.zip</v>
      </c>
    </row>
    <row r="2764" spans="1:21">
      <c r="A2764">
        <v>2763</v>
      </c>
      <c r="B2764" s="27" t="s">
        <v>1449</v>
      </c>
      <c r="D2764" s="27" t="s">
        <v>1450</v>
      </c>
      <c r="F2764" s="27" t="s">
        <v>1453</v>
      </c>
      <c r="H2764" s="27" t="s">
        <v>1454</v>
      </c>
      <c r="L2764" s="27" t="s">
        <v>4829</v>
      </c>
      <c r="N2764" s="27" t="s">
        <v>2149</v>
      </c>
      <c r="P2764" s="27" t="s">
        <v>4842</v>
      </c>
      <c r="Q2764" s="26" t="str">
        <f>HYPERLINK("https://ictv.global/taxonomy/taxondetails?taxnode_id=202511625&amp;ictv_id=ICTV202011625","ICTV202011625")</f>
        <v>ICTV202011625</v>
      </c>
      <c r="R2764" t="s">
        <v>579</v>
      </c>
      <c r="S2764" t="s">
        <v>22763</v>
      </c>
      <c r="T2764">
        <v>38</v>
      </c>
      <c r="U2764" s="26" t="str">
        <f t="shared" si="101"/>
        <v>2022.035B.Grimontviridae_nf.zip</v>
      </c>
    </row>
    <row r="2765" spans="1:21">
      <c r="A2765">
        <v>2764</v>
      </c>
      <c r="B2765" s="27" t="s">
        <v>1449</v>
      </c>
      <c r="D2765" s="27" t="s">
        <v>1450</v>
      </c>
      <c r="F2765" s="27" t="s">
        <v>1453</v>
      </c>
      <c r="H2765" s="27" t="s">
        <v>1454</v>
      </c>
      <c r="L2765" s="27" t="s">
        <v>4829</v>
      </c>
      <c r="N2765" s="27" t="s">
        <v>2149</v>
      </c>
      <c r="P2765" s="27" t="s">
        <v>4843</v>
      </c>
      <c r="Q2765" s="26" t="str">
        <f>HYPERLINK("https://ictv.global/taxonomy/taxondetails?taxnode_id=202511626&amp;ictv_id=ICTV202011626","ICTV202011626")</f>
        <v>ICTV202011626</v>
      </c>
      <c r="R2765" t="s">
        <v>579</v>
      </c>
      <c r="S2765" t="s">
        <v>22763</v>
      </c>
      <c r="T2765">
        <v>38</v>
      </c>
      <c r="U2765" s="26" t="str">
        <f t="shared" si="101"/>
        <v>2022.035B.Grimontviridae_nf.zip</v>
      </c>
    </row>
    <row r="2766" spans="1:21">
      <c r="A2766">
        <v>2765</v>
      </c>
      <c r="B2766" s="27" t="s">
        <v>1449</v>
      </c>
      <c r="D2766" s="27" t="s">
        <v>1450</v>
      </c>
      <c r="F2766" s="27" t="s">
        <v>1453</v>
      </c>
      <c r="H2766" s="27" t="s">
        <v>1454</v>
      </c>
      <c r="L2766" s="27" t="s">
        <v>2054</v>
      </c>
      <c r="M2766" s="27" t="s">
        <v>2055</v>
      </c>
      <c r="N2766" s="27" t="s">
        <v>2056</v>
      </c>
      <c r="P2766" s="27" t="s">
        <v>4844</v>
      </c>
      <c r="Q2766" s="26" t="str">
        <f>HYPERLINK("https://ictv.global/taxonomy/taxondetails?taxnode_id=202510061&amp;ictv_id=ICTV202010061","ICTV202010061")</f>
        <v>ICTV202010061</v>
      </c>
      <c r="R2766" t="s">
        <v>579</v>
      </c>
      <c r="S2766" t="s">
        <v>824</v>
      </c>
      <c r="T2766">
        <v>37</v>
      </c>
      <c r="U2766" s="26" t="str">
        <f>HYPERLINK("https://ictv.global/ictv/proposals/2021.010B.R.Binomial_names.zip","2021.010B.R.Binomial_names.zip")</f>
        <v>2021.010B.R.Binomial_names.zip</v>
      </c>
    </row>
    <row r="2767" spans="1:21">
      <c r="A2767">
        <v>2766</v>
      </c>
      <c r="B2767" s="27" t="s">
        <v>1449</v>
      </c>
      <c r="D2767" s="27" t="s">
        <v>1450</v>
      </c>
      <c r="F2767" s="27" t="s">
        <v>1453</v>
      </c>
      <c r="H2767" s="27" t="s">
        <v>1454</v>
      </c>
      <c r="L2767" s="27" t="s">
        <v>2054</v>
      </c>
      <c r="M2767" s="27" t="s">
        <v>2055</v>
      </c>
      <c r="N2767" s="27" t="s">
        <v>2057</v>
      </c>
      <c r="P2767" s="27" t="s">
        <v>4845</v>
      </c>
      <c r="Q2767" s="26" t="str">
        <f>HYPERLINK("https://ictv.global/taxonomy/taxondetails?taxnode_id=202510059&amp;ictv_id=ICTV202010059","ICTV202010059")</f>
        <v>ICTV202010059</v>
      </c>
      <c r="R2767" t="s">
        <v>579</v>
      </c>
      <c r="S2767" t="s">
        <v>824</v>
      </c>
      <c r="T2767">
        <v>37</v>
      </c>
      <c r="U2767" s="26" t="str">
        <f>HYPERLINK("https://ictv.global/ictv/proposals/2021.010B.R.Binomial_names.zip","2021.010B.R.Binomial_names.zip")</f>
        <v>2021.010B.R.Binomial_names.zip</v>
      </c>
    </row>
    <row r="2768" spans="1:21">
      <c r="A2768">
        <v>2767</v>
      </c>
      <c r="B2768" s="27" t="s">
        <v>1449</v>
      </c>
      <c r="D2768" s="27" t="s">
        <v>1450</v>
      </c>
      <c r="F2768" s="27" t="s">
        <v>1453</v>
      </c>
      <c r="H2768" s="27" t="s">
        <v>1454</v>
      </c>
      <c r="L2768" s="27" t="s">
        <v>2054</v>
      </c>
      <c r="M2768" s="27" t="s">
        <v>2055</v>
      </c>
      <c r="N2768" s="27" t="s">
        <v>2057</v>
      </c>
      <c r="P2768" s="27" t="s">
        <v>11567</v>
      </c>
      <c r="Q2768" s="26" t="str">
        <f>HYPERLINK("https://ictv.global/taxonomy/taxondetails?taxnode_id=202519057&amp;ictv_id=ICTV202319057","ICTV202319057")</f>
        <v>ICTV202319057</v>
      </c>
      <c r="R2768" t="s">
        <v>579</v>
      </c>
      <c r="S2768" t="s">
        <v>823</v>
      </c>
      <c r="T2768">
        <v>39</v>
      </c>
      <c r="U2768" s="26" t="str">
        <f>HYPERLINK("https://ictv.global/ictv/proposals/2023.030B.Guelinviridae_7ns.zip","2023.030B.Guelinviridae_7ns.zip")</f>
        <v>2023.030B.Guelinviridae_7ns.zip</v>
      </c>
    </row>
    <row r="2769" spans="1:21">
      <c r="A2769">
        <v>2768</v>
      </c>
      <c r="B2769" s="27" t="s">
        <v>1449</v>
      </c>
      <c r="D2769" s="27" t="s">
        <v>1450</v>
      </c>
      <c r="F2769" s="27" t="s">
        <v>1453</v>
      </c>
      <c r="H2769" s="27" t="s">
        <v>1454</v>
      </c>
      <c r="L2769" s="27" t="s">
        <v>2054</v>
      </c>
      <c r="M2769" s="27" t="s">
        <v>2055</v>
      </c>
      <c r="N2769" s="27" t="s">
        <v>2057</v>
      </c>
      <c r="P2769" s="27" t="s">
        <v>4846</v>
      </c>
      <c r="Q2769" s="26" t="str">
        <f>HYPERLINK("https://ictv.global/taxonomy/taxondetails?taxnode_id=202510058&amp;ictv_id=ICTV202010058","ICTV202010058")</f>
        <v>ICTV202010058</v>
      </c>
      <c r="R2769" t="s">
        <v>579</v>
      </c>
      <c r="S2769" t="s">
        <v>824</v>
      </c>
      <c r="T2769">
        <v>37</v>
      </c>
      <c r="U2769" s="26" t="str">
        <f>HYPERLINK("https://ictv.global/ictv/proposals/2021.010B.R.Binomial_names.zip","2021.010B.R.Binomial_names.zip")</f>
        <v>2021.010B.R.Binomial_names.zip</v>
      </c>
    </row>
    <row r="2770" spans="1:21">
      <c r="A2770">
        <v>2769</v>
      </c>
      <c r="B2770" s="27" t="s">
        <v>1449</v>
      </c>
      <c r="D2770" s="27" t="s">
        <v>1450</v>
      </c>
      <c r="F2770" s="27" t="s">
        <v>1453</v>
      </c>
      <c r="H2770" s="27" t="s">
        <v>1454</v>
      </c>
      <c r="L2770" s="27" t="s">
        <v>2054</v>
      </c>
      <c r="M2770" s="27" t="s">
        <v>2055</v>
      </c>
      <c r="N2770" s="27" t="s">
        <v>2057</v>
      </c>
      <c r="P2770" s="27" t="s">
        <v>11568</v>
      </c>
      <c r="Q2770" s="26" t="str">
        <f>HYPERLINK("https://ictv.global/taxonomy/taxondetails?taxnode_id=202519058&amp;ictv_id=ICTV202319058","ICTV202319058")</f>
        <v>ICTV202319058</v>
      </c>
      <c r="R2770" t="s">
        <v>579</v>
      </c>
      <c r="S2770" t="s">
        <v>823</v>
      </c>
      <c r="T2770">
        <v>39</v>
      </c>
      <c r="U2770" s="26" t="str">
        <f>HYPERLINK("https://ictv.global/ictv/proposals/2023.030B.Guelinviridae_7ns.zip","2023.030B.Guelinviridae_7ns.zip")</f>
        <v>2023.030B.Guelinviridae_7ns.zip</v>
      </c>
    </row>
    <row r="2771" spans="1:21">
      <c r="A2771">
        <v>2770</v>
      </c>
      <c r="B2771" s="27" t="s">
        <v>1449</v>
      </c>
      <c r="D2771" s="27" t="s">
        <v>1450</v>
      </c>
      <c r="F2771" s="27" t="s">
        <v>1453</v>
      </c>
      <c r="H2771" s="27" t="s">
        <v>1454</v>
      </c>
      <c r="L2771" s="27" t="s">
        <v>2054</v>
      </c>
      <c r="M2771" s="27" t="s">
        <v>2055</v>
      </c>
      <c r="N2771" s="27" t="s">
        <v>2057</v>
      </c>
      <c r="P2771" s="27" t="s">
        <v>4847</v>
      </c>
      <c r="Q2771" s="26" t="str">
        <f>HYPERLINK("https://ictv.global/taxonomy/taxondetails?taxnode_id=202510057&amp;ictv_id=ICTV202010057","ICTV202010057")</f>
        <v>ICTV202010057</v>
      </c>
      <c r="R2771" t="s">
        <v>579</v>
      </c>
      <c r="S2771" t="s">
        <v>824</v>
      </c>
      <c r="T2771">
        <v>37</v>
      </c>
      <c r="U2771" s="26" t="str">
        <f>HYPERLINK("https://ictv.global/ictv/proposals/2021.010B.R.Binomial_names.zip","2021.010B.R.Binomial_names.zip")</f>
        <v>2021.010B.R.Binomial_names.zip</v>
      </c>
    </row>
    <row r="2772" spans="1:21">
      <c r="A2772">
        <v>2771</v>
      </c>
      <c r="B2772" s="27" t="s">
        <v>1449</v>
      </c>
      <c r="D2772" s="27" t="s">
        <v>1450</v>
      </c>
      <c r="F2772" s="27" t="s">
        <v>1453</v>
      </c>
      <c r="H2772" s="27" t="s">
        <v>1454</v>
      </c>
      <c r="L2772" s="27" t="s">
        <v>2054</v>
      </c>
      <c r="M2772" s="27" t="s">
        <v>2055</v>
      </c>
      <c r="N2772" s="27" t="s">
        <v>2057</v>
      </c>
      <c r="P2772" s="27" t="s">
        <v>11569</v>
      </c>
      <c r="Q2772" s="26" t="str">
        <f>HYPERLINK("https://ictv.global/taxonomy/taxondetails?taxnode_id=202519056&amp;ictv_id=ICTV202319056","ICTV202319056")</f>
        <v>ICTV202319056</v>
      </c>
      <c r="R2772" t="s">
        <v>579</v>
      </c>
      <c r="S2772" t="s">
        <v>823</v>
      </c>
      <c r="T2772">
        <v>39</v>
      </c>
      <c r="U2772" s="26" t="str">
        <f>HYPERLINK("https://ictv.global/ictv/proposals/2023.030B.Guelinviridae_7ns.zip","2023.030B.Guelinviridae_7ns.zip")</f>
        <v>2023.030B.Guelinviridae_7ns.zip</v>
      </c>
    </row>
    <row r="2773" spans="1:21">
      <c r="A2773">
        <v>2772</v>
      </c>
      <c r="B2773" s="27" t="s">
        <v>1449</v>
      </c>
      <c r="D2773" s="27" t="s">
        <v>1450</v>
      </c>
      <c r="F2773" s="27" t="s">
        <v>1453</v>
      </c>
      <c r="H2773" s="27" t="s">
        <v>1454</v>
      </c>
      <c r="L2773" s="27" t="s">
        <v>2054</v>
      </c>
      <c r="N2773" s="27" t="s">
        <v>2058</v>
      </c>
      <c r="P2773" s="27" t="s">
        <v>4848</v>
      </c>
      <c r="Q2773" s="26" t="str">
        <f>HYPERLINK("https://ictv.global/taxonomy/taxondetails?taxnode_id=202510063&amp;ictv_id=ICTV202010063","ICTV202010063")</f>
        <v>ICTV202010063</v>
      </c>
      <c r="R2773" t="s">
        <v>579</v>
      </c>
      <c r="S2773" t="s">
        <v>824</v>
      </c>
      <c r="T2773">
        <v>37</v>
      </c>
      <c r="U2773" s="26" t="str">
        <f>HYPERLINK("https://ictv.global/ictv/proposals/2021.010B.R.Binomial_names.zip","2021.010B.R.Binomial_names.zip")</f>
        <v>2021.010B.R.Binomial_names.zip</v>
      </c>
    </row>
    <row r="2774" spans="1:21">
      <c r="A2774">
        <v>2773</v>
      </c>
      <c r="B2774" s="27" t="s">
        <v>1449</v>
      </c>
      <c r="D2774" s="27" t="s">
        <v>1450</v>
      </c>
      <c r="F2774" s="27" t="s">
        <v>1453</v>
      </c>
      <c r="H2774" s="27" t="s">
        <v>1454</v>
      </c>
      <c r="L2774" s="27" t="s">
        <v>2054</v>
      </c>
      <c r="N2774" s="27" t="s">
        <v>2058</v>
      </c>
      <c r="P2774" s="27" t="s">
        <v>11570</v>
      </c>
      <c r="Q2774" s="26" t="str">
        <f>HYPERLINK("https://ictv.global/taxonomy/taxondetails?taxnode_id=202519060&amp;ictv_id=ICTV202319060","ICTV202319060")</f>
        <v>ICTV202319060</v>
      </c>
      <c r="R2774" t="s">
        <v>579</v>
      </c>
      <c r="S2774" t="s">
        <v>823</v>
      </c>
      <c r="T2774">
        <v>39</v>
      </c>
      <c r="U2774" s="26" t="str">
        <f>HYPERLINK("https://ictv.global/ictv/proposals/2023.030B.Guelinviridae_7ns.zip","2023.030B.Guelinviridae_7ns.zip")</f>
        <v>2023.030B.Guelinviridae_7ns.zip</v>
      </c>
    </row>
    <row r="2775" spans="1:21">
      <c r="A2775">
        <v>2774</v>
      </c>
      <c r="B2775" s="27" t="s">
        <v>1449</v>
      </c>
      <c r="D2775" s="27" t="s">
        <v>1450</v>
      </c>
      <c r="F2775" s="27" t="s">
        <v>1453</v>
      </c>
      <c r="H2775" s="27" t="s">
        <v>1454</v>
      </c>
      <c r="L2775" s="27" t="s">
        <v>2054</v>
      </c>
      <c r="N2775" s="27" t="s">
        <v>2058</v>
      </c>
      <c r="P2775" s="27" t="s">
        <v>11571</v>
      </c>
      <c r="Q2775" s="26" t="str">
        <f>HYPERLINK("https://ictv.global/taxonomy/taxondetails?taxnode_id=202519059&amp;ictv_id=ICTV202319059","ICTV202319059")</f>
        <v>ICTV202319059</v>
      </c>
      <c r="R2775" t="s">
        <v>579</v>
      </c>
      <c r="S2775" t="s">
        <v>823</v>
      </c>
      <c r="T2775">
        <v>39</v>
      </c>
      <c r="U2775" s="26" t="str">
        <f>HYPERLINK("https://ictv.global/ictv/proposals/2023.030B.Guelinviridae_7ns.zip","2023.030B.Guelinviridae_7ns.zip")</f>
        <v>2023.030B.Guelinviridae_7ns.zip</v>
      </c>
    </row>
    <row r="2776" spans="1:21">
      <c r="A2776">
        <v>2775</v>
      </c>
      <c r="B2776" s="27" t="s">
        <v>1449</v>
      </c>
      <c r="D2776" s="27" t="s">
        <v>1450</v>
      </c>
      <c r="F2776" s="27" t="s">
        <v>1453</v>
      </c>
      <c r="H2776" s="27" t="s">
        <v>1454</v>
      </c>
      <c r="L2776" s="27" t="s">
        <v>2054</v>
      </c>
      <c r="N2776" s="27" t="s">
        <v>2058</v>
      </c>
      <c r="P2776" s="27" t="s">
        <v>4849</v>
      </c>
      <c r="Q2776" s="26" t="str">
        <f>HYPERLINK("https://ictv.global/taxonomy/taxondetails?taxnode_id=202510066&amp;ictv_id=ICTV202010066","ICTV202010066")</f>
        <v>ICTV202010066</v>
      </c>
      <c r="R2776" t="s">
        <v>579</v>
      </c>
      <c r="S2776" t="s">
        <v>824</v>
      </c>
      <c r="T2776">
        <v>37</v>
      </c>
      <c r="U2776" s="26" t="str">
        <f>HYPERLINK("https://ictv.global/ictv/proposals/2021.010B.R.Binomial_names.zip","2021.010B.R.Binomial_names.zip")</f>
        <v>2021.010B.R.Binomial_names.zip</v>
      </c>
    </row>
    <row r="2777" spans="1:21">
      <c r="A2777">
        <v>2776</v>
      </c>
      <c r="B2777" s="27" t="s">
        <v>1449</v>
      </c>
      <c r="D2777" s="27" t="s">
        <v>1450</v>
      </c>
      <c r="F2777" s="27" t="s">
        <v>1453</v>
      </c>
      <c r="H2777" s="27" t="s">
        <v>1454</v>
      </c>
      <c r="L2777" s="27" t="s">
        <v>2054</v>
      </c>
      <c r="N2777" s="27" t="s">
        <v>2058</v>
      </c>
      <c r="P2777" s="27" t="s">
        <v>4850</v>
      </c>
      <c r="Q2777" s="26" t="str">
        <f>HYPERLINK("https://ictv.global/taxonomy/taxondetails?taxnode_id=202510065&amp;ictv_id=ICTV202010065","ICTV202010065")</f>
        <v>ICTV202010065</v>
      </c>
      <c r="R2777" t="s">
        <v>579</v>
      </c>
      <c r="S2777" t="s">
        <v>824</v>
      </c>
      <c r="T2777">
        <v>37</v>
      </c>
      <c r="U2777" s="26" t="str">
        <f>HYPERLINK("https://ictv.global/ictv/proposals/2021.010B.R.Binomial_names.zip","2021.010B.R.Binomial_names.zip")</f>
        <v>2021.010B.R.Binomial_names.zip</v>
      </c>
    </row>
    <row r="2778" spans="1:21">
      <c r="A2778">
        <v>2777</v>
      </c>
      <c r="B2778" s="27" t="s">
        <v>1449</v>
      </c>
      <c r="D2778" s="27" t="s">
        <v>1450</v>
      </c>
      <c r="F2778" s="27" t="s">
        <v>1453</v>
      </c>
      <c r="H2778" s="27" t="s">
        <v>1454</v>
      </c>
      <c r="L2778" s="27" t="s">
        <v>2054</v>
      </c>
      <c r="N2778" s="27" t="s">
        <v>2058</v>
      </c>
      <c r="P2778" s="27" t="s">
        <v>4851</v>
      </c>
      <c r="Q2778" s="26" t="str">
        <f>HYPERLINK("https://ictv.global/taxonomy/taxondetails?taxnode_id=202510064&amp;ictv_id=ICTV202010064","ICTV202010064")</f>
        <v>ICTV202010064</v>
      </c>
      <c r="R2778" t="s">
        <v>579</v>
      </c>
      <c r="S2778" t="s">
        <v>824</v>
      </c>
      <c r="T2778">
        <v>37</v>
      </c>
      <c r="U2778" s="26" t="str">
        <f>HYPERLINK("https://ictv.global/ictv/proposals/2021.010B.R.Binomial_names.zip","2021.010B.R.Binomial_names.zip")</f>
        <v>2021.010B.R.Binomial_names.zip</v>
      </c>
    </row>
    <row r="2779" spans="1:21">
      <c r="A2779">
        <v>2778</v>
      </c>
      <c r="B2779" s="27" t="s">
        <v>1449</v>
      </c>
      <c r="D2779" s="27" t="s">
        <v>1450</v>
      </c>
      <c r="F2779" s="27" t="s">
        <v>1453</v>
      </c>
      <c r="H2779" s="27" t="s">
        <v>1454</v>
      </c>
      <c r="L2779" s="27" t="s">
        <v>2054</v>
      </c>
      <c r="N2779" s="27" t="s">
        <v>4852</v>
      </c>
      <c r="P2779" s="27" t="s">
        <v>4853</v>
      </c>
      <c r="Q2779" s="26" t="str">
        <f>HYPERLINK("https://ictv.global/taxonomy/taxondetails?taxnode_id=202514630&amp;ictv_id=ICTV202214630","ICTV202214630")</f>
        <v>ICTV202214630</v>
      </c>
      <c r="R2779" t="s">
        <v>579</v>
      </c>
      <c r="S2779" t="s">
        <v>823</v>
      </c>
      <c r="T2779">
        <v>38</v>
      </c>
      <c r="U2779" s="26" t="str">
        <f>HYPERLINK("https://ictv.global/ictv/proposals/2022.037B.Hzauvirus_ng.zip","2022.037B.Hzauvirus_ng.zip")</f>
        <v>2022.037B.Hzauvirus_ng.zip</v>
      </c>
    </row>
    <row r="2780" spans="1:21">
      <c r="A2780">
        <v>2779</v>
      </c>
      <c r="B2780" s="27" t="s">
        <v>1449</v>
      </c>
      <c r="D2780" s="27" t="s">
        <v>1450</v>
      </c>
      <c r="F2780" s="27" t="s">
        <v>1453</v>
      </c>
      <c r="H2780" s="27" t="s">
        <v>1454</v>
      </c>
      <c r="L2780" s="27" t="s">
        <v>2054</v>
      </c>
      <c r="N2780" s="27" t="s">
        <v>2059</v>
      </c>
      <c r="P2780" s="27" t="s">
        <v>11572</v>
      </c>
      <c r="Q2780" s="26" t="str">
        <f>HYPERLINK("https://ictv.global/taxonomy/taxondetails?taxnode_id=202519061&amp;ictv_id=ICTV202319061","ICTV202319061")</f>
        <v>ICTV202319061</v>
      </c>
      <c r="R2780" t="s">
        <v>579</v>
      </c>
      <c r="S2780" t="s">
        <v>823</v>
      </c>
      <c r="T2780">
        <v>39</v>
      </c>
      <c r="U2780" s="26" t="str">
        <f>HYPERLINK("https://ictv.global/ictv/proposals/2023.030B.Guelinviridae_7ns.zip","2023.030B.Guelinviridae_7ns.zip")</f>
        <v>2023.030B.Guelinviridae_7ns.zip</v>
      </c>
    </row>
    <row r="2781" spans="1:21">
      <c r="A2781">
        <v>2780</v>
      </c>
      <c r="B2781" s="27" t="s">
        <v>1449</v>
      </c>
      <c r="D2781" s="27" t="s">
        <v>1450</v>
      </c>
      <c r="F2781" s="27" t="s">
        <v>1453</v>
      </c>
      <c r="H2781" s="27" t="s">
        <v>1454</v>
      </c>
      <c r="L2781" s="27" t="s">
        <v>2054</v>
      </c>
      <c r="N2781" s="27" t="s">
        <v>2059</v>
      </c>
      <c r="P2781" s="27" t="s">
        <v>11573</v>
      </c>
      <c r="Q2781" s="26" t="str">
        <f>HYPERLINK("https://ictv.global/taxonomy/taxondetails?taxnode_id=202519062&amp;ictv_id=ICTV202319062","ICTV202319062")</f>
        <v>ICTV202319062</v>
      </c>
      <c r="R2781" t="s">
        <v>579</v>
      </c>
      <c r="S2781" t="s">
        <v>823</v>
      </c>
      <c r="T2781">
        <v>39</v>
      </c>
      <c r="U2781" s="26" t="str">
        <f>HYPERLINK("https://ictv.global/ictv/proposals/2023.030B.Guelinviridae_7ns.zip","2023.030B.Guelinviridae_7ns.zip")</f>
        <v>2023.030B.Guelinviridae_7ns.zip</v>
      </c>
    </row>
    <row r="2782" spans="1:21">
      <c r="A2782">
        <v>2781</v>
      </c>
      <c r="B2782" s="27" t="s">
        <v>1449</v>
      </c>
      <c r="D2782" s="27" t="s">
        <v>1450</v>
      </c>
      <c r="F2782" s="27" t="s">
        <v>1453</v>
      </c>
      <c r="H2782" s="27" t="s">
        <v>1454</v>
      </c>
      <c r="L2782" s="27" t="s">
        <v>2054</v>
      </c>
      <c r="N2782" s="27" t="s">
        <v>2059</v>
      </c>
      <c r="P2782" s="27" t="s">
        <v>4854</v>
      </c>
      <c r="Q2782" s="26" t="str">
        <f>HYPERLINK("https://ictv.global/taxonomy/taxondetails?taxnode_id=202510068&amp;ictv_id=ICTV202010068","ICTV202010068")</f>
        <v>ICTV202010068</v>
      </c>
      <c r="R2782" t="s">
        <v>579</v>
      </c>
      <c r="S2782" t="s">
        <v>824</v>
      </c>
      <c r="T2782">
        <v>37</v>
      </c>
      <c r="U2782" s="26" t="str">
        <f>HYPERLINK("https://ictv.global/ictv/proposals/2021.010B.R.Binomial_names.zip","2021.010B.R.Binomial_names.zip")</f>
        <v>2021.010B.R.Binomial_names.zip</v>
      </c>
    </row>
    <row r="2783" spans="1:21">
      <c r="A2783">
        <v>2782</v>
      </c>
      <c r="B2783" s="27" t="s">
        <v>1449</v>
      </c>
      <c r="D2783" s="27" t="s">
        <v>1450</v>
      </c>
      <c r="F2783" s="27" t="s">
        <v>1453</v>
      </c>
      <c r="H2783" s="27" t="s">
        <v>1454</v>
      </c>
      <c r="L2783" s="27" t="s">
        <v>21147</v>
      </c>
      <c r="N2783" s="27" t="s">
        <v>21150</v>
      </c>
      <c r="P2783" s="27" t="s">
        <v>21151</v>
      </c>
      <c r="Q2783" s="26" t="str">
        <f>HYPERLINK("https://ictv.global/taxonomy/taxondetails?taxnode_id=202522076&amp;ictv_id=ICTV202522076","ICTV202522076")</f>
        <v>ICTV202522076</v>
      </c>
      <c r="R2783" t="s">
        <v>579</v>
      </c>
      <c r="S2783" t="s">
        <v>823</v>
      </c>
      <c r="T2783">
        <v>41</v>
      </c>
      <c r="U2783" s="26" t="str">
        <f>HYPERLINK("https://ictv.global/ictv/proposals/2025.002A.Archaeal_Caudoviricetes_8nf.zip","2025.002A.Archaeal_Caudoviricetes_8nf.zip")</f>
        <v>2025.002A.Archaeal_Caudoviricetes_8nf.zip</v>
      </c>
    </row>
    <row r="2784" spans="1:21">
      <c r="A2784">
        <v>2783</v>
      </c>
      <c r="B2784" s="27" t="s">
        <v>1449</v>
      </c>
      <c r="D2784" s="27" t="s">
        <v>1450</v>
      </c>
      <c r="F2784" s="27" t="s">
        <v>1453</v>
      </c>
      <c r="H2784" s="27" t="s">
        <v>1454</v>
      </c>
      <c r="L2784" s="27" t="s">
        <v>21147</v>
      </c>
      <c r="N2784" s="27" t="s">
        <v>21148</v>
      </c>
      <c r="P2784" s="27" t="s">
        <v>21149</v>
      </c>
      <c r="Q2784" s="26" t="str">
        <f>HYPERLINK("https://ictv.global/taxonomy/taxondetails?taxnode_id=202522075&amp;ictv_id=ICTV202522075","ICTV202522075")</f>
        <v>ICTV202522075</v>
      </c>
      <c r="R2784" t="s">
        <v>579</v>
      </c>
      <c r="S2784" t="s">
        <v>823</v>
      </c>
      <c r="T2784">
        <v>41</v>
      </c>
      <c r="U2784" s="26" t="str">
        <f>HYPERLINK("https://ictv.global/ictv/proposals/2025.002A.Archaeal_Caudoviricetes_8nf.zip","2025.002A.Archaeal_Caudoviricetes_8nf.zip")</f>
        <v>2025.002A.Archaeal_Caudoviricetes_8nf.zip</v>
      </c>
    </row>
    <row r="2785" spans="1:21">
      <c r="A2785">
        <v>2784</v>
      </c>
      <c r="B2785" s="27" t="s">
        <v>1449</v>
      </c>
      <c r="D2785" s="27" t="s">
        <v>1450</v>
      </c>
      <c r="F2785" s="27" t="s">
        <v>1453</v>
      </c>
      <c r="H2785" s="27" t="s">
        <v>1454</v>
      </c>
      <c r="L2785" s="27" t="s">
        <v>4855</v>
      </c>
      <c r="N2785" s="27" t="s">
        <v>4856</v>
      </c>
      <c r="P2785" s="27" t="s">
        <v>4857</v>
      </c>
      <c r="Q2785" s="26" t="str">
        <f>HYPERLINK("https://ictv.global/taxonomy/taxondetails?taxnode_id=202513558&amp;ictv_id=ICTV202113558","ICTV202113558")</f>
        <v>ICTV202113558</v>
      </c>
      <c r="R2785" t="s">
        <v>579</v>
      </c>
      <c r="S2785" t="s">
        <v>823</v>
      </c>
      <c r="T2785">
        <v>37</v>
      </c>
      <c r="U2785" s="26" t="str">
        <f>HYPERLINK("https://ictv.global/ictv/proposals/2021.029B.R.Flavophages_9_families.zip","2021.029B.R.Flavophages_9_families.zip")</f>
        <v>2021.029B.R.Flavophages_9_families.zip</v>
      </c>
    </row>
    <row r="2786" spans="1:21">
      <c r="A2786">
        <v>2785</v>
      </c>
      <c r="B2786" s="27" t="s">
        <v>1449</v>
      </c>
      <c r="D2786" s="27" t="s">
        <v>1450</v>
      </c>
      <c r="F2786" s="27" t="s">
        <v>1453</v>
      </c>
      <c r="H2786" s="27" t="s">
        <v>1454</v>
      </c>
      <c r="L2786" s="27" t="s">
        <v>1192</v>
      </c>
      <c r="M2786" s="27" t="s">
        <v>1193</v>
      </c>
      <c r="N2786" s="27" t="s">
        <v>590</v>
      </c>
      <c r="P2786" s="27" t="s">
        <v>4858</v>
      </c>
      <c r="Q2786" s="26" t="str">
        <f>HYPERLINK("https://ictv.global/taxonomy/taxondetails?taxnode_id=202500367&amp;ictv_id=ICTV20150209","ICTV20150209")</f>
        <v>ICTV20150209</v>
      </c>
      <c r="R2786" t="s">
        <v>579</v>
      </c>
      <c r="S2786" t="s">
        <v>824</v>
      </c>
      <c r="T2786">
        <v>37</v>
      </c>
      <c r="U2786" s="26" t="str">
        <f t="shared" ref="U2786:U2822" si="102">HYPERLINK("https://ictv.global/ictv/proposals/2021.010B.R.Binomial_names.zip","2021.010B.R.Binomial_names.zip")</f>
        <v>2021.010B.R.Binomial_names.zip</v>
      </c>
    </row>
    <row r="2787" spans="1:21">
      <c r="A2787">
        <v>2786</v>
      </c>
      <c r="B2787" s="27" t="s">
        <v>1449</v>
      </c>
      <c r="D2787" s="27" t="s">
        <v>1450</v>
      </c>
      <c r="F2787" s="27" t="s">
        <v>1453</v>
      </c>
      <c r="H2787" s="27" t="s">
        <v>1454</v>
      </c>
      <c r="L2787" s="27" t="s">
        <v>1192</v>
      </c>
      <c r="M2787" s="27" t="s">
        <v>1193</v>
      </c>
      <c r="N2787" s="27" t="s">
        <v>590</v>
      </c>
      <c r="P2787" s="27" t="s">
        <v>4859</v>
      </c>
      <c r="Q2787" s="26" t="str">
        <f>HYPERLINK("https://ictv.global/taxonomy/taxondetails?taxnode_id=202500368&amp;ictv_id=ICTV20150210","ICTV20150210")</f>
        <v>ICTV20150210</v>
      </c>
      <c r="R2787" t="s">
        <v>579</v>
      </c>
      <c r="S2787" t="s">
        <v>824</v>
      </c>
      <c r="T2787">
        <v>37</v>
      </c>
      <c r="U2787" s="26" t="str">
        <f t="shared" si="102"/>
        <v>2021.010B.R.Binomial_names.zip</v>
      </c>
    </row>
    <row r="2788" spans="1:21">
      <c r="A2788">
        <v>2787</v>
      </c>
      <c r="B2788" s="27" t="s">
        <v>1449</v>
      </c>
      <c r="D2788" s="27" t="s">
        <v>1450</v>
      </c>
      <c r="F2788" s="27" t="s">
        <v>1453</v>
      </c>
      <c r="H2788" s="27" t="s">
        <v>1454</v>
      </c>
      <c r="L2788" s="27" t="s">
        <v>1192</v>
      </c>
      <c r="M2788" s="27" t="s">
        <v>1193</v>
      </c>
      <c r="N2788" s="27" t="s">
        <v>590</v>
      </c>
      <c r="P2788" s="27" t="s">
        <v>4860</v>
      </c>
      <c r="Q2788" s="26" t="str">
        <f>HYPERLINK("https://ictv.global/taxonomy/taxondetails?taxnode_id=202500369&amp;ictv_id=ICTV20150211","ICTV20150211")</f>
        <v>ICTV20150211</v>
      </c>
      <c r="R2788" t="s">
        <v>579</v>
      </c>
      <c r="S2788" t="s">
        <v>824</v>
      </c>
      <c r="T2788">
        <v>37</v>
      </c>
      <c r="U2788" s="26" t="str">
        <f t="shared" si="102"/>
        <v>2021.010B.R.Binomial_names.zip</v>
      </c>
    </row>
    <row r="2789" spans="1:21">
      <c r="A2789">
        <v>2788</v>
      </c>
      <c r="B2789" s="27" t="s">
        <v>1449</v>
      </c>
      <c r="D2789" s="27" t="s">
        <v>1450</v>
      </c>
      <c r="F2789" s="27" t="s">
        <v>1453</v>
      </c>
      <c r="H2789" s="27" t="s">
        <v>1454</v>
      </c>
      <c r="L2789" s="27" t="s">
        <v>1192</v>
      </c>
      <c r="M2789" s="27" t="s">
        <v>1193</v>
      </c>
      <c r="N2789" s="27" t="s">
        <v>591</v>
      </c>
      <c r="P2789" s="27" t="s">
        <v>4861</v>
      </c>
      <c r="Q2789" s="26" t="str">
        <f>HYPERLINK("https://ictv.global/taxonomy/taxondetails?taxnode_id=202500392&amp;ictv_id=ICTV20150200","ICTV20150200")</f>
        <v>ICTV20150200</v>
      </c>
      <c r="R2789" t="s">
        <v>579</v>
      </c>
      <c r="S2789" t="s">
        <v>824</v>
      </c>
      <c r="T2789">
        <v>37</v>
      </c>
      <c r="U2789" s="26" t="str">
        <f t="shared" si="102"/>
        <v>2021.010B.R.Binomial_names.zip</v>
      </c>
    </row>
    <row r="2790" spans="1:21">
      <c r="A2790">
        <v>2789</v>
      </c>
      <c r="B2790" s="27" t="s">
        <v>1449</v>
      </c>
      <c r="D2790" s="27" t="s">
        <v>1450</v>
      </c>
      <c r="F2790" s="27" t="s">
        <v>1453</v>
      </c>
      <c r="H2790" s="27" t="s">
        <v>1454</v>
      </c>
      <c r="L2790" s="27" t="s">
        <v>1192</v>
      </c>
      <c r="M2790" s="27" t="s">
        <v>1193</v>
      </c>
      <c r="N2790" s="27" t="s">
        <v>591</v>
      </c>
      <c r="P2790" s="27" t="s">
        <v>4862</v>
      </c>
      <c r="Q2790" s="26" t="str">
        <f>HYPERLINK("https://ictv.global/taxonomy/taxondetails?taxnode_id=202500393&amp;ictv_id=ICTV20150201","ICTV20150201")</f>
        <v>ICTV20150201</v>
      </c>
      <c r="R2790" t="s">
        <v>579</v>
      </c>
      <c r="S2790" t="s">
        <v>824</v>
      </c>
      <c r="T2790">
        <v>37</v>
      </c>
      <c r="U2790" s="26" t="str">
        <f t="shared" si="102"/>
        <v>2021.010B.R.Binomial_names.zip</v>
      </c>
    </row>
    <row r="2791" spans="1:21">
      <c r="A2791">
        <v>2790</v>
      </c>
      <c r="B2791" s="27" t="s">
        <v>1449</v>
      </c>
      <c r="D2791" s="27" t="s">
        <v>1450</v>
      </c>
      <c r="F2791" s="27" t="s">
        <v>1453</v>
      </c>
      <c r="H2791" s="27" t="s">
        <v>1454</v>
      </c>
      <c r="L2791" s="27" t="s">
        <v>1192</v>
      </c>
      <c r="M2791" s="27" t="s">
        <v>1193</v>
      </c>
      <c r="N2791" s="27" t="s">
        <v>591</v>
      </c>
      <c r="P2791" s="27" t="s">
        <v>4863</v>
      </c>
      <c r="Q2791" s="26" t="str">
        <f>HYPERLINK("https://ictv.global/taxonomy/taxondetails?taxnode_id=202506960&amp;ictv_id=ICTV201856960","ICTV201856960")</f>
        <v>ICTV201856960</v>
      </c>
      <c r="R2791" t="s">
        <v>579</v>
      </c>
      <c r="S2791" t="s">
        <v>824</v>
      </c>
      <c r="T2791">
        <v>37</v>
      </c>
      <c r="U2791" s="26" t="str">
        <f t="shared" si="102"/>
        <v>2021.010B.R.Binomial_names.zip</v>
      </c>
    </row>
    <row r="2792" spans="1:21">
      <c r="A2792">
        <v>2791</v>
      </c>
      <c r="B2792" s="27" t="s">
        <v>1449</v>
      </c>
      <c r="D2792" s="27" t="s">
        <v>1450</v>
      </c>
      <c r="F2792" s="27" t="s">
        <v>1453</v>
      </c>
      <c r="H2792" s="27" t="s">
        <v>1454</v>
      </c>
      <c r="L2792" s="27" t="s">
        <v>1192</v>
      </c>
      <c r="M2792" s="27" t="s">
        <v>1193</v>
      </c>
      <c r="N2792" s="27" t="s">
        <v>591</v>
      </c>
      <c r="P2792" s="27" t="s">
        <v>4864</v>
      </c>
      <c r="Q2792" s="26" t="str">
        <f>HYPERLINK("https://ictv.global/taxonomy/taxondetails?taxnode_id=202506961&amp;ictv_id=ICTV201856961","ICTV201856961")</f>
        <v>ICTV201856961</v>
      </c>
      <c r="R2792" t="s">
        <v>579</v>
      </c>
      <c r="S2792" t="s">
        <v>824</v>
      </c>
      <c r="T2792">
        <v>37</v>
      </c>
      <c r="U2792" s="26" t="str">
        <f t="shared" si="102"/>
        <v>2021.010B.R.Binomial_names.zip</v>
      </c>
    </row>
    <row r="2793" spans="1:21">
      <c r="A2793">
        <v>2792</v>
      </c>
      <c r="B2793" s="27" t="s">
        <v>1449</v>
      </c>
      <c r="D2793" s="27" t="s">
        <v>1450</v>
      </c>
      <c r="F2793" s="27" t="s">
        <v>1453</v>
      </c>
      <c r="H2793" s="27" t="s">
        <v>1454</v>
      </c>
      <c r="L2793" s="27" t="s">
        <v>1192</v>
      </c>
      <c r="M2793" s="27" t="s">
        <v>1193</v>
      </c>
      <c r="N2793" s="27" t="s">
        <v>1224</v>
      </c>
      <c r="P2793" s="27" t="s">
        <v>4865</v>
      </c>
      <c r="Q2793" s="26" t="str">
        <f>HYPERLINK("https://ictv.global/taxonomy/taxondetails?taxnode_id=202500385&amp;ictv_id=ICTV20164855","ICTV20164855")</f>
        <v>ICTV20164855</v>
      </c>
      <c r="R2793" t="s">
        <v>579</v>
      </c>
      <c r="S2793" t="s">
        <v>824</v>
      </c>
      <c r="T2793">
        <v>37</v>
      </c>
      <c r="U2793" s="26" t="str">
        <f t="shared" si="102"/>
        <v>2021.010B.R.Binomial_names.zip</v>
      </c>
    </row>
    <row r="2794" spans="1:21">
      <c r="A2794">
        <v>2793</v>
      </c>
      <c r="B2794" s="27" t="s">
        <v>1449</v>
      </c>
      <c r="D2794" s="27" t="s">
        <v>1450</v>
      </c>
      <c r="F2794" s="27" t="s">
        <v>1453</v>
      </c>
      <c r="H2794" s="27" t="s">
        <v>1454</v>
      </c>
      <c r="L2794" s="27" t="s">
        <v>1192</v>
      </c>
      <c r="M2794" s="27" t="s">
        <v>1193</v>
      </c>
      <c r="N2794" s="27" t="s">
        <v>1224</v>
      </c>
      <c r="P2794" s="27" t="s">
        <v>4866</v>
      </c>
      <c r="Q2794" s="26" t="str">
        <f>HYPERLINK("https://ictv.global/taxonomy/taxondetails?taxnode_id=202500386&amp;ictv_id=ICTV20150203","ICTV20150203")</f>
        <v>ICTV20150203</v>
      </c>
      <c r="R2794" t="s">
        <v>579</v>
      </c>
      <c r="S2794" t="s">
        <v>824</v>
      </c>
      <c r="T2794">
        <v>37</v>
      </c>
      <c r="U2794" s="26" t="str">
        <f t="shared" si="102"/>
        <v>2021.010B.R.Binomial_names.zip</v>
      </c>
    </row>
    <row r="2795" spans="1:21">
      <c r="A2795">
        <v>2794</v>
      </c>
      <c r="B2795" s="27" t="s">
        <v>1449</v>
      </c>
      <c r="D2795" s="27" t="s">
        <v>1450</v>
      </c>
      <c r="F2795" s="27" t="s">
        <v>1453</v>
      </c>
      <c r="H2795" s="27" t="s">
        <v>1454</v>
      </c>
      <c r="L2795" s="27" t="s">
        <v>1192</v>
      </c>
      <c r="M2795" s="27" t="s">
        <v>1193</v>
      </c>
      <c r="N2795" s="27" t="s">
        <v>1224</v>
      </c>
      <c r="P2795" s="27" t="s">
        <v>4867</v>
      </c>
      <c r="Q2795" s="26" t="str">
        <f>HYPERLINK("https://ictv.global/taxonomy/taxondetails?taxnode_id=202500387&amp;ictv_id=ICTV20150205","ICTV20150205")</f>
        <v>ICTV20150205</v>
      </c>
      <c r="R2795" t="s">
        <v>579</v>
      </c>
      <c r="S2795" t="s">
        <v>824</v>
      </c>
      <c r="T2795">
        <v>37</v>
      </c>
      <c r="U2795" s="26" t="str">
        <f t="shared" si="102"/>
        <v>2021.010B.R.Binomial_names.zip</v>
      </c>
    </row>
    <row r="2796" spans="1:21">
      <c r="A2796">
        <v>2795</v>
      </c>
      <c r="B2796" s="27" t="s">
        <v>1449</v>
      </c>
      <c r="D2796" s="27" t="s">
        <v>1450</v>
      </c>
      <c r="F2796" s="27" t="s">
        <v>1453</v>
      </c>
      <c r="H2796" s="27" t="s">
        <v>1454</v>
      </c>
      <c r="L2796" s="27" t="s">
        <v>1192</v>
      </c>
      <c r="M2796" s="27" t="s">
        <v>1193</v>
      </c>
      <c r="N2796" s="27" t="s">
        <v>1224</v>
      </c>
      <c r="P2796" s="27" t="s">
        <v>4868</v>
      </c>
      <c r="Q2796" s="26" t="str">
        <f>HYPERLINK("https://ictv.global/taxonomy/taxondetails?taxnode_id=202500388&amp;ictv_id=ICTV20150207","ICTV20150207")</f>
        <v>ICTV20150207</v>
      </c>
      <c r="R2796" t="s">
        <v>579</v>
      </c>
      <c r="S2796" t="s">
        <v>824</v>
      </c>
      <c r="T2796">
        <v>37</v>
      </c>
      <c r="U2796" s="26" t="str">
        <f t="shared" si="102"/>
        <v>2021.010B.R.Binomial_names.zip</v>
      </c>
    </row>
    <row r="2797" spans="1:21">
      <c r="A2797">
        <v>2796</v>
      </c>
      <c r="B2797" s="27" t="s">
        <v>1449</v>
      </c>
      <c r="D2797" s="27" t="s">
        <v>1450</v>
      </c>
      <c r="F2797" s="27" t="s">
        <v>1453</v>
      </c>
      <c r="H2797" s="27" t="s">
        <v>1454</v>
      </c>
      <c r="L2797" s="27" t="s">
        <v>1192</v>
      </c>
      <c r="M2797" s="27" t="s">
        <v>1193</v>
      </c>
      <c r="N2797" s="27" t="s">
        <v>1224</v>
      </c>
      <c r="P2797" s="27" t="s">
        <v>4869</v>
      </c>
      <c r="Q2797" s="26" t="str">
        <f>HYPERLINK("https://ictv.global/taxonomy/taxondetails?taxnode_id=202500389&amp;ictv_id=ICTV20150204","ICTV20150204")</f>
        <v>ICTV20150204</v>
      </c>
      <c r="R2797" t="s">
        <v>579</v>
      </c>
      <c r="S2797" t="s">
        <v>824</v>
      </c>
      <c r="T2797">
        <v>37</v>
      </c>
      <c r="U2797" s="26" t="str">
        <f t="shared" si="102"/>
        <v>2021.010B.R.Binomial_names.zip</v>
      </c>
    </row>
    <row r="2798" spans="1:21">
      <c r="A2798">
        <v>2797</v>
      </c>
      <c r="B2798" s="27" t="s">
        <v>1449</v>
      </c>
      <c r="D2798" s="27" t="s">
        <v>1450</v>
      </c>
      <c r="F2798" s="27" t="s">
        <v>1453</v>
      </c>
      <c r="H2798" s="27" t="s">
        <v>1454</v>
      </c>
      <c r="L2798" s="27" t="s">
        <v>1192</v>
      </c>
      <c r="M2798" s="27" t="s">
        <v>1193</v>
      </c>
      <c r="N2798" s="27" t="s">
        <v>1224</v>
      </c>
      <c r="P2798" s="27" t="s">
        <v>4870</v>
      </c>
      <c r="Q2798" s="26" t="str">
        <f>HYPERLINK("https://ictv.global/taxonomy/taxondetails?taxnode_id=202500390&amp;ictv_id=ICTV20150206","ICTV20150206")</f>
        <v>ICTV20150206</v>
      </c>
      <c r="R2798" t="s">
        <v>579</v>
      </c>
      <c r="S2798" t="s">
        <v>824</v>
      </c>
      <c r="T2798">
        <v>37</v>
      </c>
      <c r="U2798" s="26" t="str">
        <f t="shared" si="102"/>
        <v>2021.010B.R.Binomial_names.zip</v>
      </c>
    </row>
    <row r="2799" spans="1:21">
      <c r="A2799">
        <v>2798</v>
      </c>
      <c r="B2799" s="27" t="s">
        <v>1449</v>
      </c>
      <c r="D2799" s="27" t="s">
        <v>1450</v>
      </c>
      <c r="F2799" s="27" t="s">
        <v>1453</v>
      </c>
      <c r="H2799" s="27" t="s">
        <v>1454</v>
      </c>
      <c r="L2799" s="27" t="s">
        <v>1192</v>
      </c>
      <c r="M2799" s="27" t="s">
        <v>1193</v>
      </c>
      <c r="N2799" s="27" t="s">
        <v>1194</v>
      </c>
      <c r="P2799" s="27" t="s">
        <v>4871</v>
      </c>
      <c r="Q2799" s="26" t="str">
        <f>HYPERLINK("https://ictv.global/taxonomy/taxondetails?taxnode_id=202500395&amp;ictv_id=ICTV20150196","ICTV20150196")</f>
        <v>ICTV20150196</v>
      </c>
      <c r="R2799" t="s">
        <v>579</v>
      </c>
      <c r="S2799" t="s">
        <v>824</v>
      </c>
      <c r="T2799">
        <v>37</v>
      </c>
      <c r="U2799" s="26" t="str">
        <f t="shared" si="102"/>
        <v>2021.010B.R.Binomial_names.zip</v>
      </c>
    </row>
    <row r="2800" spans="1:21">
      <c r="A2800">
        <v>2799</v>
      </c>
      <c r="B2800" s="27" t="s">
        <v>1449</v>
      </c>
      <c r="D2800" s="27" t="s">
        <v>1450</v>
      </c>
      <c r="F2800" s="27" t="s">
        <v>1453</v>
      </c>
      <c r="H2800" s="27" t="s">
        <v>1454</v>
      </c>
      <c r="L2800" s="27" t="s">
        <v>1192</v>
      </c>
      <c r="M2800" s="27" t="s">
        <v>1193</v>
      </c>
      <c r="N2800" s="27" t="s">
        <v>1194</v>
      </c>
      <c r="P2800" s="27" t="s">
        <v>4872</v>
      </c>
      <c r="Q2800" s="26" t="str">
        <f>HYPERLINK("https://ictv.global/taxonomy/taxondetails?taxnode_id=202500396&amp;ictv_id=ICTV20150195","ICTV20150195")</f>
        <v>ICTV20150195</v>
      </c>
      <c r="R2800" t="s">
        <v>579</v>
      </c>
      <c r="S2800" t="s">
        <v>824</v>
      </c>
      <c r="T2800">
        <v>37</v>
      </c>
      <c r="U2800" s="26" t="str">
        <f t="shared" si="102"/>
        <v>2021.010B.R.Binomial_names.zip</v>
      </c>
    </row>
    <row r="2801" spans="1:21">
      <c r="A2801">
        <v>2800</v>
      </c>
      <c r="B2801" s="27" t="s">
        <v>1449</v>
      </c>
      <c r="D2801" s="27" t="s">
        <v>1450</v>
      </c>
      <c r="F2801" s="27" t="s">
        <v>1453</v>
      </c>
      <c r="H2801" s="27" t="s">
        <v>1454</v>
      </c>
      <c r="L2801" s="27" t="s">
        <v>1192</v>
      </c>
      <c r="M2801" s="27" t="s">
        <v>1193</v>
      </c>
      <c r="N2801" s="27" t="s">
        <v>1194</v>
      </c>
      <c r="P2801" s="27" t="s">
        <v>4873</v>
      </c>
      <c r="Q2801" s="26" t="str">
        <f>HYPERLINK("https://ictv.global/taxonomy/taxondetails?taxnode_id=202500397&amp;ictv_id=ICTV20150198","ICTV20150198")</f>
        <v>ICTV20150198</v>
      </c>
      <c r="R2801" t="s">
        <v>579</v>
      </c>
      <c r="S2801" t="s">
        <v>824</v>
      </c>
      <c r="T2801">
        <v>37</v>
      </c>
      <c r="U2801" s="26" t="str">
        <f t="shared" si="102"/>
        <v>2021.010B.R.Binomial_names.zip</v>
      </c>
    </row>
    <row r="2802" spans="1:21">
      <c r="A2802">
        <v>2801</v>
      </c>
      <c r="B2802" s="27" t="s">
        <v>1449</v>
      </c>
      <c r="D2802" s="27" t="s">
        <v>1450</v>
      </c>
      <c r="F2802" s="27" t="s">
        <v>1453</v>
      </c>
      <c r="H2802" s="27" t="s">
        <v>1454</v>
      </c>
      <c r="L2802" s="27" t="s">
        <v>1192</v>
      </c>
      <c r="M2802" s="27" t="s">
        <v>1193</v>
      </c>
      <c r="N2802" s="27" t="s">
        <v>1194</v>
      </c>
      <c r="P2802" s="27" t="s">
        <v>4874</v>
      </c>
      <c r="Q2802" s="26" t="str">
        <f>HYPERLINK("https://ictv.global/taxonomy/taxondetails?taxnode_id=202500398&amp;ictv_id=ICTV20164856","ICTV20164856")</f>
        <v>ICTV20164856</v>
      </c>
      <c r="R2802" t="s">
        <v>579</v>
      </c>
      <c r="S2802" t="s">
        <v>824</v>
      </c>
      <c r="T2802">
        <v>37</v>
      </c>
      <c r="U2802" s="26" t="str">
        <f t="shared" si="102"/>
        <v>2021.010B.R.Binomial_names.zip</v>
      </c>
    </row>
    <row r="2803" spans="1:21">
      <c r="A2803">
        <v>2802</v>
      </c>
      <c r="B2803" s="27" t="s">
        <v>1449</v>
      </c>
      <c r="D2803" s="27" t="s">
        <v>1450</v>
      </c>
      <c r="F2803" s="27" t="s">
        <v>1453</v>
      </c>
      <c r="H2803" s="27" t="s">
        <v>1454</v>
      </c>
      <c r="L2803" s="27" t="s">
        <v>1192</v>
      </c>
      <c r="M2803" s="27" t="s">
        <v>1193</v>
      </c>
      <c r="N2803" s="27" t="s">
        <v>1194</v>
      </c>
      <c r="P2803" s="27" t="s">
        <v>4875</v>
      </c>
      <c r="Q2803" s="26" t="str">
        <f>HYPERLINK("https://ictv.global/taxonomy/taxondetails?taxnode_id=202500399&amp;ictv_id=ICTV20164857","ICTV20164857")</f>
        <v>ICTV20164857</v>
      </c>
      <c r="R2803" t="s">
        <v>579</v>
      </c>
      <c r="S2803" t="s">
        <v>824</v>
      </c>
      <c r="T2803">
        <v>37</v>
      </c>
      <c r="U2803" s="26" t="str">
        <f t="shared" si="102"/>
        <v>2021.010B.R.Binomial_names.zip</v>
      </c>
    </row>
    <row r="2804" spans="1:21">
      <c r="A2804">
        <v>2803</v>
      </c>
      <c r="B2804" s="27" t="s">
        <v>1449</v>
      </c>
      <c r="D2804" s="27" t="s">
        <v>1450</v>
      </c>
      <c r="F2804" s="27" t="s">
        <v>1453</v>
      </c>
      <c r="H2804" s="27" t="s">
        <v>1454</v>
      </c>
      <c r="L2804" s="27" t="s">
        <v>1192</v>
      </c>
      <c r="M2804" s="27" t="s">
        <v>1193</v>
      </c>
      <c r="N2804" s="27" t="s">
        <v>1194</v>
      </c>
      <c r="P2804" s="27" t="s">
        <v>4876</v>
      </c>
      <c r="Q2804" s="26" t="str">
        <f>HYPERLINK("https://ictv.global/taxonomy/taxondetails?taxnode_id=202500400&amp;ictv_id=ICTV20150197","ICTV20150197")</f>
        <v>ICTV20150197</v>
      </c>
      <c r="R2804" t="s">
        <v>579</v>
      </c>
      <c r="S2804" t="s">
        <v>824</v>
      </c>
      <c r="T2804">
        <v>37</v>
      </c>
      <c r="U2804" s="26" t="str">
        <f t="shared" si="102"/>
        <v>2021.010B.R.Binomial_names.zip</v>
      </c>
    </row>
    <row r="2805" spans="1:21">
      <c r="A2805">
        <v>2804</v>
      </c>
      <c r="B2805" s="27" t="s">
        <v>1449</v>
      </c>
      <c r="D2805" s="27" t="s">
        <v>1450</v>
      </c>
      <c r="F2805" s="27" t="s">
        <v>1453</v>
      </c>
      <c r="H2805" s="27" t="s">
        <v>1454</v>
      </c>
      <c r="L2805" s="27" t="s">
        <v>1192</v>
      </c>
      <c r="M2805" s="27" t="s">
        <v>1193</v>
      </c>
      <c r="N2805" s="27" t="s">
        <v>2060</v>
      </c>
      <c r="P2805" s="27" t="s">
        <v>4877</v>
      </c>
      <c r="Q2805" s="26" t="str">
        <f>HYPERLINK("https://ictv.global/taxonomy/taxondetails?taxnode_id=202510113&amp;ictv_id=ICTV202010113","ICTV202010113")</f>
        <v>ICTV202010113</v>
      </c>
      <c r="R2805" t="s">
        <v>579</v>
      </c>
      <c r="S2805" t="s">
        <v>824</v>
      </c>
      <c r="T2805">
        <v>37</v>
      </c>
      <c r="U2805" s="26" t="str">
        <f t="shared" si="102"/>
        <v>2021.010B.R.Binomial_names.zip</v>
      </c>
    </row>
    <row r="2806" spans="1:21">
      <c r="A2806">
        <v>2805</v>
      </c>
      <c r="B2806" s="27" t="s">
        <v>1449</v>
      </c>
      <c r="D2806" s="27" t="s">
        <v>1450</v>
      </c>
      <c r="F2806" s="27" t="s">
        <v>1453</v>
      </c>
      <c r="H2806" s="27" t="s">
        <v>1454</v>
      </c>
      <c r="L2806" s="27" t="s">
        <v>1192</v>
      </c>
      <c r="M2806" s="27" t="s">
        <v>1193</v>
      </c>
      <c r="N2806" s="27" t="s">
        <v>2061</v>
      </c>
      <c r="P2806" s="27" t="s">
        <v>4878</v>
      </c>
      <c r="Q2806" s="26" t="str">
        <f>HYPERLINK("https://ictv.global/taxonomy/taxondetails?taxnode_id=202510117&amp;ictv_id=ICTV202010117","ICTV202010117")</f>
        <v>ICTV202010117</v>
      </c>
      <c r="R2806" t="s">
        <v>579</v>
      </c>
      <c r="S2806" t="s">
        <v>824</v>
      </c>
      <c r="T2806">
        <v>37</v>
      </c>
      <c r="U2806" s="26" t="str">
        <f t="shared" si="102"/>
        <v>2021.010B.R.Binomial_names.zip</v>
      </c>
    </row>
    <row r="2807" spans="1:21">
      <c r="A2807">
        <v>2806</v>
      </c>
      <c r="B2807" s="27" t="s">
        <v>1449</v>
      </c>
      <c r="D2807" s="27" t="s">
        <v>1450</v>
      </c>
      <c r="F2807" s="27" t="s">
        <v>1453</v>
      </c>
      <c r="H2807" s="27" t="s">
        <v>1454</v>
      </c>
      <c r="L2807" s="27" t="s">
        <v>1192</v>
      </c>
      <c r="M2807" s="27" t="s">
        <v>1193</v>
      </c>
      <c r="N2807" s="27" t="s">
        <v>2062</v>
      </c>
      <c r="P2807" s="27" t="s">
        <v>4879</v>
      </c>
      <c r="Q2807" s="26" t="str">
        <f>HYPERLINK("https://ictv.global/taxonomy/taxondetails?taxnode_id=202510111&amp;ictv_id=ICTV202010111","ICTV202010111")</f>
        <v>ICTV202010111</v>
      </c>
      <c r="R2807" t="s">
        <v>579</v>
      </c>
      <c r="S2807" t="s">
        <v>824</v>
      </c>
      <c r="T2807">
        <v>37</v>
      </c>
      <c r="U2807" s="26" t="str">
        <f t="shared" si="102"/>
        <v>2021.010B.R.Binomial_names.zip</v>
      </c>
    </row>
    <row r="2808" spans="1:21">
      <c r="A2808">
        <v>2807</v>
      </c>
      <c r="B2808" s="27" t="s">
        <v>1449</v>
      </c>
      <c r="D2808" s="27" t="s">
        <v>1450</v>
      </c>
      <c r="F2808" s="27" t="s">
        <v>1453</v>
      </c>
      <c r="H2808" s="27" t="s">
        <v>1454</v>
      </c>
      <c r="L2808" s="27" t="s">
        <v>1192</v>
      </c>
      <c r="M2808" s="27" t="s">
        <v>1193</v>
      </c>
      <c r="N2808" s="27" t="s">
        <v>2063</v>
      </c>
      <c r="P2808" s="27" t="s">
        <v>4880</v>
      </c>
      <c r="Q2808" s="26" t="str">
        <f>HYPERLINK("https://ictv.global/taxonomy/taxondetails?taxnode_id=202510115&amp;ictv_id=ICTV202010115","ICTV202010115")</f>
        <v>ICTV202010115</v>
      </c>
      <c r="R2808" t="s">
        <v>579</v>
      </c>
      <c r="S2808" t="s">
        <v>824</v>
      </c>
      <c r="T2808">
        <v>37</v>
      </c>
      <c r="U2808" s="26" t="str">
        <f t="shared" si="102"/>
        <v>2021.010B.R.Binomial_names.zip</v>
      </c>
    </row>
    <row r="2809" spans="1:21">
      <c r="A2809">
        <v>2808</v>
      </c>
      <c r="B2809" s="27" t="s">
        <v>1449</v>
      </c>
      <c r="D2809" s="27" t="s">
        <v>1450</v>
      </c>
      <c r="F2809" s="27" t="s">
        <v>1453</v>
      </c>
      <c r="H2809" s="27" t="s">
        <v>1454</v>
      </c>
      <c r="L2809" s="27" t="s">
        <v>1192</v>
      </c>
      <c r="M2809" s="27" t="s">
        <v>1193</v>
      </c>
      <c r="N2809" s="27" t="s">
        <v>2064</v>
      </c>
      <c r="P2809" s="27" t="s">
        <v>4881</v>
      </c>
      <c r="Q2809" s="26" t="str">
        <f>HYPERLINK("https://ictv.global/taxonomy/taxondetails?taxnode_id=202506963&amp;ictv_id=ICTV201856963","ICTV201856963")</f>
        <v>ICTV201856963</v>
      </c>
      <c r="R2809" t="s">
        <v>579</v>
      </c>
      <c r="S2809" t="s">
        <v>824</v>
      </c>
      <c r="T2809">
        <v>37</v>
      </c>
      <c r="U2809" s="26" t="str">
        <f t="shared" si="102"/>
        <v>2021.010B.R.Binomial_names.zip</v>
      </c>
    </row>
    <row r="2810" spans="1:21">
      <c r="A2810">
        <v>2809</v>
      </c>
      <c r="B2810" s="27" t="s">
        <v>1449</v>
      </c>
      <c r="D2810" s="27" t="s">
        <v>1450</v>
      </c>
      <c r="F2810" s="27" t="s">
        <v>1453</v>
      </c>
      <c r="H2810" s="27" t="s">
        <v>1454</v>
      </c>
      <c r="L2810" s="27" t="s">
        <v>1192</v>
      </c>
      <c r="M2810" s="27" t="s">
        <v>1193</v>
      </c>
      <c r="N2810" s="27" t="s">
        <v>2065</v>
      </c>
      <c r="P2810" s="27" t="s">
        <v>4882</v>
      </c>
      <c r="Q2810" s="26" t="str">
        <f>HYPERLINK("https://ictv.global/taxonomy/taxondetails?taxnode_id=202506964&amp;ictv_id=ICTV201856964","ICTV201856964")</f>
        <v>ICTV201856964</v>
      </c>
      <c r="R2810" t="s">
        <v>579</v>
      </c>
      <c r="S2810" t="s">
        <v>824</v>
      </c>
      <c r="T2810">
        <v>37</v>
      </c>
      <c r="U2810" s="26" t="str">
        <f t="shared" si="102"/>
        <v>2021.010B.R.Binomial_names.zip</v>
      </c>
    </row>
    <row r="2811" spans="1:21">
      <c r="A2811">
        <v>2810</v>
      </c>
      <c r="B2811" s="27" t="s">
        <v>1449</v>
      </c>
      <c r="D2811" s="27" t="s">
        <v>1450</v>
      </c>
      <c r="F2811" s="27" t="s">
        <v>1453</v>
      </c>
      <c r="H2811" s="27" t="s">
        <v>1454</v>
      </c>
      <c r="L2811" s="27" t="s">
        <v>1192</v>
      </c>
      <c r="M2811" s="27" t="s">
        <v>1193</v>
      </c>
      <c r="N2811" s="27" t="s">
        <v>1248</v>
      </c>
      <c r="P2811" s="27" t="s">
        <v>4883</v>
      </c>
      <c r="Q2811" s="26" t="str">
        <f>HYPERLINK("https://ictv.global/taxonomy/taxondetails?taxnode_id=202500461&amp;ictv_id=ICTV20150188","ICTV20150188")</f>
        <v>ICTV20150188</v>
      </c>
      <c r="R2811" t="s">
        <v>579</v>
      </c>
      <c r="S2811" t="s">
        <v>824</v>
      </c>
      <c r="T2811">
        <v>37</v>
      </c>
      <c r="U2811" s="26" t="str">
        <f t="shared" si="102"/>
        <v>2021.010B.R.Binomial_names.zip</v>
      </c>
    </row>
    <row r="2812" spans="1:21">
      <c r="A2812">
        <v>2811</v>
      </c>
      <c r="B2812" s="27" t="s">
        <v>1449</v>
      </c>
      <c r="D2812" s="27" t="s">
        <v>1450</v>
      </c>
      <c r="F2812" s="27" t="s">
        <v>1453</v>
      </c>
      <c r="H2812" s="27" t="s">
        <v>1454</v>
      </c>
      <c r="L2812" s="27" t="s">
        <v>1192</v>
      </c>
      <c r="M2812" s="27" t="s">
        <v>1193</v>
      </c>
      <c r="N2812" s="27" t="s">
        <v>1248</v>
      </c>
      <c r="P2812" s="27" t="s">
        <v>4884</v>
      </c>
      <c r="Q2812" s="26" t="str">
        <f>HYPERLINK("https://ictv.global/taxonomy/taxondetails?taxnode_id=202500462&amp;ictv_id=ICTV20150187","ICTV20150187")</f>
        <v>ICTV20150187</v>
      </c>
      <c r="R2812" t="s">
        <v>579</v>
      </c>
      <c r="S2812" t="s">
        <v>824</v>
      </c>
      <c r="T2812">
        <v>37</v>
      </c>
      <c r="U2812" s="26" t="str">
        <f t="shared" si="102"/>
        <v>2021.010B.R.Binomial_names.zip</v>
      </c>
    </row>
    <row r="2813" spans="1:21">
      <c r="A2813">
        <v>2812</v>
      </c>
      <c r="B2813" s="27" t="s">
        <v>1449</v>
      </c>
      <c r="D2813" s="27" t="s">
        <v>1450</v>
      </c>
      <c r="F2813" s="27" t="s">
        <v>1453</v>
      </c>
      <c r="H2813" s="27" t="s">
        <v>1454</v>
      </c>
      <c r="L2813" s="27" t="s">
        <v>1192</v>
      </c>
      <c r="M2813" s="27" t="s">
        <v>1193</v>
      </c>
      <c r="N2813" s="27" t="s">
        <v>1248</v>
      </c>
      <c r="P2813" s="27" t="s">
        <v>4885</v>
      </c>
      <c r="Q2813" s="26" t="str">
        <f>HYPERLINK("https://ictv.global/taxonomy/taxondetails?taxnode_id=202500463&amp;ictv_id=ICTV20150189","ICTV20150189")</f>
        <v>ICTV20150189</v>
      </c>
      <c r="R2813" t="s">
        <v>579</v>
      </c>
      <c r="S2813" t="s">
        <v>824</v>
      </c>
      <c r="T2813">
        <v>37</v>
      </c>
      <c r="U2813" s="26" t="str">
        <f t="shared" si="102"/>
        <v>2021.010B.R.Binomial_names.zip</v>
      </c>
    </row>
    <row r="2814" spans="1:21">
      <c r="A2814">
        <v>2813</v>
      </c>
      <c r="B2814" s="27" t="s">
        <v>1449</v>
      </c>
      <c r="D2814" s="27" t="s">
        <v>1450</v>
      </c>
      <c r="F2814" s="27" t="s">
        <v>1453</v>
      </c>
      <c r="H2814" s="27" t="s">
        <v>1454</v>
      </c>
      <c r="L2814" s="27" t="s">
        <v>1192</v>
      </c>
      <c r="M2814" s="27" t="s">
        <v>1193</v>
      </c>
      <c r="N2814" s="27" t="s">
        <v>1261</v>
      </c>
      <c r="P2814" s="27" t="s">
        <v>4886</v>
      </c>
      <c r="Q2814" s="26" t="str">
        <f>HYPERLINK("https://ictv.global/taxonomy/taxondetails?taxnode_id=202506989&amp;ictv_id=ICTV201856989","ICTV201856989")</f>
        <v>ICTV201856989</v>
      </c>
      <c r="R2814" t="s">
        <v>579</v>
      </c>
      <c r="S2814" t="s">
        <v>824</v>
      </c>
      <c r="T2814">
        <v>37</v>
      </c>
      <c r="U2814" s="26" t="str">
        <f t="shared" si="102"/>
        <v>2021.010B.R.Binomial_names.zip</v>
      </c>
    </row>
    <row r="2815" spans="1:21">
      <c r="A2815">
        <v>2814</v>
      </c>
      <c r="B2815" s="27" t="s">
        <v>1449</v>
      </c>
      <c r="D2815" s="27" t="s">
        <v>1450</v>
      </c>
      <c r="F2815" s="27" t="s">
        <v>1453</v>
      </c>
      <c r="H2815" s="27" t="s">
        <v>1454</v>
      </c>
      <c r="L2815" s="27" t="s">
        <v>1192</v>
      </c>
      <c r="M2815" s="27" t="s">
        <v>1193</v>
      </c>
      <c r="N2815" s="27" t="s">
        <v>2066</v>
      </c>
      <c r="P2815" s="27" t="s">
        <v>4887</v>
      </c>
      <c r="Q2815" s="26" t="str">
        <f>HYPERLINK("https://ictv.global/taxonomy/taxondetails?taxnode_id=202506965&amp;ictv_id=ICTV201856965","ICTV201856965")</f>
        <v>ICTV201856965</v>
      </c>
      <c r="R2815" t="s">
        <v>579</v>
      </c>
      <c r="S2815" t="s">
        <v>824</v>
      </c>
      <c r="T2815">
        <v>37</v>
      </c>
      <c r="U2815" s="26" t="str">
        <f t="shared" si="102"/>
        <v>2021.010B.R.Binomial_names.zip</v>
      </c>
    </row>
    <row r="2816" spans="1:21">
      <c r="A2816">
        <v>2815</v>
      </c>
      <c r="B2816" s="27" t="s">
        <v>1449</v>
      </c>
      <c r="D2816" s="27" t="s">
        <v>1450</v>
      </c>
      <c r="F2816" s="27" t="s">
        <v>1453</v>
      </c>
      <c r="H2816" s="27" t="s">
        <v>1454</v>
      </c>
      <c r="L2816" s="27" t="s">
        <v>1192</v>
      </c>
      <c r="M2816" s="27" t="s">
        <v>1193</v>
      </c>
      <c r="N2816" s="27" t="s">
        <v>759</v>
      </c>
      <c r="P2816" s="27" t="s">
        <v>4888</v>
      </c>
      <c r="Q2816" s="26" t="str">
        <f>HYPERLINK("https://ictv.global/taxonomy/taxondetails?taxnode_id=202500270&amp;ictv_id=ICTV20164832","ICTV20164832")</f>
        <v>ICTV20164832</v>
      </c>
      <c r="R2816" t="s">
        <v>579</v>
      </c>
      <c r="S2816" t="s">
        <v>824</v>
      </c>
      <c r="T2816">
        <v>37</v>
      </c>
      <c r="U2816" s="26" t="str">
        <f t="shared" si="102"/>
        <v>2021.010B.R.Binomial_names.zip</v>
      </c>
    </row>
    <row r="2817" spans="1:21">
      <c r="A2817">
        <v>2816</v>
      </c>
      <c r="B2817" s="27" t="s">
        <v>1449</v>
      </c>
      <c r="D2817" s="27" t="s">
        <v>1450</v>
      </c>
      <c r="F2817" s="27" t="s">
        <v>1453</v>
      </c>
      <c r="H2817" s="27" t="s">
        <v>1454</v>
      </c>
      <c r="L2817" s="27" t="s">
        <v>1192</v>
      </c>
      <c r="M2817" s="27" t="s">
        <v>1193</v>
      </c>
      <c r="N2817" s="27" t="s">
        <v>759</v>
      </c>
      <c r="P2817" s="27" t="s">
        <v>4889</v>
      </c>
      <c r="Q2817" s="26" t="str">
        <f>HYPERLINK("https://ictv.global/taxonomy/taxondetails?taxnode_id=202500271&amp;ictv_id=ICTV20164833","ICTV20164833")</f>
        <v>ICTV20164833</v>
      </c>
      <c r="R2817" t="s">
        <v>579</v>
      </c>
      <c r="S2817" t="s">
        <v>824</v>
      </c>
      <c r="T2817">
        <v>37</v>
      </c>
      <c r="U2817" s="26" t="str">
        <f t="shared" si="102"/>
        <v>2021.010B.R.Binomial_names.zip</v>
      </c>
    </row>
    <row r="2818" spans="1:21">
      <c r="A2818">
        <v>2817</v>
      </c>
      <c r="B2818" s="27" t="s">
        <v>1449</v>
      </c>
      <c r="D2818" s="27" t="s">
        <v>1450</v>
      </c>
      <c r="F2818" s="27" t="s">
        <v>1453</v>
      </c>
      <c r="H2818" s="27" t="s">
        <v>1454</v>
      </c>
      <c r="L2818" s="27" t="s">
        <v>1192</v>
      </c>
      <c r="M2818" s="27" t="s">
        <v>1193</v>
      </c>
      <c r="N2818" s="27" t="s">
        <v>600</v>
      </c>
      <c r="P2818" s="27" t="s">
        <v>4890</v>
      </c>
      <c r="Q2818" s="26" t="str">
        <f>HYPERLINK("https://ictv.global/taxonomy/taxondetails?taxnode_id=202500536&amp;ictv_id=ICTV20164883","ICTV20164883")</f>
        <v>ICTV20164883</v>
      </c>
      <c r="R2818" t="s">
        <v>579</v>
      </c>
      <c r="S2818" t="s">
        <v>824</v>
      </c>
      <c r="T2818">
        <v>37</v>
      </c>
      <c r="U2818" s="26" t="str">
        <f t="shared" si="102"/>
        <v>2021.010B.R.Binomial_names.zip</v>
      </c>
    </row>
    <row r="2819" spans="1:21">
      <c r="A2819">
        <v>2818</v>
      </c>
      <c r="B2819" s="27" t="s">
        <v>1449</v>
      </c>
      <c r="D2819" s="27" t="s">
        <v>1450</v>
      </c>
      <c r="F2819" s="27" t="s">
        <v>1453</v>
      </c>
      <c r="H2819" s="27" t="s">
        <v>1454</v>
      </c>
      <c r="L2819" s="27" t="s">
        <v>1192</v>
      </c>
      <c r="M2819" s="27" t="s">
        <v>1193</v>
      </c>
      <c r="N2819" s="27" t="s">
        <v>600</v>
      </c>
      <c r="P2819" s="27" t="s">
        <v>4891</v>
      </c>
      <c r="Q2819" s="26" t="str">
        <f>HYPERLINK("https://ictv.global/taxonomy/taxondetails?taxnode_id=202506962&amp;ictv_id=ICTV201856962","ICTV201856962")</f>
        <v>ICTV201856962</v>
      </c>
      <c r="R2819" t="s">
        <v>579</v>
      </c>
      <c r="S2819" t="s">
        <v>824</v>
      </c>
      <c r="T2819">
        <v>37</v>
      </c>
      <c r="U2819" s="26" t="str">
        <f t="shared" si="102"/>
        <v>2021.010B.R.Binomial_names.zip</v>
      </c>
    </row>
    <row r="2820" spans="1:21">
      <c r="A2820">
        <v>2819</v>
      </c>
      <c r="B2820" s="27" t="s">
        <v>1449</v>
      </c>
      <c r="D2820" s="27" t="s">
        <v>1450</v>
      </c>
      <c r="F2820" s="27" t="s">
        <v>1453</v>
      </c>
      <c r="H2820" s="27" t="s">
        <v>1454</v>
      </c>
      <c r="L2820" s="27" t="s">
        <v>1192</v>
      </c>
      <c r="M2820" s="27" t="s">
        <v>1193</v>
      </c>
      <c r="N2820" s="27" t="s">
        <v>600</v>
      </c>
      <c r="P2820" s="27" t="s">
        <v>4892</v>
      </c>
      <c r="Q2820" s="26" t="str">
        <f>HYPERLINK("https://ictv.global/taxonomy/taxondetails?taxnode_id=202500537&amp;ictv_id=ICTV20164884","ICTV20164884")</f>
        <v>ICTV20164884</v>
      </c>
      <c r="R2820" t="s">
        <v>579</v>
      </c>
      <c r="S2820" t="s">
        <v>824</v>
      </c>
      <c r="T2820">
        <v>37</v>
      </c>
      <c r="U2820" s="26" t="str">
        <f t="shared" si="102"/>
        <v>2021.010B.R.Binomial_names.zip</v>
      </c>
    </row>
    <row r="2821" spans="1:21">
      <c r="A2821">
        <v>2820</v>
      </c>
      <c r="B2821" s="27" t="s">
        <v>1449</v>
      </c>
      <c r="D2821" s="27" t="s">
        <v>1450</v>
      </c>
      <c r="F2821" s="27" t="s">
        <v>1453</v>
      </c>
      <c r="H2821" s="27" t="s">
        <v>1454</v>
      </c>
      <c r="L2821" s="27" t="s">
        <v>1192</v>
      </c>
      <c r="M2821" s="27" t="s">
        <v>1193</v>
      </c>
      <c r="N2821" s="27" t="s">
        <v>600</v>
      </c>
      <c r="P2821" s="27" t="s">
        <v>4893</v>
      </c>
      <c r="Q2821" s="26" t="str">
        <f>HYPERLINK("https://ictv.global/taxonomy/taxondetails?taxnode_id=202500538&amp;ictv_id=ICTV20164885","ICTV20164885")</f>
        <v>ICTV20164885</v>
      </c>
      <c r="R2821" t="s">
        <v>579</v>
      </c>
      <c r="S2821" t="s">
        <v>824</v>
      </c>
      <c r="T2821">
        <v>37</v>
      </c>
      <c r="U2821" s="26" t="str">
        <f t="shared" si="102"/>
        <v>2021.010B.R.Binomial_names.zip</v>
      </c>
    </row>
    <row r="2822" spans="1:21">
      <c r="A2822">
        <v>2821</v>
      </c>
      <c r="B2822" s="27" t="s">
        <v>1449</v>
      </c>
      <c r="D2822" s="27" t="s">
        <v>1450</v>
      </c>
      <c r="F2822" s="27" t="s">
        <v>1453</v>
      </c>
      <c r="H2822" s="27" t="s">
        <v>1454</v>
      </c>
      <c r="L2822" s="27" t="s">
        <v>1192</v>
      </c>
      <c r="M2822" s="27" t="s">
        <v>1193</v>
      </c>
      <c r="N2822" s="27" t="s">
        <v>600</v>
      </c>
      <c r="P2822" s="27" t="s">
        <v>4894</v>
      </c>
      <c r="Q2822" s="26" t="str">
        <f>HYPERLINK("https://ictv.global/taxonomy/taxondetails?taxnode_id=202500539&amp;ictv_id=ICTV20150185","ICTV20150185")</f>
        <v>ICTV20150185</v>
      </c>
      <c r="R2822" t="s">
        <v>579</v>
      </c>
      <c r="S2822" t="s">
        <v>824</v>
      </c>
      <c r="T2822">
        <v>37</v>
      </c>
      <c r="U2822" s="26" t="str">
        <f t="shared" si="102"/>
        <v>2021.010B.R.Binomial_names.zip</v>
      </c>
    </row>
    <row r="2823" spans="1:21">
      <c r="A2823">
        <v>2822</v>
      </c>
      <c r="B2823" s="27" t="s">
        <v>1449</v>
      </c>
      <c r="D2823" s="27" t="s">
        <v>1450</v>
      </c>
      <c r="F2823" s="27" t="s">
        <v>1453</v>
      </c>
      <c r="H2823" s="27" t="s">
        <v>1454</v>
      </c>
      <c r="L2823" s="27" t="s">
        <v>1192</v>
      </c>
      <c r="M2823" s="27" t="s">
        <v>1195</v>
      </c>
      <c r="N2823" s="27" t="s">
        <v>1196</v>
      </c>
      <c r="P2823" s="27" t="s">
        <v>11574</v>
      </c>
      <c r="Q2823" s="26" t="str">
        <f>HYPERLINK("https://ictv.global/taxonomy/taxondetails?taxnode_id=202518057&amp;ictv_id=ICTV202318057","ICTV202318057")</f>
        <v>ICTV202318057</v>
      </c>
      <c r="R2823" t="s">
        <v>579</v>
      </c>
      <c r="S2823" t="s">
        <v>823</v>
      </c>
      <c r="T2823">
        <v>39</v>
      </c>
      <c r="U2823" s="26" t="str">
        <f>HYPERLINK("https://ictv.global/ictv/proposals/2023.012B.Brockvirinae_28ns.zip","2023.012B.Brockvirinae_28ns.zip")</f>
        <v>2023.012B.Brockvirinae_28ns.zip</v>
      </c>
    </row>
    <row r="2824" spans="1:21">
      <c r="A2824">
        <v>2823</v>
      </c>
      <c r="B2824" s="27" t="s">
        <v>1449</v>
      </c>
      <c r="D2824" s="27" t="s">
        <v>1450</v>
      </c>
      <c r="F2824" s="27" t="s">
        <v>1453</v>
      </c>
      <c r="H2824" s="27" t="s">
        <v>1454</v>
      </c>
      <c r="L2824" s="27" t="s">
        <v>1192</v>
      </c>
      <c r="M2824" s="27" t="s">
        <v>1195</v>
      </c>
      <c r="N2824" s="27" t="s">
        <v>1196</v>
      </c>
      <c r="P2824" s="27" t="s">
        <v>11575</v>
      </c>
      <c r="Q2824" s="26" t="str">
        <f>HYPERLINK("https://ictv.global/taxonomy/taxondetails?taxnode_id=202518054&amp;ictv_id=ICTV202318054","ICTV202318054")</f>
        <v>ICTV202318054</v>
      </c>
      <c r="R2824" t="s">
        <v>579</v>
      </c>
      <c r="S2824" t="s">
        <v>823</v>
      </c>
      <c r="T2824">
        <v>39</v>
      </c>
      <c r="U2824" s="26" t="str">
        <f>HYPERLINK("https://ictv.global/ictv/proposals/2023.012B.Brockvirinae_28ns.zip","2023.012B.Brockvirinae_28ns.zip")</f>
        <v>2023.012B.Brockvirinae_28ns.zip</v>
      </c>
    </row>
    <row r="2825" spans="1:21">
      <c r="A2825">
        <v>2824</v>
      </c>
      <c r="B2825" s="27" t="s">
        <v>1449</v>
      </c>
      <c r="D2825" s="27" t="s">
        <v>1450</v>
      </c>
      <c r="F2825" s="27" t="s">
        <v>1453</v>
      </c>
      <c r="H2825" s="27" t="s">
        <v>1454</v>
      </c>
      <c r="L2825" s="27" t="s">
        <v>1192</v>
      </c>
      <c r="M2825" s="27" t="s">
        <v>1195</v>
      </c>
      <c r="N2825" s="27" t="s">
        <v>1196</v>
      </c>
      <c r="P2825" s="27" t="s">
        <v>4895</v>
      </c>
      <c r="Q2825" s="26" t="str">
        <f>HYPERLINK("https://ictv.global/taxonomy/taxondetails?taxnode_id=202506968&amp;ictv_id=ICTV201856968","ICTV201856968")</f>
        <v>ICTV201856968</v>
      </c>
      <c r="R2825" t="s">
        <v>579</v>
      </c>
      <c r="S2825" t="s">
        <v>824</v>
      </c>
      <c r="T2825">
        <v>37</v>
      </c>
      <c r="U2825" s="26" t="str">
        <f>HYPERLINK("https://ictv.global/ictv/proposals/2021.010B.R.Binomial_names.zip","2021.010B.R.Binomial_names.zip")</f>
        <v>2021.010B.R.Binomial_names.zip</v>
      </c>
    </row>
    <row r="2826" spans="1:21">
      <c r="A2826">
        <v>2825</v>
      </c>
      <c r="B2826" s="27" t="s">
        <v>1449</v>
      </c>
      <c r="D2826" s="27" t="s">
        <v>1450</v>
      </c>
      <c r="F2826" s="27" t="s">
        <v>1453</v>
      </c>
      <c r="H2826" s="27" t="s">
        <v>1454</v>
      </c>
      <c r="L2826" s="27" t="s">
        <v>1192</v>
      </c>
      <c r="M2826" s="27" t="s">
        <v>1195</v>
      </c>
      <c r="N2826" s="27" t="s">
        <v>1196</v>
      </c>
      <c r="P2826" s="27" t="s">
        <v>11576</v>
      </c>
      <c r="Q2826" s="26" t="str">
        <f>HYPERLINK("https://ictv.global/taxonomy/taxondetails?taxnode_id=202518049&amp;ictv_id=ICTV202318049","ICTV202318049")</f>
        <v>ICTV202318049</v>
      </c>
      <c r="R2826" t="s">
        <v>579</v>
      </c>
      <c r="S2826" t="s">
        <v>823</v>
      </c>
      <c r="T2826">
        <v>39</v>
      </c>
      <c r="U2826" s="26" t="str">
        <f>HYPERLINK("https://ictv.global/ictv/proposals/2023.012B.Brockvirinae_28ns.zip","2023.012B.Brockvirinae_28ns.zip")</f>
        <v>2023.012B.Brockvirinae_28ns.zip</v>
      </c>
    </row>
    <row r="2827" spans="1:21">
      <c r="A2827">
        <v>2826</v>
      </c>
      <c r="B2827" s="27" t="s">
        <v>1449</v>
      </c>
      <c r="D2827" s="27" t="s">
        <v>1450</v>
      </c>
      <c r="F2827" s="27" t="s">
        <v>1453</v>
      </c>
      <c r="H2827" s="27" t="s">
        <v>1454</v>
      </c>
      <c r="L2827" s="27" t="s">
        <v>1192</v>
      </c>
      <c r="M2827" s="27" t="s">
        <v>1195</v>
      </c>
      <c r="N2827" s="27" t="s">
        <v>1196</v>
      </c>
      <c r="P2827" s="27" t="s">
        <v>11577</v>
      </c>
      <c r="Q2827" s="26" t="str">
        <f>HYPERLINK("https://ictv.global/taxonomy/taxondetails?taxnode_id=202518051&amp;ictv_id=ICTV202318051","ICTV202318051")</f>
        <v>ICTV202318051</v>
      </c>
      <c r="R2827" t="s">
        <v>579</v>
      </c>
      <c r="S2827" t="s">
        <v>823</v>
      </c>
      <c r="T2827">
        <v>39</v>
      </c>
      <c r="U2827" s="26" t="str">
        <f>HYPERLINK("https://ictv.global/ictv/proposals/2023.012B.Brockvirinae_28ns.zip","2023.012B.Brockvirinae_28ns.zip")</f>
        <v>2023.012B.Brockvirinae_28ns.zip</v>
      </c>
    </row>
    <row r="2828" spans="1:21">
      <c r="A2828">
        <v>2827</v>
      </c>
      <c r="B2828" s="27" t="s">
        <v>1449</v>
      </c>
      <c r="D2828" s="27" t="s">
        <v>1450</v>
      </c>
      <c r="F2828" s="27" t="s">
        <v>1453</v>
      </c>
      <c r="H2828" s="27" t="s">
        <v>1454</v>
      </c>
      <c r="L2828" s="27" t="s">
        <v>1192</v>
      </c>
      <c r="M2828" s="27" t="s">
        <v>1195</v>
      </c>
      <c r="N2828" s="27" t="s">
        <v>1196</v>
      </c>
      <c r="P2828" s="27" t="s">
        <v>11578</v>
      </c>
      <c r="Q2828" s="26" t="str">
        <f>HYPERLINK("https://ictv.global/taxonomy/taxondetails?taxnode_id=202518052&amp;ictv_id=ICTV202318052","ICTV202318052")</f>
        <v>ICTV202318052</v>
      </c>
      <c r="R2828" t="s">
        <v>579</v>
      </c>
      <c r="S2828" t="s">
        <v>823</v>
      </c>
      <c r="T2828">
        <v>39</v>
      </c>
      <c r="U2828" s="26" t="str">
        <f>HYPERLINK("https://ictv.global/ictv/proposals/2023.012B.Brockvirinae_28ns.zip","2023.012B.Brockvirinae_28ns.zip")</f>
        <v>2023.012B.Brockvirinae_28ns.zip</v>
      </c>
    </row>
    <row r="2829" spans="1:21">
      <c r="A2829">
        <v>2828</v>
      </c>
      <c r="B2829" s="27" t="s">
        <v>1449</v>
      </c>
      <c r="D2829" s="27" t="s">
        <v>1450</v>
      </c>
      <c r="F2829" s="27" t="s">
        <v>1453</v>
      </c>
      <c r="H2829" s="27" t="s">
        <v>1454</v>
      </c>
      <c r="L2829" s="27" t="s">
        <v>1192</v>
      </c>
      <c r="M2829" s="27" t="s">
        <v>1195</v>
      </c>
      <c r="N2829" s="27" t="s">
        <v>1196</v>
      </c>
      <c r="P2829" s="27" t="s">
        <v>4896</v>
      </c>
      <c r="Q2829" s="26" t="str">
        <f>HYPERLINK("https://ictv.global/taxonomy/taxondetails?taxnode_id=202500275&amp;ictv_id=ICTV20115498","ICTV20115498")</f>
        <v>ICTV20115498</v>
      </c>
      <c r="R2829" t="s">
        <v>579</v>
      </c>
      <c r="S2829" t="s">
        <v>824</v>
      </c>
      <c r="T2829">
        <v>37</v>
      </c>
      <c r="U2829" s="26" t="str">
        <f>HYPERLINK("https://ictv.global/ictv/proposals/2021.010B.R.Binomial_names.zip","2021.010B.R.Binomial_names.zip")</f>
        <v>2021.010B.R.Binomial_names.zip</v>
      </c>
    </row>
    <row r="2830" spans="1:21">
      <c r="A2830">
        <v>2829</v>
      </c>
      <c r="B2830" s="27" t="s">
        <v>1449</v>
      </c>
      <c r="D2830" s="27" t="s">
        <v>1450</v>
      </c>
      <c r="F2830" s="27" t="s">
        <v>1453</v>
      </c>
      <c r="H2830" s="27" t="s">
        <v>1454</v>
      </c>
      <c r="L2830" s="27" t="s">
        <v>1192</v>
      </c>
      <c r="M2830" s="27" t="s">
        <v>1195</v>
      </c>
      <c r="N2830" s="27" t="s">
        <v>1196</v>
      </c>
      <c r="P2830" s="27" t="s">
        <v>11579</v>
      </c>
      <c r="Q2830" s="26" t="str">
        <f>HYPERLINK("https://ictv.global/taxonomy/taxondetails?taxnode_id=202518058&amp;ictv_id=ICTV202318058","ICTV202318058")</f>
        <v>ICTV202318058</v>
      </c>
      <c r="R2830" t="s">
        <v>579</v>
      </c>
      <c r="S2830" t="s">
        <v>823</v>
      </c>
      <c r="T2830">
        <v>39</v>
      </c>
      <c r="U2830" s="26" t="str">
        <f>HYPERLINK("https://ictv.global/ictv/proposals/2023.012B.Brockvirinae_28ns.zip","2023.012B.Brockvirinae_28ns.zip")</f>
        <v>2023.012B.Brockvirinae_28ns.zip</v>
      </c>
    </row>
    <row r="2831" spans="1:21">
      <c r="A2831">
        <v>2830</v>
      </c>
      <c r="B2831" s="27" t="s">
        <v>1449</v>
      </c>
      <c r="D2831" s="27" t="s">
        <v>1450</v>
      </c>
      <c r="F2831" s="27" t="s">
        <v>1453</v>
      </c>
      <c r="H2831" s="27" t="s">
        <v>1454</v>
      </c>
      <c r="L2831" s="27" t="s">
        <v>1192</v>
      </c>
      <c r="M2831" s="27" t="s">
        <v>1195</v>
      </c>
      <c r="N2831" s="27" t="s">
        <v>1196</v>
      </c>
      <c r="P2831" s="27" t="s">
        <v>4897</v>
      </c>
      <c r="Q2831" s="26" t="str">
        <f>HYPERLINK("https://ictv.global/taxonomy/taxondetails?taxnode_id=202506969&amp;ictv_id=ICTV201856969","ICTV201856969")</f>
        <v>ICTV201856969</v>
      </c>
      <c r="R2831" t="s">
        <v>579</v>
      </c>
      <c r="S2831" t="s">
        <v>824</v>
      </c>
      <c r="T2831">
        <v>37</v>
      </c>
      <c r="U2831" s="26" t="str">
        <f>HYPERLINK("https://ictv.global/ictv/proposals/2021.010B.R.Binomial_names.zip","2021.010B.R.Binomial_names.zip")</f>
        <v>2021.010B.R.Binomial_names.zip</v>
      </c>
    </row>
    <row r="2832" spans="1:21">
      <c r="A2832">
        <v>2831</v>
      </c>
      <c r="B2832" s="27" t="s">
        <v>1449</v>
      </c>
      <c r="D2832" s="27" t="s">
        <v>1450</v>
      </c>
      <c r="F2832" s="27" t="s">
        <v>1453</v>
      </c>
      <c r="H2832" s="27" t="s">
        <v>1454</v>
      </c>
      <c r="L2832" s="27" t="s">
        <v>1192</v>
      </c>
      <c r="M2832" s="27" t="s">
        <v>1195</v>
      </c>
      <c r="N2832" s="27" t="s">
        <v>1196</v>
      </c>
      <c r="P2832" s="27" t="s">
        <v>11580</v>
      </c>
      <c r="Q2832" s="26" t="str">
        <f>HYPERLINK("https://ictv.global/taxonomy/taxondetails?taxnode_id=202518056&amp;ictv_id=ICTV202318056","ICTV202318056")</f>
        <v>ICTV202318056</v>
      </c>
      <c r="R2832" t="s">
        <v>579</v>
      </c>
      <c r="S2832" t="s">
        <v>823</v>
      </c>
      <c r="T2832">
        <v>39</v>
      </c>
      <c r="U2832" s="26" t="str">
        <f t="shared" ref="U2832:U2842" si="103">HYPERLINK("https://ictv.global/ictv/proposals/2023.012B.Brockvirinae_28ns.zip","2023.012B.Brockvirinae_28ns.zip")</f>
        <v>2023.012B.Brockvirinae_28ns.zip</v>
      </c>
    </row>
    <row r="2833" spans="1:21">
      <c r="A2833">
        <v>2832</v>
      </c>
      <c r="B2833" s="27" t="s">
        <v>1449</v>
      </c>
      <c r="D2833" s="27" t="s">
        <v>1450</v>
      </c>
      <c r="F2833" s="27" t="s">
        <v>1453</v>
      </c>
      <c r="H2833" s="27" t="s">
        <v>1454</v>
      </c>
      <c r="L2833" s="27" t="s">
        <v>1192</v>
      </c>
      <c r="M2833" s="27" t="s">
        <v>1195</v>
      </c>
      <c r="N2833" s="27" t="s">
        <v>1196</v>
      </c>
      <c r="P2833" s="27" t="s">
        <v>11581</v>
      </c>
      <c r="Q2833" s="26" t="str">
        <f>HYPERLINK("https://ictv.global/taxonomy/taxondetails?taxnode_id=202518048&amp;ictv_id=ICTV202318048","ICTV202318048")</f>
        <v>ICTV202318048</v>
      </c>
      <c r="R2833" t="s">
        <v>579</v>
      </c>
      <c r="S2833" t="s">
        <v>823</v>
      </c>
      <c r="T2833">
        <v>39</v>
      </c>
      <c r="U2833" s="26" t="str">
        <f t="shared" si="103"/>
        <v>2023.012B.Brockvirinae_28ns.zip</v>
      </c>
    </row>
    <row r="2834" spans="1:21">
      <c r="A2834">
        <v>2833</v>
      </c>
      <c r="B2834" s="27" t="s">
        <v>1449</v>
      </c>
      <c r="D2834" s="27" t="s">
        <v>1450</v>
      </c>
      <c r="F2834" s="27" t="s">
        <v>1453</v>
      </c>
      <c r="H2834" s="27" t="s">
        <v>1454</v>
      </c>
      <c r="L2834" s="27" t="s">
        <v>1192</v>
      </c>
      <c r="M2834" s="27" t="s">
        <v>1195</v>
      </c>
      <c r="N2834" s="27" t="s">
        <v>1196</v>
      </c>
      <c r="P2834" s="27" t="s">
        <v>11582</v>
      </c>
      <c r="Q2834" s="26" t="str">
        <f>HYPERLINK("https://ictv.global/taxonomy/taxondetails?taxnode_id=202518055&amp;ictv_id=ICTV202318055","ICTV202318055")</f>
        <v>ICTV202318055</v>
      </c>
      <c r="R2834" t="s">
        <v>579</v>
      </c>
      <c r="S2834" t="s">
        <v>823</v>
      </c>
      <c r="T2834">
        <v>39</v>
      </c>
      <c r="U2834" s="26" t="str">
        <f t="shared" si="103"/>
        <v>2023.012B.Brockvirinae_28ns.zip</v>
      </c>
    </row>
    <row r="2835" spans="1:21">
      <c r="A2835">
        <v>2834</v>
      </c>
      <c r="B2835" s="27" t="s">
        <v>1449</v>
      </c>
      <c r="D2835" s="27" t="s">
        <v>1450</v>
      </c>
      <c r="F2835" s="27" t="s">
        <v>1453</v>
      </c>
      <c r="H2835" s="27" t="s">
        <v>1454</v>
      </c>
      <c r="L2835" s="27" t="s">
        <v>1192</v>
      </c>
      <c r="M2835" s="27" t="s">
        <v>1195</v>
      </c>
      <c r="N2835" s="27" t="s">
        <v>1196</v>
      </c>
      <c r="P2835" s="27" t="s">
        <v>11583</v>
      </c>
      <c r="Q2835" s="26" t="str">
        <f>HYPERLINK("https://ictv.global/taxonomy/taxondetails?taxnode_id=202518053&amp;ictv_id=ICTV202318053","ICTV202318053")</f>
        <v>ICTV202318053</v>
      </c>
      <c r="R2835" t="s">
        <v>579</v>
      </c>
      <c r="S2835" t="s">
        <v>823</v>
      </c>
      <c r="T2835">
        <v>39</v>
      </c>
      <c r="U2835" s="26" t="str">
        <f t="shared" si="103"/>
        <v>2023.012B.Brockvirinae_28ns.zip</v>
      </c>
    </row>
    <row r="2836" spans="1:21">
      <c r="A2836">
        <v>2835</v>
      </c>
      <c r="B2836" s="27" t="s">
        <v>1449</v>
      </c>
      <c r="D2836" s="27" t="s">
        <v>1450</v>
      </c>
      <c r="F2836" s="27" t="s">
        <v>1453</v>
      </c>
      <c r="H2836" s="27" t="s">
        <v>1454</v>
      </c>
      <c r="L2836" s="27" t="s">
        <v>1192</v>
      </c>
      <c r="M2836" s="27" t="s">
        <v>1195</v>
      </c>
      <c r="N2836" s="27" t="s">
        <v>1196</v>
      </c>
      <c r="P2836" s="27" t="s">
        <v>11584</v>
      </c>
      <c r="Q2836" s="26" t="str">
        <f>HYPERLINK("https://ictv.global/taxonomy/taxondetails?taxnode_id=202518050&amp;ictv_id=ICTV202318050","ICTV202318050")</f>
        <v>ICTV202318050</v>
      </c>
      <c r="R2836" t="s">
        <v>579</v>
      </c>
      <c r="S2836" t="s">
        <v>823</v>
      </c>
      <c r="T2836">
        <v>39</v>
      </c>
      <c r="U2836" s="26" t="str">
        <f t="shared" si="103"/>
        <v>2023.012B.Brockvirinae_28ns.zip</v>
      </c>
    </row>
    <row r="2837" spans="1:21">
      <c r="A2837">
        <v>2836</v>
      </c>
      <c r="B2837" s="27" t="s">
        <v>1449</v>
      </c>
      <c r="D2837" s="27" t="s">
        <v>1450</v>
      </c>
      <c r="F2837" s="27" t="s">
        <v>1453</v>
      </c>
      <c r="H2837" s="27" t="s">
        <v>1454</v>
      </c>
      <c r="L2837" s="27" t="s">
        <v>1192</v>
      </c>
      <c r="M2837" s="27" t="s">
        <v>1195</v>
      </c>
      <c r="N2837" s="27" t="s">
        <v>1633</v>
      </c>
      <c r="P2837" s="27" t="s">
        <v>11585</v>
      </c>
      <c r="Q2837" s="26" t="str">
        <f>HYPERLINK("https://ictv.global/taxonomy/taxondetails?taxnode_id=202518042&amp;ictv_id=ICTV202318042","ICTV202318042")</f>
        <v>ICTV202318042</v>
      </c>
      <c r="R2837" t="s">
        <v>579</v>
      </c>
      <c r="S2837" t="s">
        <v>823</v>
      </c>
      <c r="T2837">
        <v>39</v>
      </c>
      <c r="U2837" s="26" t="str">
        <f t="shared" si="103"/>
        <v>2023.012B.Brockvirinae_28ns.zip</v>
      </c>
    </row>
    <row r="2838" spans="1:21">
      <c r="A2838">
        <v>2837</v>
      </c>
      <c r="B2838" s="27" t="s">
        <v>1449</v>
      </c>
      <c r="D2838" s="27" t="s">
        <v>1450</v>
      </c>
      <c r="F2838" s="27" t="s">
        <v>1453</v>
      </c>
      <c r="H2838" s="27" t="s">
        <v>1454</v>
      </c>
      <c r="L2838" s="27" t="s">
        <v>1192</v>
      </c>
      <c r="M2838" s="27" t="s">
        <v>1195</v>
      </c>
      <c r="N2838" s="27" t="s">
        <v>1633</v>
      </c>
      <c r="P2838" s="27" t="s">
        <v>11586</v>
      </c>
      <c r="Q2838" s="26" t="str">
        <f>HYPERLINK("https://ictv.global/taxonomy/taxondetails?taxnode_id=202518038&amp;ictv_id=ICTV202318038","ICTV202318038")</f>
        <v>ICTV202318038</v>
      </c>
      <c r="R2838" t="s">
        <v>579</v>
      </c>
      <c r="S2838" t="s">
        <v>823</v>
      </c>
      <c r="T2838">
        <v>39</v>
      </c>
      <c r="U2838" s="26" t="str">
        <f t="shared" si="103"/>
        <v>2023.012B.Brockvirinae_28ns.zip</v>
      </c>
    </row>
    <row r="2839" spans="1:21">
      <c r="A2839">
        <v>2838</v>
      </c>
      <c r="B2839" s="27" t="s">
        <v>1449</v>
      </c>
      <c r="D2839" s="27" t="s">
        <v>1450</v>
      </c>
      <c r="F2839" s="27" t="s">
        <v>1453</v>
      </c>
      <c r="H2839" s="27" t="s">
        <v>1454</v>
      </c>
      <c r="L2839" s="27" t="s">
        <v>1192</v>
      </c>
      <c r="M2839" s="27" t="s">
        <v>1195</v>
      </c>
      <c r="N2839" s="27" t="s">
        <v>1633</v>
      </c>
      <c r="P2839" s="27" t="s">
        <v>11587</v>
      </c>
      <c r="Q2839" s="26" t="str">
        <f>HYPERLINK("https://ictv.global/taxonomy/taxondetails?taxnode_id=202518041&amp;ictv_id=ICTV202318041","ICTV202318041")</f>
        <v>ICTV202318041</v>
      </c>
      <c r="R2839" t="s">
        <v>579</v>
      </c>
      <c r="S2839" t="s">
        <v>823</v>
      </c>
      <c r="T2839">
        <v>39</v>
      </c>
      <c r="U2839" s="26" t="str">
        <f t="shared" si="103"/>
        <v>2023.012B.Brockvirinae_28ns.zip</v>
      </c>
    </row>
    <row r="2840" spans="1:21">
      <c r="A2840">
        <v>2839</v>
      </c>
      <c r="B2840" s="27" t="s">
        <v>1449</v>
      </c>
      <c r="D2840" s="27" t="s">
        <v>1450</v>
      </c>
      <c r="F2840" s="27" t="s">
        <v>1453</v>
      </c>
      <c r="H2840" s="27" t="s">
        <v>1454</v>
      </c>
      <c r="L2840" s="27" t="s">
        <v>1192</v>
      </c>
      <c r="M2840" s="27" t="s">
        <v>1195</v>
      </c>
      <c r="N2840" s="27" t="s">
        <v>1633</v>
      </c>
      <c r="P2840" s="27" t="s">
        <v>11588</v>
      </c>
      <c r="Q2840" s="26" t="str">
        <f>HYPERLINK("https://ictv.global/taxonomy/taxondetails?taxnode_id=202518034&amp;ictv_id=ICTV202318034","ICTV202318034")</f>
        <v>ICTV202318034</v>
      </c>
      <c r="R2840" t="s">
        <v>579</v>
      </c>
      <c r="S2840" t="s">
        <v>823</v>
      </c>
      <c r="T2840">
        <v>39</v>
      </c>
      <c r="U2840" s="26" t="str">
        <f t="shared" si="103"/>
        <v>2023.012B.Brockvirinae_28ns.zip</v>
      </c>
    </row>
    <row r="2841" spans="1:21">
      <c r="A2841">
        <v>2840</v>
      </c>
      <c r="B2841" s="27" t="s">
        <v>1449</v>
      </c>
      <c r="D2841" s="27" t="s">
        <v>1450</v>
      </c>
      <c r="F2841" s="27" t="s">
        <v>1453</v>
      </c>
      <c r="H2841" s="27" t="s">
        <v>1454</v>
      </c>
      <c r="L2841" s="27" t="s">
        <v>1192</v>
      </c>
      <c r="M2841" s="27" t="s">
        <v>1195</v>
      </c>
      <c r="N2841" s="27" t="s">
        <v>1633</v>
      </c>
      <c r="P2841" s="27" t="s">
        <v>11589</v>
      </c>
      <c r="Q2841" s="26" t="str">
        <f>HYPERLINK("https://ictv.global/taxonomy/taxondetails?taxnode_id=202518040&amp;ictv_id=ICTV202318040","ICTV202318040")</f>
        <v>ICTV202318040</v>
      </c>
      <c r="R2841" t="s">
        <v>579</v>
      </c>
      <c r="S2841" t="s">
        <v>823</v>
      </c>
      <c r="T2841">
        <v>39</v>
      </c>
      <c r="U2841" s="26" t="str">
        <f t="shared" si="103"/>
        <v>2023.012B.Brockvirinae_28ns.zip</v>
      </c>
    </row>
    <row r="2842" spans="1:21">
      <c r="A2842">
        <v>2841</v>
      </c>
      <c r="B2842" s="27" t="s">
        <v>1449</v>
      </c>
      <c r="D2842" s="27" t="s">
        <v>1450</v>
      </c>
      <c r="F2842" s="27" t="s">
        <v>1453</v>
      </c>
      <c r="H2842" s="27" t="s">
        <v>1454</v>
      </c>
      <c r="L2842" s="27" t="s">
        <v>1192</v>
      </c>
      <c r="M2842" s="27" t="s">
        <v>1195</v>
      </c>
      <c r="N2842" s="27" t="s">
        <v>1633</v>
      </c>
      <c r="P2842" s="27" t="s">
        <v>11590</v>
      </c>
      <c r="Q2842" s="26" t="str">
        <f>HYPERLINK("https://ictv.global/taxonomy/taxondetails?taxnode_id=202518043&amp;ictv_id=ICTV202318043","ICTV202318043")</f>
        <v>ICTV202318043</v>
      </c>
      <c r="R2842" t="s">
        <v>579</v>
      </c>
      <c r="S2842" t="s">
        <v>823</v>
      </c>
      <c r="T2842">
        <v>39</v>
      </c>
      <c r="U2842" s="26" t="str">
        <f t="shared" si="103"/>
        <v>2023.012B.Brockvirinae_28ns.zip</v>
      </c>
    </row>
    <row r="2843" spans="1:21">
      <c r="A2843">
        <v>2842</v>
      </c>
      <c r="B2843" s="27" t="s">
        <v>1449</v>
      </c>
      <c r="D2843" s="27" t="s">
        <v>1450</v>
      </c>
      <c r="F2843" s="27" t="s">
        <v>1453</v>
      </c>
      <c r="H2843" s="27" t="s">
        <v>1454</v>
      </c>
      <c r="L2843" s="27" t="s">
        <v>1192</v>
      </c>
      <c r="M2843" s="27" t="s">
        <v>1195</v>
      </c>
      <c r="N2843" s="27" t="s">
        <v>1633</v>
      </c>
      <c r="P2843" s="27" t="s">
        <v>4898</v>
      </c>
      <c r="Q2843" s="26" t="str">
        <f>HYPERLINK("https://ictv.global/taxonomy/taxondetails?taxnode_id=202506970&amp;ictv_id=ICTV201856970","ICTV201856970")</f>
        <v>ICTV201856970</v>
      </c>
      <c r="R2843" t="s">
        <v>579</v>
      </c>
      <c r="S2843" t="s">
        <v>824</v>
      </c>
      <c r="T2843">
        <v>37</v>
      </c>
      <c r="U2843" s="26" t="str">
        <f>HYPERLINK("https://ictv.global/ictv/proposals/2021.010B.R.Binomial_names.zip","2021.010B.R.Binomial_names.zip")</f>
        <v>2021.010B.R.Binomial_names.zip</v>
      </c>
    </row>
    <row r="2844" spans="1:21">
      <c r="A2844">
        <v>2843</v>
      </c>
      <c r="B2844" s="27" t="s">
        <v>1449</v>
      </c>
      <c r="D2844" s="27" t="s">
        <v>1450</v>
      </c>
      <c r="F2844" s="27" t="s">
        <v>1453</v>
      </c>
      <c r="H2844" s="27" t="s">
        <v>1454</v>
      </c>
      <c r="L2844" s="27" t="s">
        <v>1192</v>
      </c>
      <c r="M2844" s="27" t="s">
        <v>1195</v>
      </c>
      <c r="N2844" s="27" t="s">
        <v>1633</v>
      </c>
      <c r="P2844" s="27" t="s">
        <v>11591</v>
      </c>
      <c r="Q2844" s="26" t="str">
        <f>HYPERLINK("https://ictv.global/taxonomy/taxondetails?taxnode_id=202518037&amp;ictv_id=ICTV202318037","ICTV202318037")</f>
        <v>ICTV202318037</v>
      </c>
      <c r="R2844" t="s">
        <v>579</v>
      </c>
      <c r="S2844" t="s">
        <v>823</v>
      </c>
      <c r="T2844">
        <v>39</v>
      </c>
      <c r="U2844" s="26" t="str">
        <f>HYPERLINK("https://ictv.global/ictv/proposals/2023.012B.Brockvirinae_28ns.zip","2023.012B.Brockvirinae_28ns.zip")</f>
        <v>2023.012B.Brockvirinae_28ns.zip</v>
      </c>
    </row>
    <row r="2845" spans="1:21">
      <c r="A2845">
        <v>2844</v>
      </c>
      <c r="B2845" s="27" t="s">
        <v>1449</v>
      </c>
      <c r="D2845" s="27" t="s">
        <v>1450</v>
      </c>
      <c r="F2845" s="27" t="s">
        <v>1453</v>
      </c>
      <c r="H2845" s="27" t="s">
        <v>1454</v>
      </c>
      <c r="L2845" s="27" t="s">
        <v>1192</v>
      </c>
      <c r="M2845" s="27" t="s">
        <v>1195</v>
      </c>
      <c r="N2845" s="27" t="s">
        <v>1633</v>
      </c>
      <c r="P2845" s="27" t="s">
        <v>4899</v>
      </c>
      <c r="Q2845" s="26" t="str">
        <f>HYPERLINK("https://ictv.global/taxonomy/taxondetails?taxnode_id=202507662&amp;ictv_id=ICTV201907662","ICTV201907662")</f>
        <v>ICTV201907662</v>
      </c>
      <c r="R2845" t="s">
        <v>579</v>
      </c>
      <c r="S2845" t="s">
        <v>824</v>
      </c>
      <c r="T2845">
        <v>37</v>
      </c>
      <c r="U2845" s="26" t="str">
        <f>HYPERLINK("https://ictv.global/ictv/proposals/2021.010B.R.Binomial_names.zip","2021.010B.R.Binomial_names.zip")</f>
        <v>2021.010B.R.Binomial_names.zip</v>
      </c>
    </row>
    <row r="2846" spans="1:21">
      <c r="A2846">
        <v>2845</v>
      </c>
      <c r="B2846" s="27" t="s">
        <v>1449</v>
      </c>
      <c r="D2846" s="27" t="s">
        <v>1450</v>
      </c>
      <c r="F2846" s="27" t="s">
        <v>1453</v>
      </c>
      <c r="H2846" s="27" t="s">
        <v>1454</v>
      </c>
      <c r="L2846" s="27" t="s">
        <v>1192</v>
      </c>
      <c r="M2846" s="27" t="s">
        <v>1195</v>
      </c>
      <c r="N2846" s="27" t="s">
        <v>1633</v>
      </c>
      <c r="P2846" s="27" t="s">
        <v>11592</v>
      </c>
      <c r="Q2846" s="26" t="str">
        <f>HYPERLINK("https://ictv.global/taxonomy/taxondetails?taxnode_id=202518031&amp;ictv_id=ICTV202318031","ICTV202318031")</f>
        <v>ICTV202318031</v>
      </c>
      <c r="R2846" t="s">
        <v>579</v>
      </c>
      <c r="S2846" t="s">
        <v>823</v>
      </c>
      <c r="T2846">
        <v>39</v>
      </c>
      <c r="U2846" s="26" t="str">
        <f>HYPERLINK("https://ictv.global/ictv/proposals/2023.012B.Brockvirinae_28ns.zip","2023.012B.Brockvirinae_28ns.zip")</f>
        <v>2023.012B.Brockvirinae_28ns.zip</v>
      </c>
    </row>
    <row r="2847" spans="1:21">
      <c r="A2847">
        <v>2846</v>
      </c>
      <c r="B2847" s="27" t="s">
        <v>1449</v>
      </c>
      <c r="D2847" s="27" t="s">
        <v>1450</v>
      </c>
      <c r="F2847" s="27" t="s">
        <v>1453</v>
      </c>
      <c r="H2847" s="27" t="s">
        <v>1454</v>
      </c>
      <c r="L2847" s="27" t="s">
        <v>1192</v>
      </c>
      <c r="M2847" s="27" t="s">
        <v>1195</v>
      </c>
      <c r="N2847" s="27" t="s">
        <v>1633</v>
      </c>
      <c r="P2847" s="27" t="s">
        <v>4900</v>
      </c>
      <c r="Q2847" s="26" t="str">
        <f>HYPERLINK("https://ictv.global/taxonomy/taxondetails?taxnode_id=202507661&amp;ictv_id=ICTV201907661","ICTV201907661")</f>
        <v>ICTV201907661</v>
      </c>
      <c r="R2847" t="s">
        <v>579</v>
      </c>
      <c r="S2847" t="s">
        <v>824</v>
      </c>
      <c r="T2847">
        <v>37</v>
      </c>
      <c r="U2847" s="26" t="str">
        <f>HYPERLINK("https://ictv.global/ictv/proposals/2021.010B.R.Binomial_names.zip","2021.010B.R.Binomial_names.zip")</f>
        <v>2021.010B.R.Binomial_names.zip</v>
      </c>
    </row>
    <row r="2848" spans="1:21">
      <c r="A2848">
        <v>2847</v>
      </c>
      <c r="B2848" s="27" t="s">
        <v>1449</v>
      </c>
      <c r="D2848" s="27" t="s">
        <v>1450</v>
      </c>
      <c r="F2848" s="27" t="s">
        <v>1453</v>
      </c>
      <c r="H2848" s="27" t="s">
        <v>1454</v>
      </c>
      <c r="L2848" s="27" t="s">
        <v>1192</v>
      </c>
      <c r="M2848" s="27" t="s">
        <v>1195</v>
      </c>
      <c r="N2848" s="27" t="s">
        <v>1633</v>
      </c>
      <c r="P2848" s="27" t="s">
        <v>11593</v>
      </c>
      <c r="Q2848" s="26" t="str">
        <f>HYPERLINK("https://ictv.global/taxonomy/taxondetails?taxnode_id=202518035&amp;ictv_id=ICTV202318035","ICTV202318035")</f>
        <v>ICTV202318035</v>
      </c>
      <c r="R2848" t="s">
        <v>579</v>
      </c>
      <c r="S2848" t="s">
        <v>823</v>
      </c>
      <c r="T2848">
        <v>39</v>
      </c>
      <c r="U2848" s="26" t="str">
        <f t="shared" ref="U2848:U2856" si="104">HYPERLINK("https://ictv.global/ictv/proposals/2023.012B.Brockvirinae_28ns.zip","2023.012B.Brockvirinae_28ns.zip")</f>
        <v>2023.012B.Brockvirinae_28ns.zip</v>
      </c>
    </row>
    <row r="2849" spans="1:21">
      <c r="A2849">
        <v>2848</v>
      </c>
      <c r="B2849" s="27" t="s">
        <v>1449</v>
      </c>
      <c r="D2849" s="27" t="s">
        <v>1450</v>
      </c>
      <c r="F2849" s="27" t="s">
        <v>1453</v>
      </c>
      <c r="H2849" s="27" t="s">
        <v>1454</v>
      </c>
      <c r="L2849" s="27" t="s">
        <v>1192</v>
      </c>
      <c r="M2849" s="27" t="s">
        <v>1195</v>
      </c>
      <c r="N2849" s="27" t="s">
        <v>1633</v>
      </c>
      <c r="P2849" s="27" t="s">
        <v>11594</v>
      </c>
      <c r="Q2849" s="26" t="str">
        <f>HYPERLINK("https://ictv.global/taxonomy/taxondetails?taxnode_id=202518046&amp;ictv_id=ICTV202318046","ICTV202318046")</f>
        <v>ICTV202318046</v>
      </c>
      <c r="R2849" t="s">
        <v>579</v>
      </c>
      <c r="S2849" t="s">
        <v>823</v>
      </c>
      <c r="T2849">
        <v>39</v>
      </c>
      <c r="U2849" s="26" t="str">
        <f t="shared" si="104"/>
        <v>2023.012B.Brockvirinae_28ns.zip</v>
      </c>
    </row>
    <row r="2850" spans="1:21">
      <c r="A2850">
        <v>2849</v>
      </c>
      <c r="B2850" s="27" t="s">
        <v>1449</v>
      </c>
      <c r="D2850" s="27" t="s">
        <v>1450</v>
      </c>
      <c r="F2850" s="27" t="s">
        <v>1453</v>
      </c>
      <c r="H2850" s="27" t="s">
        <v>1454</v>
      </c>
      <c r="L2850" s="27" t="s">
        <v>1192</v>
      </c>
      <c r="M2850" s="27" t="s">
        <v>1195</v>
      </c>
      <c r="N2850" s="27" t="s">
        <v>1633</v>
      </c>
      <c r="P2850" s="27" t="s">
        <v>11595</v>
      </c>
      <c r="Q2850" s="26" t="str">
        <f>HYPERLINK("https://ictv.global/taxonomy/taxondetails?taxnode_id=202518036&amp;ictv_id=ICTV202318036","ICTV202318036")</f>
        <v>ICTV202318036</v>
      </c>
      <c r="R2850" t="s">
        <v>579</v>
      </c>
      <c r="S2850" t="s">
        <v>823</v>
      </c>
      <c r="T2850">
        <v>39</v>
      </c>
      <c r="U2850" s="26" t="str">
        <f t="shared" si="104"/>
        <v>2023.012B.Brockvirinae_28ns.zip</v>
      </c>
    </row>
    <row r="2851" spans="1:21">
      <c r="A2851">
        <v>2850</v>
      </c>
      <c r="B2851" s="27" t="s">
        <v>1449</v>
      </c>
      <c r="D2851" s="27" t="s">
        <v>1450</v>
      </c>
      <c r="F2851" s="27" t="s">
        <v>1453</v>
      </c>
      <c r="H2851" s="27" t="s">
        <v>1454</v>
      </c>
      <c r="L2851" s="27" t="s">
        <v>1192</v>
      </c>
      <c r="M2851" s="27" t="s">
        <v>1195</v>
      </c>
      <c r="N2851" s="27" t="s">
        <v>1633</v>
      </c>
      <c r="P2851" s="27" t="s">
        <v>11596</v>
      </c>
      <c r="Q2851" s="26" t="str">
        <f>HYPERLINK("https://ictv.global/taxonomy/taxondetails?taxnode_id=202518044&amp;ictv_id=ICTV202318044","ICTV202318044")</f>
        <v>ICTV202318044</v>
      </c>
      <c r="R2851" t="s">
        <v>579</v>
      </c>
      <c r="S2851" t="s">
        <v>823</v>
      </c>
      <c r="T2851">
        <v>39</v>
      </c>
      <c r="U2851" s="26" t="str">
        <f t="shared" si="104"/>
        <v>2023.012B.Brockvirinae_28ns.zip</v>
      </c>
    </row>
    <row r="2852" spans="1:21">
      <c r="A2852">
        <v>2851</v>
      </c>
      <c r="B2852" s="27" t="s">
        <v>1449</v>
      </c>
      <c r="D2852" s="27" t="s">
        <v>1450</v>
      </c>
      <c r="F2852" s="27" t="s">
        <v>1453</v>
      </c>
      <c r="H2852" s="27" t="s">
        <v>1454</v>
      </c>
      <c r="L2852" s="27" t="s">
        <v>1192</v>
      </c>
      <c r="M2852" s="27" t="s">
        <v>1195</v>
      </c>
      <c r="N2852" s="27" t="s">
        <v>1633</v>
      </c>
      <c r="P2852" s="27" t="s">
        <v>11597</v>
      </c>
      <c r="Q2852" s="26" t="str">
        <f>HYPERLINK("https://ictv.global/taxonomy/taxondetails?taxnode_id=202518032&amp;ictv_id=ICTV202318032","ICTV202318032")</f>
        <v>ICTV202318032</v>
      </c>
      <c r="R2852" t="s">
        <v>579</v>
      </c>
      <c r="S2852" t="s">
        <v>823</v>
      </c>
      <c r="T2852">
        <v>39</v>
      </c>
      <c r="U2852" s="26" t="str">
        <f t="shared" si="104"/>
        <v>2023.012B.Brockvirinae_28ns.zip</v>
      </c>
    </row>
    <row r="2853" spans="1:21">
      <c r="A2853">
        <v>2852</v>
      </c>
      <c r="B2853" s="27" t="s">
        <v>1449</v>
      </c>
      <c r="D2853" s="27" t="s">
        <v>1450</v>
      </c>
      <c r="F2853" s="27" t="s">
        <v>1453</v>
      </c>
      <c r="H2853" s="27" t="s">
        <v>1454</v>
      </c>
      <c r="L2853" s="27" t="s">
        <v>1192</v>
      </c>
      <c r="M2853" s="27" t="s">
        <v>1195</v>
      </c>
      <c r="N2853" s="27" t="s">
        <v>1633</v>
      </c>
      <c r="P2853" s="27" t="s">
        <v>11598</v>
      </c>
      <c r="Q2853" s="26" t="str">
        <f>HYPERLINK("https://ictv.global/taxonomy/taxondetails?taxnode_id=202518045&amp;ictv_id=ICTV202318045","ICTV202318045")</f>
        <v>ICTV202318045</v>
      </c>
      <c r="R2853" t="s">
        <v>579</v>
      </c>
      <c r="S2853" t="s">
        <v>823</v>
      </c>
      <c r="T2853">
        <v>39</v>
      </c>
      <c r="U2853" s="26" t="str">
        <f t="shared" si="104"/>
        <v>2023.012B.Brockvirinae_28ns.zip</v>
      </c>
    </row>
    <row r="2854" spans="1:21">
      <c r="A2854">
        <v>2853</v>
      </c>
      <c r="B2854" s="27" t="s">
        <v>1449</v>
      </c>
      <c r="D2854" s="27" t="s">
        <v>1450</v>
      </c>
      <c r="F2854" s="27" t="s">
        <v>1453</v>
      </c>
      <c r="H2854" s="27" t="s">
        <v>1454</v>
      </c>
      <c r="L2854" s="27" t="s">
        <v>1192</v>
      </c>
      <c r="M2854" s="27" t="s">
        <v>1195</v>
      </c>
      <c r="N2854" s="27" t="s">
        <v>1633</v>
      </c>
      <c r="P2854" s="27" t="s">
        <v>11599</v>
      </c>
      <c r="Q2854" s="26" t="str">
        <f>HYPERLINK("https://ictv.global/taxonomy/taxondetails?taxnode_id=202518047&amp;ictv_id=ICTV202318047","ICTV202318047")</f>
        <v>ICTV202318047</v>
      </c>
      <c r="R2854" t="s">
        <v>579</v>
      </c>
      <c r="S2854" t="s">
        <v>823</v>
      </c>
      <c r="T2854">
        <v>39</v>
      </c>
      <c r="U2854" s="26" t="str">
        <f t="shared" si="104"/>
        <v>2023.012B.Brockvirinae_28ns.zip</v>
      </c>
    </row>
    <row r="2855" spans="1:21">
      <c r="A2855">
        <v>2854</v>
      </c>
      <c r="B2855" s="27" t="s">
        <v>1449</v>
      </c>
      <c r="D2855" s="27" t="s">
        <v>1450</v>
      </c>
      <c r="F2855" s="27" t="s">
        <v>1453</v>
      </c>
      <c r="H2855" s="27" t="s">
        <v>1454</v>
      </c>
      <c r="L2855" s="27" t="s">
        <v>1192</v>
      </c>
      <c r="M2855" s="27" t="s">
        <v>1195</v>
      </c>
      <c r="N2855" s="27" t="s">
        <v>1633</v>
      </c>
      <c r="P2855" s="27" t="s">
        <v>11600</v>
      </c>
      <c r="Q2855" s="26" t="str">
        <f>HYPERLINK("https://ictv.global/taxonomy/taxondetails?taxnode_id=202518033&amp;ictv_id=ICTV202318033","ICTV202318033")</f>
        <v>ICTV202318033</v>
      </c>
      <c r="R2855" t="s">
        <v>579</v>
      </c>
      <c r="S2855" t="s">
        <v>823</v>
      </c>
      <c r="T2855">
        <v>39</v>
      </c>
      <c r="U2855" s="26" t="str">
        <f t="shared" si="104"/>
        <v>2023.012B.Brockvirinae_28ns.zip</v>
      </c>
    </row>
    <row r="2856" spans="1:21">
      <c r="A2856">
        <v>2855</v>
      </c>
      <c r="B2856" s="27" t="s">
        <v>1449</v>
      </c>
      <c r="D2856" s="27" t="s">
        <v>1450</v>
      </c>
      <c r="F2856" s="27" t="s">
        <v>1453</v>
      </c>
      <c r="H2856" s="27" t="s">
        <v>1454</v>
      </c>
      <c r="L2856" s="27" t="s">
        <v>1192</v>
      </c>
      <c r="M2856" s="27" t="s">
        <v>1195</v>
      </c>
      <c r="N2856" s="27" t="s">
        <v>1633</v>
      </c>
      <c r="P2856" s="27" t="s">
        <v>11601</v>
      </c>
      <c r="Q2856" s="26" t="str">
        <f>HYPERLINK("https://ictv.global/taxonomy/taxondetails?taxnode_id=202518039&amp;ictv_id=ICTV202318039","ICTV202318039")</f>
        <v>ICTV202318039</v>
      </c>
      <c r="R2856" t="s">
        <v>579</v>
      </c>
      <c r="S2856" t="s">
        <v>823</v>
      </c>
      <c r="T2856">
        <v>39</v>
      </c>
      <c r="U2856" s="26" t="str">
        <f t="shared" si="104"/>
        <v>2023.012B.Brockvirinae_28ns.zip</v>
      </c>
    </row>
    <row r="2857" spans="1:21">
      <c r="A2857">
        <v>2856</v>
      </c>
      <c r="B2857" s="27" t="s">
        <v>1449</v>
      </c>
      <c r="D2857" s="27" t="s">
        <v>1450</v>
      </c>
      <c r="F2857" s="27" t="s">
        <v>1453</v>
      </c>
      <c r="H2857" s="27" t="s">
        <v>1454</v>
      </c>
      <c r="L2857" s="27" t="s">
        <v>1192</v>
      </c>
      <c r="M2857" s="27" t="s">
        <v>11602</v>
      </c>
      <c r="N2857" s="27" t="s">
        <v>1197</v>
      </c>
      <c r="P2857" s="27" t="s">
        <v>4901</v>
      </c>
      <c r="Q2857" s="26" t="str">
        <f>HYPERLINK("https://ictv.global/taxonomy/taxondetails?taxnode_id=202500260&amp;ictv_id=ICTV20115494","ICTV20115494")</f>
        <v>ICTV20115494</v>
      </c>
      <c r="R2857" t="s">
        <v>579</v>
      </c>
      <c r="S2857" t="s">
        <v>824</v>
      </c>
      <c r="T2857">
        <v>39</v>
      </c>
      <c r="U2857" s="26" t="str">
        <f t="shared" ref="U2857:U2866" si="105">HYPERLINK("https://ictv.global/ictv/proposals/2023.024B.Error_correction_JasinSkavirinae.zip","2023.024B.Error_correction_JasinSkavirinae.zip")</f>
        <v>2023.024B.Error_correction_JasinSkavirinae.zip</v>
      </c>
    </row>
    <row r="2858" spans="1:21">
      <c r="A2858">
        <v>2857</v>
      </c>
      <c r="B2858" s="27" t="s">
        <v>1449</v>
      </c>
      <c r="D2858" s="27" t="s">
        <v>1450</v>
      </c>
      <c r="F2858" s="27" t="s">
        <v>1453</v>
      </c>
      <c r="H2858" s="27" t="s">
        <v>1454</v>
      </c>
      <c r="L2858" s="27" t="s">
        <v>1192</v>
      </c>
      <c r="M2858" s="27" t="s">
        <v>11602</v>
      </c>
      <c r="N2858" s="27" t="s">
        <v>1197</v>
      </c>
      <c r="P2858" s="27" t="s">
        <v>4902</v>
      </c>
      <c r="Q2858" s="26" t="str">
        <f>HYPERLINK("https://ictv.global/taxonomy/taxondetails?taxnode_id=202506979&amp;ictv_id=ICTV201856979","ICTV201856979")</f>
        <v>ICTV201856979</v>
      </c>
      <c r="R2858" t="s">
        <v>579</v>
      </c>
      <c r="S2858" t="s">
        <v>824</v>
      </c>
      <c r="T2858">
        <v>39</v>
      </c>
      <c r="U2858" s="26" t="str">
        <f t="shared" si="105"/>
        <v>2023.024B.Error_correction_JasinSkavirinae.zip</v>
      </c>
    </row>
    <row r="2859" spans="1:21">
      <c r="A2859">
        <v>2858</v>
      </c>
      <c r="B2859" s="27" t="s">
        <v>1449</v>
      </c>
      <c r="D2859" s="27" t="s">
        <v>1450</v>
      </c>
      <c r="F2859" s="27" t="s">
        <v>1453</v>
      </c>
      <c r="H2859" s="27" t="s">
        <v>1454</v>
      </c>
      <c r="L2859" s="27" t="s">
        <v>1192</v>
      </c>
      <c r="M2859" s="27" t="s">
        <v>11602</v>
      </c>
      <c r="N2859" s="27" t="s">
        <v>1197</v>
      </c>
      <c r="P2859" s="27" t="s">
        <v>4903</v>
      </c>
      <c r="Q2859" s="26" t="str">
        <f>HYPERLINK("https://ictv.global/taxonomy/taxondetails?taxnode_id=202506972&amp;ictv_id=ICTV201856972","ICTV201856972")</f>
        <v>ICTV201856972</v>
      </c>
      <c r="R2859" t="s">
        <v>579</v>
      </c>
      <c r="S2859" t="s">
        <v>824</v>
      </c>
      <c r="T2859">
        <v>39</v>
      </c>
      <c r="U2859" s="26" t="str">
        <f t="shared" si="105"/>
        <v>2023.024B.Error_correction_JasinSkavirinae.zip</v>
      </c>
    </row>
    <row r="2860" spans="1:21">
      <c r="A2860">
        <v>2859</v>
      </c>
      <c r="B2860" s="27" t="s">
        <v>1449</v>
      </c>
      <c r="D2860" s="27" t="s">
        <v>1450</v>
      </c>
      <c r="F2860" s="27" t="s">
        <v>1453</v>
      </c>
      <c r="H2860" s="27" t="s">
        <v>1454</v>
      </c>
      <c r="L2860" s="27" t="s">
        <v>1192</v>
      </c>
      <c r="M2860" s="27" t="s">
        <v>11602</v>
      </c>
      <c r="N2860" s="27" t="s">
        <v>1197</v>
      </c>
      <c r="P2860" s="27" t="s">
        <v>4904</v>
      </c>
      <c r="Q2860" s="26" t="str">
        <f>HYPERLINK("https://ictv.global/taxonomy/taxondetails?taxnode_id=202506973&amp;ictv_id=ICTV201856973","ICTV201856973")</f>
        <v>ICTV201856973</v>
      </c>
      <c r="R2860" t="s">
        <v>579</v>
      </c>
      <c r="S2860" t="s">
        <v>824</v>
      </c>
      <c r="T2860">
        <v>39</v>
      </c>
      <c r="U2860" s="26" t="str">
        <f t="shared" si="105"/>
        <v>2023.024B.Error_correction_JasinSkavirinae.zip</v>
      </c>
    </row>
    <row r="2861" spans="1:21">
      <c r="A2861">
        <v>2860</v>
      </c>
      <c r="B2861" s="27" t="s">
        <v>1449</v>
      </c>
      <c r="D2861" s="27" t="s">
        <v>1450</v>
      </c>
      <c r="F2861" s="27" t="s">
        <v>1453</v>
      </c>
      <c r="H2861" s="27" t="s">
        <v>1454</v>
      </c>
      <c r="L2861" s="27" t="s">
        <v>1192</v>
      </c>
      <c r="M2861" s="27" t="s">
        <v>11602</v>
      </c>
      <c r="N2861" s="27" t="s">
        <v>1197</v>
      </c>
      <c r="P2861" s="27" t="s">
        <v>4905</v>
      </c>
      <c r="Q2861" s="26" t="str">
        <f>HYPERLINK("https://ictv.global/taxonomy/taxondetails?taxnode_id=202506975&amp;ictv_id=ICTV201856975","ICTV201856975")</f>
        <v>ICTV201856975</v>
      </c>
      <c r="R2861" t="s">
        <v>579</v>
      </c>
      <c r="S2861" t="s">
        <v>824</v>
      </c>
      <c r="T2861">
        <v>39</v>
      </c>
      <c r="U2861" s="26" t="str">
        <f t="shared" si="105"/>
        <v>2023.024B.Error_correction_JasinSkavirinae.zip</v>
      </c>
    </row>
    <row r="2862" spans="1:21">
      <c r="A2862">
        <v>2861</v>
      </c>
      <c r="B2862" s="27" t="s">
        <v>1449</v>
      </c>
      <c r="D2862" s="27" t="s">
        <v>1450</v>
      </c>
      <c r="F2862" s="27" t="s">
        <v>1453</v>
      </c>
      <c r="H2862" s="27" t="s">
        <v>1454</v>
      </c>
      <c r="L2862" s="27" t="s">
        <v>1192</v>
      </c>
      <c r="M2862" s="27" t="s">
        <v>11602</v>
      </c>
      <c r="N2862" s="27" t="s">
        <v>1197</v>
      </c>
      <c r="P2862" s="27" t="s">
        <v>4906</v>
      </c>
      <c r="Q2862" s="26" t="str">
        <f>HYPERLINK("https://ictv.global/taxonomy/taxondetails?taxnode_id=202506974&amp;ictv_id=ICTV201856974","ICTV201856974")</f>
        <v>ICTV201856974</v>
      </c>
      <c r="R2862" t="s">
        <v>579</v>
      </c>
      <c r="S2862" t="s">
        <v>824</v>
      </c>
      <c r="T2862">
        <v>39</v>
      </c>
      <c r="U2862" s="26" t="str">
        <f t="shared" si="105"/>
        <v>2023.024B.Error_correction_JasinSkavirinae.zip</v>
      </c>
    </row>
    <row r="2863" spans="1:21">
      <c r="A2863">
        <v>2862</v>
      </c>
      <c r="B2863" s="27" t="s">
        <v>1449</v>
      </c>
      <c r="D2863" s="27" t="s">
        <v>1450</v>
      </c>
      <c r="F2863" s="27" t="s">
        <v>1453</v>
      </c>
      <c r="H2863" s="27" t="s">
        <v>1454</v>
      </c>
      <c r="L2863" s="27" t="s">
        <v>1192</v>
      </c>
      <c r="M2863" s="27" t="s">
        <v>11602</v>
      </c>
      <c r="N2863" s="27" t="s">
        <v>1197</v>
      </c>
      <c r="P2863" s="27" t="s">
        <v>4907</v>
      </c>
      <c r="Q2863" s="26" t="str">
        <f>HYPERLINK("https://ictv.global/taxonomy/taxondetails?taxnode_id=202506976&amp;ictv_id=ICTV201856976","ICTV201856976")</f>
        <v>ICTV201856976</v>
      </c>
      <c r="R2863" t="s">
        <v>579</v>
      </c>
      <c r="S2863" t="s">
        <v>824</v>
      </c>
      <c r="T2863">
        <v>39</v>
      </c>
      <c r="U2863" s="26" t="str">
        <f t="shared" si="105"/>
        <v>2023.024B.Error_correction_JasinSkavirinae.zip</v>
      </c>
    </row>
    <row r="2864" spans="1:21">
      <c r="A2864">
        <v>2863</v>
      </c>
      <c r="B2864" s="27" t="s">
        <v>1449</v>
      </c>
      <c r="D2864" s="27" t="s">
        <v>1450</v>
      </c>
      <c r="F2864" s="27" t="s">
        <v>1453</v>
      </c>
      <c r="H2864" s="27" t="s">
        <v>1454</v>
      </c>
      <c r="L2864" s="27" t="s">
        <v>1192</v>
      </c>
      <c r="M2864" s="27" t="s">
        <v>11602</v>
      </c>
      <c r="N2864" s="27" t="s">
        <v>1197</v>
      </c>
      <c r="P2864" s="27" t="s">
        <v>4908</v>
      </c>
      <c r="Q2864" s="26" t="str">
        <f>HYPERLINK("https://ictv.global/taxonomy/taxondetails?taxnode_id=202506977&amp;ictv_id=ICTV201856977","ICTV201856977")</f>
        <v>ICTV201856977</v>
      </c>
      <c r="R2864" t="s">
        <v>579</v>
      </c>
      <c r="S2864" t="s">
        <v>824</v>
      </c>
      <c r="T2864">
        <v>39</v>
      </c>
      <c r="U2864" s="26" t="str">
        <f t="shared" si="105"/>
        <v>2023.024B.Error_correction_JasinSkavirinae.zip</v>
      </c>
    </row>
    <row r="2865" spans="1:21">
      <c r="A2865">
        <v>2864</v>
      </c>
      <c r="B2865" s="27" t="s">
        <v>1449</v>
      </c>
      <c r="D2865" s="27" t="s">
        <v>1450</v>
      </c>
      <c r="F2865" s="27" t="s">
        <v>1453</v>
      </c>
      <c r="H2865" s="27" t="s">
        <v>1454</v>
      </c>
      <c r="L2865" s="27" t="s">
        <v>1192</v>
      </c>
      <c r="M2865" s="27" t="s">
        <v>11602</v>
      </c>
      <c r="N2865" s="27" t="s">
        <v>1197</v>
      </c>
      <c r="P2865" s="27" t="s">
        <v>4909</v>
      </c>
      <c r="Q2865" s="26" t="str">
        <f>HYPERLINK("https://ictv.global/taxonomy/taxondetails?taxnode_id=202506978&amp;ictv_id=ICTV201856978","ICTV201856978")</f>
        <v>ICTV201856978</v>
      </c>
      <c r="R2865" t="s">
        <v>579</v>
      </c>
      <c r="S2865" t="s">
        <v>824</v>
      </c>
      <c r="T2865">
        <v>39</v>
      </c>
      <c r="U2865" s="26" t="str">
        <f t="shared" si="105"/>
        <v>2023.024B.Error_correction_JasinSkavirinae.zip</v>
      </c>
    </row>
    <row r="2866" spans="1:21">
      <c r="A2866">
        <v>2865</v>
      </c>
      <c r="B2866" s="27" t="s">
        <v>1449</v>
      </c>
      <c r="D2866" s="27" t="s">
        <v>1450</v>
      </c>
      <c r="F2866" s="27" t="s">
        <v>1453</v>
      </c>
      <c r="H2866" s="27" t="s">
        <v>1454</v>
      </c>
      <c r="L2866" s="27" t="s">
        <v>1192</v>
      </c>
      <c r="M2866" s="27" t="s">
        <v>11602</v>
      </c>
      <c r="N2866" s="27" t="s">
        <v>1197</v>
      </c>
      <c r="P2866" s="27" t="s">
        <v>4910</v>
      </c>
      <c r="Q2866" s="26" t="str">
        <f>HYPERLINK("https://ictv.global/taxonomy/taxondetails?taxnode_id=202500261&amp;ictv_id=ICTV20115493","ICTV20115493")</f>
        <v>ICTV20115493</v>
      </c>
      <c r="R2866" t="s">
        <v>579</v>
      </c>
      <c r="S2866" t="s">
        <v>824</v>
      </c>
      <c r="T2866">
        <v>39</v>
      </c>
      <c r="U2866" s="26" t="str">
        <f t="shared" si="105"/>
        <v>2023.024B.Error_correction_JasinSkavirinae.zip</v>
      </c>
    </row>
    <row r="2867" spans="1:21">
      <c r="A2867">
        <v>2866</v>
      </c>
      <c r="B2867" s="27" t="s">
        <v>1449</v>
      </c>
      <c r="D2867" s="27" t="s">
        <v>1450</v>
      </c>
      <c r="F2867" s="27" t="s">
        <v>1453</v>
      </c>
      <c r="H2867" s="27" t="s">
        <v>1454</v>
      </c>
      <c r="L2867" s="27" t="s">
        <v>1192</v>
      </c>
      <c r="M2867" s="27" t="s">
        <v>323</v>
      </c>
      <c r="N2867" s="27" t="s">
        <v>1198</v>
      </c>
      <c r="P2867" s="27" t="s">
        <v>4911</v>
      </c>
      <c r="Q2867" s="26" t="str">
        <f>HYPERLINK("https://ictv.global/taxonomy/taxondetails?taxnode_id=202500267&amp;ictv_id=ICTV20164831","ICTV20164831")</f>
        <v>ICTV20164831</v>
      </c>
      <c r="R2867" t="s">
        <v>579</v>
      </c>
      <c r="S2867" t="s">
        <v>824</v>
      </c>
      <c r="T2867">
        <v>37</v>
      </c>
      <c r="U2867" s="26" t="str">
        <f t="shared" ref="U2867:U2898" si="106">HYPERLINK("https://ictv.global/ictv/proposals/2021.010B.R.Binomial_names.zip","2021.010B.R.Binomial_names.zip")</f>
        <v>2021.010B.R.Binomial_names.zip</v>
      </c>
    </row>
    <row r="2868" spans="1:21">
      <c r="A2868">
        <v>2867</v>
      </c>
      <c r="B2868" s="27" t="s">
        <v>1449</v>
      </c>
      <c r="D2868" s="27" t="s">
        <v>1450</v>
      </c>
      <c r="F2868" s="27" t="s">
        <v>1453</v>
      </c>
      <c r="H2868" s="27" t="s">
        <v>1454</v>
      </c>
      <c r="L2868" s="27" t="s">
        <v>1192</v>
      </c>
      <c r="M2868" s="27" t="s">
        <v>323</v>
      </c>
      <c r="N2868" s="27" t="s">
        <v>1198</v>
      </c>
      <c r="P2868" s="27" t="s">
        <v>4912</v>
      </c>
      <c r="Q2868" s="26" t="str">
        <f>HYPERLINK("https://ictv.global/taxonomy/taxondetails?taxnode_id=202500268&amp;ictv_id=ICTV19990385","ICTV19990385")</f>
        <v>ICTV19990385</v>
      </c>
      <c r="R2868" t="s">
        <v>579</v>
      </c>
      <c r="S2868" t="s">
        <v>824</v>
      </c>
      <c r="T2868">
        <v>37</v>
      </c>
      <c r="U2868" s="26" t="str">
        <f t="shared" si="106"/>
        <v>2021.010B.R.Binomial_names.zip</v>
      </c>
    </row>
    <row r="2869" spans="1:21">
      <c r="A2869">
        <v>2868</v>
      </c>
      <c r="B2869" s="27" t="s">
        <v>1449</v>
      </c>
      <c r="D2869" s="27" t="s">
        <v>1450</v>
      </c>
      <c r="F2869" s="27" t="s">
        <v>1453</v>
      </c>
      <c r="H2869" s="27" t="s">
        <v>1454</v>
      </c>
      <c r="L2869" s="27" t="s">
        <v>1192</v>
      </c>
      <c r="M2869" s="27" t="s">
        <v>323</v>
      </c>
      <c r="N2869" s="27" t="s">
        <v>1262</v>
      </c>
      <c r="P2869" s="27" t="s">
        <v>4913</v>
      </c>
      <c r="Q2869" s="26" t="str">
        <f>HYPERLINK("https://ictv.global/taxonomy/taxondetails?taxnode_id=202500425&amp;ictv_id=ICTV20150191","ICTV20150191")</f>
        <v>ICTV20150191</v>
      </c>
      <c r="R2869" t="s">
        <v>579</v>
      </c>
      <c r="S2869" t="s">
        <v>824</v>
      </c>
      <c r="T2869">
        <v>37</v>
      </c>
      <c r="U2869" s="26" t="str">
        <f t="shared" si="106"/>
        <v>2021.010B.R.Binomial_names.zip</v>
      </c>
    </row>
    <row r="2870" spans="1:21">
      <c r="A2870">
        <v>2869</v>
      </c>
      <c r="B2870" s="27" t="s">
        <v>1449</v>
      </c>
      <c r="D2870" s="27" t="s">
        <v>1450</v>
      </c>
      <c r="F2870" s="27" t="s">
        <v>1453</v>
      </c>
      <c r="H2870" s="27" t="s">
        <v>1454</v>
      </c>
      <c r="L2870" s="27" t="s">
        <v>1192</v>
      </c>
      <c r="M2870" s="27" t="s">
        <v>323</v>
      </c>
      <c r="N2870" s="27" t="s">
        <v>1262</v>
      </c>
      <c r="P2870" s="27" t="s">
        <v>4914</v>
      </c>
      <c r="Q2870" s="26" t="str">
        <f>HYPERLINK("https://ictv.global/taxonomy/taxondetails?taxnode_id=202500426&amp;ictv_id=ICTV20150193","ICTV20150193")</f>
        <v>ICTV20150193</v>
      </c>
      <c r="R2870" t="s">
        <v>579</v>
      </c>
      <c r="S2870" t="s">
        <v>824</v>
      </c>
      <c r="T2870">
        <v>37</v>
      </c>
      <c r="U2870" s="26" t="str">
        <f t="shared" si="106"/>
        <v>2021.010B.R.Binomial_names.zip</v>
      </c>
    </row>
    <row r="2871" spans="1:21">
      <c r="A2871">
        <v>2870</v>
      </c>
      <c r="B2871" s="27" t="s">
        <v>1449</v>
      </c>
      <c r="D2871" s="27" t="s">
        <v>1450</v>
      </c>
      <c r="F2871" s="27" t="s">
        <v>1453</v>
      </c>
      <c r="H2871" s="27" t="s">
        <v>1454</v>
      </c>
      <c r="L2871" s="27" t="s">
        <v>1192</v>
      </c>
      <c r="M2871" s="27" t="s">
        <v>323</v>
      </c>
      <c r="N2871" s="27" t="s">
        <v>1262</v>
      </c>
      <c r="P2871" s="27" t="s">
        <v>4915</v>
      </c>
      <c r="Q2871" s="26" t="str">
        <f>HYPERLINK("https://ictv.global/taxonomy/taxondetails?taxnode_id=202500427&amp;ictv_id=ICTV20150192","ICTV20150192")</f>
        <v>ICTV20150192</v>
      </c>
      <c r="R2871" t="s">
        <v>579</v>
      </c>
      <c r="S2871" t="s">
        <v>824</v>
      </c>
      <c r="T2871">
        <v>37</v>
      </c>
      <c r="U2871" s="26" t="str">
        <f t="shared" si="106"/>
        <v>2021.010B.R.Binomial_names.zip</v>
      </c>
    </row>
    <row r="2872" spans="1:21">
      <c r="A2872">
        <v>2871</v>
      </c>
      <c r="B2872" s="27" t="s">
        <v>1449</v>
      </c>
      <c r="D2872" s="27" t="s">
        <v>1450</v>
      </c>
      <c r="F2872" s="27" t="s">
        <v>1453</v>
      </c>
      <c r="H2872" s="27" t="s">
        <v>1454</v>
      </c>
      <c r="L2872" s="27" t="s">
        <v>1192</v>
      </c>
      <c r="M2872" s="27" t="s">
        <v>1199</v>
      </c>
      <c r="N2872" s="27" t="s">
        <v>1634</v>
      </c>
      <c r="P2872" s="27" t="s">
        <v>4916</v>
      </c>
      <c r="Q2872" s="26" t="str">
        <f>HYPERLINK("https://ictv.global/taxonomy/taxondetails?taxnode_id=202507732&amp;ictv_id=ICTV201907732","ICTV201907732")</f>
        <v>ICTV201907732</v>
      </c>
      <c r="R2872" t="s">
        <v>579</v>
      </c>
      <c r="S2872" t="s">
        <v>824</v>
      </c>
      <c r="T2872">
        <v>37</v>
      </c>
      <c r="U2872" s="26" t="str">
        <f t="shared" si="106"/>
        <v>2021.010B.R.Binomial_names.zip</v>
      </c>
    </row>
    <row r="2873" spans="1:21">
      <c r="A2873">
        <v>2872</v>
      </c>
      <c r="B2873" s="27" t="s">
        <v>1449</v>
      </c>
      <c r="D2873" s="27" t="s">
        <v>1450</v>
      </c>
      <c r="F2873" s="27" t="s">
        <v>1453</v>
      </c>
      <c r="H2873" s="27" t="s">
        <v>1454</v>
      </c>
      <c r="L2873" s="27" t="s">
        <v>1192</v>
      </c>
      <c r="M2873" s="27" t="s">
        <v>1199</v>
      </c>
      <c r="N2873" s="27" t="s">
        <v>1634</v>
      </c>
      <c r="P2873" s="27" t="s">
        <v>4917</v>
      </c>
      <c r="Q2873" s="26" t="str">
        <f>HYPERLINK("https://ictv.global/taxonomy/taxondetails?taxnode_id=202507731&amp;ictv_id=ICTV201907731","ICTV201907731")</f>
        <v>ICTV201907731</v>
      </c>
      <c r="R2873" t="s">
        <v>579</v>
      </c>
      <c r="S2873" t="s">
        <v>824</v>
      </c>
      <c r="T2873">
        <v>37</v>
      </c>
      <c r="U2873" s="26" t="str">
        <f t="shared" si="106"/>
        <v>2021.010B.R.Binomial_names.zip</v>
      </c>
    </row>
    <row r="2874" spans="1:21">
      <c r="A2874">
        <v>2873</v>
      </c>
      <c r="B2874" s="27" t="s">
        <v>1449</v>
      </c>
      <c r="D2874" s="27" t="s">
        <v>1450</v>
      </c>
      <c r="F2874" s="27" t="s">
        <v>1453</v>
      </c>
      <c r="H2874" s="27" t="s">
        <v>1454</v>
      </c>
      <c r="L2874" s="27" t="s">
        <v>1192</v>
      </c>
      <c r="M2874" s="27" t="s">
        <v>1199</v>
      </c>
      <c r="N2874" s="27" t="s">
        <v>586</v>
      </c>
      <c r="P2874" s="27" t="s">
        <v>4918</v>
      </c>
      <c r="Q2874" s="26" t="str">
        <f>HYPERLINK("https://ictv.global/taxonomy/taxondetails?taxnode_id=202500249&amp;ictv_id=ICTV20115492","ICTV20115492")</f>
        <v>ICTV20115492</v>
      </c>
      <c r="R2874" t="s">
        <v>579</v>
      </c>
      <c r="S2874" t="s">
        <v>824</v>
      </c>
      <c r="T2874">
        <v>37</v>
      </c>
      <c r="U2874" s="26" t="str">
        <f t="shared" si="106"/>
        <v>2021.010B.R.Binomial_names.zip</v>
      </c>
    </row>
    <row r="2875" spans="1:21">
      <c r="A2875">
        <v>2874</v>
      </c>
      <c r="B2875" s="27" t="s">
        <v>1449</v>
      </c>
      <c r="D2875" s="27" t="s">
        <v>1450</v>
      </c>
      <c r="F2875" s="27" t="s">
        <v>1453</v>
      </c>
      <c r="H2875" s="27" t="s">
        <v>1454</v>
      </c>
      <c r="L2875" s="27" t="s">
        <v>1192</v>
      </c>
      <c r="M2875" s="27" t="s">
        <v>1199</v>
      </c>
      <c r="N2875" s="27" t="s">
        <v>586</v>
      </c>
      <c r="P2875" s="27" t="s">
        <v>4919</v>
      </c>
      <c r="Q2875" s="26" t="str">
        <f>HYPERLINK("https://ictv.global/taxonomy/taxondetails?taxnode_id=202500250&amp;ictv_id=ICTV20150228","ICTV20150228")</f>
        <v>ICTV20150228</v>
      </c>
      <c r="R2875" t="s">
        <v>579</v>
      </c>
      <c r="S2875" t="s">
        <v>824</v>
      </c>
      <c r="T2875">
        <v>37</v>
      </c>
      <c r="U2875" s="26" t="str">
        <f t="shared" si="106"/>
        <v>2021.010B.R.Binomial_names.zip</v>
      </c>
    </row>
    <row r="2876" spans="1:21">
      <c r="A2876">
        <v>2875</v>
      </c>
      <c r="B2876" s="27" t="s">
        <v>1449</v>
      </c>
      <c r="D2876" s="27" t="s">
        <v>1450</v>
      </c>
      <c r="F2876" s="27" t="s">
        <v>1453</v>
      </c>
      <c r="H2876" s="27" t="s">
        <v>1454</v>
      </c>
      <c r="L2876" s="27" t="s">
        <v>1192</v>
      </c>
      <c r="M2876" s="27" t="s">
        <v>1199</v>
      </c>
      <c r="N2876" s="27" t="s">
        <v>586</v>
      </c>
      <c r="P2876" s="27" t="s">
        <v>4920</v>
      </c>
      <c r="Q2876" s="26" t="str">
        <f>HYPERLINK("https://ictv.global/taxonomy/taxondetails?taxnode_id=202500251&amp;ictv_id=ICTV20150225","ICTV20150225")</f>
        <v>ICTV20150225</v>
      </c>
      <c r="R2876" t="s">
        <v>579</v>
      </c>
      <c r="S2876" t="s">
        <v>824</v>
      </c>
      <c r="T2876">
        <v>37</v>
      </c>
      <c r="U2876" s="26" t="str">
        <f t="shared" si="106"/>
        <v>2021.010B.R.Binomial_names.zip</v>
      </c>
    </row>
    <row r="2877" spans="1:21">
      <c r="A2877">
        <v>2876</v>
      </c>
      <c r="B2877" s="27" t="s">
        <v>1449</v>
      </c>
      <c r="D2877" s="27" t="s">
        <v>1450</v>
      </c>
      <c r="F2877" s="27" t="s">
        <v>1453</v>
      </c>
      <c r="H2877" s="27" t="s">
        <v>1454</v>
      </c>
      <c r="L2877" s="27" t="s">
        <v>1192</v>
      </c>
      <c r="M2877" s="27" t="s">
        <v>1199</v>
      </c>
      <c r="N2877" s="27" t="s">
        <v>586</v>
      </c>
      <c r="P2877" s="27" t="s">
        <v>4921</v>
      </c>
      <c r="Q2877" s="26" t="str">
        <f>HYPERLINK("https://ictv.global/taxonomy/taxondetails?taxnode_id=202500252&amp;ictv_id=ICTV20115491","ICTV20115491")</f>
        <v>ICTV20115491</v>
      </c>
      <c r="R2877" t="s">
        <v>579</v>
      </c>
      <c r="S2877" t="s">
        <v>824</v>
      </c>
      <c r="T2877">
        <v>37</v>
      </c>
      <c r="U2877" s="26" t="str">
        <f t="shared" si="106"/>
        <v>2021.010B.R.Binomial_names.zip</v>
      </c>
    </row>
    <row r="2878" spans="1:21">
      <c r="A2878">
        <v>2877</v>
      </c>
      <c r="B2878" s="27" t="s">
        <v>1449</v>
      </c>
      <c r="D2878" s="27" t="s">
        <v>1450</v>
      </c>
      <c r="F2878" s="27" t="s">
        <v>1453</v>
      </c>
      <c r="H2878" s="27" t="s">
        <v>1454</v>
      </c>
      <c r="L2878" s="27" t="s">
        <v>1192</v>
      </c>
      <c r="M2878" s="27" t="s">
        <v>1199</v>
      </c>
      <c r="N2878" s="27" t="s">
        <v>586</v>
      </c>
      <c r="P2878" s="27" t="s">
        <v>4922</v>
      </c>
      <c r="Q2878" s="26" t="str">
        <f>HYPERLINK("https://ictv.global/taxonomy/taxondetails?taxnode_id=202500253&amp;ictv_id=ICTV20150229","ICTV20150229")</f>
        <v>ICTV20150229</v>
      </c>
      <c r="R2878" t="s">
        <v>579</v>
      </c>
      <c r="S2878" t="s">
        <v>824</v>
      </c>
      <c r="T2878">
        <v>37</v>
      </c>
      <c r="U2878" s="26" t="str">
        <f t="shared" si="106"/>
        <v>2021.010B.R.Binomial_names.zip</v>
      </c>
    </row>
    <row r="2879" spans="1:21">
      <c r="A2879">
        <v>2878</v>
      </c>
      <c r="B2879" s="27" t="s">
        <v>1449</v>
      </c>
      <c r="D2879" s="27" t="s">
        <v>1450</v>
      </c>
      <c r="F2879" s="27" t="s">
        <v>1453</v>
      </c>
      <c r="H2879" s="27" t="s">
        <v>1454</v>
      </c>
      <c r="L2879" s="27" t="s">
        <v>1192</v>
      </c>
      <c r="M2879" s="27" t="s">
        <v>1199</v>
      </c>
      <c r="N2879" s="27" t="s">
        <v>586</v>
      </c>
      <c r="P2879" s="27" t="s">
        <v>4923</v>
      </c>
      <c r="Q2879" s="26" t="str">
        <f>HYPERLINK("https://ictv.global/taxonomy/taxondetails?taxnode_id=202500254&amp;ictv_id=ICTV20150227","ICTV20150227")</f>
        <v>ICTV20150227</v>
      </c>
      <c r="R2879" t="s">
        <v>579</v>
      </c>
      <c r="S2879" t="s">
        <v>824</v>
      </c>
      <c r="T2879">
        <v>37</v>
      </c>
      <c r="U2879" s="26" t="str">
        <f t="shared" si="106"/>
        <v>2021.010B.R.Binomial_names.zip</v>
      </c>
    </row>
    <row r="2880" spans="1:21">
      <c r="A2880">
        <v>2879</v>
      </c>
      <c r="B2880" s="27" t="s">
        <v>1449</v>
      </c>
      <c r="D2880" s="27" t="s">
        <v>1450</v>
      </c>
      <c r="F2880" s="27" t="s">
        <v>1453</v>
      </c>
      <c r="H2880" s="27" t="s">
        <v>1454</v>
      </c>
      <c r="L2880" s="27" t="s">
        <v>1192</v>
      </c>
      <c r="M2880" s="27" t="s">
        <v>1199</v>
      </c>
      <c r="N2880" s="27" t="s">
        <v>586</v>
      </c>
      <c r="P2880" s="27" t="s">
        <v>4924</v>
      </c>
      <c r="Q2880" s="26" t="str">
        <f>HYPERLINK("https://ictv.global/taxonomy/taxondetails?taxnode_id=202500255&amp;ictv_id=ICTV20164828","ICTV20164828")</f>
        <v>ICTV20164828</v>
      </c>
      <c r="R2880" t="s">
        <v>579</v>
      </c>
      <c r="S2880" t="s">
        <v>824</v>
      </c>
      <c r="T2880">
        <v>37</v>
      </c>
      <c r="U2880" s="26" t="str">
        <f t="shared" si="106"/>
        <v>2021.010B.R.Binomial_names.zip</v>
      </c>
    </row>
    <row r="2881" spans="1:21">
      <c r="A2881">
        <v>2880</v>
      </c>
      <c r="B2881" s="27" t="s">
        <v>1449</v>
      </c>
      <c r="D2881" s="27" t="s">
        <v>1450</v>
      </c>
      <c r="F2881" s="27" t="s">
        <v>1453</v>
      </c>
      <c r="H2881" s="27" t="s">
        <v>1454</v>
      </c>
      <c r="L2881" s="27" t="s">
        <v>1192</v>
      </c>
      <c r="M2881" s="27" t="s">
        <v>1199</v>
      </c>
      <c r="N2881" s="27" t="s">
        <v>586</v>
      </c>
      <c r="P2881" s="27" t="s">
        <v>4925</v>
      </c>
      <c r="Q2881" s="26" t="str">
        <f>HYPERLINK("https://ictv.global/taxonomy/taxondetails?taxnode_id=202500256&amp;ictv_id=ICTV20150230","ICTV20150230")</f>
        <v>ICTV20150230</v>
      </c>
      <c r="R2881" t="s">
        <v>579</v>
      </c>
      <c r="S2881" t="s">
        <v>824</v>
      </c>
      <c r="T2881">
        <v>37</v>
      </c>
      <c r="U2881" s="26" t="str">
        <f t="shared" si="106"/>
        <v>2021.010B.R.Binomial_names.zip</v>
      </c>
    </row>
    <row r="2882" spans="1:21">
      <c r="A2882">
        <v>2881</v>
      </c>
      <c r="B2882" s="27" t="s">
        <v>1449</v>
      </c>
      <c r="D2882" s="27" t="s">
        <v>1450</v>
      </c>
      <c r="F2882" s="27" t="s">
        <v>1453</v>
      </c>
      <c r="H2882" s="27" t="s">
        <v>1454</v>
      </c>
      <c r="L2882" s="27" t="s">
        <v>1192</v>
      </c>
      <c r="M2882" s="27" t="s">
        <v>1199</v>
      </c>
      <c r="N2882" s="27" t="s">
        <v>586</v>
      </c>
      <c r="P2882" s="27" t="s">
        <v>4926</v>
      </c>
      <c r="Q2882" s="26" t="str">
        <f>HYPERLINK("https://ictv.global/taxonomy/taxondetails?taxnode_id=202500257&amp;ictv_id=ICTV20164829","ICTV20164829")</f>
        <v>ICTV20164829</v>
      </c>
      <c r="R2882" t="s">
        <v>579</v>
      </c>
      <c r="S2882" t="s">
        <v>824</v>
      </c>
      <c r="T2882">
        <v>37</v>
      </c>
      <c r="U2882" s="26" t="str">
        <f t="shared" si="106"/>
        <v>2021.010B.R.Binomial_names.zip</v>
      </c>
    </row>
    <row r="2883" spans="1:21">
      <c r="A2883">
        <v>2882</v>
      </c>
      <c r="B2883" s="27" t="s">
        <v>1449</v>
      </c>
      <c r="D2883" s="27" t="s">
        <v>1450</v>
      </c>
      <c r="F2883" s="27" t="s">
        <v>1453</v>
      </c>
      <c r="H2883" s="27" t="s">
        <v>1454</v>
      </c>
      <c r="L2883" s="27" t="s">
        <v>1192</v>
      </c>
      <c r="M2883" s="27" t="s">
        <v>1199</v>
      </c>
      <c r="N2883" s="27" t="s">
        <v>586</v>
      </c>
      <c r="P2883" s="27" t="s">
        <v>4927</v>
      </c>
      <c r="Q2883" s="26" t="str">
        <f>HYPERLINK("https://ictv.global/taxonomy/taxondetails?taxnode_id=202500258&amp;ictv_id=ICTV20150226","ICTV20150226")</f>
        <v>ICTV20150226</v>
      </c>
      <c r="R2883" t="s">
        <v>579</v>
      </c>
      <c r="S2883" t="s">
        <v>824</v>
      </c>
      <c r="T2883">
        <v>37</v>
      </c>
      <c r="U2883" s="26" t="str">
        <f t="shared" si="106"/>
        <v>2021.010B.R.Binomial_names.zip</v>
      </c>
    </row>
    <row r="2884" spans="1:21">
      <c r="A2884">
        <v>2883</v>
      </c>
      <c r="B2884" s="27" t="s">
        <v>1449</v>
      </c>
      <c r="D2884" s="27" t="s">
        <v>1450</v>
      </c>
      <c r="F2884" s="27" t="s">
        <v>1453</v>
      </c>
      <c r="H2884" s="27" t="s">
        <v>1454</v>
      </c>
      <c r="L2884" s="27" t="s">
        <v>1192</v>
      </c>
      <c r="M2884" s="27" t="s">
        <v>1199</v>
      </c>
      <c r="N2884" s="27" t="s">
        <v>586</v>
      </c>
      <c r="P2884" s="27" t="s">
        <v>4928</v>
      </c>
      <c r="Q2884" s="26" t="str">
        <f>HYPERLINK("https://ictv.global/taxonomy/taxondetails?taxnode_id=202506982&amp;ictv_id=ICTV201856982","ICTV201856982")</f>
        <v>ICTV201856982</v>
      </c>
      <c r="R2884" t="s">
        <v>579</v>
      </c>
      <c r="S2884" t="s">
        <v>824</v>
      </c>
      <c r="T2884">
        <v>37</v>
      </c>
      <c r="U2884" s="26" t="str">
        <f t="shared" si="106"/>
        <v>2021.010B.R.Binomial_names.zip</v>
      </c>
    </row>
    <row r="2885" spans="1:21">
      <c r="A2885">
        <v>2884</v>
      </c>
      <c r="B2885" s="27" t="s">
        <v>1449</v>
      </c>
      <c r="D2885" s="27" t="s">
        <v>1450</v>
      </c>
      <c r="F2885" s="27" t="s">
        <v>1453</v>
      </c>
      <c r="H2885" s="27" t="s">
        <v>1454</v>
      </c>
      <c r="L2885" s="27" t="s">
        <v>1192</v>
      </c>
      <c r="M2885" s="27" t="s">
        <v>1199</v>
      </c>
      <c r="N2885" s="27" t="s">
        <v>1636</v>
      </c>
      <c r="P2885" s="27" t="s">
        <v>4929</v>
      </c>
      <c r="Q2885" s="26" t="str">
        <f>HYPERLINK("https://ictv.global/taxonomy/taxondetails?taxnode_id=202508033&amp;ictv_id=ICTV201908033","ICTV201908033")</f>
        <v>ICTV201908033</v>
      </c>
      <c r="R2885" t="s">
        <v>579</v>
      </c>
      <c r="S2885" t="s">
        <v>824</v>
      </c>
      <c r="T2885">
        <v>37</v>
      </c>
      <c r="U2885" s="26" t="str">
        <f t="shared" si="106"/>
        <v>2021.010B.R.Binomial_names.zip</v>
      </c>
    </row>
    <row r="2886" spans="1:21">
      <c r="A2886">
        <v>2885</v>
      </c>
      <c r="B2886" s="27" t="s">
        <v>1449</v>
      </c>
      <c r="D2886" s="27" t="s">
        <v>1450</v>
      </c>
      <c r="F2886" s="27" t="s">
        <v>1453</v>
      </c>
      <c r="H2886" s="27" t="s">
        <v>1454</v>
      </c>
      <c r="L2886" s="27" t="s">
        <v>1192</v>
      </c>
      <c r="M2886" s="27" t="s">
        <v>1199</v>
      </c>
      <c r="N2886" s="27" t="s">
        <v>1260</v>
      </c>
      <c r="P2886" s="27" t="s">
        <v>4930</v>
      </c>
      <c r="Q2886" s="26" t="str">
        <f>HYPERLINK("https://ictv.global/taxonomy/taxondetails?taxnode_id=202500505&amp;ictv_id=ICTV20164880","ICTV20164880")</f>
        <v>ICTV20164880</v>
      </c>
      <c r="R2886" t="s">
        <v>579</v>
      </c>
      <c r="S2886" t="s">
        <v>824</v>
      </c>
      <c r="T2886">
        <v>37</v>
      </c>
      <c r="U2886" s="26" t="str">
        <f t="shared" si="106"/>
        <v>2021.010B.R.Binomial_names.zip</v>
      </c>
    </row>
    <row r="2887" spans="1:21">
      <c r="A2887">
        <v>2886</v>
      </c>
      <c r="B2887" s="27" t="s">
        <v>1449</v>
      </c>
      <c r="D2887" s="27" t="s">
        <v>1450</v>
      </c>
      <c r="F2887" s="27" t="s">
        <v>1453</v>
      </c>
      <c r="H2887" s="27" t="s">
        <v>1454</v>
      </c>
      <c r="L2887" s="27" t="s">
        <v>1192</v>
      </c>
      <c r="M2887" s="27" t="s">
        <v>1199</v>
      </c>
      <c r="N2887" s="27" t="s">
        <v>1260</v>
      </c>
      <c r="P2887" s="27" t="s">
        <v>4931</v>
      </c>
      <c r="Q2887" s="26" t="str">
        <f>HYPERLINK("https://ictv.global/taxonomy/taxondetails?taxnode_id=202500506&amp;ictv_id=ICTV20164881","ICTV20164881")</f>
        <v>ICTV20164881</v>
      </c>
      <c r="R2887" t="s">
        <v>579</v>
      </c>
      <c r="S2887" t="s">
        <v>824</v>
      </c>
      <c r="T2887">
        <v>37</v>
      </c>
      <c r="U2887" s="26" t="str">
        <f t="shared" si="106"/>
        <v>2021.010B.R.Binomial_names.zip</v>
      </c>
    </row>
    <row r="2888" spans="1:21">
      <c r="A2888">
        <v>2887</v>
      </c>
      <c r="B2888" s="27" t="s">
        <v>1449</v>
      </c>
      <c r="D2888" s="27" t="s">
        <v>1450</v>
      </c>
      <c r="F2888" s="27" t="s">
        <v>1453</v>
      </c>
      <c r="H2888" s="27" t="s">
        <v>1454</v>
      </c>
      <c r="L2888" s="27" t="s">
        <v>1192</v>
      </c>
      <c r="M2888" s="27" t="s">
        <v>1199</v>
      </c>
      <c r="N2888" s="27" t="s">
        <v>587</v>
      </c>
      <c r="P2888" s="27" t="s">
        <v>4932</v>
      </c>
      <c r="Q2888" s="26" t="str">
        <f>HYPERLINK("https://ictv.global/taxonomy/taxondetails?taxnode_id=202500263&amp;ictv_id=ICTV20150048","ICTV20150048")</f>
        <v>ICTV20150048</v>
      </c>
      <c r="R2888" t="s">
        <v>579</v>
      </c>
      <c r="S2888" t="s">
        <v>824</v>
      </c>
      <c r="T2888">
        <v>37</v>
      </c>
      <c r="U2888" s="26" t="str">
        <f t="shared" si="106"/>
        <v>2021.010B.R.Binomial_names.zip</v>
      </c>
    </row>
    <row r="2889" spans="1:21">
      <c r="A2889">
        <v>2888</v>
      </c>
      <c r="B2889" s="27" t="s">
        <v>1449</v>
      </c>
      <c r="D2889" s="27" t="s">
        <v>1450</v>
      </c>
      <c r="F2889" s="27" t="s">
        <v>1453</v>
      </c>
      <c r="H2889" s="27" t="s">
        <v>1454</v>
      </c>
      <c r="L2889" s="27" t="s">
        <v>1192</v>
      </c>
      <c r="M2889" s="27" t="s">
        <v>1199</v>
      </c>
      <c r="N2889" s="27" t="s">
        <v>587</v>
      </c>
      <c r="P2889" s="27" t="s">
        <v>4933</v>
      </c>
      <c r="Q2889" s="26" t="str">
        <f>HYPERLINK("https://ictv.global/taxonomy/taxondetails?taxnode_id=202500264&amp;ictv_id=ICTV20150049","ICTV20150049")</f>
        <v>ICTV20150049</v>
      </c>
      <c r="R2889" t="s">
        <v>579</v>
      </c>
      <c r="S2889" t="s">
        <v>824</v>
      </c>
      <c r="T2889">
        <v>37</v>
      </c>
      <c r="U2889" s="26" t="str">
        <f t="shared" si="106"/>
        <v>2021.010B.R.Binomial_names.zip</v>
      </c>
    </row>
    <row r="2890" spans="1:21">
      <c r="A2890">
        <v>2889</v>
      </c>
      <c r="B2890" s="27" t="s">
        <v>1449</v>
      </c>
      <c r="D2890" s="27" t="s">
        <v>1450</v>
      </c>
      <c r="F2890" s="27" t="s">
        <v>1453</v>
      </c>
      <c r="H2890" s="27" t="s">
        <v>1454</v>
      </c>
      <c r="L2890" s="27" t="s">
        <v>1192</v>
      </c>
      <c r="M2890" s="27" t="s">
        <v>1199</v>
      </c>
      <c r="N2890" s="27" t="s">
        <v>587</v>
      </c>
      <c r="P2890" s="27" t="s">
        <v>4934</v>
      </c>
      <c r="Q2890" s="26" t="str">
        <f>HYPERLINK("https://ictv.global/taxonomy/taxondetails?taxnode_id=202500265&amp;ictv_id=ICTV20164830","ICTV20164830")</f>
        <v>ICTV20164830</v>
      </c>
      <c r="R2890" t="s">
        <v>579</v>
      </c>
      <c r="S2890" t="s">
        <v>824</v>
      </c>
      <c r="T2890">
        <v>37</v>
      </c>
      <c r="U2890" s="26" t="str">
        <f t="shared" si="106"/>
        <v>2021.010B.R.Binomial_names.zip</v>
      </c>
    </row>
    <row r="2891" spans="1:21">
      <c r="A2891">
        <v>2890</v>
      </c>
      <c r="B2891" s="27" t="s">
        <v>1449</v>
      </c>
      <c r="D2891" s="27" t="s">
        <v>1450</v>
      </c>
      <c r="F2891" s="27" t="s">
        <v>1453</v>
      </c>
      <c r="H2891" s="27" t="s">
        <v>1454</v>
      </c>
      <c r="L2891" s="27" t="s">
        <v>1192</v>
      </c>
      <c r="M2891" s="27" t="s">
        <v>1199</v>
      </c>
      <c r="N2891" s="27" t="s">
        <v>588</v>
      </c>
      <c r="P2891" s="27" t="s">
        <v>4935</v>
      </c>
      <c r="Q2891" s="26" t="str">
        <f>HYPERLINK("https://ictv.global/taxonomy/taxondetails?taxnode_id=202500273&amp;ictv_id=ICTV20115495","ICTV20115495")</f>
        <v>ICTV20115495</v>
      </c>
      <c r="R2891" t="s">
        <v>579</v>
      </c>
      <c r="S2891" t="s">
        <v>824</v>
      </c>
      <c r="T2891">
        <v>37</v>
      </c>
      <c r="U2891" s="26" t="str">
        <f t="shared" si="106"/>
        <v>2021.010B.R.Binomial_names.zip</v>
      </c>
    </row>
    <row r="2892" spans="1:21">
      <c r="A2892">
        <v>2891</v>
      </c>
      <c r="B2892" s="27" t="s">
        <v>1449</v>
      </c>
      <c r="D2892" s="27" t="s">
        <v>1450</v>
      </c>
      <c r="F2892" s="27" t="s">
        <v>1453</v>
      </c>
      <c r="H2892" s="27" t="s">
        <v>1454</v>
      </c>
      <c r="L2892" s="27" t="s">
        <v>1192</v>
      </c>
      <c r="N2892" s="27" t="s">
        <v>2067</v>
      </c>
      <c r="P2892" s="27" t="s">
        <v>4936</v>
      </c>
      <c r="Q2892" s="26" t="str">
        <f>HYPERLINK("https://ictv.global/taxonomy/taxondetails?taxnode_id=202510119&amp;ictv_id=ICTV202010119","ICTV202010119")</f>
        <v>ICTV202010119</v>
      </c>
      <c r="R2892" t="s">
        <v>579</v>
      </c>
      <c r="S2892" t="s">
        <v>824</v>
      </c>
      <c r="T2892">
        <v>37</v>
      </c>
      <c r="U2892" s="26" t="str">
        <f t="shared" si="106"/>
        <v>2021.010B.R.Binomial_names.zip</v>
      </c>
    </row>
    <row r="2893" spans="1:21">
      <c r="A2893">
        <v>2892</v>
      </c>
      <c r="B2893" s="27" t="s">
        <v>1449</v>
      </c>
      <c r="D2893" s="27" t="s">
        <v>1450</v>
      </c>
      <c r="F2893" s="27" t="s">
        <v>1453</v>
      </c>
      <c r="H2893" s="27" t="s">
        <v>1454</v>
      </c>
      <c r="L2893" s="27" t="s">
        <v>1192</v>
      </c>
      <c r="N2893" s="27" t="s">
        <v>1635</v>
      </c>
      <c r="P2893" s="27" t="s">
        <v>4937</v>
      </c>
      <c r="Q2893" s="26" t="str">
        <f>HYPERLINK("https://ictv.global/taxonomy/taxondetails?taxnode_id=202507402&amp;ictv_id=ICTV201907402","ICTV201907402")</f>
        <v>ICTV201907402</v>
      </c>
      <c r="R2893" t="s">
        <v>579</v>
      </c>
      <c r="S2893" t="s">
        <v>824</v>
      </c>
      <c r="T2893">
        <v>37</v>
      </c>
      <c r="U2893" s="26" t="str">
        <f t="shared" si="106"/>
        <v>2021.010B.R.Binomial_names.zip</v>
      </c>
    </row>
    <row r="2894" spans="1:21">
      <c r="A2894">
        <v>2893</v>
      </c>
      <c r="B2894" s="27" t="s">
        <v>1449</v>
      </c>
      <c r="D2894" s="27" t="s">
        <v>1450</v>
      </c>
      <c r="F2894" s="27" t="s">
        <v>1453</v>
      </c>
      <c r="H2894" s="27" t="s">
        <v>1454</v>
      </c>
      <c r="L2894" s="27" t="s">
        <v>1192</v>
      </c>
      <c r="N2894" s="27" t="s">
        <v>1635</v>
      </c>
      <c r="P2894" s="27" t="s">
        <v>4938</v>
      </c>
      <c r="Q2894" s="26" t="str">
        <f>HYPERLINK("https://ictv.global/taxonomy/taxondetails?taxnode_id=202507401&amp;ictv_id=ICTV201907401","ICTV201907401")</f>
        <v>ICTV201907401</v>
      </c>
      <c r="R2894" t="s">
        <v>579</v>
      </c>
      <c r="S2894" t="s">
        <v>824</v>
      </c>
      <c r="T2894">
        <v>37</v>
      </c>
      <c r="U2894" s="26" t="str">
        <f t="shared" si="106"/>
        <v>2021.010B.R.Binomial_names.zip</v>
      </c>
    </row>
    <row r="2895" spans="1:21">
      <c r="A2895">
        <v>2894</v>
      </c>
      <c r="B2895" s="27" t="s">
        <v>1449</v>
      </c>
      <c r="D2895" s="27" t="s">
        <v>1450</v>
      </c>
      <c r="F2895" s="27" t="s">
        <v>1453</v>
      </c>
      <c r="H2895" s="27" t="s">
        <v>1454</v>
      </c>
      <c r="L2895" s="27" t="s">
        <v>1192</v>
      </c>
      <c r="N2895" s="27" t="s">
        <v>1635</v>
      </c>
      <c r="P2895" s="27" t="s">
        <v>4939</v>
      </c>
      <c r="Q2895" s="26" t="str">
        <f>HYPERLINK("https://ictv.global/taxonomy/taxondetails?taxnode_id=202507403&amp;ictv_id=ICTV201907403","ICTV201907403")</f>
        <v>ICTV201907403</v>
      </c>
      <c r="R2895" t="s">
        <v>579</v>
      </c>
      <c r="S2895" t="s">
        <v>824</v>
      </c>
      <c r="T2895">
        <v>37</v>
      </c>
      <c r="U2895" s="26" t="str">
        <f t="shared" si="106"/>
        <v>2021.010B.R.Binomial_names.zip</v>
      </c>
    </row>
    <row r="2896" spans="1:21">
      <c r="A2896">
        <v>2895</v>
      </c>
      <c r="B2896" s="27" t="s">
        <v>1449</v>
      </c>
      <c r="D2896" s="27" t="s">
        <v>1450</v>
      </c>
      <c r="F2896" s="27" t="s">
        <v>1453</v>
      </c>
      <c r="H2896" s="27" t="s">
        <v>1454</v>
      </c>
      <c r="L2896" s="27" t="s">
        <v>1192</v>
      </c>
      <c r="N2896" s="27" t="s">
        <v>1635</v>
      </c>
      <c r="P2896" s="27" t="s">
        <v>4940</v>
      </c>
      <c r="Q2896" s="26" t="str">
        <f>HYPERLINK("https://ictv.global/taxonomy/taxondetails?taxnode_id=202507400&amp;ictv_id=ICTV201907400","ICTV201907400")</f>
        <v>ICTV201907400</v>
      </c>
      <c r="R2896" t="s">
        <v>579</v>
      </c>
      <c r="S2896" t="s">
        <v>824</v>
      </c>
      <c r="T2896">
        <v>37</v>
      </c>
      <c r="U2896" s="26" t="str">
        <f t="shared" si="106"/>
        <v>2021.010B.R.Binomial_names.zip</v>
      </c>
    </row>
    <row r="2897" spans="1:21">
      <c r="A2897">
        <v>2896</v>
      </c>
      <c r="B2897" s="27" t="s">
        <v>1449</v>
      </c>
      <c r="D2897" s="27" t="s">
        <v>1450</v>
      </c>
      <c r="F2897" s="27" t="s">
        <v>1453</v>
      </c>
      <c r="H2897" s="27" t="s">
        <v>1454</v>
      </c>
      <c r="L2897" s="27" t="s">
        <v>1192</v>
      </c>
      <c r="N2897" s="27" t="s">
        <v>1635</v>
      </c>
      <c r="P2897" s="27" t="s">
        <v>4941</v>
      </c>
      <c r="Q2897" s="26" t="str">
        <f>HYPERLINK("https://ictv.global/taxonomy/taxondetails?taxnode_id=202507404&amp;ictv_id=ICTV201907404","ICTV201907404")</f>
        <v>ICTV201907404</v>
      </c>
      <c r="R2897" t="s">
        <v>579</v>
      </c>
      <c r="S2897" t="s">
        <v>824</v>
      </c>
      <c r="T2897">
        <v>37</v>
      </c>
      <c r="U2897" s="26" t="str">
        <f t="shared" si="106"/>
        <v>2021.010B.R.Binomial_names.zip</v>
      </c>
    </row>
    <row r="2898" spans="1:21">
      <c r="A2898">
        <v>2897</v>
      </c>
      <c r="B2898" s="27" t="s">
        <v>1449</v>
      </c>
      <c r="D2898" s="27" t="s">
        <v>1450</v>
      </c>
      <c r="F2898" s="27" t="s">
        <v>1453</v>
      </c>
      <c r="H2898" s="27" t="s">
        <v>1454</v>
      </c>
      <c r="L2898" s="27" t="s">
        <v>1192</v>
      </c>
      <c r="N2898" s="27" t="s">
        <v>2068</v>
      </c>
      <c r="P2898" s="27" t="s">
        <v>4942</v>
      </c>
      <c r="Q2898" s="26" t="str">
        <f>HYPERLINK("https://ictv.global/taxonomy/taxondetails?taxnode_id=202510127&amp;ictv_id=ICTV202010127","ICTV202010127")</f>
        <v>ICTV202010127</v>
      </c>
      <c r="R2898" t="s">
        <v>579</v>
      </c>
      <c r="S2898" t="s">
        <v>824</v>
      </c>
      <c r="T2898">
        <v>37</v>
      </c>
      <c r="U2898" s="26" t="str">
        <f t="shared" si="106"/>
        <v>2021.010B.R.Binomial_names.zip</v>
      </c>
    </row>
    <row r="2899" spans="1:21">
      <c r="A2899">
        <v>2898</v>
      </c>
      <c r="B2899" s="27" t="s">
        <v>1449</v>
      </c>
      <c r="D2899" s="27" t="s">
        <v>1450</v>
      </c>
      <c r="F2899" s="27" t="s">
        <v>1453</v>
      </c>
      <c r="H2899" s="27" t="s">
        <v>1454</v>
      </c>
      <c r="L2899" s="27" t="s">
        <v>1192</v>
      </c>
      <c r="N2899" s="27" t="s">
        <v>4943</v>
      </c>
      <c r="P2899" s="27" t="s">
        <v>4944</v>
      </c>
      <c r="Q2899" s="26" t="str">
        <f>HYPERLINK("https://ictv.global/taxonomy/taxondetails?taxnode_id=202506983&amp;ictv_id=ICTV201856983","ICTV201856983")</f>
        <v>ICTV201856983</v>
      </c>
      <c r="R2899" t="s">
        <v>579</v>
      </c>
      <c r="S2899" t="s">
        <v>22764</v>
      </c>
      <c r="T2899">
        <v>37</v>
      </c>
      <c r="U2899" s="26" t="str">
        <f>HYPERLINK("https://ictv.global/ictv/proposals/2021.043B.R.Klumppvirus.zip","2021.043B.R.Klumppvirus.zip")</f>
        <v>2021.043B.R.Klumppvirus.zip</v>
      </c>
    </row>
    <row r="2900" spans="1:21">
      <c r="A2900">
        <v>2899</v>
      </c>
      <c r="B2900" s="27" t="s">
        <v>1449</v>
      </c>
      <c r="D2900" s="27" t="s">
        <v>1450</v>
      </c>
      <c r="F2900" s="27" t="s">
        <v>1453</v>
      </c>
      <c r="H2900" s="27" t="s">
        <v>1454</v>
      </c>
      <c r="L2900" s="27" t="s">
        <v>1192</v>
      </c>
      <c r="N2900" s="27" t="s">
        <v>2069</v>
      </c>
      <c r="P2900" s="27" t="s">
        <v>4945</v>
      </c>
      <c r="Q2900" s="26" t="str">
        <f>HYPERLINK("https://ictv.global/taxonomy/taxondetails?taxnode_id=202500276&amp;ictv_id=ICTV20150050","ICTV20150050")</f>
        <v>ICTV20150050</v>
      </c>
      <c r="R2900" t="s">
        <v>579</v>
      </c>
      <c r="S2900" t="s">
        <v>824</v>
      </c>
      <c r="T2900">
        <v>37</v>
      </c>
      <c r="U2900" s="26" t="str">
        <f>HYPERLINK("https://ictv.global/ictv/proposals/2021.010B.R.Binomial_names.zip","2021.010B.R.Binomial_names.zip")</f>
        <v>2021.010B.R.Binomial_names.zip</v>
      </c>
    </row>
    <row r="2901" spans="1:21">
      <c r="A2901">
        <v>2900</v>
      </c>
      <c r="B2901" s="27" t="s">
        <v>1449</v>
      </c>
      <c r="D2901" s="27" t="s">
        <v>1450</v>
      </c>
      <c r="F2901" s="27" t="s">
        <v>1453</v>
      </c>
      <c r="H2901" s="27" t="s">
        <v>1454</v>
      </c>
      <c r="L2901" s="27" t="s">
        <v>1192</v>
      </c>
      <c r="N2901" s="27" t="s">
        <v>2070</v>
      </c>
      <c r="P2901" s="27" t="s">
        <v>4946</v>
      </c>
      <c r="Q2901" s="26" t="str">
        <f>HYPERLINK("https://ictv.global/taxonomy/taxondetails?taxnode_id=202500277&amp;ictv_id=ICTV20115497","ICTV20115497")</f>
        <v>ICTV20115497</v>
      </c>
      <c r="R2901" t="s">
        <v>579</v>
      </c>
      <c r="S2901" t="s">
        <v>824</v>
      </c>
      <c r="T2901">
        <v>37</v>
      </c>
      <c r="U2901" s="26" t="str">
        <f>HYPERLINK("https://ictv.global/ictv/proposals/2021.010B.R.Binomial_names.zip","2021.010B.R.Binomial_names.zip")</f>
        <v>2021.010B.R.Binomial_names.zip</v>
      </c>
    </row>
    <row r="2902" spans="1:21">
      <c r="A2902">
        <v>2901</v>
      </c>
      <c r="B2902" s="27" t="s">
        <v>1449</v>
      </c>
      <c r="D2902" s="27" t="s">
        <v>1450</v>
      </c>
      <c r="F2902" s="27" t="s">
        <v>1453</v>
      </c>
      <c r="H2902" s="27" t="s">
        <v>1454</v>
      </c>
      <c r="L2902" s="27" t="s">
        <v>1192</v>
      </c>
      <c r="N2902" s="27" t="s">
        <v>2071</v>
      </c>
      <c r="P2902" s="27" t="s">
        <v>4947</v>
      </c>
      <c r="Q2902" s="26" t="str">
        <f>HYPERLINK("https://ictv.global/taxonomy/taxondetails?taxnode_id=202510125&amp;ictv_id=ICTV202010125","ICTV202010125")</f>
        <v>ICTV202010125</v>
      </c>
      <c r="R2902" t="s">
        <v>579</v>
      </c>
      <c r="S2902" t="s">
        <v>824</v>
      </c>
      <c r="T2902">
        <v>37</v>
      </c>
      <c r="U2902" s="26" t="str">
        <f>HYPERLINK("https://ictv.global/ictv/proposals/2021.010B.R.Binomial_names.zip","2021.010B.R.Binomial_names.zip")</f>
        <v>2021.010B.R.Binomial_names.zip</v>
      </c>
    </row>
    <row r="2903" spans="1:21">
      <c r="A2903">
        <v>2902</v>
      </c>
      <c r="B2903" s="27" t="s">
        <v>1449</v>
      </c>
      <c r="D2903" s="27" t="s">
        <v>1450</v>
      </c>
      <c r="F2903" s="27" t="s">
        <v>1453</v>
      </c>
      <c r="H2903" s="27" t="s">
        <v>1454</v>
      </c>
      <c r="L2903" s="27" t="s">
        <v>1192</v>
      </c>
      <c r="N2903" s="27" t="s">
        <v>2071</v>
      </c>
      <c r="P2903" s="27" t="s">
        <v>4948</v>
      </c>
      <c r="Q2903" s="26" t="str">
        <f>HYPERLINK("https://ictv.global/taxonomy/taxondetails?taxnode_id=202510124&amp;ictv_id=ICTV202010124","ICTV202010124")</f>
        <v>ICTV202010124</v>
      </c>
      <c r="R2903" t="s">
        <v>579</v>
      </c>
      <c r="S2903" t="s">
        <v>824</v>
      </c>
      <c r="T2903">
        <v>37</v>
      </c>
      <c r="U2903" s="26" t="str">
        <f>HYPERLINK("https://ictv.global/ictv/proposals/2021.010B.R.Binomial_names.zip","2021.010B.R.Binomial_names.zip")</f>
        <v>2021.010B.R.Binomial_names.zip</v>
      </c>
    </row>
    <row r="2904" spans="1:21">
      <c r="A2904">
        <v>2903</v>
      </c>
      <c r="B2904" s="27" t="s">
        <v>1449</v>
      </c>
      <c r="D2904" s="27" t="s">
        <v>1450</v>
      </c>
      <c r="F2904" s="27" t="s">
        <v>1453</v>
      </c>
      <c r="H2904" s="27" t="s">
        <v>1454</v>
      </c>
      <c r="L2904" s="27" t="s">
        <v>1192</v>
      </c>
      <c r="N2904" s="27" t="s">
        <v>2072</v>
      </c>
      <c r="P2904" s="27" t="s">
        <v>4949</v>
      </c>
      <c r="Q2904" s="26" t="str">
        <f>HYPERLINK("https://ictv.global/taxonomy/taxondetails?taxnode_id=202510122&amp;ictv_id=ICTV202010122","ICTV202010122")</f>
        <v>ICTV202010122</v>
      </c>
      <c r="R2904" t="s">
        <v>579</v>
      </c>
      <c r="S2904" t="s">
        <v>824</v>
      </c>
      <c r="T2904">
        <v>37</v>
      </c>
      <c r="U2904" s="26" t="str">
        <f>HYPERLINK("https://ictv.global/ictv/proposals/2021.010B.R.Binomial_names.zip","2021.010B.R.Binomial_names.zip")</f>
        <v>2021.010B.R.Binomial_names.zip</v>
      </c>
    </row>
    <row r="2905" spans="1:21">
      <c r="A2905">
        <v>2904</v>
      </c>
      <c r="B2905" s="27" t="s">
        <v>1449</v>
      </c>
      <c r="D2905" s="27" t="s">
        <v>1450</v>
      </c>
      <c r="F2905" s="27" t="s">
        <v>1453</v>
      </c>
      <c r="H2905" s="27" t="s">
        <v>1454</v>
      </c>
      <c r="L2905" s="27" t="s">
        <v>20759</v>
      </c>
      <c r="N2905" s="27" t="s">
        <v>22431</v>
      </c>
      <c r="P2905" s="27" t="s">
        <v>22432</v>
      </c>
      <c r="Q2905" s="26" t="str">
        <f>HYPERLINK("https://ictv.global/taxonomy/taxondetails?taxnode_id=202523075&amp;ictv_id=ICTV202523075","ICTV202523075")</f>
        <v>ICTV202523075</v>
      </c>
      <c r="R2905" t="s">
        <v>579</v>
      </c>
      <c r="S2905" t="s">
        <v>823</v>
      </c>
      <c r="T2905">
        <v>41</v>
      </c>
      <c r="U2905" s="26" t="str">
        <f t="shared" ref="U2905:U2936" si="107">HYPERLINK("https://ictv.global/ictv/proposals/2025.054B.Hirszfeldviridae_1nf_21ng_1mg_5mrs_46ns.zip","2025.054B.Hirszfeldviridae_1nf_21ng_1mg_5mrs_46ns.zip")</f>
        <v>2025.054B.Hirszfeldviridae_1nf_21ng_1mg_5mrs_46ns.zip</v>
      </c>
    </row>
    <row r="2906" spans="1:21">
      <c r="A2906">
        <v>2905</v>
      </c>
      <c r="B2906" s="27" t="s">
        <v>1449</v>
      </c>
      <c r="D2906" s="27" t="s">
        <v>1450</v>
      </c>
      <c r="F2906" s="27" t="s">
        <v>1453</v>
      </c>
      <c r="H2906" s="27" t="s">
        <v>1454</v>
      </c>
      <c r="L2906" s="27" t="s">
        <v>20759</v>
      </c>
      <c r="N2906" s="27" t="s">
        <v>22398</v>
      </c>
      <c r="P2906" s="27" t="s">
        <v>22399</v>
      </c>
      <c r="Q2906" s="26" t="str">
        <f>HYPERLINK("https://ictv.global/taxonomy/taxondetails?taxnode_id=202523051&amp;ictv_id=ICTV202523051","ICTV202523051")</f>
        <v>ICTV202523051</v>
      </c>
      <c r="R2906" t="s">
        <v>579</v>
      </c>
      <c r="S2906" t="s">
        <v>823</v>
      </c>
      <c r="T2906">
        <v>41</v>
      </c>
      <c r="U2906" s="26" t="str">
        <f t="shared" si="107"/>
        <v>2025.054B.Hirszfeldviridae_1nf_21ng_1mg_5mrs_46ns.zip</v>
      </c>
    </row>
    <row r="2907" spans="1:21">
      <c r="A2907">
        <v>2906</v>
      </c>
      <c r="B2907" s="27" t="s">
        <v>1449</v>
      </c>
      <c r="D2907" s="27" t="s">
        <v>1450</v>
      </c>
      <c r="F2907" s="27" t="s">
        <v>1453</v>
      </c>
      <c r="H2907" s="27" t="s">
        <v>1454</v>
      </c>
      <c r="L2907" s="27" t="s">
        <v>20759</v>
      </c>
      <c r="N2907" s="27" t="s">
        <v>22414</v>
      </c>
      <c r="P2907" s="27" t="s">
        <v>22415</v>
      </c>
      <c r="Q2907" s="26" t="str">
        <f>HYPERLINK("https://ictv.global/taxonomy/taxondetails?taxnode_id=202523061&amp;ictv_id=ICTV202523061","ICTV202523061")</f>
        <v>ICTV202523061</v>
      </c>
      <c r="R2907" t="s">
        <v>579</v>
      </c>
      <c r="S2907" t="s">
        <v>823</v>
      </c>
      <c r="T2907">
        <v>41</v>
      </c>
      <c r="U2907" s="26" t="str">
        <f t="shared" si="107"/>
        <v>2025.054B.Hirszfeldviridae_1nf_21ng_1mg_5mrs_46ns.zip</v>
      </c>
    </row>
    <row r="2908" spans="1:21">
      <c r="A2908">
        <v>2907</v>
      </c>
      <c r="B2908" s="27" t="s">
        <v>1449</v>
      </c>
      <c r="D2908" s="27" t="s">
        <v>1450</v>
      </c>
      <c r="F2908" s="27" t="s">
        <v>1453</v>
      </c>
      <c r="H2908" s="27" t="s">
        <v>1454</v>
      </c>
      <c r="L2908" s="27" t="s">
        <v>20759</v>
      </c>
      <c r="N2908" s="27" t="s">
        <v>20862</v>
      </c>
      <c r="P2908" s="27" t="s">
        <v>22425</v>
      </c>
      <c r="Q2908" s="26" t="str">
        <f>HYPERLINK("https://ictv.global/taxonomy/taxondetails?taxnode_id=202523069&amp;ictv_id=ICTV202523069","ICTV202523069")</f>
        <v>ICTV202523069</v>
      </c>
      <c r="R2908" t="s">
        <v>579</v>
      </c>
      <c r="S2908" t="s">
        <v>823</v>
      </c>
      <c r="T2908">
        <v>41</v>
      </c>
      <c r="U2908" s="26" t="str">
        <f t="shared" si="107"/>
        <v>2025.054B.Hirszfeldviridae_1nf_21ng_1mg_5mrs_46ns.zip</v>
      </c>
    </row>
    <row r="2909" spans="1:21">
      <c r="A2909">
        <v>2908</v>
      </c>
      <c r="B2909" s="27" t="s">
        <v>1449</v>
      </c>
      <c r="D2909" s="27" t="s">
        <v>1450</v>
      </c>
      <c r="F2909" s="27" t="s">
        <v>1453</v>
      </c>
      <c r="H2909" s="27" t="s">
        <v>1454</v>
      </c>
      <c r="L2909" s="27" t="s">
        <v>20759</v>
      </c>
      <c r="N2909" s="27" t="s">
        <v>20862</v>
      </c>
      <c r="P2909" s="27" t="s">
        <v>22424</v>
      </c>
      <c r="Q2909" s="26" t="str">
        <f>HYPERLINK("https://ictv.global/taxonomy/taxondetails?taxnode_id=202523068&amp;ictv_id=ICTV202523068","ICTV202523068")</f>
        <v>ICTV202523068</v>
      </c>
      <c r="R2909" t="s">
        <v>579</v>
      </c>
      <c r="S2909" t="s">
        <v>823</v>
      </c>
      <c r="T2909">
        <v>41</v>
      </c>
      <c r="U2909" s="26" t="str">
        <f t="shared" si="107"/>
        <v>2025.054B.Hirszfeldviridae_1nf_21ng_1mg_5mrs_46ns.zip</v>
      </c>
    </row>
    <row r="2910" spans="1:21">
      <c r="A2910">
        <v>2909</v>
      </c>
      <c r="B2910" s="27" t="s">
        <v>1449</v>
      </c>
      <c r="D2910" s="27" t="s">
        <v>1450</v>
      </c>
      <c r="F2910" s="27" t="s">
        <v>1453</v>
      </c>
      <c r="H2910" s="27" t="s">
        <v>1454</v>
      </c>
      <c r="L2910" s="27" t="s">
        <v>20759</v>
      </c>
      <c r="N2910" s="27" t="s">
        <v>20862</v>
      </c>
      <c r="P2910" s="27" t="s">
        <v>20863</v>
      </c>
      <c r="Q2910" s="26" t="str">
        <f>HYPERLINK("https://ictv.global/taxonomy/taxondetails?taxnode_id=202506922&amp;ictv_id=ICTV201856922","ICTV201856922")</f>
        <v>ICTV201856922</v>
      </c>
      <c r="R2910" t="s">
        <v>579</v>
      </c>
      <c r="S2910" t="s">
        <v>22764</v>
      </c>
      <c r="T2910">
        <v>41</v>
      </c>
      <c r="U2910" s="26" t="str">
        <f t="shared" si="107"/>
        <v>2025.054B.Hirszfeldviridae_1nf_21ng_1mg_5mrs_46ns.zip</v>
      </c>
    </row>
    <row r="2911" spans="1:21">
      <c r="A2911">
        <v>2910</v>
      </c>
      <c r="B2911" s="27" t="s">
        <v>1449</v>
      </c>
      <c r="D2911" s="27" t="s">
        <v>1450</v>
      </c>
      <c r="F2911" s="27" t="s">
        <v>1453</v>
      </c>
      <c r="H2911" s="27" t="s">
        <v>1454</v>
      </c>
      <c r="L2911" s="27" t="s">
        <v>20759</v>
      </c>
      <c r="N2911" s="27" t="s">
        <v>20862</v>
      </c>
      <c r="P2911" s="27" t="s">
        <v>22422</v>
      </c>
      <c r="Q2911" s="26" t="str">
        <f>HYPERLINK("https://ictv.global/taxonomy/taxondetails?taxnode_id=202523066&amp;ictv_id=ICTV202523066","ICTV202523066")</f>
        <v>ICTV202523066</v>
      </c>
      <c r="R2911" t="s">
        <v>579</v>
      </c>
      <c r="S2911" t="s">
        <v>823</v>
      </c>
      <c r="T2911">
        <v>41</v>
      </c>
      <c r="U2911" s="26" t="str">
        <f t="shared" si="107"/>
        <v>2025.054B.Hirszfeldviridae_1nf_21ng_1mg_5mrs_46ns.zip</v>
      </c>
    </row>
    <row r="2912" spans="1:21">
      <c r="A2912">
        <v>2911</v>
      </c>
      <c r="B2912" s="27" t="s">
        <v>1449</v>
      </c>
      <c r="D2912" s="27" t="s">
        <v>1450</v>
      </c>
      <c r="F2912" s="27" t="s">
        <v>1453</v>
      </c>
      <c r="H2912" s="27" t="s">
        <v>1454</v>
      </c>
      <c r="L2912" s="27" t="s">
        <v>20759</v>
      </c>
      <c r="N2912" s="27" t="s">
        <v>20862</v>
      </c>
      <c r="P2912" s="27" t="s">
        <v>22428</v>
      </c>
      <c r="Q2912" s="26" t="str">
        <f>HYPERLINK("https://ictv.global/taxonomy/taxondetails?taxnode_id=202523072&amp;ictv_id=ICTV202523072","ICTV202523072")</f>
        <v>ICTV202523072</v>
      </c>
      <c r="R2912" t="s">
        <v>579</v>
      </c>
      <c r="S2912" t="s">
        <v>823</v>
      </c>
      <c r="T2912">
        <v>41</v>
      </c>
      <c r="U2912" s="26" t="str">
        <f t="shared" si="107"/>
        <v>2025.054B.Hirszfeldviridae_1nf_21ng_1mg_5mrs_46ns.zip</v>
      </c>
    </row>
    <row r="2913" spans="1:21">
      <c r="A2913">
        <v>2912</v>
      </c>
      <c r="B2913" s="27" t="s">
        <v>1449</v>
      </c>
      <c r="D2913" s="27" t="s">
        <v>1450</v>
      </c>
      <c r="F2913" s="27" t="s">
        <v>1453</v>
      </c>
      <c r="H2913" s="27" t="s">
        <v>1454</v>
      </c>
      <c r="L2913" s="27" t="s">
        <v>20759</v>
      </c>
      <c r="N2913" s="27" t="s">
        <v>20862</v>
      </c>
      <c r="P2913" s="27" t="s">
        <v>22426</v>
      </c>
      <c r="Q2913" s="26" t="str">
        <f>HYPERLINK("https://ictv.global/taxonomy/taxondetails?taxnode_id=202523070&amp;ictv_id=ICTV202523070","ICTV202523070")</f>
        <v>ICTV202523070</v>
      </c>
      <c r="R2913" t="s">
        <v>579</v>
      </c>
      <c r="S2913" t="s">
        <v>823</v>
      </c>
      <c r="T2913">
        <v>41</v>
      </c>
      <c r="U2913" s="26" t="str">
        <f t="shared" si="107"/>
        <v>2025.054B.Hirszfeldviridae_1nf_21ng_1mg_5mrs_46ns.zip</v>
      </c>
    </row>
    <row r="2914" spans="1:21">
      <c r="A2914">
        <v>2913</v>
      </c>
      <c r="B2914" s="27" t="s">
        <v>1449</v>
      </c>
      <c r="D2914" s="27" t="s">
        <v>1450</v>
      </c>
      <c r="F2914" s="27" t="s">
        <v>1453</v>
      </c>
      <c r="H2914" s="27" t="s">
        <v>1454</v>
      </c>
      <c r="L2914" s="27" t="s">
        <v>20759</v>
      </c>
      <c r="N2914" s="27" t="s">
        <v>20862</v>
      </c>
      <c r="P2914" s="27" t="s">
        <v>22430</v>
      </c>
      <c r="Q2914" s="26" t="str">
        <f>HYPERLINK("https://ictv.global/taxonomy/taxondetails?taxnode_id=202523074&amp;ictv_id=ICTV202523074","ICTV202523074")</f>
        <v>ICTV202523074</v>
      </c>
      <c r="R2914" t="s">
        <v>579</v>
      </c>
      <c r="S2914" t="s">
        <v>823</v>
      </c>
      <c r="T2914">
        <v>41</v>
      </c>
      <c r="U2914" s="26" t="str">
        <f t="shared" si="107"/>
        <v>2025.054B.Hirszfeldviridae_1nf_21ng_1mg_5mrs_46ns.zip</v>
      </c>
    </row>
    <row r="2915" spans="1:21">
      <c r="A2915">
        <v>2914</v>
      </c>
      <c r="B2915" s="27" t="s">
        <v>1449</v>
      </c>
      <c r="D2915" s="27" t="s">
        <v>1450</v>
      </c>
      <c r="F2915" s="27" t="s">
        <v>1453</v>
      </c>
      <c r="H2915" s="27" t="s">
        <v>1454</v>
      </c>
      <c r="L2915" s="27" t="s">
        <v>20759</v>
      </c>
      <c r="N2915" s="27" t="s">
        <v>20862</v>
      </c>
      <c r="P2915" s="27" t="s">
        <v>22423</v>
      </c>
      <c r="Q2915" s="26" t="str">
        <f>HYPERLINK("https://ictv.global/taxonomy/taxondetails?taxnode_id=202523067&amp;ictv_id=ICTV202523067","ICTV202523067")</f>
        <v>ICTV202523067</v>
      </c>
      <c r="R2915" t="s">
        <v>579</v>
      </c>
      <c r="S2915" t="s">
        <v>823</v>
      </c>
      <c r="T2915">
        <v>41</v>
      </c>
      <c r="U2915" s="26" t="str">
        <f t="shared" si="107"/>
        <v>2025.054B.Hirszfeldviridae_1nf_21ng_1mg_5mrs_46ns.zip</v>
      </c>
    </row>
    <row r="2916" spans="1:21">
      <c r="A2916">
        <v>2915</v>
      </c>
      <c r="B2916" s="27" t="s">
        <v>1449</v>
      </c>
      <c r="D2916" s="27" t="s">
        <v>1450</v>
      </c>
      <c r="F2916" s="27" t="s">
        <v>1453</v>
      </c>
      <c r="H2916" s="27" t="s">
        <v>1454</v>
      </c>
      <c r="L2916" s="27" t="s">
        <v>20759</v>
      </c>
      <c r="N2916" s="27" t="s">
        <v>20862</v>
      </c>
      <c r="P2916" s="27" t="s">
        <v>22429</v>
      </c>
      <c r="Q2916" s="26" t="str">
        <f>HYPERLINK("https://ictv.global/taxonomy/taxondetails?taxnode_id=202523073&amp;ictv_id=ICTV202523073","ICTV202523073")</f>
        <v>ICTV202523073</v>
      </c>
      <c r="R2916" t="s">
        <v>579</v>
      </c>
      <c r="S2916" t="s">
        <v>823</v>
      </c>
      <c r="T2916">
        <v>41</v>
      </c>
      <c r="U2916" s="26" t="str">
        <f t="shared" si="107"/>
        <v>2025.054B.Hirszfeldviridae_1nf_21ng_1mg_5mrs_46ns.zip</v>
      </c>
    </row>
    <row r="2917" spans="1:21">
      <c r="A2917">
        <v>2916</v>
      </c>
      <c r="B2917" s="27" t="s">
        <v>1449</v>
      </c>
      <c r="D2917" s="27" t="s">
        <v>1450</v>
      </c>
      <c r="F2917" s="27" t="s">
        <v>1453</v>
      </c>
      <c r="H2917" s="27" t="s">
        <v>1454</v>
      </c>
      <c r="L2917" s="27" t="s">
        <v>20759</v>
      </c>
      <c r="N2917" s="27" t="s">
        <v>20862</v>
      </c>
      <c r="P2917" s="27" t="s">
        <v>22421</v>
      </c>
      <c r="Q2917" s="26" t="str">
        <f>HYPERLINK("https://ictv.global/taxonomy/taxondetails?taxnode_id=202523065&amp;ictv_id=ICTV202523065","ICTV202523065")</f>
        <v>ICTV202523065</v>
      </c>
      <c r="R2917" t="s">
        <v>579</v>
      </c>
      <c r="S2917" t="s">
        <v>823</v>
      </c>
      <c r="T2917">
        <v>41</v>
      </c>
      <c r="U2917" s="26" t="str">
        <f t="shared" si="107"/>
        <v>2025.054B.Hirszfeldviridae_1nf_21ng_1mg_5mrs_46ns.zip</v>
      </c>
    </row>
    <row r="2918" spans="1:21">
      <c r="A2918">
        <v>2917</v>
      </c>
      <c r="B2918" s="27" t="s">
        <v>1449</v>
      </c>
      <c r="D2918" s="27" t="s">
        <v>1450</v>
      </c>
      <c r="F2918" s="27" t="s">
        <v>1453</v>
      </c>
      <c r="H2918" s="27" t="s">
        <v>1454</v>
      </c>
      <c r="L2918" s="27" t="s">
        <v>20759</v>
      </c>
      <c r="N2918" s="27" t="s">
        <v>20862</v>
      </c>
      <c r="P2918" s="27" t="s">
        <v>22427</v>
      </c>
      <c r="Q2918" s="26" t="str">
        <f>HYPERLINK("https://ictv.global/taxonomy/taxondetails?taxnode_id=202523071&amp;ictv_id=ICTV202523071","ICTV202523071")</f>
        <v>ICTV202523071</v>
      </c>
      <c r="R2918" t="s">
        <v>579</v>
      </c>
      <c r="S2918" t="s">
        <v>823</v>
      </c>
      <c r="T2918">
        <v>41</v>
      </c>
      <c r="U2918" s="26" t="str">
        <f t="shared" si="107"/>
        <v>2025.054B.Hirszfeldviridae_1nf_21ng_1mg_5mrs_46ns.zip</v>
      </c>
    </row>
    <row r="2919" spans="1:21">
      <c r="A2919">
        <v>2918</v>
      </c>
      <c r="B2919" s="27" t="s">
        <v>1449</v>
      </c>
      <c r="D2919" s="27" t="s">
        <v>1450</v>
      </c>
      <c r="F2919" s="27" t="s">
        <v>1453</v>
      </c>
      <c r="H2919" s="27" t="s">
        <v>1454</v>
      </c>
      <c r="L2919" s="27" t="s">
        <v>20759</v>
      </c>
      <c r="N2919" s="27" t="s">
        <v>22438</v>
      </c>
      <c r="P2919" s="27" t="s">
        <v>22439</v>
      </c>
      <c r="Q2919" s="26" t="str">
        <f>HYPERLINK("https://ictv.global/taxonomy/taxondetails?taxnode_id=202523079&amp;ictv_id=ICTV202523079","ICTV202523079")</f>
        <v>ICTV202523079</v>
      </c>
      <c r="R2919" t="s">
        <v>579</v>
      </c>
      <c r="S2919" t="s">
        <v>823</v>
      </c>
      <c r="T2919">
        <v>41</v>
      </c>
      <c r="U2919" s="26" t="str">
        <f t="shared" si="107"/>
        <v>2025.054B.Hirszfeldviridae_1nf_21ng_1mg_5mrs_46ns.zip</v>
      </c>
    </row>
    <row r="2920" spans="1:21">
      <c r="A2920">
        <v>2919</v>
      </c>
      <c r="B2920" s="27" t="s">
        <v>1449</v>
      </c>
      <c r="D2920" s="27" t="s">
        <v>1450</v>
      </c>
      <c r="F2920" s="27" t="s">
        <v>1453</v>
      </c>
      <c r="H2920" s="27" t="s">
        <v>1454</v>
      </c>
      <c r="L2920" s="27" t="s">
        <v>20759</v>
      </c>
      <c r="N2920" s="27" t="s">
        <v>22438</v>
      </c>
      <c r="P2920" s="27" t="s">
        <v>22440</v>
      </c>
      <c r="Q2920" s="26" t="str">
        <f>HYPERLINK("https://ictv.global/taxonomy/taxondetails?taxnode_id=202523080&amp;ictv_id=ICTV202523080","ICTV202523080")</f>
        <v>ICTV202523080</v>
      </c>
      <c r="R2920" t="s">
        <v>579</v>
      </c>
      <c r="S2920" t="s">
        <v>823</v>
      </c>
      <c r="T2920">
        <v>41</v>
      </c>
      <c r="U2920" s="26" t="str">
        <f t="shared" si="107"/>
        <v>2025.054B.Hirszfeldviridae_1nf_21ng_1mg_5mrs_46ns.zip</v>
      </c>
    </row>
    <row r="2921" spans="1:21">
      <c r="A2921">
        <v>2920</v>
      </c>
      <c r="B2921" s="27" t="s">
        <v>1449</v>
      </c>
      <c r="D2921" s="27" t="s">
        <v>1450</v>
      </c>
      <c r="F2921" s="27" t="s">
        <v>1453</v>
      </c>
      <c r="H2921" s="27" t="s">
        <v>1454</v>
      </c>
      <c r="L2921" s="27" t="s">
        <v>20759</v>
      </c>
      <c r="N2921" s="27" t="s">
        <v>22402</v>
      </c>
      <c r="P2921" s="27" t="s">
        <v>22403</v>
      </c>
      <c r="Q2921" s="26" t="str">
        <f>HYPERLINK("https://ictv.global/taxonomy/taxondetails?taxnode_id=202523053&amp;ictv_id=ICTV202523053","ICTV202523053")</f>
        <v>ICTV202523053</v>
      </c>
      <c r="R2921" t="s">
        <v>579</v>
      </c>
      <c r="S2921" t="s">
        <v>823</v>
      </c>
      <c r="T2921">
        <v>41</v>
      </c>
      <c r="U2921" s="26" t="str">
        <f t="shared" si="107"/>
        <v>2025.054B.Hirszfeldviridae_1nf_21ng_1mg_5mrs_46ns.zip</v>
      </c>
    </row>
    <row r="2922" spans="1:21">
      <c r="A2922">
        <v>2921</v>
      </c>
      <c r="B2922" s="27" t="s">
        <v>1449</v>
      </c>
      <c r="D2922" s="27" t="s">
        <v>1450</v>
      </c>
      <c r="F2922" s="27" t="s">
        <v>1453</v>
      </c>
      <c r="H2922" s="27" t="s">
        <v>1454</v>
      </c>
      <c r="L2922" s="27" t="s">
        <v>20759</v>
      </c>
      <c r="N2922" s="27" t="s">
        <v>22410</v>
      </c>
      <c r="P2922" s="27" t="s">
        <v>22411</v>
      </c>
      <c r="Q2922" s="26" t="str">
        <f>HYPERLINK("https://ictv.global/taxonomy/taxondetails?taxnode_id=202523059&amp;ictv_id=ICTV202523059","ICTV202523059")</f>
        <v>ICTV202523059</v>
      </c>
      <c r="R2922" t="s">
        <v>579</v>
      </c>
      <c r="S2922" t="s">
        <v>823</v>
      </c>
      <c r="T2922">
        <v>41</v>
      </c>
      <c r="U2922" s="26" t="str">
        <f t="shared" si="107"/>
        <v>2025.054B.Hirszfeldviridae_1nf_21ng_1mg_5mrs_46ns.zip</v>
      </c>
    </row>
    <row r="2923" spans="1:21">
      <c r="A2923">
        <v>2922</v>
      </c>
      <c r="B2923" s="27" t="s">
        <v>1449</v>
      </c>
      <c r="D2923" s="27" t="s">
        <v>1450</v>
      </c>
      <c r="F2923" s="27" t="s">
        <v>1453</v>
      </c>
      <c r="H2923" s="27" t="s">
        <v>1454</v>
      </c>
      <c r="L2923" s="27" t="s">
        <v>20759</v>
      </c>
      <c r="N2923" s="27" t="s">
        <v>22400</v>
      </c>
      <c r="P2923" s="27" t="s">
        <v>22401</v>
      </c>
      <c r="Q2923" s="26" t="str">
        <f>HYPERLINK("https://ictv.global/taxonomy/taxondetails?taxnode_id=202523052&amp;ictv_id=ICTV202523052","ICTV202523052")</f>
        <v>ICTV202523052</v>
      </c>
      <c r="R2923" t="s">
        <v>579</v>
      </c>
      <c r="S2923" t="s">
        <v>823</v>
      </c>
      <c r="T2923">
        <v>41</v>
      </c>
      <c r="U2923" s="26" t="str">
        <f t="shared" si="107"/>
        <v>2025.054B.Hirszfeldviridae_1nf_21ng_1mg_5mrs_46ns.zip</v>
      </c>
    </row>
    <row r="2924" spans="1:21">
      <c r="A2924">
        <v>2923</v>
      </c>
      <c r="B2924" s="27" t="s">
        <v>1449</v>
      </c>
      <c r="D2924" s="27" t="s">
        <v>1450</v>
      </c>
      <c r="F2924" s="27" t="s">
        <v>1453</v>
      </c>
      <c r="H2924" s="27" t="s">
        <v>1454</v>
      </c>
      <c r="L2924" s="27" t="s">
        <v>20759</v>
      </c>
      <c r="N2924" s="27" t="s">
        <v>22412</v>
      </c>
      <c r="P2924" s="27" t="s">
        <v>22413</v>
      </c>
      <c r="Q2924" s="26" t="str">
        <f>HYPERLINK("https://ictv.global/taxonomy/taxondetails?taxnode_id=202523060&amp;ictv_id=ICTV202523060","ICTV202523060")</f>
        <v>ICTV202523060</v>
      </c>
      <c r="R2924" t="s">
        <v>579</v>
      </c>
      <c r="S2924" t="s">
        <v>823</v>
      </c>
      <c r="T2924">
        <v>41</v>
      </c>
      <c r="U2924" s="26" t="str">
        <f t="shared" si="107"/>
        <v>2025.054B.Hirszfeldviridae_1nf_21ng_1mg_5mrs_46ns.zip</v>
      </c>
    </row>
    <row r="2925" spans="1:21">
      <c r="A2925">
        <v>2924</v>
      </c>
      <c r="B2925" s="27" t="s">
        <v>1449</v>
      </c>
      <c r="D2925" s="27" t="s">
        <v>1450</v>
      </c>
      <c r="F2925" s="27" t="s">
        <v>1453</v>
      </c>
      <c r="H2925" s="27" t="s">
        <v>1454</v>
      </c>
      <c r="L2925" s="27" t="s">
        <v>20759</v>
      </c>
      <c r="N2925" s="27" t="s">
        <v>22441</v>
      </c>
      <c r="P2925" s="27" t="s">
        <v>22443</v>
      </c>
      <c r="Q2925" s="26" t="str">
        <f>HYPERLINK("https://ictv.global/taxonomy/taxondetails?taxnode_id=202523082&amp;ictv_id=ICTV202523082","ICTV202523082")</f>
        <v>ICTV202523082</v>
      </c>
      <c r="R2925" t="s">
        <v>579</v>
      </c>
      <c r="S2925" t="s">
        <v>823</v>
      </c>
      <c r="T2925">
        <v>41</v>
      </c>
      <c r="U2925" s="26" t="str">
        <f t="shared" si="107"/>
        <v>2025.054B.Hirszfeldviridae_1nf_21ng_1mg_5mrs_46ns.zip</v>
      </c>
    </row>
    <row r="2926" spans="1:21">
      <c r="A2926">
        <v>2925</v>
      </c>
      <c r="B2926" s="27" t="s">
        <v>1449</v>
      </c>
      <c r="D2926" s="27" t="s">
        <v>1450</v>
      </c>
      <c r="F2926" s="27" t="s">
        <v>1453</v>
      </c>
      <c r="H2926" s="27" t="s">
        <v>1454</v>
      </c>
      <c r="L2926" s="27" t="s">
        <v>20759</v>
      </c>
      <c r="N2926" s="27" t="s">
        <v>22441</v>
      </c>
      <c r="P2926" s="27" t="s">
        <v>22442</v>
      </c>
      <c r="Q2926" s="26" t="str">
        <f>HYPERLINK("https://ictv.global/taxonomy/taxondetails?taxnode_id=202523081&amp;ictv_id=ICTV202523081","ICTV202523081")</f>
        <v>ICTV202523081</v>
      </c>
      <c r="R2926" t="s">
        <v>579</v>
      </c>
      <c r="S2926" t="s">
        <v>823</v>
      </c>
      <c r="T2926">
        <v>41</v>
      </c>
      <c r="U2926" s="26" t="str">
        <f t="shared" si="107"/>
        <v>2025.054B.Hirszfeldviridae_1nf_21ng_1mg_5mrs_46ns.zip</v>
      </c>
    </row>
    <row r="2927" spans="1:21">
      <c r="A2927">
        <v>2926</v>
      </c>
      <c r="B2927" s="27" t="s">
        <v>1449</v>
      </c>
      <c r="D2927" s="27" t="s">
        <v>1450</v>
      </c>
      <c r="F2927" s="27" t="s">
        <v>1453</v>
      </c>
      <c r="H2927" s="27" t="s">
        <v>1454</v>
      </c>
      <c r="L2927" s="27" t="s">
        <v>20759</v>
      </c>
      <c r="N2927" s="27" t="s">
        <v>22436</v>
      </c>
      <c r="P2927" s="27" t="s">
        <v>22437</v>
      </c>
      <c r="Q2927" s="26" t="str">
        <f>HYPERLINK("https://ictv.global/taxonomy/taxondetails?taxnode_id=202523078&amp;ictv_id=ICTV202523078","ICTV202523078")</f>
        <v>ICTV202523078</v>
      </c>
      <c r="R2927" t="s">
        <v>579</v>
      </c>
      <c r="S2927" t="s">
        <v>823</v>
      </c>
      <c r="T2927">
        <v>41</v>
      </c>
      <c r="U2927" s="26" t="str">
        <f t="shared" si="107"/>
        <v>2025.054B.Hirszfeldviridae_1nf_21ng_1mg_5mrs_46ns.zip</v>
      </c>
    </row>
    <row r="2928" spans="1:21">
      <c r="A2928">
        <v>2927</v>
      </c>
      <c r="B2928" s="27" t="s">
        <v>1449</v>
      </c>
      <c r="D2928" s="27" t="s">
        <v>1450</v>
      </c>
      <c r="F2928" s="27" t="s">
        <v>1453</v>
      </c>
      <c r="H2928" s="27" t="s">
        <v>1454</v>
      </c>
      <c r="L2928" s="27" t="s">
        <v>20759</v>
      </c>
      <c r="N2928" s="27" t="s">
        <v>22450</v>
      </c>
      <c r="P2928" s="27" t="s">
        <v>22451</v>
      </c>
      <c r="Q2928" s="26" t="str">
        <f>HYPERLINK("https://ictv.global/taxonomy/taxondetails?taxnode_id=202523088&amp;ictv_id=ICTV202523088","ICTV202523088")</f>
        <v>ICTV202523088</v>
      </c>
      <c r="R2928" t="s">
        <v>579</v>
      </c>
      <c r="S2928" t="s">
        <v>823</v>
      </c>
      <c r="T2928">
        <v>41</v>
      </c>
      <c r="U2928" s="26" t="str">
        <f t="shared" si="107"/>
        <v>2025.054B.Hirszfeldviridae_1nf_21ng_1mg_5mrs_46ns.zip</v>
      </c>
    </row>
    <row r="2929" spans="1:21">
      <c r="A2929">
        <v>2928</v>
      </c>
      <c r="B2929" s="27" t="s">
        <v>1449</v>
      </c>
      <c r="D2929" s="27" t="s">
        <v>1450</v>
      </c>
      <c r="F2929" s="27" t="s">
        <v>1453</v>
      </c>
      <c r="H2929" s="27" t="s">
        <v>1454</v>
      </c>
      <c r="L2929" s="27" t="s">
        <v>20759</v>
      </c>
      <c r="N2929" s="27" t="s">
        <v>22395</v>
      </c>
      <c r="P2929" s="27" t="s">
        <v>22397</v>
      </c>
      <c r="Q2929" s="26" t="str">
        <f>HYPERLINK("https://ictv.global/taxonomy/taxondetails?taxnode_id=202523050&amp;ictv_id=ICTV202523050","ICTV202523050")</f>
        <v>ICTV202523050</v>
      </c>
      <c r="R2929" t="s">
        <v>579</v>
      </c>
      <c r="S2929" t="s">
        <v>823</v>
      </c>
      <c r="T2929">
        <v>41</v>
      </c>
      <c r="U2929" s="26" t="str">
        <f t="shared" si="107"/>
        <v>2025.054B.Hirszfeldviridae_1nf_21ng_1mg_5mrs_46ns.zip</v>
      </c>
    </row>
    <row r="2930" spans="1:21">
      <c r="A2930">
        <v>2929</v>
      </c>
      <c r="B2930" s="27" t="s">
        <v>1449</v>
      </c>
      <c r="D2930" s="27" t="s">
        <v>1450</v>
      </c>
      <c r="F2930" s="27" t="s">
        <v>1453</v>
      </c>
      <c r="H2930" s="27" t="s">
        <v>1454</v>
      </c>
      <c r="L2930" s="27" t="s">
        <v>20759</v>
      </c>
      <c r="N2930" s="27" t="s">
        <v>22395</v>
      </c>
      <c r="P2930" s="27" t="s">
        <v>22396</v>
      </c>
      <c r="Q2930" s="26" t="str">
        <f>HYPERLINK("https://ictv.global/taxonomy/taxondetails?taxnode_id=202523049&amp;ictv_id=ICTV202523049","ICTV202523049")</f>
        <v>ICTV202523049</v>
      </c>
      <c r="R2930" t="s">
        <v>579</v>
      </c>
      <c r="S2930" t="s">
        <v>823</v>
      </c>
      <c r="T2930">
        <v>41</v>
      </c>
      <c r="U2930" s="26" t="str">
        <f t="shared" si="107"/>
        <v>2025.054B.Hirszfeldviridae_1nf_21ng_1mg_5mrs_46ns.zip</v>
      </c>
    </row>
    <row r="2931" spans="1:21">
      <c r="A2931">
        <v>2930</v>
      </c>
      <c r="B2931" s="27" t="s">
        <v>1449</v>
      </c>
      <c r="D2931" s="27" t="s">
        <v>1450</v>
      </c>
      <c r="F2931" s="27" t="s">
        <v>1453</v>
      </c>
      <c r="H2931" s="27" t="s">
        <v>1454</v>
      </c>
      <c r="L2931" s="27" t="s">
        <v>20759</v>
      </c>
      <c r="N2931" s="27" t="s">
        <v>1250</v>
      </c>
      <c r="P2931" s="27" t="s">
        <v>22406</v>
      </c>
      <c r="Q2931" s="26" t="str">
        <f>HYPERLINK("https://ictv.global/taxonomy/taxondetails?taxnode_id=202523055&amp;ictv_id=ICTV202523055","ICTV202523055")</f>
        <v>ICTV202523055</v>
      </c>
      <c r="R2931" t="s">
        <v>579</v>
      </c>
      <c r="S2931" t="s">
        <v>823</v>
      </c>
      <c r="T2931">
        <v>41</v>
      </c>
      <c r="U2931" s="26" t="str">
        <f t="shared" si="107"/>
        <v>2025.054B.Hirszfeldviridae_1nf_21ng_1mg_5mrs_46ns.zip</v>
      </c>
    </row>
    <row r="2932" spans="1:21">
      <c r="A2932">
        <v>2931</v>
      </c>
      <c r="B2932" s="27" t="s">
        <v>1449</v>
      </c>
      <c r="D2932" s="27" t="s">
        <v>1450</v>
      </c>
      <c r="F2932" s="27" t="s">
        <v>1453</v>
      </c>
      <c r="H2932" s="27" t="s">
        <v>1454</v>
      </c>
      <c r="L2932" s="27" t="s">
        <v>20759</v>
      </c>
      <c r="N2932" s="27" t="s">
        <v>1250</v>
      </c>
      <c r="P2932" s="27" t="s">
        <v>7501</v>
      </c>
      <c r="Q2932" s="26" t="str">
        <f>HYPERLINK("https://ictv.global/taxonomy/taxondetails?taxnode_id=202500378&amp;ictv_id=ICTV20150181","ICTV20150181")</f>
        <v>ICTV20150181</v>
      </c>
      <c r="R2932" t="s">
        <v>579</v>
      </c>
      <c r="S2932" t="s">
        <v>22763</v>
      </c>
      <c r="T2932">
        <v>41</v>
      </c>
      <c r="U2932" s="26" t="str">
        <f t="shared" si="107"/>
        <v>2025.054B.Hirszfeldviridae_1nf_21ng_1mg_5mrs_46ns.zip</v>
      </c>
    </row>
    <row r="2933" spans="1:21">
      <c r="A2933">
        <v>2932</v>
      </c>
      <c r="B2933" s="27" t="s">
        <v>1449</v>
      </c>
      <c r="D2933" s="27" t="s">
        <v>1450</v>
      </c>
      <c r="F2933" s="27" t="s">
        <v>1453</v>
      </c>
      <c r="H2933" s="27" t="s">
        <v>1454</v>
      </c>
      <c r="L2933" s="27" t="s">
        <v>20759</v>
      </c>
      <c r="N2933" s="27" t="s">
        <v>1250</v>
      </c>
      <c r="P2933" s="27" t="s">
        <v>7502</v>
      </c>
      <c r="Q2933" s="26" t="str">
        <f>HYPERLINK("https://ictv.global/taxonomy/taxondetails?taxnode_id=202500379&amp;ictv_id=ICTV20150180","ICTV20150180")</f>
        <v>ICTV20150180</v>
      </c>
      <c r="R2933" t="s">
        <v>579</v>
      </c>
      <c r="S2933" t="s">
        <v>22763</v>
      </c>
      <c r="T2933">
        <v>41</v>
      </c>
      <c r="U2933" s="26" t="str">
        <f t="shared" si="107"/>
        <v>2025.054B.Hirszfeldviridae_1nf_21ng_1mg_5mrs_46ns.zip</v>
      </c>
    </row>
    <row r="2934" spans="1:21">
      <c r="A2934">
        <v>2933</v>
      </c>
      <c r="B2934" s="27" t="s">
        <v>1449</v>
      </c>
      <c r="D2934" s="27" t="s">
        <v>1450</v>
      </c>
      <c r="F2934" s="27" t="s">
        <v>1453</v>
      </c>
      <c r="H2934" s="27" t="s">
        <v>1454</v>
      </c>
      <c r="L2934" s="27" t="s">
        <v>20759</v>
      </c>
      <c r="N2934" s="27" t="s">
        <v>1250</v>
      </c>
      <c r="P2934" s="27" t="s">
        <v>22409</v>
      </c>
      <c r="Q2934" s="26" t="str">
        <f>HYPERLINK("https://ictv.global/taxonomy/taxondetails?taxnode_id=202523058&amp;ictv_id=ICTV202523058","ICTV202523058")</f>
        <v>ICTV202523058</v>
      </c>
      <c r="R2934" t="s">
        <v>579</v>
      </c>
      <c r="S2934" t="s">
        <v>823</v>
      </c>
      <c r="T2934">
        <v>41</v>
      </c>
      <c r="U2934" s="26" t="str">
        <f t="shared" si="107"/>
        <v>2025.054B.Hirszfeldviridae_1nf_21ng_1mg_5mrs_46ns.zip</v>
      </c>
    </row>
    <row r="2935" spans="1:21">
      <c r="A2935">
        <v>2934</v>
      </c>
      <c r="B2935" s="27" t="s">
        <v>1449</v>
      </c>
      <c r="D2935" s="27" t="s">
        <v>1450</v>
      </c>
      <c r="F2935" s="27" t="s">
        <v>1453</v>
      </c>
      <c r="H2935" s="27" t="s">
        <v>1454</v>
      </c>
      <c r="L2935" s="27" t="s">
        <v>20759</v>
      </c>
      <c r="N2935" s="27" t="s">
        <v>1250</v>
      </c>
      <c r="P2935" s="27" t="s">
        <v>7503</v>
      </c>
      <c r="Q2935" s="26" t="str">
        <f>HYPERLINK("https://ictv.global/taxonomy/taxondetails?taxnode_id=202506921&amp;ictv_id=ICTV201856921","ICTV201856921")</f>
        <v>ICTV201856921</v>
      </c>
      <c r="R2935" t="s">
        <v>579</v>
      </c>
      <c r="S2935" t="s">
        <v>22763</v>
      </c>
      <c r="T2935">
        <v>41</v>
      </c>
      <c r="U2935" s="26" t="str">
        <f t="shared" si="107"/>
        <v>2025.054B.Hirszfeldviridae_1nf_21ng_1mg_5mrs_46ns.zip</v>
      </c>
    </row>
    <row r="2936" spans="1:21">
      <c r="A2936">
        <v>2935</v>
      </c>
      <c r="B2936" s="27" t="s">
        <v>1449</v>
      </c>
      <c r="D2936" s="27" t="s">
        <v>1450</v>
      </c>
      <c r="F2936" s="27" t="s">
        <v>1453</v>
      </c>
      <c r="H2936" s="27" t="s">
        <v>1454</v>
      </c>
      <c r="L2936" s="27" t="s">
        <v>20759</v>
      </c>
      <c r="N2936" s="27" t="s">
        <v>1250</v>
      </c>
      <c r="P2936" s="27" t="s">
        <v>22408</v>
      </c>
      <c r="Q2936" s="26" t="str">
        <f>HYPERLINK("https://ictv.global/taxonomy/taxondetails?taxnode_id=202523057&amp;ictv_id=ICTV202523057","ICTV202523057")</f>
        <v>ICTV202523057</v>
      </c>
      <c r="R2936" t="s">
        <v>579</v>
      </c>
      <c r="S2936" t="s">
        <v>823</v>
      </c>
      <c r="T2936">
        <v>41</v>
      </c>
      <c r="U2936" s="26" t="str">
        <f t="shared" si="107"/>
        <v>2025.054B.Hirszfeldviridae_1nf_21ng_1mg_5mrs_46ns.zip</v>
      </c>
    </row>
    <row r="2937" spans="1:21">
      <c r="A2937">
        <v>2936</v>
      </c>
      <c r="B2937" s="27" t="s">
        <v>1449</v>
      </c>
      <c r="D2937" s="27" t="s">
        <v>1450</v>
      </c>
      <c r="F2937" s="27" t="s">
        <v>1453</v>
      </c>
      <c r="H2937" s="27" t="s">
        <v>1454</v>
      </c>
      <c r="L2937" s="27" t="s">
        <v>20759</v>
      </c>
      <c r="N2937" s="27" t="s">
        <v>1250</v>
      </c>
      <c r="P2937" s="27" t="s">
        <v>22407</v>
      </c>
      <c r="Q2937" s="26" t="str">
        <f>HYPERLINK("https://ictv.global/taxonomy/taxondetails?taxnode_id=202523056&amp;ictv_id=ICTV202523056","ICTV202523056")</f>
        <v>ICTV202523056</v>
      </c>
      <c r="R2937" t="s">
        <v>579</v>
      </c>
      <c r="S2937" t="s">
        <v>823</v>
      </c>
      <c r="T2937">
        <v>41</v>
      </c>
      <c r="U2937" s="26" t="str">
        <f t="shared" ref="U2937:U2953" si="108">HYPERLINK("https://ictv.global/ictv/proposals/2025.054B.Hirszfeldviridae_1nf_21ng_1mg_5mrs_46ns.zip","2025.054B.Hirszfeldviridae_1nf_21ng_1mg_5mrs_46ns.zip")</f>
        <v>2025.054B.Hirszfeldviridae_1nf_21ng_1mg_5mrs_46ns.zip</v>
      </c>
    </row>
    <row r="2938" spans="1:21">
      <c r="A2938">
        <v>2937</v>
      </c>
      <c r="B2938" s="27" t="s">
        <v>1449</v>
      </c>
      <c r="D2938" s="27" t="s">
        <v>1450</v>
      </c>
      <c r="F2938" s="27" t="s">
        <v>1453</v>
      </c>
      <c r="H2938" s="27" t="s">
        <v>1454</v>
      </c>
      <c r="L2938" s="27" t="s">
        <v>20759</v>
      </c>
      <c r="N2938" s="27" t="s">
        <v>22448</v>
      </c>
      <c r="P2938" s="27" t="s">
        <v>22449</v>
      </c>
      <c r="Q2938" s="26" t="str">
        <f>HYPERLINK("https://ictv.global/taxonomy/taxondetails?taxnode_id=202523087&amp;ictv_id=ICTV202523087","ICTV202523087")</f>
        <v>ICTV202523087</v>
      </c>
      <c r="R2938" t="s">
        <v>579</v>
      </c>
      <c r="S2938" t="s">
        <v>823</v>
      </c>
      <c r="T2938">
        <v>41</v>
      </c>
      <c r="U2938" s="26" t="str">
        <f t="shared" si="108"/>
        <v>2025.054B.Hirszfeldviridae_1nf_21ng_1mg_5mrs_46ns.zip</v>
      </c>
    </row>
    <row r="2939" spans="1:21">
      <c r="A2939">
        <v>2938</v>
      </c>
      <c r="B2939" s="27" t="s">
        <v>1449</v>
      </c>
      <c r="D2939" s="27" t="s">
        <v>1450</v>
      </c>
      <c r="F2939" s="27" t="s">
        <v>1453</v>
      </c>
      <c r="H2939" s="27" t="s">
        <v>1454</v>
      </c>
      <c r="L2939" s="27" t="s">
        <v>20759</v>
      </c>
      <c r="N2939" s="27" t="s">
        <v>22404</v>
      </c>
      <c r="P2939" s="27" t="s">
        <v>22405</v>
      </c>
      <c r="Q2939" s="26" t="str">
        <f>HYPERLINK("https://ictv.global/taxonomy/taxondetails?taxnode_id=202523054&amp;ictv_id=ICTV202523054","ICTV202523054")</f>
        <v>ICTV202523054</v>
      </c>
      <c r="R2939" t="s">
        <v>579</v>
      </c>
      <c r="S2939" t="s">
        <v>823</v>
      </c>
      <c r="T2939">
        <v>41</v>
      </c>
      <c r="U2939" s="26" t="str">
        <f t="shared" si="108"/>
        <v>2025.054B.Hirszfeldviridae_1nf_21ng_1mg_5mrs_46ns.zip</v>
      </c>
    </row>
    <row r="2940" spans="1:21">
      <c r="A2940">
        <v>2939</v>
      </c>
      <c r="B2940" s="27" t="s">
        <v>1449</v>
      </c>
      <c r="D2940" s="27" t="s">
        <v>1450</v>
      </c>
      <c r="F2940" s="27" t="s">
        <v>1453</v>
      </c>
      <c r="H2940" s="27" t="s">
        <v>1454</v>
      </c>
      <c r="L2940" s="27" t="s">
        <v>20759</v>
      </c>
      <c r="N2940" s="27" t="s">
        <v>22433</v>
      </c>
      <c r="P2940" s="27" t="s">
        <v>22434</v>
      </c>
      <c r="Q2940" s="26" t="str">
        <f>HYPERLINK("https://ictv.global/taxonomy/taxondetails?taxnode_id=202523076&amp;ictv_id=ICTV202523076","ICTV202523076")</f>
        <v>ICTV202523076</v>
      </c>
      <c r="R2940" t="s">
        <v>579</v>
      </c>
      <c r="S2940" t="s">
        <v>823</v>
      </c>
      <c r="T2940">
        <v>41</v>
      </c>
      <c r="U2940" s="26" t="str">
        <f t="shared" si="108"/>
        <v>2025.054B.Hirszfeldviridae_1nf_21ng_1mg_5mrs_46ns.zip</v>
      </c>
    </row>
    <row r="2941" spans="1:21">
      <c r="A2941">
        <v>2940</v>
      </c>
      <c r="B2941" s="27" t="s">
        <v>1449</v>
      </c>
      <c r="D2941" s="27" t="s">
        <v>1450</v>
      </c>
      <c r="F2941" s="27" t="s">
        <v>1453</v>
      </c>
      <c r="H2941" s="27" t="s">
        <v>1454</v>
      </c>
      <c r="L2941" s="27" t="s">
        <v>20759</v>
      </c>
      <c r="N2941" s="27" t="s">
        <v>22433</v>
      </c>
      <c r="P2941" s="27" t="s">
        <v>22435</v>
      </c>
      <c r="Q2941" s="26" t="str">
        <f>HYPERLINK("https://ictv.global/taxonomy/taxondetails?taxnode_id=202523077&amp;ictv_id=ICTV202523077","ICTV202523077")</f>
        <v>ICTV202523077</v>
      </c>
      <c r="R2941" t="s">
        <v>579</v>
      </c>
      <c r="S2941" t="s">
        <v>823</v>
      </c>
      <c r="T2941">
        <v>41</v>
      </c>
      <c r="U2941" s="26" t="str">
        <f t="shared" si="108"/>
        <v>2025.054B.Hirszfeldviridae_1nf_21ng_1mg_5mrs_46ns.zip</v>
      </c>
    </row>
    <row r="2942" spans="1:21">
      <c r="A2942">
        <v>2941</v>
      </c>
      <c r="B2942" s="27" t="s">
        <v>1449</v>
      </c>
      <c r="D2942" s="27" t="s">
        <v>1450</v>
      </c>
      <c r="F2942" s="27" t="s">
        <v>1453</v>
      </c>
      <c r="H2942" s="27" t="s">
        <v>1454</v>
      </c>
      <c r="L2942" s="27" t="s">
        <v>20759</v>
      </c>
      <c r="N2942" s="27" t="s">
        <v>22418</v>
      </c>
      <c r="P2942" s="27" t="s">
        <v>22419</v>
      </c>
      <c r="Q2942" s="26" t="str">
        <f>HYPERLINK("https://ictv.global/taxonomy/taxondetails?taxnode_id=202523063&amp;ictv_id=ICTV202523063","ICTV202523063")</f>
        <v>ICTV202523063</v>
      </c>
      <c r="R2942" t="s">
        <v>579</v>
      </c>
      <c r="S2942" t="s">
        <v>823</v>
      </c>
      <c r="T2942">
        <v>41</v>
      </c>
      <c r="U2942" s="26" t="str">
        <f t="shared" si="108"/>
        <v>2025.054B.Hirszfeldviridae_1nf_21ng_1mg_5mrs_46ns.zip</v>
      </c>
    </row>
    <row r="2943" spans="1:21">
      <c r="A2943">
        <v>2942</v>
      </c>
      <c r="B2943" s="27" t="s">
        <v>1449</v>
      </c>
      <c r="D2943" s="27" t="s">
        <v>1450</v>
      </c>
      <c r="F2943" s="27" t="s">
        <v>1453</v>
      </c>
      <c r="H2943" s="27" t="s">
        <v>1454</v>
      </c>
      <c r="L2943" s="27" t="s">
        <v>20759</v>
      </c>
      <c r="N2943" s="27" t="s">
        <v>20859</v>
      </c>
      <c r="P2943" s="27" t="s">
        <v>22445</v>
      </c>
      <c r="Q2943" s="26" t="str">
        <f>HYPERLINK("https://ictv.global/taxonomy/taxondetails?taxnode_id=202523084&amp;ictv_id=ICTV202523084","ICTV202523084")</f>
        <v>ICTV202523084</v>
      </c>
      <c r="R2943" t="s">
        <v>579</v>
      </c>
      <c r="S2943" t="s">
        <v>823</v>
      </c>
      <c r="T2943">
        <v>41</v>
      </c>
      <c r="U2943" s="26" t="str">
        <f t="shared" si="108"/>
        <v>2025.054B.Hirszfeldviridae_1nf_21ng_1mg_5mrs_46ns.zip</v>
      </c>
    </row>
    <row r="2944" spans="1:21">
      <c r="A2944">
        <v>2943</v>
      </c>
      <c r="B2944" s="27" t="s">
        <v>1449</v>
      </c>
      <c r="D2944" s="27" t="s">
        <v>1450</v>
      </c>
      <c r="F2944" s="27" t="s">
        <v>1453</v>
      </c>
      <c r="H2944" s="27" t="s">
        <v>1454</v>
      </c>
      <c r="L2944" s="27" t="s">
        <v>20759</v>
      </c>
      <c r="N2944" s="27" t="s">
        <v>20859</v>
      </c>
      <c r="P2944" s="27" t="s">
        <v>22447</v>
      </c>
      <c r="Q2944" s="26" t="str">
        <f>HYPERLINK("https://ictv.global/taxonomy/taxondetails?taxnode_id=202523086&amp;ictv_id=ICTV202523086","ICTV202523086")</f>
        <v>ICTV202523086</v>
      </c>
      <c r="R2944" t="s">
        <v>579</v>
      </c>
      <c r="S2944" t="s">
        <v>823</v>
      </c>
      <c r="T2944">
        <v>41</v>
      </c>
      <c r="U2944" s="26" t="str">
        <f t="shared" si="108"/>
        <v>2025.054B.Hirszfeldviridae_1nf_21ng_1mg_5mrs_46ns.zip</v>
      </c>
    </row>
    <row r="2945" spans="1:21">
      <c r="A2945">
        <v>2944</v>
      </c>
      <c r="B2945" s="27" t="s">
        <v>1449</v>
      </c>
      <c r="D2945" s="27" t="s">
        <v>1450</v>
      </c>
      <c r="F2945" s="27" t="s">
        <v>1453</v>
      </c>
      <c r="H2945" s="27" t="s">
        <v>1454</v>
      </c>
      <c r="L2945" s="27" t="s">
        <v>20759</v>
      </c>
      <c r="N2945" s="27" t="s">
        <v>20859</v>
      </c>
      <c r="P2945" s="27" t="s">
        <v>22446</v>
      </c>
      <c r="Q2945" s="26" t="str">
        <f>HYPERLINK("https://ictv.global/taxonomy/taxondetails?taxnode_id=202523085&amp;ictv_id=ICTV202523085","ICTV202523085")</f>
        <v>ICTV202523085</v>
      </c>
      <c r="R2945" t="s">
        <v>579</v>
      </c>
      <c r="S2945" t="s">
        <v>823</v>
      </c>
      <c r="T2945">
        <v>41</v>
      </c>
      <c r="U2945" s="26" t="str">
        <f t="shared" si="108"/>
        <v>2025.054B.Hirszfeldviridae_1nf_21ng_1mg_5mrs_46ns.zip</v>
      </c>
    </row>
    <row r="2946" spans="1:21">
      <c r="A2946">
        <v>2945</v>
      </c>
      <c r="B2946" s="27" t="s">
        <v>1449</v>
      </c>
      <c r="D2946" s="27" t="s">
        <v>1450</v>
      </c>
      <c r="F2946" s="27" t="s">
        <v>1453</v>
      </c>
      <c r="H2946" s="27" t="s">
        <v>1454</v>
      </c>
      <c r="L2946" s="27" t="s">
        <v>20759</v>
      </c>
      <c r="N2946" s="27" t="s">
        <v>20859</v>
      </c>
      <c r="P2946" s="27" t="s">
        <v>20860</v>
      </c>
      <c r="Q2946" s="26" t="str">
        <f>HYPERLINK("https://ictv.global/taxonomy/taxondetails?taxnode_id=202506919&amp;ictv_id=ICTV201856919","ICTV201856919")</f>
        <v>ICTV201856919</v>
      </c>
      <c r="R2946" t="s">
        <v>579</v>
      </c>
      <c r="S2946" t="s">
        <v>22764</v>
      </c>
      <c r="T2946">
        <v>41</v>
      </c>
      <c r="U2946" s="26" t="str">
        <f t="shared" si="108"/>
        <v>2025.054B.Hirszfeldviridae_1nf_21ng_1mg_5mrs_46ns.zip</v>
      </c>
    </row>
    <row r="2947" spans="1:21">
      <c r="A2947">
        <v>2946</v>
      </c>
      <c r="B2947" s="27" t="s">
        <v>1449</v>
      </c>
      <c r="D2947" s="27" t="s">
        <v>1450</v>
      </c>
      <c r="F2947" s="27" t="s">
        <v>1453</v>
      </c>
      <c r="H2947" s="27" t="s">
        <v>1454</v>
      </c>
      <c r="L2947" s="27" t="s">
        <v>20759</v>
      </c>
      <c r="N2947" s="27" t="s">
        <v>20859</v>
      </c>
      <c r="P2947" s="27" t="s">
        <v>20861</v>
      </c>
      <c r="Q2947" s="26" t="str">
        <f>HYPERLINK("https://ictv.global/taxonomy/taxondetails?taxnode_id=202506920&amp;ictv_id=ICTV201856920","ICTV201856920")</f>
        <v>ICTV201856920</v>
      </c>
      <c r="R2947" t="s">
        <v>579</v>
      </c>
      <c r="S2947" t="s">
        <v>22764</v>
      </c>
      <c r="T2947">
        <v>41</v>
      </c>
      <c r="U2947" s="26" t="str">
        <f t="shared" si="108"/>
        <v>2025.054B.Hirszfeldviridae_1nf_21ng_1mg_5mrs_46ns.zip</v>
      </c>
    </row>
    <row r="2948" spans="1:21">
      <c r="A2948">
        <v>2947</v>
      </c>
      <c r="B2948" s="27" t="s">
        <v>1449</v>
      </c>
      <c r="D2948" s="27" t="s">
        <v>1450</v>
      </c>
      <c r="F2948" s="27" t="s">
        <v>1453</v>
      </c>
      <c r="H2948" s="27" t="s">
        <v>1454</v>
      </c>
      <c r="L2948" s="27" t="s">
        <v>20759</v>
      </c>
      <c r="N2948" s="27" t="s">
        <v>20859</v>
      </c>
      <c r="P2948" s="27" t="s">
        <v>22444</v>
      </c>
      <c r="Q2948" s="26" t="str">
        <f>HYPERLINK("https://ictv.global/taxonomy/taxondetails?taxnode_id=202523083&amp;ictv_id=ICTV202523083","ICTV202523083")</f>
        <v>ICTV202523083</v>
      </c>
      <c r="R2948" t="s">
        <v>579</v>
      </c>
      <c r="S2948" t="s">
        <v>823</v>
      </c>
      <c r="T2948">
        <v>41</v>
      </c>
      <c r="U2948" s="26" t="str">
        <f t="shared" si="108"/>
        <v>2025.054B.Hirszfeldviridae_1nf_21ng_1mg_5mrs_46ns.zip</v>
      </c>
    </row>
    <row r="2949" spans="1:21">
      <c r="A2949">
        <v>2948</v>
      </c>
      <c r="B2949" s="27" t="s">
        <v>1449</v>
      </c>
      <c r="D2949" s="27" t="s">
        <v>1450</v>
      </c>
      <c r="F2949" s="27" t="s">
        <v>1453</v>
      </c>
      <c r="H2949" s="27" t="s">
        <v>1454</v>
      </c>
      <c r="L2949" s="27" t="s">
        <v>20759</v>
      </c>
      <c r="N2949" s="27" t="s">
        <v>20762</v>
      </c>
      <c r="P2949" s="27" t="s">
        <v>20763</v>
      </c>
      <c r="Q2949" s="26" t="str">
        <f>HYPERLINK("https://ictv.global/taxonomy/taxondetails?taxnode_id=202500380&amp;ictv_id=ICTV20150183","ICTV20150183")</f>
        <v>ICTV20150183</v>
      </c>
      <c r="R2949" t="s">
        <v>579</v>
      </c>
      <c r="S2949" t="s">
        <v>22764</v>
      </c>
      <c r="T2949">
        <v>41</v>
      </c>
      <c r="U2949" s="26" t="str">
        <f t="shared" si="108"/>
        <v>2025.054B.Hirszfeldviridae_1nf_21ng_1mg_5mrs_46ns.zip</v>
      </c>
    </row>
    <row r="2950" spans="1:21">
      <c r="A2950">
        <v>2949</v>
      </c>
      <c r="B2950" s="27" t="s">
        <v>1449</v>
      </c>
      <c r="D2950" s="27" t="s">
        <v>1450</v>
      </c>
      <c r="F2950" s="27" t="s">
        <v>1453</v>
      </c>
      <c r="H2950" s="27" t="s">
        <v>1454</v>
      </c>
      <c r="L2950" s="27" t="s">
        <v>20759</v>
      </c>
      <c r="N2950" s="27" t="s">
        <v>20762</v>
      </c>
      <c r="P2950" s="27" t="s">
        <v>22452</v>
      </c>
      <c r="Q2950" s="26" t="str">
        <f>HYPERLINK("https://ictv.global/taxonomy/taxondetails?taxnode_id=202523089&amp;ictv_id=ICTV202523089","ICTV202523089")</f>
        <v>ICTV202523089</v>
      </c>
      <c r="R2950" t="s">
        <v>579</v>
      </c>
      <c r="S2950" t="s">
        <v>823</v>
      </c>
      <c r="T2950">
        <v>41</v>
      </c>
      <c r="U2950" s="26" t="str">
        <f t="shared" si="108"/>
        <v>2025.054B.Hirszfeldviridae_1nf_21ng_1mg_5mrs_46ns.zip</v>
      </c>
    </row>
    <row r="2951" spans="1:21">
      <c r="A2951">
        <v>2950</v>
      </c>
      <c r="B2951" s="27" t="s">
        <v>1449</v>
      </c>
      <c r="D2951" s="27" t="s">
        <v>1450</v>
      </c>
      <c r="F2951" s="27" t="s">
        <v>1453</v>
      </c>
      <c r="H2951" s="27" t="s">
        <v>1454</v>
      </c>
      <c r="L2951" s="27" t="s">
        <v>20759</v>
      </c>
      <c r="N2951" s="27" t="s">
        <v>22416</v>
      </c>
      <c r="P2951" s="27" t="s">
        <v>22417</v>
      </c>
      <c r="Q2951" s="26" t="str">
        <f>HYPERLINK("https://ictv.global/taxonomy/taxondetails?taxnode_id=202523062&amp;ictv_id=ICTV202523062","ICTV202523062")</f>
        <v>ICTV202523062</v>
      </c>
      <c r="R2951" t="s">
        <v>579</v>
      </c>
      <c r="S2951" t="s">
        <v>823</v>
      </c>
      <c r="T2951">
        <v>41</v>
      </c>
      <c r="U2951" s="26" t="str">
        <f t="shared" si="108"/>
        <v>2025.054B.Hirszfeldviridae_1nf_21ng_1mg_5mrs_46ns.zip</v>
      </c>
    </row>
    <row r="2952" spans="1:21">
      <c r="A2952">
        <v>2951</v>
      </c>
      <c r="B2952" s="27" t="s">
        <v>1449</v>
      </c>
      <c r="D2952" s="27" t="s">
        <v>1450</v>
      </c>
      <c r="F2952" s="27" t="s">
        <v>1453</v>
      </c>
      <c r="H2952" s="27" t="s">
        <v>1454</v>
      </c>
      <c r="L2952" s="27" t="s">
        <v>20759</v>
      </c>
      <c r="N2952" s="27" t="s">
        <v>20760</v>
      </c>
      <c r="P2952" s="27" t="s">
        <v>20761</v>
      </c>
      <c r="Q2952" s="26" t="str">
        <f>HYPERLINK("https://ictv.global/taxonomy/taxondetails?taxnode_id=202500377&amp;ictv_id=ICTV20150182","ICTV20150182")</f>
        <v>ICTV20150182</v>
      </c>
      <c r="R2952" t="s">
        <v>579</v>
      </c>
      <c r="S2952" t="s">
        <v>22764</v>
      </c>
      <c r="T2952">
        <v>41</v>
      </c>
      <c r="U2952" s="26" t="str">
        <f t="shared" si="108"/>
        <v>2025.054B.Hirszfeldviridae_1nf_21ng_1mg_5mrs_46ns.zip</v>
      </c>
    </row>
    <row r="2953" spans="1:21">
      <c r="A2953">
        <v>2952</v>
      </c>
      <c r="B2953" s="27" t="s">
        <v>1449</v>
      </c>
      <c r="D2953" s="27" t="s">
        <v>1450</v>
      </c>
      <c r="F2953" s="27" t="s">
        <v>1453</v>
      </c>
      <c r="H2953" s="27" t="s">
        <v>1454</v>
      </c>
      <c r="L2953" s="27" t="s">
        <v>20759</v>
      </c>
      <c r="N2953" s="27" t="s">
        <v>20760</v>
      </c>
      <c r="P2953" s="27" t="s">
        <v>22420</v>
      </c>
      <c r="Q2953" s="26" t="str">
        <f>HYPERLINK("https://ictv.global/taxonomy/taxondetails?taxnode_id=202523064&amp;ictv_id=ICTV202523064","ICTV202523064")</f>
        <v>ICTV202523064</v>
      </c>
      <c r="R2953" t="s">
        <v>579</v>
      </c>
      <c r="S2953" t="s">
        <v>823</v>
      </c>
      <c r="T2953">
        <v>41</v>
      </c>
      <c r="U2953" s="26" t="str">
        <f t="shared" si="108"/>
        <v>2025.054B.Hirszfeldviridae_1nf_21ng_1mg_5mrs_46ns.zip</v>
      </c>
    </row>
    <row r="2954" spans="1:21">
      <c r="A2954">
        <v>2953</v>
      </c>
      <c r="B2954" s="27" t="s">
        <v>1449</v>
      </c>
      <c r="D2954" s="27" t="s">
        <v>1450</v>
      </c>
      <c r="F2954" s="27" t="s">
        <v>1453</v>
      </c>
      <c r="H2954" s="27" t="s">
        <v>1454</v>
      </c>
      <c r="L2954" s="27" t="s">
        <v>19543</v>
      </c>
      <c r="M2954" s="27" t="s">
        <v>11915</v>
      </c>
      <c r="N2954" s="27" t="s">
        <v>11916</v>
      </c>
      <c r="P2954" s="27" t="s">
        <v>11917</v>
      </c>
      <c r="Q2954" s="26" t="str">
        <f>HYPERLINK("https://ictv.global/taxonomy/taxondetails?taxnode_id=202519191&amp;ictv_id=ICTV202319191","ICTV202319191")</f>
        <v>ICTV202319191</v>
      </c>
      <c r="R2954" t="s">
        <v>579</v>
      </c>
      <c r="S2954" t="s">
        <v>22763</v>
      </c>
      <c r="T2954">
        <v>40</v>
      </c>
      <c r="U2954" s="26" t="str">
        <f>HYPERLINK("https://ictv.global/ictv/proposals/2024.016BX.Hodgkinviridae_1nf_2ng_4mg_5ns_Error_Correction.zip","2024.016BX.Hodgkinviridae_1nf_2ng_4mg_5ns_Error_Correction.zip")</f>
        <v>2024.016BX.Hodgkinviridae_1nf_2ng_4mg_5ns_Error_Correction.zip</v>
      </c>
    </row>
    <row r="2955" spans="1:21">
      <c r="A2955">
        <v>2954</v>
      </c>
      <c r="B2955" s="27" t="s">
        <v>1449</v>
      </c>
      <c r="D2955" s="27" t="s">
        <v>1450</v>
      </c>
      <c r="F2955" s="27" t="s">
        <v>1453</v>
      </c>
      <c r="H2955" s="27" t="s">
        <v>1454</v>
      </c>
      <c r="L2955" s="27" t="s">
        <v>19543</v>
      </c>
      <c r="M2955" s="27" t="s">
        <v>11915</v>
      </c>
      <c r="N2955" s="27" t="s">
        <v>11916</v>
      </c>
      <c r="P2955" s="27" t="s">
        <v>19797</v>
      </c>
      <c r="Q2955" s="26" t="str">
        <f>HYPERLINK("https://ictv.global/taxonomy/taxondetails?taxnode_id=202520729&amp;ictv_id=ICTV202420729","ICTV202420729")</f>
        <v>ICTV202420729</v>
      </c>
      <c r="R2955" t="s">
        <v>579</v>
      </c>
      <c r="S2955" t="s">
        <v>823</v>
      </c>
      <c r="T2955">
        <v>40</v>
      </c>
      <c r="U2955" s="26" t="str">
        <f>HYPERLINK("https://ictv.global/ictv/proposals/2024.016B.Hodgkinviridae_1nf_2ng_4mg_5ns.zip","2024.016B.Hodgkinviridae_1nf_2ng_4mg_5ns.zip")</f>
        <v>2024.016B.Hodgkinviridae_1nf_2ng_4mg_5ns.zip</v>
      </c>
    </row>
    <row r="2956" spans="1:21">
      <c r="A2956">
        <v>2955</v>
      </c>
      <c r="B2956" s="27" t="s">
        <v>1449</v>
      </c>
      <c r="D2956" s="27" t="s">
        <v>1450</v>
      </c>
      <c r="F2956" s="27" t="s">
        <v>1453</v>
      </c>
      <c r="H2956" s="27" t="s">
        <v>1454</v>
      </c>
      <c r="L2956" s="27" t="s">
        <v>19543</v>
      </c>
      <c r="M2956" s="27" t="s">
        <v>11915</v>
      </c>
      <c r="N2956" s="27" t="s">
        <v>19546</v>
      </c>
      <c r="P2956" s="27" t="s">
        <v>19547</v>
      </c>
      <c r="Q2956" s="26" t="str">
        <f>HYPERLINK("https://ictv.global/taxonomy/taxondetails?taxnode_id=202519195&amp;ictv_id=ICTV202319195","ICTV202319195")</f>
        <v>ICTV202319195</v>
      </c>
      <c r="R2956" t="s">
        <v>579</v>
      </c>
      <c r="S2956" t="s">
        <v>22764</v>
      </c>
      <c r="T2956">
        <v>40</v>
      </c>
      <c r="U2956" s="26" t="str">
        <f>HYPERLINK("https://ictv.global/ictv/proposals/2024.016B.Hodgkinviridae_1nf_2ng_4mg_5ns.zip","2024.016B.Hodgkinviridae_1nf_2ng_4mg_5ns.zip")</f>
        <v>2024.016B.Hodgkinviridae_1nf_2ng_4mg_5ns.zip</v>
      </c>
    </row>
    <row r="2957" spans="1:21">
      <c r="A2957">
        <v>2956</v>
      </c>
      <c r="B2957" s="27" t="s">
        <v>1449</v>
      </c>
      <c r="D2957" s="27" t="s">
        <v>1450</v>
      </c>
      <c r="F2957" s="27" t="s">
        <v>1453</v>
      </c>
      <c r="H2957" s="27" t="s">
        <v>1454</v>
      </c>
      <c r="L2957" s="27" t="s">
        <v>19543</v>
      </c>
      <c r="M2957" s="27" t="s">
        <v>11915</v>
      </c>
      <c r="N2957" s="27" t="s">
        <v>19546</v>
      </c>
      <c r="P2957" s="27" t="s">
        <v>19548</v>
      </c>
      <c r="Q2957" s="26" t="str">
        <f>HYPERLINK("https://ictv.global/taxonomy/taxondetails?taxnode_id=202519196&amp;ictv_id=ICTV202319196","ICTV202319196")</f>
        <v>ICTV202319196</v>
      </c>
      <c r="R2957" t="s">
        <v>579</v>
      </c>
      <c r="S2957" t="s">
        <v>22764</v>
      </c>
      <c r="T2957">
        <v>40</v>
      </c>
      <c r="U2957" s="26" t="str">
        <f>HYPERLINK("https://ictv.global/ictv/proposals/2024.016B.Hodgkinviridae_1nf_2ng_4mg_5ns.zip","2024.016B.Hodgkinviridae_1nf_2ng_4mg_5ns.zip")</f>
        <v>2024.016B.Hodgkinviridae_1nf_2ng_4mg_5ns.zip</v>
      </c>
    </row>
    <row r="2958" spans="1:21">
      <c r="A2958">
        <v>2957</v>
      </c>
      <c r="B2958" s="27" t="s">
        <v>1449</v>
      </c>
      <c r="D2958" s="27" t="s">
        <v>1450</v>
      </c>
      <c r="F2958" s="27" t="s">
        <v>1453</v>
      </c>
      <c r="H2958" s="27" t="s">
        <v>1454</v>
      </c>
      <c r="L2958" s="27" t="s">
        <v>19543</v>
      </c>
      <c r="M2958" s="27" t="s">
        <v>11915</v>
      </c>
      <c r="N2958" s="27" t="s">
        <v>1771</v>
      </c>
      <c r="P2958" s="27" t="s">
        <v>11920</v>
      </c>
      <c r="Q2958" s="26" t="str">
        <f>HYPERLINK("https://ictv.global/taxonomy/taxondetails?taxnode_id=202519194&amp;ictv_id=ICTV202319194","ICTV202319194")</f>
        <v>ICTV202319194</v>
      </c>
      <c r="R2958" t="s">
        <v>579</v>
      </c>
      <c r="S2958" t="s">
        <v>22763</v>
      </c>
      <c r="T2958">
        <v>40</v>
      </c>
      <c r="U2958" s="26" t="str">
        <f>HYPERLINK("https://ictv.global/ictv/proposals/2024.016BX.Hodgkinviridae_1nf_2ng_4mg_5ns_Error_Correction.zip","2024.016BX.Hodgkinviridae_1nf_2ng_4mg_5ns_Error_Correction.zip")</f>
        <v>2024.016BX.Hodgkinviridae_1nf_2ng_4mg_5ns_Error_Correction.zip</v>
      </c>
    </row>
    <row r="2959" spans="1:21">
      <c r="A2959">
        <v>2958</v>
      </c>
      <c r="B2959" s="27" t="s">
        <v>1449</v>
      </c>
      <c r="D2959" s="27" t="s">
        <v>1450</v>
      </c>
      <c r="F2959" s="27" t="s">
        <v>1453</v>
      </c>
      <c r="H2959" s="27" t="s">
        <v>1454</v>
      </c>
      <c r="L2959" s="27" t="s">
        <v>19543</v>
      </c>
      <c r="M2959" s="27" t="s">
        <v>11915</v>
      </c>
      <c r="N2959" s="27" t="s">
        <v>1771</v>
      </c>
      <c r="P2959" s="27" t="s">
        <v>11921</v>
      </c>
      <c r="Q2959" s="26" t="str">
        <f>HYPERLINK("https://ictv.global/taxonomy/taxondetails?taxnode_id=202519192&amp;ictv_id=ICTV202319192","ICTV202319192")</f>
        <v>ICTV202319192</v>
      </c>
      <c r="R2959" t="s">
        <v>579</v>
      </c>
      <c r="S2959" t="s">
        <v>22763</v>
      </c>
      <c r="T2959">
        <v>40</v>
      </c>
      <c r="U2959" s="26" t="str">
        <f>HYPERLINK("https://ictv.global/ictv/proposals/2024.016BX.Hodgkinviridae_1nf_2ng_4mg_5ns_Error_Correction.zip","2024.016BX.Hodgkinviridae_1nf_2ng_4mg_5ns_Error_Correction.zip")</f>
        <v>2024.016BX.Hodgkinviridae_1nf_2ng_4mg_5ns_Error_Correction.zip</v>
      </c>
    </row>
    <row r="2960" spans="1:21">
      <c r="A2960">
        <v>2959</v>
      </c>
      <c r="B2960" s="27" t="s">
        <v>1449</v>
      </c>
      <c r="D2960" s="27" t="s">
        <v>1450</v>
      </c>
      <c r="F2960" s="27" t="s">
        <v>1453</v>
      </c>
      <c r="H2960" s="27" t="s">
        <v>1454</v>
      </c>
      <c r="L2960" s="27" t="s">
        <v>19543</v>
      </c>
      <c r="M2960" s="27" t="s">
        <v>11915</v>
      </c>
      <c r="N2960" s="27" t="s">
        <v>1771</v>
      </c>
      <c r="P2960" s="27" t="s">
        <v>11922</v>
      </c>
      <c r="Q2960" s="26" t="str">
        <f>HYPERLINK("https://ictv.global/taxonomy/taxondetails?taxnode_id=202519193&amp;ictv_id=ICTV202319193","ICTV202319193")</f>
        <v>ICTV202319193</v>
      </c>
      <c r="R2960" t="s">
        <v>579</v>
      </c>
      <c r="S2960" t="s">
        <v>22763</v>
      </c>
      <c r="T2960">
        <v>40</v>
      </c>
      <c r="U2960" s="26" t="str">
        <f>HYPERLINK("https://ictv.global/ictv/proposals/2024.016BX.Hodgkinviridae_1nf_2ng_4mg_5ns_Error_Correction.zip","2024.016BX.Hodgkinviridae_1nf_2ng_4mg_5ns_Error_Correction.zip")</f>
        <v>2024.016BX.Hodgkinviridae_1nf_2ng_4mg_5ns_Error_Correction.zip</v>
      </c>
    </row>
    <row r="2961" spans="1:21">
      <c r="A2961">
        <v>2960</v>
      </c>
      <c r="B2961" s="27" t="s">
        <v>1449</v>
      </c>
      <c r="D2961" s="27" t="s">
        <v>1450</v>
      </c>
      <c r="F2961" s="27" t="s">
        <v>1453</v>
      </c>
      <c r="H2961" s="27" t="s">
        <v>1454</v>
      </c>
      <c r="L2961" s="27" t="s">
        <v>19543</v>
      </c>
      <c r="M2961" s="27" t="s">
        <v>11915</v>
      </c>
      <c r="N2961" s="27" t="s">
        <v>1771</v>
      </c>
      <c r="P2961" s="27" t="s">
        <v>7391</v>
      </c>
      <c r="Q2961" s="26" t="str">
        <f>HYPERLINK("https://ictv.global/taxonomy/taxondetails?taxnode_id=202507453&amp;ictv_id=ICTV201907453","ICTV201907453")</f>
        <v>ICTV201907453</v>
      </c>
      <c r="R2961" t="s">
        <v>579</v>
      </c>
      <c r="S2961" t="s">
        <v>22763</v>
      </c>
      <c r="T2961">
        <v>40</v>
      </c>
      <c r="U2961" s="26" t="str">
        <f>HYPERLINK("https://ictv.global/ictv/proposals/2024.016BX.Hodgkinviridae_1nf_2ng_4mg_5ns_Error_Correction.zip","2024.016BX.Hodgkinviridae_1nf_2ng_4mg_5ns_Error_Correction.zip")</f>
        <v>2024.016BX.Hodgkinviridae_1nf_2ng_4mg_5ns_Error_Correction.zip</v>
      </c>
    </row>
    <row r="2962" spans="1:21">
      <c r="A2962">
        <v>2961</v>
      </c>
      <c r="B2962" s="27" t="s">
        <v>1449</v>
      </c>
      <c r="D2962" s="27" t="s">
        <v>1450</v>
      </c>
      <c r="F2962" s="27" t="s">
        <v>1453</v>
      </c>
      <c r="H2962" s="27" t="s">
        <v>1454</v>
      </c>
      <c r="L2962" s="27" t="s">
        <v>19543</v>
      </c>
      <c r="N2962" s="27" t="s">
        <v>19544</v>
      </c>
      <c r="P2962" s="27" t="s">
        <v>19545</v>
      </c>
      <c r="Q2962" s="26" t="str">
        <f>HYPERLINK("https://ictv.global/taxonomy/taxondetails?taxnode_id=202520733&amp;ictv_id=ICTV202420733","ICTV202420733")</f>
        <v>ICTV202420733</v>
      </c>
      <c r="R2962" t="s">
        <v>579</v>
      </c>
      <c r="S2962" t="s">
        <v>823</v>
      </c>
      <c r="T2962">
        <v>40</v>
      </c>
      <c r="U2962" s="26" t="str">
        <f t="shared" ref="U2962:U2980" si="109">HYPERLINK("https://ictv.global/ictv/proposals/2024.016B.Hodgkinviridae_1nf_2ng_4mg_5ns.zip","2024.016B.Hodgkinviridae_1nf_2ng_4mg_5ns.zip")</f>
        <v>2024.016B.Hodgkinviridae_1nf_2ng_4mg_5ns.zip</v>
      </c>
    </row>
    <row r="2963" spans="1:21">
      <c r="A2963">
        <v>2962</v>
      </c>
      <c r="B2963" s="27" t="s">
        <v>1449</v>
      </c>
      <c r="D2963" s="27" t="s">
        <v>1450</v>
      </c>
      <c r="F2963" s="27" t="s">
        <v>1453</v>
      </c>
      <c r="H2963" s="27" t="s">
        <v>1454</v>
      </c>
      <c r="L2963" s="27" t="s">
        <v>19543</v>
      </c>
      <c r="N2963" s="27" t="s">
        <v>11918</v>
      </c>
      <c r="P2963" s="27" t="s">
        <v>11919</v>
      </c>
      <c r="Q2963" s="26" t="str">
        <f>HYPERLINK("https://ictv.global/taxonomy/taxondetails?taxnode_id=202519197&amp;ictv_id=ICTV202319197","ICTV202319197")</f>
        <v>ICTV202319197</v>
      </c>
      <c r="R2963" t="s">
        <v>579</v>
      </c>
      <c r="S2963" t="s">
        <v>22763</v>
      </c>
      <c r="T2963">
        <v>40</v>
      </c>
      <c r="U2963" s="26" t="str">
        <f t="shared" si="109"/>
        <v>2024.016B.Hodgkinviridae_1nf_2ng_4mg_5ns.zip</v>
      </c>
    </row>
    <row r="2964" spans="1:21">
      <c r="A2964">
        <v>2963</v>
      </c>
      <c r="B2964" s="27" t="s">
        <v>1449</v>
      </c>
      <c r="D2964" s="27" t="s">
        <v>1450</v>
      </c>
      <c r="F2964" s="27" t="s">
        <v>1453</v>
      </c>
      <c r="H2964" s="27" t="s">
        <v>1454</v>
      </c>
      <c r="L2964" s="27" t="s">
        <v>19543</v>
      </c>
      <c r="N2964" s="27" t="s">
        <v>11918</v>
      </c>
      <c r="P2964" s="27" t="s">
        <v>19549</v>
      </c>
      <c r="Q2964" s="26" t="str">
        <f>HYPERLINK("https://ictv.global/taxonomy/taxondetails?taxnode_id=202520730&amp;ictv_id=ICTV202420730","ICTV202420730")</f>
        <v>ICTV202420730</v>
      </c>
      <c r="R2964" t="s">
        <v>579</v>
      </c>
      <c r="S2964" t="s">
        <v>823</v>
      </c>
      <c r="T2964">
        <v>40</v>
      </c>
      <c r="U2964" s="26" t="str">
        <f t="shared" si="109"/>
        <v>2024.016B.Hodgkinviridae_1nf_2ng_4mg_5ns.zip</v>
      </c>
    </row>
    <row r="2965" spans="1:21">
      <c r="A2965">
        <v>2964</v>
      </c>
      <c r="B2965" s="27" t="s">
        <v>1449</v>
      </c>
      <c r="D2965" s="27" t="s">
        <v>1450</v>
      </c>
      <c r="F2965" s="27" t="s">
        <v>1453</v>
      </c>
      <c r="H2965" s="27" t="s">
        <v>1454</v>
      </c>
      <c r="L2965" s="27" t="s">
        <v>19543</v>
      </c>
      <c r="N2965" s="27" t="s">
        <v>1772</v>
      </c>
      <c r="P2965" s="27" t="s">
        <v>11923</v>
      </c>
      <c r="Q2965" s="26" t="str">
        <f>HYPERLINK("https://ictv.global/taxonomy/taxondetails?taxnode_id=202519203&amp;ictv_id=ICTV202319203","ICTV202319203")</f>
        <v>ICTV202319203</v>
      </c>
      <c r="R2965" t="s">
        <v>579</v>
      </c>
      <c r="S2965" t="s">
        <v>22763</v>
      </c>
      <c r="T2965">
        <v>40</v>
      </c>
      <c r="U2965" s="26" t="str">
        <f t="shared" si="109"/>
        <v>2024.016B.Hodgkinviridae_1nf_2ng_4mg_5ns.zip</v>
      </c>
    </row>
    <row r="2966" spans="1:21">
      <c r="A2966">
        <v>2965</v>
      </c>
      <c r="B2966" s="27" t="s">
        <v>1449</v>
      </c>
      <c r="D2966" s="27" t="s">
        <v>1450</v>
      </c>
      <c r="F2966" s="27" t="s">
        <v>1453</v>
      </c>
      <c r="H2966" s="27" t="s">
        <v>1454</v>
      </c>
      <c r="L2966" s="27" t="s">
        <v>19543</v>
      </c>
      <c r="N2966" s="27" t="s">
        <v>1772</v>
      </c>
      <c r="P2966" s="27" t="s">
        <v>7396</v>
      </c>
      <c r="Q2966" s="26" t="str">
        <f>HYPERLINK("https://ictv.global/taxonomy/taxondetails?taxnode_id=202507898&amp;ictv_id=ICTV201907898","ICTV201907898")</f>
        <v>ICTV201907898</v>
      </c>
      <c r="R2966" t="s">
        <v>579</v>
      </c>
      <c r="S2966" t="s">
        <v>22763</v>
      </c>
      <c r="T2966">
        <v>40</v>
      </c>
      <c r="U2966" s="26" t="str">
        <f t="shared" si="109"/>
        <v>2024.016B.Hodgkinviridae_1nf_2ng_4mg_5ns.zip</v>
      </c>
    </row>
    <row r="2967" spans="1:21">
      <c r="A2967">
        <v>2966</v>
      </c>
      <c r="B2967" s="27" t="s">
        <v>1449</v>
      </c>
      <c r="D2967" s="27" t="s">
        <v>1450</v>
      </c>
      <c r="F2967" s="27" t="s">
        <v>1453</v>
      </c>
      <c r="H2967" s="27" t="s">
        <v>1454</v>
      </c>
      <c r="L2967" s="27" t="s">
        <v>19543</v>
      </c>
      <c r="N2967" s="27" t="s">
        <v>1772</v>
      </c>
      <c r="P2967" s="27" t="s">
        <v>11924</v>
      </c>
      <c r="Q2967" s="26" t="str">
        <f>HYPERLINK("https://ictv.global/taxonomy/taxondetails?taxnode_id=202519204&amp;ictv_id=ICTV202319204","ICTV202319204")</f>
        <v>ICTV202319204</v>
      </c>
      <c r="R2967" t="s">
        <v>579</v>
      </c>
      <c r="S2967" t="s">
        <v>22763</v>
      </c>
      <c r="T2967">
        <v>40</v>
      </c>
      <c r="U2967" s="26" t="str">
        <f t="shared" si="109"/>
        <v>2024.016B.Hodgkinviridae_1nf_2ng_4mg_5ns.zip</v>
      </c>
    </row>
    <row r="2968" spans="1:21">
      <c r="A2968">
        <v>2967</v>
      </c>
      <c r="B2968" s="27" t="s">
        <v>1449</v>
      </c>
      <c r="D2968" s="27" t="s">
        <v>1450</v>
      </c>
      <c r="F2968" s="27" t="s">
        <v>1453</v>
      </c>
      <c r="H2968" s="27" t="s">
        <v>1454</v>
      </c>
      <c r="L2968" s="27" t="s">
        <v>19543</v>
      </c>
      <c r="N2968" s="27" t="s">
        <v>1772</v>
      </c>
      <c r="P2968" s="27" t="s">
        <v>7397</v>
      </c>
      <c r="Q2968" s="26" t="str">
        <f>HYPERLINK("https://ictv.global/taxonomy/taxondetails?taxnode_id=202507896&amp;ictv_id=ICTV201907896","ICTV201907896")</f>
        <v>ICTV201907896</v>
      </c>
      <c r="R2968" t="s">
        <v>579</v>
      </c>
      <c r="S2968" t="s">
        <v>22763</v>
      </c>
      <c r="T2968">
        <v>40</v>
      </c>
      <c r="U2968" s="26" t="str">
        <f t="shared" si="109"/>
        <v>2024.016B.Hodgkinviridae_1nf_2ng_4mg_5ns.zip</v>
      </c>
    </row>
    <row r="2969" spans="1:21">
      <c r="A2969">
        <v>2968</v>
      </c>
      <c r="B2969" s="27" t="s">
        <v>1449</v>
      </c>
      <c r="D2969" s="27" t="s">
        <v>1450</v>
      </c>
      <c r="F2969" s="27" t="s">
        <v>1453</v>
      </c>
      <c r="H2969" s="27" t="s">
        <v>1454</v>
      </c>
      <c r="L2969" s="27" t="s">
        <v>19543</v>
      </c>
      <c r="N2969" s="27" t="s">
        <v>1772</v>
      </c>
      <c r="P2969" s="27" t="s">
        <v>7398</v>
      </c>
      <c r="Q2969" s="26" t="str">
        <f>HYPERLINK("https://ictv.global/taxonomy/taxondetails?taxnode_id=202507897&amp;ictv_id=ICTV201907897","ICTV201907897")</f>
        <v>ICTV201907897</v>
      </c>
      <c r="R2969" t="s">
        <v>579</v>
      </c>
      <c r="S2969" t="s">
        <v>22763</v>
      </c>
      <c r="T2969">
        <v>40</v>
      </c>
      <c r="U2969" s="26" t="str">
        <f t="shared" si="109"/>
        <v>2024.016B.Hodgkinviridae_1nf_2ng_4mg_5ns.zip</v>
      </c>
    </row>
    <row r="2970" spans="1:21">
      <c r="A2970">
        <v>2969</v>
      </c>
      <c r="B2970" s="27" t="s">
        <v>1449</v>
      </c>
      <c r="D2970" s="27" t="s">
        <v>1450</v>
      </c>
      <c r="F2970" s="27" t="s">
        <v>1453</v>
      </c>
      <c r="H2970" s="27" t="s">
        <v>1454</v>
      </c>
      <c r="L2970" s="27" t="s">
        <v>19543</v>
      </c>
      <c r="N2970" s="27" t="s">
        <v>1772</v>
      </c>
      <c r="P2970" s="27" t="s">
        <v>11925</v>
      </c>
      <c r="Q2970" s="26" t="str">
        <f>HYPERLINK("https://ictv.global/taxonomy/taxondetails?taxnode_id=202519205&amp;ictv_id=ICTV202319205","ICTV202319205")</f>
        <v>ICTV202319205</v>
      </c>
      <c r="R2970" t="s">
        <v>579</v>
      </c>
      <c r="S2970" t="s">
        <v>22763</v>
      </c>
      <c r="T2970">
        <v>40</v>
      </c>
      <c r="U2970" s="26" t="str">
        <f t="shared" si="109"/>
        <v>2024.016B.Hodgkinviridae_1nf_2ng_4mg_5ns.zip</v>
      </c>
    </row>
    <row r="2971" spans="1:21">
      <c r="A2971">
        <v>2970</v>
      </c>
      <c r="B2971" s="27" t="s">
        <v>1449</v>
      </c>
      <c r="D2971" s="27" t="s">
        <v>1450</v>
      </c>
      <c r="F2971" s="27" t="s">
        <v>1453</v>
      </c>
      <c r="H2971" s="27" t="s">
        <v>1454</v>
      </c>
      <c r="L2971" s="27" t="s">
        <v>19543</v>
      </c>
      <c r="N2971" s="27" t="s">
        <v>1772</v>
      </c>
      <c r="P2971" s="27" t="s">
        <v>11926</v>
      </c>
      <c r="Q2971" s="26" t="str">
        <f>HYPERLINK("https://ictv.global/taxonomy/taxondetails?taxnode_id=202519202&amp;ictv_id=ICTV202319202","ICTV202319202")</f>
        <v>ICTV202319202</v>
      </c>
      <c r="R2971" t="s">
        <v>579</v>
      </c>
      <c r="S2971" t="s">
        <v>22763</v>
      </c>
      <c r="T2971">
        <v>40</v>
      </c>
      <c r="U2971" s="26" t="str">
        <f t="shared" si="109"/>
        <v>2024.016B.Hodgkinviridae_1nf_2ng_4mg_5ns.zip</v>
      </c>
    </row>
    <row r="2972" spans="1:21">
      <c r="A2972">
        <v>2971</v>
      </c>
      <c r="B2972" s="27" t="s">
        <v>1449</v>
      </c>
      <c r="D2972" s="27" t="s">
        <v>1450</v>
      </c>
      <c r="F2972" s="27" t="s">
        <v>1453</v>
      </c>
      <c r="H2972" s="27" t="s">
        <v>1454</v>
      </c>
      <c r="L2972" s="27" t="s">
        <v>19543</v>
      </c>
      <c r="N2972" s="27" t="s">
        <v>1779</v>
      </c>
      <c r="P2972" s="27" t="s">
        <v>11927</v>
      </c>
      <c r="Q2972" s="26" t="str">
        <f>HYPERLINK("https://ictv.global/taxonomy/taxondetails?taxnode_id=202519200&amp;ictv_id=ICTV202319200","ICTV202319200")</f>
        <v>ICTV202319200</v>
      </c>
      <c r="R2972" t="s">
        <v>579</v>
      </c>
      <c r="S2972" t="s">
        <v>22763</v>
      </c>
      <c r="T2972">
        <v>40</v>
      </c>
      <c r="U2972" s="26" t="str">
        <f t="shared" si="109"/>
        <v>2024.016B.Hodgkinviridae_1nf_2ng_4mg_5ns.zip</v>
      </c>
    </row>
    <row r="2973" spans="1:21">
      <c r="A2973">
        <v>2972</v>
      </c>
      <c r="B2973" s="27" t="s">
        <v>1449</v>
      </c>
      <c r="D2973" s="27" t="s">
        <v>1450</v>
      </c>
      <c r="F2973" s="27" t="s">
        <v>1453</v>
      </c>
      <c r="H2973" s="27" t="s">
        <v>1454</v>
      </c>
      <c r="L2973" s="27" t="s">
        <v>19543</v>
      </c>
      <c r="N2973" s="27" t="s">
        <v>1779</v>
      </c>
      <c r="P2973" s="27" t="s">
        <v>11928</v>
      </c>
      <c r="Q2973" s="26" t="str">
        <f>HYPERLINK("https://ictv.global/taxonomy/taxondetails?taxnode_id=202519198&amp;ictv_id=ICTV202319198","ICTV202319198")</f>
        <v>ICTV202319198</v>
      </c>
      <c r="R2973" t="s">
        <v>579</v>
      </c>
      <c r="S2973" t="s">
        <v>22763</v>
      </c>
      <c r="T2973">
        <v>40</v>
      </c>
      <c r="U2973" s="26" t="str">
        <f t="shared" si="109"/>
        <v>2024.016B.Hodgkinviridae_1nf_2ng_4mg_5ns.zip</v>
      </c>
    </row>
    <row r="2974" spans="1:21">
      <c r="A2974">
        <v>2973</v>
      </c>
      <c r="B2974" s="27" t="s">
        <v>1449</v>
      </c>
      <c r="D2974" s="27" t="s">
        <v>1450</v>
      </c>
      <c r="F2974" s="27" t="s">
        <v>1453</v>
      </c>
      <c r="H2974" s="27" t="s">
        <v>1454</v>
      </c>
      <c r="L2974" s="27" t="s">
        <v>19543</v>
      </c>
      <c r="N2974" s="27" t="s">
        <v>1779</v>
      </c>
      <c r="P2974" s="27" t="s">
        <v>7723</v>
      </c>
      <c r="Q2974" s="26" t="str">
        <f>HYPERLINK("https://ictv.global/taxonomy/taxondetails?taxnode_id=202507537&amp;ictv_id=ICTV201907537","ICTV201907537")</f>
        <v>ICTV201907537</v>
      </c>
      <c r="R2974" t="s">
        <v>579</v>
      </c>
      <c r="S2974" t="s">
        <v>22763</v>
      </c>
      <c r="T2974">
        <v>40</v>
      </c>
      <c r="U2974" s="26" t="str">
        <f t="shared" si="109"/>
        <v>2024.016B.Hodgkinviridae_1nf_2ng_4mg_5ns.zip</v>
      </c>
    </row>
    <row r="2975" spans="1:21">
      <c r="A2975">
        <v>2974</v>
      </c>
      <c r="B2975" s="27" t="s">
        <v>1449</v>
      </c>
      <c r="D2975" s="27" t="s">
        <v>1450</v>
      </c>
      <c r="F2975" s="27" t="s">
        <v>1453</v>
      </c>
      <c r="H2975" s="27" t="s">
        <v>1454</v>
      </c>
      <c r="L2975" s="27" t="s">
        <v>19543</v>
      </c>
      <c r="N2975" s="27" t="s">
        <v>1779</v>
      </c>
      <c r="P2975" s="27" t="s">
        <v>19550</v>
      </c>
      <c r="Q2975" s="26" t="str">
        <f>HYPERLINK("https://ictv.global/taxonomy/taxondetails?taxnode_id=202520732&amp;ictv_id=ICTV202420732","ICTV202420732")</f>
        <v>ICTV202420732</v>
      </c>
      <c r="R2975" t="s">
        <v>579</v>
      </c>
      <c r="S2975" t="s">
        <v>823</v>
      </c>
      <c r="T2975">
        <v>40</v>
      </c>
      <c r="U2975" s="26" t="str">
        <f t="shared" si="109"/>
        <v>2024.016B.Hodgkinviridae_1nf_2ng_4mg_5ns.zip</v>
      </c>
    </row>
    <row r="2976" spans="1:21">
      <c r="A2976">
        <v>2975</v>
      </c>
      <c r="B2976" s="27" t="s">
        <v>1449</v>
      </c>
      <c r="D2976" s="27" t="s">
        <v>1450</v>
      </c>
      <c r="F2976" s="27" t="s">
        <v>1453</v>
      </c>
      <c r="H2976" s="27" t="s">
        <v>1454</v>
      </c>
      <c r="L2976" s="27" t="s">
        <v>19543</v>
      </c>
      <c r="N2976" s="27" t="s">
        <v>1779</v>
      </c>
      <c r="P2976" s="27" t="s">
        <v>11929</v>
      </c>
      <c r="Q2976" s="26" t="str">
        <f>HYPERLINK("https://ictv.global/taxonomy/taxondetails?taxnode_id=202519201&amp;ictv_id=ICTV202319201","ICTV202319201")</f>
        <v>ICTV202319201</v>
      </c>
      <c r="R2976" t="s">
        <v>579</v>
      </c>
      <c r="S2976" t="s">
        <v>22763</v>
      </c>
      <c r="T2976">
        <v>40</v>
      </c>
      <c r="U2976" s="26" t="str">
        <f t="shared" si="109"/>
        <v>2024.016B.Hodgkinviridae_1nf_2ng_4mg_5ns.zip</v>
      </c>
    </row>
    <row r="2977" spans="1:21">
      <c r="A2977">
        <v>2976</v>
      </c>
      <c r="B2977" s="27" t="s">
        <v>1449</v>
      </c>
      <c r="D2977" s="27" t="s">
        <v>1450</v>
      </c>
      <c r="F2977" s="27" t="s">
        <v>1453</v>
      </c>
      <c r="H2977" s="27" t="s">
        <v>1454</v>
      </c>
      <c r="L2977" s="27" t="s">
        <v>19543</v>
      </c>
      <c r="N2977" s="27" t="s">
        <v>1779</v>
      </c>
      <c r="P2977" s="27" t="s">
        <v>7724</v>
      </c>
      <c r="Q2977" s="26" t="str">
        <f>HYPERLINK("https://ictv.global/taxonomy/taxondetails?taxnode_id=202507536&amp;ictv_id=ICTV201907536","ICTV201907536")</f>
        <v>ICTV201907536</v>
      </c>
      <c r="R2977" t="s">
        <v>579</v>
      </c>
      <c r="S2977" t="s">
        <v>22763</v>
      </c>
      <c r="T2977">
        <v>40</v>
      </c>
      <c r="U2977" s="26" t="str">
        <f t="shared" si="109"/>
        <v>2024.016B.Hodgkinviridae_1nf_2ng_4mg_5ns.zip</v>
      </c>
    </row>
    <row r="2978" spans="1:21">
      <c r="A2978">
        <v>2977</v>
      </c>
      <c r="B2978" s="27" t="s">
        <v>1449</v>
      </c>
      <c r="D2978" s="27" t="s">
        <v>1450</v>
      </c>
      <c r="F2978" s="27" t="s">
        <v>1453</v>
      </c>
      <c r="H2978" s="27" t="s">
        <v>1454</v>
      </c>
      <c r="L2978" s="27" t="s">
        <v>19543</v>
      </c>
      <c r="N2978" s="27" t="s">
        <v>1779</v>
      </c>
      <c r="P2978" s="27" t="s">
        <v>19551</v>
      </c>
      <c r="Q2978" s="26" t="str">
        <f>HYPERLINK("https://ictv.global/taxonomy/taxondetails?taxnode_id=202520731&amp;ictv_id=ICTV202420731","ICTV202420731")</f>
        <v>ICTV202420731</v>
      </c>
      <c r="R2978" t="s">
        <v>579</v>
      </c>
      <c r="S2978" t="s">
        <v>823</v>
      </c>
      <c r="T2978">
        <v>40</v>
      </c>
      <c r="U2978" s="26" t="str">
        <f t="shared" si="109"/>
        <v>2024.016B.Hodgkinviridae_1nf_2ng_4mg_5ns.zip</v>
      </c>
    </row>
    <row r="2979" spans="1:21">
      <c r="A2979">
        <v>2978</v>
      </c>
      <c r="B2979" s="27" t="s">
        <v>1449</v>
      </c>
      <c r="D2979" s="27" t="s">
        <v>1450</v>
      </c>
      <c r="F2979" s="27" t="s">
        <v>1453</v>
      </c>
      <c r="H2979" s="27" t="s">
        <v>1454</v>
      </c>
      <c r="L2979" s="27" t="s">
        <v>19543</v>
      </c>
      <c r="N2979" s="27" t="s">
        <v>1779</v>
      </c>
      <c r="P2979" s="27" t="s">
        <v>11930</v>
      </c>
      <c r="Q2979" s="26" t="str">
        <f>HYPERLINK("https://ictv.global/taxonomy/taxondetails?taxnode_id=202507535&amp;ictv_id=ICTV201907535","ICTV201907535")</f>
        <v>ICTV201907535</v>
      </c>
      <c r="R2979" t="s">
        <v>579</v>
      </c>
      <c r="S2979" t="s">
        <v>22763</v>
      </c>
      <c r="T2979">
        <v>40</v>
      </c>
      <c r="U2979" s="26" t="str">
        <f t="shared" si="109"/>
        <v>2024.016B.Hodgkinviridae_1nf_2ng_4mg_5ns.zip</v>
      </c>
    </row>
    <row r="2980" spans="1:21">
      <c r="A2980">
        <v>2979</v>
      </c>
      <c r="B2980" s="27" t="s">
        <v>1449</v>
      </c>
      <c r="D2980" s="27" t="s">
        <v>1450</v>
      </c>
      <c r="F2980" s="27" t="s">
        <v>1453</v>
      </c>
      <c r="H2980" s="27" t="s">
        <v>1454</v>
      </c>
      <c r="L2980" s="27" t="s">
        <v>19543</v>
      </c>
      <c r="N2980" s="27" t="s">
        <v>1779</v>
      </c>
      <c r="P2980" s="27" t="s">
        <v>11931</v>
      </c>
      <c r="Q2980" s="26" t="str">
        <f>HYPERLINK("https://ictv.global/taxonomy/taxondetails?taxnode_id=202519199&amp;ictv_id=ICTV202319199","ICTV202319199")</f>
        <v>ICTV202319199</v>
      </c>
      <c r="R2980" t="s">
        <v>579</v>
      </c>
      <c r="S2980" t="s">
        <v>22763</v>
      </c>
      <c r="T2980">
        <v>40</v>
      </c>
      <c r="U2980" s="26" t="str">
        <f t="shared" si="109"/>
        <v>2024.016B.Hodgkinviridae_1nf_2ng_4mg_5ns.zip</v>
      </c>
    </row>
    <row r="2981" spans="1:21">
      <c r="A2981">
        <v>2980</v>
      </c>
      <c r="B2981" s="27" t="s">
        <v>1449</v>
      </c>
      <c r="D2981" s="27" t="s">
        <v>1450</v>
      </c>
      <c r="F2981" s="27" t="s">
        <v>1453</v>
      </c>
      <c r="H2981" s="27" t="s">
        <v>1454</v>
      </c>
      <c r="L2981" s="27" t="s">
        <v>21091</v>
      </c>
      <c r="N2981" s="27" t="s">
        <v>21092</v>
      </c>
      <c r="P2981" s="27" t="s">
        <v>21093</v>
      </c>
      <c r="Q2981" s="26" t="str">
        <f>HYPERLINK("https://ictv.global/taxonomy/taxondetails?taxnode_id=202522034&amp;ictv_id=ICTV202522034","ICTV202522034")</f>
        <v>ICTV202522034</v>
      </c>
      <c r="R2981" t="s">
        <v>579</v>
      </c>
      <c r="S2981" t="s">
        <v>823</v>
      </c>
      <c r="T2981">
        <v>41</v>
      </c>
      <c r="U2981" s="26" t="str">
        <f>HYPERLINK("https://ictv.global/ictv/proposals/2025.001A.Crust_viruses_6nf.zip","2025.001A.Crust_viruses_6nf.zip")</f>
        <v>2025.001A.Crust_viruses_6nf.zip</v>
      </c>
    </row>
    <row r="2982" spans="1:21">
      <c r="A2982">
        <v>2981</v>
      </c>
      <c r="B2982" s="27" t="s">
        <v>1449</v>
      </c>
      <c r="D2982" s="27" t="s">
        <v>1450</v>
      </c>
      <c r="F2982" s="27" t="s">
        <v>1453</v>
      </c>
      <c r="H2982" s="27" t="s">
        <v>1454</v>
      </c>
      <c r="L2982" s="27" t="s">
        <v>21088</v>
      </c>
      <c r="N2982" s="27" t="s">
        <v>21089</v>
      </c>
      <c r="P2982" s="27" t="s">
        <v>21090</v>
      </c>
      <c r="Q2982" s="26" t="str">
        <f>HYPERLINK("https://ictv.global/taxonomy/taxondetails?taxnode_id=202522033&amp;ictv_id=ICTV202522033","ICTV202522033")</f>
        <v>ICTV202522033</v>
      </c>
      <c r="R2982" t="s">
        <v>579</v>
      </c>
      <c r="S2982" t="s">
        <v>823</v>
      </c>
      <c r="T2982">
        <v>41</v>
      </c>
      <c r="U2982" s="26" t="str">
        <f>HYPERLINK("https://ictv.global/ictv/proposals/2025.001A.Crust_viruses_6nf.zip","2025.001A.Crust_viruses_6nf.zip")</f>
        <v>2025.001A.Crust_viruses_6nf.zip</v>
      </c>
    </row>
    <row r="2983" spans="1:21">
      <c r="A2983">
        <v>2982</v>
      </c>
      <c r="B2983" s="27" t="s">
        <v>1449</v>
      </c>
      <c r="D2983" s="27" t="s">
        <v>1450</v>
      </c>
      <c r="F2983" s="27" t="s">
        <v>1453</v>
      </c>
      <c r="H2983" s="27" t="s">
        <v>1454</v>
      </c>
      <c r="L2983" s="27" t="s">
        <v>19552</v>
      </c>
      <c r="N2983" s="27" t="s">
        <v>19553</v>
      </c>
      <c r="P2983" s="27" t="s">
        <v>19554</v>
      </c>
      <c r="Q2983" s="26" t="str">
        <f>HYPERLINK("https://ictv.global/taxonomy/taxondetails?taxnode_id=202520747&amp;ictv_id=ICTV202420747","ICTV202420747")</f>
        <v>ICTV202420747</v>
      </c>
      <c r="R2983" t="s">
        <v>579</v>
      </c>
      <c r="S2983" t="s">
        <v>823</v>
      </c>
      <c r="T2983">
        <v>40</v>
      </c>
      <c r="U2983" s="26" t="str">
        <f t="shared" ref="U2983:U2996" si="110">HYPERLINK("https://ictv.global/ictv/proposals/2024.017B.Jeanschmidtviridae_1nf_3ng_4mg_6ns.zip","2024.017B.Jeanschmidtviridae_1nf_3ng_4mg_6ns.zip")</f>
        <v>2024.017B.Jeanschmidtviridae_1nf_3ng_4mg_6ns.zip</v>
      </c>
    </row>
    <row r="2984" spans="1:21">
      <c r="A2984">
        <v>2983</v>
      </c>
      <c r="B2984" s="27" t="s">
        <v>1449</v>
      </c>
      <c r="D2984" s="27" t="s">
        <v>1450</v>
      </c>
      <c r="F2984" s="27" t="s">
        <v>1453</v>
      </c>
      <c r="H2984" s="27" t="s">
        <v>1454</v>
      </c>
      <c r="L2984" s="27" t="s">
        <v>19552</v>
      </c>
      <c r="N2984" s="27" t="s">
        <v>1727</v>
      </c>
      <c r="P2984" s="27" t="s">
        <v>6049</v>
      </c>
      <c r="Q2984" s="26" t="str">
        <f>HYPERLINK("https://ictv.global/taxonomy/taxondetails?taxnode_id=202507721&amp;ictv_id=ICTV201907721","ICTV201907721")</f>
        <v>ICTV201907721</v>
      </c>
      <c r="R2984" t="s">
        <v>579</v>
      </c>
      <c r="S2984" t="s">
        <v>22763</v>
      </c>
      <c r="T2984">
        <v>40</v>
      </c>
      <c r="U2984" s="26" t="str">
        <f t="shared" si="110"/>
        <v>2024.017B.Jeanschmidtviridae_1nf_3ng_4mg_6ns.zip</v>
      </c>
    </row>
    <row r="2985" spans="1:21">
      <c r="A2985">
        <v>2984</v>
      </c>
      <c r="B2985" s="27" t="s">
        <v>1449</v>
      </c>
      <c r="D2985" s="27" t="s">
        <v>1450</v>
      </c>
      <c r="F2985" s="27" t="s">
        <v>1453</v>
      </c>
      <c r="H2985" s="27" t="s">
        <v>1454</v>
      </c>
      <c r="L2985" s="27" t="s">
        <v>19552</v>
      </c>
      <c r="N2985" s="27" t="s">
        <v>1727</v>
      </c>
      <c r="P2985" s="27" t="s">
        <v>6050</v>
      </c>
      <c r="Q2985" s="26" t="str">
        <f>HYPERLINK("https://ictv.global/taxonomy/taxondetails?taxnode_id=202507720&amp;ictv_id=ICTV201907720","ICTV201907720")</f>
        <v>ICTV201907720</v>
      </c>
      <c r="R2985" t="s">
        <v>579</v>
      </c>
      <c r="S2985" t="s">
        <v>22763</v>
      </c>
      <c r="T2985">
        <v>40</v>
      </c>
      <c r="U2985" s="26" t="str">
        <f t="shared" si="110"/>
        <v>2024.017B.Jeanschmidtviridae_1nf_3ng_4mg_6ns.zip</v>
      </c>
    </row>
    <row r="2986" spans="1:21">
      <c r="A2986">
        <v>2985</v>
      </c>
      <c r="B2986" s="27" t="s">
        <v>1449</v>
      </c>
      <c r="D2986" s="27" t="s">
        <v>1450</v>
      </c>
      <c r="F2986" s="27" t="s">
        <v>1453</v>
      </c>
      <c r="H2986" s="27" t="s">
        <v>1454</v>
      </c>
      <c r="L2986" s="27" t="s">
        <v>19552</v>
      </c>
      <c r="N2986" s="27" t="s">
        <v>1728</v>
      </c>
      <c r="P2986" s="27" t="s">
        <v>6051</v>
      </c>
      <c r="Q2986" s="26" t="str">
        <f>HYPERLINK("https://ictv.global/taxonomy/taxondetails?taxnode_id=202507717&amp;ictv_id=ICTV201907717","ICTV201907717")</f>
        <v>ICTV201907717</v>
      </c>
      <c r="R2986" t="s">
        <v>579</v>
      </c>
      <c r="S2986" t="s">
        <v>22763</v>
      </c>
      <c r="T2986">
        <v>40</v>
      </c>
      <c r="U2986" s="26" t="str">
        <f t="shared" si="110"/>
        <v>2024.017B.Jeanschmidtviridae_1nf_3ng_4mg_6ns.zip</v>
      </c>
    </row>
    <row r="2987" spans="1:21">
      <c r="A2987">
        <v>2986</v>
      </c>
      <c r="B2987" s="27" t="s">
        <v>1449</v>
      </c>
      <c r="D2987" s="27" t="s">
        <v>1450</v>
      </c>
      <c r="F2987" s="27" t="s">
        <v>1453</v>
      </c>
      <c r="H2987" s="27" t="s">
        <v>1454</v>
      </c>
      <c r="L2987" s="27" t="s">
        <v>19552</v>
      </c>
      <c r="N2987" s="27" t="s">
        <v>1728</v>
      </c>
      <c r="P2987" s="27" t="s">
        <v>6052</v>
      </c>
      <c r="Q2987" s="26" t="str">
        <f>HYPERLINK("https://ictv.global/taxonomy/taxondetails?taxnode_id=202507718&amp;ictv_id=ICTV201907718","ICTV201907718")</f>
        <v>ICTV201907718</v>
      </c>
      <c r="R2987" t="s">
        <v>579</v>
      </c>
      <c r="S2987" t="s">
        <v>22763</v>
      </c>
      <c r="T2987">
        <v>40</v>
      </c>
      <c r="U2987" s="26" t="str">
        <f t="shared" si="110"/>
        <v>2024.017B.Jeanschmidtviridae_1nf_3ng_4mg_6ns.zip</v>
      </c>
    </row>
    <row r="2988" spans="1:21">
      <c r="A2988">
        <v>2987</v>
      </c>
      <c r="B2988" s="27" t="s">
        <v>1449</v>
      </c>
      <c r="D2988" s="27" t="s">
        <v>1450</v>
      </c>
      <c r="F2988" s="27" t="s">
        <v>1453</v>
      </c>
      <c r="H2988" s="27" t="s">
        <v>1454</v>
      </c>
      <c r="L2988" s="27" t="s">
        <v>19552</v>
      </c>
      <c r="N2988" s="27" t="s">
        <v>19555</v>
      </c>
      <c r="P2988" s="27" t="s">
        <v>19556</v>
      </c>
      <c r="Q2988" s="26" t="str">
        <f>HYPERLINK("https://ictv.global/taxonomy/taxondetails?taxnode_id=202520743&amp;ictv_id=ICTV202420743","ICTV202420743")</f>
        <v>ICTV202420743</v>
      </c>
      <c r="R2988" t="s">
        <v>579</v>
      </c>
      <c r="S2988" t="s">
        <v>823</v>
      </c>
      <c r="T2988">
        <v>40</v>
      </c>
      <c r="U2988" s="26" t="str">
        <f t="shared" si="110"/>
        <v>2024.017B.Jeanschmidtviridae_1nf_3ng_4mg_6ns.zip</v>
      </c>
    </row>
    <row r="2989" spans="1:21">
      <c r="A2989">
        <v>2988</v>
      </c>
      <c r="B2989" s="27" t="s">
        <v>1449</v>
      </c>
      <c r="D2989" s="27" t="s">
        <v>1450</v>
      </c>
      <c r="F2989" s="27" t="s">
        <v>1453</v>
      </c>
      <c r="H2989" s="27" t="s">
        <v>1454</v>
      </c>
      <c r="L2989" s="27" t="s">
        <v>19552</v>
      </c>
      <c r="N2989" s="27" t="s">
        <v>19555</v>
      </c>
      <c r="P2989" s="27" t="s">
        <v>19557</v>
      </c>
      <c r="Q2989" s="26" t="str">
        <f>HYPERLINK("https://ictv.global/taxonomy/taxondetails?taxnode_id=202520742&amp;ictv_id=ICTV202420742","ICTV202420742")</f>
        <v>ICTV202420742</v>
      </c>
      <c r="R2989" t="s">
        <v>579</v>
      </c>
      <c r="S2989" t="s">
        <v>823</v>
      </c>
      <c r="T2989">
        <v>40</v>
      </c>
      <c r="U2989" s="26" t="str">
        <f t="shared" si="110"/>
        <v>2024.017B.Jeanschmidtviridae_1nf_3ng_4mg_6ns.zip</v>
      </c>
    </row>
    <row r="2990" spans="1:21">
      <c r="A2990">
        <v>2989</v>
      </c>
      <c r="B2990" s="27" t="s">
        <v>1449</v>
      </c>
      <c r="D2990" s="27" t="s">
        <v>1450</v>
      </c>
      <c r="F2990" s="27" t="s">
        <v>1453</v>
      </c>
      <c r="H2990" s="27" t="s">
        <v>1454</v>
      </c>
      <c r="L2990" s="27" t="s">
        <v>19552</v>
      </c>
      <c r="N2990" s="27" t="s">
        <v>19558</v>
      </c>
      <c r="P2990" s="27" t="s">
        <v>19559</v>
      </c>
      <c r="Q2990" s="26" t="str">
        <f>HYPERLINK("https://ictv.global/taxonomy/taxondetails?taxnode_id=202520746&amp;ictv_id=ICTV202420746","ICTV202420746")</f>
        <v>ICTV202420746</v>
      </c>
      <c r="R2990" t="s">
        <v>579</v>
      </c>
      <c r="S2990" t="s">
        <v>823</v>
      </c>
      <c r="T2990">
        <v>40</v>
      </c>
      <c r="U2990" s="26" t="str">
        <f t="shared" si="110"/>
        <v>2024.017B.Jeanschmidtviridae_1nf_3ng_4mg_6ns.zip</v>
      </c>
    </row>
    <row r="2991" spans="1:21">
      <c r="A2991">
        <v>2990</v>
      </c>
      <c r="B2991" s="27" t="s">
        <v>1449</v>
      </c>
      <c r="D2991" s="27" t="s">
        <v>1450</v>
      </c>
      <c r="F2991" s="27" t="s">
        <v>1453</v>
      </c>
      <c r="H2991" s="27" t="s">
        <v>1454</v>
      </c>
      <c r="L2991" s="27" t="s">
        <v>19552</v>
      </c>
      <c r="N2991" s="27" t="s">
        <v>19558</v>
      </c>
      <c r="P2991" s="27" t="s">
        <v>19560</v>
      </c>
      <c r="Q2991" s="26" t="str">
        <f>HYPERLINK("https://ictv.global/taxonomy/taxondetails?taxnode_id=202520745&amp;ictv_id=ICTV202420745","ICTV202420745")</f>
        <v>ICTV202420745</v>
      </c>
      <c r="R2991" t="s">
        <v>579</v>
      </c>
      <c r="S2991" t="s">
        <v>823</v>
      </c>
      <c r="T2991">
        <v>40</v>
      </c>
      <c r="U2991" s="26" t="str">
        <f t="shared" si="110"/>
        <v>2024.017B.Jeanschmidtviridae_1nf_3ng_4mg_6ns.zip</v>
      </c>
    </row>
    <row r="2992" spans="1:21">
      <c r="A2992">
        <v>2991</v>
      </c>
      <c r="B2992" s="27" t="s">
        <v>1449</v>
      </c>
      <c r="D2992" s="27" t="s">
        <v>1450</v>
      </c>
      <c r="F2992" s="27" t="s">
        <v>1453</v>
      </c>
      <c r="H2992" s="27" t="s">
        <v>1454</v>
      </c>
      <c r="L2992" s="27" t="s">
        <v>19552</v>
      </c>
      <c r="N2992" s="27" t="s">
        <v>19558</v>
      </c>
      <c r="P2992" s="27" t="s">
        <v>19561</v>
      </c>
      <c r="Q2992" s="26" t="str">
        <f>HYPERLINK("https://ictv.global/taxonomy/taxondetails?taxnode_id=202520744&amp;ictv_id=ICTV202420744","ICTV202420744")</f>
        <v>ICTV202420744</v>
      </c>
      <c r="R2992" t="s">
        <v>579</v>
      </c>
      <c r="S2992" t="s">
        <v>823</v>
      </c>
      <c r="T2992">
        <v>40</v>
      </c>
      <c r="U2992" s="26" t="str">
        <f t="shared" si="110"/>
        <v>2024.017B.Jeanschmidtviridae_1nf_3ng_4mg_6ns.zip</v>
      </c>
    </row>
    <row r="2993" spans="1:21">
      <c r="A2993">
        <v>2992</v>
      </c>
      <c r="B2993" s="27" t="s">
        <v>1449</v>
      </c>
      <c r="D2993" s="27" t="s">
        <v>1450</v>
      </c>
      <c r="F2993" s="27" t="s">
        <v>1453</v>
      </c>
      <c r="H2993" s="27" t="s">
        <v>1454</v>
      </c>
      <c r="L2993" s="27" t="s">
        <v>19552</v>
      </c>
      <c r="N2993" s="27" t="s">
        <v>1729</v>
      </c>
      <c r="P2993" s="27" t="s">
        <v>6053</v>
      </c>
      <c r="Q2993" s="26" t="str">
        <f>HYPERLINK("https://ictv.global/taxonomy/taxondetails?taxnode_id=202507715&amp;ictv_id=ICTV201907715","ICTV201907715")</f>
        <v>ICTV201907715</v>
      </c>
      <c r="R2993" t="s">
        <v>579</v>
      </c>
      <c r="S2993" t="s">
        <v>22763</v>
      </c>
      <c r="T2993">
        <v>40</v>
      </c>
      <c r="U2993" s="26" t="str">
        <f t="shared" si="110"/>
        <v>2024.017B.Jeanschmidtviridae_1nf_3ng_4mg_6ns.zip</v>
      </c>
    </row>
    <row r="2994" spans="1:21">
      <c r="A2994">
        <v>2993</v>
      </c>
      <c r="B2994" s="27" t="s">
        <v>1449</v>
      </c>
      <c r="D2994" s="27" t="s">
        <v>1450</v>
      </c>
      <c r="F2994" s="27" t="s">
        <v>1453</v>
      </c>
      <c r="H2994" s="27" t="s">
        <v>1454</v>
      </c>
      <c r="L2994" s="27" t="s">
        <v>19552</v>
      </c>
      <c r="N2994" s="27" t="s">
        <v>1729</v>
      </c>
      <c r="P2994" s="27" t="s">
        <v>6054</v>
      </c>
      <c r="Q2994" s="26" t="str">
        <f>HYPERLINK("https://ictv.global/taxonomy/taxondetails?taxnode_id=202501192&amp;ictv_id=ICTV20140433","ICTV20140433")</f>
        <v>ICTV20140433</v>
      </c>
      <c r="R2994" t="s">
        <v>579</v>
      </c>
      <c r="S2994" t="s">
        <v>22763</v>
      </c>
      <c r="T2994">
        <v>40</v>
      </c>
      <c r="U2994" s="26" t="str">
        <f t="shared" si="110"/>
        <v>2024.017B.Jeanschmidtviridae_1nf_3ng_4mg_6ns.zip</v>
      </c>
    </row>
    <row r="2995" spans="1:21">
      <c r="A2995">
        <v>2994</v>
      </c>
      <c r="B2995" s="27" t="s">
        <v>1449</v>
      </c>
      <c r="D2995" s="27" t="s">
        <v>1450</v>
      </c>
      <c r="F2995" s="27" t="s">
        <v>1453</v>
      </c>
      <c r="H2995" s="27" t="s">
        <v>1454</v>
      </c>
      <c r="L2995" s="27" t="s">
        <v>19552</v>
      </c>
      <c r="N2995" s="27" t="s">
        <v>1730</v>
      </c>
      <c r="P2995" s="27" t="s">
        <v>6055</v>
      </c>
      <c r="Q2995" s="26" t="str">
        <f>HYPERLINK("https://ictv.global/taxonomy/taxondetails?taxnode_id=202501191&amp;ictv_id=ICTV20140429","ICTV20140429")</f>
        <v>ICTV20140429</v>
      </c>
      <c r="R2995" t="s">
        <v>579</v>
      </c>
      <c r="S2995" t="s">
        <v>22763</v>
      </c>
      <c r="T2995">
        <v>40</v>
      </c>
      <c r="U2995" s="26" t="str">
        <f t="shared" si="110"/>
        <v>2024.017B.Jeanschmidtviridae_1nf_3ng_4mg_6ns.zip</v>
      </c>
    </row>
    <row r="2996" spans="1:21">
      <c r="A2996">
        <v>2995</v>
      </c>
      <c r="B2996" s="27" t="s">
        <v>1449</v>
      </c>
      <c r="D2996" s="27" t="s">
        <v>1450</v>
      </c>
      <c r="F2996" s="27" t="s">
        <v>1453</v>
      </c>
      <c r="H2996" s="27" t="s">
        <v>1454</v>
      </c>
      <c r="L2996" s="27" t="s">
        <v>19552</v>
      </c>
      <c r="N2996" s="27" t="s">
        <v>1730</v>
      </c>
      <c r="P2996" s="27" t="s">
        <v>6056</v>
      </c>
      <c r="Q2996" s="26" t="str">
        <f>HYPERLINK("https://ictv.global/taxonomy/taxondetails?taxnode_id=202501193&amp;ictv_id=ICTV20140431","ICTV20140431")</f>
        <v>ICTV20140431</v>
      </c>
      <c r="R2996" t="s">
        <v>579</v>
      </c>
      <c r="S2996" t="s">
        <v>22763</v>
      </c>
      <c r="T2996">
        <v>40</v>
      </c>
      <c r="U2996" s="26" t="str">
        <f t="shared" si="110"/>
        <v>2024.017B.Jeanschmidtviridae_1nf_3ng_4mg_6ns.zip</v>
      </c>
    </row>
    <row r="2997" spans="1:21">
      <c r="A2997">
        <v>2996</v>
      </c>
      <c r="B2997" s="27" t="s">
        <v>1449</v>
      </c>
      <c r="D2997" s="27" t="s">
        <v>1450</v>
      </c>
      <c r="F2997" s="27" t="s">
        <v>1453</v>
      </c>
      <c r="H2997" s="27" t="s">
        <v>1454</v>
      </c>
      <c r="L2997" s="27" t="s">
        <v>4950</v>
      </c>
      <c r="N2997" s="27" t="s">
        <v>4951</v>
      </c>
      <c r="P2997" s="27" t="s">
        <v>4952</v>
      </c>
      <c r="Q2997" s="26" t="str">
        <f>HYPERLINK("https://ictv.global/taxonomy/taxondetails?taxnode_id=202514642&amp;ictv_id=ICTV202214642","ICTV202214642")</f>
        <v>ICTV202214642</v>
      </c>
      <c r="R2997" t="s">
        <v>579</v>
      </c>
      <c r="S2997" t="s">
        <v>823</v>
      </c>
      <c r="T2997">
        <v>38</v>
      </c>
      <c r="U2997" s="26" t="str">
        <f>HYPERLINK("https://ictv.global/ictv/proposals/2022.042B.Kleczkowskaviridae_nf.zip","2022.042B.Kleczkowskaviridae_nf.zip")</f>
        <v>2022.042B.Kleczkowskaviridae_nf.zip</v>
      </c>
    </row>
    <row r="2998" spans="1:21">
      <c r="A2998">
        <v>2997</v>
      </c>
      <c r="B2998" s="27" t="s">
        <v>1449</v>
      </c>
      <c r="D2998" s="27" t="s">
        <v>1450</v>
      </c>
      <c r="F2998" s="27" t="s">
        <v>1453</v>
      </c>
      <c r="H2998" s="27" t="s">
        <v>1454</v>
      </c>
      <c r="L2998" s="27" t="s">
        <v>4950</v>
      </c>
      <c r="N2998" s="27" t="s">
        <v>4951</v>
      </c>
      <c r="P2998" s="27" t="s">
        <v>4953</v>
      </c>
      <c r="Q2998" s="26" t="str">
        <f>HYPERLINK("https://ictv.global/taxonomy/taxondetails?taxnode_id=202514643&amp;ictv_id=ICTV202214643","ICTV202214643")</f>
        <v>ICTV202214643</v>
      </c>
      <c r="R2998" t="s">
        <v>579</v>
      </c>
      <c r="S2998" t="s">
        <v>823</v>
      </c>
      <c r="T2998">
        <v>38</v>
      </c>
      <c r="U2998" s="26" t="str">
        <f>HYPERLINK("https://ictv.global/ictv/proposals/2022.042B.Kleczkowskaviridae_nf.zip","2022.042B.Kleczkowskaviridae_nf.zip")</f>
        <v>2022.042B.Kleczkowskaviridae_nf.zip</v>
      </c>
    </row>
    <row r="2999" spans="1:21">
      <c r="A2999">
        <v>2998</v>
      </c>
      <c r="B2999" s="27" t="s">
        <v>1449</v>
      </c>
      <c r="D2999" s="27" t="s">
        <v>1450</v>
      </c>
      <c r="F2999" s="27" t="s">
        <v>1453</v>
      </c>
      <c r="H2999" s="27" t="s">
        <v>1454</v>
      </c>
      <c r="L2999" s="27" t="s">
        <v>11603</v>
      </c>
      <c r="N2999" s="27" t="s">
        <v>11604</v>
      </c>
      <c r="P2999" s="27" t="s">
        <v>11605</v>
      </c>
      <c r="Q2999" s="26" t="str">
        <f>HYPERLINK("https://ictv.global/taxonomy/taxondetails?taxnode_id=202519189&amp;ictv_id=ICTV202319189","ICTV202319189")</f>
        <v>ICTV202319189</v>
      </c>
      <c r="R2999" t="s">
        <v>579</v>
      </c>
      <c r="S2999" t="s">
        <v>823</v>
      </c>
      <c r="T2999">
        <v>39</v>
      </c>
      <c r="U2999" s="26" t="str">
        <f>HYPERLINK("https://ictv.global/ictv/proposals/2023.042B.Konodaiviridae_nf.zip","2023.042B.Konodaiviridae_nf.zip")</f>
        <v>2023.042B.Konodaiviridae_nf.zip</v>
      </c>
    </row>
    <row r="3000" spans="1:21">
      <c r="A3000">
        <v>2999</v>
      </c>
      <c r="B3000" s="27" t="s">
        <v>1449</v>
      </c>
      <c r="D3000" s="27" t="s">
        <v>1450</v>
      </c>
      <c r="F3000" s="27" t="s">
        <v>1453</v>
      </c>
      <c r="H3000" s="27" t="s">
        <v>1454</v>
      </c>
      <c r="L3000" s="27" t="s">
        <v>11603</v>
      </c>
      <c r="N3000" s="27" t="s">
        <v>11606</v>
      </c>
      <c r="P3000" s="27" t="s">
        <v>11607</v>
      </c>
      <c r="Q3000" s="26" t="str">
        <f>HYPERLINK("https://ictv.global/taxonomy/taxondetails?taxnode_id=202519188&amp;ictv_id=ICTV202319188","ICTV202319188")</f>
        <v>ICTV202319188</v>
      </c>
      <c r="R3000" t="s">
        <v>579</v>
      </c>
      <c r="S3000" t="s">
        <v>823</v>
      </c>
      <c r="T3000">
        <v>39</v>
      </c>
      <c r="U3000" s="26" t="str">
        <f>HYPERLINK("https://ictv.global/ictv/proposals/2023.042B.Konodaiviridae_nf.zip","2023.042B.Konodaiviridae_nf.zip")</f>
        <v>2023.042B.Konodaiviridae_nf.zip</v>
      </c>
    </row>
    <row r="3001" spans="1:21">
      <c r="A3001">
        <v>3000</v>
      </c>
      <c r="B3001" s="27" t="s">
        <v>1449</v>
      </c>
      <c r="D3001" s="27" t="s">
        <v>1450</v>
      </c>
      <c r="F3001" s="27" t="s">
        <v>1453</v>
      </c>
      <c r="H3001" s="27" t="s">
        <v>1454</v>
      </c>
      <c r="L3001" s="27" t="s">
        <v>11603</v>
      </c>
      <c r="N3001" s="27" t="s">
        <v>11608</v>
      </c>
      <c r="P3001" s="27" t="s">
        <v>11609</v>
      </c>
      <c r="Q3001" s="26" t="str">
        <f>HYPERLINK("https://ictv.global/taxonomy/taxondetails?taxnode_id=202519190&amp;ictv_id=ICTV202319190","ICTV202319190")</f>
        <v>ICTV202319190</v>
      </c>
      <c r="R3001" t="s">
        <v>579</v>
      </c>
      <c r="S3001" t="s">
        <v>823</v>
      </c>
      <c r="T3001">
        <v>39</v>
      </c>
      <c r="U3001" s="26" t="str">
        <f>HYPERLINK("https://ictv.global/ictv/proposals/2023.042B.Konodaiviridae_nf.zip","2023.042B.Konodaiviridae_nf.zip")</f>
        <v>2023.042B.Konodaiviridae_nf.zip</v>
      </c>
    </row>
    <row r="3002" spans="1:21">
      <c r="A3002">
        <v>3001</v>
      </c>
      <c r="B3002" s="27" t="s">
        <v>1449</v>
      </c>
      <c r="D3002" s="27" t="s">
        <v>1450</v>
      </c>
      <c r="F3002" s="27" t="s">
        <v>1453</v>
      </c>
      <c r="H3002" s="27" t="s">
        <v>1454</v>
      </c>
      <c r="L3002" s="27" t="s">
        <v>19562</v>
      </c>
      <c r="N3002" s="27" t="s">
        <v>19563</v>
      </c>
      <c r="P3002" s="27" t="s">
        <v>19564</v>
      </c>
      <c r="Q3002" s="26" t="str">
        <f>HYPERLINK("https://ictv.global/taxonomy/taxondetails?taxnode_id=202520764&amp;ictv_id=ICTV202420764","ICTV202420764")</f>
        <v>ICTV202420764</v>
      </c>
      <c r="R3002" t="s">
        <v>579</v>
      </c>
      <c r="S3002" t="s">
        <v>823</v>
      </c>
      <c r="T3002">
        <v>40</v>
      </c>
      <c r="U3002" s="26" t="str">
        <f>HYPERLINK("https://ictv.global/ictv/proposals/2024.019B.Kruegerviridae_1nf_1ng_1mg_4ns.zip","2024.019B.Kruegerviridae_1nf_1ng_1mg_4ns.zip")</f>
        <v>2024.019B.Kruegerviridae_1nf_1ng_1mg_4ns.zip</v>
      </c>
    </row>
    <row r="3003" spans="1:21">
      <c r="A3003">
        <v>3002</v>
      </c>
      <c r="B3003" s="27" t="s">
        <v>1449</v>
      </c>
      <c r="D3003" s="27" t="s">
        <v>1450</v>
      </c>
      <c r="F3003" s="27" t="s">
        <v>1453</v>
      </c>
      <c r="H3003" s="27" t="s">
        <v>1454</v>
      </c>
      <c r="L3003" s="27" t="s">
        <v>19562</v>
      </c>
      <c r="N3003" s="27" t="s">
        <v>19563</v>
      </c>
      <c r="P3003" s="27" t="s">
        <v>19565</v>
      </c>
      <c r="Q3003" s="26" t="str">
        <f>HYPERLINK("https://ictv.global/taxonomy/taxondetails?taxnode_id=202520762&amp;ictv_id=ICTV202420762","ICTV202420762")</f>
        <v>ICTV202420762</v>
      </c>
      <c r="R3003" t="s">
        <v>579</v>
      </c>
      <c r="S3003" t="s">
        <v>823</v>
      </c>
      <c r="T3003">
        <v>40</v>
      </c>
      <c r="U3003" s="26" t="str">
        <f>HYPERLINK("https://ictv.global/ictv/proposals/2024.019B.Kruegerviridae_1nf_1ng_1mg_4ns.zip","2024.019B.Kruegerviridae_1nf_1ng_1mg_4ns.zip")</f>
        <v>2024.019B.Kruegerviridae_1nf_1ng_1mg_4ns.zip</v>
      </c>
    </row>
    <row r="3004" spans="1:21">
      <c r="A3004">
        <v>3003</v>
      </c>
      <c r="B3004" s="27" t="s">
        <v>1449</v>
      </c>
      <c r="D3004" s="27" t="s">
        <v>1450</v>
      </c>
      <c r="F3004" s="27" t="s">
        <v>1453</v>
      </c>
      <c r="H3004" s="27" t="s">
        <v>1454</v>
      </c>
      <c r="L3004" s="27" t="s">
        <v>19562</v>
      </c>
      <c r="N3004" s="27" t="s">
        <v>19563</v>
      </c>
      <c r="P3004" s="27" t="s">
        <v>19566</v>
      </c>
      <c r="Q3004" s="26" t="str">
        <f>HYPERLINK("https://ictv.global/taxonomy/taxondetails?taxnode_id=202520763&amp;ictv_id=ICTV202420763","ICTV202420763")</f>
        <v>ICTV202420763</v>
      </c>
      <c r="R3004" t="s">
        <v>579</v>
      </c>
      <c r="S3004" t="s">
        <v>823</v>
      </c>
      <c r="T3004">
        <v>40</v>
      </c>
      <c r="U3004" s="26" t="str">
        <f>HYPERLINK("https://ictv.global/ictv/proposals/2024.019B.Kruegerviridae_1nf_1ng_1mg_4ns.zip","2024.019B.Kruegerviridae_1nf_1ng_1mg_4ns.zip")</f>
        <v>2024.019B.Kruegerviridae_1nf_1ng_1mg_4ns.zip</v>
      </c>
    </row>
    <row r="3005" spans="1:21">
      <c r="A3005">
        <v>3004</v>
      </c>
      <c r="B3005" s="27" t="s">
        <v>1449</v>
      </c>
      <c r="D3005" s="27" t="s">
        <v>1450</v>
      </c>
      <c r="F3005" s="27" t="s">
        <v>1453</v>
      </c>
      <c r="H3005" s="27" t="s">
        <v>1454</v>
      </c>
      <c r="L3005" s="27" t="s">
        <v>19562</v>
      </c>
      <c r="N3005" s="27" t="s">
        <v>19563</v>
      </c>
      <c r="P3005" s="27" t="s">
        <v>19567</v>
      </c>
      <c r="Q3005" s="26" t="str">
        <f>HYPERLINK("https://ictv.global/taxonomy/taxondetails?taxnode_id=202520765&amp;ictv_id=ICTV202420765","ICTV202420765")</f>
        <v>ICTV202420765</v>
      </c>
      <c r="R3005" t="s">
        <v>579</v>
      </c>
      <c r="S3005" t="s">
        <v>823</v>
      </c>
      <c r="T3005">
        <v>40</v>
      </c>
      <c r="U3005" s="26" t="str">
        <f>HYPERLINK("https://ictv.global/ictv/proposals/2024.019B.Kruegerviridae_1nf_1ng_1mg_4ns.zip","2024.019B.Kruegerviridae_1nf_1ng_1mg_4ns.zip")</f>
        <v>2024.019B.Kruegerviridae_1nf_1ng_1mg_4ns.zip</v>
      </c>
    </row>
    <row r="3006" spans="1:21">
      <c r="A3006">
        <v>3005</v>
      </c>
      <c r="B3006" s="27" t="s">
        <v>1449</v>
      </c>
      <c r="D3006" s="27" t="s">
        <v>1450</v>
      </c>
      <c r="F3006" s="27" t="s">
        <v>1453</v>
      </c>
      <c r="H3006" s="27" t="s">
        <v>1454</v>
      </c>
      <c r="L3006" s="27" t="s">
        <v>19562</v>
      </c>
      <c r="N3006" s="27" t="s">
        <v>12223</v>
      </c>
      <c r="P3006" s="27" t="s">
        <v>12224</v>
      </c>
      <c r="Q3006" s="26" t="str">
        <f>HYPERLINK("https://ictv.global/taxonomy/taxondetails?taxnode_id=202517774&amp;ictv_id=ICTV202317774","ICTV202317774")</f>
        <v>ICTV202317774</v>
      </c>
      <c r="R3006" t="s">
        <v>579</v>
      </c>
      <c r="S3006" t="s">
        <v>22763</v>
      </c>
      <c r="T3006">
        <v>40</v>
      </c>
      <c r="U3006" s="26" t="str">
        <f>HYPERLINK("https://ictv.global/ictv/proposals/2024.019B.Kruegerviridae_1nf_1ng_1mg_4ns.zip","2024.019B.Kruegerviridae_1nf_1ng_1mg_4ns.zip")</f>
        <v>2024.019B.Kruegerviridae_1nf_1ng_1mg_4ns.zip</v>
      </c>
    </row>
    <row r="3007" spans="1:21">
      <c r="A3007">
        <v>3006</v>
      </c>
      <c r="B3007" s="27" t="s">
        <v>1449</v>
      </c>
      <c r="D3007" s="27" t="s">
        <v>1450</v>
      </c>
      <c r="F3007" s="27" t="s">
        <v>1453</v>
      </c>
      <c r="H3007" s="27" t="s">
        <v>1454</v>
      </c>
      <c r="L3007" s="27" t="s">
        <v>19568</v>
      </c>
      <c r="N3007" s="27" t="s">
        <v>19569</v>
      </c>
      <c r="P3007" s="27" t="s">
        <v>19570</v>
      </c>
      <c r="Q3007" s="26" t="str">
        <f>HYPERLINK("https://ictv.global/taxonomy/taxondetails?taxnode_id=202520187&amp;ictv_id=ICTV202420187","ICTV202420187")</f>
        <v>ICTV202420187</v>
      </c>
      <c r="R3007" t="s">
        <v>579</v>
      </c>
      <c r="S3007" t="s">
        <v>823</v>
      </c>
      <c r="T3007">
        <v>40</v>
      </c>
      <c r="U3007" s="26" t="str">
        <f>HYPERLINK("https://ictv.global/ictv/proposals/2024.005A.Bathyarchaeia_4newfam.zip","2024.005A.Bathyarchaeia_4newfam.zip")</f>
        <v>2024.005A.Bathyarchaeia_4newfam.zip</v>
      </c>
    </row>
    <row r="3008" spans="1:21">
      <c r="A3008">
        <v>3007</v>
      </c>
      <c r="B3008" s="27" t="s">
        <v>1449</v>
      </c>
      <c r="D3008" s="27" t="s">
        <v>1450</v>
      </c>
      <c r="F3008" s="27" t="s">
        <v>1453</v>
      </c>
      <c r="H3008" s="27" t="s">
        <v>1454</v>
      </c>
      <c r="L3008" s="27" t="s">
        <v>21152</v>
      </c>
      <c r="N3008" s="27" t="s">
        <v>21153</v>
      </c>
      <c r="P3008" s="27" t="s">
        <v>21154</v>
      </c>
      <c r="Q3008" s="26" t="str">
        <f>HYPERLINK("https://ictv.global/taxonomy/taxondetails?taxnode_id=202522077&amp;ictv_id=ICTV202522077","ICTV202522077")</f>
        <v>ICTV202522077</v>
      </c>
      <c r="R3008" t="s">
        <v>579</v>
      </c>
      <c r="S3008" t="s">
        <v>823</v>
      </c>
      <c r="T3008">
        <v>41</v>
      </c>
      <c r="U3008" s="26" t="str">
        <f>HYPERLINK("https://ictv.global/ictv/proposals/2025.002A.Archaeal_Caudoviricetes_8nf.zip","2025.002A.Archaeal_Caudoviricetes_8nf.zip")</f>
        <v>2025.002A.Archaeal_Caudoviricetes_8nf.zip</v>
      </c>
    </row>
    <row r="3009" spans="1:21">
      <c r="A3009">
        <v>3008</v>
      </c>
      <c r="B3009" s="27" t="s">
        <v>1449</v>
      </c>
      <c r="D3009" s="27" t="s">
        <v>1450</v>
      </c>
      <c r="F3009" s="27" t="s">
        <v>1453</v>
      </c>
      <c r="H3009" s="27" t="s">
        <v>1454</v>
      </c>
      <c r="L3009" s="27" t="s">
        <v>19571</v>
      </c>
      <c r="N3009" s="27" t="s">
        <v>2093</v>
      </c>
      <c r="P3009" s="27" t="s">
        <v>6668</v>
      </c>
      <c r="Q3009" s="26" t="str">
        <f>HYPERLINK("https://ictv.global/taxonomy/taxondetails?taxnode_id=202500475&amp;ictv_id=ICTV20115453","ICTV20115453")</f>
        <v>ICTV20115453</v>
      </c>
      <c r="R3009" t="s">
        <v>579</v>
      </c>
      <c r="S3009" t="s">
        <v>22763</v>
      </c>
      <c r="T3009">
        <v>40</v>
      </c>
      <c r="U3009" s="26" t="str">
        <f t="shared" ref="U3009:U3014" si="111">HYPERLINK("https://ictv.global/ictv/proposals/2024.020B.Lindbergviridae_1nf_3ng_7mg_21ns.zip","2024.020B.Lindbergviridae_1nf_3ng_7mg_21ns.zip")</f>
        <v>2024.020B.Lindbergviridae_1nf_3ng_7mg_21ns.zip</v>
      </c>
    </row>
    <row r="3010" spans="1:21">
      <c r="A3010">
        <v>3009</v>
      </c>
      <c r="B3010" s="27" t="s">
        <v>1449</v>
      </c>
      <c r="D3010" s="27" t="s">
        <v>1450</v>
      </c>
      <c r="F3010" s="27" t="s">
        <v>1453</v>
      </c>
      <c r="H3010" s="27" t="s">
        <v>1454</v>
      </c>
      <c r="L3010" s="27" t="s">
        <v>19571</v>
      </c>
      <c r="N3010" s="27" t="s">
        <v>1673</v>
      </c>
      <c r="P3010" s="27" t="s">
        <v>6751</v>
      </c>
      <c r="Q3010" s="26" t="str">
        <f>HYPERLINK("https://ictv.global/taxonomy/taxondetails?taxnode_id=202507928&amp;ictv_id=ICTV201907928","ICTV201907928")</f>
        <v>ICTV201907928</v>
      </c>
      <c r="R3010" t="s">
        <v>579</v>
      </c>
      <c r="S3010" t="s">
        <v>22763</v>
      </c>
      <c r="T3010">
        <v>40</v>
      </c>
      <c r="U3010" s="26" t="str">
        <f t="shared" si="111"/>
        <v>2024.020B.Lindbergviridae_1nf_3ng_7mg_21ns.zip</v>
      </c>
    </row>
    <row r="3011" spans="1:21">
      <c r="A3011">
        <v>3010</v>
      </c>
      <c r="B3011" s="27" t="s">
        <v>1449</v>
      </c>
      <c r="D3011" s="27" t="s">
        <v>1450</v>
      </c>
      <c r="F3011" s="27" t="s">
        <v>1453</v>
      </c>
      <c r="H3011" s="27" t="s">
        <v>1454</v>
      </c>
      <c r="L3011" s="27" t="s">
        <v>19571</v>
      </c>
      <c r="N3011" s="27" t="s">
        <v>1673</v>
      </c>
      <c r="P3011" s="27" t="s">
        <v>19572</v>
      </c>
      <c r="Q3011" s="26" t="str">
        <f>HYPERLINK("https://ictv.global/taxonomy/taxondetails?taxnode_id=202520784&amp;ictv_id=ICTV202420784","ICTV202420784")</f>
        <v>ICTV202420784</v>
      </c>
      <c r="R3011" t="s">
        <v>579</v>
      </c>
      <c r="S3011" t="s">
        <v>823</v>
      </c>
      <c r="T3011">
        <v>40</v>
      </c>
      <c r="U3011" s="26" t="str">
        <f t="shared" si="111"/>
        <v>2024.020B.Lindbergviridae_1nf_3ng_7mg_21ns.zip</v>
      </c>
    </row>
    <row r="3012" spans="1:21">
      <c r="A3012">
        <v>3011</v>
      </c>
      <c r="B3012" s="27" t="s">
        <v>1449</v>
      </c>
      <c r="D3012" s="27" t="s">
        <v>1450</v>
      </c>
      <c r="F3012" s="27" t="s">
        <v>1453</v>
      </c>
      <c r="H3012" s="27" t="s">
        <v>1454</v>
      </c>
      <c r="L3012" s="27" t="s">
        <v>19571</v>
      </c>
      <c r="N3012" s="27" t="s">
        <v>1673</v>
      </c>
      <c r="P3012" s="27" t="s">
        <v>6752</v>
      </c>
      <c r="Q3012" s="26" t="str">
        <f>HYPERLINK("https://ictv.global/taxonomy/taxondetails?taxnode_id=202507929&amp;ictv_id=ICTV201907929","ICTV201907929")</f>
        <v>ICTV201907929</v>
      </c>
      <c r="R3012" t="s">
        <v>579</v>
      </c>
      <c r="S3012" t="s">
        <v>22763</v>
      </c>
      <c r="T3012">
        <v>40</v>
      </c>
      <c r="U3012" s="26" t="str">
        <f t="shared" si="111"/>
        <v>2024.020B.Lindbergviridae_1nf_3ng_7mg_21ns.zip</v>
      </c>
    </row>
    <row r="3013" spans="1:21">
      <c r="A3013">
        <v>3012</v>
      </c>
      <c r="B3013" s="27" t="s">
        <v>1449</v>
      </c>
      <c r="D3013" s="27" t="s">
        <v>1450</v>
      </c>
      <c r="F3013" s="27" t="s">
        <v>1453</v>
      </c>
      <c r="H3013" s="27" t="s">
        <v>1454</v>
      </c>
      <c r="L3013" s="27" t="s">
        <v>19571</v>
      </c>
      <c r="N3013" s="27" t="s">
        <v>19573</v>
      </c>
      <c r="P3013" s="27" t="s">
        <v>19574</v>
      </c>
      <c r="Q3013" s="26" t="str">
        <f>HYPERLINK("https://ictv.global/taxonomy/taxondetails?taxnode_id=202520785&amp;ictv_id=ICTV202420785","ICTV202420785")</f>
        <v>ICTV202420785</v>
      </c>
      <c r="R3013" t="s">
        <v>579</v>
      </c>
      <c r="S3013" t="s">
        <v>823</v>
      </c>
      <c r="T3013">
        <v>40</v>
      </c>
      <c r="U3013" s="26" t="str">
        <f t="shared" si="111"/>
        <v>2024.020B.Lindbergviridae_1nf_3ng_7mg_21ns.zip</v>
      </c>
    </row>
    <row r="3014" spans="1:21">
      <c r="A3014">
        <v>3013</v>
      </c>
      <c r="B3014" s="27" t="s">
        <v>1449</v>
      </c>
      <c r="D3014" s="27" t="s">
        <v>1450</v>
      </c>
      <c r="F3014" s="27" t="s">
        <v>1453</v>
      </c>
      <c r="H3014" s="27" t="s">
        <v>1454</v>
      </c>
      <c r="L3014" s="27" t="s">
        <v>19571</v>
      </c>
      <c r="N3014" s="27" t="s">
        <v>19575</v>
      </c>
      <c r="P3014" s="27" t="s">
        <v>19576</v>
      </c>
      <c r="Q3014" s="26" t="str">
        <f>HYPERLINK("https://ictv.global/taxonomy/taxondetails?taxnode_id=202520786&amp;ictv_id=ICTV202420786","ICTV202420786")</f>
        <v>ICTV202420786</v>
      </c>
      <c r="R3014" t="s">
        <v>579</v>
      </c>
      <c r="S3014" t="s">
        <v>823</v>
      </c>
      <c r="T3014">
        <v>40</v>
      </c>
      <c r="U3014" s="26" t="str">
        <f t="shared" si="111"/>
        <v>2024.020B.Lindbergviridae_1nf_3ng_7mg_21ns.zip</v>
      </c>
    </row>
    <row r="3015" spans="1:21">
      <c r="A3015">
        <v>3014</v>
      </c>
      <c r="B3015" s="27" t="s">
        <v>1449</v>
      </c>
      <c r="D3015" s="27" t="s">
        <v>1450</v>
      </c>
      <c r="F3015" s="27" t="s">
        <v>1453</v>
      </c>
      <c r="H3015" s="27" t="s">
        <v>1454</v>
      </c>
      <c r="L3015" s="27" t="s">
        <v>19571</v>
      </c>
      <c r="N3015" s="27" t="s">
        <v>19575</v>
      </c>
      <c r="P3015" s="27" t="s">
        <v>22083</v>
      </c>
      <c r="Q3015" s="26" t="str">
        <f>HYPERLINK("https://ictv.global/taxonomy/taxondetails?taxnode_id=202522884&amp;ictv_id=ICTV202522884","ICTV202522884")</f>
        <v>ICTV202522884</v>
      </c>
      <c r="R3015" t="s">
        <v>579</v>
      </c>
      <c r="S3015" t="s">
        <v>823</v>
      </c>
      <c r="T3015">
        <v>41</v>
      </c>
      <c r="U3015" s="26" t="str">
        <f>HYPERLINK("https://ictv.global/ictv/proposals/2025.033B.Irusalimvirus_1ns.zip","2025.033B.Irusalimvirus_1ns.zip")</f>
        <v>2025.033B.Irusalimvirus_1ns.zip</v>
      </c>
    </row>
    <row r="3016" spans="1:21">
      <c r="A3016">
        <v>3015</v>
      </c>
      <c r="B3016" s="27" t="s">
        <v>1449</v>
      </c>
      <c r="D3016" s="27" t="s">
        <v>1450</v>
      </c>
      <c r="F3016" s="27" t="s">
        <v>1453</v>
      </c>
      <c r="H3016" s="27" t="s">
        <v>1454</v>
      </c>
      <c r="L3016" s="27" t="s">
        <v>19571</v>
      </c>
      <c r="N3016" s="27" t="s">
        <v>2105</v>
      </c>
      <c r="P3016" s="27" t="s">
        <v>7283</v>
      </c>
      <c r="Q3016" s="26" t="str">
        <f>HYPERLINK("https://ictv.global/taxonomy/taxondetails?taxnode_id=202510159&amp;ictv_id=ICTV202010159","ICTV202010159")</f>
        <v>ICTV202010159</v>
      </c>
      <c r="R3016" t="s">
        <v>579</v>
      </c>
      <c r="S3016" t="s">
        <v>22763</v>
      </c>
      <c r="T3016">
        <v>40</v>
      </c>
      <c r="U3016" s="26" t="str">
        <f>HYPERLINK("https://ictv.global/ictv/proposals/2024.020B.Lindbergviridae_1nf_3ng_7mg_21ns.zip","2024.020B.Lindbergviridae_1nf_3ng_7mg_21ns.zip")</f>
        <v>2024.020B.Lindbergviridae_1nf_3ng_7mg_21ns.zip</v>
      </c>
    </row>
    <row r="3017" spans="1:21">
      <c r="A3017">
        <v>3016</v>
      </c>
      <c r="B3017" s="27" t="s">
        <v>1449</v>
      </c>
      <c r="D3017" s="27" t="s">
        <v>1450</v>
      </c>
      <c r="F3017" s="27" t="s">
        <v>1453</v>
      </c>
      <c r="H3017" s="27" t="s">
        <v>1454</v>
      </c>
      <c r="L3017" s="27" t="s">
        <v>19571</v>
      </c>
      <c r="N3017" s="27" t="s">
        <v>2113</v>
      </c>
      <c r="P3017" s="27" t="s">
        <v>7465</v>
      </c>
      <c r="Q3017" s="26" t="str">
        <f>HYPERLINK("https://ictv.global/taxonomy/taxondetails?taxnode_id=202511559&amp;ictv_id=ICTV202011559","ICTV202011559")</f>
        <v>ICTV202011559</v>
      </c>
      <c r="R3017" t="s">
        <v>579</v>
      </c>
      <c r="S3017" t="s">
        <v>22763</v>
      </c>
      <c r="T3017">
        <v>40</v>
      </c>
      <c r="U3017" s="26" t="str">
        <f>HYPERLINK("https://ictv.global/ictv/proposals/2024.020B.Lindbergviridae_1nf_3ng_7mg_21ns.zip","2024.020B.Lindbergviridae_1nf_3ng_7mg_21ns.zip")</f>
        <v>2024.020B.Lindbergviridae_1nf_3ng_7mg_21ns.zip</v>
      </c>
    </row>
    <row r="3018" spans="1:21">
      <c r="A3018">
        <v>3017</v>
      </c>
      <c r="B3018" s="27" t="s">
        <v>1449</v>
      </c>
      <c r="D3018" s="27" t="s">
        <v>1450</v>
      </c>
      <c r="F3018" s="27" t="s">
        <v>1453</v>
      </c>
      <c r="H3018" s="27" t="s">
        <v>1454</v>
      </c>
      <c r="L3018" s="27" t="s">
        <v>19571</v>
      </c>
      <c r="N3018" s="27" t="s">
        <v>2113</v>
      </c>
      <c r="P3018" s="27" t="s">
        <v>7466</v>
      </c>
      <c r="Q3018" s="26" t="str">
        <f>HYPERLINK("https://ictv.global/taxonomy/taxondetails?taxnode_id=202511558&amp;ictv_id=ICTV202011558","ICTV202011558")</f>
        <v>ICTV202011558</v>
      </c>
      <c r="R3018" t="s">
        <v>579</v>
      </c>
      <c r="S3018" t="s">
        <v>22763</v>
      </c>
      <c r="T3018">
        <v>40</v>
      </c>
      <c r="U3018" s="26" t="str">
        <f>HYPERLINK("https://ictv.global/ictv/proposals/2024.020B.Lindbergviridae_1nf_3ng_7mg_21ns.zip","2024.020B.Lindbergviridae_1nf_3ng_7mg_21ns.zip")</f>
        <v>2024.020B.Lindbergviridae_1nf_3ng_7mg_21ns.zip</v>
      </c>
    </row>
    <row r="3019" spans="1:21">
      <c r="A3019">
        <v>3018</v>
      </c>
      <c r="B3019" s="27" t="s">
        <v>1449</v>
      </c>
      <c r="D3019" s="27" t="s">
        <v>1450</v>
      </c>
      <c r="F3019" s="27" t="s">
        <v>1453</v>
      </c>
      <c r="H3019" s="27" t="s">
        <v>1454</v>
      </c>
      <c r="L3019" s="27" t="s">
        <v>19571</v>
      </c>
      <c r="N3019" s="27" t="s">
        <v>2113</v>
      </c>
      <c r="P3019" s="27" t="s">
        <v>19577</v>
      </c>
      <c r="Q3019" s="26" t="str">
        <f>HYPERLINK("https://ictv.global/taxonomy/taxondetails?taxnode_id=202520777&amp;ictv_id=ICTV202420777","ICTV202420777")</f>
        <v>ICTV202420777</v>
      </c>
      <c r="R3019" t="s">
        <v>579</v>
      </c>
      <c r="S3019" t="s">
        <v>823</v>
      </c>
      <c r="T3019">
        <v>40</v>
      </c>
      <c r="U3019" s="26" t="str">
        <f>HYPERLINK("https://ictv.global/ictv/proposals/2024.020B.Lindbergviridae_1nf_3ng_7mg_21ns.zip","2024.020B.Lindbergviridae_1nf_3ng_7mg_21ns.zip")</f>
        <v>2024.020B.Lindbergviridae_1nf_3ng_7mg_21ns.zip</v>
      </c>
    </row>
    <row r="3020" spans="1:21">
      <c r="A3020">
        <v>3019</v>
      </c>
      <c r="B3020" s="27" t="s">
        <v>1449</v>
      </c>
      <c r="D3020" s="27" t="s">
        <v>1450</v>
      </c>
      <c r="F3020" s="27" t="s">
        <v>1453</v>
      </c>
      <c r="H3020" s="27" t="s">
        <v>1454</v>
      </c>
      <c r="L3020" s="27" t="s">
        <v>19571</v>
      </c>
      <c r="N3020" s="27" t="s">
        <v>2113</v>
      </c>
      <c r="P3020" s="27" t="s">
        <v>22385</v>
      </c>
      <c r="Q3020" s="26" t="str">
        <f>HYPERLINK("https://ictv.global/taxonomy/taxondetails?taxnode_id=202523043&amp;ictv_id=ICTV202523043","ICTV202523043")</f>
        <v>ICTV202523043</v>
      </c>
      <c r="R3020" t="s">
        <v>579</v>
      </c>
      <c r="S3020" t="s">
        <v>823</v>
      </c>
      <c r="T3020">
        <v>41</v>
      </c>
      <c r="U3020" s="26" t="str">
        <f>HYPERLINK("https://ictv.global/ictv/proposals/2025.049B.Myosmarvirus_1ns.zip","2025.049B.Myosmarvirus_1ns.zip")</f>
        <v>2025.049B.Myosmarvirus_1ns.zip</v>
      </c>
    </row>
    <row r="3021" spans="1:21">
      <c r="A3021">
        <v>3020</v>
      </c>
      <c r="B3021" s="27" t="s">
        <v>1449</v>
      </c>
      <c r="D3021" s="27" t="s">
        <v>1450</v>
      </c>
      <c r="F3021" s="27" t="s">
        <v>1453</v>
      </c>
      <c r="H3021" s="27" t="s">
        <v>1454</v>
      </c>
      <c r="L3021" s="27" t="s">
        <v>19571</v>
      </c>
      <c r="N3021" s="27" t="s">
        <v>598</v>
      </c>
      <c r="P3021" s="27" t="s">
        <v>7619</v>
      </c>
      <c r="Q3021" s="26" t="str">
        <f>HYPERLINK("https://ictv.global/taxonomy/taxondetails?taxnode_id=202500477&amp;ictv_id=ICTV20150161","ICTV20150161")</f>
        <v>ICTV20150161</v>
      </c>
      <c r="R3021" t="s">
        <v>579</v>
      </c>
      <c r="S3021" t="s">
        <v>22763</v>
      </c>
      <c r="T3021">
        <v>40</v>
      </c>
      <c r="U3021" s="26" t="str">
        <f t="shared" ref="U3021:U3026" si="112">HYPERLINK("https://ictv.global/ictv/proposals/2024.020B.Lindbergviridae_1nf_3ng_7mg_21ns.zip","2024.020B.Lindbergviridae_1nf_3ng_7mg_21ns.zip")</f>
        <v>2024.020B.Lindbergviridae_1nf_3ng_7mg_21ns.zip</v>
      </c>
    </row>
    <row r="3022" spans="1:21">
      <c r="A3022">
        <v>3021</v>
      </c>
      <c r="B3022" s="27" t="s">
        <v>1449</v>
      </c>
      <c r="D3022" s="27" t="s">
        <v>1450</v>
      </c>
      <c r="F3022" s="27" t="s">
        <v>1453</v>
      </c>
      <c r="H3022" s="27" t="s">
        <v>1454</v>
      </c>
      <c r="L3022" s="27" t="s">
        <v>19571</v>
      </c>
      <c r="N3022" s="27" t="s">
        <v>598</v>
      </c>
      <c r="P3022" s="27" t="s">
        <v>7620</v>
      </c>
      <c r="Q3022" s="26" t="str">
        <f>HYPERLINK("https://ictv.global/taxonomy/taxondetails?taxnode_id=202512812&amp;ictv_id=ICTV202112812","ICTV202112812")</f>
        <v>ICTV202112812</v>
      </c>
      <c r="R3022" t="s">
        <v>579</v>
      </c>
      <c r="S3022" t="s">
        <v>22763</v>
      </c>
      <c r="T3022">
        <v>40</v>
      </c>
      <c r="U3022" s="26" t="str">
        <f t="shared" si="112"/>
        <v>2024.020B.Lindbergviridae_1nf_3ng_7mg_21ns.zip</v>
      </c>
    </row>
    <row r="3023" spans="1:21">
      <c r="A3023">
        <v>3022</v>
      </c>
      <c r="B3023" s="27" t="s">
        <v>1449</v>
      </c>
      <c r="D3023" s="27" t="s">
        <v>1450</v>
      </c>
      <c r="F3023" s="27" t="s">
        <v>1453</v>
      </c>
      <c r="H3023" s="27" t="s">
        <v>1454</v>
      </c>
      <c r="L3023" s="27" t="s">
        <v>19571</v>
      </c>
      <c r="N3023" s="27" t="s">
        <v>598</v>
      </c>
      <c r="P3023" s="27" t="s">
        <v>7621</v>
      </c>
      <c r="Q3023" s="26" t="str">
        <f>HYPERLINK("https://ictv.global/taxonomy/taxondetails?taxnode_id=202511575&amp;ictv_id=ICTV202011575","ICTV202011575")</f>
        <v>ICTV202011575</v>
      </c>
      <c r="R3023" t="s">
        <v>579</v>
      </c>
      <c r="S3023" t="s">
        <v>22763</v>
      </c>
      <c r="T3023">
        <v>40</v>
      </c>
      <c r="U3023" s="26" t="str">
        <f t="shared" si="112"/>
        <v>2024.020B.Lindbergviridae_1nf_3ng_7mg_21ns.zip</v>
      </c>
    </row>
    <row r="3024" spans="1:21">
      <c r="A3024">
        <v>3023</v>
      </c>
      <c r="B3024" s="27" t="s">
        <v>1449</v>
      </c>
      <c r="D3024" s="27" t="s">
        <v>1450</v>
      </c>
      <c r="F3024" s="27" t="s">
        <v>1453</v>
      </c>
      <c r="H3024" s="27" t="s">
        <v>1454</v>
      </c>
      <c r="L3024" s="27" t="s">
        <v>19571</v>
      </c>
      <c r="N3024" s="27" t="s">
        <v>598</v>
      </c>
      <c r="P3024" s="27" t="s">
        <v>7622</v>
      </c>
      <c r="Q3024" s="26" t="str">
        <f>HYPERLINK("https://ictv.global/taxonomy/taxondetails?taxnode_id=202512813&amp;ictv_id=ICTV202112813","ICTV202112813")</f>
        <v>ICTV202112813</v>
      </c>
      <c r="R3024" t="s">
        <v>579</v>
      </c>
      <c r="S3024" t="s">
        <v>22763</v>
      </c>
      <c r="T3024">
        <v>40</v>
      </c>
      <c r="U3024" s="26" t="str">
        <f t="shared" si="112"/>
        <v>2024.020B.Lindbergviridae_1nf_3ng_7mg_21ns.zip</v>
      </c>
    </row>
    <row r="3025" spans="1:21">
      <c r="A3025">
        <v>3024</v>
      </c>
      <c r="B3025" s="27" t="s">
        <v>1449</v>
      </c>
      <c r="D3025" s="27" t="s">
        <v>1450</v>
      </c>
      <c r="F3025" s="27" t="s">
        <v>1453</v>
      </c>
      <c r="H3025" s="27" t="s">
        <v>1454</v>
      </c>
      <c r="L3025" s="27" t="s">
        <v>19571</v>
      </c>
      <c r="N3025" s="27" t="s">
        <v>598</v>
      </c>
      <c r="P3025" s="27" t="s">
        <v>7623</v>
      </c>
      <c r="Q3025" s="26" t="str">
        <f>HYPERLINK("https://ictv.global/taxonomy/taxondetails?taxnode_id=202512806&amp;ictv_id=ICTV202112806","ICTV202112806")</f>
        <v>ICTV202112806</v>
      </c>
      <c r="R3025" t="s">
        <v>579</v>
      </c>
      <c r="S3025" t="s">
        <v>22763</v>
      </c>
      <c r="T3025">
        <v>40</v>
      </c>
      <c r="U3025" s="26" t="str">
        <f t="shared" si="112"/>
        <v>2024.020B.Lindbergviridae_1nf_3ng_7mg_21ns.zip</v>
      </c>
    </row>
    <row r="3026" spans="1:21">
      <c r="A3026">
        <v>3025</v>
      </c>
      <c r="B3026" s="27" t="s">
        <v>1449</v>
      </c>
      <c r="D3026" s="27" t="s">
        <v>1450</v>
      </c>
      <c r="F3026" s="27" t="s">
        <v>1453</v>
      </c>
      <c r="H3026" s="27" t="s">
        <v>1454</v>
      </c>
      <c r="L3026" s="27" t="s">
        <v>19571</v>
      </c>
      <c r="N3026" s="27" t="s">
        <v>598</v>
      </c>
      <c r="P3026" s="27" t="s">
        <v>7624</v>
      </c>
      <c r="Q3026" s="26" t="str">
        <f>HYPERLINK("https://ictv.global/taxonomy/taxondetails?taxnode_id=202500478&amp;ictv_id=ICTV20150157","ICTV20150157")</f>
        <v>ICTV20150157</v>
      </c>
      <c r="R3026" t="s">
        <v>579</v>
      </c>
      <c r="S3026" t="s">
        <v>22763</v>
      </c>
      <c r="T3026">
        <v>40</v>
      </c>
      <c r="U3026" s="26" t="str">
        <f t="shared" si="112"/>
        <v>2024.020B.Lindbergviridae_1nf_3ng_7mg_21ns.zip</v>
      </c>
    </row>
    <row r="3027" spans="1:21">
      <c r="A3027">
        <v>3026</v>
      </c>
      <c r="B3027" s="27" t="s">
        <v>1449</v>
      </c>
      <c r="D3027" s="27" t="s">
        <v>1450</v>
      </c>
      <c r="F3027" s="27" t="s">
        <v>1453</v>
      </c>
      <c r="H3027" s="27" t="s">
        <v>1454</v>
      </c>
      <c r="L3027" s="27" t="s">
        <v>19571</v>
      </c>
      <c r="N3027" s="27" t="s">
        <v>598</v>
      </c>
      <c r="P3027" s="27" t="s">
        <v>19578</v>
      </c>
      <c r="Q3027" s="26" t="str">
        <f>HYPERLINK("https://ictv.global/taxonomy/taxondetails?taxnode_id=202500479&amp;ictv_id=ICTV20150158","ICTV20150158")</f>
        <v>ICTV20150158</v>
      </c>
      <c r="R3027" t="s">
        <v>579</v>
      </c>
      <c r="S3027" t="s">
        <v>824</v>
      </c>
      <c r="T3027">
        <v>40</v>
      </c>
      <c r="U3027" s="26" t="str">
        <f>HYPERLINK("https://ictv.global/ictv/proposals/2024.036B.Caudoviricetes_Faserviricetes_Name_Corrections.zip","2024.036B.Caudoviricetes_Faserviricetes_Name_Corrections.zip")</f>
        <v>2024.036B.Caudoviricetes_Faserviricetes_Name_Corrections.zip</v>
      </c>
    </row>
    <row r="3028" spans="1:21">
      <c r="A3028">
        <v>3027</v>
      </c>
      <c r="B3028" s="27" t="s">
        <v>1449</v>
      </c>
      <c r="D3028" s="27" t="s">
        <v>1450</v>
      </c>
      <c r="F3028" s="27" t="s">
        <v>1453</v>
      </c>
      <c r="H3028" s="27" t="s">
        <v>1454</v>
      </c>
      <c r="L3028" s="27" t="s">
        <v>19571</v>
      </c>
      <c r="N3028" s="27" t="s">
        <v>598</v>
      </c>
      <c r="P3028" s="27" t="s">
        <v>7625</v>
      </c>
      <c r="Q3028" s="26" t="str">
        <f>HYPERLINK("https://ictv.global/taxonomy/taxondetails?taxnode_id=202507023&amp;ictv_id=ICTV201857023","ICTV201857023")</f>
        <v>ICTV201857023</v>
      </c>
      <c r="R3028" t="s">
        <v>579</v>
      </c>
      <c r="S3028" t="s">
        <v>22763</v>
      </c>
      <c r="T3028">
        <v>40</v>
      </c>
      <c r="U3028" s="26" t="str">
        <f t="shared" ref="U3028:U3036" si="113">HYPERLINK("https://ictv.global/ictv/proposals/2024.020B.Lindbergviridae_1nf_3ng_7mg_21ns.zip","2024.020B.Lindbergviridae_1nf_3ng_7mg_21ns.zip")</f>
        <v>2024.020B.Lindbergviridae_1nf_3ng_7mg_21ns.zip</v>
      </c>
    </row>
    <row r="3029" spans="1:21">
      <c r="A3029">
        <v>3028</v>
      </c>
      <c r="B3029" s="27" t="s">
        <v>1449</v>
      </c>
      <c r="D3029" s="27" t="s">
        <v>1450</v>
      </c>
      <c r="F3029" s="27" t="s">
        <v>1453</v>
      </c>
      <c r="H3029" s="27" t="s">
        <v>1454</v>
      </c>
      <c r="L3029" s="27" t="s">
        <v>19571</v>
      </c>
      <c r="N3029" s="27" t="s">
        <v>598</v>
      </c>
      <c r="P3029" s="27" t="s">
        <v>7626</v>
      </c>
      <c r="Q3029" s="26" t="str">
        <f>HYPERLINK("https://ictv.global/taxonomy/taxondetails?taxnode_id=202507024&amp;ictv_id=ICTV201857024","ICTV201857024")</f>
        <v>ICTV201857024</v>
      </c>
      <c r="R3029" t="s">
        <v>579</v>
      </c>
      <c r="S3029" t="s">
        <v>22763</v>
      </c>
      <c r="T3029">
        <v>40</v>
      </c>
      <c r="U3029" s="26" t="str">
        <f t="shared" si="113"/>
        <v>2024.020B.Lindbergviridae_1nf_3ng_7mg_21ns.zip</v>
      </c>
    </row>
    <row r="3030" spans="1:21">
      <c r="A3030">
        <v>3029</v>
      </c>
      <c r="B3030" s="27" t="s">
        <v>1449</v>
      </c>
      <c r="D3030" s="27" t="s">
        <v>1450</v>
      </c>
      <c r="F3030" s="27" t="s">
        <v>1453</v>
      </c>
      <c r="H3030" s="27" t="s">
        <v>1454</v>
      </c>
      <c r="L3030" s="27" t="s">
        <v>19571</v>
      </c>
      <c r="N3030" s="27" t="s">
        <v>598</v>
      </c>
      <c r="P3030" s="27" t="s">
        <v>7627</v>
      </c>
      <c r="Q3030" s="26" t="str">
        <f>HYPERLINK("https://ictv.global/taxonomy/taxondetails?taxnode_id=202507025&amp;ictv_id=ICTV201857025","ICTV201857025")</f>
        <v>ICTV201857025</v>
      </c>
      <c r="R3030" t="s">
        <v>579</v>
      </c>
      <c r="S3030" t="s">
        <v>22763</v>
      </c>
      <c r="T3030">
        <v>40</v>
      </c>
      <c r="U3030" s="26" t="str">
        <f t="shared" si="113"/>
        <v>2024.020B.Lindbergviridae_1nf_3ng_7mg_21ns.zip</v>
      </c>
    </row>
    <row r="3031" spans="1:21">
      <c r="A3031">
        <v>3030</v>
      </c>
      <c r="B3031" s="27" t="s">
        <v>1449</v>
      </c>
      <c r="D3031" s="27" t="s">
        <v>1450</v>
      </c>
      <c r="F3031" s="27" t="s">
        <v>1453</v>
      </c>
      <c r="H3031" s="27" t="s">
        <v>1454</v>
      </c>
      <c r="L3031" s="27" t="s">
        <v>19571</v>
      </c>
      <c r="N3031" s="27" t="s">
        <v>598</v>
      </c>
      <c r="P3031" s="27" t="s">
        <v>7628</v>
      </c>
      <c r="Q3031" s="26" t="str">
        <f>HYPERLINK("https://ictv.global/taxonomy/taxondetails?taxnode_id=202512807&amp;ictv_id=ICTV202112807","ICTV202112807")</f>
        <v>ICTV202112807</v>
      </c>
      <c r="R3031" t="s">
        <v>579</v>
      </c>
      <c r="S3031" t="s">
        <v>22763</v>
      </c>
      <c r="T3031">
        <v>40</v>
      </c>
      <c r="U3031" s="26" t="str">
        <f t="shared" si="113"/>
        <v>2024.020B.Lindbergviridae_1nf_3ng_7mg_21ns.zip</v>
      </c>
    </row>
    <row r="3032" spans="1:21">
      <c r="A3032">
        <v>3031</v>
      </c>
      <c r="B3032" s="27" t="s">
        <v>1449</v>
      </c>
      <c r="D3032" s="27" t="s">
        <v>1450</v>
      </c>
      <c r="F3032" s="27" t="s">
        <v>1453</v>
      </c>
      <c r="H3032" s="27" t="s">
        <v>1454</v>
      </c>
      <c r="L3032" s="27" t="s">
        <v>19571</v>
      </c>
      <c r="N3032" s="27" t="s">
        <v>598</v>
      </c>
      <c r="P3032" s="27" t="s">
        <v>7629</v>
      </c>
      <c r="Q3032" s="26" t="str">
        <f>HYPERLINK("https://ictv.global/taxonomy/taxondetails?taxnode_id=202512816&amp;ictv_id=ICTV202112816","ICTV202112816")</f>
        <v>ICTV202112816</v>
      </c>
      <c r="R3032" t="s">
        <v>579</v>
      </c>
      <c r="S3032" t="s">
        <v>22763</v>
      </c>
      <c r="T3032">
        <v>40</v>
      </c>
      <c r="U3032" s="26" t="str">
        <f t="shared" si="113"/>
        <v>2024.020B.Lindbergviridae_1nf_3ng_7mg_21ns.zip</v>
      </c>
    </row>
    <row r="3033" spans="1:21">
      <c r="A3033">
        <v>3032</v>
      </c>
      <c r="B3033" s="27" t="s">
        <v>1449</v>
      </c>
      <c r="D3033" s="27" t="s">
        <v>1450</v>
      </c>
      <c r="F3033" s="27" t="s">
        <v>1453</v>
      </c>
      <c r="H3033" s="27" t="s">
        <v>1454</v>
      </c>
      <c r="L3033" s="27" t="s">
        <v>19571</v>
      </c>
      <c r="N3033" s="27" t="s">
        <v>598</v>
      </c>
      <c r="P3033" s="27" t="s">
        <v>7630</v>
      </c>
      <c r="Q3033" s="26" t="str">
        <f>HYPERLINK("https://ictv.global/taxonomy/taxondetails?taxnode_id=202511572&amp;ictv_id=ICTV202011572","ICTV202011572")</f>
        <v>ICTV202011572</v>
      </c>
      <c r="R3033" t="s">
        <v>579</v>
      </c>
      <c r="S3033" t="s">
        <v>22763</v>
      </c>
      <c r="T3033">
        <v>40</v>
      </c>
      <c r="U3033" s="26" t="str">
        <f t="shared" si="113"/>
        <v>2024.020B.Lindbergviridae_1nf_3ng_7mg_21ns.zip</v>
      </c>
    </row>
    <row r="3034" spans="1:21">
      <c r="A3034">
        <v>3033</v>
      </c>
      <c r="B3034" s="27" t="s">
        <v>1449</v>
      </c>
      <c r="D3034" s="27" t="s">
        <v>1450</v>
      </c>
      <c r="F3034" s="27" t="s">
        <v>1453</v>
      </c>
      <c r="H3034" s="27" t="s">
        <v>1454</v>
      </c>
      <c r="L3034" s="27" t="s">
        <v>19571</v>
      </c>
      <c r="N3034" s="27" t="s">
        <v>598</v>
      </c>
      <c r="P3034" s="27" t="s">
        <v>7631</v>
      </c>
      <c r="Q3034" s="26" t="str">
        <f>HYPERLINK("https://ictv.global/taxonomy/taxondetails?taxnode_id=202500480&amp;ictv_id=ICTV20115452","ICTV20115452")</f>
        <v>ICTV20115452</v>
      </c>
      <c r="R3034" t="s">
        <v>579</v>
      </c>
      <c r="S3034" t="s">
        <v>22763</v>
      </c>
      <c r="T3034">
        <v>40</v>
      </c>
      <c r="U3034" s="26" t="str">
        <f t="shared" si="113"/>
        <v>2024.020B.Lindbergviridae_1nf_3ng_7mg_21ns.zip</v>
      </c>
    </row>
    <row r="3035" spans="1:21">
      <c r="A3035">
        <v>3034</v>
      </c>
      <c r="B3035" s="27" t="s">
        <v>1449</v>
      </c>
      <c r="D3035" s="27" t="s">
        <v>1450</v>
      </c>
      <c r="F3035" s="27" t="s">
        <v>1453</v>
      </c>
      <c r="H3035" s="27" t="s">
        <v>1454</v>
      </c>
      <c r="L3035" s="27" t="s">
        <v>19571</v>
      </c>
      <c r="N3035" s="27" t="s">
        <v>598</v>
      </c>
      <c r="P3035" s="27" t="s">
        <v>19579</v>
      </c>
      <c r="Q3035" s="26" t="str">
        <f>HYPERLINK("https://ictv.global/taxonomy/taxondetails?taxnode_id=202520769&amp;ictv_id=ICTV202420769","ICTV202420769")</f>
        <v>ICTV202420769</v>
      </c>
      <c r="R3035" t="s">
        <v>579</v>
      </c>
      <c r="S3035" t="s">
        <v>823</v>
      </c>
      <c r="T3035">
        <v>40</v>
      </c>
      <c r="U3035" s="26" t="str">
        <f t="shared" si="113"/>
        <v>2024.020B.Lindbergviridae_1nf_3ng_7mg_21ns.zip</v>
      </c>
    </row>
    <row r="3036" spans="1:21">
      <c r="A3036">
        <v>3035</v>
      </c>
      <c r="B3036" s="27" t="s">
        <v>1449</v>
      </c>
      <c r="D3036" s="27" t="s">
        <v>1450</v>
      </c>
      <c r="F3036" s="27" t="s">
        <v>1453</v>
      </c>
      <c r="H3036" s="27" t="s">
        <v>1454</v>
      </c>
      <c r="L3036" s="27" t="s">
        <v>19571</v>
      </c>
      <c r="N3036" s="27" t="s">
        <v>598</v>
      </c>
      <c r="P3036" s="27" t="s">
        <v>19580</v>
      </c>
      <c r="Q3036" s="26" t="str">
        <f>HYPERLINK("https://ictv.global/taxonomy/taxondetails?taxnode_id=202520775&amp;ictv_id=ICTV202420775","ICTV202420775")</f>
        <v>ICTV202420775</v>
      </c>
      <c r="R3036" t="s">
        <v>579</v>
      </c>
      <c r="S3036" t="s">
        <v>823</v>
      </c>
      <c r="T3036">
        <v>40</v>
      </c>
      <c r="U3036" s="26" t="str">
        <f t="shared" si="113"/>
        <v>2024.020B.Lindbergviridae_1nf_3ng_7mg_21ns.zip</v>
      </c>
    </row>
    <row r="3037" spans="1:21">
      <c r="A3037">
        <v>3036</v>
      </c>
      <c r="B3037" s="27" t="s">
        <v>1449</v>
      </c>
      <c r="D3037" s="27" t="s">
        <v>1450</v>
      </c>
      <c r="F3037" s="27" t="s">
        <v>1453</v>
      </c>
      <c r="H3037" s="27" t="s">
        <v>1454</v>
      </c>
      <c r="L3037" s="27" t="s">
        <v>19571</v>
      </c>
      <c r="N3037" s="27" t="s">
        <v>598</v>
      </c>
      <c r="P3037" s="27" t="s">
        <v>22023</v>
      </c>
      <c r="Q3037" s="26" t="str">
        <f>HYPERLINK("https://ictv.global/taxonomy/taxondetails?taxnode_id=202522827&amp;ictv_id=ICTV202522827","ICTV202522827")</f>
        <v>ICTV202522827</v>
      </c>
      <c r="R3037" t="s">
        <v>579</v>
      </c>
      <c r="S3037" t="s">
        <v>823</v>
      </c>
      <c r="T3037">
        <v>41</v>
      </c>
      <c r="U3037" s="26" t="str">
        <f>HYPERLINK("https://ictv.global/ictv/proposals/2025.025B.Caudoviricetes_10ns_1rms.zip","2025.025B.Caudoviricetes_10ns_1rms.zip")</f>
        <v>2025.025B.Caudoviricetes_10ns_1rms.zip</v>
      </c>
    </row>
    <row r="3038" spans="1:21">
      <c r="A3038">
        <v>3037</v>
      </c>
      <c r="B3038" s="27" t="s">
        <v>1449</v>
      </c>
      <c r="D3038" s="27" t="s">
        <v>1450</v>
      </c>
      <c r="F3038" s="27" t="s">
        <v>1453</v>
      </c>
      <c r="H3038" s="27" t="s">
        <v>1454</v>
      </c>
      <c r="L3038" s="27" t="s">
        <v>19571</v>
      </c>
      <c r="N3038" s="27" t="s">
        <v>598</v>
      </c>
      <c r="P3038" s="27" t="s">
        <v>22022</v>
      </c>
      <c r="Q3038" s="26" t="str">
        <f>HYPERLINK("https://ictv.global/taxonomy/taxondetails?taxnode_id=202522826&amp;ictv_id=ICTV202522826","ICTV202522826")</f>
        <v>ICTV202522826</v>
      </c>
      <c r="R3038" t="s">
        <v>579</v>
      </c>
      <c r="S3038" t="s">
        <v>823</v>
      </c>
      <c r="T3038">
        <v>41</v>
      </c>
      <c r="U3038" s="26" t="str">
        <f>HYPERLINK("https://ictv.global/ictv/proposals/2025.025B.Caudoviricetes_10ns_1rms.zip","2025.025B.Caudoviricetes_10ns_1rms.zip")</f>
        <v>2025.025B.Caudoviricetes_10ns_1rms.zip</v>
      </c>
    </row>
    <row r="3039" spans="1:21">
      <c r="A3039">
        <v>3038</v>
      </c>
      <c r="B3039" s="27" t="s">
        <v>1449</v>
      </c>
      <c r="D3039" s="27" t="s">
        <v>1450</v>
      </c>
      <c r="F3039" s="27" t="s">
        <v>1453</v>
      </c>
      <c r="H3039" s="27" t="s">
        <v>1454</v>
      </c>
      <c r="L3039" s="27" t="s">
        <v>19571</v>
      </c>
      <c r="N3039" s="27" t="s">
        <v>598</v>
      </c>
      <c r="P3039" s="27" t="s">
        <v>19581</v>
      </c>
      <c r="Q3039" s="26" t="str">
        <f>HYPERLINK("https://ictv.global/taxonomy/taxondetails?taxnode_id=202500481&amp;ictv_id=ICTV20150159","ICTV20150159")</f>
        <v>ICTV20150159</v>
      </c>
      <c r="R3039" t="s">
        <v>579</v>
      </c>
      <c r="S3039" t="s">
        <v>824</v>
      </c>
      <c r="T3039">
        <v>40</v>
      </c>
      <c r="U3039" s="26" t="str">
        <f>HYPERLINK("https://ictv.global/ictv/proposals/2024.036B.Caudoviricetes_Faserviricetes_Name_Corrections.zip","2024.036B.Caudoviricetes_Faserviricetes_Name_Corrections.zip")</f>
        <v>2024.036B.Caudoviricetes_Faserviricetes_Name_Corrections.zip</v>
      </c>
    </row>
    <row r="3040" spans="1:21">
      <c r="A3040">
        <v>3039</v>
      </c>
      <c r="B3040" s="27" t="s">
        <v>1449</v>
      </c>
      <c r="D3040" s="27" t="s">
        <v>1450</v>
      </c>
      <c r="F3040" s="27" t="s">
        <v>1453</v>
      </c>
      <c r="H3040" s="27" t="s">
        <v>1454</v>
      </c>
      <c r="L3040" s="27" t="s">
        <v>19571</v>
      </c>
      <c r="N3040" s="27" t="s">
        <v>598</v>
      </c>
      <c r="P3040" s="27" t="s">
        <v>7632</v>
      </c>
      <c r="Q3040" s="26" t="str">
        <f>HYPERLINK("https://ictv.global/taxonomy/taxondetails?taxnode_id=202500482&amp;ictv_id=ICTV20150160","ICTV20150160")</f>
        <v>ICTV20150160</v>
      </c>
      <c r="R3040" t="s">
        <v>579</v>
      </c>
      <c r="S3040" t="s">
        <v>22763</v>
      </c>
      <c r="T3040">
        <v>40</v>
      </c>
      <c r="U3040" s="26" t="str">
        <f>HYPERLINK("https://ictv.global/ictv/proposals/2024.020B.Lindbergviridae_1nf_3ng_7mg_21ns.zip","2024.020B.Lindbergviridae_1nf_3ng_7mg_21ns.zip")</f>
        <v>2024.020B.Lindbergviridae_1nf_3ng_7mg_21ns.zip</v>
      </c>
    </row>
    <row r="3041" spans="1:21">
      <c r="A3041">
        <v>3040</v>
      </c>
      <c r="B3041" s="27" t="s">
        <v>1449</v>
      </c>
      <c r="D3041" s="27" t="s">
        <v>1450</v>
      </c>
      <c r="F3041" s="27" t="s">
        <v>1453</v>
      </c>
      <c r="H3041" s="27" t="s">
        <v>1454</v>
      </c>
      <c r="L3041" s="27" t="s">
        <v>19571</v>
      </c>
      <c r="N3041" s="27" t="s">
        <v>598</v>
      </c>
      <c r="P3041" s="27" t="s">
        <v>7633</v>
      </c>
      <c r="Q3041" s="26" t="str">
        <f>HYPERLINK("https://ictv.global/taxonomy/taxondetails?taxnode_id=202507021&amp;ictv_id=ICTV201857021","ICTV201857021")</f>
        <v>ICTV201857021</v>
      </c>
      <c r="R3041" t="s">
        <v>579</v>
      </c>
      <c r="S3041" t="s">
        <v>22763</v>
      </c>
      <c r="T3041">
        <v>40</v>
      </c>
      <c r="U3041" s="26" t="str">
        <f>HYPERLINK("https://ictv.global/ictv/proposals/2024.020B.Lindbergviridae_1nf_3ng_7mg_21ns.zip","2024.020B.Lindbergviridae_1nf_3ng_7mg_21ns.zip")</f>
        <v>2024.020B.Lindbergviridae_1nf_3ng_7mg_21ns.zip</v>
      </c>
    </row>
    <row r="3042" spans="1:21">
      <c r="A3042">
        <v>3041</v>
      </c>
      <c r="B3042" s="27" t="s">
        <v>1449</v>
      </c>
      <c r="D3042" s="27" t="s">
        <v>1450</v>
      </c>
      <c r="F3042" s="27" t="s">
        <v>1453</v>
      </c>
      <c r="H3042" s="27" t="s">
        <v>1454</v>
      </c>
      <c r="L3042" s="27" t="s">
        <v>19571</v>
      </c>
      <c r="N3042" s="27" t="s">
        <v>598</v>
      </c>
      <c r="P3042" s="27" t="s">
        <v>7634</v>
      </c>
      <c r="Q3042" s="26" t="str">
        <f>HYPERLINK("https://ictv.global/taxonomy/taxondetails?taxnode_id=202500483&amp;ictv_id=ICTV20115451","ICTV20115451")</f>
        <v>ICTV20115451</v>
      </c>
      <c r="R3042" t="s">
        <v>579</v>
      </c>
      <c r="S3042" t="s">
        <v>22763</v>
      </c>
      <c r="T3042">
        <v>40</v>
      </c>
      <c r="U3042" s="26" t="str">
        <f>HYPERLINK("https://ictv.global/ictv/proposals/2024.020B.Lindbergviridae_1nf_3ng_7mg_21ns.zip","2024.020B.Lindbergviridae_1nf_3ng_7mg_21ns.zip")</f>
        <v>2024.020B.Lindbergviridae_1nf_3ng_7mg_21ns.zip</v>
      </c>
    </row>
    <row r="3043" spans="1:21">
      <c r="A3043">
        <v>3042</v>
      </c>
      <c r="B3043" s="27" t="s">
        <v>1449</v>
      </c>
      <c r="D3043" s="27" t="s">
        <v>1450</v>
      </c>
      <c r="F3043" s="27" t="s">
        <v>1453</v>
      </c>
      <c r="H3043" s="27" t="s">
        <v>1454</v>
      </c>
      <c r="L3043" s="27" t="s">
        <v>19571</v>
      </c>
      <c r="N3043" s="27" t="s">
        <v>598</v>
      </c>
      <c r="P3043" s="27" t="s">
        <v>7635</v>
      </c>
      <c r="Q3043" s="26" t="str">
        <f>HYPERLINK("https://ictv.global/taxonomy/taxondetails?taxnode_id=202500484&amp;ictv_id=ICTV20115450","ICTV20115450")</f>
        <v>ICTV20115450</v>
      </c>
      <c r="R3043" t="s">
        <v>579</v>
      </c>
      <c r="S3043" t="s">
        <v>22763</v>
      </c>
      <c r="T3043">
        <v>40</v>
      </c>
      <c r="U3043" s="26" t="str">
        <f>HYPERLINK("https://ictv.global/ictv/proposals/2024.020B.Lindbergviridae_1nf_3ng_7mg_21ns.zip","2024.020B.Lindbergviridae_1nf_3ng_7mg_21ns.zip")</f>
        <v>2024.020B.Lindbergviridae_1nf_3ng_7mg_21ns.zip</v>
      </c>
    </row>
    <row r="3044" spans="1:21">
      <c r="A3044">
        <v>3043</v>
      </c>
      <c r="B3044" s="27" t="s">
        <v>1449</v>
      </c>
      <c r="D3044" s="27" t="s">
        <v>1450</v>
      </c>
      <c r="F3044" s="27" t="s">
        <v>1453</v>
      </c>
      <c r="H3044" s="27" t="s">
        <v>1454</v>
      </c>
      <c r="L3044" s="27" t="s">
        <v>19571</v>
      </c>
      <c r="N3044" s="27" t="s">
        <v>598</v>
      </c>
      <c r="P3044" s="27" t="s">
        <v>7636</v>
      </c>
      <c r="Q3044" s="26" t="str">
        <f>HYPERLINK("https://ictv.global/taxonomy/taxondetails?taxnode_id=202511577&amp;ictv_id=ICTV202011577","ICTV202011577")</f>
        <v>ICTV202011577</v>
      </c>
      <c r="R3044" t="s">
        <v>579</v>
      </c>
      <c r="S3044" t="s">
        <v>22763</v>
      </c>
      <c r="T3044">
        <v>40</v>
      </c>
      <c r="U3044" s="26" t="str">
        <f>HYPERLINK("https://ictv.global/ictv/proposals/2024.020B.Lindbergviridae_1nf_3ng_7mg_21ns.zip","2024.020B.Lindbergviridae_1nf_3ng_7mg_21ns.zip")</f>
        <v>2024.020B.Lindbergviridae_1nf_3ng_7mg_21ns.zip</v>
      </c>
    </row>
    <row r="3045" spans="1:21">
      <c r="A3045">
        <v>3044</v>
      </c>
      <c r="B3045" s="27" t="s">
        <v>1449</v>
      </c>
      <c r="D3045" s="27" t="s">
        <v>1450</v>
      </c>
      <c r="F3045" s="27" t="s">
        <v>1453</v>
      </c>
      <c r="H3045" s="27" t="s">
        <v>1454</v>
      </c>
      <c r="L3045" s="27" t="s">
        <v>19571</v>
      </c>
      <c r="N3045" s="27" t="s">
        <v>598</v>
      </c>
      <c r="P3045" s="27" t="s">
        <v>19582</v>
      </c>
      <c r="Q3045" s="26" t="str">
        <f>HYPERLINK("https://ictv.global/taxonomy/taxondetails?taxnode_id=202507026&amp;ictv_id=ICTV201857026","ICTV201857026")</f>
        <v>ICTV201857026</v>
      </c>
      <c r="R3045" t="s">
        <v>579</v>
      </c>
      <c r="S3045" t="s">
        <v>824</v>
      </c>
      <c r="T3045">
        <v>40</v>
      </c>
      <c r="U3045" s="26" t="str">
        <f>HYPERLINK("https://ictv.global/ictv/proposals/2024.036B.Caudoviricetes_Faserviricetes_Name_Corrections.zip","2024.036B.Caudoviricetes_Faserviricetes_Name_Corrections.zip")</f>
        <v>2024.036B.Caudoviricetes_Faserviricetes_Name_Corrections.zip</v>
      </c>
    </row>
    <row r="3046" spans="1:21">
      <c r="A3046">
        <v>3045</v>
      </c>
      <c r="B3046" s="27" t="s">
        <v>1449</v>
      </c>
      <c r="D3046" s="27" t="s">
        <v>1450</v>
      </c>
      <c r="F3046" s="27" t="s">
        <v>1453</v>
      </c>
      <c r="H3046" s="27" t="s">
        <v>1454</v>
      </c>
      <c r="L3046" s="27" t="s">
        <v>19571</v>
      </c>
      <c r="N3046" s="27" t="s">
        <v>598</v>
      </c>
      <c r="P3046" s="27" t="s">
        <v>7637</v>
      </c>
      <c r="Q3046" s="26" t="str">
        <f>HYPERLINK("https://ictv.global/taxonomy/taxondetails?taxnode_id=202511576&amp;ictv_id=ICTV202011576","ICTV202011576")</f>
        <v>ICTV202011576</v>
      </c>
      <c r="R3046" t="s">
        <v>579</v>
      </c>
      <c r="S3046" t="s">
        <v>22763</v>
      </c>
      <c r="T3046">
        <v>40</v>
      </c>
      <c r="U3046" s="26" t="str">
        <f t="shared" ref="U3046:U3078" si="114">HYPERLINK("https://ictv.global/ictv/proposals/2024.020B.Lindbergviridae_1nf_3ng_7mg_21ns.zip","2024.020B.Lindbergviridae_1nf_3ng_7mg_21ns.zip")</f>
        <v>2024.020B.Lindbergviridae_1nf_3ng_7mg_21ns.zip</v>
      </c>
    </row>
    <row r="3047" spans="1:21">
      <c r="A3047">
        <v>3046</v>
      </c>
      <c r="B3047" s="27" t="s">
        <v>1449</v>
      </c>
      <c r="D3047" s="27" t="s">
        <v>1450</v>
      </c>
      <c r="F3047" s="27" t="s">
        <v>1453</v>
      </c>
      <c r="H3047" s="27" t="s">
        <v>1454</v>
      </c>
      <c r="L3047" s="27" t="s">
        <v>19571</v>
      </c>
      <c r="N3047" s="27" t="s">
        <v>598</v>
      </c>
      <c r="P3047" s="27" t="s">
        <v>7638</v>
      </c>
      <c r="Q3047" s="26" t="str">
        <f>HYPERLINK("https://ictv.global/taxonomy/taxondetails?taxnode_id=202507022&amp;ictv_id=ICTV201857022","ICTV201857022")</f>
        <v>ICTV201857022</v>
      </c>
      <c r="R3047" t="s">
        <v>579</v>
      </c>
      <c r="S3047" t="s">
        <v>22763</v>
      </c>
      <c r="T3047">
        <v>40</v>
      </c>
      <c r="U3047" s="26" t="str">
        <f t="shared" si="114"/>
        <v>2024.020B.Lindbergviridae_1nf_3ng_7mg_21ns.zip</v>
      </c>
    </row>
    <row r="3048" spans="1:21">
      <c r="A3048">
        <v>3047</v>
      </c>
      <c r="B3048" s="27" t="s">
        <v>1449</v>
      </c>
      <c r="D3048" s="27" t="s">
        <v>1450</v>
      </c>
      <c r="F3048" s="27" t="s">
        <v>1453</v>
      </c>
      <c r="H3048" s="27" t="s">
        <v>1454</v>
      </c>
      <c r="L3048" s="27" t="s">
        <v>19571</v>
      </c>
      <c r="N3048" s="27" t="s">
        <v>598</v>
      </c>
      <c r="P3048" s="27" t="s">
        <v>7639</v>
      </c>
      <c r="Q3048" s="26" t="str">
        <f>HYPERLINK("https://ictv.global/taxonomy/taxondetails?taxnode_id=202512809&amp;ictv_id=ICTV202112809","ICTV202112809")</f>
        <v>ICTV202112809</v>
      </c>
      <c r="R3048" t="s">
        <v>579</v>
      </c>
      <c r="S3048" t="s">
        <v>22763</v>
      </c>
      <c r="T3048">
        <v>40</v>
      </c>
      <c r="U3048" s="26" t="str">
        <f t="shared" si="114"/>
        <v>2024.020B.Lindbergviridae_1nf_3ng_7mg_21ns.zip</v>
      </c>
    </row>
    <row r="3049" spans="1:21">
      <c r="A3049">
        <v>3048</v>
      </c>
      <c r="B3049" s="27" t="s">
        <v>1449</v>
      </c>
      <c r="D3049" s="27" t="s">
        <v>1450</v>
      </c>
      <c r="F3049" s="27" t="s">
        <v>1453</v>
      </c>
      <c r="H3049" s="27" t="s">
        <v>1454</v>
      </c>
      <c r="L3049" s="27" t="s">
        <v>19571</v>
      </c>
      <c r="N3049" s="27" t="s">
        <v>598</v>
      </c>
      <c r="P3049" s="27" t="s">
        <v>7640</v>
      </c>
      <c r="Q3049" s="26" t="str">
        <f>HYPERLINK("https://ictv.global/taxonomy/taxondetails?taxnode_id=202512808&amp;ictv_id=ICTV202112808","ICTV202112808")</f>
        <v>ICTV202112808</v>
      </c>
      <c r="R3049" t="s">
        <v>579</v>
      </c>
      <c r="S3049" t="s">
        <v>22763</v>
      </c>
      <c r="T3049">
        <v>40</v>
      </c>
      <c r="U3049" s="26" t="str">
        <f t="shared" si="114"/>
        <v>2024.020B.Lindbergviridae_1nf_3ng_7mg_21ns.zip</v>
      </c>
    </row>
    <row r="3050" spans="1:21">
      <c r="A3050">
        <v>3049</v>
      </c>
      <c r="B3050" s="27" t="s">
        <v>1449</v>
      </c>
      <c r="D3050" s="27" t="s">
        <v>1450</v>
      </c>
      <c r="F3050" s="27" t="s">
        <v>1453</v>
      </c>
      <c r="H3050" s="27" t="s">
        <v>1454</v>
      </c>
      <c r="L3050" s="27" t="s">
        <v>19571</v>
      </c>
      <c r="N3050" s="27" t="s">
        <v>598</v>
      </c>
      <c r="P3050" s="27" t="s">
        <v>7641</v>
      </c>
      <c r="Q3050" s="26" t="str">
        <f>HYPERLINK("https://ictv.global/taxonomy/taxondetails?taxnode_id=202500485&amp;ictv_id=ICTV20115454","ICTV20115454")</f>
        <v>ICTV20115454</v>
      </c>
      <c r="R3050" t="s">
        <v>579</v>
      </c>
      <c r="S3050" t="s">
        <v>22763</v>
      </c>
      <c r="T3050">
        <v>40</v>
      </c>
      <c r="U3050" s="26" t="str">
        <f t="shared" si="114"/>
        <v>2024.020B.Lindbergviridae_1nf_3ng_7mg_21ns.zip</v>
      </c>
    </row>
    <row r="3051" spans="1:21">
      <c r="A3051">
        <v>3050</v>
      </c>
      <c r="B3051" s="27" t="s">
        <v>1449</v>
      </c>
      <c r="D3051" s="27" t="s">
        <v>1450</v>
      </c>
      <c r="F3051" s="27" t="s">
        <v>1453</v>
      </c>
      <c r="H3051" s="27" t="s">
        <v>1454</v>
      </c>
      <c r="L3051" s="27" t="s">
        <v>19571</v>
      </c>
      <c r="N3051" s="27" t="s">
        <v>598</v>
      </c>
      <c r="P3051" s="27" t="s">
        <v>19583</v>
      </c>
      <c r="Q3051" s="26" t="str">
        <f>HYPERLINK("https://ictv.global/taxonomy/taxondetails?taxnode_id=202520773&amp;ictv_id=ICTV202420773","ICTV202420773")</f>
        <v>ICTV202420773</v>
      </c>
      <c r="R3051" t="s">
        <v>579</v>
      </c>
      <c r="S3051" t="s">
        <v>823</v>
      </c>
      <c r="T3051">
        <v>40</v>
      </c>
      <c r="U3051" s="26" t="str">
        <f t="shared" si="114"/>
        <v>2024.020B.Lindbergviridae_1nf_3ng_7mg_21ns.zip</v>
      </c>
    </row>
    <row r="3052" spans="1:21">
      <c r="A3052">
        <v>3051</v>
      </c>
      <c r="B3052" s="27" t="s">
        <v>1449</v>
      </c>
      <c r="D3052" s="27" t="s">
        <v>1450</v>
      </c>
      <c r="F3052" s="27" t="s">
        <v>1453</v>
      </c>
      <c r="H3052" s="27" t="s">
        <v>1454</v>
      </c>
      <c r="L3052" s="27" t="s">
        <v>19571</v>
      </c>
      <c r="N3052" s="27" t="s">
        <v>598</v>
      </c>
      <c r="P3052" s="27" t="s">
        <v>7642</v>
      </c>
      <c r="Q3052" s="26" t="str">
        <f>HYPERLINK("https://ictv.global/taxonomy/taxondetails?taxnode_id=202507027&amp;ictv_id=ICTV201857027","ICTV201857027")</f>
        <v>ICTV201857027</v>
      </c>
      <c r="R3052" t="s">
        <v>579</v>
      </c>
      <c r="S3052" t="s">
        <v>22763</v>
      </c>
      <c r="T3052">
        <v>40</v>
      </c>
      <c r="U3052" s="26" t="str">
        <f t="shared" si="114"/>
        <v>2024.020B.Lindbergviridae_1nf_3ng_7mg_21ns.zip</v>
      </c>
    </row>
    <row r="3053" spans="1:21">
      <c r="A3053">
        <v>3052</v>
      </c>
      <c r="B3053" s="27" t="s">
        <v>1449</v>
      </c>
      <c r="D3053" s="27" t="s">
        <v>1450</v>
      </c>
      <c r="F3053" s="27" t="s">
        <v>1453</v>
      </c>
      <c r="H3053" s="27" t="s">
        <v>1454</v>
      </c>
      <c r="L3053" s="27" t="s">
        <v>19571</v>
      </c>
      <c r="N3053" s="27" t="s">
        <v>598</v>
      </c>
      <c r="P3053" s="27" t="s">
        <v>19584</v>
      </c>
      <c r="Q3053" s="26" t="str">
        <f>HYPERLINK("https://ictv.global/taxonomy/taxondetails?taxnode_id=202520772&amp;ictv_id=ICTV202420772","ICTV202420772")</f>
        <v>ICTV202420772</v>
      </c>
      <c r="R3053" t="s">
        <v>579</v>
      </c>
      <c r="S3053" t="s">
        <v>823</v>
      </c>
      <c r="T3053">
        <v>40</v>
      </c>
      <c r="U3053" s="26" t="str">
        <f t="shared" si="114"/>
        <v>2024.020B.Lindbergviridae_1nf_3ng_7mg_21ns.zip</v>
      </c>
    </row>
    <row r="3054" spans="1:21">
      <c r="A3054">
        <v>3053</v>
      </c>
      <c r="B3054" s="27" t="s">
        <v>1449</v>
      </c>
      <c r="D3054" s="27" t="s">
        <v>1450</v>
      </c>
      <c r="F3054" s="27" t="s">
        <v>1453</v>
      </c>
      <c r="H3054" s="27" t="s">
        <v>1454</v>
      </c>
      <c r="L3054" s="27" t="s">
        <v>19571</v>
      </c>
      <c r="N3054" s="27" t="s">
        <v>598</v>
      </c>
      <c r="P3054" s="27" t="s">
        <v>19585</v>
      </c>
      <c r="Q3054" s="26" t="str">
        <f>HYPERLINK("https://ictv.global/taxonomy/taxondetails?taxnode_id=202520774&amp;ictv_id=ICTV202420774","ICTV202420774")</f>
        <v>ICTV202420774</v>
      </c>
      <c r="R3054" t="s">
        <v>579</v>
      </c>
      <c r="S3054" t="s">
        <v>823</v>
      </c>
      <c r="T3054">
        <v>40</v>
      </c>
      <c r="U3054" s="26" t="str">
        <f t="shared" si="114"/>
        <v>2024.020B.Lindbergviridae_1nf_3ng_7mg_21ns.zip</v>
      </c>
    </row>
    <row r="3055" spans="1:21">
      <c r="A3055">
        <v>3054</v>
      </c>
      <c r="B3055" s="27" t="s">
        <v>1449</v>
      </c>
      <c r="D3055" s="27" t="s">
        <v>1450</v>
      </c>
      <c r="F3055" s="27" t="s">
        <v>1453</v>
      </c>
      <c r="H3055" s="27" t="s">
        <v>1454</v>
      </c>
      <c r="L3055" s="27" t="s">
        <v>19571</v>
      </c>
      <c r="N3055" s="27" t="s">
        <v>598</v>
      </c>
      <c r="P3055" s="27" t="s">
        <v>19586</v>
      </c>
      <c r="Q3055" s="26" t="str">
        <f>HYPERLINK("https://ictv.global/taxonomy/taxondetails?taxnode_id=202520768&amp;ictv_id=ICTV202420768","ICTV202420768")</f>
        <v>ICTV202420768</v>
      </c>
      <c r="R3055" t="s">
        <v>579</v>
      </c>
      <c r="S3055" t="s">
        <v>823</v>
      </c>
      <c r="T3055">
        <v>40</v>
      </c>
      <c r="U3055" s="26" t="str">
        <f t="shared" si="114"/>
        <v>2024.020B.Lindbergviridae_1nf_3ng_7mg_21ns.zip</v>
      </c>
    </row>
    <row r="3056" spans="1:21">
      <c r="A3056">
        <v>3055</v>
      </c>
      <c r="B3056" s="27" t="s">
        <v>1449</v>
      </c>
      <c r="D3056" s="27" t="s">
        <v>1450</v>
      </c>
      <c r="F3056" s="27" t="s">
        <v>1453</v>
      </c>
      <c r="H3056" s="27" t="s">
        <v>1454</v>
      </c>
      <c r="L3056" s="27" t="s">
        <v>19571</v>
      </c>
      <c r="N3056" s="27" t="s">
        <v>598</v>
      </c>
      <c r="P3056" s="27" t="s">
        <v>7643</v>
      </c>
      <c r="Q3056" s="26" t="str">
        <f>HYPERLINK("https://ictv.global/taxonomy/taxondetails?taxnode_id=202500476&amp;ictv_id=ICTV20115449","ICTV20115449")</f>
        <v>ICTV20115449</v>
      </c>
      <c r="R3056" t="s">
        <v>579</v>
      </c>
      <c r="S3056" t="s">
        <v>22763</v>
      </c>
      <c r="T3056">
        <v>40</v>
      </c>
      <c r="U3056" s="26" t="str">
        <f t="shared" si="114"/>
        <v>2024.020B.Lindbergviridae_1nf_3ng_7mg_21ns.zip</v>
      </c>
    </row>
    <row r="3057" spans="1:21">
      <c r="A3057">
        <v>3056</v>
      </c>
      <c r="B3057" s="27" t="s">
        <v>1449</v>
      </c>
      <c r="D3057" s="27" t="s">
        <v>1450</v>
      </c>
      <c r="F3057" s="27" t="s">
        <v>1453</v>
      </c>
      <c r="H3057" s="27" t="s">
        <v>1454</v>
      </c>
      <c r="L3057" s="27" t="s">
        <v>19571</v>
      </c>
      <c r="N3057" s="27" t="s">
        <v>598</v>
      </c>
      <c r="P3057" s="27" t="s">
        <v>7644</v>
      </c>
      <c r="Q3057" s="26" t="str">
        <f>HYPERLINK("https://ictv.global/taxonomy/taxondetails?taxnode_id=202511580&amp;ictv_id=ICTV202011580","ICTV202011580")</f>
        <v>ICTV202011580</v>
      </c>
      <c r="R3057" t="s">
        <v>579</v>
      </c>
      <c r="S3057" t="s">
        <v>22763</v>
      </c>
      <c r="T3057">
        <v>40</v>
      </c>
      <c r="U3057" s="26" t="str">
        <f t="shared" si="114"/>
        <v>2024.020B.Lindbergviridae_1nf_3ng_7mg_21ns.zip</v>
      </c>
    </row>
    <row r="3058" spans="1:21">
      <c r="A3058">
        <v>3057</v>
      </c>
      <c r="B3058" s="27" t="s">
        <v>1449</v>
      </c>
      <c r="D3058" s="27" t="s">
        <v>1450</v>
      </c>
      <c r="F3058" s="27" t="s">
        <v>1453</v>
      </c>
      <c r="H3058" s="27" t="s">
        <v>1454</v>
      </c>
      <c r="L3058" s="27" t="s">
        <v>19571</v>
      </c>
      <c r="N3058" s="27" t="s">
        <v>598</v>
      </c>
      <c r="P3058" s="27" t="s">
        <v>7645</v>
      </c>
      <c r="Q3058" s="26" t="str">
        <f>HYPERLINK("https://ictv.global/taxonomy/taxondetails?taxnode_id=202511574&amp;ictv_id=ICTV202011574","ICTV202011574")</f>
        <v>ICTV202011574</v>
      </c>
      <c r="R3058" t="s">
        <v>579</v>
      </c>
      <c r="S3058" t="s">
        <v>22763</v>
      </c>
      <c r="T3058">
        <v>40</v>
      </c>
      <c r="U3058" s="26" t="str">
        <f t="shared" si="114"/>
        <v>2024.020B.Lindbergviridae_1nf_3ng_7mg_21ns.zip</v>
      </c>
    </row>
    <row r="3059" spans="1:21">
      <c r="A3059">
        <v>3058</v>
      </c>
      <c r="B3059" s="27" t="s">
        <v>1449</v>
      </c>
      <c r="D3059" s="27" t="s">
        <v>1450</v>
      </c>
      <c r="F3059" s="27" t="s">
        <v>1453</v>
      </c>
      <c r="H3059" s="27" t="s">
        <v>1454</v>
      </c>
      <c r="L3059" s="27" t="s">
        <v>19571</v>
      </c>
      <c r="N3059" s="27" t="s">
        <v>598</v>
      </c>
      <c r="P3059" s="27" t="s">
        <v>7646</v>
      </c>
      <c r="Q3059" s="26" t="str">
        <f>HYPERLINK("https://ictv.global/taxonomy/taxondetails?taxnode_id=202511573&amp;ictv_id=ICTV202011573","ICTV202011573")</f>
        <v>ICTV202011573</v>
      </c>
      <c r="R3059" t="s">
        <v>579</v>
      </c>
      <c r="S3059" t="s">
        <v>22763</v>
      </c>
      <c r="T3059">
        <v>40</v>
      </c>
      <c r="U3059" s="26" t="str">
        <f t="shared" si="114"/>
        <v>2024.020B.Lindbergviridae_1nf_3ng_7mg_21ns.zip</v>
      </c>
    </row>
    <row r="3060" spans="1:21">
      <c r="A3060">
        <v>3059</v>
      </c>
      <c r="B3060" s="27" t="s">
        <v>1449</v>
      </c>
      <c r="D3060" s="27" t="s">
        <v>1450</v>
      </c>
      <c r="F3060" s="27" t="s">
        <v>1453</v>
      </c>
      <c r="H3060" s="27" t="s">
        <v>1454</v>
      </c>
      <c r="L3060" s="27" t="s">
        <v>19571</v>
      </c>
      <c r="N3060" s="27" t="s">
        <v>598</v>
      </c>
      <c r="P3060" s="27" t="s">
        <v>19587</v>
      </c>
      <c r="Q3060" s="26" t="str">
        <f>HYPERLINK("https://ictv.global/taxonomy/taxondetails?taxnode_id=202520767&amp;ictv_id=ICTV202420767","ICTV202420767")</f>
        <v>ICTV202420767</v>
      </c>
      <c r="R3060" t="s">
        <v>579</v>
      </c>
      <c r="S3060" t="s">
        <v>823</v>
      </c>
      <c r="T3060">
        <v>40</v>
      </c>
      <c r="U3060" s="26" t="str">
        <f t="shared" si="114"/>
        <v>2024.020B.Lindbergviridae_1nf_3ng_7mg_21ns.zip</v>
      </c>
    </row>
    <row r="3061" spans="1:21">
      <c r="A3061">
        <v>3060</v>
      </c>
      <c r="B3061" s="27" t="s">
        <v>1449</v>
      </c>
      <c r="D3061" s="27" t="s">
        <v>1450</v>
      </c>
      <c r="F3061" s="27" t="s">
        <v>1453</v>
      </c>
      <c r="H3061" s="27" t="s">
        <v>1454</v>
      </c>
      <c r="L3061" s="27" t="s">
        <v>19571</v>
      </c>
      <c r="N3061" s="27" t="s">
        <v>598</v>
      </c>
      <c r="P3061" s="27" t="s">
        <v>7647</v>
      </c>
      <c r="Q3061" s="26" t="str">
        <f>HYPERLINK("https://ictv.global/taxonomy/taxondetails?taxnode_id=202511578&amp;ictv_id=ICTV202011578","ICTV202011578")</f>
        <v>ICTV202011578</v>
      </c>
      <c r="R3061" t="s">
        <v>579</v>
      </c>
      <c r="S3061" t="s">
        <v>22763</v>
      </c>
      <c r="T3061">
        <v>40</v>
      </c>
      <c r="U3061" s="26" t="str">
        <f t="shared" si="114"/>
        <v>2024.020B.Lindbergviridae_1nf_3ng_7mg_21ns.zip</v>
      </c>
    </row>
    <row r="3062" spans="1:21">
      <c r="A3062">
        <v>3061</v>
      </c>
      <c r="B3062" s="27" t="s">
        <v>1449</v>
      </c>
      <c r="D3062" s="27" t="s">
        <v>1450</v>
      </c>
      <c r="F3062" s="27" t="s">
        <v>1453</v>
      </c>
      <c r="H3062" s="27" t="s">
        <v>1454</v>
      </c>
      <c r="L3062" s="27" t="s">
        <v>19571</v>
      </c>
      <c r="N3062" s="27" t="s">
        <v>598</v>
      </c>
      <c r="P3062" s="27" t="s">
        <v>7648</v>
      </c>
      <c r="Q3062" s="26" t="str">
        <f>HYPERLINK("https://ictv.global/taxonomy/taxondetails?taxnode_id=202500486&amp;ictv_id=ICTV20115448","ICTV20115448")</f>
        <v>ICTV20115448</v>
      </c>
      <c r="R3062" t="s">
        <v>579</v>
      </c>
      <c r="S3062" t="s">
        <v>22763</v>
      </c>
      <c r="T3062">
        <v>40</v>
      </c>
      <c r="U3062" s="26" t="str">
        <f t="shared" si="114"/>
        <v>2024.020B.Lindbergviridae_1nf_3ng_7mg_21ns.zip</v>
      </c>
    </row>
    <row r="3063" spans="1:21">
      <c r="A3063">
        <v>3062</v>
      </c>
      <c r="B3063" s="27" t="s">
        <v>1449</v>
      </c>
      <c r="D3063" s="27" t="s">
        <v>1450</v>
      </c>
      <c r="F3063" s="27" t="s">
        <v>1453</v>
      </c>
      <c r="H3063" s="27" t="s">
        <v>1454</v>
      </c>
      <c r="L3063" s="27" t="s">
        <v>19571</v>
      </c>
      <c r="N3063" s="27" t="s">
        <v>598</v>
      </c>
      <c r="P3063" s="27" t="s">
        <v>19588</v>
      </c>
      <c r="Q3063" s="26" t="str">
        <f>HYPERLINK("https://ictv.global/taxonomy/taxondetails?taxnode_id=202520771&amp;ictv_id=ICTV202420771","ICTV202420771")</f>
        <v>ICTV202420771</v>
      </c>
      <c r="R3063" t="s">
        <v>579</v>
      </c>
      <c r="S3063" t="s">
        <v>823</v>
      </c>
      <c r="T3063">
        <v>40</v>
      </c>
      <c r="U3063" s="26" t="str">
        <f t="shared" si="114"/>
        <v>2024.020B.Lindbergviridae_1nf_3ng_7mg_21ns.zip</v>
      </c>
    </row>
    <row r="3064" spans="1:21">
      <c r="A3064">
        <v>3063</v>
      </c>
      <c r="B3064" s="27" t="s">
        <v>1449</v>
      </c>
      <c r="D3064" s="27" t="s">
        <v>1450</v>
      </c>
      <c r="F3064" s="27" t="s">
        <v>1453</v>
      </c>
      <c r="H3064" s="27" t="s">
        <v>1454</v>
      </c>
      <c r="L3064" s="27" t="s">
        <v>19571</v>
      </c>
      <c r="N3064" s="27" t="s">
        <v>598</v>
      </c>
      <c r="P3064" s="27" t="s">
        <v>7649</v>
      </c>
      <c r="Q3064" s="26" t="str">
        <f>HYPERLINK("https://ictv.global/taxonomy/taxondetails?taxnode_id=202512811&amp;ictv_id=ICTV202112811","ICTV202112811")</f>
        <v>ICTV202112811</v>
      </c>
      <c r="R3064" t="s">
        <v>579</v>
      </c>
      <c r="S3064" t="s">
        <v>22763</v>
      </c>
      <c r="T3064">
        <v>40</v>
      </c>
      <c r="U3064" s="26" t="str">
        <f t="shared" si="114"/>
        <v>2024.020B.Lindbergviridae_1nf_3ng_7mg_21ns.zip</v>
      </c>
    </row>
    <row r="3065" spans="1:21">
      <c r="A3065">
        <v>3064</v>
      </c>
      <c r="B3065" s="27" t="s">
        <v>1449</v>
      </c>
      <c r="D3065" s="27" t="s">
        <v>1450</v>
      </c>
      <c r="F3065" s="27" t="s">
        <v>1453</v>
      </c>
      <c r="H3065" s="27" t="s">
        <v>1454</v>
      </c>
      <c r="L3065" s="27" t="s">
        <v>19571</v>
      </c>
      <c r="N3065" s="27" t="s">
        <v>598</v>
      </c>
      <c r="P3065" s="27" t="s">
        <v>19589</v>
      </c>
      <c r="Q3065" s="26" t="str">
        <f>HYPERLINK("https://ictv.global/taxonomy/taxondetails?taxnode_id=202520776&amp;ictv_id=ICTV202420776","ICTV202420776")</f>
        <v>ICTV202420776</v>
      </c>
      <c r="R3065" t="s">
        <v>579</v>
      </c>
      <c r="S3065" t="s">
        <v>823</v>
      </c>
      <c r="T3065">
        <v>40</v>
      </c>
      <c r="U3065" s="26" t="str">
        <f t="shared" si="114"/>
        <v>2024.020B.Lindbergviridae_1nf_3ng_7mg_21ns.zip</v>
      </c>
    </row>
    <row r="3066" spans="1:21">
      <c r="A3066">
        <v>3065</v>
      </c>
      <c r="B3066" s="27" t="s">
        <v>1449</v>
      </c>
      <c r="D3066" s="27" t="s">
        <v>1450</v>
      </c>
      <c r="F3066" s="27" t="s">
        <v>1453</v>
      </c>
      <c r="H3066" s="27" t="s">
        <v>1454</v>
      </c>
      <c r="L3066" s="27" t="s">
        <v>19571</v>
      </c>
      <c r="N3066" s="27" t="s">
        <v>598</v>
      </c>
      <c r="P3066" s="27" t="s">
        <v>19590</v>
      </c>
      <c r="Q3066" s="26" t="str">
        <f>HYPERLINK("https://ictv.global/taxonomy/taxondetails?taxnode_id=202520770&amp;ictv_id=ICTV202420770","ICTV202420770")</f>
        <v>ICTV202420770</v>
      </c>
      <c r="R3066" t="s">
        <v>579</v>
      </c>
      <c r="S3066" t="s">
        <v>823</v>
      </c>
      <c r="T3066">
        <v>40</v>
      </c>
      <c r="U3066" s="26" t="str">
        <f t="shared" si="114"/>
        <v>2024.020B.Lindbergviridae_1nf_3ng_7mg_21ns.zip</v>
      </c>
    </row>
    <row r="3067" spans="1:21">
      <c r="A3067">
        <v>3066</v>
      </c>
      <c r="B3067" s="27" t="s">
        <v>1449</v>
      </c>
      <c r="D3067" s="27" t="s">
        <v>1450</v>
      </c>
      <c r="F3067" s="27" t="s">
        <v>1453</v>
      </c>
      <c r="H3067" s="27" t="s">
        <v>1454</v>
      </c>
      <c r="L3067" s="27" t="s">
        <v>19571</v>
      </c>
      <c r="N3067" s="27" t="s">
        <v>19591</v>
      </c>
      <c r="P3067" s="27" t="s">
        <v>19592</v>
      </c>
      <c r="Q3067" s="26" t="str">
        <f>HYPERLINK("https://ictv.global/taxonomy/taxondetails?taxnode_id=202520787&amp;ictv_id=ICTV202420787","ICTV202420787")</f>
        <v>ICTV202420787</v>
      </c>
      <c r="R3067" t="s">
        <v>579</v>
      </c>
      <c r="S3067" t="s">
        <v>823</v>
      </c>
      <c r="T3067">
        <v>40</v>
      </c>
      <c r="U3067" s="26" t="str">
        <f t="shared" si="114"/>
        <v>2024.020B.Lindbergviridae_1nf_3ng_7mg_21ns.zip</v>
      </c>
    </row>
    <row r="3068" spans="1:21">
      <c r="A3068">
        <v>3067</v>
      </c>
      <c r="B3068" s="27" t="s">
        <v>1449</v>
      </c>
      <c r="D3068" s="27" t="s">
        <v>1450</v>
      </c>
      <c r="F3068" s="27" t="s">
        <v>1453</v>
      </c>
      <c r="H3068" s="27" t="s">
        <v>1454</v>
      </c>
      <c r="L3068" s="27" t="s">
        <v>19571</v>
      </c>
      <c r="N3068" s="27" t="s">
        <v>1311</v>
      </c>
      <c r="P3068" s="27" t="s">
        <v>8011</v>
      </c>
      <c r="Q3068" s="26" t="str">
        <f>HYPERLINK("https://ictv.global/taxonomy/taxondetails?taxnode_id=202506888&amp;ictv_id=ICTV201856888","ICTV201856888")</f>
        <v>ICTV201856888</v>
      </c>
      <c r="R3068" t="s">
        <v>579</v>
      </c>
      <c r="S3068" t="s">
        <v>22763</v>
      </c>
      <c r="T3068">
        <v>40</v>
      </c>
      <c r="U3068" s="26" t="str">
        <f t="shared" si="114"/>
        <v>2024.020B.Lindbergviridae_1nf_3ng_7mg_21ns.zip</v>
      </c>
    </row>
    <row r="3069" spans="1:21">
      <c r="A3069">
        <v>3068</v>
      </c>
      <c r="B3069" s="27" t="s">
        <v>1449</v>
      </c>
      <c r="D3069" s="27" t="s">
        <v>1450</v>
      </c>
      <c r="F3069" s="27" t="s">
        <v>1453</v>
      </c>
      <c r="H3069" s="27" t="s">
        <v>1454</v>
      </c>
      <c r="L3069" s="27" t="s">
        <v>19571</v>
      </c>
      <c r="N3069" s="27" t="s">
        <v>1715</v>
      </c>
      <c r="P3069" s="27" t="s">
        <v>19593</v>
      </c>
      <c r="Q3069" s="26" t="str">
        <f>HYPERLINK("https://ictv.global/taxonomy/taxondetails?taxnode_id=202520779&amp;ictv_id=ICTV202420779","ICTV202420779")</f>
        <v>ICTV202420779</v>
      </c>
      <c r="R3069" t="s">
        <v>579</v>
      </c>
      <c r="S3069" t="s">
        <v>823</v>
      </c>
      <c r="T3069">
        <v>40</v>
      </c>
      <c r="U3069" s="26" t="str">
        <f t="shared" si="114"/>
        <v>2024.020B.Lindbergviridae_1nf_3ng_7mg_21ns.zip</v>
      </c>
    </row>
    <row r="3070" spans="1:21">
      <c r="A3070">
        <v>3069</v>
      </c>
      <c r="B3070" s="27" t="s">
        <v>1449</v>
      </c>
      <c r="D3070" s="27" t="s">
        <v>1450</v>
      </c>
      <c r="F3070" s="27" t="s">
        <v>1453</v>
      </c>
      <c r="H3070" s="27" t="s">
        <v>1454</v>
      </c>
      <c r="L3070" s="27" t="s">
        <v>19571</v>
      </c>
      <c r="N3070" s="27" t="s">
        <v>1715</v>
      </c>
      <c r="P3070" s="27" t="s">
        <v>19594</v>
      </c>
      <c r="Q3070" s="26" t="str">
        <f>HYPERLINK("https://ictv.global/taxonomy/taxondetails?taxnode_id=202520781&amp;ictv_id=ICTV202420781","ICTV202420781")</f>
        <v>ICTV202420781</v>
      </c>
      <c r="R3070" t="s">
        <v>579</v>
      </c>
      <c r="S3070" t="s">
        <v>823</v>
      </c>
      <c r="T3070">
        <v>40</v>
      </c>
      <c r="U3070" s="26" t="str">
        <f t="shared" si="114"/>
        <v>2024.020B.Lindbergviridae_1nf_3ng_7mg_21ns.zip</v>
      </c>
    </row>
    <row r="3071" spans="1:21">
      <c r="A3071">
        <v>3070</v>
      </c>
      <c r="B3071" s="27" t="s">
        <v>1449</v>
      </c>
      <c r="D3071" s="27" t="s">
        <v>1450</v>
      </c>
      <c r="F3071" s="27" t="s">
        <v>1453</v>
      </c>
      <c r="H3071" s="27" t="s">
        <v>1454</v>
      </c>
      <c r="L3071" s="27" t="s">
        <v>19571</v>
      </c>
      <c r="N3071" s="27" t="s">
        <v>1715</v>
      </c>
      <c r="P3071" s="27" t="s">
        <v>8138</v>
      </c>
      <c r="Q3071" s="26" t="str">
        <f>HYPERLINK("https://ictv.global/taxonomy/taxondetails?taxnode_id=202508076&amp;ictv_id=ICTV201908076","ICTV201908076")</f>
        <v>ICTV201908076</v>
      </c>
      <c r="R3071" t="s">
        <v>579</v>
      </c>
      <c r="S3071" t="s">
        <v>22763</v>
      </c>
      <c r="T3071">
        <v>40</v>
      </c>
      <c r="U3071" s="26" t="str">
        <f t="shared" si="114"/>
        <v>2024.020B.Lindbergviridae_1nf_3ng_7mg_21ns.zip</v>
      </c>
    </row>
    <row r="3072" spans="1:21">
      <c r="A3072">
        <v>3071</v>
      </c>
      <c r="B3072" s="27" t="s">
        <v>1449</v>
      </c>
      <c r="D3072" s="27" t="s">
        <v>1450</v>
      </c>
      <c r="F3072" s="27" t="s">
        <v>1453</v>
      </c>
      <c r="H3072" s="27" t="s">
        <v>1454</v>
      </c>
      <c r="L3072" s="27" t="s">
        <v>19571</v>
      </c>
      <c r="N3072" s="27" t="s">
        <v>1715</v>
      </c>
      <c r="P3072" s="27" t="s">
        <v>19595</v>
      </c>
      <c r="Q3072" s="26" t="str">
        <f>HYPERLINK("https://ictv.global/taxonomy/taxondetails?taxnode_id=202520783&amp;ictv_id=ICTV202420783","ICTV202420783")</f>
        <v>ICTV202420783</v>
      </c>
      <c r="R3072" t="s">
        <v>579</v>
      </c>
      <c r="S3072" t="s">
        <v>823</v>
      </c>
      <c r="T3072">
        <v>40</v>
      </c>
      <c r="U3072" s="26" t="str">
        <f t="shared" si="114"/>
        <v>2024.020B.Lindbergviridae_1nf_3ng_7mg_21ns.zip</v>
      </c>
    </row>
    <row r="3073" spans="1:21">
      <c r="A3073">
        <v>3072</v>
      </c>
      <c r="B3073" s="27" t="s">
        <v>1449</v>
      </c>
      <c r="D3073" s="27" t="s">
        <v>1450</v>
      </c>
      <c r="F3073" s="27" t="s">
        <v>1453</v>
      </c>
      <c r="H3073" s="27" t="s">
        <v>1454</v>
      </c>
      <c r="L3073" s="27" t="s">
        <v>19571</v>
      </c>
      <c r="N3073" s="27" t="s">
        <v>1715</v>
      </c>
      <c r="P3073" s="27" t="s">
        <v>8139</v>
      </c>
      <c r="Q3073" s="26" t="str">
        <f>HYPERLINK("https://ictv.global/taxonomy/taxondetails?taxnode_id=202508075&amp;ictv_id=ICTV201908075","ICTV201908075")</f>
        <v>ICTV201908075</v>
      </c>
      <c r="R3073" t="s">
        <v>579</v>
      </c>
      <c r="S3073" t="s">
        <v>22763</v>
      </c>
      <c r="T3073">
        <v>40</v>
      </c>
      <c r="U3073" s="26" t="str">
        <f t="shared" si="114"/>
        <v>2024.020B.Lindbergviridae_1nf_3ng_7mg_21ns.zip</v>
      </c>
    </row>
    <row r="3074" spans="1:21">
      <c r="A3074">
        <v>3073</v>
      </c>
      <c r="B3074" s="27" t="s">
        <v>1449</v>
      </c>
      <c r="D3074" s="27" t="s">
        <v>1450</v>
      </c>
      <c r="F3074" s="27" t="s">
        <v>1453</v>
      </c>
      <c r="H3074" s="27" t="s">
        <v>1454</v>
      </c>
      <c r="L3074" s="27" t="s">
        <v>19571</v>
      </c>
      <c r="N3074" s="27" t="s">
        <v>1715</v>
      </c>
      <c r="P3074" s="27" t="s">
        <v>19596</v>
      </c>
      <c r="Q3074" s="26" t="str">
        <f>HYPERLINK("https://ictv.global/taxonomy/taxondetails?taxnode_id=202520782&amp;ictv_id=ICTV202420782","ICTV202420782")</f>
        <v>ICTV202420782</v>
      </c>
      <c r="R3074" t="s">
        <v>579</v>
      </c>
      <c r="S3074" t="s">
        <v>823</v>
      </c>
      <c r="T3074">
        <v>40</v>
      </c>
      <c r="U3074" s="26" t="str">
        <f t="shared" si="114"/>
        <v>2024.020B.Lindbergviridae_1nf_3ng_7mg_21ns.zip</v>
      </c>
    </row>
    <row r="3075" spans="1:21">
      <c r="A3075">
        <v>3074</v>
      </c>
      <c r="B3075" s="27" t="s">
        <v>1449</v>
      </c>
      <c r="D3075" s="27" t="s">
        <v>1450</v>
      </c>
      <c r="F3075" s="27" t="s">
        <v>1453</v>
      </c>
      <c r="H3075" s="27" t="s">
        <v>1454</v>
      </c>
      <c r="L3075" s="27" t="s">
        <v>19571</v>
      </c>
      <c r="N3075" s="27" t="s">
        <v>1715</v>
      </c>
      <c r="P3075" s="27" t="s">
        <v>19597</v>
      </c>
      <c r="Q3075" s="26" t="str">
        <f>HYPERLINK("https://ictv.global/taxonomy/taxondetails?taxnode_id=202520780&amp;ictv_id=ICTV202420780","ICTV202420780")</f>
        <v>ICTV202420780</v>
      </c>
      <c r="R3075" t="s">
        <v>579</v>
      </c>
      <c r="S3075" t="s">
        <v>823</v>
      </c>
      <c r="T3075">
        <v>40</v>
      </c>
      <c r="U3075" s="26" t="str">
        <f t="shared" si="114"/>
        <v>2024.020B.Lindbergviridae_1nf_3ng_7mg_21ns.zip</v>
      </c>
    </row>
    <row r="3076" spans="1:21">
      <c r="A3076">
        <v>3075</v>
      </c>
      <c r="B3076" s="27" t="s">
        <v>1449</v>
      </c>
      <c r="D3076" s="27" t="s">
        <v>1450</v>
      </c>
      <c r="F3076" s="27" t="s">
        <v>1453</v>
      </c>
      <c r="H3076" s="27" t="s">
        <v>1454</v>
      </c>
      <c r="L3076" s="27" t="s">
        <v>19571</v>
      </c>
      <c r="N3076" s="27" t="s">
        <v>1715</v>
      </c>
      <c r="P3076" s="27" t="s">
        <v>19598</v>
      </c>
      <c r="Q3076" s="26" t="str">
        <f>HYPERLINK("https://ictv.global/taxonomy/taxondetails?taxnode_id=202520778&amp;ictv_id=ICTV202420778","ICTV202420778")</f>
        <v>ICTV202420778</v>
      </c>
      <c r="R3076" t="s">
        <v>579</v>
      </c>
      <c r="S3076" t="s">
        <v>823</v>
      </c>
      <c r="T3076">
        <v>40</v>
      </c>
      <c r="U3076" s="26" t="str">
        <f t="shared" si="114"/>
        <v>2024.020B.Lindbergviridae_1nf_3ng_7mg_21ns.zip</v>
      </c>
    </row>
    <row r="3077" spans="1:21">
      <c r="A3077">
        <v>3076</v>
      </c>
      <c r="B3077" s="27" t="s">
        <v>1449</v>
      </c>
      <c r="D3077" s="27" t="s">
        <v>1450</v>
      </c>
      <c r="F3077" s="27" t="s">
        <v>1453</v>
      </c>
      <c r="H3077" s="27" t="s">
        <v>1454</v>
      </c>
      <c r="L3077" s="27" t="s">
        <v>19571</v>
      </c>
      <c r="N3077" s="27" t="s">
        <v>1715</v>
      </c>
      <c r="P3077" s="27" t="s">
        <v>8140</v>
      </c>
      <c r="Q3077" s="26" t="str">
        <f>HYPERLINK("https://ictv.global/taxonomy/taxondetails?taxnode_id=202508074&amp;ictv_id=ICTV201908074","ICTV201908074")</f>
        <v>ICTV201908074</v>
      </c>
      <c r="R3077" t="s">
        <v>579</v>
      </c>
      <c r="S3077" t="s">
        <v>22763</v>
      </c>
      <c r="T3077">
        <v>40</v>
      </c>
      <c r="U3077" s="26" t="str">
        <f t="shared" si="114"/>
        <v>2024.020B.Lindbergviridae_1nf_3ng_7mg_21ns.zip</v>
      </c>
    </row>
    <row r="3078" spans="1:21">
      <c r="A3078">
        <v>3077</v>
      </c>
      <c r="B3078" s="27" t="s">
        <v>1449</v>
      </c>
      <c r="D3078" s="27" t="s">
        <v>1450</v>
      </c>
      <c r="F3078" s="27" t="s">
        <v>1453</v>
      </c>
      <c r="H3078" s="27" t="s">
        <v>1454</v>
      </c>
      <c r="L3078" s="27" t="s">
        <v>19571</v>
      </c>
      <c r="N3078" s="27" t="s">
        <v>1715</v>
      </c>
      <c r="P3078" s="27" t="s">
        <v>8141</v>
      </c>
      <c r="Q3078" s="26" t="str">
        <f>HYPERLINK("https://ictv.global/taxonomy/taxondetails?taxnode_id=202508077&amp;ictv_id=ICTV201908077","ICTV201908077")</f>
        <v>ICTV201908077</v>
      </c>
      <c r="R3078" t="s">
        <v>579</v>
      </c>
      <c r="S3078" t="s">
        <v>22763</v>
      </c>
      <c r="T3078">
        <v>40</v>
      </c>
      <c r="U3078" s="26" t="str">
        <f t="shared" si="114"/>
        <v>2024.020B.Lindbergviridae_1nf_3ng_7mg_21ns.zip</v>
      </c>
    </row>
    <row r="3079" spans="1:21">
      <c r="A3079">
        <v>3078</v>
      </c>
      <c r="B3079" s="27" t="s">
        <v>1449</v>
      </c>
      <c r="D3079" s="27" t="s">
        <v>1450</v>
      </c>
      <c r="F3079" s="27" t="s">
        <v>1453</v>
      </c>
      <c r="H3079" s="27" t="s">
        <v>1454</v>
      </c>
      <c r="L3079" s="27" t="s">
        <v>19599</v>
      </c>
      <c r="N3079" s="27" t="s">
        <v>19600</v>
      </c>
      <c r="P3079" s="27" t="s">
        <v>19601</v>
      </c>
      <c r="Q3079" s="26" t="str">
        <f>HYPERLINK("https://ictv.global/taxonomy/taxondetails?taxnode_id=202519935&amp;ictv_id=ICTV202419935","ICTV202419935")</f>
        <v>ICTV202419935</v>
      </c>
      <c r="R3079" t="s">
        <v>579</v>
      </c>
      <c r="S3079" t="s">
        <v>823</v>
      </c>
      <c r="T3079">
        <v>40</v>
      </c>
      <c r="U3079" s="26" t="str">
        <f>HYPERLINK("https://ictv.global/ictv/proposals/2024.001B.Alisviridae_Ludisviridae_Nixviridae_3nf_7ng_24ns.zip","2024.001B.Alisviridae_Ludisviridae_Nixviridae_3nf_7ng_24ns.zip")</f>
        <v>2024.001B.Alisviridae_Ludisviridae_Nixviridae_3nf_7ng_24ns.zip</v>
      </c>
    </row>
    <row r="3080" spans="1:21">
      <c r="A3080">
        <v>3079</v>
      </c>
      <c r="B3080" s="27" t="s">
        <v>1449</v>
      </c>
      <c r="D3080" s="27" t="s">
        <v>1450</v>
      </c>
      <c r="F3080" s="27" t="s">
        <v>1453</v>
      </c>
      <c r="H3080" s="27" t="s">
        <v>1454</v>
      </c>
      <c r="L3080" s="27" t="s">
        <v>20884</v>
      </c>
      <c r="N3080" s="27" t="s">
        <v>22731</v>
      </c>
      <c r="P3080" s="27" t="s">
        <v>22732</v>
      </c>
      <c r="Q3080" s="26" t="str">
        <f>HYPERLINK("https://ictv.global/taxonomy/taxondetails?taxnode_id=202523306&amp;ictv_id=ICTV202523306","ICTV202523306")</f>
        <v>ICTV202523306</v>
      </c>
      <c r="R3080" t="s">
        <v>579</v>
      </c>
      <c r="S3080" t="s">
        <v>823</v>
      </c>
      <c r="T3080">
        <v>41</v>
      </c>
      <c r="U3080" s="26" t="str">
        <f t="shared" ref="U3080:U3094" si="115">HYPERLINK("https://ictv.global/ictv/proposals/2025.086B.Luriaviridae_1nf_3ng_1mg_12ns.zip","2025.086B.Luriaviridae_1nf_3ng_1mg_12ns.zip")</f>
        <v>2025.086B.Luriaviridae_1nf_3ng_1mg_12ns.zip</v>
      </c>
    </row>
    <row r="3081" spans="1:21">
      <c r="A3081">
        <v>3080</v>
      </c>
      <c r="B3081" s="27" t="s">
        <v>1449</v>
      </c>
      <c r="D3081" s="27" t="s">
        <v>1450</v>
      </c>
      <c r="F3081" s="27" t="s">
        <v>1453</v>
      </c>
      <c r="H3081" s="27" t="s">
        <v>1454</v>
      </c>
      <c r="L3081" s="27" t="s">
        <v>20884</v>
      </c>
      <c r="N3081" s="27" t="s">
        <v>22731</v>
      </c>
      <c r="P3081" s="27" t="s">
        <v>22733</v>
      </c>
      <c r="Q3081" s="26" t="str">
        <f>HYPERLINK("https://ictv.global/taxonomy/taxondetails?taxnode_id=202523307&amp;ictv_id=ICTV202523307","ICTV202523307")</f>
        <v>ICTV202523307</v>
      </c>
      <c r="R3081" t="s">
        <v>579</v>
      </c>
      <c r="S3081" t="s">
        <v>823</v>
      </c>
      <c r="T3081">
        <v>41</v>
      </c>
      <c r="U3081" s="26" t="str">
        <f t="shared" si="115"/>
        <v>2025.086B.Luriaviridae_1nf_3ng_1mg_12ns.zip</v>
      </c>
    </row>
    <row r="3082" spans="1:21">
      <c r="A3082">
        <v>3081</v>
      </c>
      <c r="B3082" s="27" t="s">
        <v>1449</v>
      </c>
      <c r="D3082" s="27" t="s">
        <v>1450</v>
      </c>
      <c r="F3082" s="27" t="s">
        <v>1453</v>
      </c>
      <c r="H3082" s="27" t="s">
        <v>1454</v>
      </c>
      <c r="L3082" s="27" t="s">
        <v>20884</v>
      </c>
      <c r="N3082" s="27" t="s">
        <v>22719</v>
      </c>
      <c r="P3082" s="27" t="s">
        <v>22720</v>
      </c>
      <c r="Q3082" s="26" t="str">
        <f>HYPERLINK("https://ictv.global/taxonomy/taxondetails?taxnode_id=202523296&amp;ictv_id=ICTV202523296","ICTV202523296")</f>
        <v>ICTV202523296</v>
      </c>
      <c r="R3082" t="s">
        <v>579</v>
      </c>
      <c r="S3082" t="s">
        <v>823</v>
      </c>
      <c r="T3082">
        <v>41</v>
      </c>
      <c r="U3082" s="26" t="str">
        <f t="shared" si="115"/>
        <v>2025.086B.Luriaviridae_1nf_3ng_1mg_12ns.zip</v>
      </c>
    </row>
    <row r="3083" spans="1:21">
      <c r="A3083">
        <v>3082</v>
      </c>
      <c r="B3083" s="27" t="s">
        <v>1449</v>
      </c>
      <c r="D3083" s="27" t="s">
        <v>1450</v>
      </c>
      <c r="F3083" s="27" t="s">
        <v>1453</v>
      </c>
      <c r="H3083" s="27" t="s">
        <v>1454</v>
      </c>
      <c r="L3083" s="27" t="s">
        <v>20884</v>
      </c>
      <c r="N3083" s="27" t="s">
        <v>1702</v>
      </c>
      <c r="P3083" s="27" t="s">
        <v>22730</v>
      </c>
      <c r="Q3083" s="26" t="str">
        <f>HYPERLINK("https://ictv.global/taxonomy/taxondetails?taxnode_id=202523305&amp;ictv_id=ICTV202523305","ICTV202523305")</f>
        <v>ICTV202523305</v>
      </c>
      <c r="R3083" t="s">
        <v>579</v>
      </c>
      <c r="S3083" t="s">
        <v>823</v>
      </c>
      <c r="T3083">
        <v>41</v>
      </c>
      <c r="U3083" s="26" t="str">
        <f t="shared" si="115"/>
        <v>2025.086B.Luriaviridae_1nf_3ng_1mg_12ns.zip</v>
      </c>
    </row>
    <row r="3084" spans="1:21">
      <c r="A3084">
        <v>3083</v>
      </c>
      <c r="B3084" s="27" t="s">
        <v>1449</v>
      </c>
      <c r="D3084" s="27" t="s">
        <v>1450</v>
      </c>
      <c r="F3084" s="27" t="s">
        <v>1453</v>
      </c>
      <c r="H3084" s="27" t="s">
        <v>1454</v>
      </c>
      <c r="L3084" s="27" t="s">
        <v>20884</v>
      </c>
      <c r="N3084" s="27" t="s">
        <v>1702</v>
      </c>
      <c r="P3084" s="27" t="s">
        <v>22725</v>
      </c>
      <c r="Q3084" s="26" t="str">
        <f>HYPERLINK("https://ictv.global/taxonomy/taxondetails?taxnode_id=202523300&amp;ictv_id=ICTV202523300","ICTV202523300")</f>
        <v>ICTV202523300</v>
      </c>
      <c r="R3084" t="s">
        <v>579</v>
      </c>
      <c r="S3084" t="s">
        <v>823</v>
      </c>
      <c r="T3084">
        <v>41</v>
      </c>
      <c r="U3084" s="26" t="str">
        <f t="shared" si="115"/>
        <v>2025.086B.Luriaviridae_1nf_3ng_1mg_12ns.zip</v>
      </c>
    </row>
    <row r="3085" spans="1:21">
      <c r="A3085">
        <v>3084</v>
      </c>
      <c r="B3085" s="27" t="s">
        <v>1449</v>
      </c>
      <c r="D3085" s="27" t="s">
        <v>1450</v>
      </c>
      <c r="F3085" s="27" t="s">
        <v>1453</v>
      </c>
      <c r="H3085" s="27" t="s">
        <v>1454</v>
      </c>
      <c r="L3085" s="27" t="s">
        <v>20884</v>
      </c>
      <c r="N3085" s="27" t="s">
        <v>1702</v>
      </c>
      <c r="P3085" s="27" t="s">
        <v>7778</v>
      </c>
      <c r="Q3085" s="26" t="str">
        <f>HYPERLINK("https://ictv.global/taxonomy/taxondetails?taxnode_id=202507935&amp;ictv_id=ICTV201907935","ICTV201907935")</f>
        <v>ICTV201907935</v>
      </c>
      <c r="R3085" t="s">
        <v>579</v>
      </c>
      <c r="S3085" t="s">
        <v>22763</v>
      </c>
      <c r="T3085">
        <v>41</v>
      </c>
      <c r="U3085" s="26" t="str">
        <f t="shared" si="115"/>
        <v>2025.086B.Luriaviridae_1nf_3ng_1mg_12ns.zip</v>
      </c>
    </row>
    <row r="3086" spans="1:21">
      <c r="A3086">
        <v>3085</v>
      </c>
      <c r="B3086" s="27" t="s">
        <v>1449</v>
      </c>
      <c r="D3086" s="27" t="s">
        <v>1450</v>
      </c>
      <c r="F3086" s="27" t="s">
        <v>1453</v>
      </c>
      <c r="H3086" s="27" t="s">
        <v>1454</v>
      </c>
      <c r="L3086" s="27" t="s">
        <v>20884</v>
      </c>
      <c r="N3086" s="27" t="s">
        <v>1702</v>
      </c>
      <c r="P3086" s="27" t="s">
        <v>7779</v>
      </c>
      <c r="Q3086" s="26" t="str">
        <f>HYPERLINK("https://ictv.global/taxonomy/taxondetails?taxnode_id=202507934&amp;ictv_id=ICTV201907934","ICTV201907934")</f>
        <v>ICTV201907934</v>
      </c>
      <c r="R3086" t="s">
        <v>579</v>
      </c>
      <c r="S3086" t="s">
        <v>22763</v>
      </c>
      <c r="T3086">
        <v>41</v>
      </c>
      <c r="U3086" s="26" t="str">
        <f t="shared" si="115"/>
        <v>2025.086B.Luriaviridae_1nf_3ng_1mg_12ns.zip</v>
      </c>
    </row>
    <row r="3087" spans="1:21">
      <c r="A3087">
        <v>3086</v>
      </c>
      <c r="B3087" s="27" t="s">
        <v>1449</v>
      </c>
      <c r="D3087" s="27" t="s">
        <v>1450</v>
      </c>
      <c r="F3087" s="27" t="s">
        <v>1453</v>
      </c>
      <c r="H3087" s="27" t="s">
        <v>1454</v>
      </c>
      <c r="L3087" s="27" t="s">
        <v>20884</v>
      </c>
      <c r="N3087" s="27" t="s">
        <v>1702</v>
      </c>
      <c r="P3087" s="27" t="s">
        <v>7780</v>
      </c>
      <c r="Q3087" s="26" t="str">
        <f>HYPERLINK("https://ictv.global/taxonomy/taxondetails?taxnode_id=202507933&amp;ictv_id=ICTV201907933","ICTV201907933")</f>
        <v>ICTV201907933</v>
      </c>
      <c r="R3087" t="s">
        <v>579</v>
      </c>
      <c r="S3087" t="s">
        <v>22763</v>
      </c>
      <c r="T3087">
        <v>41</v>
      </c>
      <c r="U3087" s="26" t="str">
        <f t="shared" si="115"/>
        <v>2025.086B.Luriaviridae_1nf_3ng_1mg_12ns.zip</v>
      </c>
    </row>
    <row r="3088" spans="1:21">
      <c r="A3088">
        <v>3087</v>
      </c>
      <c r="B3088" s="27" t="s">
        <v>1449</v>
      </c>
      <c r="D3088" s="27" t="s">
        <v>1450</v>
      </c>
      <c r="F3088" s="27" t="s">
        <v>1453</v>
      </c>
      <c r="H3088" s="27" t="s">
        <v>1454</v>
      </c>
      <c r="L3088" s="27" t="s">
        <v>20884</v>
      </c>
      <c r="N3088" s="27" t="s">
        <v>1702</v>
      </c>
      <c r="P3088" s="27" t="s">
        <v>22726</v>
      </c>
      <c r="Q3088" s="26" t="str">
        <f>HYPERLINK("https://ictv.global/taxonomy/taxondetails?taxnode_id=202523301&amp;ictv_id=ICTV202523301","ICTV202523301")</f>
        <v>ICTV202523301</v>
      </c>
      <c r="R3088" t="s">
        <v>579</v>
      </c>
      <c r="S3088" t="s">
        <v>823</v>
      </c>
      <c r="T3088">
        <v>41</v>
      </c>
      <c r="U3088" s="26" t="str">
        <f t="shared" si="115"/>
        <v>2025.086B.Luriaviridae_1nf_3ng_1mg_12ns.zip</v>
      </c>
    </row>
    <row r="3089" spans="1:21">
      <c r="A3089">
        <v>3088</v>
      </c>
      <c r="B3089" s="27" t="s">
        <v>1449</v>
      </c>
      <c r="D3089" s="27" t="s">
        <v>1450</v>
      </c>
      <c r="F3089" s="27" t="s">
        <v>1453</v>
      </c>
      <c r="H3089" s="27" t="s">
        <v>1454</v>
      </c>
      <c r="L3089" s="27" t="s">
        <v>20884</v>
      </c>
      <c r="N3089" s="27" t="s">
        <v>1702</v>
      </c>
      <c r="P3089" s="27" t="s">
        <v>22727</v>
      </c>
      <c r="Q3089" s="26" t="str">
        <f>HYPERLINK("https://ictv.global/taxonomy/taxondetails?taxnode_id=202523302&amp;ictv_id=ICTV202523302","ICTV202523302")</f>
        <v>ICTV202523302</v>
      </c>
      <c r="R3089" t="s">
        <v>579</v>
      </c>
      <c r="S3089" t="s">
        <v>823</v>
      </c>
      <c r="T3089">
        <v>41</v>
      </c>
      <c r="U3089" s="26" t="str">
        <f t="shared" si="115"/>
        <v>2025.086B.Luriaviridae_1nf_3ng_1mg_12ns.zip</v>
      </c>
    </row>
    <row r="3090" spans="1:21">
      <c r="A3090">
        <v>3089</v>
      </c>
      <c r="B3090" s="27" t="s">
        <v>1449</v>
      </c>
      <c r="D3090" s="27" t="s">
        <v>1450</v>
      </c>
      <c r="F3090" s="27" t="s">
        <v>1453</v>
      </c>
      <c r="H3090" s="27" t="s">
        <v>1454</v>
      </c>
      <c r="L3090" s="27" t="s">
        <v>20884</v>
      </c>
      <c r="N3090" s="27" t="s">
        <v>1702</v>
      </c>
      <c r="P3090" s="27" t="s">
        <v>22728</v>
      </c>
      <c r="Q3090" s="26" t="str">
        <f>HYPERLINK("https://ictv.global/taxonomy/taxondetails?taxnode_id=202523303&amp;ictv_id=ICTV202523303","ICTV202523303")</f>
        <v>ICTV202523303</v>
      </c>
      <c r="R3090" t="s">
        <v>579</v>
      </c>
      <c r="S3090" t="s">
        <v>823</v>
      </c>
      <c r="T3090">
        <v>41</v>
      </c>
      <c r="U3090" s="26" t="str">
        <f t="shared" si="115"/>
        <v>2025.086B.Luriaviridae_1nf_3ng_1mg_12ns.zip</v>
      </c>
    </row>
    <row r="3091" spans="1:21">
      <c r="A3091">
        <v>3090</v>
      </c>
      <c r="B3091" s="27" t="s">
        <v>1449</v>
      </c>
      <c r="D3091" s="27" t="s">
        <v>1450</v>
      </c>
      <c r="F3091" s="27" t="s">
        <v>1453</v>
      </c>
      <c r="H3091" s="27" t="s">
        <v>1454</v>
      </c>
      <c r="L3091" s="27" t="s">
        <v>20884</v>
      </c>
      <c r="N3091" s="27" t="s">
        <v>1702</v>
      </c>
      <c r="P3091" s="27" t="s">
        <v>22729</v>
      </c>
      <c r="Q3091" s="26" t="str">
        <f>HYPERLINK("https://ictv.global/taxonomy/taxondetails?taxnode_id=202523304&amp;ictv_id=ICTV202523304","ICTV202523304")</f>
        <v>ICTV202523304</v>
      </c>
      <c r="R3091" t="s">
        <v>579</v>
      </c>
      <c r="S3091" t="s">
        <v>823</v>
      </c>
      <c r="T3091">
        <v>41</v>
      </c>
      <c r="U3091" s="26" t="str">
        <f t="shared" si="115"/>
        <v>2025.086B.Luriaviridae_1nf_3ng_1mg_12ns.zip</v>
      </c>
    </row>
    <row r="3092" spans="1:21">
      <c r="A3092">
        <v>3091</v>
      </c>
      <c r="B3092" s="27" t="s">
        <v>1449</v>
      </c>
      <c r="D3092" s="27" t="s">
        <v>1450</v>
      </c>
      <c r="F3092" s="27" t="s">
        <v>1453</v>
      </c>
      <c r="H3092" s="27" t="s">
        <v>1454</v>
      </c>
      <c r="L3092" s="27" t="s">
        <v>20884</v>
      </c>
      <c r="N3092" s="27" t="s">
        <v>22721</v>
      </c>
      <c r="P3092" s="27" t="s">
        <v>22722</v>
      </c>
      <c r="Q3092" s="26" t="str">
        <f>HYPERLINK("https://ictv.global/taxonomy/taxondetails?taxnode_id=202523297&amp;ictv_id=ICTV202523297","ICTV202523297")</f>
        <v>ICTV202523297</v>
      </c>
      <c r="R3092" t="s">
        <v>579</v>
      </c>
      <c r="S3092" t="s">
        <v>823</v>
      </c>
      <c r="T3092">
        <v>41</v>
      </c>
      <c r="U3092" s="26" t="str">
        <f t="shared" si="115"/>
        <v>2025.086B.Luriaviridae_1nf_3ng_1mg_12ns.zip</v>
      </c>
    </row>
    <row r="3093" spans="1:21">
      <c r="A3093">
        <v>3092</v>
      </c>
      <c r="B3093" s="27" t="s">
        <v>1449</v>
      </c>
      <c r="D3093" s="27" t="s">
        <v>1450</v>
      </c>
      <c r="F3093" s="27" t="s">
        <v>1453</v>
      </c>
      <c r="H3093" s="27" t="s">
        <v>1454</v>
      </c>
      <c r="L3093" s="27" t="s">
        <v>20884</v>
      </c>
      <c r="N3093" s="27" t="s">
        <v>22721</v>
      </c>
      <c r="P3093" s="27" t="s">
        <v>22723</v>
      </c>
      <c r="Q3093" s="26" t="str">
        <f>HYPERLINK("https://ictv.global/taxonomy/taxondetails?taxnode_id=202523298&amp;ictv_id=ICTV202523298","ICTV202523298")</f>
        <v>ICTV202523298</v>
      </c>
      <c r="R3093" t="s">
        <v>579</v>
      </c>
      <c r="S3093" t="s">
        <v>823</v>
      </c>
      <c r="T3093">
        <v>41</v>
      </c>
      <c r="U3093" s="26" t="str">
        <f t="shared" si="115"/>
        <v>2025.086B.Luriaviridae_1nf_3ng_1mg_12ns.zip</v>
      </c>
    </row>
    <row r="3094" spans="1:21">
      <c r="A3094">
        <v>3093</v>
      </c>
      <c r="B3094" s="27" t="s">
        <v>1449</v>
      </c>
      <c r="D3094" s="27" t="s">
        <v>1450</v>
      </c>
      <c r="F3094" s="27" t="s">
        <v>1453</v>
      </c>
      <c r="H3094" s="27" t="s">
        <v>1454</v>
      </c>
      <c r="L3094" s="27" t="s">
        <v>20884</v>
      </c>
      <c r="N3094" s="27" t="s">
        <v>22721</v>
      </c>
      <c r="P3094" s="27" t="s">
        <v>22724</v>
      </c>
      <c r="Q3094" s="26" t="str">
        <f>HYPERLINK("https://ictv.global/taxonomy/taxondetails?taxnode_id=202523299&amp;ictv_id=ICTV202523299","ICTV202523299")</f>
        <v>ICTV202523299</v>
      </c>
      <c r="R3094" t="s">
        <v>579</v>
      </c>
      <c r="S3094" t="s">
        <v>823</v>
      </c>
      <c r="T3094">
        <v>41</v>
      </c>
      <c r="U3094" s="26" t="str">
        <f t="shared" si="115"/>
        <v>2025.086B.Luriaviridae_1nf_3ng_1mg_12ns.zip</v>
      </c>
    </row>
    <row r="3095" spans="1:21">
      <c r="A3095">
        <v>3094</v>
      </c>
      <c r="B3095" s="27" t="s">
        <v>1449</v>
      </c>
      <c r="D3095" s="27" t="s">
        <v>1450</v>
      </c>
      <c r="F3095" s="27" t="s">
        <v>1453</v>
      </c>
      <c r="H3095" s="27" t="s">
        <v>1454</v>
      </c>
      <c r="L3095" s="27" t="s">
        <v>11610</v>
      </c>
      <c r="N3095" s="27" t="s">
        <v>11611</v>
      </c>
      <c r="P3095" s="27" t="s">
        <v>11612</v>
      </c>
      <c r="Q3095" s="26" t="str">
        <f>HYPERLINK("https://ictv.global/taxonomy/taxondetails?taxnode_id=202517739&amp;ictv_id=ICTV202317739","ICTV202317739")</f>
        <v>ICTV202317739</v>
      </c>
      <c r="R3095" t="s">
        <v>579</v>
      </c>
      <c r="S3095" t="s">
        <v>823</v>
      </c>
      <c r="T3095">
        <v>39</v>
      </c>
      <c r="U3095" s="26" t="str">
        <f>HYPERLINK("https://ictv.global/ictv/proposals/2023.002A.Caudoviricetes_5nf_v2.zip","2023.002A.Caudoviricetes_5nf_v2.zip")</f>
        <v>2023.002A.Caudoviricetes_5nf_v2.zip</v>
      </c>
    </row>
    <row r="3096" spans="1:21">
      <c r="A3096">
        <v>3095</v>
      </c>
      <c r="B3096" s="27" t="s">
        <v>1449</v>
      </c>
      <c r="D3096" s="27" t="s">
        <v>1450</v>
      </c>
      <c r="F3096" s="27" t="s">
        <v>1453</v>
      </c>
      <c r="H3096" s="27" t="s">
        <v>1454</v>
      </c>
      <c r="L3096" s="27" t="s">
        <v>22120</v>
      </c>
      <c r="N3096" s="27" t="s">
        <v>22121</v>
      </c>
      <c r="P3096" s="27" t="s">
        <v>22122</v>
      </c>
      <c r="Q3096" s="26" t="str">
        <f>HYPERLINK("https://ictv.global/taxonomy/taxondetails?taxnode_id=202522917&amp;ictv_id=ICTV202522917","ICTV202522917")</f>
        <v>ICTV202522917</v>
      </c>
      <c r="R3096" t="s">
        <v>579</v>
      </c>
      <c r="S3096" t="s">
        <v>823</v>
      </c>
      <c r="T3096">
        <v>41</v>
      </c>
      <c r="U3096" s="26" t="str">
        <f>HYPERLINK("https://ictv.global/ictv/proposals/2025.040B.Lutzviridae_1nf_1ng_1ns.zip","2025.040B.Lutzviridae_1nf_1ng_1ns.zip")</f>
        <v>2025.040B.Lutzviridae_1nf_1ng_1ns.zip</v>
      </c>
    </row>
    <row r="3097" spans="1:21">
      <c r="A3097">
        <v>3096</v>
      </c>
      <c r="B3097" s="27" t="s">
        <v>1449</v>
      </c>
      <c r="D3097" s="27" t="s">
        <v>1450</v>
      </c>
      <c r="F3097" s="27" t="s">
        <v>1453</v>
      </c>
      <c r="H3097" s="27" t="s">
        <v>1454</v>
      </c>
      <c r="L3097" s="27" t="s">
        <v>5049</v>
      </c>
      <c r="N3097" s="27" t="s">
        <v>5050</v>
      </c>
      <c r="P3097" s="27" t="s">
        <v>11613</v>
      </c>
      <c r="Q3097" s="26" t="str">
        <f>HYPERLINK("https://ictv.global/taxonomy/taxondetails?taxnode_id=202512179&amp;ictv_id=ICTV202112179","ICTV202112179")</f>
        <v>ICTV202112179</v>
      </c>
      <c r="R3097" t="s">
        <v>579</v>
      </c>
      <c r="S3097" t="s">
        <v>824</v>
      </c>
      <c r="T3097">
        <v>39</v>
      </c>
      <c r="U3097" s="26" t="str">
        <f>HYPERLINK("https://ictv.global/ictv/proposals/2023.001A.Archaeal_binomials.zip","2023.001A.Archaeal_binomials.zip")</f>
        <v>2023.001A.Archaeal_binomials.zip</v>
      </c>
    </row>
    <row r="3098" spans="1:21">
      <c r="A3098">
        <v>3097</v>
      </c>
      <c r="B3098" s="27" t="s">
        <v>1449</v>
      </c>
      <c r="D3098" s="27" t="s">
        <v>1450</v>
      </c>
      <c r="F3098" s="27" t="s">
        <v>1453</v>
      </c>
      <c r="H3098" s="27" t="s">
        <v>1454</v>
      </c>
      <c r="L3098" s="27" t="s">
        <v>5049</v>
      </c>
      <c r="N3098" s="27" t="s">
        <v>21162</v>
      </c>
      <c r="P3098" s="27" t="s">
        <v>21163</v>
      </c>
      <c r="Q3098" s="26" t="str">
        <f>HYPERLINK("https://ictv.global/taxonomy/taxondetails?taxnode_id=202522081&amp;ictv_id=ICTV202522081","ICTV202522081")</f>
        <v>ICTV202522081</v>
      </c>
      <c r="R3098" t="s">
        <v>579</v>
      </c>
      <c r="S3098" t="s">
        <v>823</v>
      </c>
      <c r="T3098">
        <v>41</v>
      </c>
      <c r="U3098" s="26" t="str">
        <f>HYPERLINK("https://ictv.global/ictv/proposals/2025.002A.Archaeal_Caudoviricetes_8nf.zip","2025.002A.Archaeal_Caudoviricetes_8nf.zip")</f>
        <v>2025.002A.Archaeal_Caudoviricetes_8nf.zip</v>
      </c>
    </row>
    <row r="3099" spans="1:21">
      <c r="A3099">
        <v>3098</v>
      </c>
      <c r="B3099" s="27" t="s">
        <v>1449</v>
      </c>
      <c r="D3099" s="27" t="s">
        <v>1450</v>
      </c>
      <c r="F3099" s="27" t="s">
        <v>1453</v>
      </c>
      <c r="H3099" s="27" t="s">
        <v>1454</v>
      </c>
      <c r="L3099" s="27" t="s">
        <v>5049</v>
      </c>
      <c r="N3099" s="27" t="s">
        <v>21164</v>
      </c>
      <c r="P3099" s="27" t="s">
        <v>21165</v>
      </c>
      <c r="Q3099" s="26" t="str">
        <f>HYPERLINK("https://ictv.global/taxonomy/taxondetails?taxnode_id=202522082&amp;ictv_id=ICTV202522082","ICTV202522082")</f>
        <v>ICTV202522082</v>
      </c>
      <c r="R3099" t="s">
        <v>579</v>
      </c>
      <c r="S3099" t="s">
        <v>823</v>
      </c>
      <c r="T3099">
        <v>41</v>
      </c>
      <c r="U3099" s="26" t="str">
        <f>HYPERLINK("https://ictv.global/ictv/proposals/2025.002A.Archaeal_Caudoviricetes_8nf.zip","2025.002A.Archaeal_Caudoviricetes_8nf.zip")</f>
        <v>2025.002A.Archaeal_Caudoviricetes_8nf.zip</v>
      </c>
    </row>
    <row r="3100" spans="1:21">
      <c r="A3100">
        <v>3099</v>
      </c>
      <c r="B3100" s="27" t="s">
        <v>1449</v>
      </c>
      <c r="D3100" s="27" t="s">
        <v>1450</v>
      </c>
      <c r="F3100" s="27" t="s">
        <v>1453</v>
      </c>
      <c r="H3100" s="27" t="s">
        <v>1454</v>
      </c>
      <c r="L3100" s="27" t="s">
        <v>11614</v>
      </c>
      <c r="N3100" s="27" t="s">
        <v>1278</v>
      </c>
      <c r="P3100" s="27" t="s">
        <v>5323</v>
      </c>
      <c r="Q3100" s="26" t="str">
        <f>HYPERLINK("https://ictv.global/taxonomy/taxondetails?taxnode_id=202500592&amp;ictv_id=ICTV19951789","ICTV19951789")</f>
        <v>ICTV19951789</v>
      </c>
      <c r="R3100" t="s">
        <v>579</v>
      </c>
      <c r="S3100" t="s">
        <v>22763</v>
      </c>
      <c r="T3100">
        <v>39</v>
      </c>
      <c r="U3100" s="26" t="str">
        <f>HYPERLINK("https://ictv.global/ictv/proposals/2023.046B.Madridviridae_nf.zip","2023.046B.Madridviridae_nf.zip")</f>
        <v>2023.046B.Madridviridae_nf.zip</v>
      </c>
    </row>
    <row r="3101" spans="1:21">
      <c r="A3101">
        <v>3100</v>
      </c>
      <c r="B3101" s="27" t="s">
        <v>1449</v>
      </c>
      <c r="D3101" s="27" t="s">
        <v>1450</v>
      </c>
      <c r="F3101" s="27" t="s">
        <v>1453</v>
      </c>
      <c r="H3101" s="27" t="s">
        <v>1454</v>
      </c>
      <c r="L3101" s="27" t="s">
        <v>11614</v>
      </c>
      <c r="N3101" s="27" t="s">
        <v>1278</v>
      </c>
      <c r="P3101" s="27" t="s">
        <v>5324</v>
      </c>
      <c r="Q3101" s="26" t="str">
        <f>HYPERLINK("https://ictv.global/taxonomy/taxondetails?taxnode_id=202500593&amp;ictv_id=ICTV20164908","ICTV20164908")</f>
        <v>ICTV20164908</v>
      </c>
      <c r="R3101" t="s">
        <v>579</v>
      </c>
      <c r="S3101" t="s">
        <v>22763</v>
      </c>
      <c r="T3101">
        <v>39</v>
      </c>
      <c r="U3101" s="26" t="str">
        <f>HYPERLINK("https://ictv.global/ictv/proposals/2023.046B.Madridviridae_nf.zip","2023.046B.Madridviridae_nf.zip")</f>
        <v>2023.046B.Madridviridae_nf.zip</v>
      </c>
    </row>
    <row r="3102" spans="1:21">
      <c r="A3102">
        <v>3101</v>
      </c>
      <c r="B3102" s="27" t="s">
        <v>1449</v>
      </c>
      <c r="D3102" s="27" t="s">
        <v>1450</v>
      </c>
      <c r="F3102" s="27" t="s">
        <v>1453</v>
      </c>
      <c r="H3102" s="27" t="s">
        <v>1454</v>
      </c>
      <c r="L3102" s="27" t="s">
        <v>22125</v>
      </c>
      <c r="N3102" s="27" t="s">
        <v>22126</v>
      </c>
      <c r="P3102" s="27" t="s">
        <v>22127</v>
      </c>
      <c r="Q3102" s="26" t="str">
        <f>HYPERLINK("https://ictv.global/taxonomy/taxondetails?taxnode_id=202522919&amp;ictv_id=ICTV202522919","ICTV202522919")</f>
        <v>ICTV202522919</v>
      </c>
      <c r="R3102" t="s">
        <v>579</v>
      </c>
      <c r="S3102" t="s">
        <v>823</v>
      </c>
      <c r="T3102">
        <v>41</v>
      </c>
      <c r="U3102" s="26" t="str">
        <f>HYPERLINK("https://ictv.global/ictv/proposals/2025.042B.Mariniviridae_1nf.zip","2025.042B.Mariniviridae_1nf.zip")</f>
        <v>2025.042B.Mariniviridae_1nf.zip</v>
      </c>
    </row>
    <row r="3103" spans="1:21">
      <c r="A3103">
        <v>3102</v>
      </c>
      <c r="B3103" s="27" t="s">
        <v>1449</v>
      </c>
      <c r="D3103" s="27" t="s">
        <v>1450</v>
      </c>
      <c r="F3103" s="27" t="s">
        <v>1453</v>
      </c>
      <c r="H3103" s="27" t="s">
        <v>1454</v>
      </c>
      <c r="L3103" s="27" t="s">
        <v>19602</v>
      </c>
      <c r="N3103" s="27" t="s">
        <v>19603</v>
      </c>
      <c r="P3103" s="27" t="s">
        <v>19604</v>
      </c>
      <c r="Q3103" s="26" t="str">
        <f>HYPERLINK("https://ictv.global/taxonomy/taxondetails?taxnode_id=202520848&amp;ictv_id=ICTV202420848","ICTV202420848")</f>
        <v>ICTV202420848</v>
      </c>
      <c r="R3103" t="s">
        <v>579</v>
      </c>
      <c r="S3103" t="s">
        <v>823</v>
      </c>
      <c r="T3103">
        <v>40</v>
      </c>
      <c r="U3103" s="26" t="str">
        <f>HYPERLINK("https://ictv.global/ictv/proposals/2024.033B.Mazoviaviridae_1nf_1ng_1ns.zip","2024.033B.Mazoviaviridae_1nf_1ng_1ns.zip")</f>
        <v>2024.033B.Mazoviaviridae_1nf_1ng_1ns.zip</v>
      </c>
    </row>
    <row r="3104" spans="1:21">
      <c r="A3104">
        <v>3103</v>
      </c>
      <c r="B3104" s="27" t="s">
        <v>1449</v>
      </c>
      <c r="D3104" s="27" t="s">
        <v>1450</v>
      </c>
      <c r="F3104" s="27" t="s">
        <v>1453</v>
      </c>
      <c r="H3104" s="27" t="s">
        <v>1454</v>
      </c>
      <c r="L3104" s="27" t="s">
        <v>5051</v>
      </c>
      <c r="M3104" s="27" t="s">
        <v>5052</v>
      </c>
      <c r="N3104" s="27" t="s">
        <v>1326</v>
      </c>
      <c r="P3104" s="27" t="s">
        <v>19605</v>
      </c>
      <c r="Q3104" s="26" t="str">
        <f>HYPERLINK("https://ictv.global/taxonomy/taxondetails?taxnode_id=202500839&amp;ictv_id=ICTV20164973","ICTV20164973")</f>
        <v>ICTV20164973</v>
      </c>
      <c r="R3104" t="s">
        <v>579</v>
      </c>
      <c r="S3104" t="s">
        <v>824</v>
      </c>
      <c r="T3104">
        <v>40</v>
      </c>
      <c r="U3104" s="26" t="str">
        <f>HYPERLINK("https://ictv.global/ictv/proposals/2024.036B.Caudoviricetes_Faserviricetes_Name_Corrections.zip","2024.036B.Caudoviricetes_Faserviricetes_Name_Corrections.zip")</f>
        <v>2024.036B.Caudoviricetes_Faserviricetes_Name_Corrections.zip</v>
      </c>
    </row>
    <row r="3105" spans="1:21">
      <c r="A3105">
        <v>3104</v>
      </c>
      <c r="B3105" s="27" t="s">
        <v>1449</v>
      </c>
      <c r="D3105" s="27" t="s">
        <v>1450</v>
      </c>
      <c r="F3105" s="27" t="s">
        <v>1453</v>
      </c>
      <c r="H3105" s="27" t="s">
        <v>1454</v>
      </c>
      <c r="L3105" s="27" t="s">
        <v>5051</v>
      </c>
      <c r="M3105" s="27" t="s">
        <v>5052</v>
      </c>
      <c r="N3105" s="27" t="s">
        <v>1326</v>
      </c>
      <c r="P3105" s="27" t="s">
        <v>19606</v>
      </c>
      <c r="Q3105" s="26" t="str">
        <f>HYPERLINK("https://ictv.global/taxonomy/taxondetails?taxnode_id=202500840&amp;ictv_id=ICTV20164974","ICTV20164974")</f>
        <v>ICTV20164974</v>
      </c>
      <c r="R3105" t="s">
        <v>579</v>
      </c>
      <c r="S3105" t="s">
        <v>824</v>
      </c>
      <c r="T3105">
        <v>40</v>
      </c>
      <c r="U3105" s="26" t="str">
        <f>HYPERLINK("https://ictv.global/ictv/proposals/2024.036B.Caudoviricetes_Faserviricetes_Name_Corrections.zip","2024.036B.Caudoviricetes_Faserviricetes_Name_Corrections.zip")</f>
        <v>2024.036B.Caudoviricetes_Faserviricetes_Name_Corrections.zip</v>
      </c>
    </row>
    <row r="3106" spans="1:21">
      <c r="A3106">
        <v>3105</v>
      </c>
      <c r="B3106" s="27" t="s">
        <v>1449</v>
      </c>
      <c r="D3106" s="27" t="s">
        <v>1450</v>
      </c>
      <c r="F3106" s="27" t="s">
        <v>1453</v>
      </c>
      <c r="H3106" s="27" t="s">
        <v>1454</v>
      </c>
      <c r="L3106" s="27" t="s">
        <v>5051</v>
      </c>
      <c r="M3106" s="27" t="s">
        <v>5052</v>
      </c>
      <c r="N3106" s="27" t="s">
        <v>1326</v>
      </c>
      <c r="P3106" s="27" t="s">
        <v>19607</v>
      </c>
      <c r="Q3106" s="26" t="str">
        <f>HYPERLINK("https://ictv.global/taxonomy/taxondetails?taxnode_id=202500841&amp;ictv_id=ICTV20164975","ICTV20164975")</f>
        <v>ICTV20164975</v>
      </c>
      <c r="R3106" t="s">
        <v>579</v>
      </c>
      <c r="S3106" t="s">
        <v>824</v>
      </c>
      <c r="T3106">
        <v>40</v>
      </c>
      <c r="U3106" s="26" t="str">
        <f>HYPERLINK("https://ictv.global/ictv/proposals/2024.036B.Caudoviricetes_Faserviricetes_Name_Corrections.zip","2024.036B.Caudoviricetes_Faserviricetes_Name_Corrections.zip")</f>
        <v>2024.036B.Caudoviricetes_Faserviricetes_Name_Corrections.zip</v>
      </c>
    </row>
    <row r="3107" spans="1:21">
      <c r="A3107">
        <v>3106</v>
      </c>
      <c r="B3107" s="27" t="s">
        <v>1449</v>
      </c>
      <c r="D3107" s="27" t="s">
        <v>1450</v>
      </c>
      <c r="F3107" s="27" t="s">
        <v>1453</v>
      </c>
      <c r="H3107" s="27" t="s">
        <v>1454</v>
      </c>
      <c r="L3107" s="27" t="s">
        <v>5051</v>
      </c>
      <c r="M3107" s="27" t="s">
        <v>5052</v>
      </c>
      <c r="N3107" s="27" t="s">
        <v>1326</v>
      </c>
      <c r="P3107" s="27" t="s">
        <v>5053</v>
      </c>
      <c r="Q3107" s="26" t="str">
        <f>HYPERLINK("https://ictv.global/taxonomy/taxondetails?taxnode_id=202512412&amp;ictv_id=ICTV202112412","ICTV202112412")</f>
        <v>ICTV202112412</v>
      </c>
      <c r="R3107" t="s">
        <v>579</v>
      </c>
      <c r="S3107" t="s">
        <v>823</v>
      </c>
      <c r="T3107">
        <v>37</v>
      </c>
      <c r="U3107" s="26" t="str">
        <f>HYPERLINK("https://ictv.global/ictv/proposals/2021.051B.R.Mesyanzhinovviridae.zip","2021.051B.R.Mesyanzhinovviridae.zip")</f>
        <v>2021.051B.R.Mesyanzhinovviridae.zip</v>
      </c>
    </row>
    <row r="3108" spans="1:21">
      <c r="A3108">
        <v>3107</v>
      </c>
      <c r="B3108" s="27" t="s">
        <v>1449</v>
      </c>
      <c r="D3108" s="27" t="s">
        <v>1450</v>
      </c>
      <c r="F3108" s="27" t="s">
        <v>1453</v>
      </c>
      <c r="H3108" s="27" t="s">
        <v>1454</v>
      </c>
      <c r="L3108" s="27" t="s">
        <v>5051</v>
      </c>
      <c r="M3108" s="27" t="s">
        <v>5052</v>
      </c>
      <c r="N3108" s="27" t="s">
        <v>5054</v>
      </c>
      <c r="P3108" s="27" t="s">
        <v>11615</v>
      </c>
      <c r="Q3108" s="26" t="str">
        <f>HYPERLINK("https://ictv.global/taxonomy/taxondetails?taxnode_id=202517943&amp;ictv_id=ICTV202317943","ICTV202317943")</f>
        <v>ICTV202317943</v>
      </c>
      <c r="R3108" t="s">
        <v>579</v>
      </c>
      <c r="S3108" t="s">
        <v>823</v>
      </c>
      <c r="T3108">
        <v>39</v>
      </c>
      <c r="U3108" s="26" t="str">
        <f>HYPERLINK("https://ictv.global/ictv/proposals/2023.010B.Bradleyvirinae_5ng.zip","2023.010B.Bradleyvirinae_5ng.zip")</f>
        <v>2023.010B.Bradleyvirinae_5ng.zip</v>
      </c>
    </row>
    <row r="3109" spans="1:21">
      <c r="A3109">
        <v>3108</v>
      </c>
      <c r="B3109" s="27" t="s">
        <v>1449</v>
      </c>
      <c r="D3109" s="27" t="s">
        <v>1450</v>
      </c>
      <c r="F3109" s="27" t="s">
        <v>1453</v>
      </c>
      <c r="H3109" s="27" t="s">
        <v>1454</v>
      </c>
      <c r="L3109" s="27" t="s">
        <v>5051</v>
      </c>
      <c r="M3109" s="27" t="s">
        <v>5052</v>
      </c>
      <c r="N3109" s="27" t="s">
        <v>5054</v>
      </c>
      <c r="P3109" s="27" t="s">
        <v>5055</v>
      </c>
      <c r="Q3109" s="26" t="str">
        <f>HYPERLINK("https://ictv.global/taxonomy/taxondetails?taxnode_id=202512416&amp;ictv_id=ICTV202112416","ICTV202112416")</f>
        <v>ICTV202112416</v>
      </c>
      <c r="R3109" t="s">
        <v>579</v>
      </c>
      <c r="S3109" t="s">
        <v>823</v>
      </c>
      <c r="T3109">
        <v>37</v>
      </c>
      <c r="U3109" s="26" t="str">
        <f>HYPERLINK("https://ictv.global/ictv/proposals/2021.051B.R.Mesyanzhinovviridae.zip","2021.051B.R.Mesyanzhinovviridae.zip")</f>
        <v>2021.051B.R.Mesyanzhinovviridae.zip</v>
      </c>
    </row>
    <row r="3110" spans="1:21">
      <c r="A3110">
        <v>3109</v>
      </c>
      <c r="B3110" s="27" t="s">
        <v>1449</v>
      </c>
      <c r="D3110" s="27" t="s">
        <v>1450</v>
      </c>
      <c r="F3110" s="27" t="s">
        <v>1453</v>
      </c>
      <c r="H3110" s="27" t="s">
        <v>1454</v>
      </c>
      <c r="L3110" s="27" t="s">
        <v>5051</v>
      </c>
      <c r="M3110" s="27" t="s">
        <v>5052</v>
      </c>
      <c r="N3110" s="27" t="s">
        <v>5054</v>
      </c>
      <c r="P3110" s="27" t="s">
        <v>11616</v>
      </c>
      <c r="Q3110" s="26" t="str">
        <f>HYPERLINK("https://ictv.global/taxonomy/taxondetails?taxnode_id=202517944&amp;ictv_id=ICTV202317944","ICTV202317944")</f>
        <v>ICTV202317944</v>
      </c>
      <c r="R3110" t="s">
        <v>579</v>
      </c>
      <c r="S3110" t="s">
        <v>823</v>
      </c>
      <c r="T3110">
        <v>39</v>
      </c>
      <c r="U3110" s="26" t="str">
        <f t="shared" ref="U3110:U3117" si="116">HYPERLINK("https://ictv.global/ictv/proposals/2023.010B.Bradleyvirinae_5ng.zip","2023.010B.Bradleyvirinae_5ng.zip")</f>
        <v>2023.010B.Bradleyvirinae_5ng.zip</v>
      </c>
    </row>
    <row r="3111" spans="1:21">
      <c r="A3111">
        <v>3110</v>
      </c>
      <c r="B3111" s="27" t="s">
        <v>1449</v>
      </c>
      <c r="D3111" s="27" t="s">
        <v>1450</v>
      </c>
      <c r="F3111" s="27" t="s">
        <v>1453</v>
      </c>
      <c r="H3111" s="27" t="s">
        <v>1454</v>
      </c>
      <c r="L3111" s="27" t="s">
        <v>5051</v>
      </c>
      <c r="M3111" s="27" t="s">
        <v>5052</v>
      </c>
      <c r="N3111" s="27" t="s">
        <v>5054</v>
      </c>
      <c r="P3111" s="27" t="s">
        <v>11617</v>
      </c>
      <c r="Q3111" s="26" t="str">
        <f>HYPERLINK("https://ictv.global/taxonomy/taxondetails?taxnode_id=202517945&amp;ictv_id=ICTV202317945","ICTV202317945")</f>
        <v>ICTV202317945</v>
      </c>
      <c r="R3111" t="s">
        <v>579</v>
      </c>
      <c r="S3111" t="s">
        <v>823</v>
      </c>
      <c r="T3111">
        <v>39</v>
      </c>
      <c r="U3111" s="26" t="str">
        <f t="shared" si="116"/>
        <v>2023.010B.Bradleyvirinae_5ng.zip</v>
      </c>
    </row>
    <row r="3112" spans="1:21">
      <c r="A3112">
        <v>3111</v>
      </c>
      <c r="B3112" s="27" t="s">
        <v>1449</v>
      </c>
      <c r="D3112" s="27" t="s">
        <v>1450</v>
      </c>
      <c r="F3112" s="27" t="s">
        <v>1453</v>
      </c>
      <c r="H3112" s="27" t="s">
        <v>1454</v>
      </c>
      <c r="L3112" s="27" t="s">
        <v>5051</v>
      </c>
      <c r="M3112" s="27" t="s">
        <v>5052</v>
      </c>
      <c r="N3112" s="27" t="s">
        <v>5054</v>
      </c>
      <c r="P3112" s="27" t="s">
        <v>11618</v>
      </c>
      <c r="Q3112" s="26" t="str">
        <f>HYPERLINK("https://ictv.global/taxonomy/taxondetails?taxnode_id=202517941&amp;ictv_id=ICTV202317941","ICTV202317941")</f>
        <v>ICTV202317941</v>
      </c>
      <c r="R3112" t="s">
        <v>579</v>
      </c>
      <c r="S3112" t="s">
        <v>823</v>
      </c>
      <c r="T3112">
        <v>39</v>
      </c>
      <c r="U3112" s="26" t="str">
        <f t="shared" si="116"/>
        <v>2023.010B.Bradleyvirinae_5ng.zip</v>
      </c>
    </row>
    <row r="3113" spans="1:21">
      <c r="A3113">
        <v>3112</v>
      </c>
      <c r="B3113" s="27" t="s">
        <v>1449</v>
      </c>
      <c r="D3113" s="27" t="s">
        <v>1450</v>
      </c>
      <c r="F3113" s="27" t="s">
        <v>1453</v>
      </c>
      <c r="H3113" s="27" t="s">
        <v>1454</v>
      </c>
      <c r="L3113" s="27" t="s">
        <v>5051</v>
      </c>
      <c r="M3113" s="27" t="s">
        <v>5052</v>
      </c>
      <c r="N3113" s="27" t="s">
        <v>5054</v>
      </c>
      <c r="P3113" s="27" t="s">
        <v>11619</v>
      </c>
      <c r="Q3113" s="26" t="str">
        <f>HYPERLINK("https://ictv.global/taxonomy/taxondetails?taxnode_id=202517942&amp;ictv_id=ICTV202317942","ICTV202317942")</f>
        <v>ICTV202317942</v>
      </c>
      <c r="R3113" t="s">
        <v>579</v>
      </c>
      <c r="S3113" t="s">
        <v>823</v>
      </c>
      <c r="T3113">
        <v>39</v>
      </c>
      <c r="U3113" s="26" t="str">
        <f t="shared" si="116"/>
        <v>2023.010B.Bradleyvirinae_5ng.zip</v>
      </c>
    </row>
    <row r="3114" spans="1:21">
      <c r="A3114">
        <v>3113</v>
      </c>
      <c r="B3114" s="27" t="s">
        <v>1449</v>
      </c>
      <c r="D3114" s="27" t="s">
        <v>1450</v>
      </c>
      <c r="F3114" s="27" t="s">
        <v>1453</v>
      </c>
      <c r="H3114" s="27" t="s">
        <v>1454</v>
      </c>
      <c r="L3114" s="27" t="s">
        <v>5051</v>
      </c>
      <c r="M3114" s="27" t="s">
        <v>5052</v>
      </c>
      <c r="N3114" s="27" t="s">
        <v>11620</v>
      </c>
      <c r="P3114" s="27" t="s">
        <v>11621</v>
      </c>
      <c r="Q3114" s="26" t="str">
        <f>HYPERLINK("https://ictv.global/taxonomy/taxondetails?taxnode_id=202501176&amp;ictv_id=ICTV20165079","ICTV20165079")</f>
        <v>ICTV20165079</v>
      </c>
      <c r="R3114" t="s">
        <v>579</v>
      </c>
      <c r="S3114" t="s">
        <v>22764</v>
      </c>
      <c r="T3114">
        <v>39</v>
      </c>
      <c r="U3114" s="26" t="str">
        <f t="shared" si="116"/>
        <v>2023.010B.Bradleyvirinae_5ng.zip</v>
      </c>
    </row>
    <row r="3115" spans="1:21">
      <c r="A3115">
        <v>3114</v>
      </c>
      <c r="B3115" s="27" t="s">
        <v>1449</v>
      </c>
      <c r="D3115" s="27" t="s">
        <v>1450</v>
      </c>
      <c r="F3115" s="27" t="s">
        <v>1453</v>
      </c>
      <c r="H3115" s="27" t="s">
        <v>1454</v>
      </c>
      <c r="L3115" s="27" t="s">
        <v>5051</v>
      </c>
      <c r="M3115" s="27" t="s">
        <v>5052</v>
      </c>
      <c r="N3115" s="27" t="s">
        <v>11622</v>
      </c>
      <c r="P3115" s="27" t="s">
        <v>11623</v>
      </c>
      <c r="Q3115" s="26" t="str">
        <f>HYPERLINK("https://ictv.global/taxonomy/taxondetails?taxnode_id=202517935&amp;ictv_id=ICTV202317935","ICTV202317935")</f>
        <v>ICTV202317935</v>
      </c>
      <c r="R3115" t="s">
        <v>579</v>
      </c>
      <c r="S3115" t="s">
        <v>823</v>
      </c>
      <c r="T3115">
        <v>39</v>
      </c>
      <c r="U3115" s="26" t="str">
        <f t="shared" si="116"/>
        <v>2023.010B.Bradleyvirinae_5ng.zip</v>
      </c>
    </row>
    <row r="3116" spans="1:21">
      <c r="A3116">
        <v>3115</v>
      </c>
      <c r="B3116" s="27" t="s">
        <v>1449</v>
      </c>
      <c r="D3116" s="27" t="s">
        <v>1450</v>
      </c>
      <c r="F3116" s="27" t="s">
        <v>1453</v>
      </c>
      <c r="H3116" s="27" t="s">
        <v>1454</v>
      </c>
      <c r="L3116" s="27" t="s">
        <v>5051</v>
      </c>
      <c r="M3116" s="27" t="s">
        <v>5052</v>
      </c>
      <c r="N3116" s="27" t="s">
        <v>11624</v>
      </c>
      <c r="P3116" s="27" t="s">
        <v>11625</v>
      </c>
      <c r="Q3116" s="26" t="str">
        <f>HYPERLINK("https://ictv.global/taxonomy/taxondetails?taxnode_id=202517940&amp;ictv_id=ICTV202317940","ICTV202317940")</f>
        <v>ICTV202317940</v>
      </c>
      <c r="R3116" t="s">
        <v>579</v>
      </c>
      <c r="S3116" t="s">
        <v>823</v>
      </c>
      <c r="T3116">
        <v>39</v>
      </c>
      <c r="U3116" s="26" t="str">
        <f t="shared" si="116"/>
        <v>2023.010B.Bradleyvirinae_5ng.zip</v>
      </c>
    </row>
    <row r="3117" spans="1:21">
      <c r="A3117">
        <v>3116</v>
      </c>
      <c r="B3117" s="27" t="s">
        <v>1449</v>
      </c>
      <c r="D3117" s="27" t="s">
        <v>1450</v>
      </c>
      <c r="F3117" s="27" t="s">
        <v>1453</v>
      </c>
      <c r="H3117" s="27" t="s">
        <v>1454</v>
      </c>
      <c r="L3117" s="27" t="s">
        <v>5051</v>
      </c>
      <c r="M3117" s="27" t="s">
        <v>5052</v>
      </c>
      <c r="N3117" s="27" t="s">
        <v>11626</v>
      </c>
      <c r="P3117" s="27" t="s">
        <v>11627</v>
      </c>
      <c r="Q3117" s="26" t="str">
        <f>HYPERLINK("https://ictv.global/taxonomy/taxondetails?taxnode_id=202517938&amp;ictv_id=ICTV202317938","ICTV202317938")</f>
        <v>ICTV202317938</v>
      </c>
      <c r="R3117" t="s">
        <v>579</v>
      </c>
      <c r="S3117" t="s">
        <v>823</v>
      </c>
      <c r="T3117">
        <v>39</v>
      </c>
      <c r="U3117" s="26" t="str">
        <f t="shared" si="116"/>
        <v>2023.010B.Bradleyvirinae_5ng.zip</v>
      </c>
    </row>
    <row r="3118" spans="1:21">
      <c r="A3118">
        <v>3117</v>
      </c>
      <c r="B3118" s="27" t="s">
        <v>1449</v>
      </c>
      <c r="D3118" s="27" t="s">
        <v>1450</v>
      </c>
      <c r="F3118" s="27" t="s">
        <v>1453</v>
      </c>
      <c r="H3118" s="27" t="s">
        <v>1454</v>
      </c>
      <c r="L3118" s="27" t="s">
        <v>5051</v>
      </c>
      <c r="M3118" s="27" t="s">
        <v>5052</v>
      </c>
      <c r="N3118" s="27" t="s">
        <v>5056</v>
      </c>
      <c r="P3118" s="27" t="s">
        <v>5057</v>
      </c>
      <c r="Q3118" s="26" t="str">
        <f>HYPERLINK("https://ictv.global/taxonomy/taxondetails?taxnode_id=202512411&amp;ictv_id=ICTV202112411","ICTV202112411")</f>
        <v>ICTV202112411</v>
      </c>
      <c r="R3118" t="s">
        <v>579</v>
      </c>
      <c r="S3118" t="s">
        <v>823</v>
      </c>
      <c r="T3118">
        <v>37</v>
      </c>
      <c r="U3118" s="26" t="str">
        <f>HYPERLINK("https://ictv.global/ictv/proposals/2021.051B.R.Mesyanzhinovviridae.zip","2021.051B.R.Mesyanzhinovviridae.zip")</f>
        <v>2021.051B.R.Mesyanzhinovviridae.zip</v>
      </c>
    </row>
    <row r="3119" spans="1:21">
      <c r="A3119">
        <v>3118</v>
      </c>
      <c r="B3119" s="27" t="s">
        <v>1449</v>
      </c>
      <c r="D3119" s="27" t="s">
        <v>1450</v>
      </c>
      <c r="F3119" s="27" t="s">
        <v>1453</v>
      </c>
      <c r="H3119" s="27" t="s">
        <v>1454</v>
      </c>
      <c r="L3119" s="27" t="s">
        <v>5051</v>
      </c>
      <c r="M3119" s="27" t="s">
        <v>5052</v>
      </c>
      <c r="N3119" s="27" t="s">
        <v>11628</v>
      </c>
      <c r="P3119" s="27" t="s">
        <v>11629</v>
      </c>
      <c r="Q3119" s="26" t="str">
        <f>HYPERLINK("https://ictv.global/taxonomy/taxondetails?taxnode_id=202517936&amp;ictv_id=ICTV202317936","ICTV202317936")</f>
        <v>ICTV202317936</v>
      </c>
      <c r="R3119" t="s">
        <v>579</v>
      </c>
      <c r="S3119" t="s">
        <v>823</v>
      </c>
      <c r="T3119">
        <v>39</v>
      </c>
      <c r="U3119" s="26" t="str">
        <f t="shared" ref="U3119:U3125" si="117">HYPERLINK("https://ictv.global/ictv/proposals/2023.010B.Bradleyvirinae_5ng.zip","2023.010B.Bradleyvirinae_5ng.zip")</f>
        <v>2023.010B.Bradleyvirinae_5ng.zip</v>
      </c>
    </row>
    <row r="3120" spans="1:21">
      <c r="A3120">
        <v>3119</v>
      </c>
      <c r="B3120" s="27" t="s">
        <v>1449</v>
      </c>
      <c r="D3120" s="27" t="s">
        <v>1450</v>
      </c>
      <c r="F3120" s="27" t="s">
        <v>1453</v>
      </c>
      <c r="H3120" s="27" t="s">
        <v>1454</v>
      </c>
      <c r="L3120" s="27" t="s">
        <v>5051</v>
      </c>
      <c r="M3120" s="27" t="s">
        <v>5052</v>
      </c>
      <c r="N3120" s="27" t="s">
        <v>11630</v>
      </c>
      <c r="P3120" s="27" t="s">
        <v>11631</v>
      </c>
      <c r="Q3120" s="26" t="str">
        <f>HYPERLINK("https://ictv.global/taxonomy/taxondetails?taxnode_id=202517939&amp;ictv_id=ICTV202317939","ICTV202317939")</f>
        <v>ICTV202317939</v>
      </c>
      <c r="R3120" t="s">
        <v>579</v>
      </c>
      <c r="S3120" t="s">
        <v>823</v>
      </c>
      <c r="T3120">
        <v>39</v>
      </c>
      <c r="U3120" s="26" t="str">
        <f t="shared" si="117"/>
        <v>2023.010B.Bradleyvirinae_5ng.zip</v>
      </c>
    </row>
    <row r="3121" spans="1:21">
      <c r="A3121">
        <v>3120</v>
      </c>
      <c r="B3121" s="27" t="s">
        <v>1449</v>
      </c>
      <c r="D3121" s="27" t="s">
        <v>1450</v>
      </c>
      <c r="F3121" s="27" t="s">
        <v>1453</v>
      </c>
      <c r="H3121" s="27" t="s">
        <v>1454</v>
      </c>
      <c r="L3121" s="27" t="s">
        <v>5051</v>
      </c>
      <c r="M3121" s="27" t="s">
        <v>5052</v>
      </c>
      <c r="N3121" s="27" t="s">
        <v>1399</v>
      </c>
      <c r="P3121" s="27" t="s">
        <v>11632</v>
      </c>
      <c r="Q3121" s="26" t="str">
        <f>HYPERLINK("https://ictv.global/taxonomy/taxondetails?taxnode_id=202517947&amp;ictv_id=ICTV202317947","ICTV202317947")</f>
        <v>ICTV202317947</v>
      </c>
      <c r="R3121" t="s">
        <v>579</v>
      </c>
      <c r="S3121" t="s">
        <v>823</v>
      </c>
      <c r="T3121">
        <v>39</v>
      </c>
      <c r="U3121" s="26" t="str">
        <f t="shared" si="117"/>
        <v>2023.010B.Bradleyvirinae_5ng.zip</v>
      </c>
    </row>
    <row r="3122" spans="1:21">
      <c r="A3122">
        <v>3121</v>
      </c>
      <c r="B3122" s="27" t="s">
        <v>1449</v>
      </c>
      <c r="D3122" s="27" t="s">
        <v>1450</v>
      </c>
      <c r="F3122" s="27" t="s">
        <v>1453</v>
      </c>
      <c r="H3122" s="27" t="s">
        <v>1454</v>
      </c>
      <c r="L3122" s="27" t="s">
        <v>5051</v>
      </c>
      <c r="M3122" s="27" t="s">
        <v>5052</v>
      </c>
      <c r="N3122" s="27" t="s">
        <v>1399</v>
      </c>
      <c r="P3122" s="27" t="s">
        <v>7604</v>
      </c>
      <c r="Q3122" s="26" t="str">
        <f>HYPERLINK("https://ictv.global/taxonomy/taxondetails?taxnode_id=202501175&amp;ictv_id=ICTV20165078","ICTV20165078")</f>
        <v>ICTV20165078</v>
      </c>
      <c r="R3122" t="s">
        <v>579</v>
      </c>
      <c r="S3122" t="s">
        <v>22763</v>
      </c>
      <c r="T3122">
        <v>39</v>
      </c>
      <c r="U3122" s="26" t="str">
        <f t="shared" si="117"/>
        <v>2023.010B.Bradleyvirinae_5ng.zip</v>
      </c>
    </row>
    <row r="3123" spans="1:21">
      <c r="A3123">
        <v>3122</v>
      </c>
      <c r="B3123" s="27" t="s">
        <v>1449</v>
      </c>
      <c r="D3123" s="27" t="s">
        <v>1450</v>
      </c>
      <c r="F3123" s="27" t="s">
        <v>1453</v>
      </c>
      <c r="H3123" s="27" t="s">
        <v>1454</v>
      </c>
      <c r="L3123" s="27" t="s">
        <v>5051</v>
      </c>
      <c r="M3123" s="27" t="s">
        <v>5052</v>
      </c>
      <c r="N3123" s="27" t="s">
        <v>1399</v>
      </c>
      <c r="P3123" s="27" t="s">
        <v>11633</v>
      </c>
      <c r="Q3123" s="26" t="str">
        <f>HYPERLINK("https://ictv.global/taxonomy/taxondetails?taxnode_id=202517948&amp;ictv_id=ICTV202317948","ICTV202317948")</f>
        <v>ICTV202317948</v>
      </c>
      <c r="R3123" t="s">
        <v>579</v>
      </c>
      <c r="S3123" t="s">
        <v>823</v>
      </c>
      <c r="T3123">
        <v>39</v>
      </c>
      <c r="U3123" s="26" t="str">
        <f t="shared" si="117"/>
        <v>2023.010B.Bradleyvirinae_5ng.zip</v>
      </c>
    </row>
    <row r="3124" spans="1:21">
      <c r="A3124">
        <v>3123</v>
      </c>
      <c r="B3124" s="27" t="s">
        <v>1449</v>
      </c>
      <c r="D3124" s="27" t="s">
        <v>1450</v>
      </c>
      <c r="F3124" s="27" t="s">
        <v>1453</v>
      </c>
      <c r="H3124" s="27" t="s">
        <v>1454</v>
      </c>
      <c r="L3124" s="27" t="s">
        <v>5051</v>
      </c>
      <c r="M3124" s="27" t="s">
        <v>5052</v>
      </c>
      <c r="N3124" s="27" t="s">
        <v>1399</v>
      </c>
      <c r="P3124" s="27" t="s">
        <v>11634</v>
      </c>
      <c r="Q3124" s="26" t="str">
        <f>HYPERLINK("https://ictv.global/taxonomy/taxondetails?taxnode_id=202517946&amp;ictv_id=ICTV202317946","ICTV202317946")</f>
        <v>ICTV202317946</v>
      </c>
      <c r="R3124" t="s">
        <v>579</v>
      </c>
      <c r="S3124" t="s">
        <v>823</v>
      </c>
      <c r="T3124">
        <v>39</v>
      </c>
      <c r="U3124" s="26" t="str">
        <f t="shared" si="117"/>
        <v>2023.010B.Bradleyvirinae_5ng.zip</v>
      </c>
    </row>
    <row r="3125" spans="1:21">
      <c r="A3125">
        <v>3124</v>
      </c>
      <c r="B3125" s="27" t="s">
        <v>1449</v>
      </c>
      <c r="D3125" s="27" t="s">
        <v>1450</v>
      </c>
      <c r="F3125" s="27" t="s">
        <v>1453</v>
      </c>
      <c r="H3125" s="27" t="s">
        <v>1454</v>
      </c>
      <c r="L3125" s="27" t="s">
        <v>5051</v>
      </c>
      <c r="M3125" s="27" t="s">
        <v>5052</v>
      </c>
      <c r="N3125" s="27" t="s">
        <v>5058</v>
      </c>
      <c r="P3125" s="27" t="s">
        <v>11635</v>
      </c>
      <c r="Q3125" s="26" t="str">
        <f>HYPERLINK("https://ictv.global/taxonomy/taxondetails?taxnode_id=202517937&amp;ictv_id=ICTV202317937","ICTV202317937")</f>
        <v>ICTV202317937</v>
      </c>
      <c r="R3125" t="s">
        <v>579</v>
      </c>
      <c r="S3125" t="s">
        <v>823</v>
      </c>
      <c r="T3125">
        <v>39</v>
      </c>
      <c r="U3125" s="26" t="str">
        <f t="shared" si="117"/>
        <v>2023.010B.Bradleyvirinae_5ng.zip</v>
      </c>
    </row>
    <row r="3126" spans="1:21">
      <c r="A3126">
        <v>3125</v>
      </c>
      <c r="B3126" s="27" t="s">
        <v>1449</v>
      </c>
      <c r="D3126" s="27" t="s">
        <v>1450</v>
      </c>
      <c r="F3126" s="27" t="s">
        <v>1453</v>
      </c>
      <c r="H3126" s="27" t="s">
        <v>1454</v>
      </c>
      <c r="L3126" s="27" t="s">
        <v>5051</v>
      </c>
      <c r="M3126" s="27" t="s">
        <v>5052</v>
      </c>
      <c r="N3126" s="27" t="s">
        <v>5058</v>
      </c>
      <c r="P3126" s="27" t="s">
        <v>5059</v>
      </c>
      <c r="Q3126" s="26" t="str">
        <f>HYPERLINK("https://ictv.global/taxonomy/taxondetails?taxnode_id=202512414&amp;ictv_id=ICTV202112414","ICTV202112414")</f>
        <v>ICTV202112414</v>
      </c>
      <c r="R3126" t="s">
        <v>579</v>
      </c>
      <c r="S3126" t="s">
        <v>823</v>
      </c>
      <c r="T3126">
        <v>37</v>
      </c>
      <c r="U3126" s="26" t="str">
        <f>HYPERLINK("https://ictv.global/ictv/proposals/2021.051B.R.Mesyanzhinovviridae.zip","2021.051B.R.Mesyanzhinovviridae.zip")</f>
        <v>2021.051B.R.Mesyanzhinovviridae.zip</v>
      </c>
    </row>
    <row r="3127" spans="1:21">
      <c r="A3127">
        <v>3126</v>
      </c>
      <c r="B3127" s="27" t="s">
        <v>1449</v>
      </c>
      <c r="D3127" s="27" t="s">
        <v>1450</v>
      </c>
      <c r="F3127" s="27" t="s">
        <v>1453</v>
      </c>
      <c r="H3127" s="27" t="s">
        <v>1454</v>
      </c>
      <c r="L3127" s="27" t="s">
        <v>5051</v>
      </c>
      <c r="M3127" s="27" t="s">
        <v>5060</v>
      </c>
      <c r="N3127" s="27" t="s">
        <v>1797</v>
      </c>
      <c r="P3127" s="27" t="s">
        <v>19608</v>
      </c>
      <c r="Q3127" s="26" t="str">
        <f>HYPERLINK("https://ictv.global/taxonomy/taxondetails?taxnode_id=202508070&amp;ictv_id=ICTV201908070","ICTV201908070")</f>
        <v>ICTV201908070</v>
      </c>
      <c r="R3127" t="s">
        <v>579</v>
      </c>
      <c r="S3127" t="s">
        <v>824</v>
      </c>
      <c r="T3127">
        <v>40</v>
      </c>
      <c r="U3127" s="26" t="str">
        <f>HYPERLINK("https://ictv.global/ictv/proposals/2024.036B.Caudoviricetes_Faserviricetes_Name_Corrections.zip","2024.036B.Caudoviricetes_Faserviricetes_Name_Corrections.zip")</f>
        <v>2024.036B.Caudoviricetes_Faserviricetes_Name_Corrections.zip</v>
      </c>
    </row>
    <row r="3128" spans="1:21">
      <c r="A3128">
        <v>3127</v>
      </c>
      <c r="B3128" s="27" t="s">
        <v>1449</v>
      </c>
      <c r="D3128" s="27" t="s">
        <v>1450</v>
      </c>
      <c r="F3128" s="27" t="s">
        <v>1453</v>
      </c>
      <c r="H3128" s="27" t="s">
        <v>1454</v>
      </c>
      <c r="L3128" s="27" t="s">
        <v>5051</v>
      </c>
      <c r="M3128" s="27" t="s">
        <v>5060</v>
      </c>
      <c r="N3128" s="27" t="s">
        <v>1797</v>
      </c>
      <c r="P3128" s="27" t="s">
        <v>19609</v>
      </c>
      <c r="Q3128" s="26" t="str">
        <f>HYPERLINK("https://ictv.global/taxonomy/taxondetails?taxnode_id=202508067&amp;ictv_id=ICTV201908067","ICTV201908067")</f>
        <v>ICTV201908067</v>
      </c>
      <c r="R3128" t="s">
        <v>579</v>
      </c>
      <c r="S3128" t="s">
        <v>824</v>
      </c>
      <c r="T3128">
        <v>40</v>
      </c>
      <c r="U3128" s="26" t="str">
        <f>HYPERLINK("https://ictv.global/ictv/proposals/2024.036B.Caudoviricetes_Faserviricetes_Name_Corrections.zip","2024.036B.Caudoviricetes_Faserviricetes_Name_Corrections.zip")</f>
        <v>2024.036B.Caudoviricetes_Faserviricetes_Name_Corrections.zip</v>
      </c>
    </row>
    <row r="3129" spans="1:21">
      <c r="A3129">
        <v>3128</v>
      </c>
      <c r="B3129" s="27" t="s">
        <v>1449</v>
      </c>
      <c r="D3129" s="27" t="s">
        <v>1450</v>
      </c>
      <c r="F3129" s="27" t="s">
        <v>1453</v>
      </c>
      <c r="H3129" s="27" t="s">
        <v>1454</v>
      </c>
      <c r="L3129" s="27" t="s">
        <v>5051</v>
      </c>
      <c r="M3129" s="27" t="s">
        <v>5060</v>
      </c>
      <c r="N3129" s="27" t="s">
        <v>1797</v>
      </c>
      <c r="P3129" s="27" t="s">
        <v>19610</v>
      </c>
      <c r="Q3129" s="26" t="str">
        <f>HYPERLINK("https://ictv.global/taxonomy/taxondetails?taxnode_id=202508068&amp;ictv_id=ICTV201908068","ICTV201908068")</f>
        <v>ICTV201908068</v>
      </c>
      <c r="R3129" t="s">
        <v>579</v>
      </c>
      <c r="S3129" t="s">
        <v>824</v>
      </c>
      <c r="T3129">
        <v>40</v>
      </c>
      <c r="U3129" s="26" t="str">
        <f>HYPERLINK("https://ictv.global/ictv/proposals/2024.036B.Caudoviricetes_Faserviricetes_Name_Corrections.zip","2024.036B.Caudoviricetes_Faserviricetes_Name_Corrections.zip")</f>
        <v>2024.036B.Caudoviricetes_Faserviricetes_Name_Corrections.zip</v>
      </c>
    </row>
    <row r="3130" spans="1:21">
      <c r="A3130">
        <v>3129</v>
      </c>
      <c r="B3130" s="27" t="s">
        <v>1449</v>
      </c>
      <c r="D3130" s="27" t="s">
        <v>1450</v>
      </c>
      <c r="F3130" s="27" t="s">
        <v>1453</v>
      </c>
      <c r="H3130" s="27" t="s">
        <v>1454</v>
      </c>
      <c r="L3130" s="27" t="s">
        <v>5051</v>
      </c>
      <c r="M3130" s="27" t="s">
        <v>5060</v>
      </c>
      <c r="N3130" s="27" t="s">
        <v>1797</v>
      </c>
      <c r="P3130" s="27" t="s">
        <v>19611</v>
      </c>
      <c r="Q3130" s="26" t="str">
        <f>HYPERLINK("https://ictv.global/taxonomy/taxondetails?taxnode_id=202508069&amp;ictv_id=ICTV201908069","ICTV201908069")</f>
        <v>ICTV201908069</v>
      </c>
      <c r="R3130" t="s">
        <v>579</v>
      </c>
      <c r="S3130" t="s">
        <v>824</v>
      </c>
      <c r="T3130">
        <v>40</v>
      </c>
      <c r="U3130" s="26" t="str">
        <f>HYPERLINK("https://ictv.global/ictv/proposals/2024.036B.Caudoviricetes_Faserviricetes_Name_Corrections.zip","2024.036B.Caudoviricetes_Faserviricetes_Name_Corrections.zip")</f>
        <v>2024.036B.Caudoviricetes_Faserviricetes_Name_Corrections.zip</v>
      </c>
    </row>
    <row r="3131" spans="1:21">
      <c r="A3131">
        <v>3130</v>
      </c>
      <c r="B3131" s="27" t="s">
        <v>1449</v>
      </c>
      <c r="D3131" s="27" t="s">
        <v>1450</v>
      </c>
      <c r="F3131" s="27" t="s">
        <v>1453</v>
      </c>
      <c r="H3131" s="27" t="s">
        <v>1454</v>
      </c>
      <c r="L3131" s="27" t="s">
        <v>5051</v>
      </c>
      <c r="M3131" s="27" t="s">
        <v>5060</v>
      </c>
      <c r="N3131" s="27" t="s">
        <v>634</v>
      </c>
      <c r="P3131" s="27" t="s">
        <v>22659</v>
      </c>
      <c r="Q3131" s="26" t="str">
        <f>HYPERLINK("https://ictv.global/taxonomy/taxondetails?taxnode_id=202523244&amp;ictv_id=ICTV202523244","ICTV202523244")</f>
        <v>ICTV202523244</v>
      </c>
      <c r="R3131" t="s">
        <v>579</v>
      </c>
      <c r="S3131" t="s">
        <v>823</v>
      </c>
      <c r="T3131">
        <v>41</v>
      </c>
      <c r="U3131" s="26" t="str">
        <f t="shared" ref="U3131:U3136" si="118">HYPERLINK("https://ictv.global/ictv/proposals/2025.081B.Yuavirus_12ns.zip","2025.081B.Yuavirus_12ns.zip")</f>
        <v>2025.081B.Yuavirus_12ns.zip</v>
      </c>
    </row>
    <row r="3132" spans="1:21">
      <c r="A3132">
        <v>3131</v>
      </c>
      <c r="B3132" s="27" t="s">
        <v>1449</v>
      </c>
      <c r="D3132" s="27" t="s">
        <v>1450</v>
      </c>
      <c r="F3132" s="27" t="s">
        <v>1453</v>
      </c>
      <c r="H3132" s="27" t="s">
        <v>1454</v>
      </c>
      <c r="L3132" s="27" t="s">
        <v>5051</v>
      </c>
      <c r="M3132" s="27" t="s">
        <v>5060</v>
      </c>
      <c r="N3132" s="27" t="s">
        <v>634</v>
      </c>
      <c r="P3132" s="27" t="s">
        <v>22668</v>
      </c>
      <c r="Q3132" s="26" t="str">
        <f>HYPERLINK("https://ictv.global/taxonomy/taxondetails?taxnode_id=202523253&amp;ictv_id=ICTV202523253","ICTV202523253")</f>
        <v>ICTV202523253</v>
      </c>
      <c r="R3132" t="s">
        <v>579</v>
      </c>
      <c r="S3132" t="s">
        <v>823</v>
      </c>
      <c r="T3132">
        <v>41</v>
      </c>
      <c r="U3132" s="26" t="str">
        <f t="shared" si="118"/>
        <v>2025.081B.Yuavirus_12ns.zip</v>
      </c>
    </row>
    <row r="3133" spans="1:21">
      <c r="A3133">
        <v>3132</v>
      </c>
      <c r="B3133" s="27" t="s">
        <v>1449</v>
      </c>
      <c r="D3133" s="27" t="s">
        <v>1450</v>
      </c>
      <c r="F3133" s="27" t="s">
        <v>1453</v>
      </c>
      <c r="H3133" s="27" t="s">
        <v>1454</v>
      </c>
      <c r="L3133" s="27" t="s">
        <v>5051</v>
      </c>
      <c r="M3133" s="27" t="s">
        <v>5060</v>
      </c>
      <c r="N3133" s="27" t="s">
        <v>634</v>
      </c>
      <c r="P3133" s="27" t="s">
        <v>22664</v>
      </c>
      <c r="Q3133" s="26" t="str">
        <f>HYPERLINK("https://ictv.global/taxonomy/taxondetails?taxnode_id=202523249&amp;ictv_id=ICTV202523249","ICTV202523249")</f>
        <v>ICTV202523249</v>
      </c>
      <c r="R3133" t="s">
        <v>579</v>
      </c>
      <c r="S3133" t="s">
        <v>823</v>
      </c>
      <c r="T3133">
        <v>41</v>
      </c>
      <c r="U3133" s="26" t="str">
        <f t="shared" si="118"/>
        <v>2025.081B.Yuavirus_12ns.zip</v>
      </c>
    </row>
    <row r="3134" spans="1:21">
      <c r="A3134">
        <v>3133</v>
      </c>
      <c r="B3134" s="27" t="s">
        <v>1449</v>
      </c>
      <c r="D3134" s="27" t="s">
        <v>1450</v>
      </c>
      <c r="F3134" s="27" t="s">
        <v>1453</v>
      </c>
      <c r="H3134" s="27" t="s">
        <v>1454</v>
      </c>
      <c r="L3134" s="27" t="s">
        <v>5051</v>
      </c>
      <c r="M3134" s="27" t="s">
        <v>5060</v>
      </c>
      <c r="N3134" s="27" t="s">
        <v>634</v>
      </c>
      <c r="P3134" s="27" t="s">
        <v>22669</v>
      </c>
      <c r="Q3134" s="26" t="str">
        <f>HYPERLINK("https://ictv.global/taxonomy/taxondetails?taxnode_id=202523254&amp;ictv_id=ICTV202523254","ICTV202523254")</f>
        <v>ICTV202523254</v>
      </c>
      <c r="R3134" t="s">
        <v>579</v>
      </c>
      <c r="S3134" t="s">
        <v>823</v>
      </c>
      <c r="T3134">
        <v>41</v>
      </c>
      <c r="U3134" s="26" t="str">
        <f t="shared" si="118"/>
        <v>2025.081B.Yuavirus_12ns.zip</v>
      </c>
    </row>
    <row r="3135" spans="1:21">
      <c r="A3135">
        <v>3134</v>
      </c>
      <c r="B3135" s="27" t="s">
        <v>1449</v>
      </c>
      <c r="D3135" s="27" t="s">
        <v>1450</v>
      </c>
      <c r="F3135" s="27" t="s">
        <v>1453</v>
      </c>
      <c r="H3135" s="27" t="s">
        <v>1454</v>
      </c>
      <c r="L3135" s="27" t="s">
        <v>5051</v>
      </c>
      <c r="M3135" s="27" t="s">
        <v>5060</v>
      </c>
      <c r="N3135" s="27" t="s">
        <v>634</v>
      </c>
      <c r="P3135" s="27" t="s">
        <v>22660</v>
      </c>
      <c r="Q3135" s="26" t="str">
        <f>HYPERLINK("https://ictv.global/taxonomy/taxondetails?taxnode_id=202523245&amp;ictv_id=ICTV202523245","ICTV202523245")</f>
        <v>ICTV202523245</v>
      </c>
      <c r="R3135" t="s">
        <v>579</v>
      </c>
      <c r="S3135" t="s">
        <v>823</v>
      </c>
      <c r="T3135">
        <v>41</v>
      </c>
      <c r="U3135" s="26" t="str">
        <f t="shared" si="118"/>
        <v>2025.081B.Yuavirus_12ns.zip</v>
      </c>
    </row>
    <row r="3136" spans="1:21">
      <c r="A3136">
        <v>3135</v>
      </c>
      <c r="B3136" s="27" t="s">
        <v>1449</v>
      </c>
      <c r="D3136" s="27" t="s">
        <v>1450</v>
      </c>
      <c r="F3136" s="27" t="s">
        <v>1453</v>
      </c>
      <c r="H3136" s="27" t="s">
        <v>1454</v>
      </c>
      <c r="L3136" s="27" t="s">
        <v>5051</v>
      </c>
      <c r="M3136" s="27" t="s">
        <v>5060</v>
      </c>
      <c r="N3136" s="27" t="s">
        <v>634</v>
      </c>
      <c r="P3136" s="27" t="s">
        <v>22661</v>
      </c>
      <c r="Q3136" s="26" t="str">
        <f>HYPERLINK("https://ictv.global/taxonomy/taxondetails?taxnode_id=202523246&amp;ictv_id=ICTV202523246","ICTV202523246")</f>
        <v>ICTV202523246</v>
      </c>
      <c r="R3136" t="s">
        <v>579</v>
      </c>
      <c r="S3136" t="s">
        <v>823</v>
      </c>
      <c r="T3136">
        <v>41</v>
      </c>
      <c r="U3136" s="26" t="str">
        <f t="shared" si="118"/>
        <v>2025.081B.Yuavirus_12ns.zip</v>
      </c>
    </row>
    <row r="3137" spans="1:21">
      <c r="A3137">
        <v>3136</v>
      </c>
      <c r="B3137" s="27" t="s">
        <v>1449</v>
      </c>
      <c r="D3137" s="27" t="s">
        <v>1450</v>
      </c>
      <c r="F3137" s="27" t="s">
        <v>1453</v>
      </c>
      <c r="H3137" s="27" t="s">
        <v>1454</v>
      </c>
      <c r="L3137" s="27" t="s">
        <v>5051</v>
      </c>
      <c r="M3137" s="27" t="s">
        <v>5060</v>
      </c>
      <c r="N3137" s="27" t="s">
        <v>634</v>
      </c>
      <c r="P3137" s="27" t="s">
        <v>19612</v>
      </c>
      <c r="Q3137" s="26" t="str">
        <f>HYPERLINK("https://ictv.global/taxonomy/taxondetails?taxnode_id=202501387&amp;ictv_id=ICTV20165109","ICTV20165109")</f>
        <v>ICTV20165109</v>
      </c>
      <c r="R3137" t="s">
        <v>579</v>
      </c>
      <c r="S3137" t="s">
        <v>824</v>
      </c>
      <c r="T3137">
        <v>40</v>
      </c>
      <c r="U3137" s="26" t="str">
        <f>HYPERLINK("https://ictv.global/ictv/proposals/2024.036B.Caudoviricetes_Faserviricetes_Name_Corrections.zip","2024.036B.Caudoviricetes_Faserviricetes_Name_Corrections.zip")</f>
        <v>2024.036B.Caudoviricetes_Faserviricetes_Name_Corrections.zip</v>
      </c>
    </row>
    <row r="3138" spans="1:21">
      <c r="A3138">
        <v>3137</v>
      </c>
      <c r="B3138" s="27" t="s">
        <v>1449</v>
      </c>
      <c r="D3138" s="27" t="s">
        <v>1450</v>
      </c>
      <c r="F3138" s="27" t="s">
        <v>1453</v>
      </c>
      <c r="H3138" s="27" t="s">
        <v>1454</v>
      </c>
      <c r="L3138" s="27" t="s">
        <v>5051</v>
      </c>
      <c r="M3138" s="27" t="s">
        <v>5060</v>
      </c>
      <c r="N3138" s="27" t="s">
        <v>634</v>
      </c>
      <c r="P3138" s="27" t="s">
        <v>22671</v>
      </c>
      <c r="Q3138" s="26" t="str">
        <f>HYPERLINK("https://ictv.global/taxonomy/taxondetails?taxnode_id=202523256&amp;ictv_id=ICTV202523256","ICTV202523256")</f>
        <v>ICTV202523256</v>
      </c>
      <c r="R3138" t="s">
        <v>579</v>
      </c>
      <c r="S3138" t="s">
        <v>823</v>
      </c>
      <c r="T3138">
        <v>41</v>
      </c>
      <c r="U3138" s="26" t="str">
        <f>HYPERLINK("https://ictv.global/ictv/proposals/2025.082B.Yuavirus_2ns.zip","2025.082B.Yuavirus_2ns.zip")</f>
        <v>2025.082B.Yuavirus_2ns.zip</v>
      </c>
    </row>
    <row r="3139" spans="1:21">
      <c r="A3139">
        <v>3138</v>
      </c>
      <c r="B3139" s="27" t="s">
        <v>1449</v>
      </c>
      <c r="D3139" s="27" t="s">
        <v>1450</v>
      </c>
      <c r="F3139" s="27" t="s">
        <v>1453</v>
      </c>
      <c r="H3139" s="27" t="s">
        <v>1454</v>
      </c>
      <c r="L3139" s="27" t="s">
        <v>5051</v>
      </c>
      <c r="M3139" s="27" t="s">
        <v>5060</v>
      </c>
      <c r="N3139" s="27" t="s">
        <v>634</v>
      </c>
      <c r="P3139" s="27" t="s">
        <v>19613</v>
      </c>
      <c r="Q3139" s="26" t="str">
        <f>HYPERLINK("https://ictv.global/taxonomy/taxondetails?taxnode_id=202501388&amp;ictv_id=ICTV20125871","ICTV20125871")</f>
        <v>ICTV20125871</v>
      </c>
      <c r="R3139" t="s">
        <v>579</v>
      </c>
      <c r="S3139" t="s">
        <v>824</v>
      </c>
      <c r="T3139">
        <v>40</v>
      </c>
      <c r="U3139" s="26" t="str">
        <f>HYPERLINK("https://ictv.global/ictv/proposals/2024.036B.Caudoviricetes_Faserviricetes_Name_Corrections.zip","2024.036B.Caudoviricetes_Faserviricetes_Name_Corrections.zip")</f>
        <v>2024.036B.Caudoviricetes_Faserviricetes_Name_Corrections.zip</v>
      </c>
    </row>
    <row r="3140" spans="1:21">
      <c r="A3140">
        <v>3139</v>
      </c>
      <c r="B3140" s="27" t="s">
        <v>1449</v>
      </c>
      <c r="D3140" s="27" t="s">
        <v>1450</v>
      </c>
      <c r="F3140" s="27" t="s">
        <v>1453</v>
      </c>
      <c r="H3140" s="27" t="s">
        <v>1454</v>
      </c>
      <c r="L3140" s="27" t="s">
        <v>5051</v>
      </c>
      <c r="M3140" s="27" t="s">
        <v>5060</v>
      </c>
      <c r="N3140" s="27" t="s">
        <v>634</v>
      </c>
      <c r="P3140" s="27" t="s">
        <v>19614</v>
      </c>
      <c r="Q3140" s="26" t="str">
        <f>HYPERLINK("https://ictv.global/taxonomy/taxondetails?taxnode_id=202501389&amp;ictv_id=ICTV20165110","ICTV20165110")</f>
        <v>ICTV20165110</v>
      </c>
      <c r="R3140" t="s">
        <v>579</v>
      </c>
      <c r="S3140" t="s">
        <v>824</v>
      </c>
      <c r="T3140">
        <v>40</v>
      </c>
      <c r="U3140" s="26" t="str">
        <f>HYPERLINK("https://ictv.global/ictv/proposals/2024.036B.Caudoviricetes_Faserviricetes_Name_Corrections.zip","2024.036B.Caudoviricetes_Faserviricetes_Name_Corrections.zip")</f>
        <v>2024.036B.Caudoviricetes_Faserviricetes_Name_Corrections.zip</v>
      </c>
    </row>
    <row r="3141" spans="1:21">
      <c r="A3141">
        <v>3140</v>
      </c>
      <c r="B3141" s="27" t="s">
        <v>1449</v>
      </c>
      <c r="D3141" s="27" t="s">
        <v>1450</v>
      </c>
      <c r="F3141" s="27" t="s">
        <v>1453</v>
      </c>
      <c r="H3141" s="27" t="s">
        <v>1454</v>
      </c>
      <c r="L3141" s="27" t="s">
        <v>5051</v>
      </c>
      <c r="M3141" s="27" t="s">
        <v>5060</v>
      </c>
      <c r="N3141" s="27" t="s">
        <v>634</v>
      </c>
      <c r="P3141" s="27" t="s">
        <v>22667</v>
      </c>
      <c r="Q3141" s="26" t="str">
        <f>HYPERLINK("https://ictv.global/taxonomy/taxondetails?taxnode_id=202523252&amp;ictv_id=ICTV202523252","ICTV202523252")</f>
        <v>ICTV202523252</v>
      </c>
      <c r="R3141" t="s">
        <v>579</v>
      </c>
      <c r="S3141" t="s">
        <v>823</v>
      </c>
      <c r="T3141">
        <v>41</v>
      </c>
      <c r="U3141" s="26" t="str">
        <f>HYPERLINK("https://ictv.global/ictv/proposals/2025.081B.Yuavirus_12ns.zip","2025.081B.Yuavirus_12ns.zip")</f>
        <v>2025.081B.Yuavirus_12ns.zip</v>
      </c>
    </row>
    <row r="3142" spans="1:21">
      <c r="A3142">
        <v>3141</v>
      </c>
      <c r="B3142" s="27" t="s">
        <v>1449</v>
      </c>
      <c r="D3142" s="27" t="s">
        <v>1450</v>
      </c>
      <c r="F3142" s="27" t="s">
        <v>1453</v>
      </c>
      <c r="H3142" s="27" t="s">
        <v>1454</v>
      </c>
      <c r="L3142" s="27" t="s">
        <v>5051</v>
      </c>
      <c r="M3142" s="27" t="s">
        <v>5060</v>
      </c>
      <c r="N3142" s="27" t="s">
        <v>634</v>
      </c>
      <c r="P3142" s="27" t="s">
        <v>22662</v>
      </c>
      <c r="Q3142" s="26" t="str">
        <f>HYPERLINK("https://ictv.global/taxonomy/taxondetails?taxnode_id=202523247&amp;ictv_id=ICTV202523247","ICTV202523247")</f>
        <v>ICTV202523247</v>
      </c>
      <c r="R3142" t="s">
        <v>579</v>
      </c>
      <c r="S3142" t="s">
        <v>823</v>
      </c>
      <c r="T3142">
        <v>41</v>
      </c>
      <c r="U3142" s="26" t="str">
        <f>HYPERLINK("https://ictv.global/ictv/proposals/2025.081B.Yuavirus_12ns.zip","2025.081B.Yuavirus_12ns.zip")</f>
        <v>2025.081B.Yuavirus_12ns.zip</v>
      </c>
    </row>
    <row r="3143" spans="1:21">
      <c r="A3143">
        <v>3142</v>
      </c>
      <c r="B3143" s="27" t="s">
        <v>1449</v>
      </c>
      <c r="D3143" s="27" t="s">
        <v>1450</v>
      </c>
      <c r="F3143" s="27" t="s">
        <v>1453</v>
      </c>
      <c r="H3143" s="27" t="s">
        <v>1454</v>
      </c>
      <c r="L3143" s="27" t="s">
        <v>5051</v>
      </c>
      <c r="M3143" s="27" t="s">
        <v>5060</v>
      </c>
      <c r="N3143" s="27" t="s">
        <v>634</v>
      </c>
      <c r="P3143" s="27" t="s">
        <v>22663</v>
      </c>
      <c r="Q3143" s="26" t="str">
        <f>HYPERLINK("https://ictv.global/taxonomy/taxondetails?taxnode_id=202523248&amp;ictv_id=ICTV202523248","ICTV202523248")</f>
        <v>ICTV202523248</v>
      </c>
      <c r="R3143" t="s">
        <v>579</v>
      </c>
      <c r="S3143" t="s">
        <v>823</v>
      </c>
      <c r="T3143">
        <v>41</v>
      </c>
      <c r="U3143" s="26" t="str">
        <f>HYPERLINK("https://ictv.global/ictv/proposals/2025.081B.Yuavirus_12ns.zip","2025.081B.Yuavirus_12ns.zip")</f>
        <v>2025.081B.Yuavirus_12ns.zip</v>
      </c>
    </row>
    <row r="3144" spans="1:21">
      <c r="A3144">
        <v>3143</v>
      </c>
      <c r="B3144" s="27" t="s">
        <v>1449</v>
      </c>
      <c r="D3144" s="27" t="s">
        <v>1450</v>
      </c>
      <c r="F3144" s="27" t="s">
        <v>1453</v>
      </c>
      <c r="H3144" s="27" t="s">
        <v>1454</v>
      </c>
      <c r="L3144" s="27" t="s">
        <v>5051</v>
      </c>
      <c r="M3144" s="27" t="s">
        <v>5060</v>
      </c>
      <c r="N3144" s="27" t="s">
        <v>634</v>
      </c>
      <c r="P3144" s="27" t="s">
        <v>19615</v>
      </c>
      <c r="Q3144" s="26" t="str">
        <f>HYPERLINK("https://ictv.global/taxonomy/taxondetails?taxnode_id=202501390&amp;ictv_id=ICTV20165111","ICTV20165111")</f>
        <v>ICTV20165111</v>
      </c>
      <c r="R3144" t="s">
        <v>579</v>
      </c>
      <c r="S3144" t="s">
        <v>824</v>
      </c>
      <c r="T3144">
        <v>40</v>
      </c>
      <c r="U3144" s="26" t="str">
        <f>HYPERLINK("https://ictv.global/ictv/proposals/2024.036B.Caudoviricetes_Faserviricetes_Name_Corrections.zip","2024.036B.Caudoviricetes_Faserviricetes_Name_Corrections.zip")</f>
        <v>2024.036B.Caudoviricetes_Faserviricetes_Name_Corrections.zip</v>
      </c>
    </row>
    <row r="3145" spans="1:21">
      <c r="A3145">
        <v>3144</v>
      </c>
      <c r="B3145" s="27" t="s">
        <v>1449</v>
      </c>
      <c r="D3145" s="27" t="s">
        <v>1450</v>
      </c>
      <c r="F3145" s="27" t="s">
        <v>1453</v>
      </c>
      <c r="H3145" s="27" t="s">
        <v>1454</v>
      </c>
      <c r="L3145" s="27" t="s">
        <v>5051</v>
      </c>
      <c r="M3145" s="27" t="s">
        <v>5060</v>
      </c>
      <c r="N3145" s="27" t="s">
        <v>634</v>
      </c>
      <c r="P3145" s="27" t="s">
        <v>22658</v>
      </c>
      <c r="Q3145" s="26" t="str">
        <f>HYPERLINK("https://ictv.global/taxonomy/taxondetails?taxnode_id=202523243&amp;ictv_id=ICTV202523243","ICTV202523243")</f>
        <v>ICTV202523243</v>
      </c>
      <c r="R3145" t="s">
        <v>579</v>
      </c>
      <c r="S3145" t="s">
        <v>823</v>
      </c>
      <c r="T3145">
        <v>41</v>
      </c>
      <c r="U3145" s="26" t="str">
        <f>HYPERLINK("https://ictv.global/ictv/proposals/2025.081B.Yuavirus_12ns.zip","2025.081B.Yuavirus_12ns.zip")</f>
        <v>2025.081B.Yuavirus_12ns.zip</v>
      </c>
    </row>
    <row r="3146" spans="1:21">
      <c r="A3146">
        <v>3145</v>
      </c>
      <c r="B3146" s="27" t="s">
        <v>1449</v>
      </c>
      <c r="D3146" s="27" t="s">
        <v>1450</v>
      </c>
      <c r="F3146" s="27" t="s">
        <v>1453</v>
      </c>
      <c r="H3146" s="27" t="s">
        <v>1454</v>
      </c>
      <c r="L3146" s="27" t="s">
        <v>5051</v>
      </c>
      <c r="M3146" s="27" t="s">
        <v>5060</v>
      </c>
      <c r="N3146" s="27" t="s">
        <v>634</v>
      </c>
      <c r="P3146" s="27" t="s">
        <v>22665</v>
      </c>
      <c r="Q3146" s="26" t="str">
        <f>HYPERLINK("https://ictv.global/taxonomy/taxondetails?taxnode_id=202523250&amp;ictv_id=ICTV202523250","ICTV202523250")</f>
        <v>ICTV202523250</v>
      </c>
      <c r="R3146" t="s">
        <v>579</v>
      </c>
      <c r="S3146" t="s">
        <v>823</v>
      </c>
      <c r="T3146">
        <v>41</v>
      </c>
      <c r="U3146" s="26" t="str">
        <f>HYPERLINK("https://ictv.global/ictv/proposals/2025.081B.Yuavirus_12ns.zip","2025.081B.Yuavirus_12ns.zip")</f>
        <v>2025.081B.Yuavirus_12ns.zip</v>
      </c>
    </row>
    <row r="3147" spans="1:21">
      <c r="A3147">
        <v>3146</v>
      </c>
      <c r="B3147" s="27" t="s">
        <v>1449</v>
      </c>
      <c r="D3147" s="27" t="s">
        <v>1450</v>
      </c>
      <c r="F3147" s="27" t="s">
        <v>1453</v>
      </c>
      <c r="H3147" s="27" t="s">
        <v>1454</v>
      </c>
      <c r="L3147" s="27" t="s">
        <v>5051</v>
      </c>
      <c r="M3147" s="27" t="s">
        <v>5060</v>
      </c>
      <c r="N3147" s="27" t="s">
        <v>634</v>
      </c>
      <c r="P3147" s="27" t="s">
        <v>22666</v>
      </c>
      <c r="Q3147" s="26" t="str">
        <f>HYPERLINK("https://ictv.global/taxonomy/taxondetails?taxnode_id=202523251&amp;ictv_id=ICTV202523251","ICTV202523251")</f>
        <v>ICTV202523251</v>
      </c>
      <c r="R3147" t="s">
        <v>579</v>
      </c>
      <c r="S3147" t="s">
        <v>823</v>
      </c>
      <c r="T3147">
        <v>41</v>
      </c>
      <c r="U3147" s="26" t="str">
        <f>HYPERLINK("https://ictv.global/ictv/proposals/2025.081B.Yuavirus_12ns.zip","2025.081B.Yuavirus_12ns.zip")</f>
        <v>2025.081B.Yuavirus_12ns.zip</v>
      </c>
    </row>
    <row r="3148" spans="1:21">
      <c r="A3148">
        <v>3147</v>
      </c>
      <c r="B3148" s="27" t="s">
        <v>1449</v>
      </c>
      <c r="D3148" s="27" t="s">
        <v>1450</v>
      </c>
      <c r="F3148" s="27" t="s">
        <v>1453</v>
      </c>
      <c r="H3148" s="27" t="s">
        <v>1454</v>
      </c>
      <c r="L3148" s="27" t="s">
        <v>5051</v>
      </c>
      <c r="M3148" s="27" t="s">
        <v>5060</v>
      </c>
      <c r="N3148" s="27" t="s">
        <v>634</v>
      </c>
      <c r="P3148" s="27" t="s">
        <v>22670</v>
      </c>
      <c r="Q3148" s="26" t="str">
        <f>HYPERLINK("https://ictv.global/taxonomy/taxondetails?taxnode_id=202523255&amp;ictv_id=ICTV202523255","ICTV202523255")</f>
        <v>ICTV202523255</v>
      </c>
      <c r="R3148" t="s">
        <v>579</v>
      </c>
      <c r="S3148" t="s">
        <v>823</v>
      </c>
      <c r="T3148">
        <v>41</v>
      </c>
      <c r="U3148" s="26" t="str">
        <f>HYPERLINK("https://ictv.global/ictv/proposals/2025.082B.Yuavirus_2ns.zip","2025.082B.Yuavirus_2ns.zip")</f>
        <v>2025.082B.Yuavirus_2ns.zip</v>
      </c>
    </row>
    <row r="3149" spans="1:21">
      <c r="A3149">
        <v>3148</v>
      </c>
      <c r="B3149" s="27" t="s">
        <v>1449</v>
      </c>
      <c r="D3149" s="27" t="s">
        <v>1450</v>
      </c>
      <c r="F3149" s="27" t="s">
        <v>1453</v>
      </c>
      <c r="H3149" s="27" t="s">
        <v>1454</v>
      </c>
      <c r="L3149" s="27" t="s">
        <v>5051</v>
      </c>
      <c r="M3149" s="27" t="s">
        <v>5060</v>
      </c>
      <c r="N3149" s="27" t="s">
        <v>634</v>
      </c>
      <c r="P3149" s="27" t="s">
        <v>19616</v>
      </c>
      <c r="Q3149" s="26" t="str">
        <f>HYPERLINK("https://ictv.global/taxonomy/taxondetails?taxnode_id=202501391&amp;ictv_id=ICTV20125870","ICTV20125870")</f>
        <v>ICTV20125870</v>
      </c>
      <c r="R3149" t="s">
        <v>579</v>
      </c>
      <c r="S3149" t="s">
        <v>824</v>
      </c>
      <c r="T3149">
        <v>40</v>
      </c>
      <c r="U3149" s="26" t="str">
        <f>HYPERLINK("https://ictv.global/ictv/proposals/2024.036B.Caudoviricetes_Faserviricetes_Name_Corrections.zip","2024.036B.Caudoviricetes_Faserviricetes_Name_Corrections.zip")</f>
        <v>2024.036B.Caudoviricetes_Faserviricetes_Name_Corrections.zip</v>
      </c>
    </row>
    <row r="3150" spans="1:21">
      <c r="A3150">
        <v>3149</v>
      </c>
      <c r="B3150" s="27" t="s">
        <v>1449</v>
      </c>
      <c r="D3150" s="27" t="s">
        <v>1450</v>
      </c>
      <c r="F3150" s="27" t="s">
        <v>1453</v>
      </c>
      <c r="H3150" s="27" t="s">
        <v>1454</v>
      </c>
      <c r="L3150" s="27" t="s">
        <v>5051</v>
      </c>
      <c r="N3150" s="27" t="s">
        <v>5061</v>
      </c>
      <c r="P3150" s="27" t="s">
        <v>5062</v>
      </c>
      <c r="Q3150" s="26" t="str">
        <f>HYPERLINK("https://ictv.global/taxonomy/taxondetails?taxnode_id=202501386&amp;ictv_id=ICTV20125872","ICTV20125872")</f>
        <v>ICTV20125872</v>
      </c>
      <c r="R3150" t="s">
        <v>579</v>
      </c>
      <c r="S3150" t="s">
        <v>22764</v>
      </c>
      <c r="T3150">
        <v>37</v>
      </c>
      <c r="U3150" s="26" t="str">
        <f>HYPERLINK("https://ictv.global/ictv/proposals/2021.051B.R.Mesyanzhinovviridae.zip","2021.051B.R.Mesyanzhinovviridae.zip")</f>
        <v>2021.051B.R.Mesyanzhinovviridae.zip</v>
      </c>
    </row>
    <row r="3151" spans="1:21">
      <c r="A3151">
        <v>3150</v>
      </c>
      <c r="B3151" s="27" t="s">
        <v>1449</v>
      </c>
      <c r="D3151" s="27" t="s">
        <v>1450</v>
      </c>
      <c r="F3151" s="27" t="s">
        <v>1453</v>
      </c>
      <c r="H3151" s="27" t="s">
        <v>1454</v>
      </c>
      <c r="L3151" s="27" t="s">
        <v>5063</v>
      </c>
      <c r="N3151" s="27" t="s">
        <v>5064</v>
      </c>
      <c r="P3151" s="27" t="s">
        <v>5065</v>
      </c>
      <c r="Q3151" s="26" t="str">
        <f>HYPERLINK("https://ictv.global/taxonomy/taxondetails?taxnode_id=202513565&amp;ictv_id=ICTV202113565","ICTV202113565")</f>
        <v>ICTV202113565</v>
      </c>
      <c r="R3151" t="s">
        <v>579</v>
      </c>
      <c r="S3151" t="s">
        <v>823</v>
      </c>
      <c r="T3151">
        <v>37</v>
      </c>
      <c r="U3151" s="26" t="str">
        <f>HYPERLINK("https://ictv.global/ictv/proposals/2021.029B.R.Flavophages_9_families.zip","2021.029B.R.Flavophages_9_families.zip")</f>
        <v>2021.029B.R.Flavophages_9_families.zip</v>
      </c>
    </row>
    <row r="3152" spans="1:21">
      <c r="A3152">
        <v>3151</v>
      </c>
      <c r="B3152" s="27" t="s">
        <v>1449</v>
      </c>
      <c r="D3152" s="27" t="s">
        <v>1450</v>
      </c>
      <c r="F3152" s="27" t="s">
        <v>1453</v>
      </c>
      <c r="H3152" s="27" t="s">
        <v>1454</v>
      </c>
      <c r="L3152" s="27" t="s">
        <v>5063</v>
      </c>
      <c r="N3152" s="27" t="s">
        <v>5064</v>
      </c>
      <c r="P3152" s="27" t="s">
        <v>5066</v>
      </c>
      <c r="Q3152" s="26" t="str">
        <f>HYPERLINK("https://ictv.global/taxonomy/taxondetails?taxnode_id=202513564&amp;ictv_id=ICTV202113564","ICTV202113564")</f>
        <v>ICTV202113564</v>
      </c>
      <c r="R3152" t="s">
        <v>579</v>
      </c>
      <c r="S3152" t="s">
        <v>823</v>
      </c>
      <c r="T3152">
        <v>37</v>
      </c>
      <c r="U3152" s="26" t="str">
        <f>HYPERLINK("https://ictv.global/ictv/proposals/2021.029B.R.Flavophages_9_families.zip","2021.029B.R.Flavophages_9_families.zip")</f>
        <v>2021.029B.R.Flavophages_9_families.zip</v>
      </c>
    </row>
    <row r="3153" spans="1:21">
      <c r="A3153">
        <v>3152</v>
      </c>
      <c r="B3153" s="27" t="s">
        <v>1449</v>
      </c>
      <c r="D3153" s="27" t="s">
        <v>1450</v>
      </c>
      <c r="F3153" s="27" t="s">
        <v>1453</v>
      </c>
      <c r="H3153" s="27" t="s">
        <v>1454</v>
      </c>
      <c r="L3153" s="27" t="s">
        <v>20750</v>
      </c>
      <c r="M3153" s="27" t="s">
        <v>6091</v>
      </c>
      <c r="N3153" s="27" t="s">
        <v>1301</v>
      </c>
      <c r="P3153" s="27" t="s">
        <v>6092</v>
      </c>
      <c r="Q3153" s="26" t="str">
        <f>HYPERLINK("https://ictv.global/taxonomy/taxondetails?taxnode_id=202514609&amp;ictv_id=ICTV202214609","ICTV202214609")</f>
        <v>ICTV202214609</v>
      </c>
      <c r="R3153" t="s">
        <v>579</v>
      </c>
      <c r="S3153" t="s">
        <v>22763</v>
      </c>
      <c r="T3153">
        <v>40</v>
      </c>
      <c r="U3153" s="26" t="str">
        <f t="shared" ref="U3153:U3165" si="119">HYPERLINK("https://ictv.global/ictv/proposals/2024.024B.Mktvariviridae_1nf_1msf_10ns.zip","2024.024B.Mktvariviridae_1nf_1msf_10ns.zip")</f>
        <v>2024.024B.Mktvariviridae_1nf_1msf_10ns.zip</v>
      </c>
    </row>
    <row r="3154" spans="1:21">
      <c r="A3154">
        <v>3153</v>
      </c>
      <c r="B3154" s="27" t="s">
        <v>1449</v>
      </c>
      <c r="D3154" s="27" t="s">
        <v>1450</v>
      </c>
      <c r="F3154" s="27" t="s">
        <v>1453</v>
      </c>
      <c r="H3154" s="27" t="s">
        <v>1454</v>
      </c>
      <c r="L3154" s="27" t="s">
        <v>20750</v>
      </c>
      <c r="M3154" s="27" t="s">
        <v>6091</v>
      </c>
      <c r="N3154" s="27" t="s">
        <v>1301</v>
      </c>
      <c r="P3154" s="27" t="s">
        <v>6093</v>
      </c>
      <c r="Q3154" s="26" t="str">
        <f>HYPERLINK("https://ictv.global/taxonomy/taxondetails?taxnode_id=202514606&amp;ictv_id=ICTV202214606","ICTV202214606")</f>
        <v>ICTV202214606</v>
      </c>
      <c r="R3154" t="s">
        <v>579</v>
      </c>
      <c r="S3154" t="s">
        <v>22763</v>
      </c>
      <c r="T3154">
        <v>40</v>
      </c>
      <c r="U3154" s="26" t="str">
        <f t="shared" si="119"/>
        <v>2024.024B.Mktvariviridae_1nf_1msf_10ns.zip</v>
      </c>
    </row>
    <row r="3155" spans="1:21">
      <c r="A3155">
        <v>3154</v>
      </c>
      <c r="B3155" s="27" t="s">
        <v>1449</v>
      </c>
      <c r="D3155" s="27" t="s">
        <v>1450</v>
      </c>
      <c r="F3155" s="27" t="s">
        <v>1453</v>
      </c>
      <c r="H3155" s="27" t="s">
        <v>1454</v>
      </c>
      <c r="L3155" s="27" t="s">
        <v>20750</v>
      </c>
      <c r="M3155" s="27" t="s">
        <v>6091</v>
      </c>
      <c r="N3155" s="27" t="s">
        <v>1301</v>
      </c>
      <c r="P3155" s="27" t="s">
        <v>6094</v>
      </c>
      <c r="Q3155" s="26" t="str">
        <f>HYPERLINK("https://ictv.global/taxonomy/taxondetails?taxnode_id=202514604&amp;ictv_id=ICTV202214604","ICTV202214604")</f>
        <v>ICTV202214604</v>
      </c>
      <c r="R3155" t="s">
        <v>579</v>
      </c>
      <c r="S3155" t="s">
        <v>22763</v>
      </c>
      <c r="T3155">
        <v>40</v>
      </c>
      <c r="U3155" s="26" t="str">
        <f t="shared" si="119"/>
        <v>2024.024B.Mktvariviridae_1nf_1msf_10ns.zip</v>
      </c>
    </row>
    <row r="3156" spans="1:21">
      <c r="A3156">
        <v>3155</v>
      </c>
      <c r="B3156" s="27" t="s">
        <v>1449</v>
      </c>
      <c r="D3156" s="27" t="s">
        <v>1450</v>
      </c>
      <c r="F3156" s="27" t="s">
        <v>1453</v>
      </c>
      <c r="H3156" s="27" t="s">
        <v>1454</v>
      </c>
      <c r="L3156" s="27" t="s">
        <v>20750</v>
      </c>
      <c r="M3156" s="27" t="s">
        <v>6091</v>
      </c>
      <c r="N3156" s="27" t="s">
        <v>1301</v>
      </c>
      <c r="P3156" s="27" t="s">
        <v>6095</v>
      </c>
      <c r="Q3156" s="26" t="str">
        <f>HYPERLINK("https://ictv.global/taxonomy/taxondetails?taxnode_id=202514613&amp;ictv_id=ICTV202214613","ICTV202214613")</f>
        <v>ICTV202214613</v>
      </c>
      <c r="R3156" t="s">
        <v>579</v>
      </c>
      <c r="S3156" t="s">
        <v>22763</v>
      </c>
      <c r="T3156">
        <v>40</v>
      </c>
      <c r="U3156" s="26" t="str">
        <f t="shared" si="119"/>
        <v>2024.024B.Mktvariviridae_1nf_1msf_10ns.zip</v>
      </c>
    </row>
    <row r="3157" spans="1:21">
      <c r="A3157">
        <v>3156</v>
      </c>
      <c r="B3157" s="27" t="s">
        <v>1449</v>
      </c>
      <c r="D3157" s="27" t="s">
        <v>1450</v>
      </c>
      <c r="F3157" s="27" t="s">
        <v>1453</v>
      </c>
      <c r="H3157" s="27" t="s">
        <v>1454</v>
      </c>
      <c r="L3157" s="27" t="s">
        <v>20750</v>
      </c>
      <c r="M3157" s="27" t="s">
        <v>6091</v>
      </c>
      <c r="N3157" s="27" t="s">
        <v>1301</v>
      </c>
      <c r="P3157" s="27" t="s">
        <v>6096</v>
      </c>
      <c r="Q3157" s="26" t="str">
        <f>HYPERLINK("https://ictv.global/taxonomy/taxondetails?taxnode_id=202500688&amp;ictv_id=ICTV20164928","ICTV20164928")</f>
        <v>ICTV20164928</v>
      </c>
      <c r="R3157" t="s">
        <v>579</v>
      </c>
      <c r="S3157" t="s">
        <v>22763</v>
      </c>
      <c r="T3157">
        <v>40</v>
      </c>
      <c r="U3157" s="26" t="str">
        <f t="shared" si="119"/>
        <v>2024.024B.Mktvariviridae_1nf_1msf_10ns.zip</v>
      </c>
    </row>
    <row r="3158" spans="1:21">
      <c r="A3158">
        <v>3157</v>
      </c>
      <c r="B3158" s="27" t="s">
        <v>1449</v>
      </c>
      <c r="D3158" s="27" t="s">
        <v>1450</v>
      </c>
      <c r="F3158" s="27" t="s">
        <v>1453</v>
      </c>
      <c r="H3158" s="27" t="s">
        <v>1454</v>
      </c>
      <c r="L3158" s="27" t="s">
        <v>20750</v>
      </c>
      <c r="M3158" s="27" t="s">
        <v>6091</v>
      </c>
      <c r="N3158" s="27" t="s">
        <v>1301</v>
      </c>
      <c r="P3158" s="27" t="s">
        <v>19617</v>
      </c>
      <c r="Q3158" s="26" t="str">
        <f>HYPERLINK("https://ictv.global/taxonomy/taxondetails?taxnode_id=202520822&amp;ictv_id=ICTV202420822","ICTV202420822")</f>
        <v>ICTV202420822</v>
      </c>
      <c r="R3158" t="s">
        <v>579</v>
      </c>
      <c r="S3158" t="s">
        <v>823</v>
      </c>
      <c r="T3158">
        <v>40</v>
      </c>
      <c r="U3158" s="26" t="str">
        <f t="shared" si="119"/>
        <v>2024.024B.Mktvariviridae_1nf_1msf_10ns.zip</v>
      </c>
    </row>
    <row r="3159" spans="1:21">
      <c r="A3159">
        <v>3158</v>
      </c>
      <c r="B3159" s="27" t="s">
        <v>1449</v>
      </c>
      <c r="D3159" s="27" t="s">
        <v>1450</v>
      </c>
      <c r="F3159" s="27" t="s">
        <v>1453</v>
      </c>
      <c r="H3159" s="27" t="s">
        <v>1454</v>
      </c>
      <c r="L3159" s="27" t="s">
        <v>20750</v>
      </c>
      <c r="M3159" s="27" t="s">
        <v>6091</v>
      </c>
      <c r="N3159" s="27" t="s">
        <v>1301</v>
      </c>
      <c r="P3159" s="27" t="s">
        <v>6097</v>
      </c>
      <c r="Q3159" s="26" t="str">
        <f>HYPERLINK("https://ictv.global/taxonomy/taxondetails?taxnode_id=202514610&amp;ictv_id=ICTV202214610","ICTV202214610")</f>
        <v>ICTV202214610</v>
      </c>
      <c r="R3159" t="s">
        <v>579</v>
      </c>
      <c r="S3159" t="s">
        <v>22763</v>
      </c>
      <c r="T3159">
        <v>40</v>
      </c>
      <c r="U3159" s="26" t="str">
        <f t="shared" si="119"/>
        <v>2024.024B.Mktvariviridae_1nf_1msf_10ns.zip</v>
      </c>
    </row>
    <row r="3160" spans="1:21">
      <c r="A3160">
        <v>3159</v>
      </c>
      <c r="B3160" s="27" t="s">
        <v>1449</v>
      </c>
      <c r="D3160" s="27" t="s">
        <v>1450</v>
      </c>
      <c r="F3160" s="27" t="s">
        <v>1453</v>
      </c>
      <c r="H3160" s="27" t="s">
        <v>1454</v>
      </c>
      <c r="L3160" s="27" t="s">
        <v>20750</v>
      </c>
      <c r="M3160" s="27" t="s">
        <v>6091</v>
      </c>
      <c r="N3160" s="27" t="s">
        <v>1301</v>
      </c>
      <c r="P3160" s="27" t="s">
        <v>6098</v>
      </c>
      <c r="Q3160" s="26" t="str">
        <f>HYPERLINK("https://ictv.global/taxonomy/taxondetails?taxnode_id=202514607&amp;ictv_id=ICTV202214607","ICTV202214607")</f>
        <v>ICTV202214607</v>
      </c>
      <c r="R3160" t="s">
        <v>579</v>
      </c>
      <c r="S3160" t="s">
        <v>22763</v>
      </c>
      <c r="T3160">
        <v>40</v>
      </c>
      <c r="U3160" s="26" t="str">
        <f t="shared" si="119"/>
        <v>2024.024B.Mktvariviridae_1nf_1msf_10ns.zip</v>
      </c>
    </row>
    <row r="3161" spans="1:21">
      <c r="A3161">
        <v>3160</v>
      </c>
      <c r="B3161" s="27" t="s">
        <v>1449</v>
      </c>
      <c r="D3161" s="27" t="s">
        <v>1450</v>
      </c>
      <c r="F3161" s="27" t="s">
        <v>1453</v>
      </c>
      <c r="H3161" s="27" t="s">
        <v>1454</v>
      </c>
      <c r="L3161" s="27" t="s">
        <v>20750</v>
      </c>
      <c r="M3161" s="27" t="s">
        <v>6091</v>
      </c>
      <c r="N3161" s="27" t="s">
        <v>1301</v>
      </c>
      <c r="P3161" s="27" t="s">
        <v>19618</v>
      </c>
      <c r="Q3161" s="26" t="str">
        <f>HYPERLINK("https://ictv.global/taxonomy/taxondetails?taxnode_id=202520819&amp;ictv_id=ICTV202420819","ICTV202420819")</f>
        <v>ICTV202420819</v>
      </c>
      <c r="R3161" t="s">
        <v>579</v>
      </c>
      <c r="S3161" t="s">
        <v>823</v>
      </c>
      <c r="T3161">
        <v>40</v>
      </c>
      <c r="U3161" s="26" t="str">
        <f t="shared" si="119"/>
        <v>2024.024B.Mktvariviridae_1nf_1msf_10ns.zip</v>
      </c>
    </row>
    <row r="3162" spans="1:21">
      <c r="A3162">
        <v>3161</v>
      </c>
      <c r="B3162" s="27" t="s">
        <v>1449</v>
      </c>
      <c r="D3162" s="27" t="s">
        <v>1450</v>
      </c>
      <c r="F3162" s="27" t="s">
        <v>1453</v>
      </c>
      <c r="H3162" s="27" t="s">
        <v>1454</v>
      </c>
      <c r="L3162" s="27" t="s">
        <v>20750</v>
      </c>
      <c r="M3162" s="27" t="s">
        <v>6091</v>
      </c>
      <c r="N3162" s="27" t="s">
        <v>1301</v>
      </c>
      <c r="P3162" s="27" t="s">
        <v>19619</v>
      </c>
      <c r="Q3162" s="26" t="str">
        <f>HYPERLINK("https://ictv.global/taxonomy/taxondetails?taxnode_id=202520820&amp;ictv_id=ICTV202420820","ICTV202420820")</f>
        <v>ICTV202420820</v>
      </c>
      <c r="R3162" t="s">
        <v>579</v>
      </c>
      <c r="S3162" t="s">
        <v>823</v>
      </c>
      <c r="T3162">
        <v>40</v>
      </c>
      <c r="U3162" s="26" t="str">
        <f t="shared" si="119"/>
        <v>2024.024B.Mktvariviridae_1nf_1msf_10ns.zip</v>
      </c>
    </row>
    <row r="3163" spans="1:21">
      <c r="A3163">
        <v>3162</v>
      </c>
      <c r="B3163" s="27" t="s">
        <v>1449</v>
      </c>
      <c r="D3163" s="27" t="s">
        <v>1450</v>
      </c>
      <c r="F3163" s="27" t="s">
        <v>1453</v>
      </c>
      <c r="H3163" s="27" t="s">
        <v>1454</v>
      </c>
      <c r="L3163" s="27" t="s">
        <v>20750</v>
      </c>
      <c r="M3163" s="27" t="s">
        <v>6091</v>
      </c>
      <c r="N3163" s="27" t="s">
        <v>1301</v>
      </c>
      <c r="P3163" s="27" t="s">
        <v>6099</v>
      </c>
      <c r="Q3163" s="26" t="str">
        <f>HYPERLINK("https://ictv.global/taxonomy/taxondetails?taxnode_id=202500690&amp;ictv_id=ICTV20150333","ICTV20150333")</f>
        <v>ICTV20150333</v>
      </c>
      <c r="R3163" t="s">
        <v>579</v>
      </c>
      <c r="S3163" t="s">
        <v>22763</v>
      </c>
      <c r="T3163">
        <v>40</v>
      </c>
      <c r="U3163" s="26" t="str">
        <f t="shared" si="119"/>
        <v>2024.024B.Mktvariviridae_1nf_1msf_10ns.zip</v>
      </c>
    </row>
    <row r="3164" spans="1:21">
      <c r="A3164">
        <v>3163</v>
      </c>
      <c r="B3164" s="27" t="s">
        <v>1449</v>
      </c>
      <c r="D3164" s="27" t="s">
        <v>1450</v>
      </c>
      <c r="F3164" s="27" t="s">
        <v>1453</v>
      </c>
      <c r="H3164" s="27" t="s">
        <v>1454</v>
      </c>
      <c r="L3164" s="27" t="s">
        <v>20750</v>
      </c>
      <c r="M3164" s="27" t="s">
        <v>6091</v>
      </c>
      <c r="N3164" s="27" t="s">
        <v>1301</v>
      </c>
      <c r="P3164" s="27" t="s">
        <v>6100</v>
      </c>
      <c r="Q3164" s="26" t="str">
        <f>HYPERLINK("https://ictv.global/taxonomy/taxondetails?taxnode_id=202514605&amp;ictv_id=ICTV202214605","ICTV202214605")</f>
        <v>ICTV202214605</v>
      </c>
      <c r="R3164" t="s">
        <v>579</v>
      </c>
      <c r="S3164" t="s">
        <v>22763</v>
      </c>
      <c r="T3164">
        <v>40</v>
      </c>
      <c r="U3164" s="26" t="str">
        <f t="shared" si="119"/>
        <v>2024.024B.Mktvariviridae_1nf_1msf_10ns.zip</v>
      </c>
    </row>
    <row r="3165" spans="1:21">
      <c r="A3165">
        <v>3164</v>
      </c>
      <c r="B3165" s="27" t="s">
        <v>1449</v>
      </c>
      <c r="D3165" s="27" t="s">
        <v>1450</v>
      </c>
      <c r="F3165" s="27" t="s">
        <v>1453</v>
      </c>
      <c r="H3165" s="27" t="s">
        <v>1454</v>
      </c>
      <c r="L3165" s="27" t="s">
        <v>20750</v>
      </c>
      <c r="M3165" s="27" t="s">
        <v>6091</v>
      </c>
      <c r="N3165" s="27" t="s">
        <v>1301</v>
      </c>
      <c r="P3165" s="27" t="s">
        <v>6101</v>
      </c>
      <c r="Q3165" s="26" t="str">
        <f>HYPERLINK("https://ictv.global/taxonomy/taxondetails?taxnode_id=202514612&amp;ictv_id=ICTV202214612","ICTV202214612")</f>
        <v>ICTV202214612</v>
      </c>
      <c r="R3165" t="s">
        <v>579</v>
      </c>
      <c r="S3165" t="s">
        <v>22763</v>
      </c>
      <c r="T3165">
        <v>40</v>
      </c>
      <c r="U3165" s="26" t="str">
        <f t="shared" si="119"/>
        <v>2024.024B.Mktvariviridae_1nf_1msf_10ns.zip</v>
      </c>
    </row>
    <row r="3166" spans="1:21">
      <c r="A3166">
        <v>3165</v>
      </c>
      <c r="B3166" s="27" t="s">
        <v>1449</v>
      </c>
      <c r="D3166" s="27" t="s">
        <v>1450</v>
      </c>
      <c r="F3166" s="27" t="s">
        <v>1453</v>
      </c>
      <c r="H3166" s="27" t="s">
        <v>1454</v>
      </c>
      <c r="L3166" s="27" t="s">
        <v>20750</v>
      </c>
      <c r="M3166" s="27" t="s">
        <v>6091</v>
      </c>
      <c r="N3166" s="27" t="s">
        <v>1301</v>
      </c>
      <c r="P3166" s="27" t="s">
        <v>21469</v>
      </c>
      <c r="Q3166" s="26" t="str">
        <f>HYPERLINK("https://ictv.global/taxonomy/taxondetails?taxnode_id=202522340&amp;ictv_id=ICTV202522340","ICTV202522340")</f>
        <v>ICTV202522340</v>
      </c>
      <c r="R3166" t="s">
        <v>579</v>
      </c>
      <c r="S3166" t="s">
        <v>823</v>
      </c>
      <c r="T3166">
        <v>41</v>
      </c>
      <c r="U3166" s="26" t="str">
        <f>HYPERLINK("https://ictv.global/ictv/proposals/2025.008B.Caudoviricetes_11ns.zip","2025.008B.Caudoviricetes_11ns.zip")</f>
        <v>2025.008B.Caudoviricetes_11ns.zip</v>
      </c>
    </row>
    <row r="3167" spans="1:21">
      <c r="A3167">
        <v>3166</v>
      </c>
      <c r="B3167" s="27" t="s">
        <v>1449</v>
      </c>
      <c r="D3167" s="27" t="s">
        <v>1450</v>
      </c>
      <c r="F3167" s="27" t="s">
        <v>1453</v>
      </c>
      <c r="H3167" s="27" t="s">
        <v>1454</v>
      </c>
      <c r="L3167" s="27" t="s">
        <v>20750</v>
      </c>
      <c r="M3167" s="27" t="s">
        <v>6091</v>
      </c>
      <c r="N3167" s="27" t="s">
        <v>1301</v>
      </c>
      <c r="P3167" s="27" t="s">
        <v>19620</v>
      </c>
      <c r="Q3167" s="26" t="str">
        <f>HYPERLINK("https://ictv.global/taxonomy/taxondetails?taxnode_id=202520824&amp;ictv_id=ICTV202420824","ICTV202420824")</f>
        <v>ICTV202420824</v>
      </c>
      <c r="R3167" t="s">
        <v>579</v>
      </c>
      <c r="S3167" t="s">
        <v>823</v>
      </c>
      <c r="T3167">
        <v>40</v>
      </c>
      <c r="U3167" s="26" t="str">
        <f t="shared" ref="U3167:U3184" si="120">HYPERLINK("https://ictv.global/ictv/proposals/2024.024B.Mktvariviridae_1nf_1msf_10ns.zip","2024.024B.Mktvariviridae_1nf_1msf_10ns.zip")</f>
        <v>2024.024B.Mktvariviridae_1nf_1msf_10ns.zip</v>
      </c>
    </row>
    <row r="3168" spans="1:21">
      <c r="A3168">
        <v>3167</v>
      </c>
      <c r="B3168" s="27" t="s">
        <v>1449</v>
      </c>
      <c r="D3168" s="27" t="s">
        <v>1450</v>
      </c>
      <c r="F3168" s="27" t="s">
        <v>1453</v>
      </c>
      <c r="H3168" s="27" t="s">
        <v>1454</v>
      </c>
      <c r="L3168" s="27" t="s">
        <v>20750</v>
      </c>
      <c r="M3168" s="27" t="s">
        <v>6091</v>
      </c>
      <c r="N3168" s="27" t="s">
        <v>1301</v>
      </c>
      <c r="P3168" s="27" t="s">
        <v>6102</v>
      </c>
      <c r="Q3168" s="26" t="str">
        <f>HYPERLINK("https://ictv.global/taxonomy/taxondetails?taxnode_id=202500691&amp;ictv_id=ICTV20094382","ICTV20094382")</f>
        <v>ICTV20094382</v>
      </c>
      <c r="R3168" t="s">
        <v>579</v>
      </c>
      <c r="S3168" t="s">
        <v>22763</v>
      </c>
      <c r="T3168">
        <v>40</v>
      </c>
      <c r="U3168" s="26" t="str">
        <f t="shared" si="120"/>
        <v>2024.024B.Mktvariviridae_1nf_1msf_10ns.zip</v>
      </c>
    </row>
    <row r="3169" spans="1:21">
      <c r="A3169">
        <v>3168</v>
      </c>
      <c r="B3169" s="27" t="s">
        <v>1449</v>
      </c>
      <c r="D3169" s="27" t="s">
        <v>1450</v>
      </c>
      <c r="F3169" s="27" t="s">
        <v>1453</v>
      </c>
      <c r="H3169" s="27" t="s">
        <v>1454</v>
      </c>
      <c r="L3169" s="27" t="s">
        <v>20750</v>
      </c>
      <c r="M3169" s="27" t="s">
        <v>6091</v>
      </c>
      <c r="N3169" s="27" t="s">
        <v>1301</v>
      </c>
      <c r="P3169" s="27" t="s">
        <v>19621</v>
      </c>
      <c r="Q3169" s="26" t="str">
        <f>HYPERLINK("https://ictv.global/taxonomy/taxondetails?taxnode_id=202520823&amp;ictv_id=ICTV202420823","ICTV202420823")</f>
        <v>ICTV202420823</v>
      </c>
      <c r="R3169" t="s">
        <v>579</v>
      </c>
      <c r="S3169" t="s">
        <v>823</v>
      </c>
      <c r="T3169">
        <v>40</v>
      </c>
      <c r="U3169" s="26" t="str">
        <f t="shared" si="120"/>
        <v>2024.024B.Mktvariviridae_1nf_1msf_10ns.zip</v>
      </c>
    </row>
    <row r="3170" spans="1:21">
      <c r="A3170">
        <v>3169</v>
      </c>
      <c r="B3170" s="27" t="s">
        <v>1449</v>
      </c>
      <c r="D3170" s="27" t="s">
        <v>1450</v>
      </c>
      <c r="F3170" s="27" t="s">
        <v>1453</v>
      </c>
      <c r="H3170" s="27" t="s">
        <v>1454</v>
      </c>
      <c r="L3170" s="27" t="s">
        <v>20750</v>
      </c>
      <c r="M3170" s="27" t="s">
        <v>6091</v>
      </c>
      <c r="N3170" s="27" t="s">
        <v>1301</v>
      </c>
      <c r="P3170" s="27" t="s">
        <v>6103</v>
      </c>
      <c r="Q3170" s="26" t="str">
        <f>HYPERLINK("https://ictv.global/taxonomy/taxondetails?taxnode_id=202514608&amp;ictv_id=ICTV202214608","ICTV202214608")</f>
        <v>ICTV202214608</v>
      </c>
      <c r="R3170" t="s">
        <v>579</v>
      </c>
      <c r="S3170" t="s">
        <v>22763</v>
      </c>
      <c r="T3170">
        <v>40</v>
      </c>
      <c r="U3170" s="26" t="str">
        <f t="shared" si="120"/>
        <v>2024.024B.Mktvariviridae_1nf_1msf_10ns.zip</v>
      </c>
    </row>
    <row r="3171" spans="1:21">
      <c r="A3171">
        <v>3170</v>
      </c>
      <c r="B3171" s="27" t="s">
        <v>1449</v>
      </c>
      <c r="D3171" s="27" t="s">
        <v>1450</v>
      </c>
      <c r="F3171" s="27" t="s">
        <v>1453</v>
      </c>
      <c r="H3171" s="27" t="s">
        <v>1454</v>
      </c>
      <c r="L3171" s="27" t="s">
        <v>20750</v>
      </c>
      <c r="M3171" s="27" t="s">
        <v>6091</v>
      </c>
      <c r="N3171" s="27" t="s">
        <v>1301</v>
      </c>
      <c r="P3171" s="27" t="s">
        <v>19622</v>
      </c>
      <c r="Q3171" s="26" t="str">
        <f>HYPERLINK("https://ictv.global/taxonomy/taxondetails?taxnode_id=202520826&amp;ictv_id=ICTV202420826","ICTV202420826")</f>
        <v>ICTV202420826</v>
      </c>
      <c r="R3171" t="s">
        <v>579</v>
      </c>
      <c r="S3171" t="s">
        <v>823</v>
      </c>
      <c r="T3171">
        <v>40</v>
      </c>
      <c r="U3171" s="26" t="str">
        <f t="shared" si="120"/>
        <v>2024.024B.Mktvariviridae_1nf_1msf_10ns.zip</v>
      </c>
    </row>
    <row r="3172" spans="1:21">
      <c r="A3172">
        <v>3171</v>
      </c>
      <c r="B3172" s="27" t="s">
        <v>1449</v>
      </c>
      <c r="D3172" s="27" t="s">
        <v>1450</v>
      </c>
      <c r="F3172" s="27" t="s">
        <v>1453</v>
      </c>
      <c r="H3172" s="27" t="s">
        <v>1454</v>
      </c>
      <c r="L3172" s="27" t="s">
        <v>20750</v>
      </c>
      <c r="M3172" s="27" t="s">
        <v>6091</v>
      </c>
      <c r="N3172" s="27" t="s">
        <v>1301</v>
      </c>
      <c r="P3172" s="27" t="s">
        <v>6104</v>
      </c>
      <c r="Q3172" s="26" t="str">
        <f>HYPERLINK("https://ictv.global/taxonomy/taxondetails?taxnode_id=202500693&amp;ictv_id=ICTV20150332","ICTV20150332")</f>
        <v>ICTV20150332</v>
      </c>
      <c r="R3172" t="s">
        <v>579</v>
      </c>
      <c r="S3172" t="s">
        <v>22763</v>
      </c>
      <c r="T3172">
        <v>40</v>
      </c>
      <c r="U3172" s="26" t="str">
        <f t="shared" si="120"/>
        <v>2024.024B.Mktvariviridae_1nf_1msf_10ns.zip</v>
      </c>
    </row>
    <row r="3173" spans="1:21">
      <c r="A3173">
        <v>3172</v>
      </c>
      <c r="B3173" s="27" t="s">
        <v>1449</v>
      </c>
      <c r="D3173" s="27" t="s">
        <v>1450</v>
      </c>
      <c r="F3173" s="27" t="s">
        <v>1453</v>
      </c>
      <c r="H3173" s="27" t="s">
        <v>1454</v>
      </c>
      <c r="L3173" s="27" t="s">
        <v>20750</v>
      </c>
      <c r="M3173" s="27" t="s">
        <v>6091</v>
      </c>
      <c r="N3173" s="27" t="s">
        <v>1301</v>
      </c>
      <c r="P3173" s="27" t="s">
        <v>6105</v>
      </c>
      <c r="Q3173" s="26" t="str">
        <f>HYPERLINK("https://ictv.global/taxonomy/taxondetails?taxnode_id=202514611&amp;ictv_id=ICTV202214611","ICTV202214611")</f>
        <v>ICTV202214611</v>
      </c>
      <c r="R3173" t="s">
        <v>579</v>
      </c>
      <c r="S3173" t="s">
        <v>22763</v>
      </c>
      <c r="T3173">
        <v>40</v>
      </c>
      <c r="U3173" s="26" t="str">
        <f t="shared" si="120"/>
        <v>2024.024B.Mktvariviridae_1nf_1msf_10ns.zip</v>
      </c>
    </row>
    <row r="3174" spans="1:21">
      <c r="A3174">
        <v>3173</v>
      </c>
      <c r="B3174" s="27" t="s">
        <v>1449</v>
      </c>
      <c r="D3174" s="27" t="s">
        <v>1450</v>
      </c>
      <c r="F3174" s="27" t="s">
        <v>1453</v>
      </c>
      <c r="H3174" s="27" t="s">
        <v>1454</v>
      </c>
      <c r="L3174" s="27" t="s">
        <v>20750</v>
      </c>
      <c r="M3174" s="27" t="s">
        <v>6091</v>
      </c>
      <c r="N3174" s="27" t="s">
        <v>1301</v>
      </c>
      <c r="P3174" s="27" t="s">
        <v>19623</v>
      </c>
      <c r="Q3174" s="26" t="str">
        <f>HYPERLINK("https://ictv.global/taxonomy/taxondetails?taxnode_id=202520821&amp;ictv_id=ICTV202420821","ICTV202420821")</f>
        <v>ICTV202420821</v>
      </c>
      <c r="R3174" t="s">
        <v>579</v>
      </c>
      <c r="S3174" t="s">
        <v>823</v>
      </c>
      <c r="T3174">
        <v>40</v>
      </c>
      <c r="U3174" s="26" t="str">
        <f t="shared" si="120"/>
        <v>2024.024B.Mktvariviridae_1nf_1msf_10ns.zip</v>
      </c>
    </row>
    <row r="3175" spans="1:21">
      <c r="A3175">
        <v>3174</v>
      </c>
      <c r="B3175" s="27" t="s">
        <v>1449</v>
      </c>
      <c r="D3175" s="27" t="s">
        <v>1450</v>
      </c>
      <c r="F3175" s="27" t="s">
        <v>1453</v>
      </c>
      <c r="H3175" s="27" t="s">
        <v>1454</v>
      </c>
      <c r="L3175" s="27" t="s">
        <v>20750</v>
      </c>
      <c r="M3175" s="27" t="s">
        <v>6091</v>
      </c>
      <c r="N3175" s="27" t="s">
        <v>1301</v>
      </c>
      <c r="P3175" s="27" t="s">
        <v>19624</v>
      </c>
      <c r="Q3175" s="26" t="str">
        <f>HYPERLINK("https://ictv.global/taxonomy/taxondetails?taxnode_id=202520825&amp;ictv_id=ICTV202420825","ICTV202420825")</f>
        <v>ICTV202420825</v>
      </c>
      <c r="R3175" t="s">
        <v>579</v>
      </c>
      <c r="S3175" t="s">
        <v>823</v>
      </c>
      <c r="T3175">
        <v>40</v>
      </c>
      <c r="U3175" s="26" t="str">
        <f t="shared" si="120"/>
        <v>2024.024B.Mktvariviridae_1nf_1msf_10ns.zip</v>
      </c>
    </row>
    <row r="3176" spans="1:21">
      <c r="A3176">
        <v>3175</v>
      </c>
      <c r="B3176" s="27" t="s">
        <v>1449</v>
      </c>
      <c r="D3176" s="27" t="s">
        <v>1450</v>
      </c>
      <c r="F3176" s="27" t="s">
        <v>1453</v>
      </c>
      <c r="H3176" s="27" t="s">
        <v>1454</v>
      </c>
      <c r="L3176" s="27" t="s">
        <v>20750</v>
      </c>
      <c r="M3176" s="27" t="s">
        <v>6091</v>
      </c>
      <c r="N3176" s="27" t="s">
        <v>6106</v>
      </c>
      <c r="P3176" s="27" t="s">
        <v>6107</v>
      </c>
      <c r="Q3176" s="26" t="str">
        <f>HYPERLINK("https://ictv.global/taxonomy/taxondetails?taxnode_id=202514599&amp;ictv_id=ICTV202214599","ICTV202214599")</f>
        <v>ICTV202214599</v>
      </c>
      <c r="R3176" t="s">
        <v>579</v>
      </c>
      <c r="S3176" t="s">
        <v>22763</v>
      </c>
      <c r="T3176">
        <v>40</v>
      </c>
      <c r="U3176" s="26" t="str">
        <f t="shared" si="120"/>
        <v>2024.024B.Mktvariviridae_1nf_1msf_10ns.zip</v>
      </c>
    </row>
    <row r="3177" spans="1:21">
      <c r="A3177">
        <v>3176</v>
      </c>
      <c r="B3177" s="27" t="s">
        <v>1449</v>
      </c>
      <c r="D3177" s="27" t="s">
        <v>1450</v>
      </c>
      <c r="F3177" s="27" t="s">
        <v>1453</v>
      </c>
      <c r="H3177" s="27" t="s">
        <v>1454</v>
      </c>
      <c r="L3177" s="27" t="s">
        <v>20750</v>
      </c>
      <c r="M3177" s="27" t="s">
        <v>6091</v>
      </c>
      <c r="N3177" s="27" t="s">
        <v>6106</v>
      </c>
      <c r="P3177" s="27" t="s">
        <v>6108</v>
      </c>
      <c r="Q3177" s="26" t="str">
        <f>HYPERLINK("https://ictv.global/taxonomy/taxondetails?taxnode_id=202500692&amp;ictv_id=ICTV20150335","ICTV20150335")</f>
        <v>ICTV20150335</v>
      </c>
      <c r="R3177" t="s">
        <v>579</v>
      </c>
      <c r="S3177" t="s">
        <v>22763</v>
      </c>
      <c r="T3177">
        <v>40</v>
      </c>
      <c r="U3177" s="26" t="str">
        <f t="shared" si="120"/>
        <v>2024.024B.Mktvariviridae_1nf_1msf_10ns.zip</v>
      </c>
    </row>
    <row r="3178" spans="1:21">
      <c r="A3178">
        <v>3177</v>
      </c>
      <c r="B3178" s="27" t="s">
        <v>1449</v>
      </c>
      <c r="D3178" s="27" t="s">
        <v>1450</v>
      </c>
      <c r="F3178" s="27" t="s">
        <v>1453</v>
      </c>
      <c r="H3178" s="27" t="s">
        <v>1454</v>
      </c>
      <c r="L3178" s="27" t="s">
        <v>20750</v>
      </c>
      <c r="M3178" s="27" t="s">
        <v>6091</v>
      </c>
      <c r="N3178" s="27" t="s">
        <v>6109</v>
      </c>
      <c r="P3178" s="27" t="s">
        <v>6110</v>
      </c>
      <c r="Q3178" s="26" t="str">
        <f>HYPERLINK("https://ictv.global/taxonomy/taxondetails?taxnode_id=202514602&amp;ictv_id=ICTV202214602","ICTV202214602")</f>
        <v>ICTV202214602</v>
      </c>
      <c r="R3178" t="s">
        <v>579</v>
      </c>
      <c r="S3178" t="s">
        <v>22763</v>
      </c>
      <c r="T3178">
        <v>40</v>
      </c>
      <c r="U3178" s="26" t="str">
        <f t="shared" si="120"/>
        <v>2024.024B.Mktvariviridae_1nf_1msf_10ns.zip</v>
      </c>
    </row>
    <row r="3179" spans="1:21">
      <c r="A3179">
        <v>3178</v>
      </c>
      <c r="B3179" s="27" t="s">
        <v>1449</v>
      </c>
      <c r="D3179" s="27" t="s">
        <v>1450</v>
      </c>
      <c r="F3179" s="27" t="s">
        <v>1453</v>
      </c>
      <c r="H3179" s="27" t="s">
        <v>1454</v>
      </c>
      <c r="L3179" s="27" t="s">
        <v>20750</v>
      </c>
      <c r="M3179" s="27" t="s">
        <v>6091</v>
      </c>
      <c r="N3179" s="27" t="s">
        <v>6109</v>
      </c>
      <c r="P3179" s="27" t="s">
        <v>6111</v>
      </c>
      <c r="Q3179" s="26" t="str">
        <f>HYPERLINK("https://ictv.global/taxonomy/taxondetails?taxnode_id=202500689&amp;ictv_id=ICTV20150334","ICTV20150334")</f>
        <v>ICTV20150334</v>
      </c>
      <c r="R3179" t="s">
        <v>579</v>
      </c>
      <c r="S3179" t="s">
        <v>22763</v>
      </c>
      <c r="T3179">
        <v>40</v>
      </c>
      <c r="U3179" s="26" t="str">
        <f t="shared" si="120"/>
        <v>2024.024B.Mktvariviridae_1nf_1msf_10ns.zip</v>
      </c>
    </row>
    <row r="3180" spans="1:21">
      <c r="A3180">
        <v>3179</v>
      </c>
      <c r="B3180" s="27" t="s">
        <v>1449</v>
      </c>
      <c r="D3180" s="27" t="s">
        <v>1450</v>
      </c>
      <c r="F3180" s="27" t="s">
        <v>1453</v>
      </c>
      <c r="H3180" s="27" t="s">
        <v>1454</v>
      </c>
      <c r="L3180" s="27" t="s">
        <v>20750</v>
      </c>
      <c r="M3180" s="27" t="s">
        <v>6091</v>
      </c>
      <c r="N3180" s="27" t="s">
        <v>6109</v>
      </c>
      <c r="P3180" s="27" t="s">
        <v>6112</v>
      </c>
      <c r="Q3180" s="26" t="str">
        <f>HYPERLINK("https://ictv.global/taxonomy/taxondetails?taxnode_id=202514601&amp;ictv_id=ICTV202214601","ICTV202214601")</f>
        <v>ICTV202214601</v>
      </c>
      <c r="R3180" t="s">
        <v>579</v>
      </c>
      <c r="S3180" t="s">
        <v>22763</v>
      </c>
      <c r="T3180">
        <v>40</v>
      </c>
      <c r="U3180" s="26" t="str">
        <f t="shared" si="120"/>
        <v>2024.024B.Mktvariviridae_1nf_1msf_10ns.zip</v>
      </c>
    </row>
    <row r="3181" spans="1:21">
      <c r="A3181">
        <v>3180</v>
      </c>
      <c r="B3181" s="27" t="s">
        <v>1449</v>
      </c>
      <c r="D3181" s="27" t="s">
        <v>1450</v>
      </c>
      <c r="F3181" s="27" t="s">
        <v>1453</v>
      </c>
      <c r="H3181" s="27" t="s">
        <v>1454</v>
      </c>
      <c r="L3181" s="27" t="s">
        <v>20750</v>
      </c>
      <c r="M3181" s="27" t="s">
        <v>6091</v>
      </c>
      <c r="N3181" s="27" t="s">
        <v>6109</v>
      </c>
      <c r="P3181" s="27" t="s">
        <v>6113</v>
      </c>
      <c r="Q3181" s="26" t="str">
        <f>HYPERLINK("https://ictv.global/taxonomy/taxondetails?taxnode_id=202514603&amp;ictv_id=ICTV202214603","ICTV202214603")</f>
        <v>ICTV202214603</v>
      </c>
      <c r="R3181" t="s">
        <v>579</v>
      </c>
      <c r="S3181" t="s">
        <v>22763</v>
      </c>
      <c r="T3181">
        <v>40</v>
      </c>
      <c r="U3181" s="26" t="str">
        <f t="shared" si="120"/>
        <v>2024.024B.Mktvariviridae_1nf_1msf_10ns.zip</v>
      </c>
    </row>
    <row r="3182" spans="1:21">
      <c r="A3182">
        <v>3181</v>
      </c>
      <c r="B3182" s="27" t="s">
        <v>1449</v>
      </c>
      <c r="D3182" s="27" t="s">
        <v>1450</v>
      </c>
      <c r="F3182" s="27" t="s">
        <v>1453</v>
      </c>
      <c r="H3182" s="27" t="s">
        <v>1454</v>
      </c>
      <c r="L3182" s="27" t="s">
        <v>20750</v>
      </c>
      <c r="M3182" s="27" t="s">
        <v>6091</v>
      </c>
      <c r="N3182" s="27" t="s">
        <v>6109</v>
      </c>
      <c r="P3182" s="27" t="s">
        <v>19625</v>
      </c>
      <c r="Q3182" s="26" t="str">
        <f>HYPERLINK("https://ictv.global/taxonomy/taxondetails?taxnode_id=202520827&amp;ictv_id=ICTV202420827","ICTV202420827")</f>
        <v>ICTV202420827</v>
      </c>
      <c r="R3182" t="s">
        <v>579</v>
      </c>
      <c r="S3182" t="s">
        <v>823</v>
      </c>
      <c r="T3182">
        <v>40</v>
      </c>
      <c r="U3182" s="26" t="str">
        <f t="shared" si="120"/>
        <v>2024.024B.Mktvariviridae_1nf_1msf_10ns.zip</v>
      </c>
    </row>
    <row r="3183" spans="1:21">
      <c r="A3183">
        <v>3182</v>
      </c>
      <c r="B3183" s="27" t="s">
        <v>1449</v>
      </c>
      <c r="D3183" s="27" t="s">
        <v>1450</v>
      </c>
      <c r="F3183" s="27" t="s">
        <v>1453</v>
      </c>
      <c r="H3183" s="27" t="s">
        <v>1454</v>
      </c>
      <c r="L3183" s="27" t="s">
        <v>20750</v>
      </c>
      <c r="M3183" s="27" t="s">
        <v>6091</v>
      </c>
      <c r="N3183" s="27" t="s">
        <v>6109</v>
      </c>
      <c r="P3183" s="27" t="s">
        <v>6114</v>
      </c>
      <c r="Q3183" s="26" t="str">
        <f>HYPERLINK("https://ictv.global/taxonomy/taxondetails?taxnode_id=202514600&amp;ictv_id=ICTV202214600","ICTV202214600")</f>
        <v>ICTV202214600</v>
      </c>
      <c r="R3183" t="s">
        <v>579</v>
      </c>
      <c r="S3183" t="s">
        <v>22763</v>
      </c>
      <c r="T3183">
        <v>40</v>
      </c>
      <c r="U3183" s="26" t="str">
        <f t="shared" si="120"/>
        <v>2024.024B.Mktvariviridae_1nf_1msf_10ns.zip</v>
      </c>
    </row>
    <row r="3184" spans="1:21">
      <c r="A3184">
        <v>3183</v>
      </c>
      <c r="B3184" s="27" t="s">
        <v>1449</v>
      </c>
      <c r="D3184" s="27" t="s">
        <v>1450</v>
      </c>
      <c r="F3184" s="27" t="s">
        <v>1453</v>
      </c>
      <c r="H3184" s="27" t="s">
        <v>1454</v>
      </c>
      <c r="L3184" s="27" t="s">
        <v>20750</v>
      </c>
      <c r="M3184" s="27" t="s">
        <v>6091</v>
      </c>
      <c r="N3184" s="27" t="s">
        <v>6109</v>
      </c>
      <c r="P3184" s="27" t="s">
        <v>19626</v>
      </c>
      <c r="Q3184" s="26" t="str">
        <f>HYPERLINK("https://ictv.global/taxonomy/taxondetails?taxnode_id=202520828&amp;ictv_id=ICTV202420828","ICTV202420828")</f>
        <v>ICTV202420828</v>
      </c>
      <c r="R3184" t="s">
        <v>579</v>
      </c>
      <c r="S3184" t="s">
        <v>823</v>
      </c>
      <c r="T3184">
        <v>40</v>
      </c>
      <c r="U3184" s="26" t="str">
        <f t="shared" si="120"/>
        <v>2024.024B.Mktvariviridae_1nf_1msf_10ns.zip</v>
      </c>
    </row>
    <row r="3185" spans="1:21">
      <c r="A3185">
        <v>3184</v>
      </c>
      <c r="B3185" s="27" t="s">
        <v>1449</v>
      </c>
      <c r="D3185" s="27" t="s">
        <v>1450</v>
      </c>
      <c r="F3185" s="27" t="s">
        <v>1453</v>
      </c>
      <c r="H3185" s="27" t="s">
        <v>1454</v>
      </c>
      <c r="L3185" s="27" t="s">
        <v>5067</v>
      </c>
      <c r="N3185" s="27" t="s">
        <v>5068</v>
      </c>
      <c r="P3185" s="27" t="s">
        <v>5069</v>
      </c>
      <c r="Q3185" s="26" t="str">
        <f>HYPERLINK("https://ictv.global/taxonomy/taxondetails?taxnode_id=202512773&amp;ictv_id=ICTV202112773","ICTV202112773")</f>
        <v>ICTV202112773</v>
      </c>
      <c r="R3185" t="s">
        <v>579</v>
      </c>
      <c r="S3185" t="s">
        <v>823</v>
      </c>
      <c r="T3185">
        <v>37</v>
      </c>
      <c r="U3185" s="26" t="str">
        <f>HYPERLINK("https://ictv.global/ictv/proposals/2021.056B.R.Naomiviridae.zip","2021.056B.R.Naomiviridae.zip")</f>
        <v>2021.056B.R.Naomiviridae.zip</v>
      </c>
    </row>
    <row r="3186" spans="1:21">
      <c r="A3186">
        <v>3185</v>
      </c>
      <c r="B3186" s="27" t="s">
        <v>1449</v>
      </c>
      <c r="D3186" s="27" t="s">
        <v>1450</v>
      </c>
      <c r="F3186" s="27" t="s">
        <v>1453</v>
      </c>
      <c r="H3186" s="27" t="s">
        <v>1454</v>
      </c>
      <c r="L3186" s="27" t="s">
        <v>19627</v>
      </c>
      <c r="N3186" s="27" t="s">
        <v>19628</v>
      </c>
      <c r="P3186" s="27" t="s">
        <v>19629</v>
      </c>
      <c r="Q3186" s="26" t="str">
        <f>HYPERLINK("https://ictv.global/taxonomy/taxondetails?taxnode_id=202519936&amp;ictv_id=ICTV202419936","ICTV202419936")</f>
        <v>ICTV202419936</v>
      </c>
      <c r="R3186" t="s">
        <v>579</v>
      </c>
      <c r="S3186" t="s">
        <v>823</v>
      </c>
      <c r="T3186">
        <v>40</v>
      </c>
      <c r="U3186" s="26" t="str">
        <f t="shared" ref="U3186:U3200" si="121">HYPERLINK("https://ictv.global/ictv/proposals/2024.001B.Alisviridae_Ludisviridae_Nixviridae_3nf_7ng_24ns.zip","2024.001B.Alisviridae_Ludisviridae_Nixviridae_3nf_7ng_24ns.zip")</f>
        <v>2024.001B.Alisviridae_Ludisviridae_Nixviridae_3nf_7ng_24ns.zip</v>
      </c>
    </row>
    <row r="3187" spans="1:21">
      <c r="A3187">
        <v>3186</v>
      </c>
      <c r="B3187" s="27" t="s">
        <v>1449</v>
      </c>
      <c r="D3187" s="27" t="s">
        <v>1450</v>
      </c>
      <c r="F3187" s="27" t="s">
        <v>1453</v>
      </c>
      <c r="H3187" s="27" t="s">
        <v>1454</v>
      </c>
      <c r="L3187" s="27" t="s">
        <v>19627</v>
      </c>
      <c r="N3187" s="27" t="s">
        <v>19628</v>
      </c>
      <c r="P3187" s="27" t="s">
        <v>19630</v>
      </c>
      <c r="Q3187" s="26" t="str">
        <f>HYPERLINK("https://ictv.global/taxonomy/taxondetails?taxnode_id=202519937&amp;ictv_id=ICTV202419937","ICTV202419937")</f>
        <v>ICTV202419937</v>
      </c>
      <c r="R3187" t="s">
        <v>579</v>
      </c>
      <c r="S3187" t="s">
        <v>823</v>
      </c>
      <c r="T3187">
        <v>40</v>
      </c>
      <c r="U3187" s="26" t="str">
        <f t="shared" si="121"/>
        <v>2024.001B.Alisviridae_Ludisviridae_Nixviridae_3nf_7ng_24ns.zip</v>
      </c>
    </row>
    <row r="3188" spans="1:21">
      <c r="A3188">
        <v>3187</v>
      </c>
      <c r="B3188" s="27" t="s">
        <v>1449</v>
      </c>
      <c r="D3188" s="27" t="s">
        <v>1450</v>
      </c>
      <c r="F3188" s="27" t="s">
        <v>1453</v>
      </c>
      <c r="H3188" s="27" t="s">
        <v>1454</v>
      </c>
      <c r="L3188" s="27" t="s">
        <v>19627</v>
      </c>
      <c r="N3188" s="27" t="s">
        <v>19628</v>
      </c>
      <c r="P3188" s="27" t="s">
        <v>19631</v>
      </c>
      <c r="Q3188" s="26" t="str">
        <f>HYPERLINK("https://ictv.global/taxonomy/taxondetails?taxnode_id=202519938&amp;ictv_id=ICTV202419938","ICTV202419938")</f>
        <v>ICTV202419938</v>
      </c>
      <c r="R3188" t="s">
        <v>579</v>
      </c>
      <c r="S3188" t="s">
        <v>823</v>
      </c>
      <c r="T3188">
        <v>40</v>
      </c>
      <c r="U3188" s="26" t="str">
        <f t="shared" si="121"/>
        <v>2024.001B.Alisviridae_Ludisviridae_Nixviridae_3nf_7ng_24ns.zip</v>
      </c>
    </row>
    <row r="3189" spans="1:21">
      <c r="A3189">
        <v>3188</v>
      </c>
      <c r="B3189" s="27" t="s">
        <v>1449</v>
      </c>
      <c r="D3189" s="27" t="s">
        <v>1450</v>
      </c>
      <c r="F3189" s="27" t="s">
        <v>1453</v>
      </c>
      <c r="H3189" s="27" t="s">
        <v>1454</v>
      </c>
      <c r="L3189" s="27" t="s">
        <v>19627</v>
      </c>
      <c r="N3189" s="27" t="s">
        <v>19628</v>
      </c>
      <c r="P3189" s="27" t="s">
        <v>19632</v>
      </c>
      <c r="Q3189" s="26" t="str">
        <f>HYPERLINK("https://ictv.global/taxonomy/taxondetails?taxnode_id=202519939&amp;ictv_id=ICTV202419939","ICTV202419939")</f>
        <v>ICTV202419939</v>
      </c>
      <c r="R3189" t="s">
        <v>579</v>
      </c>
      <c r="S3189" t="s">
        <v>823</v>
      </c>
      <c r="T3189">
        <v>40</v>
      </c>
      <c r="U3189" s="26" t="str">
        <f t="shared" si="121"/>
        <v>2024.001B.Alisviridae_Ludisviridae_Nixviridae_3nf_7ng_24ns.zip</v>
      </c>
    </row>
    <row r="3190" spans="1:21">
      <c r="A3190">
        <v>3189</v>
      </c>
      <c r="B3190" s="27" t="s">
        <v>1449</v>
      </c>
      <c r="D3190" s="27" t="s">
        <v>1450</v>
      </c>
      <c r="F3190" s="27" t="s">
        <v>1453</v>
      </c>
      <c r="H3190" s="27" t="s">
        <v>1454</v>
      </c>
      <c r="L3190" s="27" t="s">
        <v>19627</v>
      </c>
      <c r="N3190" s="27" t="s">
        <v>19633</v>
      </c>
      <c r="P3190" s="27" t="s">
        <v>19634</v>
      </c>
      <c r="Q3190" s="26" t="str">
        <f>HYPERLINK("https://ictv.global/taxonomy/taxondetails?taxnode_id=202519946&amp;ictv_id=ICTV202419946","ICTV202419946")</f>
        <v>ICTV202419946</v>
      </c>
      <c r="R3190" t="s">
        <v>579</v>
      </c>
      <c r="S3190" t="s">
        <v>823</v>
      </c>
      <c r="T3190">
        <v>40</v>
      </c>
      <c r="U3190" s="26" t="str">
        <f t="shared" si="121"/>
        <v>2024.001B.Alisviridae_Ludisviridae_Nixviridae_3nf_7ng_24ns.zip</v>
      </c>
    </row>
    <row r="3191" spans="1:21">
      <c r="A3191">
        <v>3190</v>
      </c>
      <c r="B3191" s="27" t="s">
        <v>1449</v>
      </c>
      <c r="D3191" s="27" t="s">
        <v>1450</v>
      </c>
      <c r="F3191" s="27" t="s">
        <v>1453</v>
      </c>
      <c r="H3191" s="27" t="s">
        <v>1454</v>
      </c>
      <c r="L3191" s="27" t="s">
        <v>19627</v>
      </c>
      <c r="N3191" s="27" t="s">
        <v>19635</v>
      </c>
      <c r="P3191" s="27" t="s">
        <v>19636</v>
      </c>
      <c r="Q3191" s="26" t="str">
        <f>HYPERLINK("https://ictv.global/taxonomy/taxondetails?taxnode_id=202519941&amp;ictv_id=ICTV202419941","ICTV202419941")</f>
        <v>ICTV202419941</v>
      </c>
      <c r="R3191" t="s">
        <v>579</v>
      </c>
      <c r="S3191" t="s">
        <v>823</v>
      </c>
      <c r="T3191">
        <v>40</v>
      </c>
      <c r="U3191" s="26" t="str">
        <f t="shared" si="121"/>
        <v>2024.001B.Alisviridae_Ludisviridae_Nixviridae_3nf_7ng_24ns.zip</v>
      </c>
    </row>
    <row r="3192" spans="1:21">
      <c r="A3192">
        <v>3191</v>
      </c>
      <c r="B3192" s="27" t="s">
        <v>1449</v>
      </c>
      <c r="D3192" s="27" t="s">
        <v>1450</v>
      </c>
      <c r="F3192" s="27" t="s">
        <v>1453</v>
      </c>
      <c r="H3192" s="27" t="s">
        <v>1454</v>
      </c>
      <c r="L3192" s="27" t="s">
        <v>19627</v>
      </c>
      <c r="N3192" s="27" t="s">
        <v>19635</v>
      </c>
      <c r="P3192" s="27" t="s">
        <v>19637</v>
      </c>
      <c r="Q3192" s="26" t="str">
        <f>HYPERLINK("https://ictv.global/taxonomy/taxondetails?taxnode_id=202519942&amp;ictv_id=ICTV202419942","ICTV202419942")</f>
        <v>ICTV202419942</v>
      </c>
      <c r="R3192" t="s">
        <v>579</v>
      </c>
      <c r="S3192" t="s">
        <v>823</v>
      </c>
      <c r="T3192">
        <v>40</v>
      </c>
      <c r="U3192" s="26" t="str">
        <f t="shared" si="121"/>
        <v>2024.001B.Alisviridae_Ludisviridae_Nixviridae_3nf_7ng_24ns.zip</v>
      </c>
    </row>
    <row r="3193" spans="1:21">
      <c r="A3193">
        <v>3192</v>
      </c>
      <c r="B3193" s="27" t="s">
        <v>1449</v>
      </c>
      <c r="D3193" s="27" t="s">
        <v>1450</v>
      </c>
      <c r="F3193" s="27" t="s">
        <v>1453</v>
      </c>
      <c r="H3193" s="27" t="s">
        <v>1454</v>
      </c>
      <c r="L3193" s="27" t="s">
        <v>19627</v>
      </c>
      <c r="N3193" s="27" t="s">
        <v>19635</v>
      </c>
      <c r="P3193" s="27" t="s">
        <v>19638</v>
      </c>
      <c r="Q3193" s="26" t="str">
        <f>HYPERLINK("https://ictv.global/taxonomy/taxondetails?taxnode_id=202519943&amp;ictv_id=ICTV202419943","ICTV202419943")</f>
        <v>ICTV202419943</v>
      </c>
      <c r="R3193" t="s">
        <v>579</v>
      </c>
      <c r="S3193" t="s">
        <v>823</v>
      </c>
      <c r="T3193">
        <v>40</v>
      </c>
      <c r="U3193" s="26" t="str">
        <f t="shared" si="121"/>
        <v>2024.001B.Alisviridae_Ludisviridae_Nixviridae_3nf_7ng_24ns.zip</v>
      </c>
    </row>
    <row r="3194" spans="1:21">
      <c r="A3194">
        <v>3193</v>
      </c>
      <c r="B3194" s="27" t="s">
        <v>1449</v>
      </c>
      <c r="D3194" s="27" t="s">
        <v>1450</v>
      </c>
      <c r="F3194" s="27" t="s">
        <v>1453</v>
      </c>
      <c r="H3194" s="27" t="s">
        <v>1454</v>
      </c>
      <c r="L3194" s="27" t="s">
        <v>19627</v>
      </c>
      <c r="N3194" s="27" t="s">
        <v>19635</v>
      </c>
      <c r="P3194" s="27" t="s">
        <v>19639</v>
      </c>
      <c r="Q3194" s="26" t="str">
        <f>HYPERLINK("https://ictv.global/taxonomy/taxondetails?taxnode_id=202519944&amp;ictv_id=ICTV202419944","ICTV202419944")</f>
        <v>ICTV202419944</v>
      </c>
      <c r="R3194" t="s">
        <v>579</v>
      </c>
      <c r="S3194" t="s">
        <v>823</v>
      </c>
      <c r="T3194">
        <v>40</v>
      </c>
      <c r="U3194" s="26" t="str">
        <f t="shared" si="121"/>
        <v>2024.001B.Alisviridae_Ludisviridae_Nixviridae_3nf_7ng_24ns.zip</v>
      </c>
    </row>
    <row r="3195" spans="1:21">
      <c r="A3195">
        <v>3194</v>
      </c>
      <c r="B3195" s="27" t="s">
        <v>1449</v>
      </c>
      <c r="D3195" s="27" t="s">
        <v>1450</v>
      </c>
      <c r="F3195" s="27" t="s">
        <v>1453</v>
      </c>
      <c r="H3195" s="27" t="s">
        <v>1454</v>
      </c>
      <c r="L3195" s="27" t="s">
        <v>19627</v>
      </c>
      <c r="N3195" s="27" t="s">
        <v>19635</v>
      </c>
      <c r="P3195" s="27" t="s">
        <v>19640</v>
      </c>
      <c r="Q3195" s="26" t="str">
        <f>HYPERLINK("https://ictv.global/taxonomy/taxondetails?taxnode_id=202519945&amp;ictv_id=ICTV202419945","ICTV202419945")</f>
        <v>ICTV202419945</v>
      </c>
      <c r="R3195" t="s">
        <v>579</v>
      </c>
      <c r="S3195" t="s">
        <v>823</v>
      </c>
      <c r="T3195">
        <v>40</v>
      </c>
      <c r="U3195" s="26" t="str">
        <f t="shared" si="121"/>
        <v>2024.001B.Alisviridae_Ludisviridae_Nixviridae_3nf_7ng_24ns.zip</v>
      </c>
    </row>
    <row r="3196" spans="1:21">
      <c r="A3196">
        <v>3195</v>
      </c>
      <c r="B3196" s="27" t="s">
        <v>1449</v>
      </c>
      <c r="D3196" s="27" t="s">
        <v>1450</v>
      </c>
      <c r="F3196" s="27" t="s">
        <v>1453</v>
      </c>
      <c r="H3196" s="27" t="s">
        <v>1454</v>
      </c>
      <c r="L3196" s="27" t="s">
        <v>19627</v>
      </c>
      <c r="N3196" s="27" t="s">
        <v>19641</v>
      </c>
      <c r="P3196" s="27" t="s">
        <v>19642</v>
      </c>
      <c r="Q3196" s="26" t="str">
        <f>HYPERLINK("https://ictv.global/taxonomy/taxondetails?taxnode_id=202519940&amp;ictv_id=ICTV202419940","ICTV202419940")</f>
        <v>ICTV202419940</v>
      </c>
      <c r="R3196" t="s">
        <v>579</v>
      </c>
      <c r="S3196" t="s">
        <v>823</v>
      </c>
      <c r="T3196">
        <v>40</v>
      </c>
      <c r="U3196" s="26" t="str">
        <f t="shared" si="121"/>
        <v>2024.001B.Alisviridae_Ludisviridae_Nixviridae_3nf_7ng_24ns.zip</v>
      </c>
    </row>
    <row r="3197" spans="1:21">
      <c r="A3197">
        <v>3196</v>
      </c>
      <c r="B3197" s="27" t="s">
        <v>1449</v>
      </c>
      <c r="D3197" s="27" t="s">
        <v>1450</v>
      </c>
      <c r="F3197" s="27" t="s">
        <v>1453</v>
      </c>
      <c r="H3197" s="27" t="s">
        <v>1454</v>
      </c>
      <c r="L3197" s="27" t="s">
        <v>19627</v>
      </c>
      <c r="N3197" s="27" t="s">
        <v>19643</v>
      </c>
      <c r="P3197" s="27" t="s">
        <v>19644</v>
      </c>
      <c r="Q3197" s="26" t="str">
        <f>HYPERLINK("https://ictv.global/taxonomy/taxondetails?taxnode_id=202519947&amp;ictv_id=ICTV202419947","ICTV202419947")</f>
        <v>ICTV202419947</v>
      </c>
      <c r="R3197" t="s">
        <v>579</v>
      </c>
      <c r="S3197" t="s">
        <v>823</v>
      </c>
      <c r="T3197">
        <v>40</v>
      </c>
      <c r="U3197" s="26" t="str">
        <f t="shared" si="121"/>
        <v>2024.001B.Alisviridae_Ludisviridae_Nixviridae_3nf_7ng_24ns.zip</v>
      </c>
    </row>
    <row r="3198" spans="1:21">
      <c r="A3198">
        <v>3197</v>
      </c>
      <c r="B3198" s="27" t="s">
        <v>1449</v>
      </c>
      <c r="D3198" s="27" t="s">
        <v>1450</v>
      </c>
      <c r="F3198" s="27" t="s">
        <v>1453</v>
      </c>
      <c r="H3198" s="27" t="s">
        <v>1454</v>
      </c>
      <c r="L3198" s="27" t="s">
        <v>19627</v>
      </c>
      <c r="N3198" s="27" t="s">
        <v>19643</v>
      </c>
      <c r="P3198" s="27" t="s">
        <v>19645</v>
      </c>
      <c r="Q3198" s="26" t="str">
        <f>HYPERLINK("https://ictv.global/taxonomy/taxondetails?taxnode_id=202519948&amp;ictv_id=ICTV202419948","ICTV202419948")</f>
        <v>ICTV202419948</v>
      </c>
      <c r="R3198" t="s">
        <v>579</v>
      </c>
      <c r="S3198" t="s">
        <v>823</v>
      </c>
      <c r="T3198">
        <v>40</v>
      </c>
      <c r="U3198" s="26" t="str">
        <f t="shared" si="121"/>
        <v>2024.001B.Alisviridae_Ludisviridae_Nixviridae_3nf_7ng_24ns.zip</v>
      </c>
    </row>
    <row r="3199" spans="1:21">
      <c r="A3199">
        <v>3198</v>
      </c>
      <c r="B3199" s="27" t="s">
        <v>1449</v>
      </c>
      <c r="D3199" s="27" t="s">
        <v>1450</v>
      </c>
      <c r="F3199" s="27" t="s">
        <v>1453</v>
      </c>
      <c r="H3199" s="27" t="s">
        <v>1454</v>
      </c>
      <c r="L3199" s="27" t="s">
        <v>19627</v>
      </c>
      <c r="N3199" s="27" t="s">
        <v>19643</v>
      </c>
      <c r="P3199" s="27" t="s">
        <v>19646</v>
      </c>
      <c r="Q3199" s="26" t="str">
        <f>HYPERLINK("https://ictv.global/taxonomy/taxondetails?taxnode_id=202519949&amp;ictv_id=ICTV202419949","ICTV202419949")</f>
        <v>ICTV202419949</v>
      </c>
      <c r="R3199" t="s">
        <v>579</v>
      </c>
      <c r="S3199" t="s">
        <v>823</v>
      </c>
      <c r="T3199">
        <v>40</v>
      </c>
      <c r="U3199" s="26" t="str">
        <f t="shared" si="121"/>
        <v>2024.001B.Alisviridae_Ludisviridae_Nixviridae_3nf_7ng_24ns.zip</v>
      </c>
    </row>
    <row r="3200" spans="1:21">
      <c r="A3200">
        <v>3199</v>
      </c>
      <c r="B3200" s="27" t="s">
        <v>1449</v>
      </c>
      <c r="D3200" s="27" t="s">
        <v>1450</v>
      </c>
      <c r="F3200" s="27" t="s">
        <v>1453</v>
      </c>
      <c r="H3200" s="27" t="s">
        <v>1454</v>
      </c>
      <c r="L3200" s="27" t="s">
        <v>19627</v>
      </c>
      <c r="N3200" s="27" t="s">
        <v>19643</v>
      </c>
      <c r="P3200" s="27" t="s">
        <v>19647</v>
      </c>
      <c r="Q3200" s="26" t="str">
        <f>HYPERLINK("https://ictv.global/taxonomy/taxondetails?taxnode_id=202519950&amp;ictv_id=ICTV202419950","ICTV202419950")</f>
        <v>ICTV202419950</v>
      </c>
      <c r="R3200" t="s">
        <v>579</v>
      </c>
      <c r="S3200" t="s">
        <v>823</v>
      </c>
      <c r="T3200">
        <v>40</v>
      </c>
      <c r="U3200" s="26" t="str">
        <f t="shared" si="121"/>
        <v>2024.001B.Alisviridae_Ludisviridae_Nixviridae_3nf_7ng_24ns.zip</v>
      </c>
    </row>
    <row r="3201" spans="1:21">
      <c r="A3201">
        <v>3200</v>
      </c>
      <c r="B3201" s="27" t="s">
        <v>1449</v>
      </c>
      <c r="D3201" s="27" t="s">
        <v>1450</v>
      </c>
      <c r="F3201" s="27" t="s">
        <v>1453</v>
      </c>
      <c r="H3201" s="27" t="s">
        <v>1454</v>
      </c>
      <c r="L3201" s="27" t="s">
        <v>5070</v>
      </c>
      <c r="M3201" s="27" t="s">
        <v>5071</v>
      </c>
      <c r="N3201" s="27" t="s">
        <v>5072</v>
      </c>
      <c r="P3201" s="27" t="s">
        <v>19648</v>
      </c>
      <c r="Q3201" s="26" t="str">
        <f>HYPERLINK("https://ictv.global/taxonomy/taxondetails?taxnode_id=202512802&amp;ictv_id=ICTV202112802","ICTV202112802")</f>
        <v>ICTV202112802</v>
      </c>
      <c r="R3201" t="s">
        <v>579</v>
      </c>
      <c r="S3201" t="s">
        <v>824</v>
      </c>
      <c r="T3201">
        <v>40</v>
      </c>
      <c r="U3201" s="26" t="str">
        <f>HYPERLINK("https://ictv.global/ictv/proposals/2024.036B.Caudoviricetes_Faserviricetes_Name_Corrections.zip","2024.036B.Caudoviricetes_Faserviricetes_Name_Corrections.zip")</f>
        <v>2024.036B.Caudoviricetes_Faserviricetes_Name_Corrections.zip</v>
      </c>
    </row>
    <row r="3202" spans="1:21">
      <c r="A3202">
        <v>3201</v>
      </c>
      <c r="B3202" s="27" t="s">
        <v>1449</v>
      </c>
      <c r="D3202" s="27" t="s">
        <v>1450</v>
      </c>
      <c r="F3202" s="27" t="s">
        <v>1453</v>
      </c>
      <c r="H3202" s="27" t="s">
        <v>1454</v>
      </c>
      <c r="L3202" s="27" t="s">
        <v>5070</v>
      </c>
      <c r="M3202" s="27" t="s">
        <v>5071</v>
      </c>
      <c r="N3202" s="27" t="s">
        <v>5073</v>
      </c>
      <c r="P3202" s="27" t="s">
        <v>19649</v>
      </c>
      <c r="Q3202" s="26" t="str">
        <f>HYPERLINK("https://ictv.global/taxonomy/taxondetails?taxnode_id=202512804&amp;ictv_id=ICTV202112804","ICTV202112804")</f>
        <v>ICTV202112804</v>
      </c>
      <c r="R3202" t="s">
        <v>579</v>
      </c>
      <c r="S3202" t="s">
        <v>824</v>
      </c>
      <c r="T3202">
        <v>40</v>
      </c>
      <c r="U3202" s="26" t="str">
        <f>HYPERLINK("https://ictv.global/ictv/proposals/2024.036B.Caudoviricetes_Faserviricetes_Name_Corrections.zip","2024.036B.Caudoviricetes_Faserviricetes_Name_Corrections.zip")</f>
        <v>2024.036B.Caudoviricetes_Faserviricetes_Name_Corrections.zip</v>
      </c>
    </row>
    <row r="3203" spans="1:21">
      <c r="A3203">
        <v>3202</v>
      </c>
      <c r="B3203" s="27" t="s">
        <v>1449</v>
      </c>
      <c r="D3203" s="27" t="s">
        <v>1450</v>
      </c>
      <c r="F3203" s="27" t="s">
        <v>1453</v>
      </c>
      <c r="H3203" s="27" t="s">
        <v>1454</v>
      </c>
      <c r="L3203" s="27" t="s">
        <v>5070</v>
      </c>
      <c r="M3203" s="27" t="s">
        <v>5071</v>
      </c>
      <c r="N3203" s="27" t="s">
        <v>5074</v>
      </c>
      <c r="P3203" s="27" t="s">
        <v>5075</v>
      </c>
      <c r="Q3203" s="26" t="str">
        <f>HYPERLINK("https://ictv.global/taxonomy/taxondetails?taxnode_id=202512794&amp;ictv_id=ICTV202112794","ICTV202112794")</f>
        <v>ICTV202112794</v>
      </c>
      <c r="R3203" t="s">
        <v>579</v>
      </c>
      <c r="S3203" t="s">
        <v>823</v>
      </c>
      <c r="T3203">
        <v>37</v>
      </c>
      <c r="U3203" s="26" t="str">
        <f t="shared" ref="U3203:U3211" si="122">HYPERLINK("https://ictv.global/ictv/proposals/2021.060B.R.Orlajensenviridae.zip","2021.060B.R.Orlajensenviridae.zip")</f>
        <v>2021.060B.R.Orlajensenviridae.zip</v>
      </c>
    </row>
    <row r="3204" spans="1:21">
      <c r="A3204">
        <v>3203</v>
      </c>
      <c r="B3204" s="27" t="s">
        <v>1449</v>
      </c>
      <c r="D3204" s="27" t="s">
        <v>1450</v>
      </c>
      <c r="F3204" s="27" t="s">
        <v>1453</v>
      </c>
      <c r="H3204" s="27" t="s">
        <v>1454</v>
      </c>
      <c r="L3204" s="27" t="s">
        <v>5070</v>
      </c>
      <c r="M3204" s="27" t="s">
        <v>5071</v>
      </c>
      <c r="N3204" s="27" t="s">
        <v>5074</v>
      </c>
      <c r="P3204" s="27" t="s">
        <v>5076</v>
      </c>
      <c r="Q3204" s="26" t="str">
        <f>HYPERLINK("https://ictv.global/taxonomy/taxondetails?taxnode_id=202512795&amp;ictv_id=ICTV202112795","ICTV202112795")</f>
        <v>ICTV202112795</v>
      </c>
      <c r="R3204" t="s">
        <v>579</v>
      </c>
      <c r="S3204" t="s">
        <v>823</v>
      </c>
      <c r="T3204">
        <v>37</v>
      </c>
      <c r="U3204" s="26" t="str">
        <f t="shared" si="122"/>
        <v>2021.060B.R.Orlajensenviridae.zip</v>
      </c>
    </row>
    <row r="3205" spans="1:21">
      <c r="A3205">
        <v>3204</v>
      </c>
      <c r="B3205" s="27" t="s">
        <v>1449</v>
      </c>
      <c r="D3205" s="27" t="s">
        <v>1450</v>
      </c>
      <c r="F3205" s="27" t="s">
        <v>1453</v>
      </c>
      <c r="H3205" s="27" t="s">
        <v>1454</v>
      </c>
      <c r="L3205" s="27" t="s">
        <v>5070</v>
      </c>
      <c r="M3205" s="27" t="s">
        <v>5071</v>
      </c>
      <c r="N3205" s="27" t="s">
        <v>5074</v>
      </c>
      <c r="P3205" s="27" t="s">
        <v>5077</v>
      </c>
      <c r="Q3205" s="26" t="str">
        <f>HYPERLINK("https://ictv.global/taxonomy/taxondetails?taxnode_id=202512796&amp;ictv_id=ICTV202112796","ICTV202112796")</f>
        <v>ICTV202112796</v>
      </c>
      <c r="R3205" t="s">
        <v>579</v>
      </c>
      <c r="S3205" t="s">
        <v>823</v>
      </c>
      <c r="T3205">
        <v>37</v>
      </c>
      <c r="U3205" s="26" t="str">
        <f t="shared" si="122"/>
        <v>2021.060B.R.Orlajensenviridae.zip</v>
      </c>
    </row>
    <row r="3206" spans="1:21">
      <c r="A3206">
        <v>3205</v>
      </c>
      <c r="B3206" s="27" t="s">
        <v>1449</v>
      </c>
      <c r="D3206" s="27" t="s">
        <v>1450</v>
      </c>
      <c r="F3206" s="27" t="s">
        <v>1453</v>
      </c>
      <c r="H3206" s="27" t="s">
        <v>1454</v>
      </c>
      <c r="L3206" s="27" t="s">
        <v>5070</v>
      </c>
      <c r="M3206" s="27" t="s">
        <v>5071</v>
      </c>
      <c r="N3206" s="27" t="s">
        <v>5074</v>
      </c>
      <c r="P3206" s="27" t="s">
        <v>5078</v>
      </c>
      <c r="Q3206" s="26" t="str">
        <f>HYPERLINK("https://ictv.global/taxonomy/taxondetails?taxnode_id=202512797&amp;ictv_id=ICTV202112797","ICTV202112797")</f>
        <v>ICTV202112797</v>
      </c>
      <c r="R3206" t="s">
        <v>579</v>
      </c>
      <c r="S3206" t="s">
        <v>823</v>
      </c>
      <c r="T3206">
        <v>37</v>
      </c>
      <c r="U3206" s="26" t="str">
        <f t="shared" si="122"/>
        <v>2021.060B.R.Orlajensenviridae.zip</v>
      </c>
    </row>
    <row r="3207" spans="1:21">
      <c r="A3207">
        <v>3206</v>
      </c>
      <c r="B3207" s="27" t="s">
        <v>1449</v>
      </c>
      <c r="D3207" s="27" t="s">
        <v>1450</v>
      </c>
      <c r="F3207" s="27" t="s">
        <v>1453</v>
      </c>
      <c r="H3207" s="27" t="s">
        <v>1454</v>
      </c>
      <c r="L3207" s="27" t="s">
        <v>5070</v>
      </c>
      <c r="M3207" s="27" t="s">
        <v>5071</v>
      </c>
      <c r="N3207" s="27" t="s">
        <v>5074</v>
      </c>
      <c r="P3207" s="27" t="s">
        <v>5079</v>
      </c>
      <c r="Q3207" s="26" t="str">
        <f>HYPERLINK("https://ictv.global/taxonomy/taxondetails?taxnode_id=202512798&amp;ictv_id=ICTV202112798","ICTV202112798")</f>
        <v>ICTV202112798</v>
      </c>
      <c r="R3207" t="s">
        <v>579</v>
      </c>
      <c r="S3207" t="s">
        <v>823</v>
      </c>
      <c r="T3207">
        <v>37</v>
      </c>
      <c r="U3207" s="26" t="str">
        <f t="shared" si="122"/>
        <v>2021.060B.R.Orlajensenviridae.zip</v>
      </c>
    </row>
    <row r="3208" spans="1:21">
      <c r="A3208">
        <v>3207</v>
      </c>
      <c r="B3208" s="27" t="s">
        <v>1449</v>
      </c>
      <c r="D3208" s="27" t="s">
        <v>1450</v>
      </c>
      <c r="F3208" s="27" t="s">
        <v>1453</v>
      </c>
      <c r="H3208" s="27" t="s">
        <v>1454</v>
      </c>
      <c r="L3208" s="27" t="s">
        <v>5070</v>
      </c>
      <c r="M3208" s="27" t="s">
        <v>5071</v>
      </c>
      <c r="N3208" s="27" t="s">
        <v>5074</v>
      </c>
      <c r="P3208" s="27" t="s">
        <v>5080</v>
      </c>
      <c r="Q3208" s="26" t="str">
        <f>HYPERLINK("https://ictv.global/taxonomy/taxondetails?taxnode_id=202512793&amp;ictv_id=ICTV202112793","ICTV202112793")</f>
        <v>ICTV202112793</v>
      </c>
      <c r="R3208" t="s">
        <v>579</v>
      </c>
      <c r="S3208" t="s">
        <v>823</v>
      </c>
      <c r="T3208">
        <v>37</v>
      </c>
      <c r="U3208" s="26" t="str">
        <f t="shared" si="122"/>
        <v>2021.060B.R.Orlajensenviridae.zip</v>
      </c>
    </row>
    <row r="3209" spans="1:21">
      <c r="A3209">
        <v>3208</v>
      </c>
      <c r="B3209" s="27" t="s">
        <v>1449</v>
      </c>
      <c r="D3209" s="27" t="s">
        <v>1450</v>
      </c>
      <c r="F3209" s="27" t="s">
        <v>1453</v>
      </c>
      <c r="H3209" s="27" t="s">
        <v>1454</v>
      </c>
      <c r="L3209" s="27" t="s">
        <v>5070</v>
      </c>
      <c r="M3209" s="27" t="s">
        <v>5071</v>
      </c>
      <c r="N3209" s="27" t="s">
        <v>5074</v>
      </c>
      <c r="P3209" s="27" t="s">
        <v>5081</v>
      </c>
      <c r="Q3209" s="26" t="str">
        <f>HYPERLINK("https://ictv.global/taxonomy/taxondetails?taxnode_id=202512799&amp;ictv_id=ICTV202112799","ICTV202112799")</f>
        <v>ICTV202112799</v>
      </c>
      <c r="R3209" t="s">
        <v>579</v>
      </c>
      <c r="S3209" t="s">
        <v>823</v>
      </c>
      <c r="T3209">
        <v>37</v>
      </c>
      <c r="U3209" s="26" t="str">
        <f t="shared" si="122"/>
        <v>2021.060B.R.Orlajensenviridae.zip</v>
      </c>
    </row>
    <row r="3210" spans="1:21">
      <c r="A3210">
        <v>3209</v>
      </c>
      <c r="B3210" s="27" t="s">
        <v>1449</v>
      </c>
      <c r="D3210" s="27" t="s">
        <v>1450</v>
      </c>
      <c r="F3210" s="27" t="s">
        <v>1453</v>
      </c>
      <c r="H3210" s="27" t="s">
        <v>1454</v>
      </c>
      <c r="L3210" s="27" t="s">
        <v>5070</v>
      </c>
      <c r="M3210" s="27" t="s">
        <v>5071</v>
      </c>
      <c r="N3210" s="27" t="s">
        <v>5074</v>
      </c>
      <c r="P3210" s="27" t="s">
        <v>5082</v>
      </c>
      <c r="Q3210" s="26" t="str">
        <f>HYPERLINK("https://ictv.global/taxonomy/taxondetails?taxnode_id=202512800&amp;ictv_id=ICTV202112800","ICTV202112800")</f>
        <v>ICTV202112800</v>
      </c>
      <c r="R3210" t="s">
        <v>579</v>
      </c>
      <c r="S3210" t="s">
        <v>823</v>
      </c>
      <c r="T3210">
        <v>37</v>
      </c>
      <c r="U3210" s="26" t="str">
        <f t="shared" si="122"/>
        <v>2021.060B.R.Orlajensenviridae.zip</v>
      </c>
    </row>
    <row r="3211" spans="1:21">
      <c r="A3211">
        <v>3210</v>
      </c>
      <c r="B3211" s="27" t="s">
        <v>1449</v>
      </c>
      <c r="D3211" s="27" t="s">
        <v>1450</v>
      </c>
      <c r="F3211" s="27" t="s">
        <v>1453</v>
      </c>
      <c r="H3211" s="27" t="s">
        <v>1454</v>
      </c>
      <c r="L3211" s="27" t="s">
        <v>5070</v>
      </c>
      <c r="M3211" s="27" t="s">
        <v>5071</v>
      </c>
      <c r="N3211" s="27" t="s">
        <v>5074</v>
      </c>
      <c r="P3211" s="27" t="s">
        <v>5083</v>
      </c>
      <c r="Q3211" s="26" t="str">
        <f>HYPERLINK("https://ictv.global/taxonomy/taxondetails?taxnode_id=202512805&amp;ictv_id=ICTV202112805","ICTV202112805")</f>
        <v>ICTV202112805</v>
      </c>
      <c r="R3211" t="s">
        <v>579</v>
      </c>
      <c r="S3211" t="s">
        <v>823</v>
      </c>
      <c r="T3211">
        <v>37</v>
      </c>
      <c r="U3211" s="26" t="str">
        <f t="shared" si="122"/>
        <v>2021.060B.R.Orlajensenviridae.zip</v>
      </c>
    </row>
    <row r="3212" spans="1:21">
      <c r="A3212">
        <v>3211</v>
      </c>
      <c r="B3212" s="27" t="s">
        <v>1449</v>
      </c>
      <c r="D3212" s="27" t="s">
        <v>1450</v>
      </c>
      <c r="F3212" s="27" t="s">
        <v>1453</v>
      </c>
      <c r="H3212" s="27" t="s">
        <v>1454</v>
      </c>
      <c r="L3212" s="27" t="s">
        <v>5084</v>
      </c>
      <c r="N3212" s="27" t="s">
        <v>5085</v>
      </c>
      <c r="P3212" s="27" t="s">
        <v>5086</v>
      </c>
      <c r="Q3212" s="26" t="str">
        <f>HYPERLINK("https://ictv.global/taxonomy/taxondetails?taxnode_id=202513544&amp;ictv_id=ICTV202113544","ICTV202113544")</f>
        <v>ICTV202113544</v>
      </c>
      <c r="R3212" t="s">
        <v>579</v>
      </c>
      <c r="S3212" t="s">
        <v>823</v>
      </c>
      <c r="T3212">
        <v>37</v>
      </c>
      <c r="U3212" s="26" t="str">
        <f>HYPERLINK("https://ictv.global/ictv/proposals/2021.029B.R.Flavophages_9_families.zip","2021.029B.R.Flavophages_9_families.zip")</f>
        <v>2021.029B.R.Flavophages_9_families.zip</v>
      </c>
    </row>
    <row r="3213" spans="1:21">
      <c r="A3213">
        <v>3212</v>
      </c>
      <c r="B3213" s="27" t="s">
        <v>1449</v>
      </c>
      <c r="D3213" s="27" t="s">
        <v>1450</v>
      </c>
      <c r="F3213" s="27" t="s">
        <v>1453</v>
      </c>
      <c r="H3213" s="27" t="s">
        <v>1454</v>
      </c>
      <c r="L3213" s="27" t="s">
        <v>5084</v>
      </c>
      <c r="N3213" s="27" t="s">
        <v>5087</v>
      </c>
      <c r="P3213" s="27" t="s">
        <v>5088</v>
      </c>
      <c r="Q3213" s="26" t="str">
        <f>HYPERLINK("https://ictv.global/taxonomy/taxondetails?taxnode_id=202513541&amp;ictv_id=ICTV202113541","ICTV202113541")</f>
        <v>ICTV202113541</v>
      </c>
      <c r="R3213" t="s">
        <v>579</v>
      </c>
      <c r="S3213" t="s">
        <v>823</v>
      </c>
      <c r="T3213">
        <v>37</v>
      </c>
      <c r="U3213" s="26" t="str">
        <f>HYPERLINK("https://ictv.global/ictv/proposals/2021.029B.R.Flavophages_9_families.zip","2021.029B.R.Flavophages_9_families.zip")</f>
        <v>2021.029B.R.Flavophages_9_families.zip</v>
      </c>
    </row>
    <row r="3214" spans="1:21">
      <c r="A3214">
        <v>3213</v>
      </c>
      <c r="B3214" s="27" t="s">
        <v>1449</v>
      </c>
      <c r="D3214" s="27" t="s">
        <v>1450</v>
      </c>
      <c r="F3214" s="27" t="s">
        <v>1453</v>
      </c>
      <c r="H3214" s="27" t="s">
        <v>1454</v>
      </c>
      <c r="L3214" s="27" t="s">
        <v>5084</v>
      </c>
      <c r="N3214" s="27" t="s">
        <v>5087</v>
      </c>
      <c r="P3214" s="27" t="s">
        <v>5089</v>
      </c>
      <c r="Q3214" s="26" t="str">
        <f>HYPERLINK("https://ictv.global/taxonomy/taxondetails?taxnode_id=202513542&amp;ictv_id=ICTV202113542","ICTV202113542")</f>
        <v>ICTV202113542</v>
      </c>
      <c r="R3214" t="s">
        <v>579</v>
      </c>
      <c r="S3214" t="s">
        <v>823</v>
      </c>
      <c r="T3214">
        <v>37</v>
      </c>
      <c r="U3214" s="26" t="str">
        <f>HYPERLINK("https://ictv.global/ictv/proposals/2021.029B.R.Flavophages_9_families.zip","2021.029B.R.Flavophages_9_families.zip")</f>
        <v>2021.029B.R.Flavophages_9_families.zip</v>
      </c>
    </row>
    <row r="3215" spans="1:21">
      <c r="A3215">
        <v>3214</v>
      </c>
      <c r="B3215" s="27" t="s">
        <v>1449</v>
      </c>
      <c r="D3215" s="27" t="s">
        <v>1450</v>
      </c>
      <c r="F3215" s="27" t="s">
        <v>1453</v>
      </c>
      <c r="H3215" s="27" t="s">
        <v>1454</v>
      </c>
      <c r="L3215" s="27" t="s">
        <v>5084</v>
      </c>
      <c r="N3215" s="27" t="s">
        <v>5087</v>
      </c>
      <c r="P3215" s="27" t="s">
        <v>5090</v>
      </c>
      <c r="Q3215" s="26" t="str">
        <f>HYPERLINK("https://ictv.global/taxonomy/taxondetails?taxnode_id=202513540&amp;ictv_id=ICTV202113540","ICTV202113540")</f>
        <v>ICTV202113540</v>
      </c>
      <c r="R3215" t="s">
        <v>579</v>
      </c>
      <c r="S3215" t="s">
        <v>823</v>
      </c>
      <c r="T3215">
        <v>37</v>
      </c>
      <c r="U3215" s="26" t="str">
        <f>HYPERLINK("https://ictv.global/ictv/proposals/2021.029B.R.Flavophages_9_families.zip","2021.029B.R.Flavophages_9_families.zip")</f>
        <v>2021.029B.R.Flavophages_9_families.zip</v>
      </c>
    </row>
    <row r="3216" spans="1:21">
      <c r="A3216">
        <v>3215</v>
      </c>
      <c r="B3216" s="27" t="s">
        <v>1449</v>
      </c>
      <c r="D3216" s="27" t="s">
        <v>1450</v>
      </c>
      <c r="F3216" s="27" t="s">
        <v>1453</v>
      </c>
      <c r="H3216" s="27" t="s">
        <v>1454</v>
      </c>
      <c r="L3216" s="27" t="s">
        <v>5084</v>
      </c>
      <c r="N3216" s="27" t="s">
        <v>5091</v>
      </c>
      <c r="P3216" s="27" t="s">
        <v>5092</v>
      </c>
      <c r="Q3216" s="26" t="str">
        <f>HYPERLINK("https://ictv.global/taxonomy/taxondetails?taxnode_id=202513538&amp;ictv_id=ICTV202113538","ICTV202113538")</f>
        <v>ICTV202113538</v>
      </c>
      <c r="R3216" t="s">
        <v>579</v>
      </c>
      <c r="S3216" t="s">
        <v>823</v>
      </c>
      <c r="T3216">
        <v>37</v>
      </c>
      <c r="U3216" s="26" t="str">
        <f>HYPERLINK("https://ictv.global/ictv/proposals/2021.029B.R.Flavophages_9_families.zip","2021.029B.R.Flavophages_9_families.zip")</f>
        <v>2021.029B.R.Flavophages_9_families.zip</v>
      </c>
    </row>
    <row r="3217" spans="1:21">
      <c r="A3217">
        <v>3216</v>
      </c>
      <c r="B3217" s="27" t="s">
        <v>1449</v>
      </c>
      <c r="D3217" s="27" t="s">
        <v>1450</v>
      </c>
      <c r="F3217" s="27" t="s">
        <v>1453</v>
      </c>
      <c r="H3217" s="27" t="s">
        <v>1454</v>
      </c>
      <c r="L3217" s="27" t="s">
        <v>5093</v>
      </c>
      <c r="N3217" s="27" t="s">
        <v>22738</v>
      </c>
      <c r="P3217" s="27" t="s">
        <v>22739</v>
      </c>
      <c r="Q3217" s="26" t="str">
        <f>HYPERLINK("https://ictv.global/taxonomy/taxondetails?taxnode_id=202523310&amp;ictv_id=ICTV202523310","ICTV202523310")</f>
        <v>ICTV202523310</v>
      </c>
      <c r="R3217" t="s">
        <v>579</v>
      </c>
      <c r="S3217" t="s">
        <v>823</v>
      </c>
      <c r="T3217">
        <v>41</v>
      </c>
      <c r="U3217" s="26" t="str">
        <f>HYPERLINK("https://ictv.global/ictv/proposals/2025.089B.Acarajevirus_1ng_1ns.zip","2025.089B.Acarajevirus_1ng_1ns.zip")</f>
        <v>2025.089B.Acarajevirus_1ng_1ns.zip</v>
      </c>
    </row>
    <row r="3218" spans="1:21">
      <c r="A3218">
        <v>3217</v>
      </c>
      <c r="B3218" s="27" t="s">
        <v>1449</v>
      </c>
      <c r="D3218" s="27" t="s">
        <v>1450</v>
      </c>
      <c r="F3218" s="27" t="s">
        <v>1453</v>
      </c>
      <c r="H3218" s="27" t="s">
        <v>1454</v>
      </c>
      <c r="L3218" s="27" t="s">
        <v>5093</v>
      </c>
      <c r="N3218" s="27" t="s">
        <v>5094</v>
      </c>
      <c r="P3218" s="27" t="s">
        <v>5095</v>
      </c>
      <c r="Q3218" s="26" t="str">
        <f>HYPERLINK("https://ictv.global/taxonomy/taxondetails?taxnode_id=202507980&amp;ictv_id=ICTV201907980","ICTV201907980")</f>
        <v>ICTV201907980</v>
      </c>
      <c r="R3218" t="s">
        <v>579</v>
      </c>
      <c r="S3218" t="s">
        <v>22764</v>
      </c>
      <c r="T3218">
        <v>37</v>
      </c>
      <c r="U3218" s="26" t="str">
        <f>HYPERLINK("https://ictv.global/ictv/proposals/2021.063B.R.Peduoviridae.zip","2021.063B.R.Peduoviridae.zip")</f>
        <v>2021.063B.R.Peduoviridae.zip</v>
      </c>
    </row>
    <row r="3219" spans="1:21">
      <c r="A3219">
        <v>3218</v>
      </c>
      <c r="B3219" s="27" t="s">
        <v>1449</v>
      </c>
      <c r="D3219" s="27" t="s">
        <v>1450</v>
      </c>
      <c r="F3219" s="27" t="s">
        <v>1453</v>
      </c>
      <c r="H3219" s="27" t="s">
        <v>1454</v>
      </c>
      <c r="L3219" s="27" t="s">
        <v>5093</v>
      </c>
      <c r="N3219" s="27" t="s">
        <v>5094</v>
      </c>
      <c r="P3219" s="27" t="s">
        <v>5096</v>
      </c>
      <c r="Q3219" s="26" t="str">
        <f>HYPERLINK("https://ictv.global/taxonomy/taxondetails?taxnode_id=202512846&amp;ictv_id=ICTV202112846","ICTV202112846")</f>
        <v>ICTV202112846</v>
      </c>
      <c r="R3219" t="s">
        <v>579</v>
      </c>
      <c r="S3219" t="s">
        <v>823</v>
      </c>
      <c r="T3219">
        <v>37</v>
      </c>
      <c r="U3219" s="26" t="str">
        <f>HYPERLINK("https://ictv.global/ictv/proposals/2021.063B.R.Peduoviridae.zip","2021.063B.R.Peduoviridae.zip")</f>
        <v>2021.063B.R.Peduoviridae.zip</v>
      </c>
    </row>
    <row r="3220" spans="1:21">
      <c r="A3220">
        <v>3219</v>
      </c>
      <c r="B3220" s="27" t="s">
        <v>1449</v>
      </c>
      <c r="D3220" s="27" t="s">
        <v>1450</v>
      </c>
      <c r="F3220" s="27" t="s">
        <v>1453</v>
      </c>
      <c r="H3220" s="27" t="s">
        <v>1454</v>
      </c>
      <c r="L3220" s="27" t="s">
        <v>5093</v>
      </c>
      <c r="N3220" s="27" t="s">
        <v>1637</v>
      </c>
      <c r="P3220" s="27" t="s">
        <v>5097</v>
      </c>
      <c r="Q3220" s="26" t="str">
        <f>HYPERLINK("https://ictv.global/taxonomy/taxondetails?taxnode_id=202500242&amp;ictv_id=ICTV20115510","ICTV20115510")</f>
        <v>ICTV20115510</v>
      </c>
      <c r="R3220" t="s">
        <v>579</v>
      </c>
      <c r="S3220" t="s">
        <v>824</v>
      </c>
      <c r="T3220">
        <v>37</v>
      </c>
      <c r="U3220" s="26" t="str">
        <f>HYPERLINK("https://ictv.global/ictv/proposals/2021.010B.R.Binomial_names.zip","2021.010B.R.Binomial_names.zip")</f>
        <v>2021.010B.R.Binomial_names.zip</v>
      </c>
    </row>
    <row r="3221" spans="1:21">
      <c r="A3221">
        <v>3220</v>
      </c>
      <c r="B3221" s="27" t="s">
        <v>1449</v>
      </c>
      <c r="D3221" s="27" t="s">
        <v>1450</v>
      </c>
      <c r="F3221" s="27" t="s">
        <v>1453</v>
      </c>
      <c r="H3221" s="27" t="s">
        <v>1454</v>
      </c>
      <c r="L3221" s="27" t="s">
        <v>5093</v>
      </c>
      <c r="N3221" s="27" t="s">
        <v>1637</v>
      </c>
      <c r="P3221" s="27" t="s">
        <v>5098</v>
      </c>
      <c r="Q3221" s="26" t="str">
        <f>HYPERLINK("https://ictv.global/taxonomy/taxondetails?taxnode_id=202511582&amp;ictv_id=ICTV202011582","ICTV202011582")</f>
        <v>ICTV202011582</v>
      </c>
      <c r="R3221" t="s">
        <v>579</v>
      </c>
      <c r="S3221" t="s">
        <v>824</v>
      </c>
      <c r="T3221">
        <v>37</v>
      </c>
      <c r="U3221" s="26" t="str">
        <f>HYPERLINK("https://ictv.global/ictv/proposals/2021.010B.R.Binomial_names.zip","2021.010B.R.Binomial_names.zip")</f>
        <v>2021.010B.R.Binomial_names.zip</v>
      </c>
    </row>
    <row r="3222" spans="1:21">
      <c r="A3222">
        <v>3221</v>
      </c>
      <c r="B3222" s="27" t="s">
        <v>1449</v>
      </c>
      <c r="D3222" s="27" t="s">
        <v>1450</v>
      </c>
      <c r="F3222" s="27" t="s">
        <v>1453</v>
      </c>
      <c r="H3222" s="27" t="s">
        <v>1454</v>
      </c>
      <c r="L3222" s="27" t="s">
        <v>5093</v>
      </c>
      <c r="N3222" s="27" t="s">
        <v>5099</v>
      </c>
      <c r="P3222" s="27" t="s">
        <v>5100</v>
      </c>
      <c r="Q3222" s="26" t="str">
        <f>HYPERLINK("https://ictv.global/taxonomy/taxondetails?taxnode_id=202514744&amp;ictv_id=ICTV202214744","ICTV202214744")</f>
        <v>ICTV202214744</v>
      </c>
      <c r="R3222" t="s">
        <v>579</v>
      </c>
      <c r="S3222" t="s">
        <v>823</v>
      </c>
      <c r="T3222">
        <v>38</v>
      </c>
      <c r="U3222" s="26" t="str">
        <f>HYPERLINK("https://ictv.global/ictv/proposals/2022.062B.Peduoviridae_6ng_19nsp.zip","2022.062B.Peduoviridae_6ng_19nsp.zip")</f>
        <v>2022.062B.Peduoviridae_6ng_19nsp.zip</v>
      </c>
    </row>
    <row r="3223" spans="1:21">
      <c r="A3223">
        <v>3222</v>
      </c>
      <c r="B3223" s="27" t="s">
        <v>1449</v>
      </c>
      <c r="D3223" s="27" t="s">
        <v>1450</v>
      </c>
      <c r="F3223" s="27" t="s">
        <v>1453</v>
      </c>
      <c r="H3223" s="27" t="s">
        <v>1454</v>
      </c>
      <c r="L3223" s="27" t="s">
        <v>5093</v>
      </c>
      <c r="N3223" s="27" t="s">
        <v>5101</v>
      </c>
      <c r="P3223" s="27" t="s">
        <v>5102</v>
      </c>
      <c r="Q3223" s="26" t="str">
        <f>HYPERLINK("https://ictv.global/taxonomy/taxondetails?taxnode_id=202507982&amp;ictv_id=ICTV201907982","ICTV201907982")</f>
        <v>ICTV201907982</v>
      </c>
      <c r="R3223" t="s">
        <v>579</v>
      </c>
      <c r="S3223" t="s">
        <v>22764</v>
      </c>
      <c r="T3223">
        <v>37</v>
      </c>
      <c r="U3223" s="26" t="str">
        <f>HYPERLINK("https://ictv.global/ictv/proposals/2021.063B.R.Peduoviridae.zip","2021.063B.R.Peduoviridae.zip")</f>
        <v>2021.063B.R.Peduoviridae.zip</v>
      </c>
    </row>
    <row r="3224" spans="1:21">
      <c r="A3224">
        <v>3223</v>
      </c>
      <c r="B3224" s="27" t="s">
        <v>1449</v>
      </c>
      <c r="D3224" s="27" t="s">
        <v>1450</v>
      </c>
      <c r="F3224" s="27" t="s">
        <v>1453</v>
      </c>
      <c r="H3224" s="27" t="s">
        <v>1454</v>
      </c>
      <c r="L3224" s="27" t="s">
        <v>5093</v>
      </c>
      <c r="N3224" s="27" t="s">
        <v>1638</v>
      </c>
      <c r="P3224" s="27" t="s">
        <v>5103</v>
      </c>
      <c r="Q3224" s="26" t="str">
        <f>HYPERLINK("https://ictv.global/taxonomy/taxondetails?taxnode_id=202507975&amp;ictv_id=ICTV201907975","ICTV201907975")</f>
        <v>ICTV201907975</v>
      </c>
      <c r="R3224" t="s">
        <v>579</v>
      </c>
      <c r="S3224" t="s">
        <v>824</v>
      </c>
      <c r="T3224">
        <v>37</v>
      </c>
      <c r="U3224" s="26" t="str">
        <f>HYPERLINK("https://ictv.global/ictv/proposals/2021.010B.R.Binomial_names.zip","2021.010B.R.Binomial_names.zip")</f>
        <v>2021.010B.R.Binomial_names.zip</v>
      </c>
    </row>
    <row r="3225" spans="1:21">
      <c r="A3225">
        <v>3224</v>
      </c>
      <c r="B3225" s="27" t="s">
        <v>1449</v>
      </c>
      <c r="D3225" s="27" t="s">
        <v>1450</v>
      </c>
      <c r="F3225" s="27" t="s">
        <v>1453</v>
      </c>
      <c r="H3225" s="27" t="s">
        <v>1454</v>
      </c>
      <c r="L3225" s="27" t="s">
        <v>5093</v>
      </c>
      <c r="N3225" s="27" t="s">
        <v>1638</v>
      </c>
      <c r="P3225" s="27" t="s">
        <v>5104</v>
      </c>
      <c r="Q3225" s="26" t="str">
        <f>HYPERLINK("https://ictv.global/taxonomy/taxondetails?taxnode_id=202500240&amp;ictv_id=ICTV20115507","ICTV20115507")</f>
        <v>ICTV20115507</v>
      </c>
      <c r="R3225" t="s">
        <v>579</v>
      </c>
      <c r="S3225" t="s">
        <v>824</v>
      </c>
      <c r="T3225">
        <v>37</v>
      </c>
      <c r="U3225" s="26" t="str">
        <f>HYPERLINK("https://ictv.global/ictv/proposals/2021.010B.R.Binomial_names.zip","2021.010B.R.Binomial_names.zip")</f>
        <v>2021.010B.R.Binomial_names.zip</v>
      </c>
    </row>
    <row r="3226" spans="1:21">
      <c r="A3226">
        <v>3225</v>
      </c>
      <c r="B3226" s="27" t="s">
        <v>1449</v>
      </c>
      <c r="D3226" s="27" t="s">
        <v>1450</v>
      </c>
      <c r="F3226" s="27" t="s">
        <v>1453</v>
      </c>
      <c r="H3226" s="27" t="s">
        <v>1454</v>
      </c>
      <c r="L3226" s="27" t="s">
        <v>5093</v>
      </c>
      <c r="N3226" s="27" t="s">
        <v>1639</v>
      </c>
      <c r="P3226" s="27" t="s">
        <v>11636</v>
      </c>
      <c r="Q3226" s="26" t="str">
        <f>HYPERLINK("https://ictv.global/taxonomy/taxondetails?taxnode_id=202519226&amp;ictv_id=ICTV202319226","ICTV202319226")</f>
        <v>ICTV202319226</v>
      </c>
      <c r="R3226" t="s">
        <v>579</v>
      </c>
      <c r="S3226" t="s">
        <v>823</v>
      </c>
      <c r="T3226">
        <v>39</v>
      </c>
      <c r="U3226" s="26" t="str">
        <f>HYPERLINK("https://ictv.global/ictv/proposals/2023.051B.Peduoviridae_reorg.zip","2023.051B.Peduoviridae_reorg.zip")</f>
        <v>2023.051B.Peduoviridae_reorg.zip</v>
      </c>
    </row>
    <row r="3227" spans="1:21">
      <c r="A3227">
        <v>3226</v>
      </c>
      <c r="B3227" s="27" t="s">
        <v>1449</v>
      </c>
      <c r="D3227" s="27" t="s">
        <v>1450</v>
      </c>
      <c r="F3227" s="27" t="s">
        <v>1453</v>
      </c>
      <c r="H3227" s="27" t="s">
        <v>1454</v>
      </c>
      <c r="L3227" s="27" t="s">
        <v>5093</v>
      </c>
      <c r="N3227" s="27" t="s">
        <v>1639</v>
      </c>
      <c r="P3227" s="27" t="s">
        <v>5105</v>
      </c>
      <c r="Q3227" s="26" t="str">
        <f>HYPERLINK("https://ictv.global/taxonomy/taxondetails?taxnode_id=202500227&amp;ictv_id=ICTV20115697","ICTV20115697")</f>
        <v>ICTV20115697</v>
      </c>
      <c r="R3227" t="s">
        <v>579</v>
      </c>
      <c r="S3227" t="s">
        <v>824</v>
      </c>
      <c r="T3227">
        <v>37</v>
      </c>
      <c r="U3227" s="26" t="str">
        <f>HYPERLINK("https://ictv.global/ictv/proposals/2021.010B.R.Binomial_names.zip","2021.010B.R.Binomial_names.zip")</f>
        <v>2021.010B.R.Binomial_names.zip</v>
      </c>
    </row>
    <row r="3228" spans="1:21">
      <c r="A3228">
        <v>3227</v>
      </c>
      <c r="B3228" s="27" t="s">
        <v>1449</v>
      </c>
      <c r="D3228" s="27" t="s">
        <v>1450</v>
      </c>
      <c r="F3228" s="27" t="s">
        <v>1453</v>
      </c>
      <c r="H3228" s="27" t="s">
        <v>1454</v>
      </c>
      <c r="L3228" s="27" t="s">
        <v>5093</v>
      </c>
      <c r="N3228" s="27" t="s">
        <v>5106</v>
      </c>
      <c r="P3228" s="27" t="s">
        <v>5107</v>
      </c>
      <c r="Q3228" s="26" t="str">
        <f>HYPERLINK("https://ictv.global/taxonomy/taxondetails?taxnode_id=202512852&amp;ictv_id=ICTV202112852","ICTV202112852")</f>
        <v>ICTV202112852</v>
      </c>
      <c r="R3228" t="s">
        <v>579</v>
      </c>
      <c r="S3228" t="s">
        <v>823</v>
      </c>
      <c r="T3228">
        <v>37</v>
      </c>
      <c r="U3228" s="26" t="str">
        <f>HYPERLINK("https://ictv.global/ictv/proposals/2021.063B.R.Peduoviridae.zip","2021.063B.R.Peduoviridae.zip")</f>
        <v>2021.063B.R.Peduoviridae.zip</v>
      </c>
    </row>
    <row r="3229" spans="1:21">
      <c r="A3229">
        <v>3228</v>
      </c>
      <c r="B3229" s="27" t="s">
        <v>1449</v>
      </c>
      <c r="D3229" s="27" t="s">
        <v>1450</v>
      </c>
      <c r="F3229" s="27" t="s">
        <v>1453</v>
      </c>
      <c r="H3229" s="27" t="s">
        <v>1454</v>
      </c>
      <c r="L3229" s="27" t="s">
        <v>5093</v>
      </c>
      <c r="N3229" s="27" t="s">
        <v>1640</v>
      </c>
      <c r="P3229" s="27" t="s">
        <v>5108</v>
      </c>
      <c r="Q3229" s="26" t="str">
        <f>HYPERLINK("https://ictv.global/taxonomy/taxondetails?taxnode_id=202507970&amp;ictv_id=ICTV201907970","ICTV201907970")</f>
        <v>ICTV201907970</v>
      </c>
      <c r="R3229" t="s">
        <v>579</v>
      </c>
      <c r="S3229" t="s">
        <v>824</v>
      </c>
      <c r="T3229">
        <v>37</v>
      </c>
      <c r="U3229" s="26" t="str">
        <f>HYPERLINK("https://ictv.global/ictv/proposals/2021.010B.R.Binomial_names.zip","2021.010B.R.Binomial_names.zip")</f>
        <v>2021.010B.R.Binomial_names.zip</v>
      </c>
    </row>
    <row r="3230" spans="1:21">
      <c r="A3230">
        <v>3229</v>
      </c>
      <c r="B3230" s="27" t="s">
        <v>1449</v>
      </c>
      <c r="D3230" s="27" t="s">
        <v>1450</v>
      </c>
      <c r="F3230" s="27" t="s">
        <v>1453</v>
      </c>
      <c r="H3230" s="27" t="s">
        <v>1454</v>
      </c>
      <c r="L3230" s="27" t="s">
        <v>5093</v>
      </c>
      <c r="N3230" s="27" t="s">
        <v>1641</v>
      </c>
      <c r="P3230" s="27" t="s">
        <v>5109</v>
      </c>
      <c r="Q3230" s="26" t="str">
        <f>HYPERLINK("https://ictv.global/taxonomy/taxondetails?taxnode_id=202507946&amp;ictv_id=ICTV201907946","ICTV201907946")</f>
        <v>ICTV201907946</v>
      </c>
      <c r="R3230" t="s">
        <v>579</v>
      </c>
      <c r="S3230" t="s">
        <v>824</v>
      </c>
      <c r="T3230">
        <v>37</v>
      </c>
      <c r="U3230" s="26" t="str">
        <f>HYPERLINK("https://ictv.global/ictv/proposals/2021.010B.R.Binomial_names.zip","2021.010B.R.Binomial_names.zip")</f>
        <v>2021.010B.R.Binomial_names.zip</v>
      </c>
    </row>
    <row r="3231" spans="1:21">
      <c r="A3231">
        <v>3230</v>
      </c>
      <c r="B3231" s="27" t="s">
        <v>1449</v>
      </c>
      <c r="D3231" s="27" t="s">
        <v>1450</v>
      </c>
      <c r="F3231" s="27" t="s">
        <v>1453</v>
      </c>
      <c r="H3231" s="27" t="s">
        <v>1454</v>
      </c>
      <c r="L3231" s="27" t="s">
        <v>5093</v>
      </c>
      <c r="N3231" s="27" t="s">
        <v>1642</v>
      </c>
      <c r="P3231" s="27" t="s">
        <v>5110</v>
      </c>
      <c r="Q3231" s="26" t="str">
        <f>HYPERLINK("https://ictv.global/taxonomy/taxondetails?taxnode_id=202512868&amp;ictv_id=ICTV202112868","ICTV202112868")</f>
        <v>ICTV202112868</v>
      </c>
      <c r="R3231" t="s">
        <v>579</v>
      </c>
      <c r="S3231" t="s">
        <v>823</v>
      </c>
      <c r="T3231">
        <v>37</v>
      </c>
      <c r="U3231" s="26" t="str">
        <f>HYPERLINK("https://ictv.global/ictv/proposals/2021.063B.R.Peduoviridae.zip","2021.063B.R.Peduoviridae.zip")</f>
        <v>2021.063B.R.Peduoviridae.zip</v>
      </c>
    </row>
    <row r="3232" spans="1:21">
      <c r="A3232">
        <v>3231</v>
      </c>
      <c r="B3232" s="27" t="s">
        <v>1449</v>
      </c>
      <c r="D3232" s="27" t="s">
        <v>1450</v>
      </c>
      <c r="F3232" s="27" t="s">
        <v>1453</v>
      </c>
      <c r="H3232" s="27" t="s">
        <v>1454</v>
      </c>
      <c r="L3232" s="27" t="s">
        <v>5093</v>
      </c>
      <c r="N3232" s="27" t="s">
        <v>1642</v>
      </c>
      <c r="P3232" s="27" t="s">
        <v>5111</v>
      </c>
      <c r="Q3232" s="26" t="str">
        <f>HYPERLINK("https://ictv.global/taxonomy/taxondetails?taxnode_id=202507962&amp;ictv_id=ICTV201907962","ICTV201907962")</f>
        <v>ICTV201907962</v>
      </c>
      <c r="R3232" t="s">
        <v>579</v>
      </c>
      <c r="S3232" t="s">
        <v>824</v>
      </c>
      <c r="T3232">
        <v>37</v>
      </c>
      <c r="U3232" s="26" t="str">
        <f>HYPERLINK("https://ictv.global/ictv/proposals/2021.010B.R.Binomial_names.zip","2021.010B.R.Binomial_names.zip")</f>
        <v>2021.010B.R.Binomial_names.zip</v>
      </c>
    </row>
    <row r="3233" spans="1:21">
      <c r="A3233">
        <v>3232</v>
      </c>
      <c r="B3233" s="27" t="s">
        <v>1449</v>
      </c>
      <c r="D3233" s="27" t="s">
        <v>1450</v>
      </c>
      <c r="F3233" s="27" t="s">
        <v>1453</v>
      </c>
      <c r="H3233" s="27" t="s">
        <v>1454</v>
      </c>
      <c r="L3233" s="27" t="s">
        <v>5093</v>
      </c>
      <c r="N3233" s="27" t="s">
        <v>1642</v>
      </c>
      <c r="P3233" s="27" t="s">
        <v>5112</v>
      </c>
      <c r="Q3233" s="26" t="str">
        <f>HYPERLINK("https://ictv.global/taxonomy/taxondetails?taxnode_id=202500241&amp;ictv_id=ICTV20115508","ICTV20115508")</f>
        <v>ICTV20115508</v>
      </c>
      <c r="R3233" t="s">
        <v>579</v>
      </c>
      <c r="S3233" t="s">
        <v>824</v>
      </c>
      <c r="T3233">
        <v>37</v>
      </c>
      <c r="U3233" s="26" t="str">
        <f>HYPERLINK("https://ictv.global/ictv/proposals/2021.010B.R.Binomial_names.zip","2021.010B.R.Binomial_names.zip")</f>
        <v>2021.010B.R.Binomial_names.zip</v>
      </c>
    </row>
    <row r="3234" spans="1:21">
      <c r="A3234">
        <v>3233</v>
      </c>
      <c r="B3234" s="27" t="s">
        <v>1449</v>
      </c>
      <c r="D3234" s="27" t="s">
        <v>1450</v>
      </c>
      <c r="F3234" s="27" t="s">
        <v>1453</v>
      </c>
      <c r="H3234" s="27" t="s">
        <v>1454</v>
      </c>
      <c r="L3234" s="27" t="s">
        <v>5093</v>
      </c>
      <c r="N3234" s="27" t="s">
        <v>1642</v>
      </c>
      <c r="P3234" s="27" t="s">
        <v>5113</v>
      </c>
      <c r="Q3234" s="26" t="str">
        <f>HYPERLINK("https://ictv.global/taxonomy/taxondetails?taxnode_id=202512867&amp;ictv_id=ICTV202112867","ICTV202112867")</f>
        <v>ICTV202112867</v>
      </c>
      <c r="R3234" t="s">
        <v>579</v>
      </c>
      <c r="S3234" t="s">
        <v>823</v>
      </c>
      <c r="T3234">
        <v>37</v>
      </c>
      <c r="U3234" s="26" t="str">
        <f>HYPERLINK("https://ictv.global/ictv/proposals/2021.063B.R.Peduoviridae.zip","2021.063B.R.Peduoviridae.zip")</f>
        <v>2021.063B.R.Peduoviridae.zip</v>
      </c>
    </row>
    <row r="3235" spans="1:21">
      <c r="A3235">
        <v>3234</v>
      </c>
      <c r="B3235" s="27" t="s">
        <v>1449</v>
      </c>
      <c r="D3235" s="27" t="s">
        <v>1450</v>
      </c>
      <c r="F3235" s="27" t="s">
        <v>1453</v>
      </c>
      <c r="H3235" s="27" t="s">
        <v>1454</v>
      </c>
      <c r="L3235" s="27" t="s">
        <v>5093</v>
      </c>
      <c r="N3235" s="27" t="s">
        <v>5114</v>
      </c>
      <c r="P3235" s="27" t="s">
        <v>5115</v>
      </c>
      <c r="Q3235" s="26" t="str">
        <f>HYPERLINK("https://ictv.global/taxonomy/taxondetails?taxnode_id=202511599&amp;ictv_id=ICTV202011599","ICTV202011599")</f>
        <v>ICTV202011599</v>
      </c>
      <c r="R3235" t="s">
        <v>579</v>
      </c>
      <c r="S3235" t="s">
        <v>22764</v>
      </c>
      <c r="T3235">
        <v>37</v>
      </c>
      <c r="U3235" s="26" t="str">
        <f>HYPERLINK("https://ictv.global/ictv/proposals/2021.063B.R.Peduoviridae.zip","2021.063B.R.Peduoviridae.zip")</f>
        <v>2021.063B.R.Peduoviridae.zip</v>
      </c>
    </row>
    <row r="3236" spans="1:21">
      <c r="A3236">
        <v>3235</v>
      </c>
      <c r="B3236" s="27" t="s">
        <v>1449</v>
      </c>
      <c r="D3236" s="27" t="s">
        <v>1450</v>
      </c>
      <c r="F3236" s="27" t="s">
        <v>1453</v>
      </c>
      <c r="H3236" s="27" t="s">
        <v>1454</v>
      </c>
      <c r="L3236" s="27" t="s">
        <v>5093</v>
      </c>
      <c r="N3236" s="27" t="s">
        <v>5116</v>
      </c>
      <c r="P3236" s="27" t="s">
        <v>5117</v>
      </c>
      <c r="Q3236" s="26" t="str">
        <f>HYPERLINK("https://ictv.global/taxonomy/taxondetails?taxnode_id=202500235&amp;ictv_id=ICTV20115511","ICTV20115511")</f>
        <v>ICTV20115511</v>
      </c>
      <c r="R3236" t="s">
        <v>579</v>
      </c>
      <c r="S3236" t="s">
        <v>22764</v>
      </c>
      <c r="T3236">
        <v>37</v>
      </c>
      <c r="U3236" s="26" t="str">
        <f>HYPERLINK("https://ictv.global/ictv/proposals/2021.063B.R.Peduoviridae.zip","2021.063B.R.Peduoviridae.zip")</f>
        <v>2021.063B.R.Peduoviridae.zip</v>
      </c>
    </row>
    <row r="3237" spans="1:21">
      <c r="A3237">
        <v>3236</v>
      </c>
      <c r="B3237" s="27" t="s">
        <v>1449</v>
      </c>
      <c r="D3237" s="27" t="s">
        <v>1450</v>
      </c>
      <c r="F3237" s="27" t="s">
        <v>1453</v>
      </c>
      <c r="H3237" s="27" t="s">
        <v>1454</v>
      </c>
      <c r="L3237" s="27" t="s">
        <v>5093</v>
      </c>
      <c r="N3237" s="27" t="s">
        <v>5118</v>
      </c>
      <c r="P3237" s="27" t="s">
        <v>5119</v>
      </c>
      <c r="Q3237" s="26" t="str">
        <f>HYPERLINK("https://ictv.global/taxonomy/taxondetails?taxnode_id=202514739&amp;ictv_id=ICTV202214739","ICTV202214739")</f>
        <v>ICTV202214739</v>
      </c>
      <c r="R3237" t="s">
        <v>579</v>
      </c>
      <c r="S3237" t="s">
        <v>823</v>
      </c>
      <c r="T3237">
        <v>38</v>
      </c>
      <c r="U3237" s="26" t="str">
        <f>HYPERLINK("https://ictv.global/ictv/proposals/2022.062B.Peduoviridae_6ng_19nsp.zip","2022.062B.Peduoviridae_6ng_19nsp.zip")</f>
        <v>2022.062B.Peduoviridae_6ng_19nsp.zip</v>
      </c>
    </row>
    <row r="3238" spans="1:21">
      <c r="A3238">
        <v>3237</v>
      </c>
      <c r="B3238" s="27" t="s">
        <v>1449</v>
      </c>
      <c r="D3238" s="27" t="s">
        <v>1450</v>
      </c>
      <c r="F3238" s="27" t="s">
        <v>1453</v>
      </c>
      <c r="H3238" s="27" t="s">
        <v>1454</v>
      </c>
      <c r="L3238" s="27" t="s">
        <v>5093</v>
      </c>
      <c r="N3238" s="27" t="s">
        <v>5118</v>
      </c>
      <c r="P3238" s="27" t="s">
        <v>5120</v>
      </c>
      <c r="Q3238" s="26" t="str">
        <f>HYPERLINK("https://ictv.global/taxonomy/taxondetails?taxnode_id=202514740&amp;ictv_id=ICTV202214740","ICTV202214740")</f>
        <v>ICTV202214740</v>
      </c>
      <c r="R3238" t="s">
        <v>579</v>
      </c>
      <c r="S3238" t="s">
        <v>823</v>
      </c>
      <c r="T3238">
        <v>38</v>
      </c>
      <c r="U3238" s="26" t="str">
        <f>HYPERLINK("https://ictv.global/ictv/proposals/2022.062B.Peduoviridae_6ng_19nsp.zip","2022.062B.Peduoviridae_6ng_19nsp.zip")</f>
        <v>2022.062B.Peduoviridae_6ng_19nsp.zip</v>
      </c>
    </row>
    <row r="3239" spans="1:21">
      <c r="A3239">
        <v>3238</v>
      </c>
      <c r="B3239" s="27" t="s">
        <v>1449</v>
      </c>
      <c r="D3239" s="27" t="s">
        <v>1450</v>
      </c>
      <c r="F3239" s="27" t="s">
        <v>1453</v>
      </c>
      <c r="H3239" s="27" t="s">
        <v>1454</v>
      </c>
      <c r="L3239" s="27" t="s">
        <v>5093</v>
      </c>
      <c r="N3239" s="27" t="s">
        <v>5118</v>
      </c>
      <c r="P3239" s="27" t="s">
        <v>5121</v>
      </c>
      <c r="Q3239" s="26" t="str">
        <f>HYPERLINK("https://ictv.global/taxonomy/taxondetails?taxnode_id=202514738&amp;ictv_id=ICTV202214738","ICTV202214738")</f>
        <v>ICTV202214738</v>
      </c>
      <c r="R3239" t="s">
        <v>579</v>
      </c>
      <c r="S3239" t="s">
        <v>823</v>
      </c>
      <c r="T3239">
        <v>38</v>
      </c>
      <c r="U3239" s="26" t="str">
        <f>HYPERLINK("https://ictv.global/ictv/proposals/2022.062B.Peduoviridae_6ng_19nsp.zip","2022.062B.Peduoviridae_6ng_19nsp.zip")</f>
        <v>2022.062B.Peduoviridae_6ng_19nsp.zip</v>
      </c>
    </row>
    <row r="3240" spans="1:21">
      <c r="A3240">
        <v>3239</v>
      </c>
      <c r="B3240" s="27" t="s">
        <v>1449</v>
      </c>
      <c r="D3240" s="27" t="s">
        <v>1450</v>
      </c>
      <c r="F3240" s="27" t="s">
        <v>1453</v>
      </c>
      <c r="H3240" s="27" t="s">
        <v>1454</v>
      </c>
      <c r="L3240" s="27" t="s">
        <v>5093</v>
      </c>
      <c r="N3240" s="27" t="s">
        <v>1643</v>
      </c>
      <c r="P3240" s="27" t="s">
        <v>5122</v>
      </c>
      <c r="Q3240" s="26" t="str">
        <f>HYPERLINK("https://ictv.global/taxonomy/taxondetails?taxnode_id=202514735&amp;ictv_id=ICTV202214735","ICTV202214735")</f>
        <v>ICTV202214735</v>
      </c>
      <c r="R3240" t="s">
        <v>579</v>
      </c>
      <c r="S3240" t="s">
        <v>823</v>
      </c>
      <c r="T3240">
        <v>38</v>
      </c>
      <c r="U3240" s="26" t="str">
        <f>HYPERLINK("https://ictv.global/ictv/proposals/2022.062B.Peduoviridae_6ng_19nsp.zip","2022.062B.Peduoviridae_6ng_19nsp.zip")</f>
        <v>2022.062B.Peduoviridae_6ng_19nsp.zip</v>
      </c>
    </row>
    <row r="3241" spans="1:21">
      <c r="A3241">
        <v>3240</v>
      </c>
      <c r="B3241" s="27" t="s">
        <v>1449</v>
      </c>
      <c r="D3241" s="27" t="s">
        <v>1450</v>
      </c>
      <c r="F3241" s="27" t="s">
        <v>1453</v>
      </c>
      <c r="H3241" s="27" t="s">
        <v>1454</v>
      </c>
      <c r="L3241" s="27" t="s">
        <v>5093</v>
      </c>
      <c r="N3241" s="27" t="s">
        <v>1643</v>
      </c>
      <c r="P3241" s="27" t="s">
        <v>5123</v>
      </c>
      <c r="Q3241" s="26" t="str">
        <f>HYPERLINK("https://ictv.global/taxonomy/taxondetails?taxnode_id=202507973&amp;ictv_id=ICTV201907973","ICTV201907973")</f>
        <v>ICTV201907973</v>
      </c>
      <c r="R3241" t="s">
        <v>579</v>
      </c>
      <c r="S3241" t="s">
        <v>824</v>
      </c>
      <c r="T3241">
        <v>37</v>
      </c>
      <c r="U3241" s="26" t="str">
        <f>HYPERLINK("https://ictv.global/ictv/proposals/2021.010B.R.Binomial_names.zip","2021.010B.R.Binomial_names.zip")</f>
        <v>2021.010B.R.Binomial_names.zip</v>
      </c>
    </row>
    <row r="3242" spans="1:21">
      <c r="A3242">
        <v>3241</v>
      </c>
      <c r="B3242" s="27" t="s">
        <v>1449</v>
      </c>
      <c r="D3242" s="27" t="s">
        <v>1450</v>
      </c>
      <c r="F3242" s="27" t="s">
        <v>1453</v>
      </c>
      <c r="H3242" s="27" t="s">
        <v>1454</v>
      </c>
      <c r="L3242" s="27" t="s">
        <v>5093</v>
      </c>
      <c r="N3242" s="27" t="s">
        <v>1643</v>
      </c>
      <c r="P3242" s="27" t="s">
        <v>5124</v>
      </c>
      <c r="Q3242" s="26" t="str">
        <f>HYPERLINK("https://ictv.global/taxonomy/taxondetails?taxnode_id=202500237&amp;ictv_id=ICTV20115502","ICTV20115502")</f>
        <v>ICTV20115502</v>
      </c>
      <c r="R3242" t="s">
        <v>579</v>
      </c>
      <c r="S3242" t="s">
        <v>824</v>
      </c>
      <c r="T3242">
        <v>37</v>
      </c>
      <c r="U3242" s="26" t="str">
        <f>HYPERLINK("https://ictv.global/ictv/proposals/2021.010B.R.Binomial_names.zip","2021.010B.R.Binomial_names.zip")</f>
        <v>2021.010B.R.Binomial_names.zip</v>
      </c>
    </row>
    <row r="3243" spans="1:21">
      <c r="A3243">
        <v>3242</v>
      </c>
      <c r="B3243" s="27" t="s">
        <v>1449</v>
      </c>
      <c r="D3243" s="27" t="s">
        <v>1450</v>
      </c>
      <c r="F3243" s="27" t="s">
        <v>1453</v>
      </c>
      <c r="H3243" s="27" t="s">
        <v>1454</v>
      </c>
      <c r="L3243" s="27" t="s">
        <v>5093</v>
      </c>
      <c r="N3243" s="27" t="s">
        <v>1643</v>
      </c>
      <c r="P3243" s="27" t="s">
        <v>5125</v>
      </c>
      <c r="Q3243" s="26" t="str">
        <f>HYPERLINK("https://ictv.global/taxonomy/taxondetails?taxnode_id=202500244&amp;ictv_id=ICTV20115503","ICTV20115503")</f>
        <v>ICTV20115503</v>
      </c>
      <c r="R3243" t="s">
        <v>579</v>
      </c>
      <c r="S3243" t="s">
        <v>824</v>
      </c>
      <c r="T3243">
        <v>37</v>
      </c>
      <c r="U3243" s="26" t="str">
        <f>HYPERLINK("https://ictv.global/ictv/proposals/2021.010B.R.Binomial_names.zip","2021.010B.R.Binomial_names.zip")</f>
        <v>2021.010B.R.Binomial_names.zip</v>
      </c>
    </row>
    <row r="3244" spans="1:21">
      <c r="A3244">
        <v>3243</v>
      </c>
      <c r="B3244" s="27" t="s">
        <v>1449</v>
      </c>
      <c r="D3244" s="27" t="s">
        <v>1450</v>
      </c>
      <c r="F3244" s="27" t="s">
        <v>1453</v>
      </c>
      <c r="H3244" s="27" t="s">
        <v>1454</v>
      </c>
      <c r="L3244" s="27" t="s">
        <v>5093</v>
      </c>
      <c r="N3244" s="27" t="s">
        <v>1643</v>
      </c>
      <c r="P3244" s="27" t="s">
        <v>5126</v>
      </c>
      <c r="Q3244" s="26" t="str">
        <f>HYPERLINK("https://ictv.global/taxonomy/taxondetails?taxnode_id=202507972&amp;ictv_id=ICTV201907972","ICTV201907972")</f>
        <v>ICTV201907972</v>
      </c>
      <c r="R3244" t="s">
        <v>579</v>
      </c>
      <c r="S3244" t="s">
        <v>824</v>
      </c>
      <c r="T3244">
        <v>37</v>
      </c>
      <c r="U3244" s="26" t="str">
        <f>HYPERLINK("https://ictv.global/ictv/proposals/2021.010B.R.Binomial_names.zip","2021.010B.R.Binomial_names.zip")</f>
        <v>2021.010B.R.Binomial_names.zip</v>
      </c>
    </row>
    <row r="3245" spans="1:21">
      <c r="A3245">
        <v>3244</v>
      </c>
      <c r="B3245" s="27" t="s">
        <v>1449</v>
      </c>
      <c r="D3245" s="27" t="s">
        <v>1450</v>
      </c>
      <c r="F3245" s="27" t="s">
        <v>1453</v>
      </c>
      <c r="H3245" s="27" t="s">
        <v>1454</v>
      </c>
      <c r="L3245" s="27" t="s">
        <v>5093</v>
      </c>
      <c r="N3245" s="27" t="s">
        <v>1643</v>
      </c>
      <c r="P3245" s="27" t="s">
        <v>5127</v>
      </c>
      <c r="Q3245" s="26" t="str">
        <f>HYPERLINK("https://ictv.global/taxonomy/taxondetails?taxnode_id=202511607&amp;ictv_id=ICTV202011607","ICTV202011607")</f>
        <v>ICTV202011607</v>
      </c>
      <c r="R3245" t="s">
        <v>579</v>
      </c>
      <c r="S3245" t="s">
        <v>824</v>
      </c>
      <c r="T3245">
        <v>37</v>
      </c>
      <c r="U3245" s="26" t="str">
        <f>HYPERLINK("https://ictv.global/ictv/proposals/2021.010B.R.Binomial_names.zip","2021.010B.R.Binomial_names.zip")</f>
        <v>2021.010B.R.Binomial_names.zip</v>
      </c>
    </row>
    <row r="3246" spans="1:21">
      <c r="A3246">
        <v>3245</v>
      </c>
      <c r="B3246" s="27" t="s">
        <v>1449</v>
      </c>
      <c r="D3246" s="27" t="s">
        <v>1450</v>
      </c>
      <c r="F3246" s="27" t="s">
        <v>1453</v>
      </c>
      <c r="H3246" s="27" t="s">
        <v>1454</v>
      </c>
      <c r="L3246" s="27" t="s">
        <v>5093</v>
      </c>
      <c r="N3246" s="27" t="s">
        <v>5128</v>
      </c>
      <c r="P3246" s="27" t="s">
        <v>5129</v>
      </c>
      <c r="Q3246" s="26" t="str">
        <f>HYPERLINK("https://ictv.global/taxonomy/taxondetails?taxnode_id=202507956&amp;ictv_id=ICTV201907956","ICTV201907956")</f>
        <v>ICTV201907956</v>
      </c>
      <c r="R3246" t="s">
        <v>579</v>
      </c>
      <c r="S3246" t="s">
        <v>22764</v>
      </c>
      <c r="T3246">
        <v>37</v>
      </c>
      <c r="U3246" s="26" t="str">
        <f>HYPERLINK("https://ictv.global/ictv/proposals/2021.063B.R.Peduoviridae.zip","2021.063B.R.Peduoviridae.zip")</f>
        <v>2021.063B.R.Peduoviridae.zip</v>
      </c>
    </row>
    <row r="3247" spans="1:21">
      <c r="A3247">
        <v>3246</v>
      </c>
      <c r="B3247" s="27" t="s">
        <v>1449</v>
      </c>
      <c r="D3247" s="27" t="s">
        <v>1450</v>
      </c>
      <c r="F3247" s="27" t="s">
        <v>1453</v>
      </c>
      <c r="H3247" s="27" t="s">
        <v>1454</v>
      </c>
      <c r="L3247" s="27" t="s">
        <v>5093</v>
      </c>
      <c r="N3247" s="27" t="s">
        <v>5128</v>
      </c>
      <c r="P3247" s="27" t="s">
        <v>5130</v>
      </c>
      <c r="Q3247" s="26" t="str">
        <f>HYPERLINK("https://ictv.global/taxonomy/taxondetails?taxnode_id=202514733&amp;ictv_id=ICTV202214733","ICTV202214733")</f>
        <v>ICTV202214733</v>
      </c>
      <c r="R3247" t="s">
        <v>579</v>
      </c>
      <c r="S3247" t="s">
        <v>823</v>
      </c>
      <c r="T3247">
        <v>38</v>
      </c>
      <c r="U3247" s="26" t="str">
        <f>HYPERLINK("https://ictv.global/ictv/proposals/2022.062B.Peduoviridae_6ng_19nsp.zip","2022.062B.Peduoviridae_6ng_19nsp.zip")</f>
        <v>2022.062B.Peduoviridae_6ng_19nsp.zip</v>
      </c>
    </row>
    <row r="3248" spans="1:21">
      <c r="A3248">
        <v>3247</v>
      </c>
      <c r="B3248" s="27" t="s">
        <v>1449</v>
      </c>
      <c r="D3248" s="27" t="s">
        <v>1450</v>
      </c>
      <c r="F3248" s="27" t="s">
        <v>1453</v>
      </c>
      <c r="H3248" s="27" t="s">
        <v>1454</v>
      </c>
      <c r="L3248" s="27" t="s">
        <v>5093</v>
      </c>
      <c r="N3248" s="27" t="s">
        <v>5128</v>
      </c>
      <c r="P3248" s="27" t="s">
        <v>11637</v>
      </c>
      <c r="Q3248" s="26" t="str">
        <f>HYPERLINK("https://ictv.global/taxonomy/taxondetails?taxnode_id=202512872&amp;ictv_id=ICTV202112872","ICTV202112872")</f>
        <v>ICTV202112872</v>
      </c>
      <c r="R3248" t="s">
        <v>579</v>
      </c>
      <c r="S3248" t="s">
        <v>22764</v>
      </c>
      <c r="T3248">
        <v>39</v>
      </c>
      <c r="U3248" s="26" t="str">
        <f>HYPERLINK("https://ictv.global/ictv/proposals/2023.051B.Peduoviridae_reorg.zip","2023.051B.Peduoviridae_reorg.zip")</f>
        <v>2023.051B.Peduoviridae_reorg.zip</v>
      </c>
    </row>
    <row r="3249" spans="1:21">
      <c r="A3249">
        <v>3248</v>
      </c>
      <c r="B3249" s="27" t="s">
        <v>1449</v>
      </c>
      <c r="D3249" s="27" t="s">
        <v>1450</v>
      </c>
      <c r="F3249" s="27" t="s">
        <v>1453</v>
      </c>
      <c r="H3249" s="27" t="s">
        <v>1454</v>
      </c>
      <c r="L3249" s="27" t="s">
        <v>5093</v>
      </c>
      <c r="N3249" s="27" t="s">
        <v>1644</v>
      </c>
      <c r="P3249" s="27" t="s">
        <v>5131</v>
      </c>
      <c r="Q3249" s="26" t="str">
        <f>HYPERLINK("https://ictv.global/taxonomy/taxondetails?taxnode_id=202507950&amp;ictv_id=ICTV201907950","ICTV201907950")</f>
        <v>ICTV201907950</v>
      </c>
      <c r="R3249" t="s">
        <v>579</v>
      </c>
      <c r="S3249" t="s">
        <v>824</v>
      </c>
      <c r="T3249">
        <v>37</v>
      </c>
      <c r="U3249" s="26" t="str">
        <f>HYPERLINK("https://ictv.global/ictv/proposals/2021.010B.R.Binomial_names.zip","2021.010B.R.Binomial_names.zip")</f>
        <v>2021.010B.R.Binomial_names.zip</v>
      </c>
    </row>
    <row r="3250" spans="1:21">
      <c r="A3250">
        <v>3249</v>
      </c>
      <c r="B3250" s="27" t="s">
        <v>1449</v>
      </c>
      <c r="D3250" s="27" t="s">
        <v>1450</v>
      </c>
      <c r="F3250" s="27" t="s">
        <v>1453</v>
      </c>
      <c r="H3250" s="27" t="s">
        <v>1454</v>
      </c>
      <c r="L3250" s="27" t="s">
        <v>5093</v>
      </c>
      <c r="N3250" s="27" t="s">
        <v>5132</v>
      </c>
      <c r="P3250" s="27" t="s">
        <v>5133</v>
      </c>
      <c r="Q3250" s="26" t="str">
        <f>HYPERLINK("https://ictv.global/taxonomy/taxondetails?taxnode_id=202511587&amp;ictv_id=ICTV202011587","ICTV202011587")</f>
        <v>ICTV202011587</v>
      </c>
      <c r="R3250" t="s">
        <v>579</v>
      </c>
      <c r="S3250" t="s">
        <v>22764</v>
      </c>
      <c r="T3250">
        <v>37</v>
      </c>
      <c r="U3250" s="26" t="str">
        <f>HYPERLINK("https://ictv.global/ictv/proposals/2021.063B.R.Peduoviridae.zip","2021.063B.R.Peduoviridae.zip")</f>
        <v>2021.063B.R.Peduoviridae.zip</v>
      </c>
    </row>
    <row r="3251" spans="1:21">
      <c r="A3251">
        <v>3250</v>
      </c>
      <c r="B3251" s="27" t="s">
        <v>1449</v>
      </c>
      <c r="D3251" s="27" t="s">
        <v>1450</v>
      </c>
      <c r="F3251" s="27" t="s">
        <v>1453</v>
      </c>
      <c r="H3251" s="27" t="s">
        <v>1454</v>
      </c>
      <c r="L3251" s="27" t="s">
        <v>5093</v>
      </c>
      <c r="N3251" s="27" t="s">
        <v>1645</v>
      </c>
      <c r="P3251" s="27" t="s">
        <v>5134</v>
      </c>
      <c r="Q3251" s="26" t="str">
        <f>HYPERLINK("https://ictv.global/taxonomy/taxondetails?taxnode_id=202500243&amp;ictv_id=ICTV20115504","ICTV20115504")</f>
        <v>ICTV20115504</v>
      </c>
      <c r="R3251" t="s">
        <v>579</v>
      </c>
      <c r="S3251" t="s">
        <v>824</v>
      </c>
      <c r="T3251">
        <v>37</v>
      </c>
      <c r="U3251" s="26" t="str">
        <f>HYPERLINK("https://ictv.global/ictv/proposals/2021.010B.R.Binomial_names.zip","2021.010B.R.Binomial_names.zip")</f>
        <v>2021.010B.R.Binomial_names.zip</v>
      </c>
    </row>
    <row r="3252" spans="1:21">
      <c r="A3252">
        <v>3251</v>
      </c>
      <c r="B3252" s="27" t="s">
        <v>1449</v>
      </c>
      <c r="D3252" s="27" t="s">
        <v>1450</v>
      </c>
      <c r="F3252" s="27" t="s">
        <v>1453</v>
      </c>
      <c r="H3252" s="27" t="s">
        <v>1454</v>
      </c>
      <c r="L3252" s="27" t="s">
        <v>5093</v>
      </c>
      <c r="N3252" s="27" t="s">
        <v>1645</v>
      </c>
      <c r="P3252" s="27" t="s">
        <v>5135</v>
      </c>
      <c r="Q3252" s="26" t="str">
        <f>HYPERLINK("https://ictv.global/taxonomy/taxondetails?taxnode_id=202512871&amp;ictv_id=ICTV202112871","ICTV202112871")</f>
        <v>ICTV202112871</v>
      </c>
      <c r="R3252" t="s">
        <v>579</v>
      </c>
      <c r="S3252" t="s">
        <v>823</v>
      </c>
      <c r="T3252">
        <v>37</v>
      </c>
      <c r="U3252" s="26" t="str">
        <f>HYPERLINK("https://ictv.global/ictv/proposals/2021.063B.R.Peduoviridae.zip","2021.063B.R.Peduoviridae.zip")</f>
        <v>2021.063B.R.Peduoviridae.zip</v>
      </c>
    </row>
    <row r="3253" spans="1:21">
      <c r="A3253">
        <v>3252</v>
      </c>
      <c r="B3253" s="27" t="s">
        <v>1449</v>
      </c>
      <c r="D3253" s="27" t="s">
        <v>1450</v>
      </c>
      <c r="F3253" s="27" t="s">
        <v>1453</v>
      </c>
      <c r="H3253" s="27" t="s">
        <v>1454</v>
      </c>
      <c r="L3253" s="27" t="s">
        <v>5093</v>
      </c>
      <c r="N3253" s="27" t="s">
        <v>1645</v>
      </c>
      <c r="P3253" s="27" t="s">
        <v>5136</v>
      </c>
      <c r="Q3253" s="26" t="str">
        <f>HYPERLINK("https://ictv.global/taxonomy/taxondetails?taxnode_id=202507957&amp;ictv_id=ICTV201907957","ICTV201907957")</f>
        <v>ICTV201907957</v>
      </c>
      <c r="R3253" t="s">
        <v>579</v>
      </c>
      <c r="S3253" t="s">
        <v>824</v>
      </c>
      <c r="T3253">
        <v>37</v>
      </c>
      <c r="U3253" s="26" t="str">
        <f>HYPERLINK("https://ictv.global/ictv/proposals/2021.010B.R.Binomial_names.zip","2021.010B.R.Binomial_names.zip")</f>
        <v>2021.010B.R.Binomial_names.zip</v>
      </c>
    </row>
    <row r="3254" spans="1:21">
      <c r="A3254">
        <v>3253</v>
      </c>
      <c r="B3254" s="27" t="s">
        <v>1449</v>
      </c>
      <c r="D3254" s="27" t="s">
        <v>1450</v>
      </c>
      <c r="F3254" s="27" t="s">
        <v>1453</v>
      </c>
      <c r="H3254" s="27" t="s">
        <v>1454</v>
      </c>
      <c r="L3254" s="27" t="s">
        <v>5093</v>
      </c>
      <c r="N3254" s="27" t="s">
        <v>1645</v>
      </c>
      <c r="P3254" s="27" t="s">
        <v>5137</v>
      </c>
      <c r="Q3254" s="26" t="str">
        <f>HYPERLINK("https://ictv.global/taxonomy/taxondetails?taxnode_id=202507958&amp;ictv_id=ICTV201907958","ICTV201907958")</f>
        <v>ICTV201907958</v>
      </c>
      <c r="R3254" t="s">
        <v>579</v>
      </c>
      <c r="S3254" t="s">
        <v>824</v>
      </c>
      <c r="T3254">
        <v>37</v>
      </c>
      <c r="U3254" s="26" t="str">
        <f>HYPERLINK("https://ictv.global/ictv/proposals/2021.010B.R.Binomial_names.zip","2021.010B.R.Binomial_names.zip")</f>
        <v>2021.010B.R.Binomial_names.zip</v>
      </c>
    </row>
    <row r="3255" spans="1:21">
      <c r="A3255">
        <v>3254</v>
      </c>
      <c r="B3255" s="27" t="s">
        <v>1449</v>
      </c>
      <c r="D3255" s="27" t="s">
        <v>1450</v>
      </c>
      <c r="F3255" s="27" t="s">
        <v>1453</v>
      </c>
      <c r="H3255" s="27" t="s">
        <v>1454</v>
      </c>
      <c r="L3255" s="27" t="s">
        <v>5093</v>
      </c>
      <c r="N3255" s="27" t="s">
        <v>1645</v>
      </c>
      <c r="P3255" s="27" t="s">
        <v>5138</v>
      </c>
      <c r="Q3255" s="26" t="str">
        <f>HYPERLINK("https://ictv.global/taxonomy/taxondetails?taxnode_id=202500245&amp;ictv_id=ICTV20115505","ICTV20115505")</f>
        <v>ICTV20115505</v>
      </c>
      <c r="R3255" t="s">
        <v>579</v>
      </c>
      <c r="S3255" t="s">
        <v>824</v>
      </c>
      <c r="T3255">
        <v>37</v>
      </c>
      <c r="U3255" s="26" t="str">
        <f>HYPERLINK("https://ictv.global/ictv/proposals/2021.010B.R.Binomial_names.zip","2021.010B.R.Binomial_names.zip")</f>
        <v>2021.010B.R.Binomial_names.zip</v>
      </c>
    </row>
    <row r="3256" spans="1:21">
      <c r="A3256">
        <v>3255</v>
      </c>
      <c r="B3256" s="27" t="s">
        <v>1449</v>
      </c>
      <c r="D3256" s="27" t="s">
        <v>1450</v>
      </c>
      <c r="F3256" s="27" t="s">
        <v>1453</v>
      </c>
      <c r="H3256" s="27" t="s">
        <v>1454</v>
      </c>
      <c r="L3256" s="27" t="s">
        <v>5093</v>
      </c>
      <c r="N3256" s="27" t="s">
        <v>5139</v>
      </c>
      <c r="P3256" s="27" t="s">
        <v>5140</v>
      </c>
      <c r="Q3256" s="26" t="str">
        <f>HYPERLINK("https://ictv.global/taxonomy/taxondetails?taxnode_id=202512864&amp;ictv_id=ICTV202112864","ICTV202112864")</f>
        <v>ICTV202112864</v>
      </c>
      <c r="R3256" t="s">
        <v>579</v>
      </c>
      <c r="S3256" t="s">
        <v>823</v>
      </c>
      <c r="T3256">
        <v>37</v>
      </c>
      <c r="U3256" s="26" t="str">
        <f>HYPERLINK("https://ictv.global/ictv/proposals/2021.063B.R.Peduoviridae.zip","2021.063B.R.Peduoviridae.zip")</f>
        <v>2021.063B.R.Peduoviridae.zip</v>
      </c>
    </row>
    <row r="3257" spans="1:21">
      <c r="A3257">
        <v>3256</v>
      </c>
      <c r="B3257" s="27" t="s">
        <v>1449</v>
      </c>
      <c r="D3257" s="27" t="s">
        <v>1450</v>
      </c>
      <c r="F3257" s="27" t="s">
        <v>1453</v>
      </c>
      <c r="H3257" s="27" t="s">
        <v>1454</v>
      </c>
      <c r="L3257" s="27" t="s">
        <v>5093</v>
      </c>
      <c r="N3257" s="27" t="s">
        <v>5141</v>
      </c>
      <c r="P3257" s="27" t="s">
        <v>5142</v>
      </c>
      <c r="Q3257" s="26" t="str">
        <f>HYPERLINK("https://ictv.global/taxonomy/taxondetails?taxnode_id=202514737&amp;ictv_id=ICTV202214737","ICTV202214737")</f>
        <v>ICTV202214737</v>
      </c>
      <c r="R3257" t="s">
        <v>579</v>
      </c>
      <c r="S3257" t="s">
        <v>823</v>
      </c>
      <c r="T3257">
        <v>38</v>
      </c>
      <c r="U3257" s="26" t="str">
        <f>HYPERLINK("https://ictv.global/ictv/proposals/2022.062B.Peduoviridae_6ng_19nsp.zip","2022.062B.Peduoviridae_6ng_19nsp.zip")</f>
        <v>2022.062B.Peduoviridae_6ng_19nsp.zip</v>
      </c>
    </row>
    <row r="3258" spans="1:21">
      <c r="A3258">
        <v>3257</v>
      </c>
      <c r="B3258" s="27" t="s">
        <v>1449</v>
      </c>
      <c r="D3258" s="27" t="s">
        <v>1450</v>
      </c>
      <c r="F3258" s="27" t="s">
        <v>1453</v>
      </c>
      <c r="H3258" s="27" t="s">
        <v>1454</v>
      </c>
      <c r="L3258" s="27" t="s">
        <v>5093</v>
      </c>
      <c r="N3258" s="27" t="s">
        <v>5143</v>
      </c>
      <c r="P3258" s="27" t="s">
        <v>5144</v>
      </c>
      <c r="Q3258" s="26" t="str">
        <f>HYPERLINK("https://ictv.global/taxonomy/taxondetails?taxnode_id=202511603&amp;ictv_id=ICTV202011603","ICTV202011603")</f>
        <v>ICTV202011603</v>
      </c>
      <c r="R3258" t="s">
        <v>579</v>
      </c>
      <c r="S3258" t="s">
        <v>22764</v>
      </c>
      <c r="T3258">
        <v>37</v>
      </c>
      <c r="U3258" s="26" t="str">
        <f>HYPERLINK("https://ictv.global/ictv/proposals/2021.063B.R.Peduoviridae.zip","2021.063B.R.Peduoviridae.zip")</f>
        <v>2021.063B.R.Peduoviridae.zip</v>
      </c>
    </row>
    <row r="3259" spans="1:21">
      <c r="A3259">
        <v>3258</v>
      </c>
      <c r="B3259" s="27" t="s">
        <v>1449</v>
      </c>
      <c r="D3259" s="27" t="s">
        <v>1450</v>
      </c>
      <c r="F3259" s="27" t="s">
        <v>1453</v>
      </c>
      <c r="H3259" s="27" t="s">
        <v>1454</v>
      </c>
      <c r="L3259" s="27" t="s">
        <v>5093</v>
      </c>
      <c r="N3259" s="27" t="s">
        <v>5145</v>
      </c>
      <c r="P3259" s="27" t="s">
        <v>5146</v>
      </c>
      <c r="Q3259" s="26" t="str">
        <f>HYPERLINK("https://ictv.global/taxonomy/taxondetails?taxnode_id=202511604&amp;ictv_id=ICTV202011604","ICTV202011604")</f>
        <v>ICTV202011604</v>
      </c>
      <c r="R3259" t="s">
        <v>579</v>
      </c>
      <c r="S3259" t="s">
        <v>22764</v>
      </c>
      <c r="T3259">
        <v>37</v>
      </c>
      <c r="U3259" s="26" t="str">
        <f>HYPERLINK("https://ictv.global/ictv/proposals/2021.063B.R.Peduoviridae.zip","2021.063B.R.Peduoviridae.zip")</f>
        <v>2021.063B.R.Peduoviridae.zip</v>
      </c>
    </row>
    <row r="3260" spans="1:21">
      <c r="A3260">
        <v>3259</v>
      </c>
      <c r="B3260" s="27" t="s">
        <v>1449</v>
      </c>
      <c r="D3260" s="27" t="s">
        <v>1450</v>
      </c>
      <c r="F3260" s="27" t="s">
        <v>1453</v>
      </c>
      <c r="H3260" s="27" t="s">
        <v>1454</v>
      </c>
      <c r="L3260" s="27" t="s">
        <v>5093</v>
      </c>
      <c r="N3260" s="27" t="s">
        <v>5147</v>
      </c>
      <c r="P3260" s="27" t="s">
        <v>5148</v>
      </c>
      <c r="Q3260" s="26" t="str">
        <f>HYPERLINK("https://ictv.global/taxonomy/taxondetails?taxnode_id=202511591&amp;ictv_id=ICTV202011591","ICTV202011591")</f>
        <v>ICTV202011591</v>
      </c>
      <c r="R3260" t="s">
        <v>579</v>
      </c>
      <c r="S3260" t="s">
        <v>22764</v>
      </c>
      <c r="T3260">
        <v>37</v>
      </c>
      <c r="U3260" s="26" t="str">
        <f>HYPERLINK("https://ictv.global/ictv/proposals/2021.063B.R.Peduoviridae.zip","2021.063B.R.Peduoviridae.zip")</f>
        <v>2021.063B.R.Peduoviridae.zip</v>
      </c>
    </row>
    <row r="3261" spans="1:21">
      <c r="A3261">
        <v>3260</v>
      </c>
      <c r="B3261" s="27" t="s">
        <v>1449</v>
      </c>
      <c r="D3261" s="27" t="s">
        <v>1450</v>
      </c>
      <c r="F3261" s="27" t="s">
        <v>1453</v>
      </c>
      <c r="H3261" s="27" t="s">
        <v>1454</v>
      </c>
      <c r="L3261" s="27" t="s">
        <v>5093</v>
      </c>
      <c r="N3261" s="27" t="s">
        <v>5149</v>
      </c>
      <c r="P3261" s="27" t="s">
        <v>11638</v>
      </c>
      <c r="Q3261" s="26" t="str">
        <f>HYPERLINK("https://ictv.global/taxonomy/taxondetails?taxnode_id=202514742&amp;ictv_id=ICTV202214742","ICTV202214742")</f>
        <v>ICTV202214742</v>
      </c>
      <c r="R3261" t="s">
        <v>579</v>
      </c>
      <c r="S3261" t="s">
        <v>824</v>
      </c>
      <c r="T3261">
        <v>39</v>
      </c>
      <c r="U3261" s="26" t="str">
        <f>HYPERLINK("https://ictv.global/ictv/proposals/2023.051B.Peduoviridae_reorg.zip","2023.051B.Peduoviridae_reorg.zip")</f>
        <v>2023.051B.Peduoviridae_reorg.zip</v>
      </c>
    </row>
    <row r="3262" spans="1:21">
      <c r="A3262">
        <v>3261</v>
      </c>
      <c r="B3262" s="27" t="s">
        <v>1449</v>
      </c>
      <c r="D3262" s="27" t="s">
        <v>1450</v>
      </c>
      <c r="F3262" s="27" t="s">
        <v>1453</v>
      </c>
      <c r="H3262" s="27" t="s">
        <v>1454</v>
      </c>
      <c r="L3262" s="27" t="s">
        <v>5093</v>
      </c>
      <c r="N3262" s="27" t="s">
        <v>1204</v>
      </c>
      <c r="P3262" s="27" t="s">
        <v>5150</v>
      </c>
      <c r="Q3262" s="26" t="str">
        <f>HYPERLINK("https://ictv.global/taxonomy/taxondetails?taxnode_id=202500228&amp;ictv_id=ICTV19990383","ICTV19990383")</f>
        <v>ICTV19990383</v>
      </c>
      <c r="R3262" t="s">
        <v>579</v>
      </c>
      <c r="S3262" t="s">
        <v>824</v>
      </c>
      <c r="T3262">
        <v>37</v>
      </c>
      <c r="U3262" s="26" t="str">
        <f>HYPERLINK("https://ictv.global/ictv/proposals/2021.010B.R.Binomial_names.zip","2021.010B.R.Binomial_names.zip")</f>
        <v>2021.010B.R.Binomial_names.zip</v>
      </c>
    </row>
    <row r="3263" spans="1:21">
      <c r="A3263">
        <v>3262</v>
      </c>
      <c r="B3263" s="27" t="s">
        <v>1449</v>
      </c>
      <c r="D3263" s="27" t="s">
        <v>1450</v>
      </c>
      <c r="F3263" s="27" t="s">
        <v>1453</v>
      </c>
      <c r="H3263" s="27" t="s">
        <v>1454</v>
      </c>
      <c r="L3263" s="27" t="s">
        <v>5093</v>
      </c>
      <c r="N3263" s="27" t="s">
        <v>1204</v>
      </c>
      <c r="P3263" s="27" t="s">
        <v>5151</v>
      </c>
      <c r="Q3263" s="26" t="str">
        <f>HYPERLINK("https://ictv.global/taxonomy/taxondetails?taxnode_id=202500229&amp;ictv_id=ICTV20115513","ICTV20115513")</f>
        <v>ICTV20115513</v>
      </c>
      <c r="R3263" t="s">
        <v>579</v>
      </c>
      <c r="S3263" t="s">
        <v>824</v>
      </c>
      <c r="T3263">
        <v>37</v>
      </c>
      <c r="U3263" s="26" t="str">
        <f>HYPERLINK("https://ictv.global/ictv/proposals/2021.010B.R.Binomial_names.zip","2021.010B.R.Binomial_names.zip")</f>
        <v>2021.010B.R.Binomial_names.zip</v>
      </c>
    </row>
    <row r="3264" spans="1:21">
      <c r="A3264">
        <v>3263</v>
      </c>
      <c r="B3264" s="27" t="s">
        <v>1449</v>
      </c>
      <c r="D3264" s="27" t="s">
        <v>1450</v>
      </c>
      <c r="F3264" s="27" t="s">
        <v>1453</v>
      </c>
      <c r="H3264" s="27" t="s">
        <v>1454</v>
      </c>
      <c r="L3264" s="27" t="s">
        <v>5093</v>
      </c>
      <c r="N3264" s="27" t="s">
        <v>11639</v>
      </c>
      <c r="P3264" s="27" t="s">
        <v>11640</v>
      </c>
      <c r="Q3264" s="26" t="str">
        <f>HYPERLINK("https://ictv.global/taxonomy/taxondetails?taxnode_id=202519225&amp;ictv_id=ICTV202319225","ICTV202319225")</f>
        <v>ICTV202319225</v>
      </c>
      <c r="R3264" t="s">
        <v>579</v>
      </c>
      <c r="S3264" t="s">
        <v>823</v>
      </c>
      <c r="T3264">
        <v>39</v>
      </c>
      <c r="U3264" s="26" t="str">
        <f>HYPERLINK("https://ictv.global/ictv/proposals/2023.051B.Peduoviridae_reorg.zip","2023.051B.Peduoviridae_reorg.zip")</f>
        <v>2023.051B.Peduoviridae_reorg.zip</v>
      </c>
    </row>
    <row r="3265" spans="1:21">
      <c r="A3265">
        <v>3264</v>
      </c>
      <c r="B3265" s="27" t="s">
        <v>1449</v>
      </c>
      <c r="D3265" s="27" t="s">
        <v>1450</v>
      </c>
      <c r="F3265" s="27" t="s">
        <v>1453</v>
      </c>
      <c r="H3265" s="27" t="s">
        <v>1454</v>
      </c>
      <c r="L3265" s="27" t="s">
        <v>5093</v>
      </c>
      <c r="N3265" s="27" t="s">
        <v>2077</v>
      </c>
      <c r="P3265" s="27" t="s">
        <v>5152</v>
      </c>
      <c r="Q3265" s="26" t="str">
        <f>HYPERLINK("https://ictv.global/taxonomy/taxondetails?taxnode_id=202511586&amp;ictv_id=ICTV202011586","ICTV202011586")</f>
        <v>ICTV202011586</v>
      </c>
      <c r="R3265" t="s">
        <v>579</v>
      </c>
      <c r="S3265" t="s">
        <v>824</v>
      </c>
      <c r="T3265">
        <v>37</v>
      </c>
      <c r="U3265" s="26" t="str">
        <f>HYPERLINK("https://ictv.global/ictv/proposals/2021.010B.R.Binomial_names.zip","2021.010B.R.Binomial_names.zip")</f>
        <v>2021.010B.R.Binomial_names.zip</v>
      </c>
    </row>
    <row r="3266" spans="1:21">
      <c r="A3266">
        <v>3265</v>
      </c>
      <c r="B3266" s="27" t="s">
        <v>1449</v>
      </c>
      <c r="D3266" s="27" t="s">
        <v>1450</v>
      </c>
      <c r="F3266" s="27" t="s">
        <v>1453</v>
      </c>
      <c r="H3266" s="27" t="s">
        <v>1454</v>
      </c>
      <c r="L3266" s="27" t="s">
        <v>5093</v>
      </c>
      <c r="N3266" s="27" t="s">
        <v>1646</v>
      </c>
      <c r="P3266" s="27" t="s">
        <v>11641</v>
      </c>
      <c r="Q3266" s="26" t="str">
        <f>HYPERLINK("https://ictv.global/taxonomy/taxondetails?taxnode_id=202519227&amp;ictv_id=ICTV202319227","ICTV202319227")</f>
        <v>ICTV202319227</v>
      </c>
      <c r="R3266" t="s">
        <v>579</v>
      </c>
      <c r="S3266" t="s">
        <v>823</v>
      </c>
      <c r="T3266">
        <v>39</v>
      </c>
      <c r="U3266" s="26" t="str">
        <f>HYPERLINK("https://ictv.global/ictv/proposals/2023.051B.Peduoviridae_reorg.zip","2023.051B.Peduoviridae_reorg.zip")</f>
        <v>2023.051B.Peduoviridae_reorg.zip</v>
      </c>
    </row>
    <row r="3267" spans="1:21">
      <c r="A3267">
        <v>3266</v>
      </c>
      <c r="B3267" s="27" t="s">
        <v>1449</v>
      </c>
      <c r="D3267" s="27" t="s">
        <v>1450</v>
      </c>
      <c r="F3267" s="27" t="s">
        <v>1453</v>
      </c>
      <c r="H3267" s="27" t="s">
        <v>1454</v>
      </c>
      <c r="L3267" s="27" t="s">
        <v>5093</v>
      </c>
      <c r="N3267" s="27" t="s">
        <v>1646</v>
      </c>
      <c r="P3267" s="27" t="s">
        <v>5153</v>
      </c>
      <c r="Q3267" s="26" t="str">
        <f>HYPERLINK("https://ictv.global/taxonomy/taxondetails?taxnode_id=202500230&amp;ictv_id=ICTV20115514","ICTV20115514")</f>
        <v>ICTV20115514</v>
      </c>
      <c r="R3267" t="s">
        <v>579</v>
      </c>
      <c r="S3267" t="s">
        <v>824</v>
      </c>
      <c r="T3267">
        <v>37</v>
      </c>
      <c r="U3267" s="26" t="str">
        <f>HYPERLINK("https://ictv.global/ictv/proposals/2021.010B.R.Binomial_names.zip","2021.010B.R.Binomial_names.zip")</f>
        <v>2021.010B.R.Binomial_names.zip</v>
      </c>
    </row>
    <row r="3268" spans="1:21">
      <c r="A3268">
        <v>3267</v>
      </c>
      <c r="B3268" s="27" t="s">
        <v>1449</v>
      </c>
      <c r="D3268" s="27" t="s">
        <v>1450</v>
      </c>
      <c r="F3268" s="27" t="s">
        <v>1453</v>
      </c>
      <c r="H3268" s="27" t="s">
        <v>1454</v>
      </c>
      <c r="L3268" s="27" t="s">
        <v>5093</v>
      </c>
      <c r="N3268" s="27" t="s">
        <v>5154</v>
      </c>
      <c r="P3268" s="27" t="s">
        <v>5155</v>
      </c>
      <c r="Q3268" s="26" t="str">
        <f>HYPERLINK("https://ictv.global/taxonomy/taxondetails?taxnode_id=202511602&amp;ictv_id=ICTV202011602","ICTV202011602")</f>
        <v>ICTV202011602</v>
      </c>
      <c r="R3268" t="s">
        <v>579</v>
      </c>
      <c r="S3268" t="s">
        <v>22764</v>
      </c>
      <c r="T3268">
        <v>37</v>
      </c>
      <c r="U3268" s="26" t="str">
        <f>HYPERLINK("https://ictv.global/ictv/proposals/2021.063B.R.Peduoviridae.zip","2021.063B.R.Peduoviridae.zip")</f>
        <v>2021.063B.R.Peduoviridae.zip</v>
      </c>
    </row>
    <row r="3269" spans="1:21">
      <c r="A3269">
        <v>3268</v>
      </c>
      <c r="B3269" s="27" t="s">
        <v>1449</v>
      </c>
      <c r="D3269" s="27" t="s">
        <v>1450</v>
      </c>
      <c r="F3269" s="27" t="s">
        <v>1453</v>
      </c>
      <c r="H3269" s="27" t="s">
        <v>1454</v>
      </c>
      <c r="L3269" s="27" t="s">
        <v>5093</v>
      </c>
      <c r="N3269" s="27" t="s">
        <v>5156</v>
      </c>
      <c r="P3269" s="27" t="s">
        <v>5157</v>
      </c>
      <c r="Q3269" s="26" t="str">
        <f>HYPERLINK("https://ictv.global/taxonomy/taxondetails?taxnode_id=202507977&amp;ictv_id=ICTV201907977","ICTV201907977")</f>
        <v>ICTV201907977</v>
      </c>
      <c r="R3269" t="s">
        <v>579</v>
      </c>
      <c r="S3269" t="s">
        <v>22764</v>
      </c>
      <c r="T3269">
        <v>37</v>
      </c>
      <c r="U3269" s="26" t="str">
        <f>HYPERLINK("https://ictv.global/ictv/proposals/2021.063B.R.Peduoviridae.zip","2021.063B.R.Peduoviridae.zip")</f>
        <v>2021.063B.R.Peduoviridae.zip</v>
      </c>
    </row>
    <row r="3270" spans="1:21">
      <c r="A3270">
        <v>3269</v>
      </c>
      <c r="B3270" s="27" t="s">
        <v>1449</v>
      </c>
      <c r="D3270" s="27" t="s">
        <v>1450</v>
      </c>
      <c r="F3270" s="27" t="s">
        <v>1453</v>
      </c>
      <c r="H3270" s="27" t="s">
        <v>1454</v>
      </c>
      <c r="L3270" s="27" t="s">
        <v>5093</v>
      </c>
      <c r="N3270" s="27" t="s">
        <v>5156</v>
      </c>
      <c r="P3270" s="27" t="s">
        <v>11642</v>
      </c>
      <c r="Q3270" s="26" t="str">
        <f>HYPERLINK("https://ictv.global/taxonomy/taxondetails?taxnode_id=202519230&amp;ictv_id=ICTV202319230","ICTV202319230")</f>
        <v>ICTV202319230</v>
      </c>
      <c r="R3270" t="s">
        <v>579</v>
      </c>
      <c r="S3270" t="s">
        <v>823</v>
      </c>
      <c r="T3270">
        <v>39</v>
      </c>
      <c r="U3270" s="26" t="str">
        <f>HYPERLINK("https://ictv.global/ictv/proposals/2023.051B.Peduoviridae_reorg.zip","2023.051B.Peduoviridae_reorg.zip")</f>
        <v>2023.051B.Peduoviridae_reorg.zip</v>
      </c>
    </row>
    <row r="3271" spans="1:21">
      <c r="A3271">
        <v>3270</v>
      </c>
      <c r="B3271" s="27" t="s">
        <v>1449</v>
      </c>
      <c r="D3271" s="27" t="s">
        <v>1450</v>
      </c>
      <c r="F3271" s="27" t="s">
        <v>1453</v>
      </c>
      <c r="H3271" s="27" t="s">
        <v>1454</v>
      </c>
      <c r="L3271" s="27" t="s">
        <v>5093</v>
      </c>
      <c r="N3271" s="27" t="s">
        <v>5156</v>
      </c>
      <c r="P3271" s="27" t="s">
        <v>11643</v>
      </c>
      <c r="Q3271" s="26" t="str">
        <f>HYPERLINK("https://ictv.global/taxonomy/taxondetails?taxnode_id=202519231&amp;ictv_id=ICTV202319231","ICTV202319231")</f>
        <v>ICTV202319231</v>
      </c>
      <c r="R3271" t="s">
        <v>579</v>
      </c>
      <c r="S3271" t="s">
        <v>823</v>
      </c>
      <c r="T3271">
        <v>39</v>
      </c>
      <c r="U3271" s="26" t="str">
        <f>HYPERLINK("https://ictv.global/ictv/proposals/2023.051B.Peduoviridae_reorg.zip","2023.051B.Peduoviridae_reorg.zip")</f>
        <v>2023.051B.Peduoviridae_reorg.zip</v>
      </c>
    </row>
    <row r="3272" spans="1:21">
      <c r="A3272">
        <v>3271</v>
      </c>
      <c r="B3272" s="27" t="s">
        <v>1449</v>
      </c>
      <c r="D3272" s="27" t="s">
        <v>1450</v>
      </c>
      <c r="F3272" s="27" t="s">
        <v>1453</v>
      </c>
      <c r="H3272" s="27" t="s">
        <v>1454</v>
      </c>
      <c r="L3272" s="27" t="s">
        <v>5093</v>
      </c>
      <c r="N3272" s="27" t="s">
        <v>5156</v>
      </c>
      <c r="P3272" s="27" t="s">
        <v>11644</v>
      </c>
      <c r="Q3272" s="26" t="str">
        <f>HYPERLINK("https://ictv.global/taxonomy/taxondetails?taxnode_id=202519229&amp;ictv_id=ICTV202319229","ICTV202319229")</f>
        <v>ICTV202319229</v>
      </c>
      <c r="R3272" t="s">
        <v>579</v>
      </c>
      <c r="S3272" t="s">
        <v>823</v>
      </c>
      <c r="T3272">
        <v>39</v>
      </c>
      <c r="U3272" s="26" t="str">
        <f>HYPERLINK("https://ictv.global/ictv/proposals/2023.051B.Peduoviridae_reorg.zip","2023.051B.Peduoviridae_reorg.zip")</f>
        <v>2023.051B.Peduoviridae_reorg.zip</v>
      </c>
    </row>
    <row r="3273" spans="1:21">
      <c r="A3273">
        <v>3272</v>
      </c>
      <c r="B3273" s="27" t="s">
        <v>1449</v>
      </c>
      <c r="D3273" s="27" t="s">
        <v>1450</v>
      </c>
      <c r="F3273" s="27" t="s">
        <v>1453</v>
      </c>
      <c r="H3273" s="27" t="s">
        <v>1454</v>
      </c>
      <c r="L3273" s="27" t="s">
        <v>5093</v>
      </c>
      <c r="N3273" s="27" t="s">
        <v>5156</v>
      </c>
      <c r="P3273" s="27" t="s">
        <v>11645</v>
      </c>
      <c r="Q3273" s="26" t="str">
        <f>HYPERLINK("https://ictv.global/taxonomy/taxondetails?taxnode_id=202519232&amp;ictv_id=ICTV202319232","ICTV202319232")</f>
        <v>ICTV202319232</v>
      </c>
      <c r="R3273" t="s">
        <v>579</v>
      </c>
      <c r="S3273" t="s">
        <v>823</v>
      </c>
      <c r="T3273">
        <v>39</v>
      </c>
      <c r="U3273" s="26" t="str">
        <f>HYPERLINK("https://ictv.global/ictv/proposals/2023.051B.Peduoviridae_reorg.zip","2023.051B.Peduoviridae_reorg.zip")</f>
        <v>2023.051B.Peduoviridae_reorg.zip</v>
      </c>
    </row>
    <row r="3274" spans="1:21">
      <c r="A3274">
        <v>3273</v>
      </c>
      <c r="B3274" s="27" t="s">
        <v>1449</v>
      </c>
      <c r="D3274" s="27" t="s">
        <v>1450</v>
      </c>
      <c r="F3274" s="27" t="s">
        <v>1453</v>
      </c>
      <c r="H3274" s="27" t="s">
        <v>1454</v>
      </c>
      <c r="L3274" s="27" t="s">
        <v>5093</v>
      </c>
      <c r="N3274" s="27" t="s">
        <v>1647</v>
      </c>
      <c r="P3274" s="27" t="s">
        <v>5158</v>
      </c>
      <c r="Q3274" s="26" t="str">
        <f>HYPERLINK("https://ictv.global/taxonomy/taxondetails?taxnode_id=202512869&amp;ictv_id=ICTV202112869","ICTV202112869")</f>
        <v>ICTV202112869</v>
      </c>
      <c r="R3274" t="s">
        <v>579</v>
      </c>
      <c r="S3274" t="s">
        <v>823</v>
      </c>
      <c r="T3274">
        <v>37</v>
      </c>
      <c r="U3274" s="26" t="str">
        <f>HYPERLINK("https://ictv.global/ictv/proposals/2021.063B.R.Peduoviridae.zip","2021.063B.R.Peduoviridae.zip")</f>
        <v>2021.063B.R.Peduoviridae.zip</v>
      </c>
    </row>
    <row r="3275" spans="1:21">
      <c r="A3275">
        <v>3274</v>
      </c>
      <c r="B3275" s="27" t="s">
        <v>1449</v>
      </c>
      <c r="D3275" s="27" t="s">
        <v>1450</v>
      </c>
      <c r="F3275" s="27" t="s">
        <v>1453</v>
      </c>
      <c r="H3275" s="27" t="s">
        <v>1454</v>
      </c>
      <c r="L3275" s="27" t="s">
        <v>5093</v>
      </c>
      <c r="N3275" s="27" t="s">
        <v>1647</v>
      </c>
      <c r="P3275" s="27" t="s">
        <v>5159</v>
      </c>
      <c r="Q3275" s="26" t="str">
        <f>HYPERLINK("https://ictv.global/taxonomy/taxondetails?taxnode_id=202514734&amp;ictv_id=ICTV202214734","ICTV202214734")</f>
        <v>ICTV202214734</v>
      </c>
      <c r="R3275" t="s">
        <v>579</v>
      </c>
      <c r="S3275" t="s">
        <v>823</v>
      </c>
      <c r="T3275">
        <v>38</v>
      </c>
      <c r="U3275" s="26" t="str">
        <f>HYPERLINK("https://ictv.global/ictv/proposals/2022.062B.Peduoviridae_6ng_19nsp.zip","2022.062B.Peduoviridae_6ng_19nsp.zip")</f>
        <v>2022.062B.Peduoviridae_6ng_19nsp.zip</v>
      </c>
    </row>
    <row r="3276" spans="1:21">
      <c r="A3276">
        <v>3275</v>
      </c>
      <c r="B3276" s="27" t="s">
        <v>1449</v>
      </c>
      <c r="D3276" s="27" t="s">
        <v>1450</v>
      </c>
      <c r="F3276" s="27" t="s">
        <v>1453</v>
      </c>
      <c r="H3276" s="27" t="s">
        <v>1454</v>
      </c>
      <c r="L3276" s="27" t="s">
        <v>5093</v>
      </c>
      <c r="N3276" s="27" t="s">
        <v>1647</v>
      </c>
      <c r="P3276" s="27" t="s">
        <v>5160</v>
      </c>
      <c r="Q3276" s="26" t="str">
        <f>HYPERLINK("https://ictv.global/taxonomy/taxondetails?taxnode_id=202507964&amp;ictv_id=ICTV201907964","ICTV201907964")</f>
        <v>ICTV201907964</v>
      </c>
      <c r="R3276" t="s">
        <v>579</v>
      </c>
      <c r="S3276" t="s">
        <v>824</v>
      </c>
      <c r="T3276">
        <v>37</v>
      </c>
      <c r="U3276" s="26" t="str">
        <f>HYPERLINK("https://ictv.global/ictv/proposals/2021.010B.R.Binomial_names.zip","2021.010B.R.Binomial_names.zip")</f>
        <v>2021.010B.R.Binomial_names.zip</v>
      </c>
    </row>
    <row r="3277" spans="1:21">
      <c r="A3277">
        <v>3276</v>
      </c>
      <c r="B3277" s="27" t="s">
        <v>1449</v>
      </c>
      <c r="D3277" s="27" t="s">
        <v>1450</v>
      </c>
      <c r="F3277" s="27" t="s">
        <v>1453</v>
      </c>
      <c r="H3277" s="27" t="s">
        <v>1454</v>
      </c>
      <c r="L3277" s="27" t="s">
        <v>5093</v>
      </c>
      <c r="N3277" s="27" t="s">
        <v>1648</v>
      </c>
      <c r="P3277" s="27" t="s">
        <v>11646</v>
      </c>
      <c r="Q3277" s="26" t="str">
        <f>HYPERLINK("https://ictv.global/taxonomy/taxondetails?taxnode_id=202519228&amp;ictv_id=ICTV202319228","ICTV202319228")</f>
        <v>ICTV202319228</v>
      </c>
      <c r="R3277" t="s">
        <v>579</v>
      </c>
      <c r="S3277" t="s">
        <v>823</v>
      </c>
      <c r="T3277">
        <v>39</v>
      </c>
      <c r="U3277" s="26" t="str">
        <f>HYPERLINK("https://ictv.global/ictv/proposals/2023.051B.Peduoviridae_reorg.zip","2023.051B.Peduoviridae_reorg.zip")</f>
        <v>2023.051B.Peduoviridae_reorg.zip</v>
      </c>
    </row>
    <row r="3278" spans="1:21">
      <c r="A3278">
        <v>3277</v>
      </c>
      <c r="B3278" s="27" t="s">
        <v>1449</v>
      </c>
      <c r="D3278" s="27" t="s">
        <v>1450</v>
      </c>
      <c r="F3278" s="27" t="s">
        <v>1453</v>
      </c>
      <c r="H3278" s="27" t="s">
        <v>1454</v>
      </c>
      <c r="L3278" s="27" t="s">
        <v>5093</v>
      </c>
      <c r="N3278" s="27" t="s">
        <v>1648</v>
      </c>
      <c r="P3278" s="27" t="s">
        <v>5161</v>
      </c>
      <c r="Q3278" s="26" t="str">
        <f>HYPERLINK("https://ictv.global/taxonomy/taxondetails?taxnode_id=202507979&amp;ictv_id=ICTV201907979","ICTV201907979")</f>
        <v>ICTV201907979</v>
      </c>
      <c r="R3278" t="s">
        <v>579</v>
      </c>
      <c r="S3278" t="s">
        <v>824</v>
      </c>
      <c r="T3278">
        <v>37</v>
      </c>
      <c r="U3278" s="26" t="str">
        <f>HYPERLINK("https://ictv.global/ictv/proposals/2021.010B.R.Binomial_names.zip","2021.010B.R.Binomial_names.zip")</f>
        <v>2021.010B.R.Binomial_names.zip</v>
      </c>
    </row>
    <row r="3279" spans="1:21">
      <c r="A3279">
        <v>3278</v>
      </c>
      <c r="B3279" s="27" t="s">
        <v>1449</v>
      </c>
      <c r="D3279" s="27" t="s">
        <v>1450</v>
      </c>
      <c r="F3279" s="27" t="s">
        <v>1453</v>
      </c>
      <c r="H3279" s="27" t="s">
        <v>1454</v>
      </c>
      <c r="L3279" s="27" t="s">
        <v>5093</v>
      </c>
      <c r="N3279" s="27" t="s">
        <v>1649</v>
      </c>
      <c r="P3279" s="27" t="s">
        <v>5162</v>
      </c>
      <c r="Q3279" s="26" t="str">
        <f>HYPERLINK("https://ictv.global/taxonomy/taxondetails?taxnode_id=202500231&amp;ictv_id=ICTV20115515","ICTV20115515")</f>
        <v>ICTV20115515</v>
      </c>
      <c r="R3279" t="s">
        <v>579</v>
      </c>
      <c r="S3279" t="s">
        <v>824</v>
      </c>
      <c r="T3279">
        <v>37</v>
      </c>
      <c r="U3279" s="26" t="str">
        <f>HYPERLINK("https://ictv.global/ictv/proposals/2021.010B.R.Binomial_names.zip","2021.010B.R.Binomial_names.zip")</f>
        <v>2021.010B.R.Binomial_names.zip</v>
      </c>
    </row>
    <row r="3280" spans="1:21">
      <c r="A3280">
        <v>3279</v>
      </c>
      <c r="B3280" s="27" t="s">
        <v>1449</v>
      </c>
      <c r="D3280" s="27" t="s">
        <v>1450</v>
      </c>
      <c r="F3280" s="27" t="s">
        <v>1453</v>
      </c>
      <c r="H3280" s="27" t="s">
        <v>1454</v>
      </c>
      <c r="L3280" s="27" t="s">
        <v>5093</v>
      </c>
      <c r="N3280" s="27" t="s">
        <v>5163</v>
      </c>
      <c r="P3280" s="27" t="s">
        <v>5164</v>
      </c>
      <c r="Q3280" s="26" t="str">
        <f>HYPERLINK("https://ictv.global/taxonomy/taxondetails?taxnode_id=202512850&amp;ictv_id=ICTV202112850","ICTV202112850")</f>
        <v>ICTV202112850</v>
      </c>
      <c r="R3280" t="s">
        <v>579</v>
      </c>
      <c r="S3280" t="s">
        <v>823</v>
      </c>
      <c r="T3280">
        <v>37</v>
      </c>
      <c r="U3280" s="26" t="str">
        <f>HYPERLINK("https://ictv.global/ictv/proposals/2021.063B.R.Peduoviridae.zip","2021.063B.R.Peduoviridae.zip")</f>
        <v>2021.063B.R.Peduoviridae.zip</v>
      </c>
    </row>
    <row r="3281" spans="1:21">
      <c r="A3281">
        <v>3280</v>
      </c>
      <c r="B3281" s="27" t="s">
        <v>1449</v>
      </c>
      <c r="D3281" s="27" t="s">
        <v>1450</v>
      </c>
      <c r="F3281" s="27" t="s">
        <v>1453</v>
      </c>
      <c r="H3281" s="27" t="s">
        <v>1454</v>
      </c>
      <c r="L3281" s="27" t="s">
        <v>5093</v>
      </c>
      <c r="N3281" s="27" t="s">
        <v>5165</v>
      </c>
      <c r="P3281" s="27" t="s">
        <v>5166</v>
      </c>
      <c r="Q3281" s="26" t="str">
        <f>HYPERLINK("https://ictv.global/taxonomy/taxondetails?taxnode_id=202512866&amp;ictv_id=ICTV202112866","ICTV202112866")</f>
        <v>ICTV202112866</v>
      </c>
      <c r="R3281" t="s">
        <v>579</v>
      </c>
      <c r="S3281" t="s">
        <v>823</v>
      </c>
      <c r="T3281">
        <v>37</v>
      </c>
      <c r="U3281" s="26" t="str">
        <f>HYPERLINK("https://ictv.global/ictv/proposals/2021.063B.R.Peduoviridae.zip","2021.063B.R.Peduoviridae.zip")</f>
        <v>2021.063B.R.Peduoviridae.zip</v>
      </c>
    </row>
    <row r="3282" spans="1:21">
      <c r="A3282">
        <v>3281</v>
      </c>
      <c r="B3282" s="27" t="s">
        <v>1449</v>
      </c>
      <c r="D3282" s="27" t="s">
        <v>1450</v>
      </c>
      <c r="F3282" s="27" t="s">
        <v>1453</v>
      </c>
      <c r="H3282" s="27" t="s">
        <v>1454</v>
      </c>
      <c r="L3282" s="27" t="s">
        <v>5093</v>
      </c>
      <c r="N3282" s="27" t="s">
        <v>1650</v>
      </c>
      <c r="P3282" s="27" t="s">
        <v>5167</v>
      </c>
      <c r="Q3282" s="26" t="str">
        <f>HYPERLINK("https://ictv.global/taxonomy/taxondetails?taxnode_id=202507968&amp;ictv_id=ICTV201907968","ICTV201907968")</f>
        <v>ICTV201907968</v>
      </c>
      <c r="R3282" t="s">
        <v>579</v>
      </c>
      <c r="S3282" t="s">
        <v>824</v>
      </c>
      <c r="T3282">
        <v>37</v>
      </c>
      <c r="U3282" s="26" t="str">
        <f>HYPERLINK("https://ictv.global/ictv/proposals/2021.010B.R.Binomial_names.zip","2021.010B.R.Binomial_names.zip")</f>
        <v>2021.010B.R.Binomial_names.zip</v>
      </c>
    </row>
    <row r="3283" spans="1:21">
      <c r="A3283">
        <v>3282</v>
      </c>
      <c r="B3283" s="27" t="s">
        <v>1449</v>
      </c>
      <c r="D3283" s="27" t="s">
        <v>1450</v>
      </c>
      <c r="F3283" s="27" t="s">
        <v>1453</v>
      </c>
      <c r="H3283" s="27" t="s">
        <v>1454</v>
      </c>
      <c r="L3283" s="27" t="s">
        <v>5093</v>
      </c>
      <c r="N3283" s="27" t="s">
        <v>2078</v>
      </c>
      <c r="P3283" s="27" t="s">
        <v>5168</v>
      </c>
      <c r="Q3283" s="26" t="str">
        <f>HYPERLINK("https://ictv.global/taxonomy/taxondetails?taxnode_id=202511598&amp;ictv_id=ICTV202011598","ICTV202011598")</f>
        <v>ICTV202011598</v>
      </c>
      <c r="R3283" t="s">
        <v>579</v>
      </c>
      <c r="S3283" t="s">
        <v>824</v>
      </c>
      <c r="T3283">
        <v>37</v>
      </c>
      <c r="U3283" s="26" t="str">
        <f>HYPERLINK("https://ictv.global/ictv/proposals/2021.010B.R.Binomial_names.zip","2021.010B.R.Binomial_names.zip")</f>
        <v>2021.010B.R.Binomial_names.zip</v>
      </c>
    </row>
    <row r="3284" spans="1:21">
      <c r="A3284">
        <v>3283</v>
      </c>
      <c r="B3284" s="27" t="s">
        <v>1449</v>
      </c>
      <c r="D3284" s="27" t="s">
        <v>1450</v>
      </c>
      <c r="F3284" s="27" t="s">
        <v>1453</v>
      </c>
      <c r="H3284" s="27" t="s">
        <v>1454</v>
      </c>
      <c r="L3284" s="27" t="s">
        <v>5093</v>
      </c>
      <c r="N3284" s="27" t="s">
        <v>1205</v>
      </c>
      <c r="P3284" s="27" t="s">
        <v>5169</v>
      </c>
      <c r="Q3284" s="26" t="str">
        <f>HYPERLINK("https://ictv.global/taxonomy/taxondetails?taxnode_id=202514726&amp;ictv_id=ICTV202214726","ICTV202214726")</f>
        <v>ICTV202214726</v>
      </c>
      <c r="R3284" t="s">
        <v>579</v>
      </c>
      <c r="S3284" t="s">
        <v>823</v>
      </c>
      <c r="T3284">
        <v>38</v>
      </c>
      <c r="U3284" s="26" t="str">
        <f>HYPERLINK("https://ictv.global/ictv/proposals/2022.062B.Peduoviridae_6ng_19nsp.zip","2022.062B.Peduoviridae_6ng_19nsp.zip")</f>
        <v>2022.062B.Peduoviridae_6ng_19nsp.zip</v>
      </c>
    </row>
    <row r="3285" spans="1:21">
      <c r="A3285">
        <v>3284</v>
      </c>
      <c r="B3285" s="27" t="s">
        <v>1449</v>
      </c>
      <c r="D3285" s="27" t="s">
        <v>1450</v>
      </c>
      <c r="F3285" s="27" t="s">
        <v>1453</v>
      </c>
      <c r="H3285" s="27" t="s">
        <v>1454</v>
      </c>
      <c r="L3285" s="27" t="s">
        <v>5093</v>
      </c>
      <c r="N3285" s="27" t="s">
        <v>1205</v>
      </c>
      <c r="P3285" s="27" t="s">
        <v>5170</v>
      </c>
      <c r="Q3285" s="26" t="str">
        <f>HYPERLINK("https://ictv.global/taxonomy/taxondetails?taxnode_id=202514727&amp;ictv_id=ICTV202214727","ICTV202214727")</f>
        <v>ICTV202214727</v>
      </c>
      <c r="R3285" t="s">
        <v>579</v>
      </c>
      <c r="S3285" t="s">
        <v>823</v>
      </c>
      <c r="T3285">
        <v>38</v>
      </c>
      <c r="U3285" s="26" t="str">
        <f>HYPERLINK("https://ictv.global/ictv/proposals/2022.062B.Peduoviridae_6ng_19nsp.zip","2022.062B.Peduoviridae_6ng_19nsp.zip")</f>
        <v>2022.062B.Peduoviridae_6ng_19nsp.zip</v>
      </c>
    </row>
    <row r="3286" spans="1:21">
      <c r="A3286">
        <v>3285</v>
      </c>
      <c r="B3286" s="27" t="s">
        <v>1449</v>
      </c>
      <c r="D3286" s="27" t="s">
        <v>1450</v>
      </c>
      <c r="F3286" s="27" t="s">
        <v>1453</v>
      </c>
      <c r="H3286" s="27" t="s">
        <v>1454</v>
      </c>
      <c r="L3286" s="27" t="s">
        <v>5093</v>
      </c>
      <c r="N3286" s="27" t="s">
        <v>1205</v>
      </c>
      <c r="P3286" s="27" t="s">
        <v>5171</v>
      </c>
      <c r="Q3286" s="26" t="str">
        <f>HYPERLINK("https://ictv.global/taxonomy/taxondetails?taxnode_id=202514729&amp;ictv_id=ICTV202214729","ICTV202214729")</f>
        <v>ICTV202214729</v>
      </c>
      <c r="R3286" t="s">
        <v>579</v>
      </c>
      <c r="S3286" t="s">
        <v>823</v>
      </c>
      <c r="T3286">
        <v>38</v>
      </c>
      <c r="U3286" s="26" t="str">
        <f>HYPERLINK("https://ictv.global/ictv/proposals/2022.062B.Peduoviridae_6ng_19nsp.zip","2022.062B.Peduoviridae_6ng_19nsp.zip")</f>
        <v>2022.062B.Peduoviridae_6ng_19nsp.zip</v>
      </c>
    </row>
    <row r="3287" spans="1:21">
      <c r="A3287">
        <v>3286</v>
      </c>
      <c r="B3287" s="27" t="s">
        <v>1449</v>
      </c>
      <c r="D3287" s="27" t="s">
        <v>1450</v>
      </c>
      <c r="F3287" s="27" t="s">
        <v>1453</v>
      </c>
      <c r="H3287" s="27" t="s">
        <v>1454</v>
      </c>
      <c r="L3287" s="27" t="s">
        <v>5093</v>
      </c>
      <c r="N3287" s="27" t="s">
        <v>1205</v>
      </c>
      <c r="P3287" s="27" t="s">
        <v>5172</v>
      </c>
      <c r="Q3287" s="26" t="str">
        <f>HYPERLINK("https://ictv.global/taxonomy/taxondetails?taxnode_id=202507028&amp;ictv_id=ICTV201857028","ICTV201857028")</f>
        <v>ICTV201857028</v>
      </c>
      <c r="R3287" t="s">
        <v>579</v>
      </c>
      <c r="S3287" t="s">
        <v>824</v>
      </c>
      <c r="T3287">
        <v>37</v>
      </c>
      <c r="U3287" s="26" t="str">
        <f>HYPERLINK("https://ictv.global/ictv/proposals/2021.010B.R.Binomial_names.zip","2021.010B.R.Binomial_names.zip")</f>
        <v>2021.010B.R.Binomial_names.zip</v>
      </c>
    </row>
    <row r="3288" spans="1:21">
      <c r="A3288">
        <v>3287</v>
      </c>
      <c r="B3288" s="27" t="s">
        <v>1449</v>
      </c>
      <c r="D3288" s="27" t="s">
        <v>1450</v>
      </c>
      <c r="F3288" s="27" t="s">
        <v>1453</v>
      </c>
      <c r="H3288" s="27" t="s">
        <v>1454</v>
      </c>
      <c r="L3288" s="27" t="s">
        <v>5093</v>
      </c>
      <c r="N3288" s="27" t="s">
        <v>1205</v>
      </c>
      <c r="P3288" s="27" t="s">
        <v>11647</v>
      </c>
      <c r="Q3288" s="26" t="str">
        <f>HYPERLINK("https://ictv.global/taxonomy/taxondetails?taxnode_id=202507031&amp;ictv_id=ICTV201857031","ICTV201857031")</f>
        <v>ICTV201857031</v>
      </c>
      <c r="R3288" t="s">
        <v>579</v>
      </c>
      <c r="S3288" t="s">
        <v>22764</v>
      </c>
      <c r="T3288">
        <v>39</v>
      </c>
      <c r="U3288" s="26" t="str">
        <f>HYPERLINK("https://ictv.global/ictv/proposals/2023.051B.Peduoviridae_reorg.zip","2023.051B.Peduoviridae_reorg.zip")</f>
        <v>2023.051B.Peduoviridae_reorg.zip</v>
      </c>
    </row>
    <row r="3289" spans="1:21">
      <c r="A3289">
        <v>3288</v>
      </c>
      <c r="B3289" s="27" t="s">
        <v>1449</v>
      </c>
      <c r="D3289" s="27" t="s">
        <v>1450</v>
      </c>
      <c r="F3289" s="27" t="s">
        <v>1453</v>
      </c>
      <c r="H3289" s="27" t="s">
        <v>1454</v>
      </c>
      <c r="L3289" s="27" t="s">
        <v>5093</v>
      </c>
      <c r="N3289" s="27" t="s">
        <v>1205</v>
      </c>
      <c r="P3289" s="27" t="s">
        <v>11648</v>
      </c>
      <c r="Q3289" s="26" t="str">
        <f>HYPERLINK("https://ictv.global/taxonomy/taxondetails?taxnode_id=202519234&amp;ictv_id=ICTV202319234","ICTV202319234")</f>
        <v>ICTV202319234</v>
      </c>
      <c r="R3289" t="s">
        <v>579</v>
      </c>
      <c r="S3289" t="s">
        <v>823</v>
      </c>
      <c r="T3289">
        <v>39</v>
      </c>
      <c r="U3289" s="26" t="str">
        <f>HYPERLINK("https://ictv.global/ictv/proposals/2023.051B.Peduoviridae_reorg.zip","2023.051B.Peduoviridae_reorg.zip")</f>
        <v>2023.051B.Peduoviridae_reorg.zip</v>
      </c>
    </row>
    <row r="3290" spans="1:21">
      <c r="A3290">
        <v>3289</v>
      </c>
      <c r="B3290" s="27" t="s">
        <v>1449</v>
      </c>
      <c r="D3290" s="27" t="s">
        <v>1450</v>
      </c>
      <c r="F3290" s="27" t="s">
        <v>1453</v>
      </c>
      <c r="H3290" s="27" t="s">
        <v>1454</v>
      </c>
      <c r="L3290" s="27" t="s">
        <v>5093</v>
      </c>
      <c r="N3290" s="27" t="s">
        <v>1205</v>
      </c>
      <c r="P3290" s="27" t="s">
        <v>11649</v>
      </c>
      <c r="Q3290" s="26" t="str">
        <f>HYPERLINK("https://ictv.global/taxonomy/taxondetails?taxnode_id=202519235&amp;ictv_id=ICTV202319235","ICTV202319235")</f>
        <v>ICTV202319235</v>
      </c>
      <c r="R3290" t="s">
        <v>579</v>
      </c>
      <c r="S3290" t="s">
        <v>823</v>
      </c>
      <c r="T3290">
        <v>39</v>
      </c>
      <c r="U3290" s="26" t="str">
        <f>HYPERLINK("https://ictv.global/ictv/proposals/2023.051B.Peduoviridae_reorg.zip","2023.051B.Peduoviridae_reorg.zip")</f>
        <v>2023.051B.Peduoviridae_reorg.zip</v>
      </c>
    </row>
    <row r="3291" spans="1:21">
      <c r="A3291">
        <v>3290</v>
      </c>
      <c r="B3291" s="27" t="s">
        <v>1449</v>
      </c>
      <c r="D3291" s="27" t="s">
        <v>1450</v>
      </c>
      <c r="F3291" s="27" t="s">
        <v>1453</v>
      </c>
      <c r="H3291" s="27" t="s">
        <v>1454</v>
      </c>
      <c r="L3291" s="27" t="s">
        <v>5093</v>
      </c>
      <c r="N3291" s="27" t="s">
        <v>1205</v>
      </c>
      <c r="P3291" s="27" t="s">
        <v>5173</v>
      </c>
      <c r="Q3291" s="26" t="str">
        <f>HYPERLINK("https://ictv.global/taxonomy/taxondetails?taxnode_id=202514732&amp;ictv_id=ICTV202214732","ICTV202214732")</f>
        <v>ICTV202214732</v>
      </c>
      <c r="R3291" t="s">
        <v>579</v>
      </c>
      <c r="S3291" t="s">
        <v>823</v>
      </c>
      <c r="T3291">
        <v>38</v>
      </c>
      <c r="U3291" s="26" t="str">
        <f>HYPERLINK("https://ictv.global/ictv/proposals/2022.062B.Peduoviridae_6ng_19nsp.zip","2022.062B.Peduoviridae_6ng_19nsp.zip")</f>
        <v>2022.062B.Peduoviridae_6ng_19nsp.zip</v>
      </c>
    </row>
    <row r="3292" spans="1:21">
      <c r="A3292">
        <v>3291</v>
      </c>
      <c r="B3292" s="27" t="s">
        <v>1449</v>
      </c>
      <c r="D3292" s="27" t="s">
        <v>1450</v>
      </c>
      <c r="F3292" s="27" t="s">
        <v>1453</v>
      </c>
      <c r="H3292" s="27" t="s">
        <v>1454</v>
      </c>
      <c r="L3292" s="27" t="s">
        <v>5093</v>
      </c>
      <c r="N3292" s="27" t="s">
        <v>1205</v>
      </c>
      <c r="P3292" s="27" t="s">
        <v>5174</v>
      </c>
      <c r="Q3292" s="26" t="str">
        <f>HYPERLINK("https://ictv.global/taxonomy/taxondetails?taxnode_id=202500246&amp;ictv_id=ICTV20115501","ICTV20115501")</f>
        <v>ICTV20115501</v>
      </c>
      <c r="R3292" t="s">
        <v>579</v>
      </c>
      <c r="S3292" t="s">
        <v>824</v>
      </c>
      <c r="T3292">
        <v>37</v>
      </c>
      <c r="U3292" s="26" t="str">
        <f>HYPERLINK("https://ictv.global/ictv/proposals/2021.010B.R.Binomial_names.zip","2021.010B.R.Binomial_names.zip")</f>
        <v>2021.010B.R.Binomial_names.zip</v>
      </c>
    </row>
    <row r="3293" spans="1:21">
      <c r="A3293">
        <v>3292</v>
      </c>
      <c r="B3293" s="27" t="s">
        <v>1449</v>
      </c>
      <c r="D3293" s="27" t="s">
        <v>1450</v>
      </c>
      <c r="F3293" s="27" t="s">
        <v>1453</v>
      </c>
      <c r="H3293" s="27" t="s">
        <v>1454</v>
      </c>
      <c r="L3293" s="27" t="s">
        <v>5093</v>
      </c>
      <c r="N3293" s="27" t="s">
        <v>1205</v>
      </c>
      <c r="P3293" s="27" t="s">
        <v>5175</v>
      </c>
      <c r="Q3293" s="26" t="str">
        <f>HYPERLINK("https://ictv.global/taxonomy/taxondetails?taxnode_id=202511581&amp;ictv_id=ICTV202011581","ICTV202011581")</f>
        <v>ICTV202011581</v>
      </c>
      <c r="R3293" t="s">
        <v>579</v>
      </c>
      <c r="S3293" t="s">
        <v>824</v>
      </c>
      <c r="T3293">
        <v>37</v>
      </c>
      <c r="U3293" s="26" t="str">
        <f>HYPERLINK("https://ictv.global/ictv/proposals/2021.010B.R.Binomial_names.zip","2021.010B.R.Binomial_names.zip")</f>
        <v>2021.010B.R.Binomial_names.zip</v>
      </c>
    </row>
    <row r="3294" spans="1:21">
      <c r="A3294">
        <v>3293</v>
      </c>
      <c r="B3294" s="27" t="s">
        <v>1449</v>
      </c>
      <c r="D3294" s="27" t="s">
        <v>1450</v>
      </c>
      <c r="F3294" s="27" t="s">
        <v>1453</v>
      </c>
      <c r="H3294" s="27" t="s">
        <v>1454</v>
      </c>
      <c r="L3294" s="27" t="s">
        <v>5093</v>
      </c>
      <c r="N3294" s="27" t="s">
        <v>1205</v>
      </c>
      <c r="P3294" s="27" t="s">
        <v>5176</v>
      </c>
      <c r="Q3294" s="26" t="str">
        <f>HYPERLINK("https://ictv.global/taxonomy/taxondetails?taxnode_id=202500238&amp;ictv_id=ICTV19951339","ICTV19951339")</f>
        <v>ICTV19951339</v>
      </c>
      <c r="R3294" t="s">
        <v>579</v>
      </c>
      <c r="S3294" t="s">
        <v>824</v>
      </c>
      <c r="T3294">
        <v>37</v>
      </c>
      <c r="U3294" s="26" t="str">
        <f>HYPERLINK("https://ictv.global/ictv/proposals/2021.010B.R.Binomial_names.zip","2021.010B.R.Binomial_names.zip")</f>
        <v>2021.010B.R.Binomial_names.zip</v>
      </c>
    </row>
    <row r="3295" spans="1:21">
      <c r="A3295">
        <v>3294</v>
      </c>
      <c r="B3295" s="27" t="s">
        <v>1449</v>
      </c>
      <c r="D3295" s="27" t="s">
        <v>1450</v>
      </c>
      <c r="F3295" s="27" t="s">
        <v>1453</v>
      </c>
      <c r="H3295" s="27" t="s">
        <v>1454</v>
      </c>
      <c r="L3295" s="27" t="s">
        <v>5093</v>
      </c>
      <c r="N3295" s="27" t="s">
        <v>1205</v>
      </c>
      <c r="P3295" s="27" t="s">
        <v>5177</v>
      </c>
      <c r="Q3295" s="26" t="str">
        <f>HYPERLINK("https://ictv.global/taxonomy/taxondetails?taxnode_id=202514731&amp;ictv_id=ICTV202214731","ICTV202214731")</f>
        <v>ICTV202214731</v>
      </c>
      <c r="R3295" t="s">
        <v>579</v>
      </c>
      <c r="S3295" t="s">
        <v>823</v>
      </c>
      <c r="T3295">
        <v>38</v>
      </c>
      <c r="U3295" s="26" t="str">
        <f>HYPERLINK("https://ictv.global/ictv/proposals/2022.062B.Peduoviridae_6ng_19nsp.zip","2022.062B.Peduoviridae_6ng_19nsp.zip")</f>
        <v>2022.062B.Peduoviridae_6ng_19nsp.zip</v>
      </c>
    </row>
    <row r="3296" spans="1:21">
      <c r="A3296">
        <v>3295</v>
      </c>
      <c r="B3296" s="27" t="s">
        <v>1449</v>
      </c>
      <c r="D3296" s="27" t="s">
        <v>1450</v>
      </c>
      <c r="F3296" s="27" t="s">
        <v>1453</v>
      </c>
      <c r="H3296" s="27" t="s">
        <v>1454</v>
      </c>
      <c r="L3296" s="27" t="s">
        <v>5093</v>
      </c>
      <c r="N3296" s="27" t="s">
        <v>1205</v>
      </c>
      <c r="P3296" s="27" t="s">
        <v>11650</v>
      </c>
      <c r="Q3296" s="26" t="str">
        <f>HYPERLINK("https://ictv.global/taxonomy/taxondetails?taxnode_id=202519233&amp;ictv_id=ICTV202319233","ICTV202319233")</f>
        <v>ICTV202319233</v>
      </c>
      <c r="R3296" t="s">
        <v>579</v>
      </c>
      <c r="S3296" t="s">
        <v>823</v>
      </c>
      <c r="T3296">
        <v>39</v>
      </c>
      <c r="U3296" s="26" t="str">
        <f>HYPERLINK("https://ictv.global/ictv/proposals/2023.051B.Peduoviridae_reorg.zip","2023.051B.Peduoviridae_reorg.zip")</f>
        <v>2023.051B.Peduoviridae_reorg.zip</v>
      </c>
    </row>
    <row r="3297" spans="1:21">
      <c r="A3297">
        <v>3296</v>
      </c>
      <c r="B3297" s="27" t="s">
        <v>1449</v>
      </c>
      <c r="D3297" s="27" t="s">
        <v>1450</v>
      </c>
      <c r="F3297" s="27" t="s">
        <v>1453</v>
      </c>
      <c r="H3297" s="27" t="s">
        <v>1454</v>
      </c>
      <c r="L3297" s="27" t="s">
        <v>5093</v>
      </c>
      <c r="N3297" s="27" t="s">
        <v>1205</v>
      </c>
      <c r="P3297" s="27" t="s">
        <v>5178</v>
      </c>
      <c r="Q3297" s="26" t="str">
        <f>HYPERLINK("https://ictv.global/taxonomy/taxondetails?taxnode_id=202511615&amp;ictv_id=ICTV202011615","ICTV202011615")</f>
        <v>ICTV202011615</v>
      </c>
      <c r="R3297" t="s">
        <v>579</v>
      </c>
      <c r="S3297" t="s">
        <v>824</v>
      </c>
      <c r="T3297">
        <v>37</v>
      </c>
      <c r="U3297" s="26" t="str">
        <f t="shared" ref="U3297:U3306" si="123">HYPERLINK("https://ictv.global/ictv/proposals/2021.010B.R.Binomial_names.zip","2021.010B.R.Binomial_names.zip")</f>
        <v>2021.010B.R.Binomial_names.zip</v>
      </c>
    </row>
    <row r="3298" spans="1:21">
      <c r="A3298">
        <v>3297</v>
      </c>
      <c r="B3298" s="27" t="s">
        <v>1449</v>
      </c>
      <c r="D3298" s="27" t="s">
        <v>1450</v>
      </c>
      <c r="F3298" s="27" t="s">
        <v>1453</v>
      </c>
      <c r="H3298" s="27" t="s">
        <v>1454</v>
      </c>
      <c r="L3298" s="27" t="s">
        <v>5093</v>
      </c>
      <c r="N3298" s="27" t="s">
        <v>1205</v>
      </c>
      <c r="P3298" s="27" t="s">
        <v>5179</v>
      </c>
      <c r="Q3298" s="26" t="str">
        <f>HYPERLINK("https://ictv.global/taxonomy/taxondetails?taxnode_id=202511611&amp;ictv_id=ICTV202011611","ICTV202011611")</f>
        <v>ICTV202011611</v>
      </c>
      <c r="R3298" t="s">
        <v>579</v>
      </c>
      <c r="S3298" t="s">
        <v>824</v>
      </c>
      <c r="T3298">
        <v>37</v>
      </c>
      <c r="U3298" s="26" t="str">
        <f t="shared" si="123"/>
        <v>2021.010B.R.Binomial_names.zip</v>
      </c>
    </row>
    <row r="3299" spans="1:21">
      <c r="A3299">
        <v>3298</v>
      </c>
      <c r="B3299" s="27" t="s">
        <v>1449</v>
      </c>
      <c r="D3299" s="27" t="s">
        <v>1450</v>
      </c>
      <c r="F3299" s="27" t="s">
        <v>1453</v>
      </c>
      <c r="H3299" s="27" t="s">
        <v>1454</v>
      </c>
      <c r="L3299" s="27" t="s">
        <v>5093</v>
      </c>
      <c r="N3299" s="27" t="s">
        <v>1205</v>
      </c>
      <c r="P3299" s="27" t="s">
        <v>5180</v>
      </c>
      <c r="Q3299" s="26" t="str">
        <f>HYPERLINK("https://ictv.global/taxonomy/taxondetails?taxnode_id=202511609&amp;ictv_id=ICTV202011609","ICTV202011609")</f>
        <v>ICTV202011609</v>
      </c>
      <c r="R3299" t="s">
        <v>579</v>
      </c>
      <c r="S3299" t="s">
        <v>824</v>
      </c>
      <c r="T3299">
        <v>37</v>
      </c>
      <c r="U3299" s="26" t="str">
        <f t="shared" si="123"/>
        <v>2021.010B.R.Binomial_names.zip</v>
      </c>
    </row>
    <row r="3300" spans="1:21">
      <c r="A3300">
        <v>3299</v>
      </c>
      <c r="B3300" s="27" t="s">
        <v>1449</v>
      </c>
      <c r="D3300" s="27" t="s">
        <v>1450</v>
      </c>
      <c r="F3300" s="27" t="s">
        <v>1453</v>
      </c>
      <c r="H3300" s="27" t="s">
        <v>1454</v>
      </c>
      <c r="L3300" s="27" t="s">
        <v>5093</v>
      </c>
      <c r="N3300" s="27" t="s">
        <v>1205</v>
      </c>
      <c r="P3300" s="27" t="s">
        <v>5181</v>
      </c>
      <c r="Q3300" s="26" t="str">
        <f>HYPERLINK("https://ictv.global/taxonomy/taxondetails?taxnode_id=202511612&amp;ictv_id=ICTV202011612","ICTV202011612")</f>
        <v>ICTV202011612</v>
      </c>
      <c r="R3300" t="s">
        <v>579</v>
      </c>
      <c r="S3300" t="s">
        <v>824</v>
      </c>
      <c r="T3300">
        <v>37</v>
      </c>
      <c r="U3300" s="26" t="str">
        <f t="shared" si="123"/>
        <v>2021.010B.R.Binomial_names.zip</v>
      </c>
    </row>
    <row r="3301" spans="1:21">
      <c r="A3301">
        <v>3300</v>
      </c>
      <c r="B3301" s="27" t="s">
        <v>1449</v>
      </c>
      <c r="D3301" s="27" t="s">
        <v>1450</v>
      </c>
      <c r="F3301" s="27" t="s">
        <v>1453</v>
      </c>
      <c r="H3301" s="27" t="s">
        <v>1454</v>
      </c>
      <c r="L3301" s="27" t="s">
        <v>5093</v>
      </c>
      <c r="N3301" s="27" t="s">
        <v>1205</v>
      </c>
      <c r="P3301" s="27" t="s">
        <v>5182</v>
      </c>
      <c r="Q3301" s="26" t="str">
        <f>HYPERLINK("https://ictv.global/taxonomy/taxondetails?taxnode_id=202511614&amp;ictv_id=ICTV202011614","ICTV202011614")</f>
        <v>ICTV202011614</v>
      </c>
      <c r="R3301" t="s">
        <v>579</v>
      </c>
      <c r="S3301" t="s">
        <v>824</v>
      </c>
      <c r="T3301">
        <v>37</v>
      </c>
      <c r="U3301" s="26" t="str">
        <f t="shared" si="123"/>
        <v>2021.010B.R.Binomial_names.zip</v>
      </c>
    </row>
    <row r="3302" spans="1:21">
      <c r="A3302">
        <v>3301</v>
      </c>
      <c r="B3302" s="27" t="s">
        <v>1449</v>
      </c>
      <c r="D3302" s="27" t="s">
        <v>1450</v>
      </c>
      <c r="F3302" s="27" t="s">
        <v>1453</v>
      </c>
      <c r="H3302" s="27" t="s">
        <v>1454</v>
      </c>
      <c r="L3302" s="27" t="s">
        <v>5093</v>
      </c>
      <c r="N3302" s="27" t="s">
        <v>1205</v>
      </c>
      <c r="P3302" s="27" t="s">
        <v>5183</v>
      </c>
      <c r="Q3302" s="26" t="str">
        <f>HYPERLINK("https://ictv.global/taxonomy/taxondetails?taxnode_id=202511613&amp;ictv_id=ICTV202011613","ICTV202011613")</f>
        <v>ICTV202011613</v>
      </c>
      <c r="R3302" t="s">
        <v>579</v>
      </c>
      <c r="S3302" t="s">
        <v>824</v>
      </c>
      <c r="T3302">
        <v>37</v>
      </c>
      <c r="U3302" s="26" t="str">
        <f t="shared" si="123"/>
        <v>2021.010B.R.Binomial_names.zip</v>
      </c>
    </row>
    <row r="3303" spans="1:21">
      <c r="A3303">
        <v>3302</v>
      </c>
      <c r="B3303" s="27" t="s">
        <v>1449</v>
      </c>
      <c r="D3303" s="27" t="s">
        <v>1450</v>
      </c>
      <c r="F3303" s="27" t="s">
        <v>1453</v>
      </c>
      <c r="H3303" s="27" t="s">
        <v>1454</v>
      </c>
      <c r="L3303" s="27" t="s">
        <v>5093</v>
      </c>
      <c r="N3303" s="27" t="s">
        <v>1205</v>
      </c>
      <c r="P3303" s="27" t="s">
        <v>5184</v>
      </c>
      <c r="Q3303" s="26" t="str">
        <f>HYPERLINK("https://ictv.global/taxonomy/taxondetails?taxnode_id=202507029&amp;ictv_id=ICTV201857029","ICTV201857029")</f>
        <v>ICTV201857029</v>
      </c>
      <c r="R3303" t="s">
        <v>579</v>
      </c>
      <c r="S3303" t="s">
        <v>824</v>
      </c>
      <c r="T3303">
        <v>37</v>
      </c>
      <c r="U3303" s="26" t="str">
        <f t="shared" si="123"/>
        <v>2021.010B.R.Binomial_names.zip</v>
      </c>
    </row>
    <row r="3304" spans="1:21">
      <c r="A3304">
        <v>3303</v>
      </c>
      <c r="B3304" s="27" t="s">
        <v>1449</v>
      </c>
      <c r="D3304" s="27" t="s">
        <v>1450</v>
      </c>
      <c r="F3304" s="27" t="s">
        <v>1453</v>
      </c>
      <c r="H3304" s="27" t="s">
        <v>1454</v>
      </c>
      <c r="L3304" s="27" t="s">
        <v>5093</v>
      </c>
      <c r="N3304" s="27" t="s">
        <v>1205</v>
      </c>
      <c r="P3304" s="27" t="s">
        <v>5185</v>
      </c>
      <c r="Q3304" s="26" t="str">
        <f>HYPERLINK("https://ictv.global/taxonomy/taxondetails?taxnode_id=202507030&amp;ictv_id=ICTV201857030","ICTV201857030")</f>
        <v>ICTV201857030</v>
      </c>
      <c r="R3304" t="s">
        <v>579</v>
      </c>
      <c r="S3304" t="s">
        <v>824</v>
      </c>
      <c r="T3304">
        <v>37</v>
      </c>
      <c r="U3304" s="26" t="str">
        <f t="shared" si="123"/>
        <v>2021.010B.R.Binomial_names.zip</v>
      </c>
    </row>
    <row r="3305" spans="1:21">
      <c r="A3305">
        <v>3304</v>
      </c>
      <c r="B3305" s="27" t="s">
        <v>1449</v>
      </c>
      <c r="D3305" s="27" t="s">
        <v>1450</v>
      </c>
      <c r="F3305" s="27" t="s">
        <v>1453</v>
      </c>
      <c r="H3305" s="27" t="s">
        <v>1454</v>
      </c>
      <c r="L3305" s="27" t="s">
        <v>5093</v>
      </c>
      <c r="N3305" s="27" t="s">
        <v>1205</v>
      </c>
      <c r="P3305" s="27" t="s">
        <v>5186</v>
      </c>
      <c r="Q3305" s="26" t="str">
        <f>HYPERLINK("https://ictv.global/taxonomy/taxondetails?taxnode_id=202511608&amp;ictv_id=ICTV202011608","ICTV202011608")</f>
        <v>ICTV202011608</v>
      </c>
      <c r="R3305" t="s">
        <v>579</v>
      </c>
      <c r="S3305" t="s">
        <v>824</v>
      </c>
      <c r="T3305">
        <v>37</v>
      </c>
      <c r="U3305" s="26" t="str">
        <f t="shared" si="123"/>
        <v>2021.010B.R.Binomial_names.zip</v>
      </c>
    </row>
    <row r="3306" spans="1:21">
      <c r="A3306">
        <v>3305</v>
      </c>
      <c r="B3306" s="27" t="s">
        <v>1449</v>
      </c>
      <c r="D3306" s="27" t="s">
        <v>1450</v>
      </c>
      <c r="F3306" s="27" t="s">
        <v>1453</v>
      </c>
      <c r="H3306" s="27" t="s">
        <v>1454</v>
      </c>
      <c r="L3306" s="27" t="s">
        <v>5093</v>
      </c>
      <c r="N3306" s="27" t="s">
        <v>1205</v>
      </c>
      <c r="P3306" s="27" t="s">
        <v>5187</v>
      </c>
      <c r="Q3306" s="26" t="str">
        <f>HYPERLINK("https://ictv.global/taxonomy/taxondetails?taxnode_id=202511610&amp;ictv_id=ICTV202011610","ICTV202011610")</f>
        <v>ICTV202011610</v>
      </c>
      <c r="R3306" t="s">
        <v>579</v>
      </c>
      <c r="S3306" t="s">
        <v>824</v>
      </c>
      <c r="T3306">
        <v>37</v>
      </c>
      <c r="U3306" s="26" t="str">
        <f t="shared" si="123"/>
        <v>2021.010B.R.Binomial_names.zip</v>
      </c>
    </row>
    <row r="3307" spans="1:21">
      <c r="A3307">
        <v>3306</v>
      </c>
      <c r="B3307" s="27" t="s">
        <v>1449</v>
      </c>
      <c r="D3307" s="27" t="s">
        <v>1450</v>
      </c>
      <c r="F3307" s="27" t="s">
        <v>1453</v>
      </c>
      <c r="H3307" s="27" t="s">
        <v>1454</v>
      </c>
      <c r="L3307" s="27" t="s">
        <v>5093</v>
      </c>
      <c r="N3307" s="27" t="s">
        <v>1205</v>
      </c>
      <c r="P3307" s="27" t="s">
        <v>5188</v>
      </c>
      <c r="Q3307" s="26" t="str">
        <f>HYPERLINK("https://ictv.global/taxonomy/taxondetails?taxnode_id=202514728&amp;ictv_id=ICTV202214728","ICTV202214728")</f>
        <v>ICTV202214728</v>
      </c>
      <c r="R3307" t="s">
        <v>579</v>
      </c>
      <c r="S3307" t="s">
        <v>823</v>
      </c>
      <c r="T3307">
        <v>38</v>
      </c>
      <c r="U3307" s="26" t="str">
        <f>HYPERLINK("https://ictv.global/ictv/proposals/2022.062B.Peduoviridae_6ng_19nsp.zip","2022.062B.Peduoviridae_6ng_19nsp.zip")</f>
        <v>2022.062B.Peduoviridae_6ng_19nsp.zip</v>
      </c>
    </row>
    <row r="3308" spans="1:21">
      <c r="A3308">
        <v>3307</v>
      </c>
      <c r="B3308" s="27" t="s">
        <v>1449</v>
      </c>
      <c r="D3308" s="27" t="s">
        <v>1450</v>
      </c>
      <c r="F3308" s="27" t="s">
        <v>1453</v>
      </c>
      <c r="H3308" s="27" t="s">
        <v>1454</v>
      </c>
      <c r="L3308" s="27" t="s">
        <v>5093</v>
      </c>
      <c r="N3308" s="27" t="s">
        <v>1205</v>
      </c>
      <c r="P3308" s="27" t="s">
        <v>5189</v>
      </c>
      <c r="Q3308" s="26" t="str">
        <f>HYPERLINK("https://ictv.global/taxonomy/taxondetails?taxnode_id=202514730&amp;ictv_id=ICTV202214730","ICTV202214730")</f>
        <v>ICTV202214730</v>
      </c>
      <c r="R3308" t="s">
        <v>579</v>
      </c>
      <c r="S3308" t="s">
        <v>823</v>
      </c>
      <c r="T3308">
        <v>38</v>
      </c>
      <c r="U3308" s="26" t="str">
        <f>HYPERLINK("https://ictv.global/ictv/proposals/2022.062B.Peduoviridae_6ng_19nsp.zip","2022.062B.Peduoviridae_6ng_19nsp.zip")</f>
        <v>2022.062B.Peduoviridae_6ng_19nsp.zip</v>
      </c>
    </row>
    <row r="3309" spans="1:21">
      <c r="A3309">
        <v>3308</v>
      </c>
      <c r="B3309" s="27" t="s">
        <v>1449</v>
      </c>
      <c r="D3309" s="27" t="s">
        <v>1450</v>
      </c>
      <c r="F3309" s="27" t="s">
        <v>1453</v>
      </c>
      <c r="H3309" s="27" t="s">
        <v>1454</v>
      </c>
      <c r="L3309" s="27" t="s">
        <v>5093</v>
      </c>
      <c r="N3309" s="27" t="s">
        <v>1205</v>
      </c>
      <c r="P3309" s="27" t="s">
        <v>5190</v>
      </c>
      <c r="Q3309" s="26" t="str">
        <f>HYPERLINK("https://ictv.global/taxonomy/taxondetails?taxnode_id=202512873&amp;ictv_id=ICTV202112873","ICTV202112873")</f>
        <v>ICTV202112873</v>
      </c>
      <c r="R3309" t="s">
        <v>579</v>
      </c>
      <c r="S3309" t="s">
        <v>823</v>
      </c>
      <c r="T3309">
        <v>37</v>
      </c>
      <c r="U3309" s="26" t="str">
        <f>HYPERLINK("https://ictv.global/ictv/proposals/2021.063B.R.Peduoviridae.zip","2021.063B.R.Peduoviridae.zip")</f>
        <v>2021.063B.R.Peduoviridae.zip</v>
      </c>
    </row>
    <row r="3310" spans="1:21">
      <c r="A3310">
        <v>3309</v>
      </c>
      <c r="B3310" s="27" t="s">
        <v>1449</v>
      </c>
      <c r="D3310" s="27" t="s">
        <v>1450</v>
      </c>
      <c r="F3310" s="27" t="s">
        <v>1453</v>
      </c>
      <c r="H3310" s="27" t="s">
        <v>1454</v>
      </c>
      <c r="L3310" s="27" t="s">
        <v>5093</v>
      </c>
      <c r="N3310" s="27" t="s">
        <v>1205</v>
      </c>
      <c r="P3310" s="27" t="s">
        <v>5191</v>
      </c>
      <c r="Q3310" s="26" t="str">
        <f>HYPERLINK("https://ictv.global/taxonomy/taxondetails?taxnode_id=202500239&amp;ictv_id=ICTV20115500","ICTV20115500")</f>
        <v>ICTV20115500</v>
      </c>
      <c r="R3310" t="s">
        <v>579</v>
      </c>
      <c r="S3310" t="s">
        <v>824</v>
      </c>
      <c r="T3310">
        <v>37</v>
      </c>
      <c r="U3310" s="26" t="str">
        <f>HYPERLINK("https://ictv.global/ictv/proposals/2021.010B.R.Binomial_names.zip","2021.010B.R.Binomial_names.zip")</f>
        <v>2021.010B.R.Binomial_names.zip</v>
      </c>
    </row>
    <row r="3311" spans="1:21">
      <c r="A3311">
        <v>3310</v>
      </c>
      <c r="B3311" s="27" t="s">
        <v>1449</v>
      </c>
      <c r="D3311" s="27" t="s">
        <v>1450</v>
      </c>
      <c r="F3311" s="27" t="s">
        <v>1453</v>
      </c>
      <c r="H3311" s="27" t="s">
        <v>1454</v>
      </c>
      <c r="L3311" s="27" t="s">
        <v>5093</v>
      </c>
      <c r="N3311" s="27" t="s">
        <v>1205</v>
      </c>
      <c r="P3311" s="27" t="s">
        <v>5192</v>
      </c>
      <c r="Q3311" s="26" t="str">
        <f>HYPERLINK("https://ictv.global/taxonomy/taxondetails?taxnode_id=202512874&amp;ictv_id=ICTV202112874","ICTV202112874")</f>
        <v>ICTV202112874</v>
      </c>
      <c r="R3311" t="s">
        <v>579</v>
      </c>
      <c r="S3311" t="s">
        <v>823</v>
      </c>
      <c r="T3311">
        <v>37</v>
      </c>
      <c r="U3311" s="26" t="str">
        <f>HYPERLINK("https://ictv.global/ictv/proposals/2021.063B.R.Peduoviridae.zip","2021.063B.R.Peduoviridae.zip")</f>
        <v>2021.063B.R.Peduoviridae.zip</v>
      </c>
    </row>
    <row r="3312" spans="1:21">
      <c r="A3312">
        <v>3311</v>
      </c>
      <c r="B3312" s="27" t="s">
        <v>1449</v>
      </c>
      <c r="D3312" s="27" t="s">
        <v>1450</v>
      </c>
      <c r="F3312" s="27" t="s">
        <v>1453</v>
      </c>
      <c r="H3312" s="27" t="s">
        <v>1454</v>
      </c>
      <c r="L3312" s="27" t="s">
        <v>5093</v>
      </c>
      <c r="N3312" s="27" t="s">
        <v>1205</v>
      </c>
      <c r="P3312" s="27" t="s">
        <v>5193</v>
      </c>
      <c r="Q3312" s="26" t="str">
        <f>HYPERLINK("https://ictv.global/taxonomy/taxondetails?taxnode_id=202512876&amp;ictv_id=ICTV202112876","ICTV202112876")</f>
        <v>ICTV202112876</v>
      </c>
      <c r="R3312" t="s">
        <v>579</v>
      </c>
      <c r="S3312" t="s">
        <v>823</v>
      </c>
      <c r="T3312">
        <v>37</v>
      </c>
      <c r="U3312" s="26" t="str">
        <f>HYPERLINK("https://ictv.global/ictv/proposals/2021.063B.R.Peduoviridae.zip","2021.063B.R.Peduoviridae.zip")</f>
        <v>2021.063B.R.Peduoviridae.zip</v>
      </c>
    </row>
    <row r="3313" spans="1:21">
      <c r="A3313">
        <v>3312</v>
      </c>
      <c r="B3313" s="27" t="s">
        <v>1449</v>
      </c>
      <c r="D3313" s="27" t="s">
        <v>1450</v>
      </c>
      <c r="F3313" s="27" t="s">
        <v>1453</v>
      </c>
      <c r="H3313" s="27" t="s">
        <v>1454</v>
      </c>
      <c r="L3313" s="27" t="s">
        <v>5093</v>
      </c>
      <c r="N3313" s="27" t="s">
        <v>1205</v>
      </c>
      <c r="P3313" s="27" t="s">
        <v>5194</v>
      </c>
      <c r="Q3313" s="26" t="str">
        <f>HYPERLINK("https://ictv.global/taxonomy/taxondetails?taxnode_id=202512875&amp;ictv_id=ICTV202112875","ICTV202112875")</f>
        <v>ICTV202112875</v>
      </c>
      <c r="R3313" t="s">
        <v>579</v>
      </c>
      <c r="S3313" t="s">
        <v>823</v>
      </c>
      <c r="T3313">
        <v>37</v>
      </c>
      <c r="U3313" s="26" t="str">
        <f>HYPERLINK("https://ictv.global/ictv/proposals/2021.063B.R.Peduoviridae.zip","2021.063B.R.Peduoviridae.zip")</f>
        <v>2021.063B.R.Peduoviridae.zip</v>
      </c>
    </row>
    <row r="3314" spans="1:21">
      <c r="A3314">
        <v>3313</v>
      </c>
      <c r="B3314" s="27" t="s">
        <v>1449</v>
      </c>
      <c r="D3314" s="27" t="s">
        <v>1450</v>
      </c>
      <c r="F3314" s="27" t="s">
        <v>1453</v>
      </c>
      <c r="H3314" s="27" t="s">
        <v>1454</v>
      </c>
      <c r="L3314" s="27" t="s">
        <v>5093</v>
      </c>
      <c r="N3314" s="27" t="s">
        <v>1651</v>
      </c>
      <c r="P3314" s="27" t="s">
        <v>5195</v>
      </c>
      <c r="Q3314" s="26" t="str">
        <f>HYPERLINK("https://ictv.global/taxonomy/taxondetails?taxnode_id=202507948&amp;ictv_id=ICTV201907948","ICTV201907948")</f>
        <v>ICTV201907948</v>
      </c>
      <c r="R3314" t="s">
        <v>579</v>
      </c>
      <c r="S3314" t="s">
        <v>824</v>
      </c>
      <c r="T3314">
        <v>37</v>
      </c>
      <c r="U3314" s="26" t="str">
        <f>HYPERLINK("https://ictv.global/ictv/proposals/2021.010B.R.Binomial_names.zip","2021.010B.R.Binomial_names.zip")</f>
        <v>2021.010B.R.Binomial_names.zip</v>
      </c>
    </row>
    <row r="3315" spans="1:21">
      <c r="A3315">
        <v>3314</v>
      </c>
      <c r="B3315" s="27" t="s">
        <v>1449</v>
      </c>
      <c r="D3315" s="27" t="s">
        <v>1450</v>
      </c>
      <c r="F3315" s="27" t="s">
        <v>1453</v>
      </c>
      <c r="H3315" s="27" t="s">
        <v>1454</v>
      </c>
      <c r="L3315" s="27" t="s">
        <v>5093</v>
      </c>
      <c r="N3315" s="27" t="s">
        <v>5196</v>
      </c>
      <c r="P3315" s="27" t="s">
        <v>5197</v>
      </c>
      <c r="Q3315" s="26" t="str">
        <f>HYPERLINK("https://ictv.global/taxonomy/taxondetails?taxnode_id=202514743&amp;ictv_id=ICTV202214743","ICTV202214743")</f>
        <v>ICTV202214743</v>
      </c>
      <c r="R3315" t="s">
        <v>579</v>
      </c>
      <c r="S3315" t="s">
        <v>823</v>
      </c>
      <c r="T3315">
        <v>38</v>
      </c>
      <c r="U3315" s="26" t="str">
        <f>HYPERLINK("https://ictv.global/ictv/proposals/2022.062B.Peduoviridae_6ng_19nsp.zip","2022.062B.Peduoviridae_6ng_19nsp.zip")</f>
        <v>2022.062B.Peduoviridae_6ng_19nsp.zip</v>
      </c>
    </row>
    <row r="3316" spans="1:21">
      <c r="A3316">
        <v>3315</v>
      </c>
      <c r="B3316" s="27" t="s">
        <v>1449</v>
      </c>
      <c r="D3316" s="27" t="s">
        <v>1450</v>
      </c>
      <c r="F3316" s="27" t="s">
        <v>1453</v>
      </c>
      <c r="H3316" s="27" t="s">
        <v>1454</v>
      </c>
      <c r="L3316" s="27" t="s">
        <v>5093</v>
      </c>
      <c r="N3316" s="27" t="s">
        <v>1652</v>
      </c>
      <c r="P3316" s="27" t="s">
        <v>5198</v>
      </c>
      <c r="Q3316" s="26" t="str">
        <f>HYPERLINK("https://ictv.global/taxonomy/taxondetails?taxnode_id=202507941&amp;ictv_id=ICTV201907941","ICTV201907941")</f>
        <v>ICTV201907941</v>
      </c>
      <c r="R3316" t="s">
        <v>579</v>
      </c>
      <c r="S3316" t="s">
        <v>824</v>
      </c>
      <c r="T3316">
        <v>37</v>
      </c>
      <c r="U3316" s="26" t="str">
        <f>HYPERLINK("https://ictv.global/ictv/proposals/2021.010B.R.Binomial_names.zip","2021.010B.R.Binomial_names.zip")</f>
        <v>2021.010B.R.Binomial_names.zip</v>
      </c>
    </row>
    <row r="3317" spans="1:21">
      <c r="A3317">
        <v>3316</v>
      </c>
      <c r="B3317" s="27" t="s">
        <v>1449</v>
      </c>
      <c r="D3317" s="27" t="s">
        <v>1450</v>
      </c>
      <c r="F3317" s="27" t="s">
        <v>1453</v>
      </c>
      <c r="H3317" s="27" t="s">
        <v>1454</v>
      </c>
      <c r="L3317" s="27" t="s">
        <v>5093</v>
      </c>
      <c r="N3317" s="27" t="s">
        <v>5199</v>
      </c>
      <c r="P3317" s="27" t="s">
        <v>5200</v>
      </c>
      <c r="Q3317" s="26" t="str">
        <f>HYPERLINK("https://ictv.global/taxonomy/taxondetails?taxnode_id=202512856&amp;ictv_id=ICTV202112856","ICTV202112856")</f>
        <v>ICTV202112856</v>
      </c>
      <c r="R3317" t="s">
        <v>579</v>
      </c>
      <c r="S3317" t="s">
        <v>823</v>
      </c>
      <c r="T3317">
        <v>37</v>
      </c>
      <c r="U3317" s="26" t="str">
        <f t="shared" ref="U3317:U3322" si="124">HYPERLINK("https://ictv.global/ictv/proposals/2021.063B.R.Peduoviridae.zip","2021.063B.R.Peduoviridae.zip")</f>
        <v>2021.063B.R.Peduoviridae.zip</v>
      </c>
    </row>
    <row r="3318" spans="1:21">
      <c r="A3318">
        <v>3317</v>
      </c>
      <c r="B3318" s="27" t="s">
        <v>1449</v>
      </c>
      <c r="D3318" s="27" t="s">
        <v>1450</v>
      </c>
      <c r="F3318" s="27" t="s">
        <v>1453</v>
      </c>
      <c r="H3318" s="27" t="s">
        <v>1454</v>
      </c>
      <c r="L3318" s="27" t="s">
        <v>5093</v>
      </c>
      <c r="N3318" s="27" t="s">
        <v>5199</v>
      </c>
      <c r="P3318" s="27" t="s">
        <v>5201</v>
      </c>
      <c r="Q3318" s="26" t="str">
        <f>HYPERLINK("https://ictv.global/taxonomy/taxondetails?taxnode_id=202512855&amp;ictv_id=ICTV202112855","ICTV202112855")</f>
        <v>ICTV202112855</v>
      </c>
      <c r="R3318" t="s">
        <v>579</v>
      </c>
      <c r="S3318" t="s">
        <v>823</v>
      </c>
      <c r="T3318">
        <v>37</v>
      </c>
      <c r="U3318" s="26" t="str">
        <f t="shared" si="124"/>
        <v>2021.063B.R.Peduoviridae.zip</v>
      </c>
    </row>
    <row r="3319" spans="1:21">
      <c r="A3319">
        <v>3318</v>
      </c>
      <c r="B3319" s="27" t="s">
        <v>1449</v>
      </c>
      <c r="D3319" s="27" t="s">
        <v>1450</v>
      </c>
      <c r="F3319" s="27" t="s">
        <v>1453</v>
      </c>
      <c r="H3319" s="27" t="s">
        <v>1454</v>
      </c>
      <c r="L3319" s="27" t="s">
        <v>5093</v>
      </c>
      <c r="N3319" s="27" t="s">
        <v>5199</v>
      </c>
      <c r="P3319" s="27" t="s">
        <v>5202</v>
      </c>
      <c r="Q3319" s="26" t="str">
        <f>HYPERLINK("https://ictv.global/taxonomy/taxondetails?taxnode_id=202512854&amp;ictv_id=ICTV202112854","ICTV202112854")</f>
        <v>ICTV202112854</v>
      </c>
      <c r="R3319" t="s">
        <v>579</v>
      </c>
      <c r="S3319" t="s">
        <v>823</v>
      </c>
      <c r="T3319">
        <v>37</v>
      </c>
      <c r="U3319" s="26" t="str">
        <f t="shared" si="124"/>
        <v>2021.063B.R.Peduoviridae.zip</v>
      </c>
    </row>
    <row r="3320" spans="1:21">
      <c r="A3320">
        <v>3319</v>
      </c>
      <c r="B3320" s="27" t="s">
        <v>1449</v>
      </c>
      <c r="D3320" s="27" t="s">
        <v>1450</v>
      </c>
      <c r="F3320" s="27" t="s">
        <v>1453</v>
      </c>
      <c r="H3320" s="27" t="s">
        <v>1454</v>
      </c>
      <c r="L3320" s="27" t="s">
        <v>5093</v>
      </c>
      <c r="N3320" s="27" t="s">
        <v>5203</v>
      </c>
      <c r="P3320" s="27" t="s">
        <v>5204</v>
      </c>
      <c r="Q3320" s="26" t="str">
        <f>HYPERLINK("https://ictv.global/taxonomy/taxondetails?taxnode_id=202511588&amp;ictv_id=ICTV202011588","ICTV202011588")</f>
        <v>ICTV202011588</v>
      </c>
      <c r="R3320" t="s">
        <v>579</v>
      </c>
      <c r="S3320" t="s">
        <v>22764</v>
      </c>
      <c r="T3320">
        <v>37</v>
      </c>
      <c r="U3320" s="26" t="str">
        <f t="shared" si="124"/>
        <v>2021.063B.R.Peduoviridae.zip</v>
      </c>
    </row>
    <row r="3321" spans="1:21">
      <c r="A3321">
        <v>3320</v>
      </c>
      <c r="B3321" s="27" t="s">
        <v>1449</v>
      </c>
      <c r="D3321" s="27" t="s">
        <v>1450</v>
      </c>
      <c r="F3321" s="27" t="s">
        <v>1453</v>
      </c>
      <c r="H3321" s="27" t="s">
        <v>1454</v>
      </c>
      <c r="L3321" s="27" t="s">
        <v>5093</v>
      </c>
      <c r="N3321" s="27" t="s">
        <v>5203</v>
      </c>
      <c r="P3321" s="27" t="s">
        <v>5205</v>
      </c>
      <c r="Q3321" s="26" t="str">
        <f>HYPERLINK("https://ictv.global/taxonomy/taxondetails?taxnode_id=202511590&amp;ictv_id=ICTV202011590","ICTV202011590")</f>
        <v>ICTV202011590</v>
      </c>
      <c r="R3321" t="s">
        <v>579</v>
      </c>
      <c r="S3321" t="s">
        <v>22764</v>
      </c>
      <c r="T3321">
        <v>37</v>
      </c>
      <c r="U3321" s="26" t="str">
        <f t="shared" si="124"/>
        <v>2021.063B.R.Peduoviridae.zip</v>
      </c>
    </row>
    <row r="3322" spans="1:21">
      <c r="A3322">
        <v>3321</v>
      </c>
      <c r="B3322" s="27" t="s">
        <v>1449</v>
      </c>
      <c r="D3322" s="27" t="s">
        <v>1450</v>
      </c>
      <c r="F3322" s="27" t="s">
        <v>1453</v>
      </c>
      <c r="H3322" s="27" t="s">
        <v>1454</v>
      </c>
      <c r="L3322" s="27" t="s">
        <v>5093</v>
      </c>
      <c r="N3322" s="27" t="s">
        <v>5203</v>
      </c>
      <c r="P3322" s="27" t="s">
        <v>5206</v>
      </c>
      <c r="Q3322" s="26" t="str">
        <f>HYPERLINK("https://ictv.global/taxonomy/taxondetails?taxnode_id=202511589&amp;ictv_id=ICTV202011589","ICTV202011589")</f>
        <v>ICTV202011589</v>
      </c>
      <c r="R3322" t="s">
        <v>579</v>
      </c>
      <c r="S3322" t="s">
        <v>22764</v>
      </c>
      <c r="T3322">
        <v>37</v>
      </c>
      <c r="U3322" s="26" t="str">
        <f t="shared" si="124"/>
        <v>2021.063B.R.Peduoviridae.zip</v>
      </c>
    </row>
    <row r="3323" spans="1:21">
      <c r="A3323">
        <v>3322</v>
      </c>
      <c r="B3323" s="27" t="s">
        <v>1449</v>
      </c>
      <c r="D3323" s="27" t="s">
        <v>1450</v>
      </c>
      <c r="F3323" s="27" t="s">
        <v>1453</v>
      </c>
      <c r="H3323" s="27" t="s">
        <v>1454</v>
      </c>
      <c r="L3323" s="27" t="s">
        <v>5093</v>
      </c>
      <c r="N3323" s="27" t="s">
        <v>1653</v>
      </c>
      <c r="P3323" s="27" t="s">
        <v>5207</v>
      </c>
      <c r="Q3323" s="26" t="str">
        <f>HYPERLINK("https://ictv.global/taxonomy/taxondetails?taxnode_id=202507954&amp;ictv_id=ICTV201907954","ICTV201907954")</f>
        <v>ICTV201907954</v>
      </c>
      <c r="R3323" t="s">
        <v>579</v>
      </c>
      <c r="S3323" t="s">
        <v>824</v>
      </c>
      <c r="T3323">
        <v>37</v>
      </c>
      <c r="U3323" s="26" t="str">
        <f>HYPERLINK("https://ictv.global/ictv/proposals/2021.010B.R.Binomial_names.zip","2021.010B.R.Binomial_names.zip")</f>
        <v>2021.010B.R.Binomial_names.zip</v>
      </c>
    </row>
    <row r="3324" spans="1:21">
      <c r="A3324">
        <v>3323</v>
      </c>
      <c r="B3324" s="27" t="s">
        <v>1449</v>
      </c>
      <c r="D3324" s="27" t="s">
        <v>1450</v>
      </c>
      <c r="F3324" s="27" t="s">
        <v>1453</v>
      </c>
      <c r="H3324" s="27" t="s">
        <v>1454</v>
      </c>
      <c r="L3324" s="27" t="s">
        <v>5093</v>
      </c>
      <c r="N3324" s="27" t="s">
        <v>2079</v>
      </c>
      <c r="P3324" s="27" t="s">
        <v>5208</v>
      </c>
      <c r="Q3324" s="26" t="str">
        <f>HYPERLINK("https://ictv.global/taxonomy/taxondetails?taxnode_id=202511596&amp;ictv_id=ICTV202011596","ICTV202011596")</f>
        <v>ICTV202011596</v>
      </c>
      <c r="R3324" t="s">
        <v>579</v>
      </c>
      <c r="S3324" t="s">
        <v>824</v>
      </c>
      <c r="T3324">
        <v>37</v>
      </c>
      <c r="U3324" s="26" t="str">
        <f>HYPERLINK("https://ictv.global/ictv/proposals/2021.010B.R.Binomial_names.zip","2021.010B.R.Binomial_names.zip")</f>
        <v>2021.010B.R.Binomial_names.zip</v>
      </c>
    </row>
    <row r="3325" spans="1:21">
      <c r="A3325">
        <v>3324</v>
      </c>
      <c r="B3325" s="27" t="s">
        <v>1449</v>
      </c>
      <c r="D3325" s="27" t="s">
        <v>1450</v>
      </c>
      <c r="F3325" s="27" t="s">
        <v>1453</v>
      </c>
      <c r="H3325" s="27" t="s">
        <v>1454</v>
      </c>
      <c r="L3325" s="27" t="s">
        <v>5093</v>
      </c>
      <c r="N3325" s="27" t="s">
        <v>5209</v>
      </c>
      <c r="P3325" s="27" t="s">
        <v>5210</v>
      </c>
      <c r="Q3325" s="26" t="str">
        <f>HYPERLINK("https://ictv.global/taxonomy/taxondetails?taxnode_id=202512858&amp;ictv_id=ICTV202112858","ICTV202112858")</f>
        <v>ICTV202112858</v>
      </c>
      <c r="R3325" t="s">
        <v>579</v>
      </c>
      <c r="S3325" t="s">
        <v>823</v>
      </c>
      <c r="T3325">
        <v>37</v>
      </c>
      <c r="U3325" s="26" t="str">
        <f>HYPERLINK("https://ictv.global/ictv/proposals/2021.063B.R.Peduoviridae.zip","2021.063B.R.Peduoviridae.zip")</f>
        <v>2021.063B.R.Peduoviridae.zip</v>
      </c>
    </row>
    <row r="3326" spans="1:21">
      <c r="A3326">
        <v>3325</v>
      </c>
      <c r="B3326" s="27" t="s">
        <v>1449</v>
      </c>
      <c r="D3326" s="27" t="s">
        <v>1450</v>
      </c>
      <c r="F3326" s="27" t="s">
        <v>1453</v>
      </c>
      <c r="H3326" s="27" t="s">
        <v>1454</v>
      </c>
      <c r="L3326" s="27" t="s">
        <v>5093</v>
      </c>
      <c r="N3326" s="27" t="s">
        <v>1654</v>
      </c>
      <c r="P3326" s="27" t="s">
        <v>5211</v>
      </c>
      <c r="Q3326" s="26" t="str">
        <f>HYPERLINK("https://ictv.global/taxonomy/taxondetails?taxnode_id=202507960&amp;ictv_id=ICTV201907960","ICTV201907960")</f>
        <v>ICTV201907960</v>
      </c>
      <c r="R3326" t="s">
        <v>579</v>
      </c>
      <c r="S3326" t="s">
        <v>824</v>
      </c>
      <c r="T3326">
        <v>37</v>
      </c>
      <c r="U3326" s="26" t="str">
        <f>HYPERLINK("https://ictv.global/ictv/proposals/2021.010B.R.Binomial_names.zip","2021.010B.R.Binomial_names.zip")</f>
        <v>2021.010B.R.Binomial_names.zip</v>
      </c>
    </row>
    <row r="3327" spans="1:21">
      <c r="A3327">
        <v>3326</v>
      </c>
      <c r="B3327" s="27" t="s">
        <v>1449</v>
      </c>
      <c r="D3327" s="27" t="s">
        <v>1450</v>
      </c>
      <c r="F3327" s="27" t="s">
        <v>1453</v>
      </c>
      <c r="H3327" s="27" t="s">
        <v>1454</v>
      </c>
      <c r="L3327" s="27" t="s">
        <v>5093</v>
      </c>
      <c r="N3327" s="27" t="s">
        <v>1655</v>
      </c>
      <c r="P3327" s="27" t="s">
        <v>5212</v>
      </c>
      <c r="Q3327" s="26" t="str">
        <f>HYPERLINK("https://ictv.global/taxonomy/taxondetails?taxnode_id=202507944&amp;ictv_id=ICTV201907944","ICTV201907944")</f>
        <v>ICTV201907944</v>
      </c>
      <c r="R3327" t="s">
        <v>579</v>
      </c>
      <c r="S3327" t="s">
        <v>824</v>
      </c>
      <c r="T3327">
        <v>37</v>
      </c>
      <c r="U3327" s="26" t="str">
        <f>HYPERLINK("https://ictv.global/ictv/proposals/2021.010B.R.Binomial_names.zip","2021.010B.R.Binomial_names.zip")</f>
        <v>2021.010B.R.Binomial_names.zip</v>
      </c>
    </row>
    <row r="3328" spans="1:21">
      <c r="A3328">
        <v>3327</v>
      </c>
      <c r="B3328" s="27" t="s">
        <v>1449</v>
      </c>
      <c r="D3328" s="27" t="s">
        <v>1450</v>
      </c>
      <c r="F3328" s="27" t="s">
        <v>1453</v>
      </c>
      <c r="H3328" s="27" t="s">
        <v>1454</v>
      </c>
      <c r="L3328" s="27" t="s">
        <v>5093</v>
      </c>
      <c r="N3328" s="27" t="s">
        <v>1656</v>
      </c>
      <c r="P3328" s="27" t="s">
        <v>5213</v>
      </c>
      <c r="Q3328" s="26" t="str">
        <f>HYPERLINK("https://ictv.global/taxonomy/taxondetails?taxnode_id=202507966&amp;ictv_id=ICTV201907966","ICTV201907966")</f>
        <v>ICTV201907966</v>
      </c>
      <c r="R3328" t="s">
        <v>579</v>
      </c>
      <c r="S3328" t="s">
        <v>824</v>
      </c>
      <c r="T3328">
        <v>37</v>
      </c>
      <c r="U3328" s="26" t="str">
        <f>HYPERLINK("https://ictv.global/ictv/proposals/2021.010B.R.Binomial_names.zip","2021.010B.R.Binomial_names.zip")</f>
        <v>2021.010B.R.Binomial_names.zip</v>
      </c>
    </row>
    <row r="3329" spans="1:21">
      <c r="A3329">
        <v>3328</v>
      </c>
      <c r="B3329" s="27" t="s">
        <v>1449</v>
      </c>
      <c r="D3329" s="27" t="s">
        <v>1450</v>
      </c>
      <c r="F3329" s="27" t="s">
        <v>1453</v>
      </c>
      <c r="H3329" s="27" t="s">
        <v>1454</v>
      </c>
      <c r="L3329" s="27" t="s">
        <v>5093</v>
      </c>
      <c r="N3329" s="27" t="s">
        <v>1657</v>
      </c>
      <c r="P3329" s="27" t="s">
        <v>5214</v>
      </c>
      <c r="Q3329" s="26" t="str">
        <f>HYPERLINK("https://ictv.global/taxonomy/taxondetails?taxnode_id=202514736&amp;ictv_id=ICTV202214736","ICTV202214736")</f>
        <v>ICTV202214736</v>
      </c>
      <c r="R3329" t="s">
        <v>579</v>
      </c>
      <c r="S3329" t="s">
        <v>823</v>
      </c>
      <c r="T3329">
        <v>38</v>
      </c>
      <c r="U3329" s="26" t="str">
        <f>HYPERLINK("https://ictv.global/ictv/proposals/2022.062B.Peduoviridae_6ng_19nsp.zip","2022.062B.Peduoviridae_6ng_19nsp.zip")</f>
        <v>2022.062B.Peduoviridae_6ng_19nsp.zip</v>
      </c>
    </row>
    <row r="3330" spans="1:21">
      <c r="A3330">
        <v>3329</v>
      </c>
      <c r="B3330" s="27" t="s">
        <v>1449</v>
      </c>
      <c r="D3330" s="27" t="s">
        <v>1450</v>
      </c>
      <c r="F3330" s="27" t="s">
        <v>1453</v>
      </c>
      <c r="H3330" s="27" t="s">
        <v>1454</v>
      </c>
      <c r="L3330" s="27" t="s">
        <v>5093</v>
      </c>
      <c r="N3330" s="27" t="s">
        <v>1657</v>
      </c>
      <c r="P3330" s="27" t="s">
        <v>5215</v>
      </c>
      <c r="Q3330" s="26" t="str">
        <f>HYPERLINK("https://ictv.global/taxonomy/taxondetails?taxnode_id=202500236&amp;ictv_id=ICTV20115506","ICTV20115506")</f>
        <v>ICTV20115506</v>
      </c>
      <c r="R3330" t="s">
        <v>579</v>
      </c>
      <c r="S3330" t="s">
        <v>824</v>
      </c>
      <c r="T3330">
        <v>37</v>
      </c>
      <c r="U3330" s="26" t="str">
        <f>HYPERLINK("https://ictv.global/ictv/proposals/2021.010B.R.Binomial_names.zip","2021.010B.R.Binomial_names.zip")</f>
        <v>2021.010B.R.Binomial_names.zip</v>
      </c>
    </row>
    <row r="3331" spans="1:21">
      <c r="A3331">
        <v>3330</v>
      </c>
      <c r="B3331" s="27" t="s">
        <v>1449</v>
      </c>
      <c r="D3331" s="27" t="s">
        <v>1450</v>
      </c>
      <c r="F3331" s="27" t="s">
        <v>1453</v>
      </c>
      <c r="H3331" s="27" t="s">
        <v>1454</v>
      </c>
      <c r="L3331" s="27" t="s">
        <v>5093</v>
      </c>
      <c r="N3331" s="27" t="s">
        <v>1657</v>
      </c>
      <c r="P3331" s="27" t="s">
        <v>5216</v>
      </c>
      <c r="Q3331" s="26" t="str">
        <f>HYPERLINK("https://ictv.global/taxonomy/taxondetails?taxnode_id=202500234&amp;ictv_id=ICTV20115509","ICTV20115509")</f>
        <v>ICTV20115509</v>
      </c>
      <c r="R3331" t="s">
        <v>579</v>
      </c>
      <c r="S3331" t="s">
        <v>824</v>
      </c>
      <c r="T3331">
        <v>37</v>
      </c>
      <c r="U3331" s="26" t="str">
        <f>HYPERLINK("https://ictv.global/ictv/proposals/2021.010B.R.Binomial_names.zip","2021.010B.R.Binomial_names.zip")</f>
        <v>2021.010B.R.Binomial_names.zip</v>
      </c>
    </row>
    <row r="3332" spans="1:21">
      <c r="A3332">
        <v>3331</v>
      </c>
      <c r="B3332" s="27" t="s">
        <v>1449</v>
      </c>
      <c r="D3332" s="27" t="s">
        <v>1450</v>
      </c>
      <c r="F3332" s="27" t="s">
        <v>1453</v>
      </c>
      <c r="H3332" s="27" t="s">
        <v>1454</v>
      </c>
      <c r="L3332" s="27" t="s">
        <v>5093</v>
      </c>
      <c r="N3332" s="27" t="s">
        <v>1657</v>
      </c>
      <c r="P3332" s="27" t="s">
        <v>5217</v>
      </c>
      <c r="Q3332" s="26" t="str">
        <f>HYPERLINK("https://ictv.global/taxonomy/taxondetails?taxnode_id=202512870&amp;ictv_id=ICTV202112870","ICTV202112870")</f>
        <v>ICTV202112870</v>
      </c>
      <c r="R3332" t="s">
        <v>579</v>
      </c>
      <c r="S3332" t="s">
        <v>823</v>
      </c>
      <c r="T3332">
        <v>37</v>
      </c>
      <c r="U3332" s="26" t="str">
        <f>HYPERLINK("https://ictv.global/ictv/proposals/2021.063B.R.Peduoviridae.zip","2021.063B.R.Peduoviridae.zip")</f>
        <v>2021.063B.R.Peduoviridae.zip</v>
      </c>
    </row>
    <row r="3333" spans="1:21">
      <c r="A3333">
        <v>3332</v>
      </c>
      <c r="B3333" s="27" t="s">
        <v>1449</v>
      </c>
      <c r="D3333" s="27" t="s">
        <v>1450</v>
      </c>
      <c r="F3333" s="27" t="s">
        <v>1453</v>
      </c>
      <c r="H3333" s="27" t="s">
        <v>1454</v>
      </c>
      <c r="L3333" s="27" t="s">
        <v>5093</v>
      </c>
      <c r="N3333" s="27" t="s">
        <v>5218</v>
      </c>
      <c r="P3333" s="27" t="s">
        <v>5219</v>
      </c>
      <c r="Q3333" s="26" t="str">
        <f>HYPERLINK("https://ictv.global/taxonomy/taxondetails?taxnode_id=202514741&amp;ictv_id=ICTV202214741","ICTV202214741")</f>
        <v>ICTV202214741</v>
      </c>
      <c r="R3333" t="s">
        <v>579</v>
      </c>
      <c r="S3333" t="s">
        <v>823</v>
      </c>
      <c r="T3333">
        <v>38</v>
      </c>
      <c r="U3333" s="26" t="str">
        <f>HYPERLINK("https://ictv.global/ictv/proposals/2022.062B.Peduoviridae_6ng_19nsp.zip","2022.062B.Peduoviridae_6ng_19nsp.zip")</f>
        <v>2022.062B.Peduoviridae_6ng_19nsp.zip</v>
      </c>
    </row>
    <row r="3334" spans="1:21">
      <c r="A3334">
        <v>3333</v>
      </c>
      <c r="B3334" s="27" t="s">
        <v>1449</v>
      </c>
      <c r="D3334" s="27" t="s">
        <v>1450</v>
      </c>
      <c r="F3334" s="27" t="s">
        <v>1453</v>
      </c>
      <c r="H3334" s="27" t="s">
        <v>1454</v>
      </c>
      <c r="L3334" s="27" t="s">
        <v>5093</v>
      </c>
      <c r="N3334" s="27" t="s">
        <v>5220</v>
      </c>
      <c r="P3334" s="27" t="s">
        <v>5221</v>
      </c>
      <c r="Q3334" s="26" t="str">
        <f>HYPERLINK("https://ictv.global/taxonomy/taxondetails?taxnode_id=202512860&amp;ictv_id=ICTV202112860","ICTV202112860")</f>
        <v>ICTV202112860</v>
      </c>
      <c r="R3334" t="s">
        <v>579</v>
      </c>
      <c r="S3334" t="s">
        <v>823</v>
      </c>
      <c r="T3334">
        <v>37</v>
      </c>
      <c r="U3334" s="26" t="str">
        <f>HYPERLINK("https://ictv.global/ictv/proposals/2021.063B.R.Peduoviridae.zip","2021.063B.R.Peduoviridae.zip")</f>
        <v>2021.063B.R.Peduoviridae.zip</v>
      </c>
    </row>
    <row r="3335" spans="1:21">
      <c r="A3335">
        <v>3334</v>
      </c>
      <c r="B3335" s="27" t="s">
        <v>1449</v>
      </c>
      <c r="D3335" s="27" t="s">
        <v>1450</v>
      </c>
      <c r="F3335" s="27" t="s">
        <v>1453</v>
      </c>
      <c r="H3335" s="27" t="s">
        <v>1454</v>
      </c>
      <c r="L3335" s="27" t="s">
        <v>5093</v>
      </c>
      <c r="N3335" s="27" t="s">
        <v>2080</v>
      </c>
      <c r="P3335" s="27" t="s">
        <v>5222</v>
      </c>
      <c r="Q3335" s="26" t="str">
        <f>HYPERLINK("https://ictv.global/taxonomy/taxondetails?taxnode_id=202511606&amp;ictv_id=ICTV202011606","ICTV202011606")</f>
        <v>ICTV202011606</v>
      </c>
      <c r="R3335" t="s">
        <v>579</v>
      </c>
      <c r="S3335" t="s">
        <v>824</v>
      </c>
      <c r="T3335">
        <v>37</v>
      </c>
      <c r="U3335" s="26" t="str">
        <f>HYPERLINK("https://ictv.global/ictv/proposals/2021.010B.R.Binomial_names.zip","2021.010B.R.Binomial_names.zip")</f>
        <v>2021.010B.R.Binomial_names.zip</v>
      </c>
    </row>
    <row r="3336" spans="1:21">
      <c r="A3336">
        <v>3335</v>
      </c>
      <c r="B3336" s="27" t="s">
        <v>1449</v>
      </c>
      <c r="D3336" s="27" t="s">
        <v>1450</v>
      </c>
      <c r="F3336" s="27" t="s">
        <v>1453</v>
      </c>
      <c r="H3336" s="27" t="s">
        <v>1454</v>
      </c>
      <c r="L3336" s="27" t="s">
        <v>5093</v>
      </c>
      <c r="N3336" s="27" t="s">
        <v>1658</v>
      </c>
      <c r="P3336" s="27" t="s">
        <v>5223</v>
      </c>
      <c r="Q3336" s="26" t="str">
        <f>HYPERLINK("https://ictv.global/taxonomy/taxondetails?taxnode_id=202507939&amp;ictv_id=ICTV201907939","ICTV201907939")</f>
        <v>ICTV201907939</v>
      </c>
      <c r="R3336" t="s">
        <v>579</v>
      </c>
      <c r="S3336" t="s">
        <v>824</v>
      </c>
      <c r="T3336">
        <v>37</v>
      </c>
      <c r="U3336" s="26" t="str">
        <f>HYPERLINK("https://ictv.global/ictv/proposals/2021.010B.R.Binomial_names.zip","2021.010B.R.Binomial_names.zip")</f>
        <v>2021.010B.R.Binomial_names.zip</v>
      </c>
    </row>
    <row r="3337" spans="1:21">
      <c r="A3337">
        <v>3336</v>
      </c>
      <c r="B3337" s="27" t="s">
        <v>1449</v>
      </c>
      <c r="D3337" s="27" t="s">
        <v>1450</v>
      </c>
      <c r="F3337" s="27" t="s">
        <v>1453</v>
      </c>
      <c r="H3337" s="27" t="s">
        <v>1454</v>
      </c>
      <c r="L3337" s="27" t="s">
        <v>5093</v>
      </c>
      <c r="N3337" s="27" t="s">
        <v>5224</v>
      </c>
      <c r="P3337" s="27" t="s">
        <v>5225</v>
      </c>
      <c r="Q3337" s="26" t="str">
        <f>HYPERLINK("https://ictv.global/taxonomy/taxondetails?taxnode_id=202511600&amp;ictv_id=ICTV202011600","ICTV202011600")</f>
        <v>ICTV202011600</v>
      </c>
      <c r="R3337" t="s">
        <v>579</v>
      </c>
      <c r="S3337" t="s">
        <v>22764</v>
      </c>
      <c r="T3337">
        <v>37</v>
      </c>
      <c r="U3337" s="26" t="str">
        <f>HYPERLINK("https://ictv.global/ictv/proposals/2021.063B.R.Peduoviridae.zip","2021.063B.R.Peduoviridae.zip")</f>
        <v>2021.063B.R.Peduoviridae.zip</v>
      </c>
    </row>
    <row r="3338" spans="1:21">
      <c r="A3338">
        <v>3337</v>
      </c>
      <c r="B3338" s="27" t="s">
        <v>1449</v>
      </c>
      <c r="D3338" s="27" t="s">
        <v>1450</v>
      </c>
      <c r="F3338" s="27" t="s">
        <v>1453</v>
      </c>
      <c r="H3338" s="27" t="s">
        <v>1454</v>
      </c>
      <c r="L3338" s="27" t="s">
        <v>5093</v>
      </c>
      <c r="N3338" s="27" t="s">
        <v>1659</v>
      </c>
      <c r="P3338" s="27" t="s">
        <v>5226</v>
      </c>
      <c r="Q3338" s="26" t="str">
        <f>HYPERLINK("https://ictv.global/taxonomy/taxondetails?taxnode_id=202507952&amp;ictv_id=ICTV201907952","ICTV201907952")</f>
        <v>ICTV201907952</v>
      </c>
      <c r="R3338" t="s">
        <v>579</v>
      </c>
      <c r="S3338" t="s">
        <v>824</v>
      </c>
      <c r="T3338">
        <v>37</v>
      </c>
      <c r="U3338" s="26" t="str">
        <f>HYPERLINK("https://ictv.global/ictv/proposals/2021.010B.R.Binomial_names.zip","2021.010B.R.Binomial_names.zip")</f>
        <v>2021.010B.R.Binomial_names.zip</v>
      </c>
    </row>
    <row r="3339" spans="1:21">
      <c r="A3339">
        <v>3338</v>
      </c>
      <c r="B3339" s="27" t="s">
        <v>1449</v>
      </c>
      <c r="D3339" s="27" t="s">
        <v>1450</v>
      </c>
      <c r="F3339" s="27" t="s">
        <v>1453</v>
      </c>
      <c r="H3339" s="27" t="s">
        <v>1454</v>
      </c>
      <c r="L3339" s="27" t="s">
        <v>5093</v>
      </c>
      <c r="N3339" s="27" t="s">
        <v>1659</v>
      </c>
      <c r="P3339" s="27" t="s">
        <v>5227</v>
      </c>
      <c r="Q3339" s="26" t="str">
        <f>HYPERLINK("https://ictv.global/taxonomy/taxondetails?taxnode_id=202511594&amp;ictv_id=ICTV202011594","ICTV202011594")</f>
        <v>ICTV202011594</v>
      </c>
      <c r="R3339" t="s">
        <v>579</v>
      </c>
      <c r="S3339" t="s">
        <v>824</v>
      </c>
      <c r="T3339">
        <v>37</v>
      </c>
      <c r="U3339" s="26" t="str">
        <f>HYPERLINK("https://ictv.global/ictv/proposals/2021.010B.R.Binomial_names.zip","2021.010B.R.Binomial_names.zip")</f>
        <v>2021.010B.R.Binomial_names.zip</v>
      </c>
    </row>
    <row r="3340" spans="1:21">
      <c r="A3340">
        <v>3339</v>
      </c>
      <c r="B3340" s="27" t="s">
        <v>1449</v>
      </c>
      <c r="D3340" s="27" t="s">
        <v>1450</v>
      </c>
      <c r="F3340" s="27" t="s">
        <v>1453</v>
      </c>
      <c r="H3340" s="27" t="s">
        <v>1454</v>
      </c>
      <c r="L3340" s="27" t="s">
        <v>5093</v>
      </c>
      <c r="N3340" s="27" t="s">
        <v>1659</v>
      </c>
      <c r="P3340" s="27" t="s">
        <v>5228</v>
      </c>
      <c r="Q3340" s="26" t="str">
        <f>HYPERLINK("https://ictv.global/taxonomy/taxondetails?taxnode_id=202511592&amp;ictv_id=ICTV202011592","ICTV202011592")</f>
        <v>ICTV202011592</v>
      </c>
      <c r="R3340" t="s">
        <v>579</v>
      </c>
      <c r="S3340" t="s">
        <v>824</v>
      </c>
      <c r="T3340">
        <v>37</v>
      </c>
      <c r="U3340" s="26" t="str">
        <f>HYPERLINK("https://ictv.global/ictv/proposals/2021.010B.R.Binomial_names.zip","2021.010B.R.Binomial_names.zip")</f>
        <v>2021.010B.R.Binomial_names.zip</v>
      </c>
    </row>
    <row r="3341" spans="1:21">
      <c r="A3341">
        <v>3340</v>
      </c>
      <c r="B3341" s="27" t="s">
        <v>1449</v>
      </c>
      <c r="D3341" s="27" t="s">
        <v>1450</v>
      </c>
      <c r="F3341" s="27" t="s">
        <v>1453</v>
      </c>
      <c r="H3341" s="27" t="s">
        <v>1454</v>
      </c>
      <c r="L3341" s="27" t="s">
        <v>5093</v>
      </c>
      <c r="N3341" s="27" t="s">
        <v>1659</v>
      </c>
      <c r="P3341" s="27" t="s">
        <v>5229</v>
      </c>
      <c r="Q3341" s="26" t="str">
        <f>HYPERLINK("https://ictv.global/taxonomy/taxondetails?taxnode_id=202511593&amp;ictv_id=ICTV202011593","ICTV202011593")</f>
        <v>ICTV202011593</v>
      </c>
      <c r="R3341" t="s">
        <v>579</v>
      </c>
      <c r="S3341" t="s">
        <v>824</v>
      </c>
      <c r="T3341">
        <v>37</v>
      </c>
      <c r="U3341" s="26" t="str">
        <f>HYPERLINK("https://ictv.global/ictv/proposals/2021.010B.R.Binomial_names.zip","2021.010B.R.Binomial_names.zip")</f>
        <v>2021.010B.R.Binomial_names.zip</v>
      </c>
    </row>
    <row r="3342" spans="1:21">
      <c r="A3342">
        <v>3341</v>
      </c>
      <c r="B3342" s="27" t="s">
        <v>1449</v>
      </c>
      <c r="D3342" s="27" t="s">
        <v>1450</v>
      </c>
      <c r="F3342" s="27" t="s">
        <v>1453</v>
      </c>
      <c r="H3342" s="27" t="s">
        <v>1454</v>
      </c>
      <c r="L3342" s="27" t="s">
        <v>5093</v>
      </c>
      <c r="N3342" s="27" t="s">
        <v>2081</v>
      </c>
      <c r="P3342" s="27" t="s">
        <v>5230</v>
      </c>
      <c r="Q3342" s="26" t="str">
        <f>HYPERLINK("https://ictv.global/taxonomy/taxondetails?taxnode_id=202511584&amp;ictv_id=ICTV202011584","ICTV202011584")</f>
        <v>ICTV202011584</v>
      </c>
      <c r="R3342" t="s">
        <v>579</v>
      </c>
      <c r="S3342" t="s">
        <v>824</v>
      </c>
      <c r="T3342">
        <v>37</v>
      </c>
      <c r="U3342" s="26" t="str">
        <f>HYPERLINK("https://ictv.global/ictv/proposals/2021.010B.R.Binomial_names.zip","2021.010B.R.Binomial_names.zip")</f>
        <v>2021.010B.R.Binomial_names.zip</v>
      </c>
    </row>
    <row r="3343" spans="1:21">
      <c r="A3343">
        <v>3342</v>
      </c>
      <c r="B3343" s="27" t="s">
        <v>1449</v>
      </c>
      <c r="D3343" s="27" t="s">
        <v>1450</v>
      </c>
      <c r="F3343" s="27" t="s">
        <v>1453</v>
      </c>
      <c r="H3343" s="27" t="s">
        <v>1454</v>
      </c>
      <c r="L3343" s="27" t="s">
        <v>5093</v>
      </c>
      <c r="N3343" s="27" t="s">
        <v>5231</v>
      </c>
      <c r="P3343" s="27" t="s">
        <v>5232</v>
      </c>
      <c r="Q3343" s="26" t="str">
        <f>HYPERLINK("https://ictv.global/taxonomy/taxondetails?taxnode_id=202512862&amp;ictv_id=ICTV202112862","ICTV202112862")</f>
        <v>ICTV202112862</v>
      </c>
      <c r="R3343" t="s">
        <v>579</v>
      </c>
      <c r="S3343" t="s">
        <v>823</v>
      </c>
      <c r="T3343">
        <v>37</v>
      </c>
      <c r="U3343" s="26" t="str">
        <f>HYPERLINK("https://ictv.global/ictv/proposals/2021.063B.R.Peduoviridae.zip","2021.063B.R.Peduoviridae.zip")</f>
        <v>2021.063B.R.Peduoviridae.zip</v>
      </c>
    </row>
    <row r="3344" spans="1:21">
      <c r="A3344">
        <v>3343</v>
      </c>
      <c r="B3344" s="27" t="s">
        <v>1449</v>
      </c>
      <c r="D3344" s="27" t="s">
        <v>1450</v>
      </c>
      <c r="F3344" s="27" t="s">
        <v>1453</v>
      </c>
      <c r="H3344" s="27" t="s">
        <v>1454</v>
      </c>
      <c r="L3344" s="27" t="s">
        <v>5233</v>
      </c>
      <c r="N3344" s="27" t="s">
        <v>5234</v>
      </c>
      <c r="P3344" s="27" t="s">
        <v>5235</v>
      </c>
      <c r="Q3344" s="26" t="str">
        <f>HYPERLINK("https://ictv.global/taxonomy/taxondetails?taxnode_id=202513547&amp;ictv_id=ICTV202113547","ICTV202113547")</f>
        <v>ICTV202113547</v>
      </c>
      <c r="R3344" t="s">
        <v>579</v>
      </c>
      <c r="S3344" t="s">
        <v>823</v>
      </c>
      <c r="T3344">
        <v>37</v>
      </c>
      <c r="U3344" s="26" t="str">
        <f>HYPERLINK("https://ictv.global/ictv/proposals/2021.029B.R.Flavophages_9_families.zip","2021.029B.R.Flavophages_9_families.zip")</f>
        <v>2021.029B.R.Flavophages_9_families.zip</v>
      </c>
    </row>
    <row r="3345" spans="1:21">
      <c r="A3345">
        <v>3344</v>
      </c>
      <c r="B3345" s="27" t="s">
        <v>1449</v>
      </c>
      <c r="D3345" s="27" t="s">
        <v>1450</v>
      </c>
      <c r="F3345" s="27" t="s">
        <v>1453</v>
      </c>
      <c r="H3345" s="27" t="s">
        <v>1454</v>
      </c>
      <c r="L3345" s="27" t="s">
        <v>5233</v>
      </c>
      <c r="N3345" s="27" t="s">
        <v>5234</v>
      </c>
      <c r="P3345" s="27" t="s">
        <v>5236</v>
      </c>
      <c r="Q3345" s="26" t="str">
        <f>HYPERLINK("https://ictv.global/taxonomy/taxondetails?taxnode_id=202513548&amp;ictv_id=ICTV202113548","ICTV202113548")</f>
        <v>ICTV202113548</v>
      </c>
      <c r="R3345" t="s">
        <v>579</v>
      </c>
      <c r="S3345" t="s">
        <v>823</v>
      </c>
      <c r="T3345">
        <v>37</v>
      </c>
      <c r="U3345" s="26" t="str">
        <f>HYPERLINK("https://ictv.global/ictv/proposals/2021.029B.R.Flavophages_9_families.zip","2021.029B.R.Flavophages_9_families.zip")</f>
        <v>2021.029B.R.Flavophages_9_families.zip</v>
      </c>
    </row>
    <row r="3346" spans="1:21">
      <c r="A3346">
        <v>3345</v>
      </c>
      <c r="B3346" s="27" t="s">
        <v>1449</v>
      </c>
      <c r="D3346" s="27" t="s">
        <v>1450</v>
      </c>
      <c r="F3346" s="27" t="s">
        <v>1453</v>
      </c>
      <c r="H3346" s="27" t="s">
        <v>1454</v>
      </c>
      <c r="L3346" s="27" t="s">
        <v>22496</v>
      </c>
      <c r="N3346" s="27" t="s">
        <v>22501</v>
      </c>
      <c r="P3346" s="27" t="s">
        <v>22502</v>
      </c>
      <c r="Q3346" s="26" t="str">
        <f>HYPERLINK("https://ictv.global/taxonomy/taxondetails?taxnode_id=202523122&amp;ictv_id=ICTV202523122","ICTV202523122")</f>
        <v>ICTV202523122</v>
      </c>
      <c r="R3346" t="s">
        <v>579</v>
      </c>
      <c r="S3346" t="s">
        <v>823</v>
      </c>
      <c r="T3346">
        <v>41</v>
      </c>
      <c r="U3346" s="26" t="str">
        <f t="shared" ref="U3346:U3353" si="125">HYPERLINK("https://ictv.global/ictv/proposals/2025.061B.Pituviridae_1nf_7ng_8ns.zip","2025.061B.Pituviridae_1nf_7ng_8ns.zip")</f>
        <v>2025.061B.Pituviridae_1nf_7ng_8ns.zip</v>
      </c>
    </row>
    <row r="3347" spans="1:21">
      <c r="A3347">
        <v>3346</v>
      </c>
      <c r="B3347" s="27" t="s">
        <v>1449</v>
      </c>
      <c r="D3347" s="27" t="s">
        <v>1450</v>
      </c>
      <c r="F3347" s="27" t="s">
        <v>1453</v>
      </c>
      <c r="H3347" s="27" t="s">
        <v>1454</v>
      </c>
      <c r="L3347" s="27" t="s">
        <v>22496</v>
      </c>
      <c r="N3347" s="27" t="s">
        <v>22508</v>
      </c>
      <c r="P3347" s="27" t="s">
        <v>22509</v>
      </c>
      <c r="Q3347" s="26" t="str">
        <f>HYPERLINK("https://ictv.global/taxonomy/taxondetails?taxnode_id=202523126&amp;ictv_id=ICTV202523126","ICTV202523126")</f>
        <v>ICTV202523126</v>
      </c>
      <c r="R3347" t="s">
        <v>579</v>
      </c>
      <c r="S3347" t="s">
        <v>823</v>
      </c>
      <c r="T3347">
        <v>41</v>
      </c>
      <c r="U3347" s="26" t="str">
        <f t="shared" si="125"/>
        <v>2025.061B.Pituviridae_1nf_7ng_8ns.zip</v>
      </c>
    </row>
    <row r="3348" spans="1:21">
      <c r="A3348">
        <v>3347</v>
      </c>
      <c r="B3348" s="27" t="s">
        <v>1449</v>
      </c>
      <c r="D3348" s="27" t="s">
        <v>1450</v>
      </c>
      <c r="F3348" s="27" t="s">
        <v>1453</v>
      </c>
      <c r="H3348" s="27" t="s">
        <v>1454</v>
      </c>
      <c r="L3348" s="27" t="s">
        <v>22496</v>
      </c>
      <c r="N3348" s="27" t="s">
        <v>22499</v>
      </c>
      <c r="P3348" s="27" t="s">
        <v>22500</v>
      </c>
      <c r="Q3348" s="26" t="str">
        <f>HYPERLINK("https://ictv.global/taxonomy/taxondetails?taxnode_id=202523121&amp;ictv_id=ICTV202523121","ICTV202523121")</f>
        <v>ICTV202523121</v>
      </c>
      <c r="R3348" t="s">
        <v>579</v>
      </c>
      <c r="S3348" t="s">
        <v>823</v>
      </c>
      <c r="T3348">
        <v>41</v>
      </c>
      <c r="U3348" s="26" t="str">
        <f t="shared" si="125"/>
        <v>2025.061B.Pituviridae_1nf_7ng_8ns.zip</v>
      </c>
    </row>
    <row r="3349" spans="1:21">
      <c r="A3349">
        <v>3348</v>
      </c>
      <c r="B3349" s="27" t="s">
        <v>1449</v>
      </c>
      <c r="D3349" s="27" t="s">
        <v>1450</v>
      </c>
      <c r="F3349" s="27" t="s">
        <v>1453</v>
      </c>
      <c r="H3349" s="27" t="s">
        <v>1454</v>
      </c>
      <c r="L3349" s="27" t="s">
        <v>22496</v>
      </c>
      <c r="N3349" s="27" t="s">
        <v>22497</v>
      </c>
      <c r="P3349" s="27" t="s">
        <v>22498</v>
      </c>
      <c r="Q3349" s="26" t="str">
        <f>HYPERLINK("https://ictv.global/taxonomy/taxondetails?taxnode_id=202523120&amp;ictv_id=ICTV202523120","ICTV202523120")</f>
        <v>ICTV202523120</v>
      </c>
      <c r="R3349" t="s">
        <v>579</v>
      </c>
      <c r="S3349" t="s">
        <v>823</v>
      </c>
      <c r="T3349">
        <v>41</v>
      </c>
      <c r="U3349" s="26" t="str">
        <f t="shared" si="125"/>
        <v>2025.061B.Pituviridae_1nf_7ng_8ns.zip</v>
      </c>
    </row>
    <row r="3350" spans="1:21">
      <c r="A3350">
        <v>3349</v>
      </c>
      <c r="B3350" s="27" t="s">
        <v>1449</v>
      </c>
      <c r="D3350" s="27" t="s">
        <v>1450</v>
      </c>
      <c r="F3350" s="27" t="s">
        <v>1453</v>
      </c>
      <c r="H3350" s="27" t="s">
        <v>1454</v>
      </c>
      <c r="L3350" s="27" t="s">
        <v>22496</v>
      </c>
      <c r="N3350" s="27" t="s">
        <v>22510</v>
      </c>
      <c r="P3350" s="27" t="s">
        <v>22511</v>
      </c>
      <c r="Q3350" s="26" t="str">
        <f>HYPERLINK("https://ictv.global/taxonomy/taxondetails?taxnode_id=202523127&amp;ictv_id=ICTV202523127","ICTV202523127")</f>
        <v>ICTV202523127</v>
      </c>
      <c r="R3350" t="s">
        <v>579</v>
      </c>
      <c r="S3350" t="s">
        <v>823</v>
      </c>
      <c r="T3350">
        <v>41</v>
      </c>
      <c r="U3350" s="26" t="str">
        <f t="shared" si="125"/>
        <v>2025.061B.Pituviridae_1nf_7ng_8ns.zip</v>
      </c>
    </row>
    <row r="3351" spans="1:21">
      <c r="A3351">
        <v>3350</v>
      </c>
      <c r="B3351" s="27" t="s">
        <v>1449</v>
      </c>
      <c r="D3351" s="27" t="s">
        <v>1450</v>
      </c>
      <c r="F3351" s="27" t="s">
        <v>1453</v>
      </c>
      <c r="H3351" s="27" t="s">
        <v>1454</v>
      </c>
      <c r="L3351" s="27" t="s">
        <v>22496</v>
      </c>
      <c r="N3351" s="27" t="s">
        <v>22503</v>
      </c>
      <c r="P3351" s="27" t="s">
        <v>22505</v>
      </c>
      <c r="Q3351" s="26" t="str">
        <f>HYPERLINK("https://ictv.global/taxonomy/taxondetails?taxnode_id=202523124&amp;ictv_id=ICTV202523124","ICTV202523124")</f>
        <v>ICTV202523124</v>
      </c>
      <c r="R3351" t="s">
        <v>579</v>
      </c>
      <c r="S3351" t="s">
        <v>823</v>
      </c>
      <c r="T3351">
        <v>41</v>
      </c>
      <c r="U3351" s="26" t="str">
        <f t="shared" si="125"/>
        <v>2025.061B.Pituviridae_1nf_7ng_8ns.zip</v>
      </c>
    </row>
    <row r="3352" spans="1:21">
      <c r="A3352">
        <v>3351</v>
      </c>
      <c r="B3352" s="27" t="s">
        <v>1449</v>
      </c>
      <c r="D3352" s="27" t="s">
        <v>1450</v>
      </c>
      <c r="F3352" s="27" t="s">
        <v>1453</v>
      </c>
      <c r="H3352" s="27" t="s">
        <v>1454</v>
      </c>
      <c r="L3352" s="27" t="s">
        <v>22496</v>
      </c>
      <c r="N3352" s="27" t="s">
        <v>22503</v>
      </c>
      <c r="P3352" s="27" t="s">
        <v>22504</v>
      </c>
      <c r="Q3352" s="26" t="str">
        <f>HYPERLINK("https://ictv.global/taxonomy/taxondetails?taxnode_id=202523123&amp;ictv_id=ICTV202523123","ICTV202523123")</f>
        <v>ICTV202523123</v>
      </c>
      <c r="R3352" t="s">
        <v>579</v>
      </c>
      <c r="S3352" t="s">
        <v>823</v>
      </c>
      <c r="T3352">
        <v>41</v>
      </c>
      <c r="U3352" s="26" t="str">
        <f t="shared" si="125"/>
        <v>2025.061B.Pituviridae_1nf_7ng_8ns.zip</v>
      </c>
    </row>
    <row r="3353" spans="1:21">
      <c r="A3353">
        <v>3352</v>
      </c>
      <c r="B3353" s="27" t="s">
        <v>1449</v>
      </c>
      <c r="D3353" s="27" t="s">
        <v>1450</v>
      </c>
      <c r="F3353" s="27" t="s">
        <v>1453</v>
      </c>
      <c r="H3353" s="27" t="s">
        <v>1454</v>
      </c>
      <c r="L3353" s="27" t="s">
        <v>22496</v>
      </c>
      <c r="N3353" s="27" t="s">
        <v>22506</v>
      </c>
      <c r="P3353" s="27" t="s">
        <v>22507</v>
      </c>
      <c r="Q3353" s="26" t="str">
        <f>HYPERLINK("https://ictv.global/taxonomy/taxondetails?taxnode_id=202523125&amp;ictv_id=ICTV202523125","ICTV202523125")</f>
        <v>ICTV202523125</v>
      </c>
      <c r="R3353" t="s">
        <v>579</v>
      </c>
      <c r="S3353" t="s">
        <v>823</v>
      </c>
      <c r="T3353">
        <v>41</v>
      </c>
      <c r="U3353" s="26" t="str">
        <f t="shared" si="125"/>
        <v>2025.061B.Pituviridae_1nf_7ng_8ns.zip</v>
      </c>
    </row>
    <row r="3354" spans="1:21">
      <c r="A3354">
        <v>3353</v>
      </c>
      <c r="B3354" s="27" t="s">
        <v>1449</v>
      </c>
      <c r="D3354" s="27" t="s">
        <v>1450</v>
      </c>
      <c r="F3354" s="27" t="s">
        <v>1453</v>
      </c>
      <c r="H3354" s="27" t="s">
        <v>1454</v>
      </c>
      <c r="L3354" s="27" t="s">
        <v>5237</v>
      </c>
      <c r="M3354" s="27" t="s">
        <v>5238</v>
      </c>
      <c r="N3354" s="27" t="s">
        <v>5239</v>
      </c>
      <c r="P3354" s="27" t="s">
        <v>5240</v>
      </c>
      <c r="Q3354" s="26" t="str">
        <f>HYPERLINK("https://ictv.global/taxonomy/taxondetails?taxnode_id=202514769&amp;ictv_id=ICTV202214769","ICTV202214769")</f>
        <v>ICTV202214769</v>
      </c>
      <c r="R3354" t="s">
        <v>579</v>
      </c>
      <c r="S3354" t="s">
        <v>823</v>
      </c>
      <c r="T3354">
        <v>38</v>
      </c>
      <c r="U3354" s="26" t="str">
        <f t="shared" ref="U3354:U3364" si="126">HYPERLINK("https://ictv.global/ictv/proposals/2022.065B.Pootjesviridae_nf.zip","2022.065B.Pootjesviridae_nf.zip")</f>
        <v>2022.065B.Pootjesviridae_nf.zip</v>
      </c>
    </row>
    <row r="3355" spans="1:21">
      <c r="A3355">
        <v>3354</v>
      </c>
      <c r="B3355" s="27" t="s">
        <v>1449</v>
      </c>
      <c r="D3355" s="27" t="s">
        <v>1450</v>
      </c>
      <c r="F3355" s="27" t="s">
        <v>1453</v>
      </c>
      <c r="H3355" s="27" t="s">
        <v>1454</v>
      </c>
      <c r="L3355" s="27" t="s">
        <v>5237</v>
      </c>
      <c r="M3355" s="27" t="s">
        <v>5238</v>
      </c>
      <c r="N3355" s="27" t="s">
        <v>5239</v>
      </c>
      <c r="P3355" s="27" t="s">
        <v>5241</v>
      </c>
      <c r="Q3355" s="26" t="str">
        <f>HYPERLINK("https://ictv.global/taxonomy/taxondetails?taxnode_id=202514768&amp;ictv_id=ICTV202214768","ICTV202214768")</f>
        <v>ICTV202214768</v>
      </c>
      <c r="R3355" t="s">
        <v>579</v>
      </c>
      <c r="S3355" t="s">
        <v>823</v>
      </c>
      <c r="T3355">
        <v>38</v>
      </c>
      <c r="U3355" s="26" t="str">
        <f t="shared" si="126"/>
        <v>2022.065B.Pootjesviridae_nf.zip</v>
      </c>
    </row>
    <row r="3356" spans="1:21">
      <c r="A3356">
        <v>3355</v>
      </c>
      <c r="B3356" s="27" t="s">
        <v>1449</v>
      </c>
      <c r="D3356" s="27" t="s">
        <v>1450</v>
      </c>
      <c r="F3356" s="27" t="s">
        <v>1453</v>
      </c>
      <c r="H3356" s="27" t="s">
        <v>1454</v>
      </c>
      <c r="L3356" s="27" t="s">
        <v>5237</v>
      </c>
      <c r="M3356" s="27" t="s">
        <v>5238</v>
      </c>
      <c r="N3356" s="27" t="s">
        <v>5239</v>
      </c>
      <c r="P3356" s="27" t="s">
        <v>5242</v>
      </c>
      <c r="Q3356" s="26" t="str">
        <f>HYPERLINK("https://ictv.global/taxonomy/taxondetails?taxnode_id=202514767&amp;ictv_id=ICTV202214767","ICTV202214767")</f>
        <v>ICTV202214767</v>
      </c>
      <c r="R3356" t="s">
        <v>579</v>
      </c>
      <c r="S3356" t="s">
        <v>823</v>
      </c>
      <c r="T3356">
        <v>38</v>
      </c>
      <c r="U3356" s="26" t="str">
        <f t="shared" si="126"/>
        <v>2022.065B.Pootjesviridae_nf.zip</v>
      </c>
    </row>
    <row r="3357" spans="1:21">
      <c r="A3357">
        <v>3356</v>
      </c>
      <c r="B3357" s="27" t="s">
        <v>1449</v>
      </c>
      <c r="D3357" s="27" t="s">
        <v>1450</v>
      </c>
      <c r="F3357" s="27" t="s">
        <v>1453</v>
      </c>
      <c r="H3357" s="27" t="s">
        <v>1454</v>
      </c>
      <c r="L3357" s="27" t="s">
        <v>5237</v>
      </c>
      <c r="N3357" s="27" t="s">
        <v>5243</v>
      </c>
      <c r="P3357" s="27" t="s">
        <v>5244</v>
      </c>
      <c r="Q3357" s="26" t="str">
        <f>HYPERLINK("https://ictv.global/taxonomy/taxondetails?taxnode_id=202514775&amp;ictv_id=ICTV202214775","ICTV202214775")</f>
        <v>ICTV202214775</v>
      </c>
      <c r="R3357" t="s">
        <v>579</v>
      </c>
      <c r="S3357" t="s">
        <v>823</v>
      </c>
      <c r="T3357">
        <v>38</v>
      </c>
      <c r="U3357" s="26" t="str">
        <f t="shared" si="126"/>
        <v>2022.065B.Pootjesviridae_nf.zip</v>
      </c>
    </row>
    <row r="3358" spans="1:21">
      <c r="A3358">
        <v>3357</v>
      </c>
      <c r="B3358" s="27" t="s">
        <v>1449</v>
      </c>
      <c r="D3358" s="27" t="s">
        <v>1450</v>
      </c>
      <c r="F3358" s="27" t="s">
        <v>1453</v>
      </c>
      <c r="H3358" s="27" t="s">
        <v>1454</v>
      </c>
      <c r="L3358" s="27" t="s">
        <v>5237</v>
      </c>
      <c r="N3358" s="27" t="s">
        <v>5245</v>
      </c>
      <c r="P3358" s="27" t="s">
        <v>5246</v>
      </c>
      <c r="Q3358" s="26" t="str">
        <f>HYPERLINK("https://ictv.global/taxonomy/taxondetails?taxnode_id=202512785&amp;ictv_id=ICTV202112785","ICTV202112785")</f>
        <v>ICTV202112785</v>
      </c>
      <c r="R3358" t="s">
        <v>579</v>
      </c>
      <c r="S3358" t="s">
        <v>824</v>
      </c>
      <c r="T3358">
        <v>38</v>
      </c>
      <c r="U3358" s="26" t="str">
        <f t="shared" si="126"/>
        <v>2022.065B.Pootjesviridae_nf.zip</v>
      </c>
    </row>
    <row r="3359" spans="1:21">
      <c r="A3359">
        <v>3358</v>
      </c>
      <c r="B3359" s="27" t="s">
        <v>1449</v>
      </c>
      <c r="D3359" s="27" t="s">
        <v>1450</v>
      </c>
      <c r="F3359" s="27" t="s">
        <v>1453</v>
      </c>
      <c r="H3359" s="27" t="s">
        <v>1454</v>
      </c>
      <c r="L3359" s="27" t="s">
        <v>5237</v>
      </c>
      <c r="N3359" s="27" t="s">
        <v>5247</v>
      </c>
      <c r="P3359" s="27" t="s">
        <v>5248</v>
      </c>
      <c r="Q3359" s="26" t="str">
        <f>HYPERLINK("https://ictv.global/taxonomy/taxondetails?taxnode_id=202514772&amp;ictv_id=ICTV202214772","ICTV202214772")</f>
        <v>ICTV202214772</v>
      </c>
      <c r="R3359" t="s">
        <v>579</v>
      </c>
      <c r="S3359" t="s">
        <v>823</v>
      </c>
      <c r="T3359">
        <v>38</v>
      </c>
      <c r="U3359" s="26" t="str">
        <f t="shared" si="126"/>
        <v>2022.065B.Pootjesviridae_nf.zip</v>
      </c>
    </row>
    <row r="3360" spans="1:21">
      <c r="A3360">
        <v>3359</v>
      </c>
      <c r="B3360" s="27" t="s">
        <v>1449</v>
      </c>
      <c r="D3360" s="27" t="s">
        <v>1450</v>
      </c>
      <c r="F3360" s="27" t="s">
        <v>1453</v>
      </c>
      <c r="H3360" s="27" t="s">
        <v>1454</v>
      </c>
      <c r="L3360" s="27" t="s">
        <v>5237</v>
      </c>
      <c r="N3360" s="27" t="s">
        <v>5247</v>
      </c>
      <c r="P3360" s="27" t="s">
        <v>5249</v>
      </c>
      <c r="Q3360" s="26" t="str">
        <f>HYPERLINK("https://ictv.global/taxonomy/taxondetails?taxnode_id=202514771&amp;ictv_id=ICTV202214771","ICTV202214771")</f>
        <v>ICTV202214771</v>
      </c>
      <c r="R3360" t="s">
        <v>579</v>
      </c>
      <c r="S3360" t="s">
        <v>823</v>
      </c>
      <c r="T3360">
        <v>38</v>
      </c>
      <c r="U3360" s="26" t="str">
        <f t="shared" si="126"/>
        <v>2022.065B.Pootjesviridae_nf.zip</v>
      </c>
    </row>
    <row r="3361" spans="1:21">
      <c r="A3361">
        <v>3360</v>
      </c>
      <c r="B3361" s="27" t="s">
        <v>1449</v>
      </c>
      <c r="D3361" s="27" t="s">
        <v>1450</v>
      </c>
      <c r="F3361" s="27" t="s">
        <v>1453</v>
      </c>
      <c r="H3361" s="27" t="s">
        <v>1454</v>
      </c>
      <c r="L3361" s="27" t="s">
        <v>5237</v>
      </c>
      <c r="N3361" s="27" t="s">
        <v>5247</v>
      </c>
      <c r="P3361" s="27" t="s">
        <v>5250</v>
      </c>
      <c r="Q3361" s="26" t="str">
        <f>HYPERLINK("https://ictv.global/taxonomy/taxondetails?taxnode_id=202514770&amp;ictv_id=ICTV202214770","ICTV202214770")</f>
        <v>ICTV202214770</v>
      </c>
      <c r="R3361" t="s">
        <v>579</v>
      </c>
      <c r="S3361" t="s">
        <v>823</v>
      </c>
      <c r="T3361">
        <v>38</v>
      </c>
      <c r="U3361" s="26" t="str">
        <f t="shared" si="126"/>
        <v>2022.065B.Pootjesviridae_nf.zip</v>
      </c>
    </row>
    <row r="3362" spans="1:21">
      <c r="A3362">
        <v>3361</v>
      </c>
      <c r="B3362" s="27" t="s">
        <v>1449</v>
      </c>
      <c r="D3362" s="27" t="s">
        <v>1450</v>
      </c>
      <c r="F3362" s="27" t="s">
        <v>1453</v>
      </c>
      <c r="H3362" s="27" t="s">
        <v>1454</v>
      </c>
      <c r="L3362" s="27" t="s">
        <v>5237</v>
      </c>
      <c r="N3362" s="27" t="s">
        <v>5247</v>
      </c>
      <c r="P3362" s="27" t="s">
        <v>5251</v>
      </c>
      <c r="Q3362" s="26" t="str">
        <f>HYPERLINK("https://ictv.global/taxonomy/taxondetails?taxnode_id=202514774&amp;ictv_id=ICTV202214774","ICTV202214774")</f>
        <v>ICTV202214774</v>
      </c>
      <c r="R3362" t="s">
        <v>579</v>
      </c>
      <c r="S3362" t="s">
        <v>823</v>
      </c>
      <c r="T3362">
        <v>38</v>
      </c>
      <c r="U3362" s="26" t="str">
        <f t="shared" si="126"/>
        <v>2022.065B.Pootjesviridae_nf.zip</v>
      </c>
    </row>
    <row r="3363" spans="1:21">
      <c r="A3363">
        <v>3362</v>
      </c>
      <c r="B3363" s="27" t="s">
        <v>1449</v>
      </c>
      <c r="D3363" s="27" t="s">
        <v>1450</v>
      </c>
      <c r="F3363" s="27" t="s">
        <v>1453</v>
      </c>
      <c r="H3363" s="27" t="s">
        <v>1454</v>
      </c>
      <c r="L3363" s="27" t="s">
        <v>5237</v>
      </c>
      <c r="N3363" s="27" t="s">
        <v>5247</v>
      </c>
      <c r="P3363" s="27" t="s">
        <v>5252</v>
      </c>
      <c r="Q3363" s="26" t="str">
        <f>HYPERLINK("https://ictv.global/taxonomy/taxondetails?taxnode_id=202514773&amp;ictv_id=ICTV202214773","ICTV202214773")</f>
        <v>ICTV202214773</v>
      </c>
      <c r="R3363" t="s">
        <v>579</v>
      </c>
      <c r="S3363" t="s">
        <v>823</v>
      </c>
      <c r="T3363">
        <v>38</v>
      </c>
      <c r="U3363" s="26" t="str">
        <f t="shared" si="126"/>
        <v>2022.065B.Pootjesviridae_nf.zip</v>
      </c>
    </row>
    <row r="3364" spans="1:21">
      <c r="A3364">
        <v>3363</v>
      </c>
      <c r="B3364" s="27" t="s">
        <v>1449</v>
      </c>
      <c r="D3364" s="27" t="s">
        <v>1450</v>
      </c>
      <c r="F3364" s="27" t="s">
        <v>1453</v>
      </c>
      <c r="H3364" s="27" t="s">
        <v>1454</v>
      </c>
      <c r="L3364" s="27" t="s">
        <v>5237</v>
      </c>
      <c r="N3364" s="27" t="s">
        <v>5253</v>
      </c>
      <c r="P3364" s="27" t="s">
        <v>5254</v>
      </c>
      <c r="Q3364" s="26" t="str">
        <f>HYPERLINK("https://ictv.global/taxonomy/taxondetails?taxnode_id=202514776&amp;ictv_id=ICTV202214776","ICTV202214776")</f>
        <v>ICTV202214776</v>
      </c>
      <c r="R3364" t="s">
        <v>579</v>
      </c>
      <c r="S3364" t="s">
        <v>823</v>
      </c>
      <c r="T3364">
        <v>38</v>
      </c>
      <c r="U3364" s="26" t="str">
        <f t="shared" si="126"/>
        <v>2022.065B.Pootjesviridae_nf.zip</v>
      </c>
    </row>
    <row r="3365" spans="1:21">
      <c r="A3365">
        <v>3364</v>
      </c>
      <c r="B3365" s="27" t="s">
        <v>1449</v>
      </c>
      <c r="D3365" s="27" t="s">
        <v>1450</v>
      </c>
      <c r="F3365" s="27" t="s">
        <v>1453</v>
      </c>
      <c r="H3365" s="27" t="s">
        <v>1454</v>
      </c>
      <c r="L3365" s="27" t="s">
        <v>5255</v>
      </c>
      <c r="N3365" s="27" t="s">
        <v>5256</v>
      </c>
      <c r="P3365" s="27" t="s">
        <v>5257</v>
      </c>
      <c r="Q3365" s="26" t="str">
        <f>HYPERLINK("https://ictv.global/taxonomy/taxondetails?taxnode_id=202514334&amp;ictv_id=ICTV202214334","ICTV202214334")</f>
        <v>ICTV202214334</v>
      </c>
      <c r="R3365" t="s">
        <v>579</v>
      </c>
      <c r="S3365" t="s">
        <v>823</v>
      </c>
      <c r="T3365">
        <v>38</v>
      </c>
      <c r="U3365" s="26" t="str">
        <f>HYPERLINK("https://ictv.global/ictv/proposals/2022.004A.Caudoviricetes_3nf.zip","2022.004A.Caudoviricetes_3nf.zip")</f>
        <v>2022.004A.Caudoviricetes_3nf.zip</v>
      </c>
    </row>
    <row r="3366" spans="1:21">
      <c r="A3366">
        <v>3365</v>
      </c>
      <c r="B3366" s="27" t="s">
        <v>1449</v>
      </c>
      <c r="D3366" s="27" t="s">
        <v>1450</v>
      </c>
      <c r="F3366" s="27" t="s">
        <v>1453</v>
      </c>
      <c r="H3366" s="27" t="s">
        <v>1454</v>
      </c>
      <c r="L3366" s="27" t="s">
        <v>21144</v>
      </c>
      <c r="N3366" s="27" t="s">
        <v>21145</v>
      </c>
      <c r="P3366" s="27" t="s">
        <v>21146</v>
      </c>
      <c r="Q3366" s="26" t="str">
        <f>HYPERLINK("https://ictv.global/taxonomy/taxondetails?taxnode_id=202522074&amp;ictv_id=ICTV202522074","ICTV202522074")</f>
        <v>ICTV202522074</v>
      </c>
      <c r="R3366" t="s">
        <v>579</v>
      </c>
      <c r="S3366" t="s">
        <v>823</v>
      </c>
      <c r="T3366">
        <v>41</v>
      </c>
      <c r="U3366" s="26" t="str">
        <f>HYPERLINK("https://ictv.global/ictv/proposals/2025.002A.Archaeal_Caudoviricetes_8nf.zip","2025.002A.Archaeal_Caudoviricetes_8nf.zip")</f>
        <v>2025.002A.Archaeal_Caudoviricetes_8nf.zip</v>
      </c>
    </row>
    <row r="3367" spans="1:21">
      <c r="A3367">
        <v>3366</v>
      </c>
      <c r="B3367" s="27" t="s">
        <v>1449</v>
      </c>
      <c r="D3367" s="27" t="s">
        <v>1450</v>
      </c>
      <c r="F3367" s="27" t="s">
        <v>1453</v>
      </c>
      <c r="H3367" s="27" t="s">
        <v>1454</v>
      </c>
      <c r="L3367" s="27" t="s">
        <v>2153</v>
      </c>
      <c r="M3367" s="27" t="s">
        <v>1717</v>
      </c>
      <c r="N3367" s="27" t="s">
        <v>1718</v>
      </c>
      <c r="P3367" s="27" t="s">
        <v>5258</v>
      </c>
      <c r="Q3367" s="26" t="str">
        <f>HYPERLINK("https://ictv.global/taxonomy/taxondetails?taxnode_id=202508003&amp;ictv_id=ICTV201908003","ICTV201908003")</f>
        <v>ICTV201908003</v>
      </c>
      <c r="R3367" t="s">
        <v>579</v>
      </c>
      <c r="S3367" t="s">
        <v>824</v>
      </c>
      <c r="T3367">
        <v>37</v>
      </c>
      <c r="U3367" s="26" t="str">
        <f>HYPERLINK("https://ictv.global/ictv/proposals/2021.010B.R.Binomial_names.zip","2021.010B.R.Binomial_names.zip")</f>
        <v>2021.010B.R.Binomial_names.zip</v>
      </c>
    </row>
    <row r="3368" spans="1:21">
      <c r="A3368">
        <v>3367</v>
      </c>
      <c r="B3368" s="27" t="s">
        <v>1449</v>
      </c>
      <c r="D3368" s="27" t="s">
        <v>1450</v>
      </c>
      <c r="F3368" s="27" t="s">
        <v>1453</v>
      </c>
      <c r="H3368" s="27" t="s">
        <v>1454</v>
      </c>
      <c r="L3368" s="27" t="s">
        <v>2153</v>
      </c>
      <c r="M3368" s="27" t="s">
        <v>1717</v>
      </c>
      <c r="N3368" s="27" t="s">
        <v>1718</v>
      </c>
      <c r="P3368" s="27" t="s">
        <v>5259</v>
      </c>
      <c r="Q3368" s="26" t="str">
        <f>HYPERLINK("https://ictv.global/taxonomy/taxondetails?taxnode_id=202514790&amp;ictv_id=ICTV202214790","ICTV202214790")</f>
        <v>ICTV202214790</v>
      </c>
      <c r="R3368" t="s">
        <v>579</v>
      </c>
      <c r="S3368" t="s">
        <v>823</v>
      </c>
      <c r="T3368">
        <v>38</v>
      </c>
      <c r="U3368" s="26" t="str">
        <f>HYPERLINK("https://ictv.global/ictv/proposals/2022.068B.Rakietenvirinae_3nsp.zip","2022.068B.Rakietenvirinae_3nsp.zip")</f>
        <v>2022.068B.Rakietenvirinae_3nsp.zip</v>
      </c>
    </row>
    <row r="3369" spans="1:21">
      <c r="A3369">
        <v>3368</v>
      </c>
      <c r="B3369" s="27" t="s">
        <v>1449</v>
      </c>
      <c r="D3369" s="27" t="s">
        <v>1450</v>
      </c>
      <c r="F3369" s="27" t="s">
        <v>1453</v>
      </c>
      <c r="H3369" s="27" t="s">
        <v>1454</v>
      </c>
      <c r="L3369" s="27" t="s">
        <v>2153</v>
      </c>
      <c r="M3369" s="27" t="s">
        <v>1717</v>
      </c>
      <c r="N3369" s="27" t="s">
        <v>1718</v>
      </c>
      <c r="P3369" s="27" t="s">
        <v>5260</v>
      </c>
      <c r="Q3369" s="26" t="str">
        <f>HYPERLINK("https://ictv.global/taxonomy/taxondetails?taxnode_id=202514791&amp;ictv_id=ICTV202214791","ICTV202214791")</f>
        <v>ICTV202214791</v>
      </c>
      <c r="R3369" t="s">
        <v>579</v>
      </c>
      <c r="S3369" t="s">
        <v>823</v>
      </c>
      <c r="T3369">
        <v>38</v>
      </c>
      <c r="U3369" s="26" t="str">
        <f>HYPERLINK("https://ictv.global/ictv/proposals/2022.068B.Rakietenvirinae_3nsp.zip","2022.068B.Rakietenvirinae_3nsp.zip")</f>
        <v>2022.068B.Rakietenvirinae_3nsp.zip</v>
      </c>
    </row>
    <row r="3370" spans="1:21">
      <c r="A3370">
        <v>3369</v>
      </c>
      <c r="B3370" s="27" t="s">
        <v>1449</v>
      </c>
      <c r="D3370" s="27" t="s">
        <v>1450</v>
      </c>
      <c r="F3370" s="27" t="s">
        <v>1453</v>
      </c>
      <c r="H3370" s="27" t="s">
        <v>1454</v>
      </c>
      <c r="L3370" s="27" t="s">
        <v>2153</v>
      </c>
      <c r="M3370" s="27" t="s">
        <v>1717</v>
      </c>
      <c r="N3370" s="27" t="s">
        <v>1718</v>
      </c>
      <c r="P3370" s="27" t="s">
        <v>5261</v>
      </c>
      <c r="Q3370" s="26" t="str">
        <f>HYPERLINK("https://ictv.global/taxonomy/taxondetails?taxnode_id=202508004&amp;ictv_id=ICTV201908004","ICTV201908004")</f>
        <v>ICTV201908004</v>
      </c>
      <c r="R3370" t="s">
        <v>579</v>
      </c>
      <c r="S3370" t="s">
        <v>824</v>
      </c>
      <c r="T3370">
        <v>37</v>
      </c>
      <c r="U3370" s="26" t="str">
        <f>HYPERLINK("https://ictv.global/ictv/proposals/2021.010B.R.Binomial_names.zip","2021.010B.R.Binomial_names.zip")</f>
        <v>2021.010B.R.Binomial_names.zip</v>
      </c>
    </row>
    <row r="3371" spans="1:21">
      <c r="A3371">
        <v>3370</v>
      </c>
      <c r="B3371" s="27" t="s">
        <v>1449</v>
      </c>
      <c r="D3371" s="27" t="s">
        <v>1450</v>
      </c>
      <c r="F3371" s="27" t="s">
        <v>1453</v>
      </c>
      <c r="H3371" s="27" t="s">
        <v>1454</v>
      </c>
      <c r="L3371" s="27" t="s">
        <v>2153</v>
      </c>
      <c r="M3371" s="27" t="s">
        <v>1717</v>
      </c>
      <c r="N3371" s="27" t="s">
        <v>1280</v>
      </c>
      <c r="P3371" s="27" t="s">
        <v>5262</v>
      </c>
      <c r="Q3371" s="26" t="str">
        <f>HYPERLINK("https://ictv.global/taxonomy/taxondetails?taxnode_id=202508011&amp;ictv_id=ICTV201908011","ICTV201908011")</f>
        <v>ICTV201908011</v>
      </c>
      <c r="R3371" t="s">
        <v>579</v>
      </c>
      <c r="S3371" t="s">
        <v>824</v>
      </c>
      <c r="T3371">
        <v>37</v>
      </c>
      <c r="U3371" s="26" t="str">
        <f>HYPERLINK("https://ictv.global/ictv/proposals/2021.010B.R.Binomial_names.zip","2021.010B.R.Binomial_names.zip")</f>
        <v>2021.010B.R.Binomial_names.zip</v>
      </c>
    </row>
    <row r="3372" spans="1:21">
      <c r="A3372">
        <v>3371</v>
      </c>
      <c r="B3372" s="27" t="s">
        <v>1449</v>
      </c>
      <c r="D3372" s="27" t="s">
        <v>1450</v>
      </c>
      <c r="F3372" s="27" t="s">
        <v>1453</v>
      </c>
      <c r="H3372" s="27" t="s">
        <v>1454</v>
      </c>
      <c r="L3372" s="27" t="s">
        <v>2153</v>
      </c>
      <c r="M3372" s="27" t="s">
        <v>1717</v>
      </c>
      <c r="N3372" s="27" t="s">
        <v>1280</v>
      </c>
      <c r="P3372" s="27" t="s">
        <v>5263</v>
      </c>
      <c r="Q3372" s="26" t="str">
        <f>HYPERLINK("https://ictv.global/taxonomy/taxondetails?taxnode_id=202508009&amp;ictv_id=ICTV201908009","ICTV201908009")</f>
        <v>ICTV201908009</v>
      </c>
      <c r="R3372" t="s">
        <v>579</v>
      </c>
      <c r="S3372" t="s">
        <v>824</v>
      </c>
      <c r="T3372">
        <v>37</v>
      </c>
      <c r="U3372" s="26" t="str">
        <f>HYPERLINK("https://ictv.global/ictv/proposals/2021.010B.R.Binomial_names.zip","2021.010B.R.Binomial_names.zip")</f>
        <v>2021.010B.R.Binomial_names.zip</v>
      </c>
    </row>
    <row r="3373" spans="1:21">
      <c r="A3373">
        <v>3372</v>
      </c>
      <c r="B3373" s="27" t="s">
        <v>1449</v>
      </c>
      <c r="D3373" s="27" t="s">
        <v>1450</v>
      </c>
      <c r="F3373" s="27" t="s">
        <v>1453</v>
      </c>
      <c r="H3373" s="27" t="s">
        <v>1454</v>
      </c>
      <c r="L3373" s="27" t="s">
        <v>2153</v>
      </c>
      <c r="M3373" s="27" t="s">
        <v>1717</v>
      </c>
      <c r="N3373" s="27" t="s">
        <v>1280</v>
      </c>
      <c r="P3373" s="27" t="s">
        <v>21476</v>
      </c>
      <c r="Q3373" s="26" t="str">
        <f>HYPERLINK("https://ictv.global/taxonomy/taxondetails?taxnode_id=202522347&amp;ictv_id=ICTV202522347","ICTV202522347")</f>
        <v>ICTV202522347</v>
      </c>
      <c r="R3373" t="s">
        <v>579</v>
      </c>
      <c r="S3373" t="s">
        <v>823</v>
      </c>
      <c r="T3373">
        <v>41</v>
      </c>
      <c r="U3373" s="26" t="str">
        <f>HYPERLINK("https://ictv.global/ictv/proposals/2025.008B.Caudoviricetes_11ns.zip","2025.008B.Caudoviricetes_11ns.zip")</f>
        <v>2025.008B.Caudoviricetes_11ns.zip</v>
      </c>
    </row>
    <row r="3374" spans="1:21">
      <c r="A3374">
        <v>3373</v>
      </c>
      <c r="B3374" s="27" t="s">
        <v>1449</v>
      </c>
      <c r="D3374" s="27" t="s">
        <v>1450</v>
      </c>
      <c r="F3374" s="27" t="s">
        <v>1453</v>
      </c>
      <c r="H3374" s="27" t="s">
        <v>1454</v>
      </c>
      <c r="L3374" s="27" t="s">
        <v>2153</v>
      </c>
      <c r="M3374" s="27" t="s">
        <v>1717</v>
      </c>
      <c r="N3374" s="27" t="s">
        <v>1280</v>
      </c>
      <c r="P3374" s="27" t="s">
        <v>5264</v>
      </c>
      <c r="Q3374" s="26" t="str">
        <f>HYPERLINK("https://ictv.global/taxonomy/taxondetails?taxnode_id=202508015&amp;ictv_id=ICTV201908015","ICTV201908015")</f>
        <v>ICTV201908015</v>
      </c>
      <c r="R3374" t="s">
        <v>579</v>
      </c>
      <c r="S3374" t="s">
        <v>824</v>
      </c>
      <c r="T3374">
        <v>37</v>
      </c>
      <c r="U3374" s="26" t="str">
        <f>HYPERLINK("https://ictv.global/ictv/proposals/2021.010B.R.Binomial_names.zip","2021.010B.R.Binomial_names.zip")</f>
        <v>2021.010B.R.Binomial_names.zip</v>
      </c>
    </row>
    <row r="3375" spans="1:21">
      <c r="A3375">
        <v>3374</v>
      </c>
      <c r="B3375" s="27" t="s">
        <v>1449</v>
      </c>
      <c r="D3375" s="27" t="s">
        <v>1450</v>
      </c>
      <c r="F3375" s="27" t="s">
        <v>1453</v>
      </c>
      <c r="H3375" s="27" t="s">
        <v>1454</v>
      </c>
      <c r="L3375" s="27" t="s">
        <v>2153</v>
      </c>
      <c r="M3375" s="27" t="s">
        <v>1717</v>
      </c>
      <c r="N3375" s="27" t="s">
        <v>1280</v>
      </c>
      <c r="P3375" s="27" t="s">
        <v>5265</v>
      </c>
      <c r="Q3375" s="26" t="str">
        <f>HYPERLINK("https://ictv.global/taxonomy/taxondetails?taxnode_id=202512900&amp;ictv_id=ICTV202112900","ICTV202112900")</f>
        <v>ICTV202112900</v>
      </c>
      <c r="R3375" t="s">
        <v>579</v>
      </c>
      <c r="S3375" t="s">
        <v>823</v>
      </c>
      <c r="T3375">
        <v>37</v>
      </c>
      <c r="U3375" s="26" t="str">
        <f>HYPERLINK("https://ictv.global/ictv/proposals/2021.072B.R.Rosenblumvirus.zip","2021.072B.R.Rosenblumvirus.zip")</f>
        <v>2021.072B.R.Rosenblumvirus.zip</v>
      </c>
    </row>
    <row r="3376" spans="1:21">
      <c r="A3376">
        <v>3375</v>
      </c>
      <c r="B3376" s="27" t="s">
        <v>1449</v>
      </c>
      <c r="D3376" s="27" t="s">
        <v>1450</v>
      </c>
      <c r="F3376" s="27" t="s">
        <v>1453</v>
      </c>
      <c r="H3376" s="27" t="s">
        <v>1454</v>
      </c>
      <c r="L3376" s="27" t="s">
        <v>2153</v>
      </c>
      <c r="M3376" s="27" t="s">
        <v>1717</v>
      </c>
      <c r="N3376" s="27" t="s">
        <v>1280</v>
      </c>
      <c r="P3376" s="27" t="s">
        <v>5266</v>
      </c>
      <c r="Q3376" s="26" t="str">
        <f>HYPERLINK("https://ictv.global/taxonomy/taxondetails?taxnode_id=202508008&amp;ictv_id=ICTV201908008","ICTV201908008")</f>
        <v>ICTV201908008</v>
      </c>
      <c r="R3376" t="s">
        <v>579</v>
      </c>
      <c r="S3376" t="s">
        <v>824</v>
      </c>
      <c r="T3376">
        <v>37</v>
      </c>
      <c r="U3376" s="26" t="str">
        <f>HYPERLINK("https://ictv.global/ictv/proposals/2021.010B.R.Binomial_names.zip","2021.010B.R.Binomial_names.zip")</f>
        <v>2021.010B.R.Binomial_names.zip</v>
      </c>
    </row>
    <row r="3377" spans="1:21">
      <c r="A3377">
        <v>3376</v>
      </c>
      <c r="B3377" s="27" t="s">
        <v>1449</v>
      </c>
      <c r="D3377" s="27" t="s">
        <v>1450</v>
      </c>
      <c r="F3377" s="27" t="s">
        <v>1453</v>
      </c>
      <c r="H3377" s="27" t="s">
        <v>1454</v>
      </c>
      <c r="L3377" s="27" t="s">
        <v>2153</v>
      </c>
      <c r="M3377" s="27" t="s">
        <v>1717</v>
      </c>
      <c r="N3377" s="27" t="s">
        <v>1280</v>
      </c>
      <c r="P3377" s="27" t="s">
        <v>5267</v>
      </c>
      <c r="Q3377" s="26" t="str">
        <f>HYPERLINK("https://ictv.global/taxonomy/taxondetails?taxnode_id=202514789&amp;ictv_id=ICTV202214789","ICTV202214789")</f>
        <v>ICTV202214789</v>
      </c>
      <c r="R3377" t="s">
        <v>579</v>
      </c>
      <c r="S3377" t="s">
        <v>823</v>
      </c>
      <c r="T3377">
        <v>38</v>
      </c>
      <c r="U3377" s="26" t="str">
        <f>HYPERLINK("https://ictv.global/ictv/proposals/2022.068B.Rakietenvirinae_3nsp.zip","2022.068B.Rakietenvirinae_3nsp.zip")</f>
        <v>2022.068B.Rakietenvirinae_3nsp.zip</v>
      </c>
    </row>
    <row r="3378" spans="1:21">
      <c r="A3378">
        <v>3377</v>
      </c>
      <c r="B3378" s="27" t="s">
        <v>1449</v>
      </c>
      <c r="D3378" s="27" t="s">
        <v>1450</v>
      </c>
      <c r="F3378" s="27" t="s">
        <v>1453</v>
      </c>
      <c r="H3378" s="27" t="s">
        <v>1454</v>
      </c>
      <c r="L3378" s="27" t="s">
        <v>2153</v>
      </c>
      <c r="M3378" s="27" t="s">
        <v>1717</v>
      </c>
      <c r="N3378" s="27" t="s">
        <v>1280</v>
      </c>
      <c r="P3378" s="27" t="s">
        <v>5268</v>
      </c>
      <c r="Q3378" s="26" t="str">
        <f>HYPERLINK("https://ictv.global/taxonomy/taxondetails?taxnode_id=202512901&amp;ictv_id=ICTV202112901","ICTV202112901")</f>
        <v>ICTV202112901</v>
      </c>
      <c r="R3378" t="s">
        <v>579</v>
      </c>
      <c r="S3378" t="s">
        <v>823</v>
      </c>
      <c r="T3378">
        <v>37</v>
      </c>
      <c r="U3378" s="26" t="str">
        <f>HYPERLINK("https://ictv.global/ictv/proposals/2021.072B.R.Rosenblumvirus.zip","2021.072B.R.Rosenblumvirus.zip")</f>
        <v>2021.072B.R.Rosenblumvirus.zip</v>
      </c>
    </row>
    <row r="3379" spans="1:21">
      <c r="A3379">
        <v>3378</v>
      </c>
      <c r="B3379" s="27" t="s">
        <v>1449</v>
      </c>
      <c r="D3379" s="27" t="s">
        <v>1450</v>
      </c>
      <c r="F3379" s="27" t="s">
        <v>1453</v>
      </c>
      <c r="H3379" s="27" t="s">
        <v>1454</v>
      </c>
      <c r="L3379" s="27" t="s">
        <v>2153</v>
      </c>
      <c r="M3379" s="27" t="s">
        <v>1717</v>
      </c>
      <c r="N3379" s="27" t="s">
        <v>1280</v>
      </c>
      <c r="P3379" s="27" t="s">
        <v>5269</v>
      </c>
      <c r="Q3379" s="26" t="str">
        <f>HYPERLINK("https://ictv.global/taxonomy/taxondetails?taxnode_id=202508005&amp;ictv_id=ICTV201908005","ICTV201908005")</f>
        <v>ICTV201908005</v>
      </c>
      <c r="R3379" t="s">
        <v>579</v>
      </c>
      <c r="S3379" t="s">
        <v>824</v>
      </c>
      <c r="T3379">
        <v>37</v>
      </c>
      <c r="U3379" s="26" t="str">
        <f>HYPERLINK("https://ictv.global/ictv/proposals/2021.010B.R.Binomial_names.zip","2021.010B.R.Binomial_names.zip")</f>
        <v>2021.010B.R.Binomial_names.zip</v>
      </c>
    </row>
    <row r="3380" spans="1:21">
      <c r="A3380">
        <v>3379</v>
      </c>
      <c r="B3380" s="27" t="s">
        <v>1449</v>
      </c>
      <c r="D3380" s="27" t="s">
        <v>1450</v>
      </c>
      <c r="F3380" s="27" t="s">
        <v>1453</v>
      </c>
      <c r="H3380" s="27" t="s">
        <v>1454</v>
      </c>
      <c r="L3380" s="27" t="s">
        <v>2153</v>
      </c>
      <c r="M3380" s="27" t="s">
        <v>1717</v>
      </c>
      <c r="N3380" s="27" t="s">
        <v>1280</v>
      </c>
      <c r="P3380" s="27" t="s">
        <v>5270</v>
      </c>
      <c r="Q3380" s="26" t="str">
        <f>HYPERLINK("https://ictv.global/taxonomy/taxondetails?taxnode_id=202512899&amp;ictv_id=ICTV202112899","ICTV202112899")</f>
        <v>ICTV202112899</v>
      </c>
      <c r="R3380" t="s">
        <v>579</v>
      </c>
      <c r="S3380" t="s">
        <v>823</v>
      </c>
      <c r="T3380">
        <v>37</v>
      </c>
      <c r="U3380" s="26" t="str">
        <f>HYPERLINK("https://ictv.global/ictv/proposals/2021.072B.R.Rosenblumvirus.zip","2021.072B.R.Rosenblumvirus.zip")</f>
        <v>2021.072B.R.Rosenblumvirus.zip</v>
      </c>
    </row>
    <row r="3381" spans="1:21">
      <c r="A3381">
        <v>3380</v>
      </c>
      <c r="B3381" s="27" t="s">
        <v>1449</v>
      </c>
      <c r="D3381" s="27" t="s">
        <v>1450</v>
      </c>
      <c r="F3381" s="27" t="s">
        <v>1453</v>
      </c>
      <c r="H3381" s="27" t="s">
        <v>1454</v>
      </c>
      <c r="L3381" s="27" t="s">
        <v>2153</v>
      </c>
      <c r="M3381" s="27" t="s">
        <v>1717</v>
      </c>
      <c r="N3381" s="27" t="s">
        <v>1280</v>
      </c>
      <c r="P3381" s="27" t="s">
        <v>5271</v>
      </c>
      <c r="Q3381" s="26" t="str">
        <f>HYPERLINK("https://ictv.global/taxonomy/taxondetails?taxnode_id=202508013&amp;ictv_id=ICTV201908013","ICTV201908013")</f>
        <v>ICTV201908013</v>
      </c>
      <c r="R3381" t="s">
        <v>579</v>
      </c>
      <c r="S3381" t="s">
        <v>824</v>
      </c>
      <c r="T3381">
        <v>37</v>
      </c>
      <c r="U3381" s="26" t="str">
        <f>HYPERLINK("https://ictv.global/ictv/proposals/2021.010B.R.Binomial_names.zip","2021.010B.R.Binomial_names.zip")</f>
        <v>2021.010B.R.Binomial_names.zip</v>
      </c>
    </row>
    <row r="3382" spans="1:21">
      <c r="A3382">
        <v>3381</v>
      </c>
      <c r="B3382" s="27" t="s">
        <v>1449</v>
      </c>
      <c r="D3382" s="27" t="s">
        <v>1450</v>
      </c>
      <c r="F3382" s="27" t="s">
        <v>1453</v>
      </c>
      <c r="H3382" s="27" t="s">
        <v>1454</v>
      </c>
      <c r="L3382" s="27" t="s">
        <v>2153</v>
      </c>
      <c r="M3382" s="27" t="s">
        <v>1717</v>
      </c>
      <c r="N3382" s="27" t="s">
        <v>1280</v>
      </c>
      <c r="P3382" s="27" t="s">
        <v>5272</v>
      </c>
      <c r="Q3382" s="26" t="str">
        <f>HYPERLINK("https://ictv.global/taxonomy/taxondetails?taxnode_id=202508006&amp;ictv_id=ICTV201908006","ICTV201908006")</f>
        <v>ICTV201908006</v>
      </c>
      <c r="R3382" t="s">
        <v>579</v>
      </c>
      <c r="S3382" t="s">
        <v>824</v>
      </c>
      <c r="T3382">
        <v>37</v>
      </c>
      <c r="U3382" s="26" t="str">
        <f>HYPERLINK("https://ictv.global/ictv/proposals/2021.010B.R.Binomial_names.zip","2021.010B.R.Binomial_names.zip")</f>
        <v>2021.010B.R.Binomial_names.zip</v>
      </c>
    </row>
    <row r="3383" spans="1:21">
      <c r="A3383">
        <v>3382</v>
      </c>
      <c r="B3383" s="27" t="s">
        <v>1449</v>
      </c>
      <c r="D3383" s="27" t="s">
        <v>1450</v>
      </c>
      <c r="F3383" s="27" t="s">
        <v>1453</v>
      </c>
      <c r="H3383" s="27" t="s">
        <v>1454</v>
      </c>
      <c r="L3383" s="27" t="s">
        <v>2153</v>
      </c>
      <c r="M3383" s="27" t="s">
        <v>1717</v>
      </c>
      <c r="N3383" s="27" t="s">
        <v>1280</v>
      </c>
      <c r="P3383" s="27" t="s">
        <v>5273</v>
      </c>
      <c r="Q3383" s="26" t="str">
        <f>HYPERLINK("https://ictv.global/taxonomy/taxondetails?taxnode_id=202500595&amp;ictv_id=ICTV20115339","ICTV20115339")</f>
        <v>ICTV20115339</v>
      </c>
      <c r="R3383" t="s">
        <v>579</v>
      </c>
      <c r="S3383" t="s">
        <v>824</v>
      </c>
      <c r="T3383">
        <v>37</v>
      </c>
      <c r="U3383" s="26" t="str">
        <f>HYPERLINK("https://ictv.global/ictv/proposals/2021.010B.R.Binomial_names.zip","2021.010B.R.Binomial_names.zip")</f>
        <v>2021.010B.R.Binomial_names.zip</v>
      </c>
    </row>
    <row r="3384" spans="1:21">
      <c r="A3384">
        <v>3383</v>
      </c>
      <c r="B3384" s="27" t="s">
        <v>1449</v>
      </c>
      <c r="D3384" s="27" t="s">
        <v>1450</v>
      </c>
      <c r="F3384" s="27" t="s">
        <v>1453</v>
      </c>
      <c r="H3384" s="27" t="s">
        <v>1454</v>
      </c>
      <c r="L3384" s="27" t="s">
        <v>2153</v>
      </c>
      <c r="M3384" s="27" t="s">
        <v>1717</v>
      </c>
      <c r="N3384" s="27" t="s">
        <v>1280</v>
      </c>
      <c r="P3384" s="27" t="s">
        <v>5274</v>
      </c>
      <c r="Q3384" s="26" t="str">
        <f>HYPERLINK("https://ictv.global/taxonomy/taxondetails?taxnode_id=202508007&amp;ictv_id=ICTV201908007","ICTV201908007")</f>
        <v>ICTV201908007</v>
      </c>
      <c r="R3384" t="s">
        <v>579</v>
      </c>
      <c r="S3384" t="s">
        <v>824</v>
      </c>
      <c r="T3384">
        <v>37</v>
      </c>
      <c r="U3384" s="26" t="str">
        <f>HYPERLINK("https://ictv.global/ictv/proposals/2021.010B.R.Binomial_names.zip","2021.010B.R.Binomial_names.zip")</f>
        <v>2021.010B.R.Binomial_names.zip</v>
      </c>
    </row>
    <row r="3385" spans="1:21">
      <c r="A3385">
        <v>3384</v>
      </c>
      <c r="B3385" s="27" t="s">
        <v>1449</v>
      </c>
      <c r="D3385" s="27" t="s">
        <v>1450</v>
      </c>
      <c r="F3385" s="27" t="s">
        <v>1453</v>
      </c>
      <c r="H3385" s="27" t="s">
        <v>1454</v>
      </c>
      <c r="L3385" s="27" t="s">
        <v>2153</v>
      </c>
      <c r="M3385" s="27" t="s">
        <v>1717</v>
      </c>
      <c r="N3385" s="27" t="s">
        <v>1280</v>
      </c>
      <c r="P3385" s="27" t="s">
        <v>5275</v>
      </c>
      <c r="Q3385" s="26" t="str">
        <f>HYPERLINK("https://ictv.global/taxonomy/taxondetails?taxnode_id=202512898&amp;ictv_id=ICTV202112898","ICTV202112898")</f>
        <v>ICTV202112898</v>
      </c>
      <c r="R3385" t="s">
        <v>579</v>
      </c>
      <c r="S3385" t="s">
        <v>823</v>
      </c>
      <c r="T3385">
        <v>37</v>
      </c>
      <c r="U3385" s="26" t="str">
        <f>HYPERLINK("https://ictv.global/ictv/proposals/2021.072B.R.Rosenblumvirus.zip","2021.072B.R.Rosenblumvirus.zip")</f>
        <v>2021.072B.R.Rosenblumvirus.zip</v>
      </c>
    </row>
    <row r="3386" spans="1:21">
      <c r="A3386">
        <v>3385</v>
      </c>
      <c r="B3386" s="27" t="s">
        <v>1449</v>
      </c>
      <c r="D3386" s="27" t="s">
        <v>1450</v>
      </c>
      <c r="F3386" s="27" t="s">
        <v>1453</v>
      </c>
      <c r="H3386" s="27" t="s">
        <v>1454</v>
      </c>
      <c r="L3386" s="27" t="s">
        <v>2153</v>
      </c>
      <c r="M3386" s="27" t="s">
        <v>1717</v>
      </c>
      <c r="N3386" s="27" t="s">
        <v>1280</v>
      </c>
      <c r="P3386" s="27" t="s">
        <v>5276</v>
      </c>
      <c r="Q3386" s="26" t="str">
        <f>HYPERLINK("https://ictv.global/taxonomy/taxondetails?taxnode_id=202508012&amp;ictv_id=ICTV201908012","ICTV201908012")</f>
        <v>ICTV201908012</v>
      </c>
      <c r="R3386" t="s">
        <v>579</v>
      </c>
      <c r="S3386" t="s">
        <v>824</v>
      </c>
      <c r="T3386">
        <v>37</v>
      </c>
      <c r="U3386" s="26" t="str">
        <f>HYPERLINK("https://ictv.global/ictv/proposals/2021.010B.R.Binomial_names.zip","2021.010B.R.Binomial_names.zip")</f>
        <v>2021.010B.R.Binomial_names.zip</v>
      </c>
    </row>
    <row r="3387" spans="1:21">
      <c r="A3387">
        <v>3386</v>
      </c>
      <c r="B3387" s="27" t="s">
        <v>1449</v>
      </c>
      <c r="D3387" s="27" t="s">
        <v>1450</v>
      </c>
      <c r="F3387" s="27" t="s">
        <v>1453</v>
      </c>
      <c r="H3387" s="27" t="s">
        <v>1454</v>
      </c>
      <c r="L3387" s="27" t="s">
        <v>2153</v>
      </c>
      <c r="M3387" s="27" t="s">
        <v>1717</v>
      </c>
      <c r="N3387" s="27" t="s">
        <v>1280</v>
      </c>
      <c r="P3387" s="27" t="s">
        <v>5277</v>
      </c>
      <c r="Q3387" s="26" t="str">
        <f>HYPERLINK("https://ictv.global/taxonomy/taxondetails?taxnode_id=202508010&amp;ictv_id=ICTV201908010","ICTV201908010")</f>
        <v>ICTV201908010</v>
      </c>
      <c r="R3387" t="s">
        <v>579</v>
      </c>
      <c r="S3387" t="s">
        <v>824</v>
      </c>
      <c r="T3387">
        <v>37</v>
      </c>
      <c r="U3387" s="26" t="str">
        <f>HYPERLINK("https://ictv.global/ictv/proposals/2021.010B.R.Binomial_names.zip","2021.010B.R.Binomial_names.zip")</f>
        <v>2021.010B.R.Binomial_names.zip</v>
      </c>
    </row>
    <row r="3388" spans="1:21">
      <c r="A3388">
        <v>3387</v>
      </c>
      <c r="B3388" s="27" t="s">
        <v>1449</v>
      </c>
      <c r="D3388" s="27" t="s">
        <v>1450</v>
      </c>
      <c r="F3388" s="27" t="s">
        <v>1453</v>
      </c>
      <c r="H3388" s="27" t="s">
        <v>1454</v>
      </c>
      <c r="L3388" s="27" t="s">
        <v>2153</v>
      </c>
      <c r="M3388" s="27" t="s">
        <v>1717</v>
      </c>
      <c r="N3388" s="27" t="s">
        <v>1280</v>
      </c>
      <c r="P3388" s="27" t="s">
        <v>5278</v>
      </c>
      <c r="Q3388" s="26" t="str">
        <f>HYPERLINK("https://ictv.global/taxonomy/taxondetails?taxnode_id=202508014&amp;ictv_id=ICTV201908014","ICTV201908014")</f>
        <v>ICTV201908014</v>
      </c>
      <c r="R3388" t="s">
        <v>579</v>
      </c>
      <c r="S3388" t="s">
        <v>824</v>
      </c>
      <c r="T3388">
        <v>37</v>
      </c>
      <c r="U3388" s="26" t="str">
        <f>HYPERLINK("https://ictv.global/ictv/proposals/2021.010B.R.Binomial_names.zip","2021.010B.R.Binomial_names.zip")</f>
        <v>2021.010B.R.Binomial_names.zip</v>
      </c>
    </row>
    <row r="3389" spans="1:21">
      <c r="A3389">
        <v>3388</v>
      </c>
      <c r="B3389" s="27" t="s">
        <v>1449</v>
      </c>
      <c r="D3389" s="27" t="s">
        <v>1450</v>
      </c>
      <c r="F3389" s="27" t="s">
        <v>1453</v>
      </c>
      <c r="H3389" s="27" t="s">
        <v>1454</v>
      </c>
      <c r="L3389" s="27" t="s">
        <v>2153</v>
      </c>
      <c r="M3389" s="27" t="s">
        <v>2154</v>
      </c>
      <c r="N3389" s="27" t="s">
        <v>2155</v>
      </c>
      <c r="P3389" s="27" t="s">
        <v>5279</v>
      </c>
      <c r="Q3389" s="26" t="str">
        <f>HYPERLINK("https://ictv.global/taxonomy/taxondetails?taxnode_id=202513054&amp;ictv_id=ICTV202113054","ICTV202113054")</f>
        <v>ICTV202113054</v>
      </c>
      <c r="R3389" t="s">
        <v>579</v>
      </c>
      <c r="S3389" t="s">
        <v>823</v>
      </c>
      <c r="T3389">
        <v>37</v>
      </c>
      <c r="U3389" s="26" t="str">
        <f>HYPERLINK("https://ictv.global/ictv/proposals/2021.020B.R.Copernicusvirus.zip","2021.020B.R.Copernicusvirus.zip")</f>
        <v>2021.020B.R.Copernicusvirus.zip</v>
      </c>
    </row>
    <row r="3390" spans="1:21">
      <c r="A3390">
        <v>3389</v>
      </c>
      <c r="B3390" s="27" t="s">
        <v>1449</v>
      </c>
      <c r="D3390" s="27" t="s">
        <v>1450</v>
      </c>
      <c r="F3390" s="27" t="s">
        <v>1453</v>
      </c>
      <c r="H3390" s="27" t="s">
        <v>1454</v>
      </c>
      <c r="L3390" s="27" t="s">
        <v>2153</v>
      </c>
      <c r="M3390" s="27" t="s">
        <v>2154</v>
      </c>
      <c r="N3390" s="27" t="s">
        <v>2155</v>
      </c>
      <c r="P3390" s="27" t="s">
        <v>5280</v>
      </c>
      <c r="Q3390" s="26" t="str">
        <f>HYPERLINK("https://ictv.global/taxonomy/taxondetails?taxnode_id=202511693&amp;ictv_id=ICTV202011693","ICTV202011693")</f>
        <v>ICTV202011693</v>
      </c>
      <c r="R3390" t="s">
        <v>579</v>
      </c>
      <c r="S3390" t="s">
        <v>824</v>
      </c>
      <c r="T3390">
        <v>37</v>
      </c>
      <c r="U3390" s="26" t="str">
        <f t="shared" ref="U3390:U3400" si="127">HYPERLINK("https://ictv.global/ictv/proposals/2021.010B.R.Binomial_names.zip","2021.010B.R.Binomial_names.zip")</f>
        <v>2021.010B.R.Binomial_names.zip</v>
      </c>
    </row>
    <row r="3391" spans="1:21">
      <c r="A3391">
        <v>3390</v>
      </c>
      <c r="B3391" s="27" t="s">
        <v>1449</v>
      </c>
      <c r="D3391" s="27" t="s">
        <v>1450</v>
      </c>
      <c r="F3391" s="27" t="s">
        <v>1453</v>
      </c>
      <c r="H3391" s="27" t="s">
        <v>1454</v>
      </c>
      <c r="L3391" s="27" t="s">
        <v>2153</v>
      </c>
      <c r="M3391" s="27" t="s">
        <v>2154</v>
      </c>
      <c r="N3391" s="27" t="s">
        <v>2155</v>
      </c>
      <c r="P3391" s="27" t="s">
        <v>5281</v>
      </c>
      <c r="Q3391" s="26" t="str">
        <f>HYPERLINK("https://ictv.global/taxonomy/taxondetails?taxnode_id=202511694&amp;ictv_id=ICTV202011694","ICTV202011694")</f>
        <v>ICTV202011694</v>
      </c>
      <c r="R3391" t="s">
        <v>579</v>
      </c>
      <c r="S3391" t="s">
        <v>824</v>
      </c>
      <c r="T3391">
        <v>37</v>
      </c>
      <c r="U3391" s="26" t="str">
        <f t="shared" si="127"/>
        <v>2021.010B.R.Binomial_names.zip</v>
      </c>
    </row>
    <row r="3392" spans="1:21">
      <c r="A3392">
        <v>3391</v>
      </c>
      <c r="B3392" s="27" t="s">
        <v>1449</v>
      </c>
      <c r="D3392" s="27" t="s">
        <v>1450</v>
      </c>
      <c r="F3392" s="27" t="s">
        <v>1453</v>
      </c>
      <c r="H3392" s="27" t="s">
        <v>1454</v>
      </c>
      <c r="L3392" s="27" t="s">
        <v>2153</v>
      </c>
      <c r="M3392" s="27" t="s">
        <v>2154</v>
      </c>
      <c r="N3392" s="27" t="s">
        <v>2155</v>
      </c>
      <c r="P3392" s="27" t="s">
        <v>5282</v>
      </c>
      <c r="Q3392" s="26" t="str">
        <f>HYPERLINK("https://ictv.global/taxonomy/taxondetails?taxnode_id=202511695&amp;ictv_id=ICTV202011695","ICTV202011695")</f>
        <v>ICTV202011695</v>
      </c>
      <c r="R3392" t="s">
        <v>579</v>
      </c>
      <c r="S3392" t="s">
        <v>824</v>
      </c>
      <c r="T3392">
        <v>37</v>
      </c>
      <c r="U3392" s="26" t="str">
        <f t="shared" si="127"/>
        <v>2021.010B.R.Binomial_names.zip</v>
      </c>
    </row>
    <row r="3393" spans="1:21">
      <c r="A3393">
        <v>3392</v>
      </c>
      <c r="B3393" s="27" t="s">
        <v>1449</v>
      </c>
      <c r="D3393" s="27" t="s">
        <v>1450</v>
      </c>
      <c r="F3393" s="27" t="s">
        <v>1453</v>
      </c>
      <c r="H3393" s="27" t="s">
        <v>1454</v>
      </c>
      <c r="L3393" s="27" t="s">
        <v>2153</v>
      </c>
      <c r="M3393" s="27" t="s">
        <v>2154</v>
      </c>
      <c r="N3393" s="27" t="s">
        <v>2155</v>
      </c>
      <c r="P3393" s="27" t="s">
        <v>5283</v>
      </c>
      <c r="Q3393" s="26" t="str">
        <f>HYPERLINK("https://ictv.global/taxonomy/taxondetails?taxnode_id=202511701&amp;ictv_id=ICTV202011701","ICTV202011701")</f>
        <v>ICTV202011701</v>
      </c>
      <c r="R3393" t="s">
        <v>579</v>
      </c>
      <c r="S3393" t="s">
        <v>824</v>
      </c>
      <c r="T3393">
        <v>37</v>
      </c>
      <c r="U3393" s="26" t="str">
        <f t="shared" si="127"/>
        <v>2021.010B.R.Binomial_names.zip</v>
      </c>
    </row>
    <row r="3394" spans="1:21">
      <c r="A3394">
        <v>3393</v>
      </c>
      <c r="B3394" s="27" t="s">
        <v>1449</v>
      </c>
      <c r="D3394" s="27" t="s">
        <v>1450</v>
      </c>
      <c r="F3394" s="27" t="s">
        <v>1453</v>
      </c>
      <c r="H3394" s="27" t="s">
        <v>1454</v>
      </c>
      <c r="L3394" s="27" t="s">
        <v>2153</v>
      </c>
      <c r="M3394" s="27" t="s">
        <v>2154</v>
      </c>
      <c r="N3394" s="27" t="s">
        <v>2155</v>
      </c>
      <c r="P3394" s="27" t="s">
        <v>5284</v>
      </c>
      <c r="Q3394" s="26" t="str">
        <f>HYPERLINK("https://ictv.global/taxonomy/taxondetails?taxnode_id=202511702&amp;ictv_id=ICTV202011702","ICTV202011702")</f>
        <v>ICTV202011702</v>
      </c>
      <c r="R3394" t="s">
        <v>579</v>
      </c>
      <c r="S3394" t="s">
        <v>824</v>
      </c>
      <c r="T3394">
        <v>37</v>
      </c>
      <c r="U3394" s="26" t="str">
        <f t="shared" si="127"/>
        <v>2021.010B.R.Binomial_names.zip</v>
      </c>
    </row>
    <row r="3395" spans="1:21">
      <c r="A3395">
        <v>3394</v>
      </c>
      <c r="B3395" s="27" t="s">
        <v>1449</v>
      </c>
      <c r="D3395" s="27" t="s">
        <v>1450</v>
      </c>
      <c r="F3395" s="27" t="s">
        <v>1453</v>
      </c>
      <c r="H3395" s="27" t="s">
        <v>1454</v>
      </c>
      <c r="L3395" s="27" t="s">
        <v>2153</v>
      </c>
      <c r="M3395" s="27" t="s">
        <v>2154</v>
      </c>
      <c r="N3395" s="27" t="s">
        <v>2155</v>
      </c>
      <c r="P3395" s="27" t="s">
        <v>5285</v>
      </c>
      <c r="Q3395" s="26" t="str">
        <f>HYPERLINK("https://ictv.global/taxonomy/taxondetails?taxnode_id=202511692&amp;ictv_id=ICTV202011692","ICTV202011692")</f>
        <v>ICTV202011692</v>
      </c>
      <c r="R3395" t="s">
        <v>579</v>
      </c>
      <c r="S3395" t="s">
        <v>824</v>
      </c>
      <c r="T3395">
        <v>37</v>
      </c>
      <c r="U3395" s="26" t="str">
        <f t="shared" si="127"/>
        <v>2021.010B.R.Binomial_names.zip</v>
      </c>
    </row>
    <row r="3396" spans="1:21">
      <c r="A3396">
        <v>3395</v>
      </c>
      <c r="B3396" s="27" t="s">
        <v>1449</v>
      </c>
      <c r="D3396" s="27" t="s">
        <v>1450</v>
      </c>
      <c r="F3396" s="27" t="s">
        <v>1453</v>
      </c>
      <c r="H3396" s="27" t="s">
        <v>1454</v>
      </c>
      <c r="L3396" s="27" t="s">
        <v>2153</v>
      </c>
      <c r="M3396" s="27" t="s">
        <v>2154</v>
      </c>
      <c r="N3396" s="27" t="s">
        <v>2155</v>
      </c>
      <c r="P3396" s="27" t="s">
        <v>5286</v>
      </c>
      <c r="Q3396" s="26" t="str">
        <f>HYPERLINK("https://ictv.global/taxonomy/taxondetails?taxnode_id=202511699&amp;ictv_id=ICTV202011699","ICTV202011699")</f>
        <v>ICTV202011699</v>
      </c>
      <c r="R3396" t="s">
        <v>579</v>
      </c>
      <c r="S3396" t="s">
        <v>824</v>
      </c>
      <c r="T3396">
        <v>37</v>
      </c>
      <c r="U3396" s="26" t="str">
        <f t="shared" si="127"/>
        <v>2021.010B.R.Binomial_names.zip</v>
      </c>
    </row>
    <row r="3397" spans="1:21">
      <c r="A3397">
        <v>3396</v>
      </c>
      <c r="B3397" s="27" t="s">
        <v>1449</v>
      </c>
      <c r="D3397" s="27" t="s">
        <v>1450</v>
      </c>
      <c r="F3397" s="27" t="s">
        <v>1453</v>
      </c>
      <c r="H3397" s="27" t="s">
        <v>1454</v>
      </c>
      <c r="L3397" s="27" t="s">
        <v>2153</v>
      </c>
      <c r="M3397" s="27" t="s">
        <v>2154</v>
      </c>
      <c r="N3397" s="27" t="s">
        <v>2155</v>
      </c>
      <c r="P3397" s="27" t="s">
        <v>5287</v>
      </c>
      <c r="Q3397" s="26" t="str">
        <f>HYPERLINK("https://ictv.global/taxonomy/taxondetails?taxnode_id=202511697&amp;ictv_id=ICTV202011697","ICTV202011697")</f>
        <v>ICTV202011697</v>
      </c>
      <c r="R3397" t="s">
        <v>579</v>
      </c>
      <c r="S3397" t="s">
        <v>824</v>
      </c>
      <c r="T3397">
        <v>37</v>
      </c>
      <c r="U3397" s="26" t="str">
        <f t="shared" si="127"/>
        <v>2021.010B.R.Binomial_names.zip</v>
      </c>
    </row>
    <row r="3398" spans="1:21">
      <c r="A3398">
        <v>3397</v>
      </c>
      <c r="B3398" s="27" t="s">
        <v>1449</v>
      </c>
      <c r="D3398" s="27" t="s">
        <v>1450</v>
      </c>
      <c r="F3398" s="27" t="s">
        <v>1453</v>
      </c>
      <c r="H3398" s="27" t="s">
        <v>1454</v>
      </c>
      <c r="L3398" s="27" t="s">
        <v>2153</v>
      </c>
      <c r="M3398" s="27" t="s">
        <v>2154</v>
      </c>
      <c r="N3398" s="27" t="s">
        <v>2155</v>
      </c>
      <c r="P3398" s="27" t="s">
        <v>5288</v>
      </c>
      <c r="Q3398" s="26" t="str">
        <f>HYPERLINK("https://ictv.global/taxonomy/taxondetails?taxnode_id=202511696&amp;ictv_id=ICTV202011696","ICTV202011696")</f>
        <v>ICTV202011696</v>
      </c>
      <c r="R3398" t="s">
        <v>579</v>
      </c>
      <c r="S3398" t="s">
        <v>824</v>
      </c>
      <c r="T3398">
        <v>37</v>
      </c>
      <c r="U3398" s="26" t="str">
        <f t="shared" si="127"/>
        <v>2021.010B.R.Binomial_names.zip</v>
      </c>
    </row>
    <row r="3399" spans="1:21">
      <c r="A3399">
        <v>3398</v>
      </c>
      <c r="B3399" s="27" t="s">
        <v>1449</v>
      </c>
      <c r="D3399" s="27" t="s">
        <v>1450</v>
      </c>
      <c r="F3399" s="27" t="s">
        <v>1453</v>
      </c>
      <c r="H3399" s="27" t="s">
        <v>1454</v>
      </c>
      <c r="L3399" s="27" t="s">
        <v>2153</v>
      </c>
      <c r="M3399" s="27" t="s">
        <v>2154</v>
      </c>
      <c r="N3399" s="27" t="s">
        <v>2155</v>
      </c>
      <c r="P3399" s="27" t="s">
        <v>5289</v>
      </c>
      <c r="Q3399" s="26" t="str">
        <f>HYPERLINK("https://ictv.global/taxonomy/taxondetails?taxnode_id=202511698&amp;ictv_id=ICTV202011698","ICTV202011698")</f>
        <v>ICTV202011698</v>
      </c>
      <c r="R3399" t="s">
        <v>579</v>
      </c>
      <c r="S3399" t="s">
        <v>824</v>
      </c>
      <c r="T3399">
        <v>37</v>
      </c>
      <c r="U3399" s="26" t="str">
        <f t="shared" si="127"/>
        <v>2021.010B.R.Binomial_names.zip</v>
      </c>
    </row>
    <row r="3400" spans="1:21">
      <c r="A3400">
        <v>3399</v>
      </c>
      <c r="B3400" s="27" t="s">
        <v>1449</v>
      </c>
      <c r="D3400" s="27" t="s">
        <v>1450</v>
      </c>
      <c r="F3400" s="27" t="s">
        <v>1453</v>
      </c>
      <c r="H3400" s="27" t="s">
        <v>1454</v>
      </c>
      <c r="L3400" s="27" t="s">
        <v>2153</v>
      </c>
      <c r="M3400" s="27" t="s">
        <v>2154</v>
      </c>
      <c r="N3400" s="27" t="s">
        <v>2155</v>
      </c>
      <c r="P3400" s="27" t="s">
        <v>5290</v>
      </c>
      <c r="Q3400" s="26" t="str">
        <f>HYPERLINK("https://ictv.global/taxonomy/taxondetails?taxnode_id=202511700&amp;ictv_id=ICTV202011700","ICTV202011700")</f>
        <v>ICTV202011700</v>
      </c>
      <c r="R3400" t="s">
        <v>579</v>
      </c>
      <c r="S3400" t="s">
        <v>824</v>
      </c>
      <c r="T3400">
        <v>37</v>
      </c>
      <c r="U3400" s="26" t="str">
        <f t="shared" si="127"/>
        <v>2021.010B.R.Binomial_names.zip</v>
      </c>
    </row>
    <row r="3401" spans="1:21">
      <c r="A3401">
        <v>3400</v>
      </c>
      <c r="B3401" s="27" t="s">
        <v>1449</v>
      </c>
      <c r="D3401" s="27" t="s">
        <v>1450</v>
      </c>
      <c r="F3401" s="27" t="s">
        <v>1453</v>
      </c>
      <c r="H3401" s="27" t="s">
        <v>1454</v>
      </c>
      <c r="L3401" s="27" t="s">
        <v>2153</v>
      </c>
      <c r="M3401" s="27" t="s">
        <v>2154</v>
      </c>
      <c r="N3401" s="27" t="s">
        <v>2155</v>
      </c>
      <c r="P3401" s="27" t="s">
        <v>5291</v>
      </c>
      <c r="Q3401" s="26" t="str">
        <f>HYPERLINK("https://ictv.global/taxonomy/taxondetails?taxnode_id=202514564&amp;ictv_id=ICTV202214564","ICTV202214564")</f>
        <v>ICTV202214564</v>
      </c>
      <c r="R3401" t="s">
        <v>579</v>
      </c>
      <c r="S3401" t="s">
        <v>823</v>
      </c>
      <c r="T3401">
        <v>38</v>
      </c>
      <c r="U3401" s="26" t="str">
        <f>HYPERLINK("https://ictv.global/ictv/proposals/2022.026B.Copernicusvirus_1nsp.zip","2022.026B.Copernicusvirus_1nsp.zip")</f>
        <v>2022.026B.Copernicusvirus_1nsp.zip</v>
      </c>
    </row>
    <row r="3402" spans="1:21">
      <c r="A3402">
        <v>3401</v>
      </c>
      <c r="B3402" s="27" t="s">
        <v>1449</v>
      </c>
      <c r="D3402" s="27" t="s">
        <v>1450</v>
      </c>
      <c r="F3402" s="27" t="s">
        <v>1453</v>
      </c>
      <c r="H3402" s="27" t="s">
        <v>1454</v>
      </c>
      <c r="L3402" s="27" t="s">
        <v>2153</v>
      </c>
      <c r="M3402" s="27" t="s">
        <v>2154</v>
      </c>
      <c r="N3402" s="27" t="s">
        <v>2156</v>
      </c>
      <c r="P3402" s="27" t="s">
        <v>5292</v>
      </c>
      <c r="Q3402" s="26" t="str">
        <f>HYPERLINK("https://ictv.global/taxonomy/taxondetails?taxnode_id=202511690&amp;ictv_id=ICTV202011690","ICTV202011690")</f>
        <v>ICTV202011690</v>
      </c>
      <c r="R3402" t="s">
        <v>579</v>
      </c>
      <c r="S3402" t="s">
        <v>824</v>
      </c>
      <c r="T3402">
        <v>37</v>
      </c>
      <c r="U3402" s="26" t="str">
        <f>HYPERLINK("https://ictv.global/ictv/proposals/2021.010B.R.Binomial_names.zip","2021.010B.R.Binomial_names.zip")</f>
        <v>2021.010B.R.Binomial_names.zip</v>
      </c>
    </row>
    <row r="3403" spans="1:21">
      <c r="A3403">
        <v>3402</v>
      </c>
      <c r="B3403" s="27" t="s">
        <v>1449</v>
      </c>
      <c r="D3403" s="27" t="s">
        <v>1450</v>
      </c>
      <c r="F3403" s="27" t="s">
        <v>1453</v>
      </c>
      <c r="H3403" s="27" t="s">
        <v>1454</v>
      </c>
      <c r="L3403" s="27" t="s">
        <v>2153</v>
      </c>
      <c r="M3403" s="27" t="s">
        <v>2154</v>
      </c>
      <c r="N3403" s="27" t="s">
        <v>2156</v>
      </c>
      <c r="P3403" s="27" t="s">
        <v>5293</v>
      </c>
      <c r="Q3403" s="26" t="str">
        <f>HYPERLINK("https://ictv.global/taxonomy/taxondetails?taxnode_id=202511689&amp;ictv_id=ICTV202011689","ICTV202011689")</f>
        <v>ICTV202011689</v>
      </c>
      <c r="R3403" t="s">
        <v>579</v>
      </c>
      <c r="S3403" t="s">
        <v>824</v>
      </c>
      <c r="T3403">
        <v>37</v>
      </c>
      <c r="U3403" s="26" t="str">
        <f>HYPERLINK("https://ictv.global/ictv/proposals/2021.010B.R.Binomial_names.zip","2021.010B.R.Binomial_names.zip")</f>
        <v>2021.010B.R.Binomial_names.zip</v>
      </c>
    </row>
    <row r="3404" spans="1:21">
      <c r="A3404">
        <v>3403</v>
      </c>
      <c r="B3404" s="27" t="s">
        <v>1449</v>
      </c>
      <c r="D3404" s="27" t="s">
        <v>1450</v>
      </c>
      <c r="F3404" s="27" t="s">
        <v>1453</v>
      </c>
      <c r="H3404" s="27" t="s">
        <v>1454</v>
      </c>
      <c r="L3404" s="27" t="s">
        <v>2153</v>
      </c>
      <c r="N3404" s="27" t="s">
        <v>1719</v>
      </c>
      <c r="P3404" s="27" t="s">
        <v>5294</v>
      </c>
      <c r="Q3404" s="26" t="str">
        <f>HYPERLINK("https://ictv.global/taxonomy/taxondetails?taxnode_id=202500596&amp;ictv_id=ICTV20094406","ICTV20094406")</f>
        <v>ICTV20094406</v>
      </c>
      <c r="R3404" t="s">
        <v>579</v>
      </c>
      <c r="S3404" t="s">
        <v>824</v>
      </c>
      <c r="T3404">
        <v>37</v>
      </c>
      <c r="U3404" s="26" t="str">
        <f>HYPERLINK("https://ictv.global/ictv/proposals/2021.010B.R.Binomial_names.zip","2021.010B.R.Binomial_names.zip")</f>
        <v>2021.010B.R.Binomial_names.zip</v>
      </c>
    </row>
    <row r="3405" spans="1:21">
      <c r="A3405">
        <v>3404</v>
      </c>
      <c r="B3405" s="27" t="s">
        <v>1449</v>
      </c>
      <c r="D3405" s="27" t="s">
        <v>1450</v>
      </c>
      <c r="F3405" s="27" t="s">
        <v>1453</v>
      </c>
      <c r="H3405" s="27" t="s">
        <v>1454</v>
      </c>
      <c r="L3405" s="27" t="s">
        <v>2153</v>
      </c>
      <c r="N3405" s="27" t="s">
        <v>1279</v>
      </c>
      <c r="P3405" s="27" t="s">
        <v>5295</v>
      </c>
      <c r="Q3405" s="26" t="str">
        <f>HYPERLINK("https://ictv.global/taxonomy/taxondetails?taxnode_id=202506293&amp;ictv_id=ICTV201856293","ICTV201856293")</f>
        <v>ICTV201856293</v>
      </c>
      <c r="R3405" t="s">
        <v>579</v>
      </c>
      <c r="S3405" t="s">
        <v>824</v>
      </c>
      <c r="T3405">
        <v>37</v>
      </c>
      <c r="U3405" s="26" t="str">
        <f>HYPERLINK("https://ictv.global/ictv/proposals/2021.010B.R.Binomial_names.zip","2021.010B.R.Binomial_names.zip")</f>
        <v>2021.010B.R.Binomial_names.zip</v>
      </c>
    </row>
    <row r="3406" spans="1:21">
      <c r="A3406">
        <v>3405</v>
      </c>
      <c r="B3406" s="27" t="s">
        <v>1449</v>
      </c>
      <c r="D3406" s="27" t="s">
        <v>1450</v>
      </c>
      <c r="F3406" s="27" t="s">
        <v>1453</v>
      </c>
      <c r="H3406" s="27" t="s">
        <v>1454</v>
      </c>
      <c r="L3406" s="27" t="s">
        <v>11651</v>
      </c>
      <c r="N3406" s="27" t="s">
        <v>11652</v>
      </c>
      <c r="P3406" s="27" t="s">
        <v>11653</v>
      </c>
      <c r="Q3406" s="26" t="str">
        <f>HYPERLINK("https://ictv.global/taxonomy/taxondetails?taxnode_id=202519259&amp;ictv_id=ICTV202319259","ICTV202319259")</f>
        <v>ICTV202319259</v>
      </c>
      <c r="R3406" t="s">
        <v>579</v>
      </c>
      <c r="S3406" t="s">
        <v>823</v>
      </c>
      <c r="T3406">
        <v>39</v>
      </c>
      <c r="U3406" s="26" t="str">
        <f t="shared" ref="U3406:U3415" si="128">HYPERLINK("https://ictv.global/ictv/proposals/2023.057B.Saffermanviridae_nf.zip","2023.057B.Saffermanviridae_nf.zip")</f>
        <v>2023.057B.Saffermanviridae_nf.zip</v>
      </c>
    </row>
    <row r="3407" spans="1:21">
      <c r="A3407">
        <v>3406</v>
      </c>
      <c r="B3407" s="27" t="s">
        <v>1449</v>
      </c>
      <c r="D3407" s="27" t="s">
        <v>1450</v>
      </c>
      <c r="F3407" s="27" t="s">
        <v>1453</v>
      </c>
      <c r="H3407" s="27" t="s">
        <v>1454</v>
      </c>
      <c r="L3407" s="27" t="s">
        <v>11651</v>
      </c>
      <c r="N3407" s="27" t="s">
        <v>2145</v>
      </c>
      <c r="P3407" s="27" t="s">
        <v>7261</v>
      </c>
      <c r="Q3407" s="26" t="str">
        <f>HYPERLINK("https://ictv.global/taxonomy/taxondetails?taxnode_id=202510153&amp;ictv_id=ICTV202010153","ICTV202010153")</f>
        <v>ICTV202010153</v>
      </c>
      <c r="R3407" t="s">
        <v>579</v>
      </c>
      <c r="S3407" t="s">
        <v>22763</v>
      </c>
      <c r="T3407">
        <v>39</v>
      </c>
      <c r="U3407" s="26" t="str">
        <f t="shared" si="128"/>
        <v>2023.057B.Saffermanviridae_nf.zip</v>
      </c>
    </row>
    <row r="3408" spans="1:21">
      <c r="A3408">
        <v>3407</v>
      </c>
      <c r="B3408" s="27" t="s">
        <v>1449</v>
      </c>
      <c r="D3408" s="27" t="s">
        <v>1450</v>
      </c>
      <c r="F3408" s="27" t="s">
        <v>1453</v>
      </c>
      <c r="H3408" s="27" t="s">
        <v>1454</v>
      </c>
      <c r="L3408" s="27" t="s">
        <v>11651</v>
      </c>
      <c r="N3408" s="27" t="s">
        <v>11654</v>
      </c>
      <c r="P3408" s="27" t="s">
        <v>11655</v>
      </c>
      <c r="Q3408" s="26" t="str">
        <f>HYPERLINK("https://ictv.global/taxonomy/taxondetails?taxnode_id=202519262&amp;ictv_id=ICTV202319262","ICTV202319262")</f>
        <v>ICTV202319262</v>
      </c>
      <c r="R3408" t="s">
        <v>579</v>
      </c>
      <c r="S3408" t="s">
        <v>823</v>
      </c>
      <c r="T3408">
        <v>39</v>
      </c>
      <c r="U3408" s="26" t="str">
        <f t="shared" si="128"/>
        <v>2023.057B.Saffermanviridae_nf.zip</v>
      </c>
    </row>
    <row r="3409" spans="1:21">
      <c r="A3409">
        <v>3408</v>
      </c>
      <c r="B3409" s="27" t="s">
        <v>1449</v>
      </c>
      <c r="D3409" s="27" t="s">
        <v>1450</v>
      </c>
      <c r="F3409" s="27" t="s">
        <v>1453</v>
      </c>
      <c r="H3409" s="27" t="s">
        <v>1454</v>
      </c>
      <c r="L3409" s="27" t="s">
        <v>11651</v>
      </c>
      <c r="N3409" s="27" t="s">
        <v>11654</v>
      </c>
      <c r="P3409" s="27" t="s">
        <v>11656</v>
      </c>
      <c r="Q3409" s="26" t="str">
        <f>HYPERLINK("https://ictv.global/taxonomy/taxondetails?taxnode_id=202519257&amp;ictv_id=ICTV202319257","ICTV202319257")</f>
        <v>ICTV202319257</v>
      </c>
      <c r="R3409" t="s">
        <v>579</v>
      </c>
      <c r="S3409" t="s">
        <v>823</v>
      </c>
      <c r="T3409">
        <v>39</v>
      </c>
      <c r="U3409" s="26" t="str">
        <f t="shared" si="128"/>
        <v>2023.057B.Saffermanviridae_nf.zip</v>
      </c>
    </row>
    <row r="3410" spans="1:21">
      <c r="A3410">
        <v>3409</v>
      </c>
      <c r="B3410" s="27" t="s">
        <v>1449</v>
      </c>
      <c r="D3410" s="27" t="s">
        <v>1450</v>
      </c>
      <c r="F3410" s="27" t="s">
        <v>1453</v>
      </c>
      <c r="H3410" s="27" t="s">
        <v>1454</v>
      </c>
      <c r="L3410" s="27" t="s">
        <v>11651</v>
      </c>
      <c r="N3410" s="27" t="s">
        <v>11654</v>
      </c>
      <c r="P3410" s="27" t="s">
        <v>11657</v>
      </c>
      <c r="Q3410" s="26" t="str">
        <f>HYPERLINK("https://ictv.global/taxonomy/taxondetails?taxnode_id=202519261&amp;ictv_id=ICTV202319261","ICTV202319261")</f>
        <v>ICTV202319261</v>
      </c>
      <c r="R3410" t="s">
        <v>579</v>
      </c>
      <c r="S3410" t="s">
        <v>823</v>
      </c>
      <c r="T3410">
        <v>39</v>
      </c>
      <c r="U3410" s="26" t="str">
        <f t="shared" si="128"/>
        <v>2023.057B.Saffermanviridae_nf.zip</v>
      </c>
    </row>
    <row r="3411" spans="1:21">
      <c r="A3411">
        <v>3410</v>
      </c>
      <c r="B3411" s="27" t="s">
        <v>1449</v>
      </c>
      <c r="D3411" s="27" t="s">
        <v>1450</v>
      </c>
      <c r="F3411" s="27" t="s">
        <v>1453</v>
      </c>
      <c r="H3411" s="27" t="s">
        <v>1454</v>
      </c>
      <c r="L3411" s="27" t="s">
        <v>11651</v>
      </c>
      <c r="N3411" s="27" t="s">
        <v>2151</v>
      </c>
      <c r="P3411" s="27" t="s">
        <v>11658</v>
      </c>
      <c r="Q3411" s="26" t="str">
        <f>HYPERLINK("https://ictv.global/taxonomy/taxondetails?taxnode_id=202519260&amp;ictv_id=ICTV202319260","ICTV202319260")</f>
        <v>ICTV202319260</v>
      </c>
      <c r="R3411" t="s">
        <v>579</v>
      </c>
      <c r="S3411" t="s">
        <v>823</v>
      </c>
      <c r="T3411">
        <v>39</v>
      </c>
      <c r="U3411" s="26" t="str">
        <f t="shared" si="128"/>
        <v>2023.057B.Saffermanviridae_nf.zip</v>
      </c>
    </row>
    <row r="3412" spans="1:21">
      <c r="A3412">
        <v>3411</v>
      </c>
      <c r="B3412" s="27" t="s">
        <v>1449</v>
      </c>
      <c r="D3412" s="27" t="s">
        <v>1450</v>
      </c>
      <c r="F3412" s="27" t="s">
        <v>1453</v>
      </c>
      <c r="H3412" s="27" t="s">
        <v>1454</v>
      </c>
      <c r="L3412" s="27" t="s">
        <v>11651</v>
      </c>
      <c r="N3412" s="27" t="s">
        <v>2151</v>
      </c>
      <c r="P3412" s="27" t="s">
        <v>8168</v>
      </c>
      <c r="Q3412" s="26" t="str">
        <f>HYPERLINK("https://ictv.global/taxonomy/taxondetails?taxnode_id=202500705&amp;ictv_id=ICTV20094386","ICTV20094386")</f>
        <v>ICTV20094386</v>
      </c>
      <c r="R3412" t="s">
        <v>579</v>
      </c>
      <c r="S3412" t="s">
        <v>22763</v>
      </c>
      <c r="T3412">
        <v>39</v>
      </c>
      <c r="U3412" s="26" t="str">
        <f t="shared" si="128"/>
        <v>2023.057B.Saffermanviridae_nf.zip</v>
      </c>
    </row>
    <row r="3413" spans="1:21">
      <c r="A3413">
        <v>3412</v>
      </c>
      <c r="B3413" s="27" t="s">
        <v>1449</v>
      </c>
      <c r="D3413" s="27" t="s">
        <v>1450</v>
      </c>
      <c r="F3413" s="27" t="s">
        <v>1453</v>
      </c>
      <c r="H3413" s="27" t="s">
        <v>1454</v>
      </c>
      <c r="L3413" s="27" t="s">
        <v>11651</v>
      </c>
      <c r="N3413" s="27" t="s">
        <v>2152</v>
      </c>
      <c r="P3413" s="27" t="s">
        <v>11659</v>
      </c>
      <c r="Q3413" s="26" t="str">
        <f>HYPERLINK("https://ictv.global/taxonomy/taxondetails?taxnode_id=202519258&amp;ictv_id=ICTV202319258","ICTV202319258")</f>
        <v>ICTV202319258</v>
      </c>
      <c r="R3413" t="s">
        <v>579</v>
      </c>
      <c r="S3413" t="s">
        <v>823</v>
      </c>
      <c r="T3413">
        <v>39</v>
      </c>
      <c r="U3413" s="26" t="str">
        <f t="shared" si="128"/>
        <v>2023.057B.Saffermanviridae_nf.zip</v>
      </c>
    </row>
    <row r="3414" spans="1:21">
      <c r="A3414">
        <v>3413</v>
      </c>
      <c r="B3414" s="27" t="s">
        <v>1449</v>
      </c>
      <c r="D3414" s="27" t="s">
        <v>1450</v>
      </c>
      <c r="F3414" s="27" t="s">
        <v>1453</v>
      </c>
      <c r="H3414" s="27" t="s">
        <v>1454</v>
      </c>
      <c r="L3414" s="27" t="s">
        <v>11651</v>
      </c>
      <c r="N3414" s="27" t="s">
        <v>2152</v>
      </c>
      <c r="P3414" s="27" t="s">
        <v>8169</v>
      </c>
      <c r="Q3414" s="26" t="str">
        <f>HYPERLINK("https://ictv.global/taxonomy/taxondetails?taxnode_id=202512124&amp;ictv_id=ICTV202012124","ICTV202012124")</f>
        <v>ICTV202012124</v>
      </c>
      <c r="R3414" t="s">
        <v>579</v>
      </c>
      <c r="S3414" t="s">
        <v>22763</v>
      </c>
      <c r="T3414">
        <v>39</v>
      </c>
      <c r="U3414" s="26" t="str">
        <f t="shared" si="128"/>
        <v>2023.057B.Saffermanviridae_nf.zip</v>
      </c>
    </row>
    <row r="3415" spans="1:21">
      <c r="A3415">
        <v>3414</v>
      </c>
      <c r="B3415" s="27" t="s">
        <v>1449</v>
      </c>
      <c r="D3415" s="27" t="s">
        <v>1450</v>
      </c>
      <c r="F3415" s="27" t="s">
        <v>1453</v>
      </c>
      <c r="H3415" s="27" t="s">
        <v>1454</v>
      </c>
      <c r="L3415" s="27" t="s">
        <v>11651</v>
      </c>
      <c r="N3415" s="27" t="s">
        <v>2152</v>
      </c>
      <c r="P3415" s="27" t="s">
        <v>8170</v>
      </c>
      <c r="Q3415" s="26" t="str">
        <f>HYPERLINK("https://ictv.global/taxonomy/taxondetails?taxnode_id=202500704&amp;ictv_id=ICTV20094385","ICTV20094385")</f>
        <v>ICTV20094385</v>
      </c>
      <c r="R3415" t="s">
        <v>579</v>
      </c>
      <c r="S3415" t="s">
        <v>22763</v>
      </c>
      <c r="T3415">
        <v>39</v>
      </c>
      <c r="U3415" s="26" t="str">
        <f t="shared" si="128"/>
        <v>2023.057B.Saffermanviridae_nf.zip</v>
      </c>
    </row>
    <row r="3416" spans="1:21">
      <c r="A3416">
        <v>3415</v>
      </c>
      <c r="B3416" s="27" t="s">
        <v>1449</v>
      </c>
      <c r="D3416" s="27" t="s">
        <v>1450</v>
      </c>
      <c r="F3416" s="27" t="s">
        <v>1453</v>
      </c>
      <c r="H3416" s="27" t="s">
        <v>1454</v>
      </c>
      <c r="L3416" s="27" t="s">
        <v>21158</v>
      </c>
      <c r="N3416" s="27" t="s">
        <v>21159</v>
      </c>
      <c r="P3416" s="27" t="s">
        <v>21160</v>
      </c>
      <c r="Q3416" s="26" t="str">
        <f>HYPERLINK("https://ictv.global/taxonomy/taxondetails?taxnode_id=202522079&amp;ictv_id=ICTV202522079","ICTV202522079")</f>
        <v>ICTV202522079</v>
      </c>
      <c r="R3416" t="s">
        <v>579</v>
      </c>
      <c r="S3416" t="s">
        <v>823</v>
      </c>
      <c r="T3416">
        <v>41</v>
      </c>
      <c r="U3416" s="26" t="str">
        <f>HYPERLINK("https://ictv.global/ictv/proposals/2025.002A.Archaeal_Caudoviricetes_8nf.zip","2025.002A.Archaeal_Caudoviricetes_8nf.zip")</f>
        <v>2025.002A.Archaeal_Caudoviricetes_8nf.zip</v>
      </c>
    </row>
    <row r="3417" spans="1:21">
      <c r="A3417">
        <v>3416</v>
      </c>
      <c r="B3417" s="27" t="s">
        <v>1449</v>
      </c>
      <c r="D3417" s="27" t="s">
        <v>1450</v>
      </c>
      <c r="F3417" s="27" t="s">
        <v>1453</v>
      </c>
      <c r="H3417" s="27" t="s">
        <v>1454</v>
      </c>
      <c r="L3417" s="27" t="s">
        <v>21158</v>
      </c>
      <c r="N3417" s="27" t="s">
        <v>21159</v>
      </c>
      <c r="P3417" s="27" t="s">
        <v>21161</v>
      </c>
      <c r="Q3417" s="26" t="str">
        <f>HYPERLINK("https://ictv.global/taxonomy/taxondetails?taxnode_id=202522080&amp;ictv_id=ICTV202522080","ICTV202522080")</f>
        <v>ICTV202522080</v>
      </c>
      <c r="R3417" t="s">
        <v>579</v>
      </c>
      <c r="S3417" t="s">
        <v>823</v>
      </c>
      <c r="T3417">
        <v>41</v>
      </c>
      <c r="U3417" s="26" t="str">
        <f>HYPERLINK("https://ictv.global/ictv/proposals/2025.002A.Archaeal_Caudoviricetes_8nf.zip","2025.002A.Archaeal_Caudoviricetes_8nf.zip")</f>
        <v>2025.002A.Archaeal_Caudoviricetes_8nf.zip</v>
      </c>
    </row>
    <row r="3418" spans="1:21">
      <c r="A3418">
        <v>3417</v>
      </c>
      <c r="B3418" s="27" t="s">
        <v>1449</v>
      </c>
      <c r="D3418" s="27" t="s">
        <v>1450</v>
      </c>
      <c r="F3418" s="27" t="s">
        <v>1453</v>
      </c>
      <c r="H3418" s="27" t="s">
        <v>1454</v>
      </c>
      <c r="L3418" s="27" t="s">
        <v>2157</v>
      </c>
      <c r="M3418" s="27" t="s">
        <v>2158</v>
      </c>
      <c r="N3418" s="27" t="s">
        <v>2159</v>
      </c>
      <c r="P3418" s="27" t="s">
        <v>5296</v>
      </c>
      <c r="Q3418" s="26" t="str">
        <f>HYPERLINK("https://ictv.global/taxonomy/taxondetails?taxnode_id=202511740&amp;ictv_id=ICTV202011740","ICTV202011740")</f>
        <v>ICTV202011740</v>
      </c>
      <c r="R3418" t="s">
        <v>579</v>
      </c>
      <c r="S3418" t="s">
        <v>824</v>
      </c>
      <c r="T3418">
        <v>37</v>
      </c>
      <c r="U3418" s="26" t="str">
        <f>HYPERLINK("https://ictv.global/ictv/proposals/2021.010B.R.Binomial_names.zip","2021.010B.R.Binomial_names.zip")</f>
        <v>2021.010B.R.Binomial_names.zip</v>
      </c>
    </row>
    <row r="3419" spans="1:21">
      <c r="A3419">
        <v>3418</v>
      </c>
      <c r="B3419" s="27" t="s">
        <v>1449</v>
      </c>
      <c r="D3419" s="27" t="s">
        <v>1450</v>
      </c>
      <c r="F3419" s="27" t="s">
        <v>1453</v>
      </c>
      <c r="H3419" s="27" t="s">
        <v>1454</v>
      </c>
      <c r="L3419" s="27" t="s">
        <v>2157</v>
      </c>
      <c r="M3419" s="27" t="s">
        <v>2158</v>
      </c>
      <c r="N3419" s="27" t="s">
        <v>2159</v>
      </c>
      <c r="P3419" s="27" t="s">
        <v>5297</v>
      </c>
      <c r="Q3419" s="26" t="str">
        <f>HYPERLINK("https://ictv.global/taxonomy/taxondetails?taxnode_id=202513049&amp;ictv_id=ICTV202113049","ICTV202113049")</f>
        <v>ICTV202113049</v>
      </c>
      <c r="R3419" t="s">
        <v>579</v>
      </c>
      <c r="S3419" t="s">
        <v>823</v>
      </c>
      <c r="T3419">
        <v>37</v>
      </c>
      <c r="U3419" s="26" t="str">
        <f>HYPERLINK("https://ictv.global/ictv/proposals/2021.017B.R.Claudivirus.zip","2021.017B.R.Claudivirus.zip")</f>
        <v>2021.017B.R.Claudivirus.zip</v>
      </c>
    </row>
    <row r="3420" spans="1:21">
      <c r="A3420">
        <v>3419</v>
      </c>
      <c r="B3420" s="27" t="s">
        <v>1449</v>
      </c>
      <c r="D3420" s="27" t="s">
        <v>1450</v>
      </c>
      <c r="F3420" s="27" t="s">
        <v>1453</v>
      </c>
      <c r="H3420" s="27" t="s">
        <v>1454</v>
      </c>
      <c r="L3420" s="27" t="s">
        <v>2157</v>
      </c>
      <c r="M3420" s="27" t="s">
        <v>2158</v>
      </c>
      <c r="N3420" s="27" t="s">
        <v>2159</v>
      </c>
      <c r="P3420" s="27" t="s">
        <v>5298</v>
      </c>
      <c r="Q3420" s="26" t="str">
        <f>HYPERLINK("https://ictv.global/taxonomy/taxondetails?taxnode_id=202511736&amp;ictv_id=ICTV202011736","ICTV202011736")</f>
        <v>ICTV202011736</v>
      </c>
      <c r="R3420" t="s">
        <v>579</v>
      </c>
      <c r="S3420" t="s">
        <v>824</v>
      </c>
      <c r="T3420">
        <v>37</v>
      </c>
      <c r="U3420" s="26" t="str">
        <f t="shared" ref="U3420:U3426" si="129">HYPERLINK("https://ictv.global/ictv/proposals/2021.010B.R.Binomial_names.zip","2021.010B.R.Binomial_names.zip")</f>
        <v>2021.010B.R.Binomial_names.zip</v>
      </c>
    </row>
    <row r="3421" spans="1:21">
      <c r="A3421">
        <v>3420</v>
      </c>
      <c r="B3421" s="27" t="s">
        <v>1449</v>
      </c>
      <c r="D3421" s="27" t="s">
        <v>1450</v>
      </c>
      <c r="F3421" s="27" t="s">
        <v>1453</v>
      </c>
      <c r="H3421" s="27" t="s">
        <v>1454</v>
      </c>
      <c r="L3421" s="27" t="s">
        <v>2157</v>
      </c>
      <c r="M3421" s="27" t="s">
        <v>2158</v>
      </c>
      <c r="N3421" s="27" t="s">
        <v>2159</v>
      </c>
      <c r="P3421" s="27" t="s">
        <v>5299</v>
      </c>
      <c r="Q3421" s="26" t="str">
        <f>HYPERLINK("https://ictv.global/taxonomy/taxondetails?taxnode_id=202511739&amp;ictv_id=ICTV202011739","ICTV202011739")</f>
        <v>ICTV202011739</v>
      </c>
      <c r="R3421" t="s">
        <v>579</v>
      </c>
      <c r="S3421" t="s">
        <v>824</v>
      </c>
      <c r="T3421">
        <v>37</v>
      </c>
      <c r="U3421" s="26" t="str">
        <f t="shared" si="129"/>
        <v>2021.010B.R.Binomial_names.zip</v>
      </c>
    </row>
    <row r="3422" spans="1:21">
      <c r="A3422">
        <v>3421</v>
      </c>
      <c r="B3422" s="27" t="s">
        <v>1449</v>
      </c>
      <c r="D3422" s="27" t="s">
        <v>1450</v>
      </c>
      <c r="F3422" s="27" t="s">
        <v>1453</v>
      </c>
      <c r="H3422" s="27" t="s">
        <v>1454</v>
      </c>
      <c r="L3422" s="27" t="s">
        <v>2157</v>
      </c>
      <c r="M3422" s="27" t="s">
        <v>2158</v>
      </c>
      <c r="N3422" s="27" t="s">
        <v>2159</v>
      </c>
      <c r="P3422" s="27" t="s">
        <v>5300</v>
      </c>
      <c r="Q3422" s="26" t="str">
        <f>HYPERLINK("https://ictv.global/taxonomy/taxondetails?taxnode_id=202511742&amp;ictv_id=ICTV202011742","ICTV202011742")</f>
        <v>ICTV202011742</v>
      </c>
      <c r="R3422" t="s">
        <v>579</v>
      </c>
      <c r="S3422" t="s">
        <v>824</v>
      </c>
      <c r="T3422">
        <v>37</v>
      </c>
      <c r="U3422" s="26" t="str">
        <f t="shared" si="129"/>
        <v>2021.010B.R.Binomial_names.zip</v>
      </c>
    </row>
    <row r="3423" spans="1:21">
      <c r="A3423">
        <v>3422</v>
      </c>
      <c r="B3423" s="27" t="s">
        <v>1449</v>
      </c>
      <c r="D3423" s="27" t="s">
        <v>1450</v>
      </c>
      <c r="F3423" s="27" t="s">
        <v>1453</v>
      </c>
      <c r="H3423" s="27" t="s">
        <v>1454</v>
      </c>
      <c r="L3423" s="27" t="s">
        <v>2157</v>
      </c>
      <c r="M3423" s="27" t="s">
        <v>2158</v>
      </c>
      <c r="N3423" s="27" t="s">
        <v>2159</v>
      </c>
      <c r="P3423" s="27" t="s">
        <v>5301</v>
      </c>
      <c r="Q3423" s="26" t="str">
        <f>HYPERLINK("https://ictv.global/taxonomy/taxondetails?taxnode_id=202511762&amp;ictv_id=ICTV202011762","ICTV202011762")</f>
        <v>ICTV202011762</v>
      </c>
      <c r="R3423" t="s">
        <v>579</v>
      </c>
      <c r="S3423" t="s">
        <v>824</v>
      </c>
      <c r="T3423">
        <v>37</v>
      </c>
      <c r="U3423" s="26" t="str">
        <f t="shared" si="129"/>
        <v>2021.010B.R.Binomial_names.zip</v>
      </c>
    </row>
    <row r="3424" spans="1:21">
      <c r="A3424">
        <v>3423</v>
      </c>
      <c r="B3424" s="27" t="s">
        <v>1449</v>
      </c>
      <c r="D3424" s="27" t="s">
        <v>1450</v>
      </c>
      <c r="F3424" s="27" t="s">
        <v>1453</v>
      </c>
      <c r="H3424" s="27" t="s">
        <v>1454</v>
      </c>
      <c r="L3424" s="27" t="s">
        <v>2157</v>
      </c>
      <c r="M3424" s="27" t="s">
        <v>2158</v>
      </c>
      <c r="N3424" s="27" t="s">
        <v>2159</v>
      </c>
      <c r="P3424" s="27" t="s">
        <v>5302</v>
      </c>
      <c r="Q3424" s="26" t="str">
        <f>HYPERLINK("https://ictv.global/taxonomy/taxondetails?taxnode_id=202511741&amp;ictv_id=ICTV202011741","ICTV202011741")</f>
        <v>ICTV202011741</v>
      </c>
      <c r="R3424" t="s">
        <v>579</v>
      </c>
      <c r="S3424" t="s">
        <v>824</v>
      </c>
      <c r="T3424">
        <v>37</v>
      </c>
      <c r="U3424" s="26" t="str">
        <f t="shared" si="129"/>
        <v>2021.010B.R.Binomial_names.zip</v>
      </c>
    </row>
    <row r="3425" spans="1:21">
      <c r="A3425">
        <v>3424</v>
      </c>
      <c r="B3425" s="27" t="s">
        <v>1449</v>
      </c>
      <c r="D3425" s="27" t="s">
        <v>1450</v>
      </c>
      <c r="F3425" s="27" t="s">
        <v>1453</v>
      </c>
      <c r="H3425" s="27" t="s">
        <v>1454</v>
      </c>
      <c r="L3425" s="27" t="s">
        <v>2157</v>
      </c>
      <c r="M3425" s="27" t="s">
        <v>2158</v>
      </c>
      <c r="N3425" s="27" t="s">
        <v>2159</v>
      </c>
      <c r="P3425" s="27" t="s">
        <v>5303</v>
      </c>
      <c r="Q3425" s="26" t="str">
        <f>HYPERLINK("https://ictv.global/taxonomy/taxondetails?taxnode_id=202511737&amp;ictv_id=ICTV202011737","ICTV202011737")</f>
        <v>ICTV202011737</v>
      </c>
      <c r="R3425" t="s">
        <v>579</v>
      </c>
      <c r="S3425" t="s">
        <v>824</v>
      </c>
      <c r="T3425">
        <v>37</v>
      </c>
      <c r="U3425" s="26" t="str">
        <f t="shared" si="129"/>
        <v>2021.010B.R.Binomial_names.zip</v>
      </c>
    </row>
    <row r="3426" spans="1:21">
      <c r="A3426">
        <v>3425</v>
      </c>
      <c r="B3426" s="27" t="s">
        <v>1449</v>
      </c>
      <c r="D3426" s="27" t="s">
        <v>1450</v>
      </c>
      <c r="F3426" s="27" t="s">
        <v>1453</v>
      </c>
      <c r="H3426" s="27" t="s">
        <v>1454</v>
      </c>
      <c r="L3426" s="27" t="s">
        <v>2157</v>
      </c>
      <c r="M3426" s="27" t="s">
        <v>2158</v>
      </c>
      <c r="N3426" s="27" t="s">
        <v>2159</v>
      </c>
      <c r="P3426" s="27" t="s">
        <v>5304</v>
      </c>
      <c r="Q3426" s="26" t="str">
        <f>HYPERLINK("https://ictv.global/taxonomy/taxondetails?taxnode_id=202511738&amp;ictv_id=ICTV202011738","ICTV202011738")</f>
        <v>ICTV202011738</v>
      </c>
      <c r="R3426" t="s">
        <v>579</v>
      </c>
      <c r="S3426" t="s">
        <v>824</v>
      </c>
      <c r="T3426">
        <v>37</v>
      </c>
      <c r="U3426" s="26" t="str">
        <f t="shared" si="129"/>
        <v>2021.010B.R.Binomial_names.zip</v>
      </c>
    </row>
    <row r="3427" spans="1:21">
      <c r="A3427">
        <v>3426</v>
      </c>
      <c r="B3427" s="27" t="s">
        <v>1449</v>
      </c>
      <c r="D3427" s="27" t="s">
        <v>1450</v>
      </c>
      <c r="F3427" s="27" t="s">
        <v>1453</v>
      </c>
      <c r="H3427" s="27" t="s">
        <v>1454</v>
      </c>
      <c r="L3427" s="27" t="s">
        <v>2157</v>
      </c>
      <c r="M3427" s="27" t="s">
        <v>2158</v>
      </c>
      <c r="N3427" s="27" t="s">
        <v>2159</v>
      </c>
      <c r="P3427" s="27" t="s">
        <v>5305</v>
      </c>
      <c r="Q3427" s="26" t="str">
        <f>HYPERLINK("https://ictv.global/taxonomy/taxondetails?taxnode_id=202513048&amp;ictv_id=ICTV202113048","ICTV202113048")</f>
        <v>ICTV202113048</v>
      </c>
      <c r="R3427" t="s">
        <v>579</v>
      </c>
      <c r="S3427" t="s">
        <v>823</v>
      </c>
      <c r="T3427">
        <v>37</v>
      </c>
      <c r="U3427" s="26" t="str">
        <f>HYPERLINK("https://ictv.global/ictv/proposals/2021.017B.R.Claudivirus.zip","2021.017B.R.Claudivirus.zip")</f>
        <v>2021.017B.R.Claudivirus.zip</v>
      </c>
    </row>
    <row r="3428" spans="1:21">
      <c r="A3428">
        <v>3427</v>
      </c>
      <c r="B3428" s="27" t="s">
        <v>1449</v>
      </c>
      <c r="D3428" s="27" t="s">
        <v>1450</v>
      </c>
      <c r="F3428" s="27" t="s">
        <v>1453</v>
      </c>
      <c r="H3428" s="27" t="s">
        <v>1454</v>
      </c>
      <c r="L3428" s="27" t="s">
        <v>2157</v>
      </c>
      <c r="M3428" s="27" t="s">
        <v>2158</v>
      </c>
      <c r="N3428" s="27" t="s">
        <v>2160</v>
      </c>
      <c r="P3428" s="27" t="s">
        <v>11660</v>
      </c>
      <c r="Q3428" s="26" t="str">
        <f>HYPERLINK("https://ictv.global/taxonomy/taxondetails?taxnode_id=202519265&amp;ictv_id=ICTV202319265","ICTV202319265")</f>
        <v>ICTV202319265</v>
      </c>
      <c r="R3428" t="s">
        <v>579</v>
      </c>
      <c r="S3428" t="s">
        <v>823</v>
      </c>
      <c r="T3428">
        <v>39</v>
      </c>
      <c r="U3428" s="26" t="str">
        <f>HYPERLINK("https://ictv.global/ictv/proposals/2023.058B.Salasmaviridae_ng.zip","2023.058B.Salasmaviridae_ng.zip")</f>
        <v>2023.058B.Salasmaviridae_ng.zip</v>
      </c>
    </row>
    <row r="3429" spans="1:21">
      <c r="A3429">
        <v>3428</v>
      </c>
      <c r="B3429" s="27" t="s">
        <v>1449</v>
      </c>
      <c r="D3429" s="27" t="s">
        <v>1450</v>
      </c>
      <c r="F3429" s="27" t="s">
        <v>1453</v>
      </c>
      <c r="H3429" s="27" t="s">
        <v>1454</v>
      </c>
      <c r="L3429" s="27" t="s">
        <v>2157</v>
      </c>
      <c r="M3429" s="27" t="s">
        <v>2158</v>
      </c>
      <c r="N3429" s="27" t="s">
        <v>2160</v>
      </c>
      <c r="P3429" s="27" t="s">
        <v>5306</v>
      </c>
      <c r="Q3429" s="26" t="str">
        <f>HYPERLINK("https://ictv.global/taxonomy/taxondetails?taxnode_id=202511746&amp;ictv_id=ICTV202011746","ICTV202011746")</f>
        <v>ICTV202011746</v>
      </c>
      <c r="R3429" t="s">
        <v>579</v>
      </c>
      <c r="S3429" t="s">
        <v>824</v>
      </c>
      <c r="T3429">
        <v>37</v>
      </c>
      <c r="U3429" s="26" t="str">
        <f>HYPERLINK("https://ictv.global/ictv/proposals/2021.010B.R.Binomial_names.zip","2021.010B.R.Binomial_names.zip")</f>
        <v>2021.010B.R.Binomial_names.zip</v>
      </c>
    </row>
    <row r="3430" spans="1:21">
      <c r="A3430">
        <v>3429</v>
      </c>
      <c r="B3430" s="27" t="s">
        <v>1449</v>
      </c>
      <c r="D3430" s="27" t="s">
        <v>1450</v>
      </c>
      <c r="F3430" s="27" t="s">
        <v>1453</v>
      </c>
      <c r="H3430" s="27" t="s">
        <v>1454</v>
      </c>
      <c r="L3430" s="27" t="s">
        <v>2157</v>
      </c>
      <c r="M3430" s="27" t="s">
        <v>2158</v>
      </c>
      <c r="N3430" s="27" t="s">
        <v>2160</v>
      </c>
      <c r="P3430" s="27" t="s">
        <v>5307</v>
      </c>
      <c r="Q3430" s="26" t="str">
        <f>HYPERLINK("https://ictv.global/taxonomy/taxondetails?taxnode_id=202511747&amp;ictv_id=ICTV202011747","ICTV202011747")</f>
        <v>ICTV202011747</v>
      </c>
      <c r="R3430" t="s">
        <v>579</v>
      </c>
      <c r="S3430" t="s">
        <v>824</v>
      </c>
      <c r="T3430">
        <v>37</v>
      </c>
      <c r="U3430" s="26" t="str">
        <f>HYPERLINK("https://ictv.global/ictv/proposals/2021.010B.R.Binomial_names.zip","2021.010B.R.Binomial_names.zip")</f>
        <v>2021.010B.R.Binomial_names.zip</v>
      </c>
    </row>
    <row r="3431" spans="1:21">
      <c r="A3431">
        <v>3430</v>
      </c>
      <c r="B3431" s="27" t="s">
        <v>1449</v>
      </c>
      <c r="D3431" s="27" t="s">
        <v>1450</v>
      </c>
      <c r="F3431" s="27" t="s">
        <v>1453</v>
      </c>
      <c r="H3431" s="27" t="s">
        <v>1454</v>
      </c>
      <c r="L3431" s="27" t="s">
        <v>2157</v>
      </c>
      <c r="M3431" s="27" t="s">
        <v>2158</v>
      </c>
      <c r="N3431" s="27" t="s">
        <v>2160</v>
      </c>
      <c r="P3431" s="27" t="s">
        <v>5308</v>
      </c>
      <c r="Q3431" s="26" t="str">
        <f>HYPERLINK("https://ictv.global/taxonomy/taxondetails?taxnode_id=202511748&amp;ictv_id=ICTV202011748","ICTV202011748")</f>
        <v>ICTV202011748</v>
      </c>
      <c r="R3431" t="s">
        <v>579</v>
      </c>
      <c r="S3431" t="s">
        <v>824</v>
      </c>
      <c r="T3431">
        <v>37</v>
      </c>
      <c r="U3431" s="26" t="str">
        <f>HYPERLINK("https://ictv.global/ictv/proposals/2021.010B.R.Binomial_names.zip","2021.010B.R.Binomial_names.zip")</f>
        <v>2021.010B.R.Binomial_names.zip</v>
      </c>
    </row>
    <row r="3432" spans="1:21">
      <c r="A3432">
        <v>3431</v>
      </c>
      <c r="B3432" s="27" t="s">
        <v>1449</v>
      </c>
      <c r="D3432" s="27" t="s">
        <v>1450</v>
      </c>
      <c r="F3432" s="27" t="s">
        <v>1453</v>
      </c>
      <c r="H3432" s="27" t="s">
        <v>1454</v>
      </c>
      <c r="L3432" s="27" t="s">
        <v>2157</v>
      </c>
      <c r="M3432" s="27" t="s">
        <v>2158</v>
      </c>
      <c r="N3432" s="27" t="s">
        <v>2161</v>
      </c>
      <c r="P3432" s="27" t="s">
        <v>5309</v>
      </c>
      <c r="Q3432" s="26" t="str">
        <f>HYPERLINK("https://ictv.global/taxonomy/taxondetails?taxnode_id=202511744&amp;ictv_id=ICTV202011744","ICTV202011744")</f>
        <v>ICTV202011744</v>
      </c>
      <c r="R3432" t="s">
        <v>579</v>
      </c>
      <c r="S3432" t="s">
        <v>824</v>
      </c>
      <c r="T3432">
        <v>37</v>
      </c>
      <c r="U3432" s="26" t="str">
        <f>HYPERLINK("https://ictv.global/ictv/proposals/2021.010B.R.Binomial_names.zip","2021.010B.R.Binomial_names.zip")</f>
        <v>2021.010B.R.Binomial_names.zip</v>
      </c>
    </row>
    <row r="3433" spans="1:21">
      <c r="A3433">
        <v>3432</v>
      </c>
      <c r="B3433" s="27" t="s">
        <v>1449</v>
      </c>
      <c r="D3433" s="27" t="s">
        <v>1450</v>
      </c>
      <c r="F3433" s="27" t="s">
        <v>1453</v>
      </c>
      <c r="H3433" s="27" t="s">
        <v>1454</v>
      </c>
      <c r="L3433" s="27" t="s">
        <v>2157</v>
      </c>
      <c r="M3433" s="27" t="s">
        <v>2158</v>
      </c>
      <c r="N3433" s="27" t="s">
        <v>11661</v>
      </c>
      <c r="P3433" s="27" t="s">
        <v>11662</v>
      </c>
      <c r="Q3433" s="26" t="str">
        <f>HYPERLINK("https://ictv.global/taxonomy/taxondetails?taxnode_id=202519208&amp;ictv_id=ICTV202319208","ICTV202319208")</f>
        <v>ICTV202319208</v>
      </c>
      <c r="R3433" t="s">
        <v>579</v>
      </c>
      <c r="S3433" t="s">
        <v>823</v>
      </c>
      <c r="T3433">
        <v>39</v>
      </c>
      <c r="U3433" s="26" t="str">
        <f>HYPERLINK("https://ictv.global/ictv/proposals/2023.045B.Layangcvirus_ng.zip","2023.045B.Layangcvirus_ng.zip")</f>
        <v>2023.045B.Layangcvirus_ng.zip</v>
      </c>
    </row>
    <row r="3434" spans="1:21">
      <c r="A3434">
        <v>3433</v>
      </c>
      <c r="B3434" s="27" t="s">
        <v>1449</v>
      </c>
      <c r="D3434" s="27" t="s">
        <v>1450</v>
      </c>
      <c r="F3434" s="27" t="s">
        <v>1453</v>
      </c>
      <c r="H3434" s="27" t="s">
        <v>1454</v>
      </c>
      <c r="L3434" s="27" t="s">
        <v>2157</v>
      </c>
      <c r="M3434" s="27" t="s">
        <v>172</v>
      </c>
      <c r="N3434" s="27" t="s">
        <v>11663</v>
      </c>
      <c r="P3434" s="27" t="s">
        <v>11664</v>
      </c>
      <c r="Q3434" s="26" t="str">
        <f>HYPERLINK("https://ictv.global/taxonomy/taxondetails?taxnode_id=202519263&amp;ictv_id=ICTV202319263","ICTV202319263")</f>
        <v>ICTV202319263</v>
      </c>
      <c r="R3434" t="s">
        <v>579</v>
      </c>
      <c r="S3434" t="s">
        <v>823</v>
      </c>
      <c r="T3434">
        <v>39</v>
      </c>
      <c r="U3434" s="26" t="str">
        <f>HYPERLINK("https://ictv.global/ictv/proposals/2023.058B.Salasmaviridae_ng.zip","2023.058B.Salasmaviridae_ng.zip")</f>
        <v>2023.058B.Salasmaviridae_ng.zip</v>
      </c>
    </row>
    <row r="3435" spans="1:21">
      <c r="A3435">
        <v>3434</v>
      </c>
      <c r="B3435" s="27" t="s">
        <v>1449</v>
      </c>
      <c r="D3435" s="27" t="s">
        <v>1450</v>
      </c>
      <c r="F3435" s="27" t="s">
        <v>1453</v>
      </c>
      <c r="H3435" s="27" t="s">
        <v>1454</v>
      </c>
      <c r="L3435" s="27" t="s">
        <v>2157</v>
      </c>
      <c r="M3435" s="27" t="s">
        <v>172</v>
      </c>
      <c r="N3435" s="27" t="s">
        <v>2162</v>
      </c>
      <c r="P3435" s="27" t="s">
        <v>5310</v>
      </c>
      <c r="Q3435" s="26" t="str">
        <f>HYPERLINK("https://ictv.global/taxonomy/taxondetails?taxnode_id=202500598&amp;ictv_id=ICTV20094407","ICTV20094407")</f>
        <v>ICTV20094407</v>
      </c>
      <c r="R3435" t="s">
        <v>579</v>
      </c>
      <c r="S3435" t="s">
        <v>824</v>
      </c>
      <c r="T3435">
        <v>37</v>
      </c>
      <c r="U3435" s="26" t="str">
        <f t="shared" ref="U3435:U3443" si="130">HYPERLINK("https://ictv.global/ictv/proposals/2021.010B.R.Binomial_names.zip","2021.010B.R.Binomial_names.zip")</f>
        <v>2021.010B.R.Binomial_names.zip</v>
      </c>
    </row>
    <row r="3436" spans="1:21">
      <c r="A3436">
        <v>3435</v>
      </c>
      <c r="B3436" s="27" t="s">
        <v>1449</v>
      </c>
      <c r="D3436" s="27" t="s">
        <v>1450</v>
      </c>
      <c r="F3436" s="27" t="s">
        <v>1453</v>
      </c>
      <c r="H3436" s="27" t="s">
        <v>1454</v>
      </c>
      <c r="L3436" s="27" t="s">
        <v>2157</v>
      </c>
      <c r="M3436" s="27" t="s">
        <v>172</v>
      </c>
      <c r="N3436" s="27" t="s">
        <v>2162</v>
      </c>
      <c r="P3436" s="27" t="s">
        <v>5311</v>
      </c>
      <c r="Q3436" s="26" t="str">
        <f>HYPERLINK("https://ictv.global/taxonomy/taxondetails?taxnode_id=202511729&amp;ictv_id=ICTV202011729","ICTV202011729")</f>
        <v>ICTV202011729</v>
      </c>
      <c r="R3436" t="s">
        <v>579</v>
      </c>
      <c r="S3436" t="s">
        <v>824</v>
      </c>
      <c r="T3436">
        <v>37</v>
      </c>
      <c r="U3436" s="26" t="str">
        <f t="shared" si="130"/>
        <v>2021.010B.R.Binomial_names.zip</v>
      </c>
    </row>
    <row r="3437" spans="1:21">
      <c r="A3437">
        <v>3436</v>
      </c>
      <c r="B3437" s="27" t="s">
        <v>1449</v>
      </c>
      <c r="D3437" s="27" t="s">
        <v>1450</v>
      </c>
      <c r="F3437" s="27" t="s">
        <v>1453</v>
      </c>
      <c r="H3437" s="27" t="s">
        <v>1454</v>
      </c>
      <c r="L3437" s="27" t="s">
        <v>2157</v>
      </c>
      <c r="M3437" s="27" t="s">
        <v>172</v>
      </c>
      <c r="N3437" s="27" t="s">
        <v>2162</v>
      </c>
      <c r="P3437" s="27" t="s">
        <v>5312</v>
      </c>
      <c r="Q3437" s="26" t="str">
        <f>HYPERLINK("https://ictv.global/taxonomy/taxondetails?taxnode_id=202511730&amp;ictv_id=ICTV202011730","ICTV202011730")</f>
        <v>ICTV202011730</v>
      </c>
      <c r="R3437" t="s">
        <v>579</v>
      </c>
      <c r="S3437" t="s">
        <v>824</v>
      </c>
      <c r="T3437">
        <v>37</v>
      </c>
      <c r="U3437" s="26" t="str">
        <f t="shared" si="130"/>
        <v>2021.010B.R.Binomial_names.zip</v>
      </c>
    </row>
    <row r="3438" spans="1:21">
      <c r="A3438">
        <v>3437</v>
      </c>
      <c r="B3438" s="27" t="s">
        <v>1449</v>
      </c>
      <c r="D3438" s="27" t="s">
        <v>1450</v>
      </c>
      <c r="F3438" s="27" t="s">
        <v>1453</v>
      </c>
      <c r="H3438" s="27" t="s">
        <v>1454</v>
      </c>
      <c r="L3438" s="27" t="s">
        <v>2157</v>
      </c>
      <c r="M3438" s="27" t="s">
        <v>172</v>
      </c>
      <c r="N3438" s="27" t="s">
        <v>1281</v>
      </c>
      <c r="P3438" s="27" t="s">
        <v>5313</v>
      </c>
      <c r="Q3438" s="26" t="str">
        <f>HYPERLINK("https://ictv.global/taxonomy/taxondetails?taxnode_id=202511732&amp;ictv_id=ICTV202011732","ICTV202011732")</f>
        <v>ICTV202011732</v>
      </c>
      <c r="R3438" t="s">
        <v>579</v>
      </c>
      <c r="S3438" t="s">
        <v>824</v>
      </c>
      <c r="T3438">
        <v>37</v>
      </c>
      <c r="U3438" s="26" t="str">
        <f t="shared" si="130"/>
        <v>2021.010B.R.Binomial_names.zip</v>
      </c>
    </row>
    <row r="3439" spans="1:21">
      <c r="A3439">
        <v>3438</v>
      </c>
      <c r="B3439" s="27" t="s">
        <v>1449</v>
      </c>
      <c r="D3439" s="27" t="s">
        <v>1450</v>
      </c>
      <c r="F3439" s="27" t="s">
        <v>1453</v>
      </c>
      <c r="H3439" s="27" t="s">
        <v>1454</v>
      </c>
      <c r="L3439" s="27" t="s">
        <v>2157</v>
      </c>
      <c r="M3439" s="27" t="s">
        <v>172</v>
      </c>
      <c r="N3439" s="27" t="s">
        <v>1281</v>
      </c>
      <c r="P3439" s="27" t="s">
        <v>5314</v>
      </c>
      <c r="Q3439" s="26" t="str">
        <f>HYPERLINK("https://ictv.global/taxonomy/taxondetails?taxnode_id=202511733&amp;ictv_id=ICTV202011733","ICTV202011733")</f>
        <v>ICTV202011733</v>
      </c>
      <c r="R3439" t="s">
        <v>579</v>
      </c>
      <c r="S3439" t="s">
        <v>824</v>
      </c>
      <c r="T3439">
        <v>37</v>
      </c>
      <c r="U3439" s="26" t="str">
        <f t="shared" si="130"/>
        <v>2021.010B.R.Binomial_names.zip</v>
      </c>
    </row>
    <row r="3440" spans="1:21">
      <c r="A3440">
        <v>3439</v>
      </c>
      <c r="B3440" s="27" t="s">
        <v>1449</v>
      </c>
      <c r="D3440" s="27" t="s">
        <v>1450</v>
      </c>
      <c r="F3440" s="27" t="s">
        <v>1453</v>
      </c>
      <c r="H3440" s="27" t="s">
        <v>1454</v>
      </c>
      <c r="L3440" s="27" t="s">
        <v>2157</v>
      </c>
      <c r="M3440" s="27" t="s">
        <v>172</v>
      </c>
      <c r="N3440" s="27" t="s">
        <v>1281</v>
      </c>
      <c r="P3440" s="27" t="s">
        <v>5315</v>
      </c>
      <c r="Q3440" s="26" t="str">
        <f>HYPERLINK("https://ictv.global/taxonomy/taxondetails?taxnode_id=202500600&amp;ictv_id=ICTV20073017","ICTV20073017")</f>
        <v>ICTV20073017</v>
      </c>
      <c r="R3440" t="s">
        <v>579</v>
      </c>
      <c r="S3440" t="s">
        <v>824</v>
      </c>
      <c r="T3440">
        <v>37</v>
      </c>
      <c r="U3440" s="26" t="str">
        <f t="shared" si="130"/>
        <v>2021.010B.R.Binomial_names.zip</v>
      </c>
    </row>
    <row r="3441" spans="1:21">
      <c r="A3441">
        <v>3440</v>
      </c>
      <c r="B3441" s="27" t="s">
        <v>1449</v>
      </c>
      <c r="D3441" s="27" t="s">
        <v>1450</v>
      </c>
      <c r="F3441" s="27" t="s">
        <v>1453</v>
      </c>
      <c r="H3441" s="27" t="s">
        <v>1454</v>
      </c>
      <c r="L3441" s="27" t="s">
        <v>2157</v>
      </c>
      <c r="M3441" s="27" t="s">
        <v>172</v>
      </c>
      <c r="N3441" s="27" t="s">
        <v>1281</v>
      </c>
      <c r="P3441" s="27" t="s">
        <v>5316</v>
      </c>
      <c r="Q3441" s="26" t="str">
        <f>HYPERLINK("https://ictv.global/taxonomy/taxondetails?taxnode_id=202511731&amp;ictv_id=ICTV202011731","ICTV202011731")</f>
        <v>ICTV202011731</v>
      </c>
      <c r="R3441" t="s">
        <v>579</v>
      </c>
      <c r="S3441" t="s">
        <v>824</v>
      </c>
      <c r="T3441">
        <v>37</v>
      </c>
      <c r="U3441" s="26" t="str">
        <f t="shared" si="130"/>
        <v>2021.010B.R.Binomial_names.zip</v>
      </c>
    </row>
    <row r="3442" spans="1:21">
      <c r="A3442">
        <v>3441</v>
      </c>
      <c r="B3442" s="27" t="s">
        <v>1449</v>
      </c>
      <c r="D3442" s="27" t="s">
        <v>1450</v>
      </c>
      <c r="F3442" s="27" t="s">
        <v>1453</v>
      </c>
      <c r="H3442" s="27" t="s">
        <v>1454</v>
      </c>
      <c r="L3442" s="27" t="s">
        <v>2157</v>
      </c>
      <c r="M3442" s="27" t="s">
        <v>2163</v>
      </c>
      <c r="N3442" s="27" t="s">
        <v>2164</v>
      </c>
      <c r="P3442" s="27" t="s">
        <v>5317</v>
      </c>
      <c r="Q3442" s="26" t="str">
        <f>HYPERLINK("https://ictv.global/taxonomy/taxondetails?taxnode_id=202500599&amp;ictv_id=ICTV20094408","ICTV20094408")</f>
        <v>ICTV20094408</v>
      </c>
      <c r="R3442" t="s">
        <v>579</v>
      </c>
      <c r="S3442" t="s">
        <v>824</v>
      </c>
      <c r="T3442">
        <v>37</v>
      </c>
      <c r="U3442" s="26" t="str">
        <f t="shared" si="130"/>
        <v>2021.010B.R.Binomial_names.zip</v>
      </c>
    </row>
    <row r="3443" spans="1:21">
      <c r="A3443">
        <v>3442</v>
      </c>
      <c r="B3443" s="27" t="s">
        <v>1449</v>
      </c>
      <c r="D3443" s="27" t="s">
        <v>1450</v>
      </c>
      <c r="F3443" s="27" t="s">
        <v>1453</v>
      </c>
      <c r="H3443" s="27" t="s">
        <v>1454</v>
      </c>
      <c r="L3443" s="27" t="s">
        <v>2157</v>
      </c>
      <c r="M3443" s="27" t="s">
        <v>2163</v>
      </c>
      <c r="N3443" s="27" t="s">
        <v>2164</v>
      </c>
      <c r="P3443" s="27" t="s">
        <v>5318</v>
      </c>
      <c r="Q3443" s="26" t="str">
        <f>HYPERLINK("https://ictv.global/taxonomy/taxondetails?taxnode_id=202511753&amp;ictv_id=ICTV202011753","ICTV202011753")</f>
        <v>ICTV202011753</v>
      </c>
      <c r="R3443" t="s">
        <v>579</v>
      </c>
      <c r="S3443" t="s">
        <v>824</v>
      </c>
      <c r="T3443">
        <v>37</v>
      </c>
      <c r="U3443" s="26" t="str">
        <f t="shared" si="130"/>
        <v>2021.010B.R.Binomial_names.zip</v>
      </c>
    </row>
    <row r="3444" spans="1:21">
      <c r="A3444">
        <v>3443</v>
      </c>
      <c r="B3444" s="27" t="s">
        <v>1449</v>
      </c>
      <c r="D3444" s="27" t="s">
        <v>1450</v>
      </c>
      <c r="F3444" s="27" t="s">
        <v>1453</v>
      </c>
      <c r="H3444" s="27" t="s">
        <v>1454</v>
      </c>
      <c r="L3444" s="27" t="s">
        <v>2157</v>
      </c>
      <c r="M3444" s="27" t="s">
        <v>2163</v>
      </c>
      <c r="N3444" s="27" t="s">
        <v>2164</v>
      </c>
      <c r="P3444" s="27" t="s">
        <v>11665</v>
      </c>
      <c r="Q3444" s="26" t="str">
        <f>HYPERLINK("https://ictv.global/taxonomy/taxondetails?taxnode_id=202519264&amp;ictv_id=ICTV202319264","ICTV202319264")</f>
        <v>ICTV202319264</v>
      </c>
      <c r="R3444" t="s">
        <v>579</v>
      </c>
      <c r="S3444" t="s">
        <v>823</v>
      </c>
      <c r="T3444">
        <v>39</v>
      </c>
      <c r="U3444" s="26" t="str">
        <f>HYPERLINK("https://ictv.global/ictv/proposals/2023.058B.Salasmaviridae_ng.zip","2023.058B.Salasmaviridae_ng.zip")</f>
        <v>2023.058B.Salasmaviridae_ng.zip</v>
      </c>
    </row>
    <row r="3445" spans="1:21">
      <c r="A3445">
        <v>3444</v>
      </c>
      <c r="B3445" s="27" t="s">
        <v>1449</v>
      </c>
      <c r="D3445" s="27" t="s">
        <v>1450</v>
      </c>
      <c r="F3445" s="27" t="s">
        <v>1453</v>
      </c>
      <c r="H3445" s="27" t="s">
        <v>1454</v>
      </c>
      <c r="L3445" s="27" t="s">
        <v>2157</v>
      </c>
      <c r="M3445" s="27" t="s">
        <v>2163</v>
      </c>
      <c r="N3445" s="27" t="s">
        <v>2165</v>
      </c>
      <c r="P3445" s="27" t="s">
        <v>5319</v>
      </c>
      <c r="Q3445" s="26" t="str">
        <f>HYPERLINK("https://ictv.global/taxonomy/taxondetails?taxnode_id=202511751&amp;ictv_id=ICTV202011751","ICTV202011751")</f>
        <v>ICTV202011751</v>
      </c>
      <c r="R3445" t="s">
        <v>579</v>
      </c>
      <c r="S3445" t="s">
        <v>824</v>
      </c>
      <c r="T3445">
        <v>37</v>
      </c>
      <c r="U3445" s="26" t="str">
        <f>HYPERLINK("https://ictv.global/ictv/proposals/2021.010B.R.Binomial_names.zip","2021.010B.R.Binomial_names.zip")</f>
        <v>2021.010B.R.Binomial_names.zip</v>
      </c>
    </row>
    <row r="3446" spans="1:21">
      <c r="A3446">
        <v>3445</v>
      </c>
      <c r="B3446" s="27" t="s">
        <v>1449</v>
      </c>
      <c r="D3446" s="27" t="s">
        <v>1450</v>
      </c>
      <c r="F3446" s="27" t="s">
        <v>1453</v>
      </c>
      <c r="H3446" s="27" t="s">
        <v>1454</v>
      </c>
      <c r="L3446" s="27" t="s">
        <v>2157</v>
      </c>
      <c r="N3446" s="27" t="s">
        <v>2166</v>
      </c>
      <c r="P3446" s="27" t="s">
        <v>5320</v>
      </c>
      <c r="Q3446" s="26" t="str">
        <f>HYPERLINK("https://ictv.global/taxonomy/taxondetails?taxnode_id=202511755&amp;ictv_id=ICTV202011755","ICTV202011755")</f>
        <v>ICTV202011755</v>
      </c>
      <c r="R3446" t="s">
        <v>579</v>
      </c>
      <c r="S3446" t="s">
        <v>824</v>
      </c>
      <c r="T3446">
        <v>37</v>
      </c>
      <c r="U3446" s="26" t="str">
        <f>HYPERLINK("https://ictv.global/ictv/proposals/2021.010B.R.Binomial_names.zip","2021.010B.R.Binomial_names.zip")</f>
        <v>2021.010B.R.Binomial_names.zip</v>
      </c>
    </row>
    <row r="3447" spans="1:21">
      <c r="A3447">
        <v>3446</v>
      </c>
      <c r="B3447" s="27" t="s">
        <v>1449</v>
      </c>
      <c r="D3447" s="27" t="s">
        <v>1450</v>
      </c>
      <c r="F3447" s="27" t="s">
        <v>1453</v>
      </c>
      <c r="H3447" s="27" t="s">
        <v>1454</v>
      </c>
      <c r="L3447" s="27" t="s">
        <v>2157</v>
      </c>
      <c r="N3447" s="27" t="s">
        <v>2166</v>
      </c>
      <c r="P3447" s="27" t="s">
        <v>5321</v>
      </c>
      <c r="Q3447" s="26" t="str">
        <f>HYPERLINK("https://ictv.global/taxonomy/taxondetails?taxnode_id=202511756&amp;ictv_id=ICTV202011756","ICTV202011756")</f>
        <v>ICTV202011756</v>
      </c>
      <c r="R3447" t="s">
        <v>579</v>
      </c>
      <c r="S3447" t="s">
        <v>824</v>
      </c>
      <c r="T3447">
        <v>37</v>
      </c>
      <c r="U3447" s="26" t="str">
        <f>HYPERLINK("https://ictv.global/ictv/proposals/2021.010B.R.Binomial_names.zip","2021.010B.R.Binomial_names.zip")</f>
        <v>2021.010B.R.Binomial_names.zip</v>
      </c>
    </row>
    <row r="3448" spans="1:21">
      <c r="A3448">
        <v>3447</v>
      </c>
      <c r="B3448" s="27" t="s">
        <v>1449</v>
      </c>
      <c r="D3448" s="27" t="s">
        <v>1450</v>
      </c>
      <c r="F3448" s="27" t="s">
        <v>1453</v>
      </c>
      <c r="H3448" s="27" t="s">
        <v>1454</v>
      </c>
      <c r="L3448" s="27" t="s">
        <v>2157</v>
      </c>
      <c r="N3448" s="27" t="s">
        <v>2166</v>
      </c>
      <c r="P3448" s="27" t="s">
        <v>5322</v>
      </c>
      <c r="Q3448" s="26" t="str">
        <f>HYPERLINK("https://ictv.global/taxonomy/taxondetails?taxnode_id=202512983&amp;ictv_id=ICTV202112983","ICTV202112983")</f>
        <v>ICTV202112983</v>
      </c>
      <c r="R3448" t="s">
        <v>579</v>
      </c>
      <c r="S3448" t="s">
        <v>823</v>
      </c>
      <c r="T3448">
        <v>37</v>
      </c>
      <c r="U3448" s="26" t="str">
        <f>HYPERLINK("https://ictv.global/ictv/proposals/2021.014B.R.Bundooravirus.zip","2021.014B.R.Bundooravirus.zip")</f>
        <v>2021.014B.R.Bundooravirus.zip</v>
      </c>
    </row>
    <row r="3449" spans="1:21">
      <c r="A3449">
        <v>3448</v>
      </c>
      <c r="B3449" s="27" t="s">
        <v>1449</v>
      </c>
      <c r="D3449" s="27" t="s">
        <v>1450</v>
      </c>
      <c r="F3449" s="27" t="s">
        <v>1453</v>
      </c>
      <c r="H3449" s="27" t="s">
        <v>1454</v>
      </c>
      <c r="L3449" s="27" t="s">
        <v>2157</v>
      </c>
      <c r="N3449" s="27" t="s">
        <v>2167</v>
      </c>
      <c r="P3449" s="27" t="s">
        <v>5325</v>
      </c>
      <c r="Q3449" s="26" t="str">
        <f>HYPERLINK("https://ictv.global/taxonomy/taxondetails?taxnode_id=202511761&amp;ictv_id=ICTV202011761","ICTV202011761")</f>
        <v>ICTV202011761</v>
      </c>
      <c r="R3449" t="s">
        <v>579</v>
      </c>
      <c r="S3449" t="s">
        <v>824</v>
      </c>
      <c r="T3449">
        <v>37</v>
      </c>
      <c r="U3449" s="26" t="str">
        <f>HYPERLINK("https://ictv.global/ictv/proposals/2021.010B.R.Binomial_names.zip","2021.010B.R.Binomial_names.zip")</f>
        <v>2021.010B.R.Binomial_names.zip</v>
      </c>
    </row>
    <row r="3450" spans="1:21">
      <c r="A3450">
        <v>3449</v>
      </c>
      <c r="B3450" s="27" t="s">
        <v>1449</v>
      </c>
      <c r="D3450" s="27" t="s">
        <v>1450</v>
      </c>
      <c r="F3450" s="27" t="s">
        <v>1453</v>
      </c>
      <c r="H3450" s="27" t="s">
        <v>1454</v>
      </c>
      <c r="L3450" s="27" t="s">
        <v>2157</v>
      </c>
      <c r="N3450" s="27" t="s">
        <v>2167</v>
      </c>
      <c r="P3450" s="27" t="s">
        <v>5326</v>
      </c>
      <c r="Q3450" s="26" t="str">
        <f>HYPERLINK("https://ictv.global/taxonomy/taxondetails?taxnode_id=202511760&amp;ictv_id=ICTV202011760","ICTV202011760")</f>
        <v>ICTV202011760</v>
      </c>
      <c r="R3450" t="s">
        <v>579</v>
      </c>
      <c r="S3450" t="s">
        <v>824</v>
      </c>
      <c r="T3450">
        <v>37</v>
      </c>
      <c r="U3450" s="26" t="str">
        <f>HYPERLINK("https://ictv.global/ictv/proposals/2021.010B.R.Binomial_names.zip","2021.010B.R.Binomial_names.zip")</f>
        <v>2021.010B.R.Binomial_names.zip</v>
      </c>
    </row>
    <row r="3451" spans="1:21">
      <c r="A3451">
        <v>3450</v>
      </c>
      <c r="B3451" s="27" t="s">
        <v>1449</v>
      </c>
      <c r="D3451" s="27" t="s">
        <v>1450</v>
      </c>
      <c r="F3451" s="27" t="s">
        <v>1453</v>
      </c>
      <c r="H3451" s="27" t="s">
        <v>1454</v>
      </c>
      <c r="L3451" s="27" t="s">
        <v>2157</v>
      </c>
      <c r="N3451" s="27" t="s">
        <v>5327</v>
      </c>
      <c r="P3451" s="27" t="s">
        <v>5328</v>
      </c>
      <c r="Q3451" s="26" t="str">
        <f>HYPERLINK("https://ictv.global/taxonomy/taxondetails?taxnode_id=202512346&amp;ictv_id=ICTV202112346","ICTV202112346")</f>
        <v>ICTV202112346</v>
      </c>
      <c r="R3451" t="s">
        <v>579</v>
      </c>
      <c r="S3451" t="s">
        <v>823</v>
      </c>
      <c r="T3451">
        <v>37</v>
      </c>
      <c r="U3451" s="26" t="str">
        <f>HYPERLINK("https://ictv.global/ictv/proposals/2021.037B.R.Huangshavirus.zip","2021.037B.R.Huangshavirus.zip")</f>
        <v>2021.037B.R.Huangshavirus.zip</v>
      </c>
    </row>
    <row r="3452" spans="1:21">
      <c r="A3452">
        <v>3451</v>
      </c>
      <c r="B3452" s="27" t="s">
        <v>1449</v>
      </c>
      <c r="D3452" s="27" t="s">
        <v>1450</v>
      </c>
      <c r="F3452" s="27" t="s">
        <v>1453</v>
      </c>
      <c r="H3452" s="27" t="s">
        <v>1454</v>
      </c>
      <c r="L3452" s="27" t="s">
        <v>2157</v>
      </c>
      <c r="N3452" s="27" t="s">
        <v>2168</v>
      </c>
      <c r="P3452" s="27" t="s">
        <v>5329</v>
      </c>
      <c r="Q3452" s="26" t="str">
        <f>HYPERLINK("https://ictv.global/taxonomy/taxondetails?taxnode_id=202511758&amp;ictv_id=ICTV202011758","ICTV202011758")</f>
        <v>ICTV202011758</v>
      </c>
      <c r="R3452" t="s">
        <v>579</v>
      </c>
      <c r="S3452" t="s">
        <v>824</v>
      </c>
      <c r="T3452">
        <v>37</v>
      </c>
      <c r="U3452" s="26" t="str">
        <f>HYPERLINK("https://ictv.global/ictv/proposals/2021.010B.R.Binomial_names.zip","2021.010B.R.Binomial_names.zip")</f>
        <v>2021.010B.R.Binomial_names.zip</v>
      </c>
    </row>
    <row r="3453" spans="1:21">
      <c r="A3453">
        <v>3452</v>
      </c>
      <c r="B3453" s="27" t="s">
        <v>1449</v>
      </c>
      <c r="D3453" s="27" t="s">
        <v>1450</v>
      </c>
      <c r="F3453" s="27" t="s">
        <v>1453</v>
      </c>
      <c r="H3453" s="27" t="s">
        <v>1454</v>
      </c>
      <c r="L3453" s="27" t="s">
        <v>5330</v>
      </c>
      <c r="N3453" s="27" t="s">
        <v>5331</v>
      </c>
      <c r="P3453" s="27" t="s">
        <v>11666</v>
      </c>
      <c r="Q3453" s="26" t="str">
        <f>HYPERLINK("https://ictv.global/taxonomy/taxondetails?taxnode_id=202512177&amp;ictv_id=ICTV202112177","ICTV202112177")</f>
        <v>ICTV202112177</v>
      </c>
      <c r="R3453" t="s">
        <v>579</v>
      </c>
      <c r="S3453" t="s">
        <v>824</v>
      </c>
      <c r="T3453">
        <v>39</v>
      </c>
      <c r="U3453" s="26" t="str">
        <f>HYPERLINK("https://ictv.global/ictv/proposals/2023.001A.Archaeal_binomials.zip","2023.001A.Archaeal_binomials.zip")</f>
        <v>2023.001A.Archaeal_binomials.zip</v>
      </c>
    </row>
    <row r="3454" spans="1:21">
      <c r="A3454">
        <v>3453</v>
      </c>
      <c r="B3454" s="27" t="s">
        <v>1449</v>
      </c>
      <c r="D3454" s="27" t="s">
        <v>1450</v>
      </c>
      <c r="F3454" s="27" t="s">
        <v>1453</v>
      </c>
      <c r="H3454" s="27" t="s">
        <v>1454</v>
      </c>
      <c r="L3454" s="27" t="s">
        <v>5330</v>
      </c>
      <c r="N3454" s="27" t="s">
        <v>5332</v>
      </c>
      <c r="P3454" s="27" t="s">
        <v>11667</v>
      </c>
      <c r="Q3454" s="26" t="str">
        <f>HYPERLINK("https://ictv.global/taxonomy/taxondetails?taxnode_id=202512176&amp;ictv_id=ICTV202112176","ICTV202112176")</f>
        <v>ICTV202112176</v>
      </c>
      <c r="R3454" t="s">
        <v>579</v>
      </c>
      <c r="S3454" t="s">
        <v>824</v>
      </c>
      <c r="T3454">
        <v>39</v>
      </c>
      <c r="U3454" s="26" t="str">
        <f>HYPERLINK("https://ictv.global/ictv/proposals/2023.001A.Archaeal_binomials.zip","2023.001A.Archaeal_binomials.zip")</f>
        <v>2023.001A.Archaeal_binomials.zip</v>
      </c>
    </row>
    <row r="3455" spans="1:21">
      <c r="A3455">
        <v>3454</v>
      </c>
      <c r="B3455" s="27" t="s">
        <v>1449</v>
      </c>
      <c r="D3455" s="27" t="s">
        <v>1450</v>
      </c>
      <c r="F3455" s="27" t="s">
        <v>1453</v>
      </c>
      <c r="H3455" s="27" t="s">
        <v>1454</v>
      </c>
      <c r="L3455" s="27" t="s">
        <v>19650</v>
      </c>
      <c r="M3455" s="27" t="s">
        <v>604</v>
      </c>
      <c r="N3455" s="27" t="s">
        <v>1316</v>
      </c>
      <c r="P3455" s="27" t="s">
        <v>11791</v>
      </c>
      <c r="Q3455" s="26" t="str">
        <f>HYPERLINK("https://ictv.global/taxonomy/taxondetails?taxnode_id=202518277&amp;ictv_id=ICTV202318277","ICTV202318277")</f>
        <v>ICTV202318277</v>
      </c>
      <c r="R3455" t="s">
        <v>579</v>
      </c>
      <c r="S3455" t="s">
        <v>22763</v>
      </c>
      <c r="T3455">
        <v>40</v>
      </c>
      <c r="U3455" s="26" t="str">
        <f t="shared" ref="U3455:U3486" si="131">HYPERLINK("https://ictv.global/ictv/proposals/2024.031B.Sarkviridae_1nf_1msf_2mg.zip","2024.031B.Sarkviridae_1nf_1msf_2mg.zip")</f>
        <v>2024.031B.Sarkviridae_1nf_1msf_2mg.zip</v>
      </c>
    </row>
    <row r="3456" spans="1:21">
      <c r="A3456">
        <v>3455</v>
      </c>
      <c r="B3456" s="27" t="s">
        <v>1449</v>
      </c>
      <c r="D3456" s="27" t="s">
        <v>1450</v>
      </c>
      <c r="F3456" s="27" t="s">
        <v>1453</v>
      </c>
      <c r="H3456" s="27" t="s">
        <v>1454</v>
      </c>
      <c r="L3456" s="27" t="s">
        <v>19650</v>
      </c>
      <c r="M3456" s="27" t="s">
        <v>604</v>
      </c>
      <c r="N3456" s="27" t="s">
        <v>1316</v>
      </c>
      <c r="P3456" s="27" t="s">
        <v>11792</v>
      </c>
      <c r="Q3456" s="26" t="str">
        <f>HYPERLINK("https://ictv.global/taxonomy/taxondetails?taxnode_id=202518281&amp;ictv_id=ICTV202318281","ICTV202318281")</f>
        <v>ICTV202318281</v>
      </c>
      <c r="R3456" t="s">
        <v>579</v>
      </c>
      <c r="S3456" t="s">
        <v>22763</v>
      </c>
      <c r="T3456">
        <v>40</v>
      </c>
      <c r="U3456" s="26" t="str">
        <f t="shared" si="131"/>
        <v>2024.031B.Sarkviridae_1nf_1msf_2mg.zip</v>
      </c>
    </row>
    <row r="3457" spans="1:21">
      <c r="A3457">
        <v>3456</v>
      </c>
      <c r="B3457" s="27" t="s">
        <v>1449</v>
      </c>
      <c r="D3457" s="27" t="s">
        <v>1450</v>
      </c>
      <c r="F3457" s="27" t="s">
        <v>1453</v>
      </c>
      <c r="H3457" s="27" t="s">
        <v>1454</v>
      </c>
      <c r="L3457" s="27" t="s">
        <v>19650</v>
      </c>
      <c r="M3457" s="27" t="s">
        <v>604</v>
      </c>
      <c r="N3457" s="27" t="s">
        <v>1316</v>
      </c>
      <c r="P3457" s="27" t="s">
        <v>11793</v>
      </c>
      <c r="Q3457" s="26" t="str">
        <f>HYPERLINK("https://ictv.global/taxonomy/taxondetails?taxnode_id=202518279&amp;ictv_id=ICTV202318279","ICTV202318279")</f>
        <v>ICTV202318279</v>
      </c>
      <c r="R3457" t="s">
        <v>579</v>
      </c>
      <c r="S3457" t="s">
        <v>22763</v>
      </c>
      <c r="T3457">
        <v>40</v>
      </c>
      <c r="U3457" s="26" t="str">
        <f t="shared" si="131"/>
        <v>2024.031B.Sarkviridae_1nf_1msf_2mg.zip</v>
      </c>
    </row>
    <row r="3458" spans="1:21">
      <c r="A3458">
        <v>3457</v>
      </c>
      <c r="B3458" s="27" t="s">
        <v>1449</v>
      </c>
      <c r="D3458" s="27" t="s">
        <v>1450</v>
      </c>
      <c r="F3458" s="27" t="s">
        <v>1453</v>
      </c>
      <c r="H3458" s="27" t="s">
        <v>1454</v>
      </c>
      <c r="L3458" s="27" t="s">
        <v>19650</v>
      </c>
      <c r="M3458" s="27" t="s">
        <v>604</v>
      </c>
      <c r="N3458" s="27" t="s">
        <v>1316</v>
      </c>
      <c r="P3458" s="27" t="s">
        <v>11794</v>
      </c>
      <c r="Q3458" s="26" t="str">
        <f>HYPERLINK("https://ictv.global/taxonomy/taxondetails?taxnode_id=202518282&amp;ictv_id=ICTV202318282","ICTV202318282")</f>
        <v>ICTV202318282</v>
      </c>
      <c r="R3458" t="s">
        <v>579</v>
      </c>
      <c r="S3458" t="s">
        <v>22763</v>
      </c>
      <c r="T3458">
        <v>40</v>
      </c>
      <c r="U3458" s="26" t="str">
        <f t="shared" si="131"/>
        <v>2024.031B.Sarkviridae_1nf_1msf_2mg.zip</v>
      </c>
    </row>
    <row r="3459" spans="1:21">
      <c r="A3459">
        <v>3458</v>
      </c>
      <c r="B3459" s="27" t="s">
        <v>1449</v>
      </c>
      <c r="D3459" s="27" t="s">
        <v>1450</v>
      </c>
      <c r="F3459" s="27" t="s">
        <v>1453</v>
      </c>
      <c r="H3459" s="27" t="s">
        <v>1454</v>
      </c>
      <c r="L3459" s="27" t="s">
        <v>19650</v>
      </c>
      <c r="M3459" s="27" t="s">
        <v>604</v>
      </c>
      <c r="N3459" s="27" t="s">
        <v>1316</v>
      </c>
      <c r="P3459" s="27" t="s">
        <v>6211</v>
      </c>
      <c r="Q3459" s="26" t="str">
        <f>HYPERLINK("https://ictv.global/taxonomy/taxondetails?taxnode_id=202500786&amp;ictv_id=ICTV20150767","ICTV20150767")</f>
        <v>ICTV20150767</v>
      </c>
      <c r="R3459" t="s">
        <v>579</v>
      </c>
      <c r="S3459" t="s">
        <v>22763</v>
      </c>
      <c r="T3459">
        <v>40</v>
      </c>
      <c r="U3459" s="26" t="str">
        <f t="shared" si="131"/>
        <v>2024.031B.Sarkviridae_1nf_1msf_2mg.zip</v>
      </c>
    </row>
    <row r="3460" spans="1:21">
      <c r="A3460">
        <v>3459</v>
      </c>
      <c r="B3460" s="27" t="s">
        <v>1449</v>
      </c>
      <c r="D3460" s="27" t="s">
        <v>1450</v>
      </c>
      <c r="F3460" s="27" t="s">
        <v>1453</v>
      </c>
      <c r="H3460" s="27" t="s">
        <v>1454</v>
      </c>
      <c r="L3460" s="27" t="s">
        <v>19650</v>
      </c>
      <c r="M3460" s="27" t="s">
        <v>604</v>
      </c>
      <c r="N3460" s="27" t="s">
        <v>1316</v>
      </c>
      <c r="P3460" s="27" t="s">
        <v>11795</v>
      </c>
      <c r="Q3460" s="26" t="str">
        <f>HYPERLINK("https://ictv.global/taxonomy/taxondetails?taxnode_id=202518276&amp;ictv_id=ICTV202318276","ICTV202318276")</f>
        <v>ICTV202318276</v>
      </c>
      <c r="R3460" t="s">
        <v>579</v>
      </c>
      <c r="S3460" t="s">
        <v>22763</v>
      </c>
      <c r="T3460">
        <v>40</v>
      </c>
      <c r="U3460" s="26" t="str">
        <f t="shared" si="131"/>
        <v>2024.031B.Sarkviridae_1nf_1msf_2mg.zip</v>
      </c>
    </row>
    <row r="3461" spans="1:21">
      <c r="A3461">
        <v>3460</v>
      </c>
      <c r="B3461" s="27" t="s">
        <v>1449</v>
      </c>
      <c r="D3461" s="27" t="s">
        <v>1450</v>
      </c>
      <c r="F3461" s="27" t="s">
        <v>1453</v>
      </c>
      <c r="H3461" s="27" t="s">
        <v>1454</v>
      </c>
      <c r="L3461" s="27" t="s">
        <v>19650</v>
      </c>
      <c r="M3461" s="27" t="s">
        <v>604</v>
      </c>
      <c r="N3461" s="27" t="s">
        <v>1316</v>
      </c>
      <c r="P3461" s="27" t="s">
        <v>11796</v>
      </c>
      <c r="Q3461" s="26" t="str">
        <f>HYPERLINK("https://ictv.global/taxonomy/taxondetails?taxnode_id=202518278&amp;ictv_id=ICTV202318278","ICTV202318278")</f>
        <v>ICTV202318278</v>
      </c>
      <c r="R3461" t="s">
        <v>579</v>
      </c>
      <c r="S3461" t="s">
        <v>22763</v>
      </c>
      <c r="T3461">
        <v>40</v>
      </c>
      <c r="U3461" s="26" t="str">
        <f t="shared" si="131"/>
        <v>2024.031B.Sarkviridae_1nf_1msf_2mg.zip</v>
      </c>
    </row>
    <row r="3462" spans="1:21">
      <c r="A3462">
        <v>3461</v>
      </c>
      <c r="B3462" s="27" t="s">
        <v>1449</v>
      </c>
      <c r="D3462" s="27" t="s">
        <v>1450</v>
      </c>
      <c r="F3462" s="27" t="s">
        <v>1453</v>
      </c>
      <c r="H3462" s="27" t="s">
        <v>1454</v>
      </c>
      <c r="L3462" s="27" t="s">
        <v>19650</v>
      </c>
      <c r="M3462" s="27" t="s">
        <v>604</v>
      </c>
      <c r="N3462" s="27" t="s">
        <v>1316</v>
      </c>
      <c r="P3462" s="27" t="s">
        <v>11797</v>
      </c>
      <c r="Q3462" s="26" t="str">
        <f>HYPERLINK("https://ictv.global/taxonomy/taxondetails?taxnode_id=202518283&amp;ictv_id=ICTV202318283","ICTV202318283")</f>
        <v>ICTV202318283</v>
      </c>
      <c r="R3462" t="s">
        <v>579</v>
      </c>
      <c r="S3462" t="s">
        <v>22763</v>
      </c>
      <c r="T3462">
        <v>40</v>
      </c>
      <c r="U3462" s="26" t="str">
        <f t="shared" si="131"/>
        <v>2024.031B.Sarkviridae_1nf_1msf_2mg.zip</v>
      </c>
    </row>
    <row r="3463" spans="1:21">
      <c r="A3463">
        <v>3462</v>
      </c>
      <c r="B3463" s="27" t="s">
        <v>1449</v>
      </c>
      <c r="D3463" s="27" t="s">
        <v>1450</v>
      </c>
      <c r="F3463" s="27" t="s">
        <v>1453</v>
      </c>
      <c r="H3463" s="27" t="s">
        <v>1454</v>
      </c>
      <c r="L3463" s="27" t="s">
        <v>19650</v>
      </c>
      <c r="M3463" s="27" t="s">
        <v>604</v>
      </c>
      <c r="N3463" s="27" t="s">
        <v>1316</v>
      </c>
      <c r="P3463" s="27" t="s">
        <v>11798</v>
      </c>
      <c r="Q3463" s="26" t="str">
        <f>HYPERLINK("https://ictv.global/taxonomy/taxondetails?taxnode_id=202518280&amp;ictv_id=ICTV202318280","ICTV202318280")</f>
        <v>ICTV202318280</v>
      </c>
      <c r="R3463" t="s">
        <v>579</v>
      </c>
      <c r="S3463" t="s">
        <v>22763</v>
      </c>
      <c r="T3463">
        <v>40</v>
      </c>
      <c r="U3463" s="26" t="str">
        <f t="shared" si="131"/>
        <v>2024.031B.Sarkviridae_1nf_1msf_2mg.zip</v>
      </c>
    </row>
    <row r="3464" spans="1:21">
      <c r="A3464">
        <v>3463</v>
      </c>
      <c r="B3464" s="27" t="s">
        <v>1449</v>
      </c>
      <c r="D3464" s="27" t="s">
        <v>1450</v>
      </c>
      <c r="F3464" s="27" t="s">
        <v>1453</v>
      </c>
      <c r="H3464" s="27" t="s">
        <v>1454</v>
      </c>
      <c r="L3464" s="27" t="s">
        <v>19650</v>
      </c>
      <c r="M3464" s="27" t="s">
        <v>604</v>
      </c>
      <c r="N3464" s="27" t="s">
        <v>605</v>
      </c>
      <c r="P3464" s="27" t="s">
        <v>6212</v>
      </c>
      <c r="Q3464" s="26" t="str">
        <f>HYPERLINK("https://ictv.global/taxonomy/taxondetails?taxnode_id=202500767&amp;ictv_id=ICTV20150773","ICTV20150773")</f>
        <v>ICTV20150773</v>
      </c>
      <c r="R3464" t="s">
        <v>579</v>
      </c>
      <c r="S3464" t="s">
        <v>22763</v>
      </c>
      <c r="T3464">
        <v>40</v>
      </c>
      <c r="U3464" s="26" t="str">
        <f t="shared" si="131"/>
        <v>2024.031B.Sarkviridae_1nf_1msf_2mg.zip</v>
      </c>
    </row>
    <row r="3465" spans="1:21">
      <c r="A3465">
        <v>3464</v>
      </c>
      <c r="B3465" s="27" t="s">
        <v>1449</v>
      </c>
      <c r="D3465" s="27" t="s">
        <v>1450</v>
      </c>
      <c r="F3465" s="27" t="s">
        <v>1453</v>
      </c>
      <c r="H3465" s="27" t="s">
        <v>1454</v>
      </c>
      <c r="L3465" s="27" t="s">
        <v>19650</v>
      </c>
      <c r="M3465" s="27" t="s">
        <v>604</v>
      </c>
      <c r="N3465" s="27" t="s">
        <v>605</v>
      </c>
      <c r="P3465" s="27" t="s">
        <v>11799</v>
      </c>
      <c r="Q3465" s="26" t="str">
        <f>HYPERLINK("https://ictv.global/taxonomy/taxondetails?taxnode_id=202519110&amp;ictv_id=ICTV202319110","ICTV202319110")</f>
        <v>ICTV202319110</v>
      </c>
      <c r="R3465" t="s">
        <v>579</v>
      </c>
      <c r="S3465" t="s">
        <v>22763</v>
      </c>
      <c r="T3465">
        <v>40</v>
      </c>
      <c r="U3465" s="26" t="str">
        <f t="shared" si="131"/>
        <v>2024.031B.Sarkviridae_1nf_1msf_2mg.zip</v>
      </c>
    </row>
    <row r="3466" spans="1:21">
      <c r="A3466">
        <v>3465</v>
      </c>
      <c r="B3466" s="27" t="s">
        <v>1449</v>
      </c>
      <c r="D3466" s="27" t="s">
        <v>1450</v>
      </c>
      <c r="F3466" s="27" t="s">
        <v>1453</v>
      </c>
      <c r="H3466" s="27" t="s">
        <v>1454</v>
      </c>
      <c r="L3466" s="27" t="s">
        <v>19650</v>
      </c>
      <c r="M3466" s="27" t="s">
        <v>604</v>
      </c>
      <c r="N3466" s="27" t="s">
        <v>605</v>
      </c>
      <c r="P3466" s="27" t="s">
        <v>11800</v>
      </c>
      <c r="Q3466" s="26" t="str">
        <f>HYPERLINK("https://ictv.global/taxonomy/taxondetails?taxnode_id=202519142&amp;ictv_id=ICTV202319142","ICTV202319142")</f>
        <v>ICTV202319142</v>
      </c>
      <c r="R3466" t="s">
        <v>579</v>
      </c>
      <c r="S3466" t="s">
        <v>22763</v>
      </c>
      <c r="T3466">
        <v>40</v>
      </c>
      <c r="U3466" s="26" t="str">
        <f t="shared" si="131"/>
        <v>2024.031B.Sarkviridae_1nf_1msf_2mg.zip</v>
      </c>
    </row>
    <row r="3467" spans="1:21">
      <c r="A3467">
        <v>3466</v>
      </c>
      <c r="B3467" s="27" t="s">
        <v>1449</v>
      </c>
      <c r="D3467" s="27" t="s">
        <v>1450</v>
      </c>
      <c r="F3467" s="27" t="s">
        <v>1453</v>
      </c>
      <c r="H3467" s="27" t="s">
        <v>1454</v>
      </c>
      <c r="L3467" s="27" t="s">
        <v>19650</v>
      </c>
      <c r="M3467" s="27" t="s">
        <v>604</v>
      </c>
      <c r="N3467" s="27" t="s">
        <v>605</v>
      </c>
      <c r="P3467" s="27" t="s">
        <v>11801</v>
      </c>
      <c r="Q3467" s="26" t="str">
        <f>HYPERLINK("https://ictv.global/taxonomy/taxondetails?taxnode_id=202519139&amp;ictv_id=ICTV202319139","ICTV202319139")</f>
        <v>ICTV202319139</v>
      </c>
      <c r="R3467" t="s">
        <v>579</v>
      </c>
      <c r="S3467" t="s">
        <v>22763</v>
      </c>
      <c r="T3467">
        <v>40</v>
      </c>
      <c r="U3467" s="26" t="str">
        <f t="shared" si="131"/>
        <v>2024.031B.Sarkviridae_1nf_1msf_2mg.zip</v>
      </c>
    </row>
    <row r="3468" spans="1:21">
      <c r="A3468">
        <v>3467</v>
      </c>
      <c r="B3468" s="27" t="s">
        <v>1449</v>
      </c>
      <c r="D3468" s="27" t="s">
        <v>1450</v>
      </c>
      <c r="F3468" s="27" t="s">
        <v>1453</v>
      </c>
      <c r="H3468" s="27" t="s">
        <v>1454</v>
      </c>
      <c r="L3468" s="27" t="s">
        <v>19650</v>
      </c>
      <c r="M3468" s="27" t="s">
        <v>604</v>
      </c>
      <c r="N3468" s="27" t="s">
        <v>605</v>
      </c>
      <c r="P3468" s="27" t="s">
        <v>11802</v>
      </c>
      <c r="Q3468" s="26" t="str">
        <f>HYPERLINK("https://ictv.global/taxonomy/taxondetails?taxnode_id=202519144&amp;ictv_id=ICTV202319144","ICTV202319144")</f>
        <v>ICTV202319144</v>
      </c>
      <c r="R3468" t="s">
        <v>579</v>
      </c>
      <c r="S3468" t="s">
        <v>22763</v>
      </c>
      <c r="T3468">
        <v>40</v>
      </c>
      <c r="U3468" s="26" t="str">
        <f t="shared" si="131"/>
        <v>2024.031B.Sarkviridae_1nf_1msf_2mg.zip</v>
      </c>
    </row>
    <row r="3469" spans="1:21">
      <c r="A3469">
        <v>3468</v>
      </c>
      <c r="B3469" s="27" t="s">
        <v>1449</v>
      </c>
      <c r="D3469" s="27" t="s">
        <v>1450</v>
      </c>
      <c r="F3469" s="27" t="s">
        <v>1453</v>
      </c>
      <c r="H3469" s="27" t="s">
        <v>1454</v>
      </c>
      <c r="L3469" s="27" t="s">
        <v>19650</v>
      </c>
      <c r="M3469" s="27" t="s">
        <v>604</v>
      </c>
      <c r="N3469" s="27" t="s">
        <v>605</v>
      </c>
      <c r="P3469" s="27" t="s">
        <v>11803</v>
      </c>
      <c r="Q3469" s="26" t="str">
        <f>HYPERLINK("https://ictv.global/taxonomy/taxondetails?taxnode_id=202519156&amp;ictv_id=ICTV202319156","ICTV202319156")</f>
        <v>ICTV202319156</v>
      </c>
      <c r="R3469" t="s">
        <v>579</v>
      </c>
      <c r="S3469" t="s">
        <v>22763</v>
      </c>
      <c r="T3469">
        <v>40</v>
      </c>
      <c r="U3469" s="26" t="str">
        <f t="shared" si="131"/>
        <v>2024.031B.Sarkviridae_1nf_1msf_2mg.zip</v>
      </c>
    </row>
    <row r="3470" spans="1:21">
      <c r="A3470">
        <v>3469</v>
      </c>
      <c r="B3470" s="27" t="s">
        <v>1449</v>
      </c>
      <c r="D3470" s="27" t="s">
        <v>1450</v>
      </c>
      <c r="F3470" s="27" t="s">
        <v>1453</v>
      </c>
      <c r="H3470" s="27" t="s">
        <v>1454</v>
      </c>
      <c r="L3470" s="27" t="s">
        <v>19650</v>
      </c>
      <c r="M3470" s="27" t="s">
        <v>604</v>
      </c>
      <c r="N3470" s="27" t="s">
        <v>605</v>
      </c>
      <c r="P3470" s="27" t="s">
        <v>11804</v>
      </c>
      <c r="Q3470" s="26" t="str">
        <f>HYPERLINK("https://ictv.global/taxonomy/taxondetails?taxnode_id=202519138&amp;ictv_id=ICTV202319138","ICTV202319138")</f>
        <v>ICTV202319138</v>
      </c>
      <c r="R3470" t="s">
        <v>579</v>
      </c>
      <c r="S3470" t="s">
        <v>22763</v>
      </c>
      <c r="T3470">
        <v>40</v>
      </c>
      <c r="U3470" s="26" t="str">
        <f t="shared" si="131"/>
        <v>2024.031B.Sarkviridae_1nf_1msf_2mg.zip</v>
      </c>
    </row>
    <row r="3471" spans="1:21">
      <c r="A3471">
        <v>3470</v>
      </c>
      <c r="B3471" s="27" t="s">
        <v>1449</v>
      </c>
      <c r="D3471" s="27" t="s">
        <v>1450</v>
      </c>
      <c r="F3471" s="27" t="s">
        <v>1453</v>
      </c>
      <c r="H3471" s="27" t="s">
        <v>1454</v>
      </c>
      <c r="L3471" s="27" t="s">
        <v>19650</v>
      </c>
      <c r="M3471" s="27" t="s">
        <v>604</v>
      </c>
      <c r="N3471" s="27" t="s">
        <v>605</v>
      </c>
      <c r="P3471" s="27" t="s">
        <v>11805</v>
      </c>
      <c r="Q3471" s="26" t="str">
        <f>HYPERLINK("https://ictv.global/taxonomy/taxondetails?taxnode_id=202519124&amp;ictv_id=ICTV202319124","ICTV202319124")</f>
        <v>ICTV202319124</v>
      </c>
      <c r="R3471" t="s">
        <v>579</v>
      </c>
      <c r="S3471" t="s">
        <v>22763</v>
      </c>
      <c r="T3471">
        <v>40</v>
      </c>
      <c r="U3471" s="26" t="str">
        <f t="shared" si="131"/>
        <v>2024.031B.Sarkviridae_1nf_1msf_2mg.zip</v>
      </c>
    </row>
    <row r="3472" spans="1:21">
      <c r="A3472">
        <v>3471</v>
      </c>
      <c r="B3472" s="27" t="s">
        <v>1449</v>
      </c>
      <c r="D3472" s="27" t="s">
        <v>1450</v>
      </c>
      <c r="F3472" s="27" t="s">
        <v>1453</v>
      </c>
      <c r="H3472" s="27" t="s">
        <v>1454</v>
      </c>
      <c r="L3472" s="27" t="s">
        <v>19650</v>
      </c>
      <c r="M3472" s="27" t="s">
        <v>604</v>
      </c>
      <c r="N3472" s="27" t="s">
        <v>605</v>
      </c>
      <c r="P3472" s="27" t="s">
        <v>11806</v>
      </c>
      <c r="Q3472" s="26" t="str">
        <f>HYPERLINK("https://ictv.global/taxonomy/taxondetails?taxnode_id=202519128&amp;ictv_id=ICTV202319128","ICTV202319128")</f>
        <v>ICTV202319128</v>
      </c>
      <c r="R3472" t="s">
        <v>579</v>
      </c>
      <c r="S3472" t="s">
        <v>22763</v>
      </c>
      <c r="T3472">
        <v>40</v>
      </c>
      <c r="U3472" s="26" t="str">
        <f t="shared" si="131"/>
        <v>2024.031B.Sarkviridae_1nf_1msf_2mg.zip</v>
      </c>
    </row>
    <row r="3473" spans="1:21">
      <c r="A3473">
        <v>3472</v>
      </c>
      <c r="B3473" s="27" t="s">
        <v>1449</v>
      </c>
      <c r="D3473" s="27" t="s">
        <v>1450</v>
      </c>
      <c r="F3473" s="27" t="s">
        <v>1453</v>
      </c>
      <c r="H3473" s="27" t="s">
        <v>1454</v>
      </c>
      <c r="L3473" s="27" t="s">
        <v>19650</v>
      </c>
      <c r="M3473" s="27" t="s">
        <v>604</v>
      </c>
      <c r="N3473" s="27" t="s">
        <v>605</v>
      </c>
      <c r="P3473" s="27" t="s">
        <v>6213</v>
      </c>
      <c r="Q3473" s="26" t="str">
        <f>HYPERLINK("https://ictv.global/taxonomy/taxondetails?taxnode_id=202500768&amp;ictv_id=ICTV20140458","ICTV20140458")</f>
        <v>ICTV20140458</v>
      </c>
      <c r="R3473" t="s">
        <v>579</v>
      </c>
      <c r="S3473" t="s">
        <v>22763</v>
      </c>
      <c r="T3473">
        <v>40</v>
      </c>
      <c r="U3473" s="26" t="str">
        <f t="shared" si="131"/>
        <v>2024.031B.Sarkviridae_1nf_1msf_2mg.zip</v>
      </c>
    </row>
    <row r="3474" spans="1:21">
      <c r="A3474">
        <v>3473</v>
      </c>
      <c r="B3474" s="27" t="s">
        <v>1449</v>
      </c>
      <c r="D3474" s="27" t="s">
        <v>1450</v>
      </c>
      <c r="F3474" s="27" t="s">
        <v>1453</v>
      </c>
      <c r="H3474" s="27" t="s">
        <v>1454</v>
      </c>
      <c r="L3474" s="27" t="s">
        <v>19650</v>
      </c>
      <c r="M3474" s="27" t="s">
        <v>604</v>
      </c>
      <c r="N3474" s="27" t="s">
        <v>605</v>
      </c>
      <c r="P3474" s="27" t="s">
        <v>11807</v>
      </c>
      <c r="Q3474" s="26" t="str">
        <f>HYPERLINK("https://ictv.global/taxonomy/taxondetails?taxnode_id=202519152&amp;ictv_id=ICTV202319152","ICTV202319152")</f>
        <v>ICTV202319152</v>
      </c>
      <c r="R3474" t="s">
        <v>579</v>
      </c>
      <c r="S3474" t="s">
        <v>22763</v>
      </c>
      <c r="T3474">
        <v>40</v>
      </c>
      <c r="U3474" s="26" t="str">
        <f t="shared" si="131"/>
        <v>2024.031B.Sarkviridae_1nf_1msf_2mg.zip</v>
      </c>
    </row>
    <row r="3475" spans="1:21">
      <c r="A3475">
        <v>3474</v>
      </c>
      <c r="B3475" s="27" t="s">
        <v>1449</v>
      </c>
      <c r="D3475" s="27" t="s">
        <v>1450</v>
      </c>
      <c r="F3475" s="27" t="s">
        <v>1453</v>
      </c>
      <c r="H3475" s="27" t="s">
        <v>1454</v>
      </c>
      <c r="L3475" s="27" t="s">
        <v>19650</v>
      </c>
      <c r="M3475" s="27" t="s">
        <v>604</v>
      </c>
      <c r="N3475" s="27" t="s">
        <v>605</v>
      </c>
      <c r="P3475" s="27" t="s">
        <v>11808</v>
      </c>
      <c r="Q3475" s="26" t="str">
        <f>HYPERLINK("https://ictv.global/taxonomy/taxondetails?taxnode_id=202519135&amp;ictv_id=ICTV202319135","ICTV202319135")</f>
        <v>ICTV202319135</v>
      </c>
      <c r="R3475" t="s">
        <v>579</v>
      </c>
      <c r="S3475" t="s">
        <v>22763</v>
      </c>
      <c r="T3475">
        <v>40</v>
      </c>
      <c r="U3475" s="26" t="str">
        <f t="shared" si="131"/>
        <v>2024.031B.Sarkviridae_1nf_1msf_2mg.zip</v>
      </c>
    </row>
    <row r="3476" spans="1:21">
      <c r="A3476">
        <v>3475</v>
      </c>
      <c r="B3476" s="27" t="s">
        <v>1449</v>
      </c>
      <c r="D3476" s="27" t="s">
        <v>1450</v>
      </c>
      <c r="F3476" s="27" t="s">
        <v>1453</v>
      </c>
      <c r="H3476" s="27" t="s">
        <v>1454</v>
      </c>
      <c r="L3476" s="27" t="s">
        <v>19650</v>
      </c>
      <c r="M3476" s="27" t="s">
        <v>604</v>
      </c>
      <c r="N3476" s="27" t="s">
        <v>605</v>
      </c>
      <c r="P3476" s="27" t="s">
        <v>11809</v>
      </c>
      <c r="Q3476" s="26" t="str">
        <f>HYPERLINK("https://ictv.global/taxonomy/taxondetails?taxnode_id=202519134&amp;ictv_id=ICTV202319134","ICTV202319134")</f>
        <v>ICTV202319134</v>
      </c>
      <c r="R3476" t="s">
        <v>579</v>
      </c>
      <c r="S3476" t="s">
        <v>22763</v>
      </c>
      <c r="T3476">
        <v>40</v>
      </c>
      <c r="U3476" s="26" t="str">
        <f t="shared" si="131"/>
        <v>2024.031B.Sarkviridae_1nf_1msf_2mg.zip</v>
      </c>
    </row>
    <row r="3477" spans="1:21">
      <c r="A3477">
        <v>3476</v>
      </c>
      <c r="B3477" s="27" t="s">
        <v>1449</v>
      </c>
      <c r="D3477" s="27" t="s">
        <v>1450</v>
      </c>
      <c r="F3477" s="27" t="s">
        <v>1453</v>
      </c>
      <c r="H3477" s="27" t="s">
        <v>1454</v>
      </c>
      <c r="L3477" s="27" t="s">
        <v>19650</v>
      </c>
      <c r="M3477" s="27" t="s">
        <v>604</v>
      </c>
      <c r="N3477" s="27" t="s">
        <v>605</v>
      </c>
      <c r="P3477" s="27" t="s">
        <v>11810</v>
      </c>
      <c r="Q3477" s="26" t="str">
        <f>HYPERLINK("https://ictv.global/taxonomy/taxondetails?taxnode_id=202519121&amp;ictv_id=ICTV202319121","ICTV202319121")</f>
        <v>ICTV202319121</v>
      </c>
      <c r="R3477" t="s">
        <v>579</v>
      </c>
      <c r="S3477" t="s">
        <v>22763</v>
      </c>
      <c r="T3477">
        <v>40</v>
      </c>
      <c r="U3477" s="26" t="str">
        <f t="shared" si="131"/>
        <v>2024.031B.Sarkviridae_1nf_1msf_2mg.zip</v>
      </c>
    </row>
    <row r="3478" spans="1:21">
      <c r="A3478">
        <v>3477</v>
      </c>
      <c r="B3478" s="27" t="s">
        <v>1449</v>
      </c>
      <c r="D3478" s="27" t="s">
        <v>1450</v>
      </c>
      <c r="F3478" s="27" t="s">
        <v>1453</v>
      </c>
      <c r="H3478" s="27" t="s">
        <v>1454</v>
      </c>
      <c r="L3478" s="27" t="s">
        <v>19650</v>
      </c>
      <c r="M3478" s="27" t="s">
        <v>604</v>
      </c>
      <c r="N3478" s="27" t="s">
        <v>605</v>
      </c>
      <c r="P3478" s="27" t="s">
        <v>11811</v>
      </c>
      <c r="Q3478" s="26" t="str">
        <f>HYPERLINK("https://ictv.global/taxonomy/taxondetails?taxnode_id=202519129&amp;ictv_id=ICTV202319129","ICTV202319129")</f>
        <v>ICTV202319129</v>
      </c>
      <c r="R3478" t="s">
        <v>579</v>
      </c>
      <c r="S3478" t="s">
        <v>22763</v>
      </c>
      <c r="T3478">
        <v>40</v>
      </c>
      <c r="U3478" s="26" t="str">
        <f t="shared" si="131"/>
        <v>2024.031B.Sarkviridae_1nf_1msf_2mg.zip</v>
      </c>
    </row>
    <row r="3479" spans="1:21">
      <c r="A3479">
        <v>3478</v>
      </c>
      <c r="B3479" s="27" t="s">
        <v>1449</v>
      </c>
      <c r="D3479" s="27" t="s">
        <v>1450</v>
      </c>
      <c r="F3479" s="27" t="s">
        <v>1453</v>
      </c>
      <c r="H3479" s="27" t="s">
        <v>1454</v>
      </c>
      <c r="L3479" s="27" t="s">
        <v>19650</v>
      </c>
      <c r="M3479" s="27" t="s">
        <v>604</v>
      </c>
      <c r="N3479" s="27" t="s">
        <v>605</v>
      </c>
      <c r="P3479" s="27" t="s">
        <v>6214</v>
      </c>
      <c r="Q3479" s="26" t="str">
        <f>HYPERLINK("https://ictv.global/taxonomy/taxondetails?taxnode_id=202500769&amp;ictv_id=ICTV20164762","ICTV20164762")</f>
        <v>ICTV20164762</v>
      </c>
      <c r="R3479" t="s">
        <v>579</v>
      </c>
      <c r="S3479" t="s">
        <v>22763</v>
      </c>
      <c r="T3479">
        <v>40</v>
      </c>
      <c r="U3479" s="26" t="str">
        <f t="shared" si="131"/>
        <v>2024.031B.Sarkviridae_1nf_1msf_2mg.zip</v>
      </c>
    </row>
    <row r="3480" spans="1:21">
      <c r="A3480">
        <v>3479</v>
      </c>
      <c r="B3480" s="27" t="s">
        <v>1449</v>
      </c>
      <c r="D3480" s="27" t="s">
        <v>1450</v>
      </c>
      <c r="F3480" s="27" t="s">
        <v>1453</v>
      </c>
      <c r="H3480" s="27" t="s">
        <v>1454</v>
      </c>
      <c r="L3480" s="27" t="s">
        <v>19650</v>
      </c>
      <c r="M3480" s="27" t="s">
        <v>604</v>
      </c>
      <c r="N3480" s="27" t="s">
        <v>605</v>
      </c>
      <c r="P3480" s="27" t="s">
        <v>11812</v>
      </c>
      <c r="Q3480" s="26" t="str">
        <f>HYPERLINK("https://ictv.global/taxonomy/taxondetails?taxnode_id=202519148&amp;ictv_id=ICTV202319148","ICTV202319148")</f>
        <v>ICTV202319148</v>
      </c>
      <c r="R3480" t="s">
        <v>579</v>
      </c>
      <c r="S3480" t="s">
        <v>22763</v>
      </c>
      <c r="T3480">
        <v>40</v>
      </c>
      <c r="U3480" s="26" t="str">
        <f t="shared" si="131"/>
        <v>2024.031B.Sarkviridae_1nf_1msf_2mg.zip</v>
      </c>
    </row>
    <row r="3481" spans="1:21">
      <c r="A3481">
        <v>3480</v>
      </c>
      <c r="B3481" s="27" t="s">
        <v>1449</v>
      </c>
      <c r="D3481" s="27" t="s">
        <v>1450</v>
      </c>
      <c r="F3481" s="27" t="s">
        <v>1453</v>
      </c>
      <c r="H3481" s="27" t="s">
        <v>1454</v>
      </c>
      <c r="L3481" s="27" t="s">
        <v>19650</v>
      </c>
      <c r="M3481" s="27" t="s">
        <v>604</v>
      </c>
      <c r="N3481" s="27" t="s">
        <v>605</v>
      </c>
      <c r="P3481" s="27" t="s">
        <v>11813</v>
      </c>
      <c r="Q3481" s="26" t="str">
        <f>HYPERLINK("https://ictv.global/taxonomy/taxondetails?taxnode_id=202519147&amp;ictv_id=ICTV202319147","ICTV202319147")</f>
        <v>ICTV202319147</v>
      </c>
      <c r="R3481" t="s">
        <v>579</v>
      </c>
      <c r="S3481" t="s">
        <v>22763</v>
      </c>
      <c r="T3481">
        <v>40</v>
      </c>
      <c r="U3481" s="26" t="str">
        <f t="shared" si="131"/>
        <v>2024.031B.Sarkviridae_1nf_1msf_2mg.zip</v>
      </c>
    </row>
    <row r="3482" spans="1:21">
      <c r="A3482">
        <v>3481</v>
      </c>
      <c r="B3482" s="27" t="s">
        <v>1449</v>
      </c>
      <c r="D3482" s="27" t="s">
        <v>1450</v>
      </c>
      <c r="F3482" s="27" t="s">
        <v>1453</v>
      </c>
      <c r="H3482" s="27" t="s">
        <v>1454</v>
      </c>
      <c r="L3482" s="27" t="s">
        <v>19650</v>
      </c>
      <c r="M3482" s="27" t="s">
        <v>604</v>
      </c>
      <c r="N3482" s="27" t="s">
        <v>605</v>
      </c>
      <c r="P3482" s="27" t="s">
        <v>11814</v>
      </c>
      <c r="Q3482" s="26" t="str">
        <f>HYPERLINK("https://ictv.global/taxonomy/taxondetails?taxnode_id=202519108&amp;ictv_id=ICTV202319108","ICTV202319108")</f>
        <v>ICTV202319108</v>
      </c>
      <c r="R3482" t="s">
        <v>579</v>
      </c>
      <c r="S3482" t="s">
        <v>22763</v>
      </c>
      <c r="T3482">
        <v>40</v>
      </c>
      <c r="U3482" s="26" t="str">
        <f t="shared" si="131"/>
        <v>2024.031B.Sarkviridae_1nf_1msf_2mg.zip</v>
      </c>
    </row>
    <row r="3483" spans="1:21">
      <c r="A3483">
        <v>3482</v>
      </c>
      <c r="B3483" s="27" t="s">
        <v>1449</v>
      </c>
      <c r="D3483" s="27" t="s">
        <v>1450</v>
      </c>
      <c r="F3483" s="27" t="s">
        <v>1453</v>
      </c>
      <c r="H3483" s="27" t="s">
        <v>1454</v>
      </c>
      <c r="L3483" s="27" t="s">
        <v>19650</v>
      </c>
      <c r="M3483" s="27" t="s">
        <v>604</v>
      </c>
      <c r="N3483" s="27" t="s">
        <v>605</v>
      </c>
      <c r="P3483" s="27" t="s">
        <v>11815</v>
      </c>
      <c r="Q3483" s="26" t="str">
        <f>HYPERLINK("https://ictv.global/taxonomy/taxondetails?taxnode_id=202519126&amp;ictv_id=ICTV202319126","ICTV202319126")</f>
        <v>ICTV202319126</v>
      </c>
      <c r="R3483" t="s">
        <v>579</v>
      </c>
      <c r="S3483" t="s">
        <v>22763</v>
      </c>
      <c r="T3483">
        <v>40</v>
      </c>
      <c r="U3483" s="26" t="str">
        <f t="shared" si="131"/>
        <v>2024.031B.Sarkviridae_1nf_1msf_2mg.zip</v>
      </c>
    </row>
    <row r="3484" spans="1:21">
      <c r="A3484">
        <v>3483</v>
      </c>
      <c r="B3484" s="27" t="s">
        <v>1449</v>
      </c>
      <c r="D3484" s="27" t="s">
        <v>1450</v>
      </c>
      <c r="F3484" s="27" t="s">
        <v>1453</v>
      </c>
      <c r="H3484" s="27" t="s">
        <v>1454</v>
      </c>
      <c r="L3484" s="27" t="s">
        <v>19650</v>
      </c>
      <c r="M3484" s="27" t="s">
        <v>604</v>
      </c>
      <c r="N3484" s="27" t="s">
        <v>605</v>
      </c>
      <c r="P3484" s="27" t="s">
        <v>6215</v>
      </c>
      <c r="Q3484" s="26" t="str">
        <f>HYPERLINK("https://ictv.global/taxonomy/taxondetails?taxnode_id=202500770&amp;ictv_id=ICTV20140456","ICTV20140456")</f>
        <v>ICTV20140456</v>
      </c>
      <c r="R3484" t="s">
        <v>579</v>
      </c>
      <c r="S3484" t="s">
        <v>22763</v>
      </c>
      <c r="T3484">
        <v>40</v>
      </c>
      <c r="U3484" s="26" t="str">
        <f t="shared" si="131"/>
        <v>2024.031B.Sarkviridae_1nf_1msf_2mg.zip</v>
      </c>
    </row>
    <row r="3485" spans="1:21">
      <c r="A3485">
        <v>3484</v>
      </c>
      <c r="B3485" s="27" t="s">
        <v>1449</v>
      </c>
      <c r="D3485" s="27" t="s">
        <v>1450</v>
      </c>
      <c r="F3485" s="27" t="s">
        <v>1453</v>
      </c>
      <c r="H3485" s="27" t="s">
        <v>1454</v>
      </c>
      <c r="L3485" s="27" t="s">
        <v>19650</v>
      </c>
      <c r="M3485" s="27" t="s">
        <v>604</v>
      </c>
      <c r="N3485" s="27" t="s">
        <v>605</v>
      </c>
      <c r="P3485" s="27" t="s">
        <v>11816</v>
      </c>
      <c r="Q3485" s="26" t="str">
        <f>HYPERLINK("https://ictv.global/taxonomy/taxondetails?taxnode_id=202519118&amp;ictv_id=ICTV202319118","ICTV202319118")</f>
        <v>ICTV202319118</v>
      </c>
      <c r="R3485" t="s">
        <v>579</v>
      </c>
      <c r="S3485" t="s">
        <v>22763</v>
      </c>
      <c r="T3485">
        <v>40</v>
      </c>
      <c r="U3485" s="26" t="str">
        <f t="shared" si="131"/>
        <v>2024.031B.Sarkviridae_1nf_1msf_2mg.zip</v>
      </c>
    </row>
    <row r="3486" spans="1:21">
      <c r="A3486">
        <v>3485</v>
      </c>
      <c r="B3486" s="27" t="s">
        <v>1449</v>
      </c>
      <c r="D3486" s="27" t="s">
        <v>1450</v>
      </c>
      <c r="F3486" s="27" t="s">
        <v>1453</v>
      </c>
      <c r="H3486" s="27" t="s">
        <v>1454</v>
      </c>
      <c r="L3486" s="27" t="s">
        <v>19650</v>
      </c>
      <c r="M3486" s="27" t="s">
        <v>604</v>
      </c>
      <c r="N3486" s="27" t="s">
        <v>605</v>
      </c>
      <c r="P3486" s="27" t="s">
        <v>11817</v>
      </c>
      <c r="Q3486" s="26" t="str">
        <f>HYPERLINK("https://ictv.global/taxonomy/taxondetails?taxnode_id=202519131&amp;ictv_id=ICTV202319131","ICTV202319131")</f>
        <v>ICTV202319131</v>
      </c>
      <c r="R3486" t="s">
        <v>579</v>
      </c>
      <c r="S3486" t="s">
        <v>22763</v>
      </c>
      <c r="T3486">
        <v>40</v>
      </c>
      <c r="U3486" s="26" t="str">
        <f t="shared" si="131"/>
        <v>2024.031B.Sarkviridae_1nf_1msf_2mg.zip</v>
      </c>
    </row>
    <row r="3487" spans="1:21">
      <c r="A3487">
        <v>3486</v>
      </c>
      <c r="B3487" s="27" t="s">
        <v>1449</v>
      </c>
      <c r="D3487" s="27" t="s">
        <v>1450</v>
      </c>
      <c r="F3487" s="27" t="s">
        <v>1453</v>
      </c>
      <c r="H3487" s="27" t="s">
        <v>1454</v>
      </c>
      <c r="L3487" s="27" t="s">
        <v>19650</v>
      </c>
      <c r="M3487" s="27" t="s">
        <v>604</v>
      </c>
      <c r="N3487" s="27" t="s">
        <v>605</v>
      </c>
      <c r="P3487" s="27" t="s">
        <v>11818</v>
      </c>
      <c r="Q3487" s="26" t="str">
        <f>HYPERLINK("https://ictv.global/taxonomy/taxondetails?taxnode_id=202519143&amp;ictv_id=ICTV202319143","ICTV202319143")</f>
        <v>ICTV202319143</v>
      </c>
      <c r="R3487" t="s">
        <v>579</v>
      </c>
      <c r="S3487" t="s">
        <v>22763</v>
      </c>
      <c r="T3487">
        <v>40</v>
      </c>
      <c r="U3487" s="26" t="str">
        <f t="shared" ref="U3487:U3518" si="132">HYPERLINK("https://ictv.global/ictv/proposals/2024.031B.Sarkviridae_1nf_1msf_2mg.zip","2024.031B.Sarkviridae_1nf_1msf_2mg.zip")</f>
        <v>2024.031B.Sarkviridae_1nf_1msf_2mg.zip</v>
      </c>
    </row>
    <row r="3488" spans="1:21">
      <c r="A3488">
        <v>3487</v>
      </c>
      <c r="B3488" s="27" t="s">
        <v>1449</v>
      </c>
      <c r="D3488" s="27" t="s">
        <v>1450</v>
      </c>
      <c r="F3488" s="27" t="s">
        <v>1453</v>
      </c>
      <c r="H3488" s="27" t="s">
        <v>1454</v>
      </c>
      <c r="L3488" s="27" t="s">
        <v>19650</v>
      </c>
      <c r="M3488" s="27" t="s">
        <v>604</v>
      </c>
      <c r="N3488" s="27" t="s">
        <v>605</v>
      </c>
      <c r="P3488" s="27" t="s">
        <v>11819</v>
      </c>
      <c r="Q3488" s="26" t="str">
        <f>HYPERLINK("https://ictv.global/taxonomy/taxondetails?taxnode_id=202519141&amp;ictv_id=ICTV202319141","ICTV202319141")</f>
        <v>ICTV202319141</v>
      </c>
      <c r="R3488" t="s">
        <v>579</v>
      </c>
      <c r="S3488" t="s">
        <v>22763</v>
      </c>
      <c r="T3488">
        <v>40</v>
      </c>
      <c r="U3488" s="26" t="str">
        <f t="shared" si="132"/>
        <v>2024.031B.Sarkviridae_1nf_1msf_2mg.zip</v>
      </c>
    </row>
    <row r="3489" spans="1:21">
      <c r="A3489">
        <v>3488</v>
      </c>
      <c r="B3489" s="27" t="s">
        <v>1449</v>
      </c>
      <c r="D3489" s="27" t="s">
        <v>1450</v>
      </c>
      <c r="F3489" s="27" t="s">
        <v>1453</v>
      </c>
      <c r="H3489" s="27" t="s">
        <v>1454</v>
      </c>
      <c r="L3489" s="27" t="s">
        <v>19650</v>
      </c>
      <c r="M3489" s="27" t="s">
        <v>604</v>
      </c>
      <c r="N3489" s="27" t="s">
        <v>605</v>
      </c>
      <c r="P3489" s="27" t="s">
        <v>6216</v>
      </c>
      <c r="Q3489" s="26" t="str">
        <f>HYPERLINK("https://ictv.global/taxonomy/taxondetails?taxnode_id=202500772&amp;ictv_id=ICTV20150777","ICTV20150777")</f>
        <v>ICTV20150777</v>
      </c>
      <c r="R3489" t="s">
        <v>579</v>
      </c>
      <c r="S3489" t="s">
        <v>22763</v>
      </c>
      <c r="T3489">
        <v>40</v>
      </c>
      <c r="U3489" s="26" t="str">
        <f t="shared" si="132"/>
        <v>2024.031B.Sarkviridae_1nf_1msf_2mg.zip</v>
      </c>
    </row>
    <row r="3490" spans="1:21">
      <c r="A3490">
        <v>3489</v>
      </c>
      <c r="B3490" s="27" t="s">
        <v>1449</v>
      </c>
      <c r="D3490" s="27" t="s">
        <v>1450</v>
      </c>
      <c r="F3490" s="27" t="s">
        <v>1453</v>
      </c>
      <c r="H3490" s="27" t="s">
        <v>1454</v>
      </c>
      <c r="L3490" s="27" t="s">
        <v>19650</v>
      </c>
      <c r="M3490" s="27" t="s">
        <v>604</v>
      </c>
      <c r="N3490" s="27" t="s">
        <v>605</v>
      </c>
      <c r="P3490" s="27" t="s">
        <v>11820</v>
      </c>
      <c r="Q3490" s="26" t="str">
        <f>HYPERLINK("https://ictv.global/taxonomy/taxondetails?taxnode_id=202519140&amp;ictv_id=ICTV202319140","ICTV202319140")</f>
        <v>ICTV202319140</v>
      </c>
      <c r="R3490" t="s">
        <v>579</v>
      </c>
      <c r="S3490" t="s">
        <v>22763</v>
      </c>
      <c r="T3490">
        <v>40</v>
      </c>
      <c r="U3490" s="26" t="str">
        <f t="shared" si="132"/>
        <v>2024.031B.Sarkviridae_1nf_1msf_2mg.zip</v>
      </c>
    </row>
    <row r="3491" spans="1:21">
      <c r="A3491">
        <v>3490</v>
      </c>
      <c r="B3491" s="27" t="s">
        <v>1449</v>
      </c>
      <c r="D3491" s="27" t="s">
        <v>1450</v>
      </c>
      <c r="F3491" s="27" t="s">
        <v>1453</v>
      </c>
      <c r="H3491" s="27" t="s">
        <v>1454</v>
      </c>
      <c r="L3491" s="27" t="s">
        <v>19650</v>
      </c>
      <c r="M3491" s="27" t="s">
        <v>604</v>
      </c>
      <c r="N3491" s="27" t="s">
        <v>605</v>
      </c>
      <c r="P3491" s="27" t="s">
        <v>11821</v>
      </c>
      <c r="Q3491" s="26" t="str">
        <f>HYPERLINK("https://ictv.global/taxonomy/taxondetails?taxnode_id=202519133&amp;ictv_id=ICTV202319133","ICTV202319133")</f>
        <v>ICTV202319133</v>
      </c>
      <c r="R3491" t="s">
        <v>579</v>
      </c>
      <c r="S3491" t="s">
        <v>22763</v>
      </c>
      <c r="T3491">
        <v>40</v>
      </c>
      <c r="U3491" s="26" t="str">
        <f t="shared" si="132"/>
        <v>2024.031B.Sarkviridae_1nf_1msf_2mg.zip</v>
      </c>
    </row>
    <row r="3492" spans="1:21">
      <c r="A3492">
        <v>3491</v>
      </c>
      <c r="B3492" s="27" t="s">
        <v>1449</v>
      </c>
      <c r="D3492" s="27" t="s">
        <v>1450</v>
      </c>
      <c r="F3492" s="27" t="s">
        <v>1453</v>
      </c>
      <c r="H3492" s="27" t="s">
        <v>1454</v>
      </c>
      <c r="L3492" s="27" t="s">
        <v>19650</v>
      </c>
      <c r="M3492" s="27" t="s">
        <v>604</v>
      </c>
      <c r="N3492" s="27" t="s">
        <v>605</v>
      </c>
      <c r="P3492" s="27" t="s">
        <v>11822</v>
      </c>
      <c r="Q3492" s="26" t="str">
        <f>HYPERLINK("https://ictv.global/taxonomy/taxondetails?taxnode_id=202519120&amp;ictv_id=ICTV202319120","ICTV202319120")</f>
        <v>ICTV202319120</v>
      </c>
      <c r="R3492" t="s">
        <v>579</v>
      </c>
      <c r="S3492" t="s">
        <v>22763</v>
      </c>
      <c r="T3492">
        <v>40</v>
      </c>
      <c r="U3492" s="26" t="str">
        <f t="shared" si="132"/>
        <v>2024.031B.Sarkviridae_1nf_1msf_2mg.zip</v>
      </c>
    </row>
    <row r="3493" spans="1:21">
      <c r="A3493">
        <v>3492</v>
      </c>
      <c r="B3493" s="27" t="s">
        <v>1449</v>
      </c>
      <c r="D3493" s="27" t="s">
        <v>1450</v>
      </c>
      <c r="F3493" s="27" t="s">
        <v>1453</v>
      </c>
      <c r="H3493" s="27" t="s">
        <v>1454</v>
      </c>
      <c r="L3493" s="27" t="s">
        <v>19650</v>
      </c>
      <c r="M3493" s="27" t="s">
        <v>604</v>
      </c>
      <c r="N3493" s="27" t="s">
        <v>605</v>
      </c>
      <c r="P3493" s="27" t="s">
        <v>11823</v>
      </c>
      <c r="Q3493" s="26" t="str">
        <f>HYPERLINK("https://ictv.global/taxonomy/taxondetails?taxnode_id=202519122&amp;ictv_id=ICTV202319122","ICTV202319122")</f>
        <v>ICTV202319122</v>
      </c>
      <c r="R3493" t="s">
        <v>579</v>
      </c>
      <c r="S3493" t="s">
        <v>22763</v>
      </c>
      <c r="T3493">
        <v>40</v>
      </c>
      <c r="U3493" s="26" t="str">
        <f t="shared" si="132"/>
        <v>2024.031B.Sarkviridae_1nf_1msf_2mg.zip</v>
      </c>
    </row>
    <row r="3494" spans="1:21">
      <c r="A3494">
        <v>3493</v>
      </c>
      <c r="B3494" s="27" t="s">
        <v>1449</v>
      </c>
      <c r="D3494" s="27" t="s">
        <v>1450</v>
      </c>
      <c r="F3494" s="27" t="s">
        <v>1453</v>
      </c>
      <c r="H3494" s="27" t="s">
        <v>1454</v>
      </c>
      <c r="L3494" s="27" t="s">
        <v>19650</v>
      </c>
      <c r="M3494" s="27" t="s">
        <v>604</v>
      </c>
      <c r="N3494" s="27" t="s">
        <v>605</v>
      </c>
      <c r="P3494" s="27" t="s">
        <v>11824</v>
      </c>
      <c r="Q3494" s="26" t="str">
        <f>HYPERLINK("https://ictv.global/taxonomy/taxondetails?taxnode_id=202519155&amp;ictv_id=ICTV202319155","ICTV202319155")</f>
        <v>ICTV202319155</v>
      </c>
      <c r="R3494" t="s">
        <v>579</v>
      </c>
      <c r="S3494" t="s">
        <v>22763</v>
      </c>
      <c r="T3494">
        <v>40</v>
      </c>
      <c r="U3494" s="26" t="str">
        <f t="shared" si="132"/>
        <v>2024.031B.Sarkviridae_1nf_1msf_2mg.zip</v>
      </c>
    </row>
    <row r="3495" spans="1:21">
      <c r="A3495">
        <v>3494</v>
      </c>
      <c r="B3495" s="27" t="s">
        <v>1449</v>
      </c>
      <c r="D3495" s="27" t="s">
        <v>1450</v>
      </c>
      <c r="F3495" s="27" t="s">
        <v>1453</v>
      </c>
      <c r="H3495" s="27" t="s">
        <v>1454</v>
      </c>
      <c r="L3495" s="27" t="s">
        <v>19650</v>
      </c>
      <c r="M3495" s="27" t="s">
        <v>604</v>
      </c>
      <c r="N3495" s="27" t="s">
        <v>605</v>
      </c>
      <c r="P3495" s="27" t="s">
        <v>11825</v>
      </c>
      <c r="Q3495" s="26" t="str">
        <f>HYPERLINK("https://ictv.global/taxonomy/taxondetails?taxnode_id=202519123&amp;ictv_id=ICTV202319123","ICTV202319123")</f>
        <v>ICTV202319123</v>
      </c>
      <c r="R3495" t="s">
        <v>579</v>
      </c>
      <c r="S3495" t="s">
        <v>22763</v>
      </c>
      <c r="T3495">
        <v>40</v>
      </c>
      <c r="U3495" s="26" t="str">
        <f t="shared" si="132"/>
        <v>2024.031B.Sarkviridae_1nf_1msf_2mg.zip</v>
      </c>
    </row>
    <row r="3496" spans="1:21">
      <c r="A3496">
        <v>3495</v>
      </c>
      <c r="B3496" s="27" t="s">
        <v>1449</v>
      </c>
      <c r="D3496" s="27" t="s">
        <v>1450</v>
      </c>
      <c r="F3496" s="27" t="s">
        <v>1453</v>
      </c>
      <c r="H3496" s="27" t="s">
        <v>1454</v>
      </c>
      <c r="L3496" s="27" t="s">
        <v>19650</v>
      </c>
      <c r="M3496" s="27" t="s">
        <v>604</v>
      </c>
      <c r="N3496" s="27" t="s">
        <v>605</v>
      </c>
      <c r="P3496" s="27" t="s">
        <v>11826</v>
      </c>
      <c r="Q3496" s="26" t="str">
        <f>HYPERLINK("https://ictv.global/taxonomy/taxondetails?taxnode_id=202519130&amp;ictv_id=ICTV202319130","ICTV202319130")</f>
        <v>ICTV202319130</v>
      </c>
      <c r="R3496" t="s">
        <v>579</v>
      </c>
      <c r="S3496" t="s">
        <v>22763</v>
      </c>
      <c r="T3496">
        <v>40</v>
      </c>
      <c r="U3496" s="26" t="str">
        <f t="shared" si="132"/>
        <v>2024.031B.Sarkviridae_1nf_1msf_2mg.zip</v>
      </c>
    </row>
    <row r="3497" spans="1:21">
      <c r="A3497">
        <v>3496</v>
      </c>
      <c r="B3497" s="27" t="s">
        <v>1449</v>
      </c>
      <c r="D3497" s="27" t="s">
        <v>1450</v>
      </c>
      <c r="F3497" s="27" t="s">
        <v>1453</v>
      </c>
      <c r="H3497" s="27" t="s">
        <v>1454</v>
      </c>
      <c r="L3497" s="27" t="s">
        <v>19650</v>
      </c>
      <c r="M3497" s="27" t="s">
        <v>604</v>
      </c>
      <c r="N3497" s="27" t="s">
        <v>605</v>
      </c>
      <c r="P3497" s="27" t="s">
        <v>11827</v>
      </c>
      <c r="Q3497" s="26" t="str">
        <f>HYPERLINK("https://ictv.global/taxonomy/taxondetails?taxnode_id=202519137&amp;ictv_id=ICTV202319137","ICTV202319137")</f>
        <v>ICTV202319137</v>
      </c>
      <c r="R3497" t="s">
        <v>579</v>
      </c>
      <c r="S3497" t="s">
        <v>22763</v>
      </c>
      <c r="T3497">
        <v>40</v>
      </c>
      <c r="U3497" s="26" t="str">
        <f t="shared" si="132"/>
        <v>2024.031B.Sarkviridae_1nf_1msf_2mg.zip</v>
      </c>
    </row>
    <row r="3498" spans="1:21">
      <c r="A3498">
        <v>3497</v>
      </c>
      <c r="B3498" s="27" t="s">
        <v>1449</v>
      </c>
      <c r="D3498" s="27" t="s">
        <v>1450</v>
      </c>
      <c r="F3498" s="27" t="s">
        <v>1453</v>
      </c>
      <c r="H3498" s="27" t="s">
        <v>1454</v>
      </c>
      <c r="L3498" s="27" t="s">
        <v>19650</v>
      </c>
      <c r="M3498" s="27" t="s">
        <v>604</v>
      </c>
      <c r="N3498" s="27" t="s">
        <v>605</v>
      </c>
      <c r="P3498" s="27" t="s">
        <v>11828</v>
      </c>
      <c r="Q3498" s="26" t="str">
        <f>HYPERLINK("https://ictv.global/taxonomy/taxondetails?taxnode_id=202519136&amp;ictv_id=ICTV202319136","ICTV202319136")</f>
        <v>ICTV202319136</v>
      </c>
      <c r="R3498" t="s">
        <v>579</v>
      </c>
      <c r="S3498" t="s">
        <v>22763</v>
      </c>
      <c r="T3498">
        <v>40</v>
      </c>
      <c r="U3498" s="26" t="str">
        <f t="shared" si="132"/>
        <v>2024.031B.Sarkviridae_1nf_1msf_2mg.zip</v>
      </c>
    </row>
    <row r="3499" spans="1:21">
      <c r="A3499">
        <v>3498</v>
      </c>
      <c r="B3499" s="27" t="s">
        <v>1449</v>
      </c>
      <c r="D3499" s="27" t="s">
        <v>1450</v>
      </c>
      <c r="F3499" s="27" t="s">
        <v>1453</v>
      </c>
      <c r="H3499" s="27" t="s">
        <v>1454</v>
      </c>
      <c r="L3499" s="27" t="s">
        <v>19650</v>
      </c>
      <c r="M3499" s="27" t="s">
        <v>604</v>
      </c>
      <c r="N3499" s="27" t="s">
        <v>605</v>
      </c>
      <c r="P3499" s="27" t="s">
        <v>11829</v>
      </c>
      <c r="Q3499" s="26" t="str">
        <f>HYPERLINK("https://ictv.global/taxonomy/taxondetails?taxnode_id=202519127&amp;ictv_id=ICTV202319127","ICTV202319127")</f>
        <v>ICTV202319127</v>
      </c>
      <c r="R3499" t="s">
        <v>579</v>
      </c>
      <c r="S3499" t="s">
        <v>22763</v>
      </c>
      <c r="T3499">
        <v>40</v>
      </c>
      <c r="U3499" s="26" t="str">
        <f t="shared" si="132"/>
        <v>2024.031B.Sarkviridae_1nf_1msf_2mg.zip</v>
      </c>
    </row>
    <row r="3500" spans="1:21">
      <c r="A3500">
        <v>3499</v>
      </c>
      <c r="B3500" s="27" t="s">
        <v>1449</v>
      </c>
      <c r="D3500" s="27" t="s">
        <v>1450</v>
      </c>
      <c r="F3500" s="27" t="s">
        <v>1453</v>
      </c>
      <c r="H3500" s="27" t="s">
        <v>1454</v>
      </c>
      <c r="L3500" s="27" t="s">
        <v>19650</v>
      </c>
      <c r="M3500" s="27" t="s">
        <v>604</v>
      </c>
      <c r="N3500" s="27" t="s">
        <v>605</v>
      </c>
      <c r="P3500" s="27" t="s">
        <v>11830</v>
      </c>
      <c r="Q3500" s="26" t="str">
        <f>HYPERLINK("https://ictv.global/taxonomy/taxondetails?taxnode_id=202519125&amp;ictv_id=ICTV202319125","ICTV202319125")</f>
        <v>ICTV202319125</v>
      </c>
      <c r="R3500" t="s">
        <v>579</v>
      </c>
      <c r="S3500" t="s">
        <v>22763</v>
      </c>
      <c r="T3500">
        <v>40</v>
      </c>
      <c r="U3500" s="26" t="str">
        <f t="shared" si="132"/>
        <v>2024.031B.Sarkviridae_1nf_1msf_2mg.zip</v>
      </c>
    </row>
    <row r="3501" spans="1:21">
      <c r="A3501">
        <v>3500</v>
      </c>
      <c r="B3501" s="27" t="s">
        <v>1449</v>
      </c>
      <c r="D3501" s="27" t="s">
        <v>1450</v>
      </c>
      <c r="F3501" s="27" t="s">
        <v>1453</v>
      </c>
      <c r="H3501" s="27" t="s">
        <v>1454</v>
      </c>
      <c r="L3501" s="27" t="s">
        <v>19650</v>
      </c>
      <c r="M3501" s="27" t="s">
        <v>604</v>
      </c>
      <c r="N3501" s="27" t="s">
        <v>605</v>
      </c>
      <c r="P3501" s="27" t="s">
        <v>11831</v>
      </c>
      <c r="Q3501" s="26" t="str">
        <f>HYPERLINK("https://ictv.global/taxonomy/taxondetails?taxnode_id=202519151&amp;ictv_id=ICTV202319151","ICTV202319151")</f>
        <v>ICTV202319151</v>
      </c>
      <c r="R3501" t="s">
        <v>579</v>
      </c>
      <c r="S3501" t="s">
        <v>22763</v>
      </c>
      <c r="T3501">
        <v>40</v>
      </c>
      <c r="U3501" s="26" t="str">
        <f t="shared" si="132"/>
        <v>2024.031B.Sarkviridae_1nf_1msf_2mg.zip</v>
      </c>
    </row>
    <row r="3502" spans="1:21">
      <c r="A3502">
        <v>3501</v>
      </c>
      <c r="B3502" s="27" t="s">
        <v>1449</v>
      </c>
      <c r="D3502" s="27" t="s">
        <v>1450</v>
      </c>
      <c r="F3502" s="27" t="s">
        <v>1453</v>
      </c>
      <c r="H3502" s="27" t="s">
        <v>1454</v>
      </c>
      <c r="L3502" s="27" t="s">
        <v>19650</v>
      </c>
      <c r="M3502" s="27" t="s">
        <v>604</v>
      </c>
      <c r="N3502" s="27" t="s">
        <v>605</v>
      </c>
      <c r="P3502" s="27" t="s">
        <v>6217</v>
      </c>
      <c r="Q3502" s="26" t="str">
        <f>HYPERLINK("https://ictv.global/taxonomy/taxondetails?taxnode_id=202500773&amp;ictv_id=ICTV20140459","ICTV20140459")</f>
        <v>ICTV20140459</v>
      </c>
      <c r="R3502" t="s">
        <v>579</v>
      </c>
      <c r="S3502" t="s">
        <v>22763</v>
      </c>
      <c r="T3502">
        <v>40</v>
      </c>
      <c r="U3502" s="26" t="str">
        <f t="shared" si="132"/>
        <v>2024.031B.Sarkviridae_1nf_1msf_2mg.zip</v>
      </c>
    </row>
    <row r="3503" spans="1:21">
      <c r="A3503">
        <v>3502</v>
      </c>
      <c r="B3503" s="27" t="s">
        <v>1449</v>
      </c>
      <c r="D3503" s="27" t="s">
        <v>1450</v>
      </c>
      <c r="F3503" s="27" t="s">
        <v>1453</v>
      </c>
      <c r="H3503" s="27" t="s">
        <v>1454</v>
      </c>
      <c r="L3503" s="27" t="s">
        <v>19650</v>
      </c>
      <c r="M3503" s="27" t="s">
        <v>604</v>
      </c>
      <c r="N3503" s="27" t="s">
        <v>605</v>
      </c>
      <c r="P3503" s="27" t="s">
        <v>6218</v>
      </c>
      <c r="Q3503" s="26" t="str">
        <f>HYPERLINK("https://ictv.global/taxonomy/taxondetails?taxnode_id=202500774&amp;ictv_id=ICTV20140457","ICTV20140457")</f>
        <v>ICTV20140457</v>
      </c>
      <c r="R3503" t="s">
        <v>579</v>
      </c>
      <c r="S3503" t="s">
        <v>22763</v>
      </c>
      <c r="T3503">
        <v>40</v>
      </c>
      <c r="U3503" s="26" t="str">
        <f t="shared" si="132"/>
        <v>2024.031B.Sarkviridae_1nf_1msf_2mg.zip</v>
      </c>
    </row>
    <row r="3504" spans="1:21">
      <c r="A3504">
        <v>3503</v>
      </c>
      <c r="B3504" s="27" t="s">
        <v>1449</v>
      </c>
      <c r="D3504" s="27" t="s">
        <v>1450</v>
      </c>
      <c r="F3504" s="27" t="s">
        <v>1453</v>
      </c>
      <c r="H3504" s="27" t="s">
        <v>1454</v>
      </c>
      <c r="L3504" s="27" t="s">
        <v>19650</v>
      </c>
      <c r="M3504" s="27" t="s">
        <v>604</v>
      </c>
      <c r="N3504" s="27" t="s">
        <v>605</v>
      </c>
      <c r="P3504" s="27" t="s">
        <v>6219</v>
      </c>
      <c r="Q3504" s="26" t="str">
        <f>HYPERLINK("https://ictv.global/taxonomy/taxondetails?taxnode_id=202500775&amp;ictv_id=ICTV20150774","ICTV20150774")</f>
        <v>ICTV20150774</v>
      </c>
      <c r="R3504" t="s">
        <v>579</v>
      </c>
      <c r="S3504" t="s">
        <v>22763</v>
      </c>
      <c r="T3504">
        <v>40</v>
      </c>
      <c r="U3504" s="26" t="str">
        <f t="shared" si="132"/>
        <v>2024.031B.Sarkviridae_1nf_1msf_2mg.zip</v>
      </c>
    </row>
    <row r="3505" spans="1:21">
      <c r="A3505">
        <v>3504</v>
      </c>
      <c r="B3505" s="27" t="s">
        <v>1449</v>
      </c>
      <c r="D3505" s="27" t="s">
        <v>1450</v>
      </c>
      <c r="F3505" s="27" t="s">
        <v>1453</v>
      </c>
      <c r="H3505" s="27" t="s">
        <v>1454</v>
      </c>
      <c r="L3505" s="27" t="s">
        <v>19650</v>
      </c>
      <c r="M3505" s="27" t="s">
        <v>604</v>
      </c>
      <c r="N3505" s="27" t="s">
        <v>605</v>
      </c>
      <c r="P3505" s="27" t="s">
        <v>6220</v>
      </c>
      <c r="Q3505" s="26" t="str">
        <f>HYPERLINK("https://ictv.global/taxonomy/taxondetails?taxnode_id=202500776&amp;ictv_id=ICTV20150776","ICTV20150776")</f>
        <v>ICTV20150776</v>
      </c>
      <c r="R3505" t="s">
        <v>579</v>
      </c>
      <c r="S3505" t="s">
        <v>22763</v>
      </c>
      <c r="T3505">
        <v>40</v>
      </c>
      <c r="U3505" s="26" t="str">
        <f t="shared" si="132"/>
        <v>2024.031B.Sarkviridae_1nf_1msf_2mg.zip</v>
      </c>
    </row>
    <row r="3506" spans="1:21">
      <c r="A3506">
        <v>3505</v>
      </c>
      <c r="B3506" s="27" t="s">
        <v>1449</v>
      </c>
      <c r="D3506" s="27" t="s">
        <v>1450</v>
      </c>
      <c r="F3506" s="27" t="s">
        <v>1453</v>
      </c>
      <c r="H3506" s="27" t="s">
        <v>1454</v>
      </c>
      <c r="L3506" s="27" t="s">
        <v>19650</v>
      </c>
      <c r="M3506" s="27" t="s">
        <v>604</v>
      </c>
      <c r="N3506" s="27" t="s">
        <v>605</v>
      </c>
      <c r="P3506" s="27" t="s">
        <v>11832</v>
      </c>
      <c r="Q3506" s="26" t="str">
        <f>HYPERLINK("https://ictv.global/taxonomy/taxondetails?taxnode_id=202519107&amp;ictv_id=ICTV202319107","ICTV202319107")</f>
        <v>ICTV202319107</v>
      </c>
      <c r="R3506" t="s">
        <v>579</v>
      </c>
      <c r="S3506" t="s">
        <v>22763</v>
      </c>
      <c r="T3506">
        <v>40</v>
      </c>
      <c r="U3506" s="26" t="str">
        <f t="shared" si="132"/>
        <v>2024.031B.Sarkviridae_1nf_1msf_2mg.zip</v>
      </c>
    </row>
    <row r="3507" spans="1:21">
      <c r="A3507">
        <v>3506</v>
      </c>
      <c r="B3507" s="27" t="s">
        <v>1449</v>
      </c>
      <c r="D3507" s="27" t="s">
        <v>1450</v>
      </c>
      <c r="F3507" s="27" t="s">
        <v>1453</v>
      </c>
      <c r="H3507" s="27" t="s">
        <v>1454</v>
      </c>
      <c r="L3507" s="27" t="s">
        <v>19650</v>
      </c>
      <c r="M3507" s="27" t="s">
        <v>604</v>
      </c>
      <c r="N3507" s="27" t="s">
        <v>605</v>
      </c>
      <c r="P3507" s="27" t="s">
        <v>11833</v>
      </c>
      <c r="Q3507" s="26" t="str">
        <f>HYPERLINK("https://ictv.global/taxonomy/taxondetails?taxnode_id=202519153&amp;ictv_id=ICTV202319153","ICTV202319153")</f>
        <v>ICTV202319153</v>
      </c>
      <c r="R3507" t="s">
        <v>579</v>
      </c>
      <c r="S3507" t="s">
        <v>22763</v>
      </c>
      <c r="T3507">
        <v>40</v>
      </c>
      <c r="U3507" s="26" t="str">
        <f t="shared" si="132"/>
        <v>2024.031B.Sarkviridae_1nf_1msf_2mg.zip</v>
      </c>
    </row>
    <row r="3508" spans="1:21">
      <c r="A3508">
        <v>3507</v>
      </c>
      <c r="B3508" s="27" t="s">
        <v>1449</v>
      </c>
      <c r="D3508" s="27" t="s">
        <v>1450</v>
      </c>
      <c r="F3508" s="27" t="s">
        <v>1453</v>
      </c>
      <c r="H3508" s="27" t="s">
        <v>1454</v>
      </c>
      <c r="L3508" s="27" t="s">
        <v>19650</v>
      </c>
      <c r="M3508" s="27" t="s">
        <v>604</v>
      </c>
      <c r="N3508" s="27" t="s">
        <v>605</v>
      </c>
      <c r="P3508" s="27" t="s">
        <v>11834</v>
      </c>
      <c r="Q3508" s="26" t="str">
        <f>HYPERLINK("https://ictv.global/taxonomy/taxondetails?taxnode_id=202519132&amp;ictv_id=ICTV202319132","ICTV202319132")</f>
        <v>ICTV202319132</v>
      </c>
      <c r="R3508" t="s">
        <v>579</v>
      </c>
      <c r="S3508" t="s">
        <v>22763</v>
      </c>
      <c r="T3508">
        <v>40</v>
      </c>
      <c r="U3508" s="26" t="str">
        <f t="shared" si="132"/>
        <v>2024.031B.Sarkviridae_1nf_1msf_2mg.zip</v>
      </c>
    </row>
    <row r="3509" spans="1:21">
      <c r="A3509">
        <v>3508</v>
      </c>
      <c r="B3509" s="27" t="s">
        <v>1449</v>
      </c>
      <c r="D3509" s="27" t="s">
        <v>1450</v>
      </c>
      <c r="F3509" s="27" t="s">
        <v>1453</v>
      </c>
      <c r="H3509" s="27" t="s">
        <v>1454</v>
      </c>
      <c r="L3509" s="27" t="s">
        <v>19650</v>
      </c>
      <c r="M3509" s="27" t="s">
        <v>604</v>
      </c>
      <c r="N3509" s="27" t="s">
        <v>605</v>
      </c>
      <c r="P3509" s="27" t="s">
        <v>11835</v>
      </c>
      <c r="Q3509" s="26" t="str">
        <f>HYPERLINK("https://ictv.global/taxonomy/taxondetails?taxnode_id=202519145&amp;ictv_id=ICTV202319145","ICTV202319145")</f>
        <v>ICTV202319145</v>
      </c>
      <c r="R3509" t="s">
        <v>579</v>
      </c>
      <c r="S3509" t="s">
        <v>22763</v>
      </c>
      <c r="T3509">
        <v>40</v>
      </c>
      <c r="U3509" s="26" t="str">
        <f t="shared" si="132"/>
        <v>2024.031B.Sarkviridae_1nf_1msf_2mg.zip</v>
      </c>
    </row>
    <row r="3510" spans="1:21">
      <c r="A3510">
        <v>3509</v>
      </c>
      <c r="B3510" s="27" t="s">
        <v>1449</v>
      </c>
      <c r="D3510" s="27" t="s">
        <v>1450</v>
      </c>
      <c r="F3510" s="27" t="s">
        <v>1453</v>
      </c>
      <c r="H3510" s="27" t="s">
        <v>1454</v>
      </c>
      <c r="L3510" s="27" t="s">
        <v>19650</v>
      </c>
      <c r="M3510" s="27" t="s">
        <v>604</v>
      </c>
      <c r="N3510" s="27" t="s">
        <v>605</v>
      </c>
      <c r="P3510" s="27" t="s">
        <v>11836</v>
      </c>
      <c r="Q3510" s="26" t="str">
        <f>HYPERLINK("https://ictv.global/taxonomy/taxondetails?taxnode_id=202519157&amp;ictv_id=ICTV202319157","ICTV202319157")</f>
        <v>ICTV202319157</v>
      </c>
      <c r="R3510" t="s">
        <v>579</v>
      </c>
      <c r="S3510" t="s">
        <v>22763</v>
      </c>
      <c r="T3510">
        <v>40</v>
      </c>
      <c r="U3510" s="26" t="str">
        <f t="shared" si="132"/>
        <v>2024.031B.Sarkviridae_1nf_1msf_2mg.zip</v>
      </c>
    </row>
    <row r="3511" spans="1:21">
      <c r="A3511">
        <v>3510</v>
      </c>
      <c r="B3511" s="27" t="s">
        <v>1449</v>
      </c>
      <c r="D3511" s="27" t="s">
        <v>1450</v>
      </c>
      <c r="F3511" s="27" t="s">
        <v>1453</v>
      </c>
      <c r="H3511" s="27" t="s">
        <v>1454</v>
      </c>
      <c r="L3511" s="27" t="s">
        <v>19650</v>
      </c>
      <c r="M3511" s="27" t="s">
        <v>604</v>
      </c>
      <c r="N3511" s="27" t="s">
        <v>605</v>
      </c>
      <c r="P3511" s="27" t="s">
        <v>11837</v>
      </c>
      <c r="Q3511" s="26" t="str">
        <f>HYPERLINK("https://ictv.global/taxonomy/taxondetails?taxnode_id=202519109&amp;ictv_id=ICTV202319109","ICTV202319109")</f>
        <v>ICTV202319109</v>
      </c>
      <c r="R3511" t="s">
        <v>579</v>
      </c>
      <c r="S3511" t="s">
        <v>22763</v>
      </c>
      <c r="T3511">
        <v>40</v>
      </c>
      <c r="U3511" s="26" t="str">
        <f t="shared" si="132"/>
        <v>2024.031B.Sarkviridae_1nf_1msf_2mg.zip</v>
      </c>
    </row>
    <row r="3512" spans="1:21">
      <c r="A3512">
        <v>3511</v>
      </c>
      <c r="B3512" s="27" t="s">
        <v>1449</v>
      </c>
      <c r="D3512" s="27" t="s">
        <v>1450</v>
      </c>
      <c r="F3512" s="27" t="s">
        <v>1453</v>
      </c>
      <c r="H3512" s="27" t="s">
        <v>1454</v>
      </c>
      <c r="L3512" s="27" t="s">
        <v>19650</v>
      </c>
      <c r="M3512" s="27" t="s">
        <v>604</v>
      </c>
      <c r="N3512" s="27" t="s">
        <v>605</v>
      </c>
      <c r="P3512" s="27" t="s">
        <v>11838</v>
      </c>
      <c r="Q3512" s="26" t="str">
        <f>HYPERLINK("https://ictv.global/taxonomy/taxondetails?taxnode_id=202519146&amp;ictv_id=ICTV202319146","ICTV202319146")</f>
        <v>ICTV202319146</v>
      </c>
      <c r="R3512" t="s">
        <v>579</v>
      </c>
      <c r="S3512" t="s">
        <v>22763</v>
      </c>
      <c r="T3512">
        <v>40</v>
      </c>
      <c r="U3512" s="26" t="str">
        <f t="shared" si="132"/>
        <v>2024.031B.Sarkviridae_1nf_1msf_2mg.zip</v>
      </c>
    </row>
    <row r="3513" spans="1:21">
      <c r="A3513">
        <v>3512</v>
      </c>
      <c r="B3513" s="27" t="s">
        <v>1449</v>
      </c>
      <c r="D3513" s="27" t="s">
        <v>1450</v>
      </c>
      <c r="F3513" s="27" t="s">
        <v>1453</v>
      </c>
      <c r="H3513" s="27" t="s">
        <v>1454</v>
      </c>
      <c r="L3513" s="27" t="s">
        <v>19650</v>
      </c>
      <c r="M3513" s="27" t="s">
        <v>604</v>
      </c>
      <c r="N3513" s="27" t="s">
        <v>605</v>
      </c>
      <c r="P3513" s="27" t="s">
        <v>6221</v>
      </c>
      <c r="Q3513" s="26" t="str">
        <f>HYPERLINK("https://ictv.global/taxonomy/taxondetails?taxnode_id=202500777&amp;ictv_id=ICTV20150775","ICTV20150775")</f>
        <v>ICTV20150775</v>
      </c>
      <c r="R3513" t="s">
        <v>579</v>
      </c>
      <c r="S3513" t="s">
        <v>22763</v>
      </c>
      <c r="T3513">
        <v>40</v>
      </c>
      <c r="U3513" s="26" t="str">
        <f t="shared" si="132"/>
        <v>2024.031B.Sarkviridae_1nf_1msf_2mg.zip</v>
      </c>
    </row>
    <row r="3514" spans="1:21">
      <c r="A3514">
        <v>3513</v>
      </c>
      <c r="B3514" s="27" t="s">
        <v>1449</v>
      </c>
      <c r="D3514" s="27" t="s">
        <v>1450</v>
      </c>
      <c r="F3514" s="27" t="s">
        <v>1453</v>
      </c>
      <c r="H3514" s="27" t="s">
        <v>1454</v>
      </c>
      <c r="L3514" s="27" t="s">
        <v>19650</v>
      </c>
      <c r="M3514" s="27" t="s">
        <v>604</v>
      </c>
      <c r="N3514" s="27" t="s">
        <v>605</v>
      </c>
      <c r="P3514" s="27" t="s">
        <v>11839</v>
      </c>
      <c r="Q3514" s="26" t="str">
        <f>HYPERLINK("https://ictv.global/taxonomy/taxondetails?taxnode_id=202519106&amp;ictv_id=ICTV202319106","ICTV202319106")</f>
        <v>ICTV202319106</v>
      </c>
      <c r="R3514" t="s">
        <v>579</v>
      </c>
      <c r="S3514" t="s">
        <v>22763</v>
      </c>
      <c r="T3514">
        <v>40</v>
      </c>
      <c r="U3514" s="26" t="str">
        <f t="shared" si="132"/>
        <v>2024.031B.Sarkviridae_1nf_1msf_2mg.zip</v>
      </c>
    </row>
    <row r="3515" spans="1:21">
      <c r="A3515">
        <v>3514</v>
      </c>
      <c r="B3515" s="27" t="s">
        <v>1449</v>
      </c>
      <c r="D3515" s="27" t="s">
        <v>1450</v>
      </c>
      <c r="F3515" s="27" t="s">
        <v>1453</v>
      </c>
      <c r="H3515" s="27" t="s">
        <v>1454</v>
      </c>
      <c r="L3515" s="27" t="s">
        <v>19650</v>
      </c>
      <c r="M3515" s="27" t="s">
        <v>604</v>
      </c>
      <c r="N3515" s="27" t="s">
        <v>605</v>
      </c>
      <c r="P3515" s="27" t="s">
        <v>6222</v>
      </c>
      <c r="Q3515" s="26" t="str">
        <f>HYPERLINK("https://ictv.global/taxonomy/taxondetails?taxnode_id=202500778&amp;ictv_id=ICTV20140461","ICTV20140461")</f>
        <v>ICTV20140461</v>
      </c>
      <c r="R3515" t="s">
        <v>579</v>
      </c>
      <c r="S3515" t="s">
        <v>22763</v>
      </c>
      <c r="T3515">
        <v>40</v>
      </c>
      <c r="U3515" s="26" t="str">
        <f t="shared" si="132"/>
        <v>2024.031B.Sarkviridae_1nf_1msf_2mg.zip</v>
      </c>
    </row>
    <row r="3516" spans="1:21">
      <c r="A3516">
        <v>3515</v>
      </c>
      <c r="B3516" s="27" t="s">
        <v>1449</v>
      </c>
      <c r="D3516" s="27" t="s">
        <v>1450</v>
      </c>
      <c r="F3516" s="27" t="s">
        <v>1453</v>
      </c>
      <c r="H3516" s="27" t="s">
        <v>1454</v>
      </c>
      <c r="L3516" s="27" t="s">
        <v>19650</v>
      </c>
      <c r="M3516" s="27" t="s">
        <v>604</v>
      </c>
      <c r="N3516" s="27" t="s">
        <v>605</v>
      </c>
      <c r="P3516" s="27" t="s">
        <v>11840</v>
      </c>
      <c r="Q3516" s="26" t="str">
        <f>HYPERLINK("https://ictv.global/taxonomy/taxondetails?taxnode_id=202519154&amp;ictv_id=ICTV202319154","ICTV202319154")</f>
        <v>ICTV202319154</v>
      </c>
      <c r="R3516" t="s">
        <v>579</v>
      </c>
      <c r="S3516" t="s">
        <v>22763</v>
      </c>
      <c r="T3516">
        <v>40</v>
      </c>
      <c r="U3516" s="26" t="str">
        <f t="shared" si="132"/>
        <v>2024.031B.Sarkviridae_1nf_1msf_2mg.zip</v>
      </c>
    </row>
    <row r="3517" spans="1:21">
      <c r="A3517">
        <v>3516</v>
      </c>
      <c r="B3517" s="27" t="s">
        <v>1449</v>
      </c>
      <c r="D3517" s="27" t="s">
        <v>1450</v>
      </c>
      <c r="F3517" s="27" t="s">
        <v>1453</v>
      </c>
      <c r="H3517" s="27" t="s">
        <v>1454</v>
      </c>
      <c r="L3517" s="27" t="s">
        <v>19650</v>
      </c>
      <c r="M3517" s="27" t="s">
        <v>604</v>
      </c>
      <c r="N3517" s="27" t="s">
        <v>605</v>
      </c>
      <c r="P3517" s="27" t="s">
        <v>11841</v>
      </c>
      <c r="Q3517" s="26" t="str">
        <f>HYPERLINK("https://ictv.global/taxonomy/taxondetails?taxnode_id=202519149&amp;ictv_id=ICTV202319149","ICTV202319149")</f>
        <v>ICTV202319149</v>
      </c>
      <c r="R3517" t="s">
        <v>579</v>
      </c>
      <c r="S3517" t="s">
        <v>22763</v>
      </c>
      <c r="T3517">
        <v>40</v>
      </c>
      <c r="U3517" s="26" t="str">
        <f t="shared" si="132"/>
        <v>2024.031B.Sarkviridae_1nf_1msf_2mg.zip</v>
      </c>
    </row>
    <row r="3518" spans="1:21">
      <c r="A3518">
        <v>3517</v>
      </c>
      <c r="B3518" s="27" t="s">
        <v>1449</v>
      </c>
      <c r="D3518" s="27" t="s">
        <v>1450</v>
      </c>
      <c r="F3518" s="27" t="s">
        <v>1453</v>
      </c>
      <c r="H3518" s="27" t="s">
        <v>1454</v>
      </c>
      <c r="L3518" s="27" t="s">
        <v>19650</v>
      </c>
      <c r="M3518" s="27" t="s">
        <v>604</v>
      </c>
      <c r="N3518" s="27" t="s">
        <v>605</v>
      </c>
      <c r="P3518" s="27" t="s">
        <v>11842</v>
      </c>
      <c r="Q3518" s="26" t="str">
        <f>HYPERLINK("https://ictv.global/taxonomy/taxondetails?taxnode_id=202519117&amp;ictv_id=ICTV202319117","ICTV202319117")</f>
        <v>ICTV202319117</v>
      </c>
      <c r="R3518" t="s">
        <v>579</v>
      </c>
      <c r="S3518" t="s">
        <v>22763</v>
      </c>
      <c r="T3518">
        <v>40</v>
      </c>
      <c r="U3518" s="26" t="str">
        <f t="shared" si="132"/>
        <v>2024.031B.Sarkviridae_1nf_1msf_2mg.zip</v>
      </c>
    </row>
    <row r="3519" spans="1:21">
      <c r="A3519">
        <v>3518</v>
      </c>
      <c r="B3519" s="27" t="s">
        <v>1449</v>
      </c>
      <c r="D3519" s="27" t="s">
        <v>1450</v>
      </c>
      <c r="F3519" s="27" t="s">
        <v>1453</v>
      </c>
      <c r="H3519" s="27" t="s">
        <v>1454</v>
      </c>
      <c r="L3519" s="27" t="s">
        <v>19650</v>
      </c>
      <c r="M3519" s="27" t="s">
        <v>604</v>
      </c>
      <c r="N3519" s="27" t="s">
        <v>605</v>
      </c>
      <c r="P3519" s="27" t="s">
        <v>11843</v>
      </c>
      <c r="Q3519" s="26" t="str">
        <f>HYPERLINK("https://ictv.global/taxonomy/taxondetails?taxnode_id=202519116&amp;ictv_id=ICTV202319116","ICTV202319116")</f>
        <v>ICTV202319116</v>
      </c>
      <c r="R3519" t="s">
        <v>579</v>
      </c>
      <c r="S3519" t="s">
        <v>22763</v>
      </c>
      <c r="T3519">
        <v>40</v>
      </c>
      <c r="U3519" s="26" t="str">
        <f t="shared" ref="U3519:U3534" si="133">HYPERLINK("https://ictv.global/ictv/proposals/2024.031B.Sarkviridae_1nf_1msf_2mg.zip","2024.031B.Sarkviridae_1nf_1msf_2mg.zip")</f>
        <v>2024.031B.Sarkviridae_1nf_1msf_2mg.zip</v>
      </c>
    </row>
    <row r="3520" spans="1:21">
      <c r="A3520">
        <v>3519</v>
      </c>
      <c r="B3520" s="27" t="s">
        <v>1449</v>
      </c>
      <c r="D3520" s="27" t="s">
        <v>1450</v>
      </c>
      <c r="F3520" s="27" t="s">
        <v>1453</v>
      </c>
      <c r="H3520" s="27" t="s">
        <v>1454</v>
      </c>
      <c r="L3520" s="27" t="s">
        <v>19650</v>
      </c>
      <c r="M3520" s="27" t="s">
        <v>604</v>
      </c>
      <c r="N3520" s="27" t="s">
        <v>605</v>
      </c>
      <c r="P3520" s="27" t="s">
        <v>11844</v>
      </c>
      <c r="Q3520" s="26" t="str">
        <f>HYPERLINK("https://ictv.global/taxonomy/taxondetails?taxnode_id=202519115&amp;ictv_id=ICTV202319115","ICTV202319115")</f>
        <v>ICTV202319115</v>
      </c>
      <c r="R3520" t="s">
        <v>579</v>
      </c>
      <c r="S3520" t="s">
        <v>22763</v>
      </c>
      <c r="T3520">
        <v>40</v>
      </c>
      <c r="U3520" s="26" t="str">
        <f t="shared" si="133"/>
        <v>2024.031B.Sarkviridae_1nf_1msf_2mg.zip</v>
      </c>
    </row>
    <row r="3521" spans="1:21">
      <c r="A3521">
        <v>3520</v>
      </c>
      <c r="B3521" s="27" t="s">
        <v>1449</v>
      </c>
      <c r="D3521" s="27" t="s">
        <v>1450</v>
      </c>
      <c r="F3521" s="27" t="s">
        <v>1453</v>
      </c>
      <c r="H3521" s="27" t="s">
        <v>1454</v>
      </c>
      <c r="L3521" s="27" t="s">
        <v>19650</v>
      </c>
      <c r="M3521" s="27" t="s">
        <v>604</v>
      </c>
      <c r="N3521" s="27" t="s">
        <v>605</v>
      </c>
      <c r="P3521" s="27" t="s">
        <v>11845</v>
      </c>
      <c r="Q3521" s="26" t="str">
        <f>HYPERLINK("https://ictv.global/taxonomy/taxondetails?taxnode_id=202519114&amp;ictv_id=ICTV202319114","ICTV202319114")</f>
        <v>ICTV202319114</v>
      </c>
      <c r="R3521" t="s">
        <v>579</v>
      </c>
      <c r="S3521" t="s">
        <v>22763</v>
      </c>
      <c r="T3521">
        <v>40</v>
      </c>
      <c r="U3521" s="26" t="str">
        <f t="shared" si="133"/>
        <v>2024.031B.Sarkviridae_1nf_1msf_2mg.zip</v>
      </c>
    </row>
    <row r="3522" spans="1:21">
      <c r="A3522">
        <v>3521</v>
      </c>
      <c r="B3522" s="27" t="s">
        <v>1449</v>
      </c>
      <c r="D3522" s="27" t="s">
        <v>1450</v>
      </c>
      <c r="F3522" s="27" t="s">
        <v>1453</v>
      </c>
      <c r="H3522" s="27" t="s">
        <v>1454</v>
      </c>
      <c r="L3522" s="27" t="s">
        <v>19650</v>
      </c>
      <c r="M3522" s="27" t="s">
        <v>604</v>
      </c>
      <c r="N3522" s="27" t="s">
        <v>605</v>
      </c>
      <c r="P3522" s="27" t="s">
        <v>11846</v>
      </c>
      <c r="Q3522" s="26" t="str">
        <f>HYPERLINK("https://ictv.global/taxonomy/taxondetails?taxnode_id=202519113&amp;ictv_id=ICTV202319113","ICTV202319113")</f>
        <v>ICTV202319113</v>
      </c>
      <c r="R3522" t="s">
        <v>579</v>
      </c>
      <c r="S3522" t="s">
        <v>22763</v>
      </c>
      <c r="T3522">
        <v>40</v>
      </c>
      <c r="U3522" s="26" t="str">
        <f t="shared" si="133"/>
        <v>2024.031B.Sarkviridae_1nf_1msf_2mg.zip</v>
      </c>
    </row>
    <row r="3523" spans="1:21">
      <c r="A3523">
        <v>3522</v>
      </c>
      <c r="B3523" s="27" t="s">
        <v>1449</v>
      </c>
      <c r="D3523" s="27" t="s">
        <v>1450</v>
      </c>
      <c r="F3523" s="27" t="s">
        <v>1453</v>
      </c>
      <c r="H3523" s="27" t="s">
        <v>1454</v>
      </c>
      <c r="L3523" s="27" t="s">
        <v>19650</v>
      </c>
      <c r="M3523" s="27" t="s">
        <v>604</v>
      </c>
      <c r="N3523" s="27" t="s">
        <v>605</v>
      </c>
      <c r="P3523" s="27" t="s">
        <v>11847</v>
      </c>
      <c r="Q3523" s="26" t="str">
        <f>HYPERLINK("https://ictv.global/taxonomy/taxondetails?taxnode_id=202519119&amp;ictv_id=ICTV202319119","ICTV202319119")</f>
        <v>ICTV202319119</v>
      </c>
      <c r="R3523" t="s">
        <v>579</v>
      </c>
      <c r="S3523" t="s">
        <v>22763</v>
      </c>
      <c r="T3523">
        <v>40</v>
      </c>
      <c r="U3523" s="26" t="str">
        <f t="shared" si="133"/>
        <v>2024.031B.Sarkviridae_1nf_1msf_2mg.zip</v>
      </c>
    </row>
    <row r="3524" spans="1:21">
      <c r="A3524">
        <v>3523</v>
      </c>
      <c r="B3524" s="27" t="s">
        <v>1449</v>
      </c>
      <c r="D3524" s="27" t="s">
        <v>1450</v>
      </c>
      <c r="F3524" s="27" t="s">
        <v>1453</v>
      </c>
      <c r="H3524" s="27" t="s">
        <v>1454</v>
      </c>
      <c r="L3524" s="27" t="s">
        <v>19650</v>
      </c>
      <c r="M3524" s="27" t="s">
        <v>604</v>
      </c>
      <c r="N3524" s="27" t="s">
        <v>605</v>
      </c>
      <c r="P3524" s="27" t="s">
        <v>11848</v>
      </c>
      <c r="Q3524" s="26" t="str">
        <f>HYPERLINK("https://ictv.global/taxonomy/taxondetails?taxnode_id=202519112&amp;ictv_id=ICTV202319112","ICTV202319112")</f>
        <v>ICTV202319112</v>
      </c>
      <c r="R3524" t="s">
        <v>579</v>
      </c>
      <c r="S3524" t="s">
        <v>22763</v>
      </c>
      <c r="T3524">
        <v>40</v>
      </c>
      <c r="U3524" s="26" t="str">
        <f t="shared" si="133"/>
        <v>2024.031B.Sarkviridae_1nf_1msf_2mg.zip</v>
      </c>
    </row>
    <row r="3525" spans="1:21">
      <c r="A3525">
        <v>3524</v>
      </c>
      <c r="B3525" s="27" t="s">
        <v>1449</v>
      </c>
      <c r="D3525" s="27" t="s">
        <v>1450</v>
      </c>
      <c r="F3525" s="27" t="s">
        <v>1453</v>
      </c>
      <c r="H3525" s="27" t="s">
        <v>1454</v>
      </c>
      <c r="L3525" s="27" t="s">
        <v>19650</v>
      </c>
      <c r="M3525" s="27" t="s">
        <v>604</v>
      </c>
      <c r="N3525" s="27" t="s">
        <v>605</v>
      </c>
      <c r="P3525" s="27" t="s">
        <v>11849</v>
      </c>
      <c r="Q3525" s="26" t="str">
        <f>HYPERLINK("https://ictv.global/taxonomy/taxondetails?taxnode_id=202519111&amp;ictv_id=ICTV202319111","ICTV202319111")</f>
        <v>ICTV202319111</v>
      </c>
      <c r="R3525" t="s">
        <v>579</v>
      </c>
      <c r="S3525" t="s">
        <v>22763</v>
      </c>
      <c r="T3525">
        <v>40</v>
      </c>
      <c r="U3525" s="26" t="str">
        <f t="shared" si="133"/>
        <v>2024.031B.Sarkviridae_1nf_1msf_2mg.zip</v>
      </c>
    </row>
    <row r="3526" spans="1:21">
      <c r="A3526">
        <v>3525</v>
      </c>
      <c r="B3526" s="27" t="s">
        <v>1449</v>
      </c>
      <c r="D3526" s="27" t="s">
        <v>1450</v>
      </c>
      <c r="F3526" s="27" t="s">
        <v>1453</v>
      </c>
      <c r="H3526" s="27" t="s">
        <v>1454</v>
      </c>
      <c r="L3526" s="27" t="s">
        <v>19650</v>
      </c>
      <c r="M3526" s="27" t="s">
        <v>604</v>
      </c>
      <c r="N3526" s="27" t="s">
        <v>605</v>
      </c>
      <c r="P3526" s="27" t="s">
        <v>6223</v>
      </c>
      <c r="Q3526" s="26" t="str">
        <f>HYPERLINK("https://ictv.global/taxonomy/taxondetails?taxnode_id=202500779&amp;ictv_id=ICTV20140460","ICTV20140460")</f>
        <v>ICTV20140460</v>
      </c>
      <c r="R3526" t="s">
        <v>579</v>
      </c>
      <c r="S3526" t="s">
        <v>22763</v>
      </c>
      <c r="T3526">
        <v>40</v>
      </c>
      <c r="U3526" s="26" t="str">
        <f t="shared" si="133"/>
        <v>2024.031B.Sarkviridae_1nf_1msf_2mg.zip</v>
      </c>
    </row>
    <row r="3527" spans="1:21">
      <c r="A3527">
        <v>3526</v>
      </c>
      <c r="B3527" s="27" t="s">
        <v>1449</v>
      </c>
      <c r="D3527" s="27" t="s">
        <v>1450</v>
      </c>
      <c r="F3527" s="27" t="s">
        <v>1453</v>
      </c>
      <c r="H3527" s="27" t="s">
        <v>1454</v>
      </c>
      <c r="L3527" s="27" t="s">
        <v>19650</v>
      </c>
      <c r="M3527" s="27" t="s">
        <v>604</v>
      </c>
      <c r="N3527" s="27" t="s">
        <v>605</v>
      </c>
      <c r="P3527" s="27" t="s">
        <v>11850</v>
      </c>
      <c r="Q3527" s="26" t="str">
        <f>HYPERLINK("https://ictv.global/taxonomy/taxondetails?taxnode_id=202519150&amp;ictv_id=ICTV202319150","ICTV202319150")</f>
        <v>ICTV202319150</v>
      </c>
      <c r="R3527" t="s">
        <v>579</v>
      </c>
      <c r="S3527" t="s">
        <v>22763</v>
      </c>
      <c r="T3527">
        <v>40</v>
      </c>
      <c r="U3527" s="26" t="str">
        <f t="shared" si="133"/>
        <v>2024.031B.Sarkviridae_1nf_1msf_2mg.zip</v>
      </c>
    </row>
    <row r="3528" spans="1:21">
      <c r="A3528">
        <v>3527</v>
      </c>
      <c r="B3528" s="27" t="s">
        <v>1449</v>
      </c>
      <c r="D3528" s="27" t="s">
        <v>1450</v>
      </c>
      <c r="F3528" s="27" t="s">
        <v>1453</v>
      </c>
      <c r="H3528" s="27" t="s">
        <v>1454</v>
      </c>
      <c r="L3528" s="27" t="s">
        <v>19650</v>
      </c>
      <c r="M3528" s="27" t="s">
        <v>604</v>
      </c>
      <c r="N3528" s="27" t="s">
        <v>1317</v>
      </c>
      <c r="P3528" s="27" t="s">
        <v>11851</v>
      </c>
      <c r="Q3528" s="26" t="str">
        <f>HYPERLINK("https://ictv.global/taxonomy/taxondetails?taxnode_id=202519180&amp;ictv_id=ICTV202319180","ICTV202319180")</f>
        <v>ICTV202319180</v>
      </c>
      <c r="R3528" t="s">
        <v>579</v>
      </c>
      <c r="S3528" t="s">
        <v>22763</v>
      </c>
      <c r="T3528">
        <v>40</v>
      </c>
      <c r="U3528" s="26" t="str">
        <f t="shared" si="133"/>
        <v>2024.031B.Sarkviridae_1nf_1msf_2mg.zip</v>
      </c>
    </row>
    <row r="3529" spans="1:21">
      <c r="A3529">
        <v>3528</v>
      </c>
      <c r="B3529" s="27" t="s">
        <v>1449</v>
      </c>
      <c r="D3529" s="27" t="s">
        <v>1450</v>
      </c>
      <c r="F3529" s="27" t="s">
        <v>1453</v>
      </c>
      <c r="H3529" s="27" t="s">
        <v>1454</v>
      </c>
      <c r="L3529" s="27" t="s">
        <v>19650</v>
      </c>
      <c r="M3529" s="27" t="s">
        <v>604</v>
      </c>
      <c r="N3529" s="27" t="s">
        <v>1317</v>
      </c>
      <c r="P3529" s="27" t="s">
        <v>6224</v>
      </c>
      <c r="Q3529" s="26" t="str">
        <f>HYPERLINK("https://ictv.global/taxonomy/taxondetails?taxnode_id=202506957&amp;ictv_id=ICTV201856957","ICTV201856957")</f>
        <v>ICTV201856957</v>
      </c>
      <c r="R3529" t="s">
        <v>579</v>
      </c>
      <c r="S3529" t="s">
        <v>22763</v>
      </c>
      <c r="T3529">
        <v>40</v>
      </c>
      <c r="U3529" s="26" t="str">
        <f t="shared" si="133"/>
        <v>2024.031B.Sarkviridae_1nf_1msf_2mg.zip</v>
      </c>
    </row>
    <row r="3530" spans="1:21">
      <c r="A3530">
        <v>3529</v>
      </c>
      <c r="B3530" s="27" t="s">
        <v>1449</v>
      </c>
      <c r="D3530" s="27" t="s">
        <v>1450</v>
      </c>
      <c r="F3530" s="27" t="s">
        <v>1453</v>
      </c>
      <c r="H3530" s="27" t="s">
        <v>1454</v>
      </c>
      <c r="L3530" s="27" t="s">
        <v>19650</v>
      </c>
      <c r="M3530" s="27" t="s">
        <v>604</v>
      </c>
      <c r="N3530" s="27" t="s">
        <v>1317</v>
      </c>
      <c r="P3530" s="27" t="s">
        <v>6225</v>
      </c>
      <c r="Q3530" s="26" t="str">
        <f>HYPERLINK("https://ictv.global/taxonomy/taxondetails?taxnode_id=202500781&amp;ictv_id=ICTV20150770","ICTV20150770")</f>
        <v>ICTV20150770</v>
      </c>
      <c r="R3530" t="s">
        <v>579</v>
      </c>
      <c r="S3530" t="s">
        <v>22763</v>
      </c>
      <c r="T3530">
        <v>40</v>
      </c>
      <c r="U3530" s="26" t="str">
        <f t="shared" si="133"/>
        <v>2024.031B.Sarkviridae_1nf_1msf_2mg.zip</v>
      </c>
    </row>
    <row r="3531" spans="1:21">
      <c r="A3531">
        <v>3530</v>
      </c>
      <c r="B3531" s="27" t="s">
        <v>1449</v>
      </c>
      <c r="D3531" s="27" t="s">
        <v>1450</v>
      </c>
      <c r="F3531" s="27" t="s">
        <v>1453</v>
      </c>
      <c r="H3531" s="27" t="s">
        <v>1454</v>
      </c>
      <c r="L3531" s="27" t="s">
        <v>19650</v>
      </c>
      <c r="M3531" s="27" t="s">
        <v>604</v>
      </c>
      <c r="N3531" s="27" t="s">
        <v>1317</v>
      </c>
      <c r="P3531" s="27" t="s">
        <v>6226</v>
      </c>
      <c r="Q3531" s="26" t="str">
        <f>HYPERLINK("https://ictv.global/taxonomy/taxondetails?taxnode_id=202500782&amp;ictv_id=ICTV20150772","ICTV20150772")</f>
        <v>ICTV20150772</v>
      </c>
      <c r="R3531" t="s">
        <v>579</v>
      </c>
      <c r="S3531" t="s">
        <v>22763</v>
      </c>
      <c r="T3531">
        <v>40</v>
      </c>
      <c r="U3531" s="26" t="str">
        <f t="shared" si="133"/>
        <v>2024.031B.Sarkviridae_1nf_1msf_2mg.zip</v>
      </c>
    </row>
    <row r="3532" spans="1:21">
      <c r="A3532">
        <v>3531</v>
      </c>
      <c r="B3532" s="27" t="s">
        <v>1449</v>
      </c>
      <c r="D3532" s="27" t="s">
        <v>1450</v>
      </c>
      <c r="F3532" s="27" t="s">
        <v>1453</v>
      </c>
      <c r="H3532" s="27" t="s">
        <v>1454</v>
      </c>
      <c r="L3532" s="27" t="s">
        <v>19650</v>
      </c>
      <c r="M3532" s="27" t="s">
        <v>604</v>
      </c>
      <c r="N3532" s="27" t="s">
        <v>1317</v>
      </c>
      <c r="P3532" s="27" t="s">
        <v>6227</v>
      </c>
      <c r="Q3532" s="26" t="str">
        <f>HYPERLINK("https://ictv.global/taxonomy/taxondetails?taxnode_id=202500783&amp;ictv_id=ICTV20150769","ICTV20150769")</f>
        <v>ICTV20150769</v>
      </c>
      <c r="R3532" t="s">
        <v>579</v>
      </c>
      <c r="S3532" t="s">
        <v>22763</v>
      </c>
      <c r="T3532">
        <v>40</v>
      </c>
      <c r="U3532" s="26" t="str">
        <f t="shared" si="133"/>
        <v>2024.031B.Sarkviridae_1nf_1msf_2mg.zip</v>
      </c>
    </row>
    <row r="3533" spans="1:21">
      <c r="A3533">
        <v>3532</v>
      </c>
      <c r="B3533" s="27" t="s">
        <v>1449</v>
      </c>
      <c r="D3533" s="27" t="s">
        <v>1450</v>
      </c>
      <c r="F3533" s="27" t="s">
        <v>1453</v>
      </c>
      <c r="H3533" s="27" t="s">
        <v>1454</v>
      </c>
      <c r="L3533" s="27" t="s">
        <v>19650</v>
      </c>
      <c r="M3533" s="27" t="s">
        <v>604</v>
      </c>
      <c r="N3533" s="27" t="s">
        <v>1317</v>
      </c>
      <c r="P3533" s="27" t="s">
        <v>6228</v>
      </c>
      <c r="Q3533" s="26" t="str">
        <f>HYPERLINK("https://ictv.global/taxonomy/taxondetails?taxnode_id=202500784&amp;ictv_id=ICTV20150771","ICTV20150771")</f>
        <v>ICTV20150771</v>
      </c>
      <c r="R3533" t="s">
        <v>579</v>
      </c>
      <c r="S3533" t="s">
        <v>22763</v>
      </c>
      <c r="T3533">
        <v>40</v>
      </c>
      <c r="U3533" s="26" t="str">
        <f t="shared" si="133"/>
        <v>2024.031B.Sarkviridae_1nf_1msf_2mg.zip</v>
      </c>
    </row>
    <row r="3534" spans="1:21">
      <c r="A3534">
        <v>3533</v>
      </c>
      <c r="B3534" s="27" t="s">
        <v>1449</v>
      </c>
      <c r="D3534" s="27" t="s">
        <v>1450</v>
      </c>
      <c r="F3534" s="27" t="s">
        <v>1453</v>
      </c>
      <c r="H3534" s="27" t="s">
        <v>1454</v>
      </c>
      <c r="L3534" s="27" t="s">
        <v>19650</v>
      </c>
      <c r="M3534" s="27" t="s">
        <v>604</v>
      </c>
      <c r="N3534" s="27" t="s">
        <v>1317</v>
      </c>
      <c r="P3534" s="27" t="s">
        <v>11852</v>
      </c>
      <c r="Q3534" s="26" t="str">
        <f>HYPERLINK("https://ictv.global/taxonomy/taxondetails?taxnode_id=202519181&amp;ictv_id=ICTV202319181","ICTV202319181")</f>
        <v>ICTV202319181</v>
      </c>
      <c r="R3534" t="s">
        <v>579</v>
      </c>
      <c r="S3534" t="s">
        <v>22763</v>
      </c>
      <c r="T3534">
        <v>40</v>
      </c>
      <c r="U3534" s="26" t="str">
        <f t="shared" si="133"/>
        <v>2024.031B.Sarkviridae_1nf_1msf_2mg.zip</v>
      </c>
    </row>
    <row r="3535" spans="1:21">
      <c r="A3535">
        <v>3534</v>
      </c>
      <c r="B3535" s="27" t="s">
        <v>1449</v>
      </c>
      <c r="D3535" s="27" t="s">
        <v>1450</v>
      </c>
      <c r="F3535" s="27" t="s">
        <v>1453</v>
      </c>
      <c r="H3535" s="27" t="s">
        <v>1454</v>
      </c>
      <c r="L3535" s="27" t="s">
        <v>19650</v>
      </c>
      <c r="M3535" s="27" t="s">
        <v>604</v>
      </c>
      <c r="N3535" s="27" t="s">
        <v>1317</v>
      </c>
      <c r="P3535" s="27" t="s">
        <v>22063</v>
      </c>
      <c r="Q3535" s="26" t="str">
        <f>HYPERLINK("https://ictv.global/taxonomy/taxondetails?taxnode_id=202522864&amp;ictv_id=ICTV202522864","ICTV202522864")</f>
        <v>ICTV202522864</v>
      </c>
      <c r="R3535" t="s">
        <v>579</v>
      </c>
      <c r="S3535" t="s">
        <v>823</v>
      </c>
      <c r="T3535">
        <v>41</v>
      </c>
      <c r="U3535" s="26" t="str">
        <f>HYPERLINK("https://ictv.global/ictv/proposals/2025.030B.Kagunavirus_3ns.zip","2025.030B.Kagunavirus_3ns.zip")</f>
        <v>2025.030B.Kagunavirus_3ns.zip</v>
      </c>
    </row>
    <row r="3536" spans="1:21">
      <c r="A3536">
        <v>3535</v>
      </c>
      <c r="B3536" s="27" t="s">
        <v>1449</v>
      </c>
      <c r="D3536" s="27" t="s">
        <v>1450</v>
      </c>
      <c r="F3536" s="27" t="s">
        <v>1453</v>
      </c>
      <c r="H3536" s="27" t="s">
        <v>1454</v>
      </c>
      <c r="L3536" s="27" t="s">
        <v>19650</v>
      </c>
      <c r="M3536" s="27" t="s">
        <v>604</v>
      </c>
      <c r="N3536" s="27" t="s">
        <v>1317</v>
      </c>
      <c r="P3536" s="27" t="s">
        <v>22064</v>
      </c>
      <c r="Q3536" s="26" t="str">
        <f>HYPERLINK("https://ictv.global/taxonomy/taxondetails?taxnode_id=202522865&amp;ictv_id=ICTV202522865","ICTV202522865")</f>
        <v>ICTV202522865</v>
      </c>
      <c r="R3536" t="s">
        <v>579</v>
      </c>
      <c r="S3536" t="s">
        <v>823</v>
      </c>
      <c r="T3536">
        <v>41</v>
      </c>
      <c r="U3536" s="26" t="str">
        <f>HYPERLINK("https://ictv.global/ictv/proposals/2025.030B.Kagunavirus_3ns.zip","2025.030B.Kagunavirus_3ns.zip")</f>
        <v>2025.030B.Kagunavirus_3ns.zip</v>
      </c>
    </row>
    <row r="3537" spans="1:21">
      <c r="A3537">
        <v>3536</v>
      </c>
      <c r="B3537" s="27" t="s">
        <v>1449</v>
      </c>
      <c r="D3537" s="27" t="s">
        <v>1450</v>
      </c>
      <c r="F3537" s="27" t="s">
        <v>1453</v>
      </c>
      <c r="H3537" s="27" t="s">
        <v>1454</v>
      </c>
      <c r="L3537" s="27" t="s">
        <v>19650</v>
      </c>
      <c r="M3537" s="27" t="s">
        <v>604</v>
      </c>
      <c r="N3537" s="27" t="s">
        <v>1317</v>
      </c>
      <c r="P3537" s="27" t="s">
        <v>22062</v>
      </c>
      <c r="Q3537" s="26" t="str">
        <f>HYPERLINK("https://ictv.global/taxonomy/taxondetails?taxnode_id=202522863&amp;ictv_id=ICTV202522863","ICTV202522863")</f>
        <v>ICTV202522863</v>
      </c>
      <c r="R3537" t="s">
        <v>579</v>
      </c>
      <c r="S3537" t="s">
        <v>823</v>
      </c>
      <c r="T3537">
        <v>41</v>
      </c>
      <c r="U3537" s="26" t="str">
        <f>HYPERLINK("https://ictv.global/ictv/proposals/2025.030B.Kagunavirus_3ns.zip","2025.030B.Kagunavirus_3ns.zip")</f>
        <v>2025.030B.Kagunavirus_3ns.zip</v>
      </c>
    </row>
    <row r="3538" spans="1:21">
      <c r="A3538">
        <v>3537</v>
      </c>
      <c r="B3538" s="27" t="s">
        <v>1449</v>
      </c>
      <c r="D3538" s="27" t="s">
        <v>1450</v>
      </c>
      <c r="F3538" s="27" t="s">
        <v>1453</v>
      </c>
      <c r="H3538" s="27" t="s">
        <v>1454</v>
      </c>
      <c r="L3538" s="27" t="s">
        <v>19650</v>
      </c>
      <c r="M3538" s="27" t="s">
        <v>604</v>
      </c>
      <c r="N3538" s="27" t="s">
        <v>1317</v>
      </c>
      <c r="P3538" s="27" t="s">
        <v>11853</v>
      </c>
      <c r="Q3538" s="26" t="str">
        <f>HYPERLINK("https://ictv.global/taxonomy/taxondetails?taxnode_id=202519182&amp;ictv_id=ICTV202319182","ICTV202319182")</f>
        <v>ICTV202319182</v>
      </c>
      <c r="R3538" t="s">
        <v>579</v>
      </c>
      <c r="S3538" t="s">
        <v>22763</v>
      </c>
      <c r="T3538">
        <v>40</v>
      </c>
      <c r="U3538" s="26" t="str">
        <f t="shared" ref="U3538:U3545" si="134">HYPERLINK("https://ictv.global/ictv/proposals/2024.031B.Sarkviridae_1nf_1msf_2mg.zip","2024.031B.Sarkviridae_1nf_1msf_2mg.zip")</f>
        <v>2024.031B.Sarkviridae_1nf_1msf_2mg.zip</v>
      </c>
    </row>
    <row r="3539" spans="1:21">
      <c r="A3539">
        <v>3538</v>
      </c>
      <c r="B3539" s="27" t="s">
        <v>1449</v>
      </c>
      <c r="D3539" s="27" t="s">
        <v>1450</v>
      </c>
      <c r="F3539" s="27" t="s">
        <v>1453</v>
      </c>
      <c r="H3539" s="27" t="s">
        <v>1454</v>
      </c>
      <c r="L3539" s="27" t="s">
        <v>19650</v>
      </c>
      <c r="M3539" s="27" t="s">
        <v>604</v>
      </c>
      <c r="N3539" s="27" t="s">
        <v>1317</v>
      </c>
      <c r="P3539" s="27" t="s">
        <v>6229</v>
      </c>
      <c r="Q3539" s="26" t="str">
        <f>HYPERLINK("https://ictv.global/taxonomy/taxondetails?taxnode_id=202508019&amp;ictv_id=ICTV201908019","ICTV201908019")</f>
        <v>ICTV201908019</v>
      </c>
      <c r="R3539" t="s">
        <v>579</v>
      </c>
      <c r="S3539" t="s">
        <v>22763</v>
      </c>
      <c r="T3539">
        <v>40</v>
      </c>
      <c r="U3539" s="26" t="str">
        <f t="shared" si="134"/>
        <v>2024.031B.Sarkviridae_1nf_1msf_2mg.zip</v>
      </c>
    </row>
    <row r="3540" spans="1:21">
      <c r="A3540">
        <v>3539</v>
      </c>
      <c r="B3540" s="27" t="s">
        <v>1449</v>
      </c>
      <c r="D3540" s="27" t="s">
        <v>1450</v>
      </c>
      <c r="F3540" s="27" t="s">
        <v>1453</v>
      </c>
      <c r="H3540" s="27" t="s">
        <v>1454</v>
      </c>
      <c r="L3540" s="27" t="s">
        <v>19650</v>
      </c>
      <c r="M3540" s="27" t="s">
        <v>604</v>
      </c>
      <c r="N3540" s="27" t="s">
        <v>1317</v>
      </c>
      <c r="P3540" s="27" t="s">
        <v>11854</v>
      </c>
      <c r="Q3540" s="26" t="str">
        <f>HYPERLINK("https://ictv.global/taxonomy/taxondetails?taxnode_id=202519183&amp;ictv_id=ICTV202319183","ICTV202319183")</f>
        <v>ICTV202319183</v>
      </c>
      <c r="R3540" t="s">
        <v>579</v>
      </c>
      <c r="S3540" t="s">
        <v>22763</v>
      </c>
      <c r="T3540">
        <v>40</v>
      </c>
      <c r="U3540" s="26" t="str">
        <f t="shared" si="134"/>
        <v>2024.031B.Sarkviridae_1nf_1msf_2mg.zip</v>
      </c>
    </row>
    <row r="3541" spans="1:21">
      <c r="A3541">
        <v>3540</v>
      </c>
      <c r="B3541" s="27" t="s">
        <v>1449</v>
      </c>
      <c r="D3541" s="27" t="s">
        <v>1450</v>
      </c>
      <c r="F3541" s="27" t="s">
        <v>1453</v>
      </c>
      <c r="H3541" s="27" t="s">
        <v>1454</v>
      </c>
      <c r="L3541" s="27" t="s">
        <v>19650</v>
      </c>
      <c r="M3541" s="27" t="s">
        <v>604</v>
      </c>
      <c r="N3541" s="27" t="s">
        <v>1317</v>
      </c>
      <c r="P3541" s="27" t="s">
        <v>11855</v>
      </c>
      <c r="Q3541" s="26" t="str">
        <f>HYPERLINK("https://ictv.global/taxonomy/taxondetails?taxnode_id=202519185&amp;ictv_id=ICTV202319185","ICTV202319185")</f>
        <v>ICTV202319185</v>
      </c>
      <c r="R3541" t="s">
        <v>579</v>
      </c>
      <c r="S3541" t="s">
        <v>22763</v>
      </c>
      <c r="T3541">
        <v>40</v>
      </c>
      <c r="U3541" s="26" t="str">
        <f t="shared" si="134"/>
        <v>2024.031B.Sarkviridae_1nf_1msf_2mg.zip</v>
      </c>
    </row>
    <row r="3542" spans="1:21">
      <c r="A3542">
        <v>3541</v>
      </c>
      <c r="B3542" s="27" t="s">
        <v>1449</v>
      </c>
      <c r="D3542" s="27" t="s">
        <v>1450</v>
      </c>
      <c r="F3542" s="27" t="s">
        <v>1453</v>
      </c>
      <c r="H3542" s="27" t="s">
        <v>1454</v>
      </c>
      <c r="L3542" s="27" t="s">
        <v>19650</v>
      </c>
      <c r="M3542" s="27" t="s">
        <v>604</v>
      </c>
      <c r="N3542" s="27" t="s">
        <v>1317</v>
      </c>
      <c r="P3542" s="27" t="s">
        <v>11856</v>
      </c>
      <c r="Q3542" s="26" t="str">
        <f>HYPERLINK("https://ictv.global/taxonomy/taxondetails?taxnode_id=202519184&amp;ictv_id=ICTV202319184","ICTV202319184")</f>
        <v>ICTV202319184</v>
      </c>
      <c r="R3542" t="s">
        <v>579</v>
      </c>
      <c r="S3542" t="s">
        <v>22763</v>
      </c>
      <c r="T3542">
        <v>40</v>
      </c>
      <c r="U3542" s="26" t="str">
        <f t="shared" si="134"/>
        <v>2024.031B.Sarkviridae_1nf_1msf_2mg.zip</v>
      </c>
    </row>
    <row r="3543" spans="1:21">
      <c r="A3543">
        <v>3542</v>
      </c>
      <c r="B3543" s="27" t="s">
        <v>1449</v>
      </c>
      <c r="D3543" s="27" t="s">
        <v>1450</v>
      </c>
      <c r="F3543" s="27" t="s">
        <v>1453</v>
      </c>
      <c r="H3543" s="27" t="s">
        <v>1454</v>
      </c>
      <c r="L3543" s="27" t="s">
        <v>19650</v>
      </c>
      <c r="N3543" s="27" t="s">
        <v>12184</v>
      </c>
      <c r="P3543" s="27" t="s">
        <v>12185</v>
      </c>
      <c r="Q3543" s="26" t="str">
        <f>HYPERLINK("https://ictv.global/taxonomy/taxondetails?taxnode_id=202519385&amp;ictv_id=ICTV202319385","ICTV202319385")</f>
        <v>ICTV202319385</v>
      </c>
      <c r="R3543" t="s">
        <v>579</v>
      </c>
      <c r="S3543" t="s">
        <v>22763</v>
      </c>
      <c r="T3543">
        <v>40</v>
      </c>
      <c r="U3543" s="26" t="str">
        <f t="shared" si="134"/>
        <v>2024.031B.Sarkviridae_1nf_1msf_2mg.zip</v>
      </c>
    </row>
    <row r="3544" spans="1:21">
      <c r="A3544">
        <v>3543</v>
      </c>
      <c r="B3544" s="27" t="s">
        <v>1449</v>
      </c>
      <c r="D3544" s="27" t="s">
        <v>1450</v>
      </c>
      <c r="F3544" s="27" t="s">
        <v>1453</v>
      </c>
      <c r="H3544" s="27" t="s">
        <v>1454</v>
      </c>
      <c r="L3544" s="27" t="s">
        <v>19650</v>
      </c>
      <c r="N3544" s="27" t="s">
        <v>12184</v>
      </c>
      <c r="P3544" s="27" t="s">
        <v>12186</v>
      </c>
      <c r="Q3544" s="26" t="str">
        <f>HYPERLINK("https://ictv.global/taxonomy/taxondetails?taxnode_id=202519386&amp;ictv_id=ICTV202319386","ICTV202319386")</f>
        <v>ICTV202319386</v>
      </c>
      <c r="R3544" t="s">
        <v>579</v>
      </c>
      <c r="S3544" t="s">
        <v>22763</v>
      </c>
      <c r="T3544">
        <v>40</v>
      </c>
      <c r="U3544" s="26" t="str">
        <f t="shared" si="134"/>
        <v>2024.031B.Sarkviridae_1nf_1msf_2mg.zip</v>
      </c>
    </row>
    <row r="3545" spans="1:21">
      <c r="A3545">
        <v>3544</v>
      </c>
      <c r="B3545" s="27" t="s">
        <v>1449</v>
      </c>
      <c r="D3545" s="27" t="s">
        <v>1450</v>
      </c>
      <c r="F3545" s="27" t="s">
        <v>1453</v>
      </c>
      <c r="H3545" s="27" t="s">
        <v>1454</v>
      </c>
      <c r="L3545" s="27" t="s">
        <v>19650</v>
      </c>
      <c r="N3545" s="27" t="s">
        <v>12209</v>
      </c>
      <c r="P3545" s="27" t="s">
        <v>12210</v>
      </c>
      <c r="Q3545" s="26" t="str">
        <f>HYPERLINK("https://ictv.global/taxonomy/taxondetails?taxnode_id=202519381&amp;ictv_id=ICTV202319381","ICTV202319381")</f>
        <v>ICTV202319381</v>
      </c>
      <c r="R3545" t="s">
        <v>579</v>
      </c>
      <c r="S3545" t="s">
        <v>22763</v>
      </c>
      <c r="T3545">
        <v>40</v>
      </c>
      <c r="U3545" s="26" t="str">
        <f t="shared" si="134"/>
        <v>2024.031B.Sarkviridae_1nf_1msf_2mg.zip</v>
      </c>
    </row>
    <row r="3546" spans="1:21">
      <c r="A3546">
        <v>3545</v>
      </c>
      <c r="B3546" s="27" t="s">
        <v>1449</v>
      </c>
      <c r="D3546" s="27" t="s">
        <v>1450</v>
      </c>
      <c r="F3546" s="27" t="s">
        <v>1453</v>
      </c>
      <c r="H3546" s="27" t="s">
        <v>1454</v>
      </c>
      <c r="L3546" s="27" t="s">
        <v>2169</v>
      </c>
      <c r="M3546" s="27" t="s">
        <v>20954</v>
      </c>
      <c r="N3546" s="27" t="s">
        <v>22537</v>
      </c>
      <c r="P3546" s="27" t="s">
        <v>22538</v>
      </c>
      <c r="Q3546" s="26" t="str">
        <f>HYPERLINK("https://ictv.global/taxonomy/taxondetails?taxnode_id=202523143&amp;ictv_id=ICTV202523143","ICTV202523143")</f>
        <v>ICTV202523143</v>
      </c>
      <c r="R3546" t="s">
        <v>579</v>
      </c>
      <c r="S3546" t="s">
        <v>823</v>
      </c>
      <c r="T3546">
        <v>41</v>
      </c>
      <c r="U3546" s="26" t="str">
        <f>HYPERLINK("https://ictv.global/ictv/proposals/2025.072B.Schitoviridae_4_nsf_16ng_78_ns.zip","2025.072B.Schitoviridae_4_nsf_16ng_78_ns.zip")</f>
        <v>2025.072B.Schitoviridae_4_nsf_16ng_78_ns.zip</v>
      </c>
    </row>
    <row r="3547" spans="1:21">
      <c r="A3547">
        <v>3546</v>
      </c>
      <c r="B3547" s="27" t="s">
        <v>1449</v>
      </c>
      <c r="D3547" s="27" t="s">
        <v>1450</v>
      </c>
      <c r="F3547" s="27" t="s">
        <v>1453</v>
      </c>
      <c r="H3547" s="27" t="s">
        <v>1454</v>
      </c>
      <c r="L3547" s="27" t="s">
        <v>2169</v>
      </c>
      <c r="M3547" s="27" t="s">
        <v>20954</v>
      </c>
      <c r="N3547" s="27" t="s">
        <v>5417</v>
      </c>
      <c r="P3547" s="27" t="s">
        <v>5418</v>
      </c>
      <c r="Q3547" s="26" t="str">
        <f>HYPERLINK("https://ictv.global/taxonomy/taxondetails?taxnode_id=202513612&amp;ictv_id=ICTV202113612","ICTV202113612")</f>
        <v>ICTV202113612</v>
      </c>
      <c r="R3547" t="s">
        <v>579</v>
      </c>
      <c r="S3547" t="s">
        <v>22763</v>
      </c>
      <c r="T3547">
        <v>41</v>
      </c>
      <c r="U3547" s="26" t="str">
        <f>HYPERLINK("https://ictv.global/ictv/proposals/2025.072B.Schitoviridae_4_nsf_16ng_78_ns.zip","2025.072B.Schitoviridae_4_nsf_16ng_78_ns.zip")</f>
        <v>2025.072B.Schitoviridae_4_nsf_16ng_78_ns.zip</v>
      </c>
    </row>
    <row r="3548" spans="1:21">
      <c r="A3548">
        <v>3547</v>
      </c>
      <c r="B3548" s="27" t="s">
        <v>1449</v>
      </c>
      <c r="D3548" s="27" t="s">
        <v>1450</v>
      </c>
      <c r="F3548" s="27" t="s">
        <v>1453</v>
      </c>
      <c r="H3548" s="27" t="s">
        <v>1454</v>
      </c>
      <c r="L3548" s="27" t="s">
        <v>2169</v>
      </c>
      <c r="M3548" s="27" t="s">
        <v>20954</v>
      </c>
      <c r="N3548" s="27" t="s">
        <v>22535</v>
      </c>
      <c r="P3548" s="27" t="s">
        <v>22536</v>
      </c>
      <c r="Q3548" s="26" t="str">
        <f>HYPERLINK("https://ictv.global/taxonomy/taxondetails?taxnode_id=202523142&amp;ictv_id=ICTV202523142","ICTV202523142")</f>
        <v>ICTV202523142</v>
      </c>
      <c r="R3548" t="s">
        <v>579</v>
      </c>
      <c r="S3548" t="s">
        <v>823</v>
      </c>
      <c r="T3548">
        <v>41</v>
      </c>
      <c r="U3548" s="26" t="str">
        <f>HYPERLINK("https://ictv.global/ictv/proposals/2025.072B.Schitoviridae_4_nsf_16ng_78_ns.zip","2025.072B.Schitoviridae_4_nsf_16ng_78_ns.zip")</f>
        <v>2025.072B.Schitoviridae_4_nsf_16ng_78_ns.zip</v>
      </c>
    </row>
    <row r="3549" spans="1:21">
      <c r="A3549">
        <v>3548</v>
      </c>
      <c r="B3549" s="27" t="s">
        <v>1449</v>
      </c>
      <c r="D3549" s="27" t="s">
        <v>1450</v>
      </c>
      <c r="F3549" s="27" t="s">
        <v>1453</v>
      </c>
      <c r="H3549" s="27" t="s">
        <v>1454</v>
      </c>
      <c r="L3549" s="27" t="s">
        <v>2169</v>
      </c>
      <c r="M3549" s="27" t="s">
        <v>5333</v>
      </c>
      <c r="N3549" s="27" t="s">
        <v>5334</v>
      </c>
      <c r="P3549" s="27" t="s">
        <v>5335</v>
      </c>
      <c r="Q3549" s="26" t="str">
        <f>HYPERLINK("https://ictv.global/taxonomy/taxondetails?taxnode_id=202514819&amp;ictv_id=ICTV202214819","ICTV202214819")</f>
        <v>ICTV202214819</v>
      </c>
      <c r="R3549" t="s">
        <v>579</v>
      </c>
      <c r="S3549" t="s">
        <v>823</v>
      </c>
      <c r="T3549">
        <v>38</v>
      </c>
      <c r="U3549" s="26" t="str">
        <f t="shared" ref="U3549:U3554" si="135">HYPERLINK("https://ictv.global/ictv/proposals/2022.073B.Schitoviridae_1nsf_9ng_30nsp.zip","2022.073B.Schitoviridae_1nsf_9ng_30nsp.zip")</f>
        <v>2022.073B.Schitoviridae_1nsf_9ng_30nsp.zip</v>
      </c>
    </row>
    <row r="3550" spans="1:21">
      <c r="A3550">
        <v>3549</v>
      </c>
      <c r="B3550" s="27" t="s">
        <v>1449</v>
      </c>
      <c r="D3550" s="27" t="s">
        <v>1450</v>
      </c>
      <c r="F3550" s="27" t="s">
        <v>1453</v>
      </c>
      <c r="H3550" s="27" t="s">
        <v>1454</v>
      </c>
      <c r="L3550" s="27" t="s">
        <v>2169</v>
      </c>
      <c r="M3550" s="27" t="s">
        <v>5333</v>
      </c>
      <c r="N3550" s="27" t="s">
        <v>5334</v>
      </c>
      <c r="P3550" s="27" t="s">
        <v>5336</v>
      </c>
      <c r="Q3550" s="26" t="str">
        <f>HYPERLINK("https://ictv.global/taxonomy/taxondetails?taxnode_id=202514818&amp;ictv_id=ICTV202214818","ICTV202214818")</f>
        <v>ICTV202214818</v>
      </c>
      <c r="R3550" t="s">
        <v>579</v>
      </c>
      <c r="S3550" t="s">
        <v>823</v>
      </c>
      <c r="T3550">
        <v>38</v>
      </c>
      <c r="U3550" s="26" t="str">
        <f t="shared" si="135"/>
        <v>2022.073B.Schitoviridae_1nsf_9ng_30nsp.zip</v>
      </c>
    </row>
    <row r="3551" spans="1:21">
      <c r="A3551">
        <v>3550</v>
      </c>
      <c r="B3551" s="27" t="s">
        <v>1449</v>
      </c>
      <c r="D3551" s="27" t="s">
        <v>1450</v>
      </c>
      <c r="F3551" s="27" t="s">
        <v>1453</v>
      </c>
      <c r="H3551" s="27" t="s">
        <v>1454</v>
      </c>
      <c r="L3551" s="27" t="s">
        <v>2169</v>
      </c>
      <c r="M3551" s="27" t="s">
        <v>5333</v>
      </c>
      <c r="N3551" s="27" t="s">
        <v>5334</v>
      </c>
      <c r="P3551" s="27" t="s">
        <v>5337</v>
      </c>
      <c r="Q3551" s="26" t="str">
        <f>HYPERLINK("https://ictv.global/taxonomy/taxondetails?taxnode_id=202514817&amp;ictv_id=ICTV202214817","ICTV202214817")</f>
        <v>ICTV202214817</v>
      </c>
      <c r="R3551" t="s">
        <v>579</v>
      </c>
      <c r="S3551" t="s">
        <v>823</v>
      </c>
      <c r="T3551">
        <v>38</v>
      </c>
      <c r="U3551" s="26" t="str">
        <f t="shared" si="135"/>
        <v>2022.073B.Schitoviridae_1nsf_9ng_30nsp.zip</v>
      </c>
    </row>
    <row r="3552" spans="1:21">
      <c r="A3552">
        <v>3551</v>
      </c>
      <c r="B3552" s="27" t="s">
        <v>1449</v>
      </c>
      <c r="D3552" s="27" t="s">
        <v>1450</v>
      </c>
      <c r="F3552" s="27" t="s">
        <v>1453</v>
      </c>
      <c r="H3552" s="27" t="s">
        <v>1454</v>
      </c>
      <c r="L3552" s="27" t="s">
        <v>2169</v>
      </c>
      <c r="M3552" s="27" t="s">
        <v>5333</v>
      </c>
      <c r="N3552" s="27" t="s">
        <v>5334</v>
      </c>
      <c r="P3552" s="27" t="s">
        <v>5338</v>
      </c>
      <c r="Q3552" s="26" t="str">
        <f>HYPERLINK("https://ictv.global/taxonomy/taxondetails?taxnode_id=202514816&amp;ictv_id=ICTV202214816","ICTV202214816")</f>
        <v>ICTV202214816</v>
      </c>
      <c r="R3552" t="s">
        <v>579</v>
      </c>
      <c r="S3552" t="s">
        <v>823</v>
      </c>
      <c r="T3552">
        <v>38</v>
      </c>
      <c r="U3552" s="26" t="str">
        <f t="shared" si="135"/>
        <v>2022.073B.Schitoviridae_1nsf_9ng_30nsp.zip</v>
      </c>
    </row>
    <row r="3553" spans="1:21">
      <c r="A3553">
        <v>3552</v>
      </c>
      <c r="B3553" s="27" t="s">
        <v>1449</v>
      </c>
      <c r="D3553" s="27" t="s">
        <v>1450</v>
      </c>
      <c r="F3553" s="27" t="s">
        <v>1453</v>
      </c>
      <c r="H3553" s="27" t="s">
        <v>1454</v>
      </c>
      <c r="L3553" s="27" t="s">
        <v>2169</v>
      </c>
      <c r="M3553" s="27" t="s">
        <v>5333</v>
      </c>
      <c r="N3553" s="27" t="s">
        <v>5339</v>
      </c>
      <c r="P3553" s="27" t="s">
        <v>5340</v>
      </c>
      <c r="Q3553" s="26" t="str">
        <f>HYPERLINK("https://ictv.global/taxonomy/taxondetails?taxnode_id=202514815&amp;ictv_id=ICTV202214815","ICTV202214815")</f>
        <v>ICTV202214815</v>
      </c>
      <c r="R3553" t="s">
        <v>579</v>
      </c>
      <c r="S3553" t="s">
        <v>823</v>
      </c>
      <c r="T3553">
        <v>38</v>
      </c>
      <c r="U3553" s="26" t="str">
        <f t="shared" si="135"/>
        <v>2022.073B.Schitoviridae_1nsf_9ng_30nsp.zip</v>
      </c>
    </row>
    <row r="3554" spans="1:21">
      <c r="A3554">
        <v>3553</v>
      </c>
      <c r="B3554" s="27" t="s">
        <v>1449</v>
      </c>
      <c r="D3554" s="27" t="s">
        <v>1450</v>
      </c>
      <c r="F3554" s="27" t="s">
        <v>1453</v>
      </c>
      <c r="H3554" s="27" t="s">
        <v>1454</v>
      </c>
      <c r="L3554" s="27" t="s">
        <v>2169</v>
      </c>
      <c r="M3554" s="27" t="s">
        <v>5333</v>
      </c>
      <c r="N3554" s="27" t="s">
        <v>5339</v>
      </c>
      <c r="P3554" s="27" t="s">
        <v>5341</v>
      </c>
      <c r="Q3554" s="26" t="str">
        <f>HYPERLINK("https://ictv.global/taxonomy/taxondetails?taxnode_id=202514814&amp;ictv_id=ICTV202214814","ICTV202214814")</f>
        <v>ICTV202214814</v>
      </c>
      <c r="R3554" t="s">
        <v>579</v>
      </c>
      <c r="S3554" t="s">
        <v>823</v>
      </c>
      <c r="T3554">
        <v>38</v>
      </c>
      <c r="U3554" s="26" t="str">
        <f t="shared" si="135"/>
        <v>2022.073B.Schitoviridae_1nsf_9ng_30nsp.zip</v>
      </c>
    </row>
    <row r="3555" spans="1:21">
      <c r="A3555">
        <v>3554</v>
      </c>
      <c r="B3555" s="27" t="s">
        <v>1449</v>
      </c>
      <c r="D3555" s="27" t="s">
        <v>1450</v>
      </c>
      <c r="F3555" s="27" t="s">
        <v>1453</v>
      </c>
      <c r="H3555" s="27" t="s">
        <v>1454</v>
      </c>
      <c r="L3555" s="27" t="s">
        <v>2169</v>
      </c>
      <c r="M3555" s="27" t="s">
        <v>2170</v>
      </c>
      <c r="N3555" s="27" t="s">
        <v>1291</v>
      </c>
      <c r="P3555" s="27" t="s">
        <v>5342</v>
      </c>
      <c r="Q3555" s="26" t="str">
        <f>HYPERLINK("https://ictv.global/taxonomy/taxondetails?taxnode_id=202500672&amp;ictv_id=ICTV20073015","ICTV20073015")</f>
        <v>ICTV20073015</v>
      </c>
      <c r="R3555" t="s">
        <v>579</v>
      </c>
      <c r="S3555" t="s">
        <v>824</v>
      </c>
      <c r="T3555">
        <v>37</v>
      </c>
      <c r="U3555" s="26" t="str">
        <f>HYPERLINK("https://ictv.global/ictv/proposals/2021.010B.R.Binomial_names.zip","2021.010B.R.Binomial_names.zip")</f>
        <v>2021.010B.R.Binomial_names.zip</v>
      </c>
    </row>
    <row r="3556" spans="1:21">
      <c r="A3556">
        <v>3555</v>
      </c>
      <c r="B3556" s="27" t="s">
        <v>1449</v>
      </c>
      <c r="D3556" s="27" t="s">
        <v>1450</v>
      </c>
      <c r="F3556" s="27" t="s">
        <v>1453</v>
      </c>
      <c r="H3556" s="27" t="s">
        <v>1454</v>
      </c>
      <c r="L3556" s="27" t="s">
        <v>2169</v>
      </c>
      <c r="M3556" s="27" t="s">
        <v>2170</v>
      </c>
      <c r="N3556" s="27" t="s">
        <v>1293</v>
      </c>
      <c r="P3556" s="27" t="s">
        <v>22588</v>
      </c>
      <c r="Q3556" s="26" t="str">
        <f>HYPERLINK("https://ictv.global/taxonomy/taxondetails?taxnode_id=202523180&amp;ictv_id=ICTV202523180","ICTV202523180")</f>
        <v>ICTV202523180</v>
      </c>
      <c r="R3556" t="s">
        <v>579</v>
      </c>
      <c r="S3556" t="s">
        <v>823</v>
      </c>
      <c r="T3556">
        <v>41</v>
      </c>
      <c r="U3556" s="26" t="str">
        <f>HYPERLINK("https://ictv.global/ictv/proposals/2025.072B.Schitoviridae_4_nsf_16ng_78_ns.zip","2025.072B.Schitoviridae_4_nsf_16ng_78_ns.zip")</f>
        <v>2025.072B.Schitoviridae_4_nsf_16ng_78_ns.zip</v>
      </c>
    </row>
    <row r="3557" spans="1:21">
      <c r="A3557">
        <v>3556</v>
      </c>
      <c r="B3557" s="27" t="s">
        <v>1449</v>
      </c>
      <c r="D3557" s="27" t="s">
        <v>1450</v>
      </c>
      <c r="F3557" s="27" t="s">
        <v>1453</v>
      </c>
      <c r="H3557" s="27" t="s">
        <v>1454</v>
      </c>
      <c r="L3557" s="27" t="s">
        <v>2169</v>
      </c>
      <c r="M3557" s="27" t="s">
        <v>2170</v>
      </c>
      <c r="N3557" s="27" t="s">
        <v>1293</v>
      </c>
      <c r="P3557" s="27" t="s">
        <v>5343</v>
      </c>
      <c r="Q3557" s="26" t="str">
        <f>HYPERLINK("https://ictv.global/taxonomy/taxondetails?taxnode_id=202500643&amp;ictv_id=ICTV20150348","ICTV20150348")</f>
        <v>ICTV20150348</v>
      </c>
      <c r="R3557" t="s">
        <v>579</v>
      </c>
      <c r="S3557" t="s">
        <v>824</v>
      </c>
      <c r="T3557">
        <v>37</v>
      </c>
      <c r="U3557" s="26" t="str">
        <f>HYPERLINK("https://ictv.global/ictv/proposals/2021.010B.R.Binomial_names.zip","2021.010B.R.Binomial_names.zip")</f>
        <v>2021.010B.R.Binomial_names.zip</v>
      </c>
    </row>
    <row r="3558" spans="1:21">
      <c r="A3558">
        <v>3557</v>
      </c>
      <c r="B3558" s="27" t="s">
        <v>1449</v>
      </c>
      <c r="D3558" s="27" t="s">
        <v>1450</v>
      </c>
      <c r="F3558" s="27" t="s">
        <v>1453</v>
      </c>
      <c r="H3558" s="27" t="s">
        <v>1454</v>
      </c>
      <c r="L3558" s="27" t="s">
        <v>2169</v>
      </c>
      <c r="M3558" s="27" t="s">
        <v>2170</v>
      </c>
      <c r="N3558" s="27" t="s">
        <v>1293</v>
      </c>
      <c r="P3558" s="27" t="s">
        <v>5344</v>
      </c>
      <c r="Q3558" s="26" t="str">
        <f>HYPERLINK("https://ictv.global/taxonomy/taxondetails?taxnode_id=202500644&amp;ictv_id=ICTV20150347","ICTV20150347")</f>
        <v>ICTV20150347</v>
      </c>
      <c r="R3558" t="s">
        <v>579</v>
      </c>
      <c r="S3558" t="s">
        <v>824</v>
      </c>
      <c r="T3558">
        <v>37</v>
      </c>
      <c r="U3558" s="26" t="str">
        <f>HYPERLINK("https://ictv.global/ictv/proposals/2021.010B.R.Binomial_names.zip","2021.010B.R.Binomial_names.zip")</f>
        <v>2021.010B.R.Binomial_names.zip</v>
      </c>
    </row>
    <row r="3559" spans="1:21">
      <c r="A3559">
        <v>3558</v>
      </c>
      <c r="B3559" s="27" t="s">
        <v>1449</v>
      </c>
      <c r="D3559" s="27" t="s">
        <v>1450</v>
      </c>
      <c r="F3559" s="27" t="s">
        <v>1453</v>
      </c>
      <c r="H3559" s="27" t="s">
        <v>1454</v>
      </c>
      <c r="L3559" s="27" t="s">
        <v>2169</v>
      </c>
      <c r="M3559" s="27" t="s">
        <v>2170</v>
      </c>
      <c r="N3559" s="27" t="s">
        <v>1293</v>
      </c>
      <c r="P3559" s="27" t="s">
        <v>5345</v>
      </c>
      <c r="Q3559" s="26" t="str">
        <f>HYPERLINK("https://ictv.global/taxonomy/taxondetails?taxnode_id=202500645&amp;ictv_id=ICTV20150349","ICTV20150349")</f>
        <v>ICTV20150349</v>
      </c>
      <c r="R3559" t="s">
        <v>579</v>
      </c>
      <c r="S3559" t="s">
        <v>824</v>
      </c>
      <c r="T3559">
        <v>37</v>
      </c>
      <c r="U3559" s="26" t="str">
        <f>HYPERLINK("https://ictv.global/ictv/proposals/2021.010B.R.Binomial_names.zip","2021.010B.R.Binomial_names.zip")</f>
        <v>2021.010B.R.Binomial_names.zip</v>
      </c>
    </row>
    <row r="3560" spans="1:21">
      <c r="A3560">
        <v>3559</v>
      </c>
      <c r="B3560" s="27" t="s">
        <v>1449</v>
      </c>
      <c r="D3560" s="27" t="s">
        <v>1450</v>
      </c>
      <c r="F3560" s="27" t="s">
        <v>1453</v>
      </c>
      <c r="H3560" s="27" t="s">
        <v>1454</v>
      </c>
      <c r="L3560" s="27" t="s">
        <v>2169</v>
      </c>
      <c r="M3560" s="27" t="s">
        <v>2170</v>
      </c>
      <c r="N3560" s="27" t="s">
        <v>1293</v>
      </c>
      <c r="P3560" s="27" t="s">
        <v>22587</v>
      </c>
      <c r="Q3560" s="26" t="str">
        <f>HYPERLINK("https://ictv.global/taxonomy/taxondetails?taxnode_id=202523179&amp;ictv_id=ICTV202523179","ICTV202523179")</f>
        <v>ICTV202523179</v>
      </c>
      <c r="R3560" t="s">
        <v>579</v>
      </c>
      <c r="S3560" t="s">
        <v>823</v>
      </c>
      <c r="T3560">
        <v>41</v>
      </c>
      <c r="U3560" s="26" t="str">
        <f>HYPERLINK("https://ictv.global/ictv/proposals/2025.072B.Schitoviridae_4_nsf_16ng_78_ns.zip","2025.072B.Schitoviridae_4_nsf_16ng_78_ns.zip")</f>
        <v>2025.072B.Schitoviridae_4_nsf_16ng_78_ns.zip</v>
      </c>
    </row>
    <row r="3561" spans="1:21">
      <c r="A3561">
        <v>3560</v>
      </c>
      <c r="B3561" s="27" t="s">
        <v>1449</v>
      </c>
      <c r="D3561" s="27" t="s">
        <v>1450</v>
      </c>
      <c r="F3561" s="27" t="s">
        <v>1453</v>
      </c>
      <c r="H3561" s="27" t="s">
        <v>1454</v>
      </c>
      <c r="L3561" s="27" t="s">
        <v>2169</v>
      </c>
      <c r="M3561" s="27" t="s">
        <v>2170</v>
      </c>
      <c r="N3561" s="27" t="s">
        <v>1293</v>
      </c>
      <c r="P3561" s="27" t="s">
        <v>22595</v>
      </c>
      <c r="Q3561" s="26" t="str">
        <f>HYPERLINK("https://ictv.global/taxonomy/taxondetails?taxnode_id=202523187&amp;ictv_id=ICTV202523187","ICTV202523187")</f>
        <v>ICTV202523187</v>
      </c>
      <c r="R3561" t="s">
        <v>579</v>
      </c>
      <c r="S3561" t="s">
        <v>823</v>
      </c>
      <c r="T3561">
        <v>41</v>
      </c>
      <c r="U3561" s="26" t="str">
        <f>HYPERLINK("https://ictv.global/ictv/proposals/2025.072B.Schitoviridae_4_nsf_16ng_78_ns.zip","2025.072B.Schitoviridae_4_nsf_16ng_78_ns.zip")</f>
        <v>2025.072B.Schitoviridae_4_nsf_16ng_78_ns.zip</v>
      </c>
    </row>
    <row r="3562" spans="1:21">
      <c r="A3562">
        <v>3561</v>
      </c>
      <c r="B3562" s="27" t="s">
        <v>1449</v>
      </c>
      <c r="D3562" s="27" t="s">
        <v>1450</v>
      </c>
      <c r="F3562" s="27" t="s">
        <v>1453</v>
      </c>
      <c r="H3562" s="27" t="s">
        <v>1454</v>
      </c>
      <c r="L3562" s="27" t="s">
        <v>2169</v>
      </c>
      <c r="M3562" s="27" t="s">
        <v>2170</v>
      </c>
      <c r="N3562" s="27" t="s">
        <v>1293</v>
      </c>
      <c r="P3562" s="27" t="s">
        <v>5346</v>
      </c>
      <c r="Q3562" s="26" t="str">
        <f>HYPERLINK("https://ictv.global/taxonomy/taxondetails?taxnode_id=202500646&amp;ictv_id=ICTV20150352","ICTV20150352")</f>
        <v>ICTV20150352</v>
      </c>
      <c r="R3562" t="s">
        <v>579</v>
      </c>
      <c r="S3562" t="s">
        <v>824</v>
      </c>
      <c r="T3562">
        <v>37</v>
      </c>
      <c r="U3562" s="26" t="str">
        <f>HYPERLINK("https://ictv.global/ictv/proposals/2021.010B.R.Binomial_names.zip","2021.010B.R.Binomial_names.zip")</f>
        <v>2021.010B.R.Binomial_names.zip</v>
      </c>
    </row>
    <row r="3563" spans="1:21">
      <c r="A3563">
        <v>3562</v>
      </c>
      <c r="B3563" s="27" t="s">
        <v>1449</v>
      </c>
      <c r="D3563" s="27" t="s">
        <v>1450</v>
      </c>
      <c r="F3563" s="27" t="s">
        <v>1453</v>
      </c>
      <c r="H3563" s="27" t="s">
        <v>1454</v>
      </c>
      <c r="L3563" s="27" t="s">
        <v>2169</v>
      </c>
      <c r="M3563" s="27" t="s">
        <v>2170</v>
      </c>
      <c r="N3563" s="27" t="s">
        <v>1293</v>
      </c>
      <c r="P3563" s="27" t="s">
        <v>5347</v>
      </c>
      <c r="Q3563" s="26" t="str">
        <f>HYPERLINK("https://ictv.global/taxonomy/taxondetails?taxnode_id=202500647&amp;ictv_id=ICTV20150350","ICTV20150350")</f>
        <v>ICTV20150350</v>
      </c>
      <c r="R3563" t="s">
        <v>579</v>
      </c>
      <c r="S3563" t="s">
        <v>824</v>
      </c>
      <c r="T3563">
        <v>37</v>
      </c>
      <c r="U3563" s="26" t="str">
        <f>HYPERLINK("https://ictv.global/ictv/proposals/2021.010B.R.Binomial_names.zip","2021.010B.R.Binomial_names.zip")</f>
        <v>2021.010B.R.Binomial_names.zip</v>
      </c>
    </row>
    <row r="3564" spans="1:21">
      <c r="A3564">
        <v>3563</v>
      </c>
      <c r="B3564" s="27" t="s">
        <v>1449</v>
      </c>
      <c r="D3564" s="27" t="s">
        <v>1450</v>
      </c>
      <c r="F3564" s="27" t="s">
        <v>1453</v>
      </c>
      <c r="H3564" s="27" t="s">
        <v>1454</v>
      </c>
      <c r="L3564" s="27" t="s">
        <v>2169</v>
      </c>
      <c r="M3564" s="27" t="s">
        <v>2170</v>
      </c>
      <c r="N3564" s="27" t="s">
        <v>1293</v>
      </c>
      <c r="P3564" s="27" t="s">
        <v>5348</v>
      </c>
      <c r="Q3564" s="26" t="str">
        <f>HYPERLINK("https://ictv.global/taxonomy/taxondetails?taxnode_id=202514835&amp;ictv_id=ICTV202214835","ICTV202214835")</f>
        <v>ICTV202214835</v>
      </c>
      <c r="R3564" t="s">
        <v>579</v>
      </c>
      <c r="S3564" t="s">
        <v>823</v>
      </c>
      <c r="T3564">
        <v>38</v>
      </c>
      <c r="U3564" s="26" t="str">
        <f>HYPERLINK("https://ictv.global/ictv/proposals/2022.073B.Schitoviridae_1nsf_9ng_30nsp.zip","2022.073B.Schitoviridae_1nsf_9ng_30nsp.zip")</f>
        <v>2022.073B.Schitoviridae_1nsf_9ng_30nsp.zip</v>
      </c>
    </row>
    <row r="3565" spans="1:21">
      <c r="A3565">
        <v>3564</v>
      </c>
      <c r="B3565" s="27" t="s">
        <v>1449</v>
      </c>
      <c r="D3565" s="27" t="s">
        <v>1450</v>
      </c>
      <c r="F3565" s="27" t="s">
        <v>1453</v>
      </c>
      <c r="H3565" s="27" t="s">
        <v>1454</v>
      </c>
      <c r="L3565" s="27" t="s">
        <v>2169</v>
      </c>
      <c r="M3565" s="27" t="s">
        <v>2170</v>
      </c>
      <c r="N3565" s="27" t="s">
        <v>1293</v>
      </c>
      <c r="P3565" s="27" t="s">
        <v>5349</v>
      </c>
      <c r="Q3565" s="26" t="str">
        <f>HYPERLINK("https://ictv.global/taxonomy/taxondetails?taxnode_id=202500648&amp;ictv_id=ICTV20150346","ICTV20150346")</f>
        <v>ICTV20150346</v>
      </c>
      <c r="R3565" t="s">
        <v>579</v>
      </c>
      <c r="S3565" t="s">
        <v>824</v>
      </c>
      <c r="T3565">
        <v>37</v>
      </c>
      <c r="U3565" s="26" t="str">
        <f>HYPERLINK("https://ictv.global/ictv/proposals/2021.010B.R.Binomial_names.zip","2021.010B.R.Binomial_names.zip")</f>
        <v>2021.010B.R.Binomial_names.zip</v>
      </c>
    </row>
    <row r="3566" spans="1:21">
      <c r="A3566">
        <v>3565</v>
      </c>
      <c r="B3566" s="27" t="s">
        <v>1449</v>
      </c>
      <c r="D3566" s="27" t="s">
        <v>1450</v>
      </c>
      <c r="F3566" s="27" t="s">
        <v>1453</v>
      </c>
      <c r="H3566" s="27" t="s">
        <v>1454</v>
      </c>
      <c r="L3566" s="27" t="s">
        <v>2169</v>
      </c>
      <c r="M3566" s="27" t="s">
        <v>2170</v>
      </c>
      <c r="N3566" s="27" t="s">
        <v>1293</v>
      </c>
      <c r="P3566" s="27" t="s">
        <v>22599</v>
      </c>
      <c r="Q3566" s="26" t="str">
        <f>HYPERLINK("https://ictv.global/taxonomy/taxondetails?taxnode_id=202523191&amp;ictv_id=ICTV202523191","ICTV202523191")</f>
        <v>ICTV202523191</v>
      </c>
      <c r="R3566" t="s">
        <v>579</v>
      </c>
      <c r="S3566" t="s">
        <v>823</v>
      </c>
      <c r="T3566">
        <v>41</v>
      </c>
      <c r="U3566" s="26" t="str">
        <f>HYPERLINK("https://ictv.global/ictv/proposals/2025.072B.Schitoviridae_4_nsf_16ng_78_ns.zip","2025.072B.Schitoviridae_4_nsf_16ng_78_ns.zip")</f>
        <v>2025.072B.Schitoviridae_4_nsf_16ng_78_ns.zip</v>
      </c>
    </row>
    <row r="3567" spans="1:21">
      <c r="A3567">
        <v>3566</v>
      </c>
      <c r="B3567" s="27" t="s">
        <v>1449</v>
      </c>
      <c r="D3567" s="27" t="s">
        <v>1450</v>
      </c>
      <c r="F3567" s="27" t="s">
        <v>1453</v>
      </c>
      <c r="H3567" s="27" t="s">
        <v>1454</v>
      </c>
      <c r="L3567" s="27" t="s">
        <v>2169</v>
      </c>
      <c r="M3567" s="27" t="s">
        <v>2170</v>
      </c>
      <c r="N3567" s="27" t="s">
        <v>1293</v>
      </c>
      <c r="P3567" s="27" t="s">
        <v>5350</v>
      </c>
      <c r="Q3567" s="26" t="str">
        <f>HYPERLINK("https://ictv.global/taxonomy/taxondetails?taxnode_id=202500649&amp;ictv_id=ICTV20150351","ICTV20150351")</f>
        <v>ICTV20150351</v>
      </c>
      <c r="R3567" t="s">
        <v>579</v>
      </c>
      <c r="S3567" t="s">
        <v>824</v>
      </c>
      <c r="T3567">
        <v>37</v>
      </c>
      <c r="U3567" s="26" t="str">
        <f>HYPERLINK("https://ictv.global/ictv/proposals/2021.010B.R.Binomial_names.zip","2021.010B.R.Binomial_names.zip")</f>
        <v>2021.010B.R.Binomial_names.zip</v>
      </c>
    </row>
    <row r="3568" spans="1:21">
      <c r="A3568">
        <v>3567</v>
      </c>
      <c r="B3568" s="27" t="s">
        <v>1449</v>
      </c>
      <c r="D3568" s="27" t="s">
        <v>1450</v>
      </c>
      <c r="F3568" s="27" t="s">
        <v>1453</v>
      </c>
      <c r="H3568" s="27" t="s">
        <v>1454</v>
      </c>
      <c r="L3568" s="27" t="s">
        <v>2169</v>
      </c>
      <c r="M3568" s="27" t="s">
        <v>2170</v>
      </c>
      <c r="N3568" s="27" t="s">
        <v>1293</v>
      </c>
      <c r="P3568" s="27" t="s">
        <v>22589</v>
      </c>
      <c r="Q3568" s="26" t="str">
        <f>HYPERLINK("https://ictv.global/taxonomy/taxondetails?taxnode_id=202523181&amp;ictv_id=ICTV202523181","ICTV202523181")</f>
        <v>ICTV202523181</v>
      </c>
      <c r="R3568" t="s">
        <v>579</v>
      </c>
      <c r="S3568" t="s">
        <v>823</v>
      </c>
      <c r="T3568">
        <v>41</v>
      </c>
      <c r="U3568" s="26" t="str">
        <f t="shared" ref="U3568:U3576" si="136">HYPERLINK("https://ictv.global/ictv/proposals/2025.072B.Schitoviridae_4_nsf_16ng_78_ns.zip","2025.072B.Schitoviridae_4_nsf_16ng_78_ns.zip")</f>
        <v>2025.072B.Schitoviridae_4_nsf_16ng_78_ns.zip</v>
      </c>
    </row>
    <row r="3569" spans="1:21">
      <c r="A3569">
        <v>3568</v>
      </c>
      <c r="B3569" s="27" t="s">
        <v>1449</v>
      </c>
      <c r="D3569" s="27" t="s">
        <v>1450</v>
      </c>
      <c r="F3569" s="27" t="s">
        <v>1453</v>
      </c>
      <c r="H3569" s="27" t="s">
        <v>1454</v>
      </c>
      <c r="L3569" s="27" t="s">
        <v>2169</v>
      </c>
      <c r="M3569" s="27" t="s">
        <v>2170</v>
      </c>
      <c r="N3569" s="27" t="s">
        <v>1293</v>
      </c>
      <c r="P3569" s="27" t="s">
        <v>22594</v>
      </c>
      <c r="Q3569" s="26" t="str">
        <f>HYPERLINK("https://ictv.global/taxonomy/taxondetails?taxnode_id=202523186&amp;ictv_id=ICTV202523186","ICTV202523186")</f>
        <v>ICTV202523186</v>
      </c>
      <c r="R3569" t="s">
        <v>579</v>
      </c>
      <c r="S3569" t="s">
        <v>823</v>
      </c>
      <c r="T3569">
        <v>41</v>
      </c>
      <c r="U3569" s="26" t="str">
        <f t="shared" si="136"/>
        <v>2025.072B.Schitoviridae_4_nsf_16ng_78_ns.zip</v>
      </c>
    </row>
    <row r="3570" spans="1:21">
      <c r="A3570">
        <v>3569</v>
      </c>
      <c r="B3570" s="27" t="s">
        <v>1449</v>
      </c>
      <c r="D3570" s="27" t="s">
        <v>1450</v>
      </c>
      <c r="F3570" s="27" t="s">
        <v>1453</v>
      </c>
      <c r="H3570" s="27" t="s">
        <v>1454</v>
      </c>
      <c r="L3570" s="27" t="s">
        <v>2169</v>
      </c>
      <c r="M3570" s="27" t="s">
        <v>2170</v>
      </c>
      <c r="N3570" s="27" t="s">
        <v>1293</v>
      </c>
      <c r="P3570" s="27" t="s">
        <v>22591</v>
      </c>
      <c r="Q3570" s="26" t="str">
        <f>HYPERLINK("https://ictv.global/taxonomy/taxondetails?taxnode_id=202523183&amp;ictv_id=ICTV202523183","ICTV202523183")</f>
        <v>ICTV202523183</v>
      </c>
      <c r="R3570" t="s">
        <v>579</v>
      </c>
      <c r="S3570" t="s">
        <v>823</v>
      </c>
      <c r="T3570">
        <v>41</v>
      </c>
      <c r="U3570" s="26" t="str">
        <f t="shared" si="136"/>
        <v>2025.072B.Schitoviridae_4_nsf_16ng_78_ns.zip</v>
      </c>
    </row>
    <row r="3571" spans="1:21">
      <c r="A3571">
        <v>3570</v>
      </c>
      <c r="B3571" s="27" t="s">
        <v>1449</v>
      </c>
      <c r="D3571" s="27" t="s">
        <v>1450</v>
      </c>
      <c r="F3571" s="27" t="s">
        <v>1453</v>
      </c>
      <c r="H3571" s="27" t="s">
        <v>1454</v>
      </c>
      <c r="L3571" s="27" t="s">
        <v>2169</v>
      </c>
      <c r="M3571" s="27" t="s">
        <v>2170</v>
      </c>
      <c r="N3571" s="27" t="s">
        <v>1293</v>
      </c>
      <c r="P3571" s="27" t="s">
        <v>22592</v>
      </c>
      <c r="Q3571" s="26" t="str">
        <f>HYPERLINK("https://ictv.global/taxonomy/taxondetails?taxnode_id=202523184&amp;ictv_id=ICTV202523184","ICTV202523184")</f>
        <v>ICTV202523184</v>
      </c>
      <c r="R3571" t="s">
        <v>579</v>
      </c>
      <c r="S3571" t="s">
        <v>823</v>
      </c>
      <c r="T3571">
        <v>41</v>
      </c>
      <c r="U3571" s="26" t="str">
        <f t="shared" si="136"/>
        <v>2025.072B.Schitoviridae_4_nsf_16ng_78_ns.zip</v>
      </c>
    </row>
    <row r="3572" spans="1:21">
      <c r="A3572">
        <v>3571</v>
      </c>
      <c r="B3572" s="27" t="s">
        <v>1449</v>
      </c>
      <c r="D3572" s="27" t="s">
        <v>1450</v>
      </c>
      <c r="F3572" s="27" t="s">
        <v>1453</v>
      </c>
      <c r="H3572" s="27" t="s">
        <v>1454</v>
      </c>
      <c r="L3572" s="27" t="s">
        <v>2169</v>
      </c>
      <c r="M3572" s="27" t="s">
        <v>2170</v>
      </c>
      <c r="N3572" s="27" t="s">
        <v>1293</v>
      </c>
      <c r="P3572" s="27" t="s">
        <v>22590</v>
      </c>
      <c r="Q3572" s="26" t="str">
        <f>HYPERLINK("https://ictv.global/taxonomy/taxondetails?taxnode_id=202523182&amp;ictv_id=ICTV202523182","ICTV202523182")</f>
        <v>ICTV202523182</v>
      </c>
      <c r="R3572" t="s">
        <v>579</v>
      </c>
      <c r="S3572" t="s">
        <v>823</v>
      </c>
      <c r="T3572">
        <v>41</v>
      </c>
      <c r="U3572" s="26" t="str">
        <f t="shared" si="136"/>
        <v>2025.072B.Schitoviridae_4_nsf_16ng_78_ns.zip</v>
      </c>
    </row>
    <row r="3573" spans="1:21">
      <c r="A3573">
        <v>3572</v>
      </c>
      <c r="B3573" s="27" t="s">
        <v>1449</v>
      </c>
      <c r="D3573" s="27" t="s">
        <v>1450</v>
      </c>
      <c r="F3573" s="27" t="s">
        <v>1453</v>
      </c>
      <c r="H3573" s="27" t="s">
        <v>1454</v>
      </c>
      <c r="L3573" s="27" t="s">
        <v>2169</v>
      </c>
      <c r="M3573" s="27" t="s">
        <v>2170</v>
      </c>
      <c r="N3573" s="27" t="s">
        <v>1293</v>
      </c>
      <c r="P3573" s="27" t="s">
        <v>22597</v>
      </c>
      <c r="Q3573" s="26" t="str">
        <f>HYPERLINK("https://ictv.global/taxonomy/taxondetails?taxnode_id=202523189&amp;ictv_id=ICTV202523189","ICTV202523189")</f>
        <v>ICTV202523189</v>
      </c>
      <c r="R3573" t="s">
        <v>579</v>
      </c>
      <c r="S3573" t="s">
        <v>823</v>
      </c>
      <c r="T3573">
        <v>41</v>
      </c>
      <c r="U3573" s="26" t="str">
        <f t="shared" si="136"/>
        <v>2025.072B.Schitoviridae_4_nsf_16ng_78_ns.zip</v>
      </c>
    </row>
    <row r="3574" spans="1:21">
      <c r="A3574">
        <v>3573</v>
      </c>
      <c r="B3574" s="27" t="s">
        <v>1449</v>
      </c>
      <c r="D3574" s="27" t="s">
        <v>1450</v>
      </c>
      <c r="F3574" s="27" t="s">
        <v>1453</v>
      </c>
      <c r="H3574" s="27" t="s">
        <v>1454</v>
      </c>
      <c r="L3574" s="27" t="s">
        <v>2169</v>
      </c>
      <c r="M3574" s="27" t="s">
        <v>2170</v>
      </c>
      <c r="N3574" s="27" t="s">
        <v>1293</v>
      </c>
      <c r="P3574" s="27" t="s">
        <v>22601</v>
      </c>
      <c r="Q3574" s="26" t="str">
        <f>HYPERLINK("https://ictv.global/taxonomy/taxondetails?taxnode_id=202523193&amp;ictv_id=ICTV202523193","ICTV202523193")</f>
        <v>ICTV202523193</v>
      </c>
      <c r="R3574" t="s">
        <v>579</v>
      </c>
      <c r="S3574" t="s">
        <v>823</v>
      </c>
      <c r="T3574">
        <v>41</v>
      </c>
      <c r="U3574" s="26" t="str">
        <f t="shared" si="136"/>
        <v>2025.072B.Schitoviridae_4_nsf_16ng_78_ns.zip</v>
      </c>
    </row>
    <row r="3575" spans="1:21">
      <c r="A3575">
        <v>3574</v>
      </c>
      <c r="B3575" s="27" t="s">
        <v>1449</v>
      </c>
      <c r="D3575" s="27" t="s">
        <v>1450</v>
      </c>
      <c r="F3575" s="27" t="s">
        <v>1453</v>
      </c>
      <c r="H3575" s="27" t="s">
        <v>1454</v>
      </c>
      <c r="L3575" s="27" t="s">
        <v>2169</v>
      </c>
      <c r="M3575" s="27" t="s">
        <v>2170</v>
      </c>
      <c r="N3575" s="27" t="s">
        <v>1293</v>
      </c>
      <c r="P3575" s="27" t="s">
        <v>22602</v>
      </c>
      <c r="Q3575" s="26" t="str">
        <f>HYPERLINK("https://ictv.global/taxonomy/taxondetails?taxnode_id=202523194&amp;ictv_id=ICTV202523194","ICTV202523194")</f>
        <v>ICTV202523194</v>
      </c>
      <c r="R3575" t="s">
        <v>579</v>
      </c>
      <c r="S3575" t="s">
        <v>823</v>
      </c>
      <c r="T3575">
        <v>41</v>
      </c>
      <c r="U3575" s="26" t="str">
        <f t="shared" si="136"/>
        <v>2025.072B.Schitoviridae_4_nsf_16ng_78_ns.zip</v>
      </c>
    </row>
    <row r="3576" spans="1:21">
      <c r="A3576">
        <v>3575</v>
      </c>
      <c r="B3576" s="27" t="s">
        <v>1449</v>
      </c>
      <c r="D3576" s="27" t="s">
        <v>1450</v>
      </c>
      <c r="F3576" s="27" t="s">
        <v>1453</v>
      </c>
      <c r="H3576" s="27" t="s">
        <v>1454</v>
      </c>
      <c r="L3576" s="27" t="s">
        <v>2169</v>
      </c>
      <c r="M3576" s="27" t="s">
        <v>2170</v>
      </c>
      <c r="N3576" s="27" t="s">
        <v>1293</v>
      </c>
      <c r="P3576" s="27" t="s">
        <v>22605</v>
      </c>
      <c r="Q3576" s="26" t="str">
        <f>HYPERLINK("https://ictv.global/taxonomy/taxondetails?taxnode_id=202523197&amp;ictv_id=ICTV202523197","ICTV202523197")</f>
        <v>ICTV202523197</v>
      </c>
      <c r="R3576" t="s">
        <v>579</v>
      </c>
      <c r="S3576" t="s">
        <v>823</v>
      </c>
      <c r="T3576">
        <v>41</v>
      </c>
      <c r="U3576" s="26" t="str">
        <f t="shared" si="136"/>
        <v>2025.072B.Schitoviridae_4_nsf_16ng_78_ns.zip</v>
      </c>
    </row>
    <row r="3577" spans="1:21">
      <c r="A3577">
        <v>3576</v>
      </c>
      <c r="B3577" s="27" t="s">
        <v>1449</v>
      </c>
      <c r="D3577" s="27" t="s">
        <v>1450</v>
      </c>
      <c r="F3577" s="27" t="s">
        <v>1453</v>
      </c>
      <c r="H3577" s="27" t="s">
        <v>1454</v>
      </c>
      <c r="L3577" s="27" t="s">
        <v>2169</v>
      </c>
      <c r="M3577" s="27" t="s">
        <v>2170</v>
      </c>
      <c r="N3577" s="27" t="s">
        <v>1293</v>
      </c>
      <c r="P3577" s="27" t="s">
        <v>5351</v>
      </c>
      <c r="Q3577" s="26" t="str">
        <f>HYPERLINK("https://ictv.global/taxonomy/taxondetails?taxnode_id=202514836&amp;ictv_id=ICTV202214836","ICTV202214836")</f>
        <v>ICTV202214836</v>
      </c>
      <c r="R3577" t="s">
        <v>579</v>
      </c>
      <c r="S3577" t="s">
        <v>823</v>
      </c>
      <c r="T3577">
        <v>38</v>
      </c>
      <c r="U3577" s="26" t="str">
        <f>HYPERLINK("https://ictv.global/ictv/proposals/2022.073B.Schitoviridae_1nsf_9ng_30nsp.zip","2022.073B.Schitoviridae_1nsf_9ng_30nsp.zip")</f>
        <v>2022.073B.Schitoviridae_1nsf_9ng_30nsp.zip</v>
      </c>
    </row>
    <row r="3578" spans="1:21">
      <c r="A3578">
        <v>3577</v>
      </c>
      <c r="B3578" s="27" t="s">
        <v>1449</v>
      </c>
      <c r="D3578" s="27" t="s">
        <v>1450</v>
      </c>
      <c r="F3578" s="27" t="s">
        <v>1453</v>
      </c>
      <c r="H3578" s="27" t="s">
        <v>1454</v>
      </c>
      <c r="L3578" s="27" t="s">
        <v>2169</v>
      </c>
      <c r="M3578" s="27" t="s">
        <v>2170</v>
      </c>
      <c r="N3578" s="27" t="s">
        <v>1293</v>
      </c>
      <c r="P3578" s="27" t="s">
        <v>22604</v>
      </c>
      <c r="Q3578" s="26" t="str">
        <f>HYPERLINK("https://ictv.global/taxonomy/taxondetails?taxnode_id=202523196&amp;ictv_id=ICTV202523196","ICTV202523196")</f>
        <v>ICTV202523196</v>
      </c>
      <c r="R3578" t="s">
        <v>579</v>
      </c>
      <c r="S3578" t="s">
        <v>823</v>
      </c>
      <c r="T3578">
        <v>41</v>
      </c>
      <c r="U3578" s="26" t="str">
        <f>HYPERLINK("https://ictv.global/ictv/proposals/2025.072B.Schitoviridae_4_nsf_16ng_78_ns.zip","2025.072B.Schitoviridae_4_nsf_16ng_78_ns.zip")</f>
        <v>2025.072B.Schitoviridae_4_nsf_16ng_78_ns.zip</v>
      </c>
    </row>
    <row r="3579" spans="1:21">
      <c r="A3579">
        <v>3578</v>
      </c>
      <c r="B3579" s="27" t="s">
        <v>1449</v>
      </c>
      <c r="D3579" s="27" t="s">
        <v>1450</v>
      </c>
      <c r="F3579" s="27" t="s">
        <v>1453</v>
      </c>
      <c r="H3579" s="27" t="s">
        <v>1454</v>
      </c>
      <c r="L3579" s="27" t="s">
        <v>2169</v>
      </c>
      <c r="M3579" s="27" t="s">
        <v>2170</v>
      </c>
      <c r="N3579" s="27" t="s">
        <v>1293</v>
      </c>
      <c r="P3579" s="27" t="s">
        <v>22596</v>
      </c>
      <c r="Q3579" s="26" t="str">
        <f>HYPERLINK("https://ictv.global/taxonomy/taxondetails?taxnode_id=202523188&amp;ictv_id=ICTV202523188","ICTV202523188")</f>
        <v>ICTV202523188</v>
      </c>
      <c r="R3579" t="s">
        <v>579</v>
      </c>
      <c r="S3579" t="s">
        <v>823</v>
      </c>
      <c r="T3579">
        <v>41</v>
      </c>
      <c r="U3579" s="26" t="str">
        <f>HYPERLINK("https://ictv.global/ictv/proposals/2025.072B.Schitoviridae_4_nsf_16ng_78_ns.zip","2025.072B.Schitoviridae_4_nsf_16ng_78_ns.zip")</f>
        <v>2025.072B.Schitoviridae_4_nsf_16ng_78_ns.zip</v>
      </c>
    </row>
    <row r="3580" spans="1:21">
      <c r="A3580">
        <v>3579</v>
      </c>
      <c r="B3580" s="27" t="s">
        <v>1449</v>
      </c>
      <c r="D3580" s="27" t="s">
        <v>1450</v>
      </c>
      <c r="F3580" s="27" t="s">
        <v>1453</v>
      </c>
      <c r="H3580" s="27" t="s">
        <v>1454</v>
      </c>
      <c r="L3580" s="27" t="s">
        <v>2169</v>
      </c>
      <c r="M3580" s="27" t="s">
        <v>2170</v>
      </c>
      <c r="N3580" s="27" t="s">
        <v>1293</v>
      </c>
      <c r="P3580" s="27" t="s">
        <v>5352</v>
      </c>
      <c r="Q3580" s="26" t="str">
        <f>HYPERLINK("https://ictv.global/taxonomy/taxondetails?taxnode_id=202500650&amp;ictv_id=ICTV20150353","ICTV20150353")</f>
        <v>ICTV20150353</v>
      </c>
      <c r="R3580" t="s">
        <v>579</v>
      </c>
      <c r="S3580" t="s">
        <v>824</v>
      </c>
      <c r="T3580">
        <v>37</v>
      </c>
      <c r="U3580" s="26" t="str">
        <f>HYPERLINK("https://ictv.global/ictv/proposals/2021.010B.R.Binomial_names.zip","2021.010B.R.Binomial_names.zip")</f>
        <v>2021.010B.R.Binomial_names.zip</v>
      </c>
    </row>
    <row r="3581" spans="1:21">
      <c r="A3581">
        <v>3580</v>
      </c>
      <c r="B3581" s="27" t="s">
        <v>1449</v>
      </c>
      <c r="D3581" s="27" t="s">
        <v>1450</v>
      </c>
      <c r="F3581" s="27" t="s">
        <v>1453</v>
      </c>
      <c r="H3581" s="27" t="s">
        <v>1454</v>
      </c>
      <c r="L3581" s="27" t="s">
        <v>2169</v>
      </c>
      <c r="M3581" s="27" t="s">
        <v>2170</v>
      </c>
      <c r="N3581" s="27" t="s">
        <v>1293</v>
      </c>
      <c r="P3581" s="27" t="s">
        <v>22598</v>
      </c>
      <c r="Q3581" s="26" t="str">
        <f>HYPERLINK("https://ictv.global/taxonomy/taxondetails?taxnode_id=202523190&amp;ictv_id=ICTV202523190","ICTV202523190")</f>
        <v>ICTV202523190</v>
      </c>
      <c r="R3581" t="s">
        <v>579</v>
      </c>
      <c r="S3581" t="s">
        <v>823</v>
      </c>
      <c r="T3581">
        <v>41</v>
      </c>
      <c r="U3581" s="26" t="str">
        <f>HYPERLINK("https://ictv.global/ictv/proposals/2025.072B.Schitoviridae_4_nsf_16ng_78_ns.zip","2025.072B.Schitoviridae_4_nsf_16ng_78_ns.zip")</f>
        <v>2025.072B.Schitoviridae_4_nsf_16ng_78_ns.zip</v>
      </c>
    </row>
    <row r="3582" spans="1:21">
      <c r="A3582">
        <v>3581</v>
      </c>
      <c r="B3582" s="27" t="s">
        <v>1449</v>
      </c>
      <c r="D3582" s="27" t="s">
        <v>1450</v>
      </c>
      <c r="F3582" s="27" t="s">
        <v>1453</v>
      </c>
      <c r="H3582" s="27" t="s">
        <v>1454</v>
      </c>
      <c r="L3582" s="27" t="s">
        <v>2169</v>
      </c>
      <c r="M3582" s="27" t="s">
        <v>2170</v>
      </c>
      <c r="N3582" s="27" t="s">
        <v>1293</v>
      </c>
      <c r="P3582" s="27" t="s">
        <v>5353</v>
      </c>
      <c r="Q3582" s="26" t="str">
        <f>HYPERLINK("https://ictv.global/taxonomy/taxondetails?taxnode_id=202514834&amp;ictv_id=ICTV202214834","ICTV202214834")</f>
        <v>ICTV202214834</v>
      </c>
      <c r="R3582" t="s">
        <v>579</v>
      </c>
      <c r="S3582" t="s">
        <v>823</v>
      </c>
      <c r="T3582">
        <v>38</v>
      </c>
      <c r="U3582" s="26" t="str">
        <f>HYPERLINK("https://ictv.global/ictv/proposals/2022.073B.Schitoviridae_1nsf_9ng_30nsp.zip","2022.073B.Schitoviridae_1nsf_9ng_30nsp.zip")</f>
        <v>2022.073B.Schitoviridae_1nsf_9ng_30nsp.zip</v>
      </c>
    </row>
    <row r="3583" spans="1:21">
      <c r="A3583">
        <v>3582</v>
      </c>
      <c r="B3583" s="27" t="s">
        <v>1449</v>
      </c>
      <c r="D3583" s="27" t="s">
        <v>1450</v>
      </c>
      <c r="F3583" s="27" t="s">
        <v>1453</v>
      </c>
      <c r="H3583" s="27" t="s">
        <v>1454</v>
      </c>
      <c r="L3583" s="27" t="s">
        <v>2169</v>
      </c>
      <c r="M3583" s="27" t="s">
        <v>2170</v>
      </c>
      <c r="N3583" s="27" t="s">
        <v>1293</v>
      </c>
      <c r="P3583" s="27" t="s">
        <v>22593</v>
      </c>
      <c r="Q3583" s="26" t="str">
        <f>HYPERLINK("https://ictv.global/taxonomy/taxondetails?taxnode_id=202523185&amp;ictv_id=ICTV202523185","ICTV202523185")</f>
        <v>ICTV202523185</v>
      </c>
      <c r="R3583" t="s">
        <v>579</v>
      </c>
      <c r="S3583" t="s">
        <v>823</v>
      </c>
      <c r="T3583">
        <v>41</v>
      </c>
      <c r="U3583" s="26" t="str">
        <f>HYPERLINK("https://ictv.global/ictv/proposals/2025.072B.Schitoviridae_4_nsf_16ng_78_ns.zip","2025.072B.Schitoviridae_4_nsf_16ng_78_ns.zip")</f>
        <v>2025.072B.Schitoviridae_4_nsf_16ng_78_ns.zip</v>
      </c>
    </row>
    <row r="3584" spans="1:21">
      <c r="A3584">
        <v>3583</v>
      </c>
      <c r="B3584" s="27" t="s">
        <v>1449</v>
      </c>
      <c r="D3584" s="27" t="s">
        <v>1450</v>
      </c>
      <c r="F3584" s="27" t="s">
        <v>1453</v>
      </c>
      <c r="H3584" s="27" t="s">
        <v>1454</v>
      </c>
      <c r="L3584" s="27" t="s">
        <v>2169</v>
      </c>
      <c r="M3584" s="27" t="s">
        <v>2170</v>
      </c>
      <c r="N3584" s="27" t="s">
        <v>1293</v>
      </c>
      <c r="P3584" s="27" t="s">
        <v>5354</v>
      </c>
      <c r="Q3584" s="26" t="str">
        <f>HYPERLINK("https://ictv.global/taxonomy/taxondetails?taxnode_id=202514838&amp;ictv_id=ICTV202214838","ICTV202214838")</f>
        <v>ICTV202214838</v>
      </c>
      <c r="R3584" t="s">
        <v>579</v>
      </c>
      <c r="S3584" t="s">
        <v>823</v>
      </c>
      <c r="T3584">
        <v>38</v>
      </c>
      <c r="U3584" s="26" t="str">
        <f>HYPERLINK("https://ictv.global/ictv/proposals/2022.073B.Schitoviridae_1nsf_9ng_30nsp.zip","2022.073B.Schitoviridae_1nsf_9ng_30nsp.zip")</f>
        <v>2022.073B.Schitoviridae_1nsf_9ng_30nsp.zip</v>
      </c>
    </row>
    <row r="3585" spans="1:21">
      <c r="A3585">
        <v>3584</v>
      </c>
      <c r="B3585" s="27" t="s">
        <v>1449</v>
      </c>
      <c r="D3585" s="27" t="s">
        <v>1450</v>
      </c>
      <c r="F3585" s="27" t="s">
        <v>1453</v>
      </c>
      <c r="H3585" s="27" t="s">
        <v>1454</v>
      </c>
      <c r="L3585" s="27" t="s">
        <v>2169</v>
      </c>
      <c r="M3585" s="27" t="s">
        <v>2170</v>
      </c>
      <c r="N3585" s="27" t="s">
        <v>1293</v>
      </c>
      <c r="P3585" s="27" t="s">
        <v>5355</v>
      </c>
      <c r="Q3585" s="26" t="str">
        <f>HYPERLINK("https://ictv.global/taxonomy/taxondetails?taxnode_id=202514837&amp;ictv_id=ICTV202214837","ICTV202214837")</f>
        <v>ICTV202214837</v>
      </c>
      <c r="R3585" t="s">
        <v>579</v>
      </c>
      <c r="S3585" t="s">
        <v>823</v>
      </c>
      <c r="T3585">
        <v>38</v>
      </c>
      <c r="U3585" s="26" t="str">
        <f>HYPERLINK("https://ictv.global/ictv/proposals/2022.073B.Schitoviridae_1nsf_9ng_30nsp.zip","2022.073B.Schitoviridae_1nsf_9ng_30nsp.zip")</f>
        <v>2022.073B.Schitoviridae_1nsf_9ng_30nsp.zip</v>
      </c>
    </row>
    <row r="3586" spans="1:21">
      <c r="A3586">
        <v>3585</v>
      </c>
      <c r="B3586" s="27" t="s">
        <v>1449</v>
      </c>
      <c r="D3586" s="27" t="s">
        <v>1450</v>
      </c>
      <c r="F3586" s="27" t="s">
        <v>1453</v>
      </c>
      <c r="H3586" s="27" t="s">
        <v>1454</v>
      </c>
      <c r="L3586" s="27" t="s">
        <v>2169</v>
      </c>
      <c r="M3586" s="27" t="s">
        <v>2170</v>
      </c>
      <c r="N3586" s="27" t="s">
        <v>1293</v>
      </c>
      <c r="P3586" s="27" t="s">
        <v>22603</v>
      </c>
      <c r="Q3586" s="26" t="str">
        <f>HYPERLINK("https://ictv.global/taxonomy/taxondetails?taxnode_id=202523195&amp;ictv_id=ICTV202523195","ICTV202523195")</f>
        <v>ICTV202523195</v>
      </c>
      <c r="R3586" t="s">
        <v>579</v>
      </c>
      <c r="S3586" t="s">
        <v>823</v>
      </c>
      <c r="T3586">
        <v>41</v>
      </c>
      <c r="U3586" s="26" t="str">
        <f>HYPERLINK("https://ictv.global/ictv/proposals/2025.072B.Schitoviridae_4_nsf_16ng_78_ns.zip","2025.072B.Schitoviridae_4_nsf_16ng_78_ns.zip")</f>
        <v>2025.072B.Schitoviridae_4_nsf_16ng_78_ns.zip</v>
      </c>
    </row>
    <row r="3587" spans="1:21">
      <c r="A3587">
        <v>3586</v>
      </c>
      <c r="B3587" s="27" t="s">
        <v>1449</v>
      </c>
      <c r="D3587" s="27" t="s">
        <v>1450</v>
      </c>
      <c r="F3587" s="27" t="s">
        <v>1453</v>
      </c>
      <c r="H3587" s="27" t="s">
        <v>1454</v>
      </c>
      <c r="L3587" s="27" t="s">
        <v>2169</v>
      </c>
      <c r="M3587" s="27" t="s">
        <v>2170</v>
      </c>
      <c r="N3587" s="27" t="s">
        <v>1293</v>
      </c>
      <c r="P3587" s="27" t="s">
        <v>22606</v>
      </c>
      <c r="Q3587" s="26" t="str">
        <f>HYPERLINK("https://ictv.global/taxonomy/taxondetails?taxnode_id=202523198&amp;ictv_id=ICTV202523198","ICTV202523198")</f>
        <v>ICTV202523198</v>
      </c>
      <c r="R3587" t="s">
        <v>579</v>
      </c>
      <c r="S3587" t="s">
        <v>823</v>
      </c>
      <c r="T3587">
        <v>41</v>
      </c>
      <c r="U3587" s="26" t="str">
        <f>HYPERLINK("https://ictv.global/ictv/proposals/2025.072B.Schitoviridae_4_nsf_16ng_78_ns.zip","2025.072B.Schitoviridae_4_nsf_16ng_78_ns.zip")</f>
        <v>2025.072B.Schitoviridae_4_nsf_16ng_78_ns.zip</v>
      </c>
    </row>
    <row r="3588" spans="1:21">
      <c r="A3588">
        <v>3587</v>
      </c>
      <c r="B3588" s="27" t="s">
        <v>1449</v>
      </c>
      <c r="D3588" s="27" t="s">
        <v>1450</v>
      </c>
      <c r="F3588" s="27" t="s">
        <v>1453</v>
      </c>
      <c r="H3588" s="27" t="s">
        <v>1454</v>
      </c>
      <c r="L3588" s="27" t="s">
        <v>2169</v>
      </c>
      <c r="M3588" s="27" t="s">
        <v>2170</v>
      </c>
      <c r="N3588" s="27" t="s">
        <v>1293</v>
      </c>
      <c r="P3588" s="27" t="s">
        <v>22600</v>
      </c>
      <c r="Q3588" s="26" t="str">
        <f>HYPERLINK("https://ictv.global/taxonomy/taxondetails?taxnode_id=202523192&amp;ictv_id=ICTV202523192","ICTV202523192")</f>
        <v>ICTV202523192</v>
      </c>
      <c r="R3588" t="s">
        <v>579</v>
      </c>
      <c r="S3588" t="s">
        <v>823</v>
      </c>
      <c r="T3588">
        <v>41</v>
      </c>
      <c r="U3588" s="26" t="str">
        <f>HYPERLINK("https://ictv.global/ictv/proposals/2025.072B.Schitoviridae_4_nsf_16ng_78_ns.zip","2025.072B.Schitoviridae_4_nsf_16ng_78_ns.zip")</f>
        <v>2025.072B.Schitoviridae_4_nsf_16ng_78_ns.zip</v>
      </c>
    </row>
    <row r="3589" spans="1:21">
      <c r="A3589">
        <v>3588</v>
      </c>
      <c r="B3589" s="27" t="s">
        <v>1449</v>
      </c>
      <c r="D3589" s="27" t="s">
        <v>1450</v>
      </c>
      <c r="F3589" s="27" t="s">
        <v>1453</v>
      </c>
      <c r="H3589" s="27" t="s">
        <v>1454</v>
      </c>
      <c r="L3589" s="27" t="s">
        <v>2169</v>
      </c>
      <c r="M3589" s="27" t="s">
        <v>2170</v>
      </c>
      <c r="N3589" s="27" t="s">
        <v>1293</v>
      </c>
      <c r="P3589" s="27" t="s">
        <v>5356</v>
      </c>
      <c r="Q3589" s="26" t="str">
        <f>HYPERLINK("https://ictv.global/taxonomy/taxondetails?taxnode_id=202514839&amp;ictv_id=ICTV202214839","ICTV202214839")</f>
        <v>ICTV202214839</v>
      </c>
      <c r="R3589" t="s">
        <v>579</v>
      </c>
      <c r="S3589" t="s">
        <v>823</v>
      </c>
      <c r="T3589">
        <v>38</v>
      </c>
      <c r="U3589" s="26" t="str">
        <f>HYPERLINK("https://ictv.global/ictv/proposals/2022.073B.Schitoviridae_1nsf_9ng_30nsp.zip","2022.073B.Schitoviridae_1nsf_9ng_30nsp.zip")</f>
        <v>2022.073B.Schitoviridae_1nsf_9ng_30nsp.zip</v>
      </c>
    </row>
    <row r="3590" spans="1:21">
      <c r="A3590">
        <v>3589</v>
      </c>
      <c r="B3590" s="27" t="s">
        <v>1449</v>
      </c>
      <c r="D3590" s="27" t="s">
        <v>1450</v>
      </c>
      <c r="F3590" s="27" t="s">
        <v>1453</v>
      </c>
      <c r="H3590" s="27" t="s">
        <v>1454</v>
      </c>
      <c r="L3590" s="27" t="s">
        <v>2169</v>
      </c>
      <c r="M3590" s="27" t="s">
        <v>2170</v>
      </c>
      <c r="N3590" s="27" t="s">
        <v>2171</v>
      </c>
      <c r="P3590" s="27" t="s">
        <v>22607</v>
      </c>
      <c r="Q3590" s="26" t="str">
        <f>HYPERLINK("https://ictv.global/taxonomy/taxondetails?taxnode_id=202523199&amp;ictv_id=ICTV202523199","ICTV202523199")</f>
        <v>ICTV202523199</v>
      </c>
      <c r="R3590" t="s">
        <v>579</v>
      </c>
      <c r="S3590" t="s">
        <v>823</v>
      </c>
      <c r="T3590">
        <v>41</v>
      </c>
      <c r="U3590" s="26" t="str">
        <f>HYPERLINK("https://ictv.global/ictv/proposals/2025.072B.Schitoviridae_4_nsf_16ng_78_ns.zip","2025.072B.Schitoviridae_4_nsf_16ng_78_ns.zip")</f>
        <v>2025.072B.Schitoviridae_4_nsf_16ng_78_ns.zip</v>
      </c>
    </row>
    <row r="3591" spans="1:21">
      <c r="A3591">
        <v>3590</v>
      </c>
      <c r="B3591" s="27" t="s">
        <v>1449</v>
      </c>
      <c r="D3591" s="27" t="s">
        <v>1450</v>
      </c>
      <c r="F3591" s="27" t="s">
        <v>1453</v>
      </c>
      <c r="H3591" s="27" t="s">
        <v>1454</v>
      </c>
      <c r="L3591" s="27" t="s">
        <v>2169</v>
      </c>
      <c r="M3591" s="27" t="s">
        <v>2170</v>
      </c>
      <c r="N3591" s="27" t="s">
        <v>2171</v>
      </c>
      <c r="P3591" s="27" t="s">
        <v>22611</v>
      </c>
      <c r="Q3591" s="26" t="str">
        <f>HYPERLINK("https://ictv.global/taxonomy/taxondetails?taxnode_id=202523203&amp;ictv_id=ICTV202523203","ICTV202523203")</f>
        <v>ICTV202523203</v>
      </c>
      <c r="R3591" t="s">
        <v>579</v>
      </c>
      <c r="S3591" t="s">
        <v>823</v>
      </c>
      <c r="T3591">
        <v>41</v>
      </c>
      <c r="U3591" s="26" t="str">
        <f>HYPERLINK("https://ictv.global/ictv/proposals/2025.072B.Schitoviridae_4_nsf_16ng_78_ns.zip","2025.072B.Schitoviridae_4_nsf_16ng_78_ns.zip")</f>
        <v>2025.072B.Schitoviridae_4_nsf_16ng_78_ns.zip</v>
      </c>
    </row>
    <row r="3592" spans="1:21">
      <c r="A3592">
        <v>3591</v>
      </c>
      <c r="B3592" s="27" t="s">
        <v>1449</v>
      </c>
      <c r="D3592" s="27" t="s">
        <v>1450</v>
      </c>
      <c r="F3592" s="27" t="s">
        <v>1453</v>
      </c>
      <c r="H3592" s="27" t="s">
        <v>1454</v>
      </c>
      <c r="L3592" s="27" t="s">
        <v>2169</v>
      </c>
      <c r="M3592" s="27" t="s">
        <v>2170</v>
      </c>
      <c r="N3592" s="27" t="s">
        <v>2171</v>
      </c>
      <c r="P3592" s="27" t="s">
        <v>22610</v>
      </c>
      <c r="Q3592" s="26" t="str">
        <f>HYPERLINK("https://ictv.global/taxonomy/taxondetails?taxnode_id=202523202&amp;ictv_id=ICTV202523202","ICTV202523202")</f>
        <v>ICTV202523202</v>
      </c>
      <c r="R3592" t="s">
        <v>579</v>
      </c>
      <c r="S3592" t="s">
        <v>823</v>
      </c>
      <c r="T3592">
        <v>41</v>
      </c>
      <c r="U3592" s="26" t="str">
        <f>HYPERLINK("https://ictv.global/ictv/proposals/2025.072B.Schitoviridae_4_nsf_16ng_78_ns.zip","2025.072B.Schitoviridae_4_nsf_16ng_78_ns.zip")</f>
        <v>2025.072B.Schitoviridae_4_nsf_16ng_78_ns.zip</v>
      </c>
    </row>
    <row r="3593" spans="1:21">
      <c r="A3593">
        <v>3592</v>
      </c>
      <c r="B3593" s="27" t="s">
        <v>1449</v>
      </c>
      <c r="D3593" s="27" t="s">
        <v>1450</v>
      </c>
      <c r="F3593" s="27" t="s">
        <v>1453</v>
      </c>
      <c r="H3593" s="27" t="s">
        <v>1454</v>
      </c>
      <c r="L3593" s="27" t="s">
        <v>2169</v>
      </c>
      <c r="M3593" s="27" t="s">
        <v>2170</v>
      </c>
      <c r="N3593" s="27" t="s">
        <v>2171</v>
      </c>
      <c r="P3593" s="27" t="s">
        <v>5357</v>
      </c>
      <c r="Q3593" s="26" t="str">
        <f>HYPERLINK("https://ictv.global/taxonomy/taxondetails?taxnode_id=202511771&amp;ictv_id=ICTV202011771","ICTV202011771")</f>
        <v>ICTV202011771</v>
      </c>
      <c r="R3593" t="s">
        <v>579</v>
      </c>
      <c r="S3593" t="s">
        <v>824</v>
      </c>
      <c r="T3593">
        <v>37</v>
      </c>
      <c r="U3593" s="26" t="str">
        <f>HYPERLINK("https://ictv.global/ictv/proposals/2021.010B.R.Binomial_names.zip","2021.010B.R.Binomial_names.zip")</f>
        <v>2021.010B.R.Binomial_names.zip</v>
      </c>
    </row>
    <row r="3594" spans="1:21">
      <c r="A3594">
        <v>3593</v>
      </c>
      <c r="B3594" s="27" t="s">
        <v>1449</v>
      </c>
      <c r="D3594" s="27" t="s">
        <v>1450</v>
      </c>
      <c r="F3594" s="27" t="s">
        <v>1453</v>
      </c>
      <c r="H3594" s="27" t="s">
        <v>1454</v>
      </c>
      <c r="L3594" s="27" t="s">
        <v>2169</v>
      </c>
      <c r="M3594" s="27" t="s">
        <v>2170</v>
      </c>
      <c r="N3594" s="27" t="s">
        <v>2171</v>
      </c>
      <c r="P3594" s="27" t="s">
        <v>22608</v>
      </c>
      <c r="Q3594" s="26" t="str">
        <f>HYPERLINK("https://ictv.global/taxonomy/taxondetails?taxnode_id=202523200&amp;ictv_id=ICTV202523200","ICTV202523200")</f>
        <v>ICTV202523200</v>
      </c>
      <c r="R3594" t="s">
        <v>579</v>
      </c>
      <c r="S3594" t="s">
        <v>823</v>
      </c>
      <c r="T3594">
        <v>41</v>
      </c>
      <c r="U3594" s="26" t="str">
        <f>HYPERLINK("https://ictv.global/ictv/proposals/2025.072B.Schitoviridae_4_nsf_16ng_78_ns.zip","2025.072B.Schitoviridae_4_nsf_16ng_78_ns.zip")</f>
        <v>2025.072B.Schitoviridae_4_nsf_16ng_78_ns.zip</v>
      </c>
    </row>
    <row r="3595" spans="1:21">
      <c r="A3595">
        <v>3594</v>
      </c>
      <c r="B3595" s="27" t="s">
        <v>1449</v>
      </c>
      <c r="D3595" s="27" t="s">
        <v>1450</v>
      </c>
      <c r="F3595" s="27" t="s">
        <v>1453</v>
      </c>
      <c r="H3595" s="27" t="s">
        <v>1454</v>
      </c>
      <c r="L3595" s="27" t="s">
        <v>2169</v>
      </c>
      <c r="M3595" s="27" t="s">
        <v>2170</v>
      </c>
      <c r="N3595" s="27" t="s">
        <v>2171</v>
      </c>
      <c r="P3595" s="27" t="s">
        <v>22614</v>
      </c>
      <c r="Q3595" s="26" t="str">
        <f>HYPERLINK("https://ictv.global/taxonomy/taxondetails?taxnode_id=202523206&amp;ictv_id=ICTV202523206","ICTV202523206")</f>
        <v>ICTV202523206</v>
      </c>
      <c r="R3595" t="s">
        <v>579</v>
      </c>
      <c r="S3595" t="s">
        <v>823</v>
      </c>
      <c r="T3595">
        <v>41</v>
      </c>
      <c r="U3595" s="26" t="str">
        <f>HYPERLINK("https://ictv.global/ictv/proposals/2025.072B.Schitoviridae_4_nsf_16ng_78_ns.zip","2025.072B.Schitoviridae_4_nsf_16ng_78_ns.zip")</f>
        <v>2025.072B.Schitoviridae_4_nsf_16ng_78_ns.zip</v>
      </c>
    </row>
    <row r="3596" spans="1:21">
      <c r="A3596">
        <v>3595</v>
      </c>
      <c r="B3596" s="27" t="s">
        <v>1449</v>
      </c>
      <c r="D3596" s="27" t="s">
        <v>1450</v>
      </c>
      <c r="F3596" s="27" t="s">
        <v>1453</v>
      </c>
      <c r="H3596" s="27" t="s">
        <v>1454</v>
      </c>
      <c r="L3596" s="27" t="s">
        <v>2169</v>
      </c>
      <c r="M3596" s="27" t="s">
        <v>2170</v>
      </c>
      <c r="N3596" s="27" t="s">
        <v>2171</v>
      </c>
      <c r="P3596" s="27" t="s">
        <v>22609</v>
      </c>
      <c r="Q3596" s="26" t="str">
        <f>HYPERLINK("https://ictv.global/taxonomy/taxondetails?taxnode_id=202523201&amp;ictv_id=ICTV202523201","ICTV202523201")</f>
        <v>ICTV202523201</v>
      </c>
      <c r="R3596" t="s">
        <v>579</v>
      </c>
      <c r="S3596" t="s">
        <v>823</v>
      </c>
      <c r="T3596">
        <v>41</v>
      </c>
      <c r="U3596" s="26" t="str">
        <f>HYPERLINK("https://ictv.global/ictv/proposals/2025.072B.Schitoviridae_4_nsf_16ng_78_ns.zip","2025.072B.Schitoviridae_4_nsf_16ng_78_ns.zip")</f>
        <v>2025.072B.Schitoviridae_4_nsf_16ng_78_ns.zip</v>
      </c>
    </row>
    <row r="3597" spans="1:21">
      <c r="A3597">
        <v>3596</v>
      </c>
      <c r="B3597" s="27" t="s">
        <v>1449</v>
      </c>
      <c r="D3597" s="27" t="s">
        <v>1450</v>
      </c>
      <c r="F3597" s="27" t="s">
        <v>1453</v>
      </c>
      <c r="H3597" s="27" t="s">
        <v>1454</v>
      </c>
      <c r="L3597" s="27" t="s">
        <v>2169</v>
      </c>
      <c r="M3597" s="27" t="s">
        <v>2170</v>
      </c>
      <c r="N3597" s="27" t="s">
        <v>2171</v>
      </c>
      <c r="P3597" s="27" t="s">
        <v>22613</v>
      </c>
      <c r="Q3597" s="26" t="str">
        <f>HYPERLINK("https://ictv.global/taxonomy/taxondetails?taxnode_id=202523205&amp;ictv_id=ICTV202523205","ICTV202523205")</f>
        <v>ICTV202523205</v>
      </c>
      <c r="R3597" t="s">
        <v>579</v>
      </c>
      <c r="S3597" t="s">
        <v>823</v>
      </c>
      <c r="T3597">
        <v>41</v>
      </c>
      <c r="U3597" s="26" t="str">
        <f>HYPERLINK("https://ictv.global/ictv/proposals/2025.072B.Schitoviridae_4_nsf_16ng_78_ns.zip","2025.072B.Schitoviridae_4_nsf_16ng_78_ns.zip")</f>
        <v>2025.072B.Schitoviridae_4_nsf_16ng_78_ns.zip</v>
      </c>
    </row>
    <row r="3598" spans="1:21">
      <c r="A3598">
        <v>3597</v>
      </c>
      <c r="B3598" s="27" t="s">
        <v>1449</v>
      </c>
      <c r="D3598" s="27" t="s">
        <v>1450</v>
      </c>
      <c r="F3598" s="27" t="s">
        <v>1453</v>
      </c>
      <c r="H3598" s="27" t="s">
        <v>1454</v>
      </c>
      <c r="L3598" s="27" t="s">
        <v>2169</v>
      </c>
      <c r="M3598" s="27" t="s">
        <v>2170</v>
      </c>
      <c r="N3598" s="27" t="s">
        <v>2171</v>
      </c>
      <c r="P3598" s="27" t="s">
        <v>22612</v>
      </c>
      <c r="Q3598" s="26" t="str">
        <f>HYPERLINK("https://ictv.global/taxonomy/taxondetails?taxnode_id=202523204&amp;ictv_id=ICTV202523204","ICTV202523204")</f>
        <v>ICTV202523204</v>
      </c>
      <c r="R3598" t="s">
        <v>579</v>
      </c>
      <c r="S3598" t="s">
        <v>823</v>
      </c>
      <c r="T3598">
        <v>41</v>
      </c>
      <c r="U3598" s="26" t="str">
        <f>HYPERLINK("https://ictv.global/ictv/proposals/2025.072B.Schitoviridae_4_nsf_16ng_78_ns.zip","2025.072B.Schitoviridae_4_nsf_16ng_78_ns.zip")</f>
        <v>2025.072B.Schitoviridae_4_nsf_16ng_78_ns.zip</v>
      </c>
    </row>
    <row r="3599" spans="1:21">
      <c r="A3599">
        <v>3598</v>
      </c>
      <c r="B3599" s="27" t="s">
        <v>1449</v>
      </c>
      <c r="D3599" s="27" t="s">
        <v>1450</v>
      </c>
      <c r="F3599" s="27" t="s">
        <v>1453</v>
      </c>
      <c r="H3599" s="27" t="s">
        <v>1454</v>
      </c>
      <c r="L3599" s="27" t="s">
        <v>2169</v>
      </c>
      <c r="M3599" s="27" t="s">
        <v>2170</v>
      </c>
      <c r="N3599" s="27" t="s">
        <v>5358</v>
      </c>
      <c r="P3599" s="27" t="s">
        <v>5359</v>
      </c>
      <c r="Q3599" s="26" t="str">
        <f>HYPERLINK("https://ictv.global/taxonomy/taxondetails?taxnode_id=202514813&amp;ictv_id=ICTV202214813","ICTV202214813")</f>
        <v>ICTV202214813</v>
      </c>
      <c r="R3599" t="s">
        <v>579</v>
      </c>
      <c r="S3599" t="s">
        <v>823</v>
      </c>
      <c r="T3599">
        <v>38</v>
      </c>
      <c r="U3599" s="26" t="str">
        <f>HYPERLINK("https://ictv.global/ictv/proposals/2022.073B.Schitoviridae_1nsf_9ng_30nsp.zip","2022.073B.Schitoviridae_1nsf_9ng_30nsp.zip")</f>
        <v>2022.073B.Schitoviridae_1nsf_9ng_30nsp.zip</v>
      </c>
    </row>
    <row r="3600" spans="1:21">
      <c r="A3600">
        <v>3599</v>
      </c>
      <c r="B3600" s="27" t="s">
        <v>1449</v>
      </c>
      <c r="D3600" s="27" t="s">
        <v>1450</v>
      </c>
      <c r="F3600" s="27" t="s">
        <v>1453</v>
      </c>
      <c r="H3600" s="27" t="s">
        <v>1454</v>
      </c>
      <c r="L3600" s="27" t="s">
        <v>2169</v>
      </c>
      <c r="M3600" s="27" t="s">
        <v>2172</v>
      </c>
      <c r="N3600" s="27" t="s">
        <v>1297</v>
      </c>
      <c r="P3600" s="27" t="s">
        <v>5360</v>
      </c>
      <c r="Q3600" s="26" t="str">
        <f>HYPERLINK("https://ictv.global/taxonomy/taxondetails?taxnode_id=202500633&amp;ictv_id=ICTV20164920","ICTV20164920")</f>
        <v>ICTV20164920</v>
      </c>
      <c r="R3600" t="s">
        <v>579</v>
      </c>
      <c r="S3600" t="s">
        <v>824</v>
      </c>
      <c r="T3600">
        <v>37</v>
      </c>
      <c r="U3600" s="26" t="str">
        <f>HYPERLINK("https://ictv.global/ictv/proposals/2021.010B.R.Binomial_names.zip","2021.010B.R.Binomial_names.zip")</f>
        <v>2021.010B.R.Binomial_names.zip</v>
      </c>
    </row>
    <row r="3601" spans="1:21">
      <c r="A3601">
        <v>3600</v>
      </c>
      <c r="B3601" s="27" t="s">
        <v>1449</v>
      </c>
      <c r="D3601" s="27" t="s">
        <v>1450</v>
      </c>
      <c r="F3601" s="27" t="s">
        <v>1453</v>
      </c>
      <c r="H3601" s="27" t="s">
        <v>1454</v>
      </c>
      <c r="L3601" s="27" t="s">
        <v>2169</v>
      </c>
      <c r="M3601" s="27" t="s">
        <v>2172</v>
      </c>
      <c r="N3601" s="27" t="s">
        <v>1297</v>
      </c>
      <c r="P3601" s="27" t="s">
        <v>5361</v>
      </c>
      <c r="Q3601" s="26" t="str">
        <f>HYPERLINK("https://ictv.global/taxonomy/taxondetails?taxnode_id=202500634&amp;ictv_id=ICTV20164921","ICTV20164921")</f>
        <v>ICTV20164921</v>
      </c>
      <c r="R3601" t="s">
        <v>579</v>
      </c>
      <c r="S3601" t="s">
        <v>824</v>
      </c>
      <c r="T3601">
        <v>37</v>
      </c>
      <c r="U3601" s="26" t="str">
        <f>HYPERLINK("https://ictv.global/ictv/proposals/2021.010B.R.Binomial_names.zip","2021.010B.R.Binomial_names.zip")</f>
        <v>2021.010B.R.Binomial_names.zip</v>
      </c>
    </row>
    <row r="3602" spans="1:21">
      <c r="A3602">
        <v>3601</v>
      </c>
      <c r="B3602" s="27" t="s">
        <v>1449</v>
      </c>
      <c r="D3602" s="27" t="s">
        <v>1450</v>
      </c>
      <c r="F3602" s="27" t="s">
        <v>1453</v>
      </c>
      <c r="H3602" s="27" t="s">
        <v>1454</v>
      </c>
      <c r="L3602" s="27" t="s">
        <v>2169</v>
      </c>
      <c r="M3602" s="27" t="s">
        <v>2172</v>
      </c>
      <c r="N3602" s="27" t="s">
        <v>2173</v>
      </c>
      <c r="P3602" s="27" t="s">
        <v>5362</v>
      </c>
      <c r="Q3602" s="26" t="str">
        <f>HYPERLINK("https://ictv.global/taxonomy/taxondetails?taxnode_id=202511774&amp;ictv_id=ICTV202011774","ICTV202011774")</f>
        <v>ICTV202011774</v>
      </c>
      <c r="R3602" t="s">
        <v>579</v>
      </c>
      <c r="S3602" t="s">
        <v>824</v>
      </c>
      <c r="T3602">
        <v>37</v>
      </c>
      <c r="U3602" s="26" t="str">
        <f>HYPERLINK("https://ictv.global/ictv/proposals/2021.010B.R.Binomial_names.zip","2021.010B.R.Binomial_names.zip")</f>
        <v>2021.010B.R.Binomial_names.zip</v>
      </c>
    </row>
    <row r="3603" spans="1:21">
      <c r="A3603">
        <v>3602</v>
      </c>
      <c r="B3603" s="27" t="s">
        <v>1449</v>
      </c>
      <c r="D3603" s="27" t="s">
        <v>1450</v>
      </c>
      <c r="F3603" s="27" t="s">
        <v>1453</v>
      </c>
      <c r="H3603" s="27" t="s">
        <v>1454</v>
      </c>
      <c r="L3603" s="27" t="s">
        <v>2169</v>
      </c>
      <c r="M3603" s="27" t="s">
        <v>2174</v>
      </c>
      <c r="N3603" s="27" t="s">
        <v>2175</v>
      </c>
      <c r="P3603" s="27" t="s">
        <v>5363</v>
      </c>
      <c r="Q3603" s="26" t="str">
        <f>HYPERLINK("https://ictv.global/taxonomy/taxondetails?taxnode_id=202511779&amp;ictv_id=ICTV202011779","ICTV202011779")</f>
        <v>ICTV202011779</v>
      </c>
      <c r="R3603" t="s">
        <v>579</v>
      </c>
      <c r="S3603" t="s">
        <v>824</v>
      </c>
      <c r="T3603">
        <v>37</v>
      </c>
      <c r="U3603" s="26" t="str">
        <f>HYPERLINK("https://ictv.global/ictv/proposals/2021.010B.R.Binomial_names.zip","2021.010B.R.Binomial_names.zip")</f>
        <v>2021.010B.R.Binomial_names.zip</v>
      </c>
    </row>
    <row r="3604" spans="1:21">
      <c r="A3604">
        <v>3603</v>
      </c>
      <c r="B3604" s="27" t="s">
        <v>1449</v>
      </c>
      <c r="D3604" s="27" t="s">
        <v>1450</v>
      </c>
      <c r="F3604" s="27" t="s">
        <v>1453</v>
      </c>
      <c r="H3604" s="27" t="s">
        <v>1454</v>
      </c>
      <c r="L3604" s="27" t="s">
        <v>2169</v>
      </c>
      <c r="M3604" s="27" t="s">
        <v>2174</v>
      </c>
      <c r="N3604" s="27" t="s">
        <v>2176</v>
      </c>
      <c r="P3604" s="27" t="s">
        <v>22625</v>
      </c>
      <c r="Q3604" s="26" t="str">
        <f>HYPERLINK("https://ictv.global/taxonomy/taxondetails?taxnode_id=202523217&amp;ictv_id=ICTV202523217","ICTV202523217")</f>
        <v>ICTV202523217</v>
      </c>
      <c r="R3604" t="s">
        <v>579</v>
      </c>
      <c r="S3604" t="s">
        <v>823</v>
      </c>
      <c r="T3604">
        <v>41</v>
      </c>
      <c r="U3604" s="26" t="str">
        <f>HYPERLINK("https://ictv.global/ictv/proposals/2025.072B.Schitoviridae_4_nsf_16ng_78_ns.zip","2025.072B.Schitoviridae_4_nsf_16ng_78_ns.zip")</f>
        <v>2025.072B.Schitoviridae_4_nsf_16ng_78_ns.zip</v>
      </c>
    </row>
    <row r="3605" spans="1:21">
      <c r="A3605">
        <v>3604</v>
      </c>
      <c r="B3605" s="27" t="s">
        <v>1449</v>
      </c>
      <c r="D3605" s="27" t="s">
        <v>1450</v>
      </c>
      <c r="F3605" s="27" t="s">
        <v>1453</v>
      </c>
      <c r="H3605" s="27" t="s">
        <v>1454</v>
      </c>
      <c r="L3605" s="27" t="s">
        <v>2169</v>
      </c>
      <c r="M3605" s="27" t="s">
        <v>2174</v>
      </c>
      <c r="N3605" s="27" t="s">
        <v>2176</v>
      </c>
      <c r="P3605" s="27" t="s">
        <v>5364</v>
      </c>
      <c r="Q3605" s="26" t="str">
        <f>HYPERLINK("https://ictv.global/taxonomy/taxondetails?taxnode_id=202511777&amp;ictv_id=ICTV202011777","ICTV202011777")</f>
        <v>ICTV202011777</v>
      </c>
      <c r="R3605" t="s">
        <v>579</v>
      </c>
      <c r="S3605" t="s">
        <v>824</v>
      </c>
      <c r="T3605">
        <v>37</v>
      </c>
      <c r="U3605" s="26" t="str">
        <f>HYPERLINK("https://ictv.global/ictv/proposals/2021.010B.R.Binomial_names.zip","2021.010B.R.Binomial_names.zip")</f>
        <v>2021.010B.R.Binomial_names.zip</v>
      </c>
    </row>
    <row r="3606" spans="1:21">
      <c r="A3606">
        <v>3605</v>
      </c>
      <c r="B3606" s="27" t="s">
        <v>1449</v>
      </c>
      <c r="D3606" s="27" t="s">
        <v>1450</v>
      </c>
      <c r="F3606" s="27" t="s">
        <v>1453</v>
      </c>
      <c r="H3606" s="27" t="s">
        <v>1454</v>
      </c>
      <c r="L3606" s="27" t="s">
        <v>2169</v>
      </c>
      <c r="M3606" s="27" t="s">
        <v>20907</v>
      </c>
      <c r="N3606" s="27" t="s">
        <v>2201</v>
      </c>
      <c r="P3606" s="27" t="s">
        <v>5428</v>
      </c>
      <c r="Q3606" s="26" t="str">
        <f>HYPERLINK("https://ictv.global/taxonomy/taxondetails?taxnode_id=202511823&amp;ictv_id=ICTV202011823","ICTV202011823")</f>
        <v>ICTV202011823</v>
      </c>
      <c r="R3606" t="s">
        <v>579</v>
      </c>
      <c r="S3606" t="s">
        <v>22763</v>
      </c>
      <c r="T3606">
        <v>41</v>
      </c>
      <c r="U3606" s="26" t="str">
        <f t="shared" ref="U3606:U3619" si="137">HYPERLINK("https://ictv.global/ictv/proposals/2025.072B.Schitoviridae_4_nsf_16ng_78_ns.zip","2025.072B.Schitoviridae_4_nsf_16ng_78_ns.zip")</f>
        <v>2025.072B.Schitoviridae_4_nsf_16ng_78_ns.zip</v>
      </c>
    </row>
    <row r="3607" spans="1:21">
      <c r="A3607">
        <v>3606</v>
      </c>
      <c r="B3607" s="27" t="s">
        <v>1449</v>
      </c>
      <c r="D3607" s="27" t="s">
        <v>1450</v>
      </c>
      <c r="F3607" s="27" t="s">
        <v>1453</v>
      </c>
      <c r="H3607" s="27" t="s">
        <v>1454</v>
      </c>
      <c r="L3607" s="27" t="s">
        <v>2169</v>
      </c>
      <c r="M3607" s="27" t="s">
        <v>20907</v>
      </c>
      <c r="N3607" s="27" t="s">
        <v>2201</v>
      </c>
      <c r="P3607" s="27" t="s">
        <v>22532</v>
      </c>
      <c r="Q3607" s="26" t="str">
        <f>HYPERLINK("https://ictv.global/taxonomy/taxondetails?taxnode_id=202523140&amp;ictv_id=ICTV202523140","ICTV202523140")</f>
        <v>ICTV202523140</v>
      </c>
      <c r="R3607" t="s">
        <v>579</v>
      </c>
      <c r="S3607" t="s">
        <v>823</v>
      </c>
      <c r="T3607">
        <v>41</v>
      </c>
      <c r="U3607" s="26" t="str">
        <f t="shared" si="137"/>
        <v>2025.072B.Schitoviridae_4_nsf_16ng_78_ns.zip</v>
      </c>
    </row>
    <row r="3608" spans="1:21">
      <c r="A3608">
        <v>3607</v>
      </c>
      <c r="B3608" s="27" t="s">
        <v>1449</v>
      </c>
      <c r="D3608" s="27" t="s">
        <v>1450</v>
      </c>
      <c r="F3608" s="27" t="s">
        <v>1453</v>
      </c>
      <c r="H3608" s="27" t="s">
        <v>1454</v>
      </c>
      <c r="L3608" s="27" t="s">
        <v>2169</v>
      </c>
      <c r="M3608" s="27" t="s">
        <v>20907</v>
      </c>
      <c r="N3608" s="27" t="s">
        <v>2201</v>
      </c>
      <c r="P3608" s="27" t="s">
        <v>5429</v>
      </c>
      <c r="Q3608" s="26" t="str">
        <f>HYPERLINK("https://ictv.global/taxonomy/taxondetails?taxnode_id=202511822&amp;ictv_id=ICTV202011822","ICTV202011822")</f>
        <v>ICTV202011822</v>
      </c>
      <c r="R3608" t="s">
        <v>579</v>
      </c>
      <c r="S3608" t="s">
        <v>22763</v>
      </c>
      <c r="T3608">
        <v>41</v>
      </c>
      <c r="U3608" s="26" t="str">
        <f t="shared" si="137"/>
        <v>2025.072B.Schitoviridae_4_nsf_16ng_78_ns.zip</v>
      </c>
    </row>
    <row r="3609" spans="1:21">
      <c r="A3609">
        <v>3608</v>
      </c>
      <c r="B3609" s="27" t="s">
        <v>1449</v>
      </c>
      <c r="D3609" s="27" t="s">
        <v>1450</v>
      </c>
      <c r="F3609" s="27" t="s">
        <v>1453</v>
      </c>
      <c r="H3609" s="27" t="s">
        <v>1454</v>
      </c>
      <c r="L3609" s="27" t="s">
        <v>2169</v>
      </c>
      <c r="M3609" s="27" t="s">
        <v>20907</v>
      </c>
      <c r="N3609" s="27" t="s">
        <v>5449</v>
      </c>
      <c r="P3609" s="27" t="s">
        <v>5450</v>
      </c>
      <c r="Q3609" s="26" t="str">
        <f>HYPERLINK("https://ictv.global/taxonomy/taxondetails?taxnode_id=202512922&amp;ictv_id=ICTV202112922","ICTV202112922")</f>
        <v>ICTV202112922</v>
      </c>
      <c r="R3609" t="s">
        <v>579</v>
      </c>
      <c r="S3609" t="s">
        <v>22763</v>
      </c>
      <c r="T3609">
        <v>41</v>
      </c>
      <c r="U3609" s="26" t="str">
        <f t="shared" si="137"/>
        <v>2025.072B.Schitoviridae_4_nsf_16ng_78_ns.zip</v>
      </c>
    </row>
    <row r="3610" spans="1:21">
      <c r="A3610">
        <v>3609</v>
      </c>
      <c r="B3610" s="27" t="s">
        <v>1449</v>
      </c>
      <c r="D3610" s="27" t="s">
        <v>1450</v>
      </c>
      <c r="F3610" s="27" t="s">
        <v>1453</v>
      </c>
      <c r="H3610" s="27" t="s">
        <v>1454</v>
      </c>
      <c r="L3610" s="27" t="s">
        <v>2169</v>
      </c>
      <c r="M3610" s="27" t="s">
        <v>20908</v>
      </c>
      <c r="N3610" s="27" t="s">
        <v>5402</v>
      </c>
      <c r="P3610" s="27" t="s">
        <v>5403</v>
      </c>
      <c r="Q3610" s="26" t="str">
        <f>HYPERLINK("https://ictv.global/taxonomy/taxondetails?taxnode_id=202514821&amp;ictv_id=ICTV202214821","ICTV202214821")</f>
        <v>ICTV202214821</v>
      </c>
      <c r="R3610" t="s">
        <v>579</v>
      </c>
      <c r="S3610" t="s">
        <v>22763</v>
      </c>
      <c r="T3610">
        <v>41</v>
      </c>
      <c r="U3610" s="26" t="str">
        <f t="shared" si="137"/>
        <v>2025.072B.Schitoviridae_4_nsf_16ng_78_ns.zip</v>
      </c>
    </row>
    <row r="3611" spans="1:21">
      <c r="A3611">
        <v>3610</v>
      </c>
      <c r="B3611" s="27" t="s">
        <v>1449</v>
      </c>
      <c r="D3611" s="27" t="s">
        <v>1450</v>
      </c>
      <c r="F3611" s="27" t="s">
        <v>1453</v>
      </c>
      <c r="H3611" s="27" t="s">
        <v>1454</v>
      </c>
      <c r="L3611" s="27" t="s">
        <v>2169</v>
      </c>
      <c r="M3611" s="27" t="s">
        <v>20908</v>
      </c>
      <c r="N3611" s="27" t="s">
        <v>22533</v>
      </c>
      <c r="P3611" s="27" t="s">
        <v>22534</v>
      </c>
      <c r="Q3611" s="26" t="str">
        <f>HYPERLINK("https://ictv.global/taxonomy/taxondetails?taxnode_id=202523141&amp;ictv_id=ICTV202523141","ICTV202523141")</f>
        <v>ICTV202523141</v>
      </c>
      <c r="R3611" t="s">
        <v>579</v>
      </c>
      <c r="S3611" t="s">
        <v>823</v>
      </c>
      <c r="T3611">
        <v>41</v>
      </c>
      <c r="U3611" s="26" t="str">
        <f t="shared" si="137"/>
        <v>2025.072B.Schitoviridae_4_nsf_16ng_78_ns.zip</v>
      </c>
    </row>
    <row r="3612" spans="1:21">
      <c r="A3612">
        <v>3611</v>
      </c>
      <c r="B3612" s="27" t="s">
        <v>1449</v>
      </c>
      <c r="D3612" s="27" t="s">
        <v>1450</v>
      </c>
      <c r="F3612" s="27" t="s">
        <v>1453</v>
      </c>
      <c r="H3612" s="27" t="s">
        <v>1454</v>
      </c>
      <c r="L3612" s="27" t="s">
        <v>2169</v>
      </c>
      <c r="M3612" s="27" t="s">
        <v>20908</v>
      </c>
      <c r="N3612" s="27" t="s">
        <v>5437</v>
      </c>
      <c r="P3612" s="27" t="s">
        <v>5438</v>
      </c>
      <c r="Q3612" s="26" t="str">
        <f>HYPERLINK("https://ictv.global/taxonomy/taxondetails?taxnode_id=202514810&amp;ictv_id=ICTV202214810","ICTV202214810")</f>
        <v>ICTV202214810</v>
      </c>
      <c r="R3612" t="s">
        <v>579</v>
      </c>
      <c r="S3612" t="s">
        <v>22763</v>
      </c>
      <c r="T3612">
        <v>41</v>
      </c>
      <c r="U3612" s="26" t="str">
        <f t="shared" si="137"/>
        <v>2025.072B.Schitoviridae_4_nsf_16ng_78_ns.zip</v>
      </c>
    </row>
    <row r="3613" spans="1:21">
      <c r="A3613">
        <v>3612</v>
      </c>
      <c r="B3613" s="27" t="s">
        <v>1449</v>
      </c>
      <c r="D3613" s="27" t="s">
        <v>1450</v>
      </c>
      <c r="F3613" s="27" t="s">
        <v>1453</v>
      </c>
      <c r="H3613" s="27" t="s">
        <v>1454</v>
      </c>
      <c r="L3613" s="27" t="s">
        <v>2169</v>
      </c>
      <c r="M3613" s="27" t="s">
        <v>20908</v>
      </c>
      <c r="N3613" s="27" t="s">
        <v>2202</v>
      </c>
      <c r="P3613" s="27" t="s">
        <v>5439</v>
      </c>
      <c r="Q3613" s="26" t="str">
        <f>HYPERLINK("https://ictv.global/taxonomy/taxondetails?taxnode_id=202514832&amp;ictv_id=ICTV202214832","ICTV202214832")</f>
        <v>ICTV202214832</v>
      </c>
      <c r="R3613" t="s">
        <v>579</v>
      </c>
      <c r="S3613" t="s">
        <v>22763</v>
      </c>
      <c r="T3613">
        <v>41</v>
      </c>
      <c r="U3613" s="26" t="str">
        <f t="shared" si="137"/>
        <v>2025.072B.Schitoviridae_4_nsf_16ng_78_ns.zip</v>
      </c>
    </row>
    <row r="3614" spans="1:21">
      <c r="A3614">
        <v>3613</v>
      </c>
      <c r="B3614" s="27" t="s">
        <v>1449</v>
      </c>
      <c r="D3614" s="27" t="s">
        <v>1450</v>
      </c>
      <c r="F3614" s="27" t="s">
        <v>1453</v>
      </c>
      <c r="H3614" s="27" t="s">
        <v>1454</v>
      </c>
      <c r="L3614" s="27" t="s">
        <v>2169</v>
      </c>
      <c r="M3614" s="27" t="s">
        <v>20908</v>
      </c>
      <c r="N3614" s="27" t="s">
        <v>2202</v>
      </c>
      <c r="P3614" s="27" t="s">
        <v>5440</v>
      </c>
      <c r="Q3614" s="26" t="str">
        <f>HYPERLINK("https://ictv.global/taxonomy/taxondetails?taxnode_id=202514833&amp;ictv_id=ICTV202214833","ICTV202214833")</f>
        <v>ICTV202214833</v>
      </c>
      <c r="R3614" t="s">
        <v>579</v>
      </c>
      <c r="S3614" t="s">
        <v>22763</v>
      </c>
      <c r="T3614">
        <v>41</v>
      </c>
      <c r="U3614" s="26" t="str">
        <f t="shared" si="137"/>
        <v>2025.072B.Schitoviridae_4_nsf_16ng_78_ns.zip</v>
      </c>
    </row>
    <row r="3615" spans="1:21">
      <c r="A3615">
        <v>3614</v>
      </c>
      <c r="B3615" s="27" t="s">
        <v>1449</v>
      </c>
      <c r="D3615" s="27" t="s">
        <v>1450</v>
      </c>
      <c r="F3615" s="27" t="s">
        <v>1453</v>
      </c>
      <c r="H3615" s="27" t="s">
        <v>1454</v>
      </c>
      <c r="L3615" s="27" t="s">
        <v>2169</v>
      </c>
      <c r="M3615" s="27" t="s">
        <v>20908</v>
      </c>
      <c r="N3615" s="27" t="s">
        <v>2202</v>
      </c>
      <c r="P3615" s="27" t="s">
        <v>5441</v>
      </c>
      <c r="Q3615" s="26" t="str">
        <f>HYPERLINK("https://ictv.global/taxonomy/taxondetails?taxnode_id=202511840&amp;ictv_id=ICTV202011840","ICTV202011840")</f>
        <v>ICTV202011840</v>
      </c>
      <c r="R3615" t="s">
        <v>579</v>
      </c>
      <c r="S3615" t="s">
        <v>22763</v>
      </c>
      <c r="T3615">
        <v>41</v>
      </c>
      <c r="U3615" s="26" t="str">
        <f t="shared" si="137"/>
        <v>2025.072B.Schitoviridae_4_nsf_16ng_78_ns.zip</v>
      </c>
    </row>
    <row r="3616" spans="1:21">
      <c r="A3616">
        <v>3615</v>
      </c>
      <c r="B3616" s="27" t="s">
        <v>1449</v>
      </c>
      <c r="D3616" s="27" t="s">
        <v>1450</v>
      </c>
      <c r="F3616" s="27" t="s">
        <v>1453</v>
      </c>
      <c r="H3616" s="27" t="s">
        <v>1454</v>
      </c>
      <c r="L3616" s="27" t="s">
        <v>2169</v>
      </c>
      <c r="M3616" s="27" t="s">
        <v>20908</v>
      </c>
      <c r="N3616" s="27" t="s">
        <v>2204</v>
      </c>
      <c r="P3616" s="27" t="s">
        <v>5443</v>
      </c>
      <c r="Q3616" s="26" t="str">
        <f>HYPERLINK("https://ictv.global/taxonomy/taxondetails?taxnode_id=202511838&amp;ictv_id=ICTV202011838","ICTV202011838")</f>
        <v>ICTV202011838</v>
      </c>
      <c r="R3616" t="s">
        <v>579</v>
      </c>
      <c r="S3616" t="s">
        <v>22763</v>
      </c>
      <c r="T3616">
        <v>41</v>
      </c>
      <c r="U3616" s="26" t="str">
        <f t="shared" si="137"/>
        <v>2025.072B.Schitoviridae_4_nsf_16ng_78_ns.zip</v>
      </c>
    </row>
    <row r="3617" spans="1:21">
      <c r="A3617">
        <v>3616</v>
      </c>
      <c r="B3617" s="27" t="s">
        <v>1449</v>
      </c>
      <c r="D3617" s="27" t="s">
        <v>1450</v>
      </c>
      <c r="F3617" s="27" t="s">
        <v>1453</v>
      </c>
      <c r="H3617" s="27" t="s">
        <v>1454</v>
      </c>
      <c r="L3617" s="27" t="s">
        <v>2169</v>
      </c>
      <c r="M3617" s="27" t="s">
        <v>2177</v>
      </c>
      <c r="N3617" s="27" t="s">
        <v>1295</v>
      </c>
      <c r="P3617" s="27" t="s">
        <v>22620</v>
      </c>
      <c r="Q3617" s="26" t="str">
        <f>HYPERLINK("https://ictv.global/taxonomy/taxondetails?taxnode_id=202523212&amp;ictv_id=ICTV202523212","ICTV202523212")</f>
        <v>ICTV202523212</v>
      </c>
      <c r="R3617" t="s">
        <v>579</v>
      </c>
      <c r="S3617" t="s">
        <v>823</v>
      </c>
      <c r="T3617">
        <v>41</v>
      </c>
      <c r="U3617" s="26" t="str">
        <f t="shared" si="137"/>
        <v>2025.072B.Schitoviridae_4_nsf_16ng_78_ns.zip</v>
      </c>
    </row>
    <row r="3618" spans="1:21">
      <c r="A3618">
        <v>3617</v>
      </c>
      <c r="B3618" s="27" t="s">
        <v>1449</v>
      </c>
      <c r="D3618" s="27" t="s">
        <v>1450</v>
      </c>
      <c r="F3618" s="27" t="s">
        <v>1453</v>
      </c>
      <c r="H3618" s="27" t="s">
        <v>1454</v>
      </c>
      <c r="L3618" s="27" t="s">
        <v>2169</v>
      </c>
      <c r="M3618" s="27" t="s">
        <v>2177</v>
      </c>
      <c r="N3618" s="27" t="s">
        <v>1295</v>
      </c>
      <c r="P3618" s="27" t="s">
        <v>22618</v>
      </c>
      <c r="Q3618" s="26" t="str">
        <f>HYPERLINK("https://ictv.global/taxonomy/taxondetails?taxnode_id=202523210&amp;ictv_id=ICTV202523210","ICTV202523210")</f>
        <v>ICTV202523210</v>
      </c>
      <c r="R3618" t="s">
        <v>579</v>
      </c>
      <c r="S3618" t="s">
        <v>823</v>
      </c>
      <c r="T3618">
        <v>41</v>
      </c>
      <c r="U3618" s="26" t="str">
        <f t="shared" si="137"/>
        <v>2025.072B.Schitoviridae_4_nsf_16ng_78_ns.zip</v>
      </c>
    </row>
    <row r="3619" spans="1:21">
      <c r="A3619">
        <v>3618</v>
      </c>
      <c r="B3619" s="27" t="s">
        <v>1449</v>
      </c>
      <c r="D3619" s="27" t="s">
        <v>1450</v>
      </c>
      <c r="F3619" s="27" t="s">
        <v>1453</v>
      </c>
      <c r="H3619" s="27" t="s">
        <v>1454</v>
      </c>
      <c r="L3619" s="27" t="s">
        <v>2169</v>
      </c>
      <c r="M3619" s="27" t="s">
        <v>2177</v>
      </c>
      <c r="N3619" s="27" t="s">
        <v>1295</v>
      </c>
      <c r="P3619" s="27" t="s">
        <v>22622</v>
      </c>
      <c r="Q3619" s="26" t="str">
        <f>HYPERLINK("https://ictv.global/taxonomy/taxondetails?taxnode_id=202523214&amp;ictv_id=ICTV202523214","ICTV202523214")</f>
        <v>ICTV202523214</v>
      </c>
      <c r="R3619" t="s">
        <v>579</v>
      </c>
      <c r="S3619" t="s">
        <v>823</v>
      </c>
      <c r="T3619">
        <v>41</v>
      </c>
      <c r="U3619" s="26" t="str">
        <f t="shared" si="137"/>
        <v>2025.072B.Schitoviridae_4_nsf_16ng_78_ns.zip</v>
      </c>
    </row>
    <row r="3620" spans="1:21">
      <c r="A3620">
        <v>3619</v>
      </c>
      <c r="B3620" s="27" t="s">
        <v>1449</v>
      </c>
      <c r="D3620" s="27" t="s">
        <v>1450</v>
      </c>
      <c r="F3620" s="27" t="s">
        <v>1453</v>
      </c>
      <c r="H3620" s="27" t="s">
        <v>1454</v>
      </c>
      <c r="L3620" s="27" t="s">
        <v>2169</v>
      </c>
      <c r="M3620" s="27" t="s">
        <v>2177</v>
      </c>
      <c r="N3620" s="27" t="s">
        <v>1295</v>
      </c>
      <c r="P3620" s="27" t="s">
        <v>5365</v>
      </c>
      <c r="Q3620" s="26" t="str">
        <f>HYPERLINK("https://ictv.global/taxonomy/taxondetails?taxnode_id=202505495&amp;ictv_id=ICTV20175495","ICTV20175495")</f>
        <v>ICTV20175495</v>
      </c>
      <c r="R3620" t="s">
        <v>579</v>
      </c>
      <c r="S3620" t="s">
        <v>824</v>
      </c>
      <c r="T3620">
        <v>37</v>
      </c>
      <c r="U3620" s="26" t="str">
        <f>HYPERLINK("https://ictv.global/ictv/proposals/2021.010B.R.Binomial_names.zip","2021.010B.R.Binomial_names.zip")</f>
        <v>2021.010B.R.Binomial_names.zip</v>
      </c>
    </row>
    <row r="3621" spans="1:21">
      <c r="A3621">
        <v>3620</v>
      </c>
      <c r="B3621" s="27" t="s">
        <v>1449</v>
      </c>
      <c r="D3621" s="27" t="s">
        <v>1450</v>
      </c>
      <c r="F3621" s="27" t="s">
        <v>1453</v>
      </c>
      <c r="H3621" s="27" t="s">
        <v>1454</v>
      </c>
      <c r="L3621" s="27" t="s">
        <v>2169</v>
      </c>
      <c r="M3621" s="27" t="s">
        <v>2177</v>
      </c>
      <c r="N3621" s="27" t="s">
        <v>1295</v>
      </c>
      <c r="P3621" s="27" t="s">
        <v>5366</v>
      </c>
      <c r="Q3621" s="26" t="str">
        <f>HYPERLINK("https://ictv.global/taxonomy/taxondetails?taxnode_id=202505496&amp;ictv_id=ICTV20175496","ICTV20175496")</f>
        <v>ICTV20175496</v>
      </c>
      <c r="R3621" t="s">
        <v>579</v>
      </c>
      <c r="S3621" t="s">
        <v>824</v>
      </c>
      <c r="T3621">
        <v>37</v>
      </c>
      <c r="U3621" s="26" t="str">
        <f>HYPERLINK("https://ictv.global/ictv/proposals/2021.010B.R.Binomial_names.zip","2021.010B.R.Binomial_names.zip")</f>
        <v>2021.010B.R.Binomial_names.zip</v>
      </c>
    </row>
    <row r="3622" spans="1:21">
      <c r="A3622">
        <v>3621</v>
      </c>
      <c r="B3622" s="27" t="s">
        <v>1449</v>
      </c>
      <c r="D3622" s="27" t="s">
        <v>1450</v>
      </c>
      <c r="F3622" s="27" t="s">
        <v>1453</v>
      </c>
      <c r="H3622" s="27" t="s">
        <v>1454</v>
      </c>
      <c r="L3622" s="27" t="s">
        <v>2169</v>
      </c>
      <c r="M3622" s="27" t="s">
        <v>2177</v>
      </c>
      <c r="N3622" s="27" t="s">
        <v>1295</v>
      </c>
      <c r="P3622" s="27" t="s">
        <v>22619</v>
      </c>
      <c r="Q3622" s="26" t="str">
        <f>HYPERLINK("https://ictv.global/taxonomy/taxondetails?taxnode_id=202523211&amp;ictv_id=ICTV202523211","ICTV202523211")</f>
        <v>ICTV202523211</v>
      </c>
      <c r="R3622" t="s">
        <v>579</v>
      </c>
      <c r="S3622" t="s">
        <v>823</v>
      </c>
      <c r="T3622">
        <v>41</v>
      </c>
      <c r="U3622" s="26" t="str">
        <f>HYPERLINK("https://ictv.global/ictv/proposals/2025.072B.Schitoviridae_4_nsf_16ng_78_ns.zip","2025.072B.Schitoviridae_4_nsf_16ng_78_ns.zip")</f>
        <v>2025.072B.Schitoviridae_4_nsf_16ng_78_ns.zip</v>
      </c>
    </row>
    <row r="3623" spans="1:21">
      <c r="A3623">
        <v>3622</v>
      </c>
      <c r="B3623" s="27" t="s">
        <v>1449</v>
      </c>
      <c r="D3623" s="27" t="s">
        <v>1450</v>
      </c>
      <c r="F3623" s="27" t="s">
        <v>1453</v>
      </c>
      <c r="H3623" s="27" t="s">
        <v>1454</v>
      </c>
      <c r="L3623" s="27" t="s">
        <v>2169</v>
      </c>
      <c r="M3623" s="27" t="s">
        <v>2177</v>
      </c>
      <c r="N3623" s="27" t="s">
        <v>1295</v>
      </c>
      <c r="P3623" s="27" t="s">
        <v>22621</v>
      </c>
      <c r="Q3623" s="26" t="str">
        <f>HYPERLINK("https://ictv.global/taxonomy/taxondetails?taxnode_id=202523213&amp;ictv_id=ICTV202523213","ICTV202523213")</f>
        <v>ICTV202523213</v>
      </c>
      <c r="R3623" t="s">
        <v>579</v>
      </c>
      <c r="S3623" t="s">
        <v>823</v>
      </c>
      <c r="T3623">
        <v>41</v>
      </c>
      <c r="U3623" s="26" t="str">
        <f>HYPERLINK("https://ictv.global/ictv/proposals/2025.072B.Schitoviridae_4_nsf_16ng_78_ns.zip","2025.072B.Schitoviridae_4_nsf_16ng_78_ns.zip")</f>
        <v>2025.072B.Schitoviridae_4_nsf_16ng_78_ns.zip</v>
      </c>
    </row>
    <row r="3624" spans="1:21">
      <c r="A3624">
        <v>3623</v>
      </c>
      <c r="B3624" s="27" t="s">
        <v>1449</v>
      </c>
      <c r="D3624" s="27" t="s">
        <v>1450</v>
      </c>
      <c r="F3624" s="27" t="s">
        <v>1453</v>
      </c>
      <c r="H3624" s="27" t="s">
        <v>1454</v>
      </c>
      <c r="L3624" s="27" t="s">
        <v>2169</v>
      </c>
      <c r="M3624" s="27" t="s">
        <v>2177</v>
      </c>
      <c r="N3624" s="27" t="s">
        <v>2178</v>
      </c>
      <c r="P3624" s="27" t="s">
        <v>5367</v>
      </c>
      <c r="Q3624" s="26" t="str">
        <f>HYPERLINK("https://ictv.global/taxonomy/taxondetails?taxnode_id=202505494&amp;ictv_id=ICTV20175494","ICTV20175494")</f>
        <v>ICTV20175494</v>
      </c>
      <c r="R3624" t="s">
        <v>579</v>
      </c>
      <c r="S3624" t="s">
        <v>824</v>
      </c>
      <c r="T3624">
        <v>37</v>
      </c>
      <c r="U3624" s="26" t="str">
        <f>HYPERLINK("https://ictv.global/ictv/proposals/2021.010B.R.Binomial_names.zip","2021.010B.R.Binomial_names.zip")</f>
        <v>2021.010B.R.Binomial_names.zip</v>
      </c>
    </row>
    <row r="3625" spans="1:21">
      <c r="A3625">
        <v>3624</v>
      </c>
      <c r="B3625" s="27" t="s">
        <v>1449</v>
      </c>
      <c r="D3625" s="27" t="s">
        <v>1450</v>
      </c>
      <c r="F3625" s="27" t="s">
        <v>1453</v>
      </c>
      <c r="H3625" s="27" t="s">
        <v>1454</v>
      </c>
      <c r="L3625" s="27" t="s">
        <v>2169</v>
      </c>
      <c r="M3625" s="27" t="s">
        <v>2177</v>
      </c>
      <c r="N3625" s="27" t="s">
        <v>2179</v>
      </c>
      <c r="P3625" s="27" t="s">
        <v>5368</v>
      </c>
      <c r="Q3625" s="26" t="str">
        <f>HYPERLINK("https://ictv.global/taxonomy/taxondetails?taxnode_id=202511637&amp;ictv_id=ICTV202011637","ICTV202011637")</f>
        <v>ICTV202011637</v>
      </c>
      <c r="R3625" t="s">
        <v>579</v>
      </c>
      <c r="S3625" t="s">
        <v>824</v>
      </c>
      <c r="T3625">
        <v>37</v>
      </c>
      <c r="U3625" s="26" t="str">
        <f>HYPERLINK("https://ictv.global/ictv/proposals/2021.010B.R.Binomial_names.zip","2021.010B.R.Binomial_names.zip")</f>
        <v>2021.010B.R.Binomial_names.zip</v>
      </c>
    </row>
    <row r="3626" spans="1:21">
      <c r="A3626">
        <v>3625</v>
      </c>
      <c r="B3626" s="27" t="s">
        <v>1449</v>
      </c>
      <c r="D3626" s="27" t="s">
        <v>1450</v>
      </c>
      <c r="F3626" s="27" t="s">
        <v>1453</v>
      </c>
      <c r="H3626" s="27" t="s">
        <v>1454</v>
      </c>
      <c r="L3626" s="27" t="s">
        <v>2169</v>
      </c>
      <c r="M3626" s="27" t="s">
        <v>2177</v>
      </c>
      <c r="N3626" s="27" t="s">
        <v>2179</v>
      </c>
      <c r="P3626" s="27" t="s">
        <v>22617</v>
      </c>
      <c r="Q3626" s="26" t="str">
        <f>HYPERLINK("https://ictv.global/taxonomy/taxondetails?taxnode_id=202523209&amp;ictv_id=ICTV202523209","ICTV202523209")</f>
        <v>ICTV202523209</v>
      </c>
      <c r="R3626" t="s">
        <v>579</v>
      </c>
      <c r="S3626" t="s">
        <v>823</v>
      </c>
      <c r="T3626">
        <v>41</v>
      </c>
      <c r="U3626" s="26" t="str">
        <f>HYPERLINK("https://ictv.global/ictv/proposals/2025.072B.Schitoviridae_4_nsf_16ng_78_ns.zip","2025.072B.Schitoviridae_4_nsf_16ng_78_ns.zip")</f>
        <v>2025.072B.Schitoviridae_4_nsf_16ng_78_ns.zip</v>
      </c>
    </row>
    <row r="3627" spans="1:21">
      <c r="A3627">
        <v>3626</v>
      </c>
      <c r="B3627" s="27" t="s">
        <v>1449</v>
      </c>
      <c r="D3627" s="27" t="s">
        <v>1450</v>
      </c>
      <c r="F3627" s="27" t="s">
        <v>1453</v>
      </c>
      <c r="H3627" s="27" t="s">
        <v>1454</v>
      </c>
      <c r="L3627" s="27" t="s">
        <v>2169</v>
      </c>
      <c r="M3627" s="27" t="s">
        <v>2177</v>
      </c>
      <c r="N3627" s="27" t="s">
        <v>2179</v>
      </c>
      <c r="P3627" s="27" t="s">
        <v>5369</v>
      </c>
      <c r="Q3627" s="26" t="str">
        <f>HYPERLINK("https://ictv.global/taxonomy/taxondetails?taxnode_id=202511636&amp;ictv_id=ICTV202011636","ICTV202011636")</f>
        <v>ICTV202011636</v>
      </c>
      <c r="R3627" t="s">
        <v>579</v>
      </c>
      <c r="S3627" t="s">
        <v>824</v>
      </c>
      <c r="T3627">
        <v>37</v>
      </c>
      <c r="U3627" s="26" t="str">
        <f>HYPERLINK("https://ictv.global/ictv/proposals/2021.010B.R.Binomial_names.zip","2021.010B.R.Binomial_names.zip")</f>
        <v>2021.010B.R.Binomial_names.zip</v>
      </c>
    </row>
    <row r="3628" spans="1:21">
      <c r="A3628">
        <v>3627</v>
      </c>
      <c r="B3628" s="27" t="s">
        <v>1449</v>
      </c>
      <c r="D3628" s="27" t="s">
        <v>1450</v>
      </c>
      <c r="F3628" s="27" t="s">
        <v>1453</v>
      </c>
      <c r="H3628" s="27" t="s">
        <v>1454</v>
      </c>
      <c r="L3628" s="27" t="s">
        <v>2169</v>
      </c>
      <c r="M3628" s="27" t="s">
        <v>2177</v>
      </c>
      <c r="N3628" s="27" t="s">
        <v>5445</v>
      </c>
      <c r="P3628" s="27" t="s">
        <v>5446</v>
      </c>
      <c r="Q3628" s="26" t="str">
        <f>HYPERLINK("https://ictv.global/taxonomy/taxondetails?taxnode_id=202513610&amp;ictv_id=ICTV202113610","ICTV202113610")</f>
        <v>ICTV202113610</v>
      </c>
      <c r="R3628" t="s">
        <v>579</v>
      </c>
      <c r="S3628" t="s">
        <v>22763</v>
      </c>
      <c r="T3628">
        <v>41</v>
      </c>
      <c r="U3628" s="26" t="str">
        <f>HYPERLINK("https://ictv.global/ictv/proposals/2025.072B.Schitoviridae_4_nsf_16ng_78_ns.zip","2025.072B.Schitoviridae_4_nsf_16ng_78_ns.zip")</f>
        <v>2025.072B.Schitoviridae_4_nsf_16ng_78_ns.zip</v>
      </c>
    </row>
    <row r="3629" spans="1:21">
      <c r="A3629">
        <v>3628</v>
      </c>
      <c r="B3629" s="27" t="s">
        <v>1449</v>
      </c>
      <c r="D3629" s="27" t="s">
        <v>1450</v>
      </c>
      <c r="F3629" s="27" t="s">
        <v>1453</v>
      </c>
      <c r="H3629" s="27" t="s">
        <v>1454</v>
      </c>
      <c r="L3629" s="27" t="s">
        <v>2169</v>
      </c>
      <c r="M3629" s="27" t="s">
        <v>2180</v>
      </c>
      <c r="N3629" s="27" t="s">
        <v>1305</v>
      </c>
      <c r="P3629" s="27" t="s">
        <v>5370</v>
      </c>
      <c r="Q3629" s="26" t="str">
        <f>HYPERLINK("https://ictv.global/taxonomy/taxondetails?taxnode_id=202500657&amp;ictv_id=ICTV20150366","ICTV20150366")</f>
        <v>ICTV20150366</v>
      </c>
      <c r="R3629" t="s">
        <v>579</v>
      </c>
      <c r="S3629" t="s">
        <v>824</v>
      </c>
      <c r="T3629">
        <v>37</v>
      </c>
      <c r="U3629" s="26" t="str">
        <f>HYPERLINK("https://ictv.global/ictv/proposals/2021.010B.R.Binomial_names.zip","2021.010B.R.Binomial_names.zip")</f>
        <v>2021.010B.R.Binomial_names.zip</v>
      </c>
    </row>
    <row r="3630" spans="1:21">
      <c r="A3630">
        <v>3629</v>
      </c>
      <c r="B3630" s="27" t="s">
        <v>1449</v>
      </c>
      <c r="D3630" s="27" t="s">
        <v>1450</v>
      </c>
      <c r="F3630" s="27" t="s">
        <v>1453</v>
      </c>
      <c r="H3630" s="27" t="s">
        <v>1454</v>
      </c>
      <c r="L3630" s="27" t="s">
        <v>2169</v>
      </c>
      <c r="M3630" s="27" t="s">
        <v>2180</v>
      </c>
      <c r="N3630" s="27" t="s">
        <v>1305</v>
      </c>
      <c r="P3630" s="27" t="s">
        <v>22578</v>
      </c>
      <c r="Q3630" s="26" t="str">
        <f>HYPERLINK("https://ictv.global/taxonomy/taxondetails?taxnode_id=202523170&amp;ictv_id=ICTV202523170","ICTV202523170")</f>
        <v>ICTV202523170</v>
      </c>
      <c r="R3630" t="s">
        <v>579</v>
      </c>
      <c r="S3630" t="s">
        <v>823</v>
      </c>
      <c r="T3630">
        <v>41</v>
      </c>
      <c r="U3630" s="26" t="str">
        <f>HYPERLINK("https://ictv.global/ictv/proposals/2025.072B.Schitoviridae_4_nsf_16ng_78_ns.zip","2025.072B.Schitoviridae_4_nsf_16ng_78_ns.zip")</f>
        <v>2025.072B.Schitoviridae_4_nsf_16ng_78_ns.zip</v>
      </c>
    </row>
    <row r="3631" spans="1:21">
      <c r="A3631">
        <v>3630</v>
      </c>
      <c r="B3631" s="27" t="s">
        <v>1449</v>
      </c>
      <c r="D3631" s="27" t="s">
        <v>1450</v>
      </c>
      <c r="F3631" s="27" t="s">
        <v>1453</v>
      </c>
      <c r="H3631" s="27" t="s">
        <v>1454</v>
      </c>
      <c r="L3631" s="27" t="s">
        <v>2169</v>
      </c>
      <c r="M3631" s="27" t="s">
        <v>2180</v>
      </c>
      <c r="N3631" s="27" t="s">
        <v>1305</v>
      </c>
      <c r="P3631" s="27" t="s">
        <v>22583</v>
      </c>
      <c r="Q3631" s="26" t="str">
        <f>HYPERLINK("https://ictv.global/taxonomy/taxondetails?taxnode_id=202523175&amp;ictv_id=ICTV202523175","ICTV202523175")</f>
        <v>ICTV202523175</v>
      </c>
      <c r="R3631" t="s">
        <v>579</v>
      </c>
      <c r="S3631" t="s">
        <v>823</v>
      </c>
      <c r="T3631">
        <v>41</v>
      </c>
      <c r="U3631" s="26" t="str">
        <f>HYPERLINK("https://ictv.global/ictv/proposals/2025.072B.Schitoviridae_4_nsf_16ng_78_ns.zip","2025.072B.Schitoviridae_4_nsf_16ng_78_ns.zip")</f>
        <v>2025.072B.Schitoviridae_4_nsf_16ng_78_ns.zip</v>
      </c>
    </row>
    <row r="3632" spans="1:21">
      <c r="A3632">
        <v>3631</v>
      </c>
      <c r="B3632" s="27" t="s">
        <v>1449</v>
      </c>
      <c r="D3632" s="27" t="s">
        <v>1450</v>
      </c>
      <c r="F3632" s="27" t="s">
        <v>1453</v>
      </c>
      <c r="H3632" s="27" t="s">
        <v>1454</v>
      </c>
      <c r="L3632" s="27" t="s">
        <v>2169</v>
      </c>
      <c r="M3632" s="27" t="s">
        <v>2180</v>
      </c>
      <c r="N3632" s="27" t="s">
        <v>1305</v>
      </c>
      <c r="P3632" s="27" t="s">
        <v>22584</v>
      </c>
      <c r="Q3632" s="26" t="str">
        <f>HYPERLINK("https://ictv.global/taxonomy/taxondetails?taxnode_id=202523176&amp;ictv_id=ICTV202523176","ICTV202523176")</f>
        <v>ICTV202523176</v>
      </c>
      <c r="R3632" t="s">
        <v>579</v>
      </c>
      <c r="S3632" t="s">
        <v>823</v>
      </c>
      <c r="T3632">
        <v>41</v>
      </c>
      <c r="U3632" s="26" t="str">
        <f>HYPERLINK("https://ictv.global/ictv/proposals/2025.072B.Schitoviridae_4_nsf_16ng_78_ns.zip","2025.072B.Schitoviridae_4_nsf_16ng_78_ns.zip")</f>
        <v>2025.072B.Schitoviridae_4_nsf_16ng_78_ns.zip</v>
      </c>
    </row>
    <row r="3633" spans="1:21">
      <c r="A3633">
        <v>3632</v>
      </c>
      <c r="B3633" s="27" t="s">
        <v>1449</v>
      </c>
      <c r="D3633" s="27" t="s">
        <v>1450</v>
      </c>
      <c r="F3633" s="27" t="s">
        <v>1453</v>
      </c>
      <c r="H3633" s="27" t="s">
        <v>1454</v>
      </c>
      <c r="L3633" s="27" t="s">
        <v>2169</v>
      </c>
      <c r="M3633" s="27" t="s">
        <v>2180</v>
      </c>
      <c r="N3633" s="27" t="s">
        <v>1305</v>
      </c>
      <c r="P3633" s="27" t="s">
        <v>22580</v>
      </c>
      <c r="Q3633" s="26" t="str">
        <f>HYPERLINK("https://ictv.global/taxonomy/taxondetails?taxnode_id=202523172&amp;ictv_id=ICTV202523172","ICTV202523172")</f>
        <v>ICTV202523172</v>
      </c>
      <c r="R3633" t="s">
        <v>579</v>
      </c>
      <c r="S3633" t="s">
        <v>823</v>
      </c>
      <c r="T3633">
        <v>41</v>
      </c>
      <c r="U3633" s="26" t="str">
        <f>HYPERLINK("https://ictv.global/ictv/proposals/2025.072B.Schitoviridae_4_nsf_16ng_78_ns.zip","2025.072B.Schitoviridae_4_nsf_16ng_78_ns.zip")</f>
        <v>2025.072B.Schitoviridae_4_nsf_16ng_78_ns.zip</v>
      </c>
    </row>
    <row r="3634" spans="1:21">
      <c r="A3634">
        <v>3633</v>
      </c>
      <c r="B3634" s="27" t="s">
        <v>1449</v>
      </c>
      <c r="D3634" s="27" t="s">
        <v>1450</v>
      </c>
      <c r="F3634" s="27" t="s">
        <v>1453</v>
      </c>
      <c r="H3634" s="27" t="s">
        <v>1454</v>
      </c>
      <c r="L3634" s="27" t="s">
        <v>2169</v>
      </c>
      <c r="M3634" s="27" t="s">
        <v>2180</v>
      </c>
      <c r="N3634" s="27" t="s">
        <v>1305</v>
      </c>
      <c r="P3634" s="27" t="s">
        <v>5371</v>
      </c>
      <c r="Q3634" s="26" t="str">
        <f>HYPERLINK("https://ictv.global/taxonomy/taxondetails?taxnode_id=202500658&amp;ictv_id=ICTV20150364","ICTV20150364")</f>
        <v>ICTV20150364</v>
      </c>
      <c r="R3634" t="s">
        <v>579</v>
      </c>
      <c r="S3634" t="s">
        <v>824</v>
      </c>
      <c r="T3634">
        <v>37</v>
      </c>
      <c r="U3634" s="26" t="str">
        <f>HYPERLINK("https://ictv.global/ictv/proposals/2021.010B.R.Binomial_names.zip","2021.010B.R.Binomial_names.zip")</f>
        <v>2021.010B.R.Binomial_names.zip</v>
      </c>
    </row>
    <row r="3635" spans="1:21">
      <c r="A3635">
        <v>3634</v>
      </c>
      <c r="B3635" s="27" t="s">
        <v>1449</v>
      </c>
      <c r="D3635" s="27" t="s">
        <v>1450</v>
      </c>
      <c r="F3635" s="27" t="s">
        <v>1453</v>
      </c>
      <c r="H3635" s="27" t="s">
        <v>1454</v>
      </c>
      <c r="L3635" s="27" t="s">
        <v>2169</v>
      </c>
      <c r="M3635" s="27" t="s">
        <v>2180</v>
      </c>
      <c r="N3635" s="27" t="s">
        <v>1305</v>
      </c>
      <c r="P3635" s="27" t="s">
        <v>5372</v>
      </c>
      <c r="Q3635" s="26" t="str">
        <f>HYPERLINK("https://ictv.global/taxonomy/taxondetails?taxnode_id=202514827&amp;ictv_id=ICTV202214827","ICTV202214827")</f>
        <v>ICTV202214827</v>
      </c>
      <c r="R3635" t="s">
        <v>579</v>
      </c>
      <c r="S3635" t="s">
        <v>823</v>
      </c>
      <c r="T3635">
        <v>38</v>
      </c>
      <c r="U3635" s="26" t="str">
        <f>HYPERLINK("https://ictv.global/ictv/proposals/2022.073B.Schitoviridae_1nsf_9ng_30nsp.zip","2022.073B.Schitoviridae_1nsf_9ng_30nsp.zip")</f>
        <v>2022.073B.Schitoviridae_1nsf_9ng_30nsp.zip</v>
      </c>
    </row>
    <row r="3636" spans="1:21">
      <c r="A3636">
        <v>3635</v>
      </c>
      <c r="B3636" s="27" t="s">
        <v>1449</v>
      </c>
      <c r="D3636" s="27" t="s">
        <v>1450</v>
      </c>
      <c r="F3636" s="27" t="s">
        <v>1453</v>
      </c>
      <c r="H3636" s="27" t="s">
        <v>1454</v>
      </c>
      <c r="L3636" s="27" t="s">
        <v>2169</v>
      </c>
      <c r="M3636" s="27" t="s">
        <v>2180</v>
      </c>
      <c r="N3636" s="27" t="s">
        <v>1305</v>
      </c>
      <c r="P3636" s="27" t="s">
        <v>5373</v>
      </c>
      <c r="Q3636" s="26" t="str">
        <f>HYPERLINK("https://ictv.global/taxonomy/taxondetails?taxnode_id=202514828&amp;ictv_id=ICTV202214828","ICTV202214828")</f>
        <v>ICTV202214828</v>
      </c>
      <c r="R3636" t="s">
        <v>579</v>
      </c>
      <c r="S3636" t="s">
        <v>823</v>
      </c>
      <c r="T3636">
        <v>38</v>
      </c>
      <c r="U3636" s="26" t="str">
        <f>HYPERLINK("https://ictv.global/ictv/proposals/2022.073B.Schitoviridae_1nsf_9ng_30nsp.zip","2022.073B.Schitoviridae_1nsf_9ng_30nsp.zip")</f>
        <v>2022.073B.Schitoviridae_1nsf_9ng_30nsp.zip</v>
      </c>
    </row>
    <row r="3637" spans="1:21">
      <c r="A3637">
        <v>3636</v>
      </c>
      <c r="B3637" s="27" t="s">
        <v>1449</v>
      </c>
      <c r="D3637" s="27" t="s">
        <v>1450</v>
      </c>
      <c r="F3637" s="27" t="s">
        <v>1453</v>
      </c>
      <c r="H3637" s="27" t="s">
        <v>1454</v>
      </c>
      <c r="L3637" s="27" t="s">
        <v>2169</v>
      </c>
      <c r="M3637" s="27" t="s">
        <v>2180</v>
      </c>
      <c r="N3637" s="27" t="s">
        <v>1305</v>
      </c>
      <c r="P3637" s="27" t="s">
        <v>22582</v>
      </c>
      <c r="Q3637" s="26" t="str">
        <f>HYPERLINK("https://ictv.global/taxonomy/taxondetails?taxnode_id=202523174&amp;ictv_id=ICTV202523174","ICTV202523174")</f>
        <v>ICTV202523174</v>
      </c>
      <c r="R3637" t="s">
        <v>579</v>
      </c>
      <c r="S3637" t="s">
        <v>823</v>
      </c>
      <c r="T3637">
        <v>41</v>
      </c>
      <c r="U3637" s="26" t="str">
        <f>HYPERLINK("https://ictv.global/ictv/proposals/2025.072B.Schitoviridae_4_nsf_16ng_78_ns.zip","2025.072B.Schitoviridae_4_nsf_16ng_78_ns.zip")</f>
        <v>2025.072B.Schitoviridae_4_nsf_16ng_78_ns.zip</v>
      </c>
    </row>
    <row r="3638" spans="1:21">
      <c r="A3638">
        <v>3637</v>
      </c>
      <c r="B3638" s="27" t="s">
        <v>1449</v>
      </c>
      <c r="D3638" s="27" t="s">
        <v>1450</v>
      </c>
      <c r="F3638" s="27" t="s">
        <v>1453</v>
      </c>
      <c r="H3638" s="27" t="s">
        <v>1454</v>
      </c>
      <c r="L3638" s="27" t="s">
        <v>2169</v>
      </c>
      <c r="M3638" s="27" t="s">
        <v>2180</v>
      </c>
      <c r="N3638" s="27" t="s">
        <v>1305</v>
      </c>
      <c r="P3638" s="27" t="s">
        <v>22581</v>
      </c>
      <c r="Q3638" s="26" t="str">
        <f>HYPERLINK("https://ictv.global/taxonomy/taxondetails?taxnode_id=202523173&amp;ictv_id=ICTV202523173","ICTV202523173")</f>
        <v>ICTV202523173</v>
      </c>
      <c r="R3638" t="s">
        <v>579</v>
      </c>
      <c r="S3638" t="s">
        <v>823</v>
      </c>
      <c r="T3638">
        <v>41</v>
      </c>
      <c r="U3638" s="26" t="str">
        <f>HYPERLINK("https://ictv.global/ictv/proposals/2025.072B.Schitoviridae_4_nsf_16ng_78_ns.zip","2025.072B.Schitoviridae_4_nsf_16ng_78_ns.zip")</f>
        <v>2025.072B.Schitoviridae_4_nsf_16ng_78_ns.zip</v>
      </c>
    </row>
    <row r="3639" spans="1:21">
      <c r="A3639">
        <v>3638</v>
      </c>
      <c r="B3639" s="27" t="s">
        <v>1449</v>
      </c>
      <c r="D3639" s="27" t="s">
        <v>1450</v>
      </c>
      <c r="F3639" s="27" t="s">
        <v>1453</v>
      </c>
      <c r="H3639" s="27" t="s">
        <v>1454</v>
      </c>
      <c r="L3639" s="27" t="s">
        <v>2169</v>
      </c>
      <c r="M3639" s="27" t="s">
        <v>2180</v>
      </c>
      <c r="N3639" s="27" t="s">
        <v>1305</v>
      </c>
      <c r="P3639" s="27" t="s">
        <v>5374</v>
      </c>
      <c r="Q3639" s="26" t="str">
        <f>HYPERLINK("https://ictv.global/taxonomy/taxondetails?taxnode_id=202500659&amp;ictv_id=ICTV20150365","ICTV20150365")</f>
        <v>ICTV20150365</v>
      </c>
      <c r="R3639" t="s">
        <v>579</v>
      </c>
      <c r="S3639" t="s">
        <v>824</v>
      </c>
      <c r="T3639">
        <v>37</v>
      </c>
      <c r="U3639" s="26" t="str">
        <f>HYPERLINK("https://ictv.global/ictv/proposals/2021.010B.R.Binomial_names.zip","2021.010B.R.Binomial_names.zip")</f>
        <v>2021.010B.R.Binomial_names.zip</v>
      </c>
    </row>
    <row r="3640" spans="1:21">
      <c r="A3640">
        <v>3639</v>
      </c>
      <c r="B3640" s="27" t="s">
        <v>1449</v>
      </c>
      <c r="D3640" s="27" t="s">
        <v>1450</v>
      </c>
      <c r="F3640" s="27" t="s">
        <v>1453</v>
      </c>
      <c r="H3640" s="27" t="s">
        <v>1454</v>
      </c>
      <c r="L3640" s="27" t="s">
        <v>2169</v>
      </c>
      <c r="M3640" s="27" t="s">
        <v>2180</v>
      </c>
      <c r="N3640" s="27" t="s">
        <v>1305</v>
      </c>
      <c r="P3640" s="27" t="s">
        <v>5375</v>
      </c>
      <c r="Q3640" s="26" t="str">
        <f>HYPERLINK("https://ictv.global/taxonomy/taxondetails?taxnode_id=202514830&amp;ictv_id=ICTV202214830","ICTV202214830")</f>
        <v>ICTV202214830</v>
      </c>
      <c r="R3640" t="s">
        <v>579</v>
      </c>
      <c r="S3640" t="s">
        <v>823</v>
      </c>
      <c r="T3640">
        <v>38</v>
      </c>
      <c r="U3640" s="26" t="str">
        <f>HYPERLINK("https://ictv.global/ictv/proposals/2022.073B.Schitoviridae_1nsf_9ng_30nsp.zip","2022.073B.Schitoviridae_1nsf_9ng_30nsp.zip")</f>
        <v>2022.073B.Schitoviridae_1nsf_9ng_30nsp.zip</v>
      </c>
    </row>
    <row r="3641" spans="1:21">
      <c r="A3641">
        <v>3640</v>
      </c>
      <c r="B3641" s="27" t="s">
        <v>1449</v>
      </c>
      <c r="D3641" s="27" t="s">
        <v>1450</v>
      </c>
      <c r="F3641" s="27" t="s">
        <v>1453</v>
      </c>
      <c r="H3641" s="27" t="s">
        <v>1454</v>
      </c>
      <c r="L3641" s="27" t="s">
        <v>2169</v>
      </c>
      <c r="M3641" s="27" t="s">
        <v>2180</v>
      </c>
      <c r="N3641" s="27" t="s">
        <v>1305</v>
      </c>
      <c r="P3641" s="27" t="s">
        <v>5376</v>
      </c>
      <c r="Q3641" s="26" t="str">
        <f>HYPERLINK("https://ictv.global/taxonomy/taxondetails?taxnode_id=202514829&amp;ictv_id=ICTV202214829","ICTV202214829")</f>
        <v>ICTV202214829</v>
      </c>
      <c r="R3641" t="s">
        <v>579</v>
      </c>
      <c r="S3641" t="s">
        <v>823</v>
      </c>
      <c r="T3641">
        <v>38</v>
      </c>
      <c r="U3641" s="26" t="str">
        <f>HYPERLINK("https://ictv.global/ictv/proposals/2022.073B.Schitoviridae_1nsf_9ng_30nsp.zip","2022.073B.Schitoviridae_1nsf_9ng_30nsp.zip")</f>
        <v>2022.073B.Schitoviridae_1nsf_9ng_30nsp.zip</v>
      </c>
    </row>
    <row r="3642" spans="1:21">
      <c r="A3642">
        <v>3641</v>
      </c>
      <c r="B3642" s="27" t="s">
        <v>1449</v>
      </c>
      <c r="D3642" s="27" t="s">
        <v>1450</v>
      </c>
      <c r="F3642" s="27" t="s">
        <v>1453</v>
      </c>
      <c r="H3642" s="27" t="s">
        <v>1454</v>
      </c>
      <c r="L3642" s="27" t="s">
        <v>2169</v>
      </c>
      <c r="M3642" s="27" t="s">
        <v>2180</v>
      </c>
      <c r="N3642" s="27" t="s">
        <v>1305</v>
      </c>
      <c r="P3642" s="27" t="s">
        <v>22585</v>
      </c>
      <c r="Q3642" s="26" t="str">
        <f>HYPERLINK("https://ictv.global/taxonomy/taxondetails?taxnode_id=202523177&amp;ictv_id=ICTV202523177","ICTV202523177")</f>
        <v>ICTV202523177</v>
      </c>
      <c r="R3642" t="s">
        <v>579</v>
      </c>
      <c r="S3642" t="s">
        <v>823</v>
      </c>
      <c r="T3642">
        <v>41</v>
      </c>
      <c r="U3642" s="26" t="str">
        <f>HYPERLINK("https://ictv.global/ictv/proposals/2025.072B.Schitoviridae_4_nsf_16ng_78_ns.zip","2025.072B.Schitoviridae_4_nsf_16ng_78_ns.zip")</f>
        <v>2025.072B.Schitoviridae_4_nsf_16ng_78_ns.zip</v>
      </c>
    </row>
    <row r="3643" spans="1:21">
      <c r="A3643">
        <v>3642</v>
      </c>
      <c r="B3643" s="27" t="s">
        <v>1449</v>
      </c>
      <c r="D3643" s="27" t="s">
        <v>1450</v>
      </c>
      <c r="F3643" s="27" t="s">
        <v>1453</v>
      </c>
      <c r="H3643" s="27" t="s">
        <v>1454</v>
      </c>
      <c r="L3643" s="27" t="s">
        <v>2169</v>
      </c>
      <c r="M3643" s="27" t="s">
        <v>2180</v>
      </c>
      <c r="N3643" s="27" t="s">
        <v>1305</v>
      </c>
      <c r="P3643" s="27" t="s">
        <v>22576</v>
      </c>
      <c r="Q3643" s="26" t="str">
        <f>HYPERLINK("https://ictv.global/taxonomy/taxondetails?taxnode_id=202523168&amp;ictv_id=ICTV202523168","ICTV202523168")</f>
        <v>ICTV202523168</v>
      </c>
      <c r="R3643" t="s">
        <v>579</v>
      </c>
      <c r="S3643" t="s">
        <v>823</v>
      </c>
      <c r="T3643">
        <v>41</v>
      </c>
      <c r="U3643" s="26" t="str">
        <f>HYPERLINK("https://ictv.global/ictv/proposals/2025.072B.Schitoviridae_4_nsf_16ng_78_ns.zip","2025.072B.Schitoviridae_4_nsf_16ng_78_ns.zip")</f>
        <v>2025.072B.Schitoviridae_4_nsf_16ng_78_ns.zip</v>
      </c>
    </row>
    <row r="3644" spans="1:21">
      <c r="A3644">
        <v>3643</v>
      </c>
      <c r="B3644" s="27" t="s">
        <v>1449</v>
      </c>
      <c r="D3644" s="27" t="s">
        <v>1450</v>
      </c>
      <c r="F3644" s="27" t="s">
        <v>1453</v>
      </c>
      <c r="H3644" s="27" t="s">
        <v>1454</v>
      </c>
      <c r="L3644" s="27" t="s">
        <v>2169</v>
      </c>
      <c r="M3644" s="27" t="s">
        <v>2180</v>
      </c>
      <c r="N3644" s="27" t="s">
        <v>1305</v>
      </c>
      <c r="P3644" s="27" t="s">
        <v>22579</v>
      </c>
      <c r="Q3644" s="26" t="str">
        <f>HYPERLINK("https://ictv.global/taxonomy/taxondetails?taxnode_id=202523171&amp;ictv_id=ICTV202523171","ICTV202523171")</f>
        <v>ICTV202523171</v>
      </c>
      <c r="R3644" t="s">
        <v>579</v>
      </c>
      <c r="S3644" t="s">
        <v>823</v>
      </c>
      <c r="T3644">
        <v>41</v>
      </c>
      <c r="U3644" s="26" t="str">
        <f>HYPERLINK("https://ictv.global/ictv/proposals/2025.072B.Schitoviridae_4_nsf_16ng_78_ns.zip","2025.072B.Schitoviridae_4_nsf_16ng_78_ns.zip")</f>
        <v>2025.072B.Schitoviridae_4_nsf_16ng_78_ns.zip</v>
      </c>
    </row>
    <row r="3645" spans="1:21">
      <c r="A3645">
        <v>3644</v>
      </c>
      <c r="B3645" s="27" t="s">
        <v>1449</v>
      </c>
      <c r="D3645" s="27" t="s">
        <v>1450</v>
      </c>
      <c r="F3645" s="27" t="s">
        <v>1453</v>
      </c>
      <c r="H3645" s="27" t="s">
        <v>1454</v>
      </c>
      <c r="L3645" s="27" t="s">
        <v>2169</v>
      </c>
      <c r="M3645" s="27" t="s">
        <v>2180</v>
      </c>
      <c r="N3645" s="27" t="s">
        <v>1305</v>
      </c>
      <c r="P3645" s="27" t="s">
        <v>22577</v>
      </c>
      <c r="Q3645" s="26" t="str">
        <f>HYPERLINK("https://ictv.global/taxonomy/taxondetails?taxnode_id=202523169&amp;ictv_id=ICTV202523169","ICTV202523169")</f>
        <v>ICTV202523169</v>
      </c>
      <c r="R3645" t="s">
        <v>579</v>
      </c>
      <c r="S3645" t="s">
        <v>823</v>
      </c>
      <c r="T3645">
        <v>41</v>
      </c>
      <c r="U3645" s="26" t="str">
        <f>HYPERLINK("https://ictv.global/ictv/proposals/2025.072B.Schitoviridae_4_nsf_16ng_78_ns.zip","2025.072B.Schitoviridae_4_nsf_16ng_78_ns.zip")</f>
        <v>2025.072B.Schitoviridae_4_nsf_16ng_78_ns.zip</v>
      </c>
    </row>
    <row r="3646" spans="1:21">
      <c r="A3646">
        <v>3645</v>
      </c>
      <c r="B3646" s="27" t="s">
        <v>1449</v>
      </c>
      <c r="D3646" s="27" t="s">
        <v>1450</v>
      </c>
      <c r="F3646" s="27" t="s">
        <v>1453</v>
      </c>
      <c r="H3646" s="27" t="s">
        <v>1454</v>
      </c>
      <c r="L3646" s="27" t="s">
        <v>2169</v>
      </c>
      <c r="M3646" s="27" t="s">
        <v>2180</v>
      </c>
      <c r="N3646" s="27" t="s">
        <v>1305</v>
      </c>
      <c r="P3646" s="27" t="s">
        <v>22586</v>
      </c>
      <c r="Q3646" s="26" t="str">
        <f>HYPERLINK("https://ictv.global/taxonomy/taxondetails?taxnode_id=202523178&amp;ictv_id=ICTV202523178","ICTV202523178")</f>
        <v>ICTV202523178</v>
      </c>
      <c r="R3646" t="s">
        <v>579</v>
      </c>
      <c r="S3646" t="s">
        <v>823</v>
      </c>
      <c r="T3646">
        <v>41</v>
      </c>
      <c r="U3646" s="26" t="str">
        <f>HYPERLINK("https://ictv.global/ictv/proposals/2025.072B.Schitoviridae_4_nsf_16ng_78_ns.zip","2025.072B.Schitoviridae_4_nsf_16ng_78_ns.zip")</f>
        <v>2025.072B.Schitoviridae_4_nsf_16ng_78_ns.zip</v>
      </c>
    </row>
    <row r="3647" spans="1:21">
      <c r="A3647">
        <v>3646</v>
      </c>
      <c r="B3647" s="27" t="s">
        <v>1449</v>
      </c>
      <c r="D3647" s="27" t="s">
        <v>1450</v>
      </c>
      <c r="F3647" s="27" t="s">
        <v>1453</v>
      </c>
      <c r="H3647" s="27" t="s">
        <v>1454</v>
      </c>
      <c r="L3647" s="27" t="s">
        <v>2169</v>
      </c>
      <c r="M3647" s="27" t="s">
        <v>2180</v>
      </c>
      <c r="N3647" s="27" t="s">
        <v>1305</v>
      </c>
      <c r="P3647" s="27" t="s">
        <v>5377</v>
      </c>
      <c r="Q3647" s="26" t="str">
        <f>HYPERLINK("https://ictv.global/taxonomy/taxondetails?taxnode_id=202514825&amp;ictv_id=ICTV202214825","ICTV202214825")</f>
        <v>ICTV202214825</v>
      </c>
      <c r="R3647" t="s">
        <v>579</v>
      </c>
      <c r="S3647" t="s">
        <v>823</v>
      </c>
      <c r="T3647">
        <v>38</v>
      </c>
      <c r="U3647" s="26" t="str">
        <f>HYPERLINK("https://ictv.global/ictv/proposals/2022.073B.Schitoviridae_1nsf_9ng_30nsp.zip","2022.073B.Schitoviridae_1nsf_9ng_30nsp.zip")</f>
        <v>2022.073B.Schitoviridae_1nsf_9ng_30nsp.zip</v>
      </c>
    </row>
    <row r="3648" spans="1:21">
      <c r="A3648">
        <v>3647</v>
      </c>
      <c r="B3648" s="27" t="s">
        <v>1449</v>
      </c>
      <c r="D3648" s="27" t="s">
        <v>1450</v>
      </c>
      <c r="F3648" s="27" t="s">
        <v>1453</v>
      </c>
      <c r="H3648" s="27" t="s">
        <v>1454</v>
      </c>
      <c r="L3648" s="27" t="s">
        <v>2169</v>
      </c>
      <c r="M3648" s="27" t="s">
        <v>2180</v>
      </c>
      <c r="N3648" s="27" t="s">
        <v>1305</v>
      </c>
      <c r="P3648" s="27" t="s">
        <v>5378</v>
      </c>
      <c r="Q3648" s="26" t="str">
        <f>HYPERLINK("https://ictv.global/taxonomy/taxondetails?taxnode_id=202514826&amp;ictv_id=ICTV202214826","ICTV202214826")</f>
        <v>ICTV202214826</v>
      </c>
      <c r="R3648" t="s">
        <v>579</v>
      </c>
      <c r="S3648" t="s">
        <v>823</v>
      </c>
      <c r="T3648">
        <v>38</v>
      </c>
      <c r="U3648" s="26" t="str">
        <f>HYPERLINK("https://ictv.global/ictv/proposals/2022.073B.Schitoviridae_1nsf_9ng_30nsp.zip","2022.073B.Schitoviridae_1nsf_9ng_30nsp.zip")</f>
        <v>2022.073B.Schitoviridae_1nsf_9ng_30nsp.zip</v>
      </c>
    </row>
    <row r="3649" spans="1:21">
      <c r="A3649">
        <v>3648</v>
      </c>
      <c r="B3649" s="27" t="s">
        <v>1449</v>
      </c>
      <c r="D3649" s="27" t="s">
        <v>1450</v>
      </c>
      <c r="F3649" s="27" t="s">
        <v>1453</v>
      </c>
      <c r="H3649" s="27" t="s">
        <v>1454</v>
      </c>
      <c r="L3649" s="27" t="s">
        <v>2169</v>
      </c>
      <c r="M3649" s="27" t="s">
        <v>2180</v>
      </c>
      <c r="N3649" s="27" t="s">
        <v>1306</v>
      </c>
      <c r="P3649" s="27" t="s">
        <v>5379</v>
      </c>
      <c r="Q3649" s="26" t="str">
        <f>HYPERLINK("https://ictv.global/taxonomy/taxondetails?taxnode_id=202500669&amp;ictv_id=ICTV20164926","ICTV20164926")</f>
        <v>ICTV20164926</v>
      </c>
      <c r="R3649" t="s">
        <v>579</v>
      </c>
      <c r="S3649" t="s">
        <v>824</v>
      </c>
      <c r="T3649">
        <v>37</v>
      </c>
      <c r="U3649" s="26" t="str">
        <f t="shared" ref="U3649:U3656" si="138">HYPERLINK("https://ictv.global/ictv/proposals/2021.010B.R.Binomial_names.zip","2021.010B.R.Binomial_names.zip")</f>
        <v>2021.010B.R.Binomial_names.zip</v>
      </c>
    </row>
    <row r="3650" spans="1:21">
      <c r="A3650">
        <v>3649</v>
      </c>
      <c r="B3650" s="27" t="s">
        <v>1449</v>
      </c>
      <c r="D3650" s="27" t="s">
        <v>1450</v>
      </c>
      <c r="F3650" s="27" t="s">
        <v>1453</v>
      </c>
      <c r="H3650" s="27" t="s">
        <v>1454</v>
      </c>
      <c r="L3650" s="27" t="s">
        <v>2169</v>
      </c>
      <c r="M3650" s="27" t="s">
        <v>2180</v>
      </c>
      <c r="N3650" s="27" t="s">
        <v>1306</v>
      </c>
      <c r="P3650" s="27" t="s">
        <v>5380</v>
      </c>
      <c r="Q3650" s="26" t="str">
        <f>HYPERLINK("https://ictv.global/taxonomy/taxondetails?taxnode_id=202500670&amp;ictv_id=ICTV20164927","ICTV20164927")</f>
        <v>ICTV20164927</v>
      </c>
      <c r="R3650" t="s">
        <v>579</v>
      </c>
      <c r="S3650" t="s">
        <v>824</v>
      </c>
      <c r="T3650">
        <v>37</v>
      </c>
      <c r="U3650" s="26" t="str">
        <f t="shared" si="138"/>
        <v>2021.010B.R.Binomial_names.zip</v>
      </c>
    </row>
    <row r="3651" spans="1:21">
      <c r="A3651">
        <v>3650</v>
      </c>
      <c r="B3651" s="27" t="s">
        <v>1449</v>
      </c>
      <c r="D3651" s="27" t="s">
        <v>1450</v>
      </c>
      <c r="F3651" s="27" t="s">
        <v>1453</v>
      </c>
      <c r="H3651" s="27" t="s">
        <v>1454</v>
      </c>
      <c r="L3651" s="27" t="s">
        <v>2169</v>
      </c>
      <c r="M3651" s="27" t="s">
        <v>2181</v>
      </c>
      <c r="N3651" s="27" t="s">
        <v>2182</v>
      </c>
      <c r="P3651" s="27" t="s">
        <v>5381</v>
      </c>
      <c r="Q3651" s="26" t="str">
        <f>HYPERLINK("https://ictv.global/taxonomy/taxondetails?taxnode_id=202511786&amp;ictv_id=ICTV202011786","ICTV202011786")</f>
        <v>ICTV202011786</v>
      </c>
      <c r="R3651" t="s">
        <v>579</v>
      </c>
      <c r="S3651" t="s">
        <v>824</v>
      </c>
      <c r="T3651">
        <v>37</v>
      </c>
      <c r="U3651" s="26" t="str">
        <f t="shared" si="138"/>
        <v>2021.010B.R.Binomial_names.zip</v>
      </c>
    </row>
    <row r="3652" spans="1:21">
      <c r="A3652">
        <v>3651</v>
      </c>
      <c r="B3652" s="27" t="s">
        <v>1449</v>
      </c>
      <c r="D3652" s="27" t="s">
        <v>1450</v>
      </c>
      <c r="F3652" s="27" t="s">
        <v>1453</v>
      </c>
      <c r="H3652" s="27" t="s">
        <v>1454</v>
      </c>
      <c r="L3652" s="27" t="s">
        <v>2169</v>
      </c>
      <c r="M3652" s="27" t="s">
        <v>2181</v>
      </c>
      <c r="N3652" s="27" t="s">
        <v>2183</v>
      </c>
      <c r="P3652" s="27" t="s">
        <v>5382</v>
      </c>
      <c r="Q3652" s="26" t="str">
        <f>HYPERLINK("https://ictv.global/taxonomy/taxondetails?taxnode_id=202511788&amp;ictv_id=ICTV202011788","ICTV202011788")</f>
        <v>ICTV202011788</v>
      </c>
      <c r="R3652" t="s">
        <v>579</v>
      </c>
      <c r="S3652" t="s">
        <v>824</v>
      </c>
      <c r="T3652">
        <v>37</v>
      </c>
      <c r="U3652" s="26" t="str">
        <f t="shared" si="138"/>
        <v>2021.010B.R.Binomial_names.zip</v>
      </c>
    </row>
    <row r="3653" spans="1:21">
      <c r="A3653">
        <v>3652</v>
      </c>
      <c r="B3653" s="27" t="s">
        <v>1449</v>
      </c>
      <c r="D3653" s="27" t="s">
        <v>1450</v>
      </c>
      <c r="F3653" s="27" t="s">
        <v>1453</v>
      </c>
      <c r="H3653" s="27" t="s">
        <v>1454</v>
      </c>
      <c r="L3653" s="27" t="s">
        <v>2169</v>
      </c>
      <c r="M3653" s="27" t="s">
        <v>2181</v>
      </c>
      <c r="N3653" s="27" t="s">
        <v>2184</v>
      </c>
      <c r="P3653" s="27" t="s">
        <v>5383</v>
      </c>
      <c r="Q3653" s="26" t="str">
        <f>HYPERLINK("https://ictv.global/taxonomy/taxondetails?taxnode_id=202511784&amp;ictv_id=ICTV202011784","ICTV202011784")</f>
        <v>ICTV202011784</v>
      </c>
      <c r="R3653" t="s">
        <v>579</v>
      </c>
      <c r="S3653" t="s">
        <v>824</v>
      </c>
      <c r="T3653">
        <v>37</v>
      </c>
      <c r="U3653" s="26" t="str">
        <f t="shared" si="138"/>
        <v>2021.010B.R.Binomial_names.zip</v>
      </c>
    </row>
    <row r="3654" spans="1:21">
      <c r="A3654">
        <v>3653</v>
      </c>
      <c r="B3654" s="27" t="s">
        <v>1449</v>
      </c>
      <c r="D3654" s="27" t="s">
        <v>1450</v>
      </c>
      <c r="F3654" s="27" t="s">
        <v>1453</v>
      </c>
      <c r="H3654" s="27" t="s">
        <v>1454</v>
      </c>
      <c r="L3654" s="27" t="s">
        <v>2169</v>
      </c>
      <c r="M3654" s="27" t="s">
        <v>2185</v>
      </c>
      <c r="N3654" s="27" t="s">
        <v>2186</v>
      </c>
      <c r="P3654" s="27" t="s">
        <v>5384</v>
      </c>
      <c r="Q3654" s="26" t="str">
        <f>HYPERLINK("https://ictv.global/taxonomy/taxondetails?taxnode_id=202511797&amp;ictv_id=ICTV202011797","ICTV202011797")</f>
        <v>ICTV202011797</v>
      </c>
      <c r="R3654" t="s">
        <v>579</v>
      </c>
      <c r="S3654" t="s">
        <v>824</v>
      </c>
      <c r="T3654">
        <v>37</v>
      </c>
      <c r="U3654" s="26" t="str">
        <f t="shared" si="138"/>
        <v>2021.010B.R.Binomial_names.zip</v>
      </c>
    </row>
    <row r="3655" spans="1:21">
      <c r="A3655">
        <v>3654</v>
      </c>
      <c r="B3655" s="27" t="s">
        <v>1449</v>
      </c>
      <c r="D3655" s="27" t="s">
        <v>1450</v>
      </c>
      <c r="F3655" s="27" t="s">
        <v>1453</v>
      </c>
      <c r="H3655" s="27" t="s">
        <v>1454</v>
      </c>
      <c r="L3655" s="27" t="s">
        <v>2169</v>
      </c>
      <c r="M3655" s="27" t="s">
        <v>2185</v>
      </c>
      <c r="N3655" s="27" t="s">
        <v>2187</v>
      </c>
      <c r="P3655" s="27" t="s">
        <v>5385</v>
      </c>
      <c r="Q3655" s="26" t="str">
        <f>HYPERLINK("https://ictv.global/taxonomy/taxondetails?taxnode_id=202511801&amp;ictv_id=ICTV202011801","ICTV202011801")</f>
        <v>ICTV202011801</v>
      </c>
      <c r="R3655" t="s">
        <v>579</v>
      </c>
      <c r="S3655" t="s">
        <v>824</v>
      </c>
      <c r="T3655">
        <v>37</v>
      </c>
      <c r="U3655" s="26" t="str">
        <f t="shared" si="138"/>
        <v>2021.010B.R.Binomial_names.zip</v>
      </c>
    </row>
    <row r="3656" spans="1:21">
      <c r="A3656">
        <v>3655</v>
      </c>
      <c r="B3656" s="27" t="s">
        <v>1449</v>
      </c>
      <c r="D3656" s="27" t="s">
        <v>1450</v>
      </c>
      <c r="F3656" s="27" t="s">
        <v>1453</v>
      </c>
      <c r="H3656" s="27" t="s">
        <v>1454</v>
      </c>
      <c r="L3656" s="27" t="s">
        <v>2169</v>
      </c>
      <c r="M3656" s="27" t="s">
        <v>2185</v>
      </c>
      <c r="N3656" s="27" t="s">
        <v>2187</v>
      </c>
      <c r="P3656" s="27" t="s">
        <v>5386</v>
      </c>
      <c r="Q3656" s="26" t="str">
        <f>HYPERLINK("https://ictv.global/taxonomy/taxondetails?taxnode_id=202511802&amp;ictv_id=ICTV202011802","ICTV202011802")</f>
        <v>ICTV202011802</v>
      </c>
      <c r="R3656" t="s">
        <v>579</v>
      </c>
      <c r="S3656" t="s">
        <v>824</v>
      </c>
      <c r="T3656">
        <v>37</v>
      </c>
      <c r="U3656" s="26" t="str">
        <f t="shared" si="138"/>
        <v>2021.010B.R.Binomial_names.zip</v>
      </c>
    </row>
    <row r="3657" spans="1:21">
      <c r="A3657">
        <v>3656</v>
      </c>
      <c r="B3657" s="27" t="s">
        <v>1449</v>
      </c>
      <c r="D3657" s="27" t="s">
        <v>1450</v>
      </c>
      <c r="F3657" s="27" t="s">
        <v>1453</v>
      </c>
      <c r="H3657" s="27" t="s">
        <v>1454</v>
      </c>
      <c r="L3657" s="27" t="s">
        <v>2169</v>
      </c>
      <c r="M3657" s="27" t="s">
        <v>2185</v>
      </c>
      <c r="N3657" s="27" t="s">
        <v>22553</v>
      </c>
      <c r="P3657" s="27" t="s">
        <v>22554</v>
      </c>
      <c r="Q3657" s="26" t="str">
        <f>HYPERLINK("https://ictv.global/taxonomy/taxondetails?taxnode_id=202523155&amp;ictv_id=ICTV202523155","ICTV202523155")</f>
        <v>ICTV202523155</v>
      </c>
      <c r="R3657" t="s">
        <v>579</v>
      </c>
      <c r="S3657" t="s">
        <v>823</v>
      </c>
      <c r="T3657">
        <v>41</v>
      </c>
      <c r="U3657" s="26" t="str">
        <f>HYPERLINK("https://ictv.global/ictv/proposals/2025.072B.Schitoviridae_4_nsf_16ng_78_ns.zip","2025.072B.Schitoviridae_4_nsf_16ng_78_ns.zip")</f>
        <v>2025.072B.Schitoviridae_4_nsf_16ng_78_ns.zip</v>
      </c>
    </row>
    <row r="3658" spans="1:21">
      <c r="A3658">
        <v>3657</v>
      </c>
      <c r="B3658" s="27" t="s">
        <v>1449</v>
      </c>
      <c r="D3658" s="27" t="s">
        <v>1450</v>
      </c>
      <c r="F3658" s="27" t="s">
        <v>1453</v>
      </c>
      <c r="H3658" s="27" t="s">
        <v>1454</v>
      </c>
      <c r="L3658" s="27" t="s">
        <v>2169</v>
      </c>
      <c r="M3658" s="27" t="s">
        <v>2185</v>
      </c>
      <c r="N3658" s="27" t="s">
        <v>1286</v>
      </c>
      <c r="P3658" s="27" t="s">
        <v>5387</v>
      </c>
      <c r="Q3658" s="26" t="str">
        <f>HYPERLINK("https://ictv.global/taxonomy/taxondetails?taxnode_id=202505488&amp;ictv_id=ICTV20175488","ICTV20175488")</f>
        <v>ICTV20175488</v>
      </c>
      <c r="R3658" t="s">
        <v>579</v>
      </c>
      <c r="S3658" t="s">
        <v>824</v>
      </c>
      <c r="T3658">
        <v>37</v>
      </c>
      <c r="U3658" s="26" t="str">
        <f>HYPERLINK("https://ictv.global/ictv/proposals/2021.010B.R.Binomial_names.zip","2021.010B.R.Binomial_names.zip")</f>
        <v>2021.010B.R.Binomial_names.zip</v>
      </c>
    </row>
    <row r="3659" spans="1:21">
      <c r="A3659">
        <v>3658</v>
      </c>
      <c r="B3659" s="27" t="s">
        <v>1449</v>
      </c>
      <c r="D3659" s="27" t="s">
        <v>1450</v>
      </c>
      <c r="F3659" s="27" t="s">
        <v>1453</v>
      </c>
      <c r="H3659" s="27" t="s">
        <v>1454</v>
      </c>
      <c r="L3659" s="27" t="s">
        <v>2169</v>
      </c>
      <c r="M3659" s="27" t="s">
        <v>2185</v>
      </c>
      <c r="N3659" s="27" t="s">
        <v>5388</v>
      </c>
      <c r="P3659" s="27" t="s">
        <v>5389</v>
      </c>
      <c r="Q3659" s="26" t="str">
        <f>HYPERLINK("https://ictv.global/taxonomy/taxondetails?taxnode_id=202514822&amp;ictv_id=ICTV202214822","ICTV202214822")</f>
        <v>ICTV202214822</v>
      </c>
      <c r="R3659" t="s">
        <v>579</v>
      </c>
      <c r="S3659" t="s">
        <v>823</v>
      </c>
      <c r="T3659">
        <v>38</v>
      </c>
      <c r="U3659" s="26" t="str">
        <f>HYPERLINK("https://ictv.global/ictv/proposals/2022.073B.Schitoviridae_1nsf_9ng_30nsp.zip","2022.073B.Schitoviridae_1nsf_9ng_30nsp.zip")</f>
        <v>2022.073B.Schitoviridae_1nsf_9ng_30nsp.zip</v>
      </c>
    </row>
    <row r="3660" spans="1:21">
      <c r="A3660">
        <v>3659</v>
      </c>
      <c r="B3660" s="27" t="s">
        <v>1449</v>
      </c>
      <c r="D3660" s="27" t="s">
        <v>1450</v>
      </c>
      <c r="F3660" s="27" t="s">
        <v>1453</v>
      </c>
      <c r="H3660" s="27" t="s">
        <v>1454</v>
      </c>
      <c r="L3660" s="27" t="s">
        <v>2169</v>
      </c>
      <c r="M3660" s="27" t="s">
        <v>2185</v>
      </c>
      <c r="N3660" s="27" t="s">
        <v>2188</v>
      </c>
      <c r="P3660" s="27" t="s">
        <v>5390</v>
      </c>
      <c r="Q3660" s="26" t="str">
        <f>HYPERLINK("https://ictv.global/taxonomy/taxondetails?taxnode_id=202511791&amp;ictv_id=ICTV202011791","ICTV202011791")</f>
        <v>ICTV202011791</v>
      </c>
      <c r="R3660" t="s">
        <v>579</v>
      </c>
      <c r="S3660" t="s">
        <v>824</v>
      </c>
      <c r="T3660">
        <v>37</v>
      </c>
      <c r="U3660" s="26" t="str">
        <f t="shared" ref="U3660:U3671" si="139">HYPERLINK("https://ictv.global/ictv/proposals/2021.010B.R.Binomial_names.zip","2021.010B.R.Binomial_names.zip")</f>
        <v>2021.010B.R.Binomial_names.zip</v>
      </c>
    </row>
    <row r="3661" spans="1:21">
      <c r="A3661">
        <v>3660</v>
      </c>
      <c r="B3661" s="27" t="s">
        <v>1449</v>
      </c>
      <c r="D3661" s="27" t="s">
        <v>1450</v>
      </c>
      <c r="F3661" s="27" t="s">
        <v>1453</v>
      </c>
      <c r="H3661" s="27" t="s">
        <v>1454</v>
      </c>
      <c r="L3661" s="27" t="s">
        <v>2169</v>
      </c>
      <c r="M3661" s="27" t="s">
        <v>2185</v>
      </c>
      <c r="N3661" s="27" t="s">
        <v>2189</v>
      </c>
      <c r="P3661" s="27" t="s">
        <v>5391</v>
      </c>
      <c r="Q3661" s="26" t="str">
        <f>HYPERLINK("https://ictv.global/taxonomy/taxondetails?taxnode_id=202511795&amp;ictv_id=ICTV202011795","ICTV202011795")</f>
        <v>ICTV202011795</v>
      </c>
      <c r="R3661" t="s">
        <v>579</v>
      </c>
      <c r="S3661" t="s">
        <v>824</v>
      </c>
      <c r="T3661">
        <v>37</v>
      </c>
      <c r="U3661" s="26" t="str">
        <f t="shared" si="139"/>
        <v>2021.010B.R.Binomial_names.zip</v>
      </c>
    </row>
    <row r="3662" spans="1:21">
      <c r="A3662">
        <v>3661</v>
      </c>
      <c r="B3662" s="27" t="s">
        <v>1449</v>
      </c>
      <c r="D3662" s="27" t="s">
        <v>1450</v>
      </c>
      <c r="F3662" s="27" t="s">
        <v>1453</v>
      </c>
      <c r="H3662" s="27" t="s">
        <v>1454</v>
      </c>
      <c r="L3662" s="27" t="s">
        <v>2169</v>
      </c>
      <c r="M3662" s="27" t="s">
        <v>2185</v>
      </c>
      <c r="N3662" s="27" t="s">
        <v>2190</v>
      </c>
      <c r="P3662" s="27" t="s">
        <v>5392</v>
      </c>
      <c r="Q3662" s="26" t="str">
        <f>HYPERLINK("https://ictv.global/taxonomy/taxondetails?taxnode_id=202511799&amp;ictv_id=ICTV202011799","ICTV202011799")</f>
        <v>ICTV202011799</v>
      </c>
      <c r="R3662" t="s">
        <v>579</v>
      </c>
      <c r="S3662" t="s">
        <v>824</v>
      </c>
      <c r="T3662">
        <v>37</v>
      </c>
      <c r="U3662" s="26" t="str">
        <f t="shared" si="139"/>
        <v>2021.010B.R.Binomial_names.zip</v>
      </c>
    </row>
    <row r="3663" spans="1:21">
      <c r="A3663">
        <v>3662</v>
      </c>
      <c r="B3663" s="27" t="s">
        <v>1449</v>
      </c>
      <c r="D3663" s="27" t="s">
        <v>1450</v>
      </c>
      <c r="F3663" s="27" t="s">
        <v>1453</v>
      </c>
      <c r="H3663" s="27" t="s">
        <v>1454</v>
      </c>
      <c r="L3663" s="27" t="s">
        <v>2169</v>
      </c>
      <c r="M3663" s="27" t="s">
        <v>2185</v>
      </c>
      <c r="N3663" s="27" t="s">
        <v>2191</v>
      </c>
      <c r="P3663" s="27" t="s">
        <v>5393</v>
      </c>
      <c r="Q3663" s="26" t="str">
        <f>HYPERLINK("https://ictv.global/taxonomy/taxondetails?taxnode_id=202511793&amp;ictv_id=ICTV202011793","ICTV202011793")</f>
        <v>ICTV202011793</v>
      </c>
      <c r="R3663" t="s">
        <v>579</v>
      </c>
      <c r="S3663" t="s">
        <v>824</v>
      </c>
      <c r="T3663">
        <v>37</v>
      </c>
      <c r="U3663" s="26" t="str">
        <f t="shared" si="139"/>
        <v>2021.010B.R.Binomial_names.zip</v>
      </c>
    </row>
    <row r="3664" spans="1:21">
      <c r="A3664">
        <v>3663</v>
      </c>
      <c r="B3664" s="27" t="s">
        <v>1449</v>
      </c>
      <c r="D3664" s="27" t="s">
        <v>1450</v>
      </c>
      <c r="F3664" s="27" t="s">
        <v>1453</v>
      </c>
      <c r="H3664" s="27" t="s">
        <v>1454</v>
      </c>
      <c r="L3664" s="27" t="s">
        <v>2169</v>
      </c>
      <c r="M3664" s="27" t="s">
        <v>2192</v>
      </c>
      <c r="N3664" s="27" t="s">
        <v>2193</v>
      </c>
      <c r="P3664" s="27" t="s">
        <v>5394</v>
      </c>
      <c r="Q3664" s="26" t="str">
        <f>HYPERLINK("https://ictv.global/taxonomy/taxondetails?taxnode_id=202511810&amp;ictv_id=ICTV202011810","ICTV202011810")</f>
        <v>ICTV202011810</v>
      </c>
      <c r="R3664" t="s">
        <v>579</v>
      </c>
      <c r="S3664" t="s">
        <v>824</v>
      </c>
      <c r="T3664">
        <v>37</v>
      </c>
      <c r="U3664" s="26" t="str">
        <f t="shared" si="139"/>
        <v>2021.010B.R.Binomial_names.zip</v>
      </c>
    </row>
    <row r="3665" spans="1:21">
      <c r="A3665">
        <v>3664</v>
      </c>
      <c r="B3665" s="27" t="s">
        <v>1449</v>
      </c>
      <c r="D3665" s="27" t="s">
        <v>1450</v>
      </c>
      <c r="F3665" s="27" t="s">
        <v>1453</v>
      </c>
      <c r="H3665" s="27" t="s">
        <v>1454</v>
      </c>
      <c r="L3665" s="27" t="s">
        <v>2169</v>
      </c>
      <c r="M3665" s="27" t="s">
        <v>2192</v>
      </c>
      <c r="N3665" s="27" t="s">
        <v>2193</v>
      </c>
      <c r="P3665" s="27" t="s">
        <v>5395</v>
      </c>
      <c r="Q3665" s="26" t="str">
        <f>HYPERLINK("https://ictv.global/taxonomy/taxondetails?taxnode_id=202511811&amp;ictv_id=ICTV202011811","ICTV202011811")</f>
        <v>ICTV202011811</v>
      </c>
      <c r="R3665" t="s">
        <v>579</v>
      </c>
      <c r="S3665" t="s">
        <v>824</v>
      </c>
      <c r="T3665">
        <v>37</v>
      </c>
      <c r="U3665" s="26" t="str">
        <f t="shared" si="139"/>
        <v>2021.010B.R.Binomial_names.zip</v>
      </c>
    </row>
    <row r="3666" spans="1:21">
      <c r="A3666">
        <v>3665</v>
      </c>
      <c r="B3666" s="27" t="s">
        <v>1449</v>
      </c>
      <c r="D3666" s="27" t="s">
        <v>1450</v>
      </c>
      <c r="F3666" s="27" t="s">
        <v>1453</v>
      </c>
      <c r="H3666" s="27" t="s">
        <v>1454</v>
      </c>
      <c r="L3666" s="27" t="s">
        <v>2169</v>
      </c>
      <c r="M3666" s="27" t="s">
        <v>2192</v>
      </c>
      <c r="N3666" s="27" t="s">
        <v>2193</v>
      </c>
      <c r="P3666" s="27" t="s">
        <v>5396</v>
      </c>
      <c r="Q3666" s="26" t="str">
        <f>HYPERLINK("https://ictv.global/taxonomy/taxondetails?taxnode_id=202511812&amp;ictv_id=ICTV202011812","ICTV202011812")</f>
        <v>ICTV202011812</v>
      </c>
      <c r="R3666" t="s">
        <v>579</v>
      </c>
      <c r="S3666" t="s">
        <v>824</v>
      </c>
      <c r="T3666">
        <v>37</v>
      </c>
      <c r="U3666" s="26" t="str">
        <f t="shared" si="139"/>
        <v>2021.010B.R.Binomial_names.zip</v>
      </c>
    </row>
    <row r="3667" spans="1:21">
      <c r="A3667">
        <v>3666</v>
      </c>
      <c r="B3667" s="27" t="s">
        <v>1449</v>
      </c>
      <c r="D3667" s="27" t="s">
        <v>1450</v>
      </c>
      <c r="F3667" s="27" t="s">
        <v>1453</v>
      </c>
      <c r="H3667" s="27" t="s">
        <v>1454</v>
      </c>
      <c r="L3667" s="27" t="s">
        <v>2169</v>
      </c>
      <c r="M3667" s="27" t="s">
        <v>2192</v>
      </c>
      <c r="N3667" s="27" t="s">
        <v>2193</v>
      </c>
      <c r="P3667" s="27" t="s">
        <v>5397</v>
      </c>
      <c r="Q3667" s="26" t="str">
        <f>HYPERLINK("https://ictv.global/taxonomy/taxondetails?taxnode_id=202511813&amp;ictv_id=ICTV202011813","ICTV202011813")</f>
        <v>ICTV202011813</v>
      </c>
      <c r="R3667" t="s">
        <v>579</v>
      </c>
      <c r="S3667" t="s">
        <v>824</v>
      </c>
      <c r="T3667">
        <v>37</v>
      </c>
      <c r="U3667" s="26" t="str">
        <f t="shared" si="139"/>
        <v>2021.010B.R.Binomial_names.zip</v>
      </c>
    </row>
    <row r="3668" spans="1:21">
      <c r="A3668">
        <v>3667</v>
      </c>
      <c r="B3668" s="27" t="s">
        <v>1449</v>
      </c>
      <c r="D3668" s="27" t="s">
        <v>1450</v>
      </c>
      <c r="F3668" s="27" t="s">
        <v>1453</v>
      </c>
      <c r="H3668" s="27" t="s">
        <v>1454</v>
      </c>
      <c r="L3668" s="27" t="s">
        <v>2169</v>
      </c>
      <c r="M3668" s="27" t="s">
        <v>2192</v>
      </c>
      <c r="N3668" s="27" t="s">
        <v>2194</v>
      </c>
      <c r="P3668" s="27" t="s">
        <v>5398</v>
      </c>
      <c r="Q3668" s="26" t="str">
        <f>HYPERLINK("https://ictv.global/taxonomy/taxondetails?taxnode_id=202511808&amp;ictv_id=ICTV202011808","ICTV202011808")</f>
        <v>ICTV202011808</v>
      </c>
      <c r="R3668" t="s">
        <v>579</v>
      </c>
      <c r="S3668" t="s">
        <v>824</v>
      </c>
      <c r="T3668">
        <v>37</v>
      </c>
      <c r="U3668" s="26" t="str">
        <f t="shared" si="139"/>
        <v>2021.010B.R.Binomial_names.zip</v>
      </c>
    </row>
    <row r="3669" spans="1:21">
      <c r="A3669">
        <v>3668</v>
      </c>
      <c r="B3669" s="27" t="s">
        <v>1449</v>
      </c>
      <c r="D3669" s="27" t="s">
        <v>1450</v>
      </c>
      <c r="F3669" s="27" t="s">
        <v>1453</v>
      </c>
      <c r="H3669" s="27" t="s">
        <v>1454</v>
      </c>
      <c r="L3669" s="27" t="s">
        <v>2169</v>
      </c>
      <c r="M3669" s="27" t="s">
        <v>2192</v>
      </c>
      <c r="N3669" s="27" t="s">
        <v>831</v>
      </c>
      <c r="P3669" s="27" t="s">
        <v>5399</v>
      </c>
      <c r="Q3669" s="26" t="str">
        <f>HYPERLINK("https://ictv.global/taxonomy/taxondetails?taxnode_id=202505491&amp;ictv_id=ICTV20175491","ICTV20175491")</f>
        <v>ICTV20175491</v>
      </c>
      <c r="R3669" t="s">
        <v>579</v>
      </c>
      <c r="S3669" t="s">
        <v>824</v>
      </c>
      <c r="T3669">
        <v>37</v>
      </c>
      <c r="U3669" s="26" t="str">
        <f t="shared" si="139"/>
        <v>2021.010B.R.Binomial_names.zip</v>
      </c>
    </row>
    <row r="3670" spans="1:21">
      <c r="A3670">
        <v>3669</v>
      </c>
      <c r="B3670" s="27" t="s">
        <v>1449</v>
      </c>
      <c r="D3670" s="27" t="s">
        <v>1450</v>
      </c>
      <c r="F3670" s="27" t="s">
        <v>1453</v>
      </c>
      <c r="H3670" s="27" t="s">
        <v>1454</v>
      </c>
      <c r="L3670" s="27" t="s">
        <v>2169</v>
      </c>
      <c r="M3670" s="27" t="s">
        <v>2192</v>
      </c>
      <c r="N3670" s="27" t="s">
        <v>2195</v>
      </c>
      <c r="P3670" s="27" t="s">
        <v>5400</v>
      </c>
      <c r="Q3670" s="26" t="str">
        <f>HYPERLINK("https://ictv.global/taxonomy/taxondetails?taxnode_id=202511805&amp;ictv_id=ICTV202011805","ICTV202011805")</f>
        <v>ICTV202011805</v>
      </c>
      <c r="R3670" t="s">
        <v>579</v>
      </c>
      <c r="S3670" t="s">
        <v>824</v>
      </c>
      <c r="T3670">
        <v>37</v>
      </c>
      <c r="U3670" s="26" t="str">
        <f t="shared" si="139"/>
        <v>2021.010B.R.Binomial_names.zip</v>
      </c>
    </row>
    <row r="3671" spans="1:21">
      <c r="A3671">
        <v>3670</v>
      </c>
      <c r="B3671" s="27" t="s">
        <v>1449</v>
      </c>
      <c r="D3671" s="27" t="s">
        <v>1450</v>
      </c>
      <c r="F3671" s="27" t="s">
        <v>1453</v>
      </c>
      <c r="H3671" s="27" t="s">
        <v>1454</v>
      </c>
      <c r="L3671" s="27" t="s">
        <v>2169</v>
      </c>
      <c r="M3671" s="27" t="s">
        <v>2192</v>
      </c>
      <c r="N3671" s="27" t="s">
        <v>2195</v>
      </c>
      <c r="P3671" s="27" t="s">
        <v>5401</v>
      </c>
      <c r="Q3671" s="26" t="str">
        <f>HYPERLINK("https://ictv.global/taxonomy/taxondetails?taxnode_id=202511806&amp;ictv_id=ICTV202011806","ICTV202011806")</f>
        <v>ICTV202011806</v>
      </c>
      <c r="R3671" t="s">
        <v>579</v>
      </c>
      <c r="S3671" t="s">
        <v>824</v>
      </c>
      <c r="T3671">
        <v>37</v>
      </c>
      <c r="U3671" s="26" t="str">
        <f t="shared" si="139"/>
        <v>2021.010B.R.Binomial_names.zip</v>
      </c>
    </row>
    <row r="3672" spans="1:21">
      <c r="A3672">
        <v>3671</v>
      </c>
      <c r="B3672" s="27" t="s">
        <v>1449</v>
      </c>
      <c r="D3672" s="27" t="s">
        <v>1450</v>
      </c>
      <c r="F3672" s="27" t="s">
        <v>1453</v>
      </c>
      <c r="H3672" s="27" t="s">
        <v>1454</v>
      </c>
      <c r="L3672" s="27" t="s">
        <v>2169</v>
      </c>
      <c r="M3672" s="27" t="s">
        <v>20906</v>
      </c>
      <c r="N3672" s="27" t="s">
        <v>2196</v>
      </c>
      <c r="P3672" s="27" t="s">
        <v>5404</v>
      </c>
      <c r="Q3672" s="26" t="str">
        <f>HYPERLINK("https://ictv.global/taxonomy/taxondetails?taxnode_id=202511818&amp;ictv_id=ICTV202011818","ICTV202011818")</f>
        <v>ICTV202011818</v>
      </c>
      <c r="R3672" t="s">
        <v>579</v>
      </c>
      <c r="S3672" t="s">
        <v>22763</v>
      </c>
      <c r="T3672">
        <v>41</v>
      </c>
      <c r="U3672" s="26" t="str">
        <f t="shared" ref="U3672:U3692" si="140">HYPERLINK("https://ictv.global/ictv/proposals/2025.072B.Schitoviridae_4_nsf_16ng_78_ns.zip","2025.072B.Schitoviridae_4_nsf_16ng_78_ns.zip")</f>
        <v>2025.072B.Schitoviridae_4_nsf_16ng_78_ns.zip</v>
      </c>
    </row>
    <row r="3673" spans="1:21">
      <c r="A3673">
        <v>3672</v>
      </c>
      <c r="B3673" s="27" t="s">
        <v>1449</v>
      </c>
      <c r="D3673" s="27" t="s">
        <v>1450</v>
      </c>
      <c r="F3673" s="27" t="s">
        <v>1453</v>
      </c>
      <c r="H3673" s="27" t="s">
        <v>1454</v>
      </c>
      <c r="L3673" s="27" t="s">
        <v>2169</v>
      </c>
      <c r="M3673" s="27" t="s">
        <v>20906</v>
      </c>
      <c r="N3673" s="27" t="s">
        <v>2196</v>
      </c>
      <c r="P3673" s="27" t="s">
        <v>5405</v>
      </c>
      <c r="Q3673" s="26" t="str">
        <f>HYPERLINK("https://ictv.global/taxonomy/taxondetails?taxnode_id=202511815&amp;ictv_id=ICTV202011815","ICTV202011815")</f>
        <v>ICTV202011815</v>
      </c>
      <c r="R3673" t="s">
        <v>579</v>
      </c>
      <c r="S3673" t="s">
        <v>22763</v>
      </c>
      <c r="T3673">
        <v>41</v>
      </c>
      <c r="U3673" s="26" t="str">
        <f t="shared" si="140"/>
        <v>2025.072B.Schitoviridae_4_nsf_16ng_78_ns.zip</v>
      </c>
    </row>
    <row r="3674" spans="1:21">
      <c r="A3674">
        <v>3673</v>
      </c>
      <c r="B3674" s="27" t="s">
        <v>1449</v>
      </c>
      <c r="D3674" s="27" t="s">
        <v>1450</v>
      </c>
      <c r="F3674" s="27" t="s">
        <v>1453</v>
      </c>
      <c r="H3674" s="27" t="s">
        <v>1454</v>
      </c>
      <c r="L3674" s="27" t="s">
        <v>2169</v>
      </c>
      <c r="M3674" s="27" t="s">
        <v>20906</v>
      </c>
      <c r="N3674" s="27" t="s">
        <v>2196</v>
      </c>
      <c r="P3674" s="27" t="s">
        <v>5406</v>
      </c>
      <c r="Q3674" s="26" t="str">
        <f>HYPERLINK("https://ictv.global/taxonomy/taxondetails?taxnode_id=202511816&amp;ictv_id=ICTV202011816","ICTV202011816")</f>
        <v>ICTV202011816</v>
      </c>
      <c r="R3674" t="s">
        <v>579</v>
      </c>
      <c r="S3674" t="s">
        <v>22763</v>
      </c>
      <c r="T3674">
        <v>41</v>
      </c>
      <c r="U3674" s="26" t="str">
        <f t="shared" si="140"/>
        <v>2025.072B.Schitoviridae_4_nsf_16ng_78_ns.zip</v>
      </c>
    </row>
    <row r="3675" spans="1:21">
      <c r="A3675">
        <v>3674</v>
      </c>
      <c r="B3675" s="27" t="s">
        <v>1449</v>
      </c>
      <c r="D3675" s="27" t="s">
        <v>1450</v>
      </c>
      <c r="F3675" s="27" t="s">
        <v>1453</v>
      </c>
      <c r="H3675" s="27" t="s">
        <v>1454</v>
      </c>
      <c r="L3675" s="27" t="s">
        <v>2169</v>
      </c>
      <c r="M3675" s="27" t="s">
        <v>20906</v>
      </c>
      <c r="N3675" s="27" t="s">
        <v>2196</v>
      </c>
      <c r="P3675" s="27" t="s">
        <v>5407</v>
      </c>
      <c r="Q3675" s="26" t="str">
        <f>HYPERLINK("https://ictv.global/taxonomy/taxondetails?taxnode_id=202514824&amp;ictv_id=ICTV202214824","ICTV202214824")</f>
        <v>ICTV202214824</v>
      </c>
      <c r="R3675" t="s">
        <v>579</v>
      </c>
      <c r="S3675" t="s">
        <v>22763</v>
      </c>
      <c r="T3675">
        <v>41</v>
      </c>
      <c r="U3675" s="26" t="str">
        <f t="shared" si="140"/>
        <v>2025.072B.Schitoviridae_4_nsf_16ng_78_ns.zip</v>
      </c>
    </row>
    <row r="3676" spans="1:21">
      <c r="A3676">
        <v>3675</v>
      </c>
      <c r="B3676" s="27" t="s">
        <v>1449</v>
      </c>
      <c r="D3676" s="27" t="s">
        <v>1450</v>
      </c>
      <c r="F3676" s="27" t="s">
        <v>1453</v>
      </c>
      <c r="H3676" s="27" t="s">
        <v>1454</v>
      </c>
      <c r="L3676" s="27" t="s">
        <v>2169</v>
      </c>
      <c r="M3676" s="27" t="s">
        <v>20906</v>
      </c>
      <c r="N3676" s="27" t="s">
        <v>2196</v>
      </c>
      <c r="P3676" s="27" t="s">
        <v>5408</v>
      </c>
      <c r="Q3676" s="26" t="str">
        <f>HYPERLINK("https://ictv.global/taxonomy/taxondetails?taxnode_id=202511817&amp;ictv_id=ICTV202011817","ICTV202011817")</f>
        <v>ICTV202011817</v>
      </c>
      <c r="R3676" t="s">
        <v>579</v>
      </c>
      <c r="S3676" t="s">
        <v>22763</v>
      </c>
      <c r="T3676">
        <v>41</v>
      </c>
      <c r="U3676" s="26" t="str">
        <f t="shared" si="140"/>
        <v>2025.072B.Schitoviridae_4_nsf_16ng_78_ns.zip</v>
      </c>
    </row>
    <row r="3677" spans="1:21">
      <c r="A3677">
        <v>3676</v>
      </c>
      <c r="B3677" s="27" t="s">
        <v>1449</v>
      </c>
      <c r="D3677" s="27" t="s">
        <v>1450</v>
      </c>
      <c r="F3677" s="27" t="s">
        <v>1453</v>
      </c>
      <c r="H3677" s="27" t="s">
        <v>1454</v>
      </c>
      <c r="L3677" s="27" t="s">
        <v>2169</v>
      </c>
      <c r="M3677" s="27" t="s">
        <v>20906</v>
      </c>
      <c r="N3677" s="27" t="s">
        <v>2196</v>
      </c>
      <c r="P3677" s="27" t="s">
        <v>5409</v>
      </c>
      <c r="Q3677" s="26" t="str">
        <f>HYPERLINK("https://ictv.global/taxonomy/taxondetails?taxnode_id=202514823&amp;ictv_id=ICTV202214823","ICTV202214823")</f>
        <v>ICTV202214823</v>
      </c>
      <c r="R3677" t="s">
        <v>579</v>
      </c>
      <c r="S3677" t="s">
        <v>22763</v>
      </c>
      <c r="T3677">
        <v>41</v>
      </c>
      <c r="U3677" s="26" t="str">
        <f t="shared" si="140"/>
        <v>2025.072B.Schitoviridae_4_nsf_16ng_78_ns.zip</v>
      </c>
    </row>
    <row r="3678" spans="1:21">
      <c r="A3678">
        <v>3677</v>
      </c>
      <c r="B3678" s="27" t="s">
        <v>1449</v>
      </c>
      <c r="D3678" s="27" t="s">
        <v>1450</v>
      </c>
      <c r="F3678" s="27" t="s">
        <v>1453</v>
      </c>
      <c r="H3678" s="27" t="s">
        <v>1454</v>
      </c>
      <c r="L3678" s="27" t="s">
        <v>2169</v>
      </c>
      <c r="M3678" s="27" t="s">
        <v>20906</v>
      </c>
      <c r="N3678" s="27" t="s">
        <v>5412</v>
      </c>
      <c r="P3678" s="27" t="s">
        <v>22540</v>
      </c>
      <c r="Q3678" s="26" t="str">
        <f>HYPERLINK("https://ictv.global/taxonomy/taxondetails?taxnode_id=202523145&amp;ictv_id=ICTV202523145","ICTV202523145")</f>
        <v>ICTV202523145</v>
      </c>
      <c r="R3678" t="s">
        <v>579</v>
      </c>
      <c r="S3678" t="s">
        <v>823</v>
      </c>
      <c r="T3678">
        <v>41</v>
      </c>
      <c r="U3678" s="26" t="str">
        <f t="shared" si="140"/>
        <v>2025.072B.Schitoviridae_4_nsf_16ng_78_ns.zip</v>
      </c>
    </row>
    <row r="3679" spans="1:21">
      <c r="A3679">
        <v>3678</v>
      </c>
      <c r="B3679" s="27" t="s">
        <v>1449</v>
      </c>
      <c r="D3679" s="27" t="s">
        <v>1450</v>
      </c>
      <c r="F3679" s="27" t="s">
        <v>1453</v>
      </c>
      <c r="H3679" s="27" t="s">
        <v>1454</v>
      </c>
      <c r="L3679" s="27" t="s">
        <v>2169</v>
      </c>
      <c r="M3679" s="27" t="s">
        <v>20906</v>
      </c>
      <c r="N3679" s="27" t="s">
        <v>5412</v>
      </c>
      <c r="P3679" s="27" t="s">
        <v>22544</v>
      </c>
      <c r="Q3679" s="26" t="str">
        <f>HYPERLINK("https://ictv.global/taxonomy/taxondetails?taxnode_id=202523149&amp;ictv_id=ICTV202523149","ICTV202523149")</f>
        <v>ICTV202523149</v>
      </c>
      <c r="R3679" t="s">
        <v>579</v>
      </c>
      <c r="S3679" t="s">
        <v>823</v>
      </c>
      <c r="T3679">
        <v>41</v>
      </c>
      <c r="U3679" s="26" t="str">
        <f t="shared" si="140"/>
        <v>2025.072B.Schitoviridae_4_nsf_16ng_78_ns.zip</v>
      </c>
    </row>
    <row r="3680" spans="1:21">
      <c r="A3680">
        <v>3679</v>
      </c>
      <c r="B3680" s="27" t="s">
        <v>1449</v>
      </c>
      <c r="D3680" s="27" t="s">
        <v>1450</v>
      </c>
      <c r="F3680" s="27" t="s">
        <v>1453</v>
      </c>
      <c r="H3680" s="27" t="s">
        <v>1454</v>
      </c>
      <c r="L3680" s="27" t="s">
        <v>2169</v>
      </c>
      <c r="M3680" s="27" t="s">
        <v>20906</v>
      </c>
      <c r="N3680" s="27" t="s">
        <v>5412</v>
      </c>
      <c r="P3680" s="27" t="s">
        <v>22542</v>
      </c>
      <c r="Q3680" s="26" t="str">
        <f>HYPERLINK("https://ictv.global/taxonomy/taxondetails?taxnode_id=202523147&amp;ictv_id=ICTV202523147","ICTV202523147")</f>
        <v>ICTV202523147</v>
      </c>
      <c r="R3680" t="s">
        <v>579</v>
      </c>
      <c r="S3680" t="s">
        <v>823</v>
      </c>
      <c r="T3680">
        <v>41</v>
      </c>
      <c r="U3680" s="26" t="str">
        <f t="shared" si="140"/>
        <v>2025.072B.Schitoviridae_4_nsf_16ng_78_ns.zip</v>
      </c>
    </row>
    <row r="3681" spans="1:21">
      <c r="A3681">
        <v>3680</v>
      </c>
      <c r="B3681" s="27" t="s">
        <v>1449</v>
      </c>
      <c r="D3681" s="27" t="s">
        <v>1450</v>
      </c>
      <c r="F3681" s="27" t="s">
        <v>1453</v>
      </c>
      <c r="H3681" s="27" t="s">
        <v>1454</v>
      </c>
      <c r="L3681" s="27" t="s">
        <v>2169</v>
      </c>
      <c r="M3681" s="27" t="s">
        <v>20906</v>
      </c>
      <c r="N3681" s="27" t="s">
        <v>5412</v>
      </c>
      <c r="P3681" s="27" t="s">
        <v>5413</v>
      </c>
      <c r="Q3681" s="26" t="str">
        <f>HYPERLINK("https://ictv.global/taxonomy/taxondetails?taxnode_id=202512917&amp;ictv_id=ICTV202112917","ICTV202112917")</f>
        <v>ICTV202112917</v>
      </c>
      <c r="R3681" t="s">
        <v>579</v>
      </c>
      <c r="S3681" t="s">
        <v>22763</v>
      </c>
      <c r="T3681">
        <v>41</v>
      </c>
      <c r="U3681" s="26" t="str">
        <f t="shared" si="140"/>
        <v>2025.072B.Schitoviridae_4_nsf_16ng_78_ns.zip</v>
      </c>
    </row>
    <row r="3682" spans="1:21">
      <c r="A3682">
        <v>3681</v>
      </c>
      <c r="B3682" s="27" t="s">
        <v>1449</v>
      </c>
      <c r="D3682" s="27" t="s">
        <v>1450</v>
      </c>
      <c r="F3682" s="27" t="s">
        <v>1453</v>
      </c>
      <c r="H3682" s="27" t="s">
        <v>1454</v>
      </c>
      <c r="L3682" s="27" t="s">
        <v>2169</v>
      </c>
      <c r="M3682" s="27" t="s">
        <v>20906</v>
      </c>
      <c r="N3682" s="27" t="s">
        <v>5412</v>
      </c>
      <c r="P3682" s="27" t="s">
        <v>22546</v>
      </c>
      <c r="Q3682" s="26" t="str">
        <f>HYPERLINK("https://ictv.global/taxonomy/taxondetails?taxnode_id=202523151&amp;ictv_id=ICTV202523151","ICTV202523151")</f>
        <v>ICTV202523151</v>
      </c>
      <c r="R3682" t="s">
        <v>579</v>
      </c>
      <c r="S3682" t="s">
        <v>823</v>
      </c>
      <c r="T3682">
        <v>41</v>
      </c>
      <c r="U3682" s="26" t="str">
        <f t="shared" si="140"/>
        <v>2025.072B.Schitoviridae_4_nsf_16ng_78_ns.zip</v>
      </c>
    </row>
    <row r="3683" spans="1:21">
      <c r="A3683">
        <v>3682</v>
      </c>
      <c r="B3683" s="27" t="s">
        <v>1449</v>
      </c>
      <c r="D3683" s="27" t="s">
        <v>1450</v>
      </c>
      <c r="F3683" s="27" t="s">
        <v>1453</v>
      </c>
      <c r="H3683" s="27" t="s">
        <v>1454</v>
      </c>
      <c r="L3683" s="27" t="s">
        <v>2169</v>
      </c>
      <c r="M3683" s="27" t="s">
        <v>20906</v>
      </c>
      <c r="N3683" s="27" t="s">
        <v>5412</v>
      </c>
      <c r="P3683" s="27" t="s">
        <v>22541</v>
      </c>
      <c r="Q3683" s="26" t="str">
        <f>HYPERLINK("https://ictv.global/taxonomy/taxondetails?taxnode_id=202523146&amp;ictv_id=ICTV202523146","ICTV202523146")</f>
        <v>ICTV202523146</v>
      </c>
      <c r="R3683" t="s">
        <v>579</v>
      </c>
      <c r="S3683" t="s">
        <v>823</v>
      </c>
      <c r="T3683">
        <v>41</v>
      </c>
      <c r="U3683" s="26" t="str">
        <f t="shared" si="140"/>
        <v>2025.072B.Schitoviridae_4_nsf_16ng_78_ns.zip</v>
      </c>
    </row>
    <row r="3684" spans="1:21">
      <c r="A3684">
        <v>3683</v>
      </c>
      <c r="B3684" s="27" t="s">
        <v>1449</v>
      </c>
      <c r="D3684" s="27" t="s">
        <v>1450</v>
      </c>
      <c r="F3684" s="27" t="s">
        <v>1453</v>
      </c>
      <c r="H3684" s="27" t="s">
        <v>1454</v>
      </c>
      <c r="L3684" s="27" t="s">
        <v>2169</v>
      </c>
      <c r="M3684" s="27" t="s">
        <v>20906</v>
      </c>
      <c r="N3684" s="27" t="s">
        <v>5412</v>
      </c>
      <c r="P3684" s="27" t="s">
        <v>22543</v>
      </c>
      <c r="Q3684" s="26" t="str">
        <f>HYPERLINK("https://ictv.global/taxonomy/taxondetails?taxnode_id=202523148&amp;ictv_id=ICTV202523148","ICTV202523148")</f>
        <v>ICTV202523148</v>
      </c>
      <c r="R3684" t="s">
        <v>579</v>
      </c>
      <c r="S3684" t="s">
        <v>823</v>
      </c>
      <c r="T3684">
        <v>41</v>
      </c>
      <c r="U3684" s="26" t="str">
        <f t="shared" si="140"/>
        <v>2025.072B.Schitoviridae_4_nsf_16ng_78_ns.zip</v>
      </c>
    </row>
    <row r="3685" spans="1:21">
      <c r="A3685">
        <v>3684</v>
      </c>
      <c r="B3685" s="27" t="s">
        <v>1449</v>
      </c>
      <c r="D3685" s="27" t="s">
        <v>1450</v>
      </c>
      <c r="F3685" s="27" t="s">
        <v>1453</v>
      </c>
      <c r="H3685" s="27" t="s">
        <v>1454</v>
      </c>
      <c r="L3685" s="27" t="s">
        <v>2169</v>
      </c>
      <c r="M3685" s="27" t="s">
        <v>20906</v>
      </c>
      <c r="N3685" s="27" t="s">
        <v>5412</v>
      </c>
      <c r="P3685" s="27" t="s">
        <v>5414</v>
      </c>
      <c r="Q3685" s="26" t="str">
        <f>HYPERLINK("https://ictv.global/taxonomy/taxondetails?taxnode_id=202512918&amp;ictv_id=ICTV202112918","ICTV202112918")</f>
        <v>ICTV202112918</v>
      </c>
      <c r="R3685" t="s">
        <v>579</v>
      </c>
      <c r="S3685" t="s">
        <v>22763</v>
      </c>
      <c r="T3685">
        <v>41</v>
      </c>
      <c r="U3685" s="26" t="str">
        <f t="shared" si="140"/>
        <v>2025.072B.Schitoviridae_4_nsf_16ng_78_ns.zip</v>
      </c>
    </row>
    <row r="3686" spans="1:21">
      <c r="A3686">
        <v>3685</v>
      </c>
      <c r="B3686" s="27" t="s">
        <v>1449</v>
      </c>
      <c r="D3686" s="27" t="s">
        <v>1450</v>
      </c>
      <c r="F3686" s="27" t="s">
        <v>1453</v>
      </c>
      <c r="H3686" s="27" t="s">
        <v>1454</v>
      </c>
      <c r="L3686" s="27" t="s">
        <v>2169</v>
      </c>
      <c r="M3686" s="27" t="s">
        <v>20906</v>
      </c>
      <c r="N3686" s="27" t="s">
        <v>5412</v>
      </c>
      <c r="P3686" s="27" t="s">
        <v>22539</v>
      </c>
      <c r="Q3686" s="26" t="str">
        <f>HYPERLINK("https://ictv.global/taxonomy/taxondetails?taxnode_id=202523144&amp;ictv_id=ICTV202523144","ICTV202523144")</f>
        <v>ICTV202523144</v>
      </c>
      <c r="R3686" t="s">
        <v>579</v>
      </c>
      <c r="S3686" t="s">
        <v>823</v>
      </c>
      <c r="T3686">
        <v>41</v>
      </c>
      <c r="U3686" s="26" t="str">
        <f t="shared" si="140"/>
        <v>2025.072B.Schitoviridae_4_nsf_16ng_78_ns.zip</v>
      </c>
    </row>
    <row r="3687" spans="1:21">
      <c r="A3687">
        <v>3686</v>
      </c>
      <c r="B3687" s="27" t="s">
        <v>1449</v>
      </c>
      <c r="D3687" s="27" t="s">
        <v>1450</v>
      </c>
      <c r="F3687" s="27" t="s">
        <v>1453</v>
      </c>
      <c r="H3687" s="27" t="s">
        <v>1454</v>
      </c>
      <c r="L3687" s="27" t="s">
        <v>2169</v>
      </c>
      <c r="M3687" s="27" t="s">
        <v>20906</v>
      </c>
      <c r="N3687" s="27" t="s">
        <v>5412</v>
      </c>
      <c r="P3687" s="27" t="s">
        <v>22545</v>
      </c>
      <c r="Q3687" s="26" t="str">
        <f>HYPERLINK("https://ictv.global/taxonomy/taxondetails?taxnode_id=202523150&amp;ictv_id=ICTV202523150","ICTV202523150")</f>
        <v>ICTV202523150</v>
      </c>
      <c r="R3687" t="s">
        <v>579</v>
      </c>
      <c r="S3687" t="s">
        <v>823</v>
      </c>
      <c r="T3687">
        <v>41</v>
      </c>
      <c r="U3687" s="26" t="str">
        <f t="shared" si="140"/>
        <v>2025.072B.Schitoviridae_4_nsf_16ng_78_ns.zip</v>
      </c>
    </row>
    <row r="3688" spans="1:21">
      <c r="A3688">
        <v>3687</v>
      </c>
      <c r="B3688" s="27" t="s">
        <v>1449</v>
      </c>
      <c r="D3688" s="27" t="s">
        <v>1450</v>
      </c>
      <c r="F3688" s="27" t="s">
        <v>1453</v>
      </c>
      <c r="H3688" s="27" t="s">
        <v>1454</v>
      </c>
      <c r="L3688" s="27" t="s">
        <v>2169</v>
      </c>
      <c r="M3688" s="27" t="s">
        <v>20906</v>
      </c>
      <c r="N3688" s="27" t="s">
        <v>22551</v>
      </c>
      <c r="P3688" s="27" t="s">
        <v>22552</v>
      </c>
      <c r="Q3688" s="26" t="str">
        <f>HYPERLINK("https://ictv.global/taxonomy/taxondetails?taxnode_id=202523154&amp;ictv_id=ICTV202523154","ICTV202523154")</f>
        <v>ICTV202523154</v>
      </c>
      <c r="R3688" t="s">
        <v>579</v>
      </c>
      <c r="S3688" t="s">
        <v>823</v>
      </c>
      <c r="T3688">
        <v>41</v>
      </c>
      <c r="U3688" s="26" t="str">
        <f t="shared" si="140"/>
        <v>2025.072B.Schitoviridae_4_nsf_16ng_78_ns.zip</v>
      </c>
    </row>
    <row r="3689" spans="1:21">
      <c r="A3689">
        <v>3688</v>
      </c>
      <c r="B3689" s="27" t="s">
        <v>1449</v>
      </c>
      <c r="D3689" s="27" t="s">
        <v>1450</v>
      </c>
      <c r="F3689" s="27" t="s">
        <v>1453</v>
      </c>
      <c r="H3689" s="27" t="s">
        <v>1454</v>
      </c>
      <c r="L3689" s="27" t="s">
        <v>2169</v>
      </c>
      <c r="M3689" s="27" t="s">
        <v>20906</v>
      </c>
      <c r="N3689" s="27" t="s">
        <v>22547</v>
      </c>
      <c r="P3689" s="27" t="s">
        <v>22548</v>
      </c>
      <c r="Q3689" s="26" t="str">
        <f>HYPERLINK("https://ictv.global/taxonomy/taxondetails?taxnode_id=202523152&amp;ictv_id=ICTV202523152","ICTV202523152")</f>
        <v>ICTV202523152</v>
      </c>
      <c r="R3689" t="s">
        <v>579</v>
      </c>
      <c r="S3689" t="s">
        <v>823</v>
      </c>
      <c r="T3689">
        <v>41</v>
      </c>
      <c r="U3689" s="26" t="str">
        <f t="shared" si="140"/>
        <v>2025.072B.Schitoviridae_4_nsf_16ng_78_ns.zip</v>
      </c>
    </row>
    <row r="3690" spans="1:21">
      <c r="A3690">
        <v>3689</v>
      </c>
      <c r="B3690" s="27" t="s">
        <v>1449</v>
      </c>
      <c r="D3690" s="27" t="s">
        <v>1450</v>
      </c>
      <c r="F3690" s="27" t="s">
        <v>1453</v>
      </c>
      <c r="H3690" s="27" t="s">
        <v>1454</v>
      </c>
      <c r="L3690" s="27" t="s">
        <v>2169</v>
      </c>
      <c r="M3690" s="27" t="s">
        <v>20906</v>
      </c>
      <c r="N3690" s="27" t="s">
        <v>22549</v>
      </c>
      <c r="P3690" s="27" t="s">
        <v>22550</v>
      </c>
      <c r="Q3690" s="26" t="str">
        <f>HYPERLINK("https://ictv.global/taxonomy/taxondetails?taxnode_id=202523153&amp;ictv_id=ICTV202523153","ICTV202523153")</f>
        <v>ICTV202523153</v>
      </c>
      <c r="R3690" t="s">
        <v>579</v>
      </c>
      <c r="S3690" t="s">
        <v>823</v>
      </c>
      <c r="T3690">
        <v>41</v>
      </c>
      <c r="U3690" s="26" t="str">
        <f t="shared" si="140"/>
        <v>2025.072B.Schitoviridae_4_nsf_16ng_78_ns.zip</v>
      </c>
    </row>
    <row r="3691" spans="1:21">
      <c r="A3691">
        <v>3690</v>
      </c>
      <c r="B3691" s="27" t="s">
        <v>1449</v>
      </c>
      <c r="D3691" s="27" t="s">
        <v>1450</v>
      </c>
      <c r="F3691" s="27" t="s">
        <v>1453</v>
      </c>
      <c r="H3691" s="27" t="s">
        <v>1454</v>
      </c>
      <c r="L3691" s="27" t="s">
        <v>2169</v>
      </c>
      <c r="N3691" s="27" t="s">
        <v>22568</v>
      </c>
      <c r="P3691" s="27" t="s">
        <v>22569</v>
      </c>
      <c r="Q3691" s="26" t="str">
        <f>HYPERLINK("https://ictv.global/taxonomy/taxondetails?taxnode_id=202523164&amp;ictv_id=ICTV202523164","ICTV202523164")</f>
        <v>ICTV202523164</v>
      </c>
      <c r="R3691" t="s">
        <v>579</v>
      </c>
      <c r="S3691" t="s">
        <v>823</v>
      </c>
      <c r="T3691">
        <v>41</v>
      </c>
      <c r="U3691" s="26" t="str">
        <f t="shared" si="140"/>
        <v>2025.072B.Schitoviridae_4_nsf_16ng_78_ns.zip</v>
      </c>
    </row>
    <row r="3692" spans="1:21">
      <c r="A3692">
        <v>3691</v>
      </c>
      <c r="B3692" s="27" t="s">
        <v>1449</v>
      </c>
      <c r="D3692" s="27" t="s">
        <v>1450</v>
      </c>
      <c r="F3692" s="27" t="s">
        <v>1453</v>
      </c>
      <c r="H3692" s="27" t="s">
        <v>1454</v>
      </c>
      <c r="L3692" s="27" t="s">
        <v>2169</v>
      </c>
      <c r="N3692" s="27" t="s">
        <v>22562</v>
      </c>
      <c r="P3692" s="27" t="s">
        <v>22563</v>
      </c>
      <c r="Q3692" s="26" t="str">
        <f>HYPERLINK("https://ictv.global/taxonomy/taxondetails?taxnode_id=202523161&amp;ictv_id=ICTV202523161","ICTV202523161")</f>
        <v>ICTV202523161</v>
      </c>
      <c r="R3692" t="s">
        <v>579</v>
      </c>
      <c r="S3692" t="s">
        <v>823</v>
      </c>
      <c r="T3692">
        <v>41</v>
      </c>
      <c r="U3692" s="26" t="str">
        <f t="shared" si="140"/>
        <v>2025.072B.Schitoviridae_4_nsf_16ng_78_ns.zip</v>
      </c>
    </row>
    <row r="3693" spans="1:21">
      <c r="A3693">
        <v>3692</v>
      </c>
      <c r="B3693" s="27" t="s">
        <v>1449</v>
      </c>
      <c r="D3693" s="27" t="s">
        <v>1450</v>
      </c>
      <c r="F3693" s="27" t="s">
        <v>1453</v>
      </c>
      <c r="H3693" s="27" t="s">
        <v>1454</v>
      </c>
      <c r="L3693" s="27" t="s">
        <v>2169</v>
      </c>
      <c r="N3693" s="27" t="s">
        <v>2197</v>
      </c>
      <c r="P3693" s="27" t="s">
        <v>5410</v>
      </c>
      <c r="Q3693" s="26" t="str">
        <f>HYPERLINK("https://ictv.global/taxonomy/taxondetails?taxnode_id=202511842&amp;ictv_id=ICTV202011842","ICTV202011842")</f>
        <v>ICTV202011842</v>
      </c>
      <c r="R3693" t="s">
        <v>579</v>
      </c>
      <c r="S3693" t="s">
        <v>824</v>
      </c>
      <c r="T3693">
        <v>37</v>
      </c>
      <c r="U3693" s="26" t="str">
        <f>HYPERLINK("https://ictv.global/ictv/proposals/2021.010B.R.Binomial_names.zip","2021.010B.R.Binomial_names.zip")</f>
        <v>2021.010B.R.Binomial_names.zip</v>
      </c>
    </row>
    <row r="3694" spans="1:21">
      <c r="A3694">
        <v>3693</v>
      </c>
      <c r="B3694" s="27" t="s">
        <v>1449</v>
      </c>
      <c r="D3694" s="27" t="s">
        <v>1450</v>
      </c>
      <c r="F3694" s="27" t="s">
        <v>1453</v>
      </c>
      <c r="H3694" s="27" t="s">
        <v>1454</v>
      </c>
      <c r="L3694" s="27" t="s">
        <v>2169</v>
      </c>
      <c r="N3694" s="27" t="s">
        <v>22557</v>
      </c>
      <c r="P3694" s="27" t="s">
        <v>22558</v>
      </c>
      <c r="Q3694" s="26" t="str">
        <f>HYPERLINK("https://ictv.global/taxonomy/taxondetails?taxnode_id=202523157&amp;ictv_id=ICTV202523157","ICTV202523157")</f>
        <v>ICTV202523157</v>
      </c>
      <c r="R3694" t="s">
        <v>579</v>
      </c>
      <c r="S3694" t="s">
        <v>823</v>
      </c>
      <c r="T3694">
        <v>41</v>
      </c>
      <c r="U3694" s="26" t="str">
        <f>HYPERLINK("https://ictv.global/ictv/proposals/2025.072B.Schitoviridae_4_nsf_16ng_78_ns.zip","2025.072B.Schitoviridae_4_nsf_16ng_78_ns.zip")</f>
        <v>2025.072B.Schitoviridae_4_nsf_16ng_78_ns.zip</v>
      </c>
    </row>
    <row r="3695" spans="1:21">
      <c r="A3695">
        <v>3694</v>
      </c>
      <c r="B3695" s="27" t="s">
        <v>1449</v>
      </c>
      <c r="D3695" s="27" t="s">
        <v>1450</v>
      </c>
      <c r="F3695" s="27" t="s">
        <v>1453</v>
      </c>
      <c r="H3695" s="27" t="s">
        <v>1454</v>
      </c>
      <c r="L3695" s="27" t="s">
        <v>2169</v>
      </c>
      <c r="N3695" s="27" t="s">
        <v>22557</v>
      </c>
      <c r="P3695" s="27" t="s">
        <v>22560</v>
      </c>
      <c r="Q3695" s="26" t="str">
        <f>HYPERLINK("https://ictv.global/taxonomy/taxondetails?taxnode_id=202523159&amp;ictv_id=ICTV202523159","ICTV202523159")</f>
        <v>ICTV202523159</v>
      </c>
      <c r="R3695" t="s">
        <v>579</v>
      </c>
      <c r="S3695" t="s">
        <v>823</v>
      </c>
      <c r="T3695">
        <v>41</v>
      </c>
      <c r="U3695" s="26" t="str">
        <f>HYPERLINK("https://ictv.global/ictv/proposals/2025.072B.Schitoviridae_4_nsf_16ng_78_ns.zip","2025.072B.Schitoviridae_4_nsf_16ng_78_ns.zip")</f>
        <v>2025.072B.Schitoviridae_4_nsf_16ng_78_ns.zip</v>
      </c>
    </row>
    <row r="3696" spans="1:21">
      <c r="A3696">
        <v>3695</v>
      </c>
      <c r="B3696" s="27" t="s">
        <v>1449</v>
      </c>
      <c r="D3696" s="27" t="s">
        <v>1450</v>
      </c>
      <c r="F3696" s="27" t="s">
        <v>1453</v>
      </c>
      <c r="H3696" s="27" t="s">
        <v>1454</v>
      </c>
      <c r="L3696" s="27" t="s">
        <v>2169</v>
      </c>
      <c r="N3696" s="27" t="s">
        <v>22557</v>
      </c>
      <c r="P3696" s="27" t="s">
        <v>22561</v>
      </c>
      <c r="Q3696" s="26" t="str">
        <f>HYPERLINK("https://ictv.global/taxonomy/taxondetails?taxnode_id=202523160&amp;ictv_id=ICTV202523160","ICTV202523160")</f>
        <v>ICTV202523160</v>
      </c>
      <c r="R3696" t="s">
        <v>579</v>
      </c>
      <c r="S3696" t="s">
        <v>823</v>
      </c>
      <c r="T3696">
        <v>41</v>
      </c>
      <c r="U3696" s="26" t="str">
        <f>HYPERLINK("https://ictv.global/ictv/proposals/2025.072B.Schitoviridae_4_nsf_16ng_78_ns.zip","2025.072B.Schitoviridae_4_nsf_16ng_78_ns.zip")</f>
        <v>2025.072B.Schitoviridae_4_nsf_16ng_78_ns.zip</v>
      </c>
    </row>
    <row r="3697" spans="1:21">
      <c r="A3697">
        <v>3696</v>
      </c>
      <c r="B3697" s="27" t="s">
        <v>1449</v>
      </c>
      <c r="D3697" s="27" t="s">
        <v>1450</v>
      </c>
      <c r="F3697" s="27" t="s">
        <v>1453</v>
      </c>
      <c r="H3697" s="27" t="s">
        <v>1454</v>
      </c>
      <c r="L3697" s="27" t="s">
        <v>2169</v>
      </c>
      <c r="N3697" s="27" t="s">
        <v>22557</v>
      </c>
      <c r="P3697" s="27" t="s">
        <v>22559</v>
      </c>
      <c r="Q3697" s="26" t="str">
        <f>HYPERLINK("https://ictv.global/taxonomy/taxondetails?taxnode_id=202523158&amp;ictv_id=ICTV202523158","ICTV202523158")</f>
        <v>ICTV202523158</v>
      </c>
      <c r="R3697" t="s">
        <v>579</v>
      </c>
      <c r="S3697" t="s">
        <v>823</v>
      </c>
      <c r="T3697">
        <v>41</v>
      </c>
      <c r="U3697" s="26" t="str">
        <f>HYPERLINK("https://ictv.global/ictv/proposals/2025.072B.Schitoviridae_4_nsf_16ng_78_ns.zip","2025.072B.Schitoviridae_4_nsf_16ng_78_ns.zip")</f>
        <v>2025.072B.Schitoviridae_4_nsf_16ng_78_ns.zip</v>
      </c>
    </row>
    <row r="3698" spans="1:21">
      <c r="A3698">
        <v>3697</v>
      </c>
      <c r="B3698" s="27" t="s">
        <v>1449</v>
      </c>
      <c r="D3698" s="27" t="s">
        <v>1450</v>
      </c>
      <c r="F3698" s="27" t="s">
        <v>1453</v>
      </c>
      <c r="H3698" s="27" t="s">
        <v>1454</v>
      </c>
      <c r="L3698" s="27" t="s">
        <v>2169</v>
      </c>
      <c r="N3698" s="27" t="s">
        <v>2198</v>
      </c>
      <c r="P3698" s="27" t="s">
        <v>5411</v>
      </c>
      <c r="Q3698" s="26" t="str">
        <f>HYPERLINK("https://ictv.global/taxonomy/taxondetails?taxnode_id=202511820&amp;ictv_id=ICTV202011820","ICTV202011820")</f>
        <v>ICTV202011820</v>
      </c>
      <c r="R3698" t="s">
        <v>579</v>
      </c>
      <c r="S3698" t="s">
        <v>824</v>
      </c>
      <c r="T3698">
        <v>37</v>
      </c>
      <c r="U3698" s="26" t="str">
        <f>HYPERLINK("https://ictv.global/ictv/proposals/2021.010B.R.Binomial_names.zip","2021.010B.R.Binomial_names.zip")</f>
        <v>2021.010B.R.Binomial_names.zip</v>
      </c>
    </row>
    <row r="3699" spans="1:21">
      <c r="A3699">
        <v>3698</v>
      </c>
      <c r="B3699" s="27" t="s">
        <v>1449</v>
      </c>
      <c r="D3699" s="27" t="s">
        <v>1450</v>
      </c>
      <c r="F3699" s="27" t="s">
        <v>1453</v>
      </c>
      <c r="H3699" s="27" t="s">
        <v>1454</v>
      </c>
      <c r="L3699" s="27" t="s">
        <v>2169</v>
      </c>
      <c r="N3699" s="27" t="s">
        <v>5415</v>
      </c>
      <c r="P3699" s="27" t="s">
        <v>5416</v>
      </c>
      <c r="Q3699" s="26" t="str">
        <f>HYPERLINK("https://ictv.global/taxonomy/taxondetails?taxnode_id=202513605&amp;ictv_id=ICTV202113605","ICTV202113605")</f>
        <v>ICTV202113605</v>
      </c>
      <c r="R3699" t="s">
        <v>579</v>
      </c>
      <c r="S3699" t="s">
        <v>823</v>
      </c>
      <c r="T3699">
        <v>37</v>
      </c>
      <c r="U3699" s="26" t="str">
        <f>HYPERLINK("https://ictv.global/ictv/proposals/2021.076B.R.Schitoviridae_new_genera.zip","2021.076B.R.Schitoviridae_new_genera.zip")</f>
        <v>2021.076B.R.Schitoviridae_new_genera.zip</v>
      </c>
    </row>
    <row r="3700" spans="1:21">
      <c r="A3700">
        <v>3699</v>
      </c>
      <c r="B3700" s="27" t="s">
        <v>1449</v>
      </c>
      <c r="D3700" s="27" t="s">
        <v>1450</v>
      </c>
      <c r="F3700" s="27" t="s">
        <v>1453</v>
      </c>
      <c r="H3700" s="27" t="s">
        <v>1454</v>
      </c>
      <c r="L3700" s="27" t="s">
        <v>2169</v>
      </c>
      <c r="N3700" s="27" t="s">
        <v>22570</v>
      </c>
      <c r="P3700" s="27" t="s">
        <v>22571</v>
      </c>
      <c r="Q3700" s="26" t="str">
        <f>HYPERLINK("https://ictv.global/taxonomy/taxondetails?taxnode_id=202523165&amp;ictv_id=ICTV202523165","ICTV202523165")</f>
        <v>ICTV202523165</v>
      </c>
      <c r="R3700" t="s">
        <v>579</v>
      </c>
      <c r="S3700" t="s">
        <v>823</v>
      </c>
      <c r="T3700">
        <v>41</v>
      </c>
      <c r="U3700" s="26" t="str">
        <f>HYPERLINK("https://ictv.global/ictv/proposals/2025.072B.Schitoviridae_4_nsf_16ng_78_ns.zip","2025.072B.Schitoviridae_4_nsf_16ng_78_ns.zip")</f>
        <v>2025.072B.Schitoviridae_4_nsf_16ng_78_ns.zip</v>
      </c>
    </row>
    <row r="3701" spans="1:21">
      <c r="A3701">
        <v>3700</v>
      </c>
      <c r="B3701" s="27" t="s">
        <v>1449</v>
      </c>
      <c r="D3701" s="27" t="s">
        <v>1450</v>
      </c>
      <c r="F3701" s="27" t="s">
        <v>1453</v>
      </c>
      <c r="H3701" s="27" t="s">
        <v>1454</v>
      </c>
      <c r="L3701" s="27" t="s">
        <v>2169</v>
      </c>
      <c r="N3701" s="27" t="s">
        <v>2199</v>
      </c>
      <c r="P3701" s="27" t="s">
        <v>5419</v>
      </c>
      <c r="Q3701" s="26" t="str">
        <f>HYPERLINK("https://ictv.global/taxonomy/taxondetails?taxnode_id=202511834&amp;ictv_id=ICTV202011834","ICTV202011834")</f>
        <v>ICTV202011834</v>
      </c>
      <c r="R3701" t="s">
        <v>579</v>
      </c>
      <c r="S3701" t="s">
        <v>824</v>
      </c>
      <c r="T3701">
        <v>37</v>
      </c>
      <c r="U3701" s="26" t="str">
        <f>HYPERLINK("https://ictv.global/ictv/proposals/2021.010B.R.Binomial_names.zip","2021.010B.R.Binomial_names.zip")</f>
        <v>2021.010B.R.Binomial_names.zip</v>
      </c>
    </row>
    <row r="3702" spans="1:21">
      <c r="A3702">
        <v>3701</v>
      </c>
      <c r="B3702" s="27" t="s">
        <v>1449</v>
      </c>
      <c r="D3702" s="27" t="s">
        <v>1450</v>
      </c>
      <c r="F3702" s="27" t="s">
        <v>1453</v>
      </c>
      <c r="H3702" s="27" t="s">
        <v>1454</v>
      </c>
      <c r="L3702" s="27" t="s">
        <v>2169</v>
      </c>
      <c r="N3702" s="27" t="s">
        <v>2200</v>
      </c>
      <c r="P3702" s="27" t="s">
        <v>5420</v>
      </c>
      <c r="Q3702" s="26" t="str">
        <f>HYPERLINK("https://ictv.global/taxonomy/taxondetails?taxnode_id=202514831&amp;ictv_id=ICTV202214831","ICTV202214831")</f>
        <v>ICTV202214831</v>
      </c>
      <c r="R3702" t="s">
        <v>579</v>
      </c>
      <c r="S3702" t="s">
        <v>823</v>
      </c>
      <c r="T3702">
        <v>38</v>
      </c>
      <c r="U3702" s="26" t="str">
        <f>HYPERLINK("https://ictv.global/ictv/proposals/2022.073B.Schitoviridae_1nsf_9ng_30nsp.zip","2022.073B.Schitoviridae_1nsf_9ng_30nsp.zip")</f>
        <v>2022.073B.Schitoviridae_1nsf_9ng_30nsp.zip</v>
      </c>
    </row>
    <row r="3703" spans="1:21">
      <c r="A3703">
        <v>3702</v>
      </c>
      <c r="B3703" s="27" t="s">
        <v>1449</v>
      </c>
      <c r="D3703" s="27" t="s">
        <v>1450</v>
      </c>
      <c r="F3703" s="27" t="s">
        <v>1453</v>
      </c>
      <c r="H3703" s="27" t="s">
        <v>1454</v>
      </c>
      <c r="L3703" s="27" t="s">
        <v>2169</v>
      </c>
      <c r="N3703" s="27" t="s">
        <v>2200</v>
      </c>
      <c r="P3703" s="27" t="s">
        <v>5421</v>
      </c>
      <c r="Q3703" s="26" t="str">
        <f>HYPERLINK("https://ictv.global/taxonomy/taxondetails?taxnode_id=202511830&amp;ictv_id=ICTV202011830","ICTV202011830")</f>
        <v>ICTV202011830</v>
      </c>
      <c r="R3703" t="s">
        <v>579</v>
      </c>
      <c r="S3703" t="s">
        <v>824</v>
      </c>
      <c r="T3703">
        <v>37</v>
      </c>
      <c r="U3703" s="26" t="str">
        <f>HYPERLINK("https://ictv.global/ictv/proposals/2021.010B.R.Binomial_names.zip","2021.010B.R.Binomial_names.zip")</f>
        <v>2021.010B.R.Binomial_names.zip</v>
      </c>
    </row>
    <row r="3704" spans="1:21">
      <c r="A3704">
        <v>3703</v>
      </c>
      <c r="B3704" s="27" t="s">
        <v>1449</v>
      </c>
      <c r="D3704" s="27" t="s">
        <v>1450</v>
      </c>
      <c r="F3704" s="27" t="s">
        <v>1453</v>
      </c>
      <c r="H3704" s="27" t="s">
        <v>1454</v>
      </c>
      <c r="L3704" s="27" t="s">
        <v>2169</v>
      </c>
      <c r="N3704" s="27" t="s">
        <v>22572</v>
      </c>
      <c r="P3704" s="27" t="s">
        <v>22573</v>
      </c>
      <c r="Q3704" s="26" t="str">
        <f>HYPERLINK("https://ictv.global/taxonomy/taxondetails?taxnode_id=202523166&amp;ictv_id=ICTV202523166","ICTV202523166")</f>
        <v>ICTV202523166</v>
      </c>
      <c r="R3704" t="s">
        <v>579</v>
      </c>
      <c r="S3704" t="s">
        <v>823</v>
      </c>
      <c r="T3704">
        <v>41</v>
      </c>
      <c r="U3704" s="26" t="str">
        <f>HYPERLINK("https://ictv.global/ictv/proposals/2025.072B.Schitoviridae_4_nsf_16ng_78_ns.zip","2025.072B.Schitoviridae_4_nsf_16ng_78_ns.zip")</f>
        <v>2025.072B.Schitoviridae_4_nsf_16ng_78_ns.zip</v>
      </c>
    </row>
    <row r="3705" spans="1:21">
      <c r="A3705">
        <v>3704</v>
      </c>
      <c r="B3705" s="27" t="s">
        <v>1449</v>
      </c>
      <c r="D3705" s="27" t="s">
        <v>1450</v>
      </c>
      <c r="F3705" s="27" t="s">
        <v>1453</v>
      </c>
      <c r="H3705" s="27" t="s">
        <v>1454</v>
      </c>
      <c r="L3705" s="27" t="s">
        <v>2169</v>
      </c>
      <c r="N3705" s="27" t="s">
        <v>1721</v>
      </c>
      <c r="P3705" s="27" t="s">
        <v>5422</v>
      </c>
      <c r="Q3705" s="26" t="str">
        <f>HYPERLINK("https://ictv.global/taxonomy/taxondetails?taxnode_id=202507900&amp;ictv_id=ICTV201907900","ICTV201907900")</f>
        <v>ICTV201907900</v>
      </c>
      <c r="R3705" t="s">
        <v>579</v>
      </c>
      <c r="S3705" t="s">
        <v>824</v>
      </c>
      <c r="T3705">
        <v>37</v>
      </c>
      <c r="U3705" s="26" t="str">
        <f>HYPERLINK("https://ictv.global/ictv/proposals/2021.010B.R.Binomial_names.zip","2021.010B.R.Binomial_names.zip")</f>
        <v>2021.010B.R.Binomial_names.zip</v>
      </c>
    </row>
    <row r="3706" spans="1:21">
      <c r="A3706">
        <v>3705</v>
      </c>
      <c r="B3706" s="27" t="s">
        <v>1449</v>
      </c>
      <c r="D3706" s="27" t="s">
        <v>1450</v>
      </c>
      <c r="F3706" s="27" t="s">
        <v>1453</v>
      </c>
      <c r="H3706" s="27" t="s">
        <v>1454</v>
      </c>
      <c r="L3706" s="27" t="s">
        <v>2169</v>
      </c>
      <c r="N3706" s="27" t="s">
        <v>1721</v>
      </c>
      <c r="P3706" s="27" t="s">
        <v>5423</v>
      </c>
      <c r="Q3706" s="26" t="str">
        <f>HYPERLINK("https://ictv.global/taxonomy/taxondetails?taxnode_id=202507903&amp;ictv_id=ICTV201907903","ICTV201907903")</f>
        <v>ICTV201907903</v>
      </c>
      <c r="R3706" t="s">
        <v>579</v>
      </c>
      <c r="S3706" t="s">
        <v>824</v>
      </c>
      <c r="T3706">
        <v>37</v>
      </c>
      <c r="U3706" s="26" t="str">
        <f>HYPERLINK("https://ictv.global/ictv/proposals/2021.010B.R.Binomial_names.zip","2021.010B.R.Binomial_names.zip")</f>
        <v>2021.010B.R.Binomial_names.zip</v>
      </c>
    </row>
    <row r="3707" spans="1:21">
      <c r="A3707">
        <v>3706</v>
      </c>
      <c r="B3707" s="27" t="s">
        <v>1449</v>
      </c>
      <c r="D3707" s="27" t="s">
        <v>1450</v>
      </c>
      <c r="F3707" s="27" t="s">
        <v>1453</v>
      </c>
      <c r="H3707" s="27" t="s">
        <v>1454</v>
      </c>
      <c r="L3707" s="27" t="s">
        <v>2169</v>
      </c>
      <c r="N3707" s="27" t="s">
        <v>1721</v>
      </c>
      <c r="P3707" s="27" t="s">
        <v>5424</v>
      </c>
      <c r="Q3707" s="26" t="str">
        <f>HYPERLINK("https://ictv.global/taxonomy/taxondetails?taxnode_id=202507901&amp;ictv_id=ICTV201907901","ICTV201907901")</f>
        <v>ICTV201907901</v>
      </c>
      <c r="R3707" t="s">
        <v>579</v>
      </c>
      <c r="S3707" t="s">
        <v>824</v>
      </c>
      <c r="T3707">
        <v>37</v>
      </c>
      <c r="U3707" s="26" t="str">
        <f>HYPERLINK("https://ictv.global/ictv/proposals/2021.010B.R.Binomial_names.zip","2021.010B.R.Binomial_names.zip")</f>
        <v>2021.010B.R.Binomial_names.zip</v>
      </c>
    </row>
    <row r="3708" spans="1:21">
      <c r="A3708">
        <v>3707</v>
      </c>
      <c r="B3708" s="27" t="s">
        <v>1449</v>
      </c>
      <c r="D3708" s="27" t="s">
        <v>1450</v>
      </c>
      <c r="F3708" s="27" t="s">
        <v>1453</v>
      </c>
      <c r="H3708" s="27" t="s">
        <v>1454</v>
      </c>
      <c r="L3708" s="27" t="s">
        <v>2169</v>
      </c>
      <c r="N3708" s="27" t="s">
        <v>1721</v>
      </c>
      <c r="P3708" s="27" t="s">
        <v>5425</v>
      </c>
      <c r="Q3708" s="26" t="str">
        <f>HYPERLINK("https://ictv.global/taxonomy/taxondetails?taxnode_id=202507902&amp;ictv_id=ICTV201907902","ICTV201907902")</f>
        <v>ICTV201907902</v>
      </c>
      <c r="R3708" t="s">
        <v>579</v>
      </c>
      <c r="S3708" t="s">
        <v>824</v>
      </c>
      <c r="T3708">
        <v>37</v>
      </c>
      <c r="U3708" s="26" t="str">
        <f>HYPERLINK("https://ictv.global/ictv/proposals/2021.010B.R.Binomial_names.zip","2021.010B.R.Binomial_names.zip")</f>
        <v>2021.010B.R.Binomial_names.zip</v>
      </c>
    </row>
    <row r="3709" spans="1:21">
      <c r="A3709">
        <v>3708</v>
      </c>
      <c r="B3709" s="27" t="s">
        <v>1449</v>
      </c>
      <c r="D3709" s="27" t="s">
        <v>1450</v>
      </c>
      <c r="F3709" s="27" t="s">
        <v>1453</v>
      </c>
      <c r="H3709" s="27" t="s">
        <v>1454</v>
      </c>
      <c r="L3709" s="27" t="s">
        <v>2169</v>
      </c>
      <c r="N3709" s="27" t="s">
        <v>5426</v>
      </c>
      <c r="P3709" s="27" t="s">
        <v>5427</v>
      </c>
      <c r="Q3709" s="26" t="str">
        <f>HYPERLINK("https://ictv.global/taxonomy/taxondetails?taxnode_id=202512789&amp;ictv_id=ICTV202112789","ICTV202112789")</f>
        <v>ICTV202112789</v>
      </c>
      <c r="R3709" t="s">
        <v>579</v>
      </c>
      <c r="S3709" t="s">
        <v>823</v>
      </c>
      <c r="T3709">
        <v>37</v>
      </c>
      <c r="U3709" s="26" t="str">
        <f>HYPERLINK("https://ictv.global/ictv/proposals/2021.059B.R.Oliverunavirus.zip","2021.059B.R.Oliverunavirus.zip")</f>
        <v>2021.059B.R.Oliverunavirus.zip</v>
      </c>
    </row>
    <row r="3710" spans="1:21">
      <c r="A3710">
        <v>3709</v>
      </c>
      <c r="B3710" s="27" t="s">
        <v>1449</v>
      </c>
      <c r="D3710" s="27" t="s">
        <v>1450</v>
      </c>
      <c r="F3710" s="27" t="s">
        <v>1453</v>
      </c>
      <c r="H3710" s="27" t="s">
        <v>1454</v>
      </c>
      <c r="L3710" s="27" t="s">
        <v>2169</v>
      </c>
      <c r="N3710" s="27" t="s">
        <v>5430</v>
      </c>
      <c r="P3710" s="27" t="s">
        <v>5431</v>
      </c>
      <c r="Q3710" s="26" t="str">
        <f>HYPERLINK("https://ictv.global/taxonomy/taxondetails?taxnode_id=202513608&amp;ictv_id=ICTV202113608","ICTV202113608")</f>
        <v>ICTV202113608</v>
      </c>
      <c r="R3710" t="s">
        <v>579</v>
      </c>
      <c r="S3710" t="s">
        <v>823</v>
      </c>
      <c r="T3710">
        <v>37</v>
      </c>
      <c r="U3710" s="26" t="str">
        <f>HYPERLINK("https://ictv.global/ictv/proposals/2021.076B.R.Schitoviridae_new_genera.zip","2021.076B.R.Schitoviridae_new_genera.zip")</f>
        <v>2021.076B.R.Schitoviridae_new_genera.zip</v>
      </c>
    </row>
    <row r="3711" spans="1:21">
      <c r="A3711">
        <v>3710</v>
      </c>
      <c r="B3711" s="27" t="s">
        <v>1449</v>
      </c>
      <c r="D3711" s="27" t="s">
        <v>1450</v>
      </c>
      <c r="F3711" s="27" t="s">
        <v>1453</v>
      </c>
      <c r="H3711" s="27" t="s">
        <v>1454</v>
      </c>
      <c r="L3711" s="27" t="s">
        <v>2169</v>
      </c>
      <c r="N3711" s="27" t="s">
        <v>5430</v>
      </c>
      <c r="P3711" s="27" t="s">
        <v>5432</v>
      </c>
      <c r="Q3711" s="26" t="str">
        <f>HYPERLINK("https://ictv.global/taxonomy/taxondetails?taxnode_id=202513607&amp;ictv_id=ICTV202113607","ICTV202113607")</f>
        <v>ICTV202113607</v>
      </c>
      <c r="R3711" t="s">
        <v>579</v>
      </c>
      <c r="S3711" t="s">
        <v>823</v>
      </c>
      <c r="T3711">
        <v>37</v>
      </c>
      <c r="U3711" s="26" t="str">
        <f>HYPERLINK("https://ictv.global/ictv/proposals/2021.076B.R.Schitoviridae_new_genera.zip","2021.076B.R.Schitoviridae_new_genera.zip")</f>
        <v>2021.076B.R.Schitoviridae_new_genera.zip</v>
      </c>
    </row>
    <row r="3712" spans="1:21">
      <c r="A3712">
        <v>3711</v>
      </c>
      <c r="B3712" s="27" t="s">
        <v>1449</v>
      </c>
      <c r="D3712" s="27" t="s">
        <v>1450</v>
      </c>
      <c r="F3712" s="27" t="s">
        <v>1453</v>
      </c>
      <c r="H3712" s="27" t="s">
        <v>1454</v>
      </c>
      <c r="L3712" s="27" t="s">
        <v>2169</v>
      </c>
      <c r="N3712" s="27" t="s">
        <v>22555</v>
      </c>
      <c r="P3712" s="27" t="s">
        <v>22556</v>
      </c>
      <c r="Q3712" s="26" t="str">
        <f>HYPERLINK("https://ictv.global/taxonomy/taxondetails?taxnode_id=202523156&amp;ictv_id=ICTV202523156","ICTV202523156")</f>
        <v>ICTV202523156</v>
      </c>
      <c r="R3712" t="s">
        <v>579</v>
      </c>
      <c r="S3712" t="s">
        <v>823</v>
      </c>
      <c r="T3712">
        <v>41</v>
      </c>
      <c r="U3712" s="26" t="str">
        <f>HYPERLINK("https://ictv.global/ictv/proposals/2025.072B.Schitoviridae_4_nsf_16ng_78_ns.zip","2025.072B.Schitoviridae_4_nsf_16ng_78_ns.zip")</f>
        <v>2025.072B.Schitoviridae_4_nsf_16ng_78_ns.zip</v>
      </c>
    </row>
    <row r="3713" spans="1:21">
      <c r="A3713">
        <v>3712</v>
      </c>
      <c r="B3713" s="27" t="s">
        <v>1449</v>
      </c>
      <c r="D3713" s="27" t="s">
        <v>1450</v>
      </c>
      <c r="F3713" s="27" t="s">
        <v>1453</v>
      </c>
      <c r="H3713" s="27" t="s">
        <v>1454</v>
      </c>
      <c r="L3713" s="27" t="s">
        <v>2169</v>
      </c>
      <c r="N3713" s="27" t="s">
        <v>22566</v>
      </c>
      <c r="P3713" s="27" t="s">
        <v>22567</v>
      </c>
      <c r="Q3713" s="26" t="str">
        <f>HYPERLINK("https://ictv.global/taxonomy/taxondetails?taxnode_id=202523163&amp;ictv_id=ICTV202523163","ICTV202523163")</f>
        <v>ICTV202523163</v>
      </c>
      <c r="R3713" t="s">
        <v>579</v>
      </c>
      <c r="S3713" t="s">
        <v>823</v>
      </c>
      <c r="T3713">
        <v>41</v>
      </c>
      <c r="U3713" s="26" t="str">
        <f>HYPERLINK("https://ictv.global/ictv/proposals/2025.072B.Schitoviridae_4_nsf_16ng_78_ns.zip","2025.072B.Schitoviridae_4_nsf_16ng_78_ns.zip")</f>
        <v>2025.072B.Schitoviridae_4_nsf_16ng_78_ns.zip</v>
      </c>
    </row>
    <row r="3714" spans="1:21">
      <c r="A3714">
        <v>3713</v>
      </c>
      <c r="B3714" s="27" t="s">
        <v>1449</v>
      </c>
      <c r="D3714" s="27" t="s">
        <v>1450</v>
      </c>
      <c r="F3714" s="27" t="s">
        <v>1453</v>
      </c>
      <c r="H3714" s="27" t="s">
        <v>1454</v>
      </c>
      <c r="L3714" s="27" t="s">
        <v>2169</v>
      </c>
      <c r="N3714" s="27" t="s">
        <v>5433</v>
      </c>
      <c r="P3714" s="27" t="s">
        <v>5434</v>
      </c>
      <c r="Q3714" s="26" t="str">
        <f>HYPERLINK("https://ictv.global/taxonomy/taxondetails?taxnode_id=202512920&amp;ictv_id=ICTV202112920","ICTV202112920")</f>
        <v>ICTV202112920</v>
      </c>
      <c r="R3714" t="s">
        <v>579</v>
      </c>
      <c r="S3714" t="s">
        <v>823</v>
      </c>
      <c r="T3714">
        <v>37</v>
      </c>
      <c r="U3714" s="26" t="str">
        <f>HYPERLINK("https://ictv.global/ictv/proposals/2021.076B.R.Schitoviridae_new_genera.zip","2021.076B.R.Schitoviridae_new_genera.zip")</f>
        <v>2021.076B.R.Schitoviridae_new_genera.zip</v>
      </c>
    </row>
    <row r="3715" spans="1:21">
      <c r="A3715">
        <v>3714</v>
      </c>
      <c r="B3715" s="27" t="s">
        <v>1449</v>
      </c>
      <c r="D3715" s="27" t="s">
        <v>1450</v>
      </c>
      <c r="F3715" s="27" t="s">
        <v>1453</v>
      </c>
      <c r="H3715" s="27" t="s">
        <v>1454</v>
      </c>
      <c r="L3715" s="27" t="s">
        <v>2169</v>
      </c>
      <c r="N3715" s="27" t="s">
        <v>5435</v>
      </c>
      <c r="P3715" s="27" t="s">
        <v>5436</v>
      </c>
      <c r="Q3715" s="26" t="str">
        <f>HYPERLINK("https://ictv.global/taxonomy/taxondetails?taxnode_id=202514812&amp;ictv_id=ICTV202214812","ICTV202214812")</f>
        <v>ICTV202214812</v>
      </c>
      <c r="R3715" t="s">
        <v>579</v>
      </c>
      <c r="S3715" t="s">
        <v>823</v>
      </c>
      <c r="T3715">
        <v>38</v>
      </c>
      <c r="U3715" s="26" t="str">
        <f>HYPERLINK("https://ictv.global/ictv/proposals/2022.073B.Schitoviridae_1nsf_9ng_30nsp.zip","2022.073B.Schitoviridae_1nsf_9ng_30nsp.zip")</f>
        <v>2022.073B.Schitoviridae_1nsf_9ng_30nsp.zip</v>
      </c>
    </row>
    <row r="3716" spans="1:21">
      <c r="A3716">
        <v>3715</v>
      </c>
      <c r="B3716" s="27" t="s">
        <v>1449</v>
      </c>
      <c r="D3716" s="27" t="s">
        <v>1450</v>
      </c>
      <c r="F3716" s="27" t="s">
        <v>1453</v>
      </c>
      <c r="H3716" s="27" t="s">
        <v>1454</v>
      </c>
      <c r="L3716" s="27" t="s">
        <v>2169</v>
      </c>
      <c r="N3716" s="27" t="s">
        <v>2203</v>
      </c>
      <c r="P3716" s="27" t="s">
        <v>5442</v>
      </c>
      <c r="Q3716" s="26" t="str">
        <f>HYPERLINK("https://ictv.global/taxonomy/taxondetails?taxnode_id=202511828&amp;ictv_id=ICTV202011828","ICTV202011828")</f>
        <v>ICTV202011828</v>
      </c>
      <c r="R3716" t="s">
        <v>579</v>
      </c>
      <c r="S3716" t="s">
        <v>824</v>
      </c>
      <c r="T3716">
        <v>37</v>
      </c>
      <c r="U3716" s="26" t="str">
        <f>HYPERLINK("https://ictv.global/ictv/proposals/2021.010B.R.Binomial_names.zip","2021.010B.R.Binomial_names.zip")</f>
        <v>2021.010B.R.Binomial_names.zip</v>
      </c>
    </row>
    <row r="3717" spans="1:21">
      <c r="A3717">
        <v>3716</v>
      </c>
      <c r="B3717" s="27" t="s">
        <v>1449</v>
      </c>
      <c r="D3717" s="27" t="s">
        <v>1450</v>
      </c>
      <c r="F3717" s="27" t="s">
        <v>1453</v>
      </c>
      <c r="H3717" s="27" t="s">
        <v>1454</v>
      </c>
      <c r="L3717" s="27" t="s">
        <v>2169</v>
      </c>
      <c r="N3717" s="27" t="s">
        <v>22574</v>
      </c>
      <c r="P3717" s="27" t="s">
        <v>22575</v>
      </c>
      <c r="Q3717" s="26" t="str">
        <f>HYPERLINK("https://ictv.global/taxonomy/taxondetails?taxnode_id=202523167&amp;ictv_id=ICTV202523167","ICTV202523167")</f>
        <v>ICTV202523167</v>
      </c>
      <c r="R3717" t="s">
        <v>579</v>
      </c>
      <c r="S3717" t="s">
        <v>823</v>
      </c>
      <c r="T3717">
        <v>41</v>
      </c>
      <c r="U3717" s="26" t="str">
        <f>HYPERLINK("https://ictv.global/ictv/proposals/2025.072B.Schitoviridae_4_nsf_16ng_78_ns.zip","2025.072B.Schitoviridae_4_nsf_16ng_78_ns.zip")</f>
        <v>2025.072B.Schitoviridae_4_nsf_16ng_78_ns.zip</v>
      </c>
    </row>
    <row r="3718" spans="1:21">
      <c r="A3718">
        <v>3717</v>
      </c>
      <c r="B3718" s="27" t="s">
        <v>1449</v>
      </c>
      <c r="D3718" s="27" t="s">
        <v>1450</v>
      </c>
      <c r="F3718" s="27" t="s">
        <v>1453</v>
      </c>
      <c r="H3718" s="27" t="s">
        <v>1454</v>
      </c>
      <c r="L3718" s="27" t="s">
        <v>2169</v>
      </c>
      <c r="N3718" s="27" t="s">
        <v>1723</v>
      </c>
      <c r="P3718" s="27" t="s">
        <v>5444</v>
      </c>
      <c r="Q3718" s="26" t="str">
        <f>HYPERLINK("https://ictv.global/taxonomy/taxondetails?taxnode_id=202507691&amp;ictv_id=ICTV201907691","ICTV201907691")</f>
        <v>ICTV201907691</v>
      </c>
      <c r="R3718" t="s">
        <v>579</v>
      </c>
      <c r="S3718" t="s">
        <v>824</v>
      </c>
      <c r="T3718">
        <v>37</v>
      </c>
      <c r="U3718" s="26" t="str">
        <f>HYPERLINK("https://ictv.global/ictv/proposals/2021.010B.R.Binomial_names.zip","2021.010B.R.Binomial_names.zip")</f>
        <v>2021.010B.R.Binomial_names.zip</v>
      </c>
    </row>
    <row r="3719" spans="1:21">
      <c r="A3719">
        <v>3718</v>
      </c>
      <c r="B3719" s="27" t="s">
        <v>1449</v>
      </c>
      <c r="D3719" s="27" t="s">
        <v>1450</v>
      </c>
      <c r="F3719" s="27" t="s">
        <v>1453</v>
      </c>
      <c r="H3719" s="27" t="s">
        <v>1454</v>
      </c>
      <c r="L3719" s="27" t="s">
        <v>2169</v>
      </c>
      <c r="N3719" s="27" t="s">
        <v>5447</v>
      </c>
      <c r="P3719" s="27" t="s">
        <v>5448</v>
      </c>
      <c r="Q3719" s="26" t="str">
        <f>HYPERLINK("https://ictv.global/taxonomy/taxondetails?taxnode_id=202514811&amp;ictv_id=ICTV202214811","ICTV202214811")</f>
        <v>ICTV202214811</v>
      </c>
      <c r="R3719" t="s">
        <v>579</v>
      </c>
      <c r="S3719" t="s">
        <v>823</v>
      </c>
      <c r="T3719">
        <v>38</v>
      </c>
      <c r="U3719" s="26" t="str">
        <f>HYPERLINK("https://ictv.global/ictv/proposals/2022.073B.Schitoviridae_1nsf_9ng_30nsp.zip","2022.073B.Schitoviridae_1nsf_9ng_30nsp.zip")</f>
        <v>2022.073B.Schitoviridae_1nsf_9ng_30nsp.zip</v>
      </c>
    </row>
    <row r="3720" spans="1:21">
      <c r="A3720">
        <v>3719</v>
      </c>
      <c r="B3720" s="27" t="s">
        <v>1449</v>
      </c>
      <c r="D3720" s="27" t="s">
        <v>1450</v>
      </c>
      <c r="F3720" s="27" t="s">
        <v>1453</v>
      </c>
      <c r="H3720" s="27" t="s">
        <v>1454</v>
      </c>
      <c r="L3720" s="27" t="s">
        <v>2169</v>
      </c>
      <c r="N3720" s="27" t="s">
        <v>5447</v>
      </c>
      <c r="P3720" s="27" t="s">
        <v>22624</v>
      </c>
      <c r="Q3720" s="26" t="str">
        <f>HYPERLINK("https://ictv.global/taxonomy/taxondetails?taxnode_id=202523216&amp;ictv_id=ICTV202523216","ICTV202523216")</f>
        <v>ICTV202523216</v>
      </c>
      <c r="R3720" t="s">
        <v>579</v>
      </c>
      <c r="S3720" t="s">
        <v>823</v>
      </c>
      <c r="T3720">
        <v>41</v>
      </c>
      <c r="U3720" s="26" t="str">
        <f>HYPERLINK("https://ictv.global/ictv/proposals/2025.072B.Schitoviridae_4_nsf_16ng_78_ns.zip","2025.072B.Schitoviridae_4_nsf_16ng_78_ns.zip")</f>
        <v>2025.072B.Schitoviridae_4_nsf_16ng_78_ns.zip</v>
      </c>
    </row>
    <row r="3721" spans="1:21">
      <c r="A3721">
        <v>3720</v>
      </c>
      <c r="B3721" s="27" t="s">
        <v>1449</v>
      </c>
      <c r="D3721" s="27" t="s">
        <v>1450</v>
      </c>
      <c r="F3721" s="27" t="s">
        <v>1453</v>
      </c>
      <c r="H3721" s="27" t="s">
        <v>1454</v>
      </c>
      <c r="L3721" s="27" t="s">
        <v>2169</v>
      </c>
      <c r="N3721" s="27" t="s">
        <v>5447</v>
      </c>
      <c r="P3721" s="27" t="s">
        <v>22623</v>
      </c>
      <c r="Q3721" s="26" t="str">
        <f>HYPERLINK("https://ictv.global/taxonomy/taxondetails?taxnode_id=202523215&amp;ictv_id=ICTV202523215","ICTV202523215")</f>
        <v>ICTV202523215</v>
      </c>
      <c r="R3721" t="s">
        <v>579</v>
      </c>
      <c r="S3721" t="s">
        <v>823</v>
      </c>
      <c r="T3721">
        <v>41</v>
      </c>
      <c r="U3721" s="26" t="str">
        <f>HYPERLINK("https://ictv.global/ictv/proposals/2025.072B.Schitoviridae_4_nsf_16ng_78_ns.zip","2025.072B.Schitoviridae_4_nsf_16ng_78_ns.zip")</f>
        <v>2025.072B.Schitoviridae_4_nsf_16ng_78_ns.zip</v>
      </c>
    </row>
    <row r="3722" spans="1:21">
      <c r="A3722">
        <v>3721</v>
      </c>
      <c r="B3722" s="27" t="s">
        <v>1449</v>
      </c>
      <c r="D3722" s="27" t="s">
        <v>1450</v>
      </c>
      <c r="F3722" s="27" t="s">
        <v>1453</v>
      </c>
      <c r="H3722" s="27" t="s">
        <v>1454</v>
      </c>
      <c r="L3722" s="27" t="s">
        <v>2169</v>
      </c>
      <c r="N3722" s="27" t="s">
        <v>22564</v>
      </c>
      <c r="P3722" s="27" t="s">
        <v>22565</v>
      </c>
      <c r="Q3722" s="26" t="str">
        <f>HYPERLINK("https://ictv.global/taxonomy/taxondetails?taxnode_id=202523162&amp;ictv_id=ICTV202523162","ICTV202523162")</f>
        <v>ICTV202523162</v>
      </c>
      <c r="R3722" t="s">
        <v>579</v>
      </c>
      <c r="S3722" t="s">
        <v>823</v>
      </c>
      <c r="T3722">
        <v>41</v>
      </c>
      <c r="U3722" s="26" t="str">
        <f>HYPERLINK("https://ictv.global/ictv/proposals/2025.072B.Schitoviridae_4_nsf_16ng_78_ns.zip","2025.072B.Schitoviridae_4_nsf_16ng_78_ns.zip")</f>
        <v>2025.072B.Schitoviridae_4_nsf_16ng_78_ns.zip</v>
      </c>
    </row>
    <row r="3723" spans="1:21">
      <c r="A3723">
        <v>3722</v>
      </c>
      <c r="B3723" s="27" t="s">
        <v>1449</v>
      </c>
      <c r="D3723" s="27" t="s">
        <v>1450</v>
      </c>
      <c r="F3723" s="27" t="s">
        <v>1453</v>
      </c>
      <c r="H3723" s="27" t="s">
        <v>1454</v>
      </c>
      <c r="L3723" s="27" t="s">
        <v>2169</v>
      </c>
      <c r="N3723" s="27" t="s">
        <v>2205</v>
      </c>
      <c r="P3723" s="27" t="s">
        <v>5451</v>
      </c>
      <c r="Q3723" s="26" t="str">
        <f>HYPERLINK("https://ictv.global/taxonomy/taxondetails?taxnode_id=202511832&amp;ictv_id=ICTV202011832","ICTV202011832")</f>
        <v>ICTV202011832</v>
      </c>
      <c r="R3723" t="s">
        <v>579</v>
      </c>
      <c r="S3723" t="s">
        <v>824</v>
      </c>
      <c r="T3723">
        <v>37</v>
      </c>
      <c r="U3723" s="26" t="str">
        <f>HYPERLINK("https://ictv.global/ictv/proposals/2021.010B.R.Binomial_names.zip","2021.010B.R.Binomial_names.zip")</f>
        <v>2021.010B.R.Binomial_names.zip</v>
      </c>
    </row>
    <row r="3724" spans="1:21">
      <c r="A3724">
        <v>3723</v>
      </c>
      <c r="B3724" s="27" t="s">
        <v>1449</v>
      </c>
      <c r="D3724" s="27" t="s">
        <v>1450</v>
      </c>
      <c r="F3724" s="27" t="s">
        <v>1453</v>
      </c>
      <c r="H3724" s="27" t="s">
        <v>1454</v>
      </c>
      <c r="L3724" s="27" t="s">
        <v>2169</v>
      </c>
      <c r="N3724" s="27" t="s">
        <v>5452</v>
      </c>
      <c r="P3724" s="27" t="s">
        <v>5453</v>
      </c>
      <c r="Q3724" s="26" t="str">
        <f>HYPERLINK("https://ictv.global/taxonomy/taxondetails?taxnode_id=202514820&amp;ictv_id=ICTV202214820","ICTV202214820")</f>
        <v>ICTV202214820</v>
      </c>
      <c r="R3724" t="s">
        <v>579</v>
      </c>
      <c r="S3724" t="s">
        <v>823</v>
      </c>
      <c r="T3724">
        <v>38</v>
      </c>
      <c r="U3724" s="26" t="str">
        <f>HYPERLINK("https://ictv.global/ictv/proposals/2022.073B.Schitoviridae_1nsf_9ng_30nsp.zip","2022.073B.Schitoviridae_1nsf_9ng_30nsp.zip")</f>
        <v>2022.073B.Schitoviridae_1nsf_9ng_30nsp.zip</v>
      </c>
    </row>
    <row r="3725" spans="1:21">
      <c r="A3725">
        <v>3724</v>
      </c>
      <c r="B3725" s="27" t="s">
        <v>1449</v>
      </c>
      <c r="D3725" s="27" t="s">
        <v>1450</v>
      </c>
      <c r="F3725" s="27" t="s">
        <v>1453</v>
      </c>
      <c r="H3725" s="27" t="s">
        <v>1454</v>
      </c>
      <c r="L3725" s="27" t="s">
        <v>2169</v>
      </c>
      <c r="N3725" s="27" t="s">
        <v>2206</v>
      </c>
      <c r="P3725" s="27" t="s">
        <v>5454</v>
      </c>
      <c r="Q3725" s="26" t="str">
        <f>HYPERLINK("https://ictv.global/taxonomy/taxondetails?taxnode_id=202511825&amp;ictv_id=ICTV202011825","ICTV202011825")</f>
        <v>ICTV202011825</v>
      </c>
      <c r="R3725" t="s">
        <v>579</v>
      </c>
      <c r="S3725" t="s">
        <v>824</v>
      </c>
      <c r="T3725">
        <v>37</v>
      </c>
      <c r="U3725" s="26" t="str">
        <f>HYPERLINK("https://ictv.global/ictv/proposals/2021.010B.R.Binomial_names.zip","2021.010B.R.Binomial_names.zip")</f>
        <v>2021.010B.R.Binomial_names.zip</v>
      </c>
    </row>
    <row r="3726" spans="1:21">
      <c r="A3726">
        <v>3725</v>
      </c>
      <c r="B3726" s="27" t="s">
        <v>1449</v>
      </c>
      <c r="D3726" s="27" t="s">
        <v>1450</v>
      </c>
      <c r="F3726" s="27" t="s">
        <v>1453</v>
      </c>
      <c r="H3726" s="27" t="s">
        <v>1454</v>
      </c>
      <c r="L3726" s="27" t="s">
        <v>2169</v>
      </c>
      <c r="N3726" s="27" t="s">
        <v>2206</v>
      </c>
      <c r="P3726" s="27" t="s">
        <v>5455</v>
      </c>
      <c r="Q3726" s="26" t="str">
        <f>HYPERLINK("https://ictv.global/taxonomy/taxondetails?taxnode_id=202511826&amp;ictv_id=ICTV202011826","ICTV202011826")</f>
        <v>ICTV202011826</v>
      </c>
      <c r="R3726" t="s">
        <v>579</v>
      </c>
      <c r="S3726" t="s">
        <v>824</v>
      </c>
      <c r="T3726">
        <v>37</v>
      </c>
      <c r="U3726" s="26" t="str">
        <f>HYPERLINK("https://ictv.global/ictv/proposals/2021.010B.R.Binomial_names.zip","2021.010B.R.Binomial_names.zip")</f>
        <v>2021.010B.R.Binomial_names.zip</v>
      </c>
    </row>
    <row r="3727" spans="1:21">
      <c r="A3727">
        <v>3726</v>
      </c>
      <c r="B3727" s="27" t="s">
        <v>1449</v>
      </c>
      <c r="D3727" s="27" t="s">
        <v>1450</v>
      </c>
      <c r="F3727" s="27" t="s">
        <v>1453</v>
      </c>
      <c r="H3727" s="27" t="s">
        <v>1454</v>
      </c>
      <c r="L3727" s="27" t="s">
        <v>2169</v>
      </c>
      <c r="N3727" s="27" t="s">
        <v>2207</v>
      </c>
      <c r="P3727" s="27" t="s">
        <v>22616</v>
      </c>
      <c r="Q3727" s="26" t="str">
        <f>HYPERLINK("https://ictv.global/taxonomy/taxondetails?taxnode_id=202523208&amp;ictv_id=ICTV202523208","ICTV202523208")</f>
        <v>ICTV202523208</v>
      </c>
      <c r="R3727" t="s">
        <v>579</v>
      </c>
      <c r="S3727" t="s">
        <v>823</v>
      </c>
      <c r="T3727">
        <v>41</v>
      </c>
      <c r="U3727" s="26" t="str">
        <f>HYPERLINK("https://ictv.global/ictv/proposals/2025.072B.Schitoviridae_4_nsf_16ng_78_ns.zip","2025.072B.Schitoviridae_4_nsf_16ng_78_ns.zip")</f>
        <v>2025.072B.Schitoviridae_4_nsf_16ng_78_ns.zip</v>
      </c>
    </row>
    <row r="3728" spans="1:21">
      <c r="A3728">
        <v>3727</v>
      </c>
      <c r="B3728" s="27" t="s">
        <v>1449</v>
      </c>
      <c r="D3728" s="27" t="s">
        <v>1450</v>
      </c>
      <c r="F3728" s="27" t="s">
        <v>1453</v>
      </c>
      <c r="H3728" s="27" t="s">
        <v>1454</v>
      </c>
      <c r="L3728" s="27" t="s">
        <v>2169</v>
      </c>
      <c r="N3728" s="27" t="s">
        <v>2207</v>
      </c>
      <c r="P3728" s="27" t="s">
        <v>22615</v>
      </c>
      <c r="Q3728" s="26" t="str">
        <f>HYPERLINK("https://ictv.global/taxonomy/taxondetails?taxnode_id=202523207&amp;ictv_id=ICTV202523207","ICTV202523207")</f>
        <v>ICTV202523207</v>
      </c>
      <c r="R3728" t="s">
        <v>579</v>
      </c>
      <c r="S3728" t="s">
        <v>823</v>
      </c>
      <c r="T3728">
        <v>41</v>
      </c>
      <c r="U3728" s="26" t="str">
        <f>HYPERLINK("https://ictv.global/ictv/proposals/2025.072B.Schitoviridae_4_nsf_16ng_78_ns.zip","2025.072B.Schitoviridae_4_nsf_16ng_78_ns.zip")</f>
        <v>2025.072B.Schitoviridae_4_nsf_16ng_78_ns.zip</v>
      </c>
    </row>
    <row r="3729" spans="1:21">
      <c r="A3729">
        <v>3728</v>
      </c>
      <c r="B3729" s="27" t="s">
        <v>1449</v>
      </c>
      <c r="D3729" s="27" t="s">
        <v>1450</v>
      </c>
      <c r="F3729" s="27" t="s">
        <v>1453</v>
      </c>
      <c r="H3729" s="27" t="s">
        <v>1454</v>
      </c>
      <c r="L3729" s="27" t="s">
        <v>2169</v>
      </c>
      <c r="N3729" s="27" t="s">
        <v>2207</v>
      </c>
      <c r="P3729" s="27" t="s">
        <v>5456</v>
      </c>
      <c r="Q3729" s="26" t="str">
        <f>HYPERLINK("https://ictv.global/taxonomy/taxondetails?taxnode_id=202511836&amp;ictv_id=ICTV202011836","ICTV202011836")</f>
        <v>ICTV202011836</v>
      </c>
      <c r="R3729" t="s">
        <v>579</v>
      </c>
      <c r="S3729" t="s">
        <v>824</v>
      </c>
      <c r="T3729">
        <v>37</v>
      </c>
      <c r="U3729" s="26" t="str">
        <f>HYPERLINK("https://ictv.global/ictv/proposals/2021.010B.R.Binomial_names.zip","2021.010B.R.Binomial_names.zip")</f>
        <v>2021.010B.R.Binomial_names.zip</v>
      </c>
    </row>
    <row r="3730" spans="1:21">
      <c r="A3730">
        <v>3729</v>
      </c>
      <c r="B3730" s="27" t="s">
        <v>1449</v>
      </c>
      <c r="D3730" s="27" t="s">
        <v>1450</v>
      </c>
      <c r="F3730" s="27" t="s">
        <v>1453</v>
      </c>
      <c r="H3730" s="27" t="s">
        <v>1454</v>
      </c>
      <c r="L3730" s="27" t="s">
        <v>21079</v>
      </c>
      <c r="N3730" s="27" t="s">
        <v>21080</v>
      </c>
      <c r="P3730" s="27" t="s">
        <v>21081</v>
      </c>
      <c r="Q3730" s="26" t="str">
        <f>HYPERLINK("https://ictv.global/taxonomy/taxondetails?taxnode_id=202522028&amp;ictv_id=ICTV202522028","ICTV202522028")</f>
        <v>ICTV202522028</v>
      </c>
      <c r="R3730" t="s">
        <v>579</v>
      </c>
      <c r="S3730" t="s">
        <v>823</v>
      </c>
      <c r="T3730">
        <v>41</v>
      </c>
      <c r="U3730" s="26" t="str">
        <f>HYPERLINK("https://ictv.global/ictv/proposals/2025.001A.Crust_viruses_6nf.zip","2025.001A.Crust_viruses_6nf.zip")</f>
        <v>2025.001A.Crust_viruses_6nf.zip</v>
      </c>
    </row>
    <row r="3731" spans="1:21">
      <c r="A3731">
        <v>3730</v>
      </c>
      <c r="B3731" s="27" t="s">
        <v>1449</v>
      </c>
      <c r="D3731" s="27" t="s">
        <v>1450</v>
      </c>
      <c r="F3731" s="27" t="s">
        <v>1453</v>
      </c>
      <c r="H3731" s="27" t="s">
        <v>1454</v>
      </c>
      <c r="L3731" s="27" t="s">
        <v>21079</v>
      </c>
      <c r="N3731" s="27" t="s">
        <v>21080</v>
      </c>
      <c r="P3731" s="27" t="s">
        <v>21083</v>
      </c>
      <c r="Q3731" s="26" t="str">
        <f>HYPERLINK("https://ictv.global/taxonomy/taxondetails?taxnode_id=202522030&amp;ictv_id=ICTV202522030","ICTV202522030")</f>
        <v>ICTV202522030</v>
      </c>
      <c r="R3731" t="s">
        <v>579</v>
      </c>
      <c r="S3731" t="s">
        <v>823</v>
      </c>
      <c r="T3731">
        <v>41</v>
      </c>
      <c r="U3731" s="26" t="str">
        <f>HYPERLINK("https://ictv.global/ictv/proposals/2025.001A.Crust_viruses_6nf.zip","2025.001A.Crust_viruses_6nf.zip")</f>
        <v>2025.001A.Crust_viruses_6nf.zip</v>
      </c>
    </row>
    <row r="3732" spans="1:21">
      <c r="A3732">
        <v>3731</v>
      </c>
      <c r="B3732" s="27" t="s">
        <v>1449</v>
      </c>
      <c r="D3732" s="27" t="s">
        <v>1450</v>
      </c>
      <c r="F3732" s="27" t="s">
        <v>1453</v>
      </c>
      <c r="H3732" s="27" t="s">
        <v>1454</v>
      </c>
      <c r="L3732" s="27" t="s">
        <v>21079</v>
      </c>
      <c r="N3732" s="27" t="s">
        <v>21080</v>
      </c>
      <c r="P3732" s="27" t="s">
        <v>21082</v>
      </c>
      <c r="Q3732" s="26" t="str">
        <f>HYPERLINK("https://ictv.global/taxonomy/taxondetails?taxnode_id=202522029&amp;ictv_id=ICTV202522029","ICTV202522029")</f>
        <v>ICTV202522029</v>
      </c>
      <c r="R3732" t="s">
        <v>579</v>
      </c>
      <c r="S3732" t="s">
        <v>823</v>
      </c>
      <c r="T3732">
        <v>41</v>
      </c>
      <c r="U3732" s="26" t="str">
        <f>HYPERLINK("https://ictv.global/ictv/proposals/2025.001A.Crust_viruses_6nf.zip","2025.001A.Crust_viruses_6nf.zip")</f>
        <v>2025.001A.Crust_viruses_6nf.zip</v>
      </c>
    </row>
    <row r="3733" spans="1:21">
      <c r="A3733">
        <v>3732</v>
      </c>
      <c r="B3733" s="27" t="s">
        <v>1449</v>
      </c>
      <c r="D3733" s="27" t="s">
        <v>1450</v>
      </c>
      <c r="F3733" s="27" t="s">
        <v>1453</v>
      </c>
      <c r="H3733" s="27" t="s">
        <v>1454</v>
      </c>
      <c r="L3733" s="27" t="s">
        <v>5457</v>
      </c>
      <c r="N3733" s="27" t="s">
        <v>5458</v>
      </c>
      <c r="P3733" s="27" t="s">
        <v>5459</v>
      </c>
      <c r="Q3733" s="26" t="str">
        <f>HYPERLINK("https://ictv.global/taxonomy/taxondetails?taxnode_id=202514335&amp;ictv_id=ICTV202214335","ICTV202214335")</f>
        <v>ICTV202214335</v>
      </c>
      <c r="R3733" t="s">
        <v>579</v>
      </c>
      <c r="S3733" t="s">
        <v>823</v>
      </c>
      <c r="T3733">
        <v>38</v>
      </c>
      <c r="U3733" s="26" t="str">
        <f>HYPERLINK("https://ictv.global/ictv/proposals/2022.004A.Caudoviricetes_3nf.zip","2022.004A.Caudoviricetes_3nf.zip")</f>
        <v>2022.004A.Caudoviricetes_3nf.zip</v>
      </c>
    </row>
    <row r="3734" spans="1:21">
      <c r="A3734">
        <v>3733</v>
      </c>
      <c r="B3734" s="27" t="s">
        <v>1449</v>
      </c>
      <c r="D3734" s="27" t="s">
        <v>1450</v>
      </c>
      <c r="F3734" s="27" t="s">
        <v>1453</v>
      </c>
      <c r="H3734" s="27" t="s">
        <v>1454</v>
      </c>
      <c r="L3734" s="27" t="s">
        <v>19651</v>
      </c>
      <c r="M3734" s="27" t="s">
        <v>19652</v>
      </c>
      <c r="N3734" s="27" t="s">
        <v>6847</v>
      </c>
      <c r="P3734" s="27" t="s">
        <v>6848</v>
      </c>
      <c r="Q3734" s="26" t="str">
        <f>HYPERLINK("https://ictv.global/taxonomy/taxondetails?taxnode_id=202513051&amp;ictv_id=ICTV202113051","ICTV202113051")</f>
        <v>ICTV202113051</v>
      </c>
      <c r="R3734" t="s">
        <v>579</v>
      </c>
      <c r="S3734" t="s">
        <v>22763</v>
      </c>
      <c r="T3734">
        <v>40</v>
      </c>
      <c r="U3734" s="26" t="str">
        <f>HYPERLINK("https://ictv.global/ictv/proposals/2024.034B.Stackebrandtviridae_1nf_2nsf_8mg_8ns.zip","2024.034B.Stackebrandtviridae_1nf_2nsf_8mg_8ns.zip")</f>
        <v>2024.034B.Stackebrandtviridae_1nf_2nsf_8mg_8ns.zip</v>
      </c>
    </row>
    <row r="3735" spans="1:21">
      <c r="A3735">
        <v>3734</v>
      </c>
      <c r="B3735" s="27" t="s">
        <v>1449</v>
      </c>
      <c r="D3735" s="27" t="s">
        <v>1450</v>
      </c>
      <c r="F3735" s="27" t="s">
        <v>1453</v>
      </c>
      <c r="H3735" s="27" t="s">
        <v>1454</v>
      </c>
      <c r="L3735" s="27" t="s">
        <v>19651</v>
      </c>
      <c r="M3735" s="27" t="s">
        <v>19652</v>
      </c>
      <c r="N3735" s="27" t="s">
        <v>22523</v>
      </c>
      <c r="P3735" s="27" t="s">
        <v>22524</v>
      </c>
      <c r="Q3735" s="26" t="str">
        <f>HYPERLINK("https://ictv.global/taxonomy/taxondetails?taxnode_id=202523134&amp;ictv_id=ICTV202523134","ICTV202523134")</f>
        <v>ICTV202523134</v>
      </c>
      <c r="R3735" t="s">
        <v>579</v>
      </c>
      <c r="S3735" t="s">
        <v>823</v>
      </c>
      <c r="T3735">
        <v>41</v>
      </c>
      <c r="U3735" s="26" t="str">
        <f>HYPERLINK("https://ictv.global/ictv/proposals/2025.070B.Riverraidervirus_1ng_1ns.zip","2025.070B.Riverraidervirus_1ng_1ns.zip")</f>
        <v>2025.070B.Riverraidervirus_1ng_1ns.zip</v>
      </c>
    </row>
    <row r="3736" spans="1:21">
      <c r="A3736">
        <v>3735</v>
      </c>
      <c r="B3736" s="27" t="s">
        <v>1449</v>
      </c>
      <c r="D3736" s="27" t="s">
        <v>1450</v>
      </c>
      <c r="F3736" s="27" t="s">
        <v>1453</v>
      </c>
      <c r="H3736" s="27" t="s">
        <v>1454</v>
      </c>
      <c r="L3736" s="27" t="s">
        <v>19651</v>
      </c>
      <c r="M3736" s="27" t="s">
        <v>19652</v>
      </c>
      <c r="N3736" s="27" t="s">
        <v>845</v>
      </c>
      <c r="P3736" s="27" t="s">
        <v>8142</v>
      </c>
      <c r="Q3736" s="26" t="str">
        <f>HYPERLINK("https://ictv.global/taxonomy/taxondetails?taxnode_id=202513384&amp;ictv_id=ICTV202113384","ICTV202113384")</f>
        <v>ICTV202113384</v>
      </c>
      <c r="R3736" t="s">
        <v>579</v>
      </c>
      <c r="S3736" t="s">
        <v>22763</v>
      </c>
      <c r="T3736">
        <v>40</v>
      </c>
      <c r="U3736" s="26" t="str">
        <f t="shared" ref="U3736:U3782" si="141">HYPERLINK("https://ictv.global/ictv/proposals/2024.034B.Stackebrandtviridae_1nf_2nsf_8mg_8ns.zip","2024.034B.Stackebrandtviridae_1nf_2nsf_8mg_8ns.zip")</f>
        <v>2024.034B.Stackebrandtviridae_1nf_2nsf_8mg_8ns.zip</v>
      </c>
    </row>
    <row r="3737" spans="1:21">
      <c r="A3737">
        <v>3736</v>
      </c>
      <c r="B3737" s="27" t="s">
        <v>1449</v>
      </c>
      <c r="D3737" s="27" t="s">
        <v>1450</v>
      </c>
      <c r="F3737" s="27" t="s">
        <v>1453</v>
      </c>
      <c r="H3737" s="27" t="s">
        <v>1454</v>
      </c>
      <c r="L3737" s="27" t="s">
        <v>19651</v>
      </c>
      <c r="M3737" s="27" t="s">
        <v>19652</v>
      </c>
      <c r="N3737" s="27" t="s">
        <v>845</v>
      </c>
      <c r="P3737" s="27" t="s">
        <v>8143</v>
      </c>
      <c r="Q3737" s="26" t="str">
        <f>HYPERLINK("https://ictv.global/taxonomy/taxondetails?taxnode_id=202512763&amp;ictv_id=ICTV202112763","ICTV202112763")</f>
        <v>ICTV202112763</v>
      </c>
      <c r="R3737" t="s">
        <v>579</v>
      </c>
      <c r="S3737" t="s">
        <v>22763</v>
      </c>
      <c r="T3737">
        <v>40</v>
      </c>
      <c r="U3737" s="26" t="str">
        <f t="shared" si="141"/>
        <v>2024.034B.Stackebrandtviridae_1nf_2nsf_8mg_8ns.zip</v>
      </c>
    </row>
    <row r="3738" spans="1:21">
      <c r="A3738">
        <v>3737</v>
      </c>
      <c r="B3738" s="27" t="s">
        <v>1449</v>
      </c>
      <c r="D3738" s="27" t="s">
        <v>1450</v>
      </c>
      <c r="F3738" s="27" t="s">
        <v>1453</v>
      </c>
      <c r="H3738" s="27" t="s">
        <v>1454</v>
      </c>
      <c r="L3738" s="27" t="s">
        <v>19651</v>
      </c>
      <c r="M3738" s="27" t="s">
        <v>19652</v>
      </c>
      <c r="N3738" s="27" t="s">
        <v>845</v>
      </c>
      <c r="P3738" s="27" t="s">
        <v>8144</v>
      </c>
      <c r="Q3738" s="26" t="str">
        <f>HYPERLINK("https://ictv.global/taxonomy/taxondetails?taxnode_id=202513381&amp;ictv_id=ICTV202113381","ICTV202113381")</f>
        <v>ICTV202113381</v>
      </c>
      <c r="R3738" t="s">
        <v>579</v>
      </c>
      <c r="S3738" t="s">
        <v>22763</v>
      </c>
      <c r="T3738">
        <v>40</v>
      </c>
      <c r="U3738" s="26" t="str">
        <f t="shared" si="141"/>
        <v>2024.034B.Stackebrandtviridae_1nf_2nsf_8mg_8ns.zip</v>
      </c>
    </row>
    <row r="3739" spans="1:21">
      <c r="A3739">
        <v>3738</v>
      </c>
      <c r="B3739" s="27" t="s">
        <v>1449</v>
      </c>
      <c r="D3739" s="27" t="s">
        <v>1450</v>
      </c>
      <c r="F3739" s="27" t="s">
        <v>1453</v>
      </c>
      <c r="H3739" s="27" t="s">
        <v>1454</v>
      </c>
      <c r="L3739" s="27" t="s">
        <v>19651</v>
      </c>
      <c r="M3739" s="27" t="s">
        <v>19652</v>
      </c>
      <c r="N3739" s="27" t="s">
        <v>845</v>
      </c>
      <c r="P3739" s="27" t="s">
        <v>8145</v>
      </c>
      <c r="Q3739" s="26" t="str">
        <f>HYPERLINK("https://ictv.global/taxonomy/taxondetails?taxnode_id=202512767&amp;ictv_id=ICTV202112767","ICTV202112767")</f>
        <v>ICTV202112767</v>
      </c>
      <c r="R3739" t="s">
        <v>579</v>
      </c>
      <c r="S3739" t="s">
        <v>22763</v>
      </c>
      <c r="T3739">
        <v>40</v>
      </c>
      <c r="U3739" s="26" t="str">
        <f t="shared" si="141"/>
        <v>2024.034B.Stackebrandtviridae_1nf_2nsf_8mg_8ns.zip</v>
      </c>
    </row>
    <row r="3740" spans="1:21">
      <c r="A3740">
        <v>3739</v>
      </c>
      <c r="B3740" s="27" t="s">
        <v>1449</v>
      </c>
      <c r="D3740" s="27" t="s">
        <v>1450</v>
      </c>
      <c r="F3740" s="27" t="s">
        <v>1453</v>
      </c>
      <c r="H3740" s="27" t="s">
        <v>1454</v>
      </c>
      <c r="L3740" s="27" t="s">
        <v>19651</v>
      </c>
      <c r="M3740" s="27" t="s">
        <v>19652</v>
      </c>
      <c r="N3740" s="27" t="s">
        <v>845</v>
      </c>
      <c r="P3740" s="27" t="s">
        <v>8146</v>
      </c>
      <c r="Q3740" s="26" t="str">
        <f>HYPERLINK("https://ictv.global/taxonomy/taxondetails?taxnode_id=202513377&amp;ictv_id=ICTV202113377","ICTV202113377")</f>
        <v>ICTV202113377</v>
      </c>
      <c r="R3740" t="s">
        <v>579</v>
      </c>
      <c r="S3740" t="s">
        <v>22763</v>
      </c>
      <c r="T3740">
        <v>40</v>
      </c>
      <c r="U3740" s="26" t="str">
        <f t="shared" si="141"/>
        <v>2024.034B.Stackebrandtviridae_1nf_2nsf_8mg_8ns.zip</v>
      </c>
    </row>
    <row r="3741" spans="1:21">
      <c r="A3741">
        <v>3740</v>
      </c>
      <c r="B3741" s="27" t="s">
        <v>1449</v>
      </c>
      <c r="D3741" s="27" t="s">
        <v>1450</v>
      </c>
      <c r="F3741" s="27" t="s">
        <v>1453</v>
      </c>
      <c r="H3741" s="27" t="s">
        <v>1454</v>
      </c>
      <c r="L3741" s="27" t="s">
        <v>19651</v>
      </c>
      <c r="M3741" s="27" t="s">
        <v>19652</v>
      </c>
      <c r="N3741" s="27" t="s">
        <v>845</v>
      </c>
      <c r="P3741" s="27" t="s">
        <v>8147</v>
      </c>
      <c r="Q3741" s="26" t="str">
        <f>HYPERLINK("https://ictv.global/taxonomy/taxondetails?taxnode_id=202512766&amp;ictv_id=ICTV202112766","ICTV202112766")</f>
        <v>ICTV202112766</v>
      </c>
      <c r="R3741" t="s">
        <v>579</v>
      </c>
      <c r="S3741" t="s">
        <v>22763</v>
      </c>
      <c r="T3741">
        <v>40</v>
      </c>
      <c r="U3741" s="26" t="str">
        <f t="shared" si="141"/>
        <v>2024.034B.Stackebrandtviridae_1nf_2nsf_8mg_8ns.zip</v>
      </c>
    </row>
    <row r="3742" spans="1:21">
      <c r="A3742">
        <v>3741</v>
      </c>
      <c r="B3742" s="27" t="s">
        <v>1449</v>
      </c>
      <c r="D3742" s="27" t="s">
        <v>1450</v>
      </c>
      <c r="F3742" s="27" t="s">
        <v>1453</v>
      </c>
      <c r="H3742" s="27" t="s">
        <v>1454</v>
      </c>
      <c r="L3742" s="27" t="s">
        <v>19651</v>
      </c>
      <c r="M3742" s="27" t="s">
        <v>19652</v>
      </c>
      <c r="N3742" s="27" t="s">
        <v>845</v>
      </c>
      <c r="P3742" s="27" t="s">
        <v>19653</v>
      </c>
      <c r="Q3742" s="26" t="str">
        <f>HYPERLINK("https://ictv.global/taxonomy/taxondetails?taxnode_id=202520849&amp;ictv_id=ICTV202420849","ICTV202420849")</f>
        <v>ICTV202420849</v>
      </c>
      <c r="R3742" t="s">
        <v>579</v>
      </c>
      <c r="S3742" t="s">
        <v>823</v>
      </c>
      <c r="T3742">
        <v>40</v>
      </c>
      <c r="U3742" s="26" t="str">
        <f t="shared" si="141"/>
        <v>2024.034B.Stackebrandtviridae_1nf_2nsf_8mg_8ns.zip</v>
      </c>
    </row>
    <row r="3743" spans="1:21">
      <c r="A3743">
        <v>3742</v>
      </c>
      <c r="B3743" s="27" t="s">
        <v>1449</v>
      </c>
      <c r="D3743" s="27" t="s">
        <v>1450</v>
      </c>
      <c r="F3743" s="27" t="s">
        <v>1453</v>
      </c>
      <c r="H3743" s="27" t="s">
        <v>1454</v>
      </c>
      <c r="L3743" s="27" t="s">
        <v>19651</v>
      </c>
      <c r="M3743" s="27" t="s">
        <v>19652</v>
      </c>
      <c r="N3743" s="27" t="s">
        <v>845</v>
      </c>
      <c r="P3743" s="27" t="s">
        <v>8148</v>
      </c>
      <c r="Q3743" s="26" t="str">
        <f>HYPERLINK("https://ictv.global/taxonomy/taxondetails?taxnode_id=202512768&amp;ictv_id=ICTV202112768","ICTV202112768")</f>
        <v>ICTV202112768</v>
      </c>
      <c r="R3743" t="s">
        <v>579</v>
      </c>
      <c r="S3743" t="s">
        <v>22763</v>
      </c>
      <c r="T3743">
        <v>40</v>
      </c>
      <c r="U3743" s="26" t="str">
        <f t="shared" si="141"/>
        <v>2024.034B.Stackebrandtviridae_1nf_2nsf_8mg_8ns.zip</v>
      </c>
    </row>
    <row r="3744" spans="1:21">
      <c r="A3744">
        <v>3743</v>
      </c>
      <c r="B3744" s="27" t="s">
        <v>1449</v>
      </c>
      <c r="D3744" s="27" t="s">
        <v>1450</v>
      </c>
      <c r="F3744" s="27" t="s">
        <v>1453</v>
      </c>
      <c r="H3744" s="27" t="s">
        <v>1454</v>
      </c>
      <c r="L3744" s="27" t="s">
        <v>19651</v>
      </c>
      <c r="M3744" s="27" t="s">
        <v>19652</v>
      </c>
      <c r="N3744" s="27" t="s">
        <v>845</v>
      </c>
      <c r="P3744" s="27" t="s">
        <v>8149</v>
      </c>
      <c r="Q3744" s="26" t="str">
        <f>HYPERLINK("https://ictv.global/taxonomy/taxondetails?taxnode_id=202513379&amp;ictv_id=ICTV202113379","ICTV202113379")</f>
        <v>ICTV202113379</v>
      </c>
      <c r="R3744" t="s">
        <v>579</v>
      </c>
      <c r="S3744" t="s">
        <v>22763</v>
      </c>
      <c r="T3744">
        <v>40</v>
      </c>
      <c r="U3744" s="26" t="str">
        <f t="shared" si="141"/>
        <v>2024.034B.Stackebrandtviridae_1nf_2nsf_8mg_8ns.zip</v>
      </c>
    </row>
    <row r="3745" spans="1:21">
      <c r="A3745">
        <v>3744</v>
      </c>
      <c r="B3745" s="27" t="s">
        <v>1449</v>
      </c>
      <c r="D3745" s="27" t="s">
        <v>1450</v>
      </c>
      <c r="F3745" s="27" t="s">
        <v>1453</v>
      </c>
      <c r="H3745" s="27" t="s">
        <v>1454</v>
      </c>
      <c r="L3745" s="27" t="s">
        <v>19651</v>
      </c>
      <c r="M3745" s="27" t="s">
        <v>19652</v>
      </c>
      <c r="N3745" s="27" t="s">
        <v>845</v>
      </c>
      <c r="P3745" s="27" t="s">
        <v>8150</v>
      </c>
      <c r="Q3745" s="26" t="str">
        <f>HYPERLINK("https://ictv.global/taxonomy/taxondetails?taxnode_id=202512764&amp;ictv_id=ICTV202112764","ICTV202112764")</f>
        <v>ICTV202112764</v>
      </c>
      <c r="R3745" t="s">
        <v>579</v>
      </c>
      <c r="S3745" t="s">
        <v>22763</v>
      </c>
      <c r="T3745">
        <v>40</v>
      </c>
      <c r="U3745" s="26" t="str">
        <f t="shared" si="141"/>
        <v>2024.034B.Stackebrandtviridae_1nf_2nsf_8mg_8ns.zip</v>
      </c>
    </row>
    <row r="3746" spans="1:21">
      <c r="A3746">
        <v>3745</v>
      </c>
      <c r="B3746" s="27" t="s">
        <v>1449</v>
      </c>
      <c r="D3746" s="27" t="s">
        <v>1450</v>
      </c>
      <c r="F3746" s="27" t="s">
        <v>1453</v>
      </c>
      <c r="H3746" s="27" t="s">
        <v>1454</v>
      </c>
      <c r="L3746" s="27" t="s">
        <v>19651</v>
      </c>
      <c r="M3746" s="27" t="s">
        <v>19652</v>
      </c>
      <c r="N3746" s="27" t="s">
        <v>845</v>
      </c>
      <c r="P3746" s="27" t="s">
        <v>8151</v>
      </c>
      <c r="Q3746" s="26" t="str">
        <f>HYPERLINK("https://ictv.global/taxonomy/taxondetails?taxnode_id=202513375&amp;ictv_id=ICTV202113375","ICTV202113375")</f>
        <v>ICTV202113375</v>
      </c>
      <c r="R3746" t="s">
        <v>579</v>
      </c>
      <c r="S3746" t="s">
        <v>22763</v>
      </c>
      <c r="T3746">
        <v>40</v>
      </c>
      <c r="U3746" s="26" t="str">
        <f t="shared" si="141"/>
        <v>2024.034B.Stackebrandtviridae_1nf_2nsf_8mg_8ns.zip</v>
      </c>
    </row>
    <row r="3747" spans="1:21">
      <c r="A3747">
        <v>3746</v>
      </c>
      <c r="B3747" s="27" t="s">
        <v>1449</v>
      </c>
      <c r="D3747" s="27" t="s">
        <v>1450</v>
      </c>
      <c r="F3747" s="27" t="s">
        <v>1453</v>
      </c>
      <c r="H3747" s="27" t="s">
        <v>1454</v>
      </c>
      <c r="L3747" s="27" t="s">
        <v>19651</v>
      </c>
      <c r="M3747" s="27" t="s">
        <v>19652</v>
      </c>
      <c r="N3747" s="27" t="s">
        <v>845</v>
      </c>
      <c r="P3747" s="27" t="s">
        <v>8152</v>
      </c>
      <c r="Q3747" s="26" t="str">
        <f>HYPERLINK("https://ictv.global/taxonomy/taxondetails?taxnode_id=202513378&amp;ictv_id=ICTV202113378","ICTV202113378")</f>
        <v>ICTV202113378</v>
      </c>
      <c r="R3747" t="s">
        <v>579</v>
      </c>
      <c r="S3747" t="s">
        <v>22763</v>
      </c>
      <c r="T3747">
        <v>40</v>
      </c>
      <c r="U3747" s="26" t="str">
        <f t="shared" si="141"/>
        <v>2024.034B.Stackebrandtviridae_1nf_2nsf_8mg_8ns.zip</v>
      </c>
    </row>
    <row r="3748" spans="1:21">
      <c r="A3748">
        <v>3747</v>
      </c>
      <c r="B3748" s="27" t="s">
        <v>1449</v>
      </c>
      <c r="D3748" s="27" t="s">
        <v>1450</v>
      </c>
      <c r="F3748" s="27" t="s">
        <v>1453</v>
      </c>
      <c r="H3748" s="27" t="s">
        <v>1454</v>
      </c>
      <c r="L3748" s="27" t="s">
        <v>19651</v>
      </c>
      <c r="M3748" s="27" t="s">
        <v>19652</v>
      </c>
      <c r="N3748" s="27" t="s">
        <v>845</v>
      </c>
      <c r="P3748" s="27" t="s">
        <v>8153</v>
      </c>
      <c r="Q3748" s="26" t="str">
        <f>HYPERLINK("https://ictv.global/taxonomy/taxondetails?taxnode_id=202513374&amp;ictv_id=ICTV202113374","ICTV202113374")</f>
        <v>ICTV202113374</v>
      </c>
      <c r="R3748" t="s">
        <v>579</v>
      </c>
      <c r="S3748" t="s">
        <v>22763</v>
      </c>
      <c r="T3748">
        <v>40</v>
      </c>
      <c r="U3748" s="26" t="str">
        <f t="shared" si="141"/>
        <v>2024.034B.Stackebrandtviridae_1nf_2nsf_8mg_8ns.zip</v>
      </c>
    </row>
    <row r="3749" spans="1:21">
      <c r="A3749">
        <v>3748</v>
      </c>
      <c r="B3749" s="27" t="s">
        <v>1449</v>
      </c>
      <c r="D3749" s="27" t="s">
        <v>1450</v>
      </c>
      <c r="F3749" s="27" t="s">
        <v>1453</v>
      </c>
      <c r="H3749" s="27" t="s">
        <v>1454</v>
      </c>
      <c r="L3749" s="27" t="s">
        <v>19651</v>
      </c>
      <c r="M3749" s="27" t="s">
        <v>19652</v>
      </c>
      <c r="N3749" s="27" t="s">
        <v>845</v>
      </c>
      <c r="P3749" s="27" t="s">
        <v>8154</v>
      </c>
      <c r="Q3749" s="26" t="str">
        <f>HYPERLINK("https://ictv.global/taxonomy/taxondetails?taxnode_id=202513382&amp;ictv_id=ICTV202113382","ICTV202113382")</f>
        <v>ICTV202113382</v>
      </c>
      <c r="R3749" t="s">
        <v>579</v>
      </c>
      <c r="S3749" t="s">
        <v>22763</v>
      </c>
      <c r="T3749">
        <v>40</v>
      </c>
      <c r="U3749" s="26" t="str">
        <f t="shared" si="141"/>
        <v>2024.034B.Stackebrandtviridae_1nf_2nsf_8mg_8ns.zip</v>
      </c>
    </row>
    <row r="3750" spans="1:21">
      <c r="A3750">
        <v>3749</v>
      </c>
      <c r="B3750" s="27" t="s">
        <v>1449</v>
      </c>
      <c r="D3750" s="27" t="s">
        <v>1450</v>
      </c>
      <c r="F3750" s="27" t="s">
        <v>1453</v>
      </c>
      <c r="H3750" s="27" t="s">
        <v>1454</v>
      </c>
      <c r="L3750" s="27" t="s">
        <v>19651</v>
      </c>
      <c r="M3750" s="27" t="s">
        <v>19652</v>
      </c>
      <c r="N3750" s="27" t="s">
        <v>845</v>
      </c>
      <c r="P3750" s="27" t="s">
        <v>8155</v>
      </c>
      <c r="Q3750" s="26" t="str">
        <f>HYPERLINK("https://ictv.global/taxonomy/taxondetails?taxnode_id=202513376&amp;ictv_id=ICTV202113376","ICTV202113376")</f>
        <v>ICTV202113376</v>
      </c>
      <c r="R3750" t="s">
        <v>579</v>
      </c>
      <c r="S3750" t="s">
        <v>22763</v>
      </c>
      <c r="T3750">
        <v>40</v>
      </c>
      <c r="U3750" s="26" t="str">
        <f t="shared" si="141"/>
        <v>2024.034B.Stackebrandtviridae_1nf_2nsf_8mg_8ns.zip</v>
      </c>
    </row>
    <row r="3751" spans="1:21">
      <c r="A3751">
        <v>3750</v>
      </c>
      <c r="B3751" s="27" t="s">
        <v>1449</v>
      </c>
      <c r="D3751" s="27" t="s">
        <v>1450</v>
      </c>
      <c r="F3751" s="27" t="s">
        <v>1453</v>
      </c>
      <c r="H3751" s="27" t="s">
        <v>1454</v>
      </c>
      <c r="L3751" s="27" t="s">
        <v>19651</v>
      </c>
      <c r="M3751" s="27" t="s">
        <v>19652</v>
      </c>
      <c r="N3751" s="27" t="s">
        <v>845</v>
      </c>
      <c r="P3751" s="27" t="s">
        <v>8156</v>
      </c>
      <c r="Q3751" s="26" t="str">
        <f>HYPERLINK("https://ictv.global/taxonomy/taxondetails?taxnode_id=202512765&amp;ictv_id=ICTV202112765","ICTV202112765")</f>
        <v>ICTV202112765</v>
      </c>
      <c r="R3751" t="s">
        <v>579</v>
      </c>
      <c r="S3751" t="s">
        <v>22763</v>
      </c>
      <c r="T3751">
        <v>40</v>
      </c>
      <c r="U3751" s="26" t="str">
        <f t="shared" si="141"/>
        <v>2024.034B.Stackebrandtviridae_1nf_2nsf_8mg_8ns.zip</v>
      </c>
    </row>
    <row r="3752" spans="1:21">
      <c r="A3752">
        <v>3751</v>
      </c>
      <c r="B3752" s="27" t="s">
        <v>1449</v>
      </c>
      <c r="D3752" s="27" t="s">
        <v>1450</v>
      </c>
      <c r="F3752" s="27" t="s">
        <v>1453</v>
      </c>
      <c r="H3752" s="27" t="s">
        <v>1454</v>
      </c>
      <c r="L3752" s="27" t="s">
        <v>19651</v>
      </c>
      <c r="M3752" s="27" t="s">
        <v>19652</v>
      </c>
      <c r="N3752" s="27" t="s">
        <v>845</v>
      </c>
      <c r="P3752" s="27" t="s">
        <v>8157</v>
      </c>
      <c r="Q3752" s="26" t="str">
        <f>HYPERLINK("https://ictv.global/taxonomy/taxondetails?taxnode_id=202505567&amp;ictv_id=ICTV20175567","ICTV20175567")</f>
        <v>ICTV20175567</v>
      </c>
      <c r="R3752" t="s">
        <v>579</v>
      </c>
      <c r="S3752" t="s">
        <v>22763</v>
      </c>
      <c r="T3752">
        <v>40</v>
      </c>
      <c r="U3752" s="26" t="str">
        <f t="shared" si="141"/>
        <v>2024.034B.Stackebrandtviridae_1nf_2nsf_8mg_8ns.zip</v>
      </c>
    </row>
    <row r="3753" spans="1:21">
      <c r="A3753">
        <v>3752</v>
      </c>
      <c r="B3753" s="27" t="s">
        <v>1449</v>
      </c>
      <c r="D3753" s="27" t="s">
        <v>1450</v>
      </c>
      <c r="F3753" s="27" t="s">
        <v>1453</v>
      </c>
      <c r="H3753" s="27" t="s">
        <v>1454</v>
      </c>
      <c r="L3753" s="27" t="s">
        <v>19651</v>
      </c>
      <c r="M3753" s="27" t="s">
        <v>19652</v>
      </c>
      <c r="N3753" s="27" t="s">
        <v>845</v>
      </c>
      <c r="P3753" s="27" t="s">
        <v>8158</v>
      </c>
      <c r="Q3753" s="26" t="str">
        <f>HYPERLINK("https://ictv.global/taxonomy/taxondetails?taxnode_id=202513380&amp;ictv_id=ICTV202113380","ICTV202113380")</f>
        <v>ICTV202113380</v>
      </c>
      <c r="R3753" t="s">
        <v>579</v>
      </c>
      <c r="S3753" t="s">
        <v>22763</v>
      </c>
      <c r="T3753">
        <v>40</v>
      </c>
      <c r="U3753" s="26" t="str">
        <f t="shared" si="141"/>
        <v>2024.034B.Stackebrandtviridae_1nf_2nsf_8mg_8ns.zip</v>
      </c>
    </row>
    <row r="3754" spans="1:21">
      <c r="A3754">
        <v>3753</v>
      </c>
      <c r="B3754" s="27" t="s">
        <v>1449</v>
      </c>
      <c r="D3754" s="27" t="s">
        <v>1450</v>
      </c>
      <c r="F3754" s="27" t="s">
        <v>1453</v>
      </c>
      <c r="H3754" s="27" t="s">
        <v>1454</v>
      </c>
      <c r="L3754" s="27" t="s">
        <v>19651</v>
      </c>
      <c r="M3754" s="27" t="s">
        <v>19652</v>
      </c>
      <c r="N3754" s="27" t="s">
        <v>845</v>
      </c>
      <c r="P3754" s="27" t="s">
        <v>8159</v>
      </c>
      <c r="Q3754" s="26" t="str">
        <f>HYPERLINK("https://ictv.global/taxonomy/taxondetails?taxnode_id=202513383&amp;ictv_id=ICTV202113383","ICTV202113383")</f>
        <v>ICTV202113383</v>
      </c>
      <c r="R3754" t="s">
        <v>579</v>
      </c>
      <c r="S3754" t="s">
        <v>22763</v>
      </c>
      <c r="T3754">
        <v>40</v>
      </c>
      <c r="U3754" s="26" t="str">
        <f t="shared" si="141"/>
        <v>2024.034B.Stackebrandtviridae_1nf_2nsf_8mg_8ns.zip</v>
      </c>
    </row>
    <row r="3755" spans="1:21">
      <c r="A3755">
        <v>3754</v>
      </c>
      <c r="B3755" s="27" t="s">
        <v>1449</v>
      </c>
      <c r="D3755" s="27" t="s">
        <v>1450</v>
      </c>
      <c r="F3755" s="27" t="s">
        <v>1453</v>
      </c>
      <c r="H3755" s="27" t="s">
        <v>1454</v>
      </c>
      <c r="L3755" s="27" t="s">
        <v>19651</v>
      </c>
      <c r="M3755" s="27" t="s">
        <v>19652</v>
      </c>
      <c r="N3755" s="27" t="s">
        <v>845</v>
      </c>
      <c r="P3755" s="27" t="s">
        <v>8160</v>
      </c>
      <c r="Q3755" s="26" t="str">
        <f>HYPERLINK("https://ictv.global/taxonomy/taxondetails?taxnode_id=202505568&amp;ictv_id=ICTV20175568","ICTV20175568")</f>
        <v>ICTV20175568</v>
      </c>
      <c r="R3755" t="s">
        <v>579</v>
      </c>
      <c r="S3755" t="s">
        <v>22763</v>
      </c>
      <c r="T3755">
        <v>40</v>
      </c>
      <c r="U3755" s="26" t="str">
        <f t="shared" si="141"/>
        <v>2024.034B.Stackebrandtviridae_1nf_2nsf_8mg_8ns.zip</v>
      </c>
    </row>
    <row r="3756" spans="1:21">
      <c r="A3756">
        <v>3755</v>
      </c>
      <c r="B3756" s="27" t="s">
        <v>1449</v>
      </c>
      <c r="D3756" s="27" t="s">
        <v>1450</v>
      </c>
      <c r="F3756" s="27" t="s">
        <v>1453</v>
      </c>
      <c r="H3756" s="27" t="s">
        <v>1454</v>
      </c>
      <c r="L3756" s="27" t="s">
        <v>19651</v>
      </c>
      <c r="M3756" s="27" t="s">
        <v>19654</v>
      </c>
      <c r="N3756" s="27" t="s">
        <v>6899</v>
      </c>
      <c r="P3756" s="27" t="s">
        <v>6900</v>
      </c>
      <c r="Q3756" s="26" t="str">
        <f>HYPERLINK("https://ictv.global/taxonomy/taxondetails?taxnode_id=202513518&amp;ictv_id=ICTV202113518","ICTV202113518")</f>
        <v>ICTV202113518</v>
      </c>
      <c r="R3756" t="s">
        <v>579</v>
      </c>
      <c r="S3756" t="s">
        <v>22763</v>
      </c>
      <c r="T3756">
        <v>40</v>
      </c>
      <c r="U3756" s="26" t="str">
        <f t="shared" si="141"/>
        <v>2024.034B.Stackebrandtviridae_1nf_2nsf_8mg_8ns.zip</v>
      </c>
    </row>
    <row r="3757" spans="1:21">
      <c r="A3757">
        <v>3756</v>
      </c>
      <c r="B3757" s="27" t="s">
        <v>1449</v>
      </c>
      <c r="D3757" s="27" t="s">
        <v>1450</v>
      </c>
      <c r="F3757" s="27" t="s">
        <v>1453</v>
      </c>
      <c r="H3757" s="27" t="s">
        <v>1454</v>
      </c>
      <c r="L3757" s="27" t="s">
        <v>19651</v>
      </c>
      <c r="M3757" s="27" t="s">
        <v>19654</v>
      </c>
      <c r="N3757" s="27" t="s">
        <v>6899</v>
      </c>
      <c r="P3757" s="27" t="s">
        <v>6901</v>
      </c>
      <c r="Q3757" s="26" t="str">
        <f>HYPERLINK("https://ictv.global/taxonomy/taxondetails?taxnode_id=202513519&amp;ictv_id=ICTV202113519","ICTV202113519")</f>
        <v>ICTV202113519</v>
      </c>
      <c r="R3757" t="s">
        <v>579</v>
      </c>
      <c r="S3757" t="s">
        <v>22763</v>
      </c>
      <c r="T3757">
        <v>40</v>
      </c>
      <c r="U3757" s="26" t="str">
        <f t="shared" si="141"/>
        <v>2024.034B.Stackebrandtviridae_1nf_2nsf_8mg_8ns.zip</v>
      </c>
    </row>
    <row r="3758" spans="1:21">
      <c r="A3758">
        <v>3757</v>
      </c>
      <c r="B3758" s="27" t="s">
        <v>1449</v>
      </c>
      <c r="D3758" s="27" t="s">
        <v>1450</v>
      </c>
      <c r="F3758" s="27" t="s">
        <v>1453</v>
      </c>
      <c r="H3758" s="27" t="s">
        <v>1454</v>
      </c>
      <c r="L3758" s="27" t="s">
        <v>19651</v>
      </c>
      <c r="M3758" s="27" t="s">
        <v>19654</v>
      </c>
      <c r="N3758" s="27" t="s">
        <v>6899</v>
      </c>
      <c r="P3758" s="27" t="s">
        <v>19655</v>
      </c>
      <c r="Q3758" s="26" t="str">
        <f>HYPERLINK("https://ictv.global/taxonomy/taxondetails?taxnode_id=202520851&amp;ictv_id=ICTV202420851","ICTV202420851")</f>
        <v>ICTV202420851</v>
      </c>
      <c r="R3758" t="s">
        <v>579</v>
      </c>
      <c r="S3758" t="s">
        <v>823</v>
      </c>
      <c r="T3758">
        <v>40</v>
      </c>
      <c r="U3758" s="26" t="str">
        <f t="shared" si="141"/>
        <v>2024.034B.Stackebrandtviridae_1nf_2nsf_8mg_8ns.zip</v>
      </c>
    </row>
    <row r="3759" spans="1:21">
      <c r="A3759">
        <v>3758</v>
      </c>
      <c r="B3759" s="27" t="s">
        <v>1449</v>
      </c>
      <c r="D3759" s="27" t="s">
        <v>1450</v>
      </c>
      <c r="F3759" s="27" t="s">
        <v>1453</v>
      </c>
      <c r="H3759" s="27" t="s">
        <v>1454</v>
      </c>
      <c r="L3759" s="27" t="s">
        <v>19651</v>
      </c>
      <c r="M3759" s="27" t="s">
        <v>19654</v>
      </c>
      <c r="N3759" s="27" t="s">
        <v>6899</v>
      </c>
      <c r="P3759" s="27" t="s">
        <v>6902</v>
      </c>
      <c r="Q3759" s="26" t="str">
        <f>HYPERLINK("https://ictv.global/taxonomy/taxondetails?taxnode_id=202513520&amp;ictv_id=ICTV202113520","ICTV202113520")</f>
        <v>ICTV202113520</v>
      </c>
      <c r="R3759" t="s">
        <v>579</v>
      </c>
      <c r="S3759" t="s">
        <v>22763</v>
      </c>
      <c r="T3759">
        <v>40</v>
      </c>
      <c r="U3759" s="26" t="str">
        <f t="shared" si="141"/>
        <v>2024.034B.Stackebrandtviridae_1nf_2nsf_8mg_8ns.zip</v>
      </c>
    </row>
    <row r="3760" spans="1:21">
      <c r="A3760">
        <v>3759</v>
      </c>
      <c r="B3760" s="27" t="s">
        <v>1449</v>
      </c>
      <c r="D3760" s="27" t="s">
        <v>1450</v>
      </c>
      <c r="F3760" s="27" t="s">
        <v>1453</v>
      </c>
      <c r="H3760" s="27" t="s">
        <v>1454</v>
      </c>
      <c r="L3760" s="27" t="s">
        <v>19651</v>
      </c>
      <c r="M3760" s="27" t="s">
        <v>19654</v>
      </c>
      <c r="N3760" s="27" t="s">
        <v>7263</v>
      </c>
      <c r="P3760" s="27" t="s">
        <v>7264</v>
      </c>
      <c r="Q3760" s="26" t="str">
        <f>HYPERLINK("https://ictv.global/taxonomy/taxondetails?taxnode_id=202512385&amp;ictv_id=ICTV202112385","ICTV202112385")</f>
        <v>ICTV202112385</v>
      </c>
      <c r="R3760" t="s">
        <v>579</v>
      </c>
      <c r="S3760" t="s">
        <v>22763</v>
      </c>
      <c r="T3760">
        <v>40</v>
      </c>
      <c r="U3760" s="26" t="str">
        <f t="shared" si="141"/>
        <v>2024.034B.Stackebrandtviridae_1nf_2nsf_8mg_8ns.zip</v>
      </c>
    </row>
    <row r="3761" spans="1:21">
      <c r="A3761">
        <v>3760</v>
      </c>
      <c r="B3761" s="27" t="s">
        <v>1449</v>
      </c>
      <c r="D3761" s="27" t="s">
        <v>1450</v>
      </c>
      <c r="F3761" s="27" t="s">
        <v>1453</v>
      </c>
      <c r="H3761" s="27" t="s">
        <v>1454</v>
      </c>
      <c r="L3761" s="27" t="s">
        <v>19651</v>
      </c>
      <c r="M3761" s="27" t="s">
        <v>19654</v>
      </c>
      <c r="N3761" s="27" t="s">
        <v>7263</v>
      </c>
      <c r="P3761" s="27" t="s">
        <v>7265</v>
      </c>
      <c r="Q3761" s="26" t="str">
        <f>HYPERLINK("https://ictv.global/taxonomy/taxondetails?taxnode_id=202512387&amp;ictv_id=ICTV202112387","ICTV202112387")</f>
        <v>ICTV202112387</v>
      </c>
      <c r="R3761" t="s">
        <v>579</v>
      </c>
      <c r="S3761" t="s">
        <v>22763</v>
      </c>
      <c r="T3761">
        <v>40</v>
      </c>
      <c r="U3761" s="26" t="str">
        <f t="shared" si="141"/>
        <v>2024.034B.Stackebrandtviridae_1nf_2nsf_8mg_8ns.zip</v>
      </c>
    </row>
    <row r="3762" spans="1:21">
      <c r="A3762">
        <v>3761</v>
      </c>
      <c r="B3762" s="27" t="s">
        <v>1449</v>
      </c>
      <c r="D3762" s="27" t="s">
        <v>1450</v>
      </c>
      <c r="F3762" s="27" t="s">
        <v>1453</v>
      </c>
      <c r="H3762" s="27" t="s">
        <v>1454</v>
      </c>
      <c r="L3762" s="27" t="s">
        <v>19651</v>
      </c>
      <c r="M3762" s="27" t="s">
        <v>19654</v>
      </c>
      <c r="N3762" s="27" t="s">
        <v>7263</v>
      </c>
      <c r="P3762" s="27" t="s">
        <v>7266</v>
      </c>
      <c r="Q3762" s="26" t="str">
        <f>HYPERLINK("https://ictv.global/taxonomy/taxondetails?taxnode_id=202512386&amp;ictv_id=ICTV202112386","ICTV202112386")</f>
        <v>ICTV202112386</v>
      </c>
      <c r="R3762" t="s">
        <v>579</v>
      </c>
      <c r="S3762" t="s">
        <v>22763</v>
      </c>
      <c r="T3762">
        <v>40</v>
      </c>
      <c r="U3762" s="26" t="str">
        <f t="shared" si="141"/>
        <v>2024.034B.Stackebrandtviridae_1nf_2nsf_8mg_8ns.zip</v>
      </c>
    </row>
    <row r="3763" spans="1:21">
      <c r="A3763">
        <v>3762</v>
      </c>
      <c r="B3763" s="27" t="s">
        <v>1449</v>
      </c>
      <c r="D3763" s="27" t="s">
        <v>1450</v>
      </c>
      <c r="F3763" s="27" t="s">
        <v>1453</v>
      </c>
      <c r="H3763" s="27" t="s">
        <v>1454</v>
      </c>
      <c r="L3763" s="27" t="s">
        <v>19651</v>
      </c>
      <c r="M3763" s="27" t="s">
        <v>19654</v>
      </c>
      <c r="N3763" s="27" t="s">
        <v>7263</v>
      </c>
      <c r="P3763" s="27" t="s">
        <v>7267</v>
      </c>
      <c r="Q3763" s="26" t="str">
        <f>HYPERLINK("https://ictv.global/taxonomy/taxondetails?taxnode_id=202512383&amp;ictv_id=ICTV202112383","ICTV202112383")</f>
        <v>ICTV202112383</v>
      </c>
      <c r="R3763" t="s">
        <v>579</v>
      </c>
      <c r="S3763" t="s">
        <v>22763</v>
      </c>
      <c r="T3763">
        <v>40</v>
      </c>
      <c r="U3763" s="26" t="str">
        <f t="shared" si="141"/>
        <v>2024.034B.Stackebrandtviridae_1nf_2nsf_8mg_8ns.zip</v>
      </c>
    </row>
    <row r="3764" spans="1:21">
      <c r="A3764">
        <v>3763</v>
      </c>
      <c r="B3764" s="27" t="s">
        <v>1449</v>
      </c>
      <c r="D3764" s="27" t="s">
        <v>1450</v>
      </c>
      <c r="F3764" s="27" t="s">
        <v>1453</v>
      </c>
      <c r="H3764" s="27" t="s">
        <v>1454</v>
      </c>
      <c r="L3764" s="27" t="s">
        <v>19651</v>
      </c>
      <c r="M3764" s="27" t="s">
        <v>19654</v>
      </c>
      <c r="N3764" s="27" t="s">
        <v>7263</v>
      </c>
      <c r="P3764" s="27" t="s">
        <v>7268</v>
      </c>
      <c r="Q3764" s="26" t="str">
        <f>HYPERLINK("https://ictv.global/taxonomy/taxondetails?taxnode_id=202512382&amp;ictv_id=ICTV202112382","ICTV202112382")</f>
        <v>ICTV202112382</v>
      </c>
      <c r="R3764" t="s">
        <v>579</v>
      </c>
      <c r="S3764" t="s">
        <v>22763</v>
      </c>
      <c r="T3764">
        <v>40</v>
      </c>
      <c r="U3764" s="26" t="str">
        <f t="shared" si="141"/>
        <v>2024.034B.Stackebrandtviridae_1nf_2nsf_8mg_8ns.zip</v>
      </c>
    </row>
    <row r="3765" spans="1:21">
      <c r="A3765">
        <v>3764</v>
      </c>
      <c r="B3765" s="27" t="s">
        <v>1449</v>
      </c>
      <c r="D3765" s="27" t="s">
        <v>1450</v>
      </c>
      <c r="F3765" s="27" t="s">
        <v>1453</v>
      </c>
      <c r="H3765" s="27" t="s">
        <v>1454</v>
      </c>
      <c r="L3765" s="27" t="s">
        <v>19651</v>
      </c>
      <c r="M3765" s="27" t="s">
        <v>19654</v>
      </c>
      <c r="N3765" s="27" t="s">
        <v>7263</v>
      </c>
      <c r="P3765" s="27" t="s">
        <v>7269</v>
      </c>
      <c r="Q3765" s="26" t="str">
        <f>HYPERLINK("https://ictv.global/taxonomy/taxondetails?taxnode_id=202512389&amp;ictv_id=ICTV202112389","ICTV202112389")</f>
        <v>ICTV202112389</v>
      </c>
      <c r="R3765" t="s">
        <v>579</v>
      </c>
      <c r="S3765" t="s">
        <v>22763</v>
      </c>
      <c r="T3765">
        <v>40</v>
      </c>
      <c r="U3765" s="26" t="str">
        <f t="shared" si="141"/>
        <v>2024.034B.Stackebrandtviridae_1nf_2nsf_8mg_8ns.zip</v>
      </c>
    </row>
    <row r="3766" spans="1:21">
      <c r="A3766">
        <v>3765</v>
      </c>
      <c r="B3766" s="27" t="s">
        <v>1449</v>
      </c>
      <c r="D3766" s="27" t="s">
        <v>1450</v>
      </c>
      <c r="F3766" s="27" t="s">
        <v>1453</v>
      </c>
      <c r="H3766" s="27" t="s">
        <v>1454</v>
      </c>
      <c r="L3766" s="27" t="s">
        <v>19651</v>
      </c>
      <c r="M3766" s="27" t="s">
        <v>19654</v>
      </c>
      <c r="N3766" s="27" t="s">
        <v>7263</v>
      </c>
      <c r="P3766" s="27" t="s">
        <v>7270</v>
      </c>
      <c r="Q3766" s="26" t="str">
        <f>HYPERLINK("https://ictv.global/taxonomy/taxondetails?taxnode_id=202512388&amp;ictv_id=ICTV202112388","ICTV202112388")</f>
        <v>ICTV202112388</v>
      </c>
      <c r="R3766" t="s">
        <v>579</v>
      </c>
      <c r="S3766" t="s">
        <v>22763</v>
      </c>
      <c r="T3766">
        <v>40</v>
      </c>
      <c r="U3766" s="26" t="str">
        <f t="shared" si="141"/>
        <v>2024.034B.Stackebrandtviridae_1nf_2nsf_8mg_8ns.zip</v>
      </c>
    </row>
    <row r="3767" spans="1:21">
      <c r="A3767">
        <v>3766</v>
      </c>
      <c r="B3767" s="27" t="s">
        <v>1449</v>
      </c>
      <c r="D3767" s="27" t="s">
        <v>1450</v>
      </c>
      <c r="F3767" s="27" t="s">
        <v>1453</v>
      </c>
      <c r="H3767" s="27" t="s">
        <v>1454</v>
      </c>
      <c r="L3767" s="27" t="s">
        <v>19651</v>
      </c>
      <c r="M3767" s="27" t="s">
        <v>19654</v>
      </c>
      <c r="N3767" s="27" t="s">
        <v>7263</v>
      </c>
      <c r="P3767" s="27" t="s">
        <v>7271</v>
      </c>
      <c r="Q3767" s="26" t="str">
        <f>HYPERLINK("https://ictv.global/taxonomy/taxondetails?taxnode_id=202512384&amp;ictv_id=ICTV202112384","ICTV202112384")</f>
        <v>ICTV202112384</v>
      </c>
      <c r="R3767" t="s">
        <v>579</v>
      </c>
      <c r="S3767" t="s">
        <v>22763</v>
      </c>
      <c r="T3767">
        <v>40</v>
      </c>
      <c r="U3767" s="26" t="str">
        <f t="shared" si="141"/>
        <v>2024.034B.Stackebrandtviridae_1nf_2nsf_8mg_8ns.zip</v>
      </c>
    </row>
    <row r="3768" spans="1:21">
      <c r="A3768">
        <v>3767</v>
      </c>
      <c r="B3768" s="27" t="s">
        <v>1449</v>
      </c>
      <c r="D3768" s="27" t="s">
        <v>1450</v>
      </c>
      <c r="F3768" s="27" t="s">
        <v>1453</v>
      </c>
      <c r="H3768" s="27" t="s">
        <v>1454</v>
      </c>
      <c r="L3768" s="27" t="s">
        <v>19651</v>
      </c>
      <c r="M3768" s="27" t="s">
        <v>19654</v>
      </c>
      <c r="N3768" s="27" t="s">
        <v>7320</v>
      </c>
      <c r="P3768" s="27" t="s">
        <v>7321</v>
      </c>
      <c r="Q3768" s="26" t="str">
        <f>HYPERLINK("https://ictv.global/taxonomy/taxondetails?taxnode_id=202512398&amp;ictv_id=ICTV202112398","ICTV202112398")</f>
        <v>ICTV202112398</v>
      </c>
      <c r="R3768" t="s">
        <v>579</v>
      </c>
      <c r="S3768" t="s">
        <v>22763</v>
      </c>
      <c r="T3768">
        <v>40</v>
      </c>
      <c r="U3768" s="26" t="str">
        <f t="shared" si="141"/>
        <v>2024.034B.Stackebrandtviridae_1nf_2nsf_8mg_8ns.zip</v>
      </c>
    </row>
    <row r="3769" spans="1:21">
      <c r="A3769">
        <v>3768</v>
      </c>
      <c r="B3769" s="27" t="s">
        <v>1449</v>
      </c>
      <c r="D3769" s="27" t="s">
        <v>1450</v>
      </c>
      <c r="F3769" s="27" t="s">
        <v>1453</v>
      </c>
      <c r="H3769" s="27" t="s">
        <v>1454</v>
      </c>
      <c r="L3769" s="27" t="s">
        <v>19651</v>
      </c>
      <c r="M3769" s="27" t="s">
        <v>19654</v>
      </c>
      <c r="N3769" s="27" t="s">
        <v>7320</v>
      </c>
      <c r="P3769" s="27" t="s">
        <v>7322</v>
      </c>
      <c r="Q3769" s="26" t="str">
        <f>HYPERLINK("https://ictv.global/taxonomy/taxondetails?taxnode_id=202512396&amp;ictv_id=ICTV202112396","ICTV202112396")</f>
        <v>ICTV202112396</v>
      </c>
      <c r="R3769" t="s">
        <v>579</v>
      </c>
      <c r="S3769" t="s">
        <v>22763</v>
      </c>
      <c r="T3769">
        <v>40</v>
      </c>
      <c r="U3769" s="26" t="str">
        <f t="shared" si="141"/>
        <v>2024.034B.Stackebrandtviridae_1nf_2nsf_8mg_8ns.zip</v>
      </c>
    </row>
    <row r="3770" spans="1:21">
      <c r="A3770">
        <v>3769</v>
      </c>
      <c r="B3770" s="27" t="s">
        <v>1449</v>
      </c>
      <c r="D3770" s="27" t="s">
        <v>1450</v>
      </c>
      <c r="F3770" s="27" t="s">
        <v>1453</v>
      </c>
      <c r="H3770" s="27" t="s">
        <v>1454</v>
      </c>
      <c r="L3770" s="27" t="s">
        <v>19651</v>
      </c>
      <c r="M3770" s="27" t="s">
        <v>19654</v>
      </c>
      <c r="N3770" s="27" t="s">
        <v>7320</v>
      </c>
      <c r="P3770" s="27" t="s">
        <v>7323</v>
      </c>
      <c r="Q3770" s="26" t="str">
        <f>HYPERLINK("https://ictv.global/taxonomy/taxondetails?taxnode_id=202512395&amp;ictv_id=ICTV202112395","ICTV202112395")</f>
        <v>ICTV202112395</v>
      </c>
      <c r="R3770" t="s">
        <v>579</v>
      </c>
      <c r="S3770" t="s">
        <v>22763</v>
      </c>
      <c r="T3770">
        <v>40</v>
      </c>
      <c r="U3770" s="26" t="str">
        <f t="shared" si="141"/>
        <v>2024.034B.Stackebrandtviridae_1nf_2nsf_8mg_8ns.zip</v>
      </c>
    </row>
    <row r="3771" spans="1:21">
      <c r="A3771">
        <v>3770</v>
      </c>
      <c r="B3771" s="27" t="s">
        <v>1449</v>
      </c>
      <c r="D3771" s="27" t="s">
        <v>1450</v>
      </c>
      <c r="F3771" s="27" t="s">
        <v>1453</v>
      </c>
      <c r="H3771" s="27" t="s">
        <v>1454</v>
      </c>
      <c r="L3771" s="27" t="s">
        <v>19651</v>
      </c>
      <c r="M3771" s="27" t="s">
        <v>19654</v>
      </c>
      <c r="N3771" s="27" t="s">
        <v>7320</v>
      </c>
      <c r="P3771" s="27" t="s">
        <v>7324</v>
      </c>
      <c r="Q3771" s="26" t="str">
        <f>HYPERLINK("https://ictv.global/taxonomy/taxondetails?taxnode_id=202512397&amp;ictv_id=ICTV202112397","ICTV202112397")</f>
        <v>ICTV202112397</v>
      </c>
      <c r="R3771" t="s">
        <v>579</v>
      </c>
      <c r="S3771" t="s">
        <v>22763</v>
      </c>
      <c r="T3771">
        <v>40</v>
      </c>
      <c r="U3771" s="26" t="str">
        <f t="shared" si="141"/>
        <v>2024.034B.Stackebrandtviridae_1nf_2nsf_8mg_8ns.zip</v>
      </c>
    </row>
    <row r="3772" spans="1:21">
      <c r="A3772">
        <v>3771</v>
      </c>
      <c r="B3772" s="27" t="s">
        <v>1449</v>
      </c>
      <c r="D3772" s="27" t="s">
        <v>1450</v>
      </c>
      <c r="F3772" s="27" t="s">
        <v>1453</v>
      </c>
      <c r="H3772" s="27" t="s">
        <v>1454</v>
      </c>
      <c r="L3772" s="27" t="s">
        <v>19651</v>
      </c>
      <c r="M3772" s="27" t="s">
        <v>19654</v>
      </c>
      <c r="N3772" s="27" t="s">
        <v>7320</v>
      </c>
      <c r="P3772" s="27" t="s">
        <v>19656</v>
      </c>
      <c r="Q3772" s="26" t="str">
        <f>HYPERLINK("https://ictv.global/taxonomy/taxondetails?taxnode_id=202520856&amp;ictv_id=ICTV202420856","ICTV202420856")</f>
        <v>ICTV202420856</v>
      </c>
      <c r="R3772" t="s">
        <v>579</v>
      </c>
      <c r="S3772" t="s">
        <v>823</v>
      </c>
      <c r="T3772">
        <v>40</v>
      </c>
      <c r="U3772" s="26" t="str">
        <f t="shared" si="141"/>
        <v>2024.034B.Stackebrandtviridae_1nf_2nsf_8mg_8ns.zip</v>
      </c>
    </row>
    <row r="3773" spans="1:21">
      <c r="A3773">
        <v>3772</v>
      </c>
      <c r="B3773" s="27" t="s">
        <v>1449</v>
      </c>
      <c r="D3773" s="27" t="s">
        <v>1450</v>
      </c>
      <c r="F3773" s="27" t="s">
        <v>1453</v>
      </c>
      <c r="H3773" s="27" t="s">
        <v>1454</v>
      </c>
      <c r="L3773" s="27" t="s">
        <v>19651</v>
      </c>
      <c r="M3773" s="27" t="s">
        <v>19654</v>
      </c>
      <c r="N3773" s="27" t="s">
        <v>1432</v>
      </c>
      <c r="P3773" s="27" t="s">
        <v>8113</v>
      </c>
      <c r="Q3773" s="26" t="str">
        <f>HYPERLINK("https://ictv.global/taxonomy/taxondetails?taxnode_id=202512690&amp;ictv_id=ICTV202112690","ICTV202112690")</f>
        <v>ICTV202112690</v>
      </c>
      <c r="R3773" t="s">
        <v>579</v>
      </c>
      <c r="S3773" t="s">
        <v>22763</v>
      </c>
      <c r="T3773">
        <v>40</v>
      </c>
      <c r="U3773" s="26" t="str">
        <f t="shared" si="141"/>
        <v>2024.034B.Stackebrandtviridae_1nf_2nsf_8mg_8ns.zip</v>
      </c>
    </row>
    <row r="3774" spans="1:21">
      <c r="A3774">
        <v>3773</v>
      </c>
      <c r="B3774" s="27" t="s">
        <v>1449</v>
      </c>
      <c r="D3774" s="27" t="s">
        <v>1450</v>
      </c>
      <c r="F3774" s="27" t="s">
        <v>1453</v>
      </c>
      <c r="H3774" s="27" t="s">
        <v>1454</v>
      </c>
      <c r="L3774" s="27" t="s">
        <v>19651</v>
      </c>
      <c r="M3774" s="27" t="s">
        <v>19654</v>
      </c>
      <c r="N3774" s="27" t="s">
        <v>1432</v>
      </c>
      <c r="P3774" s="27" t="s">
        <v>8114</v>
      </c>
      <c r="Q3774" s="26" t="str">
        <f>HYPERLINK("https://ictv.global/taxonomy/taxondetails?taxnode_id=202512694&amp;ictv_id=ICTV202112694","ICTV202112694")</f>
        <v>ICTV202112694</v>
      </c>
      <c r="R3774" t="s">
        <v>579</v>
      </c>
      <c r="S3774" t="s">
        <v>22763</v>
      </c>
      <c r="T3774">
        <v>40</v>
      </c>
      <c r="U3774" s="26" t="str">
        <f t="shared" si="141"/>
        <v>2024.034B.Stackebrandtviridae_1nf_2nsf_8mg_8ns.zip</v>
      </c>
    </row>
    <row r="3775" spans="1:21">
      <c r="A3775">
        <v>3774</v>
      </c>
      <c r="B3775" s="27" t="s">
        <v>1449</v>
      </c>
      <c r="D3775" s="27" t="s">
        <v>1450</v>
      </c>
      <c r="F3775" s="27" t="s">
        <v>1453</v>
      </c>
      <c r="H3775" s="27" t="s">
        <v>1454</v>
      </c>
      <c r="L3775" s="27" t="s">
        <v>19651</v>
      </c>
      <c r="M3775" s="27" t="s">
        <v>19654</v>
      </c>
      <c r="N3775" s="27" t="s">
        <v>1432</v>
      </c>
      <c r="P3775" s="27" t="s">
        <v>8115</v>
      </c>
      <c r="Q3775" s="26" t="str">
        <f>HYPERLINK("https://ictv.global/taxonomy/taxondetails?taxnode_id=202512685&amp;ictv_id=ICTV202112685","ICTV202112685")</f>
        <v>ICTV202112685</v>
      </c>
      <c r="R3775" t="s">
        <v>579</v>
      </c>
      <c r="S3775" t="s">
        <v>22763</v>
      </c>
      <c r="T3775">
        <v>40</v>
      </c>
      <c r="U3775" s="26" t="str">
        <f t="shared" si="141"/>
        <v>2024.034B.Stackebrandtviridae_1nf_2nsf_8mg_8ns.zip</v>
      </c>
    </row>
    <row r="3776" spans="1:21">
      <c r="A3776">
        <v>3775</v>
      </c>
      <c r="B3776" s="27" t="s">
        <v>1449</v>
      </c>
      <c r="D3776" s="27" t="s">
        <v>1450</v>
      </c>
      <c r="F3776" s="27" t="s">
        <v>1453</v>
      </c>
      <c r="H3776" s="27" t="s">
        <v>1454</v>
      </c>
      <c r="L3776" s="27" t="s">
        <v>19651</v>
      </c>
      <c r="M3776" s="27" t="s">
        <v>19654</v>
      </c>
      <c r="N3776" s="27" t="s">
        <v>1432</v>
      </c>
      <c r="P3776" s="27" t="s">
        <v>8116</v>
      </c>
      <c r="Q3776" s="26" t="str">
        <f>HYPERLINK("https://ictv.global/taxonomy/taxondetails?taxnode_id=202512688&amp;ictv_id=ICTV202112688","ICTV202112688")</f>
        <v>ICTV202112688</v>
      </c>
      <c r="R3776" t="s">
        <v>579</v>
      </c>
      <c r="S3776" t="s">
        <v>22763</v>
      </c>
      <c r="T3776">
        <v>40</v>
      </c>
      <c r="U3776" s="26" t="str">
        <f t="shared" si="141"/>
        <v>2024.034B.Stackebrandtviridae_1nf_2nsf_8mg_8ns.zip</v>
      </c>
    </row>
    <row r="3777" spans="1:21">
      <c r="A3777">
        <v>3776</v>
      </c>
      <c r="B3777" s="27" t="s">
        <v>1449</v>
      </c>
      <c r="D3777" s="27" t="s">
        <v>1450</v>
      </c>
      <c r="F3777" s="27" t="s">
        <v>1453</v>
      </c>
      <c r="H3777" s="27" t="s">
        <v>1454</v>
      </c>
      <c r="L3777" s="27" t="s">
        <v>19651</v>
      </c>
      <c r="M3777" s="27" t="s">
        <v>19654</v>
      </c>
      <c r="N3777" s="27" t="s">
        <v>1432</v>
      </c>
      <c r="P3777" s="27" t="s">
        <v>8117</v>
      </c>
      <c r="Q3777" s="26" t="str">
        <f>HYPERLINK("https://ictv.global/taxonomy/taxondetails?taxnode_id=202506792&amp;ictv_id=ICTV201856792","ICTV201856792")</f>
        <v>ICTV201856792</v>
      </c>
      <c r="R3777" t="s">
        <v>579</v>
      </c>
      <c r="S3777" t="s">
        <v>22763</v>
      </c>
      <c r="T3777">
        <v>40</v>
      </c>
      <c r="U3777" s="26" t="str">
        <f t="shared" si="141"/>
        <v>2024.034B.Stackebrandtviridae_1nf_2nsf_8mg_8ns.zip</v>
      </c>
    </row>
    <row r="3778" spans="1:21">
      <c r="A3778">
        <v>3777</v>
      </c>
      <c r="B3778" s="27" t="s">
        <v>1449</v>
      </c>
      <c r="D3778" s="27" t="s">
        <v>1450</v>
      </c>
      <c r="F3778" s="27" t="s">
        <v>1453</v>
      </c>
      <c r="H3778" s="27" t="s">
        <v>1454</v>
      </c>
      <c r="L3778" s="27" t="s">
        <v>19651</v>
      </c>
      <c r="M3778" s="27" t="s">
        <v>19654</v>
      </c>
      <c r="N3778" s="27" t="s">
        <v>1432</v>
      </c>
      <c r="P3778" s="27" t="s">
        <v>8118</v>
      </c>
      <c r="Q3778" s="26" t="str">
        <f>HYPERLINK("https://ictv.global/taxonomy/taxondetails?taxnode_id=202512691&amp;ictv_id=ICTV202112691","ICTV202112691")</f>
        <v>ICTV202112691</v>
      </c>
      <c r="R3778" t="s">
        <v>579</v>
      </c>
      <c r="S3778" t="s">
        <v>22763</v>
      </c>
      <c r="T3778">
        <v>40</v>
      </c>
      <c r="U3778" s="26" t="str">
        <f t="shared" si="141"/>
        <v>2024.034B.Stackebrandtviridae_1nf_2nsf_8mg_8ns.zip</v>
      </c>
    </row>
    <row r="3779" spans="1:21">
      <c r="A3779">
        <v>3778</v>
      </c>
      <c r="B3779" s="27" t="s">
        <v>1449</v>
      </c>
      <c r="D3779" s="27" t="s">
        <v>1450</v>
      </c>
      <c r="F3779" s="27" t="s">
        <v>1453</v>
      </c>
      <c r="H3779" s="27" t="s">
        <v>1454</v>
      </c>
      <c r="L3779" s="27" t="s">
        <v>19651</v>
      </c>
      <c r="M3779" s="27" t="s">
        <v>19654</v>
      </c>
      <c r="N3779" s="27" t="s">
        <v>1432</v>
      </c>
      <c r="P3779" s="27" t="s">
        <v>8119</v>
      </c>
      <c r="Q3779" s="26" t="str">
        <f>HYPERLINK("https://ictv.global/taxonomy/taxondetails?taxnode_id=202512696&amp;ictv_id=ICTV202112696","ICTV202112696")</f>
        <v>ICTV202112696</v>
      </c>
      <c r="R3779" t="s">
        <v>579</v>
      </c>
      <c r="S3779" t="s">
        <v>22763</v>
      </c>
      <c r="T3779">
        <v>40</v>
      </c>
      <c r="U3779" s="26" t="str">
        <f t="shared" si="141"/>
        <v>2024.034B.Stackebrandtviridae_1nf_2nsf_8mg_8ns.zip</v>
      </c>
    </row>
    <row r="3780" spans="1:21">
      <c r="A3780">
        <v>3779</v>
      </c>
      <c r="B3780" s="27" t="s">
        <v>1449</v>
      </c>
      <c r="D3780" s="27" t="s">
        <v>1450</v>
      </c>
      <c r="F3780" s="27" t="s">
        <v>1453</v>
      </c>
      <c r="H3780" s="27" t="s">
        <v>1454</v>
      </c>
      <c r="L3780" s="27" t="s">
        <v>19651</v>
      </c>
      <c r="M3780" s="27" t="s">
        <v>19654</v>
      </c>
      <c r="N3780" s="27" t="s">
        <v>1432</v>
      </c>
      <c r="P3780" s="27" t="s">
        <v>8120</v>
      </c>
      <c r="Q3780" s="26" t="str">
        <f>HYPERLINK("https://ictv.global/taxonomy/taxondetails?taxnode_id=202512686&amp;ictv_id=ICTV202112686","ICTV202112686")</f>
        <v>ICTV202112686</v>
      </c>
      <c r="R3780" t="s">
        <v>579</v>
      </c>
      <c r="S3780" t="s">
        <v>22763</v>
      </c>
      <c r="T3780">
        <v>40</v>
      </c>
      <c r="U3780" s="26" t="str">
        <f t="shared" si="141"/>
        <v>2024.034B.Stackebrandtviridae_1nf_2nsf_8mg_8ns.zip</v>
      </c>
    </row>
    <row r="3781" spans="1:21">
      <c r="A3781">
        <v>3780</v>
      </c>
      <c r="B3781" s="27" t="s">
        <v>1449</v>
      </c>
      <c r="D3781" s="27" t="s">
        <v>1450</v>
      </c>
      <c r="F3781" s="27" t="s">
        <v>1453</v>
      </c>
      <c r="H3781" s="27" t="s">
        <v>1454</v>
      </c>
      <c r="L3781" s="27" t="s">
        <v>19651</v>
      </c>
      <c r="M3781" s="27" t="s">
        <v>19654</v>
      </c>
      <c r="N3781" s="27" t="s">
        <v>1432</v>
      </c>
      <c r="P3781" s="27" t="s">
        <v>8121</v>
      </c>
      <c r="Q3781" s="26" t="str">
        <f>HYPERLINK("https://ictv.global/taxonomy/taxondetails?taxnode_id=202512684&amp;ictv_id=ICTV202112684","ICTV202112684")</f>
        <v>ICTV202112684</v>
      </c>
      <c r="R3781" t="s">
        <v>579</v>
      </c>
      <c r="S3781" t="s">
        <v>22763</v>
      </c>
      <c r="T3781">
        <v>40</v>
      </c>
      <c r="U3781" s="26" t="str">
        <f t="shared" si="141"/>
        <v>2024.034B.Stackebrandtviridae_1nf_2nsf_8mg_8ns.zip</v>
      </c>
    </row>
    <row r="3782" spans="1:21">
      <c r="A3782">
        <v>3781</v>
      </c>
      <c r="B3782" s="27" t="s">
        <v>1449</v>
      </c>
      <c r="D3782" s="27" t="s">
        <v>1450</v>
      </c>
      <c r="F3782" s="27" t="s">
        <v>1453</v>
      </c>
      <c r="H3782" s="27" t="s">
        <v>1454</v>
      </c>
      <c r="L3782" s="27" t="s">
        <v>19651</v>
      </c>
      <c r="M3782" s="27" t="s">
        <v>19654</v>
      </c>
      <c r="N3782" s="27" t="s">
        <v>1432</v>
      </c>
      <c r="P3782" s="27" t="s">
        <v>8122</v>
      </c>
      <c r="Q3782" s="26" t="str">
        <f>HYPERLINK("https://ictv.global/taxonomy/taxondetails?taxnode_id=202512689&amp;ictv_id=ICTV202112689","ICTV202112689")</f>
        <v>ICTV202112689</v>
      </c>
      <c r="R3782" t="s">
        <v>579</v>
      </c>
      <c r="S3782" t="s">
        <v>22763</v>
      </c>
      <c r="T3782">
        <v>40</v>
      </c>
      <c r="U3782" s="26" t="str">
        <f t="shared" si="141"/>
        <v>2024.034B.Stackebrandtviridae_1nf_2nsf_8mg_8ns.zip</v>
      </c>
    </row>
    <row r="3783" spans="1:21">
      <c r="A3783">
        <v>3782</v>
      </c>
      <c r="B3783" s="27" t="s">
        <v>1449</v>
      </c>
      <c r="D3783" s="27" t="s">
        <v>1450</v>
      </c>
      <c r="F3783" s="27" t="s">
        <v>1453</v>
      </c>
      <c r="H3783" s="27" t="s">
        <v>1454</v>
      </c>
      <c r="L3783" s="27" t="s">
        <v>19651</v>
      </c>
      <c r="M3783" s="27" t="s">
        <v>19654</v>
      </c>
      <c r="N3783" s="27" t="s">
        <v>1432</v>
      </c>
      <c r="P3783" s="27" t="s">
        <v>19657</v>
      </c>
      <c r="Q3783" s="26" t="str">
        <f>HYPERLINK("https://ictv.global/taxonomy/taxondetails?taxnode_id=202506793&amp;ictv_id=ICTV201856793","ICTV201856793")</f>
        <v>ICTV201856793</v>
      </c>
      <c r="R3783" t="s">
        <v>579</v>
      </c>
      <c r="S3783" t="s">
        <v>824</v>
      </c>
      <c r="T3783">
        <v>40</v>
      </c>
      <c r="U3783" s="26" t="str">
        <f>HYPERLINK("https://ictv.global/ictv/proposals/2024.036B.Caudoviricetes_Faserviricetes_Name_Corrections.zip","2024.036B.Caudoviricetes_Faserviricetes_Name_Corrections.zip")</f>
        <v>2024.036B.Caudoviricetes_Faserviricetes_Name_Corrections.zip</v>
      </c>
    </row>
    <row r="3784" spans="1:21">
      <c r="A3784">
        <v>3783</v>
      </c>
      <c r="B3784" s="27" t="s">
        <v>1449</v>
      </c>
      <c r="D3784" s="27" t="s">
        <v>1450</v>
      </c>
      <c r="F3784" s="27" t="s">
        <v>1453</v>
      </c>
      <c r="H3784" s="27" t="s">
        <v>1454</v>
      </c>
      <c r="L3784" s="27" t="s">
        <v>19651</v>
      </c>
      <c r="M3784" s="27" t="s">
        <v>19654</v>
      </c>
      <c r="N3784" s="27" t="s">
        <v>1432</v>
      </c>
      <c r="P3784" s="27" t="s">
        <v>8123</v>
      </c>
      <c r="Q3784" s="26" t="str">
        <f>HYPERLINK("https://ictv.global/taxonomy/taxondetails?taxnode_id=202512699&amp;ictv_id=ICTV202112699","ICTV202112699")</f>
        <v>ICTV202112699</v>
      </c>
      <c r="R3784" t="s">
        <v>579</v>
      </c>
      <c r="S3784" t="s">
        <v>22763</v>
      </c>
      <c r="T3784">
        <v>40</v>
      </c>
      <c r="U3784" s="26" t="str">
        <f t="shared" ref="U3784:U3800" si="142">HYPERLINK("https://ictv.global/ictv/proposals/2024.034B.Stackebrandtviridae_1nf_2nsf_8mg_8ns.zip","2024.034B.Stackebrandtviridae_1nf_2nsf_8mg_8ns.zip")</f>
        <v>2024.034B.Stackebrandtviridae_1nf_2nsf_8mg_8ns.zip</v>
      </c>
    </row>
    <row r="3785" spans="1:21">
      <c r="A3785">
        <v>3784</v>
      </c>
      <c r="B3785" s="27" t="s">
        <v>1449</v>
      </c>
      <c r="D3785" s="27" t="s">
        <v>1450</v>
      </c>
      <c r="F3785" s="27" t="s">
        <v>1453</v>
      </c>
      <c r="H3785" s="27" t="s">
        <v>1454</v>
      </c>
      <c r="L3785" s="27" t="s">
        <v>19651</v>
      </c>
      <c r="M3785" s="27" t="s">
        <v>19654</v>
      </c>
      <c r="N3785" s="27" t="s">
        <v>1432</v>
      </c>
      <c r="P3785" s="27" t="s">
        <v>8124</v>
      </c>
      <c r="Q3785" s="26" t="str">
        <f>HYPERLINK("https://ictv.global/taxonomy/taxondetails?taxnode_id=202512697&amp;ictv_id=ICTV202112697","ICTV202112697")</f>
        <v>ICTV202112697</v>
      </c>
      <c r="R3785" t="s">
        <v>579</v>
      </c>
      <c r="S3785" t="s">
        <v>22763</v>
      </c>
      <c r="T3785">
        <v>40</v>
      </c>
      <c r="U3785" s="26" t="str">
        <f t="shared" si="142"/>
        <v>2024.034B.Stackebrandtviridae_1nf_2nsf_8mg_8ns.zip</v>
      </c>
    </row>
    <row r="3786" spans="1:21">
      <c r="A3786">
        <v>3785</v>
      </c>
      <c r="B3786" s="27" t="s">
        <v>1449</v>
      </c>
      <c r="D3786" s="27" t="s">
        <v>1450</v>
      </c>
      <c r="F3786" s="27" t="s">
        <v>1453</v>
      </c>
      <c r="H3786" s="27" t="s">
        <v>1454</v>
      </c>
      <c r="L3786" s="27" t="s">
        <v>19651</v>
      </c>
      <c r="M3786" s="27" t="s">
        <v>19654</v>
      </c>
      <c r="N3786" s="27" t="s">
        <v>1432</v>
      </c>
      <c r="P3786" s="27" t="s">
        <v>8125</v>
      </c>
      <c r="Q3786" s="26" t="str">
        <f>HYPERLINK("https://ictv.global/taxonomy/taxondetails?taxnode_id=202512695&amp;ictv_id=ICTV202112695","ICTV202112695")</f>
        <v>ICTV202112695</v>
      </c>
      <c r="R3786" t="s">
        <v>579</v>
      </c>
      <c r="S3786" t="s">
        <v>22763</v>
      </c>
      <c r="T3786">
        <v>40</v>
      </c>
      <c r="U3786" s="26" t="str">
        <f t="shared" si="142"/>
        <v>2024.034B.Stackebrandtviridae_1nf_2nsf_8mg_8ns.zip</v>
      </c>
    </row>
    <row r="3787" spans="1:21">
      <c r="A3787">
        <v>3786</v>
      </c>
      <c r="B3787" s="27" t="s">
        <v>1449</v>
      </c>
      <c r="D3787" s="27" t="s">
        <v>1450</v>
      </c>
      <c r="F3787" s="27" t="s">
        <v>1453</v>
      </c>
      <c r="H3787" s="27" t="s">
        <v>1454</v>
      </c>
      <c r="L3787" s="27" t="s">
        <v>19651</v>
      </c>
      <c r="M3787" s="27" t="s">
        <v>19654</v>
      </c>
      <c r="N3787" s="27" t="s">
        <v>1432</v>
      </c>
      <c r="P3787" s="27" t="s">
        <v>8126</v>
      </c>
      <c r="Q3787" s="26" t="str">
        <f>HYPERLINK("https://ictv.global/taxonomy/taxondetails?taxnode_id=202512698&amp;ictv_id=ICTV202112698","ICTV202112698")</f>
        <v>ICTV202112698</v>
      </c>
      <c r="R3787" t="s">
        <v>579</v>
      </c>
      <c r="S3787" t="s">
        <v>22763</v>
      </c>
      <c r="T3787">
        <v>40</v>
      </c>
      <c r="U3787" s="26" t="str">
        <f t="shared" si="142"/>
        <v>2024.034B.Stackebrandtviridae_1nf_2nsf_8mg_8ns.zip</v>
      </c>
    </row>
    <row r="3788" spans="1:21">
      <c r="A3788">
        <v>3787</v>
      </c>
      <c r="B3788" s="27" t="s">
        <v>1449</v>
      </c>
      <c r="D3788" s="27" t="s">
        <v>1450</v>
      </c>
      <c r="F3788" s="27" t="s">
        <v>1453</v>
      </c>
      <c r="H3788" s="27" t="s">
        <v>1454</v>
      </c>
      <c r="L3788" s="27" t="s">
        <v>19651</v>
      </c>
      <c r="M3788" s="27" t="s">
        <v>19654</v>
      </c>
      <c r="N3788" s="27" t="s">
        <v>1432</v>
      </c>
      <c r="P3788" s="27" t="s">
        <v>8127</v>
      </c>
      <c r="Q3788" s="26" t="str">
        <f>HYPERLINK("https://ictv.global/taxonomy/taxondetails?taxnode_id=202512692&amp;ictv_id=ICTV202112692","ICTV202112692")</f>
        <v>ICTV202112692</v>
      </c>
      <c r="R3788" t="s">
        <v>579</v>
      </c>
      <c r="S3788" t="s">
        <v>22763</v>
      </c>
      <c r="T3788">
        <v>40</v>
      </c>
      <c r="U3788" s="26" t="str">
        <f t="shared" si="142"/>
        <v>2024.034B.Stackebrandtviridae_1nf_2nsf_8mg_8ns.zip</v>
      </c>
    </row>
    <row r="3789" spans="1:21">
      <c r="A3789">
        <v>3788</v>
      </c>
      <c r="B3789" s="27" t="s">
        <v>1449</v>
      </c>
      <c r="D3789" s="27" t="s">
        <v>1450</v>
      </c>
      <c r="F3789" s="27" t="s">
        <v>1453</v>
      </c>
      <c r="H3789" s="27" t="s">
        <v>1454</v>
      </c>
      <c r="L3789" s="27" t="s">
        <v>19651</v>
      </c>
      <c r="M3789" s="27" t="s">
        <v>19654</v>
      </c>
      <c r="N3789" s="27" t="s">
        <v>1432</v>
      </c>
      <c r="P3789" s="27" t="s">
        <v>19658</v>
      </c>
      <c r="Q3789" s="26" t="str">
        <f>HYPERLINK("https://ictv.global/taxonomy/taxondetails?taxnode_id=202520850&amp;ictv_id=ICTV202420850","ICTV202420850")</f>
        <v>ICTV202420850</v>
      </c>
      <c r="R3789" t="s">
        <v>579</v>
      </c>
      <c r="S3789" t="s">
        <v>823</v>
      </c>
      <c r="T3789">
        <v>40</v>
      </c>
      <c r="U3789" s="26" t="str">
        <f t="shared" si="142"/>
        <v>2024.034B.Stackebrandtviridae_1nf_2nsf_8mg_8ns.zip</v>
      </c>
    </row>
    <row r="3790" spans="1:21">
      <c r="A3790">
        <v>3789</v>
      </c>
      <c r="B3790" s="27" t="s">
        <v>1449</v>
      </c>
      <c r="D3790" s="27" t="s">
        <v>1450</v>
      </c>
      <c r="F3790" s="27" t="s">
        <v>1453</v>
      </c>
      <c r="H3790" s="27" t="s">
        <v>1454</v>
      </c>
      <c r="L3790" s="27" t="s">
        <v>19651</v>
      </c>
      <c r="M3790" s="27" t="s">
        <v>19654</v>
      </c>
      <c r="N3790" s="27" t="s">
        <v>1432</v>
      </c>
      <c r="P3790" s="27" t="s">
        <v>8128</v>
      </c>
      <c r="Q3790" s="26" t="str">
        <f>HYPERLINK("https://ictv.global/taxonomy/taxondetails?taxnode_id=202512687&amp;ictv_id=ICTV202112687","ICTV202112687")</f>
        <v>ICTV202112687</v>
      </c>
      <c r="R3790" t="s">
        <v>579</v>
      </c>
      <c r="S3790" t="s">
        <v>22763</v>
      </c>
      <c r="T3790">
        <v>40</v>
      </c>
      <c r="U3790" s="26" t="str">
        <f t="shared" si="142"/>
        <v>2024.034B.Stackebrandtviridae_1nf_2nsf_8mg_8ns.zip</v>
      </c>
    </row>
    <row r="3791" spans="1:21">
      <c r="A3791">
        <v>3790</v>
      </c>
      <c r="B3791" s="27" t="s">
        <v>1449</v>
      </c>
      <c r="D3791" s="27" t="s">
        <v>1450</v>
      </c>
      <c r="F3791" s="27" t="s">
        <v>1453</v>
      </c>
      <c r="H3791" s="27" t="s">
        <v>1454</v>
      </c>
      <c r="L3791" s="27" t="s">
        <v>19651</v>
      </c>
      <c r="M3791" s="27" t="s">
        <v>19654</v>
      </c>
      <c r="N3791" s="27" t="s">
        <v>1432</v>
      </c>
      <c r="P3791" s="27" t="s">
        <v>8129</v>
      </c>
      <c r="Q3791" s="26" t="str">
        <f>HYPERLINK("https://ictv.global/taxonomy/taxondetails?taxnode_id=202512693&amp;ictv_id=ICTV202112693","ICTV202112693")</f>
        <v>ICTV202112693</v>
      </c>
      <c r="R3791" t="s">
        <v>579</v>
      </c>
      <c r="S3791" t="s">
        <v>22763</v>
      </c>
      <c r="T3791">
        <v>40</v>
      </c>
      <c r="U3791" s="26" t="str">
        <f t="shared" si="142"/>
        <v>2024.034B.Stackebrandtviridae_1nf_2nsf_8mg_8ns.zip</v>
      </c>
    </row>
    <row r="3792" spans="1:21">
      <c r="A3792">
        <v>3791</v>
      </c>
      <c r="B3792" s="27" t="s">
        <v>1449</v>
      </c>
      <c r="D3792" s="27" t="s">
        <v>1450</v>
      </c>
      <c r="F3792" s="27" t="s">
        <v>1453</v>
      </c>
      <c r="H3792" s="27" t="s">
        <v>1454</v>
      </c>
      <c r="L3792" s="27" t="s">
        <v>19651</v>
      </c>
      <c r="M3792" s="27" t="s">
        <v>19654</v>
      </c>
      <c r="N3792" s="27" t="s">
        <v>1432</v>
      </c>
      <c r="P3792" s="27" t="s">
        <v>8130</v>
      </c>
      <c r="Q3792" s="26" t="str">
        <f>HYPERLINK("https://ictv.global/taxonomy/taxondetails?taxnode_id=202506791&amp;ictv_id=ICTV201856791","ICTV201856791")</f>
        <v>ICTV201856791</v>
      </c>
      <c r="R3792" t="s">
        <v>579</v>
      </c>
      <c r="S3792" t="s">
        <v>22763</v>
      </c>
      <c r="T3792">
        <v>40</v>
      </c>
      <c r="U3792" s="26" t="str">
        <f t="shared" si="142"/>
        <v>2024.034B.Stackebrandtviridae_1nf_2nsf_8mg_8ns.zip</v>
      </c>
    </row>
    <row r="3793" spans="1:21">
      <c r="A3793">
        <v>3792</v>
      </c>
      <c r="B3793" s="27" t="s">
        <v>1449</v>
      </c>
      <c r="D3793" s="27" t="s">
        <v>1450</v>
      </c>
      <c r="F3793" s="27" t="s">
        <v>1453</v>
      </c>
      <c r="H3793" s="27" t="s">
        <v>1454</v>
      </c>
      <c r="L3793" s="27" t="s">
        <v>19651</v>
      </c>
      <c r="M3793" s="27" t="s">
        <v>19654</v>
      </c>
      <c r="N3793" s="27" t="s">
        <v>8193</v>
      </c>
      <c r="P3793" s="27" t="s">
        <v>19659</v>
      </c>
      <c r="Q3793" s="26" t="str">
        <f>HYPERLINK("https://ictv.global/taxonomy/taxondetails?taxnode_id=202520855&amp;ictv_id=ICTV202420855","ICTV202420855")</f>
        <v>ICTV202420855</v>
      </c>
      <c r="R3793" t="s">
        <v>579</v>
      </c>
      <c r="S3793" t="s">
        <v>823</v>
      </c>
      <c r="T3793">
        <v>40</v>
      </c>
      <c r="U3793" s="26" t="str">
        <f t="shared" si="142"/>
        <v>2024.034B.Stackebrandtviridae_1nf_2nsf_8mg_8ns.zip</v>
      </c>
    </row>
    <row r="3794" spans="1:21">
      <c r="A3794">
        <v>3793</v>
      </c>
      <c r="B3794" s="27" t="s">
        <v>1449</v>
      </c>
      <c r="D3794" s="27" t="s">
        <v>1450</v>
      </c>
      <c r="F3794" s="27" t="s">
        <v>1453</v>
      </c>
      <c r="H3794" s="27" t="s">
        <v>1454</v>
      </c>
      <c r="L3794" s="27" t="s">
        <v>19651</v>
      </c>
      <c r="M3794" s="27" t="s">
        <v>19654</v>
      </c>
      <c r="N3794" s="27" t="s">
        <v>8193</v>
      </c>
      <c r="P3794" s="27" t="s">
        <v>19660</v>
      </c>
      <c r="Q3794" s="26" t="str">
        <f>HYPERLINK("https://ictv.global/taxonomy/taxondetails?taxnode_id=202520854&amp;ictv_id=ICTV202420854","ICTV202420854")</f>
        <v>ICTV202420854</v>
      </c>
      <c r="R3794" t="s">
        <v>579</v>
      </c>
      <c r="S3794" t="s">
        <v>823</v>
      </c>
      <c r="T3794">
        <v>40</v>
      </c>
      <c r="U3794" s="26" t="str">
        <f t="shared" si="142"/>
        <v>2024.034B.Stackebrandtviridae_1nf_2nsf_8mg_8ns.zip</v>
      </c>
    </row>
    <row r="3795" spans="1:21">
      <c r="A3795">
        <v>3794</v>
      </c>
      <c r="B3795" s="27" t="s">
        <v>1449</v>
      </c>
      <c r="D3795" s="27" t="s">
        <v>1450</v>
      </c>
      <c r="F3795" s="27" t="s">
        <v>1453</v>
      </c>
      <c r="H3795" s="27" t="s">
        <v>1454</v>
      </c>
      <c r="L3795" s="27" t="s">
        <v>19651</v>
      </c>
      <c r="M3795" s="27" t="s">
        <v>19654</v>
      </c>
      <c r="N3795" s="27" t="s">
        <v>8193</v>
      </c>
      <c r="P3795" s="27" t="s">
        <v>19661</v>
      </c>
      <c r="Q3795" s="26" t="str">
        <f>HYPERLINK("https://ictv.global/taxonomy/taxondetails?taxnode_id=202520852&amp;ictv_id=ICTV202420852","ICTV202420852")</f>
        <v>ICTV202420852</v>
      </c>
      <c r="R3795" t="s">
        <v>579</v>
      </c>
      <c r="S3795" t="s">
        <v>823</v>
      </c>
      <c r="T3795">
        <v>40</v>
      </c>
      <c r="U3795" s="26" t="str">
        <f t="shared" si="142"/>
        <v>2024.034B.Stackebrandtviridae_1nf_2nsf_8mg_8ns.zip</v>
      </c>
    </row>
    <row r="3796" spans="1:21">
      <c r="A3796">
        <v>3795</v>
      </c>
      <c r="B3796" s="27" t="s">
        <v>1449</v>
      </c>
      <c r="D3796" s="27" t="s">
        <v>1450</v>
      </c>
      <c r="F3796" s="27" t="s">
        <v>1453</v>
      </c>
      <c r="H3796" s="27" t="s">
        <v>1454</v>
      </c>
      <c r="L3796" s="27" t="s">
        <v>19651</v>
      </c>
      <c r="M3796" s="27" t="s">
        <v>19654</v>
      </c>
      <c r="N3796" s="27" t="s">
        <v>8193</v>
      </c>
      <c r="P3796" s="27" t="s">
        <v>8194</v>
      </c>
      <c r="Q3796" s="26" t="str">
        <f>HYPERLINK("https://ictv.global/taxonomy/taxondetails?taxnode_id=202513422&amp;ictv_id=ICTV202113422","ICTV202113422")</f>
        <v>ICTV202113422</v>
      </c>
      <c r="R3796" t="s">
        <v>579</v>
      </c>
      <c r="S3796" t="s">
        <v>22763</v>
      </c>
      <c r="T3796">
        <v>40</v>
      </c>
      <c r="U3796" s="26" t="str">
        <f t="shared" si="142"/>
        <v>2024.034B.Stackebrandtviridae_1nf_2nsf_8mg_8ns.zip</v>
      </c>
    </row>
    <row r="3797" spans="1:21">
      <c r="A3797">
        <v>3796</v>
      </c>
      <c r="B3797" s="27" t="s">
        <v>1449</v>
      </c>
      <c r="D3797" s="27" t="s">
        <v>1450</v>
      </c>
      <c r="F3797" s="27" t="s">
        <v>1453</v>
      </c>
      <c r="H3797" s="27" t="s">
        <v>1454</v>
      </c>
      <c r="L3797" s="27" t="s">
        <v>19651</v>
      </c>
      <c r="M3797" s="27" t="s">
        <v>19654</v>
      </c>
      <c r="N3797" s="27" t="s">
        <v>8193</v>
      </c>
      <c r="P3797" s="27" t="s">
        <v>19662</v>
      </c>
      <c r="Q3797" s="26" t="str">
        <f>HYPERLINK("https://ictv.global/taxonomy/taxondetails?taxnode_id=202520853&amp;ictv_id=ICTV202420853","ICTV202420853")</f>
        <v>ICTV202420853</v>
      </c>
      <c r="R3797" t="s">
        <v>579</v>
      </c>
      <c r="S3797" t="s">
        <v>823</v>
      </c>
      <c r="T3797">
        <v>40</v>
      </c>
      <c r="U3797" s="26" t="str">
        <f t="shared" si="142"/>
        <v>2024.034B.Stackebrandtviridae_1nf_2nsf_8mg_8ns.zip</v>
      </c>
    </row>
    <row r="3798" spans="1:21">
      <c r="A3798">
        <v>3797</v>
      </c>
      <c r="B3798" s="27" t="s">
        <v>1449</v>
      </c>
      <c r="D3798" s="27" t="s">
        <v>1450</v>
      </c>
      <c r="F3798" s="27" t="s">
        <v>1453</v>
      </c>
      <c r="H3798" s="27" t="s">
        <v>1454</v>
      </c>
      <c r="L3798" s="27" t="s">
        <v>19651</v>
      </c>
      <c r="M3798" s="27" t="s">
        <v>19654</v>
      </c>
      <c r="N3798" s="27" t="s">
        <v>8193</v>
      </c>
      <c r="P3798" s="27" t="s">
        <v>8195</v>
      </c>
      <c r="Q3798" s="26" t="str">
        <f>HYPERLINK("https://ictv.global/taxonomy/taxondetails?taxnode_id=202513421&amp;ictv_id=ICTV202113421","ICTV202113421")</f>
        <v>ICTV202113421</v>
      </c>
      <c r="R3798" t="s">
        <v>579</v>
      </c>
      <c r="S3798" t="s">
        <v>22763</v>
      </c>
      <c r="T3798">
        <v>40</v>
      </c>
      <c r="U3798" s="26" t="str">
        <f t="shared" si="142"/>
        <v>2024.034B.Stackebrandtviridae_1nf_2nsf_8mg_8ns.zip</v>
      </c>
    </row>
    <row r="3799" spans="1:21">
      <c r="A3799">
        <v>3798</v>
      </c>
      <c r="B3799" s="27" t="s">
        <v>1449</v>
      </c>
      <c r="D3799" s="27" t="s">
        <v>1450</v>
      </c>
      <c r="F3799" s="27" t="s">
        <v>1453</v>
      </c>
      <c r="H3799" s="27" t="s">
        <v>1454</v>
      </c>
      <c r="L3799" s="27" t="s">
        <v>19651</v>
      </c>
      <c r="M3799" s="27" t="s">
        <v>19654</v>
      </c>
      <c r="N3799" s="27" t="s">
        <v>8193</v>
      </c>
      <c r="P3799" s="27" t="s">
        <v>8196</v>
      </c>
      <c r="Q3799" s="26" t="str">
        <f>HYPERLINK("https://ictv.global/taxonomy/taxondetails?taxnode_id=202513420&amp;ictv_id=ICTV202113420","ICTV202113420")</f>
        <v>ICTV202113420</v>
      </c>
      <c r="R3799" t="s">
        <v>579</v>
      </c>
      <c r="S3799" t="s">
        <v>22763</v>
      </c>
      <c r="T3799">
        <v>40</v>
      </c>
      <c r="U3799" s="26" t="str">
        <f t="shared" si="142"/>
        <v>2024.034B.Stackebrandtviridae_1nf_2nsf_8mg_8ns.zip</v>
      </c>
    </row>
    <row r="3800" spans="1:21">
      <c r="A3800">
        <v>3799</v>
      </c>
      <c r="B3800" s="27" t="s">
        <v>1449</v>
      </c>
      <c r="D3800" s="27" t="s">
        <v>1450</v>
      </c>
      <c r="F3800" s="27" t="s">
        <v>1453</v>
      </c>
      <c r="H3800" s="27" t="s">
        <v>1454</v>
      </c>
      <c r="L3800" s="27" t="s">
        <v>19651</v>
      </c>
      <c r="N3800" s="27" t="s">
        <v>7332</v>
      </c>
      <c r="P3800" s="27" t="s">
        <v>7333</v>
      </c>
      <c r="Q3800" s="26" t="str">
        <f>HYPERLINK("https://ictv.global/taxonomy/taxondetails?taxnode_id=202512400&amp;ictv_id=ICTV202112400","ICTV202112400")</f>
        <v>ICTV202112400</v>
      </c>
      <c r="R3800" t="s">
        <v>579</v>
      </c>
      <c r="S3800" t="s">
        <v>22763</v>
      </c>
      <c r="T3800">
        <v>40</v>
      </c>
      <c r="U3800" s="26" t="str">
        <f t="shared" si="142"/>
        <v>2024.034B.Stackebrandtviridae_1nf_2nsf_8mg_8ns.zip</v>
      </c>
    </row>
    <row r="3801" spans="1:21">
      <c r="A3801">
        <v>3800</v>
      </c>
      <c r="B3801" s="27" t="s">
        <v>1449</v>
      </c>
      <c r="D3801" s="27" t="s">
        <v>1450</v>
      </c>
      <c r="F3801" s="27" t="s">
        <v>1453</v>
      </c>
      <c r="H3801" s="27" t="s">
        <v>1454</v>
      </c>
      <c r="L3801" s="27" t="s">
        <v>5460</v>
      </c>
      <c r="M3801" s="27" t="s">
        <v>5461</v>
      </c>
      <c r="N3801" s="27" t="s">
        <v>5462</v>
      </c>
      <c r="P3801" s="27" t="s">
        <v>5463</v>
      </c>
      <c r="Q3801" s="26" t="str">
        <f>HYPERLINK("https://ictv.global/taxonomy/taxondetails?taxnode_id=202514932&amp;ictv_id=ICTV202214932","ICTV202214932")</f>
        <v>ICTV202214932</v>
      </c>
      <c r="R3801" t="s">
        <v>579</v>
      </c>
      <c r="S3801" t="s">
        <v>823</v>
      </c>
      <c r="T3801">
        <v>38</v>
      </c>
      <c r="U3801" s="26" t="str">
        <f>HYPERLINK("https://ictv.global/ictv/proposals/2022.085B.Stanwilliamsviridae_nf_2nsf_4ng_6nsp.zip","2022.085B.Stanwilliamsviridae_nf_2nsf_4ng_6nsp.zip")</f>
        <v>2022.085B.Stanwilliamsviridae_nf_2nsf_4ng_6nsp.zip</v>
      </c>
    </row>
    <row r="3802" spans="1:21">
      <c r="A3802">
        <v>3801</v>
      </c>
      <c r="B3802" s="27" t="s">
        <v>1449</v>
      </c>
      <c r="D3802" s="27" t="s">
        <v>1450</v>
      </c>
      <c r="F3802" s="27" t="s">
        <v>1453</v>
      </c>
      <c r="H3802" s="27" t="s">
        <v>1454</v>
      </c>
      <c r="L3802" s="27" t="s">
        <v>5460</v>
      </c>
      <c r="M3802" s="27" t="s">
        <v>5461</v>
      </c>
      <c r="N3802" s="27" t="s">
        <v>2276</v>
      </c>
      <c r="P3802" s="27" t="s">
        <v>19663</v>
      </c>
      <c r="Q3802" s="26" t="str">
        <f>HYPERLINK("https://ictv.global/taxonomy/taxondetails?taxnode_id=202510145&amp;ictv_id=ICTV202010145","ICTV202010145")</f>
        <v>ICTV202010145</v>
      </c>
      <c r="R3802" t="s">
        <v>579</v>
      </c>
      <c r="S3802" t="s">
        <v>824</v>
      </c>
      <c r="T3802">
        <v>40</v>
      </c>
      <c r="U3802" s="26" t="str">
        <f>HYPERLINK("https://ictv.global/ictv/proposals/2024.036B.Caudoviricetes_Faserviricetes_Name_Corrections.zip","2024.036B.Caudoviricetes_Faserviricetes_Name_Corrections.zip")</f>
        <v>2024.036B.Caudoviricetes_Faserviricetes_Name_Corrections.zip</v>
      </c>
    </row>
    <row r="3803" spans="1:21">
      <c r="A3803">
        <v>3802</v>
      </c>
      <c r="B3803" s="27" t="s">
        <v>1449</v>
      </c>
      <c r="D3803" s="27" t="s">
        <v>1450</v>
      </c>
      <c r="F3803" s="27" t="s">
        <v>1453</v>
      </c>
      <c r="H3803" s="27" t="s">
        <v>1454</v>
      </c>
      <c r="L3803" s="27" t="s">
        <v>5460</v>
      </c>
      <c r="M3803" s="27" t="s">
        <v>5461</v>
      </c>
      <c r="N3803" s="27" t="s">
        <v>2276</v>
      </c>
      <c r="P3803" s="27" t="s">
        <v>19664</v>
      </c>
      <c r="Q3803" s="26" t="str">
        <f>HYPERLINK("https://ictv.global/taxonomy/taxondetails?taxnode_id=202510146&amp;ictv_id=ICTV202010146","ICTV202010146")</f>
        <v>ICTV202010146</v>
      </c>
      <c r="R3803" t="s">
        <v>579</v>
      </c>
      <c r="S3803" t="s">
        <v>824</v>
      </c>
      <c r="T3803">
        <v>40</v>
      </c>
      <c r="U3803" s="26" t="str">
        <f>HYPERLINK("https://ictv.global/ictv/proposals/2024.036B.Caudoviricetes_Faserviricetes_Name_Corrections.zip","2024.036B.Caudoviricetes_Faserviricetes_Name_Corrections.zip")</f>
        <v>2024.036B.Caudoviricetes_Faserviricetes_Name_Corrections.zip</v>
      </c>
    </row>
    <row r="3804" spans="1:21">
      <c r="A3804">
        <v>3803</v>
      </c>
      <c r="B3804" s="27" t="s">
        <v>1449</v>
      </c>
      <c r="D3804" s="27" t="s">
        <v>1450</v>
      </c>
      <c r="F3804" s="27" t="s">
        <v>1453</v>
      </c>
      <c r="H3804" s="27" t="s">
        <v>1454</v>
      </c>
      <c r="L3804" s="27" t="s">
        <v>5460</v>
      </c>
      <c r="M3804" s="27" t="s">
        <v>5461</v>
      </c>
      <c r="N3804" s="27" t="s">
        <v>2276</v>
      </c>
      <c r="P3804" s="27" t="s">
        <v>19665</v>
      </c>
      <c r="Q3804" s="26" t="str">
        <f>HYPERLINK("https://ictv.global/taxonomy/taxondetails?taxnode_id=202510147&amp;ictv_id=ICTV202010147","ICTV202010147")</f>
        <v>ICTV202010147</v>
      </c>
      <c r="R3804" t="s">
        <v>579</v>
      </c>
      <c r="S3804" t="s">
        <v>824</v>
      </c>
      <c r="T3804">
        <v>40</v>
      </c>
      <c r="U3804" s="26" t="str">
        <f>HYPERLINK("https://ictv.global/ictv/proposals/2024.036B.Caudoviricetes_Faserviricetes_Name_Corrections.zip","2024.036B.Caudoviricetes_Faserviricetes_Name_Corrections.zip")</f>
        <v>2024.036B.Caudoviricetes_Faserviricetes_Name_Corrections.zip</v>
      </c>
    </row>
    <row r="3805" spans="1:21">
      <c r="A3805">
        <v>3804</v>
      </c>
      <c r="B3805" s="27" t="s">
        <v>1449</v>
      </c>
      <c r="D3805" s="27" t="s">
        <v>1450</v>
      </c>
      <c r="F3805" s="27" t="s">
        <v>1453</v>
      </c>
      <c r="H3805" s="27" t="s">
        <v>1454</v>
      </c>
      <c r="L3805" s="27" t="s">
        <v>5460</v>
      </c>
      <c r="M3805" s="27" t="s">
        <v>5461</v>
      </c>
      <c r="N3805" s="27" t="s">
        <v>2276</v>
      </c>
      <c r="P3805" s="27" t="s">
        <v>19666</v>
      </c>
      <c r="Q3805" s="26" t="str">
        <f>HYPERLINK("https://ictv.global/taxonomy/taxondetails?taxnode_id=202510149&amp;ictv_id=ICTV202010149","ICTV202010149")</f>
        <v>ICTV202010149</v>
      </c>
      <c r="R3805" t="s">
        <v>579</v>
      </c>
      <c r="S3805" t="s">
        <v>824</v>
      </c>
      <c r="T3805">
        <v>40</v>
      </c>
      <c r="U3805" s="26" t="str">
        <f>HYPERLINK("https://ictv.global/ictv/proposals/2024.036B.Caudoviricetes_Faserviricetes_Name_Corrections.zip","2024.036B.Caudoviricetes_Faserviricetes_Name_Corrections.zip")</f>
        <v>2024.036B.Caudoviricetes_Faserviricetes_Name_Corrections.zip</v>
      </c>
    </row>
    <row r="3806" spans="1:21">
      <c r="A3806">
        <v>3805</v>
      </c>
      <c r="B3806" s="27" t="s">
        <v>1449</v>
      </c>
      <c r="D3806" s="27" t="s">
        <v>1450</v>
      </c>
      <c r="F3806" s="27" t="s">
        <v>1453</v>
      </c>
      <c r="H3806" s="27" t="s">
        <v>1454</v>
      </c>
      <c r="L3806" s="27" t="s">
        <v>5460</v>
      </c>
      <c r="M3806" s="27" t="s">
        <v>5461</v>
      </c>
      <c r="N3806" s="27" t="s">
        <v>2276</v>
      </c>
      <c r="P3806" s="27" t="s">
        <v>19667</v>
      </c>
      <c r="Q3806" s="26" t="str">
        <f>HYPERLINK("https://ictv.global/taxonomy/taxondetails?taxnode_id=202510148&amp;ictv_id=ICTV202010148","ICTV202010148")</f>
        <v>ICTV202010148</v>
      </c>
      <c r="R3806" t="s">
        <v>579</v>
      </c>
      <c r="S3806" t="s">
        <v>824</v>
      </c>
      <c r="T3806">
        <v>40</v>
      </c>
      <c r="U3806" s="26" t="str">
        <f>HYPERLINK("https://ictv.global/ictv/proposals/2024.036B.Caudoviricetes_Faserviricetes_Name_Corrections.zip","2024.036B.Caudoviricetes_Faserviricetes_Name_Corrections.zip")</f>
        <v>2024.036B.Caudoviricetes_Faserviricetes_Name_Corrections.zip</v>
      </c>
    </row>
    <row r="3807" spans="1:21">
      <c r="A3807">
        <v>3806</v>
      </c>
      <c r="B3807" s="27" t="s">
        <v>1449</v>
      </c>
      <c r="D3807" s="27" t="s">
        <v>1450</v>
      </c>
      <c r="F3807" s="27" t="s">
        <v>1453</v>
      </c>
      <c r="H3807" s="27" t="s">
        <v>1454</v>
      </c>
      <c r="L3807" s="27" t="s">
        <v>5460</v>
      </c>
      <c r="M3807" s="27" t="s">
        <v>5461</v>
      </c>
      <c r="N3807" s="27" t="s">
        <v>1411</v>
      </c>
      <c r="P3807" s="27" t="s">
        <v>5464</v>
      </c>
      <c r="Q3807" s="26" t="str">
        <f>HYPERLINK("https://ictv.global/taxonomy/taxondetails?taxnode_id=202512977&amp;ictv_id=ICTV202112977","ICTV202112977")</f>
        <v>ICTV202112977</v>
      </c>
      <c r="R3807" t="s">
        <v>579</v>
      </c>
      <c r="S3807" t="s">
        <v>22763</v>
      </c>
      <c r="T3807">
        <v>38</v>
      </c>
      <c r="U3807" s="26" t="str">
        <f t="shared" ref="U3807:U3827" si="143">HYPERLINK("https://ictv.global/ictv/proposals/2022.085B.Stanwilliamsviridae_nf_2nsf_4ng_6nsp.zip","2022.085B.Stanwilliamsviridae_nf_2nsf_4ng_6nsp.zip")</f>
        <v>2022.085B.Stanwilliamsviridae_nf_2nsf_4ng_6nsp.zip</v>
      </c>
    </row>
    <row r="3808" spans="1:21">
      <c r="A3808">
        <v>3807</v>
      </c>
      <c r="B3808" s="27" t="s">
        <v>1449</v>
      </c>
      <c r="D3808" s="27" t="s">
        <v>1450</v>
      </c>
      <c r="F3808" s="27" t="s">
        <v>1453</v>
      </c>
      <c r="H3808" s="27" t="s">
        <v>1454</v>
      </c>
      <c r="L3808" s="27" t="s">
        <v>5460</v>
      </c>
      <c r="M3808" s="27" t="s">
        <v>5461</v>
      </c>
      <c r="N3808" s="27" t="s">
        <v>1411</v>
      </c>
      <c r="P3808" s="27" t="s">
        <v>5465</v>
      </c>
      <c r="Q3808" s="26" t="str">
        <f>HYPERLINK("https://ictv.global/taxonomy/taxondetails?taxnode_id=202512980&amp;ictv_id=ICTV202112980","ICTV202112980")</f>
        <v>ICTV202112980</v>
      </c>
      <c r="R3808" t="s">
        <v>579</v>
      </c>
      <c r="S3808" t="s">
        <v>22763</v>
      </c>
      <c r="T3808">
        <v>38</v>
      </c>
      <c r="U3808" s="26" t="str">
        <f t="shared" si="143"/>
        <v>2022.085B.Stanwilliamsviridae_nf_2nsf_4ng_6nsp.zip</v>
      </c>
    </row>
    <row r="3809" spans="1:21">
      <c r="A3809">
        <v>3808</v>
      </c>
      <c r="B3809" s="27" t="s">
        <v>1449</v>
      </c>
      <c r="D3809" s="27" t="s">
        <v>1450</v>
      </c>
      <c r="F3809" s="27" t="s">
        <v>1453</v>
      </c>
      <c r="H3809" s="27" t="s">
        <v>1454</v>
      </c>
      <c r="L3809" s="27" t="s">
        <v>5460</v>
      </c>
      <c r="M3809" s="27" t="s">
        <v>5461</v>
      </c>
      <c r="N3809" s="27" t="s">
        <v>1411</v>
      </c>
      <c r="P3809" s="27" t="s">
        <v>5466</v>
      </c>
      <c r="Q3809" s="26" t="str">
        <f>HYPERLINK("https://ictv.global/taxonomy/taxondetails?taxnode_id=202512976&amp;ictv_id=ICTV202112976","ICTV202112976")</f>
        <v>ICTV202112976</v>
      </c>
      <c r="R3809" t="s">
        <v>579</v>
      </c>
      <c r="S3809" t="s">
        <v>22763</v>
      </c>
      <c r="T3809">
        <v>38</v>
      </c>
      <c r="U3809" s="26" t="str">
        <f t="shared" si="143"/>
        <v>2022.085B.Stanwilliamsviridae_nf_2nsf_4ng_6nsp.zip</v>
      </c>
    </row>
    <row r="3810" spans="1:21">
      <c r="A3810">
        <v>3809</v>
      </c>
      <c r="B3810" s="27" t="s">
        <v>1449</v>
      </c>
      <c r="D3810" s="27" t="s">
        <v>1450</v>
      </c>
      <c r="F3810" s="27" t="s">
        <v>1453</v>
      </c>
      <c r="H3810" s="27" t="s">
        <v>1454</v>
      </c>
      <c r="L3810" s="27" t="s">
        <v>5460</v>
      </c>
      <c r="M3810" s="27" t="s">
        <v>5461</v>
      </c>
      <c r="N3810" s="27" t="s">
        <v>1411</v>
      </c>
      <c r="P3810" s="27" t="s">
        <v>5467</v>
      </c>
      <c r="Q3810" s="26" t="str">
        <f>HYPERLINK("https://ictv.global/taxonomy/taxondetails?taxnode_id=202512978&amp;ictv_id=ICTV202112978","ICTV202112978")</f>
        <v>ICTV202112978</v>
      </c>
      <c r="R3810" t="s">
        <v>579</v>
      </c>
      <c r="S3810" t="s">
        <v>22763</v>
      </c>
      <c r="T3810">
        <v>38</v>
      </c>
      <c r="U3810" s="26" t="str">
        <f t="shared" si="143"/>
        <v>2022.085B.Stanwilliamsviridae_nf_2nsf_4ng_6nsp.zip</v>
      </c>
    </row>
    <row r="3811" spans="1:21">
      <c r="A3811">
        <v>3810</v>
      </c>
      <c r="B3811" s="27" t="s">
        <v>1449</v>
      </c>
      <c r="D3811" s="27" t="s">
        <v>1450</v>
      </c>
      <c r="F3811" s="27" t="s">
        <v>1453</v>
      </c>
      <c r="H3811" s="27" t="s">
        <v>1454</v>
      </c>
      <c r="L3811" s="27" t="s">
        <v>5460</v>
      </c>
      <c r="M3811" s="27" t="s">
        <v>5461</v>
      </c>
      <c r="N3811" s="27" t="s">
        <v>1411</v>
      </c>
      <c r="P3811" s="27" t="s">
        <v>5468</v>
      </c>
      <c r="Q3811" s="26" t="str">
        <f>HYPERLINK("https://ictv.global/taxonomy/taxondetails?taxnode_id=202512979&amp;ictv_id=ICTV202112979","ICTV202112979")</f>
        <v>ICTV202112979</v>
      </c>
      <c r="R3811" t="s">
        <v>579</v>
      </c>
      <c r="S3811" t="s">
        <v>22763</v>
      </c>
      <c r="T3811">
        <v>38</v>
      </c>
      <c r="U3811" s="26" t="str">
        <f t="shared" si="143"/>
        <v>2022.085B.Stanwilliamsviridae_nf_2nsf_4ng_6nsp.zip</v>
      </c>
    </row>
    <row r="3812" spans="1:21">
      <c r="A3812">
        <v>3811</v>
      </c>
      <c r="B3812" s="27" t="s">
        <v>1449</v>
      </c>
      <c r="D3812" s="27" t="s">
        <v>1450</v>
      </c>
      <c r="F3812" s="27" t="s">
        <v>1453</v>
      </c>
      <c r="H3812" s="27" t="s">
        <v>1454</v>
      </c>
      <c r="L3812" s="27" t="s">
        <v>5460</v>
      </c>
      <c r="M3812" s="27" t="s">
        <v>5461</v>
      </c>
      <c r="N3812" s="27" t="s">
        <v>1411</v>
      </c>
      <c r="P3812" s="27" t="s">
        <v>5469</v>
      </c>
      <c r="Q3812" s="26" t="str">
        <f>HYPERLINK("https://ictv.global/taxonomy/taxondetails?taxnode_id=202506783&amp;ictv_id=ICTV201856783","ICTV201856783")</f>
        <v>ICTV201856783</v>
      </c>
      <c r="R3812" t="s">
        <v>579</v>
      </c>
      <c r="S3812" t="s">
        <v>22763</v>
      </c>
      <c r="T3812">
        <v>38</v>
      </c>
      <c r="U3812" s="26" t="str">
        <f t="shared" si="143"/>
        <v>2022.085B.Stanwilliamsviridae_nf_2nsf_4ng_6nsp.zip</v>
      </c>
    </row>
    <row r="3813" spans="1:21">
      <c r="A3813">
        <v>3812</v>
      </c>
      <c r="B3813" s="27" t="s">
        <v>1449</v>
      </c>
      <c r="D3813" s="27" t="s">
        <v>1450</v>
      </c>
      <c r="F3813" s="27" t="s">
        <v>1453</v>
      </c>
      <c r="H3813" s="27" t="s">
        <v>1454</v>
      </c>
      <c r="L3813" s="27" t="s">
        <v>5460</v>
      </c>
      <c r="M3813" s="27" t="s">
        <v>5461</v>
      </c>
      <c r="N3813" s="27" t="s">
        <v>1411</v>
      </c>
      <c r="P3813" s="27" t="s">
        <v>5470</v>
      </c>
      <c r="Q3813" s="26" t="str">
        <f>HYPERLINK("https://ictv.global/taxonomy/taxondetails?taxnode_id=202506785&amp;ictv_id=ICTV201856785","ICTV201856785")</f>
        <v>ICTV201856785</v>
      </c>
      <c r="R3813" t="s">
        <v>579</v>
      </c>
      <c r="S3813" t="s">
        <v>22763</v>
      </c>
      <c r="T3813">
        <v>38</v>
      </c>
      <c r="U3813" s="26" t="str">
        <f t="shared" si="143"/>
        <v>2022.085B.Stanwilliamsviridae_nf_2nsf_4ng_6nsp.zip</v>
      </c>
    </row>
    <row r="3814" spans="1:21">
      <c r="A3814">
        <v>3813</v>
      </c>
      <c r="B3814" s="27" t="s">
        <v>1449</v>
      </c>
      <c r="D3814" s="27" t="s">
        <v>1450</v>
      </c>
      <c r="F3814" s="27" t="s">
        <v>1453</v>
      </c>
      <c r="H3814" s="27" t="s">
        <v>1454</v>
      </c>
      <c r="L3814" s="27" t="s">
        <v>5460</v>
      </c>
      <c r="M3814" s="27" t="s">
        <v>5461</v>
      </c>
      <c r="N3814" s="27" t="s">
        <v>1411</v>
      </c>
      <c r="P3814" s="27" t="s">
        <v>5471</v>
      </c>
      <c r="Q3814" s="26" t="str">
        <f>HYPERLINK("https://ictv.global/taxonomy/taxondetails?taxnode_id=202506784&amp;ictv_id=ICTV201856784","ICTV201856784")</f>
        <v>ICTV201856784</v>
      </c>
      <c r="R3814" t="s">
        <v>579</v>
      </c>
      <c r="S3814" t="s">
        <v>22763</v>
      </c>
      <c r="T3814">
        <v>38</v>
      </c>
      <c r="U3814" s="26" t="str">
        <f t="shared" si="143"/>
        <v>2022.085B.Stanwilliamsviridae_nf_2nsf_4ng_6nsp.zip</v>
      </c>
    </row>
    <row r="3815" spans="1:21">
      <c r="A3815">
        <v>3814</v>
      </c>
      <c r="B3815" s="27" t="s">
        <v>1449</v>
      </c>
      <c r="D3815" s="27" t="s">
        <v>1450</v>
      </c>
      <c r="F3815" s="27" t="s">
        <v>1453</v>
      </c>
      <c r="H3815" s="27" t="s">
        <v>1454</v>
      </c>
      <c r="L3815" s="27" t="s">
        <v>5460</v>
      </c>
      <c r="M3815" s="27" t="s">
        <v>5461</v>
      </c>
      <c r="N3815" s="27" t="s">
        <v>1411</v>
      </c>
      <c r="P3815" s="27" t="s">
        <v>5472</v>
      </c>
      <c r="Q3815" s="26" t="str">
        <f>HYPERLINK("https://ictv.global/taxonomy/taxondetails?taxnode_id=202506782&amp;ictv_id=ICTV201856782","ICTV201856782")</f>
        <v>ICTV201856782</v>
      </c>
      <c r="R3815" t="s">
        <v>579</v>
      </c>
      <c r="S3815" t="s">
        <v>22763</v>
      </c>
      <c r="T3815">
        <v>38</v>
      </c>
      <c r="U3815" s="26" t="str">
        <f t="shared" si="143"/>
        <v>2022.085B.Stanwilliamsviridae_nf_2nsf_4ng_6nsp.zip</v>
      </c>
    </row>
    <row r="3816" spans="1:21">
      <c r="A3816">
        <v>3815</v>
      </c>
      <c r="B3816" s="27" t="s">
        <v>1449</v>
      </c>
      <c r="D3816" s="27" t="s">
        <v>1450</v>
      </c>
      <c r="F3816" s="27" t="s">
        <v>1453</v>
      </c>
      <c r="H3816" s="27" t="s">
        <v>1454</v>
      </c>
      <c r="L3816" s="27" t="s">
        <v>5460</v>
      </c>
      <c r="M3816" s="27" t="s">
        <v>5461</v>
      </c>
      <c r="N3816" s="27" t="s">
        <v>1411</v>
      </c>
      <c r="P3816" s="27" t="s">
        <v>5473</v>
      </c>
      <c r="Q3816" s="26" t="str">
        <f>HYPERLINK("https://ictv.global/taxonomy/taxondetails?taxnode_id=202506781&amp;ictv_id=ICTV201856781","ICTV201856781")</f>
        <v>ICTV201856781</v>
      </c>
      <c r="R3816" t="s">
        <v>579</v>
      </c>
      <c r="S3816" t="s">
        <v>22763</v>
      </c>
      <c r="T3816">
        <v>38</v>
      </c>
      <c r="U3816" s="26" t="str">
        <f t="shared" si="143"/>
        <v>2022.085B.Stanwilliamsviridae_nf_2nsf_4ng_6nsp.zip</v>
      </c>
    </row>
    <row r="3817" spans="1:21">
      <c r="A3817">
        <v>3816</v>
      </c>
      <c r="B3817" s="27" t="s">
        <v>1449</v>
      </c>
      <c r="D3817" s="27" t="s">
        <v>1450</v>
      </c>
      <c r="F3817" s="27" t="s">
        <v>1453</v>
      </c>
      <c r="H3817" s="27" t="s">
        <v>1454</v>
      </c>
      <c r="L3817" s="27" t="s">
        <v>5460</v>
      </c>
      <c r="M3817" s="27" t="s">
        <v>5461</v>
      </c>
      <c r="N3817" s="27" t="s">
        <v>1411</v>
      </c>
      <c r="P3817" s="27" t="s">
        <v>5474</v>
      </c>
      <c r="Q3817" s="26" t="str">
        <f>HYPERLINK("https://ictv.global/taxonomy/taxondetails?taxnode_id=202506780&amp;ictv_id=ICTV201856780","ICTV201856780")</f>
        <v>ICTV201856780</v>
      </c>
      <c r="R3817" t="s">
        <v>579</v>
      </c>
      <c r="S3817" t="s">
        <v>22763</v>
      </c>
      <c r="T3817">
        <v>38</v>
      </c>
      <c r="U3817" s="26" t="str">
        <f t="shared" si="143"/>
        <v>2022.085B.Stanwilliamsviridae_nf_2nsf_4ng_6nsp.zip</v>
      </c>
    </row>
    <row r="3818" spans="1:21">
      <c r="A3818">
        <v>3817</v>
      </c>
      <c r="B3818" s="27" t="s">
        <v>1449</v>
      </c>
      <c r="D3818" s="27" t="s">
        <v>1450</v>
      </c>
      <c r="F3818" s="27" t="s">
        <v>1453</v>
      </c>
      <c r="H3818" s="27" t="s">
        <v>1454</v>
      </c>
      <c r="L3818" s="27" t="s">
        <v>5460</v>
      </c>
      <c r="M3818" s="27" t="s">
        <v>5461</v>
      </c>
      <c r="N3818" s="27" t="s">
        <v>5475</v>
      </c>
      <c r="P3818" s="27" t="s">
        <v>5476</v>
      </c>
      <c r="Q3818" s="26" t="str">
        <f>HYPERLINK("https://ictv.global/taxonomy/taxondetails?taxnode_id=202514931&amp;ictv_id=ICTV202214931","ICTV202214931")</f>
        <v>ICTV202214931</v>
      </c>
      <c r="R3818" t="s">
        <v>579</v>
      </c>
      <c r="S3818" t="s">
        <v>823</v>
      </c>
      <c r="T3818">
        <v>38</v>
      </c>
      <c r="U3818" s="26" t="str">
        <f t="shared" si="143"/>
        <v>2022.085B.Stanwilliamsviridae_nf_2nsf_4ng_6nsp.zip</v>
      </c>
    </row>
    <row r="3819" spans="1:21">
      <c r="A3819">
        <v>3818</v>
      </c>
      <c r="B3819" s="27" t="s">
        <v>1449</v>
      </c>
      <c r="D3819" s="27" t="s">
        <v>1450</v>
      </c>
      <c r="F3819" s="27" t="s">
        <v>1453</v>
      </c>
      <c r="H3819" s="27" t="s">
        <v>1454</v>
      </c>
      <c r="L3819" s="27" t="s">
        <v>5460</v>
      </c>
      <c r="M3819" s="27" t="s">
        <v>5477</v>
      </c>
      <c r="N3819" s="27" t="s">
        <v>2244</v>
      </c>
      <c r="P3819" s="27" t="s">
        <v>5478</v>
      </c>
      <c r="Q3819" s="26" t="str">
        <f>HYPERLINK("https://ictv.global/taxonomy/taxondetails?taxnode_id=202509262&amp;ictv_id=ICTV202009262","ICTV202009262")</f>
        <v>ICTV202009262</v>
      </c>
      <c r="R3819" t="s">
        <v>579</v>
      </c>
      <c r="S3819" t="s">
        <v>22763</v>
      </c>
      <c r="T3819">
        <v>38</v>
      </c>
      <c r="U3819" s="26" t="str">
        <f t="shared" si="143"/>
        <v>2022.085B.Stanwilliamsviridae_nf_2nsf_4ng_6nsp.zip</v>
      </c>
    </row>
    <row r="3820" spans="1:21">
      <c r="A3820">
        <v>3819</v>
      </c>
      <c r="B3820" s="27" t="s">
        <v>1449</v>
      </c>
      <c r="D3820" s="27" t="s">
        <v>1450</v>
      </c>
      <c r="F3820" s="27" t="s">
        <v>1453</v>
      </c>
      <c r="H3820" s="27" t="s">
        <v>1454</v>
      </c>
      <c r="L3820" s="27" t="s">
        <v>5460</v>
      </c>
      <c r="M3820" s="27" t="s">
        <v>5477</v>
      </c>
      <c r="N3820" s="27" t="s">
        <v>2244</v>
      </c>
      <c r="P3820" s="27" t="s">
        <v>5479</v>
      </c>
      <c r="Q3820" s="26" t="str">
        <f>HYPERLINK("https://ictv.global/taxonomy/taxondetails?taxnode_id=202509263&amp;ictv_id=ICTV202009263","ICTV202009263")</f>
        <v>ICTV202009263</v>
      </c>
      <c r="R3820" t="s">
        <v>579</v>
      </c>
      <c r="S3820" t="s">
        <v>22763</v>
      </c>
      <c r="T3820">
        <v>38</v>
      </c>
      <c r="U3820" s="26" t="str">
        <f t="shared" si="143"/>
        <v>2022.085B.Stanwilliamsviridae_nf_2nsf_4ng_6nsp.zip</v>
      </c>
    </row>
    <row r="3821" spans="1:21">
      <c r="A3821">
        <v>3820</v>
      </c>
      <c r="B3821" s="27" t="s">
        <v>1449</v>
      </c>
      <c r="D3821" s="27" t="s">
        <v>1450</v>
      </c>
      <c r="F3821" s="27" t="s">
        <v>1453</v>
      </c>
      <c r="H3821" s="27" t="s">
        <v>1454</v>
      </c>
      <c r="L3821" s="27" t="s">
        <v>5460</v>
      </c>
      <c r="M3821" s="27" t="s">
        <v>5477</v>
      </c>
      <c r="N3821" s="27" t="s">
        <v>5480</v>
      </c>
      <c r="P3821" s="27" t="s">
        <v>5481</v>
      </c>
      <c r="Q3821" s="26" t="str">
        <f>HYPERLINK("https://ictv.global/taxonomy/taxondetails?taxnode_id=202514933&amp;ictv_id=ICTV202214933","ICTV202214933")</f>
        <v>ICTV202214933</v>
      </c>
      <c r="R3821" t="s">
        <v>579</v>
      </c>
      <c r="S3821" t="s">
        <v>823</v>
      </c>
      <c r="T3821">
        <v>38</v>
      </c>
      <c r="U3821" s="26" t="str">
        <f t="shared" si="143"/>
        <v>2022.085B.Stanwilliamsviridae_nf_2nsf_4ng_6nsp.zip</v>
      </c>
    </row>
    <row r="3822" spans="1:21">
      <c r="A3822">
        <v>3821</v>
      </c>
      <c r="B3822" s="27" t="s">
        <v>1449</v>
      </c>
      <c r="D3822" s="27" t="s">
        <v>1450</v>
      </c>
      <c r="F3822" s="27" t="s">
        <v>1453</v>
      </c>
      <c r="H3822" s="27" t="s">
        <v>1454</v>
      </c>
      <c r="L3822" s="27" t="s">
        <v>5460</v>
      </c>
      <c r="M3822" s="27" t="s">
        <v>5477</v>
      </c>
      <c r="N3822" s="27" t="s">
        <v>5480</v>
      </c>
      <c r="P3822" s="27" t="s">
        <v>5482</v>
      </c>
      <c r="Q3822" s="26" t="str">
        <f>HYPERLINK("https://ictv.global/taxonomy/taxondetails?taxnode_id=202514934&amp;ictv_id=ICTV202214934","ICTV202214934")</f>
        <v>ICTV202214934</v>
      </c>
      <c r="R3822" t="s">
        <v>579</v>
      </c>
      <c r="S3822" t="s">
        <v>823</v>
      </c>
      <c r="T3822">
        <v>38</v>
      </c>
      <c r="U3822" s="26" t="str">
        <f t="shared" si="143"/>
        <v>2022.085B.Stanwilliamsviridae_nf_2nsf_4ng_6nsp.zip</v>
      </c>
    </row>
    <row r="3823" spans="1:21">
      <c r="A3823">
        <v>3822</v>
      </c>
      <c r="B3823" s="27" t="s">
        <v>1449</v>
      </c>
      <c r="D3823" s="27" t="s">
        <v>1450</v>
      </c>
      <c r="F3823" s="27" t="s">
        <v>1453</v>
      </c>
      <c r="H3823" s="27" t="s">
        <v>1454</v>
      </c>
      <c r="L3823" s="27" t="s">
        <v>5460</v>
      </c>
      <c r="M3823" s="27" t="s">
        <v>5477</v>
      </c>
      <c r="N3823" s="27" t="s">
        <v>2264</v>
      </c>
      <c r="P3823" s="27" t="s">
        <v>5483</v>
      </c>
      <c r="Q3823" s="26" t="str">
        <f>HYPERLINK("https://ictv.global/taxonomy/taxondetails?taxnode_id=202510042&amp;ictv_id=ICTV202010042","ICTV202010042")</f>
        <v>ICTV202010042</v>
      </c>
      <c r="R3823" t="s">
        <v>579</v>
      </c>
      <c r="S3823" t="s">
        <v>22763</v>
      </c>
      <c r="T3823">
        <v>38</v>
      </c>
      <c r="U3823" s="26" t="str">
        <f t="shared" si="143"/>
        <v>2022.085B.Stanwilliamsviridae_nf_2nsf_4ng_6nsp.zip</v>
      </c>
    </row>
    <row r="3824" spans="1:21">
      <c r="A3824">
        <v>3823</v>
      </c>
      <c r="B3824" s="27" t="s">
        <v>1449</v>
      </c>
      <c r="D3824" s="27" t="s">
        <v>1450</v>
      </c>
      <c r="F3824" s="27" t="s">
        <v>1453</v>
      </c>
      <c r="H3824" s="27" t="s">
        <v>1454</v>
      </c>
      <c r="L3824" s="27" t="s">
        <v>5460</v>
      </c>
      <c r="M3824" s="27" t="s">
        <v>5477</v>
      </c>
      <c r="N3824" s="27" t="s">
        <v>2264</v>
      </c>
      <c r="P3824" s="27" t="s">
        <v>5484</v>
      </c>
      <c r="Q3824" s="26" t="str">
        <f>HYPERLINK("https://ictv.global/taxonomy/taxondetails?taxnode_id=202510041&amp;ictv_id=ICTV202010041","ICTV202010041")</f>
        <v>ICTV202010041</v>
      </c>
      <c r="R3824" t="s">
        <v>579</v>
      </c>
      <c r="S3824" t="s">
        <v>22763</v>
      </c>
      <c r="T3824">
        <v>38</v>
      </c>
      <c r="U3824" s="26" t="str">
        <f t="shared" si="143"/>
        <v>2022.085B.Stanwilliamsviridae_nf_2nsf_4ng_6nsp.zip</v>
      </c>
    </row>
    <row r="3825" spans="1:21">
      <c r="A3825">
        <v>3824</v>
      </c>
      <c r="B3825" s="27" t="s">
        <v>1449</v>
      </c>
      <c r="D3825" s="27" t="s">
        <v>1450</v>
      </c>
      <c r="F3825" s="27" t="s">
        <v>1453</v>
      </c>
      <c r="H3825" s="27" t="s">
        <v>1454</v>
      </c>
      <c r="L3825" s="27" t="s">
        <v>5460</v>
      </c>
      <c r="M3825" s="27" t="s">
        <v>5477</v>
      </c>
      <c r="N3825" s="27" t="s">
        <v>5485</v>
      </c>
      <c r="P3825" s="27" t="s">
        <v>5486</v>
      </c>
      <c r="Q3825" s="26" t="str">
        <f>HYPERLINK("https://ictv.global/taxonomy/taxondetails?taxnode_id=202514936&amp;ictv_id=ICTV202214936","ICTV202214936")</f>
        <v>ICTV202214936</v>
      </c>
      <c r="R3825" t="s">
        <v>579</v>
      </c>
      <c r="S3825" t="s">
        <v>823</v>
      </c>
      <c r="T3825">
        <v>38</v>
      </c>
      <c r="U3825" s="26" t="str">
        <f t="shared" si="143"/>
        <v>2022.085B.Stanwilliamsviridae_nf_2nsf_4ng_6nsp.zip</v>
      </c>
    </row>
    <row r="3826" spans="1:21">
      <c r="A3826">
        <v>3825</v>
      </c>
      <c r="B3826" s="27" t="s">
        <v>1449</v>
      </c>
      <c r="D3826" s="27" t="s">
        <v>1450</v>
      </c>
      <c r="F3826" s="27" t="s">
        <v>1453</v>
      </c>
      <c r="H3826" s="27" t="s">
        <v>1454</v>
      </c>
      <c r="L3826" s="27" t="s">
        <v>5460</v>
      </c>
      <c r="M3826" s="27" t="s">
        <v>5477</v>
      </c>
      <c r="N3826" s="27" t="s">
        <v>5485</v>
      </c>
      <c r="P3826" s="27" t="s">
        <v>5487</v>
      </c>
      <c r="Q3826" s="26" t="str">
        <f>HYPERLINK("https://ictv.global/taxonomy/taxondetails?taxnode_id=202514935&amp;ictv_id=ICTV202214935","ICTV202214935")</f>
        <v>ICTV202214935</v>
      </c>
      <c r="R3826" t="s">
        <v>579</v>
      </c>
      <c r="S3826" t="s">
        <v>823</v>
      </c>
      <c r="T3826">
        <v>38</v>
      </c>
      <c r="U3826" s="26" t="str">
        <f t="shared" si="143"/>
        <v>2022.085B.Stanwilliamsviridae_nf_2nsf_4ng_6nsp.zip</v>
      </c>
    </row>
    <row r="3827" spans="1:21">
      <c r="A3827">
        <v>3826</v>
      </c>
      <c r="B3827" s="27" t="s">
        <v>1449</v>
      </c>
      <c r="D3827" s="27" t="s">
        <v>1450</v>
      </c>
      <c r="F3827" s="27" t="s">
        <v>1453</v>
      </c>
      <c r="H3827" s="27" t="s">
        <v>1454</v>
      </c>
      <c r="L3827" s="27" t="s">
        <v>5460</v>
      </c>
      <c r="M3827" s="27" t="s">
        <v>5477</v>
      </c>
      <c r="N3827" s="27" t="s">
        <v>1434</v>
      </c>
      <c r="P3827" s="27" t="s">
        <v>5488</v>
      </c>
      <c r="Q3827" s="26" t="str">
        <f>HYPERLINK("https://ictv.global/taxonomy/taxondetails?taxnode_id=202506797&amp;ictv_id=ICTV201856797","ICTV201856797")</f>
        <v>ICTV201856797</v>
      </c>
      <c r="R3827" t="s">
        <v>579</v>
      </c>
      <c r="S3827" t="s">
        <v>22763</v>
      </c>
      <c r="T3827">
        <v>38</v>
      </c>
      <c r="U3827" s="26" t="str">
        <f t="shared" si="143"/>
        <v>2022.085B.Stanwilliamsviridae_nf_2nsf_4ng_6nsp.zip</v>
      </c>
    </row>
    <row r="3828" spans="1:21">
      <c r="A3828">
        <v>3827</v>
      </c>
      <c r="B3828" s="27" t="s">
        <v>1449</v>
      </c>
      <c r="D3828" s="27" t="s">
        <v>1450</v>
      </c>
      <c r="F3828" s="27" t="s">
        <v>1453</v>
      </c>
      <c r="H3828" s="27" t="s">
        <v>1454</v>
      </c>
      <c r="L3828" s="27" t="s">
        <v>5702</v>
      </c>
      <c r="N3828" s="27" t="s">
        <v>5703</v>
      </c>
      <c r="P3828" s="27" t="s">
        <v>11669</v>
      </c>
      <c r="Q3828" s="26" t="str">
        <f>HYPERLINK("https://ictv.global/taxonomy/taxondetails?taxnode_id=202512173&amp;ictv_id=ICTV202112173","ICTV202112173")</f>
        <v>ICTV202112173</v>
      </c>
      <c r="R3828" t="s">
        <v>579</v>
      </c>
      <c r="S3828" t="s">
        <v>824</v>
      </c>
      <c r="T3828">
        <v>39</v>
      </c>
      <c r="U3828" s="26" t="str">
        <f>HYPERLINK("https://ictv.global/ictv/proposals/2023.001A.Archaeal_binomials.zip","2023.001A.Archaeal_binomials.zip")</f>
        <v>2023.001A.Archaeal_binomials.zip</v>
      </c>
    </row>
    <row r="3829" spans="1:21">
      <c r="A3829">
        <v>3828</v>
      </c>
      <c r="B3829" s="27" t="s">
        <v>1449</v>
      </c>
      <c r="D3829" s="27" t="s">
        <v>1450</v>
      </c>
      <c r="F3829" s="27" t="s">
        <v>1453</v>
      </c>
      <c r="H3829" s="27" t="s">
        <v>1454</v>
      </c>
      <c r="L3829" s="27" t="s">
        <v>21094</v>
      </c>
      <c r="N3829" s="27" t="s">
        <v>21095</v>
      </c>
      <c r="P3829" s="27" t="s">
        <v>21096</v>
      </c>
      <c r="Q3829" s="26" t="str">
        <f>HYPERLINK("https://ictv.global/taxonomy/taxondetails?taxnode_id=202522035&amp;ictv_id=ICTV202522035","ICTV202522035")</f>
        <v>ICTV202522035</v>
      </c>
      <c r="R3829" t="s">
        <v>579</v>
      </c>
      <c r="S3829" t="s">
        <v>823</v>
      </c>
      <c r="T3829">
        <v>41</v>
      </c>
      <c r="U3829" s="26" t="str">
        <f>HYPERLINK("https://ictv.global/ictv/proposals/2025.001A.Crust_viruses_6nf.zip","2025.001A.Crust_viruses_6nf.zip")</f>
        <v>2025.001A.Crust_viruses_6nf.zip</v>
      </c>
    </row>
    <row r="3830" spans="1:21">
      <c r="A3830">
        <v>3829</v>
      </c>
      <c r="B3830" s="27" t="s">
        <v>1449</v>
      </c>
      <c r="D3830" s="27" t="s">
        <v>1450</v>
      </c>
      <c r="F3830" s="27" t="s">
        <v>1453</v>
      </c>
      <c r="H3830" s="27" t="s">
        <v>1454</v>
      </c>
      <c r="L3830" s="27" t="s">
        <v>11670</v>
      </c>
      <c r="N3830" s="27" t="s">
        <v>11671</v>
      </c>
      <c r="P3830" s="27" t="s">
        <v>11672</v>
      </c>
      <c r="Q3830" s="26" t="str">
        <f>HYPERLINK("https://ictv.global/taxonomy/taxondetails?taxnode_id=202519389&amp;ictv_id=ICTV202319389","ICTV202319389")</f>
        <v>ICTV202319389</v>
      </c>
      <c r="R3830" t="s">
        <v>579</v>
      </c>
      <c r="S3830" t="s">
        <v>823</v>
      </c>
      <c r="T3830">
        <v>39</v>
      </c>
      <c r="U3830" s="26" t="str">
        <f>HYPERLINK("https://ictv.global/ictv/proposals/2023.069B.Toyamaviridae_nf.zip","2023.069B.Toyamaviridae_nf.zip")</f>
        <v>2023.069B.Toyamaviridae_nf.zip</v>
      </c>
    </row>
    <row r="3831" spans="1:21">
      <c r="A3831">
        <v>3830</v>
      </c>
      <c r="B3831" s="27" t="s">
        <v>1449</v>
      </c>
      <c r="D3831" s="27" t="s">
        <v>1450</v>
      </c>
      <c r="F3831" s="27" t="s">
        <v>1453</v>
      </c>
      <c r="H3831" s="27" t="s">
        <v>1454</v>
      </c>
      <c r="L3831" s="27" t="s">
        <v>11670</v>
      </c>
      <c r="N3831" s="27" t="s">
        <v>11673</v>
      </c>
      <c r="P3831" s="27" t="s">
        <v>11674</v>
      </c>
      <c r="Q3831" s="26" t="str">
        <f>HYPERLINK("https://ictv.global/taxonomy/taxondetails?taxnode_id=202519387&amp;ictv_id=ICTV202319387","ICTV202319387")</f>
        <v>ICTV202319387</v>
      </c>
      <c r="R3831" t="s">
        <v>579</v>
      </c>
      <c r="S3831" t="s">
        <v>823</v>
      </c>
      <c r="T3831">
        <v>39</v>
      </c>
      <c r="U3831" s="26" t="str">
        <f>HYPERLINK("https://ictv.global/ictv/proposals/2023.069B.Toyamaviridae_nf.zip","2023.069B.Toyamaviridae_nf.zip")</f>
        <v>2023.069B.Toyamaviridae_nf.zip</v>
      </c>
    </row>
    <row r="3832" spans="1:21">
      <c r="A3832">
        <v>3831</v>
      </c>
      <c r="B3832" s="27" t="s">
        <v>1449</v>
      </c>
      <c r="D3832" s="27" t="s">
        <v>1450</v>
      </c>
      <c r="F3832" s="27" t="s">
        <v>1453</v>
      </c>
      <c r="H3832" s="27" t="s">
        <v>1454</v>
      </c>
      <c r="L3832" s="27" t="s">
        <v>11670</v>
      </c>
      <c r="N3832" s="27" t="s">
        <v>11675</v>
      </c>
      <c r="P3832" s="27" t="s">
        <v>11676</v>
      </c>
      <c r="Q3832" s="26" t="str">
        <f>HYPERLINK("https://ictv.global/taxonomy/taxondetails?taxnode_id=202519388&amp;ictv_id=ICTV202319388","ICTV202319388")</f>
        <v>ICTV202319388</v>
      </c>
      <c r="R3832" t="s">
        <v>579</v>
      </c>
      <c r="S3832" t="s">
        <v>823</v>
      </c>
      <c r="T3832">
        <v>39</v>
      </c>
      <c r="U3832" s="26" t="str">
        <f>HYPERLINK("https://ictv.global/ictv/proposals/2023.069B.Toyamaviridae_nf.zip","2023.069B.Toyamaviridae_nf.zip")</f>
        <v>2023.069B.Toyamaviridae_nf.zip</v>
      </c>
    </row>
    <row r="3833" spans="1:21">
      <c r="A3833">
        <v>3832</v>
      </c>
      <c r="B3833" s="27" t="s">
        <v>1449</v>
      </c>
      <c r="D3833" s="27" t="s">
        <v>1450</v>
      </c>
      <c r="F3833" s="27" t="s">
        <v>1453</v>
      </c>
      <c r="H3833" s="27" t="s">
        <v>1454</v>
      </c>
      <c r="L3833" s="27" t="s">
        <v>19668</v>
      </c>
      <c r="M3833" s="27" t="s">
        <v>19669</v>
      </c>
      <c r="N3833" s="27" t="s">
        <v>19670</v>
      </c>
      <c r="P3833" s="27" t="s">
        <v>19671</v>
      </c>
      <c r="Q3833" s="26" t="str">
        <f>HYPERLINK("https://ictv.global/taxonomy/taxondetails?taxnode_id=202520841&amp;ictv_id=ICTV202420841","ICTV202420841")</f>
        <v>ICTV202420841</v>
      </c>
      <c r="R3833" t="s">
        <v>579</v>
      </c>
      <c r="S3833" t="s">
        <v>823</v>
      </c>
      <c r="T3833">
        <v>40</v>
      </c>
      <c r="U3833" s="26" t="str">
        <f t="shared" ref="U3833:U3838" si="144">HYPERLINK("https://ictv.global/ictv/proposals/2024.030B.Trautnerviridae_1nf_1nsf_3ng_6ns.zip","2024.030B.Trautnerviridae_1nf_1nsf_3ng_6ns.zip")</f>
        <v>2024.030B.Trautnerviridae_1nf_1nsf_3ng_6ns.zip</v>
      </c>
    </row>
    <row r="3834" spans="1:21">
      <c r="A3834">
        <v>3833</v>
      </c>
      <c r="B3834" s="27" t="s">
        <v>1449</v>
      </c>
      <c r="D3834" s="27" t="s">
        <v>1450</v>
      </c>
      <c r="F3834" s="27" t="s">
        <v>1453</v>
      </c>
      <c r="H3834" s="27" t="s">
        <v>1454</v>
      </c>
      <c r="L3834" s="27" t="s">
        <v>19668</v>
      </c>
      <c r="M3834" s="27" t="s">
        <v>19669</v>
      </c>
      <c r="N3834" s="27" t="s">
        <v>19670</v>
      </c>
      <c r="P3834" s="27" t="s">
        <v>19672</v>
      </c>
      <c r="Q3834" s="26" t="str">
        <f>HYPERLINK("https://ictv.global/taxonomy/taxondetails?taxnode_id=202520842&amp;ictv_id=ICTV202420842","ICTV202420842")</f>
        <v>ICTV202420842</v>
      </c>
      <c r="R3834" t="s">
        <v>579</v>
      </c>
      <c r="S3834" t="s">
        <v>823</v>
      </c>
      <c r="T3834">
        <v>40</v>
      </c>
      <c r="U3834" s="26" t="str">
        <f t="shared" si="144"/>
        <v>2024.030B.Trautnerviridae_1nf_1nsf_3ng_6ns.zip</v>
      </c>
    </row>
    <row r="3835" spans="1:21">
      <c r="A3835">
        <v>3834</v>
      </c>
      <c r="B3835" s="27" t="s">
        <v>1449</v>
      </c>
      <c r="D3835" s="27" t="s">
        <v>1450</v>
      </c>
      <c r="F3835" s="27" t="s">
        <v>1453</v>
      </c>
      <c r="H3835" s="27" t="s">
        <v>1454</v>
      </c>
      <c r="L3835" s="27" t="s">
        <v>19668</v>
      </c>
      <c r="M3835" s="27" t="s">
        <v>19669</v>
      </c>
      <c r="N3835" s="27" t="s">
        <v>19670</v>
      </c>
      <c r="P3835" s="27" t="s">
        <v>19673</v>
      </c>
      <c r="Q3835" s="26" t="str">
        <f>HYPERLINK("https://ictv.global/taxonomy/taxondetails?taxnode_id=202520840&amp;ictv_id=ICTV202420840","ICTV202420840")</f>
        <v>ICTV202420840</v>
      </c>
      <c r="R3835" t="s">
        <v>579</v>
      </c>
      <c r="S3835" t="s">
        <v>823</v>
      </c>
      <c r="T3835">
        <v>40</v>
      </c>
      <c r="U3835" s="26" t="str">
        <f t="shared" si="144"/>
        <v>2024.030B.Trautnerviridae_1nf_1nsf_3ng_6ns.zip</v>
      </c>
    </row>
    <row r="3836" spans="1:21">
      <c r="A3836">
        <v>3835</v>
      </c>
      <c r="B3836" s="27" t="s">
        <v>1449</v>
      </c>
      <c r="D3836" s="27" t="s">
        <v>1450</v>
      </c>
      <c r="F3836" s="27" t="s">
        <v>1453</v>
      </c>
      <c r="H3836" s="27" t="s">
        <v>1454</v>
      </c>
      <c r="L3836" s="27" t="s">
        <v>19668</v>
      </c>
      <c r="M3836" s="27" t="s">
        <v>19669</v>
      </c>
      <c r="N3836" s="27" t="s">
        <v>19674</v>
      </c>
      <c r="P3836" s="27" t="s">
        <v>19675</v>
      </c>
      <c r="Q3836" s="26" t="str">
        <f>HYPERLINK("https://ictv.global/taxonomy/taxondetails?taxnode_id=202520844&amp;ictv_id=ICTV202420844","ICTV202420844")</f>
        <v>ICTV202420844</v>
      </c>
      <c r="R3836" t="s">
        <v>579</v>
      </c>
      <c r="S3836" t="s">
        <v>823</v>
      </c>
      <c r="T3836">
        <v>40</v>
      </c>
      <c r="U3836" s="26" t="str">
        <f t="shared" si="144"/>
        <v>2024.030B.Trautnerviridae_1nf_1nsf_3ng_6ns.zip</v>
      </c>
    </row>
    <row r="3837" spans="1:21">
      <c r="A3837">
        <v>3836</v>
      </c>
      <c r="B3837" s="27" t="s">
        <v>1449</v>
      </c>
      <c r="D3837" s="27" t="s">
        <v>1450</v>
      </c>
      <c r="F3837" s="27" t="s">
        <v>1453</v>
      </c>
      <c r="H3837" s="27" t="s">
        <v>1454</v>
      </c>
      <c r="L3837" s="27" t="s">
        <v>19668</v>
      </c>
      <c r="M3837" s="27" t="s">
        <v>19669</v>
      </c>
      <c r="N3837" s="27" t="s">
        <v>19674</v>
      </c>
      <c r="P3837" s="27" t="s">
        <v>19676</v>
      </c>
      <c r="Q3837" s="26" t="str">
        <f>HYPERLINK("https://ictv.global/taxonomy/taxondetails?taxnode_id=202520843&amp;ictv_id=ICTV202420843","ICTV202420843")</f>
        <v>ICTV202420843</v>
      </c>
      <c r="R3837" t="s">
        <v>579</v>
      </c>
      <c r="S3837" t="s">
        <v>823</v>
      </c>
      <c r="T3837">
        <v>40</v>
      </c>
      <c r="U3837" s="26" t="str">
        <f t="shared" si="144"/>
        <v>2024.030B.Trautnerviridae_1nf_1nsf_3ng_6ns.zip</v>
      </c>
    </row>
    <row r="3838" spans="1:21">
      <c r="A3838">
        <v>3837</v>
      </c>
      <c r="B3838" s="27" t="s">
        <v>1449</v>
      </c>
      <c r="D3838" s="27" t="s">
        <v>1450</v>
      </c>
      <c r="F3838" s="27" t="s">
        <v>1453</v>
      </c>
      <c r="H3838" s="27" t="s">
        <v>1454</v>
      </c>
      <c r="L3838" s="27" t="s">
        <v>19668</v>
      </c>
      <c r="N3838" s="27" t="s">
        <v>19677</v>
      </c>
      <c r="P3838" s="27" t="s">
        <v>19678</v>
      </c>
      <c r="Q3838" s="26" t="str">
        <f>HYPERLINK("https://ictv.global/taxonomy/taxondetails?taxnode_id=202520845&amp;ictv_id=ICTV202420845","ICTV202420845")</f>
        <v>ICTV202420845</v>
      </c>
      <c r="R3838" t="s">
        <v>579</v>
      </c>
      <c r="S3838" t="s">
        <v>823</v>
      </c>
      <c r="T3838">
        <v>40</v>
      </c>
      <c r="U3838" s="26" t="str">
        <f t="shared" si="144"/>
        <v>2024.030B.Trautnerviridae_1nf_1nsf_3ng_6ns.zip</v>
      </c>
    </row>
    <row r="3839" spans="1:21">
      <c r="A3839">
        <v>3838</v>
      </c>
      <c r="B3839" s="27" t="s">
        <v>1449</v>
      </c>
      <c r="D3839" s="27" t="s">
        <v>1450</v>
      </c>
      <c r="F3839" s="27" t="s">
        <v>1453</v>
      </c>
      <c r="H3839" s="27" t="s">
        <v>1454</v>
      </c>
      <c r="L3839" s="27" t="s">
        <v>11677</v>
      </c>
      <c r="N3839" s="27" t="s">
        <v>11678</v>
      </c>
      <c r="P3839" s="27" t="s">
        <v>11679</v>
      </c>
      <c r="Q3839" s="26" t="str">
        <f>HYPERLINK("https://ictv.global/taxonomy/taxondetails?taxnode_id=202519454&amp;ictv_id=ICTV202319454","ICTV202319454")</f>
        <v>ICTV202319454</v>
      </c>
      <c r="R3839" t="s">
        <v>579</v>
      </c>
      <c r="S3839" t="s">
        <v>823</v>
      </c>
      <c r="T3839">
        <v>39</v>
      </c>
      <c r="U3839" s="26" t="str">
        <f t="shared" ref="U3839:U3870" si="145">HYPERLINK("https://ictv.global/ictv/proposals/2023.072B.Umezonoviridae_nf.zip","2023.072B.Umezonoviridae_nf.zip")</f>
        <v>2023.072B.Umezonoviridae_nf.zip</v>
      </c>
    </row>
    <row r="3840" spans="1:21">
      <c r="A3840">
        <v>3839</v>
      </c>
      <c r="B3840" s="27" t="s">
        <v>1449</v>
      </c>
      <c r="D3840" s="27" t="s">
        <v>1450</v>
      </c>
      <c r="F3840" s="27" t="s">
        <v>1453</v>
      </c>
      <c r="H3840" s="27" t="s">
        <v>1454</v>
      </c>
      <c r="L3840" s="27" t="s">
        <v>11677</v>
      </c>
      <c r="N3840" s="27" t="s">
        <v>11678</v>
      </c>
      <c r="P3840" s="27" t="s">
        <v>11680</v>
      </c>
      <c r="Q3840" s="26" t="str">
        <f>HYPERLINK("https://ictv.global/taxonomy/taxondetails?taxnode_id=202519455&amp;ictv_id=ICTV202319455","ICTV202319455")</f>
        <v>ICTV202319455</v>
      </c>
      <c r="R3840" t="s">
        <v>579</v>
      </c>
      <c r="S3840" t="s">
        <v>823</v>
      </c>
      <c r="T3840">
        <v>39</v>
      </c>
      <c r="U3840" s="26" t="str">
        <f t="shared" si="145"/>
        <v>2023.072B.Umezonoviridae_nf.zip</v>
      </c>
    </row>
    <row r="3841" spans="1:21">
      <c r="A3841">
        <v>3840</v>
      </c>
      <c r="B3841" s="27" t="s">
        <v>1449</v>
      </c>
      <c r="D3841" s="27" t="s">
        <v>1450</v>
      </c>
      <c r="F3841" s="27" t="s">
        <v>1453</v>
      </c>
      <c r="H3841" s="27" t="s">
        <v>1454</v>
      </c>
      <c r="L3841" s="27" t="s">
        <v>11677</v>
      </c>
      <c r="N3841" s="27" t="s">
        <v>11678</v>
      </c>
      <c r="P3841" s="27" t="s">
        <v>11681</v>
      </c>
      <c r="Q3841" s="26" t="str">
        <f>HYPERLINK("https://ictv.global/taxonomy/taxondetails?taxnode_id=202519456&amp;ictv_id=ICTV202319456","ICTV202319456")</f>
        <v>ICTV202319456</v>
      </c>
      <c r="R3841" t="s">
        <v>579</v>
      </c>
      <c r="S3841" t="s">
        <v>823</v>
      </c>
      <c r="T3841">
        <v>39</v>
      </c>
      <c r="U3841" s="26" t="str">
        <f t="shared" si="145"/>
        <v>2023.072B.Umezonoviridae_nf.zip</v>
      </c>
    </row>
    <row r="3842" spans="1:21">
      <c r="A3842">
        <v>3841</v>
      </c>
      <c r="B3842" s="27" t="s">
        <v>1449</v>
      </c>
      <c r="D3842" s="27" t="s">
        <v>1450</v>
      </c>
      <c r="F3842" s="27" t="s">
        <v>1453</v>
      </c>
      <c r="H3842" s="27" t="s">
        <v>1454</v>
      </c>
      <c r="L3842" s="27" t="s">
        <v>11677</v>
      </c>
      <c r="N3842" s="27" t="s">
        <v>11678</v>
      </c>
      <c r="P3842" s="27" t="s">
        <v>11682</v>
      </c>
      <c r="Q3842" s="26" t="str">
        <f>HYPERLINK("https://ictv.global/taxonomy/taxondetails?taxnode_id=202519457&amp;ictv_id=ICTV202319457","ICTV202319457")</f>
        <v>ICTV202319457</v>
      </c>
      <c r="R3842" t="s">
        <v>579</v>
      </c>
      <c r="S3842" t="s">
        <v>823</v>
      </c>
      <c r="T3842">
        <v>39</v>
      </c>
      <c r="U3842" s="26" t="str">
        <f t="shared" si="145"/>
        <v>2023.072B.Umezonoviridae_nf.zip</v>
      </c>
    </row>
    <row r="3843" spans="1:21">
      <c r="A3843">
        <v>3842</v>
      </c>
      <c r="B3843" s="27" t="s">
        <v>1449</v>
      </c>
      <c r="D3843" s="27" t="s">
        <v>1450</v>
      </c>
      <c r="F3843" s="27" t="s">
        <v>1453</v>
      </c>
      <c r="H3843" s="27" t="s">
        <v>1454</v>
      </c>
      <c r="L3843" s="27" t="s">
        <v>11677</v>
      </c>
      <c r="N3843" s="27" t="s">
        <v>11678</v>
      </c>
      <c r="P3843" s="27" t="s">
        <v>11683</v>
      </c>
      <c r="Q3843" s="26" t="str">
        <f>HYPERLINK("https://ictv.global/taxonomy/taxondetails?taxnode_id=202519458&amp;ictv_id=ICTV202319458","ICTV202319458")</f>
        <v>ICTV202319458</v>
      </c>
      <c r="R3843" t="s">
        <v>579</v>
      </c>
      <c r="S3843" t="s">
        <v>823</v>
      </c>
      <c r="T3843">
        <v>39</v>
      </c>
      <c r="U3843" s="26" t="str">
        <f t="shared" si="145"/>
        <v>2023.072B.Umezonoviridae_nf.zip</v>
      </c>
    </row>
    <row r="3844" spans="1:21">
      <c r="A3844">
        <v>3843</v>
      </c>
      <c r="B3844" s="27" t="s">
        <v>1449</v>
      </c>
      <c r="D3844" s="27" t="s">
        <v>1450</v>
      </c>
      <c r="F3844" s="27" t="s">
        <v>1453</v>
      </c>
      <c r="H3844" s="27" t="s">
        <v>1454</v>
      </c>
      <c r="L3844" s="27" t="s">
        <v>11677</v>
      </c>
      <c r="N3844" s="27" t="s">
        <v>11678</v>
      </c>
      <c r="P3844" s="27" t="s">
        <v>11684</v>
      </c>
      <c r="Q3844" s="26" t="str">
        <f>HYPERLINK("https://ictv.global/taxonomy/taxondetails?taxnode_id=202519463&amp;ictv_id=ICTV202319463","ICTV202319463")</f>
        <v>ICTV202319463</v>
      </c>
      <c r="R3844" t="s">
        <v>579</v>
      </c>
      <c r="S3844" t="s">
        <v>823</v>
      </c>
      <c r="T3844">
        <v>39</v>
      </c>
      <c r="U3844" s="26" t="str">
        <f t="shared" si="145"/>
        <v>2023.072B.Umezonoviridae_nf.zip</v>
      </c>
    </row>
    <row r="3845" spans="1:21">
      <c r="A3845">
        <v>3844</v>
      </c>
      <c r="B3845" s="27" t="s">
        <v>1449</v>
      </c>
      <c r="D3845" s="27" t="s">
        <v>1450</v>
      </c>
      <c r="F3845" s="27" t="s">
        <v>1453</v>
      </c>
      <c r="H3845" s="27" t="s">
        <v>1454</v>
      </c>
      <c r="L3845" s="27" t="s">
        <v>11677</v>
      </c>
      <c r="N3845" s="27" t="s">
        <v>11678</v>
      </c>
      <c r="P3845" s="27" t="s">
        <v>11685</v>
      </c>
      <c r="Q3845" s="26" t="str">
        <f>HYPERLINK("https://ictv.global/taxonomy/taxondetails?taxnode_id=202519459&amp;ictv_id=ICTV202319459","ICTV202319459")</f>
        <v>ICTV202319459</v>
      </c>
      <c r="R3845" t="s">
        <v>579</v>
      </c>
      <c r="S3845" t="s">
        <v>823</v>
      </c>
      <c r="T3845">
        <v>39</v>
      </c>
      <c r="U3845" s="26" t="str">
        <f t="shared" si="145"/>
        <v>2023.072B.Umezonoviridae_nf.zip</v>
      </c>
    </row>
    <row r="3846" spans="1:21">
      <c r="A3846">
        <v>3845</v>
      </c>
      <c r="B3846" s="27" t="s">
        <v>1449</v>
      </c>
      <c r="D3846" s="27" t="s">
        <v>1450</v>
      </c>
      <c r="F3846" s="27" t="s">
        <v>1453</v>
      </c>
      <c r="H3846" s="27" t="s">
        <v>1454</v>
      </c>
      <c r="L3846" s="27" t="s">
        <v>11677</v>
      </c>
      <c r="N3846" s="27" t="s">
        <v>11678</v>
      </c>
      <c r="P3846" s="27" t="s">
        <v>11686</v>
      </c>
      <c r="Q3846" s="26" t="str">
        <f>HYPERLINK("https://ictv.global/taxonomy/taxondetails?taxnode_id=202519460&amp;ictv_id=ICTV202319460","ICTV202319460")</f>
        <v>ICTV202319460</v>
      </c>
      <c r="R3846" t="s">
        <v>579</v>
      </c>
      <c r="S3846" t="s">
        <v>823</v>
      </c>
      <c r="T3846">
        <v>39</v>
      </c>
      <c r="U3846" s="26" t="str">
        <f t="shared" si="145"/>
        <v>2023.072B.Umezonoviridae_nf.zip</v>
      </c>
    </row>
    <row r="3847" spans="1:21">
      <c r="A3847">
        <v>3846</v>
      </c>
      <c r="B3847" s="27" t="s">
        <v>1449</v>
      </c>
      <c r="D3847" s="27" t="s">
        <v>1450</v>
      </c>
      <c r="F3847" s="27" t="s">
        <v>1453</v>
      </c>
      <c r="H3847" s="27" t="s">
        <v>1454</v>
      </c>
      <c r="L3847" s="27" t="s">
        <v>11677</v>
      </c>
      <c r="N3847" s="27" t="s">
        <v>11678</v>
      </c>
      <c r="P3847" s="27" t="s">
        <v>11687</v>
      </c>
      <c r="Q3847" s="26" t="str">
        <f>HYPERLINK("https://ictv.global/taxonomy/taxondetails?taxnode_id=202519461&amp;ictv_id=ICTV202319461","ICTV202319461")</f>
        <v>ICTV202319461</v>
      </c>
      <c r="R3847" t="s">
        <v>579</v>
      </c>
      <c r="S3847" t="s">
        <v>823</v>
      </c>
      <c r="T3847">
        <v>39</v>
      </c>
      <c r="U3847" s="26" t="str">
        <f t="shared" si="145"/>
        <v>2023.072B.Umezonoviridae_nf.zip</v>
      </c>
    </row>
    <row r="3848" spans="1:21">
      <c r="A3848">
        <v>3847</v>
      </c>
      <c r="B3848" s="27" t="s">
        <v>1449</v>
      </c>
      <c r="D3848" s="27" t="s">
        <v>1450</v>
      </c>
      <c r="F3848" s="27" t="s">
        <v>1453</v>
      </c>
      <c r="H3848" s="27" t="s">
        <v>1454</v>
      </c>
      <c r="L3848" s="27" t="s">
        <v>11677</v>
      </c>
      <c r="N3848" s="27" t="s">
        <v>11678</v>
      </c>
      <c r="P3848" s="27" t="s">
        <v>11688</v>
      </c>
      <c r="Q3848" s="26" t="str">
        <f>HYPERLINK("https://ictv.global/taxonomy/taxondetails?taxnode_id=202519462&amp;ictv_id=ICTV202319462","ICTV202319462")</f>
        <v>ICTV202319462</v>
      </c>
      <c r="R3848" t="s">
        <v>579</v>
      </c>
      <c r="S3848" t="s">
        <v>823</v>
      </c>
      <c r="T3848">
        <v>39</v>
      </c>
      <c r="U3848" s="26" t="str">
        <f t="shared" si="145"/>
        <v>2023.072B.Umezonoviridae_nf.zip</v>
      </c>
    </row>
    <row r="3849" spans="1:21">
      <c r="A3849">
        <v>3848</v>
      </c>
      <c r="B3849" s="27" t="s">
        <v>1449</v>
      </c>
      <c r="D3849" s="27" t="s">
        <v>1450</v>
      </c>
      <c r="F3849" s="27" t="s">
        <v>1453</v>
      </c>
      <c r="H3849" s="27" t="s">
        <v>1454</v>
      </c>
      <c r="L3849" s="27" t="s">
        <v>11677</v>
      </c>
      <c r="N3849" s="27" t="s">
        <v>11689</v>
      </c>
      <c r="P3849" s="27" t="s">
        <v>11690</v>
      </c>
      <c r="Q3849" s="26" t="str">
        <f>HYPERLINK("https://ictv.global/taxonomy/taxondetails?taxnode_id=202519409&amp;ictv_id=ICTV202319409","ICTV202319409")</f>
        <v>ICTV202319409</v>
      </c>
      <c r="R3849" t="s">
        <v>579</v>
      </c>
      <c r="S3849" t="s">
        <v>823</v>
      </c>
      <c r="T3849">
        <v>39</v>
      </c>
      <c r="U3849" s="26" t="str">
        <f t="shared" si="145"/>
        <v>2023.072B.Umezonoviridae_nf.zip</v>
      </c>
    </row>
    <row r="3850" spans="1:21">
      <c r="A3850">
        <v>3849</v>
      </c>
      <c r="B3850" s="27" t="s">
        <v>1449</v>
      </c>
      <c r="D3850" s="27" t="s">
        <v>1450</v>
      </c>
      <c r="F3850" s="27" t="s">
        <v>1453</v>
      </c>
      <c r="H3850" s="27" t="s">
        <v>1454</v>
      </c>
      <c r="L3850" s="27" t="s">
        <v>11677</v>
      </c>
      <c r="N3850" s="27" t="s">
        <v>11689</v>
      </c>
      <c r="P3850" s="27" t="s">
        <v>11691</v>
      </c>
      <c r="Q3850" s="26" t="str">
        <f>HYPERLINK("https://ictv.global/taxonomy/taxondetails?taxnode_id=202519410&amp;ictv_id=ICTV202319410","ICTV202319410")</f>
        <v>ICTV202319410</v>
      </c>
      <c r="R3850" t="s">
        <v>579</v>
      </c>
      <c r="S3850" t="s">
        <v>823</v>
      </c>
      <c r="T3850">
        <v>39</v>
      </c>
      <c r="U3850" s="26" t="str">
        <f t="shared" si="145"/>
        <v>2023.072B.Umezonoviridae_nf.zip</v>
      </c>
    </row>
    <row r="3851" spans="1:21">
      <c r="A3851">
        <v>3850</v>
      </c>
      <c r="B3851" s="27" t="s">
        <v>1449</v>
      </c>
      <c r="D3851" s="27" t="s">
        <v>1450</v>
      </c>
      <c r="F3851" s="27" t="s">
        <v>1453</v>
      </c>
      <c r="H3851" s="27" t="s">
        <v>1454</v>
      </c>
      <c r="L3851" s="27" t="s">
        <v>11677</v>
      </c>
      <c r="N3851" s="27" t="s">
        <v>11689</v>
      </c>
      <c r="P3851" s="27" t="s">
        <v>11692</v>
      </c>
      <c r="Q3851" s="26" t="str">
        <f>HYPERLINK("https://ictv.global/taxonomy/taxondetails?taxnode_id=202519411&amp;ictv_id=ICTV202319411","ICTV202319411")</f>
        <v>ICTV202319411</v>
      </c>
      <c r="R3851" t="s">
        <v>579</v>
      </c>
      <c r="S3851" t="s">
        <v>823</v>
      </c>
      <c r="T3851">
        <v>39</v>
      </c>
      <c r="U3851" s="26" t="str">
        <f t="shared" si="145"/>
        <v>2023.072B.Umezonoviridae_nf.zip</v>
      </c>
    </row>
    <row r="3852" spans="1:21">
      <c r="A3852">
        <v>3851</v>
      </c>
      <c r="B3852" s="27" t="s">
        <v>1449</v>
      </c>
      <c r="D3852" s="27" t="s">
        <v>1450</v>
      </c>
      <c r="F3852" s="27" t="s">
        <v>1453</v>
      </c>
      <c r="H3852" s="27" t="s">
        <v>1454</v>
      </c>
      <c r="L3852" s="27" t="s">
        <v>11677</v>
      </c>
      <c r="N3852" s="27" t="s">
        <v>11689</v>
      </c>
      <c r="P3852" s="27" t="s">
        <v>11693</v>
      </c>
      <c r="Q3852" s="26" t="str">
        <f>HYPERLINK("https://ictv.global/taxonomy/taxondetails?taxnode_id=202519416&amp;ictv_id=ICTV202319416","ICTV202319416")</f>
        <v>ICTV202319416</v>
      </c>
      <c r="R3852" t="s">
        <v>579</v>
      </c>
      <c r="S3852" t="s">
        <v>823</v>
      </c>
      <c r="T3852">
        <v>39</v>
      </c>
      <c r="U3852" s="26" t="str">
        <f t="shared" si="145"/>
        <v>2023.072B.Umezonoviridae_nf.zip</v>
      </c>
    </row>
    <row r="3853" spans="1:21">
      <c r="A3853">
        <v>3852</v>
      </c>
      <c r="B3853" s="27" t="s">
        <v>1449</v>
      </c>
      <c r="D3853" s="27" t="s">
        <v>1450</v>
      </c>
      <c r="F3853" s="27" t="s">
        <v>1453</v>
      </c>
      <c r="H3853" s="27" t="s">
        <v>1454</v>
      </c>
      <c r="L3853" s="27" t="s">
        <v>11677</v>
      </c>
      <c r="N3853" s="27" t="s">
        <v>11689</v>
      </c>
      <c r="P3853" s="27" t="s">
        <v>11694</v>
      </c>
      <c r="Q3853" s="26" t="str">
        <f>HYPERLINK("https://ictv.global/taxonomy/taxondetails?taxnode_id=202519412&amp;ictv_id=ICTV202319412","ICTV202319412")</f>
        <v>ICTV202319412</v>
      </c>
      <c r="R3853" t="s">
        <v>579</v>
      </c>
      <c r="S3853" t="s">
        <v>823</v>
      </c>
      <c r="T3853">
        <v>39</v>
      </c>
      <c r="U3853" s="26" t="str">
        <f t="shared" si="145"/>
        <v>2023.072B.Umezonoviridae_nf.zip</v>
      </c>
    </row>
    <row r="3854" spans="1:21">
      <c r="A3854">
        <v>3853</v>
      </c>
      <c r="B3854" s="27" t="s">
        <v>1449</v>
      </c>
      <c r="D3854" s="27" t="s">
        <v>1450</v>
      </c>
      <c r="F3854" s="27" t="s">
        <v>1453</v>
      </c>
      <c r="H3854" s="27" t="s">
        <v>1454</v>
      </c>
      <c r="L3854" s="27" t="s">
        <v>11677</v>
      </c>
      <c r="N3854" s="27" t="s">
        <v>11689</v>
      </c>
      <c r="P3854" s="27" t="s">
        <v>11695</v>
      </c>
      <c r="Q3854" s="26" t="str">
        <f>HYPERLINK("https://ictv.global/taxonomy/taxondetails?taxnode_id=202519413&amp;ictv_id=ICTV202319413","ICTV202319413")</f>
        <v>ICTV202319413</v>
      </c>
      <c r="R3854" t="s">
        <v>579</v>
      </c>
      <c r="S3854" t="s">
        <v>823</v>
      </c>
      <c r="T3854">
        <v>39</v>
      </c>
      <c r="U3854" s="26" t="str">
        <f t="shared" si="145"/>
        <v>2023.072B.Umezonoviridae_nf.zip</v>
      </c>
    </row>
    <row r="3855" spans="1:21">
      <c r="A3855">
        <v>3854</v>
      </c>
      <c r="B3855" s="27" t="s">
        <v>1449</v>
      </c>
      <c r="D3855" s="27" t="s">
        <v>1450</v>
      </c>
      <c r="F3855" s="27" t="s">
        <v>1453</v>
      </c>
      <c r="H3855" s="27" t="s">
        <v>1454</v>
      </c>
      <c r="L3855" s="27" t="s">
        <v>11677</v>
      </c>
      <c r="N3855" s="27" t="s">
        <v>11689</v>
      </c>
      <c r="P3855" s="27" t="s">
        <v>11696</v>
      </c>
      <c r="Q3855" s="26" t="str">
        <f>HYPERLINK("https://ictv.global/taxonomy/taxondetails?taxnode_id=202519414&amp;ictv_id=ICTV202319414","ICTV202319414")</f>
        <v>ICTV202319414</v>
      </c>
      <c r="R3855" t="s">
        <v>579</v>
      </c>
      <c r="S3855" t="s">
        <v>823</v>
      </c>
      <c r="T3855">
        <v>39</v>
      </c>
      <c r="U3855" s="26" t="str">
        <f t="shared" si="145"/>
        <v>2023.072B.Umezonoviridae_nf.zip</v>
      </c>
    </row>
    <row r="3856" spans="1:21">
      <c r="A3856">
        <v>3855</v>
      </c>
      <c r="B3856" s="27" t="s">
        <v>1449</v>
      </c>
      <c r="D3856" s="27" t="s">
        <v>1450</v>
      </c>
      <c r="F3856" s="27" t="s">
        <v>1453</v>
      </c>
      <c r="H3856" s="27" t="s">
        <v>1454</v>
      </c>
      <c r="L3856" s="27" t="s">
        <v>11677</v>
      </c>
      <c r="N3856" s="27" t="s">
        <v>11689</v>
      </c>
      <c r="P3856" s="27" t="s">
        <v>11697</v>
      </c>
      <c r="Q3856" s="26" t="str">
        <f>HYPERLINK("https://ictv.global/taxonomy/taxondetails?taxnode_id=202519415&amp;ictv_id=ICTV202319415","ICTV202319415")</f>
        <v>ICTV202319415</v>
      </c>
      <c r="R3856" t="s">
        <v>579</v>
      </c>
      <c r="S3856" t="s">
        <v>823</v>
      </c>
      <c r="T3856">
        <v>39</v>
      </c>
      <c r="U3856" s="26" t="str">
        <f t="shared" si="145"/>
        <v>2023.072B.Umezonoviridae_nf.zip</v>
      </c>
    </row>
    <row r="3857" spans="1:21">
      <c r="A3857">
        <v>3856</v>
      </c>
      <c r="B3857" s="27" t="s">
        <v>1449</v>
      </c>
      <c r="D3857" s="27" t="s">
        <v>1450</v>
      </c>
      <c r="F3857" s="27" t="s">
        <v>1453</v>
      </c>
      <c r="H3857" s="27" t="s">
        <v>1454</v>
      </c>
      <c r="L3857" s="27" t="s">
        <v>11677</v>
      </c>
      <c r="N3857" s="27" t="s">
        <v>11689</v>
      </c>
      <c r="P3857" s="27" t="s">
        <v>11698</v>
      </c>
      <c r="Q3857" s="26" t="str">
        <f>HYPERLINK("https://ictv.global/taxonomy/taxondetails?taxnode_id=202519417&amp;ictv_id=ICTV202319417","ICTV202319417")</f>
        <v>ICTV202319417</v>
      </c>
      <c r="R3857" t="s">
        <v>579</v>
      </c>
      <c r="S3857" t="s">
        <v>823</v>
      </c>
      <c r="T3857">
        <v>39</v>
      </c>
      <c r="U3857" s="26" t="str">
        <f t="shared" si="145"/>
        <v>2023.072B.Umezonoviridae_nf.zip</v>
      </c>
    </row>
    <row r="3858" spans="1:21">
      <c r="A3858">
        <v>3857</v>
      </c>
      <c r="B3858" s="27" t="s">
        <v>1449</v>
      </c>
      <c r="D3858" s="27" t="s">
        <v>1450</v>
      </c>
      <c r="F3858" s="27" t="s">
        <v>1453</v>
      </c>
      <c r="H3858" s="27" t="s">
        <v>1454</v>
      </c>
      <c r="L3858" s="27" t="s">
        <v>11677</v>
      </c>
      <c r="N3858" s="27" t="s">
        <v>11689</v>
      </c>
      <c r="P3858" s="27" t="s">
        <v>11699</v>
      </c>
      <c r="Q3858" s="26" t="str">
        <f>HYPERLINK("https://ictv.global/taxonomy/taxondetails?taxnode_id=202519418&amp;ictv_id=ICTV202319418","ICTV202319418")</f>
        <v>ICTV202319418</v>
      </c>
      <c r="R3858" t="s">
        <v>579</v>
      </c>
      <c r="S3858" t="s">
        <v>823</v>
      </c>
      <c r="T3858">
        <v>39</v>
      </c>
      <c r="U3858" s="26" t="str">
        <f t="shared" si="145"/>
        <v>2023.072B.Umezonoviridae_nf.zip</v>
      </c>
    </row>
    <row r="3859" spans="1:21">
      <c r="A3859">
        <v>3858</v>
      </c>
      <c r="B3859" s="27" t="s">
        <v>1449</v>
      </c>
      <c r="D3859" s="27" t="s">
        <v>1450</v>
      </c>
      <c r="F3859" s="27" t="s">
        <v>1453</v>
      </c>
      <c r="H3859" s="27" t="s">
        <v>1454</v>
      </c>
      <c r="L3859" s="27" t="s">
        <v>11677</v>
      </c>
      <c r="N3859" s="27" t="s">
        <v>11689</v>
      </c>
      <c r="P3859" s="27" t="s">
        <v>11700</v>
      </c>
      <c r="Q3859" s="26" t="str">
        <f>HYPERLINK("https://ictv.global/taxonomy/taxondetails?taxnode_id=202519419&amp;ictv_id=ICTV202319419","ICTV202319419")</f>
        <v>ICTV202319419</v>
      </c>
      <c r="R3859" t="s">
        <v>579</v>
      </c>
      <c r="S3859" t="s">
        <v>823</v>
      </c>
      <c r="T3859">
        <v>39</v>
      </c>
      <c r="U3859" s="26" t="str">
        <f t="shared" si="145"/>
        <v>2023.072B.Umezonoviridae_nf.zip</v>
      </c>
    </row>
    <row r="3860" spans="1:21">
      <c r="A3860">
        <v>3859</v>
      </c>
      <c r="B3860" s="27" t="s">
        <v>1449</v>
      </c>
      <c r="D3860" s="27" t="s">
        <v>1450</v>
      </c>
      <c r="F3860" s="27" t="s">
        <v>1453</v>
      </c>
      <c r="H3860" s="27" t="s">
        <v>1454</v>
      </c>
      <c r="L3860" s="27" t="s">
        <v>11677</v>
      </c>
      <c r="N3860" s="27" t="s">
        <v>11689</v>
      </c>
      <c r="P3860" s="27" t="s">
        <v>11701</v>
      </c>
      <c r="Q3860" s="26" t="str">
        <f>HYPERLINK("https://ictv.global/taxonomy/taxondetails?taxnode_id=202519420&amp;ictv_id=ICTV202319420","ICTV202319420")</f>
        <v>ICTV202319420</v>
      </c>
      <c r="R3860" t="s">
        <v>579</v>
      </c>
      <c r="S3860" t="s">
        <v>823</v>
      </c>
      <c r="T3860">
        <v>39</v>
      </c>
      <c r="U3860" s="26" t="str">
        <f t="shared" si="145"/>
        <v>2023.072B.Umezonoviridae_nf.zip</v>
      </c>
    </row>
    <row r="3861" spans="1:21">
      <c r="A3861">
        <v>3860</v>
      </c>
      <c r="B3861" s="27" t="s">
        <v>1449</v>
      </c>
      <c r="D3861" s="27" t="s">
        <v>1450</v>
      </c>
      <c r="F3861" s="27" t="s">
        <v>1453</v>
      </c>
      <c r="H3861" s="27" t="s">
        <v>1454</v>
      </c>
      <c r="L3861" s="27" t="s">
        <v>11677</v>
      </c>
      <c r="N3861" s="27" t="s">
        <v>11689</v>
      </c>
      <c r="P3861" s="27" t="s">
        <v>11702</v>
      </c>
      <c r="Q3861" s="26" t="str">
        <f>HYPERLINK("https://ictv.global/taxonomy/taxondetails?taxnode_id=202519421&amp;ictv_id=ICTV202319421","ICTV202319421")</f>
        <v>ICTV202319421</v>
      </c>
      <c r="R3861" t="s">
        <v>579</v>
      </c>
      <c r="S3861" t="s">
        <v>823</v>
      </c>
      <c r="T3861">
        <v>39</v>
      </c>
      <c r="U3861" s="26" t="str">
        <f t="shared" si="145"/>
        <v>2023.072B.Umezonoviridae_nf.zip</v>
      </c>
    </row>
    <row r="3862" spans="1:21">
      <c r="A3862">
        <v>3861</v>
      </c>
      <c r="B3862" s="27" t="s">
        <v>1449</v>
      </c>
      <c r="D3862" s="27" t="s">
        <v>1450</v>
      </c>
      <c r="F3862" s="27" t="s">
        <v>1453</v>
      </c>
      <c r="H3862" s="27" t="s">
        <v>1454</v>
      </c>
      <c r="L3862" s="27" t="s">
        <v>11677</v>
      </c>
      <c r="N3862" s="27" t="s">
        <v>11689</v>
      </c>
      <c r="P3862" s="27" t="s">
        <v>11703</v>
      </c>
      <c r="Q3862" s="26" t="str">
        <f>HYPERLINK("https://ictv.global/taxonomy/taxondetails?taxnode_id=202519422&amp;ictv_id=ICTV202319422","ICTV202319422")</f>
        <v>ICTV202319422</v>
      </c>
      <c r="R3862" t="s">
        <v>579</v>
      </c>
      <c r="S3862" t="s">
        <v>823</v>
      </c>
      <c r="T3862">
        <v>39</v>
      </c>
      <c r="U3862" s="26" t="str">
        <f t="shared" si="145"/>
        <v>2023.072B.Umezonoviridae_nf.zip</v>
      </c>
    </row>
    <row r="3863" spans="1:21">
      <c r="A3863">
        <v>3862</v>
      </c>
      <c r="B3863" s="27" t="s">
        <v>1449</v>
      </c>
      <c r="D3863" s="27" t="s">
        <v>1450</v>
      </c>
      <c r="F3863" s="27" t="s">
        <v>1453</v>
      </c>
      <c r="H3863" s="27" t="s">
        <v>1454</v>
      </c>
      <c r="L3863" s="27" t="s">
        <v>11677</v>
      </c>
      <c r="N3863" s="27" t="s">
        <v>11689</v>
      </c>
      <c r="P3863" s="27" t="s">
        <v>11704</v>
      </c>
      <c r="Q3863" s="26" t="str">
        <f>HYPERLINK("https://ictv.global/taxonomy/taxondetails?taxnode_id=202519423&amp;ictv_id=ICTV202319423","ICTV202319423")</f>
        <v>ICTV202319423</v>
      </c>
      <c r="R3863" t="s">
        <v>579</v>
      </c>
      <c r="S3863" t="s">
        <v>823</v>
      </c>
      <c r="T3863">
        <v>39</v>
      </c>
      <c r="U3863" s="26" t="str">
        <f t="shared" si="145"/>
        <v>2023.072B.Umezonoviridae_nf.zip</v>
      </c>
    </row>
    <row r="3864" spans="1:21">
      <c r="A3864">
        <v>3863</v>
      </c>
      <c r="B3864" s="27" t="s">
        <v>1449</v>
      </c>
      <c r="D3864" s="27" t="s">
        <v>1450</v>
      </c>
      <c r="F3864" s="27" t="s">
        <v>1453</v>
      </c>
      <c r="H3864" s="27" t="s">
        <v>1454</v>
      </c>
      <c r="L3864" s="27" t="s">
        <v>11677</v>
      </c>
      <c r="N3864" s="27" t="s">
        <v>11689</v>
      </c>
      <c r="P3864" s="27" t="s">
        <v>11705</v>
      </c>
      <c r="Q3864" s="26" t="str">
        <f>HYPERLINK("https://ictv.global/taxonomy/taxondetails?taxnode_id=202519424&amp;ictv_id=ICTV202319424","ICTV202319424")</f>
        <v>ICTV202319424</v>
      </c>
      <c r="R3864" t="s">
        <v>579</v>
      </c>
      <c r="S3864" t="s">
        <v>823</v>
      </c>
      <c r="T3864">
        <v>39</v>
      </c>
      <c r="U3864" s="26" t="str">
        <f t="shared" si="145"/>
        <v>2023.072B.Umezonoviridae_nf.zip</v>
      </c>
    </row>
    <row r="3865" spans="1:21">
      <c r="A3865">
        <v>3864</v>
      </c>
      <c r="B3865" s="27" t="s">
        <v>1449</v>
      </c>
      <c r="D3865" s="27" t="s">
        <v>1450</v>
      </c>
      <c r="F3865" s="27" t="s">
        <v>1453</v>
      </c>
      <c r="H3865" s="27" t="s">
        <v>1454</v>
      </c>
      <c r="L3865" s="27" t="s">
        <v>11677</v>
      </c>
      <c r="N3865" s="27" t="s">
        <v>11689</v>
      </c>
      <c r="P3865" s="27" t="s">
        <v>11706</v>
      </c>
      <c r="Q3865" s="26" t="str">
        <f>HYPERLINK("https://ictv.global/taxonomy/taxondetails?taxnode_id=202519425&amp;ictv_id=ICTV202319425","ICTV202319425")</f>
        <v>ICTV202319425</v>
      </c>
      <c r="R3865" t="s">
        <v>579</v>
      </c>
      <c r="S3865" t="s">
        <v>823</v>
      </c>
      <c r="T3865">
        <v>39</v>
      </c>
      <c r="U3865" s="26" t="str">
        <f t="shared" si="145"/>
        <v>2023.072B.Umezonoviridae_nf.zip</v>
      </c>
    </row>
    <row r="3866" spans="1:21">
      <c r="A3866">
        <v>3865</v>
      </c>
      <c r="B3866" s="27" t="s">
        <v>1449</v>
      </c>
      <c r="D3866" s="27" t="s">
        <v>1450</v>
      </c>
      <c r="F3866" s="27" t="s">
        <v>1453</v>
      </c>
      <c r="H3866" s="27" t="s">
        <v>1454</v>
      </c>
      <c r="L3866" s="27" t="s">
        <v>11677</v>
      </c>
      <c r="N3866" s="27" t="s">
        <v>11689</v>
      </c>
      <c r="P3866" s="27" t="s">
        <v>11707</v>
      </c>
      <c r="Q3866" s="26" t="str">
        <f>HYPERLINK("https://ictv.global/taxonomy/taxondetails?taxnode_id=202519426&amp;ictv_id=ICTV202319426","ICTV202319426")</f>
        <v>ICTV202319426</v>
      </c>
      <c r="R3866" t="s">
        <v>579</v>
      </c>
      <c r="S3866" t="s">
        <v>823</v>
      </c>
      <c r="T3866">
        <v>39</v>
      </c>
      <c r="U3866" s="26" t="str">
        <f t="shared" si="145"/>
        <v>2023.072B.Umezonoviridae_nf.zip</v>
      </c>
    </row>
    <row r="3867" spans="1:21">
      <c r="A3867">
        <v>3866</v>
      </c>
      <c r="B3867" s="27" t="s">
        <v>1449</v>
      </c>
      <c r="D3867" s="27" t="s">
        <v>1450</v>
      </c>
      <c r="F3867" s="27" t="s">
        <v>1453</v>
      </c>
      <c r="H3867" s="27" t="s">
        <v>1454</v>
      </c>
      <c r="L3867" s="27" t="s">
        <v>11677</v>
      </c>
      <c r="N3867" s="27" t="s">
        <v>11689</v>
      </c>
      <c r="P3867" s="27" t="s">
        <v>11708</v>
      </c>
      <c r="Q3867" s="26" t="str">
        <f>HYPERLINK("https://ictv.global/taxonomy/taxondetails?taxnode_id=202519427&amp;ictv_id=ICTV202319427","ICTV202319427")</f>
        <v>ICTV202319427</v>
      </c>
      <c r="R3867" t="s">
        <v>579</v>
      </c>
      <c r="S3867" t="s">
        <v>823</v>
      </c>
      <c r="T3867">
        <v>39</v>
      </c>
      <c r="U3867" s="26" t="str">
        <f t="shared" si="145"/>
        <v>2023.072B.Umezonoviridae_nf.zip</v>
      </c>
    </row>
    <row r="3868" spans="1:21">
      <c r="A3868">
        <v>3867</v>
      </c>
      <c r="B3868" s="27" t="s">
        <v>1449</v>
      </c>
      <c r="D3868" s="27" t="s">
        <v>1450</v>
      </c>
      <c r="F3868" s="27" t="s">
        <v>1453</v>
      </c>
      <c r="H3868" s="27" t="s">
        <v>1454</v>
      </c>
      <c r="L3868" s="27" t="s">
        <v>11677</v>
      </c>
      <c r="N3868" s="27" t="s">
        <v>11689</v>
      </c>
      <c r="P3868" s="27" t="s">
        <v>11709</v>
      </c>
      <c r="Q3868" s="26" t="str">
        <f>HYPERLINK("https://ictv.global/taxonomy/taxondetails?taxnode_id=202519428&amp;ictv_id=ICTV202319428","ICTV202319428")</f>
        <v>ICTV202319428</v>
      </c>
      <c r="R3868" t="s">
        <v>579</v>
      </c>
      <c r="S3868" t="s">
        <v>823</v>
      </c>
      <c r="T3868">
        <v>39</v>
      </c>
      <c r="U3868" s="26" t="str">
        <f t="shared" si="145"/>
        <v>2023.072B.Umezonoviridae_nf.zip</v>
      </c>
    </row>
    <row r="3869" spans="1:21">
      <c r="A3869">
        <v>3868</v>
      </c>
      <c r="B3869" s="27" t="s">
        <v>1449</v>
      </c>
      <c r="D3869" s="27" t="s">
        <v>1450</v>
      </c>
      <c r="F3869" s="27" t="s">
        <v>1453</v>
      </c>
      <c r="H3869" s="27" t="s">
        <v>1454</v>
      </c>
      <c r="L3869" s="27" t="s">
        <v>11677</v>
      </c>
      <c r="N3869" s="27" t="s">
        <v>11689</v>
      </c>
      <c r="P3869" s="27" t="s">
        <v>11710</v>
      </c>
      <c r="Q3869" s="26" t="str">
        <f>HYPERLINK("https://ictv.global/taxonomy/taxondetails?taxnode_id=202519429&amp;ictv_id=ICTV202319429","ICTV202319429")</f>
        <v>ICTV202319429</v>
      </c>
      <c r="R3869" t="s">
        <v>579</v>
      </c>
      <c r="S3869" t="s">
        <v>823</v>
      </c>
      <c r="T3869">
        <v>39</v>
      </c>
      <c r="U3869" s="26" t="str">
        <f t="shared" si="145"/>
        <v>2023.072B.Umezonoviridae_nf.zip</v>
      </c>
    </row>
    <row r="3870" spans="1:21">
      <c r="A3870">
        <v>3869</v>
      </c>
      <c r="B3870" s="27" t="s">
        <v>1449</v>
      </c>
      <c r="D3870" s="27" t="s">
        <v>1450</v>
      </c>
      <c r="F3870" s="27" t="s">
        <v>1453</v>
      </c>
      <c r="H3870" s="27" t="s">
        <v>1454</v>
      </c>
      <c r="L3870" s="27" t="s">
        <v>11677</v>
      </c>
      <c r="N3870" s="27" t="s">
        <v>11689</v>
      </c>
      <c r="P3870" s="27" t="s">
        <v>11711</v>
      </c>
      <c r="Q3870" s="26" t="str">
        <f>HYPERLINK("https://ictv.global/taxonomy/taxondetails?taxnode_id=202519430&amp;ictv_id=ICTV202319430","ICTV202319430")</f>
        <v>ICTV202319430</v>
      </c>
      <c r="R3870" t="s">
        <v>579</v>
      </c>
      <c r="S3870" t="s">
        <v>823</v>
      </c>
      <c r="T3870">
        <v>39</v>
      </c>
      <c r="U3870" s="26" t="str">
        <f t="shared" si="145"/>
        <v>2023.072B.Umezonoviridae_nf.zip</v>
      </c>
    </row>
    <row r="3871" spans="1:21">
      <c r="A3871">
        <v>3870</v>
      </c>
      <c r="B3871" s="27" t="s">
        <v>1449</v>
      </c>
      <c r="D3871" s="27" t="s">
        <v>1450</v>
      </c>
      <c r="F3871" s="27" t="s">
        <v>1453</v>
      </c>
      <c r="H3871" s="27" t="s">
        <v>1454</v>
      </c>
      <c r="L3871" s="27" t="s">
        <v>11677</v>
      </c>
      <c r="N3871" s="27" t="s">
        <v>11689</v>
      </c>
      <c r="P3871" s="27" t="s">
        <v>11712</v>
      </c>
      <c r="Q3871" s="26" t="str">
        <f>HYPERLINK("https://ictv.global/taxonomy/taxondetails?taxnode_id=202519431&amp;ictv_id=ICTV202319431","ICTV202319431")</f>
        <v>ICTV202319431</v>
      </c>
      <c r="R3871" t="s">
        <v>579</v>
      </c>
      <c r="S3871" t="s">
        <v>823</v>
      </c>
      <c r="T3871">
        <v>39</v>
      </c>
      <c r="U3871" s="26" t="str">
        <f t="shared" ref="U3871:U3893" si="146">HYPERLINK("https://ictv.global/ictv/proposals/2023.072B.Umezonoviridae_nf.zip","2023.072B.Umezonoviridae_nf.zip")</f>
        <v>2023.072B.Umezonoviridae_nf.zip</v>
      </c>
    </row>
    <row r="3872" spans="1:21">
      <c r="A3872">
        <v>3871</v>
      </c>
      <c r="B3872" s="27" t="s">
        <v>1449</v>
      </c>
      <c r="D3872" s="27" t="s">
        <v>1450</v>
      </c>
      <c r="F3872" s="27" t="s">
        <v>1453</v>
      </c>
      <c r="H3872" s="27" t="s">
        <v>1454</v>
      </c>
      <c r="L3872" s="27" t="s">
        <v>11677</v>
      </c>
      <c r="N3872" s="27" t="s">
        <v>11689</v>
      </c>
      <c r="P3872" s="27" t="s">
        <v>11713</v>
      </c>
      <c r="Q3872" s="26" t="str">
        <f>HYPERLINK("https://ictv.global/taxonomy/taxondetails?taxnode_id=202519432&amp;ictv_id=ICTV202319432","ICTV202319432")</f>
        <v>ICTV202319432</v>
      </c>
      <c r="R3872" t="s">
        <v>579</v>
      </c>
      <c r="S3872" t="s">
        <v>823</v>
      </c>
      <c r="T3872">
        <v>39</v>
      </c>
      <c r="U3872" s="26" t="str">
        <f t="shared" si="146"/>
        <v>2023.072B.Umezonoviridae_nf.zip</v>
      </c>
    </row>
    <row r="3873" spans="1:21">
      <c r="A3873">
        <v>3872</v>
      </c>
      <c r="B3873" s="27" t="s">
        <v>1449</v>
      </c>
      <c r="D3873" s="27" t="s">
        <v>1450</v>
      </c>
      <c r="F3873" s="27" t="s">
        <v>1453</v>
      </c>
      <c r="H3873" s="27" t="s">
        <v>1454</v>
      </c>
      <c r="L3873" s="27" t="s">
        <v>11677</v>
      </c>
      <c r="N3873" s="27" t="s">
        <v>11689</v>
      </c>
      <c r="P3873" s="27" t="s">
        <v>11714</v>
      </c>
      <c r="Q3873" s="26" t="str">
        <f>HYPERLINK("https://ictv.global/taxonomy/taxondetails?taxnode_id=202519433&amp;ictv_id=ICTV202319433","ICTV202319433")</f>
        <v>ICTV202319433</v>
      </c>
      <c r="R3873" t="s">
        <v>579</v>
      </c>
      <c r="S3873" t="s">
        <v>823</v>
      </c>
      <c r="T3873">
        <v>39</v>
      </c>
      <c r="U3873" s="26" t="str">
        <f t="shared" si="146"/>
        <v>2023.072B.Umezonoviridae_nf.zip</v>
      </c>
    </row>
    <row r="3874" spans="1:21">
      <c r="A3874">
        <v>3873</v>
      </c>
      <c r="B3874" s="27" t="s">
        <v>1449</v>
      </c>
      <c r="D3874" s="27" t="s">
        <v>1450</v>
      </c>
      <c r="F3874" s="27" t="s">
        <v>1453</v>
      </c>
      <c r="H3874" s="27" t="s">
        <v>1454</v>
      </c>
      <c r="L3874" s="27" t="s">
        <v>11677</v>
      </c>
      <c r="N3874" s="27" t="s">
        <v>11689</v>
      </c>
      <c r="P3874" s="27" t="s">
        <v>11715</v>
      </c>
      <c r="Q3874" s="26" t="str">
        <f>HYPERLINK("https://ictv.global/taxonomy/taxondetails?taxnode_id=202519434&amp;ictv_id=ICTV202319434","ICTV202319434")</f>
        <v>ICTV202319434</v>
      </c>
      <c r="R3874" t="s">
        <v>579</v>
      </c>
      <c r="S3874" t="s">
        <v>823</v>
      </c>
      <c r="T3874">
        <v>39</v>
      </c>
      <c r="U3874" s="26" t="str">
        <f t="shared" si="146"/>
        <v>2023.072B.Umezonoviridae_nf.zip</v>
      </c>
    </row>
    <row r="3875" spans="1:21">
      <c r="A3875">
        <v>3874</v>
      </c>
      <c r="B3875" s="27" t="s">
        <v>1449</v>
      </c>
      <c r="D3875" s="27" t="s">
        <v>1450</v>
      </c>
      <c r="F3875" s="27" t="s">
        <v>1453</v>
      </c>
      <c r="H3875" s="27" t="s">
        <v>1454</v>
      </c>
      <c r="L3875" s="27" t="s">
        <v>11677</v>
      </c>
      <c r="N3875" s="27" t="s">
        <v>11689</v>
      </c>
      <c r="P3875" s="27" t="s">
        <v>11716</v>
      </c>
      <c r="Q3875" s="26" t="str">
        <f>HYPERLINK("https://ictv.global/taxonomy/taxondetails?taxnode_id=202519435&amp;ictv_id=ICTV202319435","ICTV202319435")</f>
        <v>ICTV202319435</v>
      </c>
      <c r="R3875" t="s">
        <v>579</v>
      </c>
      <c r="S3875" t="s">
        <v>823</v>
      </c>
      <c r="T3875">
        <v>39</v>
      </c>
      <c r="U3875" s="26" t="str">
        <f t="shared" si="146"/>
        <v>2023.072B.Umezonoviridae_nf.zip</v>
      </c>
    </row>
    <row r="3876" spans="1:21">
      <c r="A3876">
        <v>3875</v>
      </c>
      <c r="B3876" s="27" t="s">
        <v>1449</v>
      </c>
      <c r="D3876" s="27" t="s">
        <v>1450</v>
      </c>
      <c r="F3876" s="27" t="s">
        <v>1453</v>
      </c>
      <c r="H3876" s="27" t="s">
        <v>1454</v>
      </c>
      <c r="L3876" s="27" t="s">
        <v>11677</v>
      </c>
      <c r="N3876" s="27" t="s">
        <v>11689</v>
      </c>
      <c r="P3876" s="27" t="s">
        <v>11717</v>
      </c>
      <c r="Q3876" s="26" t="str">
        <f>HYPERLINK("https://ictv.global/taxonomy/taxondetails?taxnode_id=202519436&amp;ictv_id=ICTV202319436","ICTV202319436")</f>
        <v>ICTV202319436</v>
      </c>
      <c r="R3876" t="s">
        <v>579</v>
      </c>
      <c r="S3876" t="s">
        <v>823</v>
      </c>
      <c r="T3876">
        <v>39</v>
      </c>
      <c r="U3876" s="26" t="str">
        <f t="shared" si="146"/>
        <v>2023.072B.Umezonoviridae_nf.zip</v>
      </c>
    </row>
    <row r="3877" spans="1:21">
      <c r="A3877">
        <v>3876</v>
      </c>
      <c r="B3877" s="27" t="s">
        <v>1449</v>
      </c>
      <c r="D3877" s="27" t="s">
        <v>1450</v>
      </c>
      <c r="F3877" s="27" t="s">
        <v>1453</v>
      </c>
      <c r="H3877" s="27" t="s">
        <v>1454</v>
      </c>
      <c r="L3877" s="27" t="s">
        <v>11677</v>
      </c>
      <c r="N3877" s="27" t="s">
        <v>11689</v>
      </c>
      <c r="P3877" s="27" t="s">
        <v>11718</v>
      </c>
      <c r="Q3877" s="26" t="str">
        <f>HYPERLINK("https://ictv.global/taxonomy/taxondetails?taxnode_id=202519437&amp;ictv_id=ICTV202319437","ICTV202319437")</f>
        <v>ICTV202319437</v>
      </c>
      <c r="R3877" t="s">
        <v>579</v>
      </c>
      <c r="S3877" t="s">
        <v>823</v>
      </c>
      <c r="T3877">
        <v>39</v>
      </c>
      <c r="U3877" s="26" t="str">
        <f t="shared" si="146"/>
        <v>2023.072B.Umezonoviridae_nf.zip</v>
      </c>
    </row>
    <row r="3878" spans="1:21">
      <c r="A3878">
        <v>3877</v>
      </c>
      <c r="B3878" s="27" t="s">
        <v>1449</v>
      </c>
      <c r="D3878" s="27" t="s">
        <v>1450</v>
      </c>
      <c r="F3878" s="27" t="s">
        <v>1453</v>
      </c>
      <c r="H3878" s="27" t="s">
        <v>1454</v>
      </c>
      <c r="L3878" s="27" t="s">
        <v>11677</v>
      </c>
      <c r="N3878" s="27" t="s">
        <v>11689</v>
      </c>
      <c r="P3878" s="27" t="s">
        <v>11719</v>
      </c>
      <c r="Q3878" s="26" t="str">
        <f>HYPERLINK("https://ictv.global/taxonomy/taxondetails?taxnode_id=202519438&amp;ictv_id=ICTV202319438","ICTV202319438")</f>
        <v>ICTV202319438</v>
      </c>
      <c r="R3878" t="s">
        <v>579</v>
      </c>
      <c r="S3878" t="s">
        <v>823</v>
      </c>
      <c r="T3878">
        <v>39</v>
      </c>
      <c r="U3878" s="26" t="str">
        <f t="shared" si="146"/>
        <v>2023.072B.Umezonoviridae_nf.zip</v>
      </c>
    </row>
    <row r="3879" spans="1:21">
      <c r="A3879">
        <v>3878</v>
      </c>
      <c r="B3879" s="27" t="s">
        <v>1449</v>
      </c>
      <c r="D3879" s="27" t="s">
        <v>1450</v>
      </c>
      <c r="F3879" s="27" t="s">
        <v>1453</v>
      </c>
      <c r="H3879" s="27" t="s">
        <v>1454</v>
      </c>
      <c r="L3879" s="27" t="s">
        <v>11677</v>
      </c>
      <c r="N3879" s="27" t="s">
        <v>11689</v>
      </c>
      <c r="P3879" s="27" t="s">
        <v>11720</v>
      </c>
      <c r="Q3879" s="26" t="str">
        <f>HYPERLINK("https://ictv.global/taxonomy/taxondetails?taxnode_id=202519439&amp;ictv_id=ICTV202319439","ICTV202319439")</f>
        <v>ICTV202319439</v>
      </c>
      <c r="R3879" t="s">
        <v>579</v>
      </c>
      <c r="S3879" t="s">
        <v>823</v>
      </c>
      <c r="T3879">
        <v>39</v>
      </c>
      <c r="U3879" s="26" t="str">
        <f t="shared" si="146"/>
        <v>2023.072B.Umezonoviridae_nf.zip</v>
      </c>
    </row>
    <row r="3880" spans="1:21">
      <c r="A3880">
        <v>3879</v>
      </c>
      <c r="B3880" s="27" t="s">
        <v>1449</v>
      </c>
      <c r="D3880" s="27" t="s">
        <v>1450</v>
      </c>
      <c r="F3880" s="27" t="s">
        <v>1453</v>
      </c>
      <c r="H3880" s="27" t="s">
        <v>1454</v>
      </c>
      <c r="L3880" s="27" t="s">
        <v>11677</v>
      </c>
      <c r="N3880" s="27" t="s">
        <v>11689</v>
      </c>
      <c r="P3880" s="27" t="s">
        <v>11721</v>
      </c>
      <c r="Q3880" s="26" t="str">
        <f>HYPERLINK("https://ictv.global/taxonomy/taxondetails?taxnode_id=202519440&amp;ictv_id=ICTV202319440","ICTV202319440")</f>
        <v>ICTV202319440</v>
      </c>
      <c r="R3880" t="s">
        <v>579</v>
      </c>
      <c r="S3880" t="s">
        <v>823</v>
      </c>
      <c r="T3880">
        <v>39</v>
      </c>
      <c r="U3880" s="26" t="str">
        <f t="shared" si="146"/>
        <v>2023.072B.Umezonoviridae_nf.zip</v>
      </c>
    </row>
    <row r="3881" spans="1:21">
      <c r="A3881">
        <v>3880</v>
      </c>
      <c r="B3881" s="27" t="s">
        <v>1449</v>
      </c>
      <c r="D3881" s="27" t="s">
        <v>1450</v>
      </c>
      <c r="F3881" s="27" t="s">
        <v>1453</v>
      </c>
      <c r="H3881" s="27" t="s">
        <v>1454</v>
      </c>
      <c r="L3881" s="27" t="s">
        <v>11677</v>
      </c>
      <c r="N3881" s="27" t="s">
        <v>11689</v>
      </c>
      <c r="P3881" s="27" t="s">
        <v>11722</v>
      </c>
      <c r="Q3881" s="26" t="str">
        <f>HYPERLINK("https://ictv.global/taxonomy/taxondetails?taxnode_id=202519441&amp;ictv_id=ICTV202319441","ICTV202319441")</f>
        <v>ICTV202319441</v>
      </c>
      <c r="R3881" t="s">
        <v>579</v>
      </c>
      <c r="S3881" t="s">
        <v>823</v>
      </c>
      <c r="T3881">
        <v>39</v>
      </c>
      <c r="U3881" s="26" t="str">
        <f t="shared" si="146"/>
        <v>2023.072B.Umezonoviridae_nf.zip</v>
      </c>
    </row>
    <row r="3882" spans="1:21">
      <c r="A3882">
        <v>3881</v>
      </c>
      <c r="B3882" s="27" t="s">
        <v>1449</v>
      </c>
      <c r="D3882" s="27" t="s">
        <v>1450</v>
      </c>
      <c r="F3882" s="27" t="s">
        <v>1453</v>
      </c>
      <c r="H3882" s="27" t="s">
        <v>1454</v>
      </c>
      <c r="L3882" s="27" t="s">
        <v>11677</v>
      </c>
      <c r="N3882" s="27" t="s">
        <v>11689</v>
      </c>
      <c r="P3882" s="27" t="s">
        <v>11723</v>
      </c>
      <c r="Q3882" s="26" t="str">
        <f>HYPERLINK("https://ictv.global/taxonomy/taxondetails?taxnode_id=202519442&amp;ictv_id=ICTV202319442","ICTV202319442")</f>
        <v>ICTV202319442</v>
      </c>
      <c r="R3882" t="s">
        <v>579</v>
      </c>
      <c r="S3882" t="s">
        <v>823</v>
      </c>
      <c r="T3882">
        <v>39</v>
      </c>
      <c r="U3882" s="26" t="str">
        <f t="shared" si="146"/>
        <v>2023.072B.Umezonoviridae_nf.zip</v>
      </c>
    </row>
    <row r="3883" spans="1:21">
      <c r="A3883">
        <v>3882</v>
      </c>
      <c r="B3883" s="27" t="s">
        <v>1449</v>
      </c>
      <c r="D3883" s="27" t="s">
        <v>1450</v>
      </c>
      <c r="F3883" s="27" t="s">
        <v>1453</v>
      </c>
      <c r="H3883" s="27" t="s">
        <v>1454</v>
      </c>
      <c r="L3883" s="27" t="s">
        <v>11677</v>
      </c>
      <c r="N3883" s="27" t="s">
        <v>11689</v>
      </c>
      <c r="P3883" s="27" t="s">
        <v>11724</v>
      </c>
      <c r="Q3883" s="26" t="str">
        <f>HYPERLINK("https://ictv.global/taxonomy/taxondetails?taxnode_id=202519443&amp;ictv_id=ICTV202319443","ICTV202319443")</f>
        <v>ICTV202319443</v>
      </c>
      <c r="R3883" t="s">
        <v>579</v>
      </c>
      <c r="S3883" t="s">
        <v>823</v>
      </c>
      <c r="T3883">
        <v>39</v>
      </c>
      <c r="U3883" s="26" t="str">
        <f t="shared" si="146"/>
        <v>2023.072B.Umezonoviridae_nf.zip</v>
      </c>
    </row>
    <row r="3884" spans="1:21">
      <c r="A3884">
        <v>3883</v>
      </c>
      <c r="B3884" s="27" t="s">
        <v>1449</v>
      </c>
      <c r="D3884" s="27" t="s">
        <v>1450</v>
      </c>
      <c r="F3884" s="27" t="s">
        <v>1453</v>
      </c>
      <c r="H3884" s="27" t="s">
        <v>1454</v>
      </c>
      <c r="L3884" s="27" t="s">
        <v>11677</v>
      </c>
      <c r="N3884" s="27" t="s">
        <v>11689</v>
      </c>
      <c r="P3884" s="27" t="s">
        <v>11725</v>
      </c>
      <c r="Q3884" s="26" t="str">
        <f>HYPERLINK("https://ictv.global/taxonomy/taxondetails?taxnode_id=202519444&amp;ictv_id=ICTV202319444","ICTV202319444")</f>
        <v>ICTV202319444</v>
      </c>
      <c r="R3884" t="s">
        <v>579</v>
      </c>
      <c r="S3884" t="s">
        <v>823</v>
      </c>
      <c r="T3884">
        <v>39</v>
      </c>
      <c r="U3884" s="26" t="str">
        <f t="shared" si="146"/>
        <v>2023.072B.Umezonoviridae_nf.zip</v>
      </c>
    </row>
    <row r="3885" spans="1:21">
      <c r="A3885">
        <v>3884</v>
      </c>
      <c r="B3885" s="27" t="s">
        <v>1449</v>
      </c>
      <c r="D3885" s="27" t="s">
        <v>1450</v>
      </c>
      <c r="F3885" s="27" t="s">
        <v>1453</v>
      </c>
      <c r="H3885" s="27" t="s">
        <v>1454</v>
      </c>
      <c r="L3885" s="27" t="s">
        <v>11677</v>
      </c>
      <c r="N3885" s="27" t="s">
        <v>11689</v>
      </c>
      <c r="P3885" s="27" t="s">
        <v>11726</v>
      </c>
      <c r="Q3885" s="26" t="str">
        <f>HYPERLINK("https://ictv.global/taxonomy/taxondetails?taxnode_id=202519445&amp;ictv_id=ICTV202319445","ICTV202319445")</f>
        <v>ICTV202319445</v>
      </c>
      <c r="R3885" t="s">
        <v>579</v>
      </c>
      <c r="S3885" t="s">
        <v>823</v>
      </c>
      <c r="T3885">
        <v>39</v>
      </c>
      <c r="U3885" s="26" t="str">
        <f t="shared" si="146"/>
        <v>2023.072B.Umezonoviridae_nf.zip</v>
      </c>
    </row>
    <row r="3886" spans="1:21">
      <c r="A3886">
        <v>3885</v>
      </c>
      <c r="B3886" s="27" t="s">
        <v>1449</v>
      </c>
      <c r="D3886" s="27" t="s">
        <v>1450</v>
      </c>
      <c r="F3886" s="27" t="s">
        <v>1453</v>
      </c>
      <c r="H3886" s="27" t="s">
        <v>1454</v>
      </c>
      <c r="L3886" s="27" t="s">
        <v>11677</v>
      </c>
      <c r="N3886" s="27" t="s">
        <v>11689</v>
      </c>
      <c r="P3886" s="27" t="s">
        <v>11727</v>
      </c>
      <c r="Q3886" s="26" t="str">
        <f>HYPERLINK("https://ictv.global/taxonomy/taxondetails?taxnode_id=202519446&amp;ictv_id=ICTV202319446","ICTV202319446")</f>
        <v>ICTV202319446</v>
      </c>
      <c r="R3886" t="s">
        <v>579</v>
      </c>
      <c r="S3886" t="s">
        <v>823</v>
      </c>
      <c r="T3886">
        <v>39</v>
      </c>
      <c r="U3886" s="26" t="str">
        <f t="shared" si="146"/>
        <v>2023.072B.Umezonoviridae_nf.zip</v>
      </c>
    </row>
    <row r="3887" spans="1:21">
      <c r="A3887">
        <v>3886</v>
      </c>
      <c r="B3887" s="27" t="s">
        <v>1449</v>
      </c>
      <c r="D3887" s="27" t="s">
        <v>1450</v>
      </c>
      <c r="F3887" s="27" t="s">
        <v>1453</v>
      </c>
      <c r="H3887" s="27" t="s">
        <v>1454</v>
      </c>
      <c r="L3887" s="27" t="s">
        <v>11677</v>
      </c>
      <c r="N3887" s="27" t="s">
        <v>11689</v>
      </c>
      <c r="P3887" s="27" t="s">
        <v>11728</v>
      </c>
      <c r="Q3887" s="26" t="str">
        <f>HYPERLINK("https://ictv.global/taxonomy/taxondetails?taxnode_id=202519447&amp;ictv_id=ICTV202319447","ICTV202319447")</f>
        <v>ICTV202319447</v>
      </c>
      <c r="R3887" t="s">
        <v>579</v>
      </c>
      <c r="S3887" t="s">
        <v>823</v>
      </c>
      <c r="T3887">
        <v>39</v>
      </c>
      <c r="U3887" s="26" t="str">
        <f t="shared" si="146"/>
        <v>2023.072B.Umezonoviridae_nf.zip</v>
      </c>
    </row>
    <row r="3888" spans="1:21">
      <c r="A3888">
        <v>3887</v>
      </c>
      <c r="B3888" s="27" t="s">
        <v>1449</v>
      </c>
      <c r="D3888" s="27" t="s">
        <v>1450</v>
      </c>
      <c r="F3888" s="27" t="s">
        <v>1453</v>
      </c>
      <c r="H3888" s="27" t="s">
        <v>1454</v>
      </c>
      <c r="L3888" s="27" t="s">
        <v>11677</v>
      </c>
      <c r="N3888" s="27" t="s">
        <v>11689</v>
      </c>
      <c r="P3888" s="27" t="s">
        <v>11729</v>
      </c>
      <c r="Q3888" s="26" t="str">
        <f>HYPERLINK("https://ictv.global/taxonomy/taxondetails?taxnode_id=202519448&amp;ictv_id=ICTV202319448","ICTV202319448")</f>
        <v>ICTV202319448</v>
      </c>
      <c r="R3888" t="s">
        <v>579</v>
      </c>
      <c r="S3888" t="s">
        <v>823</v>
      </c>
      <c r="T3888">
        <v>39</v>
      </c>
      <c r="U3888" s="26" t="str">
        <f t="shared" si="146"/>
        <v>2023.072B.Umezonoviridae_nf.zip</v>
      </c>
    </row>
    <row r="3889" spans="1:21">
      <c r="A3889">
        <v>3888</v>
      </c>
      <c r="B3889" s="27" t="s">
        <v>1449</v>
      </c>
      <c r="D3889" s="27" t="s">
        <v>1450</v>
      </c>
      <c r="F3889" s="27" t="s">
        <v>1453</v>
      </c>
      <c r="H3889" s="27" t="s">
        <v>1454</v>
      </c>
      <c r="L3889" s="27" t="s">
        <v>11677</v>
      </c>
      <c r="N3889" s="27" t="s">
        <v>11689</v>
      </c>
      <c r="P3889" s="27" t="s">
        <v>11730</v>
      </c>
      <c r="Q3889" s="26" t="str">
        <f>HYPERLINK("https://ictv.global/taxonomy/taxondetails?taxnode_id=202519449&amp;ictv_id=ICTV202319449","ICTV202319449")</f>
        <v>ICTV202319449</v>
      </c>
      <c r="R3889" t="s">
        <v>579</v>
      </c>
      <c r="S3889" t="s">
        <v>823</v>
      </c>
      <c r="T3889">
        <v>39</v>
      </c>
      <c r="U3889" s="26" t="str">
        <f t="shared" si="146"/>
        <v>2023.072B.Umezonoviridae_nf.zip</v>
      </c>
    </row>
    <row r="3890" spans="1:21">
      <c r="A3890">
        <v>3889</v>
      </c>
      <c r="B3890" s="27" t="s">
        <v>1449</v>
      </c>
      <c r="D3890" s="27" t="s">
        <v>1450</v>
      </c>
      <c r="F3890" s="27" t="s">
        <v>1453</v>
      </c>
      <c r="H3890" s="27" t="s">
        <v>1454</v>
      </c>
      <c r="L3890" s="27" t="s">
        <v>11677</v>
      </c>
      <c r="N3890" s="27" t="s">
        <v>11689</v>
      </c>
      <c r="P3890" s="27" t="s">
        <v>11731</v>
      </c>
      <c r="Q3890" s="26" t="str">
        <f>HYPERLINK("https://ictv.global/taxonomy/taxondetails?taxnode_id=202519450&amp;ictv_id=ICTV202319450","ICTV202319450")</f>
        <v>ICTV202319450</v>
      </c>
      <c r="R3890" t="s">
        <v>579</v>
      </c>
      <c r="S3890" t="s">
        <v>823</v>
      </c>
      <c r="T3890">
        <v>39</v>
      </c>
      <c r="U3890" s="26" t="str">
        <f t="shared" si="146"/>
        <v>2023.072B.Umezonoviridae_nf.zip</v>
      </c>
    </row>
    <row r="3891" spans="1:21">
      <c r="A3891">
        <v>3890</v>
      </c>
      <c r="B3891" s="27" t="s">
        <v>1449</v>
      </c>
      <c r="D3891" s="27" t="s">
        <v>1450</v>
      </c>
      <c r="F3891" s="27" t="s">
        <v>1453</v>
      </c>
      <c r="H3891" s="27" t="s">
        <v>1454</v>
      </c>
      <c r="L3891" s="27" t="s">
        <v>11677</v>
      </c>
      <c r="N3891" s="27" t="s">
        <v>11689</v>
      </c>
      <c r="P3891" s="27" t="s">
        <v>11732</v>
      </c>
      <c r="Q3891" s="26" t="str">
        <f>HYPERLINK("https://ictv.global/taxonomy/taxondetails?taxnode_id=202519451&amp;ictv_id=ICTV202319451","ICTV202319451")</f>
        <v>ICTV202319451</v>
      </c>
      <c r="R3891" t="s">
        <v>579</v>
      </c>
      <c r="S3891" t="s">
        <v>823</v>
      </c>
      <c r="T3891">
        <v>39</v>
      </c>
      <c r="U3891" s="26" t="str">
        <f t="shared" si="146"/>
        <v>2023.072B.Umezonoviridae_nf.zip</v>
      </c>
    </row>
    <row r="3892" spans="1:21">
      <c r="A3892">
        <v>3891</v>
      </c>
      <c r="B3892" s="27" t="s">
        <v>1449</v>
      </c>
      <c r="D3892" s="27" t="s">
        <v>1450</v>
      </c>
      <c r="F3892" s="27" t="s">
        <v>1453</v>
      </c>
      <c r="H3892" s="27" t="s">
        <v>1454</v>
      </c>
      <c r="L3892" s="27" t="s">
        <v>11677</v>
      </c>
      <c r="N3892" s="27" t="s">
        <v>11689</v>
      </c>
      <c r="P3892" s="27" t="s">
        <v>11733</v>
      </c>
      <c r="Q3892" s="26" t="str">
        <f>HYPERLINK("https://ictv.global/taxonomy/taxondetails?taxnode_id=202519452&amp;ictv_id=ICTV202319452","ICTV202319452")</f>
        <v>ICTV202319452</v>
      </c>
      <c r="R3892" t="s">
        <v>579</v>
      </c>
      <c r="S3892" t="s">
        <v>823</v>
      </c>
      <c r="T3892">
        <v>39</v>
      </c>
      <c r="U3892" s="26" t="str">
        <f t="shared" si="146"/>
        <v>2023.072B.Umezonoviridae_nf.zip</v>
      </c>
    </row>
    <row r="3893" spans="1:21">
      <c r="A3893">
        <v>3892</v>
      </c>
      <c r="B3893" s="27" t="s">
        <v>1449</v>
      </c>
      <c r="D3893" s="27" t="s">
        <v>1450</v>
      </c>
      <c r="F3893" s="27" t="s">
        <v>1453</v>
      </c>
      <c r="H3893" s="27" t="s">
        <v>1454</v>
      </c>
      <c r="L3893" s="27" t="s">
        <v>11677</v>
      </c>
      <c r="N3893" s="27" t="s">
        <v>11689</v>
      </c>
      <c r="P3893" s="27" t="s">
        <v>11734</v>
      </c>
      <c r="Q3893" s="26" t="str">
        <f>HYPERLINK("https://ictv.global/taxonomy/taxondetails?taxnode_id=202519453&amp;ictv_id=ICTV202319453","ICTV202319453")</f>
        <v>ICTV202319453</v>
      </c>
      <c r="R3893" t="s">
        <v>579</v>
      </c>
      <c r="S3893" t="s">
        <v>823</v>
      </c>
      <c r="T3893">
        <v>39</v>
      </c>
      <c r="U3893" s="26" t="str">
        <f t="shared" si="146"/>
        <v>2023.072B.Umezonoviridae_nf.zip</v>
      </c>
    </row>
    <row r="3894" spans="1:21">
      <c r="A3894">
        <v>3893</v>
      </c>
      <c r="B3894" s="27" t="s">
        <v>1449</v>
      </c>
      <c r="D3894" s="27" t="s">
        <v>1450</v>
      </c>
      <c r="F3894" s="27" t="s">
        <v>1453</v>
      </c>
      <c r="H3894" s="27" t="s">
        <v>1454</v>
      </c>
      <c r="L3894" s="27" t="s">
        <v>19679</v>
      </c>
      <c r="M3894" s="27" t="s">
        <v>11756</v>
      </c>
      <c r="N3894" s="27" t="s">
        <v>11757</v>
      </c>
      <c r="P3894" s="27" t="s">
        <v>11758</v>
      </c>
      <c r="Q3894" s="26" t="str">
        <f>HYPERLINK("https://ictv.global/taxonomy/taxondetails?taxnode_id=202518996&amp;ictv_id=ICTV202318996","ICTV202318996")</f>
        <v>ICTV202318996</v>
      </c>
      <c r="R3894" t="s">
        <v>579</v>
      </c>
      <c r="S3894" t="s">
        <v>22763</v>
      </c>
      <c r="T3894">
        <v>40</v>
      </c>
      <c r="U3894" s="26" t="str">
        <f t="shared" ref="U3894:U3930" si="147">HYPERLINK("https://ictv.global/ictv/proposals/2024.037B.Vandenendeviridae_1nf_2msf_8ng_1mg_11ns.zip","2024.037B.Vandenendeviridae_1nf_2msf_8ng_1mg_11ns.zip")</f>
        <v>2024.037B.Vandenendeviridae_1nf_2msf_8ng_1mg_11ns.zip</v>
      </c>
    </row>
    <row r="3895" spans="1:21">
      <c r="A3895">
        <v>3894</v>
      </c>
      <c r="B3895" s="27" t="s">
        <v>1449</v>
      </c>
      <c r="D3895" s="27" t="s">
        <v>1450</v>
      </c>
      <c r="F3895" s="27" t="s">
        <v>1453</v>
      </c>
      <c r="H3895" s="27" t="s">
        <v>1454</v>
      </c>
      <c r="L3895" s="27" t="s">
        <v>19679</v>
      </c>
      <c r="M3895" s="27" t="s">
        <v>11756</v>
      </c>
      <c r="N3895" s="27" t="s">
        <v>1234</v>
      </c>
      <c r="P3895" s="27" t="s">
        <v>7020</v>
      </c>
      <c r="Q3895" s="26" t="str">
        <f>HYPERLINK("https://ictv.global/taxonomy/taxondetails?taxnode_id=202506824&amp;ictv_id=ICTV201856824","ICTV201856824")</f>
        <v>ICTV201856824</v>
      </c>
      <c r="R3895" t="s">
        <v>579</v>
      </c>
      <c r="S3895" t="s">
        <v>22763</v>
      </c>
      <c r="T3895">
        <v>40</v>
      </c>
      <c r="U3895" s="26" t="str">
        <f t="shared" si="147"/>
        <v>2024.037B.Vandenendeviridae_1nf_2msf_8ng_1mg_11ns.zip</v>
      </c>
    </row>
    <row r="3896" spans="1:21">
      <c r="A3896">
        <v>3895</v>
      </c>
      <c r="B3896" s="27" t="s">
        <v>1449</v>
      </c>
      <c r="D3896" s="27" t="s">
        <v>1450</v>
      </c>
      <c r="F3896" s="27" t="s">
        <v>1453</v>
      </c>
      <c r="H3896" s="27" t="s">
        <v>1454</v>
      </c>
      <c r="L3896" s="27" t="s">
        <v>19679</v>
      </c>
      <c r="M3896" s="27" t="s">
        <v>11756</v>
      </c>
      <c r="N3896" s="27" t="s">
        <v>1234</v>
      </c>
      <c r="P3896" s="27" t="s">
        <v>7021</v>
      </c>
      <c r="Q3896" s="26" t="str">
        <f>HYPERLINK("https://ictv.global/taxonomy/taxondetails?taxnode_id=202506823&amp;ictv_id=ICTV201856823","ICTV201856823")</f>
        <v>ICTV201856823</v>
      </c>
      <c r="R3896" t="s">
        <v>579</v>
      </c>
      <c r="S3896" t="s">
        <v>22763</v>
      </c>
      <c r="T3896">
        <v>40</v>
      </c>
      <c r="U3896" s="26" t="str">
        <f t="shared" si="147"/>
        <v>2024.037B.Vandenendeviridae_1nf_2msf_8ng_1mg_11ns.zip</v>
      </c>
    </row>
    <row r="3897" spans="1:21">
      <c r="A3897">
        <v>3896</v>
      </c>
      <c r="B3897" s="27" t="s">
        <v>1449</v>
      </c>
      <c r="D3897" s="27" t="s">
        <v>1450</v>
      </c>
      <c r="F3897" s="27" t="s">
        <v>1453</v>
      </c>
      <c r="H3897" s="27" t="s">
        <v>1454</v>
      </c>
      <c r="L3897" s="27" t="s">
        <v>19679</v>
      </c>
      <c r="M3897" s="27" t="s">
        <v>11756</v>
      </c>
      <c r="N3897" s="27" t="s">
        <v>11759</v>
      </c>
      <c r="P3897" s="27" t="s">
        <v>11760</v>
      </c>
      <c r="Q3897" s="26" t="str">
        <f>HYPERLINK("https://ictv.global/taxonomy/taxondetails?taxnode_id=202518998&amp;ictv_id=ICTV202318998","ICTV202318998")</f>
        <v>ICTV202318998</v>
      </c>
      <c r="R3897" t="s">
        <v>579</v>
      </c>
      <c r="S3897" t="s">
        <v>22763</v>
      </c>
      <c r="T3897">
        <v>40</v>
      </c>
      <c r="U3897" s="26" t="str">
        <f t="shared" si="147"/>
        <v>2024.037B.Vandenendeviridae_1nf_2msf_8ng_1mg_11ns.zip</v>
      </c>
    </row>
    <row r="3898" spans="1:21">
      <c r="A3898">
        <v>3897</v>
      </c>
      <c r="B3898" s="27" t="s">
        <v>1449</v>
      </c>
      <c r="D3898" s="27" t="s">
        <v>1450</v>
      </c>
      <c r="F3898" s="27" t="s">
        <v>1453</v>
      </c>
      <c r="H3898" s="27" t="s">
        <v>1454</v>
      </c>
      <c r="L3898" s="27" t="s">
        <v>19679</v>
      </c>
      <c r="M3898" s="27" t="s">
        <v>11756</v>
      </c>
      <c r="N3898" s="27" t="s">
        <v>11759</v>
      </c>
      <c r="P3898" s="27" t="s">
        <v>11761</v>
      </c>
      <c r="Q3898" s="26" t="str">
        <f>HYPERLINK("https://ictv.global/taxonomy/taxondetails?taxnode_id=202518999&amp;ictv_id=ICTV202318999","ICTV202318999")</f>
        <v>ICTV202318999</v>
      </c>
      <c r="R3898" t="s">
        <v>579</v>
      </c>
      <c r="S3898" t="s">
        <v>22763</v>
      </c>
      <c r="T3898">
        <v>40</v>
      </c>
      <c r="U3898" s="26" t="str">
        <f t="shared" si="147"/>
        <v>2024.037B.Vandenendeviridae_1nf_2msf_8ng_1mg_11ns.zip</v>
      </c>
    </row>
    <row r="3899" spans="1:21">
      <c r="A3899">
        <v>3898</v>
      </c>
      <c r="B3899" s="27" t="s">
        <v>1449</v>
      </c>
      <c r="D3899" s="27" t="s">
        <v>1450</v>
      </c>
      <c r="F3899" s="27" t="s">
        <v>1453</v>
      </c>
      <c r="H3899" s="27" t="s">
        <v>1454</v>
      </c>
      <c r="L3899" s="27" t="s">
        <v>19679</v>
      </c>
      <c r="M3899" s="27" t="s">
        <v>11756</v>
      </c>
      <c r="N3899" s="27" t="s">
        <v>11759</v>
      </c>
      <c r="P3899" s="27" t="s">
        <v>11762</v>
      </c>
      <c r="Q3899" s="26" t="str">
        <f>HYPERLINK("https://ictv.global/taxonomy/taxondetails?taxnode_id=202506855&amp;ictv_id=ICTV201856855","ICTV201856855")</f>
        <v>ICTV201856855</v>
      </c>
      <c r="R3899" t="s">
        <v>579</v>
      </c>
      <c r="S3899" t="s">
        <v>22763</v>
      </c>
      <c r="T3899">
        <v>40</v>
      </c>
      <c r="U3899" s="26" t="str">
        <f t="shared" si="147"/>
        <v>2024.037B.Vandenendeviridae_1nf_2msf_8ng_1mg_11ns.zip</v>
      </c>
    </row>
    <row r="3900" spans="1:21">
      <c r="A3900">
        <v>3899</v>
      </c>
      <c r="B3900" s="27" t="s">
        <v>1449</v>
      </c>
      <c r="D3900" s="27" t="s">
        <v>1450</v>
      </c>
      <c r="F3900" s="27" t="s">
        <v>1453</v>
      </c>
      <c r="H3900" s="27" t="s">
        <v>1454</v>
      </c>
      <c r="L3900" s="27" t="s">
        <v>19679</v>
      </c>
      <c r="M3900" s="27" t="s">
        <v>11756</v>
      </c>
      <c r="N3900" s="27" t="s">
        <v>19680</v>
      </c>
      <c r="P3900" s="27" t="s">
        <v>19681</v>
      </c>
      <c r="Q3900" s="26" t="str">
        <f>HYPERLINK("https://ictv.global/taxonomy/taxondetails?taxnode_id=202520858&amp;ictv_id=ICTV202420858","ICTV202420858")</f>
        <v>ICTV202420858</v>
      </c>
      <c r="R3900" t="s">
        <v>579</v>
      </c>
      <c r="S3900" t="s">
        <v>823</v>
      </c>
      <c r="T3900">
        <v>40</v>
      </c>
      <c r="U3900" s="26" t="str">
        <f t="shared" si="147"/>
        <v>2024.037B.Vandenendeviridae_1nf_2msf_8ng_1mg_11ns.zip</v>
      </c>
    </row>
    <row r="3901" spans="1:21">
      <c r="A3901">
        <v>3900</v>
      </c>
      <c r="B3901" s="27" t="s">
        <v>1449</v>
      </c>
      <c r="D3901" s="27" t="s">
        <v>1450</v>
      </c>
      <c r="F3901" s="27" t="s">
        <v>1453</v>
      </c>
      <c r="H3901" s="27" t="s">
        <v>1454</v>
      </c>
      <c r="L3901" s="27" t="s">
        <v>19679</v>
      </c>
      <c r="M3901" s="27" t="s">
        <v>11756</v>
      </c>
      <c r="N3901" s="27" t="s">
        <v>1251</v>
      </c>
      <c r="P3901" s="27" t="s">
        <v>11763</v>
      </c>
      <c r="Q3901" s="26" t="str">
        <f>HYPERLINK("https://ictv.global/taxonomy/taxondetails?taxnode_id=202519008&amp;ictv_id=ICTV202319008","ICTV202319008")</f>
        <v>ICTV202319008</v>
      </c>
      <c r="R3901" t="s">
        <v>579</v>
      </c>
      <c r="S3901" t="s">
        <v>22763</v>
      </c>
      <c r="T3901">
        <v>40</v>
      </c>
      <c r="U3901" s="26" t="str">
        <f t="shared" si="147"/>
        <v>2024.037B.Vandenendeviridae_1nf_2msf_8ng_1mg_11ns.zip</v>
      </c>
    </row>
    <row r="3902" spans="1:21">
      <c r="A3902">
        <v>3901</v>
      </c>
      <c r="B3902" s="27" t="s">
        <v>1449</v>
      </c>
      <c r="D3902" s="27" t="s">
        <v>1450</v>
      </c>
      <c r="F3902" s="27" t="s">
        <v>1453</v>
      </c>
      <c r="H3902" s="27" t="s">
        <v>1454</v>
      </c>
      <c r="L3902" s="27" t="s">
        <v>19679</v>
      </c>
      <c r="M3902" s="27" t="s">
        <v>11756</v>
      </c>
      <c r="N3902" s="27" t="s">
        <v>1251</v>
      </c>
      <c r="P3902" s="27" t="s">
        <v>11764</v>
      </c>
      <c r="Q3902" s="26" t="str">
        <f>HYPERLINK("https://ictv.global/taxonomy/taxondetails?taxnode_id=202519009&amp;ictv_id=ICTV202319009","ICTV202319009")</f>
        <v>ICTV202319009</v>
      </c>
      <c r="R3902" t="s">
        <v>579</v>
      </c>
      <c r="S3902" t="s">
        <v>22763</v>
      </c>
      <c r="T3902">
        <v>40</v>
      </c>
      <c r="U3902" s="26" t="str">
        <f t="shared" si="147"/>
        <v>2024.037B.Vandenendeviridae_1nf_2msf_8ng_1mg_11ns.zip</v>
      </c>
    </row>
    <row r="3903" spans="1:21">
      <c r="A3903">
        <v>3902</v>
      </c>
      <c r="B3903" s="27" t="s">
        <v>1449</v>
      </c>
      <c r="D3903" s="27" t="s">
        <v>1450</v>
      </c>
      <c r="F3903" s="27" t="s">
        <v>1453</v>
      </c>
      <c r="H3903" s="27" t="s">
        <v>1454</v>
      </c>
      <c r="L3903" s="27" t="s">
        <v>19679</v>
      </c>
      <c r="M3903" s="27" t="s">
        <v>11756</v>
      </c>
      <c r="N3903" s="27" t="s">
        <v>1251</v>
      </c>
      <c r="P3903" s="27" t="s">
        <v>11765</v>
      </c>
      <c r="Q3903" s="26" t="str">
        <f>HYPERLINK("https://ictv.global/taxonomy/taxondetails?taxnode_id=202519005&amp;ictv_id=ICTV202319005","ICTV202319005")</f>
        <v>ICTV202319005</v>
      </c>
      <c r="R3903" t="s">
        <v>579</v>
      </c>
      <c r="S3903" t="s">
        <v>22763</v>
      </c>
      <c r="T3903">
        <v>40</v>
      </c>
      <c r="U3903" s="26" t="str">
        <f t="shared" si="147"/>
        <v>2024.037B.Vandenendeviridae_1nf_2msf_8ng_1mg_11ns.zip</v>
      </c>
    </row>
    <row r="3904" spans="1:21">
      <c r="A3904">
        <v>3903</v>
      </c>
      <c r="B3904" s="27" t="s">
        <v>1449</v>
      </c>
      <c r="D3904" s="27" t="s">
        <v>1450</v>
      </c>
      <c r="F3904" s="27" t="s">
        <v>1453</v>
      </c>
      <c r="H3904" s="27" t="s">
        <v>1454</v>
      </c>
      <c r="L3904" s="27" t="s">
        <v>19679</v>
      </c>
      <c r="M3904" s="27" t="s">
        <v>11756</v>
      </c>
      <c r="N3904" s="27" t="s">
        <v>1251</v>
      </c>
      <c r="P3904" s="27" t="s">
        <v>11766</v>
      </c>
      <c r="Q3904" s="26" t="str">
        <f>HYPERLINK("https://ictv.global/taxonomy/taxondetails?taxnode_id=202519006&amp;ictv_id=ICTV202319006","ICTV202319006")</f>
        <v>ICTV202319006</v>
      </c>
      <c r="R3904" t="s">
        <v>579</v>
      </c>
      <c r="S3904" t="s">
        <v>22763</v>
      </c>
      <c r="T3904">
        <v>40</v>
      </c>
      <c r="U3904" s="26" t="str">
        <f t="shared" si="147"/>
        <v>2024.037B.Vandenendeviridae_1nf_2msf_8ng_1mg_11ns.zip</v>
      </c>
    </row>
    <row r="3905" spans="1:21">
      <c r="A3905">
        <v>3904</v>
      </c>
      <c r="B3905" s="27" t="s">
        <v>1449</v>
      </c>
      <c r="D3905" s="27" t="s">
        <v>1450</v>
      </c>
      <c r="F3905" s="27" t="s">
        <v>1453</v>
      </c>
      <c r="H3905" s="27" t="s">
        <v>1454</v>
      </c>
      <c r="L3905" s="27" t="s">
        <v>19679</v>
      </c>
      <c r="M3905" s="27" t="s">
        <v>11756</v>
      </c>
      <c r="N3905" s="27" t="s">
        <v>1251</v>
      </c>
      <c r="P3905" s="27" t="s">
        <v>11767</v>
      </c>
      <c r="Q3905" s="26" t="str">
        <f>HYPERLINK("https://ictv.global/taxonomy/taxondetails?taxnode_id=202519007&amp;ictv_id=ICTV202319007","ICTV202319007")</f>
        <v>ICTV202319007</v>
      </c>
      <c r="R3905" t="s">
        <v>579</v>
      </c>
      <c r="S3905" t="s">
        <v>22763</v>
      </c>
      <c r="T3905">
        <v>40</v>
      </c>
      <c r="U3905" s="26" t="str">
        <f t="shared" si="147"/>
        <v>2024.037B.Vandenendeviridae_1nf_2msf_8ng_1mg_11ns.zip</v>
      </c>
    </row>
    <row r="3906" spans="1:21">
      <c r="A3906">
        <v>3905</v>
      </c>
      <c r="B3906" s="27" t="s">
        <v>1449</v>
      </c>
      <c r="D3906" s="27" t="s">
        <v>1450</v>
      </c>
      <c r="F3906" s="27" t="s">
        <v>1453</v>
      </c>
      <c r="H3906" s="27" t="s">
        <v>1454</v>
      </c>
      <c r="L3906" s="27" t="s">
        <v>19679</v>
      </c>
      <c r="M3906" s="27" t="s">
        <v>11756</v>
      </c>
      <c r="N3906" s="27" t="s">
        <v>1251</v>
      </c>
      <c r="P3906" s="27" t="s">
        <v>11768</v>
      </c>
      <c r="Q3906" s="26" t="str">
        <f>HYPERLINK("https://ictv.global/taxonomy/taxondetails?taxnode_id=202519004&amp;ictv_id=ICTV202319004","ICTV202319004")</f>
        <v>ICTV202319004</v>
      </c>
      <c r="R3906" t="s">
        <v>579</v>
      </c>
      <c r="S3906" t="s">
        <v>22763</v>
      </c>
      <c r="T3906">
        <v>40</v>
      </c>
      <c r="U3906" s="26" t="str">
        <f t="shared" si="147"/>
        <v>2024.037B.Vandenendeviridae_1nf_2msf_8ng_1mg_11ns.zip</v>
      </c>
    </row>
    <row r="3907" spans="1:21">
      <c r="A3907">
        <v>3906</v>
      </c>
      <c r="B3907" s="27" t="s">
        <v>1449</v>
      </c>
      <c r="D3907" s="27" t="s">
        <v>1450</v>
      </c>
      <c r="F3907" s="27" t="s">
        <v>1453</v>
      </c>
      <c r="H3907" s="27" t="s">
        <v>1454</v>
      </c>
      <c r="L3907" s="27" t="s">
        <v>19679</v>
      </c>
      <c r="M3907" s="27" t="s">
        <v>11756</v>
      </c>
      <c r="N3907" s="27" t="s">
        <v>1251</v>
      </c>
      <c r="P3907" s="27" t="s">
        <v>7517</v>
      </c>
      <c r="Q3907" s="26" t="str">
        <f>HYPERLINK("https://ictv.global/taxonomy/taxondetails?taxnode_id=202506854&amp;ictv_id=ICTV201856854","ICTV201856854")</f>
        <v>ICTV201856854</v>
      </c>
      <c r="R3907" t="s">
        <v>579</v>
      </c>
      <c r="S3907" t="s">
        <v>22763</v>
      </c>
      <c r="T3907">
        <v>40</v>
      </c>
      <c r="U3907" s="26" t="str">
        <f t="shared" si="147"/>
        <v>2024.037B.Vandenendeviridae_1nf_2msf_8ng_1mg_11ns.zip</v>
      </c>
    </row>
    <row r="3908" spans="1:21">
      <c r="A3908">
        <v>3907</v>
      </c>
      <c r="B3908" s="27" t="s">
        <v>1449</v>
      </c>
      <c r="D3908" s="27" t="s">
        <v>1450</v>
      </c>
      <c r="F3908" s="27" t="s">
        <v>1453</v>
      </c>
      <c r="H3908" s="27" t="s">
        <v>1454</v>
      </c>
      <c r="L3908" s="27" t="s">
        <v>19679</v>
      </c>
      <c r="M3908" s="27" t="s">
        <v>11756</v>
      </c>
      <c r="N3908" s="27" t="s">
        <v>1251</v>
      </c>
      <c r="P3908" s="27" t="s">
        <v>11769</v>
      </c>
      <c r="Q3908" s="26" t="str">
        <f>HYPERLINK("https://ictv.global/taxonomy/taxondetails?taxnode_id=202519003&amp;ictv_id=ICTV202319003","ICTV202319003")</f>
        <v>ICTV202319003</v>
      </c>
      <c r="R3908" t="s">
        <v>579</v>
      </c>
      <c r="S3908" t="s">
        <v>22763</v>
      </c>
      <c r="T3908">
        <v>40</v>
      </c>
      <c r="U3908" s="26" t="str">
        <f t="shared" si="147"/>
        <v>2024.037B.Vandenendeviridae_1nf_2msf_8ng_1mg_11ns.zip</v>
      </c>
    </row>
    <row r="3909" spans="1:21">
      <c r="A3909">
        <v>3908</v>
      </c>
      <c r="B3909" s="27" t="s">
        <v>1449</v>
      </c>
      <c r="D3909" s="27" t="s">
        <v>1450</v>
      </c>
      <c r="F3909" s="27" t="s">
        <v>1453</v>
      </c>
      <c r="H3909" s="27" t="s">
        <v>1454</v>
      </c>
      <c r="L3909" s="27" t="s">
        <v>19679</v>
      </c>
      <c r="M3909" s="27" t="s">
        <v>11756</v>
      </c>
      <c r="N3909" s="27" t="s">
        <v>1251</v>
      </c>
      <c r="P3909" s="27" t="s">
        <v>11770</v>
      </c>
      <c r="Q3909" s="26" t="str">
        <f>HYPERLINK("https://ictv.global/taxonomy/taxondetails?taxnode_id=202519002&amp;ictv_id=ICTV202319002","ICTV202319002")</f>
        <v>ICTV202319002</v>
      </c>
      <c r="R3909" t="s">
        <v>579</v>
      </c>
      <c r="S3909" t="s">
        <v>22763</v>
      </c>
      <c r="T3909">
        <v>40</v>
      </c>
      <c r="U3909" s="26" t="str">
        <f t="shared" si="147"/>
        <v>2024.037B.Vandenendeviridae_1nf_2msf_8ng_1mg_11ns.zip</v>
      </c>
    </row>
    <row r="3910" spans="1:21">
      <c r="A3910">
        <v>3909</v>
      </c>
      <c r="B3910" s="27" t="s">
        <v>1449</v>
      </c>
      <c r="D3910" s="27" t="s">
        <v>1450</v>
      </c>
      <c r="F3910" s="27" t="s">
        <v>1453</v>
      </c>
      <c r="H3910" s="27" t="s">
        <v>1454</v>
      </c>
      <c r="L3910" s="27" t="s">
        <v>19679</v>
      </c>
      <c r="M3910" s="27" t="s">
        <v>11756</v>
      </c>
      <c r="N3910" s="27" t="s">
        <v>1251</v>
      </c>
      <c r="P3910" s="27" t="s">
        <v>11771</v>
      </c>
      <c r="Q3910" s="26" t="str">
        <f>HYPERLINK("https://ictv.global/taxonomy/taxondetails?taxnode_id=202519000&amp;ictv_id=ICTV202319000","ICTV202319000")</f>
        <v>ICTV202319000</v>
      </c>
      <c r="R3910" t="s">
        <v>579</v>
      </c>
      <c r="S3910" t="s">
        <v>22763</v>
      </c>
      <c r="T3910">
        <v>40</v>
      </c>
      <c r="U3910" s="26" t="str">
        <f t="shared" si="147"/>
        <v>2024.037B.Vandenendeviridae_1nf_2msf_8ng_1mg_11ns.zip</v>
      </c>
    </row>
    <row r="3911" spans="1:21">
      <c r="A3911">
        <v>3910</v>
      </c>
      <c r="B3911" s="27" t="s">
        <v>1449</v>
      </c>
      <c r="D3911" s="27" t="s">
        <v>1450</v>
      </c>
      <c r="F3911" s="27" t="s">
        <v>1453</v>
      </c>
      <c r="H3911" s="27" t="s">
        <v>1454</v>
      </c>
      <c r="L3911" s="27" t="s">
        <v>19679</v>
      </c>
      <c r="M3911" s="27" t="s">
        <v>11756</v>
      </c>
      <c r="N3911" s="27" t="s">
        <v>1251</v>
      </c>
      <c r="P3911" s="27" t="s">
        <v>11772</v>
      </c>
      <c r="Q3911" s="26" t="str">
        <f>HYPERLINK("https://ictv.global/taxonomy/taxondetails?taxnode_id=202519001&amp;ictv_id=ICTV202319001","ICTV202319001")</f>
        <v>ICTV202319001</v>
      </c>
      <c r="R3911" t="s">
        <v>579</v>
      </c>
      <c r="S3911" t="s">
        <v>22763</v>
      </c>
      <c r="T3911">
        <v>40</v>
      </c>
      <c r="U3911" s="26" t="str">
        <f t="shared" si="147"/>
        <v>2024.037B.Vandenendeviridae_1nf_2msf_8ng_1mg_11ns.zip</v>
      </c>
    </row>
    <row r="3912" spans="1:21">
      <c r="A3912">
        <v>3911</v>
      </c>
      <c r="B3912" s="27" t="s">
        <v>1449</v>
      </c>
      <c r="D3912" s="27" t="s">
        <v>1450</v>
      </c>
      <c r="F3912" s="27" t="s">
        <v>1453</v>
      </c>
      <c r="H3912" s="27" t="s">
        <v>1454</v>
      </c>
      <c r="L3912" s="27" t="s">
        <v>19679</v>
      </c>
      <c r="M3912" s="27" t="s">
        <v>11756</v>
      </c>
      <c r="N3912" s="27" t="s">
        <v>11773</v>
      </c>
      <c r="P3912" s="27" t="s">
        <v>11774</v>
      </c>
      <c r="Q3912" s="26" t="str">
        <f>HYPERLINK("https://ictv.global/taxonomy/taxondetails?taxnode_id=202518997&amp;ictv_id=ICTV202318997","ICTV202318997")</f>
        <v>ICTV202318997</v>
      </c>
      <c r="R3912" t="s">
        <v>579</v>
      </c>
      <c r="S3912" t="s">
        <v>22763</v>
      </c>
      <c r="T3912">
        <v>40</v>
      </c>
      <c r="U3912" s="26" t="str">
        <f t="shared" si="147"/>
        <v>2024.037B.Vandenendeviridae_1nf_2msf_8ng_1mg_11ns.zip</v>
      </c>
    </row>
    <row r="3913" spans="1:21">
      <c r="A3913">
        <v>3912</v>
      </c>
      <c r="B3913" s="27" t="s">
        <v>1449</v>
      </c>
      <c r="D3913" s="27" t="s">
        <v>1450</v>
      </c>
      <c r="F3913" s="27" t="s">
        <v>1453</v>
      </c>
      <c r="H3913" s="27" t="s">
        <v>1454</v>
      </c>
      <c r="L3913" s="27" t="s">
        <v>19679</v>
      </c>
      <c r="M3913" s="27" t="s">
        <v>11756</v>
      </c>
      <c r="N3913" s="27" t="s">
        <v>19682</v>
      </c>
      <c r="P3913" s="27" t="s">
        <v>19683</v>
      </c>
      <c r="Q3913" s="26" t="str">
        <f>HYPERLINK("https://ictv.global/taxonomy/taxondetails?taxnode_id=202520863&amp;ictv_id=ICTV202420863","ICTV202420863")</f>
        <v>ICTV202420863</v>
      </c>
      <c r="R3913" t="s">
        <v>579</v>
      </c>
      <c r="S3913" t="s">
        <v>823</v>
      </c>
      <c r="T3913">
        <v>40</v>
      </c>
      <c r="U3913" s="26" t="str">
        <f t="shared" si="147"/>
        <v>2024.037B.Vandenendeviridae_1nf_2msf_8ng_1mg_11ns.zip</v>
      </c>
    </row>
    <row r="3914" spans="1:21">
      <c r="A3914">
        <v>3913</v>
      </c>
      <c r="B3914" s="27" t="s">
        <v>1449</v>
      </c>
      <c r="D3914" s="27" t="s">
        <v>1450</v>
      </c>
      <c r="F3914" s="27" t="s">
        <v>1453</v>
      </c>
      <c r="H3914" s="27" t="s">
        <v>1454</v>
      </c>
      <c r="L3914" s="27" t="s">
        <v>19679</v>
      </c>
      <c r="M3914" s="27" t="s">
        <v>11756</v>
      </c>
      <c r="N3914" s="27" t="s">
        <v>19682</v>
      </c>
      <c r="P3914" s="27" t="s">
        <v>19684</v>
      </c>
      <c r="Q3914" s="26" t="str">
        <f>HYPERLINK("https://ictv.global/taxonomy/taxondetails?taxnode_id=202520865&amp;ictv_id=ICTV202420865","ICTV202420865")</f>
        <v>ICTV202420865</v>
      </c>
      <c r="R3914" t="s">
        <v>579</v>
      </c>
      <c r="S3914" t="s">
        <v>823</v>
      </c>
      <c r="T3914">
        <v>40</v>
      </c>
      <c r="U3914" s="26" t="str">
        <f t="shared" si="147"/>
        <v>2024.037B.Vandenendeviridae_1nf_2msf_8ng_1mg_11ns.zip</v>
      </c>
    </row>
    <row r="3915" spans="1:21">
      <c r="A3915">
        <v>3914</v>
      </c>
      <c r="B3915" s="27" t="s">
        <v>1449</v>
      </c>
      <c r="D3915" s="27" t="s">
        <v>1450</v>
      </c>
      <c r="F3915" s="27" t="s">
        <v>1453</v>
      </c>
      <c r="H3915" s="27" t="s">
        <v>1454</v>
      </c>
      <c r="L3915" s="27" t="s">
        <v>19679</v>
      </c>
      <c r="M3915" s="27" t="s">
        <v>11756</v>
      </c>
      <c r="N3915" s="27" t="s">
        <v>19682</v>
      </c>
      <c r="P3915" s="27" t="s">
        <v>19685</v>
      </c>
      <c r="Q3915" s="26" t="str">
        <f>HYPERLINK("https://ictv.global/taxonomy/taxondetails?taxnode_id=202520864&amp;ictv_id=ICTV202420864","ICTV202420864")</f>
        <v>ICTV202420864</v>
      </c>
      <c r="R3915" t="s">
        <v>579</v>
      </c>
      <c r="S3915" t="s">
        <v>823</v>
      </c>
      <c r="T3915">
        <v>40</v>
      </c>
      <c r="U3915" s="26" t="str">
        <f t="shared" si="147"/>
        <v>2024.037B.Vandenendeviridae_1nf_2msf_8ng_1mg_11ns.zip</v>
      </c>
    </row>
    <row r="3916" spans="1:21">
      <c r="A3916">
        <v>3915</v>
      </c>
      <c r="B3916" s="27" t="s">
        <v>1449</v>
      </c>
      <c r="D3916" s="27" t="s">
        <v>1450</v>
      </c>
      <c r="F3916" s="27" t="s">
        <v>1453</v>
      </c>
      <c r="H3916" s="27" t="s">
        <v>1454</v>
      </c>
      <c r="L3916" s="27" t="s">
        <v>19679</v>
      </c>
      <c r="M3916" s="27" t="s">
        <v>11756</v>
      </c>
      <c r="N3916" s="27" t="s">
        <v>19682</v>
      </c>
      <c r="P3916" s="27" t="s">
        <v>19686</v>
      </c>
      <c r="Q3916" s="26" t="str">
        <f>HYPERLINK("https://ictv.global/taxonomy/taxondetails?taxnode_id=202520866&amp;ictv_id=ICTV202420866","ICTV202420866")</f>
        <v>ICTV202420866</v>
      </c>
      <c r="R3916" t="s">
        <v>579</v>
      </c>
      <c r="S3916" t="s">
        <v>823</v>
      </c>
      <c r="T3916">
        <v>40</v>
      </c>
      <c r="U3916" s="26" t="str">
        <f t="shared" si="147"/>
        <v>2024.037B.Vandenendeviridae_1nf_2msf_8ng_1mg_11ns.zip</v>
      </c>
    </row>
    <row r="3917" spans="1:21">
      <c r="A3917">
        <v>3916</v>
      </c>
      <c r="B3917" s="27" t="s">
        <v>1449</v>
      </c>
      <c r="D3917" s="27" t="s">
        <v>1450</v>
      </c>
      <c r="F3917" s="27" t="s">
        <v>1453</v>
      </c>
      <c r="H3917" s="27" t="s">
        <v>1454</v>
      </c>
      <c r="L3917" s="27" t="s">
        <v>19679</v>
      </c>
      <c r="M3917" s="27" t="s">
        <v>11756</v>
      </c>
      <c r="N3917" s="27" t="s">
        <v>19687</v>
      </c>
      <c r="P3917" s="27" t="s">
        <v>19688</v>
      </c>
      <c r="Q3917" s="26" t="str">
        <f>HYPERLINK("https://ictv.global/taxonomy/taxondetails?taxnode_id=202520859&amp;ictv_id=ICTV202420859","ICTV202420859")</f>
        <v>ICTV202420859</v>
      </c>
      <c r="R3917" t="s">
        <v>579</v>
      </c>
      <c r="S3917" t="s">
        <v>823</v>
      </c>
      <c r="T3917">
        <v>40</v>
      </c>
      <c r="U3917" s="26" t="str">
        <f t="shared" si="147"/>
        <v>2024.037B.Vandenendeviridae_1nf_2msf_8ng_1mg_11ns.zip</v>
      </c>
    </row>
    <row r="3918" spans="1:21">
      <c r="A3918">
        <v>3917</v>
      </c>
      <c r="B3918" s="27" t="s">
        <v>1449</v>
      </c>
      <c r="D3918" s="27" t="s">
        <v>1450</v>
      </c>
      <c r="F3918" s="27" t="s">
        <v>1453</v>
      </c>
      <c r="H3918" s="27" t="s">
        <v>1454</v>
      </c>
      <c r="L3918" s="27" t="s">
        <v>19679</v>
      </c>
      <c r="M3918" s="27" t="s">
        <v>11756</v>
      </c>
      <c r="N3918" s="27" t="s">
        <v>19689</v>
      </c>
      <c r="P3918" s="27" t="s">
        <v>19690</v>
      </c>
      <c r="Q3918" s="26" t="str">
        <f>HYPERLINK("https://ictv.global/taxonomy/taxondetails?taxnode_id=202520862&amp;ictv_id=ICTV202420862","ICTV202420862")</f>
        <v>ICTV202420862</v>
      </c>
      <c r="R3918" t="s">
        <v>579</v>
      </c>
      <c r="S3918" t="s">
        <v>823</v>
      </c>
      <c r="T3918">
        <v>40</v>
      </c>
      <c r="U3918" s="26" t="str">
        <f t="shared" si="147"/>
        <v>2024.037B.Vandenendeviridae_1nf_2msf_8ng_1mg_11ns.zip</v>
      </c>
    </row>
    <row r="3919" spans="1:21">
      <c r="A3919">
        <v>3918</v>
      </c>
      <c r="B3919" s="27" t="s">
        <v>1449</v>
      </c>
      <c r="D3919" s="27" t="s">
        <v>1450</v>
      </c>
      <c r="F3919" s="27" t="s">
        <v>1453</v>
      </c>
      <c r="H3919" s="27" t="s">
        <v>1454</v>
      </c>
      <c r="L3919" s="27" t="s">
        <v>19679</v>
      </c>
      <c r="M3919" s="27" t="s">
        <v>11756</v>
      </c>
      <c r="N3919" s="27" t="s">
        <v>19691</v>
      </c>
      <c r="P3919" s="27" t="s">
        <v>19692</v>
      </c>
      <c r="Q3919" s="26" t="str">
        <f>HYPERLINK("https://ictv.global/taxonomy/taxondetails?taxnode_id=202520861&amp;ictv_id=ICTV202420861","ICTV202420861")</f>
        <v>ICTV202420861</v>
      </c>
      <c r="R3919" t="s">
        <v>579</v>
      </c>
      <c r="S3919" t="s">
        <v>823</v>
      </c>
      <c r="T3919">
        <v>40</v>
      </c>
      <c r="U3919" s="26" t="str">
        <f t="shared" si="147"/>
        <v>2024.037B.Vandenendeviridae_1nf_2msf_8ng_1mg_11ns.zip</v>
      </c>
    </row>
    <row r="3920" spans="1:21">
      <c r="A3920">
        <v>3919</v>
      </c>
      <c r="B3920" s="27" t="s">
        <v>1449</v>
      </c>
      <c r="D3920" s="27" t="s">
        <v>1450</v>
      </c>
      <c r="F3920" s="27" t="s">
        <v>1453</v>
      </c>
      <c r="H3920" s="27" t="s">
        <v>1454</v>
      </c>
      <c r="L3920" s="27" t="s">
        <v>19679</v>
      </c>
      <c r="M3920" s="27" t="s">
        <v>11756</v>
      </c>
      <c r="N3920" s="27" t="s">
        <v>19693</v>
      </c>
      <c r="P3920" s="27" t="s">
        <v>19694</v>
      </c>
      <c r="Q3920" s="26" t="str">
        <f>HYPERLINK("https://ictv.global/taxonomy/taxondetails?taxnode_id=202520857&amp;ictv_id=ICTV202420857","ICTV202420857")</f>
        <v>ICTV202420857</v>
      </c>
      <c r="R3920" t="s">
        <v>579</v>
      </c>
      <c r="S3920" t="s">
        <v>823</v>
      </c>
      <c r="T3920">
        <v>40</v>
      </c>
      <c r="U3920" s="26" t="str">
        <f t="shared" si="147"/>
        <v>2024.037B.Vandenendeviridae_1nf_2msf_8ng_1mg_11ns.zip</v>
      </c>
    </row>
    <row r="3921" spans="1:21">
      <c r="A3921">
        <v>3920</v>
      </c>
      <c r="B3921" s="27" t="s">
        <v>1449</v>
      </c>
      <c r="D3921" s="27" t="s">
        <v>1450</v>
      </c>
      <c r="F3921" s="27" t="s">
        <v>1453</v>
      </c>
      <c r="H3921" s="27" t="s">
        <v>1454</v>
      </c>
      <c r="L3921" s="27" t="s">
        <v>19679</v>
      </c>
      <c r="M3921" s="27" t="s">
        <v>11756</v>
      </c>
      <c r="N3921" s="27" t="s">
        <v>19695</v>
      </c>
      <c r="P3921" s="27" t="s">
        <v>19696</v>
      </c>
      <c r="Q3921" s="26" t="str">
        <f>HYPERLINK("https://ictv.global/taxonomy/taxondetails?taxnode_id=202520860&amp;ictv_id=ICTV202420860","ICTV202420860")</f>
        <v>ICTV202420860</v>
      </c>
      <c r="R3921" t="s">
        <v>579</v>
      </c>
      <c r="S3921" t="s">
        <v>823</v>
      </c>
      <c r="T3921">
        <v>40</v>
      </c>
      <c r="U3921" s="26" t="str">
        <f t="shared" si="147"/>
        <v>2024.037B.Vandenendeviridae_1nf_2msf_8ng_1mg_11ns.zip</v>
      </c>
    </row>
    <row r="3922" spans="1:21">
      <c r="A3922">
        <v>3921</v>
      </c>
      <c r="B3922" s="27" t="s">
        <v>1449</v>
      </c>
      <c r="D3922" s="27" t="s">
        <v>1450</v>
      </c>
      <c r="F3922" s="27" t="s">
        <v>1453</v>
      </c>
      <c r="H3922" s="27" t="s">
        <v>1454</v>
      </c>
      <c r="L3922" s="27" t="s">
        <v>19679</v>
      </c>
      <c r="M3922" s="27" t="s">
        <v>11953</v>
      </c>
      <c r="N3922" s="27" t="s">
        <v>11954</v>
      </c>
      <c r="P3922" s="27" t="s">
        <v>11955</v>
      </c>
      <c r="Q3922" s="26" t="str">
        <f>HYPERLINK("https://ictv.global/taxonomy/taxondetails?taxnode_id=202519270&amp;ictv_id=ICTV202319270","ICTV202319270")</f>
        <v>ICTV202319270</v>
      </c>
      <c r="R3922" t="s">
        <v>579</v>
      </c>
      <c r="S3922" t="s">
        <v>22763</v>
      </c>
      <c r="T3922">
        <v>40</v>
      </c>
      <c r="U3922" s="26" t="str">
        <f t="shared" si="147"/>
        <v>2024.037B.Vandenendeviridae_1nf_2msf_8ng_1mg_11ns.zip</v>
      </c>
    </row>
    <row r="3923" spans="1:21">
      <c r="A3923">
        <v>3922</v>
      </c>
      <c r="B3923" s="27" t="s">
        <v>1449</v>
      </c>
      <c r="D3923" s="27" t="s">
        <v>1450</v>
      </c>
      <c r="F3923" s="27" t="s">
        <v>1453</v>
      </c>
      <c r="H3923" s="27" t="s">
        <v>1454</v>
      </c>
      <c r="L3923" s="27" t="s">
        <v>19679</v>
      </c>
      <c r="M3923" s="27" t="s">
        <v>11953</v>
      </c>
      <c r="N3923" s="27" t="s">
        <v>597</v>
      </c>
      <c r="P3923" s="27" t="s">
        <v>11956</v>
      </c>
      <c r="Q3923" s="26" t="str">
        <f>HYPERLINK("https://ictv.global/taxonomy/taxondetails?taxnode_id=202519285&amp;ictv_id=ICTV202319285","ICTV202319285")</f>
        <v>ICTV202319285</v>
      </c>
      <c r="R3923" t="s">
        <v>579</v>
      </c>
      <c r="S3923" t="s">
        <v>22763</v>
      </c>
      <c r="T3923">
        <v>40</v>
      </c>
      <c r="U3923" s="26" t="str">
        <f t="shared" si="147"/>
        <v>2024.037B.Vandenendeviridae_1nf_2msf_8ng_1mg_11ns.zip</v>
      </c>
    </row>
    <row r="3924" spans="1:21">
      <c r="A3924">
        <v>3923</v>
      </c>
      <c r="B3924" s="27" t="s">
        <v>1449</v>
      </c>
      <c r="D3924" s="27" t="s">
        <v>1450</v>
      </c>
      <c r="F3924" s="27" t="s">
        <v>1453</v>
      </c>
      <c r="H3924" s="27" t="s">
        <v>1454</v>
      </c>
      <c r="L3924" s="27" t="s">
        <v>19679</v>
      </c>
      <c r="M3924" s="27" t="s">
        <v>11953</v>
      </c>
      <c r="N3924" s="27" t="s">
        <v>597</v>
      </c>
      <c r="P3924" s="27" t="s">
        <v>11957</v>
      </c>
      <c r="Q3924" s="26" t="str">
        <f>HYPERLINK("https://ictv.global/taxonomy/taxondetails?taxnode_id=202519283&amp;ictv_id=ICTV202319283","ICTV202319283")</f>
        <v>ICTV202319283</v>
      </c>
      <c r="R3924" t="s">
        <v>579</v>
      </c>
      <c r="S3924" t="s">
        <v>22763</v>
      </c>
      <c r="T3924">
        <v>40</v>
      </c>
      <c r="U3924" s="26" t="str">
        <f t="shared" si="147"/>
        <v>2024.037B.Vandenendeviridae_1nf_2msf_8ng_1mg_11ns.zip</v>
      </c>
    </row>
    <row r="3925" spans="1:21">
      <c r="A3925">
        <v>3924</v>
      </c>
      <c r="B3925" s="27" t="s">
        <v>1449</v>
      </c>
      <c r="D3925" s="27" t="s">
        <v>1450</v>
      </c>
      <c r="F3925" s="27" t="s">
        <v>1453</v>
      </c>
      <c r="H3925" s="27" t="s">
        <v>1454</v>
      </c>
      <c r="L3925" s="27" t="s">
        <v>19679</v>
      </c>
      <c r="M3925" s="27" t="s">
        <v>11953</v>
      </c>
      <c r="N3925" s="27" t="s">
        <v>597</v>
      </c>
      <c r="P3925" s="27" t="s">
        <v>11958</v>
      </c>
      <c r="Q3925" s="26" t="str">
        <f>HYPERLINK("https://ictv.global/taxonomy/taxondetails?taxnode_id=202519287&amp;ictv_id=ICTV202319287","ICTV202319287")</f>
        <v>ICTV202319287</v>
      </c>
      <c r="R3925" t="s">
        <v>579</v>
      </c>
      <c r="S3925" t="s">
        <v>22763</v>
      </c>
      <c r="T3925">
        <v>40</v>
      </c>
      <c r="U3925" s="26" t="str">
        <f t="shared" si="147"/>
        <v>2024.037B.Vandenendeviridae_1nf_2msf_8ng_1mg_11ns.zip</v>
      </c>
    </row>
    <row r="3926" spans="1:21">
      <c r="A3926">
        <v>3925</v>
      </c>
      <c r="B3926" s="27" t="s">
        <v>1449</v>
      </c>
      <c r="D3926" s="27" t="s">
        <v>1450</v>
      </c>
      <c r="F3926" s="27" t="s">
        <v>1453</v>
      </c>
      <c r="H3926" s="27" t="s">
        <v>1454</v>
      </c>
      <c r="L3926" s="27" t="s">
        <v>19679</v>
      </c>
      <c r="M3926" s="27" t="s">
        <v>11953</v>
      </c>
      <c r="N3926" s="27" t="s">
        <v>597</v>
      </c>
      <c r="P3926" s="27" t="s">
        <v>7593</v>
      </c>
      <c r="Q3926" s="26" t="str">
        <f>HYPERLINK("https://ictv.global/taxonomy/taxondetails?taxnode_id=202500468&amp;ictv_id=ICTV20150264","ICTV20150264")</f>
        <v>ICTV20150264</v>
      </c>
      <c r="R3926" t="s">
        <v>579</v>
      </c>
      <c r="S3926" t="s">
        <v>22763</v>
      </c>
      <c r="T3926">
        <v>40</v>
      </c>
      <c r="U3926" s="26" t="str">
        <f t="shared" si="147"/>
        <v>2024.037B.Vandenendeviridae_1nf_2msf_8ng_1mg_11ns.zip</v>
      </c>
    </row>
    <row r="3927" spans="1:21">
      <c r="A3927">
        <v>3926</v>
      </c>
      <c r="B3927" s="27" t="s">
        <v>1449</v>
      </c>
      <c r="D3927" s="27" t="s">
        <v>1450</v>
      </c>
      <c r="F3927" s="27" t="s">
        <v>1453</v>
      </c>
      <c r="H3927" s="27" t="s">
        <v>1454</v>
      </c>
      <c r="L3927" s="27" t="s">
        <v>19679</v>
      </c>
      <c r="M3927" s="27" t="s">
        <v>11953</v>
      </c>
      <c r="N3927" s="27" t="s">
        <v>597</v>
      </c>
      <c r="P3927" s="27" t="s">
        <v>7594</v>
      </c>
      <c r="Q3927" s="26" t="str">
        <f>HYPERLINK("https://ictv.global/taxonomy/taxondetails?taxnode_id=202500469&amp;ictv_id=ICTV20150262","ICTV20150262")</f>
        <v>ICTV20150262</v>
      </c>
      <c r="R3927" t="s">
        <v>579</v>
      </c>
      <c r="S3927" t="s">
        <v>22763</v>
      </c>
      <c r="T3927">
        <v>40</v>
      </c>
      <c r="U3927" s="26" t="str">
        <f t="shared" si="147"/>
        <v>2024.037B.Vandenendeviridae_1nf_2msf_8ng_1mg_11ns.zip</v>
      </c>
    </row>
    <row r="3928" spans="1:21">
      <c r="A3928">
        <v>3927</v>
      </c>
      <c r="B3928" s="27" t="s">
        <v>1449</v>
      </c>
      <c r="D3928" s="27" t="s">
        <v>1450</v>
      </c>
      <c r="F3928" s="27" t="s">
        <v>1453</v>
      </c>
      <c r="H3928" s="27" t="s">
        <v>1454</v>
      </c>
      <c r="L3928" s="27" t="s">
        <v>19679</v>
      </c>
      <c r="M3928" s="27" t="s">
        <v>11953</v>
      </c>
      <c r="N3928" s="27" t="s">
        <v>597</v>
      </c>
      <c r="P3928" s="27" t="s">
        <v>11959</v>
      </c>
      <c r="Q3928" s="26" t="str">
        <f>HYPERLINK("https://ictv.global/taxonomy/taxondetails?taxnode_id=202519278&amp;ictv_id=ICTV202319278","ICTV202319278")</f>
        <v>ICTV202319278</v>
      </c>
      <c r="R3928" t="s">
        <v>579</v>
      </c>
      <c r="S3928" t="s">
        <v>22763</v>
      </c>
      <c r="T3928">
        <v>40</v>
      </c>
      <c r="U3928" s="26" t="str">
        <f t="shared" si="147"/>
        <v>2024.037B.Vandenendeviridae_1nf_2msf_8ng_1mg_11ns.zip</v>
      </c>
    </row>
    <row r="3929" spans="1:21">
      <c r="A3929">
        <v>3928</v>
      </c>
      <c r="B3929" s="27" t="s">
        <v>1449</v>
      </c>
      <c r="D3929" s="27" t="s">
        <v>1450</v>
      </c>
      <c r="F3929" s="27" t="s">
        <v>1453</v>
      </c>
      <c r="H3929" s="27" t="s">
        <v>1454</v>
      </c>
      <c r="L3929" s="27" t="s">
        <v>19679</v>
      </c>
      <c r="M3929" s="27" t="s">
        <v>11953</v>
      </c>
      <c r="N3929" s="27" t="s">
        <v>597</v>
      </c>
      <c r="P3929" s="27" t="s">
        <v>11960</v>
      </c>
      <c r="Q3929" s="26" t="str">
        <f>HYPERLINK("https://ictv.global/taxonomy/taxondetails?taxnode_id=202519288&amp;ictv_id=ICTV202319288","ICTV202319288")</f>
        <v>ICTV202319288</v>
      </c>
      <c r="R3929" t="s">
        <v>579</v>
      </c>
      <c r="S3929" t="s">
        <v>22763</v>
      </c>
      <c r="T3929">
        <v>40</v>
      </c>
      <c r="U3929" s="26" t="str">
        <f t="shared" si="147"/>
        <v>2024.037B.Vandenendeviridae_1nf_2msf_8ng_1mg_11ns.zip</v>
      </c>
    </row>
    <row r="3930" spans="1:21">
      <c r="A3930">
        <v>3929</v>
      </c>
      <c r="B3930" s="27" t="s">
        <v>1449</v>
      </c>
      <c r="D3930" s="27" t="s">
        <v>1450</v>
      </c>
      <c r="F3930" s="27" t="s">
        <v>1453</v>
      </c>
      <c r="H3930" s="27" t="s">
        <v>1454</v>
      </c>
      <c r="L3930" s="27" t="s">
        <v>19679</v>
      </c>
      <c r="M3930" s="27" t="s">
        <v>11953</v>
      </c>
      <c r="N3930" s="27" t="s">
        <v>597</v>
      </c>
      <c r="P3930" s="27" t="s">
        <v>11961</v>
      </c>
      <c r="Q3930" s="26" t="str">
        <f>HYPERLINK("https://ictv.global/taxonomy/taxondetails?taxnode_id=202519277&amp;ictv_id=ICTV202319277","ICTV202319277")</f>
        <v>ICTV202319277</v>
      </c>
      <c r="R3930" t="s">
        <v>579</v>
      </c>
      <c r="S3930" t="s">
        <v>22763</v>
      </c>
      <c r="T3930">
        <v>40</v>
      </c>
      <c r="U3930" s="26" t="str">
        <f t="shared" si="147"/>
        <v>2024.037B.Vandenendeviridae_1nf_2msf_8ng_1mg_11ns.zip</v>
      </c>
    </row>
    <row r="3931" spans="1:21">
      <c r="A3931">
        <v>3930</v>
      </c>
      <c r="B3931" s="27" t="s">
        <v>1449</v>
      </c>
      <c r="D3931" s="27" t="s">
        <v>1450</v>
      </c>
      <c r="F3931" s="27" t="s">
        <v>1453</v>
      </c>
      <c r="H3931" s="27" t="s">
        <v>1454</v>
      </c>
      <c r="L3931" s="27" t="s">
        <v>19679</v>
      </c>
      <c r="M3931" s="27" t="s">
        <v>11953</v>
      </c>
      <c r="N3931" s="27" t="s">
        <v>597</v>
      </c>
      <c r="P3931" s="27" t="s">
        <v>22021</v>
      </c>
      <c r="Q3931" s="26" t="str">
        <f>HYPERLINK("https://ictv.global/taxonomy/taxondetails?taxnode_id=202522825&amp;ictv_id=ICTV202522825","ICTV202522825")</f>
        <v>ICTV202522825</v>
      </c>
      <c r="R3931" t="s">
        <v>579</v>
      </c>
      <c r="S3931" t="s">
        <v>823</v>
      </c>
      <c r="T3931">
        <v>41</v>
      </c>
      <c r="U3931" s="26" t="str">
        <f>HYPERLINK("https://ictv.global/ictv/proposals/2025.025B.Caudoviricetes_10ns_1rms.zip","2025.025B.Caudoviricetes_10ns_1rms.zip")</f>
        <v>2025.025B.Caudoviricetes_10ns_1rms.zip</v>
      </c>
    </row>
    <row r="3932" spans="1:21">
      <c r="A3932">
        <v>3931</v>
      </c>
      <c r="B3932" s="27" t="s">
        <v>1449</v>
      </c>
      <c r="D3932" s="27" t="s">
        <v>1450</v>
      </c>
      <c r="F3932" s="27" t="s">
        <v>1453</v>
      </c>
      <c r="H3932" s="27" t="s">
        <v>1454</v>
      </c>
      <c r="L3932" s="27" t="s">
        <v>19679</v>
      </c>
      <c r="M3932" s="27" t="s">
        <v>11953</v>
      </c>
      <c r="N3932" s="27" t="s">
        <v>597</v>
      </c>
      <c r="P3932" s="27" t="s">
        <v>22020</v>
      </c>
      <c r="Q3932" s="26" t="str">
        <f>HYPERLINK("https://ictv.global/taxonomy/taxondetails?taxnode_id=202522824&amp;ictv_id=ICTV202522824","ICTV202522824")</f>
        <v>ICTV202522824</v>
      </c>
      <c r="R3932" t="s">
        <v>579</v>
      </c>
      <c r="S3932" t="s">
        <v>823</v>
      </c>
      <c r="T3932">
        <v>41</v>
      </c>
      <c r="U3932" s="26" t="str">
        <f>HYPERLINK("https://ictv.global/ictv/proposals/2025.025B.Caudoviricetes_10ns_1rms.zip","2025.025B.Caudoviricetes_10ns_1rms.zip")</f>
        <v>2025.025B.Caudoviricetes_10ns_1rms.zip</v>
      </c>
    </row>
    <row r="3933" spans="1:21">
      <c r="A3933">
        <v>3932</v>
      </c>
      <c r="B3933" s="27" t="s">
        <v>1449</v>
      </c>
      <c r="D3933" s="27" t="s">
        <v>1450</v>
      </c>
      <c r="F3933" s="27" t="s">
        <v>1453</v>
      </c>
      <c r="H3933" s="27" t="s">
        <v>1454</v>
      </c>
      <c r="L3933" s="27" t="s">
        <v>19679</v>
      </c>
      <c r="M3933" s="27" t="s">
        <v>11953</v>
      </c>
      <c r="N3933" s="27" t="s">
        <v>597</v>
      </c>
      <c r="P3933" s="27" t="s">
        <v>11962</v>
      </c>
      <c r="Q3933" s="26" t="str">
        <f>HYPERLINK("https://ictv.global/taxonomy/taxondetails?taxnode_id=202519284&amp;ictv_id=ICTV202319284","ICTV202319284")</f>
        <v>ICTV202319284</v>
      </c>
      <c r="R3933" t="s">
        <v>579</v>
      </c>
      <c r="S3933" t="s">
        <v>22763</v>
      </c>
      <c r="T3933">
        <v>40</v>
      </c>
      <c r="U3933" s="26" t="str">
        <f>HYPERLINK("https://ictv.global/ictv/proposals/2024.037B.Vandenendeviridae_1nf_2msf_8ng_1mg_11ns.zip","2024.037B.Vandenendeviridae_1nf_2msf_8ng_1mg_11ns.zip")</f>
        <v>2024.037B.Vandenendeviridae_1nf_2msf_8ng_1mg_11ns.zip</v>
      </c>
    </row>
    <row r="3934" spans="1:21">
      <c r="A3934">
        <v>3933</v>
      </c>
      <c r="B3934" s="27" t="s">
        <v>1449</v>
      </c>
      <c r="D3934" s="27" t="s">
        <v>1450</v>
      </c>
      <c r="F3934" s="27" t="s">
        <v>1453</v>
      </c>
      <c r="H3934" s="27" t="s">
        <v>1454</v>
      </c>
      <c r="L3934" s="27" t="s">
        <v>19679</v>
      </c>
      <c r="M3934" s="27" t="s">
        <v>11953</v>
      </c>
      <c r="N3934" s="27" t="s">
        <v>597</v>
      </c>
      <c r="P3934" s="27" t="s">
        <v>11963</v>
      </c>
      <c r="Q3934" s="26" t="str">
        <f>HYPERLINK("https://ictv.global/taxonomy/taxondetails?taxnode_id=202519274&amp;ictv_id=ICTV202319274","ICTV202319274")</f>
        <v>ICTV202319274</v>
      </c>
      <c r="R3934" t="s">
        <v>579</v>
      </c>
      <c r="S3934" t="s">
        <v>22763</v>
      </c>
      <c r="T3934">
        <v>40</v>
      </c>
      <c r="U3934" s="26" t="str">
        <f>HYPERLINK("https://ictv.global/ictv/proposals/2024.037B.Vandenendeviridae_1nf_2msf_8ng_1mg_11ns.zip","2024.037B.Vandenendeviridae_1nf_2msf_8ng_1mg_11ns.zip")</f>
        <v>2024.037B.Vandenendeviridae_1nf_2msf_8ng_1mg_11ns.zip</v>
      </c>
    </row>
    <row r="3935" spans="1:21">
      <c r="A3935">
        <v>3934</v>
      </c>
      <c r="B3935" s="27" t="s">
        <v>1449</v>
      </c>
      <c r="D3935" s="27" t="s">
        <v>1450</v>
      </c>
      <c r="F3935" s="27" t="s">
        <v>1453</v>
      </c>
      <c r="H3935" s="27" t="s">
        <v>1454</v>
      </c>
      <c r="L3935" s="27" t="s">
        <v>19679</v>
      </c>
      <c r="M3935" s="27" t="s">
        <v>11953</v>
      </c>
      <c r="N3935" s="27" t="s">
        <v>597</v>
      </c>
      <c r="P3935" s="27" t="s">
        <v>7595</v>
      </c>
      <c r="Q3935" s="26" t="str">
        <f>HYPERLINK("https://ictv.global/taxonomy/taxondetails?taxnode_id=202500470&amp;ictv_id=ICTV20150261","ICTV20150261")</f>
        <v>ICTV20150261</v>
      </c>
      <c r="R3935" t="s">
        <v>579</v>
      </c>
      <c r="S3935" t="s">
        <v>22763</v>
      </c>
      <c r="T3935">
        <v>40</v>
      </c>
      <c r="U3935" s="26" t="str">
        <f>HYPERLINK("https://ictv.global/ictv/proposals/2024.037B.Vandenendeviridae_1nf_2msf_8ng_1mg_11ns.zip","2024.037B.Vandenendeviridae_1nf_2msf_8ng_1mg_11ns.zip")</f>
        <v>2024.037B.Vandenendeviridae_1nf_2msf_8ng_1mg_11ns.zip</v>
      </c>
    </row>
    <row r="3936" spans="1:21">
      <c r="A3936">
        <v>3935</v>
      </c>
      <c r="B3936" s="27" t="s">
        <v>1449</v>
      </c>
      <c r="D3936" s="27" t="s">
        <v>1450</v>
      </c>
      <c r="F3936" s="27" t="s">
        <v>1453</v>
      </c>
      <c r="H3936" s="27" t="s">
        <v>1454</v>
      </c>
      <c r="L3936" s="27" t="s">
        <v>19679</v>
      </c>
      <c r="M3936" s="27" t="s">
        <v>11953</v>
      </c>
      <c r="N3936" s="27" t="s">
        <v>597</v>
      </c>
      <c r="P3936" s="27" t="s">
        <v>22019</v>
      </c>
      <c r="Q3936" s="26" t="str">
        <f>HYPERLINK("https://ictv.global/taxonomy/taxondetails?taxnode_id=202522823&amp;ictv_id=ICTV202522823","ICTV202522823")</f>
        <v>ICTV202522823</v>
      </c>
      <c r="R3936" t="s">
        <v>579</v>
      </c>
      <c r="S3936" t="s">
        <v>823</v>
      </c>
      <c r="T3936">
        <v>41</v>
      </c>
      <c r="U3936" s="26" t="str">
        <f>HYPERLINK("https://ictv.global/ictv/proposals/2025.025B.Caudoviricetes_10ns_1rms.zip","2025.025B.Caudoviricetes_10ns_1rms.zip")</f>
        <v>2025.025B.Caudoviricetes_10ns_1rms.zip</v>
      </c>
    </row>
    <row r="3937" spans="1:21">
      <c r="A3937">
        <v>3936</v>
      </c>
      <c r="B3937" s="27" t="s">
        <v>1449</v>
      </c>
      <c r="D3937" s="27" t="s">
        <v>1450</v>
      </c>
      <c r="F3937" s="27" t="s">
        <v>1453</v>
      </c>
      <c r="H3937" s="27" t="s">
        <v>1454</v>
      </c>
      <c r="L3937" s="27" t="s">
        <v>19679</v>
      </c>
      <c r="M3937" s="27" t="s">
        <v>11953</v>
      </c>
      <c r="N3937" s="27" t="s">
        <v>597</v>
      </c>
      <c r="P3937" s="27" t="s">
        <v>11964</v>
      </c>
      <c r="Q3937" s="26" t="str">
        <f>HYPERLINK("https://ictv.global/taxonomy/taxondetails?taxnode_id=202519280&amp;ictv_id=ICTV202319280","ICTV202319280")</f>
        <v>ICTV202319280</v>
      </c>
      <c r="R3937" t="s">
        <v>579</v>
      </c>
      <c r="S3937" t="s">
        <v>22763</v>
      </c>
      <c r="T3937">
        <v>40</v>
      </c>
      <c r="U3937" s="26" t="str">
        <f>HYPERLINK("https://ictv.global/ictv/proposals/2024.037B.Vandenendeviridae_1nf_2msf_8ng_1mg_11ns.zip","2024.037B.Vandenendeviridae_1nf_2msf_8ng_1mg_11ns.zip")</f>
        <v>2024.037B.Vandenendeviridae_1nf_2msf_8ng_1mg_11ns.zip</v>
      </c>
    </row>
    <row r="3938" spans="1:21">
      <c r="A3938">
        <v>3937</v>
      </c>
      <c r="B3938" s="27" t="s">
        <v>1449</v>
      </c>
      <c r="D3938" s="27" t="s">
        <v>1450</v>
      </c>
      <c r="F3938" s="27" t="s">
        <v>1453</v>
      </c>
      <c r="H3938" s="27" t="s">
        <v>1454</v>
      </c>
      <c r="L3938" s="27" t="s">
        <v>19679</v>
      </c>
      <c r="M3938" s="27" t="s">
        <v>11953</v>
      </c>
      <c r="N3938" s="27" t="s">
        <v>597</v>
      </c>
      <c r="P3938" s="27" t="s">
        <v>11965</v>
      </c>
      <c r="Q3938" s="26" t="str">
        <f>HYPERLINK("https://ictv.global/taxonomy/taxondetails?taxnode_id=202519282&amp;ictv_id=ICTV202319282","ICTV202319282")</f>
        <v>ICTV202319282</v>
      </c>
      <c r="R3938" t="s">
        <v>579</v>
      </c>
      <c r="S3938" t="s">
        <v>22763</v>
      </c>
      <c r="T3938">
        <v>40</v>
      </c>
      <c r="U3938" s="26" t="str">
        <f>HYPERLINK("https://ictv.global/ictv/proposals/2024.037B.Vandenendeviridae_1nf_2msf_8ng_1mg_11ns.zip","2024.037B.Vandenendeviridae_1nf_2msf_8ng_1mg_11ns.zip")</f>
        <v>2024.037B.Vandenendeviridae_1nf_2msf_8ng_1mg_11ns.zip</v>
      </c>
    </row>
    <row r="3939" spans="1:21">
      <c r="A3939">
        <v>3938</v>
      </c>
      <c r="B3939" s="27" t="s">
        <v>1449</v>
      </c>
      <c r="D3939" s="27" t="s">
        <v>1450</v>
      </c>
      <c r="F3939" s="27" t="s">
        <v>1453</v>
      </c>
      <c r="H3939" s="27" t="s">
        <v>1454</v>
      </c>
      <c r="L3939" s="27" t="s">
        <v>19679</v>
      </c>
      <c r="M3939" s="27" t="s">
        <v>11953</v>
      </c>
      <c r="N3939" s="27" t="s">
        <v>597</v>
      </c>
      <c r="P3939" s="27" t="s">
        <v>7596</v>
      </c>
      <c r="Q3939" s="26" t="str">
        <f>HYPERLINK("https://ictv.global/taxonomy/taxondetails?taxnode_id=202507020&amp;ictv_id=ICTV201857020","ICTV201857020")</f>
        <v>ICTV201857020</v>
      </c>
      <c r="R3939" t="s">
        <v>579</v>
      </c>
      <c r="S3939" t="s">
        <v>22763</v>
      </c>
      <c r="T3939">
        <v>40</v>
      </c>
      <c r="U3939" s="26" t="str">
        <f>HYPERLINK("https://ictv.global/ictv/proposals/2024.037B.Vandenendeviridae_1nf_2msf_8ng_1mg_11ns.zip","2024.037B.Vandenendeviridae_1nf_2msf_8ng_1mg_11ns.zip")</f>
        <v>2024.037B.Vandenendeviridae_1nf_2msf_8ng_1mg_11ns.zip</v>
      </c>
    </row>
    <row r="3940" spans="1:21">
      <c r="A3940">
        <v>3939</v>
      </c>
      <c r="B3940" s="27" t="s">
        <v>1449</v>
      </c>
      <c r="D3940" s="27" t="s">
        <v>1450</v>
      </c>
      <c r="F3940" s="27" t="s">
        <v>1453</v>
      </c>
      <c r="H3940" s="27" t="s">
        <v>1454</v>
      </c>
      <c r="L3940" s="27" t="s">
        <v>19679</v>
      </c>
      <c r="M3940" s="27" t="s">
        <v>11953</v>
      </c>
      <c r="N3940" s="27" t="s">
        <v>597</v>
      </c>
      <c r="P3940" s="27" t="s">
        <v>22018</v>
      </c>
      <c r="Q3940" s="26" t="str">
        <f>HYPERLINK("https://ictv.global/taxonomy/taxondetails?taxnode_id=202522822&amp;ictv_id=ICTV202522822","ICTV202522822")</f>
        <v>ICTV202522822</v>
      </c>
      <c r="R3940" t="s">
        <v>579</v>
      </c>
      <c r="S3940" t="s">
        <v>823</v>
      </c>
      <c r="T3940">
        <v>41</v>
      </c>
      <c r="U3940" s="26" t="str">
        <f>HYPERLINK("https://ictv.global/ictv/proposals/2025.025B.Caudoviricetes_10ns_1rms.zip","2025.025B.Caudoviricetes_10ns_1rms.zip")</f>
        <v>2025.025B.Caudoviricetes_10ns_1rms.zip</v>
      </c>
    </row>
    <row r="3941" spans="1:21">
      <c r="A3941">
        <v>3940</v>
      </c>
      <c r="B3941" s="27" t="s">
        <v>1449</v>
      </c>
      <c r="D3941" s="27" t="s">
        <v>1450</v>
      </c>
      <c r="F3941" s="27" t="s">
        <v>1453</v>
      </c>
      <c r="H3941" s="27" t="s">
        <v>1454</v>
      </c>
      <c r="L3941" s="27" t="s">
        <v>19679</v>
      </c>
      <c r="M3941" s="27" t="s">
        <v>11953</v>
      </c>
      <c r="N3941" s="27" t="s">
        <v>597</v>
      </c>
      <c r="P3941" s="27" t="s">
        <v>7597</v>
      </c>
      <c r="Q3941" s="26" t="str">
        <f>HYPERLINK("https://ictv.global/taxonomy/taxondetails?taxnode_id=202507018&amp;ictv_id=ICTV201857018","ICTV201857018")</f>
        <v>ICTV201857018</v>
      </c>
      <c r="R3941" t="s">
        <v>579</v>
      </c>
      <c r="S3941" t="s">
        <v>22763</v>
      </c>
      <c r="T3941">
        <v>40</v>
      </c>
      <c r="U3941" s="26" t="str">
        <f t="shared" ref="U3941:U3966" si="148">HYPERLINK("https://ictv.global/ictv/proposals/2024.037B.Vandenendeviridae_1nf_2msf_8ng_1mg_11ns.zip","2024.037B.Vandenendeviridae_1nf_2msf_8ng_1mg_11ns.zip")</f>
        <v>2024.037B.Vandenendeviridae_1nf_2msf_8ng_1mg_11ns.zip</v>
      </c>
    </row>
    <row r="3942" spans="1:21">
      <c r="A3942">
        <v>3941</v>
      </c>
      <c r="B3942" s="27" t="s">
        <v>1449</v>
      </c>
      <c r="D3942" s="27" t="s">
        <v>1450</v>
      </c>
      <c r="F3942" s="27" t="s">
        <v>1453</v>
      </c>
      <c r="H3942" s="27" t="s">
        <v>1454</v>
      </c>
      <c r="L3942" s="27" t="s">
        <v>19679</v>
      </c>
      <c r="M3942" s="27" t="s">
        <v>11953</v>
      </c>
      <c r="N3942" s="27" t="s">
        <v>597</v>
      </c>
      <c r="P3942" s="27" t="s">
        <v>7598</v>
      </c>
      <c r="Q3942" s="26" t="str">
        <f>HYPERLINK("https://ictv.global/taxonomy/taxondetails?taxnode_id=202507017&amp;ictv_id=ICTV201857017","ICTV201857017")</f>
        <v>ICTV201857017</v>
      </c>
      <c r="R3942" t="s">
        <v>579</v>
      </c>
      <c r="S3942" t="s">
        <v>22763</v>
      </c>
      <c r="T3942">
        <v>40</v>
      </c>
      <c r="U3942" s="26" t="str">
        <f t="shared" si="148"/>
        <v>2024.037B.Vandenendeviridae_1nf_2msf_8ng_1mg_11ns.zip</v>
      </c>
    </row>
    <row r="3943" spans="1:21">
      <c r="A3943">
        <v>3942</v>
      </c>
      <c r="B3943" s="27" t="s">
        <v>1449</v>
      </c>
      <c r="D3943" s="27" t="s">
        <v>1450</v>
      </c>
      <c r="F3943" s="27" t="s">
        <v>1453</v>
      </c>
      <c r="H3943" s="27" t="s">
        <v>1454</v>
      </c>
      <c r="L3943" s="27" t="s">
        <v>19679</v>
      </c>
      <c r="M3943" s="27" t="s">
        <v>11953</v>
      </c>
      <c r="N3943" s="27" t="s">
        <v>597</v>
      </c>
      <c r="P3943" s="27" t="s">
        <v>11966</v>
      </c>
      <c r="Q3943" s="26" t="str">
        <f>HYPERLINK("https://ictv.global/taxonomy/taxondetails?taxnode_id=202519272&amp;ictv_id=ICTV202319272","ICTV202319272")</f>
        <v>ICTV202319272</v>
      </c>
      <c r="R3943" t="s">
        <v>579</v>
      </c>
      <c r="S3943" t="s">
        <v>22763</v>
      </c>
      <c r="T3943">
        <v>40</v>
      </c>
      <c r="U3943" s="26" t="str">
        <f t="shared" si="148"/>
        <v>2024.037B.Vandenendeviridae_1nf_2msf_8ng_1mg_11ns.zip</v>
      </c>
    </row>
    <row r="3944" spans="1:21">
      <c r="A3944">
        <v>3943</v>
      </c>
      <c r="B3944" s="27" t="s">
        <v>1449</v>
      </c>
      <c r="D3944" s="27" t="s">
        <v>1450</v>
      </c>
      <c r="F3944" s="27" t="s">
        <v>1453</v>
      </c>
      <c r="H3944" s="27" t="s">
        <v>1454</v>
      </c>
      <c r="L3944" s="27" t="s">
        <v>19679</v>
      </c>
      <c r="M3944" s="27" t="s">
        <v>11953</v>
      </c>
      <c r="N3944" s="27" t="s">
        <v>597</v>
      </c>
      <c r="P3944" s="27" t="s">
        <v>7599</v>
      </c>
      <c r="Q3944" s="26" t="str">
        <f>HYPERLINK("https://ictv.global/taxonomy/taxondetails?taxnode_id=202500471&amp;ictv_id=ICTV20150259","ICTV20150259")</f>
        <v>ICTV20150259</v>
      </c>
      <c r="R3944" t="s">
        <v>579</v>
      </c>
      <c r="S3944" t="s">
        <v>22763</v>
      </c>
      <c r="T3944">
        <v>40</v>
      </c>
      <c r="U3944" s="26" t="str">
        <f t="shared" si="148"/>
        <v>2024.037B.Vandenendeviridae_1nf_2msf_8ng_1mg_11ns.zip</v>
      </c>
    </row>
    <row r="3945" spans="1:21">
      <c r="A3945">
        <v>3944</v>
      </c>
      <c r="B3945" s="27" t="s">
        <v>1449</v>
      </c>
      <c r="D3945" s="27" t="s">
        <v>1450</v>
      </c>
      <c r="F3945" s="27" t="s">
        <v>1453</v>
      </c>
      <c r="H3945" s="27" t="s">
        <v>1454</v>
      </c>
      <c r="L3945" s="27" t="s">
        <v>19679</v>
      </c>
      <c r="M3945" s="27" t="s">
        <v>11953</v>
      </c>
      <c r="N3945" s="27" t="s">
        <v>597</v>
      </c>
      <c r="P3945" s="27" t="s">
        <v>7600</v>
      </c>
      <c r="Q3945" s="26" t="str">
        <f>HYPERLINK("https://ictv.global/taxonomy/taxondetails?taxnode_id=202507019&amp;ictv_id=ICTV201857019","ICTV201857019")</f>
        <v>ICTV201857019</v>
      </c>
      <c r="R3945" t="s">
        <v>579</v>
      </c>
      <c r="S3945" t="s">
        <v>22763</v>
      </c>
      <c r="T3945">
        <v>40</v>
      </c>
      <c r="U3945" s="26" t="str">
        <f t="shared" si="148"/>
        <v>2024.037B.Vandenendeviridae_1nf_2msf_8ng_1mg_11ns.zip</v>
      </c>
    </row>
    <row r="3946" spans="1:21">
      <c r="A3946">
        <v>3945</v>
      </c>
      <c r="B3946" s="27" t="s">
        <v>1449</v>
      </c>
      <c r="D3946" s="27" t="s">
        <v>1450</v>
      </c>
      <c r="F3946" s="27" t="s">
        <v>1453</v>
      </c>
      <c r="H3946" s="27" t="s">
        <v>1454</v>
      </c>
      <c r="L3946" s="27" t="s">
        <v>19679</v>
      </c>
      <c r="M3946" s="27" t="s">
        <v>11953</v>
      </c>
      <c r="N3946" s="27" t="s">
        <v>597</v>
      </c>
      <c r="P3946" s="27" t="s">
        <v>7601</v>
      </c>
      <c r="Q3946" s="26" t="str">
        <f>HYPERLINK("https://ictv.global/taxonomy/taxondetails?taxnode_id=202500472&amp;ictv_id=ICTV20150260","ICTV20150260")</f>
        <v>ICTV20150260</v>
      </c>
      <c r="R3946" t="s">
        <v>579</v>
      </c>
      <c r="S3946" t="s">
        <v>22763</v>
      </c>
      <c r="T3946">
        <v>40</v>
      </c>
      <c r="U3946" s="26" t="str">
        <f t="shared" si="148"/>
        <v>2024.037B.Vandenendeviridae_1nf_2msf_8ng_1mg_11ns.zip</v>
      </c>
    </row>
    <row r="3947" spans="1:21">
      <c r="A3947">
        <v>3946</v>
      </c>
      <c r="B3947" s="27" t="s">
        <v>1449</v>
      </c>
      <c r="D3947" s="27" t="s">
        <v>1450</v>
      </c>
      <c r="F3947" s="27" t="s">
        <v>1453</v>
      </c>
      <c r="H3947" s="27" t="s">
        <v>1454</v>
      </c>
      <c r="L3947" s="27" t="s">
        <v>19679</v>
      </c>
      <c r="M3947" s="27" t="s">
        <v>11953</v>
      </c>
      <c r="N3947" s="27" t="s">
        <v>597</v>
      </c>
      <c r="P3947" s="27" t="s">
        <v>7602</v>
      </c>
      <c r="Q3947" s="26" t="str">
        <f>HYPERLINK("https://ictv.global/taxonomy/taxondetails?taxnode_id=202500473&amp;ictv_id=ICTV20150263","ICTV20150263")</f>
        <v>ICTV20150263</v>
      </c>
      <c r="R3947" t="s">
        <v>579</v>
      </c>
      <c r="S3947" t="s">
        <v>22763</v>
      </c>
      <c r="T3947">
        <v>40</v>
      </c>
      <c r="U3947" s="26" t="str">
        <f t="shared" si="148"/>
        <v>2024.037B.Vandenendeviridae_1nf_2msf_8ng_1mg_11ns.zip</v>
      </c>
    </row>
    <row r="3948" spans="1:21">
      <c r="A3948">
        <v>3947</v>
      </c>
      <c r="B3948" s="27" t="s">
        <v>1449</v>
      </c>
      <c r="D3948" s="27" t="s">
        <v>1450</v>
      </c>
      <c r="F3948" s="27" t="s">
        <v>1453</v>
      </c>
      <c r="H3948" s="27" t="s">
        <v>1454</v>
      </c>
      <c r="L3948" s="27" t="s">
        <v>19679</v>
      </c>
      <c r="M3948" s="27" t="s">
        <v>11953</v>
      </c>
      <c r="N3948" s="27" t="s">
        <v>597</v>
      </c>
      <c r="P3948" s="27" t="s">
        <v>11967</v>
      </c>
      <c r="Q3948" s="26" t="str">
        <f>HYPERLINK("https://ictv.global/taxonomy/taxondetails?taxnode_id=202519276&amp;ictv_id=ICTV202319276","ICTV202319276")</f>
        <v>ICTV202319276</v>
      </c>
      <c r="R3948" t="s">
        <v>579</v>
      </c>
      <c r="S3948" t="s">
        <v>22763</v>
      </c>
      <c r="T3948">
        <v>40</v>
      </c>
      <c r="U3948" s="26" t="str">
        <f t="shared" si="148"/>
        <v>2024.037B.Vandenendeviridae_1nf_2msf_8ng_1mg_11ns.zip</v>
      </c>
    </row>
    <row r="3949" spans="1:21">
      <c r="A3949">
        <v>3948</v>
      </c>
      <c r="B3949" s="27" t="s">
        <v>1449</v>
      </c>
      <c r="D3949" s="27" t="s">
        <v>1450</v>
      </c>
      <c r="F3949" s="27" t="s">
        <v>1453</v>
      </c>
      <c r="H3949" s="27" t="s">
        <v>1454</v>
      </c>
      <c r="L3949" s="27" t="s">
        <v>19679</v>
      </c>
      <c r="M3949" s="27" t="s">
        <v>11953</v>
      </c>
      <c r="N3949" s="27" t="s">
        <v>597</v>
      </c>
      <c r="P3949" s="27" t="s">
        <v>11968</v>
      </c>
      <c r="Q3949" s="26" t="str">
        <f>HYPERLINK("https://ictv.global/taxonomy/taxondetails?taxnode_id=202519279&amp;ictv_id=ICTV202319279","ICTV202319279")</f>
        <v>ICTV202319279</v>
      </c>
      <c r="R3949" t="s">
        <v>579</v>
      </c>
      <c r="S3949" t="s">
        <v>22763</v>
      </c>
      <c r="T3949">
        <v>40</v>
      </c>
      <c r="U3949" s="26" t="str">
        <f t="shared" si="148"/>
        <v>2024.037B.Vandenendeviridae_1nf_2msf_8ng_1mg_11ns.zip</v>
      </c>
    </row>
    <row r="3950" spans="1:21">
      <c r="A3950">
        <v>3949</v>
      </c>
      <c r="B3950" s="27" t="s">
        <v>1449</v>
      </c>
      <c r="D3950" s="27" t="s">
        <v>1450</v>
      </c>
      <c r="F3950" s="27" t="s">
        <v>1453</v>
      </c>
      <c r="H3950" s="27" t="s">
        <v>1454</v>
      </c>
      <c r="L3950" s="27" t="s">
        <v>19679</v>
      </c>
      <c r="M3950" s="27" t="s">
        <v>11953</v>
      </c>
      <c r="N3950" s="27" t="s">
        <v>597</v>
      </c>
      <c r="P3950" s="27" t="s">
        <v>11969</v>
      </c>
      <c r="Q3950" s="26" t="str">
        <f>HYPERLINK("https://ictv.global/taxonomy/taxondetails?taxnode_id=202519289&amp;ictv_id=ICTV202319289","ICTV202319289")</f>
        <v>ICTV202319289</v>
      </c>
      <c r="R3950" t="s">
        <v>579</v>
      </c>
      <c r="S3950" t="s">
        <v>22763</v>
      </c>
      <c r="T3950">
        <v>40</v>
      </c>
      <c r="U3950" s="26" t="str">
        <f t="shared" si="148"/>
        <v>2024.037B.Vandenendeviridae_1nf_2msf_8ng_1mg_11ns.zip</v>
      </c>
    </row>
    <row r="3951" spans="1:21">
      <c r="A3951">
        <v>3950</v>
      </c>
      <c r="B3951" s="27" t="s">
        <v>1449</v>
      </c>
      <c r="D3951" s="27" t="s">
        <v>1450</v>
      </c>
      <c r="F3951" s="27" t="s">
        <v>1453</v>
      </c>
      <c r="H3951" s="27" t="s">
        <v>1454</v>
      </c>
      <c r="L3951" s="27" t="s">
        <v>19679</v>
      </c>
      <c r="M3951" s="27" t="s">
        <v>11953</v>
      </c>
      <c r="N3951" s="27" t="s">
        <v>597</v>
      </c>
      <c r="P3951" s="27" t="s">
        <v>11970</v>
      </c>
      <c r="Q3951" s="26" t="str">
        <f>HYPERLINK("https://ictv.global/taxonomy/taxondetails?taxnode_id=202519275&amp;ictv_id=ICTV202319275","ICTV202319275")</f>
        <v>ICTV202319275</v>
      </c>
      <c r="R3951" t="s">
        <v>579</v>
      </c>
      <c r="S3951" t="s">
        <v>22763</v>
      </c>
      <c r="T3951">
        <v>40</v>
      </c>
      <c r="U3951" s="26" t="str">
        <f t="shared" si="148"/>
        <v>2024.037B.Vandenendeviridae_1nf_2msf_8ng_1mg_11ns.zip</v>
      </c>
    </row>
    <row r="3952" spans="1:21">
      <c r="A3952">
        <v>3951</v>
      </c>
      <c r="B3952" s="27" t="s">
        <v>1449</v>
      </c>
      <c r="D3952" s="27" t="s">
        <v>1450</v>
      </c>
      <c r="F3952" s="27" t="s">
        <v>1453</v>
      </c>
      <c r="H3952" s="27" t="s">
        <v>1454</v>
      </c>
      <c r="L3952" s="27" t="s">
        <v>19679</v>
      </c>
      <c r="M3952" s="27" t="s">
        <v>11953</v>
      </c>
      <c r="N3952" s="27" t="s">
        <v>597</v>
      </c>
      <c r="P3952" s="27" t="s">
        <v>11971</v>
      </c>
      <c r="Q3952" s="26" t="str">
        <f>HYPERLINK("https://ictv.global/taxonomy/taxondetails?taxnode_id=202519290&amp;ictv_id=ICTV202319290","ICTV202319290")</f>
        <v>ICTV202319290</v>
      </c>
      <c r="R3952" t="s">
        <v>579</v>
      </c>
      <c r="S3952" t="s">
        <v>22763</v>
      </c>
      <c r="T3952">
        <v>40</v>
      </c>
      <c r="U3952" s="26" t="str">
        <f t="shared" si="148"/>
        <v>2024.037B.Vandenendeviridae_1nf_2msf_8ng_1mg_11ns.zip</v>
      </c>
    </row>
    <row r="3953" spans="1:21">
      <c r="A3953">
        <v>3952</v>
      </c>
      <c r="B3953" s="27" t="s">
        <v>1449</v>
      </c>
      <c r="D3953" s="27" t="s">
        <v>1450</v>
      </c>
      <c r="F3953" s="27" t="s">
        <v>1453</v>
      </c>
      <c r="H3953" s="27" t="s">
        <v>1454</v>
      </c>
      <c r="L3953" s="27" t="s">
        <v>19679</v>
      </c>
      <c r="M3953" s="27" t="s">
        <v>11953</v>
      </c>
      <c r="N3953" s="27" t="s">
        <v>597</v>
      </c>
      <c r="P3953" s="27" t="s">
        <v>11972</v>
      </c>
      <c r="Q3953" s="26" t="str">
        <f>HYPERLINK("https://ictv.global/taxonomy/taxondetails?taxnode_id=202519292&amp;ictv_id=ICTV202319292","ICTV202319292")</f>
        <v>ICTV202319292</v>
      </c>
      <c r="R3953" t="s">
        <v>579</v>
      </c>
      <c r="S3953" t="s">
        <v>22763</v>
      </c>
      <c r="T3953">
        <v>40</v>
      </c>
      <c r="U3953" s="26" t="str">
        <f t="shared" si="148"/>
        <v>2024.037B.Vandenendeviridae_1nf_2msf_8ng_1mg_11ns.zip</v>
      </c>
    </row>
    <row r="3954" spans="1:21">
      <c r="A3954">
        <v>3953</v>
      </c>
      <c r="B3954" s="27" t="s">
        <v>1449</v>
      </c>
      <c r="D3954" s="27" t="s">
        <v>1450</v>
      </c>
      <c r="F3954" s="27" t="s">
        <v>1453</v>
      </c>
      <c r="H3954" s="27" t="s">
        <v>1454</v>
      </c>
      <c r="L3954" s="27" t="s">
        <v>19679</v>
      </c>
      <c r="M3954" s="27" t="s">
        <v>11953</v>
      </c>
      <c r="N3954" s="27" t="s">
        <v>597</v>
      </c>
      <c r="P3954" s="27" t="s">
        <v>11973</v>
      </c>
      <c r="Q3954" s="26" t="str">
        <f>HYPERLINK("https://ictv.global/taxonomy/taxondetails?taxnode_id=202519291&amp;ictv_id=ICTV202319291","ICTV202319291")</f>
        <v>ICTV202319291</v>
      </c>
      <c r="R3954" t="s">
        <v>579</v>
      </c>
      <c r="S3954" t="s">
        <v>22763</v>
      </c>
      <c r="T3954">
        <v>40</v>
      </c>
      <c r="U3954" s="26" t="str">
        <f t="shared" si="148"/>
        <v>2024.037B.Vandenendeviridae_1nf_2msf_8ng_1mg_11ns.zip</v>
      </c>
    </row>
    <row r="3955" spans="1:21">
      <c r="A3955">
        <v>3954</v>
      </c>
      <c r="B3955" s="27" t="s">
        <v>1449</v>
      </c>
      <c r="D3955" s="27" t="s">
        <v>1450</v>
      </c>
      <c r="F3955" s="27" t="s">
        <v>1453</v>
      </c>
      <c r="H3955" s="27" t="s">
        <v>1454</v>
      </c>
      <c r="L3955" s="27" t="s">
        <v>19679</v>
      </c>
      <c r="M3955" s="27" t="s">
        <v>11953</v>
      </c>
      <c r="N3955" s="27" t="s">
        <v>597</v>
      </c>
      <c r="P3955" s="27" t="s">
        <v>11974</v>
      </c>
      <c r="Q3955" s="26" t="str">
        <f>HYPERLINK("https://ictv.global/taxonomy/taxondetails?taxnode_id=202519281&amp;ictv_id=ICTV202319281","ICTV202319281")</f>
        <v>ICTV202319281</v>
      </c>
      <c r="R3955" t="s">
        <v>579</v>
      </c>
      <c r="S3955" t="s">
        <v>22763</v>
      </c>
      <c r="T3955">
        <v>40</v>
      </c>
      <c r="U3955" s="26" t="str">
        <f t="shared" si="148"/>
        <v>2024.037B.Vandenendeviridae_1nf_2msf_8ng_1mg_11ns.zip</v>
      </c>
    </row>
    <row r="3956" spans="1:21">
      <c r="A3956">
        <v>3955</v>
      </c>
      <c r="B3956" s="27" t="s">
        <v>1449</v>
      </c>
      <c r="D3956" s="27" t="s">
        <v>1450</v>
      </c>
      <c r="F3956" s="27" t="s">
        <v>1453</v>
      </c>
      <c r="H3956" s="27" t="s">
        <v>1454</v>
      </c>
      <c r="L3956" s="27" t="s">
        <v>19679</v>
      </c>
      <c r="M3956" s="27" t="s">
        <v>11953</v>
      </c>
      <c r="N3956" s="27" t="s">
        <v>597</v>
      </c>
      <c r="P3956" s="27" t="s">
        <v>11975</v>
      </c>
      <c r="Q3956" s="26" t="str">
        <f>HYPERLINK("https://ictv.global/taxonomy/taxondetails?taxnode_id=202519271&amp;ictv_id=ICTV202319271","ICTV202319271")</f>
        <v>ICTV202319271</v>
      </c>
      <c r="R3956" t="s">
        <v>579</v>
      </c>
      <c r="S3956" t="s">
        <v>22763</v>
      </c>
      <c r="T3956">
        <v>40</v>
      </c>
      <c r="U3956" s="26" t="str">
        <f t="shared" si="148"/>
        <v>2024.037B.Vandenendeviridae_1nf_2msf_8ng_1mg_11ns.zip</v>
      </c>
    </row>
    <row r="3957" spans="1:21">
      <c r="A3957">
        <v>3956</v>
      </c>
      <c r="B3957" s="27" t="s">
        <v>1449</v>
      </c>
      <c r="D3957" s="27" t="s">
        <v>1450</v>
      </c>
      <c r="F3957" s="27" t="s">
        <v>1453</v>
      </c>
      <c r="H3957" s="27" t="s">
        <v>1454</v>
      </c>
      <c r="L3957" s="27" t="s">
        <v>19679</v>
      </c>
      <c r="M3957" s="27" t="s">
        <v>11953</v>
      </c>
      <c r="N3957" s="27" t="s">
        <v>597</v>
      </c>
      <c r="P3957" s="27" t="s">
        <v>11976</v>
      </c>
      <c r="Q3957" s="26" t="str">
        <f>HYPERLINK("https://ictv.global/taxonomy/taxondetails?taxnode_id=202519273&amp;ictv_id=ICTV202319273","ICTV202319273")</f>
        <v>ICTV202319273</v>
      </c>
      <c r="R3957" t="s">
        <v>579</v>
      </c>
      <c r="S3957" t="s">
        <v>22763</v>
      </c>
      <c r="T3957">
        <v>40</v>
      </c>
      <c r="U3957" s="26" t="str">
        <f t="shared" si="148"/>
        <v>2024.037B.Vandenendeviridae_1nf_2msf_8ng_1mg_11ns.zip</v>
      </c>
    </row>
    <row r="3958" spans="1:21">
      <c r="A3958">
        <v>3957</v>
      </c>
      <c r="B3958" s="27" t="s">
        <v>1449</v>
      </c>
      <c r="D3958" s="27" t="s">
        <v>1450</v>
      </c>
      <c r="F3958" s="27" t="s">
        <v>1453</v>
      </c>
      <c r="H3958" s="27" t="s">
        <v>1454</v>
      </c>
      <c r="L3958" s="27" t="s">
        <v>19679</v>
      </c>
      <c r="M3958" s="27" t="s">
        <v>11953</v>
      </c>
      <c r="N3958" s="27" t="s">
        <v>597</v>
      </c>
      <c r="P3958" s="27" t="s">
        <v>11977</v>
      </c>
      <c r="Q3958" s="26" t="str">
        <f>HYPERLINK("https://ictv.global/taxonomy/taxondetails?taxnode_id=202519224&amp;ictv_id=ICTV202319224","ICTV202319224")</f>
        <v>ICTV202319224</v>
      </c>
      <c r="R3958" t="s">
        <v>579</v>
      </c>
      <c r="S3958" t="s">
        <v>22763</v>
      </c>
      <c r="T3958">
        <v>40</v>
      </c>
      <c r="U3958" s="26" t="str">
        <f t="shared" si="148"/>
        <v>2024.037B.Vandenendeviridae_1nf_2msf_8ng_1mg_11ns.zip</v>
      </c>
    </row>
    <row r="3959" spans="1:21">
      <c r="A3959">
        <v>3958</v>
      </c>
      <c r="B3959" s="27" t="s">
        <v>1449</v>
      </c>
      <c r="D3959" s="27" t="s">
        <v>1450</v>
      </c>
      <c r="F3959" s="27" t="s">
        <v>1453</v>
      </c>
      <c r="H3959" s="27" t="s">
        <v>1454</v>
      </c>
      <c r="L3959" s="27" t="s">
        <v>19679</v>
      </c>
      <c r="M3959" s="27" t="s">
        <v>11953</v>
      </c>
      <c r="N3959" s="27" t="s">
        <v>597</v>
      </c>
      <c r="P3959" s="27" t="s">
        <v>11978</v>
      </c>
      <c r="Q3959" s="26" t="str">
        <f>HYPERLINK("https://ictv.global/taxonomy/taxondetails?taxnode_id=202519286&amp;ictv_id=ICTV202319286","ICTV202319286")</f>
        <v>ICTV202319286</v>
      </c>
      <c r="R3959" t="s">
        <v>579</v>
      </c>
      <c r="S3959" t="s">
        <v>22763</v>
      </c>
      <c r="T3959">
        <v>40</v>
      </c>
      <c r="U3959" s="26" t="str">
        <f t="shared" si="148"/>
        <v>2024.037B.Vandenendeviridae_1nf_2msf_8ng_1mg_11ns.zip</v>
      </c>
    </row>
    <row r="3960" spans="1:21">
      <c r="A3960">
        <v>3959</v>
      </c>
      <c r="B3960" s="27" t="s">
        <v>1449</v>
      </c>
      <c r="D3960" s="27" t="s">
        <v>1450</v>
      </c>
      <c r="F3960" s="27" t="s">
        <v>1453</v>
      </c>
      <c r="H3960" s="27" t="s">
        <v>1454</v>
      </c>
      <c r="L3960" s="27" t="s">
        <v>19679</v>
      </c>
      <c r="M3960" s="27" t="s">
        <v>11953</v>
      </c>
      <c r="N3960" s="27" t="s">
        <v>597</v>
      </c>
      <c r="P3960" s="27" t="s">
        <v>7603</v>
      </c>
      <c r="Q3960" s="26" t="str">
        <f>HYPERLINK("https://ictv.global/taxonomy/taxondetails?taxnode_id=202507016&amp;ictv_id=ICTV201857016","ICTV201857016")</f>
        <v>ICTV201857016</v>
      </c>
      <c r="R3960" t="s">
        <v>579</v>
      </c>
      <c r="S3960" t="s">
        <v>22763</v>
      </c>
      <c r="T3960">
        <v>40</v>
      </c>
      <c r="U3960" s="26" t="str">
        <f t="shared" si="148"/>
        <v>2024.037B.Vandenendeviridae_1nf_2msf_8ng_1mg_11ns.zip</v>
      </c>
    </row>
    <row r="3961" spans="1:21">
      <c r="A3961">
        <v>3960</v>
      </c>
      <c r="B3961" s="27" t="s">
        <v>1449</v>
      </c>
      <c r="D3961" s="27" t="s">
        <v>1450</v>
      </c>
      <c r="F3961" s="27" t="s">
        <v>1453</v>
      </c>
      <c r="H3961" s="27" t="s">
        <v>1454</v>
      </c>
      <c r="L3961" s="27" t="s">
        <v>19679</v>
      </c>
      <c r="N3961" s="27" t="s">
        <v>19697</v>
      </c>
      <c r="P3961" s="27" t="s">
        <v>19698</v>
      </c>
      <c r="Q3961" s="26" t="str">
        <f>HYPERLINK("https://ictv.global/taxonomy/taxondetails?taxnode_id=202520867&amp;ictv_id=ICTV202420867","ICTV202420867")</f>
        <v>ICTV202420867</v>
      </c>
      <c r="R3961" t="s">
        <v>579</v>
      </c>
      <c r="S3961" t="s">
        <v>823</v>
      </c>
      <c r="T3961">
        <v>40</v>
      </c>
      <c r="U3961" s="26" t="str">
        <f t="shared" si="148"/>
        <v>2024.037B.Vandenendeviridae_1nf_2msf_8ng_1mg_11ns.zip</v>
      </c>
    </row>
    <row r="3962" spans="1:21">
      <c r="A3962">
        <v>3961</v>
      </c>
      <c r="B3962" s="27" t="s">
        <v>1449</v>
      </c>
      <c r="D3962" s="27" t="s">
        <v>1450</v>
      </c>
      <c r="F3962" s="27" t="s">
        <v>1453</v>
      </c>
      <c r="H3962" s="27" t="s">
        <v>1454</v>
      </c>
      <c r="L3962" s="27" t="s">
        <v>19679</v>
      </c>
      <c r="N3962" s="27" t="s">
        <v>1246</v>
      </c>
      <c r="P3962" s="27" t="s">
        <v>7477</v>
      </c>
      <c r="Q3962" s="26" t="str">
        <f>HYPERLINK("https://ictv.global/taxonomy/taxondetails?taxnode_id=202500440&amp;ictv_id=ICTV20150257","ICTV20150257")</f>
        <v>ICTV20150257</v>
      </c>
      <c r="R3962" t="s">
        <v>579</v>
      </c>
      <c r="S3962" t="s">
        <v>22763</v>
      </c>
      <c r="T3962">
        <v>40</v>
      </c>
      <c r="U3962" s="26" t="str">
        <f t="shared" si="148"/>
        <v>2024.037B.Vandenendeviridae_1nf_2msf_8ng_1mg_11ns.zip</v>
      </c>
    </row>
    <row r="3963" spans="1:21">
      <c r="A3963">
        <v>3962</v>
      </c>
      <c r="B3963" s="27" t="s">
        <v>1449</v>
      </c>
      <c r="D3963" s="27" t="s">
        <v>1450</v>
      </c>
      <c r="F3963" s="27" t="s">
        <v>1453</v>
      </c>
      <c r="H3963" s="27" t="s">
        <v>1454</v>
      </c>
      <c r="L3963" s="27" t="s">
        <v>19679</v>
      </c>
      <c r="N3963" s="27" t="s">
        <v>1246</v>
      </c>
      <c r="P3963" s="27" t="s">
        <v>7478</v>
      </c>
      <c r="Q3963" s="26" t="str">
        <f>HYPERLINK("https://ictv.global/taxonomy/taxondetails?taxnode_id=202507000&amp;ictv_id=ICTV201857000","ICTV201857000")</f>
        <v>ICTV201857000</v>
      </c>
      <c r="R3963" t="s">
        <v>579</v>
      </c>
      <c r="S3963" t="s">
        <v>22763</v>
      </c>
      <c r="T3963">
        <v>40</v>
      </c>
      <c r="U3963" s="26" t="str">
        <f t="shared" si="148"/>
        <v>2024.037B.Vandenendeviridae_1nf_2msf_8ng_1mg_11ns.zip</v>
      </c>
    </row>
    <row r="3964" spans="1:21">
      <c r="A3964">
        <v>3963</v>
      </c>
      <c r="B3964" s="27" t="s">
        <v>1449</v>
      </c>
      <c r="D3964" s="27" t="s">
        <v>1450</v>
      </c>
      <c r="F3964" s="27" t="s">
        <v>1453</v>
      </c>
      <c r="H3964" s="27" t="s">
        <v>1454</v>
      </c>
      <c r="L3964" s="27" t="s">
        <v>19679</v>
      </c>
      <c r="N3964" s="27" t="s">
        <v>1246</v>
      </c>
      <c r="P3964" s="27" t="s">
        <v>7479</v>
      </c>
      <c r="Q3964" s="26" t="str">
        <f>HYPERLINK("https://ictv.global/taxonomy/taxondetails?taxnode_id=202500441&amp;ictv_id=ICTV20150255","ICTV20150255")</f>
        <v>ICTV20150255</v>
      </c>
      <c r="R3964" t="s">
        <v>579</v>
      </c>
      <c r="S3964" t="s">
        <v>22763</v>
      </c>
      <c r="T3964">
        <v>40</v>
      </c>
      <c r="U3964" s="26" t="str">
        <f t="shared" si="148"/>
        <v>2024.037B.Vandenendeviridae_1nf_2msf_8ng_1mg_11ns.zip</v>
      </c>
    </row>
    <row r="3965" spans="1:21">
      <c r="A3965">
        <v>3964</v>
      </c>
      <c r="B3965" s="27" t="s">
        <v>1449</v>
      </c>
      <c r="D3965" s="27" t="s">
        <v>1450</v>
      </c>
      <c r="F3965" s="27" t="s">
        <v>1453</v>
      </c>
      <c r="H3965" s="27" t="s">
        <v>1454</v>
      </c>
      <c r="L3965" s="27" t="s">
        <v>19679</v>
      </c>
      <c r="N3965" s="27" t="s">
        <v>1246</v>
      </c>
      <c r="P3965" s="27" t="s">
        <v>7480</v>
      </c>
      <c r="Q3965" s="26" t="str">
        <f>HYPERLINK("https://ictv.global/taxonomy/taxondetails?taxnode_id=202500442&amp;ictv_id=ICTV20150256","ICTV20150256")</f>
        <v>ICTV20150256</v>
      </c>
      <c r="R3965" t="s">
        <v>579</v>
      </c>
      <c r="S3965" t="s">
        <v>22763</v>
      </c>
      <c r="T3965">
        <v>40</v>
      </c>
      <c r="U3965" s="26" t="str">
        <f t="shared" si="148"/>
        <v>2024.037B.Vandenendeviridae_1nf_2msf_8ng_1mg_11ns.zip</v>
      </c>
    </row>
    <row r="3966" spans="1:21">
      <c r="A3966">
        <v>3965</v>
      </c>
      <c r="B3966" s="27" t="s">
        <v>1449</v>
      </c>
      <c r="D3966" s="27" t="s">
        <v>1450</v>
      </c>
      <c r="F3966" s="27" t="s">
        <v>1453</v>
      </c>
      <c r="H3966" s="27" t="s">
        <v>1454</v>
      </c>
      <c r="L3966" s="27" t="s">
        <v>19679</v>
      </c>
      <c r="N3966" s="27" t="s">
        <v>1246</v>
      </c>
      <c r="P3966" s="27" t="s">
        <v>7481</v>
      </c>
      <c r="Q3966" s="26" t="str">
        <f>HYPERLINK("https://ictv.global/taxonomy/taxondetails?taxnode_id=202507001&amp;ictv_id=ICTV201857001","ICTV201857001")</f>
        <v>ICTV201857001</v>
      </c>
      <c r="R3966" t="s">
        <v>579</v>
      </c>
      <c r="S3966" t="s">
        <v>22763</v>
      </c>
      <c r="T3966">
        <v>40</v>
      </c>
      <c r="U3966" s="26" t="str">
        <f t="shared" si="148"/>
        <v>2024.037B.Vandenendeviridae_1nf_2msf_8ng_1mg_11ns.zip</v>
      </c>
    </row>
    <row r="3967" spans="1:21">
      <c r="A3967">
        <v>3966</v>
      </c>
      <c r="B3967" s="27" t="s">
        <v>1449</v>
      </c>
      <c r="D3967" s="27" t="s">
        <v>1450</v>
      </c>
      <c r="F3967" s="27" t="s">
        <v>1453</v>
      </c>
      <c r="H3967" s="27" t="s">
        <v>1454</v>
      </c>
      <c r="L3967" s="27" t="s">
        <v>5704</v>
      </c>
      <c r="N3967" s="27" t="s">
        <v>5705</v>
      </c>
      <c r="P3967" s="27" t="s">
        <v>5706</v>
      </c>
      <c r="Q3967" s="26" t="str">
        <f>HYPERLINK("https://ictv.global/taxonomy/taxondetails?taxnode_id=202514309&amp;ictv_id=ICTV202214309","ICTV202214309")</f>
        <v>ICTV202214309</v>
      </c>
      <c r="R3967" t="s">
        <v>579</v>
      </c>
      <c r="S3967" t="s">
        <v>823</v>
      </c>
      <c r="T3967">
        <v>38</v>
      </c>
      <c r="U3967" s="26" t="str">
        <f>HYPERLINK("https://ictv.global/ictv/proposals/2022.002A.Verdandiviridae_nf_Atrospovirales_no.zip","2022.002A.Verdandiviridae_nf_Atrospovirales_no.zip")</f>
        <v>2022.002A.Verdandiviridae_nf_Atrospovirales_no.zip</v>
      </c>
    </row>
    <row r="3968" spans="1:21">
      <c r="A3968">
        <v>3967</v>
      </c>
      <c r="B3968" s="27" t="s">
        <v>1449</v>
      </c>
      <c r="D3968" s="27" t="s">
        <v>1450</v>
      </c>
      <c r="F3968" s="27" t="s">
        <v>1453</v>
      </c>
      <c r="H3968" s="27" t="s">
        <v>1454</v>
      </c>
      <c r="L3968" s="27" t="s">
        <v>5704</v>
      </c>
      <c r="N3968" s="27" t="s">
        <v>5705</v>
      </c>
      <c r="P3968" s="27" t="s">
        <v>5707</v>
      </c>
      <c r="Q3968" s="26" t="str">
        <f>HYPERLINK("https://ictv.global/taxonomy/taxondetails?taxnode_id=202514308&amp;ictv_id=ICTV202214308","ICTV202214308")</f>
        <v>ICTV202214308</v>
      </c>
      <c r="R3968" t="s">
        <v>579</v>
      </c>
      <c r="S3968" t="s">
        <v>823</v>
      </c>
      <c r="T3968">
        <v>38</v>
      </c>
      <c r="U3968" s="26" t="str">
        <f>HYPERLINK("https://ictv.global/ictv/proposals/2022.002A.Verdandiviridae_nf_Atrospovirales_no.zip","2022.002A.Verdandiviridae_nf_Atrospovirales_no.zip")</f>
        <v>2022.002A.Verdandiviridae_nf_Atrospovirales_no.zip</v>
      </c>
    </row>
    <row r="3969" spans="1:21">
      <c r="A3969">
        <v>3968</v>
      </c>
      <c r="B3969" s="27" t="s">
        <v>1449</v>
      </c>
      <c r="D3969" s="27" t="s">
        <v>1450</v>
      </c>
      <c r="F3969" s="27" t="s">
        <v>1453</v>
      </c>
      <c r="H3969" s="27" t="s">
        <v>1454</v>
      </c>
      <c r="L3969" s="27" t="s">
        <v>5704</v>
      </c>
      <c r="N3969" s="27" t="s">
        <v>5708</v>
      </c>
      <c r="P3969" s="27" t="s">
        <v>5709</v>
      </c>
      <c r="Q3969" s="26" t="str">
        <f>HYPERLINK("https://ictv.global/taxonomy/taxondetails?taxnode_id=202514307&amp;ictv_id=ICTV202214307","ICTV202214307")</f>
        <v>ICTV202214307</v>
      </c>
      <c r="R3969" t="s">
        <v>579</v>
      </c>
      <c r="S3969" t="s">
        <v>823</v>
      </c>
      <c r="T3969">
        <v>38</v>
      </c>
      <c r="U3969" s="26" t="str">
        <f>HYPERLINK("https://ictv.global/ictv/proposals/2022.002A.Verdandiviridae_nf_Atrospovirales_no.zip","2022.002A.Verdandiviridae_nf_Atrospovirales_no.zip")</f>
        <v>2022.002A.Verdandiviridae_nf_Atrospovirales_no.zip</v>
      </c>
    </row>
    <row r="3970" spans="1:21">
      <c r="A3970">
        <v>3969</v>
      </c>
      <c r="B3970" s="27" t="s">
        <v>1449</v>
      </c>
      <c r="D3970" s="27" t="s">
        <v>1450</v>
      </c>
      <c r="F3970" s="27" t="s">
        <v>1453</v>
      </c>
      <c r="H3970" s="27" t="s">
        <v>1454</v>
      </c>
      <c r="L3970" s="27" t="s">
        <v>5710</v>
      </c>
      <c r="N3970" s="27" t="s">
        <v>5711</v>
      </c>
      <c r="P3970" s="27" t="s">
        <v>11735</v>
      </c>
      <c r="Q3970" s="26" t="str">
        <f>HYPERLINK("https://ictv.global/taxonomy/taxondetails?taxnode_id=202508718&amp;ictv_id=ICTV202008718","ICTV202008718")</f>
        <v>ICTV202008718</v>
      </c>
      <c r="R3970" t="s">
        <v>579</v>
      </c>
      <c r="S3970" t="s">
        <v>824</v>
      </c>
      <c r="T3970">
        <v>39</v>
      </c>
      <c r="U3970" s="26" t="str">
        <f>HYPERLINK("https://ictv.global/ictv/proposals/2023.001A.Archaeal_binomials.zip","2023.001A.Archaeal_binomials.zip")</f>
        <v>2023.001A.Archaeal_binomials.zip</v>
      </c>
    </row>
    <row r="3971" spans="1:21">
      <c r="A3971">
        <v>3970</v>
      </c>
      <c r="B3971" s="27" t="s">
        <v>1449</v>
      </c>
      <c r="D3971" s="27" t="s">
        <v>1450</v>
      </c>
      <c r="F3971" s="27" t="s">
        <v>1453</v>
      </c>
      <c r="H3971" s="27" t="s">
        <v>1454</v>
      </c>
      <c r="L3971" s="27" t="s">
        <v>5710</v>
      </c>
      <c r="N3971" s="27" t="s">
        <v>596</v>
      </c>
      <c r="P3971" s="27" t="s">
        <v>11736</v>
      </c>
      <c r="Q3971" s="26" t="str">
        <f>HYPERLINK("https://ictv.global/taxonomy/taxondetails?taxnode_id=202508719&amp;ictv_id=ICTV202008719","ICTV202008719")</f>
        <v>ICTV202008719</v>
      </c>
      <c r="R3971" t="s">
        <v>579</v>
      </c>
      <c r="S3971" t="s">
        <v>824</v>
      </c>
      <c r="T3971">
        <v>39</v>
      </c>
      <c r="U3971" s="26" t="str">
        <f>HYPERLINK("https://ictv.global/ictv/proposals/2023.001A.Archaeal_binomials.zip","2023.001A.Archaeal_binomials.zip")</f>
        <v>2023.001A.Archaeal_binomials.zip</v>
      </c>
    </row>
    <row r="3972" spans="1:21">
      <c r="A3972">
        <v>3971</v>
      </c>
      <c r="B3972" s="27" t="s">
        <v>1449</v>
      </c>
      <c r="D3972" s="27" t="s">
        <v>1450</v>
      </c>
      <c r="F3972" s="27" t="s">
        <v>1453</v>
      </c>
      <c r="H3972" s="27" t="s">
        <v>1454</v>
      </c>
      <c r="L3972" s="27" t="s">
        <v>5710</v>
      </c>
      <c r="N3972" s="27" t="s">
        <v>596</v>
      </c>
      <c r="P3972" s="27" t="s">
        <v>11737</v>
      </c>
      <c r="Q3972" s="26" t="str">
        <f>HYPERLINK("https://ictv.global/taxonomy/taxondetails?taxnode_id=202500459&amp;ictv_id=ICTV19971368","ICTV19971368")</f>
        <v>ICTV19971368</v>
      </c>
      <c r="R3972" t="s">
        <v>579</v>
      </c>
      <c r="S3972" t="s">
        <v>824</v>
      </c>
      <c r="T3972">
        <v>39</v>
      </c>
      <c r="U3972" s="26" t="str">
        <f>HYPERLINK("https://ictv.global/ictv/proposals/2023.001A.Archaeal_binomials.zip","2023.001A.Archaeal_binomials.zip")</f>
        <v>2023.001A.Archaeal_binomials.zip</v>
      </c>
    </row>
    <row r="3973" spans="1:21">
      <c r="A3973">
        <v>3972</v>
      </c>
      <c r="B3973" s="27" t="s">
        <v>1449</v>
      </c>
      <c r="D3973" s="27" t="s">
        <v>1450</v>
      </c>
      <c r="F3973" s="27" t="s">
        <v>1453</v>
      </c>
      <c r="H3973" s="27" t="s">
        <v>1454</v>
      </c>
      <c r="L3973" s="27" t="s">
        <v>5712</v>
      </c>
      <c r="M3973" s="27" t="s">
        <v>5713</v>
      </c>
      <c r="N3973" s="27" t="s">
        <v>5714</v>
      </c>
      <c r="P3973" s="27" t="s">
        <v>5715</v>
      </c>
      <c r="Q3973" s="26" t="str">
        <f>HYPERLINK("https://ictv.global/taxonomy/taxondetails?taxnode_id=202512672&amp;ictv_id=ICTV202112672","ICTV202112672")</f>
        <v>ICTV202112672</v>
      </c>
      <c r="R3973" t="s">
        <v>579</v>
      </c>
      <c r="S3973" t="s">
        <v>823</v>
      </c>
      <c r="T3973">
        <v>37</v>
      </c>
      <c r="U3973" s="26" t="str">
        <f>HYPERLINK("https://ictv.global/ictv/proposals/2021.089B.R.Vilmaviridae.zip","2021.089B.R.Vilmaviridae.zip")</f>
        <v>2021.089B.R.Vilmaviridae.zip</v>
      </c>
    </row>
    <row r="3974" spans="1:21">
      <c r="A3974">
        <v>3973</v>
      </c>
      <c r="B3974" s="27" t="s">
        <v>1449</v>
      </c>
      <c r="D3974" s="27" t="s">
        <v>1450</v>
      </c>
      <c r="F3974" s="27" t="s">
        <v>1453</v>
      </c>
      <c r="H3974" s="27" t="s">
        <v>1454</v>
      </c>
      <c r="L3974" s="27" t="s">
        <v>5712</v>
      </c>
      <c r="M3974" s="27" t="s">
        <v>5713</v>
      </c>
      <c r="N3974" s="27" t="s">
        <v>5714</v>
      </c>
      <c r="P3974" s="27" t="s">
        <v>5716</v>
      </c>
      <c r="Q3974" s="26" t="str">
        <f>HYPERLINK("https://ictv.global/taxonomy/taxondetails?taxnode_id=202512673&amp;ictv_id=ICTV202112673","ICTV202112673")</f>
        <v>ICTV202112673</v>
      </c>
      <c r="R3974" t="s">
        <v>579</v>
      </c>
      <c r="S3974" t="s">
        <v>823</v>
      </c>
      <c r="T3974">
        <v>37</v>
      </c>
      <c r="U3974" s="26" t="str">
        <f>HYPERLINK("https://ictv.global/ictv/proposals/2021.089B.R.Vilmaviridae.zip","2021.089B.R.Vilmaviridae.zip")</f>
        <v>2021.089B.R.Vilmaviridae.zip</v>
      </c>
    </row>
    <row r="3975" spans="1:21">
      <c r="A3975">
        <v>3974</v>
      </c>
      <c r="B3975" s="27" t="s">
        <v>1449</v>
      </c>
      <c r="D3975" s="27" t="s">
        <v>1450</v>
      </c>
      <c r="F3975" s="27" t="s">
        <v>1453</v>
      </c>
      <c r="H3975" s="27" t="s">
        <v>1454</v>
      </c>
      <c r="L3975" s="27" t="s">
        <v>5712</v>
      </c>
      <c r="M3975" s="27" t="s">
        <v>5713</v>
      </c>
      <c r="N3975" s="27" t="s">
        <v>613</v>
      </c>
      <c r="P3975" s="27" t="s">
        <v>19699</v>
      </c>
      <c r="Q3975" s="26" t="str">
        <f>HYPERLINK("https://ictv.global/taxonomy/taxondetails?taxnode_id=202500864&amp;ictv_id=ICTV20140383","ICTV20140383")</f>
        <v>ICTV20140383</v>
      </c>
      <c r="R3975" t="s">
        <v>579</v>
      </c>
      <c r="S3975" t="s">
        <v>824</v>
      </c>
      <c r="T3975">
        <v>40</v>
      </c>
      <c r="U3975" s="26" t="str">
        <f>HYPERLINK("https://ictv.global/ictv/proposals/2024.036B.Caudoviricetes_Faserviricetes_Name_Corrections.zip","2024.036B.Caudoviricetes_Faserviricetes_Name_Corrections.zip")</f>
        <v>2024.036B.Caudoviricetes_Faserviricetes_Name_Corrections.zip</v>
      </c>
    </row>
    <row r="3976" spans="1:21">
      <c r="A3976">
        <v>3975</v>
      </c>
      <c r="B3976" s="27" t="s">
        <v>1449</v>
      </c>
      <c r="D3976" s="27" t="s">
        <v>1450</v>
      </c>
      <c r="F3976" s="27" t="s">
        <v>1453</v>
      </c>
      <c r="H3976" s="27" t="s">
        <v>1454</v>
      </c>
      <c r="L3976" s="27" t="s">
        <v>5712</v>
      </c>
      <c r="M3976" s="27" t="s">
        <v>5713</v>
      </c>
      <c r="N3976" s="27" t="s">
        <v>613</v>
      </c>
      <c r="P3976" s="27" t="s">
        <v>5717</v>
      </c>
      <c r="Q3976" s="26" t="str">
        <f>HYPERLINK("https://ictv.global/taxonomy/taxondetails?taxnode_id=202512683&amp;ictv_id=ICTV202112683","ICTV202112683")</f>
        <v>ICTV202112683</v>
      </c>
      <c r="R3976" t="s">
        <v>579</v>
      </c>
      <c r="S3976" t="s">
        <v>823</v>
      </c>
      <c r="T3976">
        <v>37</v>
      </c>
      <c r="U3976" s="26" t="str">
        <f>HYPERLINK("https://ictv.global/ictv/proposals/2021.089B.R.Vilmaviridae.zip","2021.089B.R.Vilmaviridae.zip")</f>
        <v>2021.089B.R.Vilmaviridae.zip</v>
      </c>
    </row>
    <row r="3977" spans="1:21">
      <c r="A3977">
        <v>3976</v>
      </c>
      <c r="B3977" s="27" t="s">
        <v>1449</v>
      </c>
      <c r="D3977" s="27" t="s">
        <v>1450</v>
      </c>
      <c r="F3977" s="27" t="s">
        <v>1453</v>
      </c>
      <c r="H3977" s="27" t="s">
        <v>1454</v>
      </c>
      <c r="L3977" s="27" t="s">
        <v>5712</v>
      </c>
      <c r="M3977" s="27" t="s">
        <v>5713</v>
      </c>
      <c r="N3977" s="27" t="s">
        <v>613</v>
      </c>
      <c r="P3977" s="27" t="s">
        <v>5718</v>
      </c>
      <c r="Q3977" s="26" t="str">
        <f>HYPERLINK("https://ictv.global/taxonomy/taxondetails?taxnode_id=202512681&amp;ictv_id=ICTV202112681","ICTV202112681")</f>
        <v>ICTV202112681</v>
      </c>
      <c r="R3977" t="s">
        <v>579</v>
      </c>
      <c r="S3977" t="s">
        <v>823</v>
      </c>
      <c r="T3977">
        <v>37</v>
      </c>
      <c r="U3977" s="26" t="str">
        <f>HYPERLINK("https://ictv.global/ictv/proposals/2021.089B.R.Vilmaviridae.zip","2021.089B.R.Vilmaviridae.zip")</f>
        <v>2021.089B.R.Vilmaviridae.zip</v>
      </c>
    </row>
    <row r="3978" spans="1:21">
      <c r="A3978">
        <v>3977</v>
      </c>
      <c r="B3978" s="27" t="s">
        <v>1449</v>
      </c>
      <c r="D3978" s="27" t="s">
        <v>1450</v>
      </c>
      <c r="F3978" s="27" t="s">
        <v>1453</v>
      </c>
      <c r="H3978" s="27" t="s">
        <v>1454</v>
      </c>
      <c r="L3978" s="27" t="s">
        <v>5712</v>
      </c>
      <c r="M3978" s="27" t="s">
        <v>5713</v>
      </c>
      <c r="N3978" s="27" t="s">
        <v>613</v>
      </c>
      <c r="P3978" s="27" t="s">
        <v>19700</v>
      </c>
      <c r="Q3978" s="26" t="str">
        <f>HYPERLINK("https://ictv.global/taxonomy/taxondetails?taxnode_id=202500866&amp;ictv_id=ICTV20140384","ICTV20140384")</f>
        <v>ICTV20140384</v>
      </c>
      <c r="R3978" t="s">
        <v>579</v>
      </c>
      <c r="S3978" t="s">
        <v>824</v>
      </c>
      <c r="T3978">
        <v>40</v>
      </c>
      <c r="U3978" s="26" t="str">
        <f>HYPERLINK("https://ictv.global/ictv/proposals/2024.036B.Caudoviricetes_Faserviricetes_Name_Corrections.zip","2024.036B.Caudoviricetes_Faserviricetes_Name_Corrections.zip")</f>
        <v>2024.036B.Caudoviricetes_Faserviricetes_Name_Corrections.zip</v>
      </c>
    </row>
    <row r="3979" spans="1:21">
      <c r="A3979">
        <v>3978</v>
      </c>
      <c r="B3979" s="27" t="s">
        <v>1449</v>
      </c>
      <c r="D3979" s="27" t="s">
        <v>1450</v>
      </c>
      <c r="F3979" s="27" t="s">
        <v>1453</v>
      </c>
      <c r="H3979" s="27" t="s">
        <v>1454</v>
      </c>
      <c r="L3979" s="27" t="s">
        <v>5712</v>
      </c>
      <c r="M3979" s="27" t="s">
        <v>5713</v>
      </c>
      <c r="N3979" s="27" t="s">
        <v>613</v>
      </c>
      <c r="P3979" s="27" t="s">
        <v>5719</v>
      </c>
      <c r="Q3979" s="26" t="str">
        <f>HYPERLINK("https://ictv.global/taxonomy/taxondetails?taxnode_id=202512682&amp;ictv_id=ICTV202112682","ICTV202112682")</f>
        <v>ICTV202112682</v>
      </c>
      <c r="R3979" t="s">
        <v>579</v>
      </c>
      <c r="S3979" t="s">
        <v>823</v>
      </c>
      <c r="T3979">
        <v>37</v>
      </c>
      <c r="U3979" s="26" t="str">
        <f t="shared" ref="U3979:U3991" si="149">HYPERLINK("https://ictv.global/ictv/proposals/2021.089B.R.Vilmaviridae.zip","2021.089B.R.Vilmaviridae.zip")</f>
        <v>2021.089B.R.Vilmaviridae.zip</v>
      </c>
    </row>
    <row r="3980" spans="1:21">
      <c r="A3980">
        <v>3979</v>
      </c>
      <c r="B3980" s="27" t="s">
        <v>1449</v>
      </c>
      <c r="D3980" s="27" t="s">
        <v>1450</v>
      </c>
      <c r="F3980" s="27" t="s">
        <v>1453</v>
      </c>
      <c r="H3980" s="27" t="s">
        <v>1454</v>
      </c>
      <c r="L3980" s="27" t="s">
        <v>5712</v>
      </c>
      <c r="M3980" s="27" t="s">
        <v>5713</v>
      </c>
      <c r="N3980" s="27" t="s">
        <v>613</v>
      </c>
      <c r="P3980" s="27" t="s">
        <v>5720</v>
      </c>
      <c r="Q3980" s="26" t="str">
        <f>HYPERLINK("https://ictv.global/taxonomy/taxondetails?taxnode_id=202512680&amp;ictv_id=ICTV202112680","ICTV202112680")</f>
        <v>ICTV202112680</v>
      </c>
      <c r="R3980" t="s">
        <v>579</v>
      </c>
      <c r="S3980" t="s">
        <v>823</v>
      </c>
      <c r="T3980">
        <v>37</v>
      </c>
      <c r="U3980" s="26" t="str">
        <f t="shared" si="149"/>
        <v>2021.089B.R.Vilmaviridae.zip</v>
      </c>
    </row>
    <row r="3981" spans="1:21">
      <c r="A3981">
        <v>3980</v>
      </c>
      <c r="B3981" s="27" t="s">
        <v>1449</v>
      </c>
      <c r="D3981" s="27" t="s">
        <v>1450</v>
      </c>
      <c r="F3981" s="27" t="s">
        <v>1453</v>
      </c>
      <c r="H3981" s="27" t="s">
        <v>1454</v>
      </c>
      <c r="L3981" s="27" t="s">
        <v>5712</v>
      </c>
      <c r="M3981" s="27" t="s">
        <v>5713</v>
      </c>
      <c r="N3981" s="27" t="s">
        <v>5721</v>
      </c>
      <c r="P3981" s="27" t="s">
        <v>5722</v>
      </c>
      <c r="Q3981" s="26" t="str">
        <f>HYPERLINK("https://ictv.global/taxonomy/taxondetails?taxnode_id=202512666&amp;ictv_id=ICTV202112666","ICTV202112666")</f>
        <v>ICTV202112666</v>
      </c>
      <c r="R3981" t="s">
        <v>579</v>
      </c>
      <c r="S3981" t="s">
        <v>823</v>
      </c>
      <c r="T3981">
        <v>37</v>
      </c>
      <c r="U3981" s="26" t="str">
        <f t="shared" si="149"/>
        <v>2021.089B.R.Vilmaviridae.zip</v>
      </c>
    </row>
    <row r="3982" spans="1:21">
      <c r="A3982">
        <v>3981</v>
      </c>
      <c r="B3982" s="27" t="s">
        <v>1449</v>
      </c>
      <c r="D3982" s="27" t="s">
        <v>1450</v>
      </c>
      <c r="F3982" s="27" t="s">
        <v>1453</v>
      </c>
      <c r="H3982" s="27" t="s">
        <v>1454</v>
      </c>
      <c r="L3982" s="27" t="s">
        <v>5712</v>
      </c>
      <c r="M3982" s="27" t="s">
        <v>5713</v>
      </c>
      <c r="N3982" s="27" t="s">
        <v>5721</v>
      </c>
      <c r="P3982" s="27" t="s">
        <v>5723</v>
      </c>
      <c r="Q3982" s="26" t="str">
        <f>HYPERLINK("https://ictv.global/taxonomy/taxondetails?taxnode_id=202512667&amp;ictv_id=ICTV202112667","ICTV202112667")</f>
        <v>ICTV202112667</v>
      </c>
      <c r="R3982" t="s">
        <v>579</v>
      </c>
      <c r="S3982" t="s">
        <v>823</v>
      </c>
      <c r="T3982">
        <v>37</v>
      </c>
      <c r="U3982" s="26" t="str">
        <f t="shared" si="149"/>
        <v>2021.089B.R.Vilmaviridae.zip</v>
      </c>
    </row>
    <row r="3983" spans="1:21">
      <c r="A3983">
        <v>3982</v>
      </c>
      <c r="B3983" s="27" t="s">
        <v>1449</v>
      </c>
      <c r="D3983" s="27" t="s">
        <v>1450</v>
      </c>
      <c r="F3983" s="27" t="s">
        <v>1453</v>
      </c>
      <c r="H3983" s="27" t="s">
        <v>1454</v>
      </c>
      <c r="L3983" s="27" t="s">
        <v>5712</v>
      </c>
      <c r="M3983" s="27" t="s">
        <v>5713</v>
      </c>
      <c r="N3983" s="27" t="s">
        <v>5721</v>
      </c>
      <c r="P3983" s="27" t="s">
        <v>5724</v>
      </c>
      <c r="Q3983" s="26" t="str">
        <f>HYPERLINK("https://ictv.global/taxonomy/taxondetails?taxnode_id=202500865&amp;ictv_id=ICTV20140386","ICTV20140386")</f>
        <v>ICTV20140386</v>
      </c>
      <c r="R3983" t="s">
        <v>579</v>
      </c>
      <c r="S3983" t="s">
        <v>22764</v>
      </c>
      <c r="T3983">
        <v>37</v>
      </c>
      <c r="U3983" s="26" t="str">
        <f t="shared" si="149"/>
        <v>2021.089B.R.Vilmaviridae.zip</v>
      </c>
    </row>
    <row r="3984" spans="1:21">
      <c r="A3984">
        <v>3983</v>
      </c>
      <c r="B3984" s="27" t="s">
        <v>1449</v>
      </c>
      <c r="D3984" s="27" t="s">
        <v>1450</v>
      </c>
      <c r="F3984" s="27" t="s">
        <v>1453</v>
      </c>
      <c r="H3984" s="27" t="s">
        <v>1454</v>
      </c>
      <c r="L3984" s="27" t="s">
        <v>5712</v>
      </c>
      <c r="M3984" s="27" t="s">
        <v>5713</v>
      </c>
      <c r="N3984" s="27" t="s">
        <v>5721</v>
      </c>
      <c r="P3984" s="27" t="s">
        <v>5725</v>
      </c>
      <c r="Q3984" s="26" t="str">
        <f>HYPERLINK("https://ictv.global/taxonomy/taxondetails?taxnode_id=202512668&amp;ictv_id=ICTV202112668","ICTV202112668")</f>
        <v>ICTV202112668</v>
      </c>
      <c r="R3984" t="s">
        <v>579</v>
      </c>
      <c r="S3984" t="s">
        <v>823</v>
      </c>
      <c r="T3984">
        <v>37</v>
      </c>
      <c r="U3984" s="26" t="str">
        <f t="shared" si="149"/>
        <v>2021.089B.R.Vilmaviridae.zip</v>
      </c>
    </row>
    <row r="3985" spans="1:21">
      <c r="A3985">
        <v>3984</v>
      </c>
      <c r="B3985" s="27" t="s">
        <v>1449</v>
      </c>
      <c r="D3985" s="27" t="s">
        <v>1450</v>
      </c>
      <c r="F3985" s="27" t="s">
        <v>1453</v>
      </c>
      <c r="H3985" s="27" t="s">
        <v>1454</v>
      </c>
      <c r="L3985" s="27" t="s">
        <v>5712</v>
      </c>
      <c r="M3985" s="27" t="s">
        <v>5713</v>
      </c>
      <c r="N3985" s="27" t="s">
        <v>5721</v>
      </c>
      <c r="P3985" s="27" t="s">
        <v>5726</v>
      </c>
      <c r="Q3985" s="26" t="str">
        <f>HYPERLINK("https://ictv.global/taxonomy/taxondetails?taxnode_id=202512669&amp;ictv_id=ICTV202112669","ICTV202112669")</f>
        <v>ICTV202112669</v>
      </c>
      <c r="R3985" t="s">
        <v>579</v>
      </c>
      <c r="S3985" t="s">
        <v>823</v>
      </c>
      <c r="T3985">
        <v>37</v>
      </c>
      <c r="U3985" s="26" t="str">
        <f t="shared" si="149"/>
        <v>2021.089B.R.Vilmaviridae.zip</v>
      </c>
    </row>
    <row r="3986" spans="1:21">
      <c r="A3986">
        <v>3985</v>
      </c>
      <c r="B3986" s="27" t="s">
        <v>1449</v>
      </c>
      <c r="D3986" s="27" t="s">
        <v>1450</v>
      </c>
      <c r="F3986" s="27" t="s">
        <v>1453</v>
      </c>
      <c r="H3986" s="27" t="s">
        <v>1454</v>
      </c>
      <c r="L3986" s="27" t="s">
        <v>5712</v>
      </c>
      <c r="M3986" s="27" t="s">
        <v>5713</v>
      </c>
      <c r="N3986" s="27" t="s">
        <v>5721</v>
      </c>
      <c r="P3986" s="27" t="s">
        <v>5727</v>
      </c>
      <c r="Q3986" s="26" t="str">
        <f>HYPERLINK("https://ictv.global/taxonomy/taxondetails?taxnode_id=202500867&amp;ictv_id=ICTV20140385","ICTV20140385")</f>
        <v>ICTV20140385</v>
      </c>
      <c r="R3986" t="s">
        <v>579</v>
      </c>
      <c r="S3986" t="s">
        <v>22764</v>
      </c>
      <c r="T3986">
        <v>37</v>
      </c>
      <c r="U3986" s="26" t="str">
        <f t="shared" si="149"/>
        <v>2021.089B.R.Vilmaviridae.zip</v>
      </c>
    </row>
    <row r="3987" spans="1:21">
      <c r="A3987">
        <v>3986</v>
      </c>
      <c r="B3987" s="27" t="s">
        <v>1449</v>
      </c>
      <c r="D3987" s="27" t="s">
        <v>1450</v>
      </c>
      <c r="F3987" s="27" t="s">
        <v>1453</v>
      </c>
      <c r="H3987" s="27" t="s">
        <v>1454</v>
      </c>
      <c r="L3987" s="27" t="s">
        <v>5712</v>
      </c>
      <c r="M3987" s="27" t="s">
        <v>5713</v>
      </c>
      <c r="N3987" s="27" t="s">
        <v>5721</v>
      </c>
      <c r="P3987" s="27" t="s">
        <v>5728</v>
      </c>
      <c r="Q3987" s="26" t="str">
        <f>HYPERLINK("https://ictv.global/taxonomy/taxondetails?taxnode_id=202512670&amp;ictv_id=ICTV202112670","ICTV202112670")</f>
        <v>ICTV202112670</v>
      </c>
      <c r="R3987" t="s">
        <v>579</v>
      </c>
      <c r="S3987" t="s">
        <v>823</v>
      </c>
      <c r="T3987">
        <v>37</v>
      </c>
      <c r="U3987" s="26" t="str">
        <f t="shared" si="149"/>
        <v>2021.089B.R.Vilmaviridae.zip</v>
      </c>
    </row>
    <row r="3988" spans="1:21">
      <c r="A3988">
        <v>3987</v>
      </c>
      <c r="B3988" s="27" t="s">
        <v>1449</v>
      </c>
      <c r="D3988" s="27" t="s">
        <v>1450</v>
      </c>
      <c r="F3988" s="27" t="s">
        <v>1453</v>
      </c>
      <c r="H3988" s="27" t="s">
        <v>1454</v>
      </c>
      <c r="L3988" s="27" t="s">
        <v>5712</v>
      </c>
      <c r="M3988" s="27" t="s">
        <v>5713</v>
      </c>
      <c r="N3988" s="27" t="s">
        <v>5729</v>
      </c>
      <c r="P3988" s="27" t="s">
        <v>5730</v>
      </c>
      <c r="Q3988" s="26" t="str">
        <f>HYPERLINK("https://ictv.global/taxonomy/taxondetails?taxnode_id=202512664&amp;ictv_id=ICTV202112664","ICTV202112664")</f>
        <v>ICTV202112664</v>
      </c>
      <c r="R3988" t="s">
        <v>579</v>
      </c>
      <c r="S3988" t="s">
        <v>823</v>
      </c>
      <c r="T3988">
        <v>37</v>
      </c>
      <c r="U3988" s="26" t="str">
        <f t="shared" si="149"/>
        <v>2021.089B.R.Vilmaviridae.zip</v>
      </c>
    </row>
    <row r="3989" spans="1:21">
      <c r="A3989">
        <v>3988</v>
      </c>
      <c r="B3989" s="27" t="s">
        <v>1449</v>
      </c>
      <c r="D3989" s="27" t="s">
        <v>1450</v>
      </c>
      <c r="F3989" s="27" t="s">
        <v>1453</v>
      </c>
      <c r="H3989" s="27" t="s">
        <v>1454</v>
      </c>
      <c r="L3989" s="27" t="s">
        <v>5712</v>
      </c>
      <c r="M3989" s="27" t="s">
        <v>5713</v>
      </c>
      <c r="N3989" s="27" t="s">
        <v>5729</v>
      </c>
      <c r="P3989" s="27" t="s">
        <v>5731</v>
      </c>
      <c r="Q3989" s="26" t="str">
        <f>HYPERLINK("https://ictv.global/taxonomy/taxondetails?taxnode_id=202512662&amp;ictv_id=ICTV202112662","ICTV202112662")</f>
        <v>ICTV202112662</v>
      </c>
      <c r="R3989" t="s">
        <v>579</v>
      </c>
      <c r="S3989" t="s">
        <v>823</v>
      </c>
      <c r="T3989">
        <v>37</v>
      </c>
      <c r="U3989" s="26" t="str">
        <f t="shared" si="149"/>
        <v>2021.089B.R.Vilmaviridae.zip</v>
      </c>
    </row>
    <row r="3990" spans="1:21">
      <c r="A3990">
        <v>3989</v>
      </c>
      <c r="B3990" s="27" t="s">
        <v>1449</v>
      </c>
      <c r="D3990" s="27" t="s">
        <v>1450</v>
      </c>
      <c r="F3990" s="27" t="s">
        <v>1453</v>
      </c>
      <c r="H3990" s="27" t="s">
        <v>1454</v>
      </c>
      <c r="L3990" s="27" t="s">
        <v>5712</v>
      </c>
      <c r="M3990" s="27" t="s">
        <v>5713</v>
      </c>
      <c r="N3990" s="27" t="s">
        <v>5729</v>
      </c>
      <c r="P3990" s="27" t="s">
        <v>5732</v>
      </c>
      <c r="Q3990" s="26" t="str">
        <f>HYPERLINK("https://ictv.global/taxonomy/taxondetails?taxnode_id=202512661&amp;ictv_id=ICTV202112661","ICTV202112661")</f>
        <v>ICTV202112661</v>
      </c>
      <c r="R3990" t="s">
        <v>579</v>
      </c>
      <c r="S3990" t="s">
        <v>823</v>
      </c>
      <c r="T3990">
        <v>37</v>
      </c>
      <c r="U3990" s="26" t="str">
        <f t="shared" si="149"/>
        <v>2021.089B.R.Vilmaviridae.zip</v>
      </c>
    </row>
    <row r="3991" spans="1:21">
      <c r="A3991">
        <v>3990</v>
      </c>
      <c r="B3991" s="27" t="s">
        <v>1449</v>
      </c>
      <c r="D3991" s="27" t="s">
        <v>1450</v>
      </c>
      <c r="F3991" s="27" t="s">
        <v>1453</v>
      </c>
      <c r="H3991" s="27" t="s">
        <v>1454</v>
      </c>
      <c r="L3991" s="27" t="s">
        <v>5712</v>
      </c>
      <c r="M3991" s="27" t="s">
        <v>5713</v>
      </c>
      <c r="N3991" s="27" t="s">
        <v>5729</v>
      </c>
      <c r="P3991" s="27" t="s">
        <v>5733</v>
      </c>
      <c r="Q3991" s="26" t="str">
        <f>HYPERLINK("https://ictv.global/taxonomy/taxondetails?taxnode_id=202512663&amp;ictv_id=ICTV202112663","ICTV202112663")</f>
        <v>ICTV202112663</v>
      </c>
      <c r="R3991" t="s">
        <v>579</v>
      </c>
      <c r="S3991" t="s">
        <v>823</v>
      </c>
      <c r="T3991">
        <v>37</v>
      </c>
      <c r="U3991" s="26" t="str">
        <f t="shared" si="149"/>
        <v>2021.089B.R.Vilmaviridae.zip</v>
      </c>
    </row>
    <row r="3992" spans="1:21">
      <c r="A3992">
        <v>3991</v>
      </c>
      <c r="B3992" s="27" t="s">
        <v>1449</v>
      </c>
      <c r="D3992" s="27" t="s">
        <v>1450</v>
      </c>
      <c r="F3992" s="27" t="s">
        <v>1453</v>
      </c>
      <c r="H3992" s="27" t="s">
        <v>1454</v>
      </c>
      <c r="L3992" s="27" t="s">
        <v>5712</v>
      </c>
      <c r="M3992" s="27" t="s">
        <v>738</v>
      </c>
      <c r="N3992" s="27" t="s">
        <v>739</v>
      </c>
      <c r="P3992" s="27" t="s">
        <v>5734</v>
      </c>
      <c r="Q3992" s="26" t="str">
        <f>HYPERLINK("https://ictv.global/taxonomy/taxondetails?taxnode_id=202500789&amp;ictv_id=ICTV20140411","ICTV20140411")</f>
        <v>ICTV20140411</v>
      </c>
      <c r="R3992" t="s">
        <v>579</v>
      </c>
      <c r="S3992" t="s">
        <v>824</v>
      </c>
      <c r="T3992">
        <v>37</v>
      </c>
      <c r="U3992" s="26" t="str">
        <f>HYPERLINK("https://ictv.global/ictv/proposals/2021.010B.R.Binomial_names.zip","2021.010B.R.Binomial_names.zip")</f>
        <v>2021.010B.R.Binomial_names.zip</v>
      </c>
    </row>
    <row r="3993" spans="1:21">
      <c r="A3993">
        <v>3992</v>
      </c>
      <c r="B3993" s="27" t="s">
        <v>1449</v>
      </c>
      <c r="D3993" s="27" t="s">
        <v>1450</v>
      </c>
      <c r="F3993" s="27" t="s">
        <v>1453</v>
      </c>
      <c r="H3993" s="27" t="s">
        <v>1454</v>
      </c>
      <c r="L3993" s="27" t="s">
        <v>5712</v>
      </c>
      <c r="M3993" s="27" t="s">
        <v>738</v>
      </c>
      <c r="N3993" s="27" t="s">
        <v>739</v>
      </c>
      <c r="P3993" s="27" t="s">
        <v>5735</v>
      </c>
      <c r="Q3993" s="26" t="str">
        <f>HYPERLINK("https://ictv.global/taxonomy/taxondetails?taxnode_id=202512679&amp;ictv_id=ICTV202112679","ICTV202112679")</f>
        <v>ICTV202112679</v>
      </c>
      <c r="R3993" t="s">
        <v>579</v>
      </c>
      <c r="S3993" t="s">
        <v>823</v>
      </c>
      <c r="T3993">
        <v>37</v>
      </c>
      <c r="U3993" s="26" t="str">
        <f>HYPERLINK("https://ictv.global/ictv/proposals/2021.089B.R.Vilmaviridae.zip","2021.089B.R.Vilmaviridae.zip")</f>
        <v>2021.089B.R.Vilmaviridae.zip</v>
      </c>
    </row>
    <row r="3994" spans="1:21">
      <c r="A3994">
        <v>3993</v>
      </c>
      <c r="B3994" s="27" t="s">
        <v>1449</v>
      </c>
      <c r="D3994" s="27" t="s">
        <v>1450</v>
      </c>
      <c r="F3994" s="27" t="s">
        <v>1453</v>
      </c>
      <c r="H3994" s="27" t="s">
        <v>1454</v>
      </c>
      <c r="L3994" s="27" t="s">
        <v>5712</v>
      </c>
      <c r="M3994" s="27" t="s">
        <v>738</v>
      </c>
      <c r="N3994" s="27" t="s">
        <v>22388</v>
      </c>
      <c r="P3994" s="27" t="s">
        <v>22389</v>
      </c>
      <c r="Q3994" s="26" t="str">
        <f>HYPERLINK("https://ictv.global/taxonomy/taxondetails?taxnode_id=202523045&amp;ictv_id=ICTV202523045","ICTV202523045")</f>
        <v>ICTV202523045</v>
      </c>
      <c r="R3994" t="s">
        <v>579</v>
      </c>
      <c r="S3994" t="s">
        <v>823</v>
      </c>
      <c r="T3994">
        <v>41</v>
      </c>
      <c r="U3994" s="26" t="str">
        <f>HYPERLINK("https://ictv.global/ictv/proposals/2025.051B.Nanosmitevirus_1ng_1ns.zip","2025.051B.Nanosmitevirus_1ng_1ns.zip")</f>
        <v>2025.051B.Nanosmitevirus_1ng_1ns.zip</v>
      </c>
    </row>
    <row r="3995" spans="1:21">
      <c r="A3995">
        <v>3994</v>
      </c>
      <c r="B3995" s="27" t="s">
        <v>1449</v>
      </c>
      <c r="D3995" s="27" t="s">
        <v>1450</v>
      </c>
      <c r="F3995" s="27" t="s">
        <v>1453</v>
      </c>
      <c r="H3995" s="27" t="s">
        <v>1454</v>
      </c>
      <c r="L3995" s="27" t="s">
        <v>5712</v>
      </c>
      <c r="M3995" s="27" t="s">
        <v>738</v>
      </c>
      <c r="N3995" s="27" t="s">
        <v>627</v>
      </c>
      <c r="P3995" s="27" t="s">
        <v>5736</v>
      </c>
      <c r="Q3995" s="26" t="str">
        <f>HYPERLINK("https://ictv.global/taxonomy/taxondetails?taxnode_id=202512676&amp;ictv_id=ICTV202112676","ICTV202112676")</f>
        <v>ICTV202112676</v>
      </c>
      <c r="R3995" t="s">
        <v>579</v>
      </c>
      <c r="S3995" t="s">
        <v>823</v>
      </c>
      <c r="T3995">
        <v>37</v>
      </c>
      <c r="U3995" s="26" t="str">
        <f>HYPERLINK("https://ictv.global/ictv/proposals/2021.089B.R.Vilmaviridae.zip","2021.089B.R.Vilmaviridae.zip")</f>
        <v>2021.089B.R.Vilmaviridae.zip</v>
      </c>
    </row>
    <row r="3996" spans="1:21">
      <c r="A3996">
        <v>3995</v>
      </c>
      <c r="B3996" s="27" t="s">
        <v>1449</v>
      </c>
      <c r="D3996" s="27" t="s">
        <v>1450</v>
      </c>
      <c r="F3996" s="27" t="s">
        <v>1453</v>
      </c>
      <c r="H3996" s="27" t="s">
        <v>1454</v>
      </c>
      <c r="L3996" s="27" t="s">
        <v>5712</v>
      </c>
      <c r="M3996" s="27" t="s">
        <v>738</v>
      </c>
      <c r="N3996" s="27" t="s">
        <v>627</v>
      </c>
      <c r="P3996" s="27" t="s">
        <v>5737</v>
      </c>
      <c r="Q3996" s="26" t="str">
        <f>HYPERLINK("https://ictv.global/taxonomy/taxondetails?taxnode_id=202512677&amp;ictv_id=ICTV202112677","ICTV202112677")</f>
        <v>ICTV202112677</v>
      </c>
      <c r="R3996" t="s">
        <v>579</v>
      </c>
      <c r="S3996" t="s">
        <v>823</v>
      </c>
      <c r="T3996">
        <v>37</v>
      </c>
      <c r="U3996" s="26" t="str">
        <f>HYPERLINK("https://ictv.global/ictv/proposals/2021.089B.R.Vilmaviridae.zip","2021.089B.R.Vilmaviridae.zip")</f>
        <v>2021.089B.R.Vilmaviridae.zip</v>
      </c>
    </row>
    <row r="3997" spans="1:21">
      <c r="A3997">
        <v>3996</v>
      </c>
      <c r="B3997" s="27" t="s">
        <v>1449</v>
      </c>
      <c r="D3997" s="27" t="s">
        <v>1450</v>
      </c>
      <c r="F3997" s="27" t="s">
        <v>1453</v>
      </c>
      <c r="H3997" s="27" t="s">
        <v>1454</v>
      </c>
      <c r="L3997" s="27" t="s">
        <v>5712</v>
      </c>
      <c r="M3997" s="27" t="s">
        <v>738</v>
      </c>
      <c r="N3997" s="27" t="s">
        <v>627</v>
      </c>
      <c r="P3997" s="27" t="s">
        <v>5738</v>
      </c>
      <c r="Q3997" s="26" t="str">
        <f>HYPERLINK("https://ictv.global/taxonomy/taxondetails?taxnode_id=202512678&amp;ictv_id=ICTV202112678","ICTV202112678")</f>
        <v>ICTV202112678</v>
      </c>
      <c r="R3997" t="s">
        <v>579</v>
      </c>
      <c r="S3997" t="s">
        <v>823</v>
      </c>
      <c r="T3997">
        <v>37</v>
      </c>
      <c r="U3997" s="26" t="str">
        <f>HYPERLINK("https://ictv.global/ictv/proposals/2021.089B.R.Vilmaviridae.zip","2021.089B.R.Vilmaviridae.zip")</f>
        <v>2021.089B.R.Vilmaviridae.zip</v>
      </c>
    </row>
    <row r="3998" spans="1:21">
      <c r="A3998">
        <v>3997</v>
      </c>
      <c r="B3998" s="27" t="s">
        <v>1449</v>
      </c>
      <c r="D3998" s="27" t="s">
        <v>1450</v>
      </c>
      <c r="F3998" s="27" t="s">
        <v>1453</v>
      </c>
      <c r="H3998" s="27" t="s">
        <v>1454</v>
      </c>
      <c r="L3998" s="27" t="s">
        <v>5712</v>
      </c>
      <c r="M3998" s="27" t="s">
        <v>738</v>
      </c>
      <c r="N3998" s="27" t="s">
        <v>627</v>
      </c>
      <c r="P3998" s="27" t="s">
        <v>5739</v>
      </c>
      <c r="Q3998" s="26" t="str">
        <f>HYPERLINK("https://ictv.global/taxonomy/taxondetails?taxnode_id=202500791&amp;ictv_id=ICTV20140410","ICTV20140410")</f>
        <v>ICTV20140410</v>
      </c>
      <c r="R3998" t="s">
        <v>579</v>
      </c>
      <c r="S3998" t="s">
        <v>824</v>
      </c>
      <c r="T3998">
        <v>37</v>
      </c>
      <c r="U3998" s="26" t="str">
        <f>HYPERLINK("https://ictv.global/ictv/proposals/2021.010B.R.Binomial_names.zip","2021.010B.R.Binomial_names.zip")</f>
        <v>2021.010B.R.Binomial_names.zip</v>
      </c>
    </row>
    <row r="3999" spans="1:21">
      <c r="A3999">
        <v>3998</v>
      </c>
      <c r="B3999" s="27" t="s">
        <v>1449</v>
      </c>
      <c r="D3999" s="27" t="s">
        <v>1450</v>
      </c>
      <c r="F3999" s="27" t="s">
        <v>1453</v>
      </c>
      <c r="H3999" s="27" t="s">
        <v>1454</v>
      </c>
      <c r="L3999" s="27" t="s">
        <v>5712</v>
      </c>
      <c r="N3999" s="27" t="s">
        <v>5740</v>
      </c>
      <c r="P3999" s="27" t="s">
        <v>5741</v>
      </c>
      <c r="Q3999" s="26" t="str">
        <f>HYPERLINK("https://ictv.global/taxonomy/taxondetails?taxnode_id=202512675&amp;ictv_id=ICTV202112675","ICTV202112675")</f>
        <v>ICTV202112675</v>
      </c>
      <c r="R3999" t="s">
        <v>579</v>
      </c>
      <c r="S3999" t="s">
        <v>823</v>
      </c>
      <c r="T3999">
        <v>37</v>
      </c>
      <c r="U3999" s="26" t="str">
        <f>HYPERLINK("https://ictv.global/ictv/proposals/2021.089B.R.Vilmaviridae.zip","2021.089B.R.Vilmaviridae.zip")</f>
        <v>2021.089B.R.Vilmaviridae.zip</v>
      </c>
    </row>
    <row r="4000" spans="1:21">
      <c r="A4000">
        <v>3999</v>
      </c>
      <c r="B4000" s="27" t="s">
        <v>1449</v>
      </c>
      <c r="D4000" s="27" t="s">
        <v>1450</v>
      </c>
      <c r="F4000" s="27" t="s">
        <v>1453</v>
      </c>
      <c r="H4000" s="27" t="s">
        <v>1454</v>
      </c>
      <c r="L4000" s="27" t="s">
        <v>5712</v>
      </c>
      <c r="N4000" s="27" t="s">
        <v>792</v>
      </c>
      <c r="P4000" s="27" t="s">
        <v>19701</v>
      </c>
      <c r="Q4000" s="26" t="str">
        <f>HYPERLINK("https://ictv.global/taxonomy/taxondetails?taxnode_id=202501371&amp;ictv_id=ICTV20165103","ICTV20165103")</f>
        <v>ICTV20165103</v>
      </c>
      <c r="R4000" t="s">
        <v>579</v>
      </c>
      <c r="S4000" t="s">
        <v>824</v>
      </c>
      <c r="T4000">
        <v>40</v>
      </c>
      <c r="U4000" s="26" t="str">
        <f>HYPERLINK("https://ictv.global/ictv/proposals/2024.036B.Caudoviricetes_Faserviricetes_Name_Corrections.zip","2024.036B.Caudoviricetes_Faserviricetes_Name_Corrections.zip")</f>
        <v>2024.036B.Caudoviricetes_Faserviricetes_Name_Corrections.zip</v>
      </c>
    </row>
    <row r="4001" spans="1:21">
      <c r="A4001">
        <v>4000</v>
      </c>
      <c r="B4001" s="27" t="s">
        <v>1449</v>
      </c>
      <c r="D4001" s="27" t="s">
        <v>1450</v>
      </c>
      <c r="F4001" s="27" t="s">
        <v>1453</v>
      </c>
      <c r="H4001" s="27" t="s">
        <v>1454</v>
      </c>
      <c r="L4001" s="27" t="s">
        <v>5742</v>
      </c>
      <c r="N4001" s="27" t="s">
        <v>5743</v>
      </c>
      <c r="P4001" s="27" t="s">
        <v>5744</v>
      </c>
      <c r="Q4001" s="26" t="str">
        <f>HYPERLINK("https://ictv.global/taxonomy/taxondetails?taxnode_id=202513568&amp;ictv_id=ICTV202113568","ICTV202113568")</f>
        <v>ICTV202113568</v>
      </c>
      <c r="R4001" t="s">
        <v>579</v>
      </c>
      <c r="S4001" t="s">
        <v>823</v>
      </c>
      <c r="T4001">
        <v>37</v>
      </c>
      <c r="U4001" s="26" t="str">
        <f>HYPERLINK("https://ictv.global/ictv/proposals/2021.029B.R.Flavophages_9_families.zip","2021.029B.R.Flavophages_9_families.zip")</f>
        <v>2021.029B.R.Flavophages_9_families.zip</v>
      </c>
    </row>
    <row r="4002" spans="1:21">
      <c r="A4002">
        <v>4001</v>
      </c>
      <c r="B4002" s="27" t="s">
        <v>1449</v>
      </c>
      <c r="D4002" s="27" t="s">
        <v>1450</v>
      </c>
      <c r="F4002" s="27" t="s">
        <v>1453</v>
      </c>
      <c r="H4002" s="27" t="s">
        <v>1454</v>
      </c>
      <c r="L4002" s="27" t="s">
        <v>5742</v>
      </c>
      <c r="N4002" s="27" t="s">
        <v>2116</v>
      </c>
      <c r="P4002" s="27" t="s">
        <v>5745</v>
      </c>
      <c r="Q4002" s="26" t="str">
        <f>HYPERLINK("https://ictv.global/taxonomy/taxondetails?taxnode_id=202510015&amp;ictv_id=ICTV202010015","ICTV202010015")</f>
        <v>ICTV202010015</v>
      </c>
      <c r="R4002" t="s">
        <v>579</v>
      </c>
      <c r="S4002" t="s">
        <v>824</v>
      </c>
      <c r="T4002">
        <v>37</v>
      </c>
      <c r="U4002" s="26" t="str">
        <f>HYPERLINK("https://ictv.global/ictv/proposals/2021.029B.R.Flavophages_9_families.zip","2021.029B.R.Flavophages_9_families.zip")</f>
        <v>2021.029B.R.Flavophages_9_families.zip</v>
      </c>
    </row>
    <row r="4003" spans="1:21">
      <c r="A4003">
        <v>4002</v>
      </c>
      <c r="B4003" s="27" t="s">
        <v>1449</v>
      </c>
      <c r="D4003" s="27" t="s">
        <v>1450</v>
      </c>
      <c r="F4003" s="27" t="s">
        <v>1453</v>
      </c>
      <c r="H4003" s="27" t="s">
        <v>1454</v>
      </c>
      <c r="L4003" s="27" t="s">
        <v>5742</v>
      </c>
      <c r="N4003" s="27" t="s">
        <v>2116</v>
      </c>
      <c r="P4003" s="27" t="s">
        <v>5746</v>
      </c>
      <c r="Q4003" s="26" t="str">
        <f>HYPERLINK("https://ictv.global/taxonomy/taxondetails?taxnode_id=202510014&amp;ictv_id=ICTV202010014","ICTV202010014")</f>
        <v>ICTV202010014</v>
      </c>
      <c r="R4003" t="s">
        <v>579</v>
      </c>
      <c r="S4003" t="s">
        <v>824</v>
      </c>
      <c r="T4003">
        <v>37</v>
      </c>
      <c r="U4003" s="26" t="str">
        <f>HYPERLINK("https://ictv.global/ictv/proposals/2021.029B.R.Flavophages_9_families.zip","2021.029B.R.Flavophages_9_families.zip")</f>
        <v>2021.029B.R.Flavophages_9_families.zip</v>
      </c>
    </row>
    <row r="4004" spans="1:21">
      <c r="A4004">
        <v>4003</v>
      </c>
      <c r="B4004" s="27" t="s">
        <v>1449</v>
      </c>
      <c r="D4004" s="27" t="s">
        <v>1450</v>
      </c>
      <c r="F4004" s="27" t="s">
        <v>1453</v>
      </c>
      <c r="H4004" s="27" t="s">
        <v>1454</v>
      </c>
      <c r="L4004" s="27" t="s">
        <v>5747</v>
      </c>
      <c r="M4004" s="27" t="s">
        <v>5748</v>
      </c>
      <c r="N4004" s="27" t="s">
        <v>11738</v>
      </c>
      <c r="P4004" s="27" t="s">
        <v>11739</v>
      </c>
      <c r="Q4004" s="26" t="str">
        <f>HYPERLINK("https://ictv.global/taxonomy/taxondetails?taxnode_id=202518264&amp;ictv_id=ICTV202318264","ICTV202318264")</f>
        <v>ICTV202318264</v>
      </c>
      <c r="R4004" t="s">
        <v>579</v>
      </c>
      <c r="S4004" t="s">
        <v>823</v>
      </c>
      <c r="T4004">
        <v>39</v>
      </c>
      <c r="U4004" s="26" t="str">
        <f>HYPERLINK("https://ictv.global/ictv/proposals/2023.016B.Commandariavirus_ng.zip","2023.016B.Commandariavirus_ng.zip")</f>
        <v>2023.016B.Commandariavirus_ng.zip</v>
      </c>
    </row>
    <row r="4005" spans="1:21">
      <c r="A4005">
        <v>4004</v>
      </c>
      <c r="B4005" s="27" t="s">
        <v>1449</v>
      </c>
      <c r="D4005" s="27" t="s">
        <v>1450</v>
      </c>
      <c r="F4005" s="27" t="s">
        <v>1453</v>
      </c>
      <c r="H4005" s="27" t="s">
        <v>1454</v>
      </c>
      <c r="L4005" s="27" t="s">
        <v>5747</v>
      </c>
      <c r="M4005" s="27" t="s">
        <v>5748</v>
      </c>
      <c r="N4005" s="27" t="s">
        <v>5749</v>
      </c>
      <c r="P4005" s="27" t="s">
        <v>5750</v>
      </c>
      <c r="Q4005" s="26" t="str">
        <f>HYPERLINK("https://ictv.global/taxonomy/taxondetails?taxnode_id=202513403&amp;ictv_id=ICTV202113403","ICTV202113403")</f>
        <v>ICTV202113403</v>
      </c>
      <c r="R4005" t="s">
        <v>579</v>
      </c>
      <c r="S4005" t="s">
        <v>823</v>
      </c>
      <c r="T4005">
        <v>37</v>
      </c>
      <c r="U4005" s="26" t="str">
        <f t="shared" ref="U4005:U4024" si="150">HYPERLINK("https://ictv.global/ictv/proposals/2021.094B.R.Zierdtviridae.zip","2021.094B.R.Zierdtviridae.zip")</f>
        <v>2021.094B.R.Zierdtviridae.zip</v>
      </c>
    </row>
    <row r="4006" spans="1:21">
      <c r="A4006">
        <v>4005</v>
      </c>
      <c r="B4006" s="27" t="s">
        <v>1449</v>
      </c>
      <c r="D4006" s="27" t="s">
        <v>1450</v>
      </c>
      <c r="F4006" s="27" t="s">
        <v>1453</v>
      </c>
      <c r="H4006" s="27" t="s">
        <v>1454</v>
      </c>
      <c r="L4006" s="27" t="s">
        <v>5747</v>
      </c>
      <c r="M4006" s="27" t="s">
        <v>5748</v>
      </c>
      <c r="N4006" s="27" t="s">
        <v>5749</v>
      </c>
      <c r="P4006" s="27" t="s">
        <v>5751</v>
      </c>
      <c r="Q4006" s="26" t="str">
        <f>HYPERLINK("https://ictv.global/taxonomy/taxondetails?taxnode_id=202513400&amp;ictv_id=ICTV202113400","ICTV202113400")</f>
        <v>ICTV202113400</v>
      </c>
      <c r="R4006" t="s">
        <v>579</v>
      </c>
      <c r="S4006" t="s">
        <v>823</v>
      </c>
      <c r="T4006">
        <v>37</v>
      </c>
      <c r="U4006" s="26" t="str">
        <f t="shared" si="150"/>
        <v>2021.094B.R.Zierdtviridae.zip</v>
      </c>
    </row>
    <row r="4007" spans="1:21">
      <c r="A4007">
        <v>4006</v>
      </c>
      <c r="B4007" s="27" t="s">
        <v>1449</v>
      </c>
      <c r="D4007" s="27" t="s">
        <v>1450</v>
      </c>
      <c r="F4007" s="27" t="s">
        <v>1453</v>
      </c>
      <c r="H4007" s="27" t="s">
        <v>1454</v>
      </c>
      <c r="L4007" s="27" t="s">
        <v>5747</v>
      </c>
      <c r="M4007" s="27" t="s">
        <v>5748</v>
      </c>
      <c r="N4007" s="27" t="s">
        <v>5749</v>
      </c>
      <c r="P4007" s="27" t="s">
        <v>5752</v>
      </c>
      <c r="Q4007" s="26" t="str">
        <f>HYPERLINK("https://ictv.global/taxonomy/taxondetails?taxnode_id=202513401&amp;ictv_id=ICTV202113401","ICTV202113401")</f>
        <v>ICTV202113401</v>
      </c>
      <c r="R4007" t="s">
        <v>579</v>
      </c>
      <c r="S4007" t="s">
        <v>823</v>
      </c>
      <c r="T4007">
        <v>37</v>
      </c>
      <c r="U4007" s="26" t="str">
        <f t="shared" si="150"/>
        <v>2021.094B.R.Zierdtviridae.zip</v>
      </c>
    </row>
    <row r="4008" spans="1:21">
      <c r="A4008">
        <v>4007</v>
      </c>
      <c r="B4008" s="27" t="s">
        <v>1449</v>
      </c>
      <c r="D4008" s="27" t="s">
        <v>1450</v>
      </c>
      <c r="F4008" s="27" t="s">
        <v>1453</v>
      </c>
      <c r="H4008" s="27" t="s">
        <v>1454</v>
      </c>
      <c r="L4008" s="27" t="s">
        <v>5747</v>
      </c>
      <c r="M4008" s="27" t="s">
        <v>5748</v>
      </c>
      <c r="N4008" s="27" t="s">
        <v>5749</v>
      </c>
      <c r="P4008" s="27" t="s">
        <v>5753</v>
      </c>
      <c r="Q4008" s="26" t="str">
        <f>HYPERLINK("https://ictv.global/taxonomy/taxondetails?taxnode_id=202513402&amp;ictv_id=ICTV202113402","ICTV202113402")</f>
        <v>ICTV202113402</v>
      </c>
      <c r="R4008" t="s">
        <v>579</v>
      </c>
      <c r="S4008" t="s">
        <v>823</v>
      </c>
      <c r="T4008">
        <v>37</v>
      </c>
      <c r="U4008" s="26" t="str">
        <f t="shared" si="150"/>
        <v>2021.094B.R.Zierdtviridae.zip</v>
      </c>
    </row>
    <row r="4009" spans="1:21">
      <c r="A4009">
        <v>4008</v>
      </c>
      <c r="B4009" s="27" t="s">
        <v>1449</v>
      </c>
      <c r="D4009" s="27" t="s">
        <v>1450</v>
      </c>
      <c r="F4009" s="27" t="s">
        <v>1453</v>
      </c>
      <c r="H4009" s="27" t="s">
        <v>1454</v>
      </c>
      <c r="L4009" s="27" t="s">
        <v>5747</v>
      </c>
      <c r="M4009" s="27" t="s">
        <v>5748</v>
      </c>
      <c r="N4009" s="27" t="s">
        <v>5749</v>
      </c>
      <c r="P4009" s="27" t="s">
        <v>5754</v>
      </c>
      <c r="Q4009" s="26" t="str">
        <f>HYPERLINK("https://ictv.global/taxonomy/taxondetails?taxnode_id=202513404&amp;ictv_id=ICTV202113404","ICTV202113404")</f>
        <v>ICTV202113404</v>
      </c>
      <c r="R4009" t="s">
        <v>579</v>
      </c>
      <c r="S4009" t="s">
        <v>823</v>
      </c>
      <c r="T4009">
        <v>37</v>
      </c>
      <c r="U4009" s="26" t="str">
        <f t="shared" si="150"/>
        <v>2021.094B.R.Zierdtviridae.zip</v>
      </c>
    </row>
    <row r="4010" spans="1:21">
      <c r="A4010">
        <v>4009</v>
      </c>
      <c r="B4010" s="27" t="s">
        <v>1449</v>
      </c>
      <c r="D4010" s="27" t="s">
        <v>1450</v>
      </c>
      <c r="F4010" s="27" t="s">
        <v>1453</v>
      </c>
      <c r="H4010" s="27" t="s">
        <v>1454</v>
      </c>
      <c r="L4010" s="27" t="s">
        <v>5747</v>
      </c>
      <c r="M4010" s="27" t="s">
        <v>5748</v>
      </c>
      <c r="N4010" s="27" t="s">
        <v>5755</v>
      </c>
      <c r="P4010" s="27" t="s">
        <v>5756</v>
      </c>
      <c r="Q4010" s="26" t="str">
        <f>HYPERLINK("https://ictv.global/taxonomy/taxondetails?taxnode_id=202513415&amp;ictv_id=ICTV202113415","ICTV202113415")</f>
        <v>ICTV202113415</v>
      </c>
      <c r="R4010" t="s">
        <v>579</v>
      </c>
      <c r="S4010" t="s">
        <v>823</v>
      </c>
      <c r="T4010">
        <v>37</v>
      </c>
      <c r="U4010" s="26" t="str">
        <f t="shared" si="150"/>
        <v>2021.094B.R.Zierdtviridae.zip</v>
      </c>
    </row>
    <row r="4011" spans="1:21">
      <c r="A4011">
        <v>4010</v>
      </c>
      <c r="B4011" s="27" t="s">
        <v>1449</v>
      </c>
      <c r="D4011" s="27" t="s">
        <v>1450</v>
      </c>
      <c r="F4011" s="27" t="s">
        <v>1453</v>
      </c>
      <c r="H4011" s="27" t="s">
        <v>1454</v>
      </c>
      <c r="L4011" s="27" t="s">
        <v>5747</v>
      </c>
      <c r="M4011" s="27" t="s">
        <v>5748</v>
      </c>
      <c r="N4011" s="27" t="s">
        <v>5755</v>
      </c>
      <c r="P4011" s="27" t="s">
        <v>5757</v>
      </c>
      <c r="Q4011" s="26" t="str">
        <f>HYPERLINK("https://ictv.global/taxonomy/taxondetails?taxnode_id=202513412&amp;ictv_id=ICTV202113412","ICTV202113412")</f>
        <v>ICTV202113412</v>
      </c>
      <c r="R4011" t="s">
        <v>579</v>
      </c>
      <c r="S4011" t="s">
        <v>823</v>
      </c>
      <c r="T4011">
        <v>37</v>
      </c>
      <c r="U4011" s="26" t="str">
        <f t="shared" si="150"/>
        <v>2021.094B.R.Zierdtviridae.zip</v>
      </c>
    </row>
    <row r="4012" spans="1:21">
      <c r="A4012">
        <v>4011</v>
      </c>
      <c r="B4012" s="27" t="s">
        <v>1449</v>
      </c>
      <c r="D4012" s="27" t="s">
        <v>1450</v>
      </c>
      <c r="F4012" s="27" t="s">
        <v>1453</v>
      </c>
      <c r="H4012" s="27" t="s">
        <v>1454</v>
      </c>
      <c r="L4012" s="27" t="s">
        <v>5747</v>
      </c>
      <c r="M4012" s="27" t="s">
        <v>5748</v>
      </c>
      <c r="N4012" s="27" t="s">
        <v>5755</v>
      </c>
      <c r="P4012" s="27" t="s">
        <v>5758</v>
      </c>
      <c r="Q4012" s="26" t="str">
        <f>HYPERLINK("https://ictv.global/taxonomy/taxondetails?taxnode_id=202513414&amp;ictv_id=ICTV202113414","ICTV202113414")</f>
        <v>ICTV202113414</v>
      </c>
      <c r="R4012" t="s">
        <v>579</v>
      </c>
      <c r="S4012" t="s">
        <v>823</v>
      </c>
      <c r="T4012">
        <v>37</v>
      </c>
      <c r="U4012" s="26" t="str">
        <f t="shared" si="150"/>
        <v>2021.094B.R.Zierdtviridae.zip</v>
      </c>
    </row>
    <row r="4013" spans="1:21">
      <c r="A4013">
        <v>4012</v>
      </c>
      <c r="B4013" s="27" t="s">
        <v>1449</v>
      </c>
      <c r="D4013" s="27" t="s">
        <v>1450</v>
      </c>
      <c r="F4013" s="27" t="s">
        <v>1453</v>
      </c>
      <c r="H4013" s="27" t="s">
        <v>1454</v>
      </c>
      <c r="L4013" s="27" t="s">
        <v>5747</v>
      </c>
      <c r="M4013" s="27" t="s">
        <v>5748</v>
      </c>
      <c r="N4013" s="27" t="s">
        <v>5755</v>
      </c>
      <c r="P4013" s="27" t="s">
        <v>5759</v>
      </c>
      <c r="Q4013" s="26" t="str">
        <f>HYPERLINK("https://ictv.global/taxonomy/taxondetails?taxnode_id=202513413&amp;ictv_id=ICTV202113413","ICTV202113413")</f>
        <v>ICTV202113413</v>
      </c>
      <c r="R4013" t="s">
        <v>579</v>
      </c>
      <c r="S4013" t="s">
        <v>823</v>
      </c>
      <c r="T4013">
        <v>37</v>
      </c>
      <c r="U4013" s="26" t="str">
        <f t="shared" si="150"/>
        <v>2021.094B.R.Zierdtviridae.zip</v>
      </c>
    </row>
    <row r="4014" spans="1:21">
      <c r="A4014">
        <v>4013</v>
      </c>
      <c r="B4014" s="27" t="s">
        <v>1449</v>
      </c>
      <c r="D4014" s="27" t="s">
        <v>1450</v>
      </c>
      <c r="F4014" s="27" t="s">
        <v>1453</v>
      </c>
      <c r="H4014" s="27" t="s">
        <v>1454</v>
      </c>
      <c r="L4014" s="27" t="s">
        <v>5747</v>
      </c>
      <c r="M4014" s="27" t="s">
        <v>5748</v>
      </c>
      <c r="N4014" s="27" t="s">
        <v>5760</v>
      </c>
      <c r="P4014" s="27" t="s">
        <v>5761</v>
      </c>
      <c r="Q4014" s="26" t="str">
        <f>HYPERLINK("https://ictv.global/taxonomy/taxondetails?taxnode_id=202513397&amp;ictv_id=ICTV202113397","ICTV202113397")</f>
        <v>ICTV202113397</v>
      </c>
      <c r="R4014" t="s">
        <v>579</v>
      </c>
      <c r="S4014" t="s">
        <v>823</v>
      </c>
      <c r="T4014">
        <v>37</v>
      </c>
      <c r="U4014" s="26" t="str">
        <f t="shared" si="150"/>
        <v>2021.094B.R.Zierdtviridae.zip</v>
      </c>
    </row>
    <row r="4015" spans="1:21">
      <c r="A4015">
        <v>4014</v>
      </c>
      <c r="B4015" s="27" t="s">
        <v>1449</v>
      </c>
      <c r="D4015" s="27" t="s">
        <v>1450</v>
      </c>
      <c r="F4015" s="27" t="s">
        <v>1453</v>
      </c>
      <c r="H4015" s="27" t="s">
        <v>1454</v>
      </c>
      <c r="L4015" s="27" t="s">
        <v>5747</v>
      </c>
      <c r="M4015" s="27" t="s">
        <v>5748</v>
      </c>
      <c r="N4015" s="27" t="s">
        <v>5760</v>
      </c>
      <c r="P4015" s="27" t="s">
        <v>5762</v>
      </c>
      <c r="Q4015" s="26" t="str">
        <f>HYPERLINK("https://ictv.global/taxonomy/taxondetails?taxnode_id=202513396&amp;ictv_id=ICTV202113396","ICTV202113396")</f>
        <v>ICTV202113396</v>
      </c>
      <c r="R4015" t="s">
        <v>579</v>
      </c>
      <c r="S4015" t="s">
        <v>823</v>
      </c>
      <c r="T4015">
        <v>37</v>
      </c>
      <c r="U4015" s="26" t="str">
        <f t="shared" si="150"/>
        <v>2021.094B.R.Zierdtviridae.zip</v>
      </c>
    </row>
    <row r="4016" spans="1:21">
      <c r="A4016">
        <v>4015</v>
      </c>
      <c r="B4016" s="27" t="s">
        <v>1449</v>
      </c>
      <c r="D4016" s="27" t="s">
        <v>1450</v>
      </c>
      <c r="F4016" s="27" t="s">
        <v>1453</v>
      </c>
      <c r="H4016" s="27" t="s">
        <v>1454</v>
      </c>
      <c r="L4016" s="27" t="s">
        <v>5747</v>
      </c>
      <c r="M4016" s="27" t="s">
        <v>5748</v>
      </c>
      <c r="N4016" s="27" t="s">
        <v>5760</v>
      </c>
      <c r="P4016" s="27" t="s">
        <v>5763</v>
      </c>
      <c r="Q4016" s="26" t="str">
        <f>HYPERLINK("https://ictv.global/taxonomy/taxondetails?taxnode_id=202513398&amp;ictv_id=ICTV202113398","ICTV202113398")</f>
        <v>ICTV202113398</v>
      </c>
      <c r="R4016" t="s">
        <v>579</v>
      </c>
      <c r="S4016" t="s">
        <v>823</v>
      </c>
      <c r="T4016">
        <v>37</v>
      </c>
      <c r="U4016" s="26" t="str">
        <f t="shared" si="150"/>
        <v>2021.094B.R.Zierdtviridae.zip</v>
      </c>
    </row>
    <row r="4017" spans="1:21">
      <c r="A4017">
        <v>4016</v>
      </c>
      <c r="B4017" s="27" t="s">
        <v>1449</v>
      </c>
      <c r="D4017" s="27" t="s">
        <v>1450</v>
      </c>
      <c r="F4017" s="27" t="s">
        <v>1453</v>
      </c>
      <c r="H4017" s="27" t="s">
        <v>1454</v>
      </c>
      <c r="L4017" s="27" t="s">
        <v>5747</v>
      </c>
      <c r="M4017" s="27" t="s">
        <v>5748</v>
      </c>
      <c r="N4017" s="27" t="s">
        <v>5764</v>
      </c>
      <c r="P4017" s="27" t="s">
        <v>5765</v>
      </c>
      <c r="Q4017" s="26" t="str">
        <f>HYPERLINK("https://ictv.global/taxonomy/taxondetails?taxnode_id=202513406&amp;ictv_id=ICTV202113406","ICTV202113406")</f>
        <v>ICTV202113406</v>
      </c>
      <c r="R4017" t="s">
        <v>579</v>
      </c>
      <c r="S4017" t="s">
        <v>823</v>
      </c>
      <c r="T4017">
        <v>37</v>
      </c>
      <c r="U4017" s="26" t="str">
        <f t="shared" si="150"/>
        <v>2021.094B.R.Zierdtviridae.zip</v>
      </c>
    </row>
    <row r="4018" spans="1:21">
      <c r="A4018">
        <v>4017</v>
      </c>
      <c r="B4018" s="27" t="s">
        <v>1449</v>
      </c>
      <c r="D4018" s="27" t="s">
        <v>1450</v>
      </c>
      <c r="F4018" s="27" t="s">
        <v>1453</v>
      </c>
      <c r="H4018" s="27" t="s">
        <v>1454</v>
      </c>
      <c r="L4018" s="27" t="s">
        <v>5747</v>
      </c>
      <c r="M4018" s="27" t="s">
        <v>5748</v>
      </c>
      <c r="N4018" s="27" t="s">
        <v>5766</v>
      </c>
      <c r="P4018" s="27" t="s">
        <v>5767</v>
      </c>
      <c r="Q4018" s="26" t="str">
        <f>HYPERLINK("https://ictv.global/taxonomy/taxondetails?taxnode_id=202513410&amp;ictv_id=ICTV202113410","ICTV202113410")</f>
        <v>ICTV202113410</v>
      </c>
      <c r="R4018" t="s">
        <v>579</v>
      </c>
      <c r="S4018" t="s">
        <v>823</v>
      </c>
      <c r="T4018">
        <v>37</v>
      </c>
      <c r="U4018" s="26" t="str">
        <f t="shared" si="150"/>
        <v>2021.094B.R.Zierdtviridae.zip</v>
      </c>
    </row>
    <row r="4019" spans="1:21">
      <c r="A4019">
        <v>4018</v>
      </c>
      <c r="B4019" s="27" t="s">
        <v>1449</v>
      </c>
      <c r="D4019" s="27" t="s">
        <v>1450</v>
      </c>
      <c r="F4019" s="27" t="s">
        <v>1453</v>
      </c>
      <c r="H4019" s="27" t="s">
        <v>1454</v>
      </c>
      <c r="L4019" s="27" t="s">
        <v>5747</v>
      </c>
      <c r="M4019" s="27" t="s">
        <v>5748</v>
      </c>
      <c r="N4019" s="27" t="s">
        <v>5766</v>
      </c>
      <c r="P4019" s="27" t="s">
        <v>5768</v>
      </c>
      <c r="Q4019" s="26" t="str">
        <f>HYPERLINK("https://ictv.global/taxonomy/taxondetails?taxnode_id=202513409&amp;ictv_id=ICTV202113409","ICTV202113409")</f>
        <v>ICTV202113409</v>
      </c>
      <c r="R4019" t="s">
        <v>579</v>
      </c>
      <c r="S4019" t="s">
        <v>823</v>
      </c>
      <c r="T4019">
        <v>37</v>
      </c>
      <c r="U4019" s="26" t="str">
        <f t="shared" si="150"/>
        <v>2021.094B.R.Zierdtviridae.zip</v>
      </c>
    </row>
    <row r="4020" spans="1:21">
      <c r="A4020">
        <v>4019</v>
      </c>
      <c r="B4020" s="27" t="s">
        <v>1449</v>
      </c>
      <c r="D4020" s="27" t="s">
        <v>1450</v>
      </c>
      <c r="F4020" s="27" t="s">
        <v>1453</v>
      </c>
      <c r="H4020" s="27" t="s">
        <v>1454</v>
      </c>
      <c r="L4020" s="27" t="s">
        <v>5747</v>
      </c>
      <c r="M4020" s="27" t="s">
        <v>5748</v>
      </c>
      <c r="N4020" s="27" t="s">
        <v>5766</v>
      </c>
      <c r="P4020" s="27" t="s">
        <v>5769</v>
      </c>
      <c r="Q4020" s="26" t="str">
        <f>HYPERLINK("https://ictv.global/taxonomy/taxondetails?taxnode_id=202513408&amp;ictv_id=ICTV202113408","ICTV202113408")</f>
        <v>ICTV202113408</v>
      </c>
      <c r="R4020" t="s">
        <v>579</v>
      </c>
      <c r="S4020" t="s">
        <v>823</v>
      </c>
      <c r="T4020">
        <v>37</v>
      </c>
      <c r="U4020" s="26" t="str">
        <f t="shared" si="150"/>
        <v>2021.094B.R.Zierdtviridae.zip</v>
      </c>
    </row>
    <row r="4021" spans="1:21">
      <c r="A4021">
        <v>4020</v>
      </c>
      <c r="B4021" s="27" t="s">
        <v>1449</v>
      </c>
      <c r="D4021" s="27" t="s">
        <v>1450</v>
      </c>
      <c r="F4021" s="27" t="s">
        <v>1453</v>
      </c>
      <c r="H4021" s="27" t="s">
        <v>1454</v>
      </c>
      <c r="L4021" s="27" t="s">
        <v>5747</v>
      </c>
      <c r="M4021" s="27" t="s">
        <v>5748</v>
      </c>
      <c r="N4021" s="27" t="s">
        <v>5770</v>
      </c>
      <c r="P4021" s="27" t="s">
        <v>5771</v>
      </c>
      <c r="Q4021" s="26" t="str">
        <f>HYPERLINK("https://ictv.global/taxonomy/taxondetails?taxnode_id=202513392&amp;ictv_id=ICTV202113392","ICTV202113392")</f>
        <v>ICTV202113392</v>
      </c>
      <c r="R4021" t="s">
        <v>579</v>
      </c>
      <c r="S4021" t="s">
        <v>823</v>
      </c>
      <c r="T4021">
        <v>37</v>
      </c>
      <c r="U4021" s="26" t="str">
        <f t="shared" si="150"/>
        <v>2021.094B.R.Zierdtviridae.zip</v>
      </c>
    </row>
    <row r="4022" spans="1:21">
      <c r="A4022">
        <v>4021</v>
      </c>
      <c r="B4022" s="27" t="s">
        <v>1449</v>
      </c>
      <c r="D4022" s="27" t="s">
        <v>1450</v>
      </c>
      <c r="F4022" s="27" t="s">
        <v>1453</v>
      </c>
      <c r="H4022" s="27" t="s">
        <v>1454</v>
      </c>
      <c r="L4022" s="27" t="s">
        <v>5747</v>
      </c>
      <c r="M4022" s="27" t="s">
        <v>5748</v>
      </c>
      <c r="N4022" s="27" t="s">
        <v>5770</v>
      </c>
      <c r="P4022" s="27" t="s">
        <v>5772</v>
      </c>
      <c r="Q4022" s="26" t="str">
        <f>HYPERLINK("https://ictv.global/taxonomy/taxondetails?taxnode_id=202513394&amp;ictv_id=ICTV202113394","ICTV202113394")</f>
        <v>ICTV202113394</v>
      </c>
      <c r="R4022" t="s">
        <v>579</v>
      </c>
      <c r="S4022" t="s">
        <v>823</v>
      </c>
      <c r="T4022">
        <v>37</v>
      </c>
      <c r="U4022" s="26" t="str">
        <f t="shared" si="150"/>
        <v>2021.094B.R.Zierdtviridae.zip</v>
      </c>
    </row>
    <row r="4023" spans="1:21">
      <c r="A4023">
        <v>4022</v>
      </c>
      <c r="B4023" s="27" t="s">
        <v>1449</v>
      </c>
      <c r="D4023" s="27" t="s">
        <v>1450</v>
      </c>
      <c r="F4023" s="27" t="s">
        <v>1453</v>
      </c>
      <c r="H4023" s="27" t="s">
        <v>1454</v>
      </c>
      <c r="L4023" s="27" t="s">
        <v>5747</v>
      </c>
      <c r="M4023" s="27" t="s">
        <v>5748</v>
      </c>
      <c r="N4023" s="27" t="s">
        <v>5770</v>
      </c>
      <c r="P4023" s="27" t="s">
        <v>5773</v>
      </c>
      <c r="Q4023" s="26" t="str">
        <f>HYPERLINK("https://ictv.global/taxonomy/taxondetails?taxnode_id=202513393&amp;ictv_id=ICTV202113393","ICTV202113393")</f>
        <v>ICTV202113393</v>
      </c>
      <c r="R4023" t="s">
        <v>579</v>
      </c>
      <c r="S4023" t="s">
        <v>823</v>
      </c>
      <c r="T4023">
        <v>37</v>
      </c>
      <c r="U4023" s="26" t="str">
        <f t="shared" si="150"/>
        <v>2021.094B.R.Zierdtviridae.zip</v>
      </c>
    </row>
    <row r="4024" spans="1:21">
      <c r="A4024">
        <v>4023</v>
      </c>
      <c r="B4024" s="27" t="s">
        <v>1449</v>
      </c>
      <c r="D4024" s="27" t="s">
        <v>1450</v>
      </c>
      <c r="F4024" s="27" t="s">
        <v>1453</v>
      </c>
      <c r="H4024" s="27" t="s">
        <v>1454</v>
      </c>
      <c r="L4024" s="27" t="s">
        <v>5747</v>
      </c>
      <c r="M4024" s="27" t="s">
        <v>5748</v>
      </c>
      <c r="N4024" s="27" t="s">
        <v>5770</v>
      </c>
      <c r="P4024" s="27" t="s">
        <v>5774</v>
      </c>
      <c r="Q4024" s="26" t="str">
        <f>HYPERLINK("https://ictv.global/taxonomy/taxondetails?taxnode_id=202513391&amp;ictv_id=ICTV202113391","ICTV202113391")</f>
        <v>ICTV202113391</v>
      </c>
      <c r="R4024" t="s">
        <v>579</v>
      </c>
      <c r="S4024" t="s">
        <v>823</v>
      </c>
      <c r="T4024">
        <v>37</v>
      </c>
      <c r="U4024" s="26" t="str">
        <f t="shared" si="150"/>
        <v>2021.094B.R.Zierdtviridae.zip</v>
      </c>
    </row>
    <row r="4025" spans="1:21">
      <c r="A4025">
        <v>4024</v>
      </c>
      <c r="B4025" s="27" t="s">
        <v>1449</v>
      </c>
      <c r="D4025" s="27" t="s">
        <v>1450</v>
      </c>
      <c r="F4025" s="27" t="s">
        <v>1453</v>
      </c>
      <c r="H4025" s="27" t="s">
        <v>1454</v>
      </c>
      <c r="L4025" s="27" t="s">
        <v>5747</v>
      </c>
      <c r="M4025" s="27" t="s">
        <v>5775</v>
      </c>
      <c r="N4025" s="27" t="s">
        <v>1339</v>
      </c>
      <c r="P4025" s="27" t="s">
        <v>19702</v>
      </c>
      <c r="Q4025" s="26" t="str">
        <f>HYPERLINK("https://ictv.global/taxonomy/taxondetails?taxnode_id=202506763&amp;ictv_id=ICTV201856763","ICTV201856763")</f>
        <v>ICTV201856763</v>
      </c>
      <c r="R4025" t="s">
        <v>579</v>
      </c>
      <c r="S4025" t="s">
        <v>824</v>
      </c>
      <c r="T4025">
        <v>40</v>
      </c>
      <c r="U4025" s="26" t="str">
        <f>HYPERLINK("https://ictv.global/ictv/proposals/2024.036B.Caudoviricetes_Faserviricetes_Name_Corrections.zip","2024.036B.Caudoviricetes_Faserviricetes_Name_Corrections.zip")</f>
        <v>2024.036B.Caudoviricetes_Faserviricetes_Name_Corrections.zip</v>
      </c>
    </row>
    <row r="4026" spans="1:21">
      <c r="A4026">
        <v>4025</v>
      </c>
      <c r="B4026" s="27" t="s">
        <v>1449</v>
      </c>
      <c r="D4026" s="27" t="s">
        <v>1450</v>
      </c>
      <c r="F4026" s="27" t="s">
        <v>1453</v>
      </c>
      <c r="H4026" s="27" t="s">
        <v>1454</v>
      </c>
      <c r="L4026" s="27" t="s">
        <v>5747</v>
      </c>
      <c r="M4026" s="27" t="s">
        <v>5775</v>
      </c>
      <c r="N4026" s="27" t="s">
        <v>1339</v>
      </c>
      <c r="P4026" s="27" t="s">
        <v>19703</v>
      </c>
      <c r="Q4026" s="26" t="str">
        <f>HYPERLINK("https://ictv.global/taxonomy/taxondetails?taxnode_id=202506765&amp;ictv_id=ICTV201856765","ICTV201856765")</f>
        <v>ICTV201856765</v>
      </c>
      <c r="R4026" t="s">
        <v>579</v>
      </c>
      <c r="S4026" t="s">
        <v>824</v>
      </c>
      <c r="T4026">
        <v>40</v>
      </c>
      <c r="U4026" s="26" t="str">
        <f>HYPERLINK("https://ictv.global/ictv/proposals/2024.036B.Caudoviricetes_Faserviricetes_Name_Corrections.zip","2024.036B.Caudoviricetes_Faserviricetes_Name_Corrections.zip")</f>
        <v>2024.036B.Caudoviricetes_Faserviricetes_Name_Corrections.zip</v>
      </c>
    </row>
    <row r="4027" spans="1:21">
      <c r="A4027">
        <v>4026</v>
      </c>
      <c r="B4027" s="27" t="s">
        <v>1449</v>
      </c>
      <c r="D4027" s="27" t="s">
        <v>1450</v>
      </c>
      <c r="F4027" s="27" t="s">
        <v>1453</v>
      </c>
      <c r="H4027" s="27" t="s">
        <v>1454</v>
      </c>
      <c r="L4027" s="27" t="s">
        <v>5747</v>
      </c>
      <c r="M4027" s="27" t="s">
        <v>5775</v>
      </c>
      <c r="N4027" s="27" t="s">
        <v>1339</v>
      </c>
      <c r="P4027" s="27" t="s">
        <v>5776</v>
      </c>
      <c r="Q4027" s="26" t="str">
        <f>HYPERLINK("https://ictv.global/taxonomy/taxondetails?taxnode_id=202513417&amp;ictv_id=ICTV202113417","ICTV202113417")</f>
        <v>ICTV202113417</v>
      </c>
      <c r="R4027" t="s">
        <v>579</v>
      </c>
      <c r="S4027" t="s">
        <v>823</v>
      </c>
      <c r="T4027">
        <v>37</v>
      </c>
      <c r="U4027" s="26" t="str">
        <f>HYPERLINK("https://ictv.global/ictv/proposals/2021.094B.R.Zierdtviridae.zip","2021.094B.R.Zierdtviridae.zip")</f>
        <v>2021.094B.R.Zierdtviridae.zip</v>
      </c>
    </row>
    <row r="4028" spans="1:21">
      <c r="A4028">
        <v>4027</v>
      </c>
      <c r="B4028" s="27" t="s">
        <v>1449</v>
      </c>
      <c r="D4028" s="27" t="s">
        <v>1450</v>
      </c>
      <c r="F4028" s="27" t="s">
        <v>1453</v>
      </c>
      <c r="H4028" s="27" t="s">
        <v>1454</v>
      </c>
      <c r="L4028" s="27" t="s">
        <v>5747</v>
      </c>
      <c r="M4028" s="27" t="s">
        <v>5775</v>
      </c>
      <c r="N4028" s="27" t="s">
        <v>1339</v>
      </c>
      <c r="P4028" s="27" t="s">
        <v>5777</v>
      </c>
      <c r="Q4028" s="26" t="str">
        <f>HYPERLINK("https://ictv.global/taxonomy/taxondetails?taxnode_id=202513418&amp;ictv_id=ICTV202113418","ICTV202113418")</f>
        <v>ICTV202113418</v>
      </c>
      <c r="R4028" t="s">
        <v>579</v>
      </c>
      <c r="S4028" t="s">
        <v>823</v>
      </c>
      <c r="T4028">
        <v>37</v>
      </c>
      <c r="U4028" s="26" t="str">
        <f>HYPERLINK("https://ictv.global/ictv/proposals/2021.094B.R.Zierdtviridae.zip","2021.094B.R.Zierdtviridae.zip")</f>
        <v>2021.094B.R.Zierdtviridae.zip</v>
      </c>
    </row>
    <row r="4029" spans="1:21">
      <c r="A4029">
        <v>4028</v>
      </c>
      <c r="B4029" s="27" t="s">
        <v>1449</v>
      </c>
      <c r="D4029" s="27" t="s">
        <v>1450</v>
      </c>
      <c r="F4029" s="27" t="s">
        <v>1453</v>
      </c>
      <c r="H4029" s="27" t="s">
        <v>1454</v>
      </c>
      <c r="L4029" s="27" t="s">
        <v>5747</v>
      </c>
      <c r="M4029" s="27" t="s">
        <v>5775</v>
      </c>
      <c r="N4029" s="27" t="s">
        <v>1339</v>
      </c>
      <c r="P4029" s="27" t="s">
        <v>19704</v>
      </c>
      <c r="Q4029" s="26" t="str">
        <f>HYPERLINK("https://ictv.global/taxonomy/taxondetails?taxnode_id=202506764&amp;ictv_id=ICTV201856764","ICTV201856764")</f>
        <v>ICTV201856764</v>
      </c>
      <c r="R4029" t="s">
        <v>579</v>
      </c>
      <c r="S4029" t="s">
        <v>824</v>
      </c>
      <c r="T4029">
        <v>40</v>
      </c>
      <c r="U4029" s="26" t="str">
        <f>HYPERLINK("https://ictv.global/ictv/proposals/2024.036B.Caudoviricetes_Faserviricetes_Name_Corrections.zip","2024.036B.Caudoviricetes_Faserviricetes_Name_Corrections.zip")</f>
        <v>2024.036B.Caudoviricetes_Faserviricetes_Name_Corrections.zip</v>
      </c>
    </row>
    <row r="4030" spans="1:21">
      <c r="A4030">
        <v>4029</v>
      </c>
      <c r="B4030" s="27" t="s">
        <v>1449</v>
      </c>
      <c r="D4030" s="27" t="s">
        <v>1450</v>
      </c>
      <c r="F4030" s="27" t="s">
        <v>1453</v>
      </c>
      <c r="H4030" s="27" t="s">
        <v>1454</v>
      </c>
      <c r="L4030" s="27" t="s">
        <v>5747</v>
      </c>
      <c r="M4030" s="27" t="s">
        <v>5775</v>
      </c>
      <c r="N4030" s="27" t="s">
        <v>1344</v>
      </c>
      <c r="P4030" s="27" t="s">
        <v>19705</v>
      </c>
      <c r="Q4030" s="26" t="str">
        <f>HYPERLINK("https://ictv.global/taxonomy/taxondetails?taxnode_id=202506767&amp;ictv_id=ICTV201856767","ICTV201856767")</f>
        <v>ICTV201856767</v>
      </c>
      <c r="R4030" t="s">
        <v>579</v>
      </c>
      <c r="S4030" t="s">
        <v>824</v>
      </c>
      <c r="T4030">
        <v>40</v>
      </c>
      <c r="U4030" s="26" t="str">
        <f>HYPERLINK("https://ictv.global/ictv/proposals/2024.036B.Caudoviricetes_Faserviricetes_Name_Corrections.zip","2024.036B.Caudoviricetes_Faserviricetes_Name_Corrections.zip")</f>
        <v>2024.036B.Caudoviricetes_Faserviricetes_Name_Corrections.zip</v>
      </c>
    </row>
    <row r="4031" spans="1:21">
      <c r="A4031">
        <v>4030</v>
      </c>
      <c r="B4031" s="27" t="s">
        <v>1449</v>
      </c>
      <c r="D4031" s="27" t="s">
        <v>1450</v>
      </c>
      <c r="F4031" s="27" t="s">
        <v>1453</v>
      </c>
      <c r="H4031" s="27" t="s">
        <v>1454</v>
      </c>
      <c r="L4031" s="27" t="s">
        <v>20774</v>
      </c>
      <c r="M4031" s="27" t="s">
        <v>20775</v>
      </c>
      <c r="N4031" s="27" t="s">
        <v>2243</v>
      </c>
      <c r="P4031" s="27" t="s">
        <v>6567</v>
      </c>
      <c r="Q4031" s="26" t="str">
        <f>HYPERLINK("https://ictv.global/taxonomy/taxondetails?taxnode_id=202509353&amp;ictv_id=ICTV202009353","ICTV202009353")</f>
        <v>ICTV202009353</v>
      </c>
      <c r="R4031" t="s">
        <v>579</v>
      </c>
      <c r="S4031" t="s">
        <v>22763</v>
      </c>
      <c r="T4031">
        <v>41</v>
      </c>
      <c r="U4031" s="26" t="str">
        <f t="shared" ref="U4031:U4052" si="151">HYPERLINK("https://ictv.global/ictv/proposals/2025.083B.Zimmerviridae_1nf_3nsf_4ng_9ns.zip","2025.083B.Zimmerviridae_1nf_3nsf_4ng_9ns.zip")</f>
        <v>2025.083B.Zimmerviridae_1nf_3nsf_4ng_9ns.zip</v>
      </c>
    </row>
    <row r="4032" spans="1:21">
      <c r="A4032">
        <v>4031</v>
      </c>
      <c r="B4032" s="27" t="s">
        <v>1449</v>
      </c>
      <c r="D4032" s="27" t="s">
        <v>1450</v>
      </c>
      <c r="F4032" s="27" t="s">
        <v>1453</v>
      </c>
      <c r="H4032" s="27" t="s">
        <v>1454</v>
      </c>
      <c r="L4032" s="27" t="s">
        <v>20774</v>
      </c>
      <c r="M4032" s="27" t="s">
        <v>20775</v>
      </c>
      <c r="N4032" s="27" t="s">
        <v>2251</v>
      </c>
      <c r="P4032" s="27" t="s">
        <v>6705</v>
      </c>
      <c r="Q4032" s="26" t="str">
        <f>HYPERLINK("https://ictv.global/taxonomy/taxondetails?taxnode_id=202509344&amp;ictv_id=ICTV202009344","ICTV202009344")</f>
        <v>ICTV202009344</v>
      </c>
      <c r="R4032" t="s">
        <v>579</v>
      </c>
      <c r="S4032" t="s">
        <v>22763</v>
      </c>
      <c r="T4032">
        <v>41</v>
      </c>
      <c r="U4032" s="26" t="str">
        <f t="shared" si="151"/>
        <v>2025.083B.Zimmerviridae_1nf_3nsf_4ng_9ns.zip</v>
      </c>
    </row>
    <row r="4033" spans="1:21">
      <c r="A4033">
        <v>4032</v>
      </c>
      <c r="B4033" s="27" t="s">
        <v>1449</v>
      </c>
      <c r="D4033" s="27" t="s">
        <v>1450</v>
      </c>
      <c r="F4033" s="27" t="s">
        <v>1453</v>
      </c>
      <c r="H4033" s="27" t="s">
        <v>1454</v>
      </c>
      <c r="L4033" s="27" t="s">
        <v>20774</v>
      </c>
      <c r="M4033" s="27" t="s">
        <v>20775</v>
      </c>
      <c r="N4033" s="27" t="s">
        <v>2265</v>
      </c>
      <c r="P4033" s="27" t="s">
        <v>7102</v>
      </c>
      <c r="Q4033" s="26" t="str">
        <f>HYPERLINK("https://ictv.global/taxonomy/taxondetails?taxnode_id=202509350&amp;ictv_id=ICTV202009350","ICTV202009350")</f>
        <v>ICTV202009350</v>
      </c>
      <c r="R4033" t="s">
        <v>579</v>
      </c>
      <c r="S4033" t="s">
        <v>22763</v>
      </c>
      <c r="T4033">
        <v>41</v>
      </c>
      <c r="U4033" s="26" t="str">
        <f t="shared" si="151"/>
        <v>2025.083B.Zimmerviridae_1nf_3nsf_4ng_9ns.zip</v>
      </c>
    </row>
    <row r="4034" spans="1:21">
      <c r="A4034">
        <v>4033</v>
      </c>
      <c r="B4034" s="27" t="s">
        <v>1449</v>
      </c>
      <c r="D4034" s="27" t="s">
        <v>1450</v>
      </c>
      <c r="F4034" s="27" t="s">
        <v>1453</v>
      </c>
      <c r="H4034" s="27" t="s">
        <v>1454</v>
      </c>
      <c r="L4034" s="27" t="s">
        <v>20774</v>
      </c>
      <c r="M4034" s="27" t="s">
        <v>20775</v>
      </c>
      <c r="N4034" s="27" t="s">
        <v>2273</v>
      </c>
      <c r="P4034" s="27" t="s">
        <v>7190</v>
      </c>
      <c r="Q4034" s="26" t="str">
        <f>HYPERLINK("https://ictv.global/taxonomy/taxondetails?taxnode_id=202509348&amp;ictv_id=ICTV202009348","ICTV202009348")</f>
        <v>ICTV202009348</v>
      </c>
      <c r="R4034" t="s">
        <v>579</v>
      </c>
      <c r="S4034" t="s">
        <v>22763</v>
      </c>
      <c r="T4034">
        <v>41</v>
      </c>
      <c r="U4034" s="26" t="str">
        <f t="shared" si="151"/>
        <v>2025.083B.Zimmerviridae_1nf_3nsf_4ng_9ns.zip</v>
      </c>
    </row>
    <row r="4035" spans="1:21">
      <c r="A4035">
        <v>4034</v>
      </c>
      <c r="B4035" s="27" t="s">
        <v>1449</v>
      </c>
      <c r="D4035" s="27" t="s">
        <v>1450</v>
      </c>
      <c r="F4035" s="27" t="s">
        <v>1453</v>
      </c>
      <c r="H4035" s="27" t="s">
        <v>1454</v>
      </c>
      <c r="L4035" s="27" t="s">
        <v>20774</v>
      </c>
      <c r="M4035" s="27" t="s">
        <v>20775</v>
      </c>
      <c r="N4035" s="27" t="s">
        <v>2273</v>
      </c>
      <c r="P4035" s="27" t="s">
        <v>7191</v>
      </c>
      <c r="Q4035" s="26" t="str">
        <f>HYPERLINK("https://ictv.global/taxonomy/taxondetails?taxnode_id=202509347&amp;ictv_id=ICTV202009347","ICTV202009347")</f>
        <v>ICTV202009347</v>
      </c>
      <c r="R4035" t="s">
        <v>579</v>
      </c>
      <c r="S4035" t="s">
        <v>22763</v>
      </c>
      <c r="T4035">
        <v>41</v>
      </c>
      <c r="U4035" s="26" t="str">
        <f t="shared" si="151"/>
        <v>2025.083B.Zimmerviridae_1nf_3nsf_4ng_9ns.zip</v>
      </c>
    </row>
    <row r="4036" spans="1:21">
      <c r="A4036">
        <v>4035</v>
      </c>
      <c r="B4036" s="27" t="s">
        <v>1449</v>
      </c>
      <c r="D4036" s="27" t="s">
        <v>1450</v>
      </c>
      <c r="F4036" s="27" t="s">
        <v>1453</v>
      </c>
      <c r="H4036" s="27" t="s">
        <v>1454</v>
      </c>
      <c r="L4036" s="27" t="s">
        <v>20774</v>
      </c>
      <c r="M4036" s="27" t="s">
        <v>20775</v>
      </c>
      <c r="N4036" s="27" t="s">
        <v>2273</v>
      </c>
      <c r="P4036" s="27" t="s">
        <v>7192</v>
      </c>
      <c r="Q4036" s="26" t="str">
        <f>HYPERLINK("https://ictv.global/taxonomy/taxondetails?taxnode_id=202509346&amp;ictv_id=ICTV202009346","ICTV202009346")</f>
        <v>ICTV202009346</v>
      </c>
      <c r="R4036" t="s">
        <v>579</v>
      </c>
      <c r="S4036" t="s">
        <v>22763</v>
      </c>
      <c r="T4036">
        <v>41</v>
      </c>
      <c r="U4036" s="26" t="str">
        <f t="shared" si="151"/>
        <v>2025.083B.Zimmerviridae_1nf_3nsf_4ng_9ns.zip</v>
      </c>
    </row>
    <row r="4037" spans="1:21">
      <c r="A4037">
        <v>4036</v>
      </c>
      <c r="B4037" s="27" t="s">
        <v>1449</v>
      </c>
      <c r="D4037" s="27" t="s">
        <v>1450</v>
      </c>
      <c r="F4037" s="27" t="s">
        <v>1453</v>
      </c>
      <c r="H4037" s="27" t="s">
        <v>1454</v>
      </c>
      <c r="L4037" s="27" t="s">
        <v>20774</v>
      </c>
      <c r="M4037" s="27" t="s">
        <v>20775</v>
      </c>
      <c r="N4037" s="27" t="s">
        <v>619</v>
      </c>
      <c r="P4037" s="27" t="s">
        <v>19844</v>
      </c>
      <c r="Q4037" s="26" t="str">
        <f>HYPERLINK("https://ictv.global/taxonomy/taxondetails?taxnode_id=202505558&amp;ictv_id=ICTV20175558","ICTV20175558")</f>
        <v>ICTV20175558</v>
      </c>
      <c r="R4037" t="s">
        <v>579</v>
      </c>
      <c r="S4037" t="s">
        <v>22763</v>
      </c>
      <c r="T4037">
        <v>41</v>
      </c>
      <c r="U4037" s="26" t="str">
        <f t="shared" si="151"/>
        <v>2025.083B.Zimmerviridae_1nf_3nsf_4ng_9ns.zip</v>
      </c>
    </row>
    <row r="4038" spans="1:21">
      <c r="A4038">
        <v>4037</v>
      </c>
      <c r="B4038" s="27" t="s">
        <v>1449</v>
      </c>
      <c r="D4038" s="27" t="s">
        <v>1450</v>
      </c>
      <c r="F4038" s="27" t="s">
        <v>1453</v>
      </c>
      <c r="H4038" s="27" t="s">
        <v>1454</v>
      </c>
      <c r="L4038" s="27" t="s">
        <v>20774</v>
      </c>
      <c r="M4038" s="27" t="s">
        <v>20775</v>
      </c>
      <c r="N4038" s="27" t="s">
        <v>619</v>
      </c>
      <c r="P4038" s="27" t="s">
        <v>7292</v>
      </c>
      <c r="Q4038" s="26" t="str">
        <f>HYPERLINK("https://ictv.global/taxonomy/taxondetails?taxnode_id=202505559&amp;ictv_id=ICTV20175559","ICTV20175559")</f>
        <v>ICTV20175559</v>
      </c>
      <c r="R4038" t="s">
        <v>579</v>
      </c>
      <c r="S4038" t="s">
        <v>22763</v>
      </c>
      <c r="T4038">
        <v>41</v>
      </c>
      <c r="U4038" s="26" t="str">
        <f t="shared" si="151"/>
        <v>2025.083B.Zimmerviridae_1nf_3nsf_4ng_9ns.zip</v>
      </c>
    </row>
    <row r="4039" spans="1:21">
      <c r="A4039">
        <v>4038</v>
      </c>
      <c r="B4039" s="27" t="s">
        <v>1449</v>
      </c>
      <c r="D4039" s="27" t="s">
        <v>1450</v>
      </c>
      <c r="F4039" s="27" t="s">
        <v>1453</v>
      </c>
      <c r="H4039" s="27" t="s">
        <v>1454</v>
      </c>
      <c r="L4039" s="27" t="s">
        <v>20774</v>
      </c>
      <c r="M4039" s="27" t="s">
        <v>20775</v>
      </c>
      <c r="N4039" s="27" t="s">
        <v>619</v>
      </c>
      <c r="P4039" s="27" t="s">
        <v>7293</v>
      </c>
      <c r="Q4039" s="26" t="str">
        <f>HYPERLINK("https://ictv.global/taxonomy/taxondetails?taxnode_id=202505560&amp;ictv_id=ICTV20175560","ICTV20175560")</f>
        <v>ICTV20175560</v>
      </c>
      <c r="R4039" t="s">
        <v>579</v>
      </c>
      <c r="S4039" t="s">
        <v>22763</v>
      </c>
      <c r="T4039">
        <v>41</v>
      </c>
      <c r="U4039" s="26" t="str">
        <f t="shared" si="151"/>
        <v>2025.083B.Zimmerviridae_1nf_3nsf_4ng_9ns.zip</v>
      </c>
    </row>
    <row r="4040" spans="1:21">
      <c r="A4040">
        <v>4039</v>
      </c>
      <c r="B4040" s="27" t="s">
        <v>1449</v>
      </c>
      <c r="D4040" s="27" t="s">
        <v>1450</v>
      </c>
      <c r="F4040" s="27" t="s">
        <v>1453</v>
      </c>
      <c r="H4040" s="27" t="s">
        <v>1454</v>
      </c>
      <c r="L4040" s="27" t="s">
        <v>20774</v>
      </c>
      <c r="M4040" s="27" t="s">
        <v>20775</v>
      </c>
      <c r="N4040" s="27" t="s">
        <v>619</v>
      </c>
      <c r="P4040" s="27" t="s">
        <v>7294</v>
      </c>
      <c r="Q4040" s="26" t="str">
        <f>HYPERLINK("https://ictv.global/taxonomy/taxondetails?taxnode_id=202501072&amp;ictv_id=ICTV19710195","ICTV19710195")</f>
        <v>ICTV19710195</v>
      </c>
      <c r="R4040" t="s">
        <v>579</v>
      </c>
      <c r="S4040" t="s">
        <v>22763</v>
      </c>
      <c r="T4040">
        <v>41</v>
      </c>
      <c r="U4040" s="26" t="str">
        <f t="shared" si="151"/>
        <v>2025.083B.Zimmerviridae_1nf_3nsf_4ng_9ns.zip</v>
      </c>
    </row>
    <row r="4041" spans="1:21">
      <c r="A4041">
        <v>4040</v>
      </c>
      <c r="B4041" s="27" t="s">
        <v>1449</v>
      </c>
      <c r="D4041" s="27" t="s">
        <v>1450</v>
      </c>
      <c r="F4041" s="27" t="s">
        <v>1453</v>
      </c>
      <c r="H4041" s="27" t="s">
        <v>1454</v>
      </c>
      <c r="L4041" s="27" t="s">
        <v>20774</v>
      </c>
      <c r="M4041" s="27" t="s">
        <v>20775</v>
      </c>
      <c r="N4041" s="27" t="s">
        <v>619</v>
      </c>
      <c r="P4041" s="27" t="s">
        <v>7295</v>
      </c>
      <c r="Q4041" s="26" t="str">
        <f>HYPERLINK("https://ictv.global/taxonomy/taxondetails?taxnode_id=202509351&amp;ictv_id=ICTV202009351","ICTV202009351")</f>
        <v>ICTV202009351</v>
      </c>
      <c r="R4041" t="s">
        <v>579</v>
      </c>
      <c r="S4041" t="s">
        <v>22763</v>
      </c>
      <c r="T4041">
        <v>41</v>
      </c>
      <c r="U4041" s="26" t="str">
        <f t="shared" si="151"/>
        <v>2025.083B.Zimmerviridae_1nf_3nsf_4ng_9ns.zip</v>
      </c>
    </row>
    <row r="4042" spans="1:21">
      <c r="A4042">
        <v>4041</v>
      </c>
      <c r="B4042" s="27" t="s">
        <v>1449</v>
      </c>
      <c r="D4042" s="27" t="s">
        <v>1450</v>
      </c>
      <c r="F4042" s="27" t="s">
        <v>1453</v>
      </c>
      <c r="H4042" s="27" t="s">
        <v>1454</v>
      </c>
      <c r="L4042" s="27" t="s">
        <v>20774</v>
      </c>
      <c r="M4042" s="27" t="s">
        <v>20775</v>
      </c>
      <c r="N4042" s="27" t="s">
        <v>2291</v>
      </c>
      <c r="P4042" s="27" t="s">
        <v>7483</v>
      </c>
      <c r="Q4042" s="26" t="str">
        <f>HYPERLINK("https://ictv.global/taxonomy/taxondetails?taxnode_id=202509358&amp;ictv_id=ICTV202009358","ICTV202009358")</f>
        <v>ICTV202009358</v>
      </c>
      <c r="R4042" t="s">
        <v>579</v>
      </c>
      <c r="S4042" t="s">
        <v>22763</v>
      </c>
      <c r="T4042">
        <v>41</v>
      </c>
      <c r="U4042" s="26" t="str">
        <f t="shared" si="151"/>
        <v>2025.083B.Zimmerviridae_1nf_3nsf_4ng_9ns.zip</v>
      </c>
    </row>
    <row r="4043" spans="1:21">
      <c r="A4043">
        <v>4042</v>
      </c>
      <c r="B4043" s="27" t="s">
        <v>1449</v>
      </c>
      <c r="D4043" s="27" t="s">
        <v>1450</v>
      </c>
      <c r="F4043" s="27" t="s">
        <v>1453</v>
      </c>
      <c r="H4043" s="27" t="s">
        <v>1454</v>
      </c>
      <c r="L4043" s="27" t="s">
        <v>20774</v>
      </c>
      <c r="M4043" s="27" t="s">
        <v>20775</v>
      </c>
      <c r="N4043" s="27" t="s">
        <v>2291</v>
      </c>
      <c r="P4043" s="27" t="s">
        <v>7484</v>
      </c>
      <c r="Q4043" s="26" t="str">
        <f>HYPERLINK("https://ictv.global/taxonomy/taxondetails?taxnode_id=202509357&amp;ictv_id=ICTV202009357","ICTV202009357")</f>
        <v>ICTV202009357</v>
      </c>
      <c r="R4043" t="s">
        <v>579</v>
      </c>
      <c r="S4043" t="s">
        <v>22763</v>
      </c>
      <c r="T4043">
        <v>41</v>
      </c>
      <c r="U4043" s="26" t="str">
        <f t="shared" si="151"/>
        <v>2025.083B.Zimmerviridae_1nf_3nsf_4ng_9ns.zip</v>
      </c>
    </row>
    <row r="4044" spans="1:21">
      <c r="A4044">
        <v>4043</v>
      </c>
      <c r="B4044" s="27" t="s">
        <v>1449</v>
      </c>
      <c r="D4044" s="27" t="s">
        <v>1450</v>
      </c>
      <c r="F4044" s="27" t="s">
        <v>1453</v>
      </c>
      <c r="H4044" s="27" t="s">
        <v>1454</v>
      </c>
      <c r="L4044" s="27" t="s">
        <v>20774</v>
      </c>
      <c r="M4044" s="27" t="s">
        <v>20775</v>
      </c>
      <c r="N4044" s="27" t="s">
        <v>2298</v>
      </c>
      <c r="P4044" s="27" t="s">
        <v>7727</v>
      </c>
      <c r="Q4044" s="26" t="str">
        <f>HYPERLINK("https://ictv.global/taxonomy/taxondetails?taxnode_id=202509355&amp;ictv_id=ICTV202009355","ICTV202009355")</f>
        <v>ICTV202009355</v>
      </c>
      <c r="R4044" t="s">
        <v>579</v>
      </c>
      <c r="S4044" t="s">
        <v>22763</v>
      </c>
      <c r="T4044">
        <v>41</v>
      </c>
      <c r="U4044" s="26" t="str">
        <f t="shared" si="151"/>
        <v>2025.083B.Zimmerviridae_1nf_3nsf_4ng_9ns.zip</v>
      </c>
    </row>
    <row r="4045" spans="1:21">
      <c r="A4045">
        <v>4044</v>
      </c>
      <c r="B4045" s="27" t="s">
        <v>1449</v>
      </c>
      <c r="D4045" s="27" t="s">
        <v>1450</v>
      </c>
      <c r="F4045" s="27" t="s">
        <v>1453</v>
      </c>
      <c r="H4045" s="27" t="s">
        <v>1454</v>
      </c>
      <c r="L4045" s="27" t="s">
        <v>20774</v>
      </c>
      <c r="M4045" s="27" t="s">
        <v>22672</v>
      </c>
      <c r="N4045" s="27" t="s">
        <v>22676</v>
      </c>
      <c r="P4045" s="27" t="s">
        <v>22678</v>
      </c>
      <c r="Q4045" s="26" t="str">
        <f>HYPERLINK("https://ictv.global/taxonomy/taxondetails?taxnode_id=202523260&amp;ictv_id=ICTV202523260","ICTV202523260")</f>
        <v>ICTV202523260</v>
      </c>
      <c r="R4045" t="s">
        <v>579</v>
      </c>
      <c r="S4045" t="s">
        <v>823</v>
      </c>
      <c r="T4045">
        <v>41</v>
      </c>
      <c r="U4045" s="26" t="str">
        <f t="shared" si="151"/>
        <v>2025.083B.Zimmerviridae_1nf_3nsf_4ng_9ns.zip</v>
      </c>
    </row>
    <row r="4046" spans="1:21">
      <c r="A4046">
        <v>4045</v>
      </c>
      <c r="B4046" s="27" t="s">
        <v>1449</v>
      </c>
      <c r="D4046" s="27" t="s">
        <v>1450</v>
      </c>
      <c r="F4046" s="27" t="s">
        <v>1453</v>
      </c>
      <c r="H4046" s="27" t="s">
        <v>1454</v>
      </c>
      <c r="L4046" s="27" t="s">
        <v>20774</v>
      </c>
      <c r="M4046" s="27" t="s">
        <v>22672</v>
      </c>
      <c r="N4046" s="27" t="s">
        <v>22676</v>
      </c>
      <c r="P4046" s="27" t="s">
        <v>22677</v>
      </c>
      <c r="Q4046" s="26" t="str">
        <f>HYPERLINK("https://ictv.global/taxonomy/taxondetails?taxnode_id=202523259&amp;ictv_id=ICTV202523259","ICTV202523259")</f>
        <v>ICTV202523259</v>
      </c>
      <c r="R4046" t="s">
        <v>579</v>
      </c>
      <c r="S4046" t="s">
        <v>823</v>
      </c>
      <c r="T4046">
        <v>41</v>
      </c>
      <c r="U4046" s="26" t="str">
        <f t="shared" si="151"/>
        <v>2025.083B.Zimmerviridae_1nf_3nsf_4ng_9ns.zip</v>
      </c>
    </row>
    <row r="4047" spans="1:21">
      <c r="A4047">
        <v>4046</v>
      </c>
      <c r="B4047" s="27" t="s">
        <v>1449</v>
      </c>
      <c r="D4047" s="27" t="s">
        <v>1450</v>
      </c>
      <c r="F4047" s="27" t="s">
        <v>1453</v>
      </c>
      <c r="H4047" s="27" t="s">
        <v>1454</v>
      </c>
      <c r="L4047" s="27" t="s">
        <v>20774</v>
      </c>
      <c r="M4047" s="27" t="s">
        <v>22672</v>
      </c>
      <c r="N4047" s="27" t="s">
        <v>22673</v>
      </c>
      <c r="P4047" s="27" t="s">
        <v>22674</v>
      </c>
      <c r="Q4047" s="26" t="str">
        <f>HYPERLINK("https://ictv.global/taxonomy/taxondetails?taxnode_id=202523257&amp;ictv_id=ICTV202523257","ICTV202523257")</f>
        <v>ICTV202523257</v>
      </c>
      <c r="R4047" t="s">
        <v>579</v>
      </c>
      <c r="S4047" t="s">
        <v>823</v>
      </c>
      <c r="T4047">
        <v>41</v>
      </c>
      <c r="U4047" s="26" t="str">
        <f t="shared" si="151"/>
        <v>2025.083B.Zimmerviridae_1nf_3nsf_4ng_9ns.zip</v>
      </c>
    </row>
    <row r="4048" spans="1:21">
      <c r="A4048">
        <v>4047</v>
      </c>
      <c r="B4048" s="27" t="s">
        <v>1449</v>
      </c>
      <c r="D4048" s="27" t="s">
        <v>1450</v>
      </c>
      <c r="F4048" s="27" t="s">
        <v>1453</v>
      </c>
      <c r="H4048" s="27" t="s">
        <v>1454</v>
      </c>
      <c r="L4048" s="27" t="s">
        <v>20774</v>
      </c>
      <c r="M4048" s="27" t="s">
        <v>22672</v>
      </c>
      <c r="N4048" s="27" t="s">
        <v>22673</v>
      </c>
      <c r="P4048" s="27" t="s">
        <v>22675</v>
      </c>
      <c r="Q4048" s="26" t="str">
        <f>HYPERLINK("https://ictv.global/taxonomy/taxondetails?taxnode_id=202523258&amp;ictv_id=ICTV202523258","ICTV202523258")</f>
        <v>ICTV202523258</v>
      </c>
      <c r="R4048" t="s">
        <v>579</v>
      </c>
      <c r="S4048" t="s">
        <v>823</v>
      </c>
      <c r="T4048">
        <v>41</v>
      </c>
      <c r="U4048" s="26" t="str">
        <f t="shared" si="151"/>
        <v>2025.083B.Zimmerviridae_1nf_3nsf_4ng_9ns.zip</v>
      </c>
    </row>
    <row r="4049" spans="1:21">
      <c r="A4049">
        <v>4048</v>
      </c>
      <c r="B4049" s="27" t="s">
        <v>1449</v>
      </c>
      <c r="D4049" s="27" t="s">
        <v>1450</v>
      </c>
      <c r="F4049" s="27" t="s">
        <v>1453</v>
      </c>
      <c r="H4049" s="27" t="s">
        <v>1454</v>
      </c>
      <c r="L4049" s="27" t="s">
        <v>20774</v>
      </c>
      <c r="M4049" s="27" t="s">
        <v>22672</v>
      </c>
      <c r="N4049" s="27" t="s">
        <v>22679</v>
      </c>
      <c r="P4049" s="27" t="s">
        <v>22680</v>
      </c>
      <c r="Q4049" s="26" t="str">
        <f>HYPERLINK("https://ictv.global/taxonomy/taxondetails?taxnode_id=202523261&amp;ictv_id=ICTV202523261","ICTV202523261")</f>
        <v>ICTV202523261</v>
      </c>
      <c r="R4049" t="s">
        <v>579</v>
      </c>
      <c r="S4049" t="s">
        <v>823</v>
      </c>
      <c r="T4049">
        <v>41</v>
      </c>
      <c r="U4049" s="26" t="str">
        <f t="shared" si="151"/>
        <v>2025.083B.Zimmerviridae_1nf_3nsf_4ng_9ns.zip</v>
      </c>
    </row>
    <row r="4050" spans="1:21">
      <c r="A4050">
        <v>4049</v>
      </c>
      <c r="B4050" s="27" t="s">
        <v>1449</v>
      </c>
      <c r="D4050" s="27" t="s">
        <v>1450</v>
      </c>
      <c r="F4050" s="27" t="s">
        <v>1453</v>
      </c>
      <c r="H4050" s="27" t="s">
        <v>1454</v>
      </c>
      <c r="L4050" s="27" t="s">
        <v>20774</v>
      </c>
      <c r="N4050" s="27" t="s">
        <v>22683</v>
      </c>
      <c r="P4050" s="27" t="s">
        <v>22684</v>
      </c>
      <c r="Q4050" s="26" t="str">
        <f>HYPERLINK("https://ictv.global/taxonomy/taxondetails?taxnode_id=202523263&amp;ictv_id=ICTV202523263","ICTV202523263")</f>
        <v>ICTV202523263</v>
      </c>
      <c r="R4050" t="s">
        <v>579</v>
      </c>
      <c r="S4050" t="s">
        <v>823</v>
      </c>
      <c r="T4050">
        <v>41</v>
      </c>
      <c r="U4050" s="26" t="str">
        <f t="shared" si="151"/>
        <v>2025.083B.Zimmerviridae_1nf_3nsf_4ng_9ns.zip</v>
      </c>
    </row>
    <row r="4051" spans="1:21">
      <c r="A4051">
        <v>4050</v>
      </c>
      <c r="B4051" s="27" t="s">
        <v>1449</v>
      </c>
      <c r="D4051" s="27" t="s">
        <v>1450</v>
      </c>
      <c r="F4051" s="27" t="s">
        <v>1453</v>
      </c>
      <c r="H4051" s="27" t="s">
        <v>1454</v>
      </c>
      <c r="L4051" s="27" t="s">
        <v>20774</v>
      </c>
      <c r="N4051" s="27" t="s">
        <v>22685</v>
      </c>
      <c r="P4051" s="27" t="s">
        <v>22686</v>
      </c>
      <c r="Q4051" s="26" t="str">
        <f>HYPERLINK("https://ictv.global/taxonomy/taxondetails?taxnode_id=202523264&amp;ictv_id=ICTV202523264","ICTV202523264")</f>
        <v>ICTV202523264</v>
      </c>
      <c r="R4051" t="s">
        <v>579</v>
      </c>
      <c r="S4051" t="s">
        <v>823</v>
      </c>
      <c r="T4051">
        <v>41</v>
      </c>
      <c r="U4051" s="26" t="str">
        <f t="shared" si="151"/>
        <v>2025.083B.Zimmerviridae_1nf_3nsf_4ng_9ns.zip</v>
      </c>
    </row>
    <row r="4052" spans="1:21">
      <c r="A4052">
        <v>4051</v>
      </c>
      <c r="B4052" s="27" t="s">
        <v>1449</v>
      </c>
      <c r="D4052" s="27" t="s">
        <v>1450</v>
      </c>
      <c r="F4052" s="27" t="s">
        <v>1453</v>
      </c>
      <c r="H4052" s="27" t="s">
        <v>1454</v>
      </c>
      <c r="L4052" s="27" t="s">
        <v>20774</v>
      </c>
      <c r="N4052" s="27" t="s">
        <v>22681</v>
      </c>
      <c r="P4052" s="27" t="s">
        <v>22682</v>
      </c>
      <c r="Q4052" s="26" t="str">
        <f>HYPERLINK("https://ictv.global/taxonomy/taxondetails?taxnode_id=202523262&amp;ictv_id=ICTV202523262","ICTV202523262")</f>
        <v>ICTV202523262</v>
      </c>
      <c r="R4052" t="s">
        <v>579</v>
      </c>
      <c r="S4052" t="s">
        <v>823</v>
      </c>
      <c r="T4052">
        <v>41</v>
      </c>
      <c r="U4052" s="26" t="str">
        <f t="shared" si="151"/>
        <v>2025.083B.Zimmerviridae_1nf_3nsf_4ng_9ns.zip</v>
      </c>
    </row>
    <row r="4053" spans="1:21">
      <c r="A4053">
        <v>4052</v>
      </c>
      <c r="B4053" s="27" t="s">
        <v>1449</v>
      </c>
      <c r="D4053" s="27" t="s">
        <v>1450</v>
      </c>
      <c r="F4053" s="27" t="s">
        <v>1453</v>
      </c>
      <c r="H4053" s="27" t="s">
        <v>1454</v>
      </c>
      <c r="L4053" s="27" t="s">
        <v>2322</v>
      </c>
      <c r="M4053" s="27" t="s">
        <v>2323</v>
      </c>
      <c r="N4053" s="27" t="s">
        <v>2324</v>
      </c>
      <c r="P4053" s="27" t="s">
        <v>5778</v>
      </c>
      <c r="Q4053" s="26" t="str">
        <f>HYPERLINK("https://ictv.global/taxonomy/taxondetails?taxnode_id=202500707&amp;ictv_id=ICTV20094389","ICTV20094389")</f>
        <v>ICTV20094389</v>
      </c>
      <c r="R4053" t="s">
        <v>579</v>
      </c>
      <c r="S4053" t="s">
        <v>824</v>
      </c>
      <c r="T4053">
        <v>37</v>
      </c>
      <c r="U4053" s="26" t="str">
        <f t="shared" ref="U4053:U4063" si="152">HYPERLINK("https://ictv.global/ictv/proposals/2021.010B.R.Binomial_names.zip","2021.010B.R.Binomial_names.zip")</f>
        <v>2021.010B.R.Binomial_names.zip</v>
      </c>
    </row>
    <row r="4054" spans="1:21">
      <c r="A4054">
        <v>4053</v>
      </c>
      <c r="B4054" s="27" t="s">
        <v>1449</v>
      </c>
      <c r="D4054" s="27" t="s">
        <v>1450</v>
      </c>
      <c r="F4054" s="27" t="s">
        <v>1453</v>
      </c>
      <c r="H4054" s="27" t="s">
        <v>1454</v>
      </c>
      <c r="L4054" s="27" t="s">
        <v>2322</v>
      </c>
      <c r="M4054" s="27" t="s">
        <v>2323</v>
      </c>
      <c r="N4054" s="27" t="s">
        <v>2324</v>
      </c>
      <c r="P4054" s="27" t="s">
        <v>5779</v>
      </c>
      <c r="Q4054" s="26" t="str">
        <f>HYPERLINK("https://ictv.global/taxonomy/taxondetails?taxnode_id=202512138&amp;ictv_id=ICTV202012138","ICTV202012138")</f>
        <v>ICTV202012138</v>
      </c>
      <c r="R4054" t="s">
        <v>579</v>
      </c>
      <c r="S4054" t="s">
        <v>824</v>
      </c>
      <c r="T4054">
        <v>37</v>
      </c>
      <c r="U4054" s="26" t="str">
        <f t="shared" si="152"/>
        <v>2021.010B.R.Binomial_names.zip</v>
      </c>
    </row>
    <row r="4055" spans="1:21">
      <c r="A4055">
        <v>4054</v>
      </c>
      <c r="B4055" s="27" t="s">
        <v>1449</v>
      </c>
      <c r="D4055" s="27" t="s">
        <v>1450</v>
      </c>
      <c r="F4055" s="27" t="s">
        <v>1453</v>
      </c>
      <c r="H4055" s="27" t="s">
        <v>1454</v>
      </c>
      <c r="L4055" s="27" t="s">
        <v>2322</v>
      </c>
      <c r="M4055" s="27" t="s">
        <v>2323</v>
      </c>
      <c r="N4055" s="27" t="s">
        <v>2324</v>
      </c>
      <c r="P4055" s="27" t="s">
        <v>5780</v>
      </c>
      <c r="Q4055" s="26" t="str">
        <f>HYPERLINK("https://ictv.global/taxonomy/taxondetails?taxnode_id=202512137&amp;ictv_id=ICTV202012137","ICTV202012137")</f>
        <v>ICTV202012137</v>
      </c>
      <c r="R4055" t="s">
        <v>579</v>
      </c>
      <c r="S4055" t="s">
        <v>824</v>
      </c>
      <c r="T4055">
        <v>37</v>
      </c>
      <c r="U4055" s="26" t="str">
        <f t="shared" si="152"/>
        <v>2021.010B.R.Binomial_names.zip</v>
      </c>
    </row>
    <row r="4056" spans="1:21">
      <c r="A4056">
        <v>4055</v>
      </c>
      <c r="B4056" s="27" t="s">
        <v>1449</v>
      </c>
      <c r="D4056" s="27" t="s">
        <v>1450</v>
      </c>
      <c r="F4056" s="27" t="s">
        <v>1453</v>
      </c>
      <c r="H4056" s="27" t="s">
        <v>1454</v>
      </c>
      <c r="L4056" s="27" t="s">
        <v>2322</v>
      </c>
      <c r="M4056" s="27" t="s">
        <v>2323</v>
      </c>
      <c r="N4056" s="27" t="s">
        <v>2325</v>
      </c>
      <c r="P4056" s="27" t="s">
        <v>5781</v>
      </c>
      <c r="Q4056" s="26" t="str">
        <f>HYPERLINK("https://ictv.global/taxonomy/taxondetails?taxnode_id=202512140&amp;ictv_id=ICTV202012140","ICTV202012140")</f>
        <v>ICTV202012140</v>
      </c>
      <c r="R4056" t="s">
        <v>579</v>
      </c>
      <c r="S4056" t="s">
        <v>824</v>
      </c>
      <c r="T4056">
        <v>37</v>
      </c>
      <c r="U4056" s="26" t="str">
        <f t="shared" si="152"/>
        <v>2021.010B.R.Binomial_names.zip</v>
      </c>
    </row>
    <row r="4057" spans="1:21">
      <c r="A4057">
        <v>4056</v>
      </c>
      <c r="B4057" s="27" t="s">
        <v>1449</v>
      </c>
      <c r="D4057" s="27" t="s">
        <v>1450</v>
      </c>
      <c r="F4057" s="27" t="s">
        <v>1453</v>
      </c>
      <c r="H4057" s="27" t="s">
        <v>1454</v>
      </c>
      <c r="L4057" s="27" t="s">
        <v>2322</v>
      </c>
      <c r="N4057" s="27" t="s">
        <v>2326</v>
      </c>
      <c r="P4057" s="27" t="s">
        <v>5782</v>
      </c>
      <c r="Q4057" s="26" t="str">
        <f>HYPERLINK("https://ictv.global/taxonomy/taxondetails?taxnode_id=202512147&amp;ictv_id=ICTV202012147","ICTV202012147")</f>
        <v>ICTV202012147</v>
      </c>
      <c r="R4057" t="s">
        <v>579</v>
      </c>
      <c r="S4057" t="s">
        <v>824</v>
      </c>
      <c r="T4057">
        <v>37</v>
      </c>
      <c r="U4057" s="26" t="str">
        <f t="shared" si="152"/>
        <v>2021.010B.R.Binomial_names.zip</v>
      </c>
    </row>
    <row r="4058" spans="1:21">
      <c r="A4058">
        <v>4057</v>
      </c>
      <c r="B4058" s="27" t="s">
        <v>1449</v>
      </c>
      <c r="D4058" s="27" t="s">
        <v>1450</v>
      </c>
      <c r="F4058" s="27" t="s">
        <v>1453</v>
      </c>
      <c r="H4058" s="27" t="s">
        <v>1454</v>
      </c>
      <c r="L4058" s="27" t="s">
        <v>2322</v>
      </c>
      <c r="N4058" s="27" t="s">
        <v>2327</v>
      </c>
      <c r="P4058" s="27" t="s">
        <v>5783</v>
      </c>
      <c r="Q4058" s="26" t="str">
        <f>HYPERLINK("https://ictv.global/taxonomy/taxondetails?taxnode_id=202512142&amp;ictv_id=ICTV202012142","ICTV202012142")</f>
        <v>ICTV202012142</v>
      </c>
      <c r="R4058" t="s">
        <v>579</v>
      </c>
      <c r="S4058" t="s">
        <v>824</v>
      </c>
      <c r="T4058">
        <v>37</v>
      </c>
      <c r="U4058" s="26" t="str">
        <f t="shared" si="152"/>
        <v>2021.010B.R.Binomial_names.zip</v>
      </c>
    </row>
    <row r="4059" spans="1:21">
      <c r="A4059">
        <v>4058</v>
      </c>
      <c r="B4059" s="27" t="s">
        <v>1449</v>
      </c>
      <c r="D4059" s="27" t="s">
        <v>1450</v>
      </c>
      <c r="F4059" s="27" t="s">
        <v>1453</v>
      </c>
      <c r="H4059" s="27" t="s">
        <v>1454</v>
      </c>
      <c r="L4059" s="27" t="s">
        <v>2322</v>
      </c>
      <c r="N4059" s="27" t="s">
        <v>2328</v>
      </c>
      <c r="P4059" s="27" t="s">
        <v>5784</v>
      </c>
      <c r="Q4059" s="26" t="str">
        <f>HYPERLINK("https://ictv.global/taxonomy/taxondetails?taxnode_id=202512152&amp;ictv_id=ICTV202012152","ICTV202012152")</f>
        <v>ICTV202012152</v>
      </c>
      <c r="R4059" t="s">
        <v>579</v>
      </c>
      <c r="S4059" t="s">
        <v>824</v>
      </c>
      <c r="T4059">
        <v>37</v>
      </c>
      <c r="U4059" s="26" t="str">
        <f t="shared" si="152"/>
        <v>2021.010B.R.Binomial_names.zip</v>
      </c>
    </row>
    <row r="4060" spans="1:21">
      <c r="A4060">
        <v>4059</v>
      </c>
      <c r="B4060" s="27" t="s">
        <v>1449</v>
      </c>
      <c r="D4060" s="27" t="s">
        <v>1450</v>
      </c>
      <c r="F4060" s="27" t="s">
        <v>1453</v>
      </c>
      <c r="H4060" s="27" t="s">
        <v>1454</v>
      </c>
      <c r="L4060" s="27" t="s">
        <v>2322</v>
      </c>
      <c r="N4060" s="27" t="s">
        <v>2328</v>
      </c>
      <c r="P4060" s="27" t="s">
        <v>5785</v>
      </c>
      <c r="Q4060" s="26" t="str">
        <f>HYPERLINK("https://ictv.global/taxonomy/taxondetails?taxnode_id=202512151&amp;ictv_id=ICTV202012151","ICTV202012151")</f>
        <v>ICTV202012151</v>
      </c>
      <c r="R4060" t="s">
        <v>579</v>
      </c>
      <c r="S4060" t="s">
        <v>824</v>
      </c>
      <c r="T4060">
        <v>37</v>
      </c>
      <c r="U4060" s="26" t="str">
        <f t="shared" si="152"/>
        <v>2021.010B.R.Binomial_names.zip</v>
      </c>
    </row>
    <row r="4061" spans="1:21">
      <c r="A4061">
        <v>4060</v>
      </c>
      <c r="B4061" s="27" t="s">
        <v>1449</v>
      </c>
      <c r="D4061" s="27" t="s">
        <v>1450</v>
      </c>
      <c r="F4061" s="27" t="s">
        <v>1453</v>
      </c>
      <c r="H4061" s="27" t="s">
        <v>1454</v>
      </c>
      <c r="L4061" s="27" t="s">
        <v>2322</v>
      </c>
      <c r="N4061" s="27" t="s">
        <v>2329</v>
      </c>
      <c r="P4061" s="27" t="s">
        <v>5786</v>
      </c>
      <c r="Q4061" s="26" t="str">
        <f>HYPERLINK("https://ictv.global/taxonomy/taxondetails?taxnode_id=202512149&amp;ictv_id=ICTV202012149","ICTV202012149")</f>
        <v>ICTV202012149</v>
      </c>
      <c r="R4061" t="s">
        <v>579</v>
      </c>
      <c r="S4061" t="s">
        <v>824</v>
      </c>
      <c r="T4061">
        <v>37</v>
      </c>
      <c r="U4061" s="26" t="str">
        <f t="shared" si="152"/>
        <v>2021.010B.R.Binomial_names.zip</v>
      </c>
    </row>
    <row r="4062" spans="1:21">
      <c r="A4062">
        <v>4061</v>
      </c>
      <c r="B4062" s="27" t="s">
        <v>1449</v>
      </c>
      <c r="D4062" s="27" t="s">
        <v>1450</v>
      </c>
      <c r="F4062" s="27" t="s">
        <v>1453</v>
      </c>
      <c r="H4062" s="27" t="s">
        <v>1454</v>
      </c>
      <c r="L4062" s="27" t="s">
        <v>2322</v>
      </c>
      <c r="N4062" s="27" t="s">
        <v>2330</v>
      </c>
      <c r="P4062" s="27" t="s">
        <v>5787</v>
      </c>
      <c r="Q4062" s="26" t="str">
        <f>HYPERLINK("https://ictv.global/taxonomy/taxondetails?taxnode_id=202512145&amp;ictv_id=ICTV202012145","ICTV202012145")</f>
        <v>ICTV202012145</v>
      </c>
      <c r="R4062" t="s">
        <v>579</v>
      </c>
      <c r="S4062" t="s">
        <v>824</v>
      </c>
      <c r="T4062">
        <v>37</v>
      </c>
      <c r="U4062" s="26" t="str">
        <f t="shared" si="152"/>
        <v>2021.010B.R.Binomial_names.zip</v>
      </c>
    </row>
    <row r="4063" spans="1:21">
      <c r="A4063">
        <v>4062</v>
      </c>
      <c r="B4063" s="27" t="s">
        <v>1449</v>
      </c>
      <c r="D4063" s="27" t="s">
        <v>1450</v>
      </c>
      <c r="F4063" s="27" t="s">
        <v>1453</v>
      </c>
      <c r="H4063" s="27" t="s">
        <v>1454</v>
      </c>
      <c r="L4063" s="27" t="s">
        <v>2322</v>
      </c>
      <c r="N4063" s="27" t="s">
        <v>2331</v>
      </c>
      <c r="P4063" s="27" t="s">
        <v>5788</v>
      </c>
      <c r="Q4063" s="26" t="str">
        <f>HYPERLINK("https://ictv.global/taxonomy/taxondetails?taxnode_id=202500708&amp;ictv_id=ICTV20094390","ICTV20094390")</f>
        <v>ICTV20094390</v>
      </c>
      <c r="R4063" t="s">
        <v>579</v>
      </c>
      <c r="S4063" t="s">
        <v>824</v>
      </c>
      <c r="T4063">
        <v>37</v>
      </c>
      <c r="U4063" s="26" t="str">
        <f t="shared" si="152"/>
        <v>2021.010B.R.Binomial_names.zip</v>
      </c>
    </row>
    <row r="4064" spans="1:21">
      <c r="A4064">
        <v>4063</v>
      </c>
      <c r="B4064" s="27" t="s">
        <v>1449</v>
      </c>
      <c r="D4064" s="27" t="s">
        <v>1450</v>
      </c>
      <c r="F4064" s="27" t="s">
        <v>1453</v>
      </c>
      <c r="H4064" s="27" t="s">
        <v>1454</v>
      </c>
      <c r="M4064" s="27" t="s">
        <v>20770</v>
      </c>
      <c r="N4064" s="27" t="s">
        <v>1387</v>
      </c>
      <c r="P4064" s="27" t="s">
        <v>7370</v>
      </c>
      <c r="Q4064" s="26" t="str">
        <f>HYPERLINK("https://ictv.global/taxonomy/taxondetails?taxnode_id=202500969&amp;ictv_id=ICTV20150488","ICTV20150488")</f>
        <v>ICTV20150488</v>
      </c>
      <c r="R4064" t="s">
        <v>579</v>
      </c>
      <c r="S4064" t="s">
        <v>22763</v>
      </c>
      <c r="T4064">
        <v>41</v>
      </c>
      <c r="U4064" s="26" t="str">
        <f>HYPERLINK("https://ictv.global/ictv/proposals/2025.001B.Alphabravovirinae_1nsf_2ng_2ns.zip","2025.001B.Alphabravovirinae_1nsf_2ng_2ns.zip")</f>
        <v>2025.001B.Alphabravovirinae_1nsf_2ng_2ns.zip</v>
      </c>
    </row>
    <row r="4065" spans="1:21">
      <c r="A4065">
        <v>4064</v>
      </c>
      <c r="B4065" s="27" t="s">
        <v>1449</v>
      </c>
      <c r="D4065" s="27" t="s">
        <v>1450</v>
      </c>
      <c r="F4065" s="27" t="s">
        <v>1453</v>
      </c>
      <c r="H4065" s="27" t="s">
        <v>1454</v>
      </c>
      <c r="M4065" s="27" t="s">
        <v>20770</v>
      </c>
      <c r="N4065" s="27" t="s">
        <v>1387</v>
      </c>
      <c r="P4065" s="27" t="s">
        <v>7371</v>
      </c>
      <c r="Q4065" s="26" t="str">
        <f>HYPERLINK("https://ictv.global/taxonomy/taxondetails?taxnode_id=202500970&amp;ictv_id=ICTV20150489","ICTV20150489")</f>
        <v>ICTV20150489</v>
      </c>
      <c r="R4065" t="s">
        <v>579</v>
      </c>
      <c r="S4065" t="s">
        <v>22763</v>
      </c>
      <c r="T4065">
        <v>41</v>
      </c>
      <c r="U4065" s="26" t="str">
        <f>HYPERLINK("https://ictv.global/ictv/proposals/2025.001B.Alphabravovirinae_1nsf_2ng_2ns.zip","2025.001B.Alphabravovirinae_1nsf_2ng_2ns.zip")</f>
        <v>2025.001B.Alphabravovirinae_1nsf_2ng_2ns.zip</v>
      </c>
    </row>
    <row r="4066" spans="1:21">
      <c r="A4066">
        <v>4065</v>
      </c>
      <c r="B4066" s="27" t="s">
        <v>1449</v>
      </c>
      <c r="D4066" s="27" t="s">
        <v>1450</v>
      </c>
      <c r="F4066" s="27" t="s">
        <v>1453</v>
      </c>
      <c r="H4066" s="27" t="s">
        <v>1454</v>
      </c>
      <c r="M4066" s="27" t="s">
        <v>20770</v>
      </c>
      <c r="N4066" s="27" t="s">
        <v>21099</v>
      </c>
      <c r="P4066" s="27" t="s">
        <v>21100</v>
      </c>
      <c r="Q4066" s="26" t="str">
        <f>HYPERLINK("https://ictv.global/taxonomy/taxondetails?taxnode_id=202522037&amp;ictv_id=ICTV202522037","ICTV202522037")</f>
        <v>ICTV202522037</v>
      </c>
      <c r="R4066" t="s">
        <v>579</v>
      </c>
      <c r="S4066" t="s">
        <v>823</v>
      </c>
      <c r="T4066">
        <v>41</v>
      </c>
      <c r="U4066" s="26" t="str">
        <f>HYPERLINK("https://ictv.global/ictv/proposals/2025.001B.Alphabravovirinae_1nsf_2ng_2ns.zip","2025.001B.Alphabravovirinae_1nsf_2ng_2ns.zip")</f>
        <v>2025.001B.Alphabravovirinae_1nsf_2ng_2ns.zip</v>
      </c>
    </row>
    <row r="4067" spans="1:21">
      <c r="A4067">
        <v>4066</v>
      </c>
      <c r="B4067" s="27" t="s">
        <v>1449</v>
      </c>
      <c r="D4067" s="27" t="s">
        <v>1450</v>
      </c>
      <c r="F4067" s="27" t="s">
        <v>1453</v>
      </c>
      <c r="H4067" s="27" t="s">
        <v>1454</v>
      </c>
      <c r="M4067" s="27" t="s">
        <v>20770</v>
      </c>
      <c r="N4067" s="27" t="s">
        <v>21097</v>
      </c>
      <c r="P4067" s="27" t="s">
        <v>21098</v>
      </c>
      <c r="Q4067" s="26" t="str">
        <f>HYPERLINK("https://ictv.global/taxonomy/taxondetails?taxnode_id=202522036&amp;ictv_id=ICTV202522036","ICTV202522036")</f>
        <v>ICTV202522036</v>
      </c>
      <c r="R4067" t="s">
        <v>579</v>
      </c>
      <c r="S4067" t="s">
        <v>823</v>
      </c>
      <c r="T4067">
        <v>41</v>
      </c>
      <c r="U4067" s="26" t="str">
        <f>HYPERLINK("https://ictv.global/ictv/proposals/2025.001B.Alphabravovirinae_1nsf_2ng_2ns.zip","2025.001B.Alphabravovirinae_1nsf_2ng_2ns.zip")</f>
        <v>2025.001B.Alphabravovirinae_1nsf_2ng_2ns.zip</v>
      </c>
    </row>
    <row r="4068" spans="1:21">
      <c r="A4068">
        <v>4067</v>
      </c>
      <c r="B4068" s="27" t="s">
        <v>1449</v>
      </c>
      <c r="D4068" s="27" t="s">
        <v>1450</v>
      </c>
      <c r="F4068" s="27" t="s">
        <v>1453</v>
      </c>
      <c r="H4068" s="27" t="s">
        <v>1454</v>
      </c>
      <c r="M4068" s="27" t="s">
        <v>20771</v>
      </c>
      <c r="N4068" s="27" t="s">
        <v>20772</v>
      </c>
      <c r="P4068" s="27" t="s">
        <v>21171</v>
      </c>
      <c r="Q4068" s="26" t="str">
        <f>HYPERLINK("https://ictv.global/taxonomy/taxondetails?taxnode_id=202522086&amp;ictv_id=ICTV202522086","ICTV202522086")</f>
        <v>ICTV202522086</v>
      </c>
      <c r="R4068" t="s">
        <v>579</v>
      </c>
      <c r="S4068" t="s">
        <v>823</v>
      </c>
      <c r="T4068">
        <v>41</v>
      </c>
      <c r="U4068" s="26" t="str">
        <f t="shared" ref="U4068:U4080" si="153">HYPERLINK("https://ictv.global/ictv/proposals/2025.002B.Alvaradovirinae_1nsf_3ng_10ns.zip","2025.002B.Alvaradovirinae_1nsf_3ng_10ns.zip")</f>
        <v>2025.002B.Alvaradovirinae_1nsf_3ng_10ns.zip</v>
      </c>
    </row>
    <row r="4069" spans="1:21">
      <c r="A4069">
        <v>4068</v>
      </c>
      <c r="B4069" s="27" t="s">
        <v>1449</v>
      </c>
      <c r="D4069" s="27" t="s">
        <v>1450</v>
      </c>
      <c r="F4069" s="27" t="s">
        <v>1453</v>
      </c>
      <c r="H4069" s="27" t="s">
        <v>1454</v>
      </c>
      <c r="M4069" s="27" t="s">
        <v>20771</v>
      </c>
      <c r="N4069" s="27" t="s">
        <v>20772</v>
      </c>
      <c r="P4069" s="27" t="s">
        <v>20773</v>
      </c>
      <c r="Q4069" s="26" t="str">
        <f>HYPERLINK("https://ictv.global/taxonomy/taxondetails?taxnode_id=202500993&amp;ictv_id=ICTV20164997","ICTV20164997")</f>
        <v>ICTV20164997</v>
      </c>
      <c r="R4069" t="s">
        <v>579</v>
      </c>
      <c r="S4069" t="s">
        <v>22764</v>
      </c>
      <c r="T4069">
        <v>41</v>
      </c>
      <c r="U4069" s="26" t="str">
        <f t="shared" si="153"/>
        <v>2025.002B.Alvaradovirinae_1nsf_3ng_10ns.zip</v>
      </c>
    </row>
    <row r="4070" spans="1:21">
      <c r="A4070">
        <v>4069</v>
      </c>
      <c r="B4070" s="27" t="s">
        <v>1449</v>
      </c>
      <c r="D4070" s="27" t="s">
        <v>1450</v>
      </c>
      <c r="F4070" s="27" t="s">
        <v>1453</v>
      </c>
      <c r="H4070" s="27" t="s">
        <v>1454</v>
      </c>
      <c r="M4070" s="27" t="s">
        <v>20771</v>
      </c>
      <c r="N4070" s="27" t="s">
        <v>21172</v>
      </c>
      <c r="P4070" s="27" t="s">
        <v>21177</v>
      </c>
      <c r="Q4070" s="26" t="str">
        <f>HYPERLINK("https://ictv.global/taxonomy/taxondetails?taxnode_id=202522091&amp;ictv_id=ICTV202522091","ICTV202522091")</f>
        <v>ICTV202522091</v>
      </c>
      <c r="R4070" t="s">
        <v>579</v>
      </c>
      <c r="S4070" t="s">
        <v>823</v>
      </c>
      <c r="T4070">
        <v>41</v>
      </c>
      <c r="U4070" s="26" t="str">
        <f t="shared" si="153"/>
        <v>2025.002B.Alvaradovirinae_1nsf_3ng_10ns.zip</v>
      </c>
    </row>
    <row r="4071" spans="1:21">
      <c r="A4071">
        <v>4070</v>
      </c>
      <c r="B4071" s="27" t="s">
        <v>1449</v>
      </c>
      <c r="D4071" s="27" t="s">
        <v>1450</v>
      </c>
      <c r="F4071" s="27" t="s">
        <v>1453</v>
      </c>
      <c r="H4071" s="27" t="s">
        <v>1454</v>
      </c>
      <c r="M4071" s="27" t="s">
        <v>20771</v>
      </c>
      <c r="N4071" s="27" t="s">
        <v>21172</v>
      </c>
      <c r="P4071" s="27" t="s">
        <v>21181</v>
      </c>
      <c r="Q4071" s="26" t="str">
        <f>HYPERLINK("https://ictv.global/taxonomy/taxondetails?taxnode_id=202522095&amp;ictv_id=ICTV202522095","ICTV202522095")</f>
        <v>ICTV202522095</v>
      </c>
      <c r="R4071" t="s">
        <v>579</v>
      </c>
      <c r="S4071" t="s">
        <v>823</v>
      </c>
      <c r="T4071">
        <v>41</v>
      </c>
      <c r="U4071" s="26" t="str">
        <f t="shared" si="153"/>
        <v>2025.002B.Alvaradovirinae_1nsf_3ng_10ns.zip</v>
      </c>
    </row>
    <row r="4072" spans="1:21">
      <c r="A4072">
        <v>4071</v>
      </c>
      <c r="B4072" s="27" t="s">
        <v>1449</v>
      </c>
      <c r="D4072" s="27" t="s">
        <v>1450</v>
      </c>
      <c r="F4072" s="27" t="s">
        <v>1453</v>
      </c>
      <c r="H4072" s="27" t="s">
        <v>1454</v>
      </c>
      <c r="M4072" s="27" t="s">
        <v>20771</v>
      </c>
      <c r="N4072" s="27" t="s">
        <v>21172</v>
      </c>
      <c r="P4072" s="27" t="s">
        <v>21174</v>
      </c>
      <c r="Q4072" s="26" t="str">
        <f>HYPERLINK("https://ictv.global/taxonomy/taxondetails?taxnode_id=202522088&amp;ictv_id=ICTV202522088","ICTV202522088")</f>
        <v>ICTV202522088</v>
      </c>
      <c r="R4072" t="s">
        <v>579</v>
      </c>
      <c r="S4072" t="s">
        <v>823</v>
      </c>
      <c r="T4072">
        <v>41</v>
      </c>
      <c r="U4072" s="26" t="str">
        <f t="shared" si="153"/>
        <v>2025.002B.Alvaradovirinae_1nsf_3ng_10ns.zip</v>
      </c>
    </row>
    <row r="4073" spans="1:21">
      <c r="A4073">
        <v>4072</v>
      </c>
      <c r="B4073" s="27" t="s">
        <v>1449</v>
      </c>
      <c r="D4073" s="27" t="s">
        <v>1450</v>
      </c>
      <c r="F4073" s="27" t="s">
        <v>1453</v>
      </c>
      <c r="H4073" s="27" t="s">
        <v>1454</v>
      </c>
      <c r="M4073" s="27" t="s">
        <v>20771</v>
      </c>
      <c r="N4073" s="27" t="s">
        <v>21172</v>
      </c>
      <c r="P4073" s="27" t="s">
        <v>21179</v>
      </c>
      <c r="Q4073" s="26" t="str">
        <f>HYPERLINK("https://ictv.global/taxonomy/taxondetails?taxnode_id=202522093&amp;ictv_id=ICTV202522093","ICTV202522093")</f>
        <v>ICTV202522093</v>
      </c>
      <c r="R4073" t="s">
        <v>579</v>
      </c>
      <c r="S4073" t="s">
        <v>823</v>
      </c>
      <c r="T4073">
        <v>41</v>
      </c>
      <c r="U4073" s="26" t="str">
        <f t="shared" si="153"/>
        <v>2025.002B.Alvaradovirinae_1nsf_3ng_10ns.zip</v>
      </c>
    </row>
    <row r="4074" spans="1:21">
      <c r="A4074">
        <v>4073</v>
      </c>
      <c r="B4074" s="27" t="s">
        <v>1449</v>
      </c>
      <c r="D4074" s="27" t="s">
        <v>1450</v>
      </c>
      <c r="F4074" s="27" t="s">
        <v>1453</v>
      </c>
      <c r="H4074" s="27" t="s">
        <v>1454</v>
      </c>
      <c r="M4074" s="27" t="s">
        <v>20771</v>
      </c>
      <c r="N4074" s="27" t="s">
        <v>21172</v>
      </c>
      <c r="P4074" s="27" t="s">
        <v>21175</v>
      </c>
      <c r="Q4074" s="26" t="str">
        <f>HYPERLINK("https://ictv.global/taxonomy/taxondetails?taxnode_id=202522089&amp;ictv_id=ICTV202522089","ICTV202522089")</f>
        <v>ICTV202522089</v>
      </c>
      <c r="R4074" t="s">
        <v>579</v>
      </c>
      <c r="S4074" t="s">
        <v>823</v>
      </c>
      <c r="T4074">
        <v>41</v>
      </c>
      <c r="U4074" s="26" t="str">
        <f t="shared" si="153"/>
        <v>2025.002B.Alvaradovirinae_1nsf_3ng_10ns.zip</v>
      </c>
    </row>
    <row r="4075" spans="1:21">
      <c r="A4075">
        <v>4074</v>
      </c>
      <c r="B4075" s="27" t="s">
        <v>1449</v>
      </c>
      <c r="D4075" s="27" t="s">
        <v>1450</v>
      </c>
      <c r="F4075" s="27" t="s">
        <v>1453</v>
      </c>
      <c r="H4075" s="27" t="s">
        <v>1454</v>
      </c>
      <c r="M4075" s="27" t="s">
        <v>20771</v>
      </c>
      <c r="N4075" s="27" t="s">
        <v>21172</v>
      </c>
      <c r="P4075" s="27" t="s">
        <v>21176</v>
      </c>
      <c r="Q4075" s="26" t="str">
        <f>HYPERLINK("https://ictv.global/taxonomy/taxondetails?taxnode_id=202522090&amp;ictv_id=ICTV202522090","ICTV202522090")</f>
        <v>ICTV202522090</v>
      </c>
      <c r="R4075" t="s">
        <v>579</v>
      </c>
      <c r="S4075" t="s">
        <v>823</v>
      </c>
      <c r="T4075">
        <v>41</v>
      </c>
      <c r="U4075" s="26" t="str">
        <f t="shared" si="153"/>
        <v>2025.002B.Alvaradovirinae_1nsf_3ng_10ns.zip</v>
      </c>
    </row>
    <row r="4076" spans="1:21">
      <c r="A4076">
        <v>4075</v>
      </c>
      <c r="B4076" s="27" t="s">
        <v>1449</v>
      </c>
      <c r="D4076" s="27" t="s">
        <v>1450</v>
      </c>
      <c r="F4076" s="27" t="s">
        <v>1453</v>
      </c>
      <c r="H4076" s="27" t="s">
        <v>1454</v>
      </c>
      <c r="M4076" s="27" t="s">
        <v>20771</v>
      </c>
      <c r="N4076" s="27" t="s">
        <v>21172</v>
      </c>
      <c r="P4076" s="27" t="s">
        <v>21178</v>
      </c>
      <c r="Q4076" s="26" t="str">
        <f>HYPERLINK("https://ictv.global/taxonomy/taxondetails?taxnode_id=202522092&amp;ictv_id=ICTV202522092","ICTV202522092")</f>
        <v>ICTV202522092</v>
      </c>
      <c r="R4076" t="s">
        <v>579</v>
      </c>
      <c r="S4076" t="s">
        <v>823</v>
      </c>
      <c r="T4076">
        <v>41</v>
      </c>
      <c r="U4076" s="26" t="str">
        <f t="shared" si="153"/>
        <v>2025.002B.Alvaradovirinae_1nsf_3ng_10ns.zip</v>
      </c>
    </row>
    <row r="4077" spans="1:21">
      <c r="A4077">
        <v>4076</v>
      </c>
      <c r="B4077" s="27" t="s">
        <v>1449</v>
      </c>
      <c r="D4077" s="27" t="s">
        <v>1450</v>
      </c>
      <c r="F4077" s="27" t="s">
        <v>1453</v>
      </c>
      <c r="H4077" s="27" t="s">
        <v>1454</v>
      </c>
      <c r="M4077" s="27" t="s">
        <v>20771</v>
      </c>
      <c r="N4077" s="27" t="s">
        <v>21172</v>
      </c>
      <c r="P4077" s="27" t="s">
        <v>21180</v>
      </c>
      <c r="Q4077" s="26" t="str">
        <f>HYPERLINK("https://ictv.global/taxonomy/taxondetails?taxnode_id=202522094&amp;ictv_id=ICTV202522094","ICTV202522094")</f>
        <v>ICTV202522094</v>
      </c>
      <c r="R4077" t="s">
        <v>579</v>
      </c>
      <c r="S4077" t="s">
        <v>823</v>
      </c>
      <c r="T4077">
        <v>41</v>
      </c>
      <c r="U4077" s="26" t="str">
        <f t="shared" si="153"/>
        <v>2025.002B.Alvaradovirinae_1nsf_3ng_10ns.zip</v>
      </c>
    </row>
    <row r="4078" spans="1:21">
      <c r="A4078">
        <v>4077</v>
      </c>
      <c r="B4078" s="27" t="s">
        <v>1449</v>
      </c>
      <c r="D4078" s="27" t="s">
        <v>1450</v>
      </c>
      <c r="F4078" s="27" t="s">
        <v>1453</v>
      </c>
      <c r="H4078" s="27" t="s">
        <v>1454</v>
      </c>
      <c r="M4078" s="27" t="s">
        <v>20771</v>
      </c>
      <c r="N4078" s="27" t="s">
        <v>21172</v>
      </c>
      <c r="P4078" s="27" t="s">
        <v>21173</v>
      </c>
      <c r="Q4078" s="26" t="str">
        <f>HYPERLINK("https://ictv.global/taxonomy/taxondetails?taxnode_id=202522087&amp;ictv_id=ICTV202522087","ICTV202522087")</f>
        <v>ICTV202522087</v>
      </c>
      <c r="R4078" t="s">
        <v>579</v>
      </c>
      <c r="S4078" t="s">
        <v>823</v>
      </c>
      <c r="T4078">
        <v>41</v>
      </c>
      <c r="U4078" s="26" t="str">
        <f t="shared" si="153"/>
        <v>2025.002B.Alvaradovirinae_1nsf_3ng_10ns.zip</v>
      </c>
    </row>
    <row r="4079" spans="1:21">
      <c r="A4079">
        <v>4078</v>
      </c>
      <c r="B4079" s="27" t="s">
        <v>1449</v>
      </c>
      <c r="D4079" s="27" t="s">
        <v>1450</v>
      </c>
      <c r="F4079" s="27" t="s">
        <v>1453</v>
      </c>
      <c r="H4079" s="27" t="s">
        <v>1454</v>
      </c>
      <c r="M4079" s="27" t="s">
        <v>20771</v>
      </c>
      <c r="N4079" s="27" t="s">
        <v>1421</v>
      </c>
      <c r="P4079" s="27" t="s">
        <v>7999</v>
      </c>
      <c r="Q4079" s="26" t="str">
        <f>HYPERLINK("https://ictv.global/taxonomy/taxondetails?taxnode_id=202500994&amp;ictv_id=ICTV20164998","ICTV20164998")</f>
        <v>ICTV20164998</v>
      </c>
      <c r="R4079" t="s">
        <v>579</v>
      </c>
      <c r="S4079" t="s">
        <v>22763</v>
      </c>
      <c r="T4079">
        <v>41</v>
      </c>
      <c r="U4079" s="26" t="str">
        <f t="shared" si="153"/>
        <v>2025.002B.Alvaradovirinae_1nsf_3ng_10ns.zip</v>
      </c>
    </row>
    <row r="4080" spans="1:21">
      <c r="A4080">
        <v>4079</v>
      </c>
      <c r="B4080" s="27" t="s">
        <v>1449</v>
      </c>
      <c r="D4080" s="27" t="s">
        <v>1450</v>
      </c>
      <c r="F4080" s="27" t="s">
        <v>1453</v>
      </c>
      <c r="H4080" s="27" t="s">
        <v>1454</v>
      </c>
      <c r="M4080" s="27" t="s">
        <v>20771</v>
      </c>
      <c r="N4080" s="27" t="s">
        <v>1421</v>
      </c>
      <c r="P4080" s="27" t="s">
        <v>21170</v>
      </c>
      <c r="Q4080" s="26" t="str">
        <f>HYPERLINK("https://ictv.global/taxonomy/taxondetails?taxnode_id=202522085&amp;ictv_id=ICTV202522085","ICTV202522085")</f>
        <v>ICTV202522085</v>
      </c>
      <c r="R4080" t="s">
        <v>579</v>
      </c>
      <c r="S4080" t="s">
        <v>823</v>
      </c>
      <c r="T4080">
        <v>41</v>
      </c>
      <c r="U4080" s="26" t="str">
        <f t="shared" si="153"/>
        <v>2025.002B.Alvaradovirinae_1nsf_3ng_10ns.zip</v>
      </c>
    </row>
    <row r="4081" spans="1:21">
      <c r="A4081">
        <v>4080</v>
      </c>
      <c r="B4081" s="27" t="s">
        <v>1449</v>
      </c>
      <c r="D4081" s="27" t="s">
        <v>1450</v>
      </c>
      <c r="F4081" s="27" t="s">
        <v>1453</v>
      </c>
      <c r="H4081" s="27" t="s">
        <v>1454</v>
      </c>
      <c r="M4081" s="27" t="s">
        <v>5789</v>
      </c>
      <c r="N4081" s="27" t="s">
        <v>5790</v>
      </c>
      <c r="P4081" s="27" t="s">
        <v>5791</v>
      </c>
      <c r="Q4081" s="26" t="str">
        <f>HYPERLINK("https://ictv.global/taxonomy/taxondetails?taxnode_id=202514475&amp;ictv_id=ICTV202214475","ICTV202214475")</f>
        <v>ICTV202214475</v>
      </c>
      <c r="R4081" t="s">
        <v>579</v>
      </c>
      <c r="S4081" t="s">
        <v>823</v>
      </c>
      <c r="T4081">
        <v>38</v>
      </c>
      <c r="U4081" s="26" t="str">
        <f>HYPERLINK("https://ictv.global/ictv/proposals/2022.005B.Andregratiavirinae_Joanripponvirinae_nsf.zip","2022.005B.Andregratiavirinae_Joanripponvirinae_nsf.zip")</f>
        <v>2022.005B.Andregratiavirinae_Joanripponvirinae_nsf.zip</v>
      </c>
    </row>
    <row r="4082" spans="1:21">
      <c r="A4082">
        <v>4081</v>
      </c>
      <c r="B4082" s="27" t="s">
        <v>1449</v>
      </c>
      <c r="D4082" s="27" t="s">
        <v>1450</v>
      </c>
      <c r="F4082" s="27" t="s">
        <v>1453</v>
      </c>
      <c r="H4082" s="27" t="s">
        <v>1454</v>
      </c>
      <c r="M4082" s="27" t="s">
        <v>5789</v>
      </c>
      <c r="N4082" s="27" t="s">
        <v>5792</v>
      </c>
      <c r="P4082" s="27" t="s">
        <v>5793</v>
      </c>
      <c r="Q4082" s="26" t="str">
        <f>HYPERLINK("https://ictv.global/taxonomy/taxondetails?taxnode_id=202514476&amp;ictv_id=ICTV202214476","ICTV202214476")</f>
        <v>ICTV202214476</v>
      </c>
      <c r="R4082" t="s">
        <v>579</v>
      </c>
      <c r="S4082" t="s">
        <v>823</v>
      </c>
      <c r="T4082">
        <v>38</v>
      </c>
      <c r="U4082" s="26" t="str">
        <f>HYPERLINK("https://ictv.global/ictv/proposals/2022.005B.Andregratiavirinae_Joanripponvirinae_nsf.zip","2022.005B.Andregratiavirinae_Joanripponvirinae_nsf.zip")</f>
        <v>2022.005B.Andregratiavirinae_Joanripponvirinae_nsf.zip</v>
      </c>
    </row>
    <row r="4083" spans="1:21">
      <c r="A4083">
        <v>4082</v>
      </c>
      <c r="B4083" s="27" t="s">
        <v>1449</v>
      </c>
      <c r="D4083" s="27" t="s">
        <v>1450</v>
      </c>
      <c r="F4083" s="27" t="s">
        <v>1453</v>
      </c>
      <c r="H4083" s="27" t="s">
        <v>1454</v>
      </c>
      <c r="M4083" s="27" t="s">
        <v>5794</v>
      </c>
      <c r="N4083" s="27" t="s">
        <v>5795</v>
      </c>
      <c r="P4083" s="27" t="s">
        <v>5796</v>
      </c>
      <c r="Q4083" s="26" t="str">
        <f>HYPERLINK("https://ictv.global/taxonomy/taxondetails?taxnode_id=202513119&amp;ictv_id=ICTV202113119","ICTV202113119")</f>
        <v>ICTV202113119</v>
      </c>
      <c r="R4083" t="s">
        <v>579</v>
      </c>
      <c r="S4083" t="s">
        <v>823</v>
      </c>
      <c r="T4083">
        <v>37</v>
      </c>
      <c r="U4083" s="26" t="str">
        <f>HYPERLINK("https://ictv.global/ictv/proposals/2021.002B.R.Andrewesvirinae.zip","2021.002B.R.Andrewesvirinae.zip")</f>
        <v>2021.002B.R.Andrewesvirinae.zip</v>
      </c>
    </row>
    <row r="4084" spans="1:21">
      <c r="A4084">
        <v>4083</v>
      </c>
      <c r="B4084" s="27" t="s">
        <v>1449</v>
      </c>
      <c r="D4084" s="27" t="s">
        <v>1450</v>
      </c>
      <c r="F4084" s="27" t="s">
        <v>1453</v>
      </c>
      <c r="H4084" s="27" t="s">
        <v>1454</v>
      </c>
      <c r="M4084" s="27" t="s">
        <v>5794</v>
      </c>
      <c r="N4084" s="27" t="s">
        <v>5797</v>
      </c>
      <c r="P4084" s="27" t="s">
        <v>5798</v>
      </c>
      <c r="Q4084" s="26" t="str">
        <f>HYPERLINK("https://ictv.global/taxonomy/taxondetails?taxnode_id=202513123&amp;ictv_id=ICTV202113123","ICTV202113123")</f>
        <v>ICTV202113123</v>
      </c>
      <c r="R4084" t="s">
        <v>579</v>
      </c>
      <c r="S4084" t="s">
        <v>823</v>
      </c>
      <c r="T4084">
        <v>37</v>
      </c>
      <c r="U4084" s="26" t="str">
        <f>HYPERLINK("https://ictv.global/ictv/proposals/2021.002B.R.Andrewesvirinae.zip","2021.002B.R.Andrewesvirinae.zip")</f>
        <v>2021.002B.R.Andrewesvirinae.zip</v>
      </c>
    </row>
    <row r="4085" spans="1:21">
      <c r="A4085">
        <v>4084</v>
      </c>
      <c r="B4085" s="27" t="s">
        <v>1449</v>
      </c>
      <c r="D4085" s="27" t="s">
        <v>1450</v>
      </c>
      <c r="F4085" s="27" t="s">
        <v>1453</v>
      </c>
      <c r="H4085" s="27" t="s">
        <v>1454</v>
      </c>
      <c r="M4085" s="27" t="s">
        <v>5794</v>
      </c>
      <c r="N4085" s="27" t="s">
        <v>5797</v>
      </c>
      <c r="P4085" s="27" t="s">
        <v>5799</v>
      </c>
      <c r="Q4085" s="26" t="str">
        <f>HYPERLINK("https://ictv.global/taxonomy/taxondetails?taxnode_id=202513121&amp;ictv_id=ICTV202113121","ICTV202113121")</f>
        <v>ICTV202113121</v>
      </c>
      <c r="R4085" t="s">
        <v>579</v>
      </c>
      <c r="S4085" t="s">
        <v>823</v>
      </c>
      <c r="T4085">
        <v>37</v>
      </c>
      <c r="U4085" s="26" t="str">
        <f>HYPERLINK("https://ictv.global/ictv/proposals/2021.002B.R.Andrewesvirinae.zip","2021.002B.R.Andrewesvirinae.zip")</f>
        <v>2021.002B.R.Andrewesvirinae.zip</v>
      </c>
    </row>
    <row r="4086" spans="1:21">
      <c r="A4086">
        <v>4085</v>
      </c>
      <c r="B4086" s="27" t="s">
        <v>1449</v>
      </c>
      <c r="D4086" s="27" t="s">
        <v>1450</v>
      </c>
      <c r="F4086" s="27" t="s">
        <v>1453</v>
      </c>
      <c r="H4086" s="27" t="s">
        <v>1454</v>
      </c>
      <c r="M4086" s="27" t="s">
        <v>5794</v>
      </c>
      <c r="N4086" s="27" t="s">
        <v>5797</v>
      </c>
      <c r="P4086" s="27" t="s">
        <v>5800</v>
      </c>
      <c r="Q4086" s="26" t="str">
        <f>HYPERLINK("https://ictv.global/taxonomy/taxondetails?taxnode_id=202513122&amp;ictv_id=ICTV202113122","ICTV202113122")</f>
        <v>ICTV202113122</v>
      </c>
      <c r="R4086" t="s">
        <v>579</v>
      </c>
      <c r="S4086" t="s">
        <v>823</v>
      </c>
      <c r="T4086">
        <v>37</v>
      </c>
      <c r="U4086" s="26" t="str">
        <f>HYPERLINK("https://ictv.global/ictv/proposals/2021.002B.R.Andrewesvirinae.zip","2021.002B.R.Andrewesvirinae.zip")</f>
        <v>2021.002B.R.Andrewesvirinae.zip</v>
      </c>
    </row>
    <row r="4087" spans="1:21">
      <c r="A4087">
        <v>4086</v>
      </c>
      <c r="B4087" s="27" t="s">
        <v>1449</v>
      </c>
      <c r="D4087" s="27" t="s">
        <v>1450</v>
      </c>
      <c r="F4087" s="27" t="s">
        <v>1453</v>
      </c>
      <c r="H4087" s="27" t="s">
        <v>1454</v>
      </c>
      <c r="M4087" s="27" t="s">
        <v>766</v>
      </c>
      <c r="N4087" s="27" t="s">
        <v>1314</v>
      </c>
      <c r="P4087" s="27" t="s">
        <v>5801</v>
      </c>
      <c r="Q4087" s="26" t="str">
        <f>HYPERLINK("https://ictv.global/taxonomy/taxondetails?taxnode_id=202500729&amp;ictv_id=ICTV20164945","ICTV20164945")</f>
        <v>ICTV20164945</v>
      </c>
      <c r="R4087" t="s">
        <v>579</v>
      </c>
      <c r="S4087" t="s">
        <v>824</v>
      </c>
      <c r="T4087">
        <v>37</v>
      </c>
      <c r="U4087" s="26" t="str">
        <f>HYPERLINK("https://ictv.global/ictv/proposals/2021.010B.R.Binomial_names.zip","2021.010B.R.Binomial_names.zip")</f>
        <v>2021.010B.R.Binomial_names.zip</v>
      </c>
    </row>
    <row r="4088" spans="1:21">
      <c r="A4088">
        <v>4087</v>
      </c>
      <c r="B4088" s="27" t="s">
        <v>1449</v>
      </c>
      <c r="D4088" s="27" t="s">
        <v>1450</v>
      </c>
      <c r="F4088" s="27" t="s">
        <v>1453</v>
      </c>
      <c r="H4088" s="27" t="s">
        <v>1454</v>
      </c>
      <c r="M4088" s="27" t="s">
        <v>766</v>
      </c>
      <c r="N4088" s="27" t="s">
        <v>1314</v>
      </c>
      <c r="P4088" s="27" t="s">
        <v>5802</v>
      </c>
      <c r="Q4088" s="26" t="str">
        <f>HYPERLINK("https://ictv.global/taxonomy/taxondetails?taxnode_id=202513152&amp;ictv_id=ICTV202113152","ICTV202113152")</f>
        <v>ICTV202113152</v>
      </c>
      <c r="R4088" t="s">
        <v>579</v>
      </c>
      <c r="S4088" t="s">
        <v>823</v>
      </c>
      <c r="T4088">
        <v>37</v>
      </c>
      <c r="U4088" s="26" t="str">
        <f>HYPERLINK("https://ictv.global/ictv/proposals/2021.005B.R.Arquatrovirinae.zip","2021.005B.R.Arquatrovirinae.zip")</f>
        <v>2021.005B.R.Arquatrovirinae.zip</v>
      </c>
    </row>
    <row r="4089" spans="1:21">
      <c r="A4089">
        <v>4088</v>
      </c>
      <c r="B4089" s="27" t="s">
        <v>1449</v>
      </c>
      <c r="D4089" s="27" t="s">
        <v>1450</v>
      </c>
      <c r="F4089" s="27" t="s">
        <v>1453</v>
      </c>
      <c r="H4089" s="27" t="s">
        <v>1454</v>
      </c>
      <c r="M4089" s="27" t="s">
        <v>766</v>
      </c>
      <c r="N4089" s="27" t="s">
        <v>1314</v>
      </c>
      <c r="P4089" s="27" t="s">
        <v>5803</v>
      </c>
      <c r="Q4089" s="26" t="str">
        <f>HYPERLINK("https://ictv.global/taxonomy/taxondetails?taxnode_id=202500730&amp;ictv_id=ICTV20164946","ICTV20164946")</f>
        <v>ICTV20164946</v>
      </c>
      <c r="R4089" t="s">
        <v>579</v>
      </c>
      <c r="S4089" t="s">
        <v>824</v>
      </c>
      <c r="T4089">
        <v>37</v>
      </c>
      <c r="U4089" s="26" t="str">
        <f>HYPERLINK("https://ictv.global/ictv/proposals/2021.010B.R.Binomial_names.zip","2021.010B.R.Binomial_names.zip")</f>
        <v>2021.010B.R.Binomial_names.zip</v>
      </c>
    </row>
    <row r="4090" spans="1:21">
      <c r="A4090">
        <v>4089</v>
      </c>
      <c r="B4090" s="27" t="s">
        <v>1449</v>
      </c>
      <c r="D4090" s="27" t="s">
        <v>1450</v>
      </c>
      <c r="F4090" s="27" t="s">
        <v>1453</v>
      </c>
      <c r="H4090" s="27" t="s">
        <v>1454</v>
      </c>
      <c r="M4090" s="27" t="s">
        <v>766</v>
      </c>
      <c r="N4090" s="27" t="s">
        <v>5804</v>
      </c>
      <c r="P4090" s="27" t="s">
        <v>5805</v>
      </c>
      <c r="Q4090" s="26" t="str">
        <f>HYPERLINK("https://ictv.global/taxonomy/taxondetails?taxnode_id=202513150&amp;ictv_id=ICTV202113150","ICTV202113150")</f>
        <v>ICTV202113150</v>
      </c>
      <c r="R4090" t="s">
        <v>579</v>
      </c>
      <c r="S4090" t="s">
        <v>823</v>
      </c>
      <c r="T4090">
        <v>37</v>
      </c>
      <c r="U4090" s="26" t="str">
        <f t="shared" ref="U4090:U4095" si="154">HYPERLINK("https://ictv.global/ictv/proposals/2021.005B.R.Arquatrovirinae.zip","2021.005B.R.Arquatrovirinae.zip")</f>
        <v>2021.005B.R.Arquatrovirinae.zip</v>
      </c>
    </row>
    <row r="4091" spans="1:21">
      <c r="A4091">
        <v>4090</v>
      </c>
      <c r="B4091" s="27" t="s">
        <v>1449</v>
      </c>
      <c r="D4091" s="27" t="s">
        <v>1450</v>
      </c>
      <c r="F4091" s="27" t="s">
        <v>1453</v>
      </c>
      <c r="H4091" s="27" t="s">
        <v>1454</v>
      </c>
      <c r="M4091" s="27" t="s">
        <v>766</v>
      </c>
      <c r="N4091" s="27" t="s">
        <v>5804</v>
      </c>
      <c r="P4091" s="27" t="s">
        <v>5806</v>
      </c>
      <c r="Q4091" s="26" t="str">
        <f>HYPERLINK("https://ictv.global/taxonomy/taxondetails?taxnode_id=202513147&amp;ictv_id=ICTV202113147","ICTV202113147")</f>
        <v>ICTV202113147</v>
      </c>
      <c r="R4091" t="s">
        <v>579</v>
      </c>
      <c r="S4091" t="s">
        <v>823</v>
      </c>
      <c r="T4091">
        <v>37</v>
      </c>
      <c r="U4091" s="26" t="str">
        <f t="shared" si="154"/>
        <v>2021.005B.R.Arquatrovirinae.zip</v>
      </c>
    </row>
    <row r="4092" spans="1:21">
      <c r="A4092">
        <v>4091</v>
      </c>
      <c r="B4092" s="27" t="s">
        <v>1449</v>
      </c>
      <c r="D4092" s="27" t="s">
        <v>1450</v>
      </c>
      <c r="F4092" s="27" t="s">
        <v>1453</v>
      </c>
      <c r="H4092" s="27" t="s">
        <v>1454</v>
      </c>
      <c r="M4092" s="27" t="s">
        <v>766</v>
      </c>
      <c r="N4092" s="27" t="s">
        <v>5804</v>
      </c>
      <c r="P4092" s="27" t="s">
        <v>5807</v>
      </c>
      <c r="Q4092" s="26" t="str">
        <f>HYPERLINK("https://ictv.global/taxonomy/taxondetails?taxnode_id=202513149&amp;ictv_id=ICTV202113149","ICTV202113149")</f>
        <v>ICTV202113149</v>
      </c>
      <c r="R4092" t="s">
        <v>579</v>
      </c>
      <c r="S4092" t="s">
        <v>823</v>
      </c>
      <c r="T4092">
        <v>37</v>
      </c>
      <c r="U4092" s="26" t="str">
        <f t="shared" si="154"/>
        <v>2021.005B.R.Arquatrovirinae.zip</v>
      </c>
    </row>
    <row r="4093" spans="1:21">
      <c r="A4093">
        <v>4092</v>
      </c>
      <c r="B4093" s="27" t="s">
        <v>1449</v>
      </c>
      <c r="D4093" s="27" t="s">
        <v>1450</v>
      </c>
      <c r="F4093" s="27" t="s">
        <v>1453</v>
      </c>
      <c r="H4093" s="27" t="s">
        <v>1454</v>
      </c>
      <c r="M4093" s="27" t="s">
        <v>766</v>
      </c>
      <c r="N4093" s="27" t="s">
        <v>5804</v>
      </c>
      <c r="P4093" s="27" t="s">
        <v>5808</v>
      </c>
      <c r="Q4093" s="26" t="str">
        <f>HYPERLINK("https://ictv.global/taxonomy/taxondetails?taxnode_id=202513148&amp;ictv_id=ICTV202113148","ICTV202113148")</f>
        <v>ICTV202113148</v>
      </c>
      <c r="R4093" t="s">
        <v>579</v>
      </c>
      <c r="S4093" t="s">
        <v>823</v>
      </c>
      <c r="T4093">
        <v>37</v>
      </c>
      <c r="U4093" s="26" t="str">
        <f t="shared" si="154"/>
        <v>2021.005B.R.Arquatrovirinae.zip</v>
      </c>
    </row>
    <row r="4094" spans="1:21">
      <c r="A4094">
        <v>4093</v>
      </c>
      <c r="B4094" s="27" t="s">
        <v>1449</v>
      </c>
      <c r="D4094" s="27" t="s">
        <v>1450</v>
      </c>
      <c r="F4094" s="27" t="s">
        <v>1453</v>
      </c>
      <c r="H4094" s="27" t="s">
        <v>1454</v>
      </c>
      <c r="M4094" s="27" t="s">
        <v>766</v>
      </c>
      <c r="N4094" s="27" t="s">
        <v>5804</v>
      </c>
      <c r="P4094" s="27" t="s">
        <v>5809</v>
      </c>
      <c r="Q4094" s="26" t="str">
        <f>HYPERLINK("https://ictv.global/taxonomy/taxondetails?taxnode_id=202513151&amp;ictv_id=ICTV202113151","ICTV202113151")</f>
        <v>ICTV202113151</v>
      </c>
      <c r="R4094" t="s">
        <v>579</v>
      </c>
      <c r="S4094" t="s">
        <v>823</v>
      </c>
      <c r="T4094">
        <v>37</v>
      </c>
      <c r="U4094" s="26" t="str">
        <f t="shared" si="154"/>
        <v>2021.005B.R.Arquatrovirinae.zip</v>
      </c>
    </row>
    <row r="4095" spans="1:21">
      <c r="A4095">
        <v>4094</v>
      </c>
      <c r="B4095" s="27" t="s">
        <v>1449</v>
      </c>
      <c r="D4095" s="27" t="s">
        <v>1450</v>
      </c>
      <c r="F4095" s="27" t="s">
        <v>1453</v>
      </c>
      <c r="H4095" s="27" t="s">
        <v>1454</v>
      </c>
      <c r="M4095" s="27" t="s">
        <v>766</v>
      </c>
      <c r="N4095" s="27" t="s">
        <v>767</v>
      </c>
      <c r="P4095" s="27" t="s">
        <v>5810</v>
      </c>
      <c r="Q4095" s="26" t="str">
        <f>HYPERLINK("https://ictv.global/taxonomy/taxondetails?taxnode_id=202513158&amp;ictv_id=ICTV202113158","ICTV202113158")</f>
        <v>ICTV202113158</v>
      </c>
      <c r="R4095" t="s">
        <v>579</v>
      </c>
      <c r="S4095" t="s">
        <v>823</v>
      </c>
      <c r="T4095">
        <v>37</v>
      </c>
      <c r="U4095" s="26" t="str">
        <f t="shared" si="154"/>
        <v>2021.005B.R.Arquatrovirinae.zip</v>
      </c>
    </row>
    <row r="4096" spans="1:21">
      <c r="A4096">
        <v>4095</v>
      </c>
      <c r="B4096" s="27" t="s">
        <v>1449</v>
      </c>
      <c r="D4096" s="27" t="s">
        <v>1450</v>
      </c>
      <c r="F4096" s="27" t="s">
        <v>1453</v>
      </c>
      <c r="H4096" s="27" t="s">
        <v>1454</v>
      </c>
      <c r="M4096" s="27" t="s">
        <v>766</v>
      </c>
      <c r="N4096" s="27" t="s">
        <v>767</v>
      </c>
      <c r="P4096" s="27" t="s">
        <v>5811</v>
      </c>
      <c r="Q4096" s="26" t="str">
        <f>HYPERLINK("https://ictv.global/taxonomy/taxondetails?taxnode_id=202500716&amp;ictv_id=ICTV20164934","ICTV20164934")</f>
        <v>ICTV20164934</v>
      </c>
      <c r="R4096" t="s">
        <v>579</v>
      </c>
      <c r="S4096" t="s">
        <v>824</v>
      </c>
      <c r="T4096">
        <v>37</v>
      </c>
      <c r="U4096" s="26" t="str">
        <f>HYPERLINK("https://ictv.global/ictv/proposals/2021.010B.R.Binomial_names.zip","2021.010B.R.Binomial_names.zip")</f>
        <v>2021.010B.R.Binomial_names.zip</v>
      </c>
    </row>
    <row r="4097" spans="1:21">
      <c r="A4097">
        <v>4096</v>
      </c>
      <c r="B4097" s="27" t="s">
        <v>1449</v>
      </c>
      <c r="D4097" s="27" t="s">
        <v>1450</v>
      </c>
      <c r="F4097" s="27" t="s">
        <v>1453</v>
      </c>
      <c r="H4097" s="27" t="s">
        <v>1454</v>
      </c>
      <c r="M4097" s="27" t="s">
        <v>766</v>
      </c>
      <c r="N4097" s="27" t="s">
        <v>767</v>
      </c>
      <c r="P4097" s="27" t="s">
        <v>5812</v>
      </c>
      <c r="Q4097" s="26" t="str">
        <f>HYPERLINK("https://ictv.global/taxonomy/taxondetails?taxnode_id=202500717&amp;ictv_id=ICTV20164935","ICTV20164935")</f>
        <v>ICTV20164935</v>
      </c>
      <c r="R4097" t="s">
        <v>579</v>
      </c>
      <c r="S4097" t="s">
        <v>824</v>
      </c>
      <c r="T4097">
        <v>37</v>
      </c>
      <c r="U4097" s="26" t="str">
        <f>HYPERLINK("https://ictv.global/ictv/proposals/2021.010B.R.Binomial_names.zip","2021.010B.R.Binomial_names.zip")</f>
        <v>2021.010B.R.Binomial_names.zip</v>
      </c>
    </row>
    <row r="4098" spans="1:21">
      <c r="A4098">
        <v>4097</v>
      </c>
      <c r="B4098" s="27" t="s">
        <v>1449</v>
      </c>
      <c r="D4098" s="27" t="s">
        <v>1450</v>
      </c>
      <c r="F4098" s="27" t="s">
        <v>1453</v>
      </c>
      <c r="H4098" s="27" t="s">
        <v>1454</v>
      </c>
      <c r="M4098" s="27" t="s">
        <v>766</v>
      </c>
      <c r="N4098" s="27" t="s">
        <v>767</v>
      </c>
      <c r="P4098" s="27" t="s">
        <v>5813</v>
      </c>
      <c r="Q4098" s="26" t="str">
        <f>HYPERLINK("https://ictv.global/taxonomy/taxondetails?taxnode_id=202513153&amp;ictv_id=ICTV202113153","ICTV202113153")</f>
        <v>ICTV202113153</v>
      </c>
      <c r="R4098" t="s">
        <v>579</v>
      </c>
      <c r="S4098" t="s">
        <v>823</v>
      </c>
      <c r="T4098">
        <v>37</v>
      </c>
      <c r="U4098" s="26" t="str">
        <f>HYPERLINK("https://ictv.global/ictv/proposals/2021.005B.R.Arquatrovirinae.zip","2021.005B.R.Arquatrovirinae.zip")</f>
        <v>2021.005B.R.Arquatrovirinae.zip</v>
      </c>
    </row>
    <row r="4099" spans="1:21">
      <c r="A4099">
        <v>4098</v>
      </c>
      <c r="B4099" s="27" t="s">
        <v>1449</v>
      </c>
      <c r="D4099" s="27" t="s">
        <v>1450</v>
      </c>
      <c r="F4099" s="27" t="s">
        <v>1453</v>
      </c>
      <c r="H4099" s="27" t="s">
        <v>1454</v>
      </c>
      <c r="M4099" s="27" t="s">
        <v>766</v>
      </c>
      <c r="N4099" s="27" t="s">
        <v>767</v>
      </c>
      <c r="P4099" s="27" t="s">
        <v>5814</v>
      </c>
      <c r="Q4099" s="26" t="str">
        <f>HYPERLINK("https://ictv.global/taxonomy/taxondetails?taxnode_id=202513154&amp;ictv_id=ICTV202113154","ICTV202113154")</f>
        <v>ICTV202113154</v>
      </c>
      <c r="R4099" t="s">
        <v>579</v>
      </c>
      <c r="S4099" t="s">
        <v>823</v>
      </c>
      <c r="T4099">
        <v>37</v>
      </c>
      <c r="U4099" s="26" t="str">
        <f>HYPERLINK("https://ictv.global/ictv/proposals/2021.005B.R.Arquatrovirinae.zip","2021.005B.R.Arquatrovirinae.zip")</f>
        <v>2021.005B.R.Arquatrovirinae.zip</v>
      </c>
    </row>
    <row r="4100" spans="1:21">
      <c r="A4100">
        <v>4099</v>
      </c>
      <c r="B4100" s="27" t="s">
        <v>1449</v>
      </c>
      <c r="D4100" s="27" t="s">
        <v>1450</v>
      </c>
      <c r="F4100" s="27" t="s">
        <v>1453</v>
      </c>
      <c r="H4100" s="27" t="s">
        <v>1454</v>
      </c>
      <c r="M4100" s="27" t="s">
        <v>766</v>
      </c>
      <c r="N4100" s="27" t="s">
        <v>767</v>
      </c>
      <c r="P4100" s="27" t="s">
        <v>5815</v>
      </c>
      <c r="Q4100" s="26" t="str">
        <f>HYPERLINK("https://ictv.global/taxonomy/taxondetails?taxnode_id=202513155&amp;ictv_id=ICTV202113155","ICTV202113155")</f>
        <v>ICTV202113155</v>
      </c>
      <c r="R4100" t="s">
        <v>579</v>
      </c>
      <c r="S4100" t="s">
        <v>823</v>
      </c>
      <c r="T4100">
        <v>37</v>
      </c>
      <c r="U4100" s="26" t="str">
        <f>HYPERLINK("https://ictv.global/ictv/proposals/2021.005B.R.Arquatrovirinae.zip","2021.005B.R.Arquatrovirinae.zip")</f>
        <v>2021.005B.R.Arquatrovirinae.zip</v>
      </c>
    </row>
    <row r="4101" spans="1:21">
      <c r="A4101">
        <v>4100</v>
      </c>
      <c r="B4101" s="27" t="s">
        <v>1449</v>
      </c>
      <c r="D4101" s="27" t="s">
        <v>1450</v>
      </c>
      <c r="F4101" s="27" t="s">
        <v>1453</v>
      </c>
      <c r="H4101" s="27" t="s">
        <v>1454</v>
      </c>
      <c r="M4101" s="27" t="s">
        <v>766</v>
      </c>
      <c r="N4101" s="27" t="s">
        <v>767</v>
      </c>
      <c r="P4101" s="27" t="s">
        <v>5816</v>
      </c>
      <c r="Q4101" s="26" t="str">
        <f>HYPERLINK("https://ictv.global/taxonomy/taxondetails?taxnode_id=202513156&amp;ictv_id=ICTV202113156","ICTV202113156")</f>
        <v>ICTV202113156</v>
      </c>
      <c r="R4101" t="s">
        <v>579</v>
      </c>
      <c r="S4101" t="s">
        <v>823</v>
      </c>
      <c r="T4101">
        <v>37</v>
      </c>
      <c r="U4101" s="26" t="str">
        <f>HYPERLINK("https://ictv.global/ictv/proposals/2021.005B.R.Arquatrovirinae.zip","2021.005B.R.Arquatrovirinae.zip")</f>
        <v>2021.005B.R.Arquatrovirinae.zip</v>
      </c>
    </row>
    <row r="4102" spans="1:21">
      <c r="A4102">
        <v>4101</v>
      </c>
      <c r="B4102" s="27" t="s">
        <v>1449</v>
      </c>
      <c r="D4102" s="27" t="s">
        <v>1450</v>
      </c>
      <c r="F4102" s="27" t="s">
        <v>1453</v>
      </c>
      <c r="H4102" s="27" t="s">
        <v>1454</v>
      </c>
      <c r="M4102" s="27" t="s">
        <v>766</v>
      </c>
      <c r="N4102" s="27" t="s">
        <v>767</v>
      </c>
      <c r="P4102" s="27" t="s">
        <v>5817</v>
      </c>
      <c r="Q4102" s="26" t="str">
        <f>HYPERLINK("https://ictv.global/taxonomy/taxondetails?taxnode_id=202513157&amp;ictv_id=ICTV202113157","ICTV202113157")</f>
        <v>ICTV202113157</v>
      </c>
      <c r="R4102" t="s">
        <v>579</v>
      </c>
      <c r="S4102" t="s">
        <v>823</v>
      </c>
      <c r="T4102">
        <v>37</v>
      </c>
      <c r="U4102" s="26" t="str">
        <f>HYPERLINK("https://ictv.global/ictv/proposals/2021.005B.R.Arquatrovirinae.zip","2021.005B.R.Arquatrovirinae.zip")</f>
        <v>2021.005B.R.Arquatrovirinae.zip</v>
      </c>
    </row>
    <row r="4103" spans="1:21">
      <c r="A4103">
        <v>4102</v>
      </c>
      <c r="B4103" s="27" t="s">
        <v>1449</v>
      </c>
      <c r="D4103" s="27" t="s">
        <v>1450</v>
      </c>
      <c r="F4103" s="27" t="s">
        <v>1453</v>
      </c>
      <c r="H4103" s="27" t="s">
        <v>1454</v>
      </c>
      <c r="M4103" s="27" t="s">
        <v>766</v>
      </c>
      <c r="N4103" s="27" t="s">
        <v>767</v>
      </c>
      <c r="P4103" s="27" t="s">
        <v>19706</v>
      </c>
      <c r="Q4103" s="26" t="str">
        <f>HYPERLINK("https://ictv.global/taxonomy/taxondetails?taxnode_id=202520875&amp;ictv_id=ICTV202420875","ICTV202420875")</f>
        <v>ICTV202420875</v>
      </c>
      <c r="R4103" t="s">
        <v>579</v>
      </c>
      <c r="S4103" t="s">
        <v>823</v>
      </c>
      <c r="T4103">
        <v>40</v>
      </c>
      <c r="U4103" s="26" t="str">
        <f>HYPERLINK("https://ictv.global/ictv/proposals/2024.041B.Camvirus_2ns.zip","2024.041B.Camvirus_2ns.zip")</f>
        <v>2024.041B.Camvirus_2ns.zip</v>
      </c>
    </row>
    <row r="4104" spans="1:21">
      <c r="A4104">
        <v>4103</v>
      </c>
      <c r="B4104" s="27" t="s">
        <v>1449</v>
      </c>
      <c r="D4104" s="27" t="s">
        <v>1450</v>
      </c>
      <c r="F4104" s="27" t="s">
        <v>1453</v>
      </c>
      <c r="H4104" s="27" t="s">
        <v>1454</v>
      </c>
      <c r="M4104" s="27" t="s">
        <v>766</v>
      </c>
      <c r="N4104" s="27" t="s">
        <v>767</v>
      </c>
      <c r="P4104" s="27" t="s">
        <v>19707</v>
      </c>
      <c r="Q4104" s="26" t="str">
        <f>HYPERLINK("https://ictv.global/taxonomy/taxondetails?taxnode_id=202520876&amp;ictv_id=ICTV202420876","ICTV202420876")</f>
        <v>ICTV202420876</v>
      </c>
      <c r="R4104" t="s">
        <v>579</v>
      </c>
      <c r="S4104" t="s">
        <v>823</v>
      </c>
      <c r="T4104">
        <v>40</v>
      </c>
      <c r="U4104" s="26" t="str">
        <f>HYPERLINK("https://ictv.global/ictv/proposals/2024.041B.Camvirus_2ns.zip","2024.041B.Camvirus_2ns.zip")</f>
        <v>2024.041B.Camvirus_2ns.zip</v>
      </c>
    </row>
    <row r="4105" spans="1:21">
      <c r="A4105">
        <v>4104</v>
      </c>
      <c r="B4105" s="27" t="s">
        <v>1449</v>
      </c>
      <c r="D4105" s="27" t="s">
        <v>1450</v>
      </c>
      <c r="F4105" s="27" t="s">
        <v>1453</v>
      </c>
      <c r="H4105" s="27" t="s">
        <v>1454</v>
      </c>
      <c r="M4105" s="27" t="s">
        <v>766</v>
      </c>
      <c r="N4105" s="27" t="s">
        <v>5818</v>
      </c>
      <c r="P4105" s="27" t="s">
        <v>5819</v>
      </c>
      <c r="Q4105" s="26" t="str">
        <f>HYPERLINK("https://ictv.global/taxonomy/taxondetails?taxnode_id=202513129&amp;ictv_id=ICTV202113129","ICTV202113129")</f>
        <v>ICTV202113129</v>
      </c>
      <c r="R4105" t="s">
        <v>579</v>
      </c>
      <c r="S4105" t="s">
        <v>823</v>
      </c>
      <c r="T4105">
        <v>37</v>
      </c>
      <c r="U4105" s="26" t="str">
        <f>HYPERLINK("https://ictv.global/ictv/proposals/2021.005B.R.Arquatrovirinae.zip","2021.005B.R.Arquatrovirinae.zip")</f>
        <v>2021.005B.R.Arquatrovirinae.zip</v>
      </c>
    </row>
    <row r="4106" spans="1:21">
      <c r="A4106">
        <v>4105</v>
      </c>
      <c r="B4106" s="27" t="s">
        <v>1449</v>
      </c>
      <c r="D4106" s="27" t="s">
        <v>1450</v>
      </c>
      <c r="F4106" s="27" t="s">
        <v>1453</v>
      </c>
      <c r="H4106" s="27" t="s">
        <v>1454</v>
      </c>
      <c r="M4106" s="27" t="s">
        <v>766</v>
      </c>
      <c r="N4106" s="27" t="s">
        <v>5820</v>
      </c>
      <c r="P4106" s="27" t="s">
        <v>5821</v>
      </c>
      <c r="Q4106" s="26" t="str">
        <f>HYPERLINK("https://ictv.global/taxonomy/taxondetails?taxnode_id=202500732&amp;ictv_id=ICTV20164947","ICTV20164947")</f>
        <v>ICTV20164947</v>
      </c>
      <c r="R4106" t="s">
        <v>579</v>
      </c>
      <c r="S4106" t="s">
        <v>22764</v>
      </c>
      <c r="T4106">
        <v>37</v>
      </c>
      <c r="U4106" s="26" t="str">
        <f>HYPERLINK("https://ictv.global/ictv/proposals/2021.005B.R.Arquatrovirinae.zip","2021.005B.R.Arquatrovirinae.zip")</f>
        <v>2021.005B.R.Arquatrovirinae.zip</v>
      </c>
    </row>
    <row r="4107" spans="1:21">
      <c r="A4107">
        <v>4106</v>
      </c>
      <c r="B4107" s="27" t="s">
        <v>1449</v>
      </c>
      <c r="D4107" s="27" t="s">
        <v>1450</v>
      </c>
      <c r="F4107" s="27" t="s">
        <v>1453</v>
      </c>
      <c r="H4107" s="27" t="s">
        <v>1454</v>
      </c>
      <c r="M4107" s="27" t="s">
        <v>766</v>
      </c>
      <c r="N4107" s="27" t="s">
        <v>5822</v>
      </c>
      <c r="P4107" s="27" t="s">
        <v>5823</v>
      </c>
      <c r="Q4107" s="26" t="str">
        <f>HYPERLINK("https://ictv.global/taxonomy/taxondetails?taxnode_id=202513140&amp;ictv_id=ICTV202113140","ICTV202113140")</f>
        <v>ICTV202113140</v>
      </c>
      <c r="R4107" t="s">
        <v>579</v>
      </c>
      <c r="S4107" t="s">
        <v>823</v>
      </c>
      <c r="T4107">
        <v>37</v>
      </c>
      <c r="U4107" s="26" t="str">
        <f>HYPERLINK("https://ictv.global/ictv/proposals/2021.005B.R.Arquatrovirinae.zip","2021.005B.R.Arquatrovirinae.zip")</f>
        <v>2021.005B.R.Arquatrovirinae.zip</v>
      </c>
    </row>
    <row r="4108" spans="1:21">
      <c r="A4108">
        <v>4107</v>
      </c>
      <c r="B4108" s="27" t="s">
        <v>1449</v>
      </c>
      <c r="D4108" s="27" t="s">
        <v>1450</v>
      </c>
      <c r="F4108" s="27" t="s">
        <v>1453</v>
      </c>
      <c r="H4108" s="27" t="s">
        <v>1454</v>
      </c>
      <c r="M4108" s="27" t="s">
        <v>766</v>
      </c>
      <c r="N4108" s="27" t="s">
        <v>5822</v>
      </c>
      <c r="P4108" s="27" t="s">
        <v>5824</v>
      </c>
      <c r="Q4108" s="26" t="str">
        <f>HYPERLINK("https://ictv.global/taxonomy/taxondetails?taxnode_id=202513139&amp;ictv_id=ICTV202113139","ICTV202113139")</f>
        <v>ICTV202113139</v>
      </c>
      <c r="R4108" t="s">
        <v>579</v>
      </c>
      <c r="S4108" t="s">
        <v>823</v>
      </c>
      <c r="T4108">
        <v>37</v>
      </c>
      <c r="U4108" s="26" t="str">
        <f>HYPERLINK("https://ictv.global/ictv/proposals/2021.005B.R.Arquatrovirinae.zip","2021.005B.R.Arquatrovirinae.zip")</f>
        <v>2021.005B.R.Arquatrovirinae.zip</v>
      </c>
    </row>
    <row r="4109" spans="1:21">
      <c r="A4109">
        <v>4108</v>
      </c>
      <c r="B4109" s="27" t="s">
        <v>1449</v>
      </c>
      <c r="D4109" s="27" t="s">
        <v>1450</v>
      </c>
      <c r="F4109" s="27" t="s">
        <v>1453</v>
      </c>
      <c r="H4109" s="27" t="s">
        <v>1454</v>
      </c>
      <c r="M4109" s="27" t="s">
        <v>766</v>
      </c>
      <c r="N4109" s="27" t="s">
        <v>5822</v>
      </c>
      <c r="P4109" s="27" t="s">
        <v>5825</v>
      </c>
      <c r="Q4109" s="26" t="str">
        <f>HYPERLINK("https://ictv.global/taxonomy/taxondetails?taxnode_id=202514639&amp;ictv_id=ICTV202214639","ICTV202214639")</f>
        <v>ICTV202214639</v>
      </c>
      <c r="R4109" t="s">
        <v>579</v>
      </c>
      <c r="S4109" t="s">
        <v>823</v>
      </c>
      <c r="T4109">
        <v>38</v>
      </c>
      <c r="U4109" s="26" t="str">
        <f>HYPERLINK("https://ictv.global/ictv/proposals/2022.041B.Janusvirus_1nsp.zip","2022.041B.Janusvirus_1nsp.zip")</f>
        <v>2022.041B.Janusvirus_1nsp.zip</v>
      </c>
    </row>
    <row r="4110" spans="1:21">
      <c r="A4110">
        <v>4109</v>
      </c>
      <c r="B4110" s="27" t="s">
        <v>1449</v>
      </c>
      <c r="D4110" s="27" t="s">
        <v>1450</v>
      </c>
      <c r="F4110" s="27" t="s">
        <v>1453</v>
      </c>
      <c r="H4110" s="27" t="s">
        <v>1454</v>
      </c>
      <c r="M4110" s="27" t="s">
        <v>766</v>
      </c>
      <c r="N4110" s="27" t="s">
        <v>768</v>
      </c>
      <c r="P4110" s="27" t="s">
        <v>5826</v>
      </c>
      <c r="Q4110" s="26" t="str">
        <f>HYPERLINK("https://ictv.global/taxonomy/taxondetails?taxnode_id=202500719&amp;ictv_id=ICTV20164936","ICTV20164936")</f>
        <v>ICTV20164936</v>
      </c>
      <c r="R4110" t="s">
        <v>579</v>
      </c>
      <c r="S4110" t="s">
        <v>824</v>
      </c>
      <c r="T4110">
        <v>37</v>
      </c>
      <c r="U4110" s="26" t="str">
        <f>HYPERLINK("https://ictv.global/ictv/proposals/2021.010B.R.Binomial_names.zip","2021.010B.R.Binomial_names.zip")</f>
        <v>2021.010B.R.Binomial_names.zip</v>
      </c>
    </row>
    <row r="4111" spans="1:21">
      <c r="A4111">
        <v>4110</v>
      </c>
      <c r="B4111" s="27" t="s">
        <v>1449</v>
      </c>
      <c r="D4111" s="27" t="s">
        <v>1450</v>
      </c>
      <c r="F4111" s="27" t="s">
        <v>1453</v>
      </c>
      <c r="H4111" s="27" t="s">
        <v>1454</v>
      </c>
      <c r="M4111" s="27" t="s">
        <v>766</v>
      </c>
      <c r="N4111" s="27" t="s">
        <v>768</v>
      </c>
      <c r="P4111" s="27" t="s">
        <v>5827</v>
      </c>
      <c r="Q4111" s="26" t="str">
        <f>HYPERLINK("https://ictv.global/taxonomy/taxondetails?taxnode_id=202500720&amp;ictv_id=ICTV20164937","ICTV20164937")</f>
        <v>ICTV20164937</v>
      </c>
      <c r="R4111" t="s">
        <v>579</v>
      </c>
      <c r="S4111" t="s">
        <v>824</v>
      </c>
      <c r="T4111">
        <v>37</v>
      </c>
      <c r="U4111" s="26" t="str">
        <f>HYPERLINK("https://ictv.global/ictv/proposals/2021.010B.R.Binomial_names.zip","2021.010B.R.Binomial_names.zip")</f>
        <v>2021.010B.R.Binomial_names.zip</v>
      </c>
    </row>
    <row r="4112" spans="1:21">
      <c r="A4112">
        <v>4111</v>
      </c>
      <c r="B4112" s="27" t="s">
        <v>1449</v>
      </c>
      <c r="D4112" s="27" t="s">
        <v>1450</v>
      </c>
      <c r="F4112" s="27" t="s">
        <v>1453</v>
      </c>
      <c r="H4112" s="27" t="s">
        <v>1454</v>
      </c>
      <c r="M4112" s="27" t="s">
        <v>766</v>
      </c>
      <c r="N4112" s="27" t="s">
        <v>768</v>
      </c>
      <c r="P4112" s="27" t="s">
        <v>5828</v>
      </c>
      <c r="Q4112" s="26" t="str">
        <f>HYPERLINK("https://ictv.global/taxonomy/taxondetails?taxnode_id=202500721&amp;ictv_id=ICTV20164938","ICTV20164938")</f>
        <v>ICTV20164938</v>
      </c>
      <c r="R4112" t="s">
        <v>579</v>
      </c>
      <c r="S4112" t="s">
        <v>824</v>
      </c>
      <c r="T4112">
        <v>37</v>
      </c>
      <c r="U4112" s="26" t="str">
        <f>HYPERLINK("https://ictv.global/ictv/proposals/2021.010B.R.Binomial_names.zip","2021.010B.R.Binomial_names.zip")</f>
        <v>2021.010B.R.Binomial_names.zip</v>
      </c>
    </row>
    <row r="4113" spans="1:21">
      <c r="A4113">
        <v>4112</v>
      </c>
      <c r="B4113" s="27" t="s">
        <v>1449</v>
      </c>
      <c r="D4113" s="27" t="s">
        <v>1450</v>
      </c>
      <c r="F4113" s="27" t="s">
        <v>1453</v>
      </c>
      <c r="H4113" s="27" t="s">
        <v>1454</v>
      </c>
      <c r="M4113" s="27" t="s">
        <v>766</v>
      </c>
      <c r="N4113" s="27" t="s">
        <v>768</v>
      </c>
      <c r="P4113" s="27" t="s">
        <v>5829</v>
      </c>
      <c r="Q4113" s="26" t="str">
        <f>HYPERLINK("https://ictv.global/taxonomy/taxondetails?taxnode_id=202513161&amp;ictv_id=ICTV202113161","ICTV202113161")</f>
        <v>ICTV202113161</v>
      </c>
      <c r="R4113" t="s">
        <v>579</v>
      </c>
      <c r="S4113" t="s">
        <v>823</v>
      </c>
      <c r="T4113">
        <v>37</v>
      </c>
      <c r="U4113" s="26" t="str">
        <f>HYPERLINK("https://ictv.global/ictv/proposals/2021.005B.R.Arquatrovirinae.zip","2021.005B.R.Arquatrovirinae.zip")</f>
        <v>2021.005B.R.Arquatrovirinae.zip</v>
      </c>
    </row>
    <row r="4114" spans="1:21">
      <c r="A4114">
        <v>4113</v>
      </c>
      <c r="B4114" s="27" t="s">
        <v>1449</v>
      </c>
      <c r="D4114" s="27" t="s">
        <v>1450</v>
      </c>
      <c r="F4114" s="27" t="s">
        <v>1453</v>
      </c>
      <c r="H4114" s="27" t="s">
        <v>1454</v>
      </c>
      <c r="M4114" s="27" t="s">
        <v>766</v>
      </c>
      <c r="N4114" s="27" t="s">
        <v>768</v>
      </c>
      <c r="P4114" s="27" t="s">
        <v>5830</v>
      </c>
      <c r="Q4114" s="26" t="str">
        <f>HYPERLINK("https://ictv.global/taxonomy/taxondetails?taxnode_id=202500722&amp;ictv_id=ICTV20164939","ICTV20164939")</f>
        <v>ICTV20164939</v>
      </c>
      <c r="R4114" t="s">
        <v>579</v>
      </c>
      <c r="S4114" t="s">
        <v>824</v>
      </c>
      <c r="T4114">
        <v>37</v>
      </c>
      <c r="U4114" s="26" t="str">
        <f>HYPERLINK("https://ictv.global/ictv/proposals/2021.010B.R.Binomial_names.zip","2021.010B.R.Binomial_names.zip")</f>
        <v>2021.010B.R.Binomial_names.zip</v>
      </c>
    </row>
    <row r="4115" spans="1:21">
      <c r="A4115">
        <v>4114</v>
      </c>
      <c r="B4115" s="27" t="s">
        <v>1449</v>
      </c>
      <c r="D4115" s="27" t="s">
        <v>1450</v>
      </c>
      <c r="F4115" s="27" t="s">
        <v>1453</v>
      </c>
      <c r="H4115" s="27" t="s">
        <v>1454</v>
      </c>
      <c r="M4115" s="27" t="s">
        <v>766</v>
      </c>
      <c r="N4115" s="27" t="s">
        <v>768</v>
      </c>
      <c r="P4115" s="27" t="s">
        <v>5831</v>
      </c>
      <c r="Q4115" s="26" t="str">
        <f>HYPERLINK("https://ictv.global/taxonomy/taxondetails?taxnode_id=202500723&amp;ictv_id=ICTV20164940","ICTV20164940")</f>
        <v>ICTV20164940</v>
      </c>
      <c r="R4115" t="s">
        <v>579</v>
      </c>
      <c r="S4115" t="s">
        <v>824</v>
      </c>
      <c r="T4115">
        <v>37</v>
      </c>
      <c r="U4115" s="26" t="str">
        <f>HYPERLINK("https://ictv.global/ictv/proposals/2021.010B.R.Binomial_names.zip","2021.010B.R.Binomial_names.zip")</f>
        <v>2021.010B.R.Binomial_names.zip</v>
      </c>
    </row>
    <row r="4116" spans="1:21">
      <c r="A4116">
        <v>4115</v>
      </c>
      <c r="B4116" s="27" t="s">
        <v>1449</v>
      </c>
      <c r="D4116" s="27" t="s">
        <v>1450</v>
      </c>
      <c r="F4116" s="27" t="s">
        <v>1453</v>
      </c>
      <c r="H4116" s="27" t="s">
        <v>1454</v>
      </c>
      <c r="M4116" s="27" t="s">
        <v>766</v>
      </c>
      <c r="N4116" s="27" t="s">
        <v>768</v>
      </c>
      <c r="P4116" s="27" t="s">
        <v>5832</v>
      </c>
      <c r="Q4116" s="26" t="str">
        <f>HYPERLINK("https://ictv.global/taxonomy/taxondetails?taxnode_id=202500724&amp;ictv_id=ICTV20164941","ICTV20164941")</f>
        <v>ICTV20164941</v>
      </c>
      <c r="R4116" t="s">
        <v>579</v>
      </c>
      <c r="S4116" t="s">
        <v>824</v>
      </c>
      <c r="T4116">
        <v>37</v>
      </c>
      <c r="U4116" s="26" t="str">
        <f>HYPERLINK("https://ictv.global/ictv/proposals/2021.010B.R.Binomial_names.zip","2021.010B.R.Binomial_names.zip")</f>
        <v>2021.010B.R.Binomial_names.zip</v>
      </c>
    </row>
    <row r="4117" spans="1:21">
      <c r="A4117">
        <v>4116</v>
      </c>
      <c r="B4117" s="27" t="s">
        <v>1449</v>
      </c>
      <c r="D4117" s="27" t="s">
        <v>1450</v>
      </c>
      <c r="F4117" s="27" t="s">
        <v>1453</v>
      </c>
      <c r="H4117" s="27" t="s">
        <v>1454</v>
      </c>
      <c r="M4117" s="27" t="s">
        <v>766</v>
      </c>
      <c r="N4117" s="27" t="s">
        <v>768</v>
      </c>
      <c r="P4117" s="27" t="s">
        <v>5833</v>
      </c>
      <c r="Q4117" s="26" t="str">
        <f>HYPERLINK("https://ictv.global/taxonomy/taxondetails?taxnode_id=202500725&amp;ictv_id=ICTV20164942","ICTV20164942")</f>
        <v>ICTV20164942</v>
      </c>
      <c r="R4117" t="s">
        <v>579</v>
      </c>
      <c r="S4117" t="s">
        <v>824</v>
      </c>
      <c r="T4117">
        <v>37</v>
      </c>
      <c r="U4117" s="26" t="str">
        <f>HYPERLINK("https://ictv.global/ictv/proposals/2021.010B.R.Binomial_names.zip","2021.010B.R.Binomial_names.zip")</f>
        <v>2021.010B.R.Binomial_names.zip</v>
      </c>
    </row>
    <row r="4118" spans="1:21">
      <c r="A4118">
        <v>4117</v>
      </c>
      <c r="B4118" s="27" t="s">
        <v>1449</v>
      </c>
      <c r="D4118" s="27" t="s">
        <v>1450</v>
      </c>
      <c r="F4118" s="27" t="s">
        <v>1453</v>
      </c>
      <c r="H4118" s="27" t="s">
        <v>1454</v>
      </c>
      <c r="M4118" s="27" t="s">
        <v>766</v>
      </c>
      <c r="N4118" s="27" t="s">
        <v>768</v>
      </c>
      <c r="P4118" s="27" t="s">
        <v>5834</v>
      </c>
      <c r="Q4118" s="26" t="str">
        <f>HYPERLINK("https://ictv.global/taxonomy/taxondetails?taxnode_id=202513162&amp;ictv_id=ICTV202113162","ICTV202113162")</f>
        <v>ICTV202113162</v>
      </c>
      <c r="R4118" t="s">
        <v>579</v>
      </c>
      <c r="S4118" t="s">
        <v>823</v>
      </c>
      <c r="T4118">
        <v>37</v>
      </c>
      <c r="U4118" s="26" t="str">
        <f>HYPERLINK("https://ictv.global/ictv/proposals/2021.005B.R.Arquatrovirinae.zip","2021.005B.R.Arquatrovirinae.zip")</f>
        <v>2021.005B.R.Arquatrovirinae.zip</v>
      </c>
    </row>
    <row r="4119" spans="1:21">
      <c r="A4119">
        <v>4118</v>
      </c>
      <c r="B4119" s="27" t="s">
        <v>1449</v>
      </c>
      <c r="D4119" s="27" t="s">
        <v>1450</v>
      </c>
      <c r="F4119" s="27" t="s">
        <v>1453</v>
      </c>
      <c r="H4119" s="27" t="s">
        <v>1454</v>
      </c>
      <c r="M4119" s="27" t="s">
        <v>766</v>
      </c>
      <c r="N4119" s="27" t="s">
        <v>768</v>
      </c>
      <c r="P4119" s="27" t="s">
        <v>5835</v>
      </c>
      <c r="Q4119" s="26" t="str">
        <f>HYPERLINK("https://ictv.global/taxonomy/taxondetails?taxnode_id=202513163&amp;ictv_id=ICTV202113163","ICTV202113163")</f>
        <v>ICTV202113163</v>
      </c>
      <c r="R4119" t="s">
        <v>579</v>
      </c>
      <c r="S4119" t="s">
        <v>823</v>
      </c>
      <c r="T4119">
        <v>37</v>
      </c>
      <c r="U4119" s="26" t="str">
        <f>HYPERLINK("https://ictv.global/ictv/proposals/2021.005B.R.Arquatrovirinae.zip","2021.005B.R.Arquatrovirinae.zip")</f>
        <v>2021.005B.R.Arquatrovirinae.zip</v>
      </c>
    </row>
    <row r="4120" spans="1:21">
      <c r="A4120">
        <v>4119</v>
      </c>
      <c r="B4120" s="27" t="s">
        <v>1449</v>
      </c>
      <c r="D4120" s="27" t="s">
        <v>1450</v>
      </c>
      <c r="F4120" s="27" t="s">
        <v>1453</v>
      </c>
      <c r="H4120" s="27" t="s">
        <v>1454</v>
      </c>
      <c r="M4120" s="27" t="s">
        <v>766</v>
      </c>
      <c r="N4120" s="27" t="s">
        <v>768</v>
      </c>
      <c r="P4120" s="27" t="s">
        <v>5836</v>
      </c>
      <c r="Q4120" s="26" t="str">
        <f>HYPERLINK("https://ictv.global/taxonomy/taxondetails?taxnode_id=202500726&amp;ictv_id=ICTV20164943","ICTV20164943")</f>
        <v>ICTV20164943</v>
      </c>
      <c r="R4120" t="s">
        <v>579</v>
      </c>
      <c r="S4120" t="s">
        <v>824</v>
      </c>
      <c r="T4120">
        <v>37</v>
      </c>
      <c r="U4120" s="26" t="str">
        <f>HYPERLINK("https://ictv.global/ictv/proposals/2021.010B.R.Binomial_names.zip","2021.010B.R.Binomial_names.zip")</f>
        <v>2021.010B.R.Binomial_names.zip</v>
      </c>
    </row>
    <row r="4121" spans="1:21">
      <c r="A4121">
        <v>4120</v>
      </c>
      <c r="B4121" s="27" t="s">
        <v>1449</v>
      </c>
      <c r="D4121" s="27" t="s">
        <v>1450</v>
      </c>
      <c r="F4121" s="27" t="s">
        <v>1453</v>
      </c>
      <c r="H4121" s="27" t="s">
        <v>1454</v>
      </c>
      <c r="M4121" s="27" t="s">
        <v>766</v>
      </c>
      <c r="N4121" s="27" t="s">
        <v>768</v>
      </c>
      <c r="P4121" s="27" t="s">
        <v>5837</v>
      </c>
      <c r="Q4121" s="26" t="str">
        <f>HYPERLINK("https://ictv.global/taxonomy/taxondetails?taxnode_id=202513160&amp;ictv_id=ICTV202113160","ICTV202113160")</f>
        <v>ICTV202113160</v>
      </c>
      <c r="R4121" t="s">
        <v>579</v>
      </c>
      <c r="S4121" t="s">
        <v>823</v>
      </c>
      <c r="T4121">
        <v>37</v>
      </c>
      <c r="U4121" s="26" t="str">
        <f>HYPERLINK("https://ictv.global/ictv/proposals/2021.005B.R.Arquatrovirinae.zip","2021.005B.R.Arquatrovirinae.zip")</f>
        <v>2021.005B.R.Arquatrovirinae.zip</v>
      </c>
    </row>
    <row r="4122" spans="1:21">
      <c r="A4122">
        <v>4121</v>
      </c>
      <c r="B4122" s="27" t="s">
        <v>1449</v>
      </c>
      <c r="D4122" s="27" t="s">
        <v>1450</v>
      </c>
      <c r="F4122" s="27" t="s">
        <v>1453</v>
      </c>
      <c r="H4122" s="27" t="s">
        <v>1454</v>
      </c>
      <c r="M4122" s="27" t="s">
        <v>766</v>
      </c>
      <c r="N4122" s="27" t="s">
        <v>768</v>
      </c>
      <c r="P4122" s="27" t="s">
        <v>5838</v>
      </c>
      <c r="Q4122" s="26" t="str">
        <f>HYPERLINK("https://ictv.global/taxonomy/taxondetails?taxnode_id=202513159&amp;ictv_id=ICTV202113159","ICTV202113159")</f>
        <v>ICTV202113159</v>
      </c>
      <c r="R4122" t="s">
        <v>579</v>
      </c>
      <c r="S4122" t="s">
        <v>823</v>
      </c>
      <c r="T4122">
        <v>37</v>
      </c>
      <c r="U4122" s="26" t="str">
        <f>HYPERLINK("https://ictv.global/ictv/proposals/2021.005B.R.Arquatrovirinae.zip","2021.005B.R.Arquatrovirinae.zip")</f>
        <v>2021.005B.R.Arquatrovirinae.zip</v>
      </c>
    </row>
    <row r="4123" spans="1:21">
      <c r="A4123">
        <v>4122</v>
      </c>
      <c r="B4123" s="27" t="s">
        <v>1449</v>
      </c>
      <c r="D4123" s="27" t="s">
        <v>1450</v>
      </c>
      <c r="F4123" s="27" t="s">
        <v>1453</v>
      </c>
      <c r="H4123" s="27" t="s">
        <v>1454</v>
      </c>
      <c r="M4123" s="27" t="s">
        <v>766</v>
      </c>
      <c r="N4123" s="27" t="s">
        <v>768</v>
      </c>
      <c r="P4123" s="27" t="s">
        <v>5839</v>
      </c>
      <c r="Q4123" s="26" t="str">
        <f>HYPERLINK("https://ictv.global/taxonomy/taxondetails?taxnode_id=202500727&amp;ictv_id=ICTV20164944","ICTV20164944")</f>
        <v>ICTV20164944</v>
      </c>
      <c r="R4123" t="s">
        <v>579</v>
      </c>
      <c r="S4123" t="s">
        <v>824</v>
      </c>
      <c r="T4123">
        <v>37</v>
      </c>
      <c r="U4123" s="26" t="str">
        <f>HYPERLINK("https://ictv.global/ictv/proposals/2021.010B.R.Binomial_names.zip","2021.010B.R.Binomial_names.zip")</f>
        <v>2021.010B.R.Binomial_names.zip</v>
      </c>
    </row>
    <row r="4124" spans="1:21">
      <c r="A4124">
        <v>4123</v>
      </c>
      <c r="B4124" s="27" t="s">
        <v>1449</v>
      </c>
      <c r="D4124" s="27" t="s">
        <v>1450</v>
      </c>
      <c r="F4124" s="27" t="s">
        <v>1453</v>
      </c>
      <c r="H4124" s="27" t="s">
        <v>1454</v>
      </c>
      <c r="M4124" s="27" t="s">
        <v>766</v>
      </c>
      <c r="N4124" s="27" t="s">
        <v>5840</v>
      </c>
      <c r="P4124" s="27" t="s">
        <v>5841</v>
      </c>
      <c r="Q4124" s="26" t="str">
        <f>HYPERLINK("https://ictv.global/taxonomy/taxondetails?taxnode_id=202513144&amp;ictv_id=ICTV202113144","ICTV202113144")</f>
        <v>ICTV202113144</v>
      </c>
      <c r="R4124" t="s">
        <v>579</v>
      </c>
      <c r="S4124" t="s">
        <v>823</v>
      </c>
      <c r="T4124">
        <v>37</v>
      </c>
      <c r="U4124" s="26" t="str">
        <f t="shared" ref="U4124:U4131" si="155">HYPERLINK("https://ictv.global/ictv/proposals/2021.005B.R.Arquatrovirinae.zip","2021.005B.R.Arquatrovirinae.zip")</f>
        <v>2021.005B.R.Arquatrovirinae.zip</v>
      </c>
    </row>
    <row r="4125" spans="1:21">
      <c r="A4125">
        <v>4124</v>
      </c>
      <c r="B4125" s="27" t="s">
        <v>1449</v>
      </c>
      <c r="D4125" s="27" t="s">
        <v>1450</v>
      </c>
      <c r="F4125" s="27" t="s">
        <v>1453</v>
      </c>
      <c r="H4125" s="27" t="s">
        <v>1454</v>
      </c>
      <c r="M4125" s="27" t="s">
        <v>766</v>
      </c>
      <c r="N4125" s="27" t="s">
        <v>5840</v>
      </c>
      <c r="P4125" s="27" t="s">
        <v>5842</v>
      </c>
      <c r="Q4125" s="26" t="str">
        <f>HYPERLINK("https://ictv.global/taxonomy/taxondetails?taxnode_id=202513143&amp;ictv_id=ICTV202113143","ICTV202113143")</f>
        <v>ICTV202113143</v>
      </c>
      <c r="R4125" t="s">
        <v>579</v>
      </c>
      <c r="S4125" t="s">
        <v>823</v>
      </c>
      <c r="T4125">
        <v>37</v>
      </c>
      <c r="U4125" s="26" t="str">
        <f t="shared" si="155"/>
        <v>2021.005B.R.Arquatrovirinae.zip</v>
      </c>
    </row>
    <row r="4126" spans="1:21">
      <c r="A4126">
        <v>4125</v>
      </c>
      <c r="B4126" s="27" t="s">
        <v>1449</v>
      </c>
      <c r="D4126" s="27" t="s">
        <v>1450</v>
      </c>
      <c r="F4126" s="27" t="s">
        <v>1453</v>
      </c>
      <c r="H4126" s="27" t="s">
        <v>1454</v>
      </c>
      <c r="M4126" s="27" t="s">
        <v>766</v>
      </c>
      <c r="N4126" s="27" t="s">
        <v>5840</v>
      </c>
      <c r="P4126" s="27" t="s">
        <v>5843</v>
      </c>
      <c r="Q4126" s="26" t="str">
        <f>HYPERLINK("https://ictv.global/taxonomy/taxondetails?taxnode_id=202513142&amp;ictv_id=ICTV202113142","ICTV202113142")</f>
        <v>ICTV202113142</v>
      </c>
      <c r="R4126" t="s">
        <v>579</v>
      </c>
      <c r="S4126" t="s">
        <v>823</v>
      </c>
      <c r="T4126">
        <v>37</v>
      </c>
      <c r="U4126" s="26" t="str">
        <f t="shared" si="155"/>
        <v>2021.005B.R.Arquatrovirinae.zip</v>
      </c>
    </row>
    <row r="4127" spans="1:21">
      <c r="A4127">
        <v>4126</v>
      </c>
      <c r="B4127" s="27" t="s">
        <v>1449</v>
      </c>
      <c r="D4127" s="27" t="s">
        <v>1450</v>
      </c>
      <c r="F4127" s="27" t="s">
        <v>1453</v>
      </c>
      <c r="H4127" s="27" t="s">
        <v>1454</v>
      </c>
      <c r="M4127" s="27" t="s">
        <v>766</v>
      </c>
      <c r="N4127" s="27" t="s">
        <v>5840</v>
      </c>
      <c r="P4127" s="27" t="s">
        <v>5844</v>
      </c>
      <c r="Q4127" s="26" t="str">
        <f>HYPERLINK("https://ictv.global/taxonomy/taxondetails?taxnode_id=202513145&amp;ictv_id=ICTV202113145","ICTV202113145")</f>
        <v>ICTV202113145</v>
      </c>
      <c r="R4127" t="s">
        <v>579</v>
      </c>
      <c r="S4127" t="s">
        <v>823</v>
      </c>
      <c r="T4127">
        <v>37</v>
      </c>
      <c r="U4127" s="26" t="str">
        <f t="shared" si="155"/>
        <v>2021.005B.R.Arquatrovirinae.zip</v>
      </c>
    </row>
    <row r="4128" spans="1:21">
      <c r="A4128">
        <v>4127</v>
      </c>
      <c r="B4128" s="27" t="s">
        <v>1449</v>
      </c>
      <c r="D4128" s="27" t="s">
        <v>1450</v>
      </c>
      <c r="F4128" s="27" t="s">
        <v>1453</v>
      </c>
      <c r="H4128" s="27" t="s">
        <v>1454</v>
      </c>
      <c r="M4128" s="27" t="s">
        <v>766</v>
      </c>
      <c r="N4128" s="27" t="s">
        <v>5845</v>
      </c>
      <c r="P4128" s="27" t="s">
        <v>5846</v>
      </c>
      <c r="Q4128" s="26" t="str">
        <f>HYPERLINK("https://ictv.global/taxonomy/taxondetails?taxnode_id=202513134&amp;ictv_id=ICTV202113134","ICTV202113134")</f>
        <v>ICTV202113134</v>
      </c>
      <c r="R4128" t="s">
        <v>579</v>
      </c>
      <c r="S4128" t="s">
        <v>823</v>
      </c>
      <c r="T4128">
        <v>37</v>
      </c>
      <c r="U4128" s="26" t="str">
        <f t="shared" si="155"/>
        <v>2021.005B.R.Arquatrovirinae.zip</v>
      </c>
    </row>
    <row r="4129" spans="1:21">
      <c r="A4129">
        <v>4128</v>
      </c>
      <c r="B4129" s="27" t="s">
        <v>1449</v>
      </c>
      <c r="D4129" s="27" t="s">
        <v>1450</v>
      </c>
      <c r="F4129" s="27" t="s">
        <v>1453</v>
      </c>
      <c r="H4129" s="27" t="s">
        <v>1454</v>
      </c>
      <c r="M4129" s="27" t="s">
        <v>766</v>
      </c>
      <c r="N4129" s="27" t="s">
        <v>5847</v>
      </c>
      <c r="P4129" s="27" t="s">
        <v>5848</v>
      </c>
      <c r="Q4129" s="26" t="str">
        <f>HYPERLINK("https://ictv.global/taxonomy/taxondetails?taxnode_id=202513136&amp;ictv_id=ICTV202113136","ICTV202113136")</f>
        <v>ICTV202113136</v>
      </c>
      <c r="R4129" t="s">
        <v>579</v>
      </c>
      <c r="S4129" t="s">
        <v>823</v>
      </c>
      <c r="T4129">
        <v>37</v>
      </c>
      <c r="U4129" s="26" t="str">
        <f t="shared" si="155"/>
        <v>2021.005B.R.Arquatrovirinae.zip</v>
      </c>
    </row>
    <row r="4130" spans="1:21">
      <c r="A4130">
        <v>4129</v>
      </c>
      <c r="B4130" s="27" t="s">
        <v>1449</v>
      </c>
      <c r="D4130" s="27" t="s">
        <v>1450</v>
      </c>
      <c r="F4130" s="27" t="s">
        <v>1453</v>
      </c>
      <c r="H4130" s="27" t="s">
        <v>1454</v>
      </c>
      <c r="M4130" s="27" t="s">
        <v>766</v>
      </c>
      <c r="N4130" s="27" t="s">
        <v>5847</v>
      </c>
      <c r="P4130" s="27" t="s">
        <v>5849</v>
      </c>
      <c r="Q4130" s="26" t="str">
        <f>HYPERLINK("https://ictv.global/taxonomy/taxondetails?taxnode_id=202513137&amp;ictv_id=ICTV202113137","ICTV202113137")</f>
        <v>ICTV202113137</v>
      </c>
      <c r="R4130" t="s">
        <v>579</v>
      </c>
      <c r="S4130" t="s">
        <v>823</v>
      </c>
      <c r="T4130">
        <v>37</v>
      </c>
      <c r="U4130" s="26" t="str">
        <f t="shared" si="155"/>
        <v>2021.005B.R.Arquatrovirinae.zip</v>
      </c>
    </row>
    <row r="4131" spans="1:21">
      <c r="A4131">
        <v>4130</v>
      </c>
      <c r="B4131" s="27" t="s">
        <v>1449</v>
      </c>
      <c r="D4131" s="27" t="s">
        <v>1450</v>
      </c>
      <c r="F4131" s="27" t="s">
        <v>1453</v>
      </c>
      <c r="H4131" s="27" t="s">
        <v>1454</v>
      </c>
      <c r="M4131" s="27" t="s">
        <v>766</v>
      </c>
      <c r="N4131" s="27" t="s">
        <v>5850</v>
      </c>
      <c r="P4131" s="27" t="s">
        <v>5851</v>
      </c>
      <c r="Q4131" s="26" t="str">
        <f>HYPERLINK("https://ictv.global/taxonomy/taxondetails?taxnode_id=202513132&amp;ictv_id=ICTV202113132","ICTV202113132")</f>
        <v>ICTV202113132</v>
      </c>
      <c r="R4131" t="s">
        <v>579</v>
      </c>
      <c r="S4131" t="s">
        <v>823</v>
      </c>
      <c r="T4131">
        <v>37</v>
      </c>
      <c r="U4131" s="26" t="str">
        <f t="shared" si="155"/>
        <v>2021.005B.R.Arquatrovirinae.zip</v>
      </c>
    </row>
    <row r="4132" spans="1:21">
      <c r="A4132">
        <v>4131</v>
      </c>
      <c r="B4132" s="27" t="s">
        <v>1449</v>
      </c>
      <c r="D4132" s="27" t="s">
        <v>1450</v>
      </c>
      <c r="F4132" s="27" t="s">
        <v>1453</v>
      </c>
      <c r="H4132" s="27" t="s">
        <v>1454</v>
      </c>
      <c r="M4132" s="27" t="s">
        <v>2208</v>
      </c>
      <c r="N4132" s="27" t="s">
        <v>2209</v>
      </c>
      <c r="P4132" s="27" t="s">
        <v>5868</v>
      </c>
      <c r="Q4132" s="26" t="str">
        <f>HYPERLINK("https://ictv.global/taxonomy/taxondetails?taxnode_id=202509559&amp;ictv_id=ICTV202009559","ICTV202009559")</f>
        <v>ICTV202009559</v>
      </c>
      <c r="R4132" t="s">
        <v>579</v>
      </c>
      <c r="S4132" t="s">
        <v>824</v>
      </c>
      <c r="T4132">
        <v>37</v>
      </c>
      <c r="U4132" s="26" t="str">
        <f t="shared" ref="U4132:U4163" si="156">HYPERLINK("https://ictv.global/ictv/proposals/2021.010B.R.Binomial_names.zip","2021.010B.R.Binomial_names.zip")</f>
        <v>2021.010B.R.Binomial_names.zip</v>
      </c>
    </row>
    <row r="4133" spans="1:21">
      <c r="A4133">
        <v>4132</v>
      </c>
      <c r="B4133" s="27" t="s">
        <v>1449</v>
      </c>
      <c r="D4133" s="27" t="s">
        <v>1450</v>
      </c>
      <c r="F4133" s="27" t="s">
        <v>1453</v>
      </c>
      <c r="H4133" s="27" t="s">
        <v>1454</v>
      </c>
      <c r="M4133" s="27" t="s">
        <v>2208</v>
      </c>
      <c r="N4133" s="27" t="s">
        <v>2209</v>
      </c>
      <c r="P4133" s="27" t="s">
        <v>5869</v>
      </c>
      <c r="Q4133" s="26" t="str">
        <f>HYPERLINK("https://ictv.global/taxonomy/taxondetails?taxnode_id=202501195&amp;ictv_id=ICTV20140525","ICTV20140525")</f>
        <v>ICTV20140525</v>
      </c>
      <c r="R4133" t="s">
        <v>579</v>
      </c>
      <c r="S4133" t="s">
        <v>824</v>
      </c>
      <c r="T4133">
        <v>37</v>
      </c>
      <c r="U4133" s="26" t="str">
        <f t="shared" si="156"/>
        <v>2021.010B.R.Binomial_names.zip</v>
      </c>
    </row>
    <row r="4134" spans="1:21">
      <c r="A4134">
        <v>4133</v>
      </c>
      <c r="B4134" s="27" t="s">
        <v>1449</v>
      </c>
      <c r="D4134" s="27" t="s">
        <v>1450</v>
      </c>
      <c r="F4134" s="27" t="s">
        <v>1453</v>
      </c>
      <c r="H4134" s="27" t="s">
        <v>1454</v>
      </c>
      <c r="M4134" s="27" t="s">
        <v>2208</v>
      </c>
      <c r="N4134" s="27" t="s">
        <v>2209</v>
      </c>
      <c r="P4134" s="27" t="s">
        <v>5870</v>
      </c>
      <c r="Q4134" s="26" t="str">
        <f>HYPERLINK("https://ictv.global/taxonomy/taxondetails?taxnode_id=202501198&amp;ictv_id=ICTV20140530","ICTV20140530")</f>
        <v>ICTV20140530</v>
      </c>
      <c r="R4134" t="s">
        <v>579</v>
      </c>
      <c r="S4134" t="s">
        <v>824</v>
      </c>
      <c r="T4134">
        <v>37</v>
      </c>
      <c r="U4134" s="26" t="str">
        <f t="shared" si="156"/>
        <v>2021.010B.R.Binomial_names.zip</v>
      </c>
    </row>
    <row r="4135" spans="1:21">
      <c r="A4135">
        <v>4134</v>
      </c>
      <c r="B4135" s="27" t="s">
        <v>1449</v>
      </c>
      <c r="D4135" s="27" t="s">
        <v>1450</v>
      </c>
      <c r="F4135" s="27" t="s">
        <v>1453</v>
      </c>
      <c r="H4135" s="27" t="s">
        <v>1454</v>
      </c>
      <c r="M4135" s="27" t="s">
        <v>2208</v>
      </c>
      <c r="N4135" s="27" t="s">
        <v>2209</v>
      </c>
      <c r="P4135" s="27" t="s">
        <v>5871</v>
      </c>
      <c r="Q4135" s="26" t="str">
        <f>HYPERLINK("https://ictv.global/taxonomy/taxondetails?taxnode_id=202501200&amp;ictv_id=ICTV20140532","ICTV20140532")</f>
        <v>ICTV20140532</v>
      </c>
      <c r="R4135" t="s">
        <v>579</v>
      </c>
      <c r="S4135" t="s">
        <v>824</v>
      </c>
      <c r="T4135">
        <v>37</v>
      </c>
      <c r="U4135" s="26" t="str">
        <f t="shared" si="156"/>
        <v>2021.010B.R.Binomial_names.zip</v>
      </c>
    </row>
    <row r="4136" spans="1:21">
      <c r="A4136">
        <v>4135</v>
      </c>
      <c r="B4136" s="27" t="s">
        <v>1449</v>
      </c>
      <c r="D4136" s="27" t="s">
        <v>1450</v>
      </c>
      <c r="F4136" s="27" t="s">
        <v>1453</v>
      </c>
      <c r="H4136" s="27" t="s">
        <v>1454</v>
      </c>
      <c r="M4136" s="27" t="s">
        <v>2208</v>
      </c>
      <c r="N4136" s="27" t="s">
        <v>2209</v>
      </c>
      <c r="P4136" s="27" t="s">
        <v>5872</v>
      </c>
      <c r="Q4136" s="26" t="str">
        <f>HYPERLINK("https://ictv.global/taxonomy/taxondetails?taxnode_id=202501203&amp;ictv_id=ICTV20140536","ICTV20140536")</f>
        <v>ICTV20140536</v>
      </c>
      <c r="R4136" t="s">
        <v>579</v>
      </c>
      <c r="S4136" t="s">
        <v>824</v>
      </c>
      <c r="T4136">
        <v>37</v>
      </c>
      <c r="U4136" s="26" t="str">
        <f t="shared" si="156"/>
        <v>2021.010B.R.Binomial_names.zip</v>
      </c>
    </row>
    <row r="4137" spans="1:21">
      <c r="A4137">
        <v>4136</v>
      </c>
      <c r="B4137" s="27" t="s">
        <v>1449</v>
      </c>
      <c r="D4137" s="27" t="s">
        <v>1450</v>
      </c>
      <c r="F4137" s="27" t="s">
        <v>1453</v>
      </c>
      <c r="H4137" s="27" t="s">
        <v>1454</v>
      </c>
      <c r="M4137" s="27" t="s">
        <v>2208</v>
      </c>
      <c r="N4137" s="27" t="s">
        <v>2209</v>
      </c>
      <c r="P4137" s="27" t="s">
        <v>5873</v>
      </c>
      <c r="Q4137" s="26" t="str">
        <f>HYPERLINK("https://ictv.global/taxonomy/taxondetails?taxnode_id=202501209&amp;ictv_id=ICTV20140535","ICTV20140535")</f>
        <v>ICTV20140535</v>
      </c>
      <c r="R4137" t="s">
        <v>579</v>
      </c>
      <c r="S4137" t="s">
        <v>824</v>
      </c>
      <c r="T4137">
        <v>37</v>
      </c>
      <c r="U4137" s="26" t="str">
        <f t="shared" si="156"/>
        <v>2021.010B.R.Binomial_names.zip</v>
      </c>
    </row>
    <row r="4138" spans="1:21">
      <c r="A4138">
        <v>4137</v>
      </c>
      <c r="B4138" s="27" t="s">
        <v>1449</v>
      </c>
      <c r="D4138" s="27" t="s">
        <v>1450</v>
      </c>
      <c r="F4138" s="27" t="s">
        <v>1453</v>
      </c>
      <c r="H4138" s="27" t="s">
        <v>1454</v>
      </c>
      <c r="M4138" s="27" t="s">
        <v>2208</v>
      </c>
      <c r="N4138" s="27" t="s">
        <v>2209</v>
      </c>
      <c r="P4138" s="27" t="s">
        <v>5874</v>
      </c>
      <c r="Q4138" s="26" t="str">
        <f>HYPERLINK("https://ictv.global/taxonomy/taxondetails?taxnode_id=202501217&amp;ictv_id=ICTV20140544","ICTV20140544")</f>
        <v>ICTV20140544</v>
      </c>
      <c r="R4138" t="s">
        <v>579</v>
      </c>
      <c r="S4138" t="s">
        <v>824</v>
      </c>
      <c r="T4138">
        <v>37</v>
      </c>
      <c r="U4138" s="26" t="str">
        <f t="shared" si="156"/>
        <v>2021.010B.R.Binomial_names.zip</v>
      </c>
    </row>
    <row r="4139" spans="1:21">
      <c r="A4139">
        <v>4138</v>
      </c>
      <c r="B4139" s="27" t="s">
        <v>1449</v>
      </c>
      <c r="D4139" s="27" t="s">
        <v>1450</v>
      </c>
      <c r="F4139" s="27" t="s">
        <v>1453</v>
      </c>
      <c r="H4139" s="27" t="s">
        <v>1454</v>
      </c>
      <c r="M4139" s="27" t="s">
        <v>2208</v>
      </c>
      <c r="N4139" s="27" t="s">
        <v>2209</v>
      </c>
      <c r="P4139" s="27" t="s">
        <v>5875</v>
      </c>
      <c r="Q4139" s="26" t="str">
        <f>HYPERLINK("https://ictv.global/taxonomy/taxondetails?taxnode_id=202509557&amp;ictv_id=ICTV202009557","ICTV202009557")</f>
        <v>ICTV202009557</v>
      </c>
      <c r="R4139" t="s">
        <v>579</v>
      </c>
      <c r="S4139" t="s">
        <v>824</v>
      </c>
      <c r="T4139">
        <v>37</v>
      </c>
      <c r="U4139" s="26" t="str">
        <f t="shared" si="156"/>
        <v>2021.010B.R.Binomial_names.zip</v>
      </c>
    </row>
    <row r="4140" spans="1:21">
      <c r="A4140">
        <v>4139</v>
      </c>
      <c r="B4140" s="27" t="s">
        <v>1449</v>
      </c>
      <c r="D4140" s="27" t="s">
        <v>1450</v>
      </c>
      <c r="F4140" s="27" t="s">
        <v>1453</v>
      </c>
      <c r="H4140" s="27" t="s">
        <v>1454</v>
      </c>
      <c r="M4140" s="27" t="s">
        <v>2208</v>
      </c>
      <c r="N4140" s="27" t="s">
        <v>2209</v>
      </c>
      <c r="P4140" s="27" t="s">
        <v>5876</v>
      </c>
      <c r="Q4140" s="26" t="str">
        <f>HYPERLINK("https://ictv.global/taxonomy/taxondetails?taxnode_id=202501214&amp;ictv_id=ICTV20140548","ICTV20140548")</f>
        <v>ICTV20140548</v>
      </c>
      <c r="R4140" t="s">
        <v>579</v>
      </c>
      <c r="S4140" t="s">
        <v>824</v>
      </c>
      <c r="T4140">
        <v>37</v>
      </c>
      <c r="U4140" s="26" t="str">
        <f t="shared" si="156"/>
        <v>2021.010B.R.Binomial_names.zip</v>
      </c>
    </row>
    <row r="4141" spans="1:21">
      <c r="A4141">
        <v>4140</v>
      </c>
      <c r="B4141" s="27" t="s">
        <v>1449</v>
      </c>
      <c r="D4141" s="27" t="s">
        <v>1450</v>
      </c>
      <c r="F4141" s="27" t="s">
        <v>1453</v>
      </c>
      <c r="H4141" s="27" t="s">
        <v>1454</v>
      </c>
      <c r="M4141" s="27" t="s">
        <v>2208</v>
      </c>
      <c r="N4141" s="27" t="s">
        <v>2209</v>
      </c>
      <c r="P4141" s="27" t="s">
        <v>5877</v>
      </c>
      <c r="Q4141" s="26" t="str">
        <f>HYPERLINK("https://ictv.global/taxonomy/taxondetails?taxnode_id=202501220&amp;ictv_id=ICTV20140547","ICTV20140547")</f>
        <v>ICTV20140547</v>
      </c>
      <c r="R4141" t="s">
        <v>579</v>
      </c>
      <c r="S4141" t="s">
        <v>824</v>
      </c>
      <c r="T4141">
        <v>37</v>
      </c>
      <c r="U4141" s="26" t="str">
        <f t="shared" si="156"/>
        <v>2021.010B.R.Binomial_names.zip</v>
      </c>
    </row>
    <row r="4142" spans="1:21">
      <c r="A4142">
        <v>4141</v>
      </c>
      <c r="B4142" s="27" t="s">
        <v>1449</v>
      </c>
      <c r="D4142" s="27" t="s">
        <v>1450</v>
      </c>
      <c r="F4142" s="27" t="s">
        <v>1453</v>
      </c>
      <c r="H4142" s="27" t="s">
        <v>1454</v>
      </c>
      <c r="M4142" s="27" t="s">
        <v>2208</v>
      </c>
      <c r="N4142" s="27" t="s">
        <v>2209</v>
      </c>
      <c r="P4142" s="27" t="s">
        <v>5878</v>
      </c>
      <c r="Q4142" s="26" t="str">
        <f>HYPERLINK("https://ictv.global/taxonomy/taxondetails?taxnode_id=202501221&amp;ictv_id=ICTV20140551","ICTV20140551")</f>
        <v>ICTV20140551</v>
      </c>
      <c r="R4142" t="s">
        <v>579</v>
      </c>
      <c r="S4142" t="s">
        <v>824</v>
      </c>
      <c r="T4142">
        <v>37</v>
      </c>
      <c r="U4142" s="26" t="str">
        <f t="shared" si="156"/>
        <v>2021.010B.R.Binomial_names.zip</v>
      </c>
    </row>
    <row r="4143" spans="1:21">
      <c r="A4143">
        <v>4142</v>
      </c>
      <c r="B4143" s="27" t="s">
        <v>1449</v>
      </c>
      <c r="D4143" s="27" t="s">
        <v>1450</v>
      </c>
      <c r="F4143" s="27" t="s">
        <v>1453</v>
      </c>
      <c r="H4143" s="27" t="s">
        <v>1454</v>
      </c>
      <c r="M4143" s="27" t="s">
        <v>2208</v>
      </c>
      <c r="N4143" s="27" t="s">
        <v>2209</v>
      </c>
      <c r="P4143" s="27" t="s">
        <v>5879</v>
      </c>
      <c r="Q4143" s="26" t="str">
        <f>HYPERLINK("https://ictv.global/taxonomy/taxondetails?taxnode_id=202501222&amp;ictv_id=ICTV20140555","ICTV20140555")</f>
        <v>ICTV20140555</v>
      </c>
      <c r="R4143" t="s">
        <v>579</v>
      </c>
      <c r="S4143" t="s">
        <v>824</v>
      </c>
      <c r="T4143">
        <v>37</v>
      </c>
      <c r="U4143" s="26" t="str">
        <f t="shared" si="156"/>
        <v>2021.010B.R.Binomial_names.zip</v>
      </c>
    </row>
    <row r="4144" spans="1:21">
      <c r="A4144">
        <v>4143</v>
      </c>
      <c r="B4144" s="27" t="s">
        <v>1449</v>
      </c>
      <c r="D4144" s="27" t="s">
        <v>1450</v>
      </c>
      <c r="F4144" s="27" t="s">
        <v>1453</v>
      </c>
      <c r="H4144" s="27" t="s">
        <v>1454</v>
      </c>
      <c r="M4144" s="27" t="s">
        <v>2208</v>
      </c>
      <c r="N4144" s="27" t="s">
        <v>2209</v>
      </c>
      <c r="P4144" s="27" t="s">
        <v>5880</v>
      </c>
      <c r="Q4144" s="26" t="str">
        <f>HYPERLINK("https://ictv.global/taxonomy/taxondetails?taxnode_id=202509560&amp;ictv_id=ICTV202009560","ICTV202009560")</f>
        <v>ICTV202009560</v>
      </c>
      <c r="R4144" t="s">
        <v>579</v>
      </c>
      <c r="S4144" t="s">
        <v>824</v>
      </c>
      <c r="T4144">
        <v>37</v>
      </c>
      <c r="U4144" s="26" t="str">
        <f t="shared" si="156"/>
        <v>2021.010B.R.Binomial_names.zip</v>
      </c>
    </row>
    <row r="4145" spans="1:21">
      <c r="A4145">
        <v>4144</v>
      </c>
      <c r="B4145" s="27" t="s">
        <v>1449</v>
      </c>
      <c r="D4145" s="27" t="s">
        <v>1450</v>
      </c>
      <c r="F4145" s="27" t="s">
        <v>1453</v>
      </c>
      <c r="H4145" s="27" t="s">
        <v>1454</v>
      </c>
      <c r="M4145" s="27" t="s">
        <v>2208</v>
      </c>
      <c r="N4145" s="27" t="s">
        <v>2209</v>
      </c>
      <c r="P4145" s="27" t="s">
        <v>5881</v>
      </c>
      <c r="Q4145" s="26" t="str">
        <f>HYPERLINK("https://ictv.global/taxonomy/taxondetails?taxnode_id=202509558&amp;ictv_id=ICTV202009558","ICTV202009558")</f>
        <v>ICTV202009558</v>
      </c>
      <c r="R4145" t="s">
        <v>579</v>
      </c>
      <c r="S4145" t="s">
        <v>824</v>
      </c>
      <c r="T4145">
        <v>37</v>
      </c>
      <c r="U4145" s="26" t="str">
        <f t="shared" si="156"/>
        <v>2021.010B.R.Binomial_names.zip</v>
      </c>
    </row>
    <row r="4146" spans="1:21">
      <c r="A4146">
        <v>4145</v>
      </c>
      <c r="B4146" s="27" t="s">
        <v>1449</v>
      </c>
      <c r="D4146" s="27" t="s">
        <v>1450</v>
      </c>
      <c r="F4146" s="27" t="s">
        <v>1453</v>
      </c>
      <c r="H4146" s="27" t="s">
        <v>1454</v>
      </c>
      <c r="M4146" s="27" t="s">
        <v>2208</v>
      </c>
      <c r="N4146" s="27" t="s">
        <v>2209</v>
      </c>
      <c r="P4146" s="27" t="s">
        <v>5882</v>
      </c>
      <c r="Q4146" s="26" t="str">
        <f>HYPERLINK("https://ictv.global/taxonomy/taxondetails?taxnode_id=202501224&amp;ictv_id=ICTV20140549","ICTV20140549")</f>
        <v>ICTV20140549</v>
      </c>
      <c r="R4146" t="s">
        <v>579</v>
      </c>
      <c r="S4146" t="s">
        <v>824</v>
      </c>
      <c r="T4146">
        <v>37</v>
      </c>
      <c r="U4146" s="26" t="str">
        <f t="shared" si="156"/>
        <v>2021.010B.R.Binomial_names.zip</v>
      </c>
    </row>
    <row r="4147" spans="1:21">
      <c r="A4147">
        <v>4146</v>
      </c>
      <c r="B4147" s="27" t="s">
        <v>1449</v>
      </c>
      <c r="D4147" s="27" t="s">
        <v>1450</v>
      </c>
      <c r="F4147" s="27" t="s">
        <v>1453</v>
      </c>
      <c r="H4147" s="27" t="s">
        <v>1454</v>
      </c>
      <c r="M4147" s="27" t="s">
        <v>2208</v>
      </c>
      <c r="N4147" s="27" t="s">
        <v>2209</v>
      </c>
      <c r="P4147" s="27" t="s">
        <v>5883</v>
      </c>
      <c r="Q4147" s="26" t="str">
        <f>HYPERLINK("https://ictv.global/taxonomy/taxondetails?taxnode_id=202509555&amp;ictv_id=ICTV202009555","ICTV202009555")</f>
        <v>ICTV202009555</v>
      </c>
      <c r="R4147" t="s">
        <v>579</v>
      </c>
      <c r="S4147" t="s">
        <v>824</v>
      </c>
      <c r="T4147">
        <v>37</v>
      </c>
      <c r="U4147" s="26" t="str">
        <f t="shared" si="156"/>
        <v>2021.010B.R.Binomial_names.zip</v>
      </c>
    </row>
    <row r="4148" spans="1:21">
      <c r="A4148">
        <v>4147</v>
      </c>
      <c r="B4148" s="27" t="s">
        <v>1449</v>
      </c>
      <c r="D4148" s="27" t="s">
        <v>1450</v>
      </c>
      <c r="F4148" s="27" t="s">
        <v>1453</v>
      </c>
      <c r="H4148" s="27" t="s">
        <v>1454</v>
      </c>
      <c r="M4148" s="27" t="s">
        <v>2208</v>
      </c>
      <c r="N4148" s="27" t="s">
        <v>2209</v>
      </c>
      <c r="P4148" s="27" t="s">
        <v>5884</v>
      </c>
      <c r="Q4148" s="26" t="str">
        <f>HYPERLINK("https://ictv.global/taxonomy/taxondetails?taxnode_id=202509556&amp;ictv_id=ICTV202009556","ICTV202009556")</f>
        <v>ICTV202009556</v>
      </c>
      <c r="R4148" t="s">
        <v>579</v>
      </c>
      <c r="S4148" t="s">
        <v>824</v>
      </c>
      <c r="T4148">
        <v>37</v>
      </c>
      <c r="U4148" s="26" t="str">
        <f t="shared" si="156"/>
        <v>2021.010B.R.Binomial_names.zip</v>
      </c>
    </row>
    <row r="4149" spans="1:21">
      <c r="A4149">
        <v>4148</v>
      </c>
      <c r="B4149" s="27" t="s">
        <v>1449</v>
      </c>
      <c r="D4149" s="27" t="s">
        <v>1450</v>
      </c>
      <c r="F4149" s="27" t="s">
        <v>1453</v>
      </c>
      <c r="H4149" s="27" t="s">
        <v>1454</v>
      </c>
      <c r="M4149" s="27" t="s">
        <v>2208</v>
      </c>
      <c r="N4149" s="27" t="s">
        <v>2209</v>
      </c>
      <c r="P4149" s="27" t="s">
        <v>5885</v>
      </c>
      <c r="Q4149" s="26" t="str">
        <f>HYPERLINK("https://ictv.global/taxonomy/taxondetails?taxnode_id=202509554&amp;ictv_id=ICTV202009554","ICTV202009554")</f>
        <v>ICTV202009554</v>
      </c>
      <c r="R4149" t="s">
        <v>579</v>
      </c>
      <c r="S4149" t="s">
        <v>824</v>
      </c>
      <c r="T4149">
        <v>37</v>
      </c>
      <c r="U4149" s="26" t="str">
        <f t="shared" si="156"/>
        <v>2021.010B.R.Binomial_names.zip</v>
      </c>
    </row>
    <row r="4150" spans="1:21">
      <c r="A4150">
        <v>4149</v>
      </c>
      <c r="B4150" s="27" t="s">
        <v>1449</v>
      </c>
      <c r="D4150" s="27" t="s">
        <v>1450</v>
      </c>
      <c r="F4150" s="27" t="s">
        <v>1453</v>
      </c>
      <c r="H4150" s="27" t="s">
        <v>1454</v>
      </c>
      <c r="M4150" s="27" t="s">
        <v>2208</v>
      </c>
      <c r="N4150" s="27" t="s">
        <v>623</v>
      </c>
      <c r="P4150" s="27" t="s">
        <v>5886</v>
      </c>
      <c r="Q4150" s="26" t="str">
        <f>HYPERLINK("https://ictv.global/taxonomy/taxondetails?taxnode_id=202509565&amp;ictv_id=ICTV202009565","ICTV202009565")</f>
        <v>ICTV202009565</v>
      </c>
      <c r="R4150" t="s">
        <v>579</v>
      </c>
      <c r="S4150" t="s">
        <v>824</v>
      </c>
      <c r="T4150">
        <v>37</v>
      </c>
      <c r="U4150" s="26" t="str">
        <f t="shared" si="156"/>
        <v>2021.010B.R.Binomial_names.zip</v>
      </c>
    </row>
    <row r="4151" spans="1:21">
      <c r="A4151">
        <v>4150</v>
      </c>
      <c r="B4151" s="27" t="s">
        <v>1449</v>
      </c>
      <c r="D4151" s="27" t="s">
        <v>1450</v>
      </c>
      <c r="F4151" s="27" t="s">
        <v>1453</v>
      </c>
      <c r="H4151" s="27" t="s">
        <v>1454</v>
      </c>
      <c r="M4151" s="27" t="s">
        <v>2208</v>
      </c>
      <c r="N4151" s="27" t="s">
        <v>623</v>
      </c>
      <c r="P4151" s="27" t="s">
        <v>5887</v>
      </c>
      <c r="Q4151" s="26" t="str">
        <f>HYPERLINK("https://ictv.global/taxonomy/taxondetails?taxnode_id=202509564&amp;ictv_id=ICTV202009564","ICTV202009564")</f>
        <v>ICTV202009564</v>
      </c>
      <c r="R4151" t="s">
        <v>579</v>
      </c>
      <c r="S4151" t="s">
        <v>824</v>
      </c>
      <c r="T4151">
        <v>37</v>
      </c>
      <c r="U4151" s="26" t="str">
        <f t="shared" si="156"/>
        <v>2021.010B.R.Binomial_names.zip</v>
      </c>
    </row>
    <row r="4152" spans="1:21">
      <c r="A4152">
        <v>4151</v>
      </c>
      <c r="B4152" s="27" t="s">
        <v>1449</v>
      </c>
      <c r="D4152" s="27" t="s">
        <v>1450</v>
      </c>
      <c r="F4152" s="27" t="s">
        <v>1453</v>
      </c>
      <c r="H4152" s="27" t="s">
        <v>1454</v>
      </c>
      <c r="M4152" s="27" t="s">
        <v>2208</v>
      </c>
      <c r="N4152" s="27" t="s">
        <v>623</v>
      </c>
      <c r="P4152" s="27" t="s">
        <v>5888</v>
      </c>
      <c r="Q4152" s="26" t="str">
        <f>HYPERLINK("https://ictv.global/taxonomy/taxondetails?taxnode_id=202509571&amp;ictv_id=ICTV202009571","ICTV202009571")</f>
        <v>ICTV202009571</v>
      </c>
      <c r="R4152" t="s">
        <v>579</v>
      </c>
      <c r="S4152" t="s">
        <v>824</v>
      </c>
      <c r="T4152">
        <v>37</v>
      </c>
      <c r="U4152" s="26" t="str">
        <f t="shared" si="156"/>
        <v>2021.010B.R.Binomial_names.zip</v>
      </c>
    </row>
    <row r="4153" spans="1:21">
      <c r="A4153">
        <v>4152</v>
      </c>
      <c r="B4153" s="27" t="s">
        <v>1449</v>
      </c>
      <c r="D4153" s="27" t="s">
        <v>1450</v>
      </c>
      <c r="F4153" s="27" t="s">
        <v>1453</v>
      </c>
      <c r="H4153" s="27" t="s">
        <v>1454</v>
      </c>
      <c r="M4153" s="27" t="s">
        <v>2208</v>
      </c>
      <c r="N4153" s="27" t="s">
        <v>623</v>
      </c>
      <c r="P4153" s="27" t="s">
        <v>5889</v>
      </c>
      <c r="Q4153" s="26" t="str">
        <f>HYPERLINK("https://ictv.global/taxonomy/taxondetails?taxnode_id=202501216&amp;ictv_id=ICTV20140543","ICTV20140543")</f>
        <v>ICTV20140543</v>
      </c>
      <c r="R4153" t="s">
        <v>579</v>
      </c>
      <c r="S4153" t="s">
        <v>824</v>
      </c>
      <c r="T4153">
        <v>37</v>
      </c>
      <c r="U4153" s="26" t="str">
        <f t="shared" si="156"/>
        <v>2021.010B.R.Binomial_names.zip</v>
      </c>
    </row>
    <row r="4154" spans="1:21">
      <c r="A4154">
        <v>4153</v>
      </c>
      <c r="B4154" s="27" t="s">
        <v>1449</v>
      </c>
      <c r="D4154" s="27" t="s">
        <v>1450</v>
      </c>
      <c r="F4154" s="27" t="s">
        <v>1453</v>
      </c>
      <c r="H4154" s="27" t="s">
        <v>1454</v>
      </c>
      <c r="M4154" s="27" t="s">
        <v>2208</v>
      </c>
      <c r="N4154" s="27" t="s">
        <v>623</v>
      </c>
      <c r="P4154" s="27" t="s">
        <v>5890</v>
      </c>
      <c r="Q4154" s="26" t="str">
        <f>HYPERLINK("https://ictv.global/taxonomy/taxondetails?taxnode_id=202501218&amp;ictv_id=ICTV20140545","ICTV20140545")</f>
        <v>ICTV20140545</v>
      </c>
      <c r="R4154" t="s">
        <v>579</v>
      </c>
      <c r="S4154" t="s">
        <v>824</v>
      </c>
      <c r="T4154">
        <v>37</v>
      </c>
      <c r="U4154" s="26" t="str">
        <f t="shared" si="156"/>
        <v>2021.010B.R.Binomial_names.zip</v>
      </c>
    </row>
    <row r="4155" spans="1:21">
      <c r="A4155">
        <v>4154</v>
      </c>
      <c r="B4155" s="27" t="s">
        <v>1449</v>
      </c>
      <c r="D4155" s="27" t="s">
        <v>1450</v>
      </c>
      <c r="F4155" s="27" t="s">
        <v>1453</v>
      </c>
      <c r="H4155" s="27" t="s">
        <v>1454</v>
      </c>
      <c r="M4155" s="27" t="s">
        <v>2208</v>
      </c>
      <c r="N4155" s="27" t="s">
        <v>623</v>
      </c>
      <c r="P4155" s="27" t="s">
        <v>5891</v>
      </c>
      <c r="Q4155" s="26" t="str">
        <f>HYPERLINK("https://ictv.global/taxonomy/taxondetails?taxnode_id=202501211&amp;ictv_id=ICTV20140541","ICTV20140541")</f>
        <v>ICTV20140541</v>
      </c>
      <c r="R4155" t="s">
        <v>579</v>
      </c>
      <c r="S4155" t="s">
        <v>824</v>
      </c>
      <c r="T4155">
        <v>37</v>
      </c>
      <c r="U4155" s="26" t="str">
        <f t="shared" si="156"/>
        <v>2021.010B.R.Binomial_names.zip</v>
      </c>
    </row>
    <row r="4156" spans="1:21">
      <c r="A4156">
        <v>4155</v>
      </c>
      <c r="B4156" s="27" t="s">
        <v>1449</v>
      </c>
      <c r="D4156" s="27" t="s">
        <v>1450</v>
      </c>
      <c r="F4156" s="27" t="s">
        <v>1453</v>
      </c>
      <c r="H4156" s="27" t="s">
        <v>1454</v>
      </c>
      <c r="M4156" s="27" t="s">
        <v>2208</v>
      </c>
      <c r="N4156" s="27" t="s">
        <v>623</v>
      </c>
      <c r="P4156" s="27" t="s">
        <v>5892</v>
      </c>
      <c r="Q4156" s="26" t="str">
        <f>HYPERLINK("https://ictv.global/taxonomy/taxondetails?taxnode_id=202509568&amp;ictv_id=ICTV202009568","ICTV202009568")</f>
        <v>ICTV202009568</v>
      </c>
      <c r="R4156" t="s">
        <v>579</v>
      </c>
      <c r="S4156" t="s">
        <v>824</v>
      </c>
      <c r="T4156">
        <v>37</v>
      </c>
      <c r="U4156" s="26" t="str">
        <f t="shared" si="156"/>
        <v>2021.010B.R.Binomial_names.zip</v>
      </c>
    </row>
    <row r="4157" spans="1:21">
      <c r="A4157">
        <v>4156</v>
      </c>
      <c r="B4157" s="27" t="s">
        <v>1449</v>
      </c>
      <c r="D4157" s="27" t="s">
        <v>1450</v>
      </c>
      <c r="F4157" s="27" t="s">
        <v>1453</v>
      </c>
      <c r="H4157" s="27" t="s">
        <v>1454</v>
      </c>
      <c r="M4157" s="27" t="s">
        <v>2208</v>
      </c>
      <c r="N4157" s="27" t="s">
        <v>623</v>
      </c>
      <c r="P4157" s="27" t="s">
        <v>5893</v>
      </c>
      <c r="Q4157" s="26" t="str">
        <f>HYPERLINK("https://ictv.global/taxonomy/taxondetails?taxnode_id=202509567&amp;ictv_id=ICTV202009567","ICTV202009567")</f>
        <v>ICTV202009567</v>
      </c>
      <c r="R4157" t="s">
        <v>579</v>
      </c>
      <c r="S4157" t="s">
        <v>824</v>
      </c>
      <c r="T4157">
        <v>37</v>
      </c>
      <c r="U4157" s="26" t="str">
        <f t="shared" si="156"/>
        <v>2021.010B.R.Binomial_names.zip</v>
      </c>
    </row>
    <row r="4158" spans="1:21">
      <c r="A4158">
        <v>4157</v>
      </c>
      <c r="B4158" s="27" t="s">
        <v>1449</v>
      </c>
      <c r="D4158" s="27" t="s">
        <v>1450</v>
      </c>
      <c r="F4158" s="27" t="s">
        <v>1453</v>
      </c>
      <c r="H4158" s="27" t="s">
        <v>1454</v>
      </c>
      <c r="M4158" s="27" t="s">
        <v>2208</v>
      </c>
      <c r="N4158" s="27" t="s">
        <v>623</v>
      </c>
      <c r="P4158" s="27" t="s">
        <v>5894</v>
      </c>
      <c r="Q4158" s="26" t="str">
        <f>HYPERLINK("https://ictv.global/taxonomy/taxondetails?taxnode_id=202501219&amp;ictv_id=ICTV20140546","ICTV20140546")</f>
        <v>ICTV20140546</v>
      </c>
      <c r="R4158" t="s">
        <v>579</v>
      </c>
      <c r="S4158" t="s">
        <v>824</v>
      </c>
      <c r="T4158">
        <v>37</v>
      </c>
      <c r="U4158" s="26" t="str">
        <f t="shared" si="156"/>
        <v>2021.010B.R.Binomial_names.zip</v>
      </c>
    </row>
    <row r="4159" spans="1:21">
      <c r="A4159">
        <v>4158</v>
      </c>
      <c r="B4159" s="27" t="s">
        <v>1449</v>
      </c>
      <c r="D4159" s="27" t="s">
        <v>1450</v>
      </c>
      <c r="F4159" s="27" t="s">
        <v>1453</v>
      </c>
      <c r="H4159" s="27" t="s">
        <v>1454</v>
      </c>
      <c r="M4159" s="27" t="s">
        <v>2208</v>
      </c>
      <c r="N4159" s="27" t="s">
        <v>623</v>
      </c>
      <c r="P4159" s="27" t="s">
        <v>5895</v>
      </c>
      <c r="Q4159" s="26" t="str">
        <f>HYPERLINK("https://ictv.global/taxonomy/taxondetails?taxnode_id=202501223&amp;ictv_id=ICTV20140552","ICTV20140552")</f>
        <v>ICTV20140552</v>
      </c>
      <c r="R4159" t="s">
        <v>579</v>
      </c>
      <c r="S4159" t="s">
        <v>824</v>
      </c>
      <c r="T4159">
        <v>37</v>
      </c>
      <c r="U4159" s="26" t="str">
        <f t="shared" si="156"/>
        <v>2021.010B.R.Binomial_names.zip</v>
      </c>
    </row>
    <row r="4160" spans="1:21">
      <c r="A4160">
        <v>4159</v>
      </c>
      <c r="B4160" s="27" t="s">
        <v>1449</v>
      </c>
      <c r="D4160" s="27" t="s">
        <v>1450</v>
      </c>
      <c r="F4160" s="27" t="s">
        <v>1453</v>
      </c>
      <c r="H4160" s="27" t="s">
        <v>1454</v>
      </c>
      <c r="M4160" s="27" t="s">
        <v>2208</v>
      </c>
      <c r="N4160" s="27" t="s">
        <v>623</v>
      </c>
      <c r="P4160" s="27" t="s">
        <v>5896</v>
      </c>
      <c r="Q4160" s="26" t="str">
        <f>HYPERLINK("https://ictv.global/taxonomy/taxondetails?taxnode_id=202501196&amp;ictv_id=ICTV20140527","ICTV20140527")</f>
        <v>ICTV20140527</v>
      </c>
      <c r="R4160" t="s">
        <v>579</v>
      </c>
      <c r="S4160" t="s">
        <v>824</v>
      </c>
      <c r="T4160">
        <v>37</v>
      </c>
      <c r="U4160" s="26" t="str">
        <f t="shared" si="156"/>
        <v>2021.010B.R.Binomial_names.zip</v>
      </c>
    </row>
    <row r="4161" spans="1:21">
      <c r="A4161">
        <v>4160</v>
      </c>
      <c r="B4161" s="27" t="s">
        <v>1449</v>
      </c>
      <c r="D4161" s="27" t="s">
        <v>1450</v>
      </c>
      <c r="F4161" s="27" t="s">
        <v>1453</v>
      </c>
      <c r="H4161" s="27" t="s">
        <v>1454</v>
      </c>
      <c r="M4161" s="27" t="s">
        <v>2208</v>
      </c>
      <c r="N4161" s="27" t="s">
        <v>623</v>
      </c>
      <c r="P4161" s="27" t="s">
        <v>5897</v>
      </c>
      <c r="Q4161" s="26" t="str">
        <f>HYPERLINK("https://ictv.global/taxonomy/taxondetails?taxnode_id=202501197&amp;ictv_id=ICTV20140528","ICTV20140528")</f>
        <v>ICTV20140528</v>
      </c>
      <c r="R4161" t="s">
        <v>579</v>
      </c>
      <c r="S4161" t="s">
        <v>824</v>
      </c>
      <c r="T4161">
        <v>37</v>
      </c>
      <c r="U4161" s="26" t="str">
        <f t="shared" si="156"/>
        <v>2021.010B.R.Binomial_names.zip</v>
      </c>
    </row>
    <row r="4162" spans="1:21">
      <c r="A4162">
        <v>4161</v>
      </c>
      <c r="B4162" s="27" t="s">
        <v>1449</v>
      </c>
      <c r="D4162" s="27" t="s">
        <v>1450</v>
      </c>
      <c r="F4162" s="27" t="s">
        <v>1453</v>
      </c>
      <c r="H4162" s="27" t="s">
        <v>1454</v>
      </c>
      <c r="M4162" s="27" t="s">
        <v>2208</v>
      </c>
      <c r="N4162" s="27" t="s">
        <v>623</v>
      </c>
      <c r="P4162" s="27" t="s">
        <v>5898</v>
      </c>
      <c r="Q4162" s="26" t="str">
        <f>HYPERLINK("https://ictv.global/taxonomy/taxondetails?taxnode_id=202501199&amp;ictv_id=ICTV20140531","ICTV20140531")</f>
        <v>ICTV20140531</v>
      </c>
      <c r="R4162" t="s">
        <v>579</v>
      </c>
      <c r="S4162" t="s">
        <v>824</v>
      </c>
      <c r="T4162">
        <v>37</v>
      </c>
      <c r="U4162" s="26" t="str">
        <f t="shared" si="156"/>
        <v>2021.010B.R.Binomial_names.zip</v>
      </c>
    </row>
    <row r="4163" spans="1:21">
      <c r="A4163">
        <v>4162</v>
      </c>
      <c r="B4163" s="27" t="s">
        <v>1449</v>
      </c>
      <c r="D4163" s="27" t="s">
        <v>1450</v>
      </c>
      <c r="F4163" s="27" t="s">
        <v>1453</v>
      </c>
      <c r="H4163" s="27" t="s">
        <v>1454</v>
      </c>
      <c r="M4163" s="27" t="s">
        <v>2208</v>
      </c>
      <c r="N4163" s="27" t="s">
        <v>623</v>
      </c>
      <c r="P4163" s="27" t="s">
        <v>5899</v>
      </c>
      <c r="Q4163" s="26" t="str">
        <f>HYPERLINK("https://ictv.global/taxonomy/taxondetails?taxnode_id=202501201&amp;ictv_id=ICTV20140533","ICTV20140533")</f>
        <v>ICTV20140533</v>
      </c>
      <c r="R4163" t="s">
        <v>579</v>
      </c>
      <c r="S4163" t="s">
        <v>824</v>
      </c>
      <c r="T4163">
        <v>37</v>
      </c>
      <c r="U4163" s="26" t="str">
        <f t="shared" si="156"/>
        <v>2021.010B.R.Binomial_names.zip</v>
      </c>
    </row>
    <row r="4164" spans="1:21">
      <c r="A4164">
        <v>4163</v>
      </c>
      <c r="B4164" s="27" t="s">
        <v>1449</v>
      </c>
      <c r="D4164" s="27" t="s">
        <v>1450</v>
      </c>
      <c r="F4164" s="27" t="s">
        <v>1453</v>
      </c>
      <c r="H4164" s="27" t="s">
        <v>1454</v>
      </c>
      <c r="M4164" s="27" t="s">
        <v>2208</v>
      </c>
      <c r="N4164" s="27" t="s">
        <v>623</v>
      </c>
      <c r="P4164" s="27" t="s">
        <v>5900</v>
      </c>
      <c r="Q4164" s="26" t="str">
        <f>HYPERLINK("https://ictv.global/taxonomy/taxondetails?taxnode_id=202501202&amp;ictv_id=ICTV20140534","ICTV20140534")</f>
        <v>ICTV20140534</v>
      </c>
      <c r="R4164" t="s">
        <v>579</v>
      </c>
      <c r="S4164" t="s">
        <v>824</v>
      </c>
      <c r="T4164">
        <v>37</v>
      </c>
      <c r="U4164" s="26" t="str">
        <f t="shared" ref="U4164:U4182" si="157">HYPERLINK("https://ictv.global/ictv/proposals/2021.010B.R.Binomial_names.zip","2021.010B.R.Binomial_names.zip")</f>
        <v>2021.010B.R.Binomial_names.zip</v>
      </c>
    </row>
    <row r="4165" spans="1:21">
      <c r="A4165">
        <v>4164</v>
      </c>
      <c r="B4165" s="27" t="s">
        <v>1449</v>
      </c>
      <c r="D4165" s="27" t="s">
        <v>1450</v>
      </c>
      <c r="F4165" s="27" t="s">
        <v>1453</v>
      </c>
      <c r="H4165" s="27" t="s">
        <v>1454</v>
      </c>
      <c r="M4165" s="27" t="s">
        <v>2208</v>
      </c>
      <c r="N4165" s="27" t="s">
        <v>623</v>
      </c>
      <c r="P4165" s="27" t="s">
        <v>5901</v>
      </c>
      <c r="Q4165" s="26" t="str">
        <f>HYPERLINK("https://ictv.global/taxonomy/taxondetails?taxnode_id=202501204&amp;ictv_id=ICTV20140537","ICTV20140537")</f>
        <v>ICTV20140537</v>
      </c>
      <c r="R4165" t="s">
        <v>579</v>
      </c>
      <c r="S4165" t="s">
        <v>824</v>
      </c>
      <c r="T4165">
        <v>37</v>
      </c>
      <c r="U4165" s="26" t="str">
        <f t="shared" si="157"/>
        <v>2021.010B.R.Binomial_names.zip</v>
      </c>
    </row>
    <row r="4166" spans="1:21">
      <c r="A4166">
        <v>4165</v>
      </c>
      <c r="B4166" s="27" t="s">
        <v>1449</v>
      </c>
      <c r="D4166" s="27" t="s">
        <v>1450</v>
      </c>
      <c r="F4166" s="27" t="s">
        <v>1453</v>
      </c>
      <c r="H4166" s="27" t="s">
        <v>1454</v>
      </c>
      <c r="M4166" s="27" t="s">
        <v>2208</v>
      </c>
      <c r="N4166" s="27" t="s">
        <v>623</v>
      </c>
      <c r="P4166" s="27" t="s">
        <v>5902</v>
      </c>
      <c r="Q4166" s="26" t="str">
        <f>HYPERLINK("https://ictv.global/taxonomy/taxondetails?taxnode_id=202501205&amp;ictv_id=ICTV20140538","ICTV20140538")</f>
        <v>ICTV20140538</v>
      </c>
      <c r="R4166" t="s">
        <v>579</v>
      </c>
      <c r="S4166" t="s">
        <v>824</v>
      </c>
      <c r="T4166">
        <v>37</v>
      </c>
      <c r="U4166" s="26" t="str">
        <f t="shared" si="157"/>
        <v>2021.010B.R.Binomial_names.zip</v>
      </c>
    </row>
    <row r="4167" spans="1:21">
      <c r="A4167">
        <v>4166</v>
      </c>
      <c r="B4167" s="27" t="s">
        <v>1449</v>
      </c>
      <c r="D4167" s="27" t="s">
        <v>1450</v>
      </c>
      <c r="F4167" s="27" t="s">
        <v>1453</v>
      </c>
      <c r="H4167" s="27" t="s">
        <v>1454</v>
      </c>
      <c r="M4167" s="27" t="s">
        <v>2208</v>
      </c>
      <c r="N4167" s="27" t="s">
        <v>623</v>
      </c>
      <c r="P4167" s="27" t="s">
        <v>5903</v>
      </c>
      <c r="Q4167" s="26" t="str">
        <f>HYPERLINK("https://ictv.global/taxonomy/taxondetails?taxnode_id=202501206&amp;ictv_id=ICTV20140539","ICTV20140539")</f>
        <v>ICTV20140539</v>
      </c>
      <c r="R4167" t="s">
        <v>579</v>
      </c>
      <c r="S4167" t="s">
        <v>824</v>
      </c>
      <c r="T4167">
        <v>37</v>
      </c>
      <c r="U4167" s="26" t="str">
        <f t="shared" si="157"/>
        <v>2021.010B.R.Binomial_names.zip</v>
      </c>
    </row>
    <row r="4168" spans="1:21">
      <c r="A4168">
        <v>4167</v>
      </c>
      <c r="B4168" s="27" t="s">
        <v>1449</v>
      </c>
      <c r="D4168" s="27" t="s">
        <v>1450</v>
      </c>
      <c r="F4168" s="27" t="s">
        <v>1453</v>
      </c>
      <c r="H4168" s="27" t="s">
        <v>1454</v>
      </c>
      <c r="M4168" s="27" t="s">
        <v>2208</v>
      </c>
      <c r="N4168" s="27" t="s">
        <v>623</v>
      </c>
      <c r="P4168" s="27" t="s">
        <v>5904</v>
      </c>
      <c r="Q4168" s="26" t="str">
        <f>HYPERLINK("https://ictv.global/taxonomy/taxondetails?taxnode_id=202501207&amp;ictv_id=ICTV20140526","ICTV20140526")</f>
        <v>ICTV20140526</v>
      </c>
      <c r="R4168" t="s">
        <v>579</v>
      </c>
      <c r="S4168" t="s">
        <v>824</v>
      </c>
      <c r="T4168">
        <v>37</v>
      </c>
      <c r="U4168" s="26" t="str">
        <f t="shared" si="157"/>
        <v>2021.010B.R.Binomial_names.zip</v>
      </c>
    </row>
    <row r="4169" spans="1:21">
      <c r="A4169">
        <v>4168</v>
      </c>
      <c r="B4169" s="27" t="s">
        <v>1449</v>
      </c>
      <c r="D4169" s="27" t="s">
        <v>1450</v>
      </c>
      <c r="F4169" s="27" t="s">
        <v>1453</v>
      </c>
      <c r="H4169" s="27" t="s">
        <v>1454</v>
      </c>
      <c r="M4169" s="27" t="s">
        <v>2208</v>
      </c>
      <c r="N4169" s="27" t="s">
        <v>623</v>
      </c>
      <c r="P4169" s="27" t="s">
        <v>5905</v>
      </c>
      <c r="Q4169" s="26" t="str">
        <f>HYPERLINK("https://ictv.global/taxonomy/taxondetails?taxnode_id=202509563&amp;ictv_id=ICTV202009563","ICTV202009563")</f>
        <v>ICTV202009563</v>
      </c>
      <c r="R4169" t="s">
        <v>579</v>
      </c>
      <c r="S4169" t="s">
        <v>824</v>
      </c>
      <c r="T4169">
        <v>37</v>
      </c>
      <c r="U4169" s="26" t="str">
        <f t="shared" si="157"/>
        <v>2021.010B.R.Binomial_names.zip</v>
      </c>
    </row>
    <row r="4170" spans="1:21">
      <c r="A4170">
        <v>4169</v>
      </c>
      <c r="B4170" s="27" t="s">
        <v>1449</v>
      </c>
      <c r="D4170" s="27" t="s">
        <v>1450</v>
      </c>
      <c r="F4170" s="27" t="s">
        <v>1453</v>
      </c>
      <c r="H4170" s="27" t="s">
        <v>1454</v>
      </c>
      <c r="M4170" s="27" t="s">
        <v>2208</v>
      </c>
      <c r="N4170" s="27" t="s">
        <v>623</v>
      </c>
      <c r="P4170" s="27" t="s">
        <v>5906</v>
      </c>
      <c r="Q4170" s="26" t="str">
        <f>HYPERLINK("https://ictv.global/taxonomy/taxondetails?taxnode_id=202501208&amp;ictv_id=ICTV20140529","ICTV20140529")</f>
        <v>ICTV20140529</v>
      </c>
      <c r="R4170" t="s">
        <v>579</v>
      </c>
      <c r="S4170" t="s">
        <v>824</v>
      </c>
      <c r="T4170">
        <v>37</v>
      </c>
      <c r="U4170" s="26" t="str">
        <f t="shared" si="157"/>
        <v>2021.010B.R.Binomial_names.zip</v>
      </c>
    </row>
    <row r="4171" spans="1:21">
      <c r="A4171">
        <v>4170</v>
      </c>
      <c r="B4171" s="27" t="s">
        <v>1449</v>
      </c>
      <c r="D4171" s="27" t="s">
        <v>1450</v>
      </c>
      <c r="F4171" s="27" t="s">
        <v>1453</v>
      </c>
      <c r="H4171" s="27" t="s">
        <v>1454</v>
      </c>
      <c r="M4171" s="27" t="s">
        <v>2208</v>
      </c>
      <c r="N4171" s="27" t="s">
        <v>623</v>
      </c>
      <c r="P4171" s="27" t="s">
        <v>5907</v>
      </c>
      <c r="Q4171" s="26" t="str">
        <f>HYPERLINK("https://ictv.global/taxonomy/taxondetails?taxnode_id=202509566&amp;ictv_id=ICTV202009566","ICTV202009566")</f>
        <v>ICTV202009566</v>
      </c>
      <c r="R4171" t="s">
        <v>579</v>
      </c>
      <c r="S4171" t="s">
        <v>824</v>
      </c>
      <c r="T4171">
        <v>37</v>
      </c>
      <c r="U4171" s="26" t="str">
        <f t="shared" si="157"/>
        <v>2021.010B.R.Binomial_names.zip</v>
      </c>
    </row>
    <row r="4172" spans="1:21">
      <c r="A4172">
        <v>4171</v>
      </c>
      <c r="B4172" s="27" t="s">
        <v>1449</v>
      </c>
      <c r="D4172" s="27" t="s">
        <v>1450</v>
      </c>
      <c r="F4172" s="27" t="s">
        <v>1453</v>
      </c>
      <c r="H4172" s="27" t="s">
        <v>1454</v>
      </c>
      <c r="M4172" s="27" t="s">
        <v>2208</v>
      </c>
      <c r="N4172" s="27" t="s">
        <v>623</v>
      </c>
      <c r="P4172" s="27" t="s">
        <v>5908</v>
      </c>
      <c r="Q4172" s="26" t="str">
        <f>HYPERLINK("https://ictv.global/taxonomy/taxondetails?taxnode_id=202509572&amp;ictv_id=ICTV202009572","ICTV202009572")</f>
        <v>ICTV202009572</v>
      </c>
      <c r="R4172" t="s">
        <v>579</v>
      </c>
      <c r="S4172" t="s">
        <v>824</v>
      </c>
      <c r="T4172">
        <v>37</v>
      </c>
      <c r="U4172" s="26" t="str">
        <f t="shared" si="157"/>
        <v>2021.010B.R.Binomial_names.zip</v>
      </c>
    </row>
    <row r="4173" spans="1:21">
      <c r="A4173">
        <v>4172</v>
      </c>
      <c r="B4173" s="27" t="s">
        <v>1449</v>
      </c>
      <c r="D4173" s="27" t="s">
        <v>1450</v>
      </c>
      <c r="F4173" s="27" t="s">
        <v>1453</v>
      </c>
      <c r="H4173" s="27" t="s">
        <v>1454</v>
      </c>
      <c r="M4173" s="27" t="s">
        <v>2208</v>
      </c>
      <c r="N4173" s="27" t="s">
        <v>623</v>
      </c>
      <c r="P4173" s="27" t="s">
        <v>5909</v>
      </c>
      <c r="Q4173" s="26" t="str">
        <f>HYPERLINK("https://ictv.global/taxonomy/taxondetails?taxnode_id=202509574&amp;ictv_id=ICTV202009574","ICTV202009574")</f>
        <v>ICTV202009574</v>
      </c>
      <c r="R4173" t="s">
        <v>579</v>
      </c>
      <c r="S4173" t="s">
        <v>824</v>
      </c>
      <c r="T4173">
        <v>37</v>
      </c>
      <c r="U4173" s="26" t="str">
        <f t="shared" si="157"/>
        <v>2021.010B.R.Binomial_names.zip</v>
      </c>
    </row>
    <row r="4174" spans="1:21">
      <c r="A4174">
        <v>4173</v>
      </c>
      <c r="B4174" s="27" t="s">
        <v>1449</v>
      </c>
      <c r="D4174" s="27" t="s">
        <v>1450</v>
      </c>
      <c r="F4174" s="27" t="s">
        <v>1453</v>
      </c>
      <c r="H4174" s="27" t="s">
        <v>1454</v>
      </c>
      <c r="M4174" s="27" t="s">
        <v>2208</v>
      </c>
      <c r="N4174" s="27" t="s">
        <v>623</v>
      </c>
      <c r="P4174" s="27" t="s">
        <v>5910</v>
      </c>
      <c r="Q4174" s="26" t="str">
        <f>HYPERLINK("https://ictv.global/taxonomy/taxondetails?taxnode_id=202509562&amp;ictv_id=ICTV202009562","ICTV202009562")</f>
        <v>ICTV202009562</v>
      </c>
      <c r="R4174" t="s">
        <v>579</v>
      </c>
      <c r="S4174" t="s">
        <v>824</v>
      </c>
      <c r="T4174">
        <v>37</v>
      </c>
      <c r="U4174" s="26" t="str">
        <f t="shared" si="157"/>
        <v>2021.010B.R.Binomial_names.zip</v>
      </c>
    </row>
    <row r="4175" spans="1:21">
      <c r="A4175">
        <v>4174</v>
      </c>
      <c r="B4175" s="27" t="s">
        <v>1449</v>
      </c>
      <c r="D4175" s="27" t="s">
        <v>1450</v>
      </c>
      <c r="F4175" s="27" t="s">
        <v>1453</v>
      </c>
      <c r="H4175" s="27" t="s">
        <v>1454</v>
      </c>
      <c r="M4175" s="27" t="s">
        <v>2208</v>
      </c>
      <c r="N4175" s="27" t="s">
        <v>623</v>
      </c>
      <c r="P4175" s="27" t="s">
        <v>5911</v>
      </c>
      <c r="Q4175" s="26" t="str">
        <f>HYPERLINK("https://ictv.global/taxonomy/taxondetails?taxnode_id=202509569&amp;ictv_id=ICTV202009569","ICTV202009569")</f>
        <v>ICTV202009569</v>
      </c>
      <c r="R4175" t="s">
        <v>579</v>
      </c>
      <c r="S4175" t="s">
        <v>824</v>
      </c>
      <c r="T4175">
        <v>37</v>
      </c>
      <c r="U4175" s="26" t="str">
        <f t="shared" si="157"/>
        <v>2021.010B.R.Binomial_names.zip</v>
      </c>
    </row>
    <row r="4176" spans="1:21">
      <c r="A4176">
        <v>4175</v>
      </c>
      <c r="B4176" s="27" t="s">
        <v>1449</v>
      </c>
      <c r="D4176" s="27" t="s">
        <v>1450</v>
      </c>
      <c r="F4176" s="27" t="s">
        <v>1453</v>
      </c>
      <c r="H4176" s="27" t="s">
        <v>1454</v>
      </c>
      <c r="M4176" s="27" t="s">
        <v>2208</v>
      </c>
      <c r="N4176" s="27" t="s">
        <v>623</v>
      </c>
      <c r="P4176" s="27" t="s">
        <v>5912</v>
      </c>
      <c r="Q4176" s="26" t="str">
        <f>HYPERLINK("https://ictv.global/taxonomy/taxondetails?taxnode_id=202509561&amp;ictv_id=ICTV202009561","ICTV202009561")</f>
        <v>ICTV202009561</v>
      </c>
      <c r="R4176" t="s">
        <v>579</v>
      </c>
      <c r="S4176" t="s">
        <v>824</v>
      </c>
      <c r="T4176">
        <v>37</v>
      </c>
      <c r="U4176" s="26" t="str">
        <f t="shared" si="157"/>
        <v>2021.010B.R.Binomial_names.zip</v>
      </c>
    </row>
    <row r="4177" spans="1:21">
      <c r="A4177">
        <v>4176</v>
      </c>
      <c r="B4177" s="27" t="s">
        <v>1449</v>
      </c>
      <c r="D4177" s="27" t="s">
        <v>1450</v>
      </c>
      <c r="F4177" s="27" t="s">
        <v>1453</v>
      </c>
      <c r="H4177" s="27" t="s">
        <v>1454</v>
      </c>
      <c r="M4177" s="27" t="s">
        <v>2208</v>
      </c>
      <c r="N4177" s="27" t="s">
        <v>623</v>
      </c>
      <c r="P4177" s="27" t="s">
        <v>5913</v>
      </c>
      <c r="Q4177" s="26" t="str">
        <f>HYPERLINK("https://ictv.global/taxonomy/taxondetails?taxnode_id=202509570&amp;ictv_id=ICTV202009570","ICTV202009570")</f>
        <v>ICTV202009570</v>
      </c>
      <c r="R4177" t="s">
        <v>579</v>
      </c>
      <c r="S4177" t="s">
        <v>824</v>
      </c>
      <c r="T4177">
        <v>37</v>
      </c>
      <c r="U4177" s="26" t="str">
        <f t="shared" si="157"/>
        <v>2021.010B.R.Binomial_names.zip</v>
      </c>
    </row>
    <row r="4178" spans="1:21">
      <c r="A4178">
        <v>4177</v>
      </c>
      <c r="B4178" s="27" t="s">
        <v>1449</v>
      </c>
      <c r="D4178" s="27" t="s">
        <v>1450</v>
      </c>
      <c r="F4178" s="27" t="s">
        <v>1453</v>
      </c>
      <c r="H4178" s="27" t="s">
        <v>1454</v>
      </c>
      <c r="M4178" s="27" t="s">
        <v>2208</v>
      </c>
      <c r="N4178" s="27" t="s">
        <v>623</v>
      </c>
      <c r="P4178" s="27" t="s">
        <v>5914</v>
      </c>
      <c r="Q4178" s="26" t="str">
        <f>HYPERLINK("https://ictv.global/taxonomy/taxondetails?taxnode_id=202509573&amp;ictv_id=ICTV202009573","ICTV202009573")</f>
        <v>ICTV202009573</v>
      </c>
      <c r="R4178" t="s">
        <v>579</v>
      </c>
      <c r="S4178" t="s">
        <v>824</v>
      </c>
      <c r="T4178">
        <v>37</v>
      </c>
      <c r="U4178" s="26" t="str">
        <f t="shared" si="157"/>
        <v>2021.010B.R.Binomial_names.zip</v>
      </c>
    </row>
    <row r="4179" spans="1:21">
      <c r="A4179">
        <v>4178</v>
      </c>
      <c r="B4179" s="27" t="s">
        <v>1449</v>
      </c>
      <c r="D4179" s="27" t="s">
        <v>1450</v>
      </c>
      <c r="F4179" s="27" t="s">
        <v>1453</v>
      </c>
      <c r="H4179" s="27" t="s">
        <v>1454</v>
      </c>
      <c r="M4179" s="27" t="s">
        <v>2208</v>
      </c>
      <c r="N4179" s="27" t="s">
        <v>623</v>
      </c>
      <c r="P4179" s="27" t="s">
        <v>5915</v>
      </c>
      <c r="Q4179" s="26" t="str">
        <f>HYPERLINK("https://ictv.global/taxonomy/taxondetails?taxnode_id=202501225&amp;ictv_id=ICTV20140550","ICTV20140550")</f>
        <v>ICTV20140550</v>
      </c>
      <c r="R4179" t="s">
        <v>579</v>
      </c>
      <c r="S4179" t="s">
        <v>824</v>
      </c>
      <c r="T4179">
        <v>37</v>
      </c>
      <c r="U4179" s="26" t="str">
        <f t="shared" si="157"/>
        <v>2021.010B.R.Binomial_names.zip</v>
      </c>
    </row>
    <row r="4180" spans="1:21">
      <c r="A4180">
        <v>4179</v>
      </c>
      <c r="B4180" s="27" t="s">
        <v>1449</v>
      </c>
      <c r="D4180" s="27" t="s">
        <v>1450</v>
      </c>
      <c r="F4180" s="27" t="s">
        <v>1453</v>
      </c>
      <c r="H4180" s="27" t="s">
        <v>1454</v>
      </c>
      <c r="M4180" s="27" t="s">
        <v>733</v>
      </c>
      <c r="N4180" s="27" t="s">
        <v>734</v>
      </c>
      <c r="P4180" s="27" t="s">
        <v>5916</v>
      </c>
      <c r="Q4180" s="26" t="str">
        <f>HYPERLINK("https://ictv.global/taxonomy/taxondetails?taxnode_id=202500735&amp;ictv_id=ICTV20140408","ICTV20140408")</f>
        <v>ICTV20140408</v>
      </c>
      <c r="R4180" t="s">
        <v>579</v>
      </c>
      <c r="S4180" t="s">
        <v>824</v>
      </c>
      <c r="T4180">
        <v>37</v>
      </c>
      <c r="U4180" s="26" t="str">
        <f t="shared" si="157"/>
        <v>2021.010B.R.Binomial_names.zip</v>
      </c>
    </row>
    <row r="4181" spans="1:21">
      <c r="A4181">
        <v>4180</v>
      </c>
      <c r="B4181" s="27" t="s">
        <v>1449</v>
      </c>
      <c r="D4181" s="27" t="s">
        <v>1450</v>
      </c>
      <c r="F4181" s="27" t="s">
        <v>1453</v>
      </c>
      <c r="H4181" s="27" t="s">
        <v>1454</v>
      </c>
      <c r="M4181" s="27" t="s">
        <v>733</v>
      </c>
      <c r="N4181" s="27" t="s">
        <v>734</v>
      </c>
      <c r="P4181" s="27" t="s">
        <v>5917</v>
      </c>
      <c r="Q4181" s="26" t="str">
        <f>HYPERLINK("https://ictv.global/taxonomy/taxondetails?taxnode_id=202500736&amp;ictv_id=ICTV20164948","ICTV20164948")</f>
        <v>ICTV20164948</v>
      </c>
      <c r="R4181" t="s">
        <v>579</v>
      </c>
      <c r="S4181" t="s">
        <v>824</v>
      </c>
      <c r="T4181">
        <v>37</v>
      </c>
      <c r="U4181" s="26" t="str">
        <f t="shared" si="157"/>
        <v>2021.010B.R.Binomial_names.zip</v>
      </c>
    </row>
    <row r="4182" spans="1:21">
      <c r="A4182">
        <v>4181</v>
      </c>
      <c r="B4182" s="27" t="s">
        <v>1449</v>
      </c>
      <c r="D4182" s="27" t="s">
        <v>1450</v>
      </c>
      <c r="F4182" s="27" t="s">
        <v>1453</v>
      </c>
      <c r="H4182" s="27" t="s">
        <v>1454</v>
      </c>
      <c r="M4182" s="27" t="s">
        <v>733</v>
      </c>
      <c r="N4182" s="27" t="s">
        <v>734</v>
      </c>
      <c r="P4182" s="27" t="s">
        <v>5918</v>
      </c>
      <c r="Q4182" s="26" t="str">
        <f>HYPERLINK("https://ictv.global/taxonomy/taxondetails?taxnode_id=202500737&amp;ictv_id=ICTV20164949","ICTV20164949")</f>
        <v>ICTV20164949</v>
      </c>
      <c r="R4182" t="s">
        <v>579</v>
      </c>
      <c r="S4182" t="s">
        <v>824</v>
      </c>
      <c r="T4182">
        <v>37</v>
      </c>
      <c r="U4182" s="26" t="str">
        <f t="shared" si="157"/>
        <v>2021.010B.R.Binomial_names.zip</v>
      </c>
    </row>
    <row r="4183" spans="1:21">
      <c r="A4183">
        <v>4182</v>
      </c>
      <c r="B4183" s="27" t="s">
        <v>1449</v>
      </c>
      <c r="D4183" s="27" t="s">
        <v>1450</v>
      </c>
      <c r="F4183" s="27" t="s">
        <v>1453</v>
      </c>
      <c r="H4183" s="27" t="s">
        <v>1454</v>
      </c>
      <c r="M4183" s="27" t="s">
        <v>733</v>
      </c>
      <c r="N4183" s="27" t="s">
        <v>734</v>
      </c>
      <c r="P4183" s="27" t="s">
        <v>5919</v>
      </c>
      <c r="Q4183" s="26" t="str">
        <f>HYPERLINK("https://ictv.global/taxonomy/taxondetails?taxnode_id=202513192&amp;ictv_id=ICTV202113192","ICTV202113192")</f>
        <v>ICTV202113192</v>
      </c>
      <c r="R4183" t="s">
        <v>579</v>
      </c>
      <c r="S4183" t="s">
        <v>823</v>
      </c>
      <c r="T4183">
        <v>37</v>
      </c>
      <c r="U4183" s="26" t="str">
        <f>HYPERLINK("https://ictv.global/ictv/proposals/2021.007B.R.Bclasvirinae.zip","2021.007B.R.Bclasvirinae.zip")</f>
        <v>2021.007B.R.Bclasvirinae.zip</v>
      </c>
    </row>
    <row r="4184" spans="1:21">
      <c r="A4184">
        <v>4183</v>
      </c>
      <c r="B4184" s="27" t="s">
        <v>1449</v>
      </c>
      <c r="D4184" s="27" t="s">
        <v>1450</v>
      </c>
      <c r="F4184" s="27" t="s">
        <v>1453</v>
      </c>
      <c r="H4184" s="27" t="s">
        <v>1454</v>
      </c>
      <c r="M4184" s="27" t="s">
        <v>733</v>
      </c>
      <c r="N4184" s="27" t="s">
        <v>5920</v>
      </c>
      <c r="P4184" s="27" t="s">
        <v>5921</v>
      </c>
      <c r="Q4184" s="26" t="str">
        <f>HYPERLINK("https://ictv.global/taxonomy/taxondetails?taxnode_id=202513180&amp;ictv_id=ICTV202113180","ICTV202113180")</f>
        <v>ICTV202113180</v>
      </c>
      <c r="R4184" t="s">
        <v>579</v>
      </c>
      <c r="S4184" t="s">
        <v>823</v>
      </c>
      <c r="T4184">
        <v>37</v>
      </c>
      <c r="U4184" s="26" t="str">
        <f>HYPERLINK("https://ictv.global/ictv/proposals/2021.007B.R.Bclasvirinae.zip","2021.007B.R.Bclasvirinae.zip")</f>
        <v>2021.007B.R.Bclasvirinae.zip</v>
      </c>
    </row>
    <row r="4185" spans="1:21">
      <c r="A4185">
        <v>4184</v>
      </c>
      <c r="B4185" s="27" t="s">
        <v>1449</v>
      </c>
      <c r="D4185" s="27" t="s">
        <v>1450</v>
      </c>
      <c r="F4185" s="27" t="s">
        <v>1453</v>
      </c>
      <c r="H4185" s="27" t="s">
        <v>1454</v>
      </c>
      <c r="M4185" s="27" t="s">
        <v>733</v>
      </c>
      <c r="N4185" s="27" t="s">
        <v>5920</v>
      </c>
      <c r="P4185" s="27" t="s">
        <v>21474</v>
      </c>
      <c r="Q4185" s="26" t="str">
        <f>HYPERLINK("https://ictv.global/taxonomy/taxondetails?taxnode_id=202522345&amp;ictv_id=ICTV202522345","ICTV202522345")</f>
        <v>ICTV202522345</v>
      </c>
      <c r="R4185" t="s">
        <v>579</v>
      </c>
      <c r="S4185" t="s">
        <v>823</v>
      </c>
      <c r="T4185">
        <v>41</v>
      </c>
      <c r="U4185" s="26" t="str">
        <f>HYPERLINK("https://ictv.global/ictv/proposals/2025.008B.Caudoviricetes_11ns.zip","2025.008B.Caudoviricetes_11ns.zip")</f>
        <v>2025.008B.Caudoviricetes_11ns.zip</v>
      </c>
    </row>
    <row r="4186" spans="1:21">
      <c r="A4186">
        <v>4185</v>
      </c>
      <c r="B4186" s="27" t="s">
        <v>1449</v>
      </c>
      <c r="D4186" s="27" t="s">
        <v>1450</v>
      </c>
      <c r="F4186" s="27" t="s">
        <v>1453</v>
      </c>
      <c r="H4186" s="27" t="s">
        <v>1454</v>
      </c>
      <c r="M4186" s="27" t="s">
        <v>733</v>
      </c>
      <c r="N4186" s="27" t="s">
        <v>735</v>
      </c>
      <c r="P4186" s="27" t="s">
        <v>5922</v>
      </c>
      <c r="Q4186" s="26" t="str">
        <f>HYPERLINK("https://ictv.global/taxonomy/taxondetails?taxnode_id=202500739&amp;ictv_id=ICTV20164950","ICTV20164950")</f>
        <v>ICTV20164950</v>
      </c>
      <c r="R4186" t="s">
        <v>579</v>
      </c>
      <c r="S4186" t="s">
        <v>824</v>
      </c>
      <c r="T4186">
        <v>37</v>
      </c>
      <c r="U4186" s="26" t="str">
        <f>HYPERLINK("https://ictv.global/ictv/proposals/2021.010B.R.Binomial_names.zip","2021.010B.R.Binomial_names.zip")</f>
        <v>2021.010B.R.Binomial_names.zip</v>
      </c>
    </row>
    <row r="4187" spans="1:21">
      <c r="A4187">
        <v>4186</v>
      </c>
      <c r="B4187" s="27" t="s">
        <v>1449</v>
      </c>
      <c r="D4187" s="27" t="s">
        <v>1450</v>
      </c>
      <c r="F4187" s="27" t="s">
        <v>1453</v>
      </c>
      <c r="H4187" s="27" t="s">
        <v>1454</v>
      </c>
      <c r="M4187" s="27" t="s">
        <v>733</v>
      </c>
      <c r="N4187" s="27" t="s">
        <v>735</v>
      </c>
      <c r="P4187" s="27" t="s">
        <v>5923</v>
      </c>
      <c r="Q4187" s="26" t="str">
        <f>HYPERLINK("https://ictv.global/taxonomy/taxondetails?taxnode_id=202500740&amp;ictv_id=ICTV20164951","ICTV20164951")</f>
        <v>ICTV20164951</v>
      </c>
      <c r="R4187" t="s">
        <v>579</v>
      </c>
      <c r="S4187" t="s">
        <v>824</v>
      </c>
      <c r="T4187">
        <v>37</v>
      </c>
      <c r="U4187" s="26" t="str">
        <f>HYPERLINK("https://ictv.global/ictv/proposals/2021.010B.R.Binomial_names.zip","2021.010B.R.Binomial_names.zip")</f>
        <v>2021.010B.R.Binomial_names.zip</v>
      </c>
    </row>
    <row r="4188" spans="1:21">
      <c r="A4188">
        <v>4187</v>
      </c>
      <c r="B4188" s="27" t="s">
        <v>1449</v>
      </c>
      <c r="D4188" s="27" t="s">
        <v>1450</v>
      </c>
      <c r="F4188" s="27" t="s">
        <v>1453</v>
      </c>
      <c r="H4188" s="27" t="s">
        <v>1454</v>
      </c>
      <c r="M4188" s="27" t="s">
        <v>733</v>
      </c>
      <c r="N4188" s="27" t="s">
        <v>735</v>
      </c>
      <c r="P4188" s="27" t="s">
        <v>5924</v>
      </c>
      <c r="Q4188" s="26" t="str">
        <f>HYPERLINK("https://ictv.global/taxonomy/taxondetails?taxnode_id=202500741&amp;ictv_id=ICTV20164952","ICTV20164952")</f>
        <v>ICTV20164952</v>
      </c>
      <c r="R4188" t="s">
        <v>579</v>
      </c>
      <c r="S4188" t="s">
        <v>824</v>
      </c>
      <c r="T4188">
        <v>37</v>
      </c>
      <c r="U4188" s="26" t="str">
        <f>HYPERLINK("https://ictv.global/ictv/proposals/2021.010B.R.Binomial_names.zip","2021.010B.R.Binomial_names.zip")</f>
        <v>2021.010B.R.Binomial_names.zip</v>
      </c>
    </row>
    <row r="4189" spans="1:21">
      <c r="A4189">
        <v>4188</v>
      </c>
      <c r="B4189" s="27" t="s">
        <v>1449</v>
      </c>
      <c r="D4189" s="27" t="s">
        <v>1450</v>
      </c>
      <c r="F4189" s="27" t="s">
        <v>1453</v>
      </c>
      <c r="H4189" s="27" t="s">
        <v>1454</v>
      </c>
      <c r="M4189" s="27" t="s">
        <v>733</v>
      </c>
      <c r="N4189" s="27" t="s">
        <v>735</v>
      </c>
      <c r="P4189" s="27" t="s">
        <v>5925</v>
      </c>
      <c r="Q4189" s="26" t="str">
        <f>HYPERLINK("https://ictv.global/taxonomy/taxondetails?taxnode_id=202500742&amp;ictv_id=ICTV20140404","ICTV20140404")</f>
        <v>ICTV20140404</v>
      </c>
      <c r="R4189" t="s">
        <v>579</v>
      </c>
      <c r="S4189" t="s">
        <v>824</v>
      </c>
      <c r="T4189">
        <v>37</v>
      </c>
      <c r="U4189" s="26" t="str">
        <f>HYPERLINK("https://ictv.global/ictv/proposals/2021.010B.R.Binomial_names.zip","2021.010B.R.Binomial_names.zip")</f>
        <v>2021.010B.R.Binomial_names.zip</v>
      </c>
    </row>
    <row r="4190" spans="1:21">
      <c r="A4190">
        <v>4189</v>
      </c>
      <c r="B4190" s="27" t="s">
        <v>1449</v>
      </c>
      <c r="D4190" s="27" t="s">
        <v>1450</v>
      </c>
      <c r="F4190" s="27" t="s">
        <v>1453</v>
      </c>
      <c r="H4190" s="27" t="s">
        <v>1454</v>
      </c>
      <c r="M4190" s="27" t="s">
        <v>733</v>
      </c>
      <c r="N4190" s="27" t="s">
        <v>735</v>
      </c>
      <c r="P4190" s="27" t="s">
        <v>5926</v>
      </c>
      <c r="Q4190" s="26" t="str">
        <f>HYPERLINK("https://ictv.global/taxonomy/taxondetails?taxnode_id=202500743&amp;ictv_id=ICTV20140403","ICTV20140403")</f>
        <v>ICTV20140403</v>
      </c>
      <c r="R4190" t="s">
        <v>579</v>
      </c>
      <c r="S4190" t="s">
        <v>824</v>
      </c>
      <c r="T4190">
        <v>37</v>
      </c>
      <c r="U4190" s="26" t="str">
        <f>HYPERLINK("https://ictv.global/ictv/proposals/2021.010B.R.Binomial_names.zip","2021.010B.R.Binomial_names.zip")</f>
        <v>2021.010B.R.Binomial_names.zip</v>
      </c>
    </row>
    <row r="4191" spans="1:21">
      <c r="A4191">
        <v>4190</v>
      </c>
      <c r="B4191" s="27" t="s">
        <v>1449</v>
      </c>
      <c r="D4191" s="27" t="s">
        <v>1450</v>
      </c>
      <c r="F4191" s="27" t="s">
        <v>1453</v>
      </c>
      <c r="H4191" s="27" t="s">
        <v>1454</v>
      </c>
      <c r="M4191" s="27" t="s">
        <v>733</v>
      </c>
      <c r="N4191" s="27" t="s">
        <v>735</v>
      </c>
      <c r="P4191" s="27" t="s">
        <v>5927</v>
      </c>
      <c r="Q4191" s="26" t="str">
        <f>HYPERLINK("https://ictv.global/taxonomy/taxondetails?taxnode_id=202513197&amp;ictv_id=ICTV202113197","ICTV202113197")</f>
        <v>ICTV202113197</v>
      </c>
      <c r="R4191" t="s">
        <v>579</v>
      </c>
      <c r="S4191" t="s">
        <v>823</v>
      </c>
      <c r="T4191">
        <v>37</v>
      </c>
      <c r="U4191" s="26" t="str">
        <f>HYPERLINK("https://ictv.global/ictv/proposals/2021.007B.R.Bclasvirinae.zip","2021.007B.R.Bclasvirinae.zip")</f>
        <v>2021.007B.R.Bclasvirinae.zip</v>
      </c>
    </row>
    <row r="4192" spans="1:21">
      <c r="A4192">
        <v>4191</v>
      </c>
      <c r="B4192" s="27" t="s">
        <v>1449</v>
      </c>
      <c r="D4192" s="27" t="s">
        <v>1450</v>
      </c>
      <c r="F4192" s="27" t="s">
        <v>1453</v>
      </c>
      <c r="H4192" s="27" t="s">
        <v>1454</v>
      </c>
      <c r="M4192" s="27" t="s">
        <v>733</v>
      </c>
      <c r="N4192" s="27" t="s">
        <v>735</v>
      </c>
      <c r="P4192" s="27" t="s">
        <v>5928</v>
      </c>
      <c r="Q4192" s="26" t="str">
        <f>HYPERLINK("https://ictv.global/taxonomy/taxondetails?taxnode_id=202513196&amp;ictv_id=ICTV202113196","ICTV202113196")</f>
        <v>ICTV202113196</v>
      </c>
      <c r="R4192" t="s">
        <v>579</v>
      </c>
      <c r="S4192" t="s">
        <v>823</v>
      </c>
      <c r="T4192">
        <v>37</v>
      </c>
      <c r="U4192" s="26" t="str">
        <f>HYPERLINK("https://ictv.global/ictv/proposals/2021.007B.R.Bclasvirinae.zip","2021.007B.R.Bclasvirinae.zip")</f>
        <v>2021.007B.R.Bclasvirinae.zip</v>
      </c>
    </row>
    <row r="4193" spans="1:21">
      <c r="A4193">
        <v>4192</v>
      </c>
      <c r="B4193" s="27" t="s">
        <v>1449</v>
      </c>
      <c r="D4193" s="27" t="s">
        <v>1450</v>
      </c>
      <c r="F4193" s="27" t="s">
        <v>1453</v>
      </c>
      <c r="H4193" s="27" t="s">
        <v>1454</v>
      </c>
      <c r="M4193" s="27" t="s">
        <v>733</v>
      </c>
      <c r="N4193" s="27" t="s">
        <v>735</v>
      </c>
      <c r="P4193" s="27" t="s">
        <v>5929</v>
      </c>
      <c r="Q4193" s="26" t="str">
        <f>HYPERLINK("https://ictv.global/taxonomy/taxondetails?taxnode_id=202500744&amp;ictv_id=ICTV20164953","ICTV20164953")</f>
        <v>ICTV20164953</v>
      </c>
      <c r="R4193" t="s">
        <v>579</v>
      </c>
      <c r="S4193" t="s">
        <v>824</v>
      </c>
      <c r="T4193">
        <v>37</v>
      </c>
      <c r="U4193" s="26" t="str">
        <f>HYPERLINK("https://ictv.global/ictv/proposals/2021.010B.R.Binomial_names.zip","2021.010B.R.Binomial_names.zip")</f>
        <v>2021.010B.R.Binomial_names.zip</v>
      </c>
    </row>
    <row r="4194" spans="1:21">
      <c r="A4194">
        <v>4193</v>
      </c>
      <c r="B4194" s="27" t="s">
        <v>1449</v>
      </c>
      <c r="D4194" s="27" t="s">
        <v>1450</v>
      </c>
      <c r="F4194" s="27" t="s">
        <v>1453</v>
      </c>
      <c r="H4194" s="27" t="s">
        <v>1454</v>
      </c>
      <c r="M4194" s="27" t="s">
        <v>733</v>
      </c>
      <c r="N4194" s="27" t="s">
        <v>735</v>
      </c>
      <c r="P4194" s="27" t="s">
        <v>5930</v>
      </c>
      <c r="Q4194" s="26" t="str">
        <f>HYPERLINK("https://ictv.global/taxonomy/taxondetails?taxnode_id=202500745&amp;ictv_id=ICTV20140406","ICTV20140406")</f>
        <v>ICTV20140406</v>
      </c>
      <c r="R4194" t="s">
        <v>579</v>
      </c>
      <c r="S4194" t="s">
        <v>824</v>
      </c>
      <c r="T4194">
        <v>37</v>
      </c>
      <c r="U4194" s="26" t="str">
        <f>HYPERLINK("https://ictv.global/ictv/proposals/2021.010B.R.Binomial_names.zip","2021.010B.R.Binomial_names.zip")</f>
        <v>2021.010B.R.Binomial_names.zip</v>
      </c>
    </row>
    <row r="4195" spans="1:21">
      <c r="A4195">
        <v>4194</v>
      </c>
      <c r="B4195" s="27" t="s">
        <v>1449</v>
      </c>
      <c r="D4195" s="27" t="s">
        <v>1450</v>
      </c>
      <c r="F4195" s="27" t="s">
        <v>1453</v>
      </c>
      <c r="H4195" s="27" t="s">
        <v>1454</v>
      </c>
      <c r="M4195" s="27" t="s">
        <v>733</v>
      </c>
      <c r="N4195" s="27" t="s">
        <v>735</v>
      </c>
      <c r="P4195" s="27" t="s">
        <v>5931</v>
      </c>
      <c r="Q4195" s="26" t="str">
        <f>HYPERLINK("https://ictv.global/taxonomy/taxondetails?taxnode_id=202500746&amp;ictv_id=ICTV20140405","ICTV20140405")</f>
        <v>ICTV20140405</v>
      </c>
      <c r="R4195" t="s">
        <v>579</v>
      </c>
      <c r="S4195" t="s">
        <v>824</v>
      </c>
      <c r="T4195">
        <v>37</v>
      </c>
      <c r="U4195" s="26" t="str">
        <f>HYPERLINK("https://ictv.global/ictv/proposals/2021.010B.R.Binomial_names.zip","2021.010B.R.Binomial_names.zip")</f>
        <v>2021.010B.R.Binomial_names.zip</v>
      </c>
    </row>
    <row r="4196" spans="1:21">
      <c r="A4196">
        <v>4195</v>
      </c>
      <c r="B4196" s="27" t="s">
        <v>1449</v>
      </c>
      <c r="D4196" s="27" t="s">
        <v>1450</v>
      </c>
      <c r="F4196" s="27" t="s">
        <v>1453</v>
      </c>
      <c r="H4196" s="27" t="s">
        <v>1454</v>
      </c>
      <c r="M4196" s="27" t="s">
        <v>733</v>
      </c>
      <c r="N4196" s="27" t="s">
        <v>735</v>
      </c>
      <c r="P4196" s="27" t="s">
        <v>5932</v>
      </c>
      <c r="Q4196" s="26" t="str">
        <f>HYPERLINK("https://ictv.global/taxonomy/taxondetails?taxnode_id=202500747&amp;ictv_id=ICTV20164954","ICTV20164954")</f>
        <v>ICTV20164954</v>
      </c>
      <c r="R4196" t="s">
        <v>579</v>
      </c>
      <c r="S4196" t="s">
        <v>824</v>
      </c>
      <c r="T4196">
        <v>37</v>
      </c>
      <c r="U4196" s="26" t="str">
        <f>HYPERLINK("https://ictv.global/ictv/proposals/2021.010B.R.Binomial_names.zip","2021.010B.R.Binomial_names.zip")</f>
        <v>2021.010B.R.Binomial_names.zip</v>
      </c>
    </row>
    <row r="4197" spans="1:21">
      <c r="A4197">
        <v>4196</v>
      </c>
      <c r="B4197" s="27" t="s">
        <v>1449</v>
      </c>
      <c r="D4197" s="27" t="s">
        <v>1450</v>
      </c>
      <c r="F4197" s="27" t="s">
        <v>1453</v>
      </c>
      <c r="H4197" s="27" t="s">
        <v>1454</v>
      </c>
      <c r="M4197" s="27" t="s">
        <v>733</v>
      </c>
      <c r="N4197" s="27" t="s">
        <v>735</v>
      </c>
      <c r="P4197" s="27" t="s">
        <v>5933</v>
      </c>
      <c r="Q4197" s="26" t="str">
        <f>HYPERLINK("https://ictv.global/taxonomy/taxondetails?taxnode_id=202500748&amp;ictv_id=ICTV20140407","ICTV20140407")</f>
        <v>ICTV20140407</v>
      </c>
      <c r="R4197" t="s">
        <v>579</v>
      </c>
      <c r="S4197" t="s">
        <v>824</v>
      </c>
      <c r="T4197">
        <v>37</v>
      </c>
      <c r="U4197" s="26" t="str">
        <f>HYPERLINK("https://ictv.global/ictv/proposals/2021.010B.R.Binomial_names.zip","2021.010B.R.Binomial_names.zip")</f>
        <v>2021.010B.R.Binomial_names.zip</v>
      </c>
    </row>
    <row r="4198" spans="1:21">
      <c r="A4198">
        <v>4197</v>
      </c>
      <c r="B4198" s="27" t="s">
        <v>1449</v>
      </c>
      <c r="D4198" s="27" t="s">
        <v>1450</v>
      </c>
      <c r="F4198" s="27" t="s">
        <v>1453</v>
      </c>
      <c r="H4198" s="27" t="s">
        <v>1454</v>
      </c>
      <c r="M4198" s="27" t="s">
        <v>733</v>
      </c>
      <c r="N4198" s="27" t="s">
        <v>5934</v>
      </c>
      <c r="P4198" s="27" t="s">
        <v>5935</v>
      </c>
      <c r="Q4198" s="26" t="str">
        <f>HYPERLINK("https://ictv.global/taxonomy/taxondetails?taxnode_id=202513189&amp;ictv_id=ICTV202113189","ICTV202113189")</f>
        <v>ICTV202113189</v>
      </c>
      <c r="R4198" t="s">
        <v>579</v>
      </c>
      <c r="S4198" t="s">
        <v>823</v>
      </c>
      <c r="T4198">
        <v>37</v>
      </c>
      <c r="U4198" s="26" t="str">
        <f>HYPERLINK("https://ictv.global/ictv/proposals/2021.007B.R.Bclasvirinae.zip","2021.007B.R.Bclasvirinae.zip")</f>
        <v>2021.007B.R.Bclasvirinae.zip</v>
      </c>
    </row>
    <row r="4199" spans="1:21">
      <c r="A4199">
        <v>4198</v>
      </c>
      <c r="B4199" s="27" t="s">
        <v>1449</v>
      </c>
      <c r="D4199" s="27" t="s">
        <v>1450</v>
      </c>
      <c r="F4199" s="27" t="s">
        <v>1453</v>
      </c>
      <c r="H4199" s="27" t="s">
        <v>1454</v>
      </c>
      <c r="M4199" s="27" t="s">
        <v>733</v>
      </c>
      <c r="N4199" s="27" t="s">
        <v>5936</v>
      </c>
      <c r="P4199" s="27" t="s">
        <v>5937</v>
      </c>
      <c r="Q4199" s="26" t="str">
        <f>HYPERLINK("https://ictv.global/taxonomy/taxondetails?taxnode_id=202513191&amp;ictv_id=ICTV202113191","ICTV202113191")</f>
        <v>ICTV202113191</v>
      </c>
      <c r="R4199" t="s">
        <v>579</v>
      </c>
      <c r="S4199" t="s">
        <v>823</v>
      </c>
      <c r="T4199">
        <v>37</v>
      </c>
      <c r="U4199" s="26" t="str">
        <f>HYPERLINK("https://ictv.global/ictv/proposals/2021.007B.R.Bclasvirinae.zip","2021.007B.R.Bclasvirinae.zip")</f>
        <v>2021.007B.R.Bclasvirinae.zip</v>
      </c>
    </row>
    <row r="4200" spans="1:21">
      <c r="A4200">
        <v>4199</v>
      </c>
      <c r="B4200" s="27" t="s">
        <v>1449</v>
      </c>
      <c r="D4200" s="27" t="s">
        <v>1450</v>
      </c>
      <c r="F4200" s="27" t="s">
        <v>1453</v>
      </c>
      <c r="H4200" s="27" t="s">
        <v>1454</v>
      </c>
      <c r="M4200" s="27" t="s">
        <v>733</v>
      </c>
      <c r="N4200" s="27" t="s">
        <v>5938</v>
      </c>
      <c r="P4200" s="27" t="s">
        <v>5939</v>
      </c>
      <c r="Q4200" s="26" t="str">
        <f>HYPERLINK("https://ictv.global/taxonomy/taxondetails?taxnode_id=202513182&amp;ictv_id=ICTV202113182","ICTV202113182")</f>
        <v>ICTV202113182</v>
      </c>
      <c r="R4200" t="s">
        <v>579</v>
      </c>
      <c r="S4200" t="s">
        <v>823</v>
      </c>
      <c r="T4200">
        <v>37</v>
      </c>
      <c r="U4200" s="26" t="str">
        <f>HYPERLINK("https://ictv.global/ictv/proposals/2021.007B.R.Bclasvirinae.zip","2021.007B.R.Bclasvirinae.zip")</f>
        <v>2021.007B.R.Bclasvirinae.zip</v>
      </c>
    </row>
    <row r="4201" spans="1:21">
      <c r="A4201">
        <v>4200</v>
      </c>
      <c r="B4201" s="27" t="s">
        <v>1449</v>
      </c>
      <c r="D4201" s="27" t="s">
        <v>1450</v>
      </c>
      <c r="F4201" s="27" t="s">
        <v>1453</v>
      </c>
      <c r="H4201" s="27" t="s">
        <v>1454</v>
      </c>
      <c r="M4201" s="27" t="s">
        <v>733</v>
      </c>
      <c r="N4201" s="27" t="s">
        <v>1315</v>
      </c>
      <c r="P4201" s="27" t="s">
        <v>5940</v>
      </c>
      <c r="Q4201" s="26" t="str">
        <f>HYPERLINK("https://ictv.global/taxonomy/taxondetails?taxnode_id=202500750&amp;ictv_id=ICTV20164955","ICTV20164955")</f>
        <v>ICTV20164955</v>
      </c>
      <c r="R4201" t="s">
        <v>579</v>
      </c>
      <c r="S4201" t="s">
        <v>824</v>
      </c>
      <c r="T4201">
        <v>37</v>
      </c>
      <c r="U4201" s="26" t="str">
        <f>HYPERLINK("https://ictv.global/ictv/proposals/2021.010B.R.Binomial_names.zip","2021.010B.R.Binomial_names.zip")</f>
        <v>2021.010B.R.Binomial_names.zip</v>
      </c>
    </row>
    <row r="4202" spans="1:21">
      <c r="A4202">
        <v>4201</v>
      </c>
      <c r="B4202" s="27" t="s">
        <v>1449</v>
      </c>
      <c r="D4202" s="27" t="s">
        <v>1450</v>
      </c>
      <c r="F4202" s="27" t="s">
        <v>1453</v>
      </c>
      <c r="H4202" s="27" t="s">
        <v>1454</v>
      </c>
      <c r="M4202" s="27" t="s">
        <v>733</v>
      </c>
      <c r="N4202" s="27" t="s">
        <v>1315</v>
      </c>
      <c r="P4202" s="27" t="s">
        <v>5941</v>
      </c>
      <c r="Q4202" s="26" t="str">
        <f>HYPERLINK("https://ictv.global/taxonomy/taxondetails?taxnode_id=202513195&amp;ictv_id=ICTV202113195","ICTV202113195")</f>
        <v>ICTV202113195</v>
      </c>
      <c r="R4202" t="s">
        <v>579</v>
      </c>
      <c r="S4202" t="s">
        <v>823</v>
      </c>
      <c r="T4202">
        <v>37</v>
      </c>
      <c r="U4202" s="26" t="str">
        <f>HYPERLINK("https://ictv.global/ictv/proposals/2021.007B.R.Bclasvirinae.zip","2021.007B.R.Bclasvirinae.zip")</f>
        <v>2021.007B.R.Bclasvirinae.zip</v>
      </c>
    </row>
    <row r="4203" spans="1:21">
      <c r="A4203">
        <v>4202</v>
      </c>
      <c r="B4203" s="27" t="s">
        <v>1449</v>
      </c>
      <c r="D4203" s="27" t="s">
        <v>1450</v>
      </c>
      <c r="F4203" s="27" t="s">
        <v>1453</v>
      </c>
      <c r="H4203" s="27" t="s">
        <v>1454</v>
      </c>
      <c r="M4203" s="27" t="s">
        <v>733</v>
      </c>
      <c r="N4203" s="27" t="s">
        <v>1315</v>
      </c>
      <c r="P4203" s="27" t="s">
        <v>5942</v>
      </c>
      <c r="Q4203" s="26" t="str">
        <f>HYPERLINK("https://ictv.global/taxonomy/taxondetails?taxnode_id=202500751&amp;ictv_id=ICTV20164956","ICTV20164956")</f>
        <v>ICTV20164956</v>
      </c>
      <c r="R4203" t="s">
        <v>579</v>
      </c>
      <c r="S4203" t="s">
        <v>824</v>
      </c>
      <c r="T4203">
        <v>37</v>
      </c>
      <c r="U4203" s="26" t="str">
        <f t="shared" ref="U4203:U4211" si="158">HYPERLINK("https://ictv.global/ictv/proposals/2021.010B.R.Binomial_names.zip","2021.010B.R.Binomial_names.zip")</f>
        <v>2021.010B.R.Binomial_names.zip</v>
      </c>
    </row>
    <row r="4204" spans="1:21">
      <c r="A4204">
        <v>4203</v>
      </c>
      <c r="B4204" s="27" t="s">
        <v>1449</v>
      </c>
      <c r="D4204" s="27" t="s">
        <v>1450</v>
      </c>
      <c r="F4204" s="27" t="s">
        <v>1453</v>
      </c>
      <c r="H4204" s="27" t="s">
        <v>1454</v>
      </c>
      <c r="M4204" s="27" t="s">
        <v>733</v>
      </c>
      <c r="N4204" s="27" t="s">
        <v>1315</v>
      </c>
      <c r="P4204" s="27" t="s">
        <v>5943</v>
      </c>
      <c r="Q4204" s="26" t="str">
        <f>HYPERLINK("https://ictv.global/taxonomy/taxondetails?taxnode_id=202500752&amp;ictv_id=ICTV20140398","ICTV20140398")</f>
        <v>ICTV20140398</v>
      </c>
      <c r="R4204" t="s">
        <v>579</v>
      </c>
      <c r="S4204" t="s">
        <v>824</v>
      </c>
      <c r="T4204">
        <v>37</v>
      </c>
      <c r="U4204" s="26" t="str">
        <f t="shared" si="158"/>
        <v>2021.010B.R.Binomial_names.zip</v>
      </c>
    </row>
    <row r="4205" spans="1:21">
      <c r="A4205">
        <v>4204</v>
      </c>
      <c r="B4205" s="27" t="s">
        <v>1449</v>
      </c>
      <c r="D4205" s="27" t="s">
        <v>1450</v>
      </c>
      <c r="F4205" s="27" t="s">
        <v>1453</v>
      </c>
      <c r="H4205" s="27" t="s">
        <v>1454</v>
      </c>
      <c r="M4205" s="27" t="s">
        <v>733</v>
      </c>
      <c r="N4205" s="27" t="s">
        <v>1315</v>
      </c>
      <c r="P4205" s="27" t="s">
        <v>5944</v>
      </c>
      <c r="Q4205" s="26" t="str">
        <f>HYPERLINK("https://ictv.global/taxonomy/taxondetails?taxnode_id=202500753&amp;ictv_id=ICTV20164957","ICTV20164957")</f>
        <v>ICTV20164957</v>
      </c>
      <c r="R4205" t="s">
        <v>579</v>
      </c>
      <c r="S4205" t="s">
        <v>824</v>
      </c>
      <c r="T4205">
        <v>37</v>
      </c>
      <c r="U4205" s="26" t="str">
        <f t="shared" si="158"/>
        <v>2021.010B.R.Binomial_names.zip</v>
      </c>
    </row>
    <row r="4206" spans="1:21">
      <c r="A4206">
        <v>4205</v>
      </c>
      <c r="B4206" s="27" t="s">
        <v>1449</v>
      </c>
      <c r="D4206" s="27" t="s">
        <v>1450</v>
      </c>
      <c r="F4206" s="27" t="s">
        <v>1453</v>
      </c>
      <c r="H4206" s="27" t="s">
        <v>1454</v>
      </c>
      <c r="M4206" s="27" t="s">
        <v>733</v>
      </c>
      <c r="N4206" s="27" t="s">
        <v>1315</v>
      </c>
      <c r="P4206" s="27" t="s">
        <v>5945</v>
      </c>
      <c r="Q4206" s="26" t="str">
        <f>HYPERLINK("https://ictv.global/taxonomy/taxondetails?taxnode_id=202500754&amp;ictv_id=ICTV20140397","ICTV20140397")</f>
        <v>ICTV20140397</v>
      </c>
      <c r="R4206" t="s">
        <v>579</v>
      </c>
      <c r="S4206" t="s">
        <v>824</v>
      </c>
      <c r="T4206">
        <v>37</v>
      </c>
      <c r="U4206" s="26" t="str">
        <f t="shared" si="158"/>
        <v>2021.010B.R.Binomial_names.zip</v>
      </c>
    </row>
    <row r="4207" spans="1:21">
      <c r="A4207">
        <v>4206</v>
      </c>
      <c r="B4207" s="27" t="s">
        <v>1449</v>
      </c>
      <c r="D4207" s="27" t="s">
        <v>1450</v>
      </c>
      <c r="F4207" s="27" t="s">
        <v>1453</v>
      </c>
      <c r="H4207" s="27" t="s">
        <v>1454</v>
      </c>
      <c r="M4207" s="27" t="s">
        <v>733</v>
      </c>
      <c r="N4207" s="27" t="s">
        <v>1315</v>
      </c>
      <c r="P4207" s="27" t="s">
        <v>5946</v>
      </c>
      <c r="Q4207" s="26" t="str">
        <f>HYPERLINK("https://ictv.global/taxonomy/taxondetails?taxnode_id=202500755&amp;ictv_id=ICTV20164958","ICTV20164958")</f>
        <v>ICTV20164958</v>
      </c>
      <c r="R4207" t="s">
        <v>579</v>
      </c>
      <c r="S4207" t="s">
        <v>824</v>
      </c>
      <c r="T4207">
        <v>37</v>
      </c>
      <c r="U4207" s="26" t="str">
        <f t="shared" si="158"/>
        <v>2021.010B.R.Binomial_names.zip</v>
      </c>
    </row>
    <row r="4208" spans="1:21">
      <c r="A4208">
        <v>4207</v>
      </c>
      <c r="B4208" s="27" t="s">
        <v>1449</v>
      </c>
      <c r="D4208" s="27" t="s">
        <v>1450</v>
      </c>
      <c r="F4208" s="27" t="s">
        <v>1453</v>
      </c>
      <c r="H4208" s="27" t="s">
        <v>1454</v>
      </c>
      <c r="M4208" s="27" t="s">
        <v>733</v>
      </c>
      <c r="N4208" s="27" t="s">
        <v>1315</v>
      </c>
      <c r="P4208" s="27" t="s">
        <v>5947</v>
      </c>
      <c r="Q4208" s="26" t="str">
        <f>HYPERLINK("https://ictv.global/taxonomy/taxondetails?taxnode_id=202500756&amp;ictv_id=ICTV20164959","ICTV20164959")</f>
        <v>ICTV20164959</v>
      </c>
      <c r="R4208" t="s">
        <v>579</v>
      </c>
      <c r="S4208" t="s">
        <v>824</v>
      </c>
      <c r="T4208">
        <v>37</v>
      </c>
      <c r="U4208" s="26" t="str">
        <f t="shared" si="158"/>
        <v>2021.010B.R.Binomial_names.zip</v>
      </c>
    </row>
    <row r="4209" spans="1:21">
      <c r="A4209">
        <v>4208</v>
      </c>
      <c r="B4209" s="27" t="s">
        <v>1449</v>
      </c>
      <c r="D4209" s="27" t="s">
        <v>1450</v>
      </c>
      <c r="F4209" s="27" t="s">
        <v>1453</v>
      </c>
      <c r="H4209" s="27" t="s">
        <v>1454</v>
      </c>
      <c r="M4209" s="27" t="s">
        <v>733</v>
      </c>
      <c r="N4209" s="27" t="s">
        <v>736</v>
      </c>
      <c r="P4209" s="27" t="s">
        <v>5948</v>
      </c>
      <c r="Q4209" s="26" t="str">
        <f>HYPERLINK("https://ictv.global/taxonomy/taxondetails?taxnode_id=202500758&amp;ictv_id=ICTV20140402","ICTV20140402")</f>
        <v>ICTV20140402</v>
      </c>
      <c r="R4209" t="s">
        <v>579</v>
      </c>
      <c r="S4209" t="s">
        <v>824</v>
      </c>
      <c r="T4209">
        <v>37</v>
      </c>
      <c r="U4209" s="26" t="str">
        <f t="shared" si="158"/>
        <v>2021.010B.R.Binomial_names.zip</v>
      </c>
    </row>
    <row r="4210" spans="1:21">
      <c r="A4210">
        <v>4209</v>
      </c>
      <c r="B4210" s="27" t="s">
        <v>1449</v>
      </c>
      <c r="D4210" s="27" t="s">
        <v>1450</v>
      </c>
      <c r="F4210" s="27" t="s">
        <v>1453</v>
      </c>
      <c r="H4210" s="27" t="s">
        <v>1454</v>
      </c>
      <c r="M4210" s="27" t="s">
        <v>733</v>
      </c>
      <c r="N4210" s="27" t="s">
        <v>736</v>
      </c>
      <c r="P4210" s="27" t="s">
        <v>5949</v>
      </c>
      <c r="Q4210" s="26" t="str">
        <f>HYPERLINK("https://ictv.global/taxonomy/taxondetails?taxnode_id=202500759&amp;ictv_id=ICTV20164960","ICTV20164960")</f>
        <v>ICTV20164960</v>
      </c>
      <c r="R4210" t="s">
        <v>579</v>
      </c>
      <c r="S4210" t="s">
        <v>824</v>
      </c>
      <c r="T4210">
        <v>37</v>
      </c>
      <c r="U4210" s="26" t="str">
        <f t="shared" si="158"/>
        <v>2021.010B.R.Binomial_names.zip</v>
      </c>
    </row>
    <row r="4211" spans="1:21">
      <c r="A4211">
        <v>4210</v>
      </c>
      <c r="B4211" s="27" t="s">
        <v>1449</v>
      </c>
      <c r="D4211" s="27" t="s">
        <v>1450</v>
      </c>
      <c r="F4211" s="27" t="s">
        <v>1453</v>
      </c>
      <c r="H4211" s="27" t="s">
        <v>1454</v>
      </c>
      <c r="M4211" s="27" t="s">
        <v>733</v>
      </c>
      <c r="N4211" s="27" t="s">
        <v>736</v>
      </c>
      <c r="P4211" s="27" t="s">
        <v>5950</v>
      </c>
      <c r="Q4211" s="26" t="str">
        <f>HYPERLINK("https://ictv.global/taxonomy/taxondetails?taxnode_id=202500760&amp;ictv_id=ICTV20140401","ICTV20140401")</f>
        <v>ICTV20140401</v>
      </c>
      <c r="R4211" t="s">
        <v>579</v>
      </c>
      <c r="S4211" t="s">
        <v>824</v>
      </c>
      <c r="T4211">
        <v>37</v>
      </c>
      <c r="U4211" s="26" t="str">
        <f t="shared" si="158"/>
        <v>2021.010B.R.Binomial_names.zip</v>
      </c>
    </row>
    <row r="4212" spans="1:21">
      <c r="A4212">
        <v>4211</v>
      </c>
      <c r="B4212" s="27" t="s">
        <v>1449</v>
      </c>
      <c r="D4212" s="27" t="s">
        <v>1450</v>
      </c>
      <c r="F4212" s="27" t="s">
        <v>1453</v>
      </c>
      <c r="H4212" s="27" t="s">
        <v>1454</v>
      </c>
      <c r="M4212" s="27" t="s">
        <v>733</v>
      </c>
      <c r="N4212" s="27" t="s">
        <v>736</v>
      </c>
      <c r="P4212" s="27" t="s">
        <v>5951</v>
      </c>
      <c r="Q4212" s="26" t="str">
        <f>HYPERLINK("https://ictv.global/taxonomy/taxondetails?taxnode_id=202513193&amp;ictv_id=ICTV202113193","ICTV202113193")</f>
        <v>ICTV202113193</v>
      </c>
      <c r="R4212" t="s">
        <v>579</v>
      </c>
      <c r="S4212" t="s">
        <v>823</v>
      </c>
      <c r="T4212">
        <v>37</v>
      </c>
      <c r="U4212" s="26" t="str">
        <f>HYPERLINK("https://ictv.global/ictv/proposals/2021.007B.R.Bclasvirinae.zip","2021.007B.R.Bclasvirinae.zip")</f>
        <v>2021.007B.R.Bclasvirinae.zip</v>
      </c>
    </row>
    <row r="4213" spans="1:21">
      <c r="A4213">
        <v>4212</v>
      </c>
      <c r="B4213" s="27" t="s">
        <v>1449</v>
      </c>
      <c r="D4213" s="27" t="s">
        <v>1450</v>
      </c>
      <c r="F4213" s="27" t="s">
        <v>1453</v>
      </c>
      <c r="H4213" s="27" t="s">
        <v>1454</v>
      </c>
      <c r="M4213" s="27" t="s">
        <v>733</v>
      </c>
      <c r="N4213" s="27" t="s">
        <v>736</v>
      </c>
      <c r="P4213" s="27" t="s">
        <v>5952</v>
      </c>
      <c r="Q4213" s="26" t="str">
        <f>HYPERLINK("https://ictv.global/taxonomy/taxondetails?taxnode_id=202500761&amp;ictv_id=ICTV20140400","ICTV20140400")</f>
        <v>ICTV20140400</v>
      </c>
      <c r="R4213" t="s">
        <v>579</v>
      </c>
      <c r="S4213" t="s">
        <v>824</v>
      </c>
      <c r="T4213">
        <v>37</v>
      </c>
      <c r="U4213" s="26" t="str">
        <f>HYPERLINK("https://ictv.global/ictv/proposals/2021.010B.R.Binomial_names.zip","2021.010B.R.Binomial_names.zip")</f>
        <v>2021.010B.R.Binomial_names.zip</v>
      </c>
    </row>
    <row r="4214" spans="1:21">
      <c r="A4214">
        <v>4213</v>
      </c>
      <c r="B4214" s="27" t="s">
        <v>1449</v>
      </c>
      <c r="D4214" s="27" t="s">
        <v>1450</v>
      </c>
      <c r="F4214" s="27" t="s">
        <v>1453</v>
      </c>
      <c r="H4214" s="27" t="s">
        <v>1454</v>
      </c>
      <c r="M4214" s="27" t="s">
        <v>733</v>
      </c>
      <c r="N4214" s="27" t="s">
        <v>5953</v>
      </c>
      <c r="P4214" s="27" t="s">
        <v>5954</v>
      </c>
      <c r="Q4214" s="26" t="str">
        <f>HYPERLINK("https://ictv.global/taxonomy/taxondetails?taxnode_id=202513187&amp;ictv_id=ICTV202113187","ICTV202113187")</f>
        <v>ICTV202113187</v>
      </c>
      <c r="R4214" t="s">
        <v>579</v>
      </c>
      <c r="S4214" t="s">
        <v>823</v>
      </c>
      <c r="T4214">
        <v>37</v>
      </c>
      <c r="U4214" s="26" t="str">
        <f>HYPERLINK("https://ictv.global/ictv/proposals/2021.007B.R.Bclasvirinae.zip","2021.007B.R.Bclasvirinae.zip")</f>
        <v>2021.007B.R.Bclasvirinae.zip</v>
      </c>
    </row>
    <row r="4215" spans="1:21">
      <c r="A4215">
        <v>4214</v>
      </c>
      <c r="B4215" s="27" t="s">
        <v>1449</v>
      </c>
      <c r="D4215" s="27" t="s">
        <v>1450</v>
      </c>
      <c r="F4215" s="27" t="s">
        <v>1453</v>
      </c>
      <c r="H4215" s="27" t="s">
        <v>1454</v>
      </c>
      <c r="M4215" s="27" t="s">
        <v>733</v>
      </c>
      <c r="N4215" s="27" t="s">
        <v>5953</v>
      </c>
      <c r="P4215" s="27" t="s">
        <v>5955</v>
      </c>
      <c r="Q4215" s="26" t="str">
        <f>HYPERLINK("https://ictv.global/taxonomy/taxondetails?taxnode_id=202513186&amp;ictv_id=ICTV202113186","ICTV202113186")</f>
        <v>ICTV202113186</v>
      </c>
      <c r="R4215" t="s">
        <v>579</v>
      </c>
      <c r="S4215" t="s">
        <v>823</v>
      </c>
      <c r="T4215">
        <v>37</v>
      </c>
      <c r="U4215" s="26" t="str">
        <f>HYPERLINK("https://ictv.global/ictv/proposals/2021.007B.R.Bclasvirinae.zip","2021.007B.R.Bclasvirinae.zip")</f>
        <v>2021.007B.R.Bclasvirinae.zip</v>
      </c>
    </row>
    <row r="4216" spans="1:21">
      <c r="A4216">
        <v>4215</v>
      </c>
      <c r="B4216" s="27" t="s">
        <v>1449</v>
      </c>
      <c r="D4216" s="27" t="s">
        <v>1450</v>
      </c>
      <c r="F4216" s="27" t="s">
        <v>1453</v>
      </c>
      <c r="H4216" s="27" t="s">
        <v>1454</v>
      </c>
      <c r="M4216" s="27" t="s">
        <v>733</v>
      </c>
      <c r="N4216" s="27" t="s">
        <v>737</v>
      </c>
      <c r="P4216" s="27" t="s">
        <v>5956</v>
      </c>
      <c r="Q4216" s="26" t="str">
        <f>HYPERLINK("https://ictv.global/taxonomy/taxondetails?taxnode_id=202500763&amp;ictv_id=ICTV20164961","ICTV20164961")</f>
        <v>ICTV20164961</v>
      </c>
      <c r="R4216" t="s">
        <v>579</v>
      </c>
      <c r="S4216" t="s">
        <v>824</v>
      </c>
      <c r="T4216">
        <v>37</v>
      </c>
      <c r="U4216" s="26" t="str">
        <f>HYPERLINK("https://ictv.global/ictv/proposals/2021.010B.R.Binomial_names.zip","2021.010B.R.Binomial_names.zip")</f>
        <v>2021.010B.R.Binomial_names.zip</v>
      </c>
    </row>
    <row r="4217" spans="1:21">
      <c r="A4217">
        <v>4216</v>
      </c>
      <c r="B4217" s="27" t="s">
        <v>1449</v>
      </c>
      <c r="D4217" s="27" t="s">
        <v>1450</v>
      </c>
      <c r="F4217" s="27" t="s">
        <v>1453</v>
      </c>
      <c r="H4217" s="27" t="s">
        <v>1454</v>
      </c>
      <c r="M4217" s="27" t="s">
        <v>733</v>
      </c>
      <c r="N4217" s="27" t="s">
        <v>737</v>
      </c>
      <c r="P4217" s="27" t="s">
        <v>5957</v>
      </c>
      <c r="Q4217" s="26" t="str">
        <f>HYPERLINK("https://ictv.global/taxonomy/taxondetails?taxnode_id=202513194&amp;ictv_id=ICTV202113194","ICTV202113194")</f>
        <v>ICTV202113194</v>
      </c>
      <c r="R4217" t="s">
        <v>579</v>
      </c>
      <c r="S4217" t="s">
        <v>823</v>
      </c>
      <c r="T4217">
        <v>37</v>
      </c>
      <c r="U4217" s="26" t="str">
        <f>HYPERLINK("https://ictv.global/ictv/proposals/2021.007B.R.Bclasvirinae.zip","2021.007B.R.Bclasvirinae.zip")</f>
        <v>2021.007B.R.Bclasvirinae.zip</v>
      </c>
    </row>
    <row r="4218" spans="1:21">
      <c r="A4218">
        <v>4217</v>
      </c>
      <c r="B4218" s="27" t="s">
        <v>1449</v>
      </c>
      <c r="D4218" s="27" t="s">
        <v>1450</v>
      </c>
      <c r="F4218" s="27" t="s">
        <v>1453</v>
      </c>
      <c r="H4218" s="27" t="s">
        <v>1454</v>
      </c>
      <c r="M4218" s="27" t="s">
        <v>733</v>
      </c>
      <c r="N4218" s="27" t="s">
        <v>737</v>
      </c>
      <c r="P4218" s="27" t="s">
        <v>5958</v>
      </c>
      <c r="Q4218" s="26" t="str">
        <f>HYPERLINK("https://ictv.global/taxonomy/taxondetails?taxnode_id=202500764&amp;ictv_id=ICTV20140399","ICTV20140399")</f>
        <v>ICTV20140399</v>
      </c>
      <c r="R4218" t="s">
        <v>579</v>
      </c>
      <c r="S4218" t="s">
        <v>824</v>
      </c>
      <c r="T4218">
        <v>37</v>
      </c>
      <c r="U4218" s="26" t="str">
        <f>HYPERLINK("https://ictv.global/ictv/proposals/2021.010B.R.Binomial_names.zip","2021.010B.R.Binomial_names.zip")</f>
        <v>2021.010B.R.Binomial_names.zip</v>
      </c>
    </row>
    <row r="4219" spans="1:21">
      <c r="A4219">
        <v>4218</v>
      </c>
      <c r="B4219" s="27" t="s">
        <v>1449</v>
      </c>
      <c r="D4219" s="27" t="s">
        <v>1450</v>
      </c>
      <c r="F4219" s="27" t="s">
        <v>1453</v>
      </c>
      <c r="H4219" s="27" t="s">
        <v>1454</v>
      </c>
      <c r="M4219" s="27" t="s">
        <v>733</v>
      </c>
      <c r="N4219" s="27" t="s">
        <v>737</v>
      </c>
      <c r="P4219" s="27" t="s">
        <v>5959</v>
      </c>
      <c r="Q4219" s="26" t="str">
        <f>HYPERLINK("https://ictv.global/taxonomy/taxondetails?taxnode_id=202501060&amp;ictv_id=ICTV20140326","ICTV20140326")</f>
        <v>ICTV20140326</v>
      </c>
      <c r="R4219" t="s">
        <v>579</v>
      </c>
      <c r="S4219" t="s">
        <v>824</v>
      </c>
      <c r="T4219">
        <v>37</v>
      </c>
      <c r="U4219" s="26" t="str">
        <f>HYPERLINK("https://ictv.global/ictv/proposals/2021.010B.R.Binomial_names.zip","2021.010B.R.Binomial_names.zip")</f>
        <v>2021.010B.R.Binomial_names.zip</v>
      </c>
    </row>
    <row r="4220" spans="1:21">
      <c r="A4220">
        <v>4219</v>
      </c>
      <c r="B4220" s="27" t="s">
        <v>1449</v>
      </c>
      <c r="D4220" s="27" t="s">
        <v>1450</v>
      </c>
      <c r="F4220" s="27" t="s">
        <v>1453</v>
      </c>
      <c r="H4220" s="27" t="s">
        <v>1454</v>
      </c>
      <c r="M4220" s="27" t="s">
        <v>733</v>
      </c>
      <c r="N4220" s="27" t="s">
        <v>5960</v>
      </c>
      <c r="P4220" s="27" t="s">
        <v>5961</v>
      </c>
      <c r="Q4220" s="26" t="str">
        <f>HYPERLINK("https://ictv.global/taxonomy/taxondetails?taxnode_id=202513184&amp;ictv_id=ICTV202113184","ICTV202113184")</f>
        <v>ICTV202113184</v>
      </c>
      <c r="R4220" t="s">
        <v>579</v>
      </c>
      <c r="S4220" t="s">
        <v>823</v>
      </c>
      <c r="T4220">
        <v>37</v>
      </c>
      <c r="U4220" s="26" t="str">
        <f>HYPERLINK("https://ictv.global/ictv/proposals/2021.007B.R.Bclasvirinae.zip","2021.007B.R.Bclasvirinae.zip")</f>
        <v>2021.007B.R.Bclasvirinae.zip</v>
      </c>
    </row>
    <row r="4221" spans="1:21">
      <c r="A4221">
        <v>4220</v>
      </c>
      <c r="B4221" s="27" t="s">
        <v>1449</v>
      </c>
      <c r="D4221" s="27" t="s">
        <v>1450</v>
      </c>
      <c r="F4221" s="27" t="s">
        <v>1453</v>
      </c>
      <c r="H4221" s="27" t="s">
        <v>1454</v>
      </c>
      <c r="M4221" s="27" t="s">
        <v>733</v>
      </c>
      <c r="N4221" s="27" t="s">
        <v>5962</v>
      </c>
      <c r="P4221" s="27" t="s">
        <v>5963</v>
      </c>
      <c r="Q4221" s="26" t="str">
        <f>HYPERLINK("https://ictv.global/taxonomy/taxondetails?taxnode_id=202513178&amp;ictv_id=ICTV202113178","ICTV202113178")</f>
        <v>ICTV202113178</v>
      </c>
      <c r="R4221" t="s">
        <v>579</v>
      </c>
      <c r="S4221" t="s">
        <v>823</v>
      </c>
      <c r="T4221">
        <v>37</v>
      </c>
      <c r="U4221" s="26" t="str">
        <f>HYPERLINK("https://ictv.global/ictv/proposals/2021.007B.R.Bclasvirinae.zip","2021.007B.R.Bclasvirinae.zip")</f>
        <v>2021.007B.R.Bclasvirinae.zip</v>
      </c>
    </row>
    <row r="4222" spans="1:21">
      <c r="A4222">
        <v>4221</v>
      </c>
      <c r="B4222" s="27" t="s">
        <v>1449</v>
      </c>
      <c r="D4222" s="27" t="s">
        <v>1450</v>
      </c>
      <c r="F4222" s="27" t="s">
        <v>1453</v>
      </c>
      <c r="H4222" s="27" t="s">
        <v>1454</v>
      </c>
      <c r="M4222" s="27" t="s">
        <v>5964</v>
      </c>
      <c r="N4222" s="27" t="s">
        <v>5965</v>
      </c>
      <c r="P4222" s="27" t="s">
        <v>5966</v>
      </c>
      <c r="Q4222" s="26" t="str">
        <f>HYPERLINK("https://ictv.global/taxonomy/taxondetails?taxnode_id=202514519&amp;ictv_id=ICTV202214519","ICTV202214519")</f>
        <v>ICTV202214519</v>
      </c>
      <c r="R4222" t="s">
        <v>579</v>
      </c>
      <c r="S4222" t="s">
        <v>823</v>
      </c>
      <c r="T4222">
        <v>38</v>
      </c>
      <c r="U4222" s="26" t="str">
        <f>HYPERLINK("https://ictv.global/ictv/proposals/2022.012B.Beaumontvirinae_nsf.zip","2022.012B.Beaumontvirinae_nsf.zip")</f>
        <v>2022.012B.Beaumontvirinae_nsf.zip</v>
      </c>
    </row>
    <row r="4223" spans="1:21">
      <c r="A4223">
        <v>4222</v>
      </c>
      <c r="B4223" s="27" t="s">
        <v>1449</v>
      </c>
      <c r="D4223" s="27" t="s">
        <v>1450</v>
      </c>
      <c r="F4223" s="27" t="s">
        <v>1453</v>
      </c>
      <c r="H4223" s="27" t="s">
        <v>1454</v>
      </c>
      <c r="M4223" s="27" t="s">
        <v>5964</v>
      </c>
      <c r="N4223" s="27" t="s">
        <v>5965</v>
      </c>
      <c r="P4223" s="27" t="s">
        <v>5967</v>
      </c>
      <c r="Q4223" s="26" t="str">
        <f>HYPERLINK("https://ictv.global/taxonomy/taxondetails?taxnode_id=202514520&amp;ictv_id=ICTV202214520","ICTV202214520")</f>
        <v>ICTV202214520</v>
      </c>
      <c r="R4223" t="s">
        <v>579</v>
      </c>
      <c r="S4223" t="s">
        <v>823</v>
      </c>
      <c r="T4223">
        <v>38</v>
      </c>
      <c r="U4223" s="26" t="str">
        <f>HYPERLINK("https://ictv.global/ictv/proposals/2022.012B.Beaumontvirinae_nsf.zip","2022.012B.Beaumontvirinae_nsf.zip")</f>
        <v>2022.012B.Beaumontvirinae_nsf.zip</v>
      </c>
    </row>
    <row r="4224" spans="1:21">
      <c r="A4224">
        <v>4223</v>
      </c>
      <c r="B4224" s="27" t="s">
        <v>1449</v>
      </c>
      <c r="D4224" s="27" t="s">
        <v>1450</v>
      </c>
      <c r="F4224" s="27" t="s">
        <v>1453</v>
      </c>
      <c r="H4224" s="27" t="s">
        <v>1454</v>
      </c>
      <c r="M4224" s="27" t="s">
        <v>5964</v>
      </c>
      <c r="N4224" s="27" t="s">
        <v>5965</v>
      </c>
      <c r="P4224" s="27" t="s">
        <v>5968</v>
      </c>
      <c r="Q4224" s="26" t="str">
        <f>HYPERLINK("https://ictv.global/taxonomy/taxondetails?taxnode_id=202514521&amp;ictv_id=ICTV202214521","ICTV202214521")</f>
        <v>ICTV202214521</v>
      </c>
      <c r="R4224" t="s">
        <v>579</v>
      </c>
      <c r="S4224" t="s">
        <v>823</v>
      </c>
      <c r="T4224">
        <v>38</v>
      </c>
      <c r="U4224" s="26" t="str">
        <f>HYPERLINK("https://ictv.global/ictv/proposals/2022.012B.Beaumontvirinae_nsf.zip","2022.012B.Beaumontvirinae_nsf.zip")</f>
        <v>2022.012B.Beaumontvirinae_nsf.zip</v>
      </c>
    </row>
    <row r="4225" spans="1:21">
      <c r="A4225">
        <v>4224</v>
      </c>
      <c r="B4225" s="27" t="s">
        <v>1449</v>
      </c>
      <c r="D4225" s="27" t="s">
        <v>1450</v>
      </c>
      <c r="F4225" s="27" t="s">
        <v>1453</v>
      </c>
      <c r="H4225" s="27" t="s">
        <v>1454</v>
      </c>
      <c r="M4225" s="27" t="s">
        <v>5964</v>
      </c>
      <c r="N4225" s="27" t="s">
        <v>5969</v>
      </c>
      <c r="P4225" s="27" t="s">
        <v>5970</v>
      </c>
      <c r="Q4225" s="26" t="str">
        <f>HYPERLINK("https://ictv.global/taxonomy/taxondetails?taxnode_id=202514517&amp;ictv_id=ICTV202214517","ICTV202214517")</f>
        <v>ICTV202214517</v>
      </c>
      <c r="R4225" t="s">
        <v>579</v>
      </c>
      <c r="S4225" t="s">
        <v>823</v>
      </c>
      <c r="T4225">
        <v>38</v>
      </c>
      <c r="U4225" s="26" t="str">
        <f>HYPERLINK("https://ictv.global/ictv/proposals/2022.012B.Beaumontvirinae_nsf.zip","2022.012B.Beaumontvirinae_nsf.zip")</f>
        <v>2022.012B.Beaumontvirinae_nsf.zip</v>
      </c>
    </row>
    <row r="4226" spans="1:21">
      <c r="A4226">
        <v>4225</v>
      </c>
      <c r="B4226" s="27" t="s">
        <v>1449</v>
      </c>
      <c r="D4226" s="27" t="s">
        <v>1450</v>
      </c>
      <c r="F4226" s="27" t="s">
        <v>1453</v>
      </c>
      <c r="H4226" s="27" t="s">
        <v>1454</v>
      </c>
      <c r="M4226" s="27" t="s">
        <v>5964</v>
      </c>
      <c r="N4226" s="27" t="s">
        <v>5971</v>
      </c>
      <c r="P4226" s="27" t="s">
        <v>5972</v>
      </c>
      <c r="Q4226" s="26" t="str">
        <f>HYPERLINK("https://ictv.global/taxonomy/taxondetails?taxnode_id=202514518&amp;ictv_id=ICTV202214518","ICTV202214518")</f>
        <v>ICTV202214518</v>
      </c>
      <c r="R4226" t="s">
        <v>579</v>
      </c>
      <c r="S4226" t="s">
        <v>823</v>
      </c>
      <c r="T4226">
        <v>38</v>
      </c>
      <c r="U4226" s="26" t="str">
        <f>HYPERLINK("https://ictv.global/ictv/proposals/2022.012B.Beaumontvirinae_nsf.zip","2022.012B.Beaumontvirinae_nsf.zip")</f>
        <v>2022.012B.Beaumontvirinae_nsf.zip</v>
      </c>
    </row>
    <row r="4227" spans="1:21">
      <c r="A4227">
        <v>4226</v>
      </c>
      <c r="B4227" s="27" t="s">
        <v>1449</v>
      </c>
      <c r="D4227" s="27" t="s">
        <v>1450</v>
      </c>
      <c r="F4227" s="27" t="s">
        <v>1453</v>
      </c>
      <c r="H4227" s="27" t="s">
        <v>1454</v>
      </c>
      <c r="M4227" s="27" t="s">
        <v>2128</v>
      </c>
      <c r="N4227" s="27" t="s">
        <v>2129</v>
      </c>
      <c r="P4227" s="27" t="s">
        <v>5973</v>
      </c>
      <c r="Q4227" s="26" t="str">
        <f>HYPERLINK("https://ictv.global/taxonomy/taxondetails?taxnode_id=202509630&amp;ictv_id=ICTV202009630","ICTV202009630")</f>
        <v>ICTV202009630</v>
      </c>
      <c r="R4227" t="s">
        <v>579</v>
      </c>
      <c r="S4227" t="s">
        <v>824</v>
      </c>
      <c r="T4227">
        <v>37</v>
      </c>
      <c r="U4227" s="26" t="str">
        <f t="shared" ref="U4227:U4255" si="159">HYPERLINK("https://ictv.global/ictv/proposals/2021.010B.R.Binomial_names.zip","2021.010B.R.Binomial_names.zip")</f>
        <v>2021.010B.R.Binomial_names.zip</v>
      </c>
    </row>
    <row r="4228" spans="1:21">
      <c r="A4228">
        <v>4227</v>
      </c>
      <c r="B4228" s="27" t="s">
        <v>1449</v>
      </c>
      <c r="D4228" s="27" t="s">
        <v>1450</v>
      </c>
      <c r="F4228" s="27" t="s">
        <v>1453</v>
      </c>
      <c r="H4228" s="27" t="s">
        <v>1454</v>
      </c>
      <c r="M4228" s="27" t="s">
        <v>2128</v>
      </c>
      <c r="N4228" s="27" t="s">
        <v>2130</v>
      </c>
      <c r="P4228" s="27" t="s">
        <v>5974</v>
      </c>
      <c r="Q4228" s="26" t="str">
        <f>HYPERLINK("https://ictv.global/taxonomy/taxondetails?taxnode_id=202509628&amp;ictv_id=ICTV202009628","ICTV202009628")</f>
        <v>ICTV202009628</v>
      </c>
      <c r="R4228" t="s">
        <v>579</v>
      </c>
      <c r="S4228" t="s">
        <v>824</v>
      </c>
      <c r="T4228">
        <v>37</v>
      </c>
      <c r="U4228" s="26" t="str">
        <f t="shared" si="159"/>
        <v>2021.010B.R.Binomial_names.zip</v>
      </c>
    </row>
    <row r="4229" spans="1:21">
      <c r="A4229">
        <v>4228</v>
      </c>
      <c r="B4229" s="27" t="s">
        <v>1449</v>
      </c>
      <c r="D4229" s="27" t="s">
        <v>1450</v>
      </c>
      <c r="F4229" s="27" t="s">
        <v>1453</v>
      </c>
      <c r="H4229" s="27" t="s">
        <v>1454</v>
      </c>
      <c r="M4229" s="27" t="s">
        <v>2128</v>
      </c>
      <c r="N4229" s="27" t="s">
        <v>2131</v>
      </c>
      <c r="P4229" s="27" t="s">
        <v>5975</v>
      </c>
      <c r="Q4229" s="26" t="str">
        <f>HYPERLINK("https://ictv.global/taxonomy/taxondetails?taxnode_id=202509634&amp;ictv_id=ICTV202009634","ICTV202009634")</f>
        <v>ICTV202009634</v>
      </c>
      <c r="R4229" t="s">
        <v>579</v>
      </c>
      <c r="S4229" t="s">
        <v>824</v>
      </c>
      <c r="T4229">
        <v>37</v>
      </c>
      <c r="U4229" s="26" t="str">
        <f t="shared" si="159"/>
        <v>2021.010B.R.Binomial_names.zip</v>
      </c>
    </row>
    <row r="4230" spans="1:21">
      <c r="A4230">
        <v>4229</v>
      </c>
      <c r="B4230" s="27" t="s">
        <v>1449</v>
      </c>
      <c r="D4230" s="27" t="s">
        <v>1450</v>
      </c>
      <c r="F4230" s="27" t="s">
        <v>1453</v>
      </c>
      <c r="H4230" s="27" t="s">
        <v>1454</v>
      </c>
      <c r="M4230" s="27" t="s">
        <v>2128</v>
      </c>
      <c r="N4230" s="27" t="s">
        <v>2131</v>
      </c>
      <c r="P4230" s="27" t="s">
        <v>5976</v>
      </c>
      <c r="Q4230" s="26" t="str">
        <f>HYPERLINK("https://ictv.global/taxonomy/taxondetails?taxnode_id=202509632&amp;ictv_id=ICTV202009632","ICTV202009632")</f>
        <v>ICTV202009632</v>
      </c>
      <c r="R4230" t="s">
        <v>579</v>
      </c>
      <c r="S4230" t="s">
        <v>824</v>
      </c>
      <c r="T4230">
        <v>37</v>
      </c>
      <c r="U4230" s="26" t="str">
        <f t="shared" si="159"/>
        <v>2021.010B.R.Binomial_names.zip</v>
      </c>
    </row>
    <row r="4231" spans="1:21">
      <c r="A4231">
        <v>4230</v>
      </c>
      <c r="B4231" s="27" t="s">
        <v>1449</v>
      </c>
      <c r="D4231" s="27" t="s">
        <v>1450</v>
      </c>
      <c r="F4231" s="27" t="s">
        <v>1453</v>
      </c>
      <c r="H4231" s="27" t="s">
        <v>1454</v>
      </c>
      <c r="M4231" s="27" t="s">
        <v>2128</v>
      </c>
      <c r="N4231" s="27" t="s">
        <v>2131</v>
      </c>
      <c r="P4231" s="27" t="s">
        <v>5977</v>
      </c>
      <c r="Q4231" s="26" t="str">
        <f>HYPERLINK("https://ictv.global/taxonomy/taxondetails?taxnode_id=202509633&amp;ictv_id=ICTV202009633","ICTV202009633")</f>
        <v>ICTV202009633</v>
      </c>
      <c r="R4231" t="s">
        <v>579</v>
      </c>
      <c r="S4231" t="s">
        <v>824</v>
      </c>
      <c r="T4231">
        <v>37</v>
      </c>
      <c r="U4231" s="26" t="str">
        <f t="shared" si="159"/>
        <v>2021.010B.R.Binomial_names.zip</v>
      </c>
    </row>
    <row r="4232" spans="1:21">
      <c r="A4232">
        <v>4231</v>
      </c>
      <c r="B4232" s="27" t="s">
        <v>1449</v>
      </c>
      <c r="D4232" s="27" t="s">
        <v>1450</v>
      </c>
      <c r="F4232" s="27" t="s">
        <v>1453</v>
      </c>
      <c r="H4232" s="27" t="s">
        <v>1454</v>
      </c>
      <c r="M4232" s="27" t="s">
        <v>2210</v>
      </c>
      <c r="N4232" s="27" t="s">
        <v>612</v>
      </c>
      <c r="P4232" s="27" t="s">
        <v>5978</v>
      </c>
      <c r="Q4232" s="26" t="str">
        <f>HYPERLINK("https://ictv.global/taxonomy/taxondetails?taxnode_id=202509695&amp;ictv_id=ICTV202009695","ICTV202009695")</f>
        <v>ICTV202009695</v>
      </c>
      <c r="R4232" t="s">
        <v>579</v>
      </c>
      <c r="S4232" t="s">
        <v>824</v>
      </c>
      <c r="T4232">
        <v>37</v>
      </c>
      <c r="U4232" s="26" t="str">
        <f t="shared" si="159"/>
        <v>2021.010B.R.Binomial_names.zip</v>
      </c>
    </row>
    <row r="4233" spans="1:21">
      <c r="A4233">
        <v>4232</v>
      </c>
      <c r="B4233" s="27" t="s">
        <v>1449</v>
      </c>
      <c r="D4233" s="27" t="s">
        <v>1450</v>
      </c>
      <c r="F4233" s="27" t="s">
        <v>1453</v>
      </c>
      <c r="H4233" s="27" t="s">
        <v>1454</v>
      </c>
      <c r="M4233" s="27" t="s">
        <v>2210</v>
      </c>
      <c r="N4233" s="27" t="s">
        <v>612</v>
      </c>
      <c r="P4233" s="27" t="s">
        <v>5979</v>
      </c>
      <c r="Q4233" s="26" t="str">
        <f>HYPERLINK("https://ictv.global/taxonomy/taxondetails?taxnode_id=202500861&amp;ictv_id=ICTV20140521","ICTV20140521")</f>
        <v>ICTV20140521</v>
      </c>
      <c r="R4233" t="s">
        <v>579</v>
      </c>
      <c r="S4233" t="s">
        <v>824</v>
      </c>
      <c r="T4233">
        <v>37</v>
      </c>
      <c r="U4233" s="26" t="str">
        <f t="shared" si="159"/>
        <v>2021.010B.R.Binomial_names.zip</v>
      </c>
    </row>
    <row r="4234" spans="1:21">
      <c r="A4234">
        <v>4233</v>
      </c>
      <c r="B4234" s="27" t="s">
        <v>1449</v>
      </c>
      <c r="D4234" s="27" t="s">
        <v>1450</v>
      </c>
      <c r="F4234" s="27" t="s">
        <v>1453</v>
      </c>
      <c r="H4234" s="27" t="s">
        <v>1454</v>
      </c>
      <c r="M4234" s="27" t="s">
        <v>2210</v>
      </c>
      <c r="N4234" s="27" t="s">
        <v>612</v>
      </c>
      <c r="P4234" s="27" t="s">
        <v>5980</v>
      </c>
      <c r="Q4234" s="26" t="str">
        <f>HYPERLINK("https://ictv.global/taxonomy/taxondetails?taxnode_id=202509694&amp;ictv_id=ICTV202009694","ICTV202009694")</f>
        <v>ICTV202009694</v>
      </c>
      <c r="R4234" t="s">
        <v>579</v>
      </c>
      <c r="S4234" t="s">
        <v>824</v>
      </c>
      <c r="T4234">
        <v>37</v>
      </c>
      <c r="U4234" s="26" t="str">
        <f t="shared" si="159"/>
        <v>2021.010B.R.Binomial_names.zip</v>
      </c>
    </row>
    <row r="4235" spans="1:21">
      <c r="A4235">
        <v>4234</v>
      </c>
      <c r="B4235" s="27" t="s">
        <v>1449</v>
      </c>
      <c r="D4235" s="27" t="s">
        <v>1450</v>
      </c>
      <c r="F4235" s="27" t="s">
        <v>1453</v>
      </c>
      <c r="H4235" s="27" t="s">
        <v>1454</v>
      </c>
      <c r="M4235" s="27" t="s">
        <v>2210</v>
      </c>
      <c r="N4235" s="27" t="s">
        <v>612</v>
      </c>
      <c r="P4235" s="27" t="s">
        <v>5981</v>
      </c>
      <c r="Q4235" s="26" t="str">
        <f>HYPERLINK("https://ictv.global/taxonomy/taxondetails?taxnode_id=202509697&amp;ictv_id=ICTV202009697","ICTV202009697")</f>
        <v>ICTV202009697</v>
      </c>
      <c r="R4235" t="s">
        <v>579</v>
      </c>
      <c r="S4235" t="s">
        <v>824</v>
      </c>
      <c r="T4235">
        <v>37</v>
      </c>
      <c r="U4235" s="26" t="str">
        <f t="shared" si="159"/>
        <v>2021.010B.R.Binomial_names.zip</v>
      </c>
    </row>
    <row r="4236" spans="1:21">
      <c r="A4236">
        <v>4235</v>
      </c>
      <c r="B4236" s="27" t="s">
        <v>1449</v>
      </c>
      <c r="D4236" s="27" t="s">
        <v>1450</v>
      </c>
      <c r="F4236" s="27" t="s">
        <v>1453</v>
      </c>
      <c r="H4236" s="27" t="s">
        <v>1454</v>
      </c>
      <c r="M4236" s="27" t="s">
        <v>2210</v>
      </c>
      <c r="N4236" s="27" t="s">
        <v>612</v>
      </c>
      <c r="P4236" s="27" t="s">
        <v>5982</v>
      </c>
      <c r="Q4236" s="26" t="str">
        <f>HYPERLINK("https://ictv.global/taxonomy/taxondetails?taxnode_id=202509693&amp;ictv_id=ICTV202009693","ICTV202009693")</f>
        <v>ICTV202009693</v>
      </c>
      <c r="R4236" t="s">
        <v>579</v>
      </c>
      <c r="S4236" t="s">
        <v>824</v>
      </c>
      <c r="T4236">
        <v>37</v>
      </c>
      <c r="U4236" s="26" t="str">
        <f t="shared" si="159"/>
        <v>2021.010B.R.Binomial_names.zip</v>
      </c>
    </row>
    <row r="4237" spans="1:21">
      <c r="A4237">
        <v>4236</v>
      </c>
      <c r="B4237" s="27" t="s">
        <v>1449</v>
      </c>
      <c r="D4237" s="27" t="s">
        <v>1450</v>
      </c>
      <c r="F4237" s="27" t="s">
        <v>1453</v>
      </c>
      <c r="H4237" s="27" t="s">
        <v>1454</v>
      </c>
      <c r="M4237" s="27" t="s">
        <v>2210</v>
      </c>
      <c r="N4237" s="27" t="s">
        <v>612</v>
      </c>
      <c r="P4237" s="27" t="s">
        <v>5983</v>
      </c>
      <c r="Q4237" s="26" t="str">
        <f>HYPERLINK("https://ictv.global/taxonomy/taxondetails?taxnode_id=202509688&amp;ictv_id=ICTV202009688","ICTV202009688")</f>
        <v>ICTV202009688</v>
      </c>
      <c r="R4237" t="s">
        <v>579</v>
      </c>
      <c r="S4237" t="s">
        <v>824</v>
      </c>
      <c r="T4237">
        <v>37</v>
      </c>
      <c r="U4237" s="26" t="str">
        <f t="shared" si="159"/>
        <v>2021.010B.R.Binomial_names.zip</v>
      </c>
    </row>
    <row r="4238" spans="1:21">
      <c r="A4238">
        <v>4237</v>
      </c>
      <c r="B4238" s="27" t="s">
        <v>1449</v>
      </c>
      <c r="D4238" s="27" t="s">
        <v>1450</v>
      </c>
      <c r="F4238" s="27" t="s">
        <v>1453</v>
      </c>
      <c r="H4238" s="27" t="s">
        <v>1454</v>
      </c>
      <c r="M4238" s="27" t="s">
        <v>2210</v>
      </c>
      <c r="N4238" s="27" t="s">
        <v>612</v>
      </c>
      <c r="P4238" s="27" t="s">
        <v>5984</v>
      </c>
      <c r="Q4238" s="26" t="str">
        <f>HYPERLINK("https://ictv.global/taxonomy/taxondetails?taxnode_id=202509690&amp;ictv_id=ICTV202009690","ICTV202009690")</f>
        <v>ICTV202009690</v>
      </c>
      <c r="R4238" t="s">
        <v>579</v>
      </c>
      <c r="S4238" t="s">
        <v>824</v>
      </c>
      <c r="T4238">
        <v>37</v>
      </c>
      <c r="U4238" s="26" t="str">
        <f t="shared" si="159"/>
        <v>2021.010B.R.Binomial_names.zip</v>
      </c>
    </row>
    <row r="4239" spans="1:21">
      <c r="A4239">
        <v>4238</v>
      </c>
      <c r="B4239" s="27" t="s">
        <v>1449</v>
      </c>
      <c r="D4239" s="27" t="s">
        <v>1450</v>
      </c>
      <c r="F4239" s="27" t="s">
        <v>1453</v>
      </c>
      <c r="H4239" s="27" t="s">
        <v>1454</v>
      </c>
      <c r="M4239" s="27" t="s">
        <v>2210</v>
      </c>
      <c r="N4239" s="27" t="s">
        <v>612</v>
      </c>
      <c r="P4239" s="27" t="s">
        <v>5985</v>
      </c>
      <c r="Q4239" s="26" t="str">
        <f>HYPERLINK("https://ictv.global/taxonomy/taxondetails?taxnode_id=202509689&amp;ictv_id=ICTV202009689","ICTV202009689")</f>
        <v>ICTV202009689</v>
      </c>
      <c r="R4239" t="s">
        <v>579</v>
      </c>
      <c r="S4239" t="s">
        <v>824</v>
      </c>
      <c r="T4239">
        <v>37</v>
      </c>
      <c r="U4239" s="26" t="str">
        <f t="shared" si="159"/>
        <v>2021.010B.R.Binomial_names.zip</v>
      </c>
    </row>
    <row r="4240" spans="1:21">
      <c r="A4240">
        <v>4239</v>
      </c>
      <c r="B4240" s="27" t="s">
        <v>1449</v>
      </c>
      <c r="D4240" s="27" t="s">
        <v>1450</v>
      </c>
      <c r="F4240" s="27" t="s">
        <v>1453</v>
      </c>
      <c r="H4240" s="27" t="s">
        <v>1454</v>
      </c>
      <c r="M4240" s="27" t="s">
        <v>2210</v>
      </c>
      <c r="N4240" s="27" t="s">
        <v>612</v>
      </c>
      <c r="P4240" s="27" t="s">
        <v>5986</v>
      </c>
      <c r="Q4240" s="26" t="str">
        <f>HYPERLINK("https://ictv.global/taxonomy/taxondetails?taxnode_id=202509687&amp;ictv_id=ICTV202009687","ICTV202009687")</f>
        <v>ICTV202009687</v>
      </c>
      <c r="R4240" t="s">
        <v>579</v>
      </c>
      <c r="S4240" t="s">
        <v>824</v>
      </c>
      <c r="T4240">
        <v>37</v>
      </c>
      <c r="U4240" s="26" t="str">
        <f t="shared" si="159"/>
        <v>2021.010B.R.Binomial_names.zip</v>
      </c>
    </row>
    <row r="4241" spans="1:21">
      <c r="A4241">
        <v>4240</v>
      </c>
      <c r="B4241" s="27" t="s">
        <v>1449</v>
      </c>
      <c r="D4241" s="27" t="s">
        <v>1450</v>
      </c>
      <c r="F4241" s="27" t="s">
        <v>1453</v>
      </c>
      <c r="H4241" s="27" t="s">
        <v>1454</v>
      </c>
      <c r="M4241" s="27" t="s">
        <v>2210</v>
      </c>
      <c r="N4241" s="27" t="s">
        <v>612</v>
      </c>
      <c r="P4241" s="27" t="s">
        <v>5987</v>
      </c>
      <c r="Q4241" s="26" t="str">
        <f>HYPERLINK("https://ictv.global/taxonomy/taxondetails?taxnode_id=202509686&amp;ictv_id=ICTV202009686","ICTV202009686")</f>
        <v>ICTV202009686</v>
      </c>
      <c r="R4241" t="s">
        <v>579</v>
      </c>
      <c r="S4241" t="s">
        <v>824</v>
      </c>
      <c r="T4241">
        <v>37</v>
      </c>
      <c r="U4241" s="26" t="str">
        <f t="shared" si="159"/>
        <v>2021.010B.R.Binomial_names.zip</v>
      </c>
    </row>
    <row r="4242" spans="1:21">
      <c r="A4242">
        <v>4241</v>
      </c>
      <c r="B4242" s="27" t="s">
        <v>1449</v>
      </c>
      <c r="D4242" s="27" t="s">
        <v>1450</v>
      </c>
      <c r="F4242" s="27" t="s">
        <v>1453</v>
      </c>
      <c r="H4242" s="27" t="s">
        <v>1454</v>
      </c>
      <c r="M4242" s="27" t="s">
        <v>2210</v>
      </c>
      <c r="N4242" s="27" t="s">
        <v>612</v>
      </c>
      <c r="P4242" s="27" t="s">
        <v>5988</v>
      </c>
      <c r="Q4242" s="26" t="str">
        <f>HYPERLINK("https://ictv.global/taxonomy/taxondetails?taxnode_id=202509696&amp;ictv_id=ICTV202009696","ICTV202009696")</f>
        <v>ICTV202009696</v>
      </c>
      <c r="R4242" t="s">
        <v>579</v>
      </c>
      <c r="S4242" t="s">
        <v>824</v>
      </c>
      <c r="T4242">
        <v>37</v>
      </c>
      <c r="U4242" s="26" t="str">
        <f t="shared" si="159"/>
        <v>2021.010B.R.Binomial_names.zip</v>
      </c>
    </row>
    <row r="4243" spans="1:21">
      <c r="A4243">
        <v>4242</v>
      </c>
      <c r="B4243" s="27" t="s">
        <v>1449</v>
      </c>
      <c r="D4243" s="27" t="s">
        <v>1450</v>
      </c>
      <c r="F4243" s="27" t="s">
        <v>1453</v>
      </c>
      <c r="H4243" s="27" t="s">
        <v>1454</v>
      </c>
      <c r="M4243" s="27" t="s">
        <v>2210</v>
      </c>
      <c r="N4243" s="27" t="s">
        <v>612</v>
      </c>
      <c r="P4243" s="27" t="s">
        <v>5989</v>
      </c>
      <c r="Q4243" s="26" t="str">
        <f>HYPERLINK("https://ictv.global/taxonomy/taxondetails?taxnode_id=202509698&amp;ictv_id=ICTV202009698","ICTV202009698")</f>
        <v>ICTV202009698</v>
      </c>
      <c r="R4243" t="s">
        <v>579</v>
      </c>
      <c r="S4243" t="s">
        <v>824</v>
      </c>
      <c r="T4243">
        <v>37</v>
      </c>
      <c r="U4243" s="26" t="str">
        <f t="shared" si="159"/>
        <v>2021.010B.R.Binomial_names.zip</v>
      </c>
    </row>
    <row r="4244" spans="1:21">
      <c r="A4244">
        <v>4243</v>
      </c>
      <c r="B4244" s="27" t="s">
        <v>1449</v>
      </c>
      <c r="D4244" s="27" t="s">
        <v>1450</v>
      </c>
      <c r="F4244" s="27" t="s">
        <v>1453</v>
      </c>
      <c r="H4244" s="27" t="s">
        <v>1454</v>
      </c>
      <c r="M4244" s="27" t="s">
        <v>2210</v>
      </c>
      <c r="N4244" s="27" t="s">
        <v>612</v>
      </c>
      <c r="P4244" s="27" t="s">
        <v>5990</v>
      </c>
      <c r="Q4244" s="26" t="str">
        <f>HYPERLINK("https://ictv.global/taxonomy/taxondetails?taxnode_id=202509691&amp;ictv_id=ICTV202009691","ICTV202009691")</f>
        <v>ICTV202009691</v>
      </c>
      <c r="R4244" t="s">
        <v>579</v>
      </c>
      <c r="S4244" t="s">
        <v>824</v>
      </c>
      <c r="T4244">
        <v>37</v>
      </c>
      <c r="U4244" s="26" t="str">
        <f t="shared" si="159"/>
        <v>2021.010B.R.Binomial_names.zip</v>
      </c>
    </row>
    <row r="4245" spans="1:21">
      <c r="A4245">
        <v>4244</v>
      </c>
      <c r="B4245" s="27" t="s">
        <v>1449</v>
      </c>
      <c r="D4245" s="27" t="s">
        <v>1450</v>
      </c>
      <c r="F4245" s="27" t="s">
        <v>1453</v>
      </c>
      <c r="H4245" s="27" t="s">
        <v>1454</v>
      </c>
      <c r="M4245" s="27" t="s">
        <v>2210</v>
      </c>
      <c r="N4245" s="27" t="s">
        <v>612</v>
      </c>
      <c r="P4245" s="27" t="s">
        <v>5991</v>
      </c>
      <c r="Q4245" s="26" t="str">
        <f>HYPERLINK("https://ictv.global/taxonomy/taxondetails?taxnode_id=202509692&amp;ictv_id=ICTV202009692","ICTV202009692")</f>
        <v>ICTV202009692</v>
      </c>
      <c r="R4245" t="s">
        <v>579</v>
      </c>
      <c r="S4245" t="s">
        <v>824</v>
      </c>
      <c r="T4245">
        <v>37</v>
      </c>
      <c r="U4245" s="26" t="str">
        <f t="shared" si="159"/>
        <v>2021.010B.R.Binomial_names.zip</v>
      </c>
    </row>
    <row r="4246" spans="1:21">
      <c r="A4246">
        <v>4245</v>
      </c>
      <c r="B4246" s="27" t="s">
        <v>1449</v>
      </c>
      <c r="D4246" s="27" t="s">
        <v>1450</v>
      </c>
      <c r="F4246" s="27" t="s">
        <v>1453</v>
      </c>
      <c r="H4246" s="27" t="s">
        <v>1454</v>
      </c>
      <c r="M4246" s="27" t="s">
        <v>2210</v>
      </c>
      <c r="N4246" s="27" t="s">
        <v>2211</v>
      </c>
      <c r="P4246" s="27" t="s">
        <v>5992</v>
      </c>
      <c r="Q4246" s="26" t="str">
        <f>HYPERLINK("https://ictv.global/taxonomy/taxondetails?taxnode_id=202509685&amp;ictv_id=ICTV202009685","ICTV202009685")</f>
        <v>ICTV202009685</v>
      </c>
      <c r="R4246" t="s">
        <v>579</v>
      </c>
      <c r="S4246" t="s">
        <v>824</v>
      </c>
      <c r="T4246">
        <v>37</v>
      </c>
      <c r="U4246" s="26" t="str">
        <f t="shared" si="159"/>
        <v>2021.010B.R.Binomial_names.zip</v>
      </c>
    </row>
    <row r="4247" spans="1:21">
      <c r="A4247">
        <v>4246</v>
      </c>
      <c r="B4247" s="27" t="s">
        <v>1449</v>
      </c>
      <c r="D4247" s="27" t="s">
        <v>1450</v>
      </c>
      <c r="F4247" s="27" t="s">
        <v>1453</v>
      </c>
      <c r="H4247" s="27" t="s">
        <v>1454</v>
      </c>
      <c r="M4247" s="27" t="s">
        <v>2210</v>
      </c>
      <c r="N4247" s="27" t="s">
        <v>2211</v>
      </c>
      <c r="P4247" s="27" t="s">
        <v>5993</v>
      </c>
      <c r="Q4247" s="26" t="str">
        <f>HYPERLINK("https://ictv.global/taxonomy/taxondetails?taxnode_id=202509683&amp;ictv_id=ICTV202009683","ICTV202009683")</f>
        <v>ICTV202009683</v>
      </c>
      <c r="R4247" t="s">
        <v>579</v>
      </c>
      <c r="S4247" t="s">
        <v>824</v>
      </c>
      <c r="T4247">
        <v>37</v>
      </c>
      <c r="U4247" s="26" t="str">
        <f t="shared" si="159"/>
        <v>2021.010B.R.Binomial_names.zip</v>
      </c>
    </row>
    <row r="4248" spans="1:21">
      <c r="A4248">
        <v>4247</v>
      </c>
      <c r="B4248" s="27" t="s">
        <v>1449</v>
      </c>
      <c r="D4248" s="27" t="s">
        <v>1450</v>
      </c>
      <c r="F4248" s="27" t="s">
        <v>1453</v>
      </c>
      <c r="H4248" s="27" t="s">
        <v>1454</v>
      </c>
      <c r="M4248" s="27" t="s">
        <v>2210</v>
      </c>
      <c r="N4248" s="27" t="s">
        <v>2211</v>
      </c>
      <c r="P4248" s="27" t="s">
        <v>5994</v>
      </c>
      <c r="Q4248" s="26" t="str">
        <f>HYPERLINK("https://ictv.global/taxonomy/taxondetails?taxnode_id=202500860&amp;ictv_id=ICTV20140522","ICTV20140522")</f>
        <v>ICTV20140522</v>
      </c>
      <c r="R4248" t="s">
        <v>579</v>
      </c>
      <c r="S4248" t="s">
        <v>824</v>
      </c>
      <c r="T4248">
        <v>37</v>
      </c>
      <c r="U4248" s="26" t="str">
        <f t="shared" si="159"/>
        <v>2021.010B.R.Binomial_names.zip</v>
      </c>
    </row>
    <row r="4249" spans="1:21">
      <c r="A4249">
        <v>4248</v>
      </c>
      <c r="B4249" s="27" t="s">
        <v>1449</v>
      </c>
      <c r="D4249" s="27" t="s">
        <v>1450</v>
      </c>
      <c r="F4249" s="27" t="s">
        <v>1453</v>
      </c>
      <c r="H4249" s="27" t="s">
        <v>1454</v>
      </c>
      <c r="M4249" s="27" t="s">
        <v>2210</v>
      </c>
      <c r="N4249" s="27" t="s">
        <v>2211</v>
      </c>
      <c r="P4249" s="27" t="s">
        <v>5995</v>
      </c>
      <c r="Q4249" s="26" t="str">
        <f>HYPERLINK("https://ictv.global/taxonomy/taxondetails?taxnode_id=202509684&amp;ictv_id=ICTV202009684","ICTV202009684")</f>
        <v>ICTV202009684</v>
      </c>
      <c r="R4249" t="s">
        <v>579</v>
      </c>
      <c r="S4249" t="s">
        <v>824</v>
      </c>
      <c r="T4249">
        <v>37</v>
      </c>
      <c r="U4249" s="26" t="str">
        <f t="shared" si="159"/>
        <v>2021.010B.R.Binomial_names.zip</v>
      </c>
    </row>
    <row r="4250" spans="1:21">
      <c r="A4250">
        <v>4249</v>
      </c>
      <c r="B4250" s="27" t="s">
        <v>1449</v>
      </c>
      <c r="D4250" s="27" t="s">
        <v>1450</v>
      </c>
      <c r="F4250" s="27" t="s">
        <v>1453</v>
      </c>
      <c r="H4250" s="27" t="s">
        <v>1454</v>
      </c>
      <c r="M4250" s="27" t="s">
        <v>2210</v>
      </c>
      <c r="N4250" s="27" t="s">
        <v>2211</v>
      </c>
      <c r="P4250" s="27" t="s">
        <v>5996</v>
      </c>
      <c r="Q4250" s="26" t="str">
        <f>HYPERLINK("https://ictv.global/taxonomy/taxondetails?taxnode_id=202509681&amp;ictv_id=ICTV202009681","ICTV202009681")</f>
        <v>ICTV202009681</v>
      </c>
      <c r="R4250" t="s">
        <v>579</v>
      </c>
      <c r="S4250" t="s">
        <v>824</v>
      </c>
      <c r="T4250">
        <v>37</v>
      </c>
      <c r="U4250" s="26" t="str">
        <f t="shared" si="159"/>
        <v>2021.010B.R.Binomial_names.zip</v>
      </c>
    </row>
    <row r="4251" spans="1:21">
      <c r="A4251">
        <v>4250</v>
      </c>
      <c r="B4251" s="27" t="s">
        <v>1449</v>
      </c>
      <c r="D4251" s="27" t="s">
        <v>1450</v>
      </c>
      <c r="F4251" s="27" t="s">
        <v>1453</v>
      </c>
      <c r="H4251" s="27" t="s">
        <v>1454</v>
      </c>
      <c r="M4251" s="27" t="s">
        <v>2210</v>
      </c>
      <c r="N4251" s="27" t="s">
        <v>2211</v>
      </c>
      <c r="P4251" s="27" t="s">
        <v>5997</v>
      </c>
      <c r="Q4251" s="26" t="str">
        <f>HYPERLINK("https://ictv.global/taxonomy/taxondetails?taxnode_id=202509678&amp;ictv_id=ICTV202009678","ICTV202009678")</f>
        <v>ICTV202009678</v>
      </c>
      <c r="R4251" t="s">
        <v>579</v>
      </c>
      <c r="S4251" t="s">
        <v>824</v>
      </c>
      <c r="T4251">
        <v>37</v>
      </c>
      <c r="U4251" s="26" t="str">
        <f t="shared" si="159"/>
        <v>2021.010B.R.Binomial_names.zip</v>
      </c>
    </row>
    <row r="4252" spans="1:21">
      <c r="A4252">
        <v>4251</v>
      </c>
      <c r="B4252" s="27" t="s">
        <v>1449</v>
      </c>
      <c r="D4252" s="27" t="s">
        <v>1450</v>
      </c>
      <c r="F4252" s="27" t="s">
        <v>1453</v>
      </c>
      <c r="H4252" s="27" t="s">
        <v>1454</v>
      </c>
      <c r="M4252" s="27" t="s">
        <v>2210</v>
      </c>
      <c r="N4252" s="27" t="s">
        <v>2211</v>
      </c>
      <c r="P4252" s="27" t="s">
        <v>5998</v>
      </c>
      <c r="Q4252" s="26" t="str">
        <f>HYPERLINK("https://ictv.global/taxonomy/taxondetails?taxnode_id=202500862&amp;ictv_id=ICTV20140523","ICTV20140523")</f>
        <v>ICTV20140523</v>
      </c>
      <c r="R4252" t="s">
        <v>579</v>
      </c>
      <c r="S4252" t="s">
        <v>824</v>
      </c>
      <c r="T4252">
        <v>37</v>
      </c>
      <c r="U4252" s="26" t="str">
        <f t="shared" si="159"/>
        <v>2021.010B.R.Binomial_names.zip</v>
      </c>
    </row>
    <row r="4253" spans="1:21">
      <c r="A4253">
        <v>4252</v>
      </c>
      <c r="B4253" s="27" t="s">
        <v>1449</v>
      </c>
      <c r="D4253" s="27" t="s">
        <v>1450</v>
      </c>
      <c r="F4253" s="27" t="s">
        <v>1453</v>
      </c>
      <c r="H4253" s="27" t="s">
        <v>1454</v>
      </c>
      <c r="M4253" s="27" t="s">
        <v>2210</v>
      </c>
      <c r="N4253" s="27" t="s">
        <v>2211</v>
      </c>
      <c r="P4253" s="27" t="s">
        <v>5999</v>
      </c>
      <c r="Q4253" s="26" t="str">
        <f>HYPERLINK("https://ictv.global/taxonomy/taxondetails?taxnode_id=202509680&amp;ictv_id=ICTV202009680","ICTV202009680")</f>
        <v>ICTV202009680</v>
      </c>
      <c r="R4253" t="s">
        <v>579</v>
      </c>
      <c r="S4253" t="s">
        <v>824</v>
      </c>
      <c r="T4253">
        <v>37</v>
      </c>
      <c r="U4253" s="26" t="str">
        <f t="shared" si="159"/>
        <v>2021.010B.R.Binomial_names.zip</v>
      </c>
    </row>
    <row r="4254" spans="1:21">
      <c r="A4254">
        <v>4253</v>
      </c>
      <c r="B4254" s="27" t="s">
        <v>1449</v>
      </c>
      <c r="D4254" s="27" t="s">
        <v>1450</v>
      </c>
      <c r="F4254" s="27" t="s">
        <v>1453</v>
      </c>
      <c r="H4254" s="27" t="s">
        <v>1454</v>
      </c>
      <c r="M4254" s="27" t="s">
        <v>2210</v>
      </c>
      <c r="N4254" s="27" t="s">
        <v>2211</v>
      </c>
      <c r="P4254" s="27" t="s">
        <v>6000</v>
      </c>
      <c r="Q4254" s="26" t="str">
        <f>HYPERLINK("https://ictv.global/taxonomy/taxondetails?taxnode_id=202509682&amp;ictv_id=ICTV202009682","ICTV202009682")</f>
        <v>ICTV202009682</v>
      </c>
      <c r="R4254" t="s">
        <v>579</v>
      </c>
      <c r="S4254" t="s">
        <v>824</v>
      </c>
      <c r="T4254">
        <v>37</v>
      </c>
      <c r="U4254" s="26" t="str">
        <f t="shared" si="159"/>
        <v>2021.010B.R.Binomial_names.zip</v>
      </c>
    </row>
    <row r="4255" spans="1:21">
      <c r="A4255">
        <v>4254</v>
      </c>
      <c r="B4255" s="27" t="s">
        <v>1449</v>
      </c>
      <c r="D4255" s="27" t="s">
        <v>1450</v>
      </c>
      <c r="F4255" s="27" t="s">
        <v>1453</v>
      </c>
      <c r="H4255" s="27" t="s">
        <v>1454</v>
      </c>
      <c r="M4255" s="27" t="s">
        <v>2210</v>
      </c>
      <c r="N4255" s="27" t="s">
        <v>2211</v>
      </c>
      <c r="P4255" s="27" t="s">
        <v>6001</v>
      </c>
      <c r="Q4255" s="26" t="str">
        <f>HYPERLINK("https://ictv.global/taxonomy/taxondetails?taxnode_id=202509679&amp;ictv_id=ICTV202009679","ICTV202009679")</f>
        <v>ICTV202009679</v>
      </c>
      <c r="R4255" t="s">
        <v>579</v>
      </c>
      <c r="S4255" t="s">
        <v>824</v>
      </c>
      <c r="T4255">
        <v>37</v>
      </c>
      <c r="U4255" s="26" t="str">
        <f t="shared" si="159"/>
        <v>2021.010B.R.Binomial_names.zip</v>
      </c>
    </row>
    <row r="4256" spans="1:21">
      <c r="A4256">
        <v>4255</v>
      </c>
      <c r="B4256" s="27" t="s">
        <v>1449</v>
      </c>
      <c r="D4256" s="27" t="s">
        <v>1450</v>
      </c>
      <c r="F4256" s="27" t="s">
        <v>1453</v>
      </c>
      <c r="H4256" s="27" t="s">
        <v>1454</v>
      </c>
      <c r="M4256" s="27" t="s">
        <v>21433</v>
      </c>
      <c r="N4256" s="27" t="s">
        <v>21440</v>
      </c>
      <c r="P4256" s="27" t="s">
        <v>21441</v>
      </c>
      <c r="Q4256" s="26" t="str">
        <f>HYPERLINK("https://ictv.global/taxonomy/taxondetails?taxnode_id=202522313&amp;ictv_id=ICTV202522313","ICTV202522313")</f>
        <v>ICTV202522313</v>
      </c>
      <c r="R4256" t="s">
        <v>579</v>
      </c>
      <c r="S4256" t="s">
        <v>823</v>
      </c>
      <c r="T4256">
        <v>41</v>
      </c>
      <c r="U4256" s="26" t="str">
        <f t="shared" ref="U4256:U4273" si="160">HYPERLINK("https://ictv.global/ictv/proposals/2025.007B.Cardingvirinae_1nsf_2ng_18ns.zip","2025.007B.Cardingvirinae_1nsf_2ng_18ns.zip")</f>
        <v>2025.007B.Cardingvirinae_1nsf_2ng_18ns.zip</v>
      </c>
    </row>
    <row r="4257" spans="1:21">
      <c r="A4257">
        <v>4256</v>
      </c>
      <c r="B4257" s="27" t="s">
        <v>1449</v>
      </c>
      <c r="D4257" s="27" t="s">
        <v>1450</v>
      </c>
      <c r="F4257" s="27" t="s">
        <v>1453</v>
      </c>
      <c r="H4257" s="27" t="s">
        <v>1454</v>
      </c>
      <c r="M4257" s="27" t="s">
        <v>21433</v>
      </c>
      <c r="N4257" s="27" t="s">
        <v>21440</v>
      </c>
      <c r="P4257" s="27" t="s">
        <v>21451</v>
      </c>
      <c r="Q4257" s="26" t="str">
        <f>HYPERLINK("https://ictv.global/taxonomy/taxondetails?taxnode_id=202522323&amp;ictv_id=ICTV202522323","ICTV202522323")</f>
        <v>ICTV202522323</v>
      </c>
      <c r="R4257" t="s">
        <v>579</v>
      </c>
      <c r="S4257" t="s">
        <v>823</v>
      </c>
      <c r="T4257">
        <v>41</v>
      </c>
      <c r="U4257" s="26" t="str">
        <f t="shared" si="160"/>
        <v>2025.007B.Cardingvirinae_1nsf_2ng_18ns.zip</v>
      </c>
    </row>
    <row r="4258" spans="1:21">
      <c r="A4258">
        <v>4257</v>
      </c>
      <c r="B4258" s="27" t="s">
        <v>1449</v>
      </c>
      <c r="D4258" s="27" t="s">
        <v>1450</v>
      </c>
      <c r="F4258" s="27" t="s">
        <v>1453</v>
      </c>
      <c r="H4258" s="27" t="s">
        <v>1454</v>
      </c>
      <c r="M4258" s="27" t="s">
        <v>21433</v>
      </c>
      <c r="N4258" s="27" t="s">
        <v>21440</v>
      </c>
      <c r="P4258" s="27" t="s">
        <v>21446</v>
      </c>
      <c r="Q4258" s="26" t="str">
        <f>HYPERLINK("https://ictv.global/taxonomy/taxondetails?taxnode_id=202522318&amp;ictv_id=ICTV202522318","ICTV202522318")</f>
        <v>ICTV202522318</v>
      </c>
      <c r="R4258" t="s">
        <v>579</v>
      </c>
      <c r="S4258" t="s">
        <v>823</v>
      </c>
      <c r="T4258">
        <v>41</v>
      </c>
      <c r="U4258" s="26" t="str">
        <f t="shared" si="160"/>
        <v>2025.007B.Cardingvirinae_1nsf_2ng_18ns.zip</v>
      </c>
    </row>
    <row r="4259" spans="1:21">
      <c r="A4259">
        <v>4258</v>
      </c>
      <c r="B4259" s="27" t="s">
        <v>1449</v>
      </c>
      <c r="D4259" s="27" t="s">
        <v>1450</v>
      </c>
      <c r="F4259" s="27" t="s">
        <v>1453</v>
      </c>
      <c r="H4259" s="27" t="s">
        <v>1454</v>
      </c>
      <c r="M4259" s="27" t="s">
        <v>21433</v>
      </c>
      <c r="N4259" s="27" t="s">
        <v>21440</v>
      </c>
      <c r="P4259" s="27" t="s">
        <v>21442</v>
      </c>
      <c r="Q4259" s="26" t="str">
        <f>HYPERLINK("https://ictv.global/taxonomy/taxondetails?taxnode_id=202522314&amp;ictv_id=ICTV202522314","ICTV202522314")</f>
        <v>ICTV202522314</v>
      </c>
      <c r="R4259" t="s">
        <v>579</v>
      </c>
      <c r="S4259" t="s">
        <v>823</v>
      </c>
      <c r="T4259">
        <v>41</v>
      </c>
      <c r="U4259" s="26" t="str">
        <f t="shared" si="160"/>
        <v>2025.007B.Cardingvirinae_1nsf_2ng_18ns.zip</v>
      </c>
    </row>
    <row r="4260" spans="1:21">
      <c r="A4260">
        <v>4259</v>
      </c>
      <c r="B4260" s="27" t="s">
        <v>1449</v>
      </c>
      <c r="D4260" s="27" t="s">
        <v>1450</v>
      </c>
      <c r="F4260" s="27" t="s">
        <v>1453</v>
      </c>
      <c r="H4260" s="27" t="s">
        <v>1454</v>
      </c>
      <c r="M4260" s="27" t="s">
        <v>21433</v>
      </c>
      <c r="N4260" s="27" t="s">
        <v>21440</v>
      </c>
      <c r="P4260" s="27" t="s">
        <v>21443</v>
      </c>
      <c r="Q4260" s="26" t="str">
        <f>HYPERLINK("https://ictv.global/taxonomy/taxondetails?taxnode_id=202522315&amp;ictv_id=ICTV202522315","ICTV202522315")</f>
        <v>ICTV202522315</v>
      </c>
      <c r="R4260" t="s">
        <v>579</v>
      </c>
      <c r="S4260" t="s">
        <v>823</v>
      </c>
      <c r="T4260">
        <v>41</v>
      </c>
      <c r="U4260" s="26" t="str">
        <f t="shared" si="160"/>
        <v>2025.007B.Cardingvirinae_1nsf_2ng_18ns.zip</v>
      </c>
    </row>
    <row r="4261" spans="1:21">
      <c r="A4261">
        <v>4260</v>
      </c>
      <c r="B4261" s="27" t="s">
        <v>1449</v>
      </c>
      <c r="D4261" s="27" t="s">
        <v>1450</v>
      </c>
      <c r="F4261" s="27" t="s">
        <v>1453</v>
      </c>
      <c r="H4261" s="27" t="s">
        <v>1454</v>
      </c>
      <c r="M4261" s="27" t="s">
        <v>21433</v>
      </c>
      <c r="N4261" s="27" t="s">
        <v>21440</v>
      </c>
      <c r="P4261" s="27" t="s">
        <v>21448</v>
      </c>
      <c r="Q4261" s="26" t="str">
        <f>HYPERLINK("https://ictv.global/taxonomy/taxondetails?taxnode_id=202522320&amp;ictv_id=ICTV202522320","ICTV202522320")</f>
        <v>ICTV202522320</v>
      </c>
      <c r="R4261" t="s">
        <v>579</v>
      </c>
      <c r="S4261" t="s">
        <v>823</v>
      </c>
      <c r="T4261">
        <v>41</v>
      </c>
      <c r="U4261" s="26" t="str">
        <f t="shared" si="160"/>
        <v>2025.007B.Cardingvirinae_1nsf_2ng_18ns.zip</v>
      </c>
    </row>
    <row r="4262" spans="1:21">
      <c r="A4262">
        <v>4261</v>
      </c>
      <c r="B4262" s="27" t="s">
        <v>1449</v>
      </c>
      <c r="D4262" s="27" t="s">
        <v>1450</v>
      </c>
      <c r="F4262" s="27" t="s">
        <v>1453</v>
      </c>
      <c r="H4262" s="27" t="s">
        <v>1454</v>
      </c>
      <c r="M4262" s="27" t="s">
        <v>21433</v>
      </c>
      <c r="N4262" s="27" t="s">
        <v>21440</v>
      </c>
      <c r="P4262" s="27" t="s">
        <v>21450</v>
      </c>
      <c r="Q4262" s="26" t="str">
        <f>HYPERLINK("https://ictv.global/taxonomy/taxondetails?taxnode_id=202522322&amp;ictv_id=ICTV202522322","ICTV202522322")</f>
        <v>ICTV202522322</v>
      </c>
      <c r="R4262" t="s">
        <v>579</v>
      </c>
      <c r="S4262" t="s">
        <v>823</v>
      </c>
      <c r="T4262">
        <v>41</v>
      </c>
      <c r="U4262" s="26" t="str">
        <f t="shared" si="160"/>
        <v>2025.007B.Cardingvirinae_1nsf_2ng_18ns.zip</v>
      </c>
    </row>
    <row r="4263" spans="1:21">
      <c r="A4263">
        <v>4262</v>
      </c>
      <c r="B4263" s="27" t="s">
        <v>1449</v>
      </c>
      <c r="D4263" s="27" t="s">
        <v>1450</v>
      </c>
      <c r="F4263" s="27" t="s">
        <v>1453</v>
      </c>
      <c r="H4263" s="27" t="s">
        <v>1454</v>
      </c>
      <c r="M4263" s="27" t="s">
        <v>21433</v>
      </c>
      <c r="N4263" s="27" t="s">
        <v>21440</v>
      </c>
      <c r="P4263" s="27" t="s">
        <v>21444</v>
      </c>
      <c r="Q4263" s="26" t="str">
        <f>HYPERLINK("https://ictv.global/taxonomy/taxondetails?taxnode_id=202522316&amp;ictv_id=ICTV202522316","ICTV202522316")</f>
        <v>ICTV202522316</v>
      </c>
      <c r="R4263" t="s">
        <v>579</v>
      </c>
      <c r="S4263" t="s">
        <v>823</v>
      </c>
      <c r="T4263">
        <v>41</v>
      </c>
      <c r="U4263" s="26" t="str">
        <f t="shared" si="160"/>
        <v>2025.007B.Cardingvirinae_1nsf_2ng_18ns.zip</v>
      </c>
    </row>
    <row r="4264" spans="1:21">
      <c r="A4264">
        <v>4263</v>
      </c>
      <c r="B4264" s="27" t="s">
        <v>1449</v>
      </c>
      <c r="D4264" s="27" t="s">
        <v>1450</v>
      </c>
      <c r="F4264" s="27" t="s">
        <v>1453</v>
      </c>
      <c r="H4264" s="27" t="s">
        <v>1454</v>
      </c>
      <c r="M4264" s="27" t="s">
        <v>21433</v>
      </c>
      <c r="N4264" s="27" t="s">
        <v>21440</v>
      </c>
      <c r="P4264" s="27" t="s">
        <v>21449</v>
      </c>
      <c r="Q4264" s="26" t="str">
        <f>HYPERLINK("https://ictv.global/taxonomy/taxondetails?taxnode_id=202522321&amp;ictv_id=ICTV202522321","ICTV202522321")</f>
        <v>ICTV202522321</v>
      </c>
      <c r="R4264" t="s">
        <v>579</v>
      </c>
      <c r="S4264" t="s">
        <v>823</v>
      </c>
      <c r="T4264">
        <v>41</v>
      </c>
      <c r="U4264" s="26" t="str">
        <f t="shared" si="160"/>
        <v>2025.007B.Cardingvirinae_1nsf_2ng_18ns.zip</v>
      </c>
    </row>
    <row r="4265" spans="1:21">
      <c r="A4265">
        <v>4264</v>
      </c>
      <c r="B4265" s="27" t="s">
        <v>1449</v>
      </c>
      <c r="D4265" s="27" t="s">
        <v>1450</v>
      </c>
      <c r="F4265" s="27" t="s">
        <v>1453</v>
      </c>
      <c r="H4265" s="27" t="s">
        <v>1454</v>
      </c>
      <c r="M4265" s="27" t="s">
        <v>21433</v>
      </c>
      <c r="N4265" s="27" t="s">
        <v>21440</v>
      </c>
      <c r="P4265" s="27" t="s">
        <v>21452</v>
      </c>
      <c r="Q4265" s="26" t="str">
        <f>HYPERLINK("https://ictv.global/taxonomy/taxondetails?taxnode_id=202522324&amp;ictv_id=ICTV202522324","ICTV202522324")</f>
        <v>ICTV202522324</v>
      </c>
      <c r="R4265" t="s">
        <v>579</v>
      </c>
      <c r="S4265" t="s">
        <v>823</v>
      </c>
      <c r="T4265">
        <v>41</v>
      </c>
      <c r="U4265" s="26" t="str">
        <f t="shared" si="160"/>
        <v>2025.007B.Cardingvirinae_1nsf_2ng_18ns.zip</v>
      </c>
    </row>
    <row r="4266" spans="1:21">
      <c r="A4266">
        <v>4265</v>
      </c>
      <c r="B4266" s="27" t="s">
        <v>1449</v>
      </c>
      <c r="D4266" s="27" t="s">
        <v>1450</v>
      </c>
      <c r="F4266" s="27" t="s">
        <v>1453</v>
      </c>
      <c r="H4266" s="27" t="s">
        <v>1454</v>
      </c>
      <c r="M4266" s="27" t="s">
        <v>21433</v>
      </c>
      <c r="N4266" s="27" t="s">
        <v>21440</v>
      </c>
      <c r="P4266" s="27" t="s">
        <v>21447</v>
      </c>
      <c r="Q4266" s="26" t="str">
        <f>HYPERLINK("https://ictv.global/taxonomy/taxondetails?taxnode_id=202522319&amp;ictv_id=ICTV202522319","ICTV202522319")</f>
        <v>ICTV202522319</v>
      </c>
      <c r="R4266" t="s">
        <v>579</v>
      </c>
      <c r="S4266" t="s">
        <v>823</v>
      </c>
      <c r="T4266">
        <v>41</v>
      </c>
      <c r="U4266" s="26" t="str">
        <f t="shared" si="160"/>
        <v>2025.007B.Cardingvirinae_1nsf_2ng_18ns.zip</v>
      </c>
    </row>
    <row r="4267" spans="1:21">
      <c r="A4267">
        <v>4266</v>
      </c>
      <c r="B4267" s="27" t="s">
        <v>1449</v>
      </c>
      <c r="D4267" s="27" t="s">
        <v>1450</v>
      </c>
      <c r="F4267" s="27" t="s">
        <v>1453</v>
      </c>
      <c r="H4267" s="27" t="s">
        <v>1454</v>
      </c>
      <c r="M4267" s="27" t="s">
        <v>21433</v>
      </c>
      <c r="N4267" s="27" t="s">
        <v>21440</v>
      </c>
      <c r="P4267" s="27" t="s">
        <v>21453</v>
      </c>
      <c r="Q4267" s="26" t="str">
        <f>HYPERLINK("https://ictv.global/taxonomy/taxondetails?taxnode_id=202522325&amp;ictv_id=ICTV202522325","ICTV202522325")</f>
        <v>ICTV202522325</v>
      </c>
      <c r="R4267" t="s">
        <v>579</v>
      </c>
      <c r="S4267" t="s">
        <v>823</v>
      </c>
      <c r="T4267">
        <v>41</v>
      </c>
      <c r="U4267" s="26" t="str">
        <f t="shared" si="160"/>
        <v>2025.007B.Cardingvirinae_1nsf_2ng_18ns.zip</v>
      </c>
    </row>
    <row r="4268" spans="1:21">
      <c r="A4268">
        <v>4267</v>
      </c>
      <c r="B4268" s="27" t="s">
        <v>1449</v>
      </c>
      <c r="D4268" s="27" t="s">
        <v>1450</v>
      </c>
      <c r="F4268" s="27" t="s">
        <v>1453</v>
      </c>
      <c r="H4268" s="27" t="s">
        <v>1454</v>
      </c>
      <c r="M4268" s="27" t="s">
        <v>21433</v>
      </c>
      <c r="N4268" s="27" t="s">
        <v>21440</v>
      </c>
      <c r="P4268" s="27" t="s">
        <v>21445</v>
      </c>
      <c r="Q4268" s="26" t="str">
        <f>HYPERLINK("https://ictv.global/taxonomy/taxondetails?taxnode_id=202522317&amp;ictv_id=ICTV202522317","ICTV202522317")</f>
        <v>ICTV202522317</v>
      </c>
      <c r="R4268" t="s">
        <v>579</v>
      </c>
      <c r="S4268" t="s">
        <v>823</v>
      </c>
      <c r="T4268">
        <v>41</v>
      </c>
      <c r="U4268" s="26" t="str">
        <f t="shared" si="160"/>
        <v>2025.007B.Cardingvirinae_1nsf_2ng_18ns.zip</v>
      </c>
    </row>
    <row r="4269" spans="1:21">
      <c r="A4269">
        <v>4268</v>
      </c>
      <c r="B4269" s="27" t="s">
        <v>1449</v>
      </c>
      <c r="D4269" s="27" t="s">
        <v>1450</v>
      </c>
      <c r="F4269" s="27" t="s">
        <v>1453</v>
      </c>
      <c r="H4269" s="27" t="s">
        <v>1454</v>
      </c>
      <c r="M4269" s="27" t="s">
        <v>21433</v>
      </c>
      <c r="N4269" s="27" t="s">
        <v>21434</v>
      </c>
      <c r="P4269" s="27" t="s">
        <v>21435</v>
      </c>
      <c r="Q4269" s="26" t="str">
        <f>HYPERLINK("https://ictv.global/taxonomy/taxondetails?taxnode_id=202522308&amp;ictv_id=ICTV202522308","ICTV202522308")</f>
        <v>ICTV202522308</v>
      </c>
      <c r="R4269" t="s">
        <v>579</v>
      </c>
      <c r="S4269" t="s">
        <v>823</v>
      </c>
      <c r="T4269">
        <v>41</v>
      </c>
      <c r="U4269" s="26" t="str">
        <f t="shared" si="160"/>
        <v>2025.007B.Cardingvirinae_1nsf_2ng_18ns.zip</v>
      </c>
    </row>
    <row r="4270" spans="1:21">
      <c r="A4270">
        <v>4269</v>
      </c>
      <c r="B4270" s="27" t="s">
        <v>1449</v>
      </c>
      <c r="D4270" s="27" t="s">
        <v>1450</v>
      </c>
      <c r="F4270" s="27" t="s">
        <v>1453</v>
      </c>
      <c r="H4270" s="27" t="s">
        <v>1454</v>
      </c>
      <c r="M4270" s="27" t="s">
        <v>21433</v>
      </c>
      <c r="N4270" s="27" t="s">
        <v>21434</v>
      </c>
      <c r="P4270" s="27" t="s">
        <v>21437</v>
      </c>
      <c r="Q4270" s="26" t="str">
        <f>HYPERLINK("https://ictv.global/taxonomy/taxondetails?taxnode_id=202522310&amp;ictv_id=ICTV202522310","ICTV202522310")</f>
        <v>ICTV202522310</v>
      </c>
      <c r="R4270" t="s">
        <v>579</v>
      </c>
      <c r="S4270" t="s">
        <v>823</v>
      </c>
      <c r="T4270">
        <v>41</v>
      </c>
      <c r="U4270" s="26" t="str">
        <f t="shared" si="160"/>
        <v>2025.007B.Cardingvirinae_1nsf_2ng_18ns.zip</v>
      </c>
    </row>
    <row r="4271" spans="1:21">
      <c r="A4271">
        <v>4270</v>
      </c>
      <c r="B4271" s="27" t="s">
        <v>1449</v>
      </c>
      <c r="D4271" s="27" t="s">
        <v>1450</v>
      </c>
      <c r="F4271" s="27" t="s">
        <v>1453</v>
      </c>
      <c r="H4271" s="27" t="s">
        <v>1454</v>
      </c>
      <c r="M4271" s="27" t="s">
        <v>21433</v>
      </c>
      <c r="N4271" s="27" t="s">
        <v>21434</v>
      </c>
      <c r="P4271" s="27" t="s">
        <v>21438</v>
      </c>
      <c r="Q4271" s="26" t="str">
        <f>HYPERLINK("https://ictv.global/taxonomy/taxondetails?taxnode_id=202522311&amp;ictv_id=ICTV202522311","ICTV202522311")</f>
        <v>ICTV202522311</v>
      </c>
      <c r="R4271" t="s">
        <v>579</v>
      </c>
      <c r="S4271" t="s">
        <v>823</v>
      </c>
      <c r="T4271">
        <v>41</v>
      </c>
      <c r="U4271" s="26" t="str">
        <f t="shared" si="160"/>
        <v>2025.007B.Cardingvirinae_1nsf_2ng_18ns.zip</v>
      </c>
    </row>
    <row r="4272" spans="1:21">
      <c r="A4272">
        <v>4271</v>
      </c>
      <c r="B4272" s="27" t="s">
        <v>1449</v>
      </c>
      <c r="D4272" s="27" t="s">
        <v>1450</v>
      </c>
      <c r="F4272" s="27" t="s">
        <v>1453</v>
      </c>
      <c r="H4272" s="27" t="s">
        <v>1454</v>
      </c>
      <c r="M4272" s="27" t="s">
        <v>21433</v>
      </c>
      <c r="N4272" s="27" t="s">
        <v>21434</v>
      </c>
      <c r="P4272" s="27" t="s">
        <v>21439</v>
      </c>
      <c r="Q4272" s="26" t="str">
        <f>HYPERLINK("https://ictv.global/taxonomy/taxondetails?taxnode_id=202522312&amp;ictv_id=ICTV202522312","ICTV202522312")</f>
        <v>ICTV202522312</v>
      </c>
      <c r="R4272" t="s">
        <v>579</v>
      </c>
      <c r="S4272" t="s">
        <v>823</v>
      </c>
      <c r="T4272">
        <v>41</v>
      </c>
      <c r="U4272" s="26" t="str">
        <f t="shared" si="160"/>
        <v>2025.007B.Cardingvirinae_1nsf_2ng_18ns.zip</v>
      </c>
    </row>
    <row r="4273" spans="1:21">
      <c r="A4273">
        <v>4272</v>
      </c>
      <c r="B4273" s="27" t="s">
        <v>1449</v>
      </c>
      <c r="D4273" s="27" t="s">
        <v>1450</v>
      </c>
      <c r="F4273" s="27" t="s">
        <v>1453</v>
      </c>
      <c r="H4273" s="27" t="s">
        <v>1454</v>
      </c>
      <c r="M4273" s="27" t="s">
        <v>21433</v>
      </c>
      <c r="N4273" s="27" t="s">
        <v>21434</v>
      </c>
      <c r="P4273" s="27" t="s">
        <v>21436</v>
      </c>
      <c r="Q4273" s="26" t="str">
        <f>HYPERLINK("https://ictv.global/taxonomy/taxondetails?taxnode_id=202522309&amp;ictv_id=ICTV202522309","ICTV202522309")</f>
        <v>ICTV202522309</v>
      </c>
      <c r="R4273" t="s">
        <v>579</v>
      </c>
      <c r="S4273" t="s">
        <v>823</v>
      </c>
      <c r="T4273">
        <v>41</v>
      </c>
      <c r="U4273" s="26" t="str">
        <f t="shared" si="160"/>
        <v>2025.007B.Cardingvirinae_1nsf_2ng_18ns.zip</v>
      </c>
    </row>
    <row r="4274" spans="1:21">
      <c r="A4274">
        <v>4273</v>
      </c>
      <c r="B4274" s="27" t="s">
        <v>1449</v>
      </c>
      <c r="D4274" s="27" t="s">
        <v>1450</v>
      </c>
      <c r="F4274" s="27" t="s">
        <v>1453</v>
      </c>
      <c r="H4274" s="27" t="s">
        <v>1454</v>
      </c>
      <c r="M4274" s="27" t="s">
        <v>6002</v>
      </c>
      <c r="N4274" s="27" t="s">
        <v>1225</v>
      </c>
      <c r="P4274" s="27" t="s">
        <v>6003</v>
      </c>
      <c r="Q4274" s="26" t="str">
        <f>HYPERLINK("https://ictv.global/taxonomy/taxondetails?taxnode_id=202500413&amp;ictv_id=ICTV20164858","ICTV20164858")</f>
        <v>ICTV20164858</v>
      </c>
      <c r="R4274" t="s">
        <v>579</v>
      </c>
      <c r="S4274" t="s">
        <v>824</v>
      </c>
      <c r="T4274">
        <v>37</v>
      </c>
      <c r="U4274" s="26" t="str">
        <f>HYPERLINK("https://ictv.global/ictv/proposals/2021.010B.R.Binomial_names.zip","2021.010B.R.Binomial_names.zip")</f>
        <v>2021.010B.R.Binomial_names.zip</v>
      </c>
    </row>
    <row r="4275" spans="1:21">
      <c r="A4275">
        <v>4274</v>
      </c>
      <c r="B4275" s="27" t="s">
        <v>1449</v>
      </c>
      <c r="D4275" s="27" t="s">
        <v>1450</v>
      </c>
      <c r="F4275" s="27" t="s">
        <v>1453</v>
      </c>
      <c r="H4275" s="27" t="s">
        <v>1454</v>
      </c>
      <c r="M4275" s="27" t="s">
        <v>6002</v>
      </c>
      <c r="N4275" s="27" t="s">
        <v>1225</v>
      </c>
      <c r="P4275" s="27" t="s">
        <v>6004</v>
      </c>
      <c r="Q4275" s="26" t="str">
        <f>HYPERLINK("https://ictv.global/taxonomy/taxondetails?taxnode_id=202513038&amp;ictv_id=ICTV202113038","ICTV202113038")</f>
        <v>ICTV202113038</v>
      </c>
      <c r="R4275" t="s">
        <v>579</v>
      </c>
      <c r="S4275" t="s">
        <v>823</v>
      </c>
      <c r="T4275">
        <v>37</v>
      </c>
      <c r="U4275" s="26" t="str">
        <f>HYPERLINK("https://ictv.global/ictv/proposals/2021.016B.R.Ceeclamvirinae.zip","2021.016B.R.Ceeclamvirinae.zip")</f>
        <v>2021.016B.R.Ceeclamvirinae.zip</v>
      </c>
    </row>
    <row r="4276" spans="1:21">
      <c r="A4276">
        <v>4275</v>
      </c>
      <c r="B4276" s="27" t="s">
        <v>1449</v>
      </c>
      <c r="D4276" s="27" t="s">
        <v>1450</v>
      </c>
      <c r="F4276" s="27" t="s">
        <v>1453</v>
      </c>
      <c r="H4276" s="27" t="s">
        <v>1454</v>
      </c>
      <c r="M4276" s="27" t="s">
        <v>6002</v>
      </c>
      <c r="N4276" s="27" t="s">
        <v>1225</v>
      </c>
      <c r="P4276" s="27" t="s">
        <v>6005</v>
      </c>
      <c r="Q4276" s="26" t="str">
        <f>HYPERLINK("https://ictv.global/taxonomy/taxondetails?taxnode_id=202513039&amp;ictv_id=ICTV202113039","ICTV202113039")</f>
        <v>ICTV202113039</v>
      </c>
      <c r="R4276" t="s">
        <v>579</v>
      </c>
      <c r="S4276" t="s">
        <v>823</v>
      </c>
      <c r="T4276">
        <v>37</v>
      </c>
      <c r="U4276" s="26" t="str">
        <f>HYPERLINK("https://ictv.global/ictv/proposals/2021.016B.R.Ceeclamvirinae.zip","2021.016B.R.Ceeclamvirinae.zip")</f>
        <v>2021.016B.R.Ceeclamvirinae.zip</v>
      </c>
    </row>
    <row r="4277" spans="1:21">
      <c r="A4277">
        <v>4276</v>
      </c>
      <c r="B4277" s="27" t="s">
        <v>1449</v>
      </c>
      <c r="D4277" s="27" t="s">
        <v>1450</v>
      </c>
      <c r="F4277" s="27" t="s">
        <v>1453</v>
      </c>
      <c r="H4277" s="27" t="s">
        <v>1454</v>
      </c>
      <c r="M4277" s="27" t="s">
        <v>6002</v>
      </c>
      <c r="N4277" s="27" t="s">
        <v>1225</v>
      </c>
      <c r="P4277" s="27" t="s">
        <v>6006</v>
      </c>
      <c r="Q4277" s="26" t="str">
        <f>HYPERLINK("https://ictv.global/taxonomy/taxondetails?taxnode_id=202500414&amp;ictv_id=ICTV20164859","ICTV20164859")</f>
        <v>ICTV20164859</v>
      </c>
      <c r="R4277" t="s">
        <v>579</v>
      </c>
      <c r="S4277" t="s">
        <v>824</v>
      </c>
      <c r="T4277">
        <v>37</v>
      </c>
      <c r="U4277" s="26" t="str">
        <f>HYPERLINK("https://ictv.global/ictv/proposals/2021.010B.R.Binomial_names.zip","2021.010B.R.Binomial_names.zip")</f>
        <v>2021.010B.R.Binomial_names.zip</v>
      </c>
    </row>
    <row r="4278" spans="1:21">
      <c r="A4278">
        <v>4277</v>
      </c>
      <c r="B4278" s="27" t="s">
        <v>1449</v>
      </c>
      <c r="D4278" s="27" t="s">
        <v>1450</v>
      </c>
      <c r="F4278" s="27" t="s">
        <v>1453</v>
      </c>
      <c r="H4278" s="27" t="s">
        <v>1454</v>
      </c>
      <c r="M4278" s="27" t="s">
        <v>6002</v>
      </c>
      <c r="N4278" s="27" t="s">
        <v>1225</v>
      </c>
      <c r="P4278" s="27" t="s">
        <v>6007</v>
      </c>
      <c r="Q4278" s="26" t="str">
        <f>HYPERLINK("https://ictv.global/taxonomy/taxondetails?taxnode_id=202513040&amp;ictv_id=ICTV202113040","ICTV202113040")</f>
        <v>ICTV202113040</v>
      </c>
      <c r="R4278" t="s">
        <v>579</v>
      </c>
      <c r="S4278" t="s">
        <v>823</v>
      </c>
      <c r="T4278">
        <v>37</v>
      </c>
      <c r="U4278" s="26" t="str">
        <f>HYPERLINK("https://ictv.global/ictv/proposals/2021.016B.R.Ceeclamvirinae.zip","2021.016B.R.Ceeclamvirinae.zip")</f>
        <v>2021.016B.R.Ceeclamvirinae.zip</v>
      </c>
    </row>
    <row r="4279" spans="1:21">
      <c r="A4279">
        <v>4278</v>
      </c>
      <c r="B4279" s="27" t="s">
        <v>1449</v>
      </c>
      <c r="D4279" s="27" t="s">
        <v>1450</v>
      </c>
      <c r="F4279" s="27" t="s">
        <v>1453</v>
      </c>
      <c r="H4279" s="27" t="s">
        <v>1454</v>
      </c>
      <c r="M4279" s="27" t="s">
        <v>6002</v>
      </c>
      <c r="N4279" s="27" t="s">
        <v>1225</v>
      </c>
      <c r="P4279" s="27" t="s">
        <v>6008</v>
      </c>
      <c r="Q4279" s="26" t="str">
        <f>HYPERLINK("https://ictv.global/taxonomy/taxondetails?taxnode_id=202513041&amp;ictv_id=ICTV202113041","ICTV202113041")</f>
        <v>ICTV202113041</v>
      </c>
      <c r="R4279" t="s">
        <v>579</v>
      </c>
      <c r="S4279" t="s">
        <v>823</v>
      </c>
      <c r="T4279">
        <v>37</v>
      </c>
      <c r="U4279" s="26" t="str">
        <f>HYPERLINK("https://ictv.global/ictv/proposals/2021.016B.R.Ceeclamvirinae.zip","2021.016B.R.Ceeclamvirinae.zip")</f>
        <v>2021.016B.R.Ceeclamvirinae.zip</v>
      </c>
    </row>
    <row r="4280" spans="1:21">
      <c r="A4280">
        <v>4279</v>
      </c>
      <c r="B4280" s="27" t="s">
        <v>1449</v>
      </c>
      <c r="D4280" s="27" t="s">
        <v>1450</v>
      </c>
      <c r="F4280" s="27" t="s">
        <v>1453</v>
      </c>
      <c r="H4280" s="27" t="s">
        <v>1454</v>
      </c>
      <c r="M4280" s="27" t="s">
        <v>6002</v>
      </c>
      <c r="N4280" s="27" t="s">
        <v>1225</v>
      </c>
      <c r="P4280" s="27" t="s">
        <v>6009</v>
      </c>
      <c r="Q4280" s="26" t="str">
        <f>HYPERLINK("https://ictv.global/taxonomy/taxondetails?taxnode_id=202500415&amp;ictv_id=ICTV20164860","ICTV20164860")</f>
        <v>ICTV20164860</v>
      </c>
      <c r="R4280" t="s">
        <v>579</v>
      </c>
      <c r="S4280" t="s">
        <v>824</v>
      </c>
      <c r="T4280">
        <v>37</v>
      </c>
      <c r="U4280" s="26" t="str">
        <f>HYPERLINK("https://ictv.global/ictv/proposals/2021.010B.R.Binomial_names.zip","2021.010B.R.Binomial_names.zip")</f>
        <v>2021.010B.R.Binomial_names.zip</v>
      </c>
    </row>
    <row r="4281" spans="1:21">
      <c r="A4281">
        <v>4280</v>
      </c>
      <c r="B4281" s="27" t="s">
        <v>1449</v>
      </c>
      <c r="D4281" s="27" t="s">
        <v>1450</v>
      </c>
      <c r="F4281" s="27" t="s">
        <v>1453</v>
      </c>
      <c r="H4281" s="27" t="s">
        <v>1454</v>
      </c>
      <c r="M4281" s="27" t="s">
        <v>6002</v>
      </c>
      <c r="N4281" s="27" t="s">
        <v>1225</v>
      </c>
      <c r="P4281" s="27" t="s">
        <v>6010</v>
      </c>
      <c r="Q4281" s="26" t="str">
        <f>HYPERLINK("https://ictv.global/taxonomy/taxondetails?taxnode_id=202500416&amp;ictv_id=ICTV20164861","ICTV20164861")</f>
        <v>ICTV20164861</v>
      </c>
      <c r="R4281" t="s">
        <v>579</v>
      </c>
      <c r="S4281" t="s">
        <v>824</v>
      </c>
      <c r="T4281">
        <v>37</v>
      </c>
      <c r="U4281" s="26" t="str">
        <f>HYPERLINK("https://ictv.global/ictv/proposals/2021.010B.R.Binomial_names.zip","2021.010B.R.Binomial_names.zip")</f>
        <v>2021.010B.R.Binomial_names.zip</v>
      </c>
    </row>
    <row r="4282" spans="1:21">
      <c r="A4282">
        <v>4281</v>
      </c>
      <c r="B4282" s="27" t="s">
        <v>1449</v>
      </c>
      <c r="D4282" s="27" t="s">
        <v>1450</v>
      </c>
      <c r="F4282" s="27" t="s">
        <v>1453</v>
      </c>
      <c r="H4282" s="27" t="s">
        <v>1454</v>
      </c>
      <c r="M4282" s="27" t="s">
        <v>6002</v>
      </c>
      <c r="N4282" s="27" t="s">
        <v>1225</v>
      </c>
      <c r="P4282" s="27" t="s">
        <v>6011</v>
      </c>
      <c r="Q4282" s="26" t="str">
        <f>HYPERLINK("https://ictv.global/taxonomy/taxondetails?taxnode_id=202500417&amp;ictv_id=ICTV20094090","ICTV20094090")</f>
        <v>ICTV20094090</v>
      </c>
      <c r="R4282" t="s">
        <v>579</v>
      </c>
      <c r="S4282" t="s">
        <v>824</v>
      </c>
      <c r="T4282">
        <v>37</v>
      </c>
      <c r="U4282" s="26" t="str">
        <f>HYPERLINK("https://ictv.global/ictv/proposals/2021.010B.R.Binomial_names.zip","2021.010B.R.Binomial_names.zip")</f>
        <v>2021.010B.R.Binomial_names.zip</v>
      </c>
    </row>
    <row r="4283" spans="1:21">
      <c r="A4283">
        <v>4282</v>
      </c>
      <c r="B4283" s="27" t="s">
        <v>1449</v>
      </c>
      <c r="D4283" s="27" t="s">
        <v>1450</v>
      </c>
      <c r="F4283" s="27" t="s">
        <v>1453</v>
      </c>
      <c r="H4283" s="27" t="s">
        <v>1454</v>
      </c>
      <c r="M4283" s="27" t="s">
        <v>6002</v>
      </c>
      <c r="N4283" s="27" t="s">
        <v>1225</v>
      </c>
      <c r="P4283" s="27" t="s">
        <v>6012</v>
      </c>
      <c r="Q4283" s="26" t="str">
        <f>HYPERLINK("https://ictv.global/taxonomy/taxondetails?taxnode_id=202506997&amp;ictv_id=ICTV201856997","ICTV201856997")</f>
        <v>ICTV201856997</v>
      </c>
      <c r="R4283" t="s">
        <v>579</v>
      </c>
      <c r="S4283" t="s">
        <v>824</v>
      </c>
      <c r="T4283">
        <v>37</v>
      </c>
      <c r="U4283" s="26" t="str">
        <f>HYPERLINK("https://ictv.global/ictv/proposals/2021.010B.R.Binomial_names.zip","2021.010B.R.Binomial_names.zip")</f>
        <v>2021.010B.R.Binomial_names.zip</v>
      </c>
    </row>
    <row r="4284" spans="1:21">
      <c r="A4284">
        <v>4283</v>
      </c>
      <c r="B4284" s="27" t="s">
        <v>1449</v>
      </c>
      <c r="D4284" s="27" t="s">
        <v>1450</v>
      </c>
      <c r="F4284" s="27" t="s">
        <v>1453</v>
      </c>
      <c r="H4284" s="27" t="s">
        <v>1454</v>
      </c>
      <c r="M4284" s="27" t="s">
        <v>6002</v>
      </c>
      <c r="N4284" s="27" t="s">
        <v>1225</v>
      </c>
      <c r="P4284" s="27" t="s">
        <v>6013</v>
      </c>
      <c r="Q4284" s="26" t="str">
        <f>HYPERLINK("https://ictv.global/taxonomy/taxondetails?taxnode_id=202513042&amp;ictv_id=ICTV202113042","ICTV202113042")</f>
        <v>ICTV202113042</v>
      </c>
      <c r="R4284" t="s">
        <v>579</v>
      </c>
      <c r="S4284" t="s">
        <v>823</v>
      </c>
      <c r="T4284">
        <v>37</v>
      </c>
      <c r="U4284" s="26" t="str">
        <f>HYPERLINK("https://ictv.global/ictv/proposals/2021.016B.R.Ceeclamvirinae.zip","2021.016B.R.Ceeclamvirinae.zip")</f>
        <v>2021.016B.R.Ceeclamvirinae.zip</v>
      </c>
    </row>
    <row r="4285" spans="1:21">
      <c r="A4285">
        <v>4284</v>
      </c>
      <c r="B4285" s="27" t="s">
        <v>1449</v>
      </c>
      <c r="D4285" s="27" t="s">
        <v>1450</v>
      </c>
      <c r="F4285" s="27" t="s">
        <v>1453</v>
      </c>
      <c r="H4285" s="27" t="s">
        <v>1454</v>
      </c>
      <c r="M4285" s="27" t="s">
        <v>6002</v>
      </c>
      <c r="N4285" s="27" t="s">
        <v>1225</v>
      </c>
      <c r="P4285" s="27" t="s">
        <v>6014</v>
      </c>
      <c r="Q4285" s="26" t="str">
        <f>HYPERLINK("https://ictv.global/taxonomy/taxondetails?taxnode_id=202500418&amp;ictv_id=ICTV20164862","ICTV20164862")</f>
        <v>ICTV20164862</v>
      </c>
      <c r="R4285" t="s">
        <v>579</v>
      </c>
      <c r="S4285" t="s">
        <v>824</v>
      </c>
      <c r="T4285">
        <v>37</v>
      </c>
      <c r="U4285" s="26" t="str">
        <f>HYPERLINK("https://ictv.global/ictv/proposals/2021.010B.R.Binomial_names.zip","2021.010B.R.Binomial_names.zip")</f>
        <v>2021.010B.R.Binomial_names.zip</v>
      </c>
    </row>
    <row r="4286" spans="1:21">
      <c r="A4286">
        <v>4285</v>
      </c>
      <c r="B4286" s="27" t="s">
        <v>1449</v>
      </c>
      <c r="D4286" s="27" t="s">
        <v>1450</v>
      </c>
      <c r="F4286" s="27" t="s">
        <v>1453</v>
      </c>
      <c r="H4286" s="27" t="s">
        <v>1454</v>
      </c>
      <c r="M4286" s="27" t="s">
        <v>6002</v>
      </c>
      <c r="N4286" s="27" t="s">
        <v>1225</v>
      </c>
      <c r="P4286" s="27" t="s">
        <v>6015</v>
      </c>
      <c r="Q4286" s="26" t="str">
        <f>HYPERLINK("https://ictv.global/taxonomy/taxondetails?taxnode_id=202513043&amp;ictv_id=ICTV202113043","ICTV202113043")</f>
        <v>ICTV202113043</v>
      </c>
      <c r="R4286" t="s">
        <v>579</v>
      </c>
      <c r="S4286" t="s">
        <v>823</v>
      </c>
      <c r="T4286">
        <v>37</v>
      </c>
      <c r="U4286" s="26" t="str">
        <f>HYPERLINK("https://ictv.global/ictv/proposals/2021.016B.R.Ceeclamvirinae.zip","2021.016B.R.Ceeclamvirinae.zip")</f>
        <v>2021.016B.R.Ceeclamvirinae.zip</v>
      </c>
    </row>
    <row r="4287" spans="1:21">
      <c r="A4287">
        <v>4286</v>
      </c>
      <c r="B4287" s="27" t="s">
        <v>1449</v>
      </c>
      <c r="D4287" s="27" t="s">
        <v>1450</v>
      </c>
      <c r="F4287" s="27" t="s">
        <v>1453</v>
      </c>
      <c r="H4287" s="27" t="s">
        <v>1454</v>
      </c>
      <c r="M4287" s="27" t="s">
        <v>6002</v>
      </c>
      <c r="N4287" s="27" t="s">
        <v>1225</v>
      </c>
      <c r="P4287" s="27" t="s">
        <v>6016</v>
      </c>
      <c r="Q4287" s="26" t="str">
        <f>HYPERLINK("https://ictv.global/taxonomy/taxondetails?taxnode_id=202513044&amp;ictv_id=ICTV202113044","ICTV202113044")</f>
        <v>ICTV202113044</v>
      </c>
      <c r="R4287" t="s">
        <v>579</v>
      </c>
      <c r="S4287" t="s">
        <v>823</v>
      </c>
      <c r="T4287">
        <v>37</v>
      </c>
      <c r="U4287" s="26" t="str">
        <f>HYPERLINK("https://ictv.global/ictv/proposals/2021.016B.R.Ceeclamvirinae.zip","2021.016B.R.Ceeclamvirinae.zip")</f>
        <v>2021.016B.R.Ceeclamvirinae.zip</v>
      </c>
    </row>
    <row r="4288" spans="1:21">
      <c r="A4288">
        <v>4287</v>
      </c>
      <c r="B4288" s="27" t="s">
        <v>1449</v>
      </c>
      <c r="D4288" s="27" t="s">
        <v>1450</v>
      </c>
      <c r="F4288" s="27" t="s">
        <v>1453</v>
      </c>
      <c r="H4288" s="27" t="s">
        <v>1454</v>
      </c>
      <c r="M4288" s="27" t="s">
        <v>6002</v>
      </c>
      <c r="N4288" s="27" t="s">
        <v>1225</v>
      </c>
      <c r="P4288" s="27" t="s">
        <v>6017</v>
      </c>
      <c r="Q4288" s="26" t="str">
        <f>HYPERLINK("https://ictv.global/taxonomy/taxondetails?taxnode_id=202513045&amp;ictv_id=ICTV202113045","ICTV202113045")</f>
        <v>ICTV202113045</v>
      </c>
      <c r="R4288" t="s">
        <v>579</v>
      </c>
      <c r="S4288" t="s">
        <v>823</v>
      </c>
      <c r="T4288">
        <v>37</v>
      </c>
      <c r="U4288" s="26" t="str">
        <f>HYPERLINK("https://ictv.global/ictv/proposals/2021.016B.R.Ceeclamvirinae.zip","2021.016B.R.Ceeclamvirinae.zip")</f>
        <v>2021.016B.R.Ceeclamvirinae.zip</v>
      </c>
    </row>
    <row r="4289" spans="1:21">
      <c r="A4289">
        <v>4288</v>
      </c>
      <c r="B4289" s="27" t="s">
        <v>1449</v>
      </c>
      <c r="D4289" s="27" t="s">
        <v>1450</v>
      </c>
      <c r="F4289" s="27" t="s">
        <v>1453</v>
      </c>
      <c r="H4289" s="27" t="s">
        <v>1454</v>
      </c>
      <c r="M4289" s="27" t="s">
        <v>6002</v>
      </c>
      <c r="N4289" s="27" t="s">
        <v>1225</v>
      </c>
      <c r="P4289" s="27" t="s">
        <v>6018</v>
      </c>
      <c r="Q4289" s="26" t="str">
        <f>HYPERLINK("https://ictv.global/taxonomy/taxondetails?taxnode_id=202513046&amp;ictv_id=ICTV202113046","ICTV202113046")</f>
        <v>ICTV202113046</v>
      </c>
      <c r="R4289" t="s">
        <v>579</v>
      </c>
      <c r="S4289" t="s">
        <v>823</v>
      </c>
      <c r="T4289">
        <v>37</v>
      </c>
      <c r="U4289" s="26" t="str">
        <f>HYPERLINK("https://ictv.global/ictv/proposals/2021.016B.R.Ceeclamvirinae.zip","2021.016B.R.Ceeclamvirinae.zip")</f>
        <v>2021.016B.R.Ceeclamvirinae.zip</v>
      </c>
    </row>
    <row r="4290" spans="1:21">
      <c r="A4290">
        <v>4289</v>
      </c>
      <c r="B4290" s="27" t="s">
        <v>1449</v>
      </c>
      <c r="D4290" s="27" t="s">
        <v>1450</v>
      </c>
      <c r="F4290" s="27" t="s">
        <v>1453</v>
      </c>
      <c r="H4290" s="27" t="s">
        <v>1454</v>
      </c>
      <c r="M4290" s="27" t="s">
        <v>6002</v>
      </c>
      <c r="N4290" s="27" t="s">
        <v>1225</v>
      </c>
      <c r="P4290" s="27" t="s">
        <v>6019</v>
      </c>
      <c r="Q4290" s="26" t="str">
        <f>HYPERLINK("https://ictv.global/taxonomy/taxondetails?taxnode_id=202500419&amp;ictv_id=ICTV20164863","ICTV20164863")</f>
        <v>ICTV20164863</v>
      </c>
      <c r="R4290" t="s">
        <v>579</v>
      </c>
      <c r="S4290" t="s">
        <v>824</v>
      </c>
      <c r="T4290">
        <v>37</v>
      </c>
      <c r="U4290" s="26" t="str">
        <f>HYPERLINK("https://ictv.global/ictv/proposals/2021.010B.R.Binomial_names.zip","2021.010B.R.Binomial_names.zip")</f>
        <v>2021.010B.R.Binomial_names.zip</v>
      </c>
    </row>
    <row r="4291" spans="1:21">
      <c r="A4291">
        <v>4290</v>
      </c>
      <c r="B4291" s="27" t="s">
        <v>1449</v>
      </c>
      <c r="D4291" s="27" t="s">
        <v>1450</v>
      </c>
      <c r="F4291" s="27" t="s">
        <v>1453</v>
      </c>
      <c r="H4291" s="27" t="s">
        <v>1454</v>
      </c>
      <c r="M4291" s="27" t="s">
        <v>6002</v>
      </c>
      <c r="N4291" s="27" t="s">
        <v>1225</v>
      </c>
      <c r="P4291" s="27" t="s">
        <v>6020</v>
      </c>
      <c r="Q4291" s="26" t="str">
        <f>HYPERLINK("https://ictv.global/taxonomy/taxondetails?taxnode_id=202513047&amp;ictv_id=ICTV202113047","ICTV202113047")</f>
        <v>ICTV202113047</v>
      </c>
      <c r="R4291" t="s">
        <v>579</v>
      </c>
      <c r="S4291" t="s">
        <v>823</v>
      </c>
      <c r="T4291">
        <v>37</v>
      </c>
      <c r="U4291" s="26" t="str">
        <f>HYPERLINK("https://ictv.global/ictv/proposals/2021.016B.R.Ceeclamvirinae.zip","2021.016B.R.Ceeclamvirinae.zip")</f>
        <v>2021.016B.R.Ceeclamvirinae.zip</v>
      </c>
    </row>
    <row r="4292" spans="1:21">
      <c r="A4292">
        <v>4291</v>
      </c>
      <c r="B4292" s="27" t="s">
        <v>1449</v>
      </c>
      <c r="D4292" s="27" t="s">
        <v>1450</v>
      </c>
      <c r="F4292" s="27" t="s">
        <v>1453</v>
      </c>
      <c r="H4292" s="27" t="s">
        <v>1454</v>
      </c>
      <c r="M4292" s="27" t="s">
        <v>6002</v>
      </c>
      <c r="N4292" s="27" t="s">
        <v>6021</v>
      </c>
      <c r="P4292" s="27" t="s">
        <v>6022</v>
      </c>
      <c r="Q4292" s="26" t="str">
        <f>HYPERLINK("https://ictv.global/taxonomy/taxondetails?taxnode_id=202513036&amp;ictv_id=ICTV202113036","ICTV202113036")</f>
        <v>ICTV202113036</v>
      </c>
      <c r="R4292" t="s">
        <v>579</v>
      </c>
      <c r="S4292" t="s">
        <v>823</v>
      </c>
      <c r="T4292">
        <v>37</v>
      </c>
      <c r="U4292" s="26" t="str">
        <f>HYPERLINK("https://ictv.global/ictv/proposals/2021.016B.R.Ceeclamvirinae.zip","2021.016B.R.Ceeclamvirinae.zip")</f>
        <v>2021.016B.R.Ceeclamvirinae.zip</v>
      </c>
    </row>
    <row r="4293" spans="1:21">
      <c r="A4293">
        <v>4292</v>
      </c>
      <c r="B4293" s="27" t="s">
        <v>1449</v>
      </c>
      <c r="D4293" s="27" t="s">
        <v>1450</v>
      </c>
      <c r="F4293" s="27" t="s">
        <v>1453</v>
      </c>
      <c r="H4293" s="27" t="s">
        <v>1454</v>
      </c>
      <c r="M4293" s="27" t="s">
        <v>6002</v>
      </c>
      <c r="N4293" s="27" t="s">
        <v>6021</v>
      </c>
      <c r="P4293" s="27" t="s">
        <v>19708</v>
      </c>
      <c r="Q4293" s="26" t="str">
        <f>HYPERLINK("https://ictv.global/taxonomy/taxondetails?taxnode_id=202513037&amp;ictv_id=ICTV202113037","ICTV202113037")</f>
        <v>ICTV202113037</v>
      </c>
      <c r="R4293" t="s">
        <v>579</v>
      </c>
      <c r="S4293" t="s">
        <v>824</v>
      </c>
      <c r="T4293">
        <v>40</v>
      </c>
      <c r="U4293" s="26" t="str">
        <f>HYPERLINK("https://ictv.global/ictv/proposals/2024.036B.Caudoviricetes_Faserviricetes_Name_Corrections.zip","2024.036B.Caudoviricetes_Faserviricetes_Name_Corrections.zip")</f>
        <v>2024.036B.Caudoviricetes_Faserviricetes_Name_Corrections.zip</v>
      </c>
    </row>
    <row r="4294" spans="1:21">
      <c r="A4294">
        <v>4293</v>
      </c>
      <c r="B4294" s="27" t="s">
        <v>1449</v>
      </c>
      <c r="D4294" s="27" t="s">
        <v>1450</v>
      </c>
      <c r="F4294" s="27" t="s">
        <v>1453</v>
      </c>
      <c r="H4294" s="27" t="s">
        <v>1454</v>
      </c>
      <c r="M4294" s="27" t="s">
        <v>20858</v>
      </c>
      <c r="N4294" s="27" t="s">
        <v>12042</v>
      </c>
      <c r="P4294" s="27" t="s">
        <v>12043</v>
      </c>
      <c r="Q4294" s="26" t="str">
        <f>HYPERLINK("https://ictv.global/taxonomy/taxondetails?taxnode_id=202518852&amp;ictv_id=ICTV202318852","ICTV202318852")</f>
        <v>ICTV202318852</v>
      </c>
      <c r="R4294" t="s">
        <v>579</v>
      </c>
      <c r="S4294" t="s">
        <v>22763</v>
      </c>
      <c r="T4294">
        <v>41</v>
      </c>
      <c r="U4294" s="26" t="str">
        <f t="shared" ref="U4294:U4321" si="161">HYPERLINK("https://ictv.global/ictv/proposals/2025.009B.Ceeteevirinae_1nsf_1ng_15ns.zip","2025.009B.Ceeteevirinae_1nsf_1ng_15ns.zip")</f>
        <v>2025.009B.Ceeteevirinae_1nsf_1ng_15ns.zip</v>
      </c>
    </row>
    <row r="4295" spans="1:21">
      <c r="A4295">
        <v>4294</v>
      </c>
      <c r="B4295" s="27" t="s">
        <v>1449</v>
      </c>
      <c r="D4295" s="27" t="s">
        <v>1450</v>
      </c>
      <c r="F4295" s="27" t="s">
        <v>1453</v>
      </c>
      <c r="H4295" s="27" t="s">
        <v>1454</v>
      </c>
      <c r="M4295" s="27" t="s">
        <v>20858</v>
      </c>
      <c r="N4295" s="27" t="s">
        <v>12042</v>
      </c>
      <c r="P4295" s="27" t="s">
        <v>21560</v>
      </c>
      <c r="Q4295" s="26" t="str">
        <f>HYPERLINK("https://ictv.global/taxonomy/taxondetails?taxnode_id=202522429&amp;ictv_id=ICTV202522429","ICTV202522429")</f>
        <v>ICTV202522429</v>
      </c>
      <c r="R4295" t="s">
        <v>579</v>
      </c>
      <c r="S4295" t="s">
        <v>823</v>
      </c>
      <c r="T4295">
        <v>41</v>
      </c>
      <c r="U4295" s="26" t="str">
        <f t="shared" si="161"/>
        <v>2025.009B.Ceeteevirinae_1nsf_1ng_15ns.zip</v>
      </c>
    </row>
    <row r="4296" spans="1:21">
      <c r="A4296">
        <v>4295</v>
      </c>
      <c r="B4296" s="27" t="s">
        <v>1449</v>
      </c>
      <c r="D4296" s="27" t="s">
        <v>1450</v>
      </c>
      <c r="F4296" s="27" t="s">
        <v>1453</v>
      </c>
      <c r="H4296" s="27" t="s">
        <v>1454</v>
      </c>
      <c r="M4296" s="27" t="s">
        <v>20858</v>
      </c>
      <c r="N4296" s="27" t="s">
        <v>12042</v>
      </c>
      <c r="P4296" s="27" t="s">
        <v>12044</v>
      </c>
      <c r="Q4296" s="26" t="str">
        <f>HYPERLINK("https://ictv.global/taxonomy/taxondetails?taxnode_id=202518853&amp;ictv_id=ICTV202318853","ICTV202318853")</f>
        <v>ICTV202318853</v>
      </c>
      <c r="R4296" t="s">
        <v>579</v>
      </c>
      <c r="S4296" t="s">
        <v>22763</v>
      </c>
      <c r="T4296">
        <v>41</v>
      </c>
      <c r="U4296" s="26" t="str">
        <f t="shared" si="161"/>
        <v>2025.009B.Ceeteevirinae_1nsf_1ng_15ns.zip</v>
      </c>
    </row>
    <row r="4297" spans="1:21">
      <c r="A4297">
        <v>4296</v>
      </c>
      <c r="B4297" s="27" t="s">
        <v>1449</v>
      </c>
      <c r="D4297" s="27" t="s">
        <v>1450</v>
      </c>
      <c r="F4297" s="27" t="s">
        <v>1453</v>
      </c>
      <c r="H4297" s="27" t="s">
        <v>1454</v>
      </c>
      <c r="M4297" s="27" t="s">
        <v>20858</v>
      </c>
      <c r="N4297" s="27" t="s">
        <v>12042</v>
      </c>
      <c r="P4297" s="27" t="s">
        <v>21561</v>
      </c>
      <c r="Q4297" s="26" t="str">
        <f>HYPERLINK("https://ictv.global/taxonomy/taxondetails?taxnode_id=202522430&amp;ictv_id=ICTV202522430","ICTV202522430")</f>
        <v>ICTV202522430</v>
      </c>
      <c r="R4297" t="s">
        <v>579</v>
      </c>
      <c r="S4297" t="s">
        <v>823</v>
      </c>
      <c r="T4297">
        <v>41</v>
      </c>
      <c r="U4297" s="26" t="str">
        <f t="shared" si="161"/>
        <v>2025.009B.Ceeteevirinae_1nsf_1ng_15ns.zip</v>
      </c>
    </row>
    <row r="4298" spans="1:21">
      <c r="A4298">
        <v>4297</v>
      </c>
      <c r="B4298" s="27" t="s">
        <v>1449</v>
      </c>
      <c r="D4298" s="27" t="s">
        <v>1450</v>
      </c>
      <c r="F4298" s="27" t="s">
        <v>1453</v>
      </c>
      <c r="H4298" s="27" t="s">
        <v>1454</v>
      </c>
      <c r="M4298" s="27" t="s">
        <v>20858</v>
      </c>
      <c r="N4298" s="27" t="s">
        <v>1355</v>
      </c>
      <c r="P4298" s="27" t="s">
        <v>21566</v>
      </c>
      <c r="Q4298" s="26" t="str">
        <f>HYPERLINK("https://ictv.global/taxonomy/taxondetails?taxnode_id=202522435&amp;ictv_id=ICTV202522435","ICTV202522435")</f>
        <v>ICTV202522435</v>
      </c>
      <c r="R4298" t="s">
        <v>579</v>
      </c>
      <c r="S4298" t="s">
        <v>823</v>
      </c>
      <c r="T4298">
        <v>41</v>
      </c>
      <c r="U4298" s="26" t="str">
        <f t="shared" si="161"/>
        <v>2025.009B.Ceeteevirinae_1nsf_1ng_15ns.zip</v>
      </c>
    </row>
    <row r="4299" spans="1:21">
      <c r="A4299">
        <v>4298</v>
      </c>
      <c r="B4299" s="27" t="s">
        <v>1449</v>
      </c>
      <c r="D4299" s="27" t="s">
        <v>1450</v>
      </c>
      <c r="F4299" s="27" t="s">
        <v>1453</v>
      </c>
      <c r="H4299" s="27" t="s">
        <v>1454</v>
      </c>
      <c r="M4299" s="27" t="s">
        <v>20858</v>
      </c>
      <c r="N4299" s="27" t="s">
        <v>1355</v>
      </c>
      <c r="P4299" s="27" t="s">
        <v>6952</v>
      </c>
      <c r="Q4299" s="26" t="str">
        <f>HYPERLINK("https://ictv.global/taxonomy/taxondetails?taxnode_id=202506821&amp;ictv_id=ICTV201856821","ICTV201856821")</f>
        <v>ICTV201856821</v>
      </c>
      <c r="R4299" t="s">
        <v>579</v>
      </c>
      <c r="S4299" t="s">
        <v>22763</v>
      </c>
      <c r="T4299">
        <v>41</v>
      </c>
      <c r="U4299" s="26" t="str">
        <f t="shared" si="161"/>
        <v>2025.009B.Ceeteevirinae_1nsf_1ng_15ns.zip</v>
      </c>
    </row>
    <row r="4300" spans="1:21">
      <c r="A4300">
        <v>4299</v>
      </c>
      <c r="B4300" s="27" t="s">
        <v>1449</v>
      </c>
      <c r="D4300" s="27" t="s">
        <v>1450</v>
      </c>
      <c r="F4300" s="27" t="s">
        <v>1453</v>
      </c>
      <c r="H4300" s="27" t="s">
        <v>1454</v>
      </c>
      <c r="M4300" s="27" t="s">
        <v>20858</v>
      </c>
      <c r="N4300" s="27" t="s">
        <v>1355</v>
      </c>
      <c r="P4300" s="27" t="s">
        <v>6953</v>
      </c>
      <c r="Q4300" s="26" t="str">
        <f>HYPERLINK("https://ictv.global/taxonomy/taxondetails?taxnode_id=202506818&amp;ictv_id=ICTV201856818","ICTV201856818")</f>
        <v>ICTV201856818</v>
      </c>
      <c r="R4300" t="s">
        <v>579</v>
      </c>
      <c r="S4300" t="s">
        <v>22763</v>
      </c>
      <c r="T4300">
        <v>41</v>
      </c>
      <c r="U4300" s="26" t="str">
        <f t="shared" si="161"/>
        <v>2025.009B.Ceeteevirinae_1nsf_1ng_15ns.zip</v>
      </c>
    </row>
    <row r="4301" spans="1:21">
      <c r="A4301">
        <v>4300</v>
      </c>
      <c r="B4301" s="27" t="s">
        <v>1449</v>
      </c>
      <c r="D4301" s="27" t="s">
        <v>1450</v>
      </c>
      <c r="F4301" s="27" t="s">
        <v>1453</v>
      </c>
      <c r="H4301" s="27" t="s">
        <v>1454</v>
      </c>
      <c r="M4301" s="27" t="s">
        <v>20858</v>
      </c>
      <c r="N4301" s="27" t="s">
        <v>1355</v>
      </c>
      <c r="P4301" s="27" t="s">
        <v>6954</v>
      </c>
      <c r="Q4301" s="26" t="str">
        <f>HYPERLINK("https://ictv.global/taxonomy/taxondetails?taxnode_id=202506819&amp;ictv_id=ICTV201856819","ICTV201856819")</f>
        <v>ICTV201856819</v>
      </c>
      <c r="R4301" t="s">
        <v>579</v>
      </c>
      <c r="S4301" t="s">
        <v>22763</v>
      </c>
      <c r="T4301">
        <v>41</v>
      </c>
      <c r="U4301" s="26" t="str">
        <f t="shared" si="161"/>
        <v>2025.009B.Ceeteevirinae_1nsf_1ng_15ns.zip</v>
      </c>
    </row>
    <row r="4302" spans="1:21">
      <c r="A4302">
        <v>4301</v>
      </c>
      <c r="B4302" s="27" t="s">
        <v>1449</v>
      </c>
      <c r="D4302" s="27" t="s">
        <v>1450</v>
      </c>
      <c r="F4302" s="27" t="s">
        <v>1453</v>
      </c>
      <c r="H4302" s="27" t="s">
        <v>1454</v>
      </c>
      <c r="M4302" s="27" t="s">
        <v>20858</v>
      </c>
      <c r="N4302" s="27" t="s">
        <v>1355</v>
      </c>
      <c r="P4302" s="27" t="s">
        <v>21565</v>
      </c>
      <c r="Q4302" s="26" t="str">
        <f>HYPERLINK("https://ictv.global/taxonomy/taxondetails?taxnode_id=202522434&amp;ictv_id=ICTV202522434","ICTV202522434")</f>
        <v>ICTV202522434</v>
      </c>
      <c r="R4302" t="s">
        <v>579</v>
      </c>
      <c r="S4302" t="s">
        <v>823</v>
      </c>
      <c r="T4302">
        <v>41</v>
      </c>
      <c r="U4302" s="26" t="str">
        <f t="shared" si="161"/>
        <v>2025.009B.Ceeteevirinae_1nsf_1ng_15ns.zip</v>
      </c>
    </row>
    <row r="4303" spans="1:21">
      <c r="A4303">
        <v>4302</v>
      </c>
      <c r="B4303" s="27" t="s">
        <v>1449</v>
      </c>
      <c r="D4303" s="27" t="s">
        <v>1450</v>
      </c>
      <c r="F4303" s="27" t="s">
        <v>1453</v>
      </c>
      <c r="H4303" s="27" t="s">
        <v>1454</v>
      </c>
      <c r="M4303" s="27" t="s">
        <v>20858</v>
      </c>
      <c r="N4303" s="27" t="s">
        <v>1355</v>
      </c>
      <c r="P4303" s="27" t="s">
        <v>21567</v>
      </c>
      <c r="Q4303" s="26" t="str">
        <f>HYPERLINK("https://ictv.global/taxonomy/taxondetails?taxnode_id=202522436&amp;ictv_id=ICTV202522436","ICTV202522436")</f>
        <v>ICTV202522436</v>
      </c>
      <c r="R4303" t="s">
        <v>579</v>
      </c>
      <c r="S4303" t="s">
        <v>823</v>
      </c>
      <c r="T4303">
        <v>41</v>
      </c>
      <c r="U4303" s="26" t="str">
        <f t="shared" si="161"/>
        <v>2025.009B.Ceeteevirinae_1nsf_1ng_15ns.zip</v>
      </c>
    </row>
    <row r="4304" spans="1:21">
      <c r="A4304">
        <v>4303</v>
      </c>
      <c r="B4304" s="27" t="s">
        <v>1449</v>
      </c>
      <c r="D4304" s="27" t="s">
        <v>1450</v>
      </c>
      <c r="F4304" s="27" t="s">
        <v>1453</v>
      </c>
      <c r="H4304" s="27" t="s">
        <v>1454</v>
      </c>
      <c r="M4304" s="27" t="s">
        <v>20858</v>
      </c>
      <c r="N4304" s="27" t="s">
        <v>1355</v>
      </c>
      <c r="P4304" s="27" t="s">
        <v>6955</v>
      </c>
      <c r="Q4304" s="26" t="str">
        <f>HYPERLINK("https://ictv.global/taxonomy/taxondetails?taxnode_id=202506820&amp;ictv_id=ICTV201856820","ICTV201856820")</f>
        <v>ICTV201856820</v>
      </c>
      <c r="R4304" t="s">
        <v>579</v>
      </c>
      <c r="S4304" t="s">
        <v>22763</v>
      </c>
      <c r="T4304">
        <v>41</v>
      </c>
      <c r="U4304" s="26" t="str">
        <f t="shared" si="161"/>
        <v>2025.009B.Ceeteevirinae_1nsf_1ng_15ns.zip</v>
      </c>
    </row>
    <row r="4305" spans="1:21">
      <c r="A4305">
        <v>4304</v>
      </c>
      <c r="B4305" s="27" t="s">
        <v>1449</v>
      </c>
      <c r="D4305" s="27" t="s">
        <v>1450</v>
      </c>
      <c r="F4305" s="27" t="s">
        <v>1453</v>
      </c>
      <c r="H4305" s="27" t="s">
        <v>1454</v>
      </c>
      <c r="M4305" s="27" t="s">
        <v>20858</v>
      </c>
      <c r="N4305" s="27" t="s">
        <v>21568</v>
      </c>
      <c r="P4305" s="27" t="s">
        <v>21574</v>
      </c>
      <c r="Q4305" s="26" t="str">
        <f>HYPERLINK("https://ictv.global/taxonomy/taxondetails?taxnode_id=202522442&amp;ictv_id=ICTV202522442","ICTV202522442")</f>
        <v>ICTV202522442</v>
      </c>
      <c r="R4305" t="s">
        <v>579</v>
      </c>
      <c r="S4305" t="s">
        <v>823</v>
      </c>
      <c r="T4305">
        <v>41</v>
      </c>
      <c r="U4305" s="26" t="str">
        <f t="shared" si="161"/>
        <v>2025.009B.Ceeteevirinae_1nsf_1ng_15ns.zip</v>
      </c>
    </row>
    <row r="4306" spans="1:21">
      <c r="A4306">
        <v>4305</v>
      </c>
      <c r="B4306" s="27" t="s">
        <v>1449</v>
      </c>
      <c r="D4306" s="27" t="s">
        <v>1450</v>
      </c>
      <c r="F4306" s="27" t="s">
        <v>1453</v>
      </c>
      <c r="H4306" s="27" t="s">
        <v>1454</v>
      </c>
      <c r="M4306" s="27" t="s">
        <v>20858</v>
      </c>
      <c r="N4306" s="27" t="s">
        <v>21568</v>
      </c>
      <c r="P4306" s="27" t="s">
        <v>21573</v>
      </c>
      <c r="Q4306" s="26" t="str">
        <f>HYPERLINK("https://ictv.global/taxonomy/taxondetails?taxnode_id=202522441&amp;ictv_id=ICTV202522441","ICTV202522441")</f>
        <v>ICTV202522441</v>
      </c>
      <c r="R4306" t="s">
        <v>579</v>
      </c>
      <c r="S4306" t="s">
        <v>823</v>
      </c>
      <c r="T4306">
        <v>41</v>
      </c>
      <c r="U4306" s="26" t="str">
        <f t="shared" si="161"/>
        <v>2025.009B.Ceeteevirinae_1nsf_1ng_15ns.zip</v>
      </c>
    </row>
    <row r="4307" spans="1:21">
      <c r="A4307">
        <v>4306</v>
      </c>
      <c r="B4307" s="27" t="s">
        <v>1449</v>
      </c>
      <c r="D4307" s="27" t="s">
        <v>1450</v>
      </c>
      <c r="F4307" s="27" t="s">
        <v>1453</v>
      </c>
      <c r="H4307" s="27" t="s">
        <v>1454</v>
      </c>
      <c r="M4307" s="27" t="s">
        <v>20858</v>
      </c>
      <c r="N4307" s="27" t="s">
        <v>21568</v>
      </c>
      <c r="P4307" s="27" t="s">
        <v>21575</v>
      </c>
      <c r="Q4307" s="26" t="str">
        <f>HYPERLINK("https://ictv.global/taxonomy/taxondetails?taxnode_id=202522443&amp;ictv_id=ICTV202522443","ICTV202522443")</f>
        <v>ICTV202522443</v>
      </c>
      <c r="R4307" t="s">
        <v>579</v>
      </c>
      <c r="S4307" t="s">
        <v>823</v>
      </c>
      <c r="T4307">
        <v>41</v>
      </c>
      <c r="U4307" s="26" t="str">
        <f t="shared" si="161"/>
        <v>2025.009B.Ceeteevirinae_1nsf_1ng_15ns.zip</v>
      </c>
    </row>
    <row r="4308" spans="1:21">
      <c r="A4308">
        <v>4307</v>
      </c>
      <c r="B4308" s="27" t="s">
        <v>1449</v>
      </c>
      <c r="D4308" s="27" t="s">
        <v>1450</v>
      </c>
      <c r="F4308" s="27" t="s">
        <v>1453</v>
      </c>
      <c r="H4308" s="27" t="s">
        <v>1454</v>
      </c>
      <c r="M4308" s="27" t="s">
        <v>20858</v>
      </c>
      <c r="N4308" s="27" t="s">
        <v>21568</v>
      </c>
      <c r="P4308" s="27" t="s">
        <v>21571</v>
      </c>
      <c r="Q4308" s="26" t="str">
        <f>HYPERLINK("https://ictv.global/taxonomy/taxondetails?taxnode_id=202522439&amp;ictv_id=ICTV202522439","ICTV202522439")</f>
        <v>ICTV202522439</v>
      </c>
      <c r="R4308" t="s">
        <v>579</v>
      </c>
      <c r="S4308" t="s">
        <v>823</v>
      </c>
      <c r="T4308">
        <v>41</v>
      </c>
      <c r="U4308" s="26" t="str">
        <f t="shared" si="161"/>
        <v>2025.009B.Ceeteevirinae_1nsf_1ng_15ns.zip</v>
      </c>
    </row>
    <row r="4309" spans="1:21">
      <c r="A4309">
        <v>4308</v>
      </c>
      <c r="B4309" s="27" t="s">
        <v>1449</v>
      </c>
      <c r="D4309" s="27" t="s">
        <v>1450</v>
      </c>
      <c r="F4309" s="27" t="s">
        <v>1453</v>
      </c>
      <c r="H4309" s="27" t="s">
        <v>1454</v>
      </c>
      <c r="M4309" s="27" t="s">
        <v>20858</v>
      </c>
      <c r="N4309" s="27" t="s">
        <v>21568</v>
      </c>
      <c r="P4309" s="27" t="s">
        <v>21569</v>
      </c>
      <c r="Q4309" s="26" t="str">
        <f>HYPERLINK("https://ictv.global/taxonomy/taxondetails?taxnode_id=202522437&amp;ictv_id=ICTV202522437","ICTV202522437")</f>
        <v>ICTV202522437</v>
      </c>
      <c r="R4309" t="s">
        <v>579</v>
      </c>
      <c r="S4309" t="s">
        <v>823</v>
      </c>
      <c r="T4309">
        <v>41</v>
      </c>
      <c r="U4309" s="26" t="str">
        <f t="shared" si="161"/>
        <v>2025.009B.Ceeteevirinae_1nsf_1ng_15ns.zip</v>
      </c>
    </row>
    <row r="4310" spans="1:21">
      <c r="A4310">
        <v>4309</v>
      </c>
      <c r="B4310" s="27" t="s">
        <v>1449</v>
      </c>
      <c r="D4310" s="27" t="s">
        <v>1450</v>
      </c>
      <c r="F4310" s="27" t="s">
        <v>1453</v>
      </c>
      <c r="H4310" s="27" t="s">
        <v>1454</v>
      </c>
      <c r="M4310" s="27" t="s">
        <v>20858</v>
      </c>
      <c r="N4310" s="27" t="s">
        <v>21568</v>
      </c>
      <c r="P4310" s="27" t="s">
        <v>21572</v>
      </c>
      <c r="Q4310" s="26" t="str">
        <f>HYPERLINK("https://ictv.global/taxonomy/taxondetails?taxnode_id=202522440&amp;ictv_id=ICTV202522440","ICTV202522440")</f>
        <v>ICTV202522440</v>
      </c>
      <c r="R4310" t="s">
        <v>579</v>
      </c>
      <c r="S4310" t="s">
        <v>823</v>
      </c>
      <c r="T4310">
        <v>41</v>
      </c>
      <c r="U4310" s="26" t="str">
        <f t="shared" si="161"/>
        <v>2025.009B.Ceeteevirinae_1nsf_1ng_15ns.zip</v>
      </c>
    </row>
    <row r="4311" spans="1:21">
      <c r="A4311">
        <v>4310</v>
      </c>
      <c r="B4311" s="27" t="s">
        <v>1449</v>
      </c>
      <c r="D4311" s="27" t="s">
        <v>1450</v>
      </c>
      <c r="F4311" s="27" t="s">
        <v>1453</v>
      </c>
      <c r="H4311" s="27" t="s">
        <v>1454</v>
      </c>
      <c r="M4311" s="27" t="s">
        <v>20858</v>
      </c>
      <c r="N4311" s="27" t="s">
        <v>21568</v>
      </c>
      <c r="P4311" s="27" t="s">
        <v>21570</v>
      </c>
      <c r="Q4311" s="26" t="str">
        <f>HYPERLINK("https://ictv.global/taxonomy/taxondetails?taxnode_id=202522438&amp;ictv_id=ICTV202522438","ICTV202522438")</f>
        <v>ICTV202522438</v>
      </c>
      <c r="R4311" t="s">
        <v>579</v>
      </c>
      <c r="S4311" t="s">
        <v>823</v>
      </c>
      <c r="T4311">
        <v>41</v>
      </c>
      <c r="U4311" s="26" t="str">
        <f t="shared" si="161"/>
        <v>2025.009B.Ceeteevirinae_1nsf_1ng_15ns.zip</v>
      </c>
    </row>
    <row r="4312" spans="1:21">
      <c r="A4312">
        <v>4311</v>
      </c>
      <c r="B4312" s="27" t="s">
        <v>1449</v>
      </c>
      <c r="D4312" s="27" t="s">
        <v>1450</v>
      </c>
      <c r="F4312" s="27" t="s">
        <v>1453</v>
      </c>
      <c r="H4312" s="27" t="s">
        <v>1454</v>
      </c>
      <c r="M4312" s="27" t="s">
        <v>20858</v>
      </c>
      <c r="N4312" s="27" t="s">
        <v>7693</v>
      </c>
      <c r="P4312" s="27" t="s">
        <v>7694</v>
      </c>
      <c r="Q4312" s="26" t="str">
        <f>HYPERLINK("https://ictv.global/taxonomy/taxondetails?taxnode_id=202514759&amp;ictv_id=ICTV202214759","ICTV202214759")</f>
        <v>ICTV202214759</v>
      </c>
      <c r="R4312" t="s">
        <v>579</v>
      </c>
      <c r="S4312" t="s">
        <v>22763</v>
      </c>
      <c r="T4312">
        <v>41</v>
      </c>
      <c r="U4312" s="26" t="str">
        <f t="shared" si="161"/>
        <v>2025.009B.Ceeteevirinae_1nsf_1ng_15ns.zip</v>
      </c>
    </row>
    <row r="4313" spans="1:21">
      <c r="A4313">
        <v>4312</v>
      </c>
      <c r="B4313" s="27" t="s">
        <v>1449</v>
      </c>
      <c r="D4313" s="27" t="s">
        <v>1450</v>
      </c>
      <c r="F4313" s="27" t="s">
        <v>1453</v>
      </c>
      <c r="H4313" s="27" t="s">
        <v>1454</v>
      </c>
      <c r="M4313" s="27" t="s">
        <v>20858</v>
      </c>
      <c r="N4313" s="27" t="s">
        <v>7693</v>
      </c>
      <c r="P4313" s="27" t="s">
        <v>7695</v>
      </c>
      <c r="Q4313" s="26" t="str">
        <f>HYPERLINK("https://ictv.global/taxonomy/taxondetails?taxnode_id=202514756&amp;ictv_id=ICTV202214756","ICTV202214756")</f>
        <v>ICTV202214756</v>
      </c>
      <c r="R4313" t="s">
        <v>579</v>
      </c>
      <c r="S4313" t="s">
        <v>22763</v>
      </c>
      <c r="T4313">
        <v>41</v>
      </c>
      <c r="U4313" s="26" t="str">
        <f t="shared" si="161"/>
        <v>2025.009B.Ceeteevirinae_1nsf_1ng_15ns.zip</v>
      </c>
    </row>
    <row r="4314" spans="1:21">
      <c r="A4314">
        <v>4313</v>
      </c>
      <c r="B4314" s="27" t="s">
        <v>1449</v>
      </c>
      <c r="D4314" s="27" t="s">
        <v>1450</v>
      </c>
      <c r="F4314" s="27" t="s">
        <v>1453</v>
      </c>
      <c r="H4314" s="27" t="s">
        <v>1454</v>
      </c>
      <c r="M4314" s="27" t="s">
        <v>20858</v>
      </c>
      <c r="N4314" s="27" t="s">
        <v>7693</v>
      </c>
      <c r="P4314" s="27" t="s">
        <v>21564</v>
      </c>
      <c r="Q4314" s="26" t="str">
        <f>HYPERLINK("https://ictv.global/taxonomy/taxondetails?taxnode_id=202522433&amp;ictv_id=ICTV202522433","ICTV202522433")</f>
        <v>ICTV202522433</v>
      </c>
      <c r="R4314" t="s">
        <v>579</v>
      </c>
      <c r="S4314" t="s">
        <v>823</v>
      </c>
      <c r="T4314">
        <v>41</v>
      </c>
      <c r="U4314" s="26" t="str">
        <f t="shared" si="161"/>
        <v>2025.009B.Ceeteevirinae_1nsf_1ng_15ns.zip</v>
      </c>
    </row>
    <row r="4315" spans="1:21">
      <c r="A4315">
        <v>4314</v>
      </c>
      <c r="B4315" s="27" t="s">
        <v>1449</v>
      </c>
      <c r="D4315" s="27" t="s">
        <v>1450</v>
      </c>
      <c r="F4315" s="27" t="s">
        <v>1453</v>
      </c>
      <c r="H4315" s="27" t="s">
        <v>1454</v>
      </c>
      <c r="M4315" s="27" t="s">
        <v>20858</v>
      </c>
      <c r="N4315" s="27" t="s">
        <v>7693</v>
      </c>
      <c r="P4315" s="27" t="s">
        <v>7696</v>
      </c>
      <c r="Q4315" s="26" t="str">
        <f>HYPERLINK("https://ictv.global/taxonomy/taxondetails?taxnode_id=202514757&amp;ictv_id=ICTV202214757","ICTV202214757")</f>
        <v>ICTV202214757</v>
      </c>
      <c r="R4315" t="s">
        <v>579</v>
      </c>
      <c r="S4315" t="s">
        <v>22763</v>
      </c>
      <c r="T4315">
        <v>41</v>
      </c>
      <c r="U4315" s="26" t="str">
        <f t="shared" si="161"/>
        <v>2025.009B.Ceeteevirinae_1nsf_1ng_15ns.zip</v>
      </c>
    </row>
    <row r="4316" spans="1:21">
      <c r="A4316">
        <v>4315</v>
      </c>
      <c r="B4316" s="27" t="s">
        <v>1449</v>
      </c>
      <c r="D4316" s="27" t="s">
        <v>1450</v>
      </c>
      <c r="F4316" s="27" t="s">
        <v>1453</v>
      </c>
      <c r="H4316" s="27" t="s">
        <v>1454</v>
      </c>
      <c r="M4316" s="27" t="s">
        <v>20858</v>
      </c>
      <c r="N4316" s="27" t="s">
        <v>7693</v>
      </c>
      <c r="P4316" s="27" t="s">
        <v>21562</v>
      </c>
      <c r="Q4316" s="26" t="str">
        <f>HYPERLINK("https://ictv.global/taxonomy/taxondetails?taxnode_id=202522431&amp;ictv_id=ICTV202522431","ICTV202522431")</f>
        <v>ICTV202522431</v>
      </c>
      <c r="R4316" t="s">
        <v>579</v>
      </c>
      <c r="S4316" t="s">
        <v>823</v>
      </c>
      <c r="T4316">
        <v>41</v>
      </c>
      <c r="U4316" s="26" t="str">
        <f t="shared" si="161"/>
        <v>2025.009B.Ceeteevirinae_1nsf_1ng_15ns.zip</v>
      </c>
    </row>
    <row r="4317" spans="1:21">
      <c r="A4317">
        <v>4316</v>
      </c>
      <c r="B4317" s="27" t="s">
        <v>1449</v>
      </c>
      <c r="D4317" s="27" t="s">
        <v>1450</v>
      </c>
      <c r="F4317" s="27" t="s">
        <v>1453</v>
      </c>
      <c r="H4317" s="27" t="s">
        <v>1454</v>
      </c>
      <c r="M4317" s="27" t="s">
        <v>20858</v>
      </c>
      <c r="N4317" s="27" t="s">
        <v>7693</v>
      </c>
      <c r="P4317" s="27" t="s">
        <v>7697</v>
      </c>
      <c r="Q4317" s="26" t="str">
        <f>HYPERLINK("https://ictv.global/taxonomy/taxondetails?taxnode_id=202514755&amp;ictv_id=ICTV202214755","ICTV202214755")</f>
        <v>ICTV202214755</v>
      </c>
      <c r="R4317" t="s">
        <v>579</v>
      </c>
      <c r="S4317" t="s">
        <v>22763</v>
      </c>
      <c r="T4317">
        <v>41</v>
      </c>
      <c r="U4317" s="26" t="str">
        <f t="shared" si="161"/>
        <v>2025.009B.Ceeteevirinae_1nsf_1ng_15ns.zip</v>
      </c>
    </row>
    <row r="4318" spans="1:21">
      <c r="A4318">
        <v>4317</v>
      </c>
      <c r="B4318" s="27" t="s">
        <v>1449</v>
      </c>
      <c r="D4318" s="27" t="s">
        <v>1450</v>
      </c>
      <c r="F4318" s="27" t="s">
        <v>1453</v>
      </c>
      <c r="H4318" s="27" t="s">
        <v>1454</v>
      </c>
      <c r="M4318" s="27" t="s">
        <v>20858</v>
      </c>
      <c r="N4318" s="27" t="s">
        <v>7693</v>
      </c>
      <c r="P4318" s="27" t="s">
        <v>7698</v>
      </c>
      <c r="Q4318" s="26" t="str">
        <f>HYPERLINK("https://ictv.global/taxonomy/taxondetails?taxnode_id=202514754&amp;ictv_id=ICTV202214754","ICTV202214754")</f>
        <v>ICTV202214754</v>
      </c>
      <c r="R4318" t="s">
        <v>579</v>
      </c>
      <c r="S4318" t="s">
        <v>22763</v>
      </c>
      <c r="T4318">
        <v>41</v>
      </c>
      <c r="U4318" s="26" t="str">
        <f t="shared" si="161"/>
        <v>2025.009B.Ceeteevirinae_1nsf_1ng_15ns.zip</v>
      </c>
    </row>
    <row r="4319" spans="1:21">
      <c r="A4319">
        <v>4318</v>
      </c>
      <c r="B4319" s="27" t="s">
        <v>1449</v>
      </c>
      <c r="D4319" s="27" t="s">
        <v>1450</v>
      </c>
      <c r="F4319" s="27" t="s">
        <v>1453</v>
      </c>
      <c r="H4319" s="27" t="s">
        <v>1454</v>
      </c>
      <c r="M4319" s="27" t="s">
        <v>20858</v>
      </c>
      <c r="N4319" s="27" t="s">
        <v>7693</v>
      </c>
      <c r="P4319" s="27" t="s">
        <v>7699</v>
      </c>
      <c r="Q4319" s="26" t="str">
        <f>HYPERLINK("https://ictv.global/taxonomy/taxondetails?taxnode_id=202514758&amp;ictv_id=ICTV202214758","ICTV202214758")</f>
        <v>ICTV202214758</v>
      </c>
      <c r="R4319" t="s">
        <v>579</v>
      </c>
      <c r="S4319" t="s">
        <v>22763</v>
      </c>
      <c r="T4319">
        <v>41</v>
      </c>
      <c r="U4319" s="26" t="str">
        <f t="shared" si="161"/>
        <v>2025.009B.Ceeteevirinae_1nsf_1ng_15ns.zip</v>
      </c>
    </row>
    <row r="4320" spans="1:21">
      <c r="A4320">
        <v>4319</v>
      </c>
      <c r="B4320" s="27" t="s">
        <v>1449</v>
      </c>
      <c r="D4320" s="27" t="s">
        <v>1450</v>
      </c>
      <c r="F4320" s="27" t="s">
        <v>1453</v>
      </c>
      <c r="H4320" s="27" t="s">
        <v>1454</v>
      </c>
      <c r="M4320" s="27" t="s">
        <v>20858</v>
      </c>
      <c r="N4320" s="27" t="s">
        <v>7693</v>
      </c>
      <c r="P4320" s="27" t="s">
        <v>21563</v>
      </c>
      <c r="Q4320" s="26" t="str">
        <f>HYPERLINK("https://ictv.global/taxonomy/taxondetails?taxnode_id=202522432&amp;ictv_id=ICTV202522432","ICTV202522432")</f>
        <v>ICTV202522432</v>
      </c>
      <c r="R4320" t="s">
        <v>579</v>
      </c>
      <c r="S4320" t="s">
        <v>823</v>
      </c>
      <c r="T4320">
        <v>41</v>
      </c>
      <c r="U4320" s="26" t="str">
        <f t="shared" si="161"/>
        <v>2025.009B.Ceeteevirinae_1nsf_1ng_15ns.zip</v>
      </c>
    </row>
    <row r="4321" spans="1:21">
      <c r="A4321">
        <v>4320</v>
      </c>
      <c r="B4321" s="27" t="s">
        <v>1449</v>
      </c>
      <c r="D4321" s="27" t="s">
        <v>1450</v>
      </c>
      <c r="F4321" s="27" t="s">
        <v>1453</v>
      </c>
      <c r="H4321" s="27" t="s">
        <v>1454</v>
      </c>
      <c r="M4321" s="27" t="s">
        <v>20858</v>
      </c>
      <c r="N4321" s="27" t="s">
        <v>7693</v>
      </c>
      <c r="P4321" s="27" t="s">
        <v>7700</v>
      </c>
      <c r="Q4321" s="26" t="str">
        <f>HYPERLINK("https://ictv.global/taxonomy/taxondetails?taxnode_id=202514760&amp;ictv_id=ICTV202214760","ICTV202214760")</f>
        <v>ICTV202214760</v>
      </c>
      <c r="R4321" t="s">
        <v>579</v>
      </c>
      <c r="S4321" t="s">
        <v>22763</v>
      </c>
      <c r="T4321">
        <v>41</v>
      </c>
      <c r="U4321" s="26" t="str">
        <f t="shared" si="161"/>
        <v>2025.009B.Ceeteevirinae_1nsf_1ng_15ns.zip</v>
      </c>
    </row>
    <row r="4322" spans="1:21">
      <c r="A4322">
        <v>4321</v>
      </c>
      <c r="B4322" s="27" t="s">
        <v>1449</v>
      </c>
      <c r="D4322" s="27" t="s">
        <v>1450</v>
      </c>
      <c r="F4322" s="27" t="s">
        <v>1453</v>
      </c>
      <c r="H4322" s="27" t="s">
        <v>1454</v>
      </c>
      <c r="M4322" s="27" t="s">
        <v>832</v>
      </c>
      <c r="N4322" s="27" t="s">
        <v>833</v>
      </c>
      <c r="P4322" s="27" t="s">
        <v>6023</v>
      </c>
      <c r="Q4322" s="26" t="str">
        <f>HYPERLINK("https://ictv.global/taxonomy/taxondetails?taxnode_id=202500920&amp;ictv_id=ICTV20140308","ICTV20140308")</f>
        <v>ICTV20140308</v>
      </c>
      <c r="R4322" t="s">
        <v>579</v>
      </c>
      <c r="S4322" t="s">
        <v>824</v>
      </c>
      <c r="T4322">
        <v>37</v>
      </c>
      <c r="U4322" s="26" t="str">
        <f>HYPERLINK("https://ictv.global/ictv/proposals/2021.010B.R.Binomial_names.zip","2021.010B.R.Binomial_names.zip")</f>
        <v>2021.010B.R.Binomial_names.zip</v>
      </c>
    </row>
    <row r="4323" spans="1:21">
      <c r="A4323">
        <v>4322</v>
      </c>
      <c r="B4323" s="27" t="s">
        <v>1449</v>
      </c>
      <c r="D4323" s="27" t="s">
        <v>1450</v>
      </c>
      <c r="F4323" s="27" t="s">
        <v>1453</v>
      </c>
      <c r="H4323" s="27" t="s">
        <v>1454</v>
      </c>
      <c r="M4323" s="27" t="s">
        <v>832</v>
      </c>
      <c r="N4323" s="27" t="s">
        <v>833</v>
      </c>
      <c r="P4323" s="27" t="s">
        <v>6024</v>
      </c>
      <c r="Q4323" s="26" t="str">
        <f>HYPERLINK("https://ictv.global/taxonomy/taxondetails?taxnode_id=202500921&amp;ictv_id=ICTV20140307","ICTV20140307")</f>
        <v>ICTV20140307</v>
      </c>
      <c r="R4323" t="s">
        <v>579</v>
      </c>
      <c r="S4323" t="s">
        <v>824</v>
      </c>
      <c r="T4323">
        <v>37</v>
      </c>
      <c r="U4323" s="26" t="str">
        <f>HYPERLINK("https://ictv.global/ictv/proposals/2021.010B.R.Binomial_names.zip","2021.010B.R.Binomial_names.zip")</f>
        <v>2021.010B.R.Binomial_names.zip</v>
      </c>
    </row>
    <row r="4324" spans="1:21">
      <c r="A4324">
        <v>4323</v>
      </c>
      <c r="B4324" s="27" t="s">
        <v>1449</v>
      </c>
      <c r="D4324" s="27" t="s">
        <v>1450</v>
      </c>
      <c r="F4324" s="27" t="s">
        <v>1453</v>
      </c>
      <c r="H4324" s="27" t="s">
        <v>1454</v>
      </c>
      <c r="M4324" s="27" t="s">
        <v>832</v>
      </c>
      <c r="N4324" s="27" t="s">
        <v>833</v>
      </c>
      <c r="P4324" s="27" t="s">
        <v>6025</v>
      </c>
      <c r="Q4324" s="26" t="str">
        <f>HYPERLINK("https://ictv.global/taxonomy/taxondetails?taxnode_id=202512982&amp;ictv_id=ICTV202112982","ICTV202112982")</f>
        <v>ICTV202112982</v>
      </c>
      <c r="R4324" t="s">
        <v>579</v>
      </c>
      <c r="S4324" t="s">
        <v>823</v>
      </c>
      <c r="T4324">
        <v>37</v>
      </c>
      <c r="U4324" s="26" t="str">
        <f>HYPERLINK("https://ictv.global/ictv/proposals/2021.013B.R.Brujitavirus_new_species.zip","2021.013B.R.Brujitavirus_new_species.zip")</f>
        <v>2021.013B.R.Brujitavirus_new_species.zip</v>
      </c>
    </row>
    <row r="4325" spans="1:21">
      <c r="A4325">
        <v>4324</v>
      </c>
      <c r="B4325" s="27" t="s">
        <v>1449</v>
      </c>
      <c r="D4325" s="27" t="s">
        <v>1450</v>
      </c>
      <c r="F4325" s="27" t="s">
        <v>1453</v>
      </c>
      <c r="H4325" s="27" t="s">
        <v>1454</v>
      </c>
      <c r="M4325" s="27" t="s">
        <v>832</v>
      </c>
      <c r="N4325" s="27" t="s">
        <v>833</v>
      </c>
      <c r="P4325" s="27" t="s">
        <v>6026</v>
      </c>
      <c r="Q4325" s="26" t="str">
        <f>HYPERLINK("https://ictv.global/taxonomy/taxondetails?taxnode_id=202512981&amp;ictv_id=ICTV202112981","ICTV202112981")</f>
        <v>ICTV202112981</v>
      </c>
      <c r="R4325" t="s">
        <v>579</v>
      </c>
      <c r="S4325" t="s">
        <v>823</v>
      </c>
      <c r="T4325">
        <v>37</v>
      </c>
      <c r="U4325" s="26" t="str">
        <f>HYPERLINK("https://ictv.global/ictv/proposals/2021.013B.R.Brujitavirus_new_species.zip","2021.013B.R.Brujitavirus_new_species.zip")</f>
        <v>2021.013B.R.Brujitavirus_new_species.zip</v>
      </c>
    </row>
    <row r="4326" spans="1:21">
      <c r="A4326">
        <v>4325</v>
      </c>
      <c r="B4326" s="27" t="s">
        <v>1449</v>
      </c>
      <c r="D4326" s="27" t="s">
        <v>1450</v>
      </c>
      <c r="F4326" s="27" t="s">
        <v>1453</v>
      </c>
      <c r="H4326" s="27" t="s">
        <v>1454</v>
      </c>
      <c r="M4326" s="27" t="s">
        <v>11740</v>
      </c>
      <c r="N4326" s="27" t="s">
        <v>11741</v>
      </c>
      <c r="P4326" s="27" t="s">
        <v>11742</v>
      </c>
      <c r="Q4326" s="26" t="str">
        <f>HYPERLINK("https://ictv.global/taxonomy/taxondetails?taxnode_id=202518403&amp;ictv_id=ICTV202318403","ICTV202318403")</f>
        <v>ICTV202318403</v>
      </c>
      <c r="R4326" t="s">
        <v>579</v>
      </c>
      <c r="S4326" t="s">
        <v>823</v>
      </c>
      <c r="T4326">
        <v>39</v>
      </c>
      <c r="U4326" s="26" t="str">
        <f>HYPERLINK("https://ictv.global/ictv/proposals/2023.019B.Daemsvirinae_nsf.zip","2023.019B.Daemsvirinae_nsf.zip")</f>
        <v>2023.019B.Daemsvirinae_nsf.zip</v>
      </c>
    </row>
    <row r="4327" spans="1:21">
      <c r="A4327">
        <v>4326</v>
      </c>
      <c r="B4327" s="27" t="s">
        <v>1449</v>
      </c>
      <c r="D4327" s="27" t="s">
        <v>1450</v>
      </c>
      <c r="F4327" s="27" t="s">
        <v>1453</v>
      </c>
      <c r="H4327" s="27" t="s">
        <v>1454</v>
      </c>
      <c r="M4327" s="27" t="s">
        <v>11740</v>
      </c>
      <c r="N4327" s="27" t="s">
        <v>11743</v>
      </c>
      <c r="P4327" s="27" t="s">
        <v>11744</v>
      </c>
      <c r="Q4327" s="26" t="str">
        <f>HYPERLINK("https://ictv.global/taxonomy/taxondetails?taxnode_id=202518400&amp;ictv_id=ICTV202318400","ICTV202318400")</f>
        <v>ICTV202318400</v>
      </c>
      <c r="R4327" t="s">
        <v>579</v>
      </c>
      <c r="S4327" t="s">
        <v>823</v>
      </c>
      <c r="T4327">
        <v>39</v>
      </c>
      <c r="U4327" s="26" t="str">
        <f>HYPERLINK("https://ictv.global/ictv/proposals/2023.019B.Daemsvirinae_nsf.zip","2023.019B.Daemsvirinae_nsf.zip")</f>
        <v>2023.019B.Daemsvirinae_nsf.zip</v>
      </c>
    </row>
    <row r="4328" spans="1:21">
      <c r="A4328">
        <v>4327</v>
      </c>
      <c r="B4328" s="27" t="s">
        <v>1449</v>
      </c>
      <c r="D4328" s="27" t="s">
        <v>1450</v>
      </c>
      <c r="F4328" s="27" t="s">
        <v>1453</v>
      </c>
      <c r="H4328" s="27" t="s">
        <v>1454</v>
      </c>
      <c r="M4328" s="27" t="s">
        <v>11740</v>
      </c>
      <c r="N4328" s="27" t="s">
        <v>11743</v>
      </c>
      <c r="P4328" s="27" t="s">
        <v>11745</v>
      </c>
      <c r="Q4328" s="26" t="str">
        <f>HYPERLINK("https://ictv.global/taxonomy/taxondetails?taxnode_id=202518398&amp;ictv_id=ICTV202318398","ICTV202318398")</f>
        <v>ICTV202318398</v>
      </c>
      <c r="R4328" t="s">
        <v>579</v>
      </c>
      <c r="S4328" t="s">
        <v>823</v>
      </c>
      <c r="T4328">
        <v>39</v>
      </c>
      <c r="U4328" s="26" t="str">
        <f>HYPERLINK("https://ictv.global/ictv/proposals/2023.019B.Daemsvirinae_nsf.zip","2023.019B.Daemsvirinae_nsf.zip")</f>
        <v>2023.019B.Daemsvirinae_nsf.zip</v>
      </c>
    </row>
    <row r="4329" spans="1:21">
      <c r="A4329">
        <v>4328</v>
      </c>
      <c r="B4329" s="27" t="s">
        <v>1449</v>
      </c>
      <c r="D4329" s="27" t="s">
        <v>1450</v>
      </c>
      <c r="F4329" s="27" t="s">
        <v>1453</v>
      </c>
      <c r="H4329" s="27" t="s">
        <v>1454</v>
      </c>
      <c r="M4329" s="27" t="s">
        <v>11740</v>
      </c>
      <c r="N4329" s="27" t="s">
        <v>11743</v>
      </c>
      <c r="P4329" s="27" t="s">
        <v>11746</v>
      </c>
      <c r="Q4329" s="26" t="str">
        <f>HYPERLINK("https://ictv.global/taxonomy/taxondetails?taxnode_id=202518402&amp;ictv_id=ICTV202318402","ICTV202318402")</f>
        <v>ICTV202318402</v>
      </c>
      <c r="R4329" t="s">
        <v>579</v>
      </c>
      <c r="S4329" t="s">
        <v>823</v>
      </c>
      <c r="T4329">
        <v>39</v>
      </c>
      <c r="U4329" s="26" t="str">
        <f>HYPERLINK("https://ictv.global/ictv/proposals/2023.019B.Daemsvirinae_nsf.zip","2023.019B.Daemsvirinae_nsf.zip")</f>
        <v>2023.019B.Daemsvirinae_nsf.zip</v>
      </c>
    </row>
    <row r="4330" spans="1:21">
      <c r="A4330">
        <v>4329</v>
      </c>
      <c r="B4330" s="27" t="s">
        <v>1449</v>
      </c>
      <c r="D4330" s="27" t="s">
        <v>1450</v>
      </c>
      <c r="F4330" s="27" t="s">
        <v>1453</v>
      </c>
      <c r="H4330" s="27" t="s">
        <v>1454</v>
      </c>
      <c r="M4330" s="27" t="s">
        <v>11740</v>
      </c>
      <c r="N4330" s="27" t="s">
        <v>11743</v>
      </c>
      <c r="P4330" s="27" t="s">
        <v>21472</v>
      </c>
      <c r="Q4330" s="26" t="str">
        <f>HYPERLINK("https://ictv.global/taxonomy/taxondetails?taxnode_id=202522343&amp;ictv_id=ICTV202522343","ICTV202522343")</f>
        <v>ICTV202522343</v>
      </c>
      <c r="R4330" t="s">
        <v>579</v>
      </c>
      <c r="S4330" t="s">
        <v>823</v>
      </c>
      <c r="T4330">
        <v>41</v>
      </c>
      <c r="U4330" s="26" t="str">
        <f>HYPERLINK("https://ictv.global/ictv/proposals/2025.008B.Caudoviricetes_11ns.zip","2025.008B.Caudoviricetes_11ns.zip")</f>
        <v>2025.008B.Caudoviricetes_11ns.zip</v>
      </c>
    </row>
    <row r="4331" spans="1:21">
      <c r="A4331">
        <v>4330</v>
      </c>
      <c r="B4331" s="27" t="s">
        <v>1449</v>
      </c>
      <c r="D4331" s="27" t="s">
        <v>1450</v>
      </c>
      <c r="F4331" s="27" t="s">
        <v>1453</v>
      </c>
      <c r="H4331" s="27" t="s">
        <v>1454</v>
      </c>
      <c r="M4331" s="27" t="s">
        <v>11740</v>
      </c>
      <c r="N4331" s="27" t="s">
        <v>11743</v>
      </c>
      <c r="P4331" s="27" t="s">
        <v>11747</v>
      </c>
      <c r="Q4331" s="26" t="str">
        <f>HYPERLINK("https://ictv.global/taxonomy/taxondetails?taxnode_id=202518399&amp;ictv_id=ICTV202318399","ICTV202318399")</f>
        <v>ICTV202318399</v>
      </c>
      <c r="R4331" t="s">
        <v>579</v>
      </c>
      <c r="S4331" t="s">
        <v>823</v>
      </c>
      <c r="T4331">
        <v>39</v>
      </c>
      <c r="U4331" s="26" t="str">
        <f>HYPERLINK("https://ictv.global/ictv/proposals/2023.019B.Daemsvirinae_nsf.zip","2023.019B.Daemsvirinae_nsf.zip")</f>
        <v>2023.019B.Daemsvirinae_nsf.zip</v>
      </c>
    </row>
    <row r="4332" spans="1:21">
      <c r="A4332">
        <v>4331</v>
      </c>
      <c r="B4332" s="27" t="s">
        <v>1449</v>
      </c>
      <c r="D4332" s="27" t="s">
        <v>1450</v>
      </c>
      <c r="F4332" s="27" t="s">
        <v>1453</v>
      </c>
      <c r="H4332" s="27" t="s">
        <v>1454</v>
      </c>
      <c r="M4332" s="27" t="s">
        <v>11740</v>
      </c>
      <c r="N4332" s="27" t="s">
        <v>11743</v>
      </c>
      <c r="P4332" s="27" t="s">
        <v>11748</v>
      </c>
      <c r="Q4332" s="26" t="str">
        <f>HYPERLINK("https://ictv.global/taxonomy/taxondetails?taxnode_id=202518401&amp;ictv_id=ICTV202318401","ICTV202318401")</f>
        <v>ICTV202318401</v>
      </c>
      <c r="R4332" t="s">
        <v>579</v>
      </c>
      <c r="S4332" t="s">
        <v>823</v>
      </c>
      <c r="T4332">
        <v>39</v>
      </c>
      <c r="U4332" s="26" t="str">
        <f>HYPERLINK("https://ictv.global/ictv/proposals/2023.019B.Daemsvirinae_nsf.zip","2023.019B.Daemsvirinae_nsf.zip")</f>
        <v>2023.019B.Daemsvirinae_nsf.zip</v>
      </c>
    </row>
    <row r="4333" spans="1:21">
      <c r="A4333">
        <v>4332</v>
      </c>
      <c r="B4333" s="27" t="s">
        <v>1449</v>
      </c>
      <c r="D4333" s="27" t="s">
        <v>1450</v>
      </c>
      <c r="F4333" s="27" t="s">
        <v>1453</v>
      </c>
      <c r="H4333" s="27" t="s">
        <v>1454</v>
      </c>
      <c r="M4333" s="27" t="s">
        <v>834</v>
      </c>
      <c r="N4333" s="27" t="s">
        <v>835</v>
      </c>
      <c r="P4333" s="27" t="s">
        <v>6027</v>
      </c>
      <c r="Q4333" s="26" t="str">
        <f>HYPERLINK("https://ictv.global/taxonomy/taxondetails?taxnode_id=202505508&amp;ictv_id=ICTV20175508","ICTV20175508")</f>
        <v>ICTV20175508</v>
      </c>
      <c r="R4333" t="s">
        <v>579</v>
      </c>
      <c r="S4333" t="s">
        <v>824</v>
      </c>
      <c r="T4333">
        <v>37</v>
      </c>
      <c r="U4333" s="26" t="str">
        <f t="shared" ref="U4333:U4344" si="162">HYPERLINK("https://ictv.global/ictv/proposals/2021.010B.R.Binomial_names.zip","2021.010B.R.Binomial_names.zip")</f>
        <v>2021.010B.R.Binomial_names.zip</v>
      </c>
    </row>
    <row r="4334" spans="1:21">
      <c r="A4334">
        <v>4333</v>
      </c>
      <c r="B4334" s="27" t="s">
        <v>1449</v>
      </c>
      <c r="D4334" s="27" t="s">
        <v>1450</v>
      </c>
      <c r="F4334" s="27" t="s">
        <v>1453</v>
      </c>
      <c r="H4334" s="27" t="s">
        <v>1454</v>
      </c>
      <c r="M4334" s="27" t="s">
        <v>834</v>
      </c>
      <c r="N4334" s="27" t="s">
        <v>836</v>
      </c>
      <c r="P4334" s="27" t="s">
        <v>6028</v>
      </c>
      <c r="Q4334" s="26" t="str">
        <f>HYPERLINK("https://ictv.global/taxonomy/taxondetails?taxnode_id=202505510&amp;ictv_id=ICTV20175510","ICTV20175510")</f>
        <v>ICTV20175510</v>
      </c>
      <c r="R4334" t="s">
        <v>579</v>
      </c>
      <c r="S4334" t="s">
        <v>824</v>
      </c>
      <c r="T4334">
        <v>37</v>
      </c>
      <c r="U4334" s="26" t="str">
        <f t="shared" si="162"/>
        <v>2021.010B.R.Binomial_names.zip</v>
      </c>
    </row>
    <row r="4335" spans="1:21">
      <c r="A4335">
        <v>4334</v>
      </c>
      <c r="B4335" s="27" t="s">
        <v>1449</v>
      </c>
      <c r="D4335" s="27" t="s">
        <v>1450</v>
      </c>
      <c r="F4335" s="27" t="s">
        <v>1453</v>
      </c>
      <c r="H4335" s="27" t="s">
        <v>1454</v>
      </c>
      <c r="M4335" s="27" t="s">
        <v>2212</v>
      </c>
      <c r="N4335" s="27" t="s">
        <v>2213</v>
      </c>
      <c r="P4335" s="27" t="s">
        <v>6029</v>
      </c>
      <c r="Q4335" s="26" t="str">
        <f>HYPERLINK("https://ictv.global/taxonomy/taxondetails?taxnode_id=202509927&amp;ictv_id=ICTV202009927","ICTV202009927")</f>
        <v>ICTV202009927</v>
      </c>
      <c r="R4335" t="s">
        <v>579</v>
      </c>
      <c r="S4335" t="s">
        <v>824</v>
      </c>
      <c r="T4335">
        <v>37</v>
      </c>
      <c r="U4335" s="26" t="str">
        <f t="shared" si="162"/>
        <v>2021.010B.R.Binomial_names.zip</v>
      </c>
    </row>
    <row r="4336" spans="1:21">
      <c r="A4336">
        <v>4335</v>
      </c>
      <c r="B4336" s="27" t="s">
        <v>1449</v>
      </c>
      <c r="D4336" s="27" t="s">
        <v>1450</v>
      </c>
      <c r="F4336" s="27" t="s">
        <v>1453</v>
      </c>
      <c r="H4336" s="27" t="s">
        <v>1454</v>
      </c>
      <c r="M4336" s="27" t="s">
        <v>2212</v>
      </c>
      <c r="N4336" s="27" t="s">
        <v>2213</v>
      </c>
      <c r="P4336" s="27" t="s">
        <v>6030</v>
      </c>
      <c r="Q4336" s="26" t="str">
        <f>HYPERLINK("https://ictv.global/taxonomy/taxondetails?taxnode_id=202509925&amp;ictv_id=ICTV202009925","ICTV202009925")</f>
        <v>ICTV202009925</v>
      </c>
      <c r="R4336" t="s">
        <v>579</v>
      </c>
      <c r="S4336" t="s">
        <v>824</v>
      </c>
      <c r="T4336">
        <v>37</v>
      </c>
      <c r="U4336" s="26" t="str">
        <f t="shared" si="162"/>
        <v>2021.010B.R.Binomial_names.zip</v>
      </c>
    </row>
    <row r="4337" spans="1:21">
      <c r="A4337">
        <v>4336</v>
      </c>
      <c r="B4337" s="27" t="s">
        <v>1449</v>
      </c>
      <c r="D4337" s="27" t="s">
        <v>1450</v>
      </c>
      <c r="F4337" s="27" t="s">
        <v>1453</v>
      </c>
      <c r="H4337" s="27" t="s">
        <v>1454</v>
      </c>
      <c r="M4337" s="27" t="s">
        <v>2212</v>
      </c>
      <c r="N4337" s="27" t="s">
        <v>2213</v>
      </c>
      <c r="P4337" s="27" t="s">
        <v>6031</v>
      </c>
      <c r="Q4337" s="26" t="str">
        <f>HYPERLINK("https://ictv.global/taxonomy/taxondetails?taxnode_id=202509928&amp;ictv_id=ICTV202009928","ICTV202009928")</f>
        <v>ICTV202009928</v>
      </c>
      <c r="R4337" t="s">
        <v>579</v>
      </c>
      <c r="S4337" t="s">
        <v>824</v>
      </c>
      <c r="T4337">
        <v>37</v>
      </c>
      <c r="U4337" s="26" t="str">
        <f t="shared" si="162"/>
        <v>2021.010B.R.Binomial_names.zip</v>
      </c>
    </row>
    <row r="4338" spans="1:21">
      <c r="A4338">
        <v>4337</v>
      </c>
      <c r="B4338" s="27" t="s">
        <v>1449</v>
      </c>
      <c r="D4338" s="27" t="s">
        <v>1450</v>
      </c>
      <c r="F4338" s="27" t="s">
        <v>1453</v>
      </c>
      <c r="H4338" s="27" t="s">
        <v>1454</v>
      </c>
      <c r="M4338" s="27" t="s">
        <v>2212</v>
      </c>
      <c r="N4338" s="27" t="s">
        <v>2213</v>
      </c>
      <c r="P4338" s="27" t="s">
        <v>6032</v>
      </c>
      <c r="Q4338" s="26" t="str">
        <f>HYPERLINK("https://ictv.global/taxonomy/taxondetails?taxnode_id=202509923&amp;ictv_id=ICTV202009923","ICTV202009923")</f>
        <v>ICTV202009923</v>
      </c>
      <c r="R4338" t="s">
        <v>579</v>
      </c>
      <c r="S4338" t="s">
        <v>824</v>
      </c>
      <c r="T4338">
        <v>37</v>
      </c>
      <c r="U4338" s="26" t="str">
        <f t="shared" si="162"/>
        <v>2021.010B.R.Binomial_names.zip</v>
      </c>
    </row>
    <row r="4339" spans="1:21">
      <c r="A4339">
        <v>4338</v>
      </c>
      <c r="B4339" s="27" t="s">
        <v>1449</v>
      </c>
      <c r="D4339" s="27" t="s">
        <v>1450</v>
      </c>
      <c r="F4339" s="27" t="s">
        <v>1453</v>
      </c>
      <c r="H4339" s="27" t="s">
        <v>1454</v>
      </c>
      <c r="M4339" s="27" t="s">
        <v>2212</v>
      </c>
      <c r="N4339" s="27" t="s">
        <v>2213</v>
      </c>
      <c r="P4339" s="27" t="s">
        <v>6033</v>
      </c>
      <c r="Q4339" s="26" t="str">
        <f>HYPERLINK("https://ictv.global/taxonomy/taxondetails?taxnode_id=202509929&amp;ictv_id=ICTV202009929","ICTV202009929")</f>
        <v>ICTV202009929</v>
      </c>
      <c r="R4339" t="s">
        <v>579</v>
      </c>
      <c r="S4339" t="s">
        <v>824</v>
      </c>
      <c r="T4339">
        <v>37</v>
      </c>
      <c r="U4339" s="26" t="str">
        <f t="shared" si="162"/>
        <v>2021.010B.R.Binomial_names.zip</v>
      </c>
    </row>
    <row r="4340" spans="1:21">
      <c r="A4340">
        <v>4339</v>
      </c>
      <c r="B4340" s="27" t="s">
        <v>1449</v>
      </c>
      <c r="D4340" s="27" t="s">
        <v>1450</v>
      </c>
      <c r="F4340" s="27" t="s">
        <v>1453</v>
      </c>
      <c r="H4340" s="27" t="s">
        <v>1454</v>
      </c>
      <c r="M4340" s="27" t="s">
        <v>2212</v>
      </c>
      <c r="N4340" s="27" t="s">
        <v>2213</v>
      </c>
      <c r="P4340" s="27" t="s">
        <v>6034</v>
      </c>
      <c r="Q4340" s="26" t="str">
        <f>HYPERLINK("https://ictv.global/taxonomy/taxondetails?taxnode_id=202509926&amp;ictv_id=ICTV202009926","ICTV202009926")</f>
        <v>ICTV202009926</v>
      </c>
      <c r="R4340" t="s">
        <v>579</v>
      </c>
      <c r="S4340" t="s">
        <v>824</v>
      </c>
      <c r="T4340">
        <v>37</v>
      </c>
      <c r="U4340" s="26" t="str">
        <f t="shared" si="162"/>
        <v>2021.010B.R.Binomial_names.zip</v>
      </c>
    </row>
    <row r="4341" spans="1:21">
      <c r="A4341">
        <v>4340</v>
      </c>
      <c r="B4341" s="27" t="s">
        <v>1449</v>
      </c>
      <c r="D4341" s="27" t="s">
        <v>1450</v>
      </c>
      <c r="F4341" s="27" t="s">
        <v>1453</v>
      </c>
      <c r="H4341" s="27" t="s">
        <v>1454</v>
      </c>
      <c r="M4341" s="27" t="s">
        <v>2212</v>
      </c>
      <c r="N4341" s="27" t="s">
        <v>2213</v>
      </c>
      <c r="P4341" s="27" t="s">
        <v>6035</v>
      </c>
      <c r="Q4341" s="26" t="str">
        <f>HYPERLINK("https://ictv.global/taxonomy/taxondetails?taxnode_id=202509924&amp;ictv_id=ICTV202009924","ICTV202009924")</f>
        <v>ICTV202009924</v>
      </c>
      <c r="R4341" t="s">
        <v>579</v>
      </c>
      <c r="S4341" t="s">
        <v>824</v>
      </c>
      <c r="T4341">
        <v>37</v>
      </c>
      <c r="U4341" s="26" t="str">
        <f t="shared" si="162"/>
        <v>2021.010B.R.Binomial_names.zip</v>
      </c>
    </row>
    <row r="4342" spans="1:21">
      <c r="A4342">
        <v>4341</v>
      </c>
      <c r="B4342" s="27" t="s">
        <v>1449</v>
      </c>
      <c r="D4342" s="27" t="s">
        <v>1450</v>
      </c>
      <c r="F4342" s="27" t="s">
        <v>1453</v>
      </c>
      <c r="H4342" s="27" t="s">
        <v>1454</v>
      </c>
      <c r="M4342" s="27" t="s">
        <v>2212</v>
      </c>
      <c r="N4342" s="27" t="s">
        <v>2214</v>
      </c>
      <c r="P4342" s="27" t="s">
        <v>6036</v>
      </c>
      <c r="Q4342" s="26" t="str">
        <f>HYPERLINK("https://ictv.global/taxonomy/taxondetails?taxnode_id=202509918&amp;ictv_id=ICTV202009918","ICTV202009918")</f>
        <v>ICTV202009918</v>
      </c>
      <c r="R4342" t="s">
        <v>579</v>
      </c>
      <c r="S4342" t="s">
        <v>824</v>
      </c>
      <c r="T4342">
        <v>37</v>
      </c>
      <c r="U4342" s="26" t="str">
        <f t="shared" si="162"/>
        <v>2021.010B.R.Binomial_names.zip</v>
      </c>
    </row>
    <row r="4343" spans="1:21">
      <c r="A4343">
        <v>4342</v>
      </c>
      <c r="B4343" s="27" t="s">
        <v>1449</v>
      </c>
      <c r="D4343" s="27" t="s">
        <v>1450</v>
      </c>
      <c r="F4343" s="27" t="s">
        <v>1453</v>
      </c>
      <c r="H4343" s="27" t="s">
        <v>1454</v>
      </c>
      <c r="M4343" s="27" t="s">
        <v>2212</v>
      </c>
      <c r="N4343" s="27" t="s">
        <v>2215</v>
      </c>
      <c r="P4343" s="27" t="s">
        <v>6037</v>
      </c>
      <c r="Q4343" s="26" t="str">
        <f>HYPERLINK("https://ictv.global/taxonomy/taxondetails?taxnode_id=202509921&amp;ictv_id=ICTV202009921","ICTV202009921")</f>
        <v>ICTV202009921</v>
      </c>
      <c r="R4343" t="s">
        <v>579</v>
      </c>
      <c r="S4343" t="s">
        <v>824</v>
      </c>
      <c r="T4343">
        <v>37</v>
      </c>
      <c r="U4343" s="26" t="str">
        <f t="shared" si="162"/>
        <v>2021.010B.R.Binomial_names.zip</v>
      </c>
    </row>
    <row r="4344" spans="1:21">
      <c r="A4344">
        <v>4343</v>
      </c>
      <c r="B4344" s="27" t="s">
        <v>1449</v>
      </c>
      <c r="D4344" s="27" t="s">
        <v>1450</v>
      </c>
      <c r="F4344" s="27" t="s">
        <v>1453</v>
      </c>
      <c r="H4344" s="27" t="s">
        <v>1454</v>
      </c>
      <c r="M4344" s="27" t="s">
        <v>2212</v>
      </c>
      <c r="N4344" s="27" t="s">
        <v>2215</v>
      </c>
      <c r="P4344" s="27" t="s">
        <v>6038</v>
      </c>
      <c r="Q4344" s="26" t="str">
        <f>HYPERLINK("https://ictv.global/taxonomy/taxondetails?taxnode_id=202509920&amp;ictv_id=ICTV202009920","ICTV202009920")</f>
        <v>ICTV202009920</v>
      </c>
      <c r="R4344" t="s">
        <v>579</v>
      </c>
      <c r="S4344" t="s">
        <v>824</v>
      </c>
      <c r="T4344">
        <v>37</v>
      </c>
      <c r="U4344" s="26" t="str">
        <f t="shared" si="162"/>
        <v>2021.010B.R.Binomial_names.zip</v>
      </c>
    </row>
    <row r="4345" spans="1:21">
      <c r="A4345">
        <v>4344</v>
      </c>
      <c r="B4345" s="27" t="s">
        <v>1449</v>
      </c>
      <c r="D4345" s="27" t="s">
        <v>1450</v>
      </c>
      <c r="F4345" s="27" t="s">
        <v>1453</v>
      </c>
      <c r="H4345" s="27" t="s">
        <v>1454</v>
      </c>
      <c r="M4345" s="27" t="s">
        <v>6039</v>
      </c>
      <c r="N4345" s="27" t="s">
        <v>6040</v>
      </c>
      <c r="P4345" s="27" t="s">
        <v>6041</v>
      </c>
      <c r="Q4345" s="26" t="str">
        <f>HYPERLINK("https://ictv.global/taxonomy/taxondetails?taxnode_id=202514571&amp;ictv_id=ICTV202214571","ICTV202214571")</f>
        <v>ICTV202214571</v>
      </c>
      <c r="R4345" t="s">
        <v>579</v>
      </c>
      <c r="S4345" t="s">
        <v>823</v>
      </c>
      <c r="T4345">
        <v>38</v>
      </c>
      <c r="U4345" s="26" t="str">
        <f t="shared" ref="U4345:U4351" si="163">HYPERLINK("https://ictv.global/ictv/proposals/2022.028B.Deeyouvirinae_nsf.zip","2022.028B.Deeyouvirinae_nsf.zip")</f>
        <v>2022.028B.Deeyouvirinae_nsf.zip</v>
      </c>
    </row>
    <row r="4346" spans="1:21">
      <c r="A4346">
        <v>4345</v>
      </c>
      <c r="B4346" s="27" t="s">
        <v>1449</v>
      </c>
      <c r="D4346" s="27" t="s">
        <v>1450</v>
      </c>
      <c r="F4346" s="27" t="s">
        <v>1453</v>
      </c>
      <c r="H4346" s="27" t="s">
        <v>1454</v>
      </c>
      <c r="M4346" s="27" t="s">
        <v>6039</v>
      </c>
      <c r="N4346" s="27" t="s">
        <v>6040</v>
      </c>
      <c r="P4346" s="27" t="s">
        <v>6042</v>
      </c>
      <c r="Q4346" s="26" t="str">
        <f>HYPERLINK("https://ictv.global/taxonomy/taxondetails?taxnode_id=202514573&amp;ictv_id=ICTV202214573","ICTV202214573")</f>
        <v>ICTV202214573</v>
      </c>
      <c r="R4346" t="s">
        <v>579</v>
      </c>
      <c r="S4346" t="s">
        <v>823</v>
      </c>
      <c r="T4346">
        <v>38</v>
      </c>
      <c r="U4346" s="26" t="str">
        <f t="shared" si="163"/>
        <v>2022.028B.Deeyouvirinae_nsf.zip</v>
      </c>
    </row>
    <row r="4347" spans="1:21">
      <c r="A4347">
        <v>4346</v>
      </c>
      <c r="B4347" s="27" t="s">
        <v>1449</v>
      </c>
      <c r="D4347" s="27" t="s">
        <v>1450</v>
      </c>
      <c r="F4347" s="27" t="s">
        <v>1453</v>
      </c>
      <c r="H4347" s="27" t="s">
        <v>1454</v>
      </c>
      <c r="M4347" s="27" t="s">
        <v>6039</v>
      </c>
      <c r="N4347" s="27" t="s">
        <v>6040</v>
      </c>
      <c r="P4347" s="27" t="s">
        <v>6043</v>
      </c>
      <c r="Q4347" s="26" t="str">
        <f>HYPERLINK("https://ictv.global/taxonomy/taxondetails?taxnode_id=202514572&amp;ictv_id=ICTV202214572","ICTV202214572")</f>
        <v>ICTV202214572</v>
      </c>
      <c r="R4347" t="s">
        <v>579</v>
      </c>
      <c r="S4347" t="s">
        <v>823</v>
      </c>
      <c r="T4347">
        <v>38</v>
      </c>
      <c r="U4347" s="26" t="str">
        <f t="shared" si="163"/>
        <v>2022.028B.Deeyouvirinae_nsf.zip</v>
      </c>
    </row>
    <row r="4348" spans="1:21">
      <c r="A4348">
        <v>4347</v>
      </c>
      <c r="B4348" s="27" t="s">
        <v>1449</v>
      </c>
      <c r="D4348" s="27" t="s">
        <v>1450</v>
      </c>
      <c r="F4348" s="27" t="s">
        <v>1453</v>
      </c>
      <c r="H4348" s="27" t="s">
        <v>1454</v>
      </c>
      <c r="M4348" s="27" t="s">
        <v>6039</v>
      </c>
      <c r="N4348" s="27" t="s">
        <v>6044</v>
      </c>
      <c r="P4348" s="27" t="s">
        <v>6045</v>
      </c>
      <c r="Q4348" s="26" t="str">
        <f>HYPERLINK("https://ictv.global/taxonomy/taxondetails?taxnode_id=202514576&amp;ictv_id=ICTV202214576","ICTV202214576")</f>
        <v>ICTV202214576</v>
      </c>
      <c r="R4348" t="s">
        <v>579</v>
      </c>
      <c r="S4348" t="s">
        <v>823</v>
      </c>
      <c r="T4348">
        <v>38</v>
      </c>
      <c r="U4348" s="26" t="str">
        <f t="shared" si="163"/>
        <v>2022.028B.Deeyouvirinae_nsf.zip</v>
      </c>
    </row>
    <row r="4349" spans="1:21">
      <c r="A4349">
        <v>4348</v>
      </c>
      <c r="B4349" s="27" t="s">
        <v>1449</v>
      </c>
      <c r="D4349" s="27" t="s">
        <v>1450</v>
      </c>
      <c r="F4349" s="27" t="s">
        <v>1453</v>
      </c>
      <c r="H4349" s="27" t="s">
        <v>1454</v>
      </c>
      <c r="M4349" s="27" t="s">
        <v>6039</v>
      </c>
      <c r="N4349" s="27" t="s">
        <v>6044</v>
      </c>
      <c r="P4349" s="27" t="s">
        <v>6046</v>
      </c>
      <c r="Q4349" s="26" t="str">
        <f>HYPERLINK("https://ictv.global/taxonomy/taxondetails?taxnode_id=202514574&amp;ictv_id=ICTV202214574","ICTV202214574")</f>
        <v>ICTV202214574</v>
      </c>
      <c r="R4349" t="s">
        <v>579</v>
      </c>
      <c r="S4349" t="s">
        <v>823</v>
      </c>
      <c r="T4349">
        <v>38</v>
      </c>
      <c r="U4349" s="26" t="str">
        <f t="shared" si="163"/>
        <v>2022.028B.Deeyouvirinae_nsf.zip</v>
      </c>
    </row>
    <row r="4350" spans="1:21">
      <c r="A4350">
        <v>4349</v>
      </c>
      <c r="B4350" s="27" t="s">
        <v>1449</v>
      </c>
      <c r="D4350" s="27" t="s">
        <v>1450</v>
      </c>
      <c r="F4350" s="27" t="s">
        <v>1453</v>
      </c>
      <c r="H4350" s="27" t="s">
        <v>1454</v>
      </c>
      <c r="M4350" s="27" t="s">
        <v>6039</v>
      </c>
      <c r="N4350" s="27" t="s">
        <v>6044</v>
      </c>
      <c r="P4350" s="27" t="s">
        <v>6047</v>
      </c>
      <c r="Q4350" s="26" t="str">
        <f>HYPERLINK("https://ictv.global/taxonomy/taxondetails?taxnode_id=202514575&amp;ictv_id=ICTV202214575","ICTV202214575")</f>
        <v>ICTV202214575</v>
      </c>
      <c r="R4350" t="s">
        <v>579</v>
      </c>
      <c r="S4350" t="s">
        <v>823</v>
      </c>
      <c r="T4350">
        <v>38</v>
      </c>
      <c r="U4350" s="26" t="str">
        <f t="shared" si="163"/>
        <v>2022.028B.Deeyouvirinae_nsf.zip</v>
      </c>
    </row>
    <row r="4351" spans="1:21">
      <c r="A4351">
        <v>4350</v>
      </c>
      <c r="B4351" s="27" t="s">
        <v>1449</v>
      </c>
      <c r="D4351" s="27" t="s">
        <v>1450</v>
      </c>
      <c r="F4351" s="27" t="s">
        <v>1453</v>
      </c>
      <c r="H4351" s="27" t="s">
        <v>1454</v>
      </c>
      <c r="M4351" s="27" t="s">
        <v>6039</v>
      </c>
      <c r="N4351" s="27" t="s">
        <v>6044</v>
      </c>
      <c r="P4351" s="27" t="s">
        <v>6048</v>
      </c>
      <c r="Q4351" s="26" t="str">
        <f>HYPERLINK("https://ictv.global/taxonomy/taxondetails?taxnode_id=202514577&amp;ictv_id=ICTV202214577","ICTV202214577")</f>
        <v>ICTV202214577</v>
      </c>
      <c r="R4351" t="s">
        <v>579</v>
      </c>
      <c r="S4351" t="s">
        <v>823</v>
      </c>
      <c r="T4351">
        <v>38</v>
      </c>
      <c r="U4351" s="26" t="str">
        <f t="shared" si="163"/>
        <v>2022.028B.Deeyouvirinae_nsf.zip</v>
      </c>
    </row>
    <row r="4352" spans="1:21">
      <c r="A4352">
        <v>4351</v>
      </c>
      <c r="B4352" s="27" t="s">
        <v>1449</v>
      </c>
      <c r="D4352" s="27" t="s">
        <v>1450</v>
      </c>
      <c r="F4352" s="27" t="s">
        <v>1453</v>
      </c>
      <c r="H4352" s="27" t="s">
        <v>1454</v>
      </c>
      <c r="M4352" s="27" t="s">
        <v>19709</v>
      </c>
      <c r="N4352" s="27" t="s">
        <v>2283</v>
      </c>
      <c r="P4352" s="27" t="s">
        <v>19710</v>
      </c>
      <c r="Q4352" s="26" t="str">
        <f>HYPERLINK("https://ictv.global/taxonomy/taxondetails?taxnode_id=202520456&amp;ictv_id=ICTV202420456","ICTV202420456")</f>
        <v>ICTV202420456</v>
      </c>
      <c r="R4352" t="s">
        <v>579</v>
      </c>
      <c r="S4352" t="s">
        <v>823</v>
      </c>
      <c r="T4352">
        <v>40</v>
      </c>
      <c r="U4352" s="26" t="str">
        <f t="shared" ref="U4352:U4368" si="164">HYPERLINK("https://ictv.global/ictv/proposals/2024.010B.Dovevirinae_1nsf_1ng_12ns.zip","2024.010B.Dovevirinae_1nsf_1ng_12ns.zip")</f>
        <v>2024.010B.Dovevirinae_1nsf_1ng_12ns.zip</v>
      </c>
    </row>
    <row r="4353" spans="1:21">
      <c r="A4353">
        <v>4352</v>
      </c>
      <c r="B4353" s="27" t="s">
        <v>1449</v>
      </c>
      <c r="D4353" s="27" t="s">
        <v>1450</v>
      </c>
      <c r="F4353" s="27" t="s">
        <v>1453</v>
      </c>
      <c r="H4353" s="27" t="s">
        <v>1454</v>
      </c>
      <c r="M4353" s="27" t="s">
        <v>19709</v>
      </c>
      <c r="N4353" s="27" t="s">
        <v>2283</v>
      </c>
      <c r="P4353" s="27" t="s">
        <v>19711</v>
      </c>
      <c r="Q4353" s="26" t="str">
        <f>HYPERLINK("https://ictv.global/taxonomy/taxondetails?taxnode_id=202520454&amp;ictv_id=ICTV202420454","ICTV202420454")</f>
        <v>ICTV202420454</v>
      </c>
      <c r="R4353" t="s">
        <v>579</v>
      </c>
      <c r="S4353" t="s">
        <v>823</v>
      </c>
      <c r="T4353">
        <v>40</v>
      </c>
      <c r="U4353" s="26" t="str">
        <f t="shared" si="164"/>
        <v>2024.010B.Dovevirinae_1nsf_1ng_12ns.zip</v>
      </c>
    </row>
    <row r="4354" spans="1:21">
      <c r="A4354">
        <v>4353</v>
      </c>
      <c r="B4354" s="27" t="s">
        <v>1449</v>
      </c>
      <c r="D4354" s="27" t="s">
        <v>1450</v>
      </c>
      <c r="F4354" s="27" t="s">
        <v>1453</v>
      </c>
      <c r="H4354" s="27" t="s">
        <v>1454</v>
      </c>
      <c r="M4354" s="27" t="s">
        <v>19709</v>
      </c>
      <c r="N4354" s="27" t="s">
        <v>2283</v>
      </c>
      <c r="P4354" s="27" t="s">
        <v>19712</v>
      </c>
      <c r="Q4354" s="26" t="str">
        <f>HYPERLINK("https://ictv.global/taxonomy/taxondetails?taxnode_id=202520457&amp;ictv_id=ICTV202420457","ICTV202420457")</f>
        <v>ICTV202420457</v>
      </c>
      <c r="R4354" t="s">
        <v>579</v>
      </c>
      <c r="S4354" t="s">
        <v>823</v>
      </c>
      <c r="T4354">
        <v>40</v>
      </c>
      <c r="U4354" s="26" t="str">
        <f t="shared" si="164"/>
        <v>2024.010B.Dovevirinae_1nsf_1ng_12ns.zip</v>
      </c>
    </row>
    <row r="4355" spans="1:21">
      <c r="A4355">
        <v>4354</v>
      </c>
      <c r="B4355" s="27" t="s">
        <v>1449</v>
      </c>
      <c r="D4355" s="27" t="s">
        <v>1450</v>
      </c>
      <c r="F4355" s="27" t="s">
        <v>1453</v>
      </c>
      <c r="H4355" s="27" t="s">
        <v>1454</v>
      </c>
      <c r="M4355" s="27" t="s">
        <v>19709</v>
      </c>
      <c r="N4355" s="27" t="s">
        <v>2283</v>
      </c>
      <c r="P4355" s="27" t="s">
        <v>19713</v>
      </c>
      <c r="Q4355" s="26" t="str">
        <f>HYPERLINK("https://ictv.global/taxonomy/taxondetails?taxnode_id=202520451&amp;ictv_id=ICTV202420451","ICTV202420451")</f>
        <v>ICTV202420451</v>
      </c>
      <c r="R4355" t="s">
        <v>579</v>
      </c>
      <c r="S4355" t="s">
        <v>823</v>
      </c>
      <c r="T4355">
        <v>40</v>
      </c>
      <c r="U4355" s="26" t="str">
        <f t="shared" si="164"/>
        <v>2024.010B.Dovevirinae_1nsf_1ng_12ns.zip</v>
      </c>
    </row>
    <row r="4356" spans="1:21">
      <c r="A4356">
        <v>4355</v>
      </c>
      <c r="B4356" s="27" t="s">
        <v>1449</v>
      </c>
      <c r="D4356" s="27" t="s">
        <v>1450</v>
      </c>
      <c r="F4356" s="27" t="s">
        <v>1453</v>
      </c>
      <c r="H4356" s="27" t="s">
        <v>1454</v>
      </c>
      <c r="M4356" s="27" t="s">
        <v>19709</v>
      </c>
      <c r="N4356" s="27" t="s">
        <v>2283</v>
      </c>
      <c r="P4356" s="27" t="s">
        <v>7296</v>
      </c>
      <c r="Q4356" s="26" t="str">
        <f>HYPERLINK("https://ictv.global/taxonomy/taxondetails?taxnode_id=202510170&amp;ictv_id=ICTV202010170","ICTV202010170")</f>
        <v>ICTV202010170</v>
      </c>
      <c r="R4356" t="s">
        <v>579</v>
      </c>
      <c r="S4356" t="s">
        <v>22763</v>
      </c>
      <c r="T4356">
        <v>40</v>
      </c>
      <c r="U4356" s="26" t="str">
        <f t="shared" si="164"/>
        <v>2024.010B.Dovevirinae_1nsf_1ng_12ns.zip</v>
      </c>
    </row>
    <row r="4357" spans="1:21">
      <c r="A4357">
        <v>4356</v>
      </c>
      <c r="B4357" s="27" t="s">
        <v>1449</v>
      </c>
      <c r="D4357" s="27" t="s">
        <v>1450</v>
      </c>
      <c r="F4357" s="27" t="s">
        <v>1453</v>
      </c>
      <c r="H4357" s="27" t="s">
        <v>1454</v>
      </c>
      <c r="M4357" s="27" t="s">
        <v>19709</v>
      </c>
      <c r="N4357" s="27" t="s">
        <v>2283</v>
      </c>
      <c r="P4357" s="27" t="s">
        <v>19714</v>
      </c>
      <c r="Q4357" s="26" t="str">
        <f>HYPERLINK("https://ictv.global/taxonomy/taxondetails?taxnode_id=202520455&amp;ictv_id=ICTV202420455","ICTV202420455")</f>
        <v>ICTV202420455</v>
      </c>
      <c r="R4357" t="s">
        <v>579</v>
      </c>
      <c r="S4357" t="s">
        <v>823</v>
      </c>
      <c r="T4357">
        <v>40</v>
      </c>
      <c r="U4357" s="26" t="str">
        <f t="shared" si="164"/>
        <v>2024.010B.Dovevirinae_1nsf_1ng_12ns.zip</v>
      </c>
    </row>
    <row r="4358" spans="1:21">
      <c r="A4358">
        <v>4357</v>
      </c>
      <c r="B4358" s="27" t="s">
        <v>1449</v>
      </c>
      <c r="D4358" s="27" t="s">
        <v>1450</v>
      </c>
      <c r="F4358" s="27" t="s">
        <v>1453</v>
      </c>
      <c r="H4358" s="27" t="s">
        <v>1454</v>
      </c>
      <c r="M4358" s="27" t="s">
        <v>19709</v>
      </c>
      <c r="N4358" s="27" t="s">
        <v>2283</v>
      </c>
      <c r="P4358" s="27" t="s">
        <v>7297</v>
      </c>
      <c r="Q4358" s="26" t="str">
        <f>HYPERLINK("https://ictv.global/taxonomy/taxondetails?taxnode_id=202510166&amp;ictv_id=ICTV202010166","ICTV202010166")</f>
        <v>ICTV202010166</v>
      </c>
      <c r="R4358" t="s">
        <v>579</v>
      </c>
      <c r="S4358" t="s">
        <v>22763</v>
      </c>
      <c r="T4358">
        <v>40</v>
      </c>
      <c r="U4358" s="26" t="str">
        <f t="shared" si="164"/>
        <v>2024.010B.Dovevirinae_1nsf_1ng_12ns.zip</v>
      </c>
    </row>
    <row r="4359" spans="1:21">
      <c r="A4359">
        <v>4358</v>
      </c>
      <c r="B4359" s="27" t="s">
        <v>1449</v>
      </c>
      <c r="D4359" s="27" t="s">
        <v>1450</v>
      </c>
      <c r="F4359" s="27" t="s">
        <v>1453</v>
      </c>
      <c r="H4359" s="27" t="s">
        <v>1454</v>
      </c>
      <c r="M4359" s="27" t="s">
        <v>19709</v>
      </c>
      <c r="N4359" s="27" t="s">
        <v>2283</v>
      </c>
      <c r="P4359" s="27" t="s">
        <v>19715</v>
      </c>
      <c r="Q4359" s="26" t="str">
        <f>HYPERLINK("https://ictv.global/taxonomy/taxondetails?taxnode_id=202520452&amp;ictv_id=ICTV202420452","ICTV202420452")</f>
        <v>ICTV202420452</v>
      </c>
      <c r="R4359" t="s">
        <v>579</v>
      </c>
      <c r="S4359" t="s">
        <v>823</v>
      </c>
      <c r="T4359">
        <v>40</v>
      </c>
      <c r="U4359" s="26" t="str">
        <f t="shared" si="164"/>
        <v>2024.010B.Dovevirinae_1nsf_1ng_12ns.zip</v>
      </c>
    </row>
    <row r="4360" spans="1:21">
      <c r="A4360">
        <v>4359</v>
      </c>
      <c r="B4360" s="27" t="s">
        <v>1449</v>
      </c>
      <c r="D4360" s="27" t="s">
        <v>1450</v>
      </c>
      <c r="F4360" s="27" t="s">
        <v>1453</v>
      </c>
      <c r="H4360" s="27" t="s">
        <v>1454</v>
      </c>
      <c r="M4360" s="27" t="s">
        <v>19709</v>
      </c>
      <c r="N4360" s="27" t="s">
        <v>2283</v>
      </c>
      <c r="P4360" s="27" t="s">
        <v>19716</v>
      </c>
      <c r="Q4360" s="26" t="str">
        <f>HYPERLINK("https://ictv.global/taxonomy/taxondetails?taxnode_id=202520459&amp;ictv_id=ICTV202420459","ICTV202420459")</f>
        <v>ICTV202420459</v>
      </c>
      <c r="R4360" t="s">
        <v>579</v>
      </c>
      <c r="S4360" t="s">
        <v>823</v>
      </c>
      <c r="T4360">
        <v>40</v>
      </c>
      <c r="U4360" s="26" t="str">
        <f t="shared" si="164"/>
        <v>2024.010B.Dovevirinae_1nsf_1ng_12ns.zip</v>
      </c>
    </row>
    <row r="4361" spans="1:21">
      <c r="A4361">
        <v>4360</v>
      </c>
      <c r="B4361" s="27" t="s">
        <v>1449</v>
      </c>
      <c r="D4361" s="27" t="s">
        <v>1450</v>
      </c>
      <c r="F4361" s="27" t="s">
        <v>1453</v>
      </c>
      <c r="H4361" s="27" t="s">
        <v>1454</v>
      </c>
      <c r="M4361" s="27" t="s">
        <v>19709</v>
      </c>
      <c r="N4361" s="27" t="s">
        <v>2283</v>
      </c>
      <c r="P4361" s="27" t="s">
        <v>19717</v>
      </c>
      <c r="Q4361" s="26" t="str">
        <f>HYPERLINK("https://ictv.global/taxonomy/taxondetails?taxnode_id=202520458&amp;ictv_id=ICTV202420458","ICTV202420458")</f>
        <v>ICTV202420458</v>
      </c>
      <c r="R4361" t="s">
        <v>579</v>
      </c>
      <c r="S4361" t="s">
        <v>823</v>
      </c>
      <c r="T4361">
        <v>40</v>
      </c>
      <c r="U4361" s="26" t="str">
        <f t="shared" si="164"/>
        <v>2024.010B.Dovevirinae_1nsf_1ng_12ns.zip</v>
      </c>
    </row>
    <row r="4362" spans="1:21">
      <c r="A4362">
        <v>4361</v>
      </c>
      <c r="B4362" s="27" t="s">
        <v>1449</v>
      </c>
      <c r="D4362" s="27" t="s">
        <v>1450</v>
      </c>
      <c r="F4362" s="27" t="s">
        <v>1453</v>
      </c>
      <c r="H4362" s="27" t="s">
        <v>1454</v>
      </c>
      <c r="M4362" s="27" t="s">
        <v>19709</v>
      </c>
      <c r="N4362" s="27" t="s">
        <v>2283</v>
      </c>
      <c r="P4362" s="27" t="s">
        <v>19718</v>
      </c>
      <c r="Q4362" s="26" t="str">
        <f>HYPERLINK("https://ictv.global/taxonomy/taxondetails?taxnode_id=202520460&amp;ictv_id=ICTV202420460","ICTV202420460")</f>
        <v>ICTV202420460</v>
      </c>
      <c r="R4362" t="s">
        <v>579</v>
      </c>
      <c r="S4362" t="s">
        <v>823</v>
      </c>
      <c r="T4362">
        <v>40</v>
      </c>
      <c r="U4362" s="26" t="str">
        <f t="shared" si="164"/>
        <v>2024.010B.Dovevirinae_1nsf_1ng_12ns.zip</v>
      </c>
    </row>
    <row r="4363" spans="1:21">
      <c r="A4363">
        <v>4362</v>
      </c>
      <c r="B4363" s="27" t="s">
        <v>1449</v>
      </c>
      <c r="D4363" s="27" t="s">
        <v>1450</v>
      </c>
      <c r="F4363" s="27" t="s">
        <v>1453</v>
      </c>
      <c r="H4363" s="27" t="s">
        <v>1454</v>
      </c>
      <c r="M4363" s="27" t="s">
        <v>19709</v>
      </c>
      <c r="N4363" s="27" t="s">
        <v>2283</v>
      </c>
      <c r="P4363" s="27" t="s">
        <v>7298</v>
      </c>
      <c r="Q4363" s="26" t="str">
        <f>HYPERLINK("https://ictv.global/taxonomy/taxondetails?taxnode_id=202510167&amp;ictv_id=ICTV202010167","ICTV202010167")</f>
        <v>ICTV202010167</v>
      </c>
      <c r="R4363" t="s">
        <v>579</v>
      </c>
      <c r="S4363" t="s">
        <v>22763</v>
      </c>
      <c r="T4363">
        <v>40</v>
      </c>
      <c r="U4363" s="26" t="str">
        <f t="shared" si="164"/>
        <v>2024.010B.Dovevirinae_1nsf_1ng_12ns.zip</v>
      </c>
    </row>
    <row r="4364" spans="1:21">
      <c r="A4364">
        <v>4363</v>
      </c>
      <c r="B4364" s="27" t="s">
        <v>1449</v>
      </c>
      <c r="D4364" s="27" t="s">
        <v>1450</v>
      </c>
      <c r="F4364" s="27" t="s">
        <v>1453</v>
      </c>
      <c r="H4364" s="27" t="s">
        <v>1454</v>
      </c>
      <c r="M4364" s="27" t="s">
        <v>19709</v>
      </c>
      <c r="N4364" s="27" t="s">
        <v>2283</v>
      </c>
      <c r="P4364" s="27" t="s">
        <v>7299</v>
      </c>
      <c r="Q4364" s="26" t="str">
        <f>HYPERLINK("https://ictv.global/taxonomy/taxondetails?taxnode_id=202510168&amp;ictv_id=ICTV202010168","ICTV202010168")</f>
        <v>ICTV202010168</v>
      </c>
      <c r="R4364" t="s">
        <v>579</v>
      </c>
      <c r="S4364" t="s">
        <v>22763</v>
      </c>
      <c r="T4364">
        <v>40</v>
      </c>
      <c r="U4364" s="26" t="str">
        <f t="shared" si="164"/>
        <v>2024.010B.Dovevirinae_1nsf_1ng_12ns.zip</v>
      </c>
    </row>
    <row r="4365" spans="1:21">
      <c r="A4365">
        <v>4364</v>
      </c>
      <c r="B4365" s="27" t="s">
        <v>1449</v>
      </c>
      <c r="D4365" s="27" t="s">
        <v>1450</v>
      </c>
      <c r="F4365" s="27" t="s">
        <v>1453</v>
      </c>
      <c r="H4365" s="27" t="s">
        <v>1454</v>
      </c>
      <c r="M4365" s="27" t="s">
        <v>19709</v>
      </c>
      <c r="N4365" s="27" t="s">
        <v>2283</v>
      </c>
      <c r="P4365" s="27" t="s">
        <v>19719</v>
      </c>
      <c r="Q4365" s="26" t="str">
        <f>HYPERLINK("https://ictv.global/taxonomy/taxondetails?taxnode_id=202520450&amp;ictv_id=ICTV202420450","ICTV202420450")</f>
        <v>ICTV202420450</v>
      </c>
      <c r="R4365" t="s">
        <v>579</v>
      </c>
      <c r="S4365" t="s">
        <v>823</v>
      </c>
      <c r="T4365">
        <v>40</v>
      </c>
      <c r="U4365" s="26" t="str">
        <f t="shared" si="164"/>
        <v>2024.010B.Dovevirinae_1nsf_1ng_12ns.zip</v>
      </c>
    </row>
    <row r="4366" spans="1:21">
      <c r="A4366">
        <v>4365</v>
      </c>
      <c r="B4366" s="27" t="s">
        <v>1449</v>
      </c>
      <c r="D4366" s="27" t="s">
        <v>1450</v>
      </c>
      <c r="F4366" s="27" t="s">
        <v>1453</v>
      </c>
      <c r="H4366" s="27" t="s">
        <v>1454</v>
      </c>
      <c r="M4366" s="27" t="s">
        <v>19709</v>
      </c>
      <c r="N4366" s="27" t="s">
        <v>2283</v>
      </c>
      <c r="P4366" s="27" t="s">
        <v>7300</v>
      </c>
      <c r="Q4366" s="26" t="str">
        <f>HYPERLINK("https://ictv.global/taxonomy/taxondetails?taxnode_id=202510169&amp;ictv_id=ICTV202010169","ICTV202010169")</f>
        <v>ICTV202010169</v>
      </c>
      <c r="R4366" t="s">
        <v>579</v>
      </c>
      <c r="S4366" t="s">
        <v>22763</v>
      </c>
      <c r="T4366">
        <v>40</v>
      </c>
      <c r="U4366" s="26" t="str">
        <f t="shared" si="164"/>
        <v>2024.010B.Dovevirinae_1nsf_1ng_12ns.zip</v>
      </c>
    </row>
    <row r="4367" spans="1:21">
      <c r="A4367">
        <v>4366</v>
      </c>
      <c r="B4367" s="27" t="s">
        <v>1449</v>
      </c>
      <c r="D4367" s="27" t="s">
        <v>1450</v>
      </c>
      <c r="F4367" s="27" t="s">
        <v>1453</v>
      </c>
      <c r="H4367" s="27" t="s">
        <v>1454</v>
      </c>
      <c r="M4367" s="27" t="s">
        <v>19709</v>
      </c>
      <c r="N4367" s="27" t="s">
        <v>2283</v>
      </c>
      <c r="P4367" s="27" t="s">
        <v>19720</v>
      </c>
      <c r="Q4367" s="26" t="str">
        <f>HYPERLINK("https://ictv.global/taxonomy/taxondetails?taxnode_id=202520453&amp;ictv_id=ICTV202420453","ICTV202420453")</f>
        <v>ICTV202420453</v>
      </c>
      <c r="R4367" t="s">
        <v>579</v>
      </c>
      <c r="S4367" t="s">
        <v>823</v>
      </c>
      <c r="T4367">
        <v>40</v>
      </c>
      <c r="U4367" s="26" t="str">
        <f t="shared" si="164"/>
        <v>2024.010B.Dovevirinae_1nsf_1ng_12ns.zip</v>
      </c>
    </row>
    <row r="4368" spans="1:21">
      <c r="A4368">
        <v>4367</v>
      </c>
      <c r="B4368" s="27" t="s">
        <v>1449</v>
      </c>
      <c r="D4368" s="27" t="s">
        <v>1450</v>
      </c>
      <c r="F4368" s="27" t="s">
        <v>1453</v>
      </c>
      <c r="H4368" s="27" t="s">
        <v>1454</v>
      </c>
      <c r="M4368" s="27" t="s">
        <v>19709</v>
      </c>
      <c r="N4368" s="27" t="s">
        <v>19721</v>
      </c>
      <c r="P4368" s="27" t="s">
        <v>19722</v>
      </c>
      <c r="Q4368" s="26" t="str">
        <f>HYPERLINK("https://ictv.global/taxonomy/taxondetails?taxnode_id=202520449&amp;ictv_id=ICTV202420449","ICTV202420449")</f>
        <v>ICTV202420449</v>
      </c>
      <c r="R4368" t="s">
        <v>579</v>
      </c>
      <c r="S4368" t="s">
        <v>823</v>
      </c>
      <c r="T4368">
        <v>40</v>
      </c>
      <c r="U4368" s="26" t="str">
        <f t="shared" si="164"/>
        <v>2024.010B.Dovevirinae_1nsf_1ng_12ns.zip</v>
      </c>
    </row>
    <row r="4369" spans="1:21">
      <c r="A4369">
        <v>4368</v>
      </c>
      <c r="B4369" s="27" t="s">
        <v>1449</v>
      </c>
      <c r="D4369" s="27" t="s">
        <v>1450</v>
      </c>
      <c r="F4369" s="27" t="s">
        <v>1453</v>
      </c>
      <c r="H4369" s="27" t="s">
        <v>1454</v>
      </c>
      <c r="M4369" s="27" t="s">
        <v>21839</v>
      </c>
      <c r="N4369" s="27" t="s">
        <v>21840</v>
      </c>
      <c r="P4369" s="27" t="s">
        <v>21841</v>
      </c>
      <c r="Q4369" s="26" t="str">
        <f>HYPERLINK("https://ictv.global/taxonomy/taxondetails?taxnode_id=202522662&amp;ictv_id=ICTV202522662","ICTV202522662")</f>
        <v>ICTV202522662</v>
      </c>
      <c r="R4369" t="s">
        <v>579</v>
      </c>
      <c r="S4369" t="s">
        <v>823</v>
      </c>
      <c r="T4369">
        <v>41</v>
      </c>
      <c r="U4369" s="26" t="str">
        <f>HYPERLINK("https://ictv.global/ictv/proposals/2025.014B.Dravavirinae_1nsf_3ng_5ns.zip","2025.014B.Dravavirinae_1nsf_3ng_5ns.zip")</f>
        <v>2025.014B.Dravavirinae_1nsf_3ng_5ns.zip</v>
      </c>
    </row>
    <row r="4370" spans="1:21">
      <c r="A4370">
        <v>4369</v>
      </c>
      <c r="B4370" s="27" t="s">
        <v>1449</v>
      </c>
      <c r="D4370" s="27" t="s">
        <v>1450</v>
      </c>
      <c r="F4370" s="27" t="s">
        <v>1453</v>
      </c>
      <c r="H4370" s="27" t="s">
        <v>1454</v>
      </c>
      <c r="M4370" s="27" t="s">
        <v>21839</v>
      </c>
      <c r="N4370" s="27" t="s">
        <v>21844</v>
      </c>
      <c r="P4370" s="27" t="s">
        <v>21847</v>
      </c>
      <c r="Q4370" s="26" t="str">
        <f>HYPERLINK("https://ictv.global/taxonomy/taxondetails?taxnode_id=202522666&amp;ictv_id=ICTV202522666","ICTV202522666")</f>
        <v>ICTV202522666</v>
      </c>
      <c r="R4370" t="s">
        <v>579</v>
      </c>
      <c r="S4370" t="s">
        <v>823</v>
      </c>
      <c r="T4370">
        <v>41</v>
      </c>
      <c r="U4370" s="26" t="str">
        <f>HYPERLINK("https://ictv.global/ictv/proposals/2025.014B.Dravavirinae_1nsf_3ng_5ns.zip","2025.014B.Dravavirinae_1nsf_3ng_5ns.zip")</f>
        <v>2025.014B.Dravavirinae_1nsf_3ng_5ns.zip</v>
      </c>
    </row>
    <row r="4371" spans="1:21">
      <c r="A4371">
        <v>4370</v>
      </c>
      <c r="B4371" s="27" t="s">
        <v>1449</v>
      </c>
      <c r="D4371" s="27" t="s">
        <v>1450</v>
      </c>
      <c r="F4371" s="27" t="s">
        <v>1453</v>
      </c>
      <c r="H4371" s="27" t="s">
        <v>1454</v>
      </c>
      <c r="M4371" s="27" t="s">
        <v>21839</v>
      </c>
      <c r="N4371" s="27" t="s">
        <v>21844</v>
      </c>
      <c r="P4371" s="27" t="s">
        <v>21845</v>
      </c>
      <c r="Q4371" s="26" t="str">
        <f>HYPERLINK("https://ictv.global/taxonomy/taxondetails?taxnode_id=202522664&amp;ictv_id=ICTV202522664","ICTV202522664")</f>
        <v>ICTV202522664</v>
      </c>
      <c r="R4371" t="s">
        <v>579</v>
      </c>
      <c r="S4371" t="s">
        <v>823</v>
      </c>
      <c r="T4371">
        <v>41</v>
      </c>
      <c r="U4371" s="26" t="str">
        <f>HYPERLINK("https://ictv.global/ictv/proposals/2025.014B.Dravavirinae_1nsf_3ng_5ns.zip","2025.014B.Dravavirinae_1nsf_3ng_5ns.zip")</f>
        <v>2025.014B.Dravavirinae_1nsf_3ng_5ns.zip</v>
      </c>
    </row>
    <row r="4372" spans="1:21">
      <c r="A4372">
        <v>4371</v>
      </c>
      <c r="B4372" s="27" t="s">
        <v>1449</v>
      </c>
      <c r="D4372" s="27" t="s">
        <v>1450</v>
      </c>
      <c r="F4372" s="27" t="s">
        <v>1453</v>
      </c>
      <c r="H4372" s="27" t="s">
        <v>1454</v>
      </c>
      <c r="M4372" s="27" t="s">
        <v>21839</v>
      </c>
      <c r="N4372" s="27" t="s">
        <v>21844</v>
      </c>
      <c r="P4372" s="27" t="s">
        <v>21846</v>
      </c>
      <c r="Q4372" s="26" t="str">
        <f>HYPERLINK("https://ictv.global/taxonomy/taxondetails?taxnode_id=202522665&amp;ictv_id=ICTV202522665","ICTV202522665")</f>
        <v>ICTV202522665</v>
      </c>
      <c r="R4372" t="s">
        <v>579</v>
      </c>
      <c r="S4372" t="s">
        <v>823</v>
      </c>
      <c r="T4372">
        <v>41</v>
      </c>
      <c r="U4372" s="26" t="str">
        <f>HYPERLINK("https://ictv.global/ictv/proposals/2025.014B.Dravavirinae_1nsf_3ng_5ns.zip","2025.014B.Dravavirinae_1nsf_3ng_5ns.zip")</f>
        <v>2025.014B.Dravavirinae_1nsf_3ng_5ns.zip</v>
      </c>
    </row>
    <row r="4373" spans="1:21">
      <c r="A4373">
        <v>4372</v>
      </c>
      <c r="B4373" s="27" t="s">
        <v>1449</v>
      </c>
      <c r="D4373" s="27" t="s">
        <v>1450</v>
      </c>
      <c r="F4373" s="27" t="s">
        <v>1453</v>
      </c>
      <c r="H4373" s="27" t="s">
        <v>1454</v>
      </c>
      <c r="M4373" s="27" t="s">
        <v>21839</v>
      </c>
      <c r="N4373" s="27" t="s">
        <v>21842</v>
      </c>
      <c r="P4373" s="27" t="s">
        <v>21843</v>
      </c>
      <c r="Q4373" s="26" t="str">
        <f>HYPERLINK("https://ictv.global/taxonomy/taxondetails?taxnode_id=202522663&amp;ictv_id=ICTV202522663","ICTV202522663")</f>
        <v>ICTV202522663</v>
      </c>
      <c r="R4373" t="s">
        <v>579</v>
      </c>
      <c r="S4373" t="s">
        <v>823</v>
      </c>
      <c r="T4373">
        <v>41</v>
      </c>
      <c r="U4373" s="26" t="str">
        <f>HYPERLINK("https://ictv.global/ictv/proposals/2025.014B.Dravavirinae_1nsf_3ng_5ns.zip","2025.014B.Dravavirinae_1nsf_3ng_5ns.zip")</f>
        <v>2025.014B.Dravavirinae_1nsf_3ng_5ns.zip</v>
      </c>
    </row>
    <row r="4374" spans="1:21">
      <c r="A4374">
        <v>4373</v>
      </c>
      <c r="B4374" s="27" t="s">
        <v>1449</v>
      </c>
      <c r="D4374" s="27" t="s">
        <v>1450</v>
      </c>
      <c r="F4374" s="27" t="s">
        <v>1453</v>
      </c>
      <c r="H4374" s="27" t="s">
        <v>1454</v>
      </c>
      <c r="M4374" s="27" t="s">
        <v>21851</v>
      </c>
      <c r="N4374" s="27" t="s">
        <v>21861</v>
      </c>
      <c r="P4374" s="27" t="s">
        <v>21862</v>
      </c>
      <c r="Q4374" s="26" t="str">
        <f>HYPERLINK("https://ictv.global/taxonomy/taxondetails?taxnode_id=202522676&amp;ictv_id=ICTV202522676","ICTV202522676")</f>
        <v>ICTV202522676</v>
      </c>
      <c r="R4374" t="s">
        <v>579</v>
      </c>
      <c r="S4374" t="s">
        <v>823</v>
      </c>
      <c r="T4374">
        <v>41</v>
      </c>
      <c r="U4374" s="26" t="str">
        <f t="shared" ref="U4374:U4382" si="165">HYPERLINK("https://ictv.global/ictv/proposals/2025.016B.Durvirinae_1nsf_5ng_9ns.zip","2025.016B.Durvirinae_1nsf_5ng_9ns.zip")</f>
        <v>2025.016B.Durvirinae_1nsf_5ng_9ns.zip</v>
      </c>
    </row>
    <row r="4375" spans="1:21">
      <c r="A4375">
        <v>4374</v>
      </c>
      <c r="B4375" s="27" t="s">
        <v>1449</v>
      </c>
      <c r="D4375" s="27" t="s">
        <v>1450</v>
      </c>
      <c r="F4375" s="27" t="s">
        <v>1453</v>
      </c>
      <c r="H4375" s="27" t="s">
        <v>1454</v>
      </c>
      <c r="M4375" s="27" t="s">
        <v>21851</v>
      </c>
      <c r="N4375" s="27" t="s">
        <v>21861</v>
      </c>
      <c r="P4375" s="27" t="s">
        <v>21863</v>
      </c>
      <c r="Q4375" s="26" t="str">
        <f>HYPERLINK("https://ictv.global/taxonomy/taxondetails?taxnode_id=202522677&amp;ictv_id=ICTV202522677","ICTV202522677")</f>
        <v>ICTV202522677</v>
      </c>
      <c r="R4375" t="s">
        <v>579</v>
      </c>
      <c r="S4375" t="s">
        <v>823</v>
      </c>
      <c r="T4375">
        <v>41</v>
      </c>
      <c r="U4375" s="26" t="str">
        <f t="shared" si="165"/>
        <v>2025.016B.Durvirinae_1nsf_5ng_9ns.zip</v>
      </c>
    </row>
    <row r="4376" spans="1:21">
      <c r="A4376">
        <v>4375</v>
      </c>
      <c r="B4376" s="27" t="s">
        <v>1449</v>
      </c>
      <c r="D4376" s="27" t="s">
        <v>1450</v>
      </c>
      <c r="F4376" s="27" t="s">
        <v>1453</v>
      </c>
      <c r="H4376" s="27" t="s">
        <v>1454</v>
      </c>
      <c r="M4376" s="27" t="s">
        <v>21851</v>
      </c>
      <c r="N4376" s="27" t="s">
        <v>21864</v>
      </c>
      <c r="P4376" s="27" t="s">
        <v>21865</v>
      </c>
      <c r="Q4376" s="26" t="str">
        <f>HYPERLINK("https://ictv.global/taxonomy/taxondetails?taxnode_id=202522678&amp;ictv_id=ICTV202522678","ICTV202522678")</f>
        <v>ICTV202522678</v>
      </c>
      <c r="R4376" t="s">
        <v>579</v>
      </c>
      <c r="S4376" t="s">
        <v>823</v>
      </c>
      <c r="T4376">
        <v>41</v>
      </c>
      <c r="U4376" s="26" t="str">
        <f t="shared" si="165"/>
        <v>2025.016B.Durvirinae_1nsf_5ng_9ns.zip</v>
      </c>
    </row>
    <row r="4377" spans="1:21">
      <c r="A4377">
        <v>4376</v>
      </c>
      <c r="B4377" s="27" t="s">
        <v>1449</v>
      </c>
      <c r="D4377" s="27" t="s">
        <v>1450</v>
      </c>
      <c r="F4377" s="27" t="s">
        <v>1453</v>
      </c>
      <c r="H4377" s="27" t="s">
        <v>1454</v>
      </c>
      <c r="M4377" s="27" t="s">
        <v>21851</v>
      </c>
      <c r="N4377" s="27" t="s">
        <v>21852</v>
      </c>
      <c r="P4377" s="27" t="s">
        <v>21853</v>
      </c>
      <c r="Q4377" s="26" t="str">
        <f>HYPERLINK("https://ictv.global/taxonomy/taxondetails?taxnode_id=202522670&amp;ictv_id=ICTV202522670","ICTV202522670")</f>
        <v>ICTV202522670</v>
      </c>
      <c r="R4377" t="s">
        <v>579</v>
      </c>
      <c r="S4377" t="s">
        <v>823</v>
      </c>
      <c r="T4377">
        <v>41</v>
      </c>
      <c r="U4377" s="26" t="str">
        <f t="shared" si="165"/>
        <v>2025.016B.Durvirinae_1nsf_5ng_9ns.zip</v>
      </c>
    </row>
    <row r="4378" spans="1:21">
      <c r="A4378">
        <v>4377</v>
      </c>
      <c r="B4378" s="27" t="s">
        <v>1449</v>
      </c>
      <c r="D4378" s="27" t="s">
        <v>1450</v>
      </c>
      <c r="F4378" s="27" t="s">
        <v>1453</v>
      </c>
      <c r="H4378" s="27" t="s">
        <v>1454</v>
      </c>
      <c r="M4378" s="27" t="s">
        <v>21851</v>
      </c>
      <c r="N4378" s="27" t="s">
        <v>21852</v>
      </c>
      <c r="P4378" s="27" t="s">
        <v>21854</v>
      </c>
      <c r="Q4378" s="26" t="str">
        <f>HYPERLINK("https://ictv.global/taxonomy/taxondetails?taxnode_id=202522671&amp;ictv_id=ICTV202522671","ICTV202522671")</f>
        <v>ICTV202522671</v>
      </c>
      <c r="R4378" t="s">
        <v>579</v>
      </c>
      <c r="S4378" t="s">
        <v>823</v>
      </c>
      <c r="T4378">
        <v>41</v>
      </c>
      <c r="U4378" s="26" t="str">
        <f t="shared" si="165"/>
        <v>2025.016B.Durvirinae_1nsf_5ng_9ns.zip</v>
      </c>
    </row>
    <row r="4379" spans="1:21">
      <c r="A4379">
        <v>4378</v>
      </c>
      <c r="B4379" s="27" t="s">
        <v>1449</v>
      </c>
      <c r="D4379" s="27" t="s">
        <v>1450</v>
      </c>
      <c r="F4379" s="27" t="s">
        <v>1453</v>
      </c>
      <c r="H4379" s="27" t="s">
        <v>1454</v>
      </c>
      <c r="M4379" s="27" t="s">
        <v>21851</v>
      </c>
      <c r="N4379" s="27" t="s">
        <v>21855</v>
      </c>
      <c r="P4379" s="27" t="s">
        <v>21857</v>
      </c>
      <c r="Q4379" s="26" t="str">
        <f>HYPERLINK("https://ictv.global/taxonomy/taxondetails?taxnode_id=202522673&amp;ictv_id=ICTV202522673","ICTV202522673")</f>
        <v>ICTV202522673</v>
      </c>
      <c r="R4379" t="s">
        <v>579</v>
      </c>
      <c r="S4379" t="s">
        <v>823</v>
      </c>
      <c r="T4379">
        <v>41</v>
      </c>
      <c r="U4379" s="26" t="str">
        <f t="shared" si="165"/>
        <v>2025.016B.Durvirinae_1nsf_5ng_9ns.zip</v>
      </c>
    </row>
    <row r="4380" spans="1:21">
      <c r="A4380">
        <v>4379</v>
      </c>
      <c r="B4380" s="27" t="s">
        <v>1449</v>
      </c>
      <c r="D4380" s="27" t="s">
        <v>1450</v>
      </c>
      <c r="F4380" s="27" t="s">
        <v>1453</v>
      </c>
      <c r="H4380" s="27" t="s">
        <v>1454</v>
      </c>
      <c r="M4380" s="27" t="s">
        <v>21851</v>
      </c>
      <c r="N4380" s="27" t="s">
        <v>21855</v>
      </c>
      <c r="P4380" s="27" t="s">
        <v>21858</v>
      </c>
      <c r="Q4380" s="26" t="str">
        <f>HYPERLINK("https://ictv.global/taxonomy/taxondetails?taxnode_id=202522674&amp;ictv_id=ICTV202522674","ICTV202522674")</f>
        <v>ICTV202522674</v>
      </c>
      <c r="R4380" t="s">
        <v>579</v>
      </c>
      <c r="S4380" t="s">
        <v>823</v>
      </c>
      <c r="T4380">
        <v>41</v>
      </c>
      <c r="U4380" s="26" t="str">
        <f t="shared" si="165"/>
        <v>2025.016B.Durvirinae_1nsf_5ng_9ns.zip</v>
      </c>
    </row>
    <row r="4381" spans="1:21">
      <c r="A4381">
        <v>4380</v>
      </c>
      <c r="B4381" s="27" t="s">
        <v>1449</v>
      </c>
      <c r="D4381" s="27" t="s">
        <v>1450</v>
      </c>
      <c r="F4381" s="27" t="s">
        <v>1453</v>
      </c>
      <c r="H4381" s="27" t="s">
        <v>1454</v>
      </c>
      <c r="M4381" s="27" t="s">
        <v>21851</v>
      </c>
      <c r="N4381" s="27" t="s">
        <v>21855</v>
      </c>
      <c r="P4381" s="27" t="s">
        <v>21856</v>
      </c>
      <c r="Q4381" s="26" t="str">
        <f>HYPERLINK("https://ictv.global/taxonomy/taxondetails?taxnode_id=202522672&amp;ictv_id=ICTV202522672","ICTV202522672")</f>
        <v>ICTV202522672</v>
      </c>
      <c r="R4381" t="s">
        <v>579</v>
      </c>
      <c r="S4381" t="s">
        <v>823</v>
      </c>
      <c r="T4381">
        <v>41</v>
      </c>
      <c r="U4381" s="26" t="str">
        <f t="shared" si="165"/>
        <v>2025.016B.Durvirinae_1nsf_5ng_9ns.zip</v>
      </c>
    </row>
    <row r="4382" spans="1:21">
      <c r="A4382">
        <v>4381</v>
      </c>
      <c r="B4382" s="27" t="s">
        <v>1449</v>
      </c>
      <c r="D4382" s="27" t="s">
        <v>1450</v>
      </c>
      <c r="F4382" s="27" t="s">
        <v>1453</v>
      </c>
      <c r="H4382" s="27" t="s">
        <v>1454</v>
      </c>
      <c r="M4382" s="27" t="s">
        <v>21851</v>
      </c>
      <c r="N4382" s="27" t="s">
        <v>21859</v>
      </c>
      <c r="P4382" s="27" t="s">
        <v>21860</v>
      </c>
      <c r="Q4382" s="26" t="str">
        <f>HYPERLINK("https://ictv.global/taxonomy/taxondetails?taxnode_id=202522675&amp;ictv_id=ICTV202522675","ICTV202522675")</f>
        <v>ICTV202522675</v>
      </c>
      <c r="R4382" t="s">
        <v>579</v>
      </c>
      <c r="S4382" t="s">
        <v>823</v>
      </c>
      <c r="T4382">
        <v>41</v>
      </c>
      <c r="U4382" s="26" t="str">
        <f t="shared" si="165"/>
        <v>2025.016B.Durvirinae_1nsf_5ng_9ns.zip</v>
      </c>
    </row>
    <row r="4383" spans="1:21">
      <c r="A4383">
        <v>4382</v>
      </c>
      <c r="B4383" s="27" t="s">
        <v>1449</v>
      </c>
      <c r="D4383" s="27" t="s">
        <v>1450</v>
      </c>
      <c r="F4383" s="27" t="s">
        <v>1453</v>
      </c>
      <c r="H4383" s="27" t="s">
        <v>1454</v>
      </c>
      <c r="M4383" s="27" t="s">
        <v>2132</v>
      </c>
      <c r="N4383" s="27" t="s">
        <v>2133</v>
      </c>
      <c r="P4383" s="27" t="s">
        <v>6057</v>
      </c>
      <c r="Q4383" s="26" t="str">
        <f>HYPERLINK("https://ictv.global/taxonomy/taxondetails?taxnode_id=202509985&amp;ictv_id=ICTV202009985","ICTV202009985")</f>
        <v>ICTV202009985</v>
      </c>
      <c r="R4383" t="s">
        <v>579</v>
      </c>
      <c r="S4383" t="s">
        <v>824</v>
      </c>
      <c r="T4383">
        <v>37</v>
      </c>
      <c r="U4383" s="26" t="str">
        <f>HYPERLINK("https://ictv.global/ictv/proposals/2021.010B.R.Binomial_names.zip","2021.010B.R.Binomial_names.zip")</f>
        <v>2021.010B.R.Binomial_names.zip</v>
      </c>
    </row>
    <row r="4384" spans="1:21">
      <c r="A4384">
        <v>4383</v>
      </c>
      <c r="B4384" s="27" t="s">
        <v>1449</v>
      </c>
      <c r="D4384" s="27" t="s">
        <v>1450</v>
      </c>
      <c r="F4384" s="27" t="s">
        <v>1453</v>
      </c>
      <c r="H4384" s="27" t="s">
        <v>1454</v>
      </c>
      <c r="M4384" s="27" t="s">
        <v>2132</v>
      </c>
      <c r="N4384" s="27" t="s">
        <v>2133</v>
      </c>
      <c r="P4384" s="27" t="s">
        <v>6058</v>
      </c>
      <c r="Q4384" s="26" t="str">
        <f>HYPERLINK("https://ictv.global/taxonomy/taxondetails?taxnode_id=202509986&amp;ictv_id=ICTV202009986","ICTV202009986")</f>
        <v>ICTV202009986</v>
      </c>
      <c r="R4384" t="s">
        <v>579</v>
      </c>
      <c r="S4384" t="s">
        <v>824</v>
      </c>
      <c r="T4384">
        <v>37</v>
      </c>
      <c r="U4384" s="26" t="str">
        <f>HYPERLINK("https://ictv.global/ictv/proposals/2021.010B.R.Binomial_names.zip","2021.010B.R.Binomial_names.zip")</f>
        <v>2021.010B.R.Binomial_names.zip</v>
      </c>
    </row>
    <row r="4385" spans="1:21">
      <c r="A4385">
        <v>4384</v>
      </c>
      <c r="B4385" s="27" t="s">
        <v>1449</v>
      </c>
      <c r="D4385" s="27" t="s">
        <v>1450</v>
      </c>
      <c r="F4385" s="27" t="s">
        <v>1453</v>
      </c>
      <c r="H4385" s="27" t="s">
        <v>1454</v>
      </c>
      <c r="M4385" s="27" t="s">
        <v>2132</v>
      </c>
      <c r="N4385" s="27" t="s">
        <v>2134</v>
      </c>
      <c r="P4385" s="27" t="s">
        <v>6059</v>
      </c>
      <c r="Q4385" s="26" t="str">
        <f>HYPERLINK("https://ictv.global/taxonomy/taxondetails?taxnode_id=202509989&amp;ictv_id=ICTV202009989","ICTV202009989")</f>
        <v>ICTV202009989</v>
      </c>
      <c r="R4385" t="s">
        <v>579</v>
      </c>
      <c r="S4385" t="s">
        <v>824</v>
      </c>
      <c r="T4385">
        <v>37</v>
      </c>
      <c r="U4385" s="26" t="str">
        <f>HYPERLINK("https://ictv.global/ictv/proposals/2021.010B.R.Binomial_names.zip","2021.010B.R.Binomial_names.zip")</f>
        <v>2021.010B.R.Binomial_names.zip</v>
      </c>
    </row>
    <row r="4386" spans="1:21">
      <c r="A4386">
        <v>4385</v>
      </c>
      <c r="B4386" s="27" t="s">
        <v>1449</v>
      </c>
      <c r="D4386" s="27" t="s">
        <v>1450</v>
      </c>
      <c r="F4386" s="27" t="s">
        <v>1453</v>
      </c>
      <c r="H4386" s="27" t="s">
        <v>1454</v>
      </c>
      <c r="M4386" s="27" t="s">
        <v>2132</v>
      </c>
      <c r="N4386" s="27" t="s">
        <v>2134</v>
      </c>
      <c r="P4386" s="27" t="s">
        <v>6060</v>
      </c>
      <c r="Q4386" s="26" t="str">
        <f>HYPERLINK("https://ictv.global/taxonomy/taxondetails?taxnode_id=202509988&amp;ictv_id=ICTV202009988","ICTV202009988")</f>
        <v>ICTV202009988</v>
      </c>
      <c r="R4386" t="s">
        <v>579</v>
      </c>
      <c r="S4386" t="s">
        <v>824</v>
      </c>
      <c r="T4386">
        <v>37</v>
      </c>
      <c r="U4386" s="26" t="str">
        <f>HYPERLINK("https://ictv.global/ictv/proposals/2021.010B.R.Binomial_names.zip","2021.010B.R.Binomial_names.zip")</f>
        <v>2021.010B.R.Binomial_names.zip</v>
      </c>
    </row>
    <row r="4387" spans="1:21">
      <c r="A4387">
        <v>4386</v>
      </c>
      <c r="B4387" s="27" t="s">
        <v>1449</v>
      </c>
      <c r="D4387" s="27" t="s">
        <v>1450</v>
      </c>
      <c r="F4387" s="27" t="s">
        <v>1453</v>
      </c>
      <c r="H4387" s="27" t="s">
        <v>1454</v>
      </c>
      <c r="M4387" s="27" t="s">
        <v>11749</v>
      </c>
      <c r="N4387" s="27" t="s">
        <v>11750</v>
      </c>
      <c r="P4387" s="27" t="s">
        <v>11751</v>
      </c>
      <c r="Q4387" s="26" t="str">
        <f>HYPERLINK("https://ictv.global/taxonomy/taxondetails?taxnode_id=202517741&amp;ictv_id=ICTV202317741","ICTV202317741")</f>
        <v>ICTV202317741</v>
      </c>
      <c r="R4387" t="s">
        <v>579</v>
      </c>
      <c r="S4387" t="s">
        <v>823</v>
      </c>
      <c r="T4387">
        <v>39</v>
      </c>
      <c r="U4387" s="26" t="str">
        <f>HYPERLINK("https://ictv.global/ictv/proposals/2023.002B.Actinobacteriophage_Database_Cluster_FE_1nsf_5ng.zip","2023.002B.Actinobacteriophage_Database_Cluster_FE_1nsf_5ng.zip")</f>
        <v>2023.002B.Actinobacteriophage_Database_Cluster_FE_1nsf_5ng.zip</v>
      </c>
    </row>
    <row r="4388" spans="1:21">
      <c r="A4388">
        <v>4387</v>
      </c>
      <c r="B4388" s="27" t="s">
        <v>1449</v>
      </c>
      <c r="D4388" s="27" t="s">
        <v>1450</v>
      </c>
      <c r="F4388" s="27" t="s">
        <v>1453</v>
      </c>
      <c r="H4388" s="27" t="s">
        <v>1454</v>
      </c>
      <c r="M4388" s="27" t="s">
        <v>11749</v>
      </c>
      <c r="N4388" s="27" t="s">
        <v>11752</v>
      </c>
      <c r="P4388" s="27" t="s">
        <v>11753</v>
      </c>
      <c r="Q4388" s="26" t="str">
        <f>HYPERLINK("https://ictv.global/taxonomy/taxondetails?taxnode_id=202517742&amp;ictv_id=ICTV202317742","ICTV202317742")</f>
        <v>ICTV202317742</v>
      </c>
      <c r="R4388" t="s">
        <v>579</v>
      </c>
      <c r="S4388" t="s">
        <v>823</v>
      </c>
      <c r="T4388">
        <v>39</v>
      </c>
      <c r="U4388" s="26" t="str">
        <f>HYPERLINK("https://ictv.global/ictv/proposals/2023.002B.Actinobacteriophage_Database_Cluster_FE_1nsf_5ng.zip","2023.002B.Actinobacteriophage_Database_Cluster_FE_1nsf_5ng.zip")</f>
        <v>2023.002B.Actinobacteriophage_Database_Cluster_FE_1nsf_5ng.zip</v>
      </c>
    </row>
    <row r="4389" spans="1:21">
      <c r="A4389">
        <v>4388</v>
      </c>
      <c r="B4389" s="27" t="s">
        <v>1449</v>
      </c>
      <c r="D4389" s="27" t="s">
        <v>1450</v>
      </c>
      <c r="F4389" s="27" t="s">
        <v>1453</v>
      </c>
      <c r="H4389" s="27" t="s">
        <v>1454</v>
      </c>
      <c r="M4389" s="27" t="s">
        <v>11749</v>
      </c>
      <c r="N4389" s="27" t="s">
        <v>11754</v>
      </c>
      <c r="P4389" s="27" t="s">
        <v>11755</v>
      </c>
      <c r="Q4389" s="26" t="str">
        <f>HYPERLINK("https://ictv.global/taxonomy/taxondetails?taxnode_id=202517740&amp;ictv_id=ICTV202317740","ICTV202317740")</f>
        <v>ICTV202317740</v>
      </c>
      <c r="R4389" t="s">
        <v>579</v>
      </c>
      <c r="S4389" t="s">
        <v>823</v>
      </c>
      <c r="T4389">
        <v>39</v>
      </c>
      <c r="U4389" s="26" t="str">
        <f>HYPERLINK("https://ictv.global/ictv/proposals/2023.002B.Actinobacteriophage_Database_Cluster_FE_1nsf_5ng.zip","2023.002B.Actinobacteriophage_Database_Cluster_FE_1nsf_5ng.zip")</f>
        <v>2023.002B.Actinobacteriophage_Database_Cluster_FE_1nsf_5ng.zip</v>
      </c>
    </row>
    <row r="4390" spans="1:21">
      <c r="A4390">
        <v>4389</v>
      </c>
      <c r="B4390" s="27" t="s">
        <v>1449</v>
      </c>
      <c r="D4390" s="27" t="s">
        <v>1450</v>
      </c>
      <c r="F4390" s="27" t="s">
        <v>1453</v>
      </c>
      <c r="H4390" s="27" t="s">
        <v>1454</v>
      </c>
      <c r="M4390" s="27" t="s">
        <v>19723</v>
      </c>
      <c r="N4390" s="27" t="s">
        <v>19724</v>
      </c>
      <c r="P4390" s="27" t="s">
        <v>19725</v>
      </c>
      <c r="Q4390" s="26" t="str">
        <f>HYPERLINK("https://ictv.global/taxonomy/taxondetails?taxnode_id=202520544&amp;ictv_id=ICTV202420544","ICTV202420544")</f>
        <v>ICTV202420544</v>
      </c>
      <c r="R4390" t="s">
        <v>579</v>
      </c>
      <c r="S4390" t="s">
        <v>823</v>
      </c>
      <c r="T4390">
        <v>40</v>
      </c>
      <c r="U4390" s="26" t="str">
        <f t="shared" ref="U4390:U4427" si="166">HYPERLINK("https://ictv.global/ictv/proposals/2024.013B.Ferrettivirinae_1nsf_3ng_38ns.zip","2024.013B.Ferrettivirinae_1nsf_3ng_38ns.zip")</f>
        <v>2024.013B.Ferrettivirinae_1nsf_3ng_38ns.zip</v>
      </c>
    </row>
    <row r="4391" spans="1:21">
      <c r="A4391">
        <v>4390</v>
      </c>
      <c r="B4391" s="27" t="s">
        <v>1449</v>
      </c>
      <c r="D4391" s="27" t="s">
        <v>1450</v>
      </c>
      <c r="F4391" s="27" t="s">
        <v>1453</v>
      </c>
      <c r="H4391" s="27" t="s">
        <v>1454</v>
      </c>
      <c r="M4391" s="27" t="s">
        <v>19723</v>
      </c>
      <c r="N4391" s="27" t="s">
        <v>19724</v>
      </c>
      <c r="P4391" s="27" t="s">
        <v>19726</v>
      </c>
      <c r="Q4391" s="26" t="str">
        <f>HYPERLINK("https://ictv.global/taxonomy/taxondetails?taxnode_id=202520545&amp;ictv_id=ICTV202420545","ICTV202420545")</f>
        <v>ICTV202420545</v>
      </c>
      <c r="R4391" t="s">
        <v>579</v>
      </c>
      <c r="S4391" t="s">
        <v>823</v>
      </c>
      <c r="T4391">
        <v>40</v>
      </c>
      <c r="U4391" s="26" t="str">
        <f t="shared" si="166"/>
        <v>2024.013B.Ferrettivirinae_1nsf_3ng_38ns.zip</v>
      </c>
    </row>
    <row r="4392" spans="1:21">
      <c r="A4392">
        <v>4391</v>
      </c>
      <c r="B4392" s="27" t="s">
        <v>1449</v>
      </c>
      <c r="D4392" s="27" t="s">
        <v>1450</v>
      </c>
      <c r="F4392" s="27" t="s">
        <v>1453</v>
      </c>
      <c r="H4392" s="27" t="s">
        <v>1454</v>
      </c>
      <c r="M4392" s="27" t="s">
        <v>19723</v>
      </c>
      <c r="N4392" s="27" t="s">
        <v>19724</v>
      </c>
      <c r="P4392" s="27" t="s">
        <v>19727</v>
      </c>
      <c r="Q4392" s="26" t="str">
        <f>HYPERLINK("https://ictv.global/taxonomy/taxondetails?taxnode_id=202520541&amp;ictv_id=ICTV202420541","ICTV202420541")</f>
        <v>ICTV202420541</v>
      </c>
      <c r="R4392" t="s">
        <v>579</v>
      </c>
      <c r="S4392" t="s">
        <v>823</v>
      </c>
      <c r="T4392">
        <v>40</v>
      </c>
      <c r="U4392" s="26" t="str">
        <f t="shared" si="166"/>
        <v>2024.013B.Ferrettivirinae_1nsf_3ng_38ns.zip</v>
      </c>
    </row>
    <row r="4393" spans="1:21">
      <c r="A4393">
        <v>4392</v>
      </c>
      <c r="B4393" s="27" t="s">
        <v>1449</v>
      </c>
      <c r="D4393" s="27" t="s">
        <v>1450</v>
      </c>
      <c r="F4393" s="27" t="s">
        <v>1453</v>
      </c>
      <c r="H4393" s="27" t="s">
        <v>1454</v>
      </c>
      <c r="M4393" s="27" t="s">
        <v>19723</v>
      </c>
      <c r="N4393" s="27" t="s">
        <v>19724</v>
      </c>
      <c r="P4393" s="27" t="s">
        <v>19728</v>
      </c>
      <c r="Q4393" s="26" t="str">
        <f>HYPERLINK("https://ictv.global/taxonomy/taxondetails?taxnode_id=202520547&amp;ictv_id=ICTV202420547","ICTV202420547")</f>
        <v>ICTV202420547</v>
      </c>
      <c r="R4393" t="s">
        <v>579</v>
      </c>
      <c r="S4393" t="s">
        <v>823</v>
      </c>
      <c r="T4393">
        <v>40</v>
      </c>
      <c r="U4393" s="26" t="str">
        <f t="shared" si="166"/>
        <v>2024.013B.Ferrettivirinae_1nsf_3ng_38ns.zip</v>
      </c>
    </row>
    <row r="4394" spans="1:21">
      <c r="A4394">
        <v>4393</v>
      </c>
      <c r="B4394" s="27" t="s">
        <v>1449</v>
      </c>
      <c r="D4394" s="27" t="s">
        <v>1450</v>
      </c>
      <c r="F4394" s="27" t="s">
        <v>1453</v>
      </c>
      <c r="H4394" s="27" t="s">
        <v>1454</v>
      </c>
      <c r="M4394" s="27" t="s">
        <v>19723</v>
      </c>
      <c r="N4394" s="27" t="s">
        <v>19724</v>
      </c>
      <c r="P4394" s="27" t="s">
        <v>19729</v>
      </c>
      <c r="Q4394" s="26" t="str">
        <f>HYPERLINK("https://ictv.global/taxonomy/taxondetails?taxnode_id=202520546&amp;ictv_id=ICTV202420546","ICTV202420546")</f>
        <v>ICTV202420546</v>
      </c>
      <c r="R4394" t="s">
        <v>579</v>
      </c>
      <c r="S4394" t="s">
        <v>823</v>
      </c>
      <c r="T4394">
        <v>40</v>
      </c>
      <c r="U4394" s="26" t="str">
        <f t="shared" si="166"/>
        <v>2024.013B.Ferrettivirinae_1nsf_3ng_38ns.zip</v>
      </c>
    </row>
    <row r="4395" spans="1:21">
      <c r="A4395">
        <v>4394</v>
      </c>
      <c r="B4395" s="27" t="s">
        <v>1449</v>
      </c>
      <c r="D4395" s="27" t="s">
        <v>1450</v>
      </c>
      <c r="F4395" s="27" t="s">
        <v>1453</v>
      </c>
      <c r="H4395" s="27" t="s">
        <v>1454</v>
      </c>
      <c r="M4395" s="27" t="s">
        <v>19723</v>
      </c>
      <c r="N4395" s="27" t="s">
        <v>19724</v>
      </c>
      <c r="P4395" s="27" t="s">
        <v>19730</v>
      </c>
      <c r="Q4395" s="26" t="str">
        <f>HYPERLINK("https://ictv.global/taxonomy/taxondetails?taxnode_id=202520548&amp;ictv_id=ICTV202420548","ICTV202420548")</f>
        <v>ICTV202420548</v>
      </c>
      <c r="R4395" t="s">
        <v>579</v>
      </c>
      <c r="S4395" t="s">
        <v>823</v>
      </c>
      <c r="T4395">
        <v>40</v>
      </c>
      <c r="U4395" s="26" t="str">
        <f t="shared" si="166"/>
        <v>2024.013B.Ferrettivirinae_1nsf_3ng_38ns.zip</v>
      </c>
    </row>
    <row r="4396" spans="1:21">
      <c r="A4396">
        <v>4395</v>
      </c>
      <c r="B4396" s="27" t="s">
        <v>1449</v>
      </c>
      <c r="D4396" s="27" t="s">
        <v>1450</v>
      </c>
      <c r="F4396" s="27" t="s">
        <v>1453</v>
      </c>
      <c r="H4396" s="27" t="s">
        <v>1454</v>
      </c>
      <c r="M4396" s="27" t="s">
        <v>19723</v>
      </c>
      <c r="N4396" s="27" t="s">
        <v>19724</v>
      </c>
      <c r="P4396" s="27" t="s">
        <v>19731</v>
      </c>
      <c r="Q4396" s="26" t="str">
        <f>HYPERLINK("https://ictv.global/taxonomy/taxondetails?taxnode_id=202520542&amp;ictv_id=ICTV202420542","ICTV202420542")</f>
        <v>ICTV202420542</v>
      </c>
      <c r="R4396" t="s">
        <v>579</v>
      </c>
      <c r="S4396" t="s">
        <v>823</v>
      </c>
      <c r="T4396">
        <v>40</v>
      </c>
      <c r="U4396" s="26" t="str">
        <f t="shared" si="166"/>
        <v>2024.013B.Ferrettivirinae_1nsf_3ng_38ns.zip</v>
      </c>
    </row>
    <row r="4397" spans="1:21">
      <c r="A4397">
        <v>4396</v>
      </c>
      <c r="B4397" s="27" t="s">
        <v>1449</v>
      </c>
      <c r="D4397" s="27" t="s">
        <v>1450</v>
      </c>
      <c r="F4397" s="27" t="s">
        <v>1453</v>
      </c>
      <c r="H4397" s="27" t="s">
        <v>1454</v>
      </c>
      <c r="M4397" s="27" t="s">
        <v>19723</v>
      </c>
      <c r="N4397" s="27" t="s">
        <v>19724</v>
      </c>
      <c r="P4397" s="27" t="s">
        <v>19732</v>
      </c>
      <c r="Q4397" s="26" t="str">
        <f>HYPERLINK("https://ictv.global/taxonomy/taxondetails?taxnode_id=202520540&amp;ictv_id=ICTV202420540","ICTV202420540")</f>
        <v>ICTV202420540</v>
      </c>
      <c r="R4397" t="s">
        <v>579</v>
      </c>
      <c r="S4397" t="s">
        <v>823</v>
      </c>
      <c r="T4397">
        <v>40</v>
      </c>
      <c r="U4397" s="26" t="str">
        <f t="shared" si="166"/>
        <v>2024.013B.Ferrettivirinae_1nsf_3ng_38ns.zip</v>
      </c>
    </row>
    <row r="4398" spans="1:21">
      <c r="A4398">
        <v>4397</v>
      </c>
      <c r="B4398" s="27" t="s">
        <v>1449</v>
      </c>
      <c r="D4398" s="27" t="s">
        <v>1450</v>
      </c>
      <c r="F4398" s="27" t="s">
        <v>1453</v>
      </c>
      <c r="H4398" s="27" t="s">
        <v>1454</v>
      </c>
      <c r="M4398" s="27" t="s">
        <v>19723</v>
      </c>
      <c r="N4398" s="27" t="s">
        <v>19724</v>
      </c>
      <c r="P4398" s="27" t="s">
        <v>19733</v>
      </c>
      <c r="Q4398" s="26" t="str">
        <f>HYPERLINK("https://ictv.global/taxonomy/taxondetails?taxnode_id=202520537&amp;ictv_id=ICTV202420537","ICTV202420537")</f>
        <v>ICTV202420537</v>
      </c>
      <c r="R4398" t="s">
        <v>579</v>
      </c>
      <c r="S4398" t="s">
        <v>823</v>
      </c>
      <c r="T4398">
        <v>40</v>
      </c>
      <c r="U4398" s="26" t="str">
        <f t="shared" si="166"/>
        <v>2024.013B.Ferrettivirinae_1nsf_3ng_38ns.zip</v>
      </c>
    </row>
    <row r="4399" spans="1:21">
      <c r="A4399">
        <v>4398</v>
      </c>
      <c r="B4399" s="27" t="s">
        <v>1449</v>
      </c>
      <c r="D4399" s="27" t="s">
        <v>1450</v>
      </c>
      <c r="F4399" s="27" t="s">
        <v>1453</v>
      </c>
      <c r="H4399" s="27" t="s">
        <v>1454</v>
      </c>
      <c r="M4399" s="27" t="s">
        <v>19723</v>
      </c>
      <c r="N4399" s="27" t="s">
        <v>19724</v>
      </c>
      <c r="P4399" s="27" t="s">
        <v>19734</v>
      </c>
      <c r="Q4399" s="26" t="str">
        <f>HYPERLINK("https://ictv.global/taxonomy/taxondetails?taxnode_id=202520534&amp;ictv_id=ICTV202420534","ICTV202420534")</f>
        <v>ICTV202420534</v>
      </c>
      <c r="R4399" t="s">
        <v>579</v>
      </c>
      <c r="S4399" t="s">
        <v>823</v>
      </c>
      <c r="T4399">
        <v>40</v>
      </c>
      <c r="U4399" s="26" t="str">
        <f t="shared" si="166"/>
        <v>2024.013B.Ferrettivirinae_1nsf_3ng_38ns.zip</v>
      </c>
    </row>
    <row r="4400" spans="1:21">
      <c r="A4400">
        <v>4399</v>
      </c>
      <c r="B4400" s="27" t="s">
        <v>1449</v>
      </c>
      <c r="D4400" s="27" t="s">
        <v>1450</v>
      </c>
      <c r="F4400" s="27" t="s">
        <v>1453</v>
      </c>
      <c r="H4400" s="27" t="s">
        <v>1454</v>
      </c>
      <c r="M4400" s="27" t="s">
        <v>19723</v>
      </c>
      <c r="N4400" s="27" t="s">
        <v>19724</v>
      </c>
      <c r="P4400" s="27" t="s">
        <v>19735</v>
      </c>
      <c r="Q4400" s="26" t="str">
        <f>HYPERLINK("https://ictv.global/taxonomy/taxondetails?taxnode_id=202520532&amp;ictv_id=ICTV202420532","ICTV202420532")</f>
        <v>ICTV202420532</v>
      </c>
      <c r="R4400" t="s">
        <v>579</v>
      </c>
      <c r="S4400" t="s">
        <v>823</v>
      </c>
      <c r="T4400">
        <v>40</v>
      </c>
      <c r="U4400" s="26" t="str">
        <f t="shared" si="166"/>
        <v>2024.013B.Ferrettivirinae_1nsf_3ng_38ns.zip</v>
      </c>
    </row>
    <row r="4401" spans="1:21">
      <c r="A4401">
        <v>4400</v>
      </c>
      <c r="B4401" s="27" t="s">
        <v>1449</v>
      </c>
      <c r="D4401" s="27" t="s">
        <v>1450</v>
      </c>
      <c r="F4401" s="27" t="s">
        <v>1453</v>
      </c>
      <c r="H4401" s="27" t="s">
        <v>1454</v>
      </c>
      <c r="M4401" s="27" t="s">
        <v>19723</v>
      </c>
      <c r="N4401" s="27" t="s">
        <v>19724</v>
      </c>
      <c r="P4401" s="27" t="s">
        <v>19736</v>
      </c>
      <c r="Q4401" s="26" t="str">
        <f>HYPERLINK("https://ictv.global/taxonomy/taxondetails?taxnode_id=202520539&amp;ictv_id=ICTV202420539","ICTV202420539")</f>
        <v>ICTV202420539</v>
      </c>
      <c r="R4401" t="s">
        <v>579</v>
      </c>
      <c r="S4401" t="s">
        <v>823</v>
      </c>
      <c r="T4401">
        <v>40</v>
      </c>
      <c r="U4401" s="26" t="str">
        <f t="shared" si="166"/>
        <v>2024.013B.Ferrettivirinae_1nsf_3ng_38ns.zip</v>
      </c>
    </row>
    <row r="4402" spans="1:21">
      <c r="A4402">
        <v>4401</v>
      </c>
      <c r="B4402" s="27" t="s">
        <v>1449</v>
      </c>
      <c r="D4402" s="27" t="s">
        <v>1450</v>
      </c>
      <c r="F4402" s="27" t="s">
        <v>1453</v>
      </c>
      <c r="H4402" s="27" t="s">
        <v>1454</v>
      </c>
      <c r="M4402" s="27" t="s">
        <v>19723</v>
      </c>
      <c r="N4402" s="27" t="s">
        <v>19724</v>
      </c>
      <c r="P4402" s="27" t="s">
        <v>19737</v>
      </c>
      <c r="Q4402" s="26" t="str">
        <f>HYPERLINK("https://ictv.global/taxonomy/taxondetails?taxnode_id=202520535&amp;ictv_id=ICTV202420535","ICTV202420535")</f>
        <v>ICTV202420535</v>
      </c>
      <c r="R4402" t="s">
        <v>579</v>
      </c>
      <c r="S4402" t="s">
        <v>823</v>
      </c>
      <c r="T4402">
        <v>40</v>
      </c>
      <c r="U4402" s="26" t="str">
        <f t="shared" si="166"/>
        <v>2024.013B.Ferrettivirinae_1nsf_3ng_38ns.zip</v>
      </c>
    </row>
    <row r="4403" spans="1:21">
      <c r="A4403">
        <v>4402</v>
      </c>
      <c r="B4403" s="27" t="s">
        <v>1449</v>
      </c>
      <c r="D4403" s="27" t="s">
        <v>1450</v>
      </c>
      <c r="F4403" s="27" t="s">
        <v>1453</v>
      </c>
      <c r="H4403" s="27" t="s">
        <v>1454</v>
      </c>
      <c r="M4403" s="27" t="s">
        <v>19723</v>
      </c>
      <c r="N4403" s="27" t="s">
        <v>19724</v>
      </c>
      <c r="P4403" s="27" t="s">
        <v>19738</v>
      </c>
      <c r="Q4403" s="26" t="str">
        <f>HYPERLINK("https://ictv.global/taxonomy/taxondetails?taxnode_id=202520538&amp;ictv_id=ICTV202420538","ICTV202420538")</f>
        <v>ICTV202420538</v>
      </c>
      <c r="R4403" t="s">
        <v>579</v>
      </c>
      <c r="S4403" t="s">
        <v>823</v>
      </c>
      <c r="T4403">
        <v>40</v>
      </c>
      <c r="U4403" s="26" t="str">
        <f t="shared" si="166"/>
        <v>2024.013B.Ferrettivirinae_1nsf_3ng_38ns.zip</v>
      </c>
    </row>
    <row r="4404" spans="1:21">
      <c r="A4404">
        <v>4403</v>
      </c>
      <c r="B4404" s="27" t="s">
        <v>1449</v>
      </c>
      <c r="D4404" s="27" t="s">
        <v>1450</v>
      </c>
      <c r="F4404" s="27" t="s">
        <v>1453</v>
      </c>
      <c r="H4404" s="27" t="s">
        <v>1454</v>
      </c>
      <c r="M4404" s="27" t="s">
        <v>19723</v>
      </c>
      <c r="N4404" s="27" t="s">
        <v>19724</v>
      </c>
      <c r="P4404" s="27" t="s">
        <v>19739</v>
      </c>
      <c r="Q4404" s="26" t="str">
        <f>HYPERLINK("https://ictv.global/taxonomy/taxondetails?taxnode_id=202520536&amp;ictv_id=ICTV202420536","ICTV202420536")</f>
        <v>ICTV202420536</v>
      </c>
      <c r="R4404" t="s">
        <v>579</v>
      </c>
      <c r="S4404" t="s">
        <v>823</v>
      </c>
      <c r="T4404">
        <v>40</v>
      </c>
      <c r="U4404" s="26" t="str">
        <f t="shared" si="166"/>
        <v>2024.013B.Ferrettivirinae_1nsf_3ng_38ns.zip</v>
      </c>
    </row>
    <row r="4405" spans="1:21">
      <c r="A4405">
        <v>4404</v>
      </c>
      <c r="B4405" s="27" t="s">
        <v>1449</v>
      </c>
      <c r="D4405" s="27" t="s">
        <v>1450</v>
      </c>
      <c r="F4405" s="27" t="s">
        <v>1453</v>
      </c>
      <c r="H4405" s="27" t="s">
        <v>1454</v>
      </c>
      <c r="M4405" s="27" t="s">
        <v>19723</v>
      </c>
      <c r="N4405" s="27" t="s">
        <v>19724</v>
      </c>
      <c r="P4405" s="27" t="s">
        <v>19740</v>
      </c>
      <c r="Q4405" s="26" t="str">
        <f>HYPERLINK("https://ictv.global/taxonomy/taxondetails?taxnode_id=202520543&amp;ictv_id=ICTV202420543","ICTV202420543")</f>
        <v>ICTV202420543</v>
      </c>
      <c r="R4405" t="s">
        <v>579</v>
      </c>
      <c r="S4405" t="s">
        <v>823</v>
      </c>
      <c r="T4405">
        <v>40</v>
      </c>
      <c r="U4405" s="26" t="str">
        <f t="shared" si="166"/>
        <v>2024.013B.Ferrettivirinae_1nsf_3ng_38ns.zip</v>
      </c>
    </row>
    <row r="4406" spans="1:21">
      <c r="A4406">
        <v>4405</v>
      </c>
      <c r="B4406" s="27" t="s">
        <v>1449</v>
      </c>
      <c r="D4406" s="27" t="s">
        <v>1450</v>
      </c>
      <c r="F4406" s="27" t="s">
        <v>1453</v>
      </c>
      <c r="H4406" s="27" t="s">
        <v>1454</v>
      </c>
      <c r="M4406" s="27" t="s">
        <v>19723</v>
      </c>
      <c r="N4406" s="27" t="s">
        <v>19724</v>
      </c>
      <c r="P4406" s="27" t="s">
        <v>19741</v>
      </c>
      <c r="Q4406" s="26" t="str">
        <f>HYPERLINK("https://ictv.global/taxonomy/taxondetails?taxnode_id=202520531&amp;ictv_id=ICTV202420531","ICTV202420531")</f>
        <v>ICTV202420531</v>
      </c>
      <c r="R4406" t="s">
        <v>579</v>
      </c>
      <c r="S4406" t="s">
        <v>823</v>
      </c>
      <c r="T4406">
        <v>40</v>
      </c>
      <c r="U4406" s="26" t="str">
        <f t="shared" si="166"/>
        <v>2024.013B.Ferrettivirinae_1nsf_3ng_38ns.zip</v>
      </c>
    </row>
    <row r="4407" spans="1:21">
      <c r="A4407">
        <v>4406</v>
      </c>
      <c r="B4407" s="27" t="s">
        <v>1449</v>
      </c>
      <c r="D4407" s="27" t="s">
        <v>1450</v>
      </c>
      <c r="F4407" s="27" t="s">
        <v>1453</v>
      </c>
      <c r="H4407" s="27" t="s">
        <v>1454</v>
      </c>
      <c r="M4407" s="27" t="s">
        <v>19723</v>
      </c>
      <c r="N4407" s="27" t="s">
        <v>19724</v>
      </c>
      <c r="P4407" s="27" t="s">
        <v>19742</v>
      </c>
      <c r="Q4407" s="26" t="str">
        <f>HYPERLINK("https://ictv.global/taxonomy/taxondetails?taxnode_id=202520533&amp;ictv_id=ICTV202420533","ICTV202420533")</f>
        <v>ICTV202420533</v>
      </c>
      <c r="R4407" t="s">
        <v>579</v>
      </c>
      <c r="S4407" t="s">
        <v>823</v>
      </c>
      <c r="T4407">
        <v>40</v>
      </c>
      <c r="U4407" s="26" t="str">
        <f t="shared" si="166"/>
        <v>2024.013B.Ferrettivirinae_1nsf_3ng_38ns.zip</v>
      </c>
    </row>
    <row r="4408" spans="1:21">
      <c r="A4408">
        <v>4407</v>
      </c>
      <c r="B4408" s="27" t="s">
        <v>1449</v>
      </c>
      <c r="D4408" s="27" t="s">
        <v>1450</v>
      </c>
      <c r="F4408" s="27" t="s">
        <v>1453</v>
      </c>
      <c r="H4408" s="27" t="s">
        <v>1454</v>
      </c>
      <c r="M4408" s="27" t="s">
        <v>19723</v>
      </c>
      <c r="N4408" s="27" t="s">
        <v>19743</v>
      </c>
      <c r="P4408" s="27" t="s">
        <v>19744</v>
      </c>
      <c r="Q4408" s="26" t="str">
        <f>HYPERLINK("https://ictv.global/taxonomy/taxondetails?taxnode_id=202520529&amp;ictv_id=ICTV202420529","ICTV202420529")</f>
        <v>ICTV202420529</v>
      </c>
      <c r="R4408" t="s">
        <v>579</v>
      </c>
      <c r="S4408" t="s">
        <v>823</v>
      </c>
      <c r="T4408">
        <v>40</v>
      </c>
      <c r="U4408" s="26" t="str">
        <f t="shared" si="166"/>
        <v>2024.013B.Ferrettivirinae_1nsf_3ng_38ns.zip</v>
      </c>
    </row>
    <row r="4409" spans="1:21">
      <c r="A4409">
        <v>4408</v>
      </c>
      <c r="B4409" s="27" t="s">
        <v>1449</v>
      </c>
      <c r="D4409" s="27" t="s">
        <v>1450</v>
      </c>
      <c r="F4409" s="27" t="s">
        <v>1453</v>
      </c>
      <c r="H4409" s="27" t="s">
        <v>1454</v>
      </c>
      <c r="M4409" s="27" t="s">
        <v>19723</v>
      </c>
      <c r="N4409" s="27" t="s">
        <v>19743</v>
      </c>
      <c r="P4409" s="27" t="s">
        <v>19745</v>
      </c>
      <c r="Q4409" s="26" t="str">
        <f>HYPERLINK("https://ictv.global/taxonomy/taxondetails?taxnode_id=202520530&amp;ictv_id=ICTV202420530","ICTV202420530")</f>
        <v>ICTV202420530</v>
      </c>
      <c r="R4409" t="s">
        <v>579</v>
      </c>
      <c r="S4409" t="s">
        <v>823</v>
      </c>
      <c r="T4409">
        <v>40</v>
      </c>
      <c r="U4409" s="26" t="str">
        <f t="shared" si="166"/>
        <v>2024.013B.Ferrettivirinae_1nsf_3ng_38ns.zip</v>
      </c>
    </row>
    <row r="4410" spans="1:21">
      <c r="A4410">
        <v>4409</v>
      </c>
      <c r="B4410" s="27" t="s">
        <v>1449</v>
      </c>
      <c r="D4410" s="27" t="s">
        <v>1450</v>
      </c>
      <c r="F4410" s="27" t="s">
        <v>1453</v>
      </c>
      <c r="H4410" s="27" t="s">
        <v>1454</v>
      </c>
      <c r="M4410" s="27" t="s">
        <v>19723</v>
      </c>
      <c r="N4410" s="27" t="s">
        <v>19746</v>
      </c>
      <c r="P4410" s="27" t="s">
        <v>19747</v>
      </c>
      <c r="Q4410" s="26" t="str">
        <f>HYPERLINK("https://ictv.global/taxonomy/taxondetails?taxnode_id=202520518&amp;ictv_id=ICTV202420518","ICTV202420518")</f>
        <v>ICTV202420518</v>
      </c>
      <c r="R4410" t="s">
        <v>579</v>
      </c>
      <c r="S4410" t="s">
        <v>823</v>
      </c>
      <c r="T4410">
        <v>40</v>
      </c>
      <c r="U4410" s="26" t="str">
        <f t="shared" si="166"/>
        <v>2024.013B.Ferrettivirinae_1nsf_3ng_38ns.zip</v>
      </c>
    </row>
    <row r="4411" spans="1:21">
      <c r="A4411">
        <v>4410</v>
      </c>
      <c r="B4411" s="27" t="s">
        <v>1449</v>
      </c>
      <c r="D4411" s="27" t="s">
        <v>1450</v>
      </c>
      <c r="F4411" s="27" t="s">
        <v>1453</v>
      </c>
      <c r="H4411" s="27" t="s">
        <v>1454</v>
      </c>
      <c r="M4411" s="27" t="s">
        <v>19723</v>
      </c>
      <c r="N4411" s="27" t="s">
        <v>19746</v>
      </c>
      <c r="P4411" s="27" t="s">
        <v>19748</v>
      </c>
      <c r="Q4411" s="26" t="str">
        <f>HYPERLINK("https://ictv.global/taxonomy/taxondetails?taxnode_id=202520513&amp;ictv_id=ICTV202420513","ICTV202420513")</f>
        <v>ICTV202420513</v>
      </c>
      <c r="R4411" t="s">
        <v>579</v>
      </c>
      <c r="S4411" t="s">
        <v>823</v>
      </c>
      <c r="T4411">
        <v>40</v>
      </c>
      <c r="U4411" s="26" t="str">
        <f t="shared" si="166"/>
        <v>2024.013B.Ferrettivirinae_1nsf_3ng_38ns.zip</v>
      </c>
    </row>
    <row r="4412" spans="1:21">
      <c r="A4412">
        <v>4411</v>
      </c>
      <c r="B4412" s="27" t="s">
        <v>1449</v>
      </c>
      <c r="D4412" s="27" t="s">
        <v>1450</v>
      </c>
      <c r="F4412" s="27" t="s">
        <v>1453</v>
      </c>
      <c r="H4412" s="27" t="s">
        <v>1454</v>
      </c>
      <c r="M4412" s="27" t="s">
        <v>19723</v>
      </c>
      <c r="N4412" s="27" t="s">
        <v>19746</v>
      </c>
      <c r="P4412" s="27" t="s">
        <v>19749</v>
      </c>
      <c r="Q4412" s="26" t="str">
        <f>HYPERLINK("https://ictv.global/taxonomy/taxondetails?taxnode_id=202520522&amp;ictv_id=ICTV202420522","ICTV202420522")</f>
        <v>ICTV202420522</v>
      </c>
      <c r="R4412" t="s">
        <v>579</v>
      </c>
      <c r="S4412" t="s">
        <v>823</v>
      </c>
      <c r="T4412">
        <v>40</v>
      </c>
      <c r="U4412" s="26" t="str">
        <f t="shared" si="166"/>
        <v>2024.013B.Ferrettivirinae_1nsf_3ng_38ns.zip</v>
      </c>
    </row>
    <row r="4413" spans="1:21">
      <c r="A4413">
        <v>4412</v>
      </c>
      <c r="B4413" s="27" t="s">
        <v>1449</v>
      </c>
      <c r="D4413" s="27" t="s">
        <v>1450</v>
      </c>
      <c r="F4413" s="27" t="s">
        <v>1453</v>
      </c>
      <c r="H4413" s="27" t="s">
        <v>1454</v>
      </c>
      <c r="M4413" s="27" t="s">
        <v>19723</v>
      </c>
      <c r="N4413" s="27" t="s">
        <v>19746</v>
      </c>
      <c r="P4413" s="27" t="s">
        <v>19750</v>
      </c>
      <c r="Q4413" s="26" t="str">
        <f>HYPERLINK("https://ictv.global/taxonomy/taxondetails?taxnode_id=202520527&amp;ictv_id=ICTV202420527","ICTV202420527")</f>
        <v>ICTV202420527</v>
      </c>
      <c r="R4413" t="s">
        <v>579</v>
      </c>
      <c r="S4413" t="s">
        <v>823</v>
      </c>
      <c r="T4413">
        <v>40</v>
      </c>
      <c r="U4413" s="26" t="str">
        <f t="shared" si="166"/>
        <v>2024.013B.Ferrettivirinae_1nsf_3ng_38ns.zip</v>
      </c>
    </row>
    <row r="4414" spans="1:21">
      <c r="A4414">
        <v>4413</v>
      </c>
      <c r="B4414" s="27" t="s">
        <v>1449</v>
      </c>
      <c r="D4414" s="27" t="s">
        <v>1450</v>
      </c>
      <c r="F4414" s="27" t="s">
        <v>1453</v>
      </c>
      <c r="H4414" s="27" t="s">
        <v>1454</v>
      </c>
      <c r="M4414" s="27" t="s">
        <v>19723</v>
      </c>
      <c r="N4414" s="27" t="s">
        <v>19746</v>
      </c>
      <c r="P4414" s="27" t="s">
        <v>19751</v>
      </c>
      <c r="Q4414" s="26" t="str">
        <f>HYPERLINK("https://ictv.global/taxonomy/taxondetails?taxnode_id=202520528&amp;ictv_id=ICTV202420528","ICTV202420528")</f>
        <v>ICTV202420528</v>
      </c>
      <c r="R4414" t="s">
        <v>579</v>
      </c>
      <c r="S4414" t="s">
        <v>823</v>
      </c>
      <c r="T4414">
        <v>40</v>
      </c>
      <c r="U4414" s="26" t="str">
        <f t="shared" si="166"/>
        <v>2024.013B.Ferrettivirinae_1nsf_3ng_38ns.zip</v>
      </c>
    </row>
    <row r="4415" spans="1:21">
      <c r="A4415">
        <v>4414</v>
      </c>
      <c r="B4415" s="27" t="s">
        <v>1449</v>
      </c>
      <c r="D4415" s="27" t="s">
        <v>1450</v>
      </c>
      <c r="F4415" s="27" t="s">
        <v>1453</v>
      </c>
      <c r="H4415" s="27" t="s">
        <v>1454</v>
      </c>
      <c r="M4415" s="27" t="s">
        <v>19723</v>
      </c>
      <c r="N4415" s="27" t="s">
        <v>19746</v>
      </c>
      <c r="P4415" s="27" t="s">
        <v>19752</v>
      </c>
      <c r="Q4415" s="26" t="str">
        <f>HYPERLINK("https://ictv.global/taxonomy/taxondetails?taxnode_id=202520523&amp;ictv_id=ICTV202420523","ICTV202420523")</f>
        <v>ICTV202420523</v>
      </c>
      <c r="R4415" t="s">
        <v>579</v>
      </c>
      <c r="S4415" t="s">
        <v>823</v>
      </c>
      <c r="T4415">
        <v>40</v>
      </c>
      <c r="U4415" s="26" t="str">
        <f t="shared" si="166"/>
        <v>2024.013B.Ferrettivirinae_1nsf_3ng_38ns.zip</v>
      </c>
    </row>
    <row r="4416" spans="1:21">
      <c r="A4416">
        <v>4415</v>
      </c>
      <c r="B4416" s="27" t="s">
        <v>1449</v>
      </c>
      <c r="D4416" s="27" t="s">
        <v>1450</v>
      </c>
      <c r="F4416" s="27" t="s">
        <v>1453</v>
      </c>
      <c r="H4416" s="27" t="s">
        <v>1454</v>
      </c>
      <c r="M4416" s="27" t="s">
        <v>19723</v>
      </c>
      <c r="N4416" s="27" t="s">
        <v>19746</v>
      </c>
      <c r="P4416" s="27" t="s">
        <v>19753</v>
      </c>
      <c r="Q4416" s="26" t="str">
        <f>HYPERLINK("https://ictv.global/taxonomy/taxondetails?taxnode_id=202520515&amp;ictv_id=ICTV202420515","ICTV202420515")</f>
        <v>ICTV202420515</v>
      </c>
      <c r="R4416" t="s">
        <v>579</v>
      </c>
      <c r="S4416" t="s">
        <v>823</v>
      </c>
      <c r="T4416">
        <v>40</v>
      </c>
      <c r="U4416" s="26" t="str">
        <f t="shared" si="166"/>
        <v>2024.013B.Ferrettivirinae_1nsf_3ng_38ns.zip</v>
      </c>
    </row>
    <row r="4417" spans="1:21">
      <c r="A4417">
        <v>4416</v>
      </c>
      <c r="B4417" s="27" t="s">
        <v>1449</v>
      </c>
      <c r="D4417" s="27" t="s">
        <v>1450</v>
      </c>
      <c r="F4417" s="27" t="s">
        <v>1453</v>
      </c>
      <c r="H4417" s="27" t="s">
        <v>1454</v>
      </c>
      <c r="M4417" s="27" t="s">
        <v>19723</v>
      </c>
      <c r="N4417" s="27" t="s">
        <v>19746</v>
      </c>
      <c r="P4417" s="27" t="s">
        <v>19754</v>
      </c>
      <c r="Q4417" s="26" t="str">
        <f>HYPERLINK("https://ictv.global/taxonomy/taxondetails?taxnode_id=202520519&amp;ictv_id=ICTV202420519","ICTV202420519")</f>
        <v>ICTV202420519</v>
      </c>
      <c r="R4417" t="s">
        <v>579</v>
      </c>
      <c r="S4417" t="s">
        <v>823</v>
      </c>
      <c r="T4417">
        <v>40</v>
      </c>
      <c r="U4417" s="26" t="str">
        <f t="shared" si="166"/>
        <v>2024.013B.Ferrettivirinae_1nsf_3ng_38ns.zip</v>
      </c>
    </row>
    <row r="4418" spans="1:21">
      <c r="A4418">
        <v>4417</v>
      </c>
      <c r="B4418" s="27" t="s">
        <v>1449</v>
      </c>
      <c r="D4418" s="27" t="s">
        <v>1450</v>
      </c>
      <c r="F4418" s="27" t="s">
        <v>1453</v>
      </c>
      <c r="H4418" s="27" t="s">
        <v>1454</v>
      </c>
      <c r="M4418" s="27" t="s">
        <v>19723</v>
      </c>
      <c r="N4418" s="27" t="s">
        <v>19746</v>
      </c>
      <c r="P4418" s="27" t="s">
        <v>19755</v>
      </c>
      <c r="Q4418" s="26" t="str">
        <f>HYPERLINK("https://ictv.global/taxonomy/taxondetails?taxnode_id=202520524&amp;ictv_id=ICTV202420524","ICTV202420524")</f>
        <v>ICTV202420524</v>
      </c>
      <c r="R4418" t="s">
        <v>579</v>
      </c>
      <c r="S4418" t="s">
        <v>823</v>
      </c>
      <c r="T4418">
        <v>40</v>
      </c>
      <c r="U4418" s="26" t="str">
        <f t="shared" si="166"/>
        <v>2024.013B.Ferrettivirinae_1nsf_3ng_38ns.zip</v>
      </c>
    </row>
    <row r="4419" spans="1:21">
      <c r="A4419">
        <v>4418</v>
      </c>
      <c r="B4419" s="27" t="s">
        <v>1449</v>
      </c>
      <c r="D4419" s="27" t="s">
        <v>1450</v>
      </c>
      <c r="F4419" s="27" t="s">
        <v>1453</v>
      </c>
      <c r="H4419" s="27" t="s">
        <v>1454</v>
      </c>
      <c r="M4419" s="27" t="s">
        <v>19723</v>
      </c>
      <c r="N4419" s="27" t="s">
        <v>19746</v>
      </c>
      <c r="P4419" s="27" t="s">
        <v>19756</v>
      </c>
      <c r="Q4419" s="26" t="str">
        <f>HYPERLINK("https://ictv.global/taxonomy/taxondetails?taxnode_id=202520520&amp;ictv_id=ICTV202420520","ICTV202420520")</f>
        <v>ICTV202420520</v>
      </c>
      <c r="R4419" t="s">
        <v>579</v>
      </c>
      <c r="S4419" t="s">
        <v>823</v>
      </c>
      <c r="T4419">
        <v>40</v>
      </c>
      <c r="U4419" s="26" t="str">
        <f t="shared" si="166"/>
        <v>2024.013B.Ferrettivirinae_1nsf_3ng_38ns.zip</v>
      </c>
    </row>
    <row r="4420" spans="1:21">
      <c r="A4420">
        <v>4419</v>
      </c>
      <c r="B4420" s="27" t="s">
        <v>1449</v>
      </c>
      <c r="D4420" s="27" t="s">
        <v>1450</v>
      </c>
      <c r="F4420" s="27" t="s">
        <v>1453</v>
      </c>
      <c r="H4420" s="27" t="s">
        <v>1454</v>
      </c>
      <c r="M4420" s="27" t="s">
        <v>19723</v>
      </c>
      <c r="N4420" s="27" t="s">
        <v>19746</v>
      </c>
      <c r="P4420" s="27" t="s">
        <v>19757</v>
      </c>
      <c r="Q4420" s="26" t="str">
        <f>HYPERLINK("https://ictv.global/taxonomy/taxondetails?taxnode_id=202520525&amp;ictv_id=ICTV202420525","ICTV202420525")</f>
        <v>ICTV202420525</v>
      </c>
      <c r="R4420" t="s">
        <v>579</v>
      </c>
      <c r="S4420" t="s">
        <v>823</v>
      </c>
      <c r="T4420">
        <v>40</v>
      </c>
      <c r="U4420" s="26" t="str">
        <f t="shared" si="166"/>
        <v>2024.013B.Ferrettivirinae_1nsf_3ng_38ns.zip</v>
      </c>
    </row>
    <row r="4421" spans="1:21">
      <c r="A4421">
        <v>4420</v>
      </c>
      <c r="B4421" s="27" t="s">
        <v>1449</v>
      </c>
      <c r="D4421" s="27" t="s">
        <v>1450</v>
      </c>
      <c r="F4421" s="27" t="s">
        <v>1453</v>
      </c>
      <c r="H4421" s="27" t="s">
        <v>1454</v>
      </c>
      <c r="M4421" s="27" t="s">
        <v>19723</v>
      </c>
      <c r="N4421" s="27" t="s">
        <v>19746</v>
      </c>
      <c r="P4421" s="27" t="s">
        <v>19758</v>
      </c>
      <c r="Q4421" s="26" t="str">
        <f>HYPERLINK("https://ictv.global/taxonomy/taxondetails?taxnode_id=202520526&amp;ictv_id=ICTV202420526","ICTV202420526")</f>
        <v>ICTV202420526</v>
      </c>
      <c r="R4421" t="s">
        <v>579</v>
      </c>
      <c r="S4421" t="s">
        <v>823</v>
      </c>
      <c r="T4421">
        <v>40</v>
      </c>
      <c r="U4421" s="26" t="str">
        <f t="shared" si="166"/>
        <v>2024.013B.Ferrettivirinae_1nsf_3ng_38ns.zip</v>
      </c>
    </row>
    <row r="4422" spans="1:21">
      <c r="A4422">
        <v>4421</v>
      </c>
      <c r="B4422" s="27" t="s">
        <v>1449</v>
      </c>
      <c r="D4422" s="27" t="s">
        <v>1450</v>
      </c>
      <c r="F4422" s="27" t="s">
        <v>1453</v>
      </c>
      <c r="H4422" s="27" t="s">
        <v>1454</v>
      </c>
      <c r="M4422" s="27" t="s">
        <v>19723</v>
      </c>
      <c r="N4422" s="27" t="s">
        <v>19746</v>
      </c>
      <c r="P4422" s="27" t="s">
        <v>19759</v>
      </c>
      <c r="Q4422" s="26" t="str">
        <f>HYPERLINK("https://ictv.global/taxonomy/taxondetails?taxnode_id=202520521&amp;ictv_id=ICTV202420521","ICTV202420521")</f>
        <v>ICTV202420521</v>
      </c>
      <c r="R4422" t="s">
        <v>579</v>
      </c>
      <c r="S4422" t="s">
        <v>823</v>
      </c>
      <c r="T4422">
        <v>40</v>
      </c>
      <c r="U4422" s="26" t="str">
        <f t="shared" si="166"/>
        <v>2024.013B.Ferrettivirinae_1nsf_3ng_38ns.zip</v>
      </c>
    </row>
    <row r="4423" spans="1:21">
      <c r="A4423">
        <v>4422</v>
      </c>
      <c r="B4423" s="27" t="s">
        <v>1449</v>
      </c>
      <c r="D4423" s="27" t="s">
        <v>1450</v>
      </c>
      <c r="F4423" s="27" t="s">
        <v>1453</v>
      </c>
      <c r="H4423" s="27" t="s">
        <v>1454</v>
      </c>
      <c r="M4423" s="27" t="s">
        <v>19723</v>
      </c>
      <c r="N4423" s="27" t="s">
        <v>19746</v>
      </c>
      <c r="P4423" s="27" t="s">
        <v>19760</v>
      </c>
      <c r="Q4423" s="26" t="str">
        <f>HYPERLINK("https://ictv.global/taxonomy/taxondetails?taxnode_id=202520516&amp;ictv_id=ICTV202420516","ICTV202420516")</f>
        <v>ICTV202420516</v>
      </c>
      <c r="R4423" t="s">
        <v>579</v>
      </c>
      <c r="S4423" t="s">
        <v>823</v>
      </c>
      <c r="T4423">
        <v>40</v>
      </c>
      <c r="U4423" s="26" t="str">
        <f t="shared" si="166"/>
        <v>2024.013B.Ferrettivirinae_1nsf_3ng_38ns.zip</v>
      </c>
    </row>
    <row r="4424" spans="1:21">
      <c r="A4424">
        <v>4423</v>
      </c>
      <c r="B4424" s="27" t="s">
        <v>1449</v>
      </c>
      <c r="D4424" s="27" t="s">
        <v>1450</v>
      </c>
      <c r="F4424" s="27" t="s">
        <v>1453</v>
      </c>
      <c r="H4424" s="27" t="s">
        <v>1454</v>
      </c>
      <c r="M4424" s="27" t="s">
        <v>19723</v>
      </c>
      <c r="N4424" s="27" t="s">
        <v>19746</v>
      </c>
      <c r="P4424" s="27" t="s">
        <v>19761</v>
      </c>
      <c r="Q4424" s="26" t="str">
        <f>HYPERLINK("https://ictv.global/taxonomy/taxondetails?taxnode_id=202520512&amp;ictv_id=ICTV202420512","ICTV202420512")</f>
        <v>ICTV202420512</v>
      </c>
      <c r="R4424" t="s">
        <v>579</v>
      </c>
      <c r="S4424" t="s">
        <v>823</v>
      </c>
      <c r="T4424">
        <v>40</v>
      </c>
      <c r="U4424" s="26" t="str">
        <f t="shared" si="166"/>
        <v>2024.013B.Ferrettivirinae_1nsf_3ng_38ns.zip</v>
      </c>
    </row>
    <row r="4425" spans="1:21">
      <c r="A4425">
        <v>4424</v>
      </c>
      <c r="B4425" s="27" t="s">
        <v>1449</v>
      </c>
      <c r="D4425" s="27" t="s">
        <v>1450</v>
      </c>
      <c r="F4425" s="27" t="s">
        <v>1453</v>
      </c>
      <c r="H4425" s="27" t="s">
        <v>1454</v>
      </c>
      <c r="M4425" s="27" t="s">
        <v>19723</v>
      </c>
      <c r="N4425" s="27" t="s">
        <v>19746</v>
      </c>
      <c r="P4425" s="27" t="s">
        <v>19762</v>
      </c>
      <c r="Q4425" s="26" t="str">
        <f>HYPERLINK("https://ictv.global/taxonomy/taxondetails?taxnode_id=202520517&amp;ictv_id=ICTV202420517","ICTV202420517")</f>
        <v>ICTV202420517</v>
      </c>
      <c r="R4425" t="s">
        <v>579</v>
      </c>
      <c r="S4425" t="s">
        <v>823</v>
      </c>
      <c r="T4425">
        <v>40</v>
      </c>
      <c r="U4425" s="26" t="str">
        <f t="shared" si="166"/>
        <v>2024.013B.Ferrettivirinae_1nsf_3ng_38ns.zip</v>
      </c>
    </row>
    <row r="4426" spans="1:21">
      <c r="A4426">
        <v>4425</v>
      </c>
      <c r="B4426" s="27" t="s">
        <v>1449</v>
      </c>
      <c r="D4426" s="27" t="s">
        <v>1450</v>
      </c>
      <c r="F4426" s="27" t="s">
        <v>1453</v>
      </c>
      <c r="H4426" s="27" t="s">
        <v>1454</v>
      </c>
      <c r="M4426" s="27" t="s">
        <v>19723</v>
      </c>
      <c r="N4426" s="27" t="s">
        <v>19746</v>
      </c>
      <c r="P4426" s="27" t="s">
        <v>19763</v>
      </c>
      <c r="Q4426" s="26" t="str">
        <f>HYPERLINK("https://ictv.global/taxonomy/taxondetails?taxnode_id=202520511&amp;ictv_id=ICTV202420511","ICTV202420511")</f>
        <v>ICTV202420511</v>
      </c>
      <c r="R4426" t="s">
        <v>579</v>
      </c>
      <c r="S4426" t="s">
        <v>823</v>
      </c>
      <c r="T4426">
        <v>40</v>
      </c>
      <c r="U4426" s="26" t="str">
        <f t="shared" si="166"/>
        <v>2024.013B.Ferrettivirinae_1nsf_3ng_38ns.zip</v>
      </c>
    </row>
    <row r="4427" spans="1:21">
      <c r="A4427">
        <v>4426</v>
      </c>
      <c r="B4427" s="27" t="s">
        <v>1449</v>
      </c>
      <c r="D4427" s="27" t="s">
        <v>1450</v>
      </c>
      <c r="F4427" s="27" t="s">
        <v>1453</v>
      </c>
      <c r="H4427" s="27" t="s">
        <v>1454</v>
      </c>
      <c r="M4427" s="27" t="s">
        <v>19723</v>
      </c>
      <c r="N4427" s="27" t="s">
        <v>19746</v>
      </c>
      <c r="P4427" s="27" t="s">
        <v>19764</v>
      </c>
      <c r="Q4427" s="26" t="str">
        <f>HYPERLINK("https://ictv.global/taxonomy/taxondetails?taxnode_id=202520514&amp;ictv_id=ICTV202420514","ICTV202420514")</f>
        <v>ICTV202420514</v>
      </c>
      <c r="R4427" t="s">
        <v>579</v>
      </c>
      <c r="S4427" t="s">
        <v>823</v>
      </c>
      <c r="T4427">
        <v>40</v>
      </c>
      <c r="U4427" s="26" t="str">
        <f t="shared" si="166"/>
        <v>2024.013B.Ferrettivirinae_1nsf_3ng_38ns.zip</v>
      </c>
    </row>
    <row r="4428" spans="1:21">
      <c r="A4428">
        <v>4427</v>
      </c>
      <c r="B4428" s="27" t="s">
        <v>1449</v>
      </c>
      <c r="D4428" s="27" t="s">
        <v>1450</v>
      </c>
      <c r="F4428" s="27" t="s">
        <v>1453</v>
      </c>
      <c r="H4428" s="27" t="s">
        <v>1454</v>
      </c>
      <c r="M4428" s="27" t="s">
        <v>20883</v>
      </c>
      <c r="N4428" s="27" t="s">
        <v>21973</v>
      </c>
      <c r="P4428" s="27" t="s">
        <v>21974</v>
      </c>
      <c r="Q4428" s="26" t="str">
        <f>HYPERLINK("https://ictv.global/taxonomy/taxondetails?taxnode_id=202522780&amp;ictv_id=ICTV202522780","ICTV202522780")</f>
        <v>ICTV202522780</v>
      </c>
      <c r="R4428" t="s">
        <v>579</v>
      </c>
      <c r="S4428" t="s">
        <v>823</v>
      </c>
      <c r="T4428">
        <v>41</v>
      </c>
      <c r="U4428" s="26" t="str">
        <f t="shared" ref="U4428:U4433" si="167">HYPERLINK("https://ictv.global/ictv/proposals/2025.020B.Frobishervirinae_1nsf_1ng_1ns.zip","2025.020B.Frobishervirinae_1nsf_1ng_1ns.zip")</f>
        <v>2025.020B.Frobishervirinae_1nsf_1ng_1ns.zip</v>
      </c>
    </row>
    <row r="4429" spans="1:21">
      <c r="A4429">
        <v>4428</v>
      </c>
      <c r="B4429" s="27" t="s">
        <v>1449</v>
      </c>
      <c r="D4429" s="27" t="s">
        <v>1450</v>
      </c>
      <c r="F4429" s="27" t="s">
        <v>1453</v>
      </c>
      <c r="H4429" s="27" t="s">
        <v>1454</v>
      </c>
      <c r="M4429" s="27" t="s">
        <v>20883</v>
      </c>
      <c r="N4429" s="27" t="s">
        <v>1785</v>
      </c>
      <c r="P4429" s="27" t="s">
        <v>7789</v>
      </c>
      <c r="Q4429" s="26" t="str">
        <f>HYPERLINK("https://ictv.global/taxonomy/taxondetails?taxnode_id=202511962&amp;ictv_id=ICTV202011962","ICTV202011962")</f>
        <v>ICTV202011962</v>
      </c>
      <c r="R4429" t="s">
        <v>579</v>
      </c>
      <c r="S4429" t="s">
        <v>22763</v>
      </c>
      <c r="T4429">
        <v>41</v>
      </c>
      <c r="U4429" s="26" t="str">
        <f t="shared" si="167"/>
        <v>2025.020B.Frobishervirinae_1nsf_1ng_1ns.zip</v>
      </c>
    </row>
    <row r="4430" spans="1:21">
      <c r="A4430">
        <v>4429</v>
      </c>
      <c r="B4430" s="27" t="s">
        <v>1449</v>
      </c>
      <c r="D4430" s="27" t="s">
        <v>1450</v>
      </c>
      <c r="F4430" s="27" t="s">
        <v>1453</v>
      </c>
      <c r="H4430" s="27" t="s">
        <v>1454</v>
      </c>
      <c r="M4430" s="27" t="s">
        <v>20883</v>
      </c>
      <c r="N4430" s="27" t="s">
        <v>1785</v>
      </c>
      <c r="P4430" s="27" t="s">
        <v>7790</v>
      </c>
      <c r="Q4430" s="26" t="str">
        <f>HYPERLINK("https://ictv.global/taxonomy/taxondetails?taxnode_id=202511961&amp;ictv_id=ICTV202011961","ICTV202011961")</f>
        <v>ICTV202011961</v>
      </c>
      <c r="R4430" t="s">
        <v>579</v>
      </c>
      <c r="S4430" t="s">
        <v>22763</v>
      </c>
      <c r="T4430">
        <v>41</v>
      </c>
      <c r="U4430" s="26" t="str">
        <f t="shared" si="167"/>
        <v>2025.020B.Frobishervirinae_1nsf_1ng_1ns.zip</v>
      </c>
    </row>
    <row r="4431" spans="1:21">
      <c r="A4431">
        <v>4430</v>
      </c>
      <c r="B4431" s="27" t="s">
        <v>1449</v>
      </c>
      <c r="D4431" s="27" t="s">
        <v>1450</v>
      </c>
      <c r="F4431" s="27" t="s">
        <v>1453</v>
      </c>
      <c r="H4431" s="27" t="s">
        <v>1454</v>
      </c>
      <c r="M4431" s="27" t="s">
        <v>20883</v>
      </c>
      <c r="N4431" s="27" t="s">
        <v>1785</v>
      </c>
      <c r="P4431" s="27" t="s">
        <v>7791</v>
      </c>
      <c r="Q4431" s="26" t="str">
        <f>HYPERLINK("https://ictv.global/taxonomy/taxondetails?taxnode_id=202507653&amp;ictv_id=ICTV201907653","ICTV201907653")</f>
        <v>ICTV201907653</v>
      </c>
      <c r="R4431" t="s">
        <v>579</v>
      </c>
      <c r="S4431" t="s">
        <v>22763</v>
      </c>
      <c r="T4431">
        <v>41</v>
      </c>
      <c r="U4431" s="26" t="str">
        <f t="shared" si="167"/>
        <v>2025.020B.Frobishervirinae_1nsf_1ng_1ns.zip</v>
      </c>
    </row>
    <row r="4432" spans="1:21">
      <c r="A4432">
        <v>4431</v>
      </c>
      <c r="B4432" s="27" t="s">
        <v>1449</v>
      </c>
      <c r="D4432" s="27" t="s">
        <v>1450</v>
      </c>
      <c r="F4432" s="27" t="s">
        <v>1453</v>
      </c>
      <c r="H4432" s="27" t="s">
        <v>1454</v>
      </c>
      <c r="M4432" s="27" t="s">
        <v>20883</v>
      </c>
      <c r="N4432" s="27" t="s">
        <v>1785</v>
      </c>
      <c r="P4432" s="27" t="s">
        <v>7792</v>
      </c>
      <c r="Q4432" s="26" t="str">
        <f>HYPERLINK("https://ictv.global/taxonomy/taxondetails?taxnode_id=202511960&amp;ictv_id=ICTV202011960","ICTV202011960")</f>
        <v>ICTV202011960</v>
      </c>
      <c r="R4432" t="s">
        <v>579</v>
      </c>
      <c r="S4432" t="s">
        <v>22763</v>
      </c>
      <c r="T4432">
        <v>41</v>
      </c>
      <c r="U4432" s="26" t="str">
        <f t="shared" si="167"/>
        <v>2025.020B.Frobishervirinae_1nsf_1ng_1ns.zip</v>
      </c>
    </row>
    <row r="4433" spans="1:21">
      <c r="A4433">
        <v>4432</v>
      </c>
      <c r="B4433" s="27" t="s">
        <v>1449</v>
      </c>
      <c r="D4433" s="27" t="s">
        <v>1450</v>
      </c>
      <c r="F4433" s="27" t="s">
        <v>1453</v>
      </c>
      <c r="H4433" s="27" t="s">
        <v>1454</v>
      </c>
      <c r="M4433" s="27" t="s">
        <v>20883</v>
      </c>
      <c r="N4433" s="27" t="s">
        <v>1785</v>
      </c>
      <c r="P4433" s="27" t="s">
        <v>7793</v>
      </c>
      <c r="Q4433" s="26" t="str">
        <f>HYPERLINK("https://ictv.global/taxonomy/taxondetails?taxnode_id=202511959&amp;ictv_id=ICTV202011959","ICTV202011959")</f>
        <v>ICTV202011959</v>
      </c>
      <c r="R4433" t="s">
        <v>579</v>
      </c>
      <c r="S4433" t="s">
        <v>22763</v>
      </c>
      <c r="T4433">
        <v>41</v>
      </c>
      <c r="U4433" s="26" t="str">
        <f t="shared" si="167"/>
        <v>2025.020B.Frobishervirinae_1nsf_1ng_1ns.zip</v>
      </c>
    </row>
    <row r="4434" spans="1:21">
      <c r="A4434">
        <v>4433</v>
      </c>
      <c r="B4434" s="27" t="s">
        <v>1449</v>
      </c>
      <c r="D4434" s="27" t="s">
        <v>1450</v>
      </c>
      <c r="F4434" s="27" t="s">
        <v>1453</v>
      </c>
      <c r="H4434" s="27" t="s">
        <v>1454</v>
      </c>
      <c r="M4434" s="27" t="s">
        <v>6069</v>
      </c>
      <c r="N4434" s="27" t="s">
        <v>6070</v>
      </c>
      <c r="P4434" s="27" t="s">
        <v>6071</v>
      </c>
      <c r="Q4434" s="26" t="str">
        <f>HYPERLINK("https://ictv.global/taxonomy/taxondetails?taxnode_id=202513593&amp;ictv_id=ICTV202113593","ICTV202113593")</f>
        <v>ICTV202113593</v>
      </c>
      <c r="R4434" t="s">
        <v>579</v>
      </c>
      <c r="S4434" t="s">
        <v>823</v>
      </c>
      <c r="T4434">
        <v>37</v>
      </c>
      <c r="U4434" s="26" t="str">
        <f t="shared" ref="U4434:U4441" si="168">HYPERLINK("https://ictv.global/ictv/proposals/2021.032B.R.Gclasvirinae.zip","2021.032B.R.Gclasvirinae.zip")</f>
        <v>2021.032B.R.Gclasvirinae.zip</v>
      </c>
    </row>
    <row r="4435" spans="1:21">
      <c r="A4435">
        <v>4434</v>
      </c>
      <c r="B4435" s="27" t="s">
        <v>1449</v>
      </c>
      <c r="D4435" s="27" t="s">
        <v>1450</v>
      </c>
      <c r="F4435" s="27" t="s">
        <v>1453</v>
      </c>
      <c r="H4435" s="27" t="s">
        <v>1454</v>
      </c>
      <c r="M4435" s="27" t="s">
        <v>6069</v>
      </c>
      <c r="N4435" s="27" t="s">
        <v>6072</v>
      </c>
      <c r="P4435" s="27" t="s">
        <v>6073</v>
      </c>
      <c r="Q4435" s="26" t="str">
        <f>HYPERLINK("https://ictv.global/taxonomy/taxondetails?taxnode_id=202513589&amp;ictv_id=ICTV202113589","ICTV202113589")</f>
        <v>ICTV202113589</v>
      </c>
      <c r="R4435" t="s">
        <v>579</v>
      </c>
      <c r="S4435" t="s">
        <v>823</v>
      </c>
      <c r="T4435">
        <v>37</v>
      </c>
      <c r="U4435" s="26" t="str">
        <f t="shared" si="168"/>
        <v>2021.032B.R.Gclasvirinae.zip</v>
      </c>
    </row>
    <row r="4436" spans="1:21">
      <c r="A4436">
        <v>4435</v>
      </c>
      <c r="B4436" s="27" t="s">
        <v>1449</v>
      </c>
      <c r="D4436" s="27" t="s">
        <v>1450</v>
      </c>
      <c r="F4436" s="27" t="s">
        <v>1453</v>
      </c>
      <c r="H4436" s="27" t="s">
        <v>1454</v>
      </c>
      <c r="M4436" s="27" t="s">
        <v>6069</v>
      </c>
      <c r="N4436" s="27" t="s">
        <v>6072</v>
      </c>
      <c r="P4436" s="27" t="s">
        <v>6074</v>
      </c>
      <c r="Q4436" s="26" t="str">
        <f>HYPERLINK("https://ictv.global/taxonomy/taxondetails?taxnode_id=202513591&amp;ictv_id=ICTV202113591","ICTV202113591")</f>
        <v>ICTV202113591</v>
      </c>
      <c r="R4436" t="s">
        <v>579</v>
      </c>
      <c r="S4436" t="s">
        <v>823</v>
      </c>
      <c r="T4436">
        <v>37</v>
      </c>
      <c r="U4436" s="26" t="str">
        <f t="shared" si="168"/>
        <v>2021.032B.R.Gclasvirinae.zip</v>
      </c>
    </row>
    <row r="4437" spans="1:21">
      <c r="A4437">
        <v>4436</v>
      </c>
      <c r="B4437" s="27" t="s">
        <v>1449</v>
      </c>
      <c r="D4437" s="27" t="s">
        <v>1450</v>
      </c>
      <c r="F4437" s="27" t="s">
        <v>1453</v>
      </c>
      <c r="H4437" s="27" t="s">
        <v>1454</v>
      </c>
      <c r="M4437" s="27" t="s">
        <v>6069</v>
      </c>
      <c r="N4437" s="27" t="s">
        <v>6072</v>
      </c>
      <c r="P4437" s="27" t="s">
        <v>6075</v>
      </c>
      <c r="Q4437" s="26" t="str">
        <f>HYPERLINK("https://ictv.global/taxonomy/taxondetails?taxnode_id=202513590&amp;ictv_id=ICTV202113590","ICTV202113590")</f>
        <v>ICTV202113590</v>
      </c>
      <c r="R4437" t="s">
        <v>579</v>
      </c>
      <c r="S4437" t="s">
        <v>823</v>
      </c>
      <c r="T4437">
        <v>37</v>
      </c>
      <c r="U4437" s="26" t="str">
        <f t="shared" si="168"/>
        <v>2021.032B.R.Gclasvirinae.zip</v>
      </c>
    </row>
    <row r="4438" spans="1:21">
      <c r="A4438">
        <v>4437</v>
      </c>
      <c r="B4438" s="27" t="s">
        <v>1449</v>
      </c>
      <c r="D4438" s="27" t="s">
        <v>1450</v>
      </c>
      <c r="F4438" s="27" t="s">
        <v>1453</v>
      </c>
      <c r="H4438" s="27" t="s">
        <v>1454</v>
      </c>
      <c r="M4438" s="27" t="s">
        <v>6069</v>
      </c>
      <c r="N4438" s="27" t="s">
        <v>6076</v>
      </c>
      <c r="P4438" s="27" t="s">
        <v>6077</v>
      </c>
      <c r="Q4438" s="26" t="str">
        <f>HYPERLINK("https://ictv.global/taxonomy/taxondetails?taxnode_id=202513595&amp;ictv_id=ICTV202113595","ICTV202113595")</f>
        <v>ICTV202113595</v>
      </c>
      <c r="R4438" t="s">
        <v>579</v>
      </c>
      <c r="S4438" t="s">
        <v>823</v>
      </c>
      <c r="T4438">
        <v>37</v>
      </c>
      <c r="U4438" s="26" t="str">
        <f t="shared" si="168"/>
        <v>2021.032B.R.Gclasvirinae.zip</v>
      </c>
    </row>
    <row r="4439" spans="1:21">
      <c r="A4439">
        <v>4438</v>
      </c>
      <c r="B4439" s="27" t="s">
        <v>1449</v>
      </c>
      <c r="D4439" s="27" t="s">
        <v>1450</v>
      </c>
      <c r="F4439" s="27" t="s">
        <v>1453</v>
      </c>
      <c r="H4439" s="27" t="s">
        <v>1454</v>
      </c>
      <c r="M4439" s="27" t="s">
        <v>6069</v>
      </c>
      <c r="N4439" s="27" t="s">
        <v>6076</v>
      </c>
      <c r="P4439" s="27" t="s">
        <v>6078</v>
      </c>
      <c r="Q4439" s="26" t="str">
        <f>HYPERLINK("https://ictv.global/taxonomy/taxondetails?taxnode_id=202513597&amp;ictv_id=ICTV202113597","ICTV202113597")</f>
        <v>ICTV202113597</v>
      </c>
      <c r="R4439" t="s">
        <v>579</v>
      </c>
      <c r="S4439" t="s">
        <v>823</v>
      </c>
      <c r="T4439">
        <v>37</v>
      </c>
      <c r="U4439" s="26" t="str">
        <f t="shared" si="168"/>
        <v>2021.032B.R.Gclasvirinae.zip</v>
      </c>
    </row>
    <row r="4440" spans="1:21">
      <c r="A4440">
        <v>4439</v>
      </c>
      <c r="B4440" s="27" t="s">
        <v>1449</v>
      </c>
      <c r="D4440" s="27" t="s">
        <v>1450</v>
      </c>
      <c r="F4440" s="27" t="s">
        <v>1453</v>
      </c>
      <c r="H4440" s="27" t="s">
        <v>1454</v>
      </c>
      <c r="M4440" s="27" t="s">
        <v>6069</v>
      </c>
      <c r="N4440" s="27" t="s">
        <v>6076</v>
      </c>
      <c r="P4440" s="27" t="s">
        <v>6079</v>
      </c>
      <c r="Q4440" s="26" t="str">
        <f>HYPERLINK("https://ictv.global/taxonomy/taxondetails?taxnode_id=202513596&amp;ictv_id=ICTV202113596","ICTV202113596")</f>
        <v>ICTV202113596</v>
      </c>
      <c r="R4440" t="s">
        <v>579</v>
      </c>
      <c r="S4440" t="s">
        <v>823</v>
      </c>
      <c r="T4440">
        <v>37</v>
      </c>
      <c r="U4440" s="26" t="str">
        <f t="shared" si="168"/>
        <v>2021.032B.R.Gclasvirinae.zip</v>
      </c>
    </row>
    <row r="4441" spans="1:21">
      <c r="A4441">
        <v>4440</v>
      </c>
      <c r="B4441" s="27" t="s">
        <v>1449</v>
      </c>
      <c r="D4441" s="27" t="s">
        <v>1450</v>
      </c>
      <c r="F4441" s="27" t="s">
        <v>1453</v>
      </c>
      <c r="H4441" s="27" t="s">
        <v>1454</v>
      </c>
      <c r="M4441" s="27" t="s">
        <v>6069</v>
      </c>
      <c r="N4441" s="27" t="s">
        <v>620</v>
      </c>
      <c r="P4441" s="27" t="s">
        <v>6080</v>
      </c>
      <c r="Q4441" s="26" t="str">
        <f>HYPERLINK("https://ictv.global/taxonomy/taxondetails?taxnode_id=202513587&amp;ictv_id=ICTV202113587","ICTV202113587")</f>
        <v>ICTV202113587</v>
      </c>
      <c r="R4441" t="s">
        <v>579</v>
      </c>
      <c r="S4441" t="s">
        <v>823</v>
      </c>
      <c r="T4441">
        <v>37</v>
      </c>
      <c r="U4441" s="26" t="str">
        <f t="shared" si="168"/>
        <v>2021.032B.R.Gclasvirinae.zip</v>
      </c>
    </row>
    <row r="4442" spans="1:21">
      <c r="A4442">
        <v>4441</v>
      </c>
      <c r="B4442" s="27" t="s">
        <v>1449</v>
      </c>
      <c r="D4442" s="27" t="s">
        <v>1450</v>
      </c>
      <c r="F4442" s="27" t="s">
        <v>1453</v>
      </c>
      <c r="H4442" s="27" t="s">
        <v>1454</v>
      </c>
      <c r="M4442" s="27" t="s">
        <v>6069</v>
      </c>
      <c r="N4442" s="27" t="s">
        <v>620</v>
      </c>
      <c r="P4442" s="27" t="s">
        <v>19765</v>
      </c>
      <c r="Q4442" s="26" t="str">
        <f>HYPERLINK("https://ictv.global/taxonomy/taxondetails?taxnode_id=202501076&amp;ictv_id=ICTV20140259","ICTV20140259")</f>
        <v>ICTV20140259</v>
      </c>
      <c r="R4442" t="s">
        <v>579</v>
      </c>
      <c r="S4442" t="s">
        <v>824</v>
      </c>
      <c r="T4442">
        <v>40</v>
      </c>
      <c r="U4442" s="26" t="str">
        <f>HYPERLINK("https://ictv.global/ictv/proposals/2024.036B.Caudoviricetes_Faserviricetes_Name_Corrections.zip","2024.036B.Caudoviricetes_Faserviricetes_Name_Corrections.zip")</f>
        <v>2024.036B.Caudoviricetes_Faserviricetes_Name_Corrections.zip</v>
      </c>
    </row>
    <row r="4443" spans="1:21">
      <c r="A4443">
        <v>4442</v>
      </c>
      <c r="B4443" s="27" t="s">
        <v>1449</v>
      </c>
      <c r="D4443" s="27" t="s">
        <v>1450</v>
      </c>
      <c r="F4443" s="27" t="s">
        <v>1453</v>
      </c>
      <c r="H4443" s="27" t="s">
        <v>1454</v>
      </c>
      <c r="M4443" s="27" t="s">
        <v>6069</v>
      </c>
      <c r="N4443" s="27" t="s">
        <v>620</v>
      </c>
      <c r="P4443" s="27" t="s">
        <v>19766</v>
      </c>
      <c r="Q4443" s="26" t="str">
        <f>HYPERLINK("https://ictv.global/taxonomy/taxondetails?taxnode_id=202501077&amp;ictv_id=ICTV20140260","ICTV20140260")</f>
        <v>ICTV20140260</v>
      </c>
      <c r="R4443" t="s">
        <v>579</v>
      </c>
      <c r="S4443" t="s">
        <v>824</v>
      </c>
      <c r="T4443">
        <v>40</v>
      </c>
      <c r="U4443" s="26" t="str">
        <f>HYPERLINK("https://ictv.global/ictv/proposals/2024.036B.Caudoviricetes_Faserviricetes_Name_Corrections.zip","2024.036B.Caudoviricetes_Faserviricetes_Name_Corrections.zip")</f>
        <v>2024.036B.Caudoviricetes_Faserviricetes_Name_Corrections.zip</v>
      </c>
    </row>
    <row r="4444" spans="1:21">
      <c r="A4444">
        <v>4443</v>
      </c>
      <c r="B4444" s="27" t="s">
        <v>1449</v>
      </c>
      <c r="D4444" s="27" t="s">
        <v>1450</v>
      </c>
      <c r="F4444" s="27" t="s">
        <v>1453</v>
      </c>
      <c r="H4444" s="27" t="s">
        <v>1454</v>
      </c>
      <c r="M4444" s="27" t="s">
        <v>6069</v>
      </c>
      <c r="N4444" s="27" t="s">
        <v>620</v>
      </c>
      <c r="P4444" s="27" t="s">
        <v>6081</v>
      </c>
      <c r="Q4444" s="26" t="str">
        <f>HYPERLINK("https://ictv.global/taxonomy/taxondetails?taxnode_id=202513584&amp;ictv_id=ICTV202113584","ICTV202113584")</f>
        <v>ICTV202113584</v>
      </c>
      <c r="R4444" t="s">
        <v>579</v>
      </c>
      <c r="S4444" t="s">
        <v>823</v>
      </c>
      <c r="T4444">
        <v>37</v>
      </c>
      <c r="U4444" s="26" t="str">
        <f>HYPERLINK("https://ictv.global/ictv/proposals/2021.032B.R.Gclasvirinae.zip","2021.032B.R.Gclasvirinae.zip")</f>
        <v>2021.032B.R.Gclasvirinae.zip</v>
      </c>
    </row>
    <row r="4445" spans="1:21">
      <c r="A4445">
        <v>4444</v>
      </c>
      <c r="B4445" s="27" t="s">
        <v>1449</v>
      </c>
      <c r="D4445" s="27" t="s">
        <v>1450</v>
      </c>
      <c r="F4445" s="27" t="s">
        <v>1453</v>
      </c>
      <c r="H4445" s="27" t="s">
        <v>1454</v>
      </c>
      <c r="M4445" s="27" t="s">
        <v>6069</v>
      </c>
      <c r="N4445" s="27" t="s">
        <v>620</v>
      </c>
      <c r="P4445" s="27" t="s">
        <v>6082</v>
      </c>
      <c r="Q4445" s="26" t="str">
        <f>HYPERLINK("https://ictv.global/taxonomy/taxondetails?taxnode_id=202513586&amp;ictv_id=ICTV202113586","ICTV202113586")</f>
        <v>ICTV202113586</v>
      </c>
      <c r="R4445" t="s">
        <v>579</v>
      </c>
      <c r="S4445" t="s">
        <v>823</v>
      </c>
      <c r="T4445">
        <v>37</v>
      </c>
      <c r="U4445" s="26" t="str">
        <f>HYPERLINK("https://ictv.global/ictv/proposals/2021.032B.R.Gclasvirinae.zip","2021.032B.R.Gclasvirinae.zip")</f>
        <v>2021.032B.R.Gclasvirinae.zip</v>
      </c>
    </row>
    <row r="4446" spans="1:21">
      <c r="A4446">
        <v>4445</v>
      </c>
      <c r="B4446" s="27" t="s">
        <v>1449</v>
      </c>
      <c r="D4446" s="27" t="s">
        <v>1450</v>
      </c>
      <c r="F4446" s="27" t="s">
        <v>1453</v>
      </c>
      <c r="H4446" s="27" t="s">
        <v>1454</v>
      </c>
      <c r="M4446" s="27" t="s">
        <v>6069</v>
      </c>
      <c r="N4446" s="27" t="s">
        <v>620</v>
      </c>
      <c r="P4446" s="27" t="s">
        <v>6083</v>
      </c>
      <c r="Q4446" s="26" t="str">
        <f>HYPERLINK("https://ictv.global/taxonomy/taxondetails?taxnode_id=202513585&amp;ictv_id=ICTV202113585","ICTV202113585")</f>
        <v>ICTV202113585</v>
      </c>
      <c r="R4446" t="s">
        <v>579</v>
      </c>
      <c r="S4446" t="s">
        <v>823</v>
      </c>
      <c r="T4446">
        <v>37</v>
      </c>
      <c r="U4446" s="26" t="str">
        <f>HYPERLINK("https://ictv.global/ictv/proposals/2021.032B.R.Gclasvirinae.zip","2021.032B.R.Gclasvirinae.zip")</f>
        <v>2021.032B.R.Gclasvirinae.zip</v>
      </c>
    </row>
    <row r="4447" spans="1:21">
      <c r="A4447">
        <v>4446</v>
      </c>
      <c r="B4447" s="27" t="s">
        <v>1449</v>
      </c>
      <c r="D4447" s="27" t="s">
        <v>1450</v>
      </c>
      <c r="F4447" s="27" t="s">
        <v>1453</v>
      </c>
      <c r="H4447" s="27" t="s">
        <v>1454</v>
      </c>
      <c r="M4447" s="27" t="s">
        <v>6069</v>
      </c>
      <c r="N4447" s="27" t="s">
        <v>6084</v>
      </c>
      <c r="P4447" s="27" t="s">
        <v>6085</v>
      </c>
      <c r="Q4447" s="26" t="str">
        <f>HYPERLINK("https://ictv.global/taxonomy/taxondetails?taxnode_id=202513600&amp;ictv_id=ICTV202113600","ICTV202113600")</f>
        <v>ICTV202113600</v>
      </c>
      <c r="R4447" t="s">
        <v>579</v>
      </c>
      <c r="S4447" t="s">
        <v>823</v>
      </c>
      <c r="T4447">
        <v>37</v>
      </c>
      <c r="U4447" s="26" t="str">
        <f>HYPERLINK("https://ictv.global/ictv/proposals/2021.032B.R.Gclasvirinae.zip","2021.032B.R.Gclasvirinae.zip")</f>
        <v>2021.032B.R.Gclasvirinae.zip</v>
      </c>
    </row>
    <row r="4448" spans="1:21">
      <c r="A4448">
        <v>4447</v>
      </c>
      <c r="B4448" s="27" t="s">
        <v>1449</v>
      </c>
      <c r="D4448" s="27" t="s">
        <v>1450</v>
      </c>
      <c r="F4448" s="27" t="s">
        <v>1453</v>
      </c>
      <c r="H4448" s="27" t="s">
        <v>1454</v>
      </c>
      <c r="M4448" s="27" t="s">
        <v>6069</v>
      </c>
      <c r="N4448" s="27" t="s">
        <v>6084</v>
      </c>
      <c r="P4448" s="27" t="s">
        <v>6086</v>
      </c>
      <c r="Q4448" s="26" t="str">
        <f>HYPERLINK("https://ictv.global/taxonomy/taxondetails?taxnode_id=202513599&amp;ictv_id=ICTV202113599","ICTV202113599")</f>
        <v>ICTV202113599</v>
      </c>
      <c r="R4448" t="s">
        <v>579</v>
      </c>
      <c r="S4448" t="s">
        <v>823</v>
      </c>
      <c r="T4448">
        <v>37</v>
      </c>
      <c r="U4448" s="26" t="str">
        <f>HYPERLINK("https://ictv.global/ictv/proposals/2021.032B.R.Gclasvirinae.zip","2021.032B.R.Gclasvirinae.zip")</f>
        <v>2021.032B.R.Gclasvirinae.zip</v>
      </c>
    </row>
    <row r="4449" spans="1:21">
      <c r="A4449">
        <v>4448</v>
      </c>
      <c r="B4449" s="27" t="s">
        <v>1449</v>
      </c>
      <c r="D4449" s="27" t="s">
        <v>1450</v>
      </c>
      <c r="F4449" s="27" t="s">
        <v>1453</v>
      </c>
      <c r="H4449" s="27" t="s">
        <v>1454</v>
      </c>
      <c r="M4449" s="27" t="s">
        <v>2216</v>
      </c>
      <c r="N4449" s="27" t="s">
        <v>2217</v>
      </c>
      <c r="P4449" s="27" t="s">
        <v>6087</v>
      </c>
      <c r="Q4449" s="26" t="str">
        <f>HYPERLINK("https://ictv.global/taxonomy/taxondetails?taxnode_id=202510047&amp;ictv_id=ICTV202010047","ICTV202010047")</f>
        <v>ICTV202010047</v>
      </c>
      <c r="R4449" t="s">
        <v>579</v>
      </c>
      <c r="S4449" t="s">
        <v>824</v>
      </c>
      <c r="T4449">
        <v>37</v>
      </c>
      <c r="U4449" s="26" t="str">
        <f t="shared" ref="U4449:U4454" si="169">HYPERLINK("https://ictv.global/ictv/proposals/2021.010B.R.Binomial_names.zip","2021.010B.R.Binomial_names.zip")</f>
        <v>2021.010B.R.Binomial_names.zip</v>
      </c>
    </row>
    <row r="4450" spans="1:21">
      <c r="A4450">
        <v>4449</v>
      </c>
      <c r="B4450" s="27" t="s">
        <v>1449</v>
      </c>
      <c r="D4450" s="27" t="s">
        <v>1450</v>
      </c>
      <c r="F4450" s="27" t="s">
        <v>1453</v>
      </c>
      <c r="H4450" s="27" t="s">
        <v>1454</v>
      </c>
      <c r="M4450" s="27" t="s">
        <v>2216</v>
      </c>
      <c r="N4450" s="27" t="s">
        <v>779</v>
      </c>
      <c r="P4450" s="27" t="s">
        <v>6088</v>
      </c>
      <c r="Q4450" s="26" t="str">
        <f>HYPERLINK("https://ictv.global/taxonomy/taxondetails?taxnode_id=202500981&amp;ictv_id=ICTV20164993","ICTV20164993")</f>
        <v>ICTV20164993</v>
      </c>
      <c r="R4450" t="s">
        <v>579</v>
      </c>
      <c r="S4450" t="s">
        <v>824</v>
      </c>
      <c r="T4450">
        <v>37</v>
      </c>
      <c r="U4450" s="26" t="str">
        <f t="shared" si="169"/>
        <v>2021.010B.R.Binomial_names.zip</v>
      </c>
    </row>
    <row r="4451" spans="1:21">
      <c r="A4451">
        <v>4450</v>
      </c>
      <c r="B4451" s="27" t="s">
        <v>1449</v>
      </c>
      <c r="D4451" s="27" t="s">
        <v>1450</v>
      </c>
      <c r="F4451" s="27" t="s">
        <v>1453</v>
      </c>
      <c r="H4451" s="27" t="s">
        <v>1454</v>
      </c>
      <c r="M4451" s="27" t="s">
        <v>2216</v>
      </c>
      <c r="N4451" s="27" t="s">
        <v>790</v>
      </c>
      <c r="P4451" s="27" t="s">
        <v>6089</v>
      </c>
      <c r="Q4451" s="26" t="str">
        <f>HYPERLINK("https://ictv.global/taxonomy/taxondetails?taxnode_id=202501365&amp;ictv_id=ICTV20165101","ICTV20165101")</f>
        <v>ICTV20165101</v>
      </c>
      <c r="R4451" t="s">
        <v>579</v>
      </c>
      <c r="S4451" t="s">
        <v>824</v>
      </c>
      <c r="T4451">
        <v>37</v>
      </c>
      <c r="U4451" s="26" t="str">
        <f t="shared" si="169"/>
        <v>2021.010B.R.Binomial_names.zip</v>
      </c>
    </row>
    <row r="4452" spans="1:21">
      <c r="A4452">
        <v>4451</v>
      </c>
      <c r="B4452" s="27" t="s">
        <v>1449</v>
      </c>
      <c r="D4452" s="27" t="s">
        <v>1450</v>
      </c>
      <c r="F4452" s="27" t="s">
        <v>1453</v>
      </c>
      <c r="H4452" s="27" t="s">
        <v>1454</v>
      </c>
      <c r="M4452" s="27" t="s">
        <v>2216</v>
      </c>
      <c r="N4452" s="27" t="s">
        <v>2218</v>
      </c>
      <c r="P4452" s="27" t="s">
        <v>6090</v>
      </c>
      <c r="Q4452" s="26" t="str">
        <f>HYPERLINK("https://ictv.global/taxonomy/taxondetails?taxnode_id=202510049&amp;ictv_id=ICTV202010049","ICTV202010049")</f>
        <v>ICTV202010049</v>
      </c>
      <c r="R4452" t="s">
        <v>579</v>
      </c>
      <c r="S4452" t="s">
        <v>824</v>
      </c>
      <c r="T4452">
        <v>37</v>
      </c>
      <c r="U4452" s="26" t="str">
        <f t="shared" si="169"/>
        <v>2021.010B.R.Binomial_names.zip</v>
      </c>
    </row>
    <row r="4453" spans="1:21">
      <c r="A4453">
        <v>4452</v>
      </c>
      <c r="B4453" s="27" t="s">
        <v>1449</v>
      </c>
      <c r="D4453" s="27" t="s">
        <v>1450</v>
      </c>
      <c r="F4453" s="27" t="s">
        <v>1453</v>
      </c>
      <c r="H4453" s="27" t="s">
        <v>1454</v>
      </c>
      <c r="M4453" s="27" t="s">
        <v>6121</v>
      </c>
      <c r="N4453" s="27" t="s">
        <v>2248</v>
      </c>
      <c r="P4453" s="27" t="s">
        <v>6122</v>
      </c>
      <c r="Q4453" s="26" t="str">
        <f>HYPERLINK("https://ictv.global/taxonomy/taxondetails?taxnode_id=202500892&amp;ictv_id=ICTV20140288","ICTV20140288")</f>
        <v>ICTV20140288</v>
      </c>
      <c r="R4453" t="s">
        <v>579</v>
      </c>
      <c r="S4453" t="s">
        <v>824</v>
      </c>
      <c r="T4453">
        <v>37</v>
      </c>
      <c r="U4453" s="26" t="str">
        <f t="shared" si="169"/>
        <v>2021.010B.R.Binomial_names.zip</v>
      </c>
    </row>
    <row r="4454" spans="1:21">
      <c r="A4454">
        <v>4453</v>
      </c>
      <c r="B4454" s="27" t="s">
        <v>1449</v>
      </c>
      <c r="D4454" s="27" t="s">
        <v>1450</v>
      </c>
      <c r="F4454" s="27" t="s">
        <v>1453</v>
      </c>
      <c r="H4454" s="27" t="s">
        <v>1454</v>
      </c>
      <c r="M4454" s="27" t="s">
        <v>6121</v>
      </c>
      <c r="N4454" s="27" t="s">
        <v>2248</v>
      </c>
      <c r="P4454" s="27" t="s">
        <v>6123</v>
      </c>
      <c r="Q4454" s="26" t="str">
        <f>HYPERLINK("https://ictv.global/taxonomy/taxondetails?taxnode_id=202500895&amp;ictv_id=ICTV20140287","ICTV20140287")</f>
        <v>ICTV20140287</v>
      </c>
      <c r="R4454" t="s">
        <v>579</v>
      </c>
      <c r="S4454" t="s">
        <v>824</v>
      </c>
      <c r="T4454">
        <v>37</v>
      </c>
      <c r="U4454" s="26" t="str">
        <f t="shared" si="169"/>
        <v>2021.010B.R.Binomial_names.zip</v>
      </c>
    </row>
    <row r="4455" spans="1:21">
      <c r="A4455">
        <v>4454</v>
      </c>
      <c r="B4455" s="27" t="s">
        <v>1449</v>
      </c>
      <c r="D4455" s="27" t="s">
        <v>1450</v>
      </c>
      <c r="F4455" s="27" t="s">
        <v>1453</v>
      </c>
      <c r="H4455" s="27" t="s">
        <v>1454</v>
      </c>
      <c r="M4455" s="27" t="s">
        <v>6121</v>
      </c>
      <c r="N4455" s="27" t="s">
        <v>2248</v>
      </c>
      <c r="P4455" s="27" t="s">
        <v>6124</v>
      </c>
      <c r="Q4455" s="26" t="str">
        <f>HYPERLINK("https://ictv.global/taxonomy/taxondetails?taxnode_id=202512340&amp;ictv_id=ICTV202112340","ICTV202112340")</f>
        <v>ICTV202112340</v>
      </c>
      <c r="R4455" t="s">
        <v>579</v>
      </c>
      <c r="S4455" t="s">
        <v>823</v>
      </c>
      <c r="T4455">
        <v>37</v>
      </c>
      <c r="U4455" s="26" t="str">
        <f>HYPERLINK("https://ictv.global/ictv/proposals/2021.035B.R.Gracegardnervirinae.zip","2021.035B.R.Gracegardnervirinae.zip")</f>
        <v>2021.035B.R.Gracegardnervirinae.zip</v>
      </c>
    </row>
    <row r="4456" spans="1:21">
      <c r="A4456">
        <v>4455</v>
      </c>
      <c r="B4456" s="27" t="s">
        <v>1449</v>
      </c>
      <c r="D4456" s="27" t="s">
        <v>1450</v>
      </c>
      <c r="F4456" s="27" t="s">
        <v>1453</v>
      </c>
      <c r="H4456" s="27" t="s">
        <v>1454</v>
      </c>
      <c r="M4456" s="27" t="s">
        <v>6121</v>
      </c>
      <c r="N4456" s="27" t="s">
        <v>2248</v>
      </c>
      <c r="P4456" s="27" t="s">
        <v>6125</v>
      </c>
      <c r="Q4456" s="26" t="str">
        <f>HYPERLINK("https://ictv.global/taxonomy/taxondetails?taxnode_id=202512341&amp;ictv_id=ICTV202112341","ICTV202112341")</f>
        <v>ICTV202112341</v>
      </c>
      <c r="R4456" t="s">
        <v>579</v>
      </c>
      <c r="S4456" t="s">
        <v>823</v>
      </c>
      <c r="T4456">
        <v>37</v>
      </c>
      <c r="U4456" s="26" t="str">
        <f>HYPERLINK("https://ictv.global/ictv/proposals/2021.035B.R.Gracegardnervirinae.zip","2021.035B.R.Gracegardnervirinae.zip")</f>
        <v>2021.035B.R.Gracegardnervirinae.zip</v>
      </c>
    </row>
    <row r="4457" spans="1:21">
      <c r="A4457">
        <v>4456</v>
      </c>
      <c r="B4457" s="27" t="s">
        <v>1449</v>
      </c>
      <c r="D4457" s="27" t="s">
        <v>1450</v>
      </c>
      <c r="F4457" s="27" t="s">
        <v>1453</v>
      </c>
      <c r="H4457" s="27" t="s">
        <v>1454</v>
      </c>
      <c r="M4457" s="27" t="s">
        <v>6121</v>
      </c>
      <c r="N4457" s="27" t="s">
        <v>2248</v>
      </c>
      <c r="P4457" s="27" t="s">
        <v>6126</v>
      </c>
      <c r="Q4457" s="26" t="str">
        <f>HYPERLINK("https://ictv.global/taxonomy/taxondetails?taxnode_id=202500918&amp;ictv_id=ICTV20140289","ICTV20140289")</f>
        <v>ICTV20140289</v>
      </c>
      <c r="R4457" t="s">
        <v>579</v>
      </c>
      <c r="S4457" t="s">
        <v>824</v>
      </c>
      <c r="T4457">
        <v>37</v>
      </c>
      <c r="U4457" s="26" t="str">
        <f>HYPERLINK("https://ictv.global/ictv/proposals/2021.010B.R.Binomial_names.zip","2021.010B.R.Binomial_names.zip")</f>
        <v>2021.010B.R.Binomial_names.zip</v>
      </c>
    </row>
    <row r="4458" spans="1:21">
      <c r="A4458">
        <v>4457</v>
      </c>
      <c r="B4458" s="27" t="s">
        <v>1449</v>
      </c>
      <c r="D4458" s="27" t="s">
        <v>1450</v>
      </c>
      <c r="F4458" s="27" t="s">
        <v>1453</v>
      </c>
      <c r="H4458" s="27" t="s">
        <v>1454</v>
      </c>
      <c r="M4458" s="27" t="s">
        <v>6121</v>
      </c>
      <c r="N4458" s="27" t="s">
        <v>2248</v>
      </c>
      <c r="P4458" s="27" t="s">
        <v>6127</v>
      </c>
      <c r="Q4458" s="26" t="str">
        <f>HYPERLINK("https://ictv.global/taxonomy/taxondetails?taxnode_id=202512342&amp;ictv_id=ICTV202112342","ICTV202112342")</f>
        <v>ICTV202112342</v>
      </c>
      <c r="R4458" t="s">
        <v>579</v>
      </c>
      <c r="S4458" t="s">
        <v>823</v>
      </c>
      <c r="T4458">
        <v>37</v>
      </c>
      <c r="U4458" s="26" t="str">
        <f>HYPERLINK("https://ictv.global/ictv/proposals/2021.035B.R.Gracegardnervirinae.zip","2021.035B.R.Gracegardnervirinae.zip")</f>
        <v>2021.035B.R.Gracegardnervirinae.zip</v>
      </c>
    </row>
    <row r="4459" spans="1:21">
      <c r="A4459">
        <v>4458</v>
      </c>
      <c r="B4459" s="27" t="s">
        <v>1449</v>
      </c>
      <c r="D4459" s="27" t="s">
        <v>1450</v>
      </c>
      <c r="F4459" s="27" t="s">
        <v>1453</v>
      </c>
      <c r="H4459" s="27" t="s">
        <v>1454</v>
      </c>
      <c r="M4459" s="27" t="s">
        <v>6121</v>
      </c>
      <c r="N4459" s="27" t="s">
        <v>1343</v>
      </c>
      <c r="P4459" s="27" t="s">
        <v>6128</v>
      </c>
      <c r="Q4459" s="26" t="str">
        <f>HYPERLINK("https://ictv.global/taxonomy/taxondetails?taxnode_id=202512257&amp;ictv_id=ICTV202112257","ICTV202112257")</f>
        <v>ICTV202112257</v>
      </c>
      <c r="R4459" t="s">
        <v>579</v>
      </c>
      <c r="S4459" t="s">
        <v>823</v>
      </c>
      <c r="T4459">
        <v>37</v>
      </c>
      <c r="U4459" s="26" t="str">
        <f>HYPERLINK("https://ictv.global/ictv/proposals/2021.035B.R.Gracegardnervirinae.zip","2021.035B.R.Gracegardnervirinae.zip")</f>
        <v>2021.035B.R.Gracegardnervirinae.zip</v>
      </c>
    </row>
    <row r="4460" spans="1:21">
      <c r="A4460">
        <v>4459</v>
      </c>
      <c r="B4460" s="27" t="s">
        <v>1449</v>
      </c>
      <c r="D4460" s="27" t="s">
        <v>1450</v>
      </c>
      <c r="F4460" s="27" t="s">
        <v>1453</v>
      </c>
      <c r="H4460" s="27" t="s">
        <v>1454</v>
      </c>
      <c r="M4460" s="27" t="s">
        <v>6121</v>
      </c>
      <c r="N4460" s="27" t="s">
        <v>1343</v>
      </c>
      <c r="P4460" s="27" t="s">
        <v>19767</v>
      </c>
      <c r="Q4460" s="26" t="str">
        <f>HYPERLINK("https://ictv.global/taxonomy/taxondetails?taxnode_id=202500891&amp;ictv_id=ICTV20140279","ICTV20140279")</f>
        <v>ICTV20140279</v>
      </c>
      <c r="R4460" t="s">
        <v>579</v>
      </c>
      <c r="S4460" t="s">
        <v>824</v>
      </c>
      <c r="T4460">
        <v>40</v>
      </c>
      <c r="U4460" s="26" t="str">
        <f>HYPERLINK("https://ictv.global/ictv/proposals/2024.036B.Caudoviricetes_Faserviricetes_Name_Corrections.zip","2024.036B.Caudoviricetes_Faserviricetes_Name_Corrections.zip")</f>
        <v>2024.036B.Caudoviricetes_Faserviricetes_Name_Corrections.zip</v>
      </c>
    </row>
    <row r="4461" spans="1:21">
      <c r="A4461">
        <v>4460</v>
      </c>
      <c r="B4461" s="27" t="s">
        <v>1449</v>
      </c>
      <c r="D4461" s="27" t="s">
        <v>1450</v>
      </c>
      <c r="F4461" s="27" t="s">
        <v>1453</v>
      </c>
      <c r="H4461" s="27" t="s">
        <v>1454</v>
      </c>
      <c r="M4461" s="27" t="s">
        <v>6121</v>
      </c>
      <c r="N4461" s="27" t="s">
        <v>1343</v>
      </c>
      <c r="P4461" s="27" t="s">
        <v>6129</v>
      </c>
      <c r="Q4461" s="26" t="str">
        <f>HYPERLINK("https://ictv.global/taxonomy/taxondetails?taxnode_id=202512258&amp;ictv_id=ICTV202112258","ICTV202112258")</f>
        <v>ICTV202112258</v>
      </c>
      <c r="R4461" t="s">
        <v>579</v>
      </c>
      <c r="S4461" t="s">
        <v>823</v>
      </c>
      <c r="T4461">
        <v>37</v>
      </c>
      <c r="U4461" s="26" t="str">
        <f>HYPERLINK("https://ictv.global/ictv/proposals/2021.035B.R.Gracegardnervirinae.zip","2021.035B.R.Gracegardnervirinae.zip")</f>
        <v>2021.035B.R.Gracegardnervirinae.zip</v>
      </c>
    </row>
    <row r="4462" spans="1:21">
      <c r="A4462">
        <v>4461</v>
      </c>
      <c r="B4462" s="27" t="s">
        <v>1449</v>
      </c>
      <c r="D4462" s="27" t="s">
        <v>1450</v>
      </c>
      <c r="F4462" s="27" t="s">
        <v>1453</v>
      </c>
      <c r="H4462" s="27" t="s">
        <v>1454</v>
      </c>
      <c r="M4462" s="27" t="s">
        <v>6121</v>
      </c>
      <c r="N4462" s="27" t="s">
        <v>1343</v>
      </c>
      <c r="P4462" s="27" t="s">
        <v>6130</v>
      </c>
      <c r="Q4462" s="26" t="str">
        <f>HYPERLINK("https://ictv.global/taxonomy/taxondetails?taxnode_id=202512259&amp;ictv_id=ICTV202112259","ICTV202112259")</f>
        <v>ICTV202112259</v>
      </c>
      <c r="R4462" t="s">
        <v>579</v>
      </c>
      <c r="S4462" t="s">
        <v>823</v>
      </c>
      <c r="T4462">
        <v>37</v>
      </c>
      <c r="U4462" s="26" t="str">
        <f>HYPERLINK("https://ictv.global/ictv/proposals/2021.035B.R.Gracegardnervirinae.zip","2021.035B.R.Gracegardnervirinae.zip")</f>
        <v>2021.035B.R.Gracegardnervirinae.zip</v>
      </c>
    </row>
    <row r="4463" spans="1:21">
      <c r="A4463">
        <v>4462</v>
      </c>
      <c r="B4463" s="27" t="s">
        <v>1449</v>
      </c>
      <c r="D4463" s="27" t="s">
        <v>1450</v>
      </c>
      <c r="F4463" s="27" t="s">
        <v>1453</v>
      </c>
      <c r="H4463" s="27" t="s">
        <v>1454</v>
      </c>
      <c r="M4463" s="27" t="s">
        <v>6121</v>
      </c>
      <c r="N4463" s="27" t="s">
        <v>1343</v>
      </c>
      <c r="P4463" s="27" t="s">
        <v>6131</v>
      </c>
      <c r="Q4463" s="26" t="str">
        <f>HYPERLINK("https://ictv.global/taxonomy/taxondetails?taxnode_id=202512260&amp;ictv_id=ICTV202112260","ICTV202112260")</f>
        <v>ICTV202112260</v>
      </c>
      <c r="R4463" t="s">
        <v>579</v>
      </c>
      <c r="S4463" t="s">
        <v>823</v>
      </c>
      <c r="T4463">
        <v>37</v>
      </c>
      <c r="U4463" s="26" t="str">
        <f>HYPERLINK("https://ictv.global/ictv/proposals/2021.035B.R.Gracegardnervirinae.zip","2021.035B.R.Gracegardnervirinae.zip")</f>
        <v>2021.035B.R.Gracegardnervirinae.zip</v>
      </c>
    </row>
    <row r="4464" spans="1:21">
      <c r="A4464">
        <v>4463</v>
      </c>
      <c r="B4464" s="27" t="s">
        <v>1449</v>
      </c>
      <c r="D4464" s="27" t="s">
        <v>1450</v>
      </c>
      <c r="F4464" s="27" t="s">
        <v>1453</v>
      </c>
      <c r="H4464" s="27" t="s">
        <v>1454</v>
      </c>
      <c r="M4464" s="27" t="s">
        <v>6121</v>
      </c>
      <c r="N4464" s="27" t="s">
        <v>1343</v>
      </c>
      <c r="P4464" s="27" t="s">
        <v>6132</v>
      </c>
      <c r="Q4464" s="26" t="str">
        <f>HYPERLINK("https://ictv.global/taxonomy/taxondetails?taxnode_id=202512261&amp;ictv_id=ICTV202112261","ICTV202112261")</f>
        <v>ICTV202112261</v>
      </c>
      <c r="R4464" t="s">
        <v>579</v>
      </c>
      <c r="S4464" t="s">
        <v>823</v>
      </c>
      <c r="T4464">
        <v>37</v>
      </c>
      <c r="U4464" s="26" t="str">
        <f>HYPERLINK("https://ictv.global/ictv/proposals/2021.035B.R.Gracegardnervirinae.zip","2021.035B.R.Gracegardnervirinae.zip")</f>
        <v>2021.035B.R.Gracegardnervirinae.zip</v>
      </c>
    </row>
    <row r="4465" spans="1:21">
      <c r="A4465">
        <v>4464</v>
      </c>
      <c r="B4465" s="27" t="s">
        <v>1449</v>
      </c>
      <c r="D4465" s="27" t="s">
        <v>1450</v>
      </c>
      <c r="F4465" s="27" t="s">
        <v>1453</v>
      </c>
      <c r="H4465" s="27" t="s">
        <v>1454</v>
      </c>
      <c r="M4465" s="27" t="s">
        <v>6121</v>
      </c>
      <c r="N4465" s="27" t="s">
        <v>1343</v>
      </c>
      <c r="P4465" s="27" t="s">
        <v>19768</v>
      </c>
      <c r="Q4465" s="26" t="str">
        <f>HYPERLINK("https://ictv.global/taxonomy/taxondetails?taxnode_id=202500893&amp;ictv_id=ICTV20140277","ICTV20140277")</f>
        <v>ICTV20140277</v>
      </c>
      <c r="R4465" t="s">
        <v>579</v>
      </c>
      <c r="S4465" t="s">
        <v>824</v>
      </c>
      <c r="T4465">
        <v>40</v>
      </c>
      <c r="U4465" s="26" t="str">
        <f>HYPERLINK("https://ictv.global/ictv/proposals/2024.036B.Caudoviricetes_Faserviricetes_Name_Corrections.zip","2024.036B.Caudoviricetes_Faserviricetes_Name_Corrections.zip")</f>
        <v>2024.036B.Caudoviricetes_Faserviricetes_Name_Corrections.zip</v>
      </c>
    </row>
    <row r="4466" spans="1:21">
      <c r="A4466">
        <v>4465</v>
      </c>
      <c r="B4466" s="27" t="s">
        <v>1449</v>
      </c>
      <c r="D4466" s="27" t="s">
        <v>1450</v>
      </c>
      <c r="F4466" s="27" t="s">
        <v>1453</v>
      </c>
      <c r="H4466" s="27" t="s">
        <v>1454</v>
      </c>
      <c r="M4466" s="27" t="s">
        <v>6121</v>
      </c>
      <c r="N4466" s="27" t="s">
        <v>1343</v>
      </c>
      <c r="P4466" s="27" t="s">
        <v>6133</v>
      </c>
      <c r="Q4466" s="26" t="str">
        <f>HYPERLINK("https://ictv.global/taxonomy/taxondetails?taxnode_id=202512262&amp;ictv_id=ICTV202112262","ICTV202112262")</f>
        <v>ICTV202112262</v>
      </c>
      <c r="R4466" t="s">
        <v>579</v>
      </c>
      <c r="S4466" t="s">
        <v>823</v>
      </c>
      <c r="T4466">
        <v>37</v>
      </c>
      <c r="U4466" s="26" t="str">
        <f>HYPERLINK("https://ictv.global/ictv/proposals/2021.035B.R.Gracegardnervirinae.zip","2021.035B.R.Gracegardnervirinae.zip")</f>
        <v>2021.035B.R.Gracegardnervirinae.zip</v>
      </c>
    </row>
    <row r="4467" spans="1:21">
      <c r="A4467">
        <v>4466</v>
      </c>
      <c r="B4467" s="27" t="s">
        <v>1449</v>
      </c>
      <c r="D4467" s="27" t="s">
        <v>1450</v>
      </c>
      <c r="F4467" s="27" t="s">
        <v>1453</v>
      </c>
      <c r="H4467" s="27" t="s">
        <v>1454</v>
      </c>
      <c r="M4467" s="27" t="s">
        <v>6121</v>
      </c>
      <c r="N4467" s="27" t="s">
        <v>1343</v>
      </c>
      <c r="P4467" s="27" t="s">
        <v>6134</v>
      </c>
      <c r="Q4467" s="26" t="str">
        <f>HYPERLINK("https://ictv.global/taxonomy/taxondetails?taxnode_id=202512263&amp;ictv_id=ICTV202112263","ICTV202112263")</f>
        <v>ICTV202112263</v>
      </c>
      <c r="R4467" t="s">
        <v>579</v>
      </c>
      <c r="S4467" t="s">
        <v>823</v>
      </c>
      <c r="T4467">
        <v>37</v>
      </c>
      <c r="U4467" s="26" t="str">
        <f>HYPERLINK("https://ictv.global/ictv/proposals/2021.035B.R.Gracegardnervirinae.zip","2021.035B.R.Gracegardnervirinae.zip")</f>
        <v>2021.035B.R.Gracegardnervirinae.zip</v>
      </c>
    </row>
    <row r="4468" spans="1:21">
      <c r="A4468">
        <v>4467</v>
      </c>
      <c r="B4468" s="27" t="s">
        <v>1449</v>
      </c>
      <c r="D4468" s="27" t="s">
        <v>1450</v>
      </c>
      <c r="F4468" s="27" t="s">
        <v>1453</v>
      </c>
      <c r="H4468" s="27" t="s">
        <v>1454</v>
      </c>
      <c r="M4468" s="27" t="s">
        <v>6121</v>
      </c>
      <c r="N4468" s="27" t="s">
        <v>1343</v>
      </c>
      <c r="P4468" s="27" t="s">
        <v>6135</v>
      </c>
      <c r="Q4468" s="26" t="str">
        <f>HYPERLINK("https://ictv.global/taxonomy/taxondetails?taxnode_id=202512264&amp;ictv_id=ICTV202112264","ICTV202112264")</f>
        <v>ICTV202112264</v>
      </c>
      <c r="R4468" t="s">
        <v>579</v>
      </c>
      <c r="S4468" t="s">
        <v>823</v>
      </c>
      <c r="T4468">
        <v>37</v>
      </c>
      <c r="U4468" s="26" t="str">
        <f>HYPERLINK("https://ictv.global/ictv/proposals/2021.035B.R.Gracegardnervirinae.zip","2021.035B.R.Gracegardnervirinae.zip")</f>
        <v>2021.035B.R.Gracegardnervirinae.zip</v>
      </c>
    </row>
    <row r="4469" spans="1:21">
      <c r="A4469">
        <v>4468</v>
      </c>
      <c r="B4469" s="27" t="s">
        <v>1449</v>
      </c>
      <c r="D4469" s="27" t="s">
        <v>1450</v>
      </c>
      <c r="F4469" s="27" t="s">
        <v>1453</v>
      </c>
      <c r="H4469" s="27" t="s">
        <v>1454</v>
      </c>
      <c r="M4469" s="27" t="s">
        <v>6121</v>
      </c>
      <c r="N4469" s="27" t="s">
        <v>1343</v>
      </c>
      <c r="P4469" s="27" t="s">
        <v>6136</v>
      </c>
      <c r="Q4469" s="26" t="str">
        <f>HYPERLINK("https://ictv.global/taxonomy/taxondetails?taxnode_id=202512265&amp;ictv_id=ICTV202112265","ICTV202112265")</f>
        <v>ICTV202112265</v>
      </c>
      <c r="R4469" t="s">
        <v>579</v>
      </c>
      <c r="S4469" t="s">
        <v>823</v>
      </c>
      <c r="T4469">
        <v>37</v>
      </c>
      <c r="U4469" s="26" t="str">
        <f>HYPERLINK("https://ictv.global/ictv/proposals/2021.035B.R.Gracegardnervirinae.zip","2021.035B.R.Gracegardnervirinae.zip")</f>
        <v>2021.035B.R.Gracegardnervirinae.zip</v>
      </c>
    </row>
    <row r="4470" spans="1:21">
      <c r="A4470">
        <v>4469</v>
      </c>
      <c r="B4470" s="27" t="s">
        <v>1449</v>
      </c>
      <c r="D4470" s="27" t="s">
        <v>1450</v>
      </c>
      <c r="F4470" s="27" t="s">
        <v>1453</v>
      </c>
      <c r="H4470" s="27" t="s">
        <v>1454</v>
      </c>
      <c r="M4470" s="27" t="s">
        <v>6121</v>
      </c>
      <c r="N4470" s="27" t="s">
        <v>1343</v>
      </c>
      <c r="P4470" s="27" t="s">
        <v>6137</v>
      </c>
      <c r="Q4470" s="26" t="str">
        <f>HYPERLINK("https://ictv.global/taxonomy/taxondetails?taxnode_id=202512266&amp;ictv_id=ICTV202112266","ICTV202112266")</f>
        <v>ICTV202112266</v>
      </c>
      <c r="R4470" t="s">
        <v>579</v>
      </c>
      <c r="S4470" t="s">
        <v>823</v>
      </c>
      <c r="T4470">
        <v>37</v>
      </c>
      <c r="U4470" s="26" t="str">
        <f>HYPERLINK("https://ictv.global/ictv/proposals/2021.035B.R.Gracegardnervirinae.zip","2021.035B.R.Gracegardnervirinae.zip")</f>
        <v>2021.035B.R.Gracegardnervirinae.zip</v>
      </c>
    </row>
    <row r="4471" spans="1:21">
      <c r="A4471">
        <v>4470</v>
      </c>
      <c r="B4471" s="27" t="s">
        <v>1449</v>
      </c>
      <c r="D4471" s="27" t="s">
        <v>1450</v>
      </c>
      <c r="F4471" s="27" t="s">
        <v>1453</v>
      </c>
      <c r="H4471" s="27" t="s">
        <v>1454</v>
      </c>
      <c r="M4471" s="27" t="s">
        <v>6121</v>
      </c>
      <c r="N4471" s="27" t="s">
        <v>1343</v>
      </c>
      <c r="P4471" s="27" t="s">
        <v>19769</v>
      </c>
      <c r="Q4471" s="26" t="str">
        <f>HYPERLINK("https://ictv.global/taxonomy/taxondetails?taxnode_id=202500894&amp;ictv_id=ICTV20140262","ICTV20140262")</f>
        <v>ICTV20140262</v>
      </c>
      <c r="R4471" t="s">
        <v>579</v>
      </c>
      <c r="S4471" t="s">
        <v>824</v>
      </c>
      <c r="T4471">
        <v>40</v>
      </c>
      <c r="U4471" s="26" t="str">
        <f>HYPERLINK("https://ictv.global/ictv/proposals/2024.036B.Caudoviricetes_Faserviricetes_Name_Corrections.zip","2024.036B.Caudoviricetes_Faserviricetes_Name_Corrections.zip")</f>
        <v>2024.036B.Caudoviricetes_Faserviricetes_Name_Corrections.zip</v>
      </c>
    </row>
    <row r="4472" spans="1:21">
      <c r="A4472">
        <v>4471</v>
      </c>
      <c r="B4472" s="27" t="s">
        <v>1449</v>
      </c>
      <c r="D4472" s="27" t="s">
        <v>1450</v>
      </c>
      <c r="F4472" s="27" t="s">
        <v>1453</v>
      </c>
      <c r="H4472" s="27" t="s">
        <v>1454</v>
      </c>
      <c r="M4472" s="27" t="s">
        <v>6121</v>
      </c>
      <c r="N4472" s="27" t="s">
        <v>1343</v>
      </c>
      <c r="P4472" s="27" t="s">
        <v>6138</v>
      </c>
      <c r="Q4472" s="26" t="str">
        <f>HYPERLINK("https://ictv.global/taxonomy/taxondetails?taxnode_id=202512267&amp;ictv_id=ICTV202112267","ICTV202112267")</f>
        <v>ICTV202112267</v>
      </c>
      <c r="R4472" t="s">
        <v>579</v>
      </c>
      <c r="S4472" t="s">
        <v>823</v>
      </c>
      <c r="T4472">
        <v>37</v>
      </c>
      <c r="U4472" s="26" t="str">
        <f>HYPERLINK("https://ictv.global/ictv/proposals/2021.035B.R.Gracegardnervirinae.zip","2021.035B.R.Gracegardnervirinae.zip")</f>
        <v>2021.035B.R.Gracegardnervirinae.zip</v>
      </c>
    </row>
    <row r="4473" spans="1:21">
      <c r="A4473">
        <v>4472</v>
      </c>
      <c r="B4473" s="27" t="s">
        <v>1449</v>
      </c>
      <c r="D4473" s="27" t="s">
        <v>1450</v>
      </c>
      <c r="F4473" s="27" t="s">
        <v>1453</v>
      </c>
      <c r="H4473" s="27" t="s">
        <v>1454</v>
      </c>
      <c r="M4473" s="27" t="s">
        <v>6121</v>
      </c>
      <c r="N4473" s="27" t="s">
        <v>1343</v>
      </c>
      <c r="P4473" s="27" t="s">
        <v>6139</v>
      </c>
      <c r="Q4473" s="26" t="str">
        <f>HYPERLINK("https://ictv.global/taxonomy/taxondetails?taxnode_id=202512268&amp;ictv_id=ICTV202112268","ICTV202112268")</f>
        <v>ICTV202112268</v>
      </c>
      <c r="R4473" t="s">
        <v>579</v>
      </c>
      <c r="S4473" t="s">
        <v>823</v>
      </c>
      <c r="T4473">
        <v>37</v>
      </c>
      <c r="U4473" s="26" t="str">
        <f>HYPERLINK("https://ictv.global/ictv/proposals/2021.035B.R.Gracegardnervirinae.zip","2021.035B.R.Gracegardnervirinae.zip")</f>
        <v>2021.035B.R.Gracegardnervirinae.zip</v>
      </c>
    </row>
    <row r="4474" spans="1:21">
      <c r="A4474">
        <v>4473</v>
      </c>
      <c r="B4474" s="27" t="s">
        <v>1449</v>
      </c>
      <c r="D4474" s="27" t="s">
        <v>1450</v>
      </c>
      <c r="F4474" s="27" t="s">
        <v>1453</v>
      </c>
      <c r="H4474" s="27" t="s">
        <v>1454</v>
      </c>
      <c r="M4474" s="27" t="s">
        <v>6121</v>
      </c>
      <c r="N4474" s="27" t="s">
        <v>1343</v>
      </c>
      <c r="P4474" s="27" t="s">
        <v>19770</v>
      </c>
      <c r="Q4474" s="26" t="str">
        <f>HYPERLINK("https://ictv.global/taxonomy/taxondetails?taxnode_id=202500896&amp;ictv_id=ICTV20140275","ICTV20140275")</f>
        <v>ICTV20140275</v>
      </c>
      <c r="R4474" t="s">
        <v>579</v>
      </c>
      <c r="S4474" t="s">
        <v>824</v>
      </c>
      <c r="T4474">
        <v>40</v>
      </c>
      <c r="U4474" s="26" t="str">
        <f>HYPERLINK("https://ictv.global/ictv/proposals/2024.036B.Caudoviricetes_Faserviricetes_Name_Corrections.zip","2024.036B.Caudoviricetes_Faserviricetes_Name_Corrections.zip")</f>
        <v>2024.036B.Caudoviricetes_Faserviricetes_Name_Corrections.zip</v>
      </c>
    </row>
    <row r="4475" spans="1:21">
      <c r="A4475">
        <v>4474</v>
      </c>
      <c r="B4475" s="27" t="s">
        <v>1449</v>
      </c>
      <c r="D4475" s="27" t="s">
        <v>1450</v>
      </c>
      <c r="F4475" s="27" t="s">
        <v>1453</v>
      </c>
      <c r="H4475" s="27" t="s">
        <v>1454</v>
      </c>
      <c r="M4475" s="27" t="s">
        <v>6121</v>
      </c>
      <c r="N4475" s="27" t="s">
        <v>1343</v>
      </c>
      <c r="P4475" s="27" t="s">
        <v>6140</v>
      </c>
      <c r="Q4475" s="26" t="str">
        <f>HYPERLINK("https://ictv.global/taxonomy/taxondetails?taxnode_id=202512269&amp;ictv_id=ICTV202112269","ICTV202112269")</f>
        <v>ICTV202112269</v>
      </c>
      <c r="R4475" t="s">
        <v>579</v>
      </c>
      <c r="S4475" t="s">
        <v>823</v>
      </c>
      <c r="T4475">
        <v>37</v>
      </c>
      <c r="U4475" s="26" t="str">
        <f>HYPERLINK("https://ictv.global/ictv/proposals/2021.035B.R.Gracegardnervirinae.zip","2021.035B.R.Gracegardnervirinae.zip")</f>
        <v>2021.035B.R.Gracegardnervirinae.zip</v>
      </c>
    </row>
    <row r="4476" spans="1:21">
      <c r="A4476">
        <v>4475</v>
      </c>
      <c r="B4476" s="27" t="s">
        <v>1449</v>
      </c>
      <c r="D4476" s="27" t="s">
        <v>1450</v>
      </c>
      <c r="F4476" s="27" t="s">
        <v>1453</v>
      </c>
      <c r="H4476" s="27" t="s">
        <v>1454</v>
      </c>
      <c r="M4476" s="27" t="s">
        <v>6121</v>
      </c>
      <c r="N4476" s="27" t="s">
        <v>1343</v>
      </c>
      <c r="P4476" s="27" t="s">
        <v>19771</v>
      </c>
      <c r="Q4476" s="26" t="str">
        <f>HYPERLINK("https://ictv.global/taxonomy/taxondetails?taxnode_id=202500897&amp;ictv_id=ICTV20140278","ICTV20140278")</f>
        <v>ICTV20140278</v>
      </c>
      <c r="R4476" t="s">
        <v>579</v>
      </c>
      <c r="S4476" t="s">
        <v>824</v>
      </c>
      <c r="T4476">
        <v>40</v>
      </c>
      <c r="U4476" s="26" t="str">
        <f>HYPERLINK("https://ictv.global/ictv/proposals/2024.036B.Caudoviricetes_Faserviricetes_Name_Corrections.zip","2024.036B.Caudoviricetes_Faserviricetes_Name_Corrections.zip")</f>
        <v>2024.036B.Caudoviricetes_Faserviricetes_Name_Corrections.zip</v>
      </c>
    </row>
    <row r="4477" spans="1:21">
      <c r="A4477">
        <v>4476</v>
      </c>
      <c r="B4477" s="27" t="s">
        <v>1449</v>
      </c>
      <c r="D4477" s="27" t="s">
        <v>1450</v>
      </c>
      <c r="F4477" s="27" t="s">
        <v>1453</v>
      </c>
      <c r="H4477" s="27" t="s">
        <v>1454</v>
      </c>
      <c r="M4477" s="27" t="s">
        <v>6121</v>
      </c>
      <c r="N4477" s="27" t="s">
        <v>1343</v>
      </c>
      <c r="P4477" s="27" t="s">
        <v>6141</v>
      </c>
      <c r="Q4477" s="26" t="str">
        <f>HYPERLINK("https://ictv.global/taxonomy/taxondetails?taxnode_id=202512270&amp;ictv_id=ICTV202112270","ICTV202112270")</f>
        <v>ICTV202112270</v>
      </c>
      <c r="R4477" t="s">
        <v>579</v>
      </c>
      <c r="S4477" t="s">
        <v>823</v>
      </c>
      <c r="T4477">
        <v>37</v>
      </c>
      <c r="U4477" s="26" t="str">
        <f>HYPERLINK("https://ictv.global/ictv/proposals/2021.035B.R.Gracegardnervirinae.zip","2021.035B.R.Gracegardnervirinae.zip")</f>
        <v>2021.035B.R.Gracegardnervirinae.zip</v>
      </c>
    </row>
    <row r="4478" spans="1:21">
      <c r="A4478">
        <v>4477</v>
      </c>
      <c r="B4478" s="27" t="s">
        <v>1449</v>
      </c>
      <c r="D4478" s="27" t="s">
        <v>1450</v>
      </c>
      <c r="F4478" s="27" t="s">
        <v>1453</v>
      </c>
      <c r="H4478" s="27" t="s">
        <v>1454</v>
      </c>
      <c r="M4478" s="27" t="s">
        <v>6121</v>
      </c>
      <c r="N4478" s="27" t="s">
        <v>1343</v>
      </c>
      <c r="P4478" s="27" t="s">
        <v>19772</v>
      </c>
      <c r="Q4478" s="26" t="str">
        <f>HYPERLINK("https://ictv.global/taxonomy/taxondetails?taxnode_id=202500898&amp;ictv_id=ICTV20140274","ICTV20140274")</f>
        <v>ICTV20140274</v>
      </c>
      <c r="R4478" t="s">
        <v>579</v>
      </c>
      <c r="S4478" t="s">
        <v>824</v>
      </c>
      <c r="T4478">
        <v>40</v>
      </c>
      <c r="U4478" s="26" t="str">
        <f>HYPERLINK("https://ictv.global/ictv/proposals/2024.036B.Caudoviricetes_Faserviricetes_Name_Corrections.zip","2024.036B.Caudoviricetes_Faserviricetes_Name_Corrections.zip")</f>
        <v>2024.036B.Caudoviricetes_Faserviricetes_Name_Corrections.zip</v>
      </c>
    </row>
    <row r="4479" spans="1:21">
      <c r="A4479">
        <v>4478</v>
      </c>
      <c r="B4479" s="27" t="s">
        <v>1449</v>
      </c>
      <c r="D4479" s="27" t="s">
        <v>1450</v>
      </c>
      <c r="F4479" s="27" t="s">
        <v>1453</v>
      </c>
      <c r="H4479" s="27" t="s">
        <v>1454</v>
      </c>
      <c r="M4479" s="27" t="s">
        <v>6121</v>
      </c>
      <c r="N4479" s="27" t="s">
        <v>1343</v>
      </c>
      <c r="P4479" s="27" t="s">
        <v>19773</v>
      </c>
      <c r="Q4479" s="26" t="str">
        <f>HYPERLINK("https://ictv.global/taxonomy/taxondetails?taxnode_id=202500899&amp;ictv_id=ICTV20140265","ICTV20140265")</f>
        <v>ICTV20140265</v>
      </c>
      <c r="R4479" t="s">
        <v>579</v>
      </c>
      <c r="S4479" t="s">
        <v>824</v>
      </c>
      <c r="T4479">
        <v>40</v>
      </c>
      <c r="U4479" s="26" t="str">
        <f>HYPERLINK("https://ictv.global/ictv/proposals/2024.036B.Caudoviricetes_Faserviricetes_Name_Corrections.zip","2024.036B.Caudoviricetes_Faserviricetes_Name_Corrections.zip")</f>
        <v>2024.036B.Caudoviricetes_Faserviricetes_Name_Corrections.zip</v>
      </c>
    </row>
    <row r="4480" spans="1:21">
      <c r="A4480">
        <v>4479</v>
      </c>
      <c r="B4480" s="27" t="s">
        <v>1449</v>
      </c>
      <c r="D4480" s="27" t="s">
        <v>1450</v>
      </c>
      <c r="F4480" s="27" t="s">
        <v>1453</v>
      </c>
      <c r="H4480" s="27" t="s">
        <v>1454</v>
      </c>
      <c r="M4480" s="27" t="s">
        <v>6121</v>
      </c>
      <c r="N4480" s="27" t="s">
        <v>1343</v>
      </c>
      <c r="P4480" s="27" t="s">
        <v>6142</v>
      </c>
      <c r="Q4480" s="26" t="str">
        <f>HYPERLINK("https://ictv.global/taxonomy/taxondetails?taxnode_id=202512271&amp;ictv_id=ICTV202112271","ICTV202112271")</f>
        <v>ICTV202112271</v>
      </c>
      <c r="R4480" t="s">
        <v>579</v>
      </c>
      <c r="S4480" t="s">
        <v>823</v>
      </c>
      <c r="T4480">
        <v>37</v>
      </c>
      <c r="U4480" s="26" t="str">
        <f>HYPERLINK("https://ictv.global/ictv/proposals/2021.035B.R.Gracegardnervirinae.zip","2021.035B.R.Gracegardnervirinae.zip")</f>
        <v>2021.035B.R.Gracegardnervirinae.zip</v>
      </c>
    </row>
    <row r="4481" spans="1:21">
      <c r="A4481">
        <v>4480</v>
      </c>
      <c r="B4481" s="27" t="s">
        <v>1449</v>
      </c>
      <c r="D4481" s="27" t="s">
        <v>1450</v>
      </c>
      <c r="F4481" s="27" t="s">
        <v>1453</v>
      </c>
      <c r="H4481" s="27" t="s">
        <v>1454</v>
      </c>
      <c r="M4481" s="27" t="s">
        <v>6121</v>
      </c>
      <c r="N4481" s="27" t="s">
        <v>1343</v>
      </c>
      <c r="P4481" s="27" t="s">
        <v>19774</v>
      </c>
      <c r="Q4481" s="26" t="str">
        <f>HYPERLINK("https://ictv.global/taxonomy/taxondetails?taxnode_id=202500900&amp;ictv_id=ICTV20140282","ICTV20140282")</f>
        <v>ICTV20140282</v>
      </c>
      <c r="R4481" t="s">
        <v>579</v>
      </c>
      <c r="S4481" t="s">
        <v>824</v>
      </c>
      <c r="T4481">
        <v>40</v>
      </c>
      <c r="U4481" s="26" t="str">
        <f>HYPERLINK("https://ictv.global/ictv/proposals/2024.036B.Caudoviricetes_Faserviricetes_Name_Corrections.zip","2024.036B.Caudoviricetes_Faserviricetes_Name_Corrections.zip")</f>
        <v>2024.036B.Caudoviricetes_Faserviricetes_Name_Corrections.zip</v>
      </c>
    </row>
    <row r="4482" spans="1:21">
      <c r="A4482">
        <v>4481</v>
      </c>
      <c r="B4482" s="27" t="s">
        <v>1449</v>
      </c>
      <c r="D4482" s="27" t="s">
        <v>1450</v>
      </c>
      <c r="F4482" s="27" t="s">
        <v>1453</v>
      </c>
      <c r="H4482" s="27" t="s">
        <v>1454</v>
      </c>
      <c r="M4482" s="27" t="s">
        <v>6121</v>
      </c>
      <c r="N4482" s="27" t="s">
        <v>1343</v>
      </c>
      <c r="P4482" s="27" t="s">
        <v>6143</v>
      </c>
      <c r="Q4482" s="26" t="str">
        <f>HYPERLINK("https://ictv.global/taxonomy/taxondetails?taxnode_id=202512272&amp;ictv_id=ICTV202112272","ICTV202112272")</f>
        <v>ICTV202112272</v>
      </c>
      <c r="R4482" t="s">
        <v>579</v>
      </c>
      <c r="S4482" t="s">
        <v>823</v>
      </c>
      <c r="T4482">
        <v>37</v>
      </c>
      <c r="U4482" s="26" t="str">
        <f t="shared" ref="U4482:U4491" si="170">HYPERLINK("https://ictv.global/ictv/proposals/2021.035B.R.Gracegardnervirinae.zip","2021.035B.R.Gracegardnervirinae.zip")</f>
        <v>2021.035B.R.Gracegardnervirinae.zip</v>
      </c>
    </row>
    <row r="4483" spans="1:21">
      <c r="A4483">
        <v>4482</v>
      </c>
      <c r="B4483" s="27" t="s">
        <v>1449</v>
      </c>
      <c r="D4483" s="27" t="s">
        <v>1450</v>
      </c>
      <c r="F4483" s="27" t="s">
        <v>1453</v>
      </c>
      <c r="H4483" s="27" t="s">
        <v>1454</v>
      </c>
      <c r="M4483" s="27" t="s">
        <v>6121</v>
      </c>
      <c r="N4483" s="27" t="s">
        <v>1343</v>
      </c>
      <c r="P4483" s="27" t="s">
        <v>6144</v>
      </c>
      <c r="Q4483" s="26" t="str">
        <f>HYPERLINK("https://ictv.global/taxonomy/taxondetails?taxnode_id=202512273&amp;ictv_id=ICTV202112273","ICTV202112273")</f>
        <v>ICTV202112273</v>
      </c>
      <c r="R4483" t="s">
        <v>579</v>
      </c>
      <c r="S4483" t="s">
        <v>823</v>
      </c>
      <c r="T4483">
        <v>37</v>
      </c>
      <c r="U4483" s="26" t="str">
        <f t="shared" si="170"/>
        <v>2021.035B.R.Gracegardnervirinae.zip</v>
      </c>
    </row>
    <row r="4484" spans="1:21">
      <c r="A4484">
        <v>4483</v>
      </c>
      <c r="B4484" s="27" t="s">
        <v>1449</v>
      </c>
      <c r="D4484" s="27" t="s">
        <v>1450</v>
      </c>
      <c r="F4484" s="27" t="s">
        <v>1453</v>
      </c>
      <c r="H4484" s="27" t="s">
        <v>1454</v>
      </c>
      <c r="M4484" s="27" t="s">
        <v>6121</v>
      </c>
      <c r="N4484" s="27" t="s">
        <v>1343</v>
      </c>
      <c r="P4484" s="27" t="s">
        <v>6145</v>
      </c>
      <c r="Q4484" s="26" t="str">
        <f>HYPERLINK("https://ictv.global/taxonomy/taxondetails?taxnode_id=202512274&amp;ictv_id=ICTV202112274","ICTV202112274")</f>
        <v>ICTV202112274</v>
      </c>
      <c r="R4484" t="s">
        <v>579</v>
      </c>
      <c r="S4484" t="s">
        <v>823</v>
      </c>
      <c r="T4484">
        <v>37</v>
      </c>
      <c r="U4484" s="26" t="str">
        <f t="shared" si="170"/>
        <v>2021.035B.R.Gracegardnervirinae.zip</v>
      </c>
    </row>
    <row r="4485" spans="1:21">
      <c r="A4485">
        <v>4484</v>
      </c>
      <c r="B4485" s="27" t="s">
        <v>1449</v>
      </c>
      <c r="D4485" s="27" t="s">
        <v>1450</v>
      </c>
      <c r="F4485" s="27" t="s">
        <v>1453</v>
      </c>
      <c r="H4485" s="27" t="s">
        <v>1454</v>
      </c>
      <c r="M4485" s="27" t="s">
        <v>6121</v>
      </c>
      <c r="N4485" s="27" t="s">
        <v>1343</v>
      </c>
      <c r="P4485" s="27" t="s">
        <v>6146</v>
      </c>
      <c r="Q4485" s="26" t="str">
        <f>HYPERLINK("https://ictv.global/taxonomy/taxondetails?taxnode_id=202512275&amp;ictv_id=ICTV202112275","ICTV202112275")</f>
        <v>ICTV202112275</v>
      </c>
      <c r="R4485" t="s">
        <v>579</v>
      </c>
      <c r="S4485" t="s">
        <v>823</v>
      </c>
      <c r="T4485">
        <v>37</v>
      </c>
      <c r="U4485" s="26" t="str">
        <f t="shared" si="170"/>
        <v>2021.035B.R.Gracegardnervirinae.zip</v>
      </c>
    </row>
    <row r="4486" spans="1:21">
      <c r="A4486">
        <v>4485</v>
      </c>
      <c r="B4486" s="27" t="s">
        <v>1449</v>
      </c>
      <c r="D4486" s="27" t="s">
        <v>1450</v>
      </c>
      <c r="F4486" s="27" t="s">
        <v>1453</v>
      </c>
      <c r="H4486" s="27" t="s">
        <v>1454</v>
      </c>
      <c r="M4486" s="27" t="s">
        <v>6121</v>
      </c>
      <c r="N4486" s="27" t="s">
        <v>1343</v>
      </c>
      <c r="P4486" s="27" t="s">
        <v>6147</v>
      </c>
      <c r="Q4486" s="26" t="str">
        <f>HYPERLINK("https://ictv.global/taxonomy/taxondetails?taxnode_id=202512276&amp;ictv_id=ICTV202112276","ICTV202112276")</f>
        <v>ICTV202112276</v>
      </c>
      <c r="R4486" t="s">
        <v>579</v>
      </c>
      <c r="S4486" t="s">
        <v>823</v>
      </c>
      <c r="T4486">
        <v>37</v>
      </c>
      <c r="U4486" s="26" t="str">
        <f t="shared" si="170"/>
        <v>2021.035B.R.Gracegardnervirinae.zip</v>
      </c>
    </row>
    <row r="4487" spans="1:21">
      <c r="A4487">
        <v>4486</v>
      </c>
      <c r="B4487" s="27" t="s">
        <v>1449</v>
      </c>
      <c r="D4487" s="27" t="s">
        <v>1450</v>
      </c>
      <c r="F4487" s="27" t="s">
        <v>1453</v>
      </c>
      <c r="H4487" s="27" t="s">
        <v>1454</v>
      </c>
      <c r="M4487" s="27" t="s">
        <v>6121</v>
      </c>
      <c r="N4487" s="27" t="s">
        <v>1343</v>
      </c>
      <c r="P4487" s="27" t="s">
        <v>6148</v>
      </c>
      <c r="Q4487" s="26" t="str">
        <f>HYPERLINK("https://ictv.global/taxonomy/taxondetails?taxnode_id=202512277&amp;ictv_id=ICTV202112277","ICTV202112277")</f>
        <v>ICTV202112277</v>
      </c>
      <c r="R4487" t="s">
        <v>579</v>
      </c>
      <c r="S4487" t="s">
        <v>823</v>
      </c>
      <c r="T4487">
        <v>37</v>
      </c>
      <c r="U4487" s="26" t="str">
        <f t="shared" si="170"/>
        <v>2021.035B.R.Gracegardnervirinae.zip</v>
      </c>
    </row>
    <row r="4488" spans="1:21">
      <c r="A4488">
        <v>4487</v>
      </c>
      <c r="B4488" s="27" t="s">
        <v>1449</v>
      </c>
      <c r="D4488" s="27" t="s">
        <v>1450</v>
      </c>
      <c r="F4488" s="27" t="s">
        <v>1453</v>
      </c>
      <c r="H4488" s="27" t="s">
        <v>1454</v>
      </c>
      <c r="M4488" s="27" t="s">
        <v>6121</v>
      </c>
      <c r="N4488" s="27" t="s">
        <v>1343</v>
      </c>
      <c r="P4488" s="27" t="s">
        <v>6149</v>
      </c>
      <c r="Q4488" s="26" t="str">
        <f>HYPERLINK("https://ictv.global/taxonomy/taxondetails?taxnode_id=202512278&amp;ictv_id=ICTV202112278","ICTV202112278")</f>
        <v>ICTV202112278</v>
      </c>
      <c r="R4488" t="s">
        <v>579</v>
      </c>
      <c r="S4488" t="s">
        <v>823</v>
      </c>
      <c r="T4488">
        <v>37</v>
      </c>
      <c r="U4488" s="26" t="str">
        <f t="shared" si="170"/>
        <v>2021.035B.R.Gracegardnervirinae.zip</v>
      </c>
    </row>
    <row r="4489" spans="1:21">
      <c r="A4489">
        <v>4488</v>
      </c>
      <c r="B4489" s="27" t="s">
        <v>1449</v>
      </c>
      <c r="D4489" s="27" t="s">
        <v>1450</v>
      </c>
      <c r="F4489" s="27" t="s">
        <v>1453</v>
      </c>
      <c r="H4489" s="27" t="s">
        <v>1454</v>
      </c>
      <c r="M4489" s="27" t="s">
        <v>6121</v>
      </c>
      <c r="N4489" s="27" t="s">
        <v>1343</v>
      </c>
      <c r="P4489" s="27" t="s">
        <v>6150</v>
      </c>
      <c r="Q4489" s="26" t="str">
        <f>HYPERLINK("https://ictv.global/taxonomy/taxondetails?taxnode_id=202512279&amp;ictv_id=ICTV202112279","ICTV202112279")</f>
        <v>ICTV202112279</v>
      </c>
      <c r="R4489" t="s">
        <v>579</v>
      </c>
      <c r="S4489" t="s">
        <v>823</v>
      </c>
      <c r="T4489">
        <v>37</v>
      </c>
      <c r="U4489" s="26" t="str">
        <f t="shared" si="170"/>
        <v>2021.035B.R.Gracegardnervirinae.zip</v>
      </c>
    </row>
    <row r="4490" spans="1:21">
      <c r="A4490">
        <v>4489</v>
      </c>
      <c r="B4490" s="27" t="s">
        <v>1449</v>
      </c>
      <c r="D4490" s="27" t="s">
        <v>1450</v>
      </c>
      <c r="F4490" s="27" t="s">
        <v>1453</v>
      </c>
      <c r="H4490" s="27" t="s">
        <v>1454</v>
      </c>
      <c r="M4490" s="27" t="s">
        <v>6121</v>
      </c>
      <c r="N4490" s="27" t="s">
        <v>1343</v>
      </c>
      <c r="P4490" s="27" t="s">
        <v>6151</v>
      </c>
      <c r="Q4490" s="26" t="str">
        <f>HYPERLINK("https://ictv.global/taxonomy/taxondetails?taxnode_id=202512280&amp;ictv_id=ICTV202112280","ICTV202112280")</f>
        <v>ICTV202112280</v>
      </c>
      <c r="R4490" t="s">
        <v>579</v>
      </c>
      <c r="S4490" t="s">
        <v>823</v>
      </c>
      <c r="T4490">
        <v>37</v>
      </c>
      <c r="U4490" s="26" t="str">
        <f t="shared" si="170"/>
        <v>2021.035B.R.Gracegardnervirinae.zip</v>
      </c>
    </row>
    <row r="4491" spans="1:21">
      <c r="A4491">
        <v>4490</v>
      </c>
      <c r="B4491" s="27" t="s">
        <v>1449</v>
      </c>
      <c r="D4491" s="27" t="s">
        <v>1450</v>
      </c>
      <c r="F4491" s="27" t="s">
        <v>1453</v>
      </c>
      <c r="H4491" s="27" t="s">
        <v>1454</v>
      </c>
      <c r="M4491" s="27" t="s">
        <v>6121</v>
      </c>
      <c r="N4491" s="27" t="s">
        <v>1343</v>
      </c>
      <c r="P4491" s="27" t="s">
        <v>6152</v>
      </c>
      <c r="Q4491" s="26" t="str">
        <f>HYPERLINK("https://ictv.global/taxonomy/taxondetails?taxnode_id=202512281&amp;ictv_id=ICTV202112281","ICTV202112281")</f>
        <v>ICTV202112281</v>
      </c>
      <c r="R4491" t="s">
        <v>579</v>
      </c>
      <c r="S4491" t="s">
        <v>823</v>
      </c>
      <c r="T4491">
        <v>37</v>
      </c>
      <c r="U4491" s="26" t="str">
        <f t="shared" si="170"/>
        <v>2021.035B.R.Gracegardnervirinae.zip</v>
      </c>
    </row>
    <row r="4492" spans="1:21">
      <c r="A4492">
        <v>4491</v>
      </c>
      <c r="B4492" s="27" t="s">
        <v>1449</v>
      </c>
      <c r="D4492" s="27" t="s">
        <v>1450</v>
      </c>
      <c r="F4492" s="27" t="s">
        <v>1453</v>
      </c>
      <c r="H4492" s="27" t="s">
        <v>1454</v>
      </c>
      <c r="M4492" s="27" t="s">
        <v>6121</v>
      </c>
      <c r="N4492" s="27" t="s">
        <v>1343</v>
      </c>
      <c r="P4492" s="27" t="s">
        <v>19775</v>
      </c>
      <c r="Q4492" s="26" t="str">
        <f>HYPERLINK("https://ictv.global/taxonomy/taxondetails?taxnode_id=202500901&amp;ictv_id=ICTV20140280","ICTV20140280")</f>
        <v>ICTV20140280</v>
      </c>
      <c r="R4492" t="s">
        <v>579</v>
      </c>
      <c r="S4492" t="s">
        <v>824</v>
      </c>
      <c r="T4492">
        <v>40</v>
      </c>
      <c r="U4492" s="26" t="str">
        <f>HYPERLINK("https://ictv.global/ictv/proposals/2024.036B.Caudoviricetes_Faserviricetes_Name_Corrections.zip","2024.036B.Caudoviricetes_Faserviricetes_Name_Corrections.zip")</f>
        <v>2024.036B.Caudoviricetes_Faserviricetes_Name_Corrections.zip</v>
      </c>
    </row>
    <row r="4493" spans="1:21">
      <c r="A4493">
        <v>4492</v>
      </c>
      <c r="B4493" s="27" t="s">
        <v>1449</v>
      </c>
      <c r="D4493" s="27" t="s">
        <v>1450</v>
      </c>
      <c r="F4493" s="27" t="s">
        <v>1453</v>
      </c>
      <c r="H4493" s="27" t="s">
        <v>1454</v>
      </c>
      <c r="M4493" s="27" t="s">
        <v>6121</v>
      </c>
      <c r="N4493" s="27" t="s">
        <v>1343</v>
      </c>
      <c r="P4493" s="27" t="s">
        <v>6153</v>
      </c>
      <c r="Q4493" s="26" t="str">
        <f>HYPERLINK("https://ictv.global/taxonomy/taxondetails?taxnode_id=202512282&amp;ictv_id=ICTV202112282","ICTV202112282")</f>
        <v>ICTV202112282</v>
      </c>
      <c r="R4493" t="s">
        <v>579</v>
      </c>
      <c r="S4493" t="s">
        <v>823</v>
      </c>
      <c r="T4493">
        <v>37</v>
      </c>
      <c r="U4493" s="26" t="str">
        <f>HYPERLINK("https://ictv.global/ictv/proposals/2021.035B.R.Gracegardnervirinae.zip","2021.035B.R.Gracegardnervirinae.zip")</f>
        <v>2021.035B.R.Gracegardnervirinae.zip</v>
      </c>
    </row>
    <row r="4494" spans="1:21">
      <c r="A4494">
        <v>4493</v>
      </c>
      <c r="B4494" s="27" t="s">
        <v>1449</v>
      </c>
      <c r="D4494" s="27" t="s">
        <v>1450</v>
      </c>
      <c r="F4494" s="27" t="s">
        <v>1453</v>
      </c>
      <c r="H4494" s="27" t="s">
        <v>1454</v>
      </c>
      <c r="M4494" s="27" t="s">
        <v>6121</v>
      </c>
      <c r="N4494" s="27" t="s">
        <v>1343</v>
      </c>
      <c r="P4494" s="27" t="s">
        <v>6154</v>
      </c>
      <c r="Q4494" s="26" t="str">
        <f>HYPERLINK("https://ictv.global/taxonomy/taxondetails?taxnode_id=202512283&amp;ictv_id=ICTV202112283","ICTV202112283")</f>
        <v>ICTV202112283</v>
      </c>
      <c r="R4494" t="s">
        <v>579</v>
      </c>
      <c r="S4494" t="s">
        <v>823</v>
      </c>
      <c r="T4494">
        <v>37</v>
      </c>
      <c r="U4494" s="26" t="str">
        <f>HYPERLINK("https://ictv.global/ictv/proposals/2021.035B.R.Gracegardnervirinae.zip","2021.035B.R.Gracegardnervirinae.zip")</f>
        <v>2021.035B.R.Gracegardnervirinae.zip</v>
      </c>
    </row>
    <row r="4495" spans="1:21">
      <c r="A4495">
        <v>4494</v>
      </c>
      <c r="B4495" s="27" t="s">
        <v>1449</v>
      </c>
      <c r="D4495" s="27" t="s">
        <v>1450</v>
      </c>
      <c r="F4495" s="27" t="s">
        <v>1453</v>
      </c>
      <c r="H4495" s="27" t="s">
        <v>1454</v>
      </c>
      <c r="M4495" s="27" t="s">
        <v>6121</v>
      </c>
      <c r="N4495" s="27" t="s">
        <v>1343</v>
      </c>
      <c r="P4495" s="27" t="s">
        <v>6155</v>
      </c>
      <c r="Q4495" s="26" t="str">
        <f>HYPERLINK("https://ictv.global/taxonomy/taxondetails?taxnode_id=202512284&amp;ictv_id=ICTV202112284","ICTV202112284")</f>
        <v>ICTV202112284</v>
      </c>
      <c r="R4495" t="s">
        <v>579</v>
      </c>
      <c r="S4495" t="s">
        <v>823</v>
      </c>
      <c r="T4495">
        <v>37</v>
      </c>
      <c r="U4495" s="26" t="str">
        <f>HYPERLINK("https://ictv.global/ictv/proposals/2021.035B.R.Gracegardnervirinae.zip","2021.035B.R.Gracegardnervirinae.zip")</f>
        <v>2021.035B.R.Gracegardnervirinae.zip</v>
      </c>
    </row>
    <row r="4496" spans="1:21">
      <c r="A4496">
        <v>4495</v>
      </c>
      <c r="B4496" s="27" t="s">
        <v>1449</v>
      </c>
      <c r="D4496" s="27" t="s">
        <v>1450</v>
      </c>
      <c r="F4496" s="27" t="s">
        <v>1453</v>
      </c>
      <c r="H4496" s="27" t="s">
        <v>1454</v>
      </c>
      <c r="M4496" s="27" t="s">
        <v>6121</v>
      </c>
      <c r="N4496" s="27" t="s">
        <v>1343</v>
      </c>
      <c r="P4496" s="27" t="s">
        <v>6156</v>
      </c>
      <c r="Q4496" s="26" t="str">
        <f>HYPERLINK("https://ictv.global/taxonomy/taxondetails?taxnode_id=202512285&amp;ictv_id=ICTV202112285","ICTV202112285")</f>
        <v>ICTV202112285</v>
      </c>
      <c r="R4496" t="s">
        <v>579</v>
      </c>
      <c r="S4496" t="s">
        <v>823</v>
      </c>
      <c r="T4496">
        <v>37</v>
      </c>
      <c r="U4496" s="26" t="str">
        <f>HYPERLINK("https://ictv.global/ictv/proposals/2021.035B.R.Gracegardnervirinae.zip","2021.035B.R.Gracegardnervirinae.zip")</f>
        <v>2021.035B.R.Gracegardnervirinae.zip</v>
      </c>
    </row>
    <row r="4497" spans="1:21">
      <c r="A4497">
        <v>4496</v>
      </c>
      <c r="B4497" s="27" t="s">
        <v>1449</v>
      </c>
      <c r="D4497" s="27" t="s">
        <v>1450</v>
      </c>
      <c r="F4497" s="27" t="s">
        <v>1453</v>
      </c>
      <c r="H4497" s="27" t="s">
        <v>1454</v>
      </c>
      <c r="M4497" s="27" t="s">
        <v>6121</v>
      </c>
      <c r="N4497" s="27" t="s">
        <v>1343</v>
      </c>
      <c r="P4497" s="27" t="s">
        <v>6157</v>
      </c>
      <c r="Q4497" s="26" t="str">
        <f>HYPERLINK("https://ictv.global/taxonomy/taxondetails?taxnode_id=202512286&amp;ictv_id=ICTV202112286","ICTV202112286")</f>
        <v>ICTV202112286</v>
      </c>
      <c r="R4497" t="s">
        <v>579</v>
      </c>
      <c r="S4497" t="s">
        <v>823</v>
      </c>
      <c r="T4497">
        <v>37</v>
      </c>
      <c r="U4497" s="26" t="str">
        <f>HYPERLINK("https://ictv.global/ictv/proposals/2021.035B.R.Gracegardnervirinae.zip","2021.035B.R.Gracegardnervirinae.zip")</f>
        <v>2021.035B.R.Gracegardnervirinae.zip</v>
      </c>
    </row>
    <row r="4498" spans="1:21">
      <c r="A4498">
        <v>4497</v>
      </c>
      <c r="B4498" s="27" t="s">
        <v>1449</v>
      </c>
      <c r="D4498" s="27" t="s">
        <v>1450</v>
      </c>
      <c r="F4498" s="27" t="s">
        <v>1453</v>
      </c>
      <c r="H4498" s="27" t="s">
        <v>1454</v>
      </c>
      <c r="M4498" s="27" t="s">
        <v>6121</v>
      </c>
      <c r="N4498" s="27" t="s">
        <v>1343</v>
      </c>
      <c r="P4498" s="27" t="s">
        <v>19776</v>
      </c>
      <c r="Q4498" s="26" t="str">
        <f>HYPERLINK("https://ictv.global/taxonomy/taxondetails?taxnode_id=202500902&amp;ictv_id=ICTV20140266","ICTV20140266")</f>
        <v>ICTV20140266</v>
      </c>
      <c r="R4498" t="s">
        <v>579</v>
      </c>
      <c r="S4498" t="s">
        <v>824</v>
      </c>
      <c r="T4498">
        <v>40</v>
      </c>
      <c r="U4498" s="26" t="str">
        <f>HYPERLINK("https://ictv.global/ictv/proposals/2024.036B.Caudoviricetes_Faserviricetes_Name_Corrections.zip","2024.036B.Caudoviricetes_Faserviricetes_Name_Corrections.zip")</f>
        <v>2024.036B.Caudoviricetes_Faserviricetes_Name_Corrections.zip</v>
      </c>
    </row>
    <row r="4499" spans="1:21">
      <c r="A4499">
        <v>4498</v>
      </c>
      <c r="B4499" s="27" t="s">
        <v>1449</v>
      </c>
      <c r="D4499" s="27" t="s">
        <v>1450</v>
      </c>
      <c r="F4499" s="27" t="s">
        <v>1453</v>
      </c>
      <c r="H4499" s="27" t="s">
        <v>1454</v>
      </c>
      <c r="M4499" s="27" t="s">
        <v>6121</v>
      </c>
      <c r="N4499" s="27" t="s">
        <v>1343</v>
      </c>
      <c r="P4499" s="27" t="s">
        <v>6158</v>
      </c>
      <c r="Q4499" s="26" t="str">
        <f>HYPERLINK("https://ictv.global/taxonomy/taxondetails?taxnode_id=202512287&amp;ictv_id=ICTV202112287","ICTV202112287")</f>
        <v>ICTV202112287</v>
      </c>
      <c r="R4499" t="s">
        <v>579</v>
      </c>
      <c r="S4499" t="s">
        <v>823</v>
      </c>
      <c r="T4499">
        <v>37</v>
      </c>
      <c r="U4499" s="26" t="str">
        <f>HYPERLINK("https://ictv.global/ictv/proposals/2021.035B.R.Gracegardnervirinae.zip","2021.035B.R.Gracegardnervirinae.zip")</f>
        <v>2021.035B.R.Gracegardnervirinae.zip</v>
      </c>
    </row>
    <row r="4500" spans="1:21">
      <c r="A4500">
        <v>4499</v>
      </c>
      <c r="B4500" s="27" t="s">
        <v>1449</v>
      </c>
      <c r="D4500" s="27" t="s">
        <v>1450</v>
      </c>
      <c r="F4500" s="27" t="s">
        <v>1453</v>
      </c>
      <c r="H4500" s="27" t="s">
        <v>1454</v>
      </c>
      <c r="M4500" s="27" t="s">
        <v>6121</v>
      </c>
      <c r="N4500" s="27" t="s">
        <v>1343</v>
      </c>
      <c r="P4500" s="27" t="s">
        <v>6159</v>
      </c>
      <c r="Q4500" s="26" t="str">
        <f>HYPERLINK("https://ictv.global/taxonomy/taxondetails?taxnode_id=202512288&amp;ictv_id=ICTV202112288","ICTV202112288")</f>
        <v>ICTV202112288</v>
      </c>
      <c r="R4500" t="s">
        <v>579</v>
      </c>
      <c r="S4500" t="s">
        <v>823</v>
      </c>
      <c r="T4500">
        <v>37</v>
      </c>
      <c r="U4500" s="26" t="str">
        <f>HYPERLINK("https://ictv.global/ictv/proposals/2021.035B.R.Gracegardnervirinae.zip","2021.035B.R.Gracegardnervirinae.zip")</f>
        <v>2021.035B.R.Gracegardnervirinae.zip</v>
      </c>
    </row>
    <row r="4501" spans="1:21">
      <c r="A4501">
        <v>4500</v>
      </c>
      <c r="B4501" s="27" t="s">
        <v>1449</v>
      </c>
      <c r="D4501" s="27" t="s">
        <v>1450</v>
      </c>
      <c r="F4501" s="27" t="s">
        <v>1453</v>
      </c>
      <c r="H4501" s="27" t="s">
        <v>1454</v>
      </c>
      <c r="M4501" s="27" t="s">
        <v>6121</v>
      </c>
      <c r="N4501" s="27" t="s">
        <v>1343</v>
      </c>
      <c r="P4501" s="27" t="s">
        <v>6160</v>
      </c>
      <c r="Q4501" s="26" t="str">
        <f>HYPERLINK("https://ictv.global/taxonomy/taxondetails?taxnode_id=202512289&amp;ictv_id=ICTV202112289","ICTV202112289")</f>
        <v>ICTV202112289</v>
      </c>
      <c r="R4501" t="s">
        <v>579</v>
      </c>
      <c r="S4501" t="s">
        <v>823</v>
      </c>
      <c r="T4501">
        <v>37</v>
      </c>
      <c r="U4501" s="26" t="str">
        <f>HYPERLINK("https://ictv.global/ictv/proposals/2021.035B.R.Gracegardnervirinae.zip","2021.035B.R.Gracegardnervirinae.zip")</f>
        <v>2021.035B.R.Gracegardnervirinae.zip</v>
      </c>
    </row>
    <row r="4502" spans="1:21">
      <c r="A4502">
        <v>4501</v>
      </c>
      <c r="B4502" s="27" t="s">
        <v>1449</v>
      </c>
      <c r="D4502" s="27" t="s">
        <v>1450</v>
      </c>
      <c r="F4502" s="27" t="s">
        <v>1453</v>
      </c>
      <c r="H4502" s="27" t="s">
        <v>1454</v>
      </c>
      <c r="M4502" s="27" t="s">
        <v>6121</v>
      </c>
      <c r="N4502" s="27" t="s">
        <v>1343</v>
      </c>
      <c r="P4502" s="27" t="s">
        <v>6161</v>
      </c>
      <c r="Q4502" s="26" t="str">
        <f>HYPERLINK("https://ictv.global/taxonomy/taxondetails?taxnode_id=202512290&amp;ictv_id=ICTV202112290","ICTV202112290")</f>
        <v>ICTV202112290</v>
      </c>
      <c r="R4502" t="s">
        <v>579</v>
      </c>
      <c r="S4502" t="s">
        <v>823</v>
      </c>
      <c r="T4502">
        <v>37</v>
      </c>
      <c r="U4502" s="26" t="str">
        <f>HYPERLINK("https://ictv.global/ictv/proposals/2021.035B.R.Gracegardnervirinae.zip","2021.035B.R.Gracegardnervirinae.zip")</f>
        <v>2021.035B.R.Gracegardnervirinae.zip</v>
      </c>
    </row>
    <row r="4503" spans="1:21">
      <c r="A4503">
        <v>4502</v>
      </c>
      <c r="B4503" s="27" t="s">
        <v>1449</v>
      </c>
      <c r="D4503" s="27" t="s">
        <v>1450</v>
      </c>
      <c r="F4503" s="27" t="s">
        <v>1453</v>
      </c>
      <c r="H4503" s="27" t="s">
        <v>1454</v>
      </c>
      <c r="M4503" s="27" t="s">
        <v>6121</v>
      </c>
      <c r="N4503" s="27" t="s">
        <v>1343</v>
      </c>
      <c r="P4503" s="27" t="s">
        <v>19777</v>
      </c>
      <c r="Q4503" s="26" t="str">
        <f>HYPERLINK("https://ictv.global/taxonomy/taxondetails?taxnode_id=202500903&amp;ictv_id=ICTV20140270","ICTV20140270")</f>
        <v>ICTV20140270</v>
      </c>
      <c r="R4503" t="s">
        <v>579</v>
      </c>
      <c r="S4503" t="s">
        <v>824</v>
      </c>
      <c r="T4503">
        <v>40</v>
      </c>
      <c r="U4503" s="26" t="str">
        <f>HYPERLINK("https://ictv.global/ictv/proposals/2024.036B.Caudoviricetes_Faserviricetes_Name_Corrections.zip","2024.036B.Caudoviricetes_Faserviricetes_Name_Corrections.zip")</f>
        <v>2024.036B.Caudoviricetes_Faserviricetes_Name_Corrections.zip</v>
      </c>
    </row>
    <row r="4504" spans="1:21">
      <c r="A4504">
        <v>4503</v>
      </c>
      <c r="B4504" s="27" t="s">
        <v>1449</v>
      </c>
      <c r="D4504" s="27" t="s">
        <v>1450</v>
      </c>
      <c r="F4504" s="27" t="s">
        <v>1453</v>
      </c>
      <c r="H4504" s="27" t="s">
        <v>1454</v>
      </c>
      <c r="M4504" s="27" t="s">
        <v>6121</v>
      </c>
      <c r="N4504" s="27" t="s">
        <v>1343</v>
      </c>
      <c r="P4504" s="27" t="s">
        <v>6162</v>
      </c>
      <c r="Q4504" s="26" t="str">
        <f>HYPERLINK("https://ictv.global/taxonomy/taxondetails?taxnode_id=202512291&amp;ictv_id=ICTV202112291","ICTV202112291")</f>
        <v>ICTV202112291</v>
      </c>
      <c r="R4504" t="s">
        <v>579</v>
      </c>
      <c r="S4504" t="s">
        <v>823</v>
      </c>
      <c r="T4504">
        <v>37</v>
      </c>
      <c r="U4504" s="26" t="str">
        <f t="shared" ref="U4504:U4511" si="171">HYPERLINK("https://ictv.global/ictv/proposals/2021.035B.R.Gracegardnervirinae.zip","2021.035B.R.Gracegardnervirinae.zip")</f>
        <v>2021.035B.R.Gracegardnervirinae.zip</v>
      </c>
    </row>
    <row r="4505" spans="1:21">
      <c r="A4505">
        <v>4504</v>
      </c>
      <c r="B4505" s="27" t="s">
        <v>1449</v>
      </c>
      <c r="D4505" s="27" t="s">
        <v>1450</v>
      </c>
      <c r="F4505" s="27" t="s">
        <v>1453</v>
      </c>
      <c r="H4505" s="27" t="s">
        <v>1454</v>
      </c>
      <c r="M4505" s="27" t="s">
        <v>6121</v>
      </c>
      <c r="N4505" s="27" t="s">
        <v>1343</v>
      </c>
      <c r="P4505" s="27" t="s">
        <v>6163</v>
      </c>
      <c r="Q4505" s="26" t="str">
        <f>HYPERLINK("https://ictv.global/taxonomy/taxondetails?taxnode_id=202512292&amp;ictv_id=ICTV202112292","ICTV202112292")</f>
        <v>ICTV202112292</v>
      </c>
      <c r="R4505" t="s">
        <v>579</v>
      </c>
      <c r="S4505" t="s">
        <v>823</v>
      </c>
      <c r="T4505">
        <v>37</v>
      </c>
      <c r="U4505" s="26" t="str">
        <f t="shared" si="171"/>
        <v>2021.035B.R.Gracegardnervirinae.zip</v>
      </c>
    </row>
    <row r="4506" spans="1:21">
      <c r="A4506">
        <v>4505</v>
      </c>
      <c r="B4506" s="27" t="s">
        <v>1449</v>
      </c>
      <c r="D4506" s="27" t="s">
        <v>1450</v>
      </c>
      <c r="F4506" s="27" t="s">
        <v>1453</v>
      </c>
      <c r="H4506" s="27" t="s">
        <v>1454</v>
      </c>
      <c r="M4506" s="27" t="s">
        <v>6121</v>
      </c>
      <c r="N4506" s="27" t="s">
        <v>1343</v>
      </c>
      <c r="P4506" s="27" t="s">
        <v>6164</v>
      </c>
      <c r="Q4506" s="26" t="str">
        <f>HYPERLINK("https://ictv.global/taxonomy/taxondetails?taxnode_id=202512293&amp;ictv_id=ICTV202112293","ICTV202112293")</f>
        <v>ICTV202112293</v>
      </c>
      <c r="R4506" t="s">
        <v>579</v>
      </c>
      <c r="S4506" t="s">
        <v>823</v>
      </c>
      <c r="T4506">
        <v>37</v>
      </c>
      <c r="U4506" s="26" t="str">
        <f t="shared" si="171"/>
        <v>2021.035B.R.Gracegardnervirinae.zip</v>
      </c>
    </row>
    <row r="4507" spans="1:21">
      <c r="A4507">
        <v>4506</v>
      </c>
      <c r="B4507" s="27" t="s">
        <v>1449</v>
      </c>
      <c r="D4507" s="27" t="s">
        <v>1450</v>
      </c>
      <c r="F4507" s="27" t="s">
        <v>1453</v>
      </c>
      <c r="H4507" s="27" t="s">
        <v>1454</v>
      </c>
      <c r="M4507" s="27" t="s">
        <v>6121</v>
      </c>
      <c r="N4507" s="27" t="s">
        <v>1343</v>
      </c>
      <c r="P4507" s="27" t="s">
        <v>6165</v>
      </c>
      <c r="Q4507" s="26" t="str">
        <f>HYPERLINK("https://ictv.global/taxonomy/taxondetails?taxnode_id=202512294&amp;ictv_id=ICTV202112294","ICTV202112294")</f>
        <v>ICTV202112294</v>
      </c>
      <c r="R4507" t="s">
        <v>579</v>
      </c>
      <c r="S4507" t="s">
        <v>823</v>
      </c>
      <c r="T4507">
        <v>37</v>
      </c>
      <c r="U4507" s="26" t="str">
        <f t="shared" si="171"/>
        <v>2021.035B.R.Gracegardnervirinae.zip</v>
      </c>
    </row>
    <row r="4508" spans="1:21">
      <c r="A4508">
        <v>4507</v>
      </c>
      <c r="B4508" s="27" t="s">
        <v>1449</v>
      </c>
      <c r="D4508" s="27" t="s">
        <v>1450</v>
      </c>
      <c r="F4508" s="27" t="s">
        <v>1453</v>
      </c>
      <c r="H4508" s="27" t="s">
        <v>1454</v>
      </c>
      <c r="M4508" s="27" t="s">
        <v>6121</v>
      </c>
      <c r="N4508" s="27" t="s">
        <v>1343</v>
      </c>
      <c r="P4508" s="27" t="s">
        <v>6166</v>
      </c>
      <c r="Q4508" s="26" t="str">
        <f>HYPERLINK("https://ictv.global/taxonomy/taxondetails?taxnode_id=202512295&amp;ictv_id=ICTV202112295","ICTV202112295")</f>
        <v>ICTV202112295</v>
      </c>
      <c r="R4508" t="s">
        <v>579</v>
      </c>
      <c r="S4508" t="s">
        <v>823</v>
      </c>
      <c r="T4508">
        <v>37</v>
      </c>
      <c r="U4508" s="26" t="str">
        <f t="shared" si="171"/>
        <v>2021.035B.R.Gracegardnervirinae.zip</v>
      </c>
    </row>
    <row r="4509" spans="1:21">
      <c r="A4509">
        <v>4508</v>
      </c>
      <c r="B4509" s="27" t="s">
        <v>1449</v>
      </c>
      <c r="D4509" s="27" t="s">
        <v>1450</v>
      </c>
      <c r="F4509" s="27" t="s">
        <v>1453</v>
      </c>
      <c r="H4509" s="27" t="s">
        <v>1454</v>
      </c>
      <c r="M4509" s="27" t="s">
        <v>6121</v>
      </c>
      <c r="N4509" s="27" t="s">
        <v>1343</v>
      </c>
      <c r="P4509" s="27" t="s">
        <v>6167</v>
      </c>
      <c r="Q4509" s="26" t="str">
        <f>HYPERLINK("https://ictv.global/taxonomy/taxondetails?taxnode_id=202512296&amp;ictv_id=ICTV202112296","ICTV202112296")</f>
        <v>ICTV202112296</v>
      </c>
      <c r="R4509" t="s">
        <v>579</v>
      </c>
      <c r="S4509" t="s">
        <v>823</v>
      </c>
      <c r="T4509">
        <v>37</v>
      </c>
      <c r="U4509" s="26" t="str">
        <f t="shared" si="171"/>
        <v>2021.035B.R.Gracegardnervirinae.zip</v>
      </c>
    </row>
    <row r="4510" spans="1:21">
      <c r="A4510">
        <v>4509</v>
      </c>
      <c r="B4510" s="27" t="s">
        <v>1449</v>
      </c>
      <c r="D4510" s="27" t="s">
        <v>1450</v>
      </c>
      <c r="F4510" s="27" t="s">
        <v>1453</v>
      </c>
      <c r="H4510" s="27" t="s">
        <v>1454</v>
      </c>
      <c r="M4510" s="27" t="s">
        <v>6121</v>
      </c>
      <c r="N4510" s="27" t="s">
        <v>1343</v>
      </c>
      <c r="P4510" s="27" t="s">
        <v>6168</v>
      </c>
      <c r="Q4510" s="26" t="str">
        <f>HYPERLINK("https://ictv.global/taxonomy/taxondetails?taxnode_id=202512297&amp;ictv_id=ICTV202112297","ICTV202112297")</f>
        <v>ICTV202112297</v>
      </c>
      <c r="R4510" t="s">
        <v>579</v>
      </c>
      <c r="S4510" t="s">
        <v>823</v>
      </c>
      <c r="T4510">
        <v>37</v>
      </c>
      <c r="U4510" s="26" t="str">
        <f t="shared" si="171"/>
        <v>2021.035B.R.Gracegardnervirinae.zip</v>
      </c>
    </row>
    <row r="4511" spans="1:21">
      <c r="A4511">
        <v>4510</v>
      </c>
      <c r="B4511" s="27" t="s">
        <v>1449</v>
      </c>
      <c r="D4511" s="27" t="s">
        <v>1450</v>
      </c>
      <c r="F4511" s="27" t="s">
        <v>1453</v>
      </c>
      <c r="H4511" s="27" t="s">
        <v>1454</v>
      </c>
      <c r="M4511" s="27" t="s">
        <v>6121</v>
      </c>
      <c r="N4511" s="27" t="s">
        <v>1343</v>
      </c>
      <c r="P4511" s="27" t="s">
        <v>6169</v>
      </c>
      <c r="Q4511" s="26" t="str">
        <f>HYPERLINK("https://ictv.global/taxonomy/taxondetails?taxnode_id=202512298&amp;ictv_id=ICTV202112298","ICTV202112298")</f>
        <v>ICTV202112298</v>
      </c>
      <c r="R4511" t="s">
        <v>579</v>
      </c>
      <c r="S4511" t="s">
        <v>823</v>
      </c>
      <c r="T4511">
        <v>37</v>
      </c>
      <c r="U4511" s="26" t="str">
        <f t="shared" si="171"/>
        <v>2021.035B.R.Gracegardnervirinae.zip</v>
      </c>
    </row>
    <row r="4512" spans="1:21">
      <c r="A4512">
        <v>4511</v>
      </c>
      <c r="B4512" s="27" t="s">
        <v>1449</v>
      </c>
      <c r="D4512" s="27" t="s">
        <v>1450</v>
      </c>
      <c r="F4512" s="27" t="s">
        <v>1453</v>
      </c>
      <c r="H4512" s="27" t="s">
        <v>1454</v>
      </c>
      <c r="M4512" s="27" t="s">
        <v>6121</v>
      </c>
      <c r="N4512" s="27" t="s">
        <v>1343</v>
      </c>
      <c r="P4512" s="27" t="s">
        <v>19778</v>
      </c>
      <c r="Q4512" s="26" t="str">
        <f>HYPERLINK("https://ictv.global/taxonomy/taxondetails?taxnode_id=202500904&amp;ictv_id=ICTV20140267","ICTV20140267")</f>
        <v>ICTV20140267</v>
      </c>
      <c r="R4512" t="s">
        <v>579</v>
      </c>
      <c r="S4512" t="s">
        <v>824</v>
      </c>
      <c r="T4512">
        <v>40</v>
      </c>
      <c r="U4512" s="26" t="str">
        <f>HYPERLINK("https://ictv.global/ictv/proposals/2024.036B.Caudoviricetes_Faserviricetes_Name_Corrections.zip","2024.036B.Caudoviricetes_Faserviricetes_Name_Corrections.zip")</f>
        <v>2024.036B.Caudoviricetes_Faserviricetes_Name_Corrections.zip</v>
      </c>
    </row>
    <row r="4513" spans="1:21">
      <c r="A4513">
        <v>4512</v>
      </c>
      <c r="B4513" s="27" t="s">
        <v>1449</v>
      </c>
      <c r="D4513" s="27" t="s">
        <v>1450</v>
      </c>
      <c r="F4513" s="27" t="s">
        <v>1453</v>
      </c>
      <c r="H4513" s="27" t="s">
        <v>1454</v>
      </c>
      <c r="M4513" s="27" t="s">
        <v>6121</v>
      </c>
      <c r="N4513" s="27" t="s">
        <v>1343</v>
      </c>
      <c r="P4513" s="27" t="s">
        <v>6170</v>
      </c>
      <c r="Q4513" s="26" t="str">
        <f>HYPERLINK("https://ictv.global/taxonomy/taxondetails?taxnode_id=202512299&amp;ictv_id=ICTV202112299","ICTV202112299")</f>
        <v>ICTV202112299</v>
      </c>
      <c r="R4513" t="s">
        <v>579</v>
      </c>
      <c r="S4513" t="s">
        <v>823</v>
      </c>
      <c r="T4513">
        <v>37</v>
      </c>
      <c r="U4513" s="26" t="str">
        <f t="shared" ref="U4513:U4520" si="172">HYPERLINK("https://ictv.global/ictv/proposals/2021.035B.R.Gracegardnervirinae.zip","2021.035B.R.Gracegardnervirinae.zip")</f>
        <v>2021.035B.R.Gracegardnervirinae.zip</v>
      </c>
    </row>
    <row r="4514" spans="1:21">
      <c r="A4514">
        <v>4513</v>
      </c>
      <c r="B4514" s="27" t="s">
        <v>1449</v>
      </c>
      <c r="D4514" s="27" t="s">
        <v>1450</v>
      </c>
      <c r="F4514" s="27" t="s">
        <v>1453</v>
      </c>
      <c r="H4514" s="27" t="s">
        <v>1454</v>
      </c>
      <c r="M4514" s="27" t="s">
        <v>6121</v>
      </c>
      <c r="N4514" s="27" t="s">
        <v>1343</v>
      </c>
      <c r="P4514" s="27" t="s">
        <v>6171</v>
      </c>
      <c r="Q4514" s="26" t="str">
        <f>HYPERLINK("https://ictv.global/taxonomy/taxondetails?taxnode_id=202512300&amp;ictv_id=ICTV202112300","ICTV202112300")</f>
        <v>ICTV202112300</v>
      </c>
      <c r="R4514" t="s">
        <v>579</v>
      </c>
      <c r="S4514" t="s">
        <v>823</v>
      </c>
      <c r="T4514">
        <v>37</v>
      </c>
      <c r="U4514" s="26" t="str">
        <f t="shared" si="172"/>
        <v>2021.035B.R.Gracegardnervirinae.zip</v>
      </c>
    </row>
    <row r="4515" spans="1:21">
      <c r="A4515">
        <v>4514</v>
      </c>
      <c r="B4515" s="27" t="s">
        <v>1449</v>
      </c>
      <c r="D4515" s="27" t="s">
        <v>1450</v>
      </c>
      <c r="F4515" s="27" t="s">
        <v>1453</v>
      </c>
      <c r="H4515" s="27" t="s">
        <v>1454</v>
      </c>
      <c r="M4515" s="27" t="s">
        <v>6121</v>
      </c>
      <c r="N4515" s="27" t="s">
        <v>1343</v>
      </c>
      <c r="P4515" s="27" t="s">
        <v>6172</v>
      </c>
      <c r="Q4515" s="26" t="str">
        <f>HYPERLINK("https://ictv.global/taxonomy/taxondetails?taxnode_id=202512301&amp;ictv_id=ICTV202112301","ICTV202112301")</f>
        <v>ICTV202112301</v>
      </c>
      <c r="R4515" t="s">
        <v>579</v>
      </c>
      <c r="S4515" t="s">
        <v>823</v>
      </c>
      <c r="T4515">
        <v>37</v>
      </c>
      <c r="U4515" s="26" t="str">
        <f t="shared" si="172"/>
        <v>2021.035B.R.Gracegardnervirinae.zip</v>
      </c>
    </row>
    <row r="4516" spans="1:21">
      <c r="A4516">
        <v>4515</v>
      </c>
      <c r="B4516" s="27" t="s">
        <v>1449</v>
      </c>
      <c r="D4516" s="27" t="s">
        <v>1450</v>
      </c>
      <c r="F4516" s="27" t="s">
        <v>1453</v>
      </c>
      <c r="H4516" s="27" t="s">
        <v>1454</v>
      </c>
      <c r="M4516" s="27" t="s">
        <v>6121</v>
      </c>
      <c r="N4516" s="27" t="s">
        <v>1343</v>
      </c>
      <c r="P4516" s="27" t="s">
        <v>6173</v>
      </c>
      <c r="Q4516" s="26" t="str">
        <f>HYPERLINK("https://ictv.global/taxonomy/taxondetails?taxnode_id=202512302&amp;ictv_id=ICTV202112302","ICTV202112302")</f>
        <v>ICTV202112302</v>
      </c>
      <c r="R4516" t="s">
        <v>579</v>
      </c>
      <c r="S4516" t="s">
        <v>823</v>
      </c>
      <c r="T4516">
        <v>37</v>
      </c>
      <c r="U4516" s="26" t="str">
        <f t="shared" si="172"/>
        <v>2021.035B.R.Gracegardnervirinae.zip</v>
      </c>
    </row>
    <row r="4517" spans="1:21">
      <c r="A4517">
        <v>4516</v>
      </c>
      <c r="B4517" s="27" t="s">
        <v>1449</v>
      </c>
      <c r="D4517" s="27" t="s">
        <v>1450</v>
      </c>
      <c r="F4517" s="27" t="s">
        <v>1453</v>
      </c>
      <c r="H4517" s="27" t="s">
        <v>1454</v>
      </c>
      <c r="M4517" s="27" t="s">
        <v>6121</v>
      </c>
      <c r="N4517" s="27" t="s">
        <v>1343</v>
      </c>
      <c r="P4517" s="27" t="s">
        <v>6174</v>
      </c>
      <c r="Q4517" s="26" t="str">
        <f>HYPERLINK("https://ictv.global/taxonomy/taxondetails?taxnode_id=202512303&amp;ictv_id=ICTV202112303","ICTV202112303")</f>
        <v>ICTV202112303</v>
      </c>
      <c r="R4517" t="s">
        <v>579</v>
      </c>
      <c r="S4517" t="s">
        <v>823</v>
      </c>
      <c r="T4517">
        <v>37</v>
      </c>
      <c r="U4517" s="26" t="str">
        <f t="shared" si="172"/>
        <v>2021.035B.R.Gracegardnervirinae.zip</v>
      </c>
    </row>
    <row r="4518" spans="1:21">
      <c r="A4518">
        <v>4517</v>
      </c>
      <c r="B4518" s="27" t="s">
        <v>1449</v>
      </c>
      <c r="D4518" s="27" t="s">
        <v>1450</v>
      </c>
      <c r="F4518" s="27" t="s">
        <v>1453</v>
      </c>
      <c r="H4518" s="27" t="s">
        <v>1454</v>
      </c>
      <c r="M4518" s="27" t="s">
        <v>6121</v>
      </c>
      <c r="N4518" s="27" t="s">
        <v>1343</v>
      </c>
      <c r="P4518" s="27" t="s">
        <v>6175</v>
      </c>
      <c r="Q4518" s="26" t="str">
        <f>HYPERLINK("https://ictv.global/taxonomy/taxondetails?taxnode_id=202512304&amp;ictv_id=ICTV202112304","ICTV202112304")</f>
        <v>ICTV202112304</v>
      </c>
      <c r="R4518" t="s">
        <v>579</v>
      </c>
      <c r="S4518" t="s">
        <v>823</v>
      </c>
      <c r="T4518">
        <v>37</v>
      </c>
      <c r="U4518" s="26" t="str">
        <f t="shared" si="172"/>
        <v>2021.035B.R.Gracegardnervirinae.zip</v>
      </c>
    </row>
    <row r="4519" spans="1:21">
      <c r="A4519">
        <v>4518</v>
      </c>
      <c r="B4519" s="27" t="s">
        <v>1449</v>
      </c>
      <c r="D4519" s="27" t="s">
        <v>1450</v>
      </c>
      <c r="F4519" s="27" t="s">
        <v>1453</v>
      </c>
      <c r="H4519" s="27" t="s">
        <v>1454</v>
      </c>
      <c r="M4519" s="27" t="s">
        <v>6121</v>
      </c>
      <c r="N4519" s="27" t="s">
        <v>1343</v>
      </c>
      <c r="P4519" s="27" t="s">
        <v>6176</v>
      </c>
      <c r="Q4519" s="26" t="str">
        <f>HYPERLINK("https://ictv.global/taxonomy/taxondetails?taxnode_id=202512305&amp;ictv_id=ICTV202112305","ICTV202112305")</f>
        <v>ICTV202112305</v>
      </c>
      <c r="R4519" t="s">
        <v>579</v>
      </c>
      <c r="S4519" t="s">
        <v>823</v>
      </c>
      <c r="T4519">
        <v>37</v>
      </c>
      <c r="U4519" s="26" t="str">
        <f t="shared" si="172"/>
        <v>2021.035B.R.Gracegardnervirinae.zip</v>
      </c>
    </row>
    <row r="4520" spans="1:21">
      <c r="A4520">
        <v>4519</v>
      </c>
      <c r="B4520" s="27" t="s">
        <v>1449</v>
      </c>
      <c r="D4520" s="27" t="s">
        <v>1450</v>
      </c>
      <c r="F4520" s="27" t="s">
        <v>1453</v>
      </c>
      <c r="H4520" s="27" t="s">
        <v>1454</v>
      </c>
      <c r="M4520" s="27" t="s">
        <v>6121</v>
      </c>
      <c r="N4520" s="27" t="s">
        <v>1343</v>
      </c>
      <c r="P4520" s="27" t="s">
        <v>6177</v>
      </c>
      <c r="Q4520" s="26" t="str">
        <f>HYPERLINK("https://ictv.global/taxonomy/taxondetails?taxnode_id=202512306&amp;ictv_id=ICTV202112306","ICTV202112306")</f>
        <v>ICTV202112306</v>
      </c>
      <c r="R4520" t="s">
        <v>579</v>
      </c>
      <c r="S4520" t="s">
        <v>823</v>
      </c>
      <c r="T4520">
        <v>37</v>
      </c>
      <c r="U4520" s="26" t="str">
        <f t="shared" si="172"/>
        <v>2021.035B.R.Gracegardnervirinae.zip</v>
      </c>
    </row>
    <row r="4521" spans="1:21">
      <c r="A4521">
        <v>4520</v>
      </c>
      <c r="B4521" s="27" t="s">
        <v>1449</v>
      </c>
      <c r="D4521" s="27" t="s">
        <v>1450</v>
      </c>
      <c r="F4521" s="27" t="s">
        <v>1453</v>
      </c>
      <c r="H4521" s="27" t="s">
        <v>1454</v>
      </c>
      <c r="M4521" s="27" t="s">
        <v>6121</v>
      </c>
      <c r="N4521" s="27" t="s">
        <v>1343</v>
      </c>
      <c r="P4521" s="27" t="s">
        <v>19779</v>
      </c>
      <c r="Q4521" s="26" t="str">
        <f>HYPERLINK("https://ictv.global/taxonomy/taxondetails?taxnode_id=202500905&amp;ictv_id=ICTV20140285","ICTV20140285")</f>
        <v>ICTV20140285</v>
      </c>
      <c r="R4521" t="s">
        <v>579</v>
      </c>
      <c r="S4521" t="s">
        <v>824</v>
      </c>
      <c r="T4521">
        <v>40</v>
      </c>
      <c r="U4521" s="26" t="str">
        <f>HYPERLINK("https://ictv.global/ictv/proposals/2024.036B.Caudoviricetes_Faserviricetes_Name_Corrections.zip","2024.036B.Caudoviricetes_Faserviricetes_Name_Corrections.zip")</f>
        <v>2024.036B.Caudoviricetes_Faserviricetes_Name_Corrections.zip</v>
      </c>
    </row>
    <row r="4522" spans="1:21">
      <c r="A4522">
        <v>4521</v>
      </c>
      <c r="B4522" s="27" t="s">
        <v>1449</v>
      </c>
      <c r="D4522" s="27" t="s">
        <v>1450</v>
      </c>
      <c r="F4522" s="27" t="s">
        <v>1453</v>
      </c>
      <c r="H4522" s="27" t="s">
        <v>1454</v>
      </c>
      <c r="M4522" s="27" t="s">
        <v>6121</v>
      </c>
      <c r="N4522" s="27" t="s">
        <v>1343</v>
      </c>
      <c r="P4522" s="27" t="s">
        <v>19780</v>
      </c>
      <c r="Q4522" s="26" t="str">
        <f>HYPERLINK("https://ictv.global/taxonomy/taxondetails?taxnode_id=202500906&amp;ictv_id=ICTV20140264","ICTV20140264")</f>
        <v>ICTV20140264</v>
      </c>
      <c r="R4522" t="s">
        <v>579</v>
      </c>
      <c r="S4522" t="s">
        <v>824</v>
      </c>
      <c r="T4522">
        <v>40</v>
      </c>
      <c r="U4522" s="26" t="str">
        <f>HYPERLINK("https://ictv.global/ictv/proposals/2024.036B.Caudoviricetes_Faserviricetes_Name_Corrections.zip","2024.036B.Caudoviricetes_Faserviricetes_Name_Corrections.zip")</f>
        <v>2024.036B.Caudoviricetes_Faserviricetes_Name_Corrections.zip</v>
      </c>
    </row>
    <row r="4523" spans="1:21">
      <c r="A4523">
        <v>4522</v>
      </c>
      <c r="B4523" s="27" t="s">
        <v>1449</v>
      </c>
      <c r="D4523" s="27" t="s">
        <v>1450</v>
      </c>
      <c r="F4523" s="27" t="s">
        <v>1453</v>
      </c>
      <c r="H4523" s="27" t="s">
        <v>1454</v>
      </c>
      <c r="M4523" s="27" t="s">
        <v>6121</v>
      </c>
      <c r="N4523" s="27" t="s">
        <v>1343</v>
      </c>
      <c r="P4523" s="27" t="s">
        <v>6178</v>
      </c>
      <c r="Q4523" s="26" t="str">
        <f>HYPERLINK("https://ictv.global/taxonomy/taxondetails?taxnode_id=202512307&amp;ictv_id=ICTV202112307","ICTV202112307")</f>
        <v>ICTV202112307</v>
      </c>
      <c r="R4523" t="s">
        <v>579</v>
      </c>
      <c r="S4523" t="s">
        <v>823</v>
      </c>
      <c r="T4523">
        <v>37</v>
      </c>
      <c r="U4523" s="26" t="str">
        <f t="shared" ref="U4523:U4529" si="173">HYPERLINK("https://ictv.global/ictv/proposals/2021.035B.R.Gracegardnervirinae.zip","2021.035B.R.Gracegardnervirinae.zip")</f>
        <v>2021.035B.R.Gracegardnervirinae.zip</v>
      </c>
    </row>
    <row r="4524" spans="1:21">
      <c r="A4524">
        <v>4523</v>
      </c>
      <c r="B4524" s="27" t="s">
        <v>1449</v>
      </c>
      <c r="D4524" s="27" t="s">
        <v>1450</v>
      </c>
      <c r="F4524" s="27" t="s">
        <v>1453</v>
      </c>
      <c r="H4524" s="27" t="s">
        <v>1454</v>
      </c>
      <c r="M4524" s="27" t="s">
        <v>6121</v>
      </c>
      <c r="N4524" s="27" t="s">
        <v>1343</v>
      </c>
      <c r="P4524" s="27" t="s">
        <v>6179</v>
      </c>
      <c r="Q4524" s="26" t="str">
        <f>HYPERLINK("https://ictv.global/taxonomy/taxondetails?taxnode_id=202512308&amp;ictv_id=ICTV202112308","ICTV202112308")</f>
        <v>ICTV202112308</v>
      </c>
      <c r="R4524" t="s">
        <v>579</v>
      </c>
      <c r="S4524" t="s">
        <v>823</v>
      </c>
      <c r="T4524">
        <v>37</v>
      </c>
      <c r="U4524" s="26" t="str">
        <f t="shared" si="173"/>
        <v>2021.035B.R.Gracegardnervirinae.zip</v>
      </c>
    </row>
    <row r="4525" spans="1:21">
      <c r="A4525">
        <v>4524</v>
      </c>
      <c r="B4525" s="27" t="s">
        <v>1449</v>
      </c>
      <c r="D4525" s="27" t="s">
        <v>1450</v>
      </c>
      <c r="F4525" s="27" t="s">
        <v>1453</v>
      </c>
      <c r="H4525" s="27" t="s">
        <v>1454</v>
      </c>
      <c r="M4525" s="27" t="s">
        <v>6121</v>
      </c>
      <c r="N4525" s="27" t="s">
        <v>1343</v>
      </c>
      <c r="P4525" s="27" t="s">
        <v>6180</v>
      </c>
      <c r="Q4525" s="26" t="str">
        <f>HYPERLINK("https://ictv.global/taxonomy/taxondetails?taxnode_id=202512309&amp;ictv_id=ICTV202112309","ICTV202112309")</f>
        <v>ICTV202112309</v>
      </c>
      <c r="R4525" t="s">
        <v>579</v>
      </c>
      <c r="S4525" t="s">
        <v>823</v>
      </c>
      <c r="T4525">
        <v>37</v>
      </c>
      <c r="U4525" s="26" t="str">
        <f t="shared" si="173"/>
        <v>2021.035B.R.Gracegardnervirinae.zip</v>
      </c>
    </row>
    <row r="4526" spans="1:21">
      <c r="A4526">
        <v>4525</v>
      </c>
      <c r="B4526" s="27" t="s">
        <v>1449</v>
      </c>
      <c r="D4526" s="27" t="s">
        <v>1450</v>
      </c>
      <c r="F4526" s="27" t="s">
        <v>1453</v>
      </c>
      <c r="H4526" s="27" t="s">
        <v>1454</v>
      </c>
      <c r="M4526" s="27" t="s">
        <v>6121</v>
      </c>
      <c r="N4526" s="27" t="s">
        <v>1343</v>
      </c>
      <c r="P4526" s="27" t="s">
        <v>6181</v>
      </c>
      <c r="Q4526" s="26" t="str">
        <f>HYPERLINK("https://ictv.global/taxonomy/taxondetails?taxnode_id=202512310&amp;ictv_id=ICTV202112310","ICTV202112310")</f>
        <v>ICTV202112310</v>
      </c>
      <c r="R4526" t="s">
        <v>579</v>
      </c>
      <c r="S4526" t="s">
        <v>823</v>
      </c>
      <c r="T4526">
        <v>37</v>
      </c>
      <c r="U4526" s="26" t="str">
        <f t="shared" si="173"/>
        <v>2021.035B.R.Gracegardnervirinae.zip</v>
      </c>
    </row>
    <row r="4527" spans="1:21">
      <c r="A4527">
        <v>4526</v>
      </c>
      <c r="B4527" s="27" t="s">
        <v>1449</v>
      </c>
      <c r="D4527" s="27" t="s">
        <v>1450</v>
      </c>
      <c r="F4527" s="27" t="s">
        <v>1453</v>
      </c>
      <c r="H4527" s="27" t="s">
        <v>1454</v>
      </c>
      <c r="M4527" s="27" t="s">
        <v>6121</v>
      </c>
      <c r="N4527" s="27" t="s">
        <v>1343</v>
      </c>
      <c r="P4527" s="27" t="s">
        <v>6182</v>
      </c>
      <c r="Q4527" s="26" t="str">
        <f>HYPERLINK("https://ictv.global/taxonomy/taxondetails?taxnode_id=202512311&amp;ictv_id=ICTV202112311","ICTV202112311")</f>
        <v>ICTV202112311</v>
      </c>
      <c r="R4527" t="s">
        <v>579</v>
      </c>
      <c r="S4527" t="s">
        <v>823</v>
      </c>
      <c r="T4527">
        <v>37</v>
      </c>
      <c r="U4527" s="26" t="str">
        <f t="shared" si="173"/>
        <v>2021.035B.R.Gracegardnervirinae.zip</v>
      </c>
    </row>
    <row r="4528" spans="1:21">
      <c r="A4528">
        <v>4527</v>
      </c>
      <c r="B4528" s="27" t="s">
        <v>1449</v>
      </c>
      <c r="D4528" s="27" t="s">
        <v>1450</v>
      </c>
      <c r="F4528" s="27" t="s">
        <v>1453</v>
      </c>
      <c r="H4528" s="27" t="s">
        <v>1454</v>
      </c>
      <c r="M4528" s="27" t="s">
        <v>6121</v>
      </c>
      <c r="N4528" s="27" t="s">
        <v>1343</v>
      </c>
      <c r="P4528" s="27" t="s">
        <v>6183</v>
      </c>
      <c r="Q4528" s="26" t="str">
        <f>HYPERLINK("https://ictv.global/taxonomy/taxondetails?taxnode_id=202512312&amp;ictv_id=ICTV202112312","ICTV202112312")</f>
        <v>ICTV202112312</v>
      </c>
      <c r="R4528" t="s">
        <v>579</v>
      </c>
      <c r="S4528" t="s">
        <v>823</v>
      </c>
      <c r="T4528">
        <v>37</v>
      </c>
      <c r="U4528" s="26" t="str">
        <f t="shared" si="173"/>
        <v>2021.035B.R.Gracegardnervirinae.zip</v>
      </c>
    </row>
    <row r="4529" spans="1:21">
      <c r="A4529">
        <v>4528</v>
      </c>
      <c r="B4529" s="27" t="s">
        <v>1449</v>
      </c>
      <c r="D4529" s="27" t="s">
        <v>1450</v>
      </c>
      <c r="F4529" s="27" t="s">
        <v>1453</v>
      </c>
      <c r="H4529" s="27" t="s">
        <v>1454</v>
      </c>
      <c r="M4529" s="27" t="s">
        <v>6121</v>
      </c>
      <c r="N4529" s="27" t="s">
        <v>1343</v>
      </c>
      <c r="P4529" s="27" t="s">
        <v>6184</v>
      </c>
      <c r="Q4529" s="26" t="str">
        <f>HYPERLINK("https://ictv.global/taxonomy/taxondetails?taxnode_id=202512313&amp;ictv_id=ICTV202112313","ICTV202112313")</f>
        <v>ICTV202112313</v>
      </c>
      <c r="R4529" t="s">
        <v>579</v>
      </c>
      <c r="S4529" t="s">
        <v>823</v>
      </c>
      <c r="T4529">
        <v>37</v>
      </c>
      <c r="U4529" s="26" t="str">
        <f t="shared" si="173"/>
        <v>2021.035B.R.Gracegardnervirinae.zip</v>
      </c>
    </row>
    <row r="4530" spans="1:21">
      <c r="A4530">
        <v>4529</v>
      </c>
      <c r="B4530" s="27" t="s">
        <v>1449</v>
      </c>
      <c r="D4530" s="27" t="s">
        <v>1450</v>
      </c>
      <c r="F4530" s="27" t="s">
        <v>1453</v>
      </c>
      <c r="H4530" s="27" t="s">
        <v>1454</v>
      </c>
      <c r="M4530" s="27" t="s">
        <v>6121</v>
      </c>
      <c r="N4530" s="27" t="s">
        <v>1343</v>
      </c>
      <c r="P4530" s="27" t="s">
        <v>19781</v>
      </c>
      <c r="Q4530" s="26" t="str">
        <f>HYPERLINK("https://ictv.global/taxonomy/taxondetails?taxnode_id=202500907&amp;ictv_id=ICTV20140269","ICTV20140269")</f>
        <v>ICTV20140269</v>
      </c>
      <c r="R4530" t="s">
        <v>579</v>
      </c>
      <c r="S4530" t="s">
        <v>824</v>
      </c>
      <c r="T4530">
        <v>40</v>
      </c>
      <c r="U4530" s="26" t="str">
        <f>HYPERLINK("https://ictv.global/ictv/proposals/2024.036B.Caudoviricetes_Faserviricetes_Name_Corrections.zip","2024.036B.Caudoviricetes_Faserviricetes_Name_Corrections.zip")</f>
        <v>2024.036B.Caudoviricetes_Faserviricetes_Name_Corrections.zip</v>
      </c>
    </row>
    <row r="4531" spans="1:21">
      <c r="A4531">
        <v>4530</v>
      </c>
      <c r="B4531" s="27" t="s">
        <v>1449</v>
      </c>
      <c r="D4531" s="27" t="s">
        <v>1450</v>
      </c>
      <c r="F4531" s="27" t="s">
        <v>1453</v>
      </c>
      <c r="H4531" s="27" t="s">
        <v>1454</v>
      </c>
      <c r="M4531" s="27" t="s">
        <v>6121</v>
      </c>
      <c r="N4531" s="27" t="s">
        <v>1343</v>
      </c>
      <c r="P4531" s="27" t="s">
        <v>6185</v>
      </c>
      <c r="Q4531" s="26" t="str">
        <f>HYPERLINK("https://ictv.global/taxonomy/taxondetails?taxnode_id=202512314&amp;ictv_id=ICTV202112314","ICTV202112314")</f>
        <v>ICTV202112314</v>
      </c>
      <c r="R4531" t="s">
        <v>579</v>
      </c>
      <c r="S4531" t="s">
        <v>823</v>
      </c>
      <c r="T4531">
        <v>37</v>
      </c>
      <c r="U4531" s="26" t="str">
        <f>HYPERLINK("https://ictv.global/ictv/proposals/2021.035B.R.Gracegardnervirinae.zip","2021.035B.R.Gracegardnervirinae.zip")</f>
        <v>2021.035B.R.Gracegardnervirinae.zip</v>
      </c>
    </row>
    <row r="4532" spans="1:21">
      <c r="A4532">
        <v>4531</v>
      </c>
      <c r="B4532" s="27" t="s">
        <v>1449</v>
      </c>
      <c r="D4532" s="27" t="s">
        <v>1450</v>
      </c>
      <c r="F4532" s="27" t="s">
        <v>1453</v>
      </c>
      <c r="H4532" s="27" t="s">
        <v>1454</v>
      </c>
      <c r="M4532" s="27" t="s">
        <v>6121</v>
      </c>
      <c r="N4532" s="27" t="s">
        <v>1343</v>
      </c>
      <c r="P4532" s="27" t="s">
        <v>6186</v>
      </c>
      <c r="Q4532" s="26" t="str">
        <f>HYPERLINK("https://ictv.global/taxonomy/taxondetails?taxnode_id=202512315&amp;ictv_id=ICTV202112315","ICTV202112315")</f>
        <v>ICTV202112315</v>
      </c>
      <c r="R4532" t="s">
        <v>579</v>
      </c>
      <c r="S4532" t="s">
        <v>823</v>
      </c>
      <c r="T4532">
        <v>37</v>
      </c>
      <c r="U4532" s="26" t="str">
        <f>HYPERLINK("https://ictv.global/ictv/proposals/2021.035B.R.Gracegardnervirinae.zip","2021.035B.R.Gracegardnervirinae.zip")</f>
        <v>2021.035B.R.Gracegardnervirinae.zip</v>
      </c>
    </row>
    <row r="4533" spans="1:21">
      <c r="A4533">
        <v>4532</v>
      </c>
      <c r="B4533" s="27" t="s">
        <v>1449</v>
      </c>
      <c r="D4533" s="27" t="s">
        <v>1450</v>
      </c>
      <c r="F4533" s="27" t="s">
        <v>1453</v>
      </c>
      <c r="H4533" s="27" t="s">
        <v>1454</v>
      </c>
      <c r="M4533" s="27" t="s">
        <v>6121</v>
      </c>
      <c r="N4533" s="27" t="s">
        <v>1343</v>
      </c>
      <c r="P4533" s="27" t="s">
        <v>6187</v>
      </c>
      <c r="Q4533" s="26" t="str">
        <f>HYPERLINK("https://ictv.global/taxonomy/taxondetails?taxnode_id=202512316&amp;ictv_id=ICTV202112316","ICTV202112316")</f>
        <v>ICTV202112316</v>
      </c>
      <c r="R4533" t="s">
        <v>579</v>
      </c>
      <c r="S4533" t="s">
        <v>823</v>
      </c>
      <c r="T4533">
        <v>37</v>
      </c>
      <c r="U4533" s="26" t="str">
        <f>HYPERLINK("https://ictv.global/ictv/proposals/2021.035B.R.Gracegardnervirinae.zip","2021.035B.R.Gracegardnervirinae.zip")</f>
        <v>2021.035B.R.Gracegardnervirinae.zip</v>
      </c>
    </row>
    <row r="4534" spans="1:21">
      <c r="A4534">
        <v>4533</v>
      </c>
      <c r="B4534" s="27" t="s">
        <v>1449</v>
      </c>
      <c r="D4534" s="27" t="s">
        <v>1450</v>
      </c>
      <c r="F4534" s="27" t="s">
        <v>1453</v>
      </c>
      <c r="H4534" s="27" t="s">
        <v>1454</v>
      </c>
      <c r="M4534" s="27" t="s">
        <v>6121</v>
      </c>
      <c r="N4534" s="27" t="s">
        <v>1343</v>
      </c>
      <c r="P4534" s="27" t="s">
        <v>19782</v>
      </c>
      <c r="Q4534" s="26" t="str">
        <f>HYPERLINK("https://ictv.global/taxonomy/taxondetails?taxnode_id=202500908&amp;ictv_id=ICTV20140263","ICTV20140263")</f>
        <v>ICTV20140263</v>
      </c>
      <c r="R4534" t="s">
        <v>579</v>
      </c>
      <c r="S4534" t="s">
        <v>824</v>
      </c>
      <c r="T4534">
        <v>40</v>
      </c>
      <c r="U4534" s="26" t="str">
        <f>HYPERLINK("https://ictv.global/ictv/proposals/2024.036B.Caudoviricetes_Faserviricetes_Name_Corrections.zip","2024.036B.Caudoviricetes_Faserviricetes_Name_Corrections.zip")</f>
        <v>2024.036B.Caudoviricetes_Faserviricetes_Name_Corrections.zip</v>
      </c>
    </row>
    <row r="4535" spans="1:21">
      <c r="A4535">
        <v>4534</v>
      </c>
      <c r="B4535" s="27" t="s">
        <v>1449</v>
      </c>
      <c r="D4535" s="27" t="s">
        <v>1450</v>
      </c>
      <c r="F4535" s="27" t="s">
        <v>1453</v>
      </c>
      <c r="H4535" s="27" t="s">
        <v>1454</v>
      </c>
      <c r="M4535" s="27" t="s">
        <v>6121</v>
      </c>
      <c r="N4535" s="27" t="s">
        <v>1343</v>
      </c>
      <c r="P4535" s="27" t="s">
        <v>6188</v>
      </c>
      <c r="Q4535" s="26" t="str">
        <f>HYPERLINK("https://ictv.global/taxonomy/taxondetails?taxnode_id=202512317&amp;ictv_id=ICTV202112317","ICTV202112317")</f>
        <v>ICTV202112317</v>
      </c>
      <c r="R4535" t="s">
        <v>579</v>
      </c>
      <c r="S4535" t="s">
        <v>823</v>
      </c>
      <c r="T4535">
        <v>37</v>
      </c>
      <c r="U4535" s="26" t="str">
        <f>HYPERLINK("https://ictv.global/ictv/proposals/2021.035B.R.Gracegardnervirinae.zip","2021.035B.R.Gracegardnervirinae.zip")</f>
        <v>2021.035B.R.Gracegardnervirinae.zip</v>
      </c>
    </row>
    <row r="4536" spans="1:21">
      <c r="A4536">
        <v>4535</v>
      </c>
      <c r="B4536" s="27" t="s">
        <v>1449</v>
      </c>
      <c r="D4536" s="27" t="s">
        <v>1450</v>
      </c>
      <c r="F4536" s="27" t="s">
        <v>1453</v>
      </c>
      <c r="H4536" s="27" t="s">
        <v>1454</v>
      </c>
      <c r="M4536" s="27" t="s">
        <v>6121</v>
      </c>
      <c r="N4536" s="27" t="s">
        <v>1343</v>
      </c>
      <c r="P4536" s="27" t="s">
        <v>6189</v>
      </c>
      <c r="Q4536" s="26" t="str">
        <f>HYPERLINK("https://ictv.global/taxonomy/taxondetails?taxnode_id=202512318&amp;ictv_id=ICTV202112318","ICTV202112318")</f>
        <v>ICTV202112318</v>
      </c>
      <c r="R4536" t="s">
        <v>579</v>
      </c>
      <c r="S4536" t="s">
        <v>823</v>
      </c>
      <c r="T4536">
        <v>37</v>
      </c>
      <c r="U4536" s="26" t="str">
        <f>HYPERLINK("https://ictv.global/ictv/proposals/2021.035B.R.Gracegardnervirinae.zip","2021.035B.R.Gracegardnervirinae.zip")</f>
        <v>2021.035B.R.Gracegardnervirinae.zip</v>
      </c>
    </row>
    <row r="4537" spans="1:21">
      <c r="A4537">
        <v>4536</v>
      </c>
      <c r="B4537" s="27" t="s">
        <v>1449</v>
      </c>
      <c r="D4537" s="27" t="s">
        <v>1450</v>
      </c>
      <c r="F4537" s="27" t="s">
        <v>1453</v>
      </c>
      <c r="H4537" s="27" t="s">
        <v>1454</v>
      </c>
      <c r="M4537" s="27" t="s">
        <v>6121</v>
      </c>
      <c r="N4537" s="27" t="s">
        <v>1343</v>
      </c>
      <c r="P4537" s="27" t="s">
        <v>6190</v>
      </c>
      <c r="Q4537" s="26" t="str">
        <f>HYPERLINK("https://ictv.global/taxonomy/taxondetails?taxnode_id=202512319&amp;ictv_id=ICTV202112319","ICTV202112319")</f>
        <v>ICTV202112319</v>
      </c>
      <c r="R4537" t="s">
        <v>579</v>
      </c>
      <c r="S4537" t="s">
        <v>823</v>
      </c>
      <c r="T4537">
        <v>37</v>
      </c>
      <c r="U4537" s="26" t="str">
        <f>HYPERLINK("https://ictv.global/ictv/proposals/2021.035B.R.Gracegardnervirinae.zip","2021.035B.R.Gracegardnervirinae.zip")</f>
        <v>2021.035B.R.Gracegardnervirinae.zip</v>
      </c>
    </row>
    <row r="4538" spans="1:21">
      <c r="A4538">
        <v>4537</v>
      </c>
      <c r="B4538" s="27" t="s">
        <v>1449</v>
      </c>
      <c r="D4538" s="27" t="s">
        <v>1450</v>
      </c>
      <c r="F4538" s="27" t="s">
        <v>1453</v>
      </c>
      <c r="H4538" s="27" t="s">
        <v>1454</v>
      </c>
      <c r="M4538" s="27" t="s">
        <v>6121</v>
      </c>
      <c r="N4538" s="27" t="s">
        <v>1343</v>
      </c>
      <c r="P4538" s="27" t="s">
        <v>6191</v>
      </c>
      <c r="Q4538" s="26" t="str">
        <f>HYPERLINK("https://ictv.global/taxonomy/taxondetails?taxnode_id=202512320&amp;ictv_id=ICTV202112320","ICTV202112320")</f>
        <v>ICTV202112320</v>
      </c>
      <c r="R4538" t="s">
        <v>579</v>
      </c>
      <c r="S4538" t="s">
        <v>823</v>
      </c>
      <c r="T4538">
        <v>37</v>
      </c>
      <c r="U4538" s="26" t="str">
        <f>HYPERLINK("https://ictv.global/ictv/proposals/2021.035B.R.Gracegardnervirinae.zip","2021.035B.R.Gracegardnervirinae.zip")</f>
        <v>2021.035B.R.Gracegardnervirinae.zip</v>
      </c>
    </row>
    <row r="4539" spans="1:21">
      <c r="A4539">
        <v>4538</v>
      </c>
      <c r="B4539" s="27" t="s">
        <v>1449</v>
      </c>
      <c r="D4539" s="27" t="s">
        <v>1450</v>
      </c>
      <c r="F4539" s="27" t="s">
        <v>1453</v>
      </c>
      <c r="H4539" s="27" t="s">
        <v>1454</v>
      </c>
      <c r="M4539" s="27" t="s">
        <v>6121</v>
      </c>
      <c r="N4539" s="27" t="s">
        <v>1343</v>
      </c>
      <c r="P4539" s="27" t="s">
        <v>6192</v>
      </c>
      <c r="Q4539" s="26" t="str">
        <f>HYPERLINK("https://ictv.global/taxonomy/taxondetails?taxnode_id=202512321&amp;ictv_id=ICTV202112321","ICTV202112321")</f>
        <v>ICTV202112321</v>
      </c>
      <c r="R4539" t="s">
        <v>579</v>
      </c>
      <c r="S4539" t="s">
        <v>823</v>
      </c>
      <c r="T4539">
        <v>37</v>
      </c>
      <c r="U4539" s="26" t="str">
        <f>HYPERLINK("https://ictv.global/ictv/proposals/2021.035B.R.Gracegardnervirinae.zip","2021.035B.R.Gracegardnervirinae.zip")</f>
        <v>2021.035B.R.Gracegardnervirinae.zip</v>
      </c>
    </row>
    <row r="4540" spans="1:21">
      <c r="A4540">
        <v>4539</v>
      </c>
      <c r="B4540" s="27" t="s">
        <v>1449</v>
      </c>
      <c r="D4540" s="27" t="s">
        <v>1450</v>
      </c>
      <c r="F4540" s="27" t="s">
        <v>1453</v>
      </c>
      <c r="H4540" s="27" t="s">
        <v>1454</v>
      </c>
      <c r="M4540" s="27" t="s">
        <v>6121</v>
      </c>
      <c r="N4540" s="27" t="s">
        <v>1343</v>
      </c>
      <c r="P4540" s="27" t="s">
        <v>19783</v>
      </c>
      <c r="Q4540" s="26" t="str">
        <f>HYPERLINK("https://ictv.global/taxonomy/taxondetails?taxnode_id=202500909&amp;ictv_id=ICTV20140283","ICTV20140283")</f>
        <v>ICTV20140283</v>
      </c>
      <c r="R4540" t="s">
        <v>579</v>
      </c>
      <c r="S4540" t="s">
        <v>824</v>
      </c>
      <c r="T4540">
        <v>40</v>
      </c>
      <c r="U4540" s="26" t="str">
        <f>HYPERLINK("https://ictv.global/ictv/proposals/2024.036B.Caudoviricetes_Faserviricetes_Name_Corrections.zip","2024.036B.Caudoviricetes_Faserviricetes_Name_Corrections.zip")</f>
        <v>2024.036B.Caudoviricetes_Faserviricetes_Name_Corrections.zip</v>
      </c>
    </row>
    <row r="4541" spans="1:21">
      <c r="A4541">
        <v>4540</v>
      </c>
      <c r="B4541" s="27" t="s">
        <v>1449</v>
      </c>
      <c r="D4541" s="27" t="s">
        <v>1450</v>
      </c>
      <c r="F4541" s="27" t="s">
        <v>1453</v>
      </c>
      <c r="H4541" s="27" t="s">
        <v>1454</v>
      </c>
      <c r="M4541" s="27" t="s">
        <v>6121</v>
      </c>
      <c r="N4541" s="27" t="s">
        <v>1343</v>
      </c>
      <c r="P4541" s="27" t="s">
        <v>6193</v>
      </c>
      <c r="Q4541" s="26" t="str">
        <f>HYPERLINK("https://ictv.global/taxonomy/taxondetails?taxnode_id=202512322&amp;ictv_id=ICTV202112322","ICTV202112322")</f>
        <v>ICTV202112322</v>
      </c>
      <c r="R4541" t="s">
        <v>579</v>
      </c>
      <c r="S4541" t="s">
        <v>823</v>
      </c>
      <c r="T4541">
        <v>37</v>
      </c>
      <c r="U4541" s="26" t="str">
        <f>HYPERLINK("https://ictv.global/ictv/proposals/2021.035B.R.Gracegardnervirinae.zip","2021.035B.R.Gracegardnervirinae.zip")</f>
        <v>2021.035B.R.Gracegardnervirinae.zip</v>
      </c>
    </row>
    <row r="4542" spans="1:21">
      <c r="A4542">
        <v>4541</v>
      </c>
      <c r="B4542" s="27" t="s">
        <v>1449</v>
      </c>
      <c r="D4542" s="27" t="s">
        <v>1450</v>
      </c>
      <c r="F4542" s="27" t="s">
        <v>1453</v>
      </c>
      <c r="H4542" s="27" t="s">
        <v>1454</v>
      </c>
      <c r="M4542" s="27" t="s">
        <v>6121</v>
      </c>
      <c r="N4542" s="27" t="s">
        <v>1343</v>
      </c>
      <c r="P4542" s="27" t="s">
        <v>19784</v>
      </c>
      <c r="Q4542" s="26" t="str">
        <f>HYPERLINK("https://ictv.global/taxonomy/taxondetails?taxnode_id=202500910&amp;ictv_id=ICTV20140284","ICTV20140284")</f>
        <v>ICTV20140284</v>
      </c>
      <c r="R4542" t="s">
        <v>579</v>
      </c>
      <c r="S4542" t="s">
        <v>824</v>
      </c>
      <c r="T4542">
        <v>40</v>
      </c>
      <c r="U4542" s="26" t="str">
        <f>HYPERLINK("https://ictv.global/ictv/proposals/2024.036B.Caudoviricetes_Faserviricetes_Name_Corrections.zip","2024.036B.Caudoviricetes_Faserviricetes_Name_Corrections.zip")</f>
        <v>2024.036B.Caudoviricetes_Faserviricetes_Name_Corrections.zip</v>
      </c>
    </row>
    <row r="4543" spans="1:21">
      <c r="A4543">
        <v>4542</v>
      </c>
      <c r="B4543" s="27" t="s">
        <v>1449</v>
      </c>
      <c r="D4543" s="27" t="s">
        <v>1450</v>
      </c>
      <c r="F4543" s="27" t="s">
        <v>1453</v>
      </c>
      <c r="H4543" s="27" t="s">
        <v>1454</v>
      </c>
      <c r="M4543" s="27" t="s">
        <v>6121</v>
      </c>
      <c r="N4543" s="27" t="s">
        <v>1343</v>
      </c>
      <c r="P4543" s="27" t="s">
        <v>6194</v>
      </c>
      <c r="Q4543" s="26" t="str">
        <f>HYPERLINK("https://ictv.global/taxonomy/taxondetails?taxnode_id=202512323&amp;ictv_id=ICTV202112323","ICTV202112323")</f>
        <v>ICTV202112323</v>
      </c>
      <c r="R4543" t="s">
        <v>579</v>
      </c>
      <c r="S4543" t="s">
        <v>823</v>
      </c>
      <c r="T4543">
        <v>37</v>
      </c>
      <c r="U4543" s="26" t="str">
        <f>HYPERLINK("https://ictv.global/ictv/proposals/2021.035B.R.Gracegardnervirinae.zip","2021.035B.R.Gracegardnervirinae.zip")</f>
        <v>2021.035B.R.Gracegardnervirinae.zip</v>
      </c>
    </row>
    <row r="4544" spans="1:21">
      <c r="A4544">
        <v>4543</v>
      </c>
      <c r="B4544" s="27" t="s">
        <v>1449</v>
      </c>
      <c r="D4544" s="27" t="s">
        <v>1450</v>
      </c>
      <c r="F4544" s="27" t="s">
        <v>1453</v>
      </c>
      <c r="H4544" s="27" t="s">
        <v>1454</v>
      </c>
      <c r="M4544" s="27" t="s">
        <v>6121</v>
      </c>
      <c r="N4544" s="27" t="s">
        <v>1343</v>
      </c>
      <c r="P4544" s="27" t="s">
        <v>6195</v>
      </c>
      <c r="Q4544" s="26" t="str">
        <f>HYPERLINK("https://ictv.global/taxonomy/taxondetails?taxnode_id=202512324&amp;ictv_id=ICTV202112324","ICTV202112324")</f>
        <v>ICTV202112324</v>
      </c>
      <c r="R4544" t="s">
        <v>579</v>
      </c>
      <c r="S4544" t="s">
        <v>823</v>
      </c>
      <c r="T4544">
        <v>37</v>
      </c>
      <c r="U4544" s="26" t="str">
        <f>HYPERLINK("https://ictv.global/ictv/proposals/2021.035B.R.Gracegardnervirinae.zip","2021.035B.R.Gracegardnervirinae.zip")</f>
        <v>2021.035B.R.Gracegardnervirinae.zip</v>
      </c>
    </row>
    <row r="4545" spans="1:21">
      <c r="A4545">
        <v>4544</v>
      </c>
      <c r="B4545" s="27" t="s">
        <v>1449</v>
      </c>
      <c r="D4545" s="27" t="s">
        <v>1450</v>
      </c>
      <c r="F4545" s="27" t="s">
        <v>1453</v>
      </c>
      <c r="H4545" s="27" t="s">
        <v>1454</v>
      </c>
      <c r="M4545" s="27" t="s">
        <v>6121</v>
      </c>
      <c r="N4545" s="27" t="s">
        <v>1343</v>
      </c>
      <c r="P4545" s="27" t="s">
        <v>6196</v>
      </c>
      <c r="Q4545" s="26" t="str">
        <f>HYPERLINK("https://ictv.global/taxonomy/taxondetails?taxnode_id=202512325&amp;ictv_id=ICTV202112325","ICTV202112325")</f>
        <v>ICTV202112325</v>
      </c>
      <c r="R4545" t="s">
        <v>579</v>
      </c>
      <c r="S4545" t="s">
        <v>823</v>
      </c>
      <c r="T4545">
        <v>37</v>
      </c>
      <c r="U4545" s="26" t="str">
        <f>HYPERLINK("https://ictv.global/ictv/proposals/2021.035B.R.Gracegardnervirinae.zip","2021.035B.R.Gracegardnervirinae.zip")</f>
        <v>2021.035B.R.Gracegardnervirinae.zip</v>
      </c>
    </row>
    <row r="4546" spans="1:21">
      <c r="A4546">
        <v>4545</v>
      </c>
      <c r="B4546" s="27" t="s">
        <v>1449</v>
      </c>
      <c r="D4546" s="27" t="s">
        <v>1450</v>
      </c>
      <c r="F4546" s="27" t="s">
        <v>1453</v>
      </c>
      <c r="H4546" s="27" t="s">
        <v>1454</v>
      </c>
      <c r="M4546" s="27" t="s">
        <v>6121</v>
      </c>
      <c r="N4546" s="27" t="s">
        <v>1343</v>
      </c>
      <c r="P4546" s="27" t="s">
        <v>19785</v>
      </c>
      <c r="Q4546" s="26" t="str">
        <f>HYPERLINK("https://ictv.global/taxonomy/taxondetails?taxnode_id=202500911&amp;ictv_id=ICTV20140276","ICTV20140276")</f>
        <v>ICTV20140276</v>
      </c>
      <c r="R4546" t="s">
        <v>579</v>
      </c>
      <c r="S4546" t="s">
        <v>824</v>
      </c>
      <c r="T4546">
        <v>40</v>
      </c>
      <c r="U4546" s="26" t="str">
        <f>HYPERLINK("https://ictv.global/ictv/proposals/2024.036B.Caudoviricetes_Faserviricetes_Name_Corrections.zip","2024.036B.Caudoviricetes_Faserviricetes_Name_Corrections.zip")</f>
        <v>2024.036B.Caudoviricetes_Faserviricetes_Name_Corrections.zip</v>
      </c>
    </row>
    <row r="4547" spans="1:21">
      <c r="A4547">
        <v>4546</v>
      </c>
      <c r="B4547" s="27" t="s">
        <v>1449</v>
      </c>
      <c r="D4547" s="27" t="s">
        <v>1450</v>
      </c>
      <c r="F4547" s="27" t="s">
        <v>1453</v>
      </c>
      <c r="H4547" s="27" t="s">
        <v>1454</v>
      </c>
      <c r="M4547" s="27" t="s">
        <v>6121</v>
      </c>
      <c r="N4547" s="27" t="s">
        <v>1343</v>
      </c>
      <c r="P4547" s="27" t="s">
        <v>19786</v>
      </c>
      <c r="Q4547" s="26" t="str">
        <f>HYPERLINK("https://ictv.global/taxonomy/taxondetails?taxnode_id=202500912&amp;ictv_id=ICTV20140286","ICTV20140286")</f>
        <v>ICTV20140286</v>
      </c>
      <c r="R4547" t="s">
        <v>579</v>
      </c>
      <c r="S4547" t="s">
        <v>824</v>
      </c>
      <c r="T4547">
        <v>40</v>
      </c>
      <c r="U4547" s="26" t="str">
        <f>HYPERLINK("https://ictv.global/ictv/proposals/2024.036B.Caudoviricetes_Faserviricetes_Name_Corrections.zip","2024.036B.Caudoviricetes_Faserviricetes_Name_Corrections.zip")</f>
        <v>2024.036B.Caudoviricetes_Faserviricetes_Name_Corrections.zip</v>
      </c>
    </row>
    <row r="4548" spans="1:21">
      <c r="A4548">
        <v>4547</v>
      </c>
      <c r="B4548" s="27" t="s">
        <v>1449</v>
      </c>
      <c r="D4548" s="27" t="s">
        <v>1450</v>
      </c>
      <c r="F4548" s="27" t="s">
        <v>1453</v>
      </c>
      <c r="H4548" s="27" t="s">
        <v>1454</v>
      </c>
      <c r="M4548" s="27" t="s">
        <v>6121</v>
      </c>
      <c r="N4548" s="27" t="s">
        <v>1343</v>
      </c>
      <c r="P4548" s="27" t="s">
        <v>19787</v>
      </c>
      <c r="Q4548" s="26" t="str">
        <f>HYPERLINK("https://ictv.global/taxonomy/taxondetails?taxnode_id=202500913&amp;ictv_id=ICTV20140281","ICTV20140281")</f>
        <v>ICTV20140281</v>
      </c>
      <c r="R4548" t="s">
        <v>579</v>
      </c>
      <c r="S4548" t="s">
        <v>824</v>
      </c>
      <c r="T4548">
        <v>40</v>
      </c>
      <c r="U4548" s="26" t="str">
        <f>HYPERLINK("https://ictv.global/ictv/proposals/2024.036B.Caudoviricetes_Faserviricetes_Name_Corrections.zip","2024.036B.Caudoviricetes_Faserviricetes_Name_Corrections.zip")</f>
        <v>2024.036B.Caudoviricetes_Faserviricetes_Name_Corrections.zip</v>
      </c>
    </row>
    <row r="4549" spans="1:21">
      <c r="A4549">
        <v>4548</v>
      </c>
      <c r="B4549" s="27" t="s">
        <v>1449</v>
      </c>
      <c r="D4549" s="27" t="s">
        <v>1450</v>
      </c>
      <c r="F4549" s="27" t="s">
        <v>1453</v>
      </c>
      <c r="H4549" s="27" t="s">
        <v>1454</v>
      </c>
      <c r="M4549" s="27" t="s">
        <v>6121</v>
      </c>
      <c r="N4549" s="27" t="s">
        <v>1343</v>
      </c>
      <c r="P4549" s="27" t="s">
        <v>6197</v>
      </c>
      <c r="Q4549" s="26" t="str">
        <f>HYPERLINK("https://ictv.global/taxonomy/taxondetails?taxnode_id=202512326&amp;ictv_id=ICTV202112326","ICTV202112326")</f>
        <v>ICTV202112326</v>
      </c>
      <c r="R4549" t="s">
        <v>579</v>
      </c>
      <c r="S4549" t="s">
        <v>823</v>
      </c>
      <c r="T4549">
        <v>37</v>
      </c>
      <c r="U4549" s="26" t="str">
        <f>HYPERLINK("https://ictv.global/ictv/proposals/2021.035B.R.Gracegardnervirinae.zip","2021.035B.R.Gracegardnervirinae.zip")</f>
        <v>2021.035B.R.Gracegardnervirinae.zip</v>
      </c>
    </row>
    <row r="4550" spans="1:21">
      <c r="A4550">
        <v>4549</v>
      </c>
      <c r="B4550" s="27" t="s">
        <v>1449</v>
      </c>
      <c r="D4550" s="27" t="s">
        <v>1450</v>
      </c>
      <c r="F4550" s="27" t="s">
        <v>1453</v>
      </c>
      <c r="H4550" s="27" t="s">
        <v>1454</v>
      </c>
      <c r="M4550" s="27" t="s">
        <v>6121</v>
      </c>
      <c r="N4550" s="27" t="s">
        <v>1343</v>
      </c>
      <c r="P4550" s="27" t="s">
        <v>6198</v>
      </c>
      <c r="Q4550" s="26" t="str">
        <f>HYPERLINK("https://ictv.global/taxonomy/taxondetails?taxnode_id=202512327&amp;ictv_id=ICTV202112327","ICTV202112327")</f>
        <v>ICTV202112327</v>
      </c>
      <c r="R4550" t="s">
        <v>579</v>
      </c>
      <c r="S4550" t="s">
        <v>823</v>
      </c>
      <c r="T4550">
        <v>37</v>
      </c>
      <c r="U4550" s="26" t="str">
        <f>HYPERLINK("https://ictv.global/ictv/proposals/2021.035B.R.Gracegardnervirinae.zip","2021.035B.R.Gracegardnervirinae.zip")</f>
        <v>2021.035B.R.Gracegardnervirinae.zip</v>
      </c>
    </row>
    <row r="4551" spans="1:21">
      <c r="A4551">
        <v>4550</v>
      </c>
      <c r="B4551" s="27" t="s">
        <v>1449</v>
      </c>
      <c r="D4551" s="27" t="s">
        <v>1450</v>
      </c>
      <c r="F4551" s="27" t="s">
        <v>1453</v>
      </c>
      <c r="H4551" s="27" t="s">
        <v>1454</v>
      </c>
      <c r="M4551" s="27" t="s">
        <v>6121</v>
      </c>
      <c r="N4551" s="27" t="s">
        <v>1343</v>
      </c>
      <c r="P4551" s="27" t="s">
        <v>19788</v>
      </c>
      <c r="Q4551" s="26" t="str">
        <f>HYPERLINK("https://ictv.global/taxonomy/taxondetails?taxnode_id=202500914&amp;ictv_id=ICTV20140268","ICTV20140268")</f>
        <v>ICTV20140268</v>
      </c>
      <c r="R4551" t="s">
        <v>579</v>
      </c>
      <c r="S4551" t="s">
        <v>824</v>
      </c>
      <c r="T4551">
        <v>40</v>
      </c>
      <c r="U4551" s="26" t="str">
        <f>HYPERLINK("https://ictv.global/ictv/proposals/2024.036B.Caudoviricetes_Faserviricetes_Name_Corrections.zip","2024.036B.Caudoviricetes_Faserviricetes_Name_Corrections.zip")</f>
        <v>2024.036B.Caudoviricetes_Faserviricetes_Name_Corrections.zip</v>
      </c>
    </row>
    <row r="4552" spans="1:21">
      <c r="A4552">
        <v>4551</v>
      </c>
      <c r="B4552" s="27" t="s">
        <v>1449</v>
      </c>
      <c r="D4552" s="27" t="s">
        <v>1450</v>
      </c>
      <c r="F4552" s="27" t="s">
        <v>1453</v>
      </c>
      <c r="H4552" s="27" t="s">
        <v>1454</v>
      </c>
      <c r="M4552" s="27" t="s">
        <v>6121</v>
      </c>
      <c r="N4552" s="27" t="s">
        <v>1343</v>
      </c>
      <c r="P4552" s="27" t="s">
        <v>6199</v>
      </c>
      <c r="Q4552" s="26" t="str">
        <f>HYPERLINK("https://ictv.global/taxonomy/taxondetails?taxnode_id=202512328&amp;ictv_id=ICTV202112328","ICTV202112328")</f>
        <v>ICTV202112328</v>
      </c>
      <c r="R4552" t="s">
        <v>579</v>
      </c>
      <c r="S4552" t="s">
        <v>823</v>
      </c>
      <c r="T4552">
        <v>37</v>
      </c>
      <c r="U4552" s="26" t="str">
        <f>HYPERLINK("https://ictv.global/ictv/proposals/2021.035B.R.Gracegardnervirinae.zip","2021.035B.R.Gracegardnervirinae.zip")</f>
        <v>2021.035B.R.Gracegardnervirinae.zip</v>
      </c>
    </row>
    <row r="4553" spans="1:21">
      <c r="A4553">
        <v>4552</v>
      </c>
      <c r="B4553" s="27" t="s">
        <v>1449</v>
      </c>
      <c r="D4553" s="27" t="s">
        <v>1450</v>
      </c>
      <c r="F4553" s="27" t="s">
        <v>1453</v>
      </c>
      <c r="H4553" s="27" t="s">
        <v>1454</v>
      </c>
      <c r="M4553" s="27" t="s">
        <v>6121</v>
      </c>
      <c r="N4553" s="27" t="s">
        <v>1343</v>
      </c>
      <c r="P4553" s="27" t="s">
        <v>6200</v>
      </c>
      <c r="Q4553" s="26" t="str">
        <f>HYPERLINK("https://ictv.global/taxonomy/taxondetails?taxnode_id=202512329&amp;ictv_id=ICTV202112329","ICTV202112329")</f>
        <v>ICTV202112329</v>
      </c>
      <c r="R4553" t="s">
        <v>579</v>
      </c>
      <c r="S4553" t="s">
        <v>823</v>
      </c>
      <c r="T4553">
        <v>37</v>
      </c>
      <c r="U4553" s="26" t="str">
        <f>HYPERLINK("https://ictv.global/ictv/proposals/2021.035B.R.Gracegardnervirinae.zip","2021.035B.R.Gracegardnervirinae.zip")</f>
        <v>2021.035B.R.Gracegardnervirinae.zip</v>
      </c>
    </row>
    <row r="4554" spans="1:21">
      <c r="A4554">
        <v>4553</v>
      </c>
      <c r="B4554" s="27" t="s">
        <v>1449</v>
      </c>
      <c r="D4554" s="27" t="s">
        <v>1450</v>
      </c>
      <c r="F4554" s="27" t="s">
        <v>1453</v>
      </c>
      <c r="H4554" s="27" t="s">
        <v>1454</v>
      </c>
      <c r="M4554" s="27" t="s">
        <v>6121</v>
      </c>
      <c r="N4554" s="27" t="s">
        <v>1343</v>
      </c>
      <c r="P4554" s="27" t="s">
        <v>6201</v>
      </c>
      <c r="Q4554" s="26" t="str">
        <f>HYPERLINK("https://ictv.global/taxonomy/taxondetails?taxnode_id=202512330&amp;ictv_id=ICTV202112330","ICTV202112330")</f>
        <v>ICTV202112330</v>
      </c>
      <c r="R4554" t="s">
        <v>579</v>
      </c>
      <c r="S4554" t="s">
        <v>823</v>
      </c>
      <c r="T4554">
        <v>37</v>
      </c>
      <c r="U4554" s="26" t="str">
        <f>HYPERLINK("https://ictv.global/ictv/proposals/2021.035B.R.Gracegardnervirinae.zip","2021.035B.R.Gracegardnervirinae.zip")</f>
        <v>2021.035B.R.Gracegardnervirinae.zip</v>
      </c>
    </row>
    <row r="4555" spans="1:21">
      <c r="A4555">
        <v>4554</v>
      </c>
      <c r="B4555" s="27" t="s">
        <v>1449</v>
      </c>
      <c r="D4555" s="27" t="s">
        <v>1450</v>
      </c>
      <c r="F4555" s="27" t="s">
        <v>1453</v>
      </c>
      <c r="H4555" s="27" t="s">
        <v>1454</v>
      </c>
      <c r="M4555" s="27" t="s">
        <v>6121</v>
      </c>
      <c r="N4555" s="27" t="s">
        <v>1343</v>
      </c>
      <c r="P4555" s="27" t="s">
        <v>6202</v>
      </c>
      <c r="Q4555" s="26" t="str">
        <f>HYPERLINK("https://ictv.global/taxonomy/taxondetails?taxnode_id=202512331&amp;ictv_id=ICTV202112331","ICTV202112331")</f>
        <v>ICTV202112331</v>
      </c>
      <c r="R4555" t="s">
        <v>579</v>
      </c>
      <c r="S4555" t="s">
        <v>823</v>
      </c>
      <c r="T4555">
        <v>37</v>
      </c>
      <c r="U4555" s="26" t="str">
        <f>HYPERLINK("https://ictv.global/ictv/proposals/2021.035B.R.Gracegardnervirinae.zip","2021.035B.R.Gracegardnervirinae.zip")</f>
        <v>2021.035B.R.Gracegardnervirinae.zip</v>
      </c>
    </row>
    <row r="4556" spans="1:21">
      <c r="A4556">
        <v>4555</v>
      </c>
      <c r="B4556" s="27" t="s">
        <v>1449</v>
      </c>
      <c r="D4556" s="27" t="s">
        <v>1450</v>
      </c>
      <c r="F4556" s="27" t="s">
        <v>1453</v>
      </c>
      <c r="H4556" s="27" t="s">
        <v>1454</v>
      </c>
      <c r="M4556" s="27" t="s">
        <v>6121</v>
      </c>
      <c r="N4556" s="27" t="s">
        <v>1343</v>
      </c>
      <c r="P4556" s="27" t="s">
        <v>19789</v>
      </c>
      <c r="Q4556" s="26" t="str">
        <f>HYPERLINK("https://ictv.global/taxonomy/taxondetails?taxnode_id=202500915&amp;ictv_id=ICTV20140272","ICTV20140272")</f>
        <v>ICTV20140272</v>
      </c>
      <c r="R4556" t="s">
        <v>579</v>
      </c>
      <c r="S4556" t="s">
        <v>824</v>
      </c>
      <c r="T4556">
        <v>40</v>
      </c>
      <c r="U4556" s="26" t="str">
        <f>HYPERLINK("https://ictv.global/ictv/proposals/2024.036B.Caudoviricetes_Faserviricetes_Name_Corrections.zip","2024.036B.Caudoviricetes_Faserviricetes_Name_Corrections.zip")</f>
        <v>2024.036B.Caudoviricetes_Faserviricetes_Name_Corrections.zip</v>
      </c>
    </row>
    <row r="4557" spans="1:21">
      <c r="A4557">
        <v>4556</v>
      </c>
      <c r="B4557" s="27" t="s">
        <v>1449</v>
      </c>
      <c r="D4557" s="27" t="s">
        <v>1450</v>
      </c>
      <c r="F4557" s="27" t="s">
        <v>1453</v>
      </c>
      <c r="H4557" s="27" t="s">
        <v>1454</v>
      </c>
      <c r="M4557" s="27" t="s">
        <v>6121</v>
      </c>
      <c r="N4557" s="27" t="s">
        <v>1343</v>
      </c>
      <c r="P4557" s="27" t="s">
        <v>19790</v>
      </c>
      <c r="Q4557" s="26" t="str">
        <f>HYPERLINK("https://ictv.global/taxonomy/taxondetails?taxnode_id=202500916&amp;ictv_id=ICTV20140271","ICTV20140271")</f>
        <v>ICTV20140271</v>
      </c>
      <c r="R4557" t="s">
        <v>579</v>
      </c>
      <c r="S4557" t="s">
        <v>824</v>
      </c>
      <c r="T4557">
        <v>40</v>
      </c>
      <c r="U4557" s="26" t="str">
        <f>HYPERLINK("https://ictv.global/ictv/proposals/2024.036B.Caudoviricetes_Faserviricetes_Name_Corrections.zip","2024.036B.Caudoviricetes_Faserviricetes_Name_Corrections.zip")</f>
        <v>2024.036B.Caudoviricetes_Faserviricetes_Name_Corrections.zip</v>
      </c>
    </row>
    <row r="4558" spans="1:21">
      <c r="A4558">
        <v>4557</v>
      </c>
      <c r="B4558" s="27" t="s">
        <v>1449</v>
      </c>
      <c r="D4558" s="27" t="s">
        <v>1450</v>
      </c>
      <c r="F4558" s="27" t="s">
        <v>1453</v>
      </c>
      <c r="H4558" s="27" t="s">
        <v>1454</v>
      </c>
      <c r="M4558" s="27" t="s">
        <v>6121</v>
      </c>
      <c r="N4558" s="27" t="s">
        <v>1343</v>
      </c>
      <c r="P4558" s="27" t="s">
        <v>6203</v>
      </c>
      <c r="Q4558" s="26" t="str">
        <f>HYPERLINK("https://ictv.global/taxonomy/taxondetails?taxnode_id=202512332&amp;ictv_id=ICTV202112332","ICTV202112332")</f>
        <v>ICTV202112332</v>
      </c>
      <c r="R4558" t="s">
        <v>579</v>
      </c>
      <c r="S4558" t="s">
        <v>823</v>
      </c>
      <c r="T4558">
        <v>37</v>
      </c>
      <c r="U4558" s="26" t="str">
        <f>HYPERLINK("https://ictv.global/ictv/proposals/2021.035B.R.Gracegardnervirinae.zip","2021.035B.R.Gracegardnervirinae.zip")</f>
        <v>2021.035B.R.Gracegardnervirinae.zip</v>
      </c>
    </row>
    <row r="4559" spans="1:21">
      <c r="A4559">
        <v>4558</v>
      </c>
      <c r="B4559" s="27" t="s">
        <v>1449</v>
      </c>
      <c r="D4559" s="27" t="s">
        <v>1450</v>
      </c>
      <c r="F4559" s="27" t="s">
        <v>1453</v>
      </c>
      <c r="H4559" s="27" t="s">
        <v>1454</v>
      </c>
      <c r="M4559" s="27" t="s">
        <v>6121</v>
      </c>
      <c r="N4559" s="27" t="s">
        <v>1343</v>
      </c>
      <c r="P4559" s="27" t="s">
        <v>6204</v>
      </c>
      <c r="Q4559" s="26" t="str">
        <f>HYPERLINK("https://ictv.global/taxonomy/taxondetails?taxnode_id=202512333&amp;ictv_id=ICTV202112333","ICTV202112333")</f>
        <v>ICTV202112333</v>
      </c>
      <c r="R4559" t="s">
        <v>579</v>
      </c>
      <c r="S4559" t="s">
        <v>823</v>
      </c>
      <c r="T4559">
        <v>37</v>
      </c>
      <c r="U4559" s="26" t="str">
        <f>HYPERLINK("https://ictv.global/ictv/proposals/2021.035B.R.Gracegardnervirinae.zip","2021.035B.R.Gracegardnervirinae.zip")</f>
        <v>2021.035B.R.Gracegardnervirinae.zip</v>
      </c>
    </row>
    <row r="4560" spans="1:21">
      <c r="A4560">
        <v>4559</v>
      </c>
      <c r="B4560" s="27" t="s">
        <v>1449</v>
      </c>
      <c r="D4560" s="27" t="s">
        <v>1450</v>
      </c>
      <c r="F4560" s="27" t="s">
        <v>1453</v>
      </c>
      <c r="H4560" s="27" t="s">
        <v>1454</v>
      </c>
      <c r="M4560" s="27" t="s">
        <v>6121</v>
      </c>
      <c r="N4560" s="27" t="s">
        <v>1343</v>
      </c>
      <c r="P4560" s="27" t="s">
        <v>19791</v>
      </c>
      <c r="Q4560" s="26" t="str">
        <f>HYPERLINK("https://ictv.global/taxonomy/taxondetails?taxnode_id=202500917&amp;ictv_id=ICTV20140273","ICTV20140273")</f>
        <v>ICTV20140273</v>
      </c>
      <c r="R4560" t="s">
        <v>579</v>
      </c>
      <c r="S4560" t="s">
        <v>824</v>
      </c>
      <c r="T4560">
        <v>40</v>
      </c>
      <c r="U4560" s="26" t="str">
        <f>HYPERLINK("https://ictv.global/ictv/proposals/2024.036B.Caudoviricetes_Faserviricetes_Name_Corrections.zip","2024.036B.Caudoviricetes_Faserviricetes_Name_Corrections.zip")</f>
        <v>2024.036B.Caudoviricetes_Faserviricetes_Name_Corrections.zip</v>
      </c>
    </row>
    <row r="4561" spans="1:21">
      <c r="A4561">
        <v>4560</v>
      </c>
      <c r="B4561" s="27" t="s">
        <v>1449</v>
      </c>
      <c r="D4561" s="27" t="s">
        <v>1450</v>
      </c>
      <c r="F4561" s="27" t="s">
        <v>1453</v>
      </c>
      <c r="H4561" s="27" t="s">
        <v>1454</v>
      </c>
      <c r="M4561" s="27" t="s">
        <v>6121</v>
      </c>
      <c r="N4561" s="27" t="s">
        <v>1343</v>
      </c>
      <c r="P4561" s="27" t="s">
        <v>6205</v>
      </c>
      <c r="Q4561" s="26" t="str">
        <f>HYPERLINK("https://ictv.global/taxonomy/taxondetails?taxnode_id=202512334&amp;ictv_id=ICTV202112334","ICTV202112334")</f>
        <v>ICTV202112334</v>
      </c>
      <c r="R4561" t="s">
        <v>579</v>
      </c>
      <c r="S4561" t="s">
        <v>823</v>
      </c>
      <c r="T4561">
        <v>37</v>
      </c>
      <c r="U4561" s="26" t="str">
        <f>HYPERLINK("https://ictv.global/ictv/proposals/2021.035B.R.Gracegardnervirinae.zip","2021.035B.R.Gracegardnervirinae.zip")</f>
        <v>2021.035B.R.Gracegardnervirinae.zip</v>
      </c>
    </row>
    <row r="4562" spans="1:21">
      <c r="A4562">
        <v>4561</v>
      </c>
      <c r="B4562" s="27" t="s">
        <v>1449</v>
      </c>
      <c r="D4562" s="27" t="s">
        <v>1450</v>
      </c>
      <c r="F4562" s="27" t="s">
        <v>1453</v>
      </c>
      <c r="H4562" s="27" t="s">
        <v>1454</v>
      </c>
      <c r="M4562" s="27" t="s">
        <v>6121</v>
      </c>
      <c r="N4562" s="27" t="s">
        <v>1343</v>
      </c>
      <c r="P4562" s="27" t="s">
        <v>6206</v>
      </c>
      <c r="Q4562" s="26" t="str">
        <f>HYPERLINK("https://ictv.global/taxonomy/taxondetails?taxnode_id=202512335&amp;ictv_id=ICTV202112335","ICTV202112335")</f>
        <v>ICTV202112335</v>
      </c>
      <c r="R4562" t="s">
        <v>579</v>
      </c>
      <c r="S4562" t="s">
        <v>823</v>
      </c>
      <c r="T4562">
        <v>37</v>
      </c>
      <c r="U4562" s="26" t="str">
        <f>HYPERLINK("https://ictv.global/ictv/proposals/2021.035B.R.Gracegardnervirinae.zip","2021.035B.R.Gracegardnervirinae.zip")</f>
        <v>2021.035B.R.Gracegardnervirinae.zip</v>
      </c>
    </row>
    <row r="4563" spans="1:21">
      <c r="A4563">
        <v>4562</v>
      </c>
      <c r="B4563" s="27" t="s">
        <v>1449</v>
      </c>
      <c r="D4563" s="27" t="s">
        <v>1450</v>
      </c>
      <c r="F4563" s="27" t="s">
        <v>1453</v>
      </c>
      <c r="H4563" s="27" t="s">
        <v>1454</v>
      </c>
      <c r="M4563" s="27" t="s">
        <v>6121</v>
      </c>
      <c r="N4563" s="27" t="s">
        <v>1343</v>
      </c>
      <c r="P4563" s="27" t="s">
        <v>6207</v>
      </c>
      <c r="Q4563" s="26" t="str">
        <f>HYPERLINK("https://ictv.global/taxonomy/taxondetails?taxnode_id=202512336&amp;ictv_id=ICTV202112336","ICTV202112336")</f>
        <v>ICTV202112336</v>
      </c>
      <c r="R4563" t="s">
        <v>579</v>
      </c>
      <c r="S4563" t="s">
        <v>823</v>
      </c>
      <c r="T4563">
        <v>37</v>
      </c>
      <c r="U4563" s="26" t="str">
        <f>HYPERLINK("https://ictv.global/ictv/proposals/2021.035B.R.Gracegardnervirinae.zip","2021.035B.R.Gracegardnervirinae.zip")</f>
        <v>2021.035B.R.Gracegardnervirinae.zip</v>
      </c>
    </row>
    <row r="4564" spans="1:21">
      <c r="A4564">
        <v>4563</v>
      </c>
      <c r="B4564" s="27" t="s">
        <v>1449</v>
      </c>
      <c r="D4564" s="27" t="s">
        <v>1450</v>
      </c>
      <c r="F4564" s="27" t="s">
        <v>1453</v>
      </c>
      <c r="H4564" s="27" t="s">
        <v>1454</v>
      </c>
      <c r="M4564" s="27" t="s">
        <v>6121</v>
      </c>
      <c r="N4564" s="27" t="s">
        <v>1343</v>
      </c>
      <c r="P4564" s="27" t="s">
        <v>6208</v>
      </c>
      <c r="Q4564" s="26" t="str">
        <f>HYPERLINK("https://ictv.global/taxonomy/taxondetails?taxnode_id=202512337&amp;ictv_id=ICTV202112337","ICTV202112337")</f>
        <v>ICTV202112337</v>
      </c>
      <c r="R4564" t="s">
        <v>579</v>
      </c>
      <c r="S4564" t="s">
        <v>823</v>
      </c>
      <c r="T4564">
        <v>37</v>
      </c>
      <c r="U4564" s="26" t="str">
        <f>HYPERLINK("https://ictv.global/ictv/proposals/2021.035B.R.Gracegardnervirinae.zip","2021.035B.R.Gracegardnervirinae.zip")</f>
        <v>2021.035B.R.Gracegardnervirinae.zip</v>
      </c>
    </row>
    <row r="4565" spans="1:21">
      <c r="A4565">
        <v>4564</v>
      </c>
      <c r="B4565" s="27" t="s">
        <v>1449</v>
      </c>
      <c r="D4565" s="27" t="s">
        <v>1450</v>
      </c>
      <c r="F4565" s="27" t="s">
        <v>1453</v>
      </c>
      <c r="H4565" s="27" t="s">
        <v>1454</v>
      </c>
      <c r="M4565" s="27" t="s">
        <v>6121</v>
      </c>
      <c r="N4565" s="27" t="s">
        <v>2255</v>
      </c>
      <c r="P4565" s="27" t="s">
        <v>19792</v>
      </c>
      <c r="Q4565" s="26" t="str">
        <f>HYPERLINK("https://ictv.global/taxonomy/taxondetails?taxnode_id=202509899&amp;ictv_id=ICTV202009899","ICTV202009899")</f>
        <v>ICTV202009899</v>
      </c>
      <c r="R4565" t="s">
        <v>579</v>
      </c>
      <c r="S4565" t="s">
        <v>824</v>
      </c>
      <c r="T4565">
        <v>40</v>
      </c>
      <c r="U4565" s="26" t="str">
        <f>HYPERLINK("https://ictv.global/ictv/proposals/2024.036B.Caudoviricetes_Faserviricetes_Name_Corrections.zip","2024.036B.Caudoviricetes_Faserviricetes_Name_Corrections.zip")</f>
        <v>2024.036B.Caudoviricetes_Faserviricetes_Name_Corrections.zip</v>
      </c>
    </row>
    <row r="4566" spans="1:21">
      <c r="A4566">
        <v>4565</v>
      </c>
      <c r="B4566" s="27" t="s">
        <v>1449</v>
      </c>
      <c r="D4566" s="27" t="s">
        <v>1450</v>
      </c>
      <c r="F4566" s="27" t="s">
        <v>1453</v>
      </c>
      <c r="H4566" s="27" t="s">
        <v>1454</v>
      </c>
      <c r="M4566" s="27" t="s">
        <v>6121</v>
      </c>
      <c r="N4566" s="27" t="s">
        <v>6209</v>
      </c>
      <c r="P4566" s="27" t="s">
        <v>6210</v>
      </c>
      <c r="Q4566" s="26" t="str">
        <f>HYPERLINK("https://ictv.global/taxonomy/taxondetails?taxnode_id=202512339&amp;ictv_id=ICTV202112339","ICTV202112339")</f>
        <v>ICTV202112339</v>
      </c>
      <c r="R4566" t="s">
        <v>579</v>
      </c>
      <c r="S4566" t="s">
        <v>823</v>
      </c>
      <c r="T4566">
        <v>37</v>
      </c>
      <c r="U4566" s="26" t="str">
        <f>HYPERLINK("https://ictv.global/ictv/proposals/2021.035B.R.Gracegardnervirinae.zip","2021.035B.R.Gracegardnervirinae.zip")</f>
        <v>2021.035B.R.Gracegardnervirinae.zip</v>
      </c>
    </row>
    <row r="4567" spans="1:21">
      <c r="A4567">
        <v>4566</v>
      </c>
      <c r="B4567" s="27" t="s">
        <v>1449</v>
      </c>
      <c r="D4567" s="27" t="s">
        <v>1450</v>
      </c>
      <c r="F4567" s="27" t="s">
        <v>1453</v>
      </c>
      <c r="H4567" s="27" t="s">
        <v>1454</v>
      </c>
      <c r="M4567" s="27" t="s">
        <v>6121</v>
      </c>
      <c r="N4567" s="27" t="s">
        <v>2309</v>
      </c>
      <c r="P4567" s="27" t="s">
        <v>19793</v>
      </c>
      <c r="Q4567" s="26" t="str">
        <f>HYPERLINK("https://ictv.global/taxonomy/taxondetails?taxnode_id=202511958&amp;ictv_id=ICTV202011958","ICTV202011958")</f>
        <v>ICTV202011958</v>
      </c>
      <c r="R4567" t="s">
        <v>579</v>
      </c>
      <c r="S4567" t="s">
        <v>824</v>
      </c>
      <c r="T4567">
        <v>40</v>
      </c>
      <c r="U4567" s="26" t="str">
        <f>HYPERLINK("https://ictv.global/ictv/proposals/2024.036B.Caudoviricetes_Faserviricetes_Name_Corrections.zip","2024.036B.Caudoviricetes_Faserviricetes_Name_Corrections.zip")</f>
        <v>2024.036B.Caudoviricetes_Faserviricetes_Name_Corrections.zip</v>
      </c>
    </row>
    <row r="4568" spans="1:21">
      <c r="A4568">
        <v>4567</v>
      </c>
      <c r="B4568" s="27" t="s">
        <v>1449</v>
      </c>
      <c r="D4568" s="27" t="s">
        <v>1450</v>
      </c>
      <c r="F4568" s="27" t="s">
        <v>1453</v>
      </c>
      <c r="H4568" s="27" t="s">
        <v>1454</v>
      </c>
      <c r="M4568" s="27" t="s">
        <v>6121</v>
      </c>
      <c r="N4568" s="27" t="s">
        <v>2314</v>
      </c>
      <c r="P4568" s="27" t="s">
        <v>19794</v>
      </c>
      <c r="Q4568" s="26" t="str">
        <f>HYPERLINK("https://ictv.global/taxonomy/taxondetails?taxnode_id=202512027&amp;ictv_id=ICTV202012027","ICTV202012027")</f>
        <v>ICTV202012027</v>
      </c>
      <c r="R4568" t="s">
        <v>579</v>
      </c>
      <c r="S4568" t="s">
        <v>824</v>
      </c>
      <c r="T4568">
        <v>40</v>
      </c>
      <c r="U4568" s="26" t="str">
        <f>HYPERLINK("https://ictv.global/ictv/proposals/2024.036B.Caudoviricetes_Faserviricetes_Name_Corrections.zip","2024.036B.Caudoviricetes_Faserviricetes_Name_Corrections.zip")</f>
        <v>2024.036B.Caudoviricetes_Faserviricetes_Name_Corrections.zip</v>
      </c>
    </row>
    <row r="4569" spans="1:21">
      <c r="A4569">
        <v>4568</v>
      </c>
      <c r="B4569" s="27" t="s">
        <v>1449</v>
      </c>
      <c r="D4569" s="27" t="s">
        <v>1450</v>
      </c>
      <c r="F4569" s="27" t="s">
        <v>1453</v>
      </c>
      <c r="H4569" s="27" t="s">
        <v>1454</v>
      </c>
      <c r="M4569" s="27" t="s">
        <v>6121</v>
      </c>
      <c r="N4569" s="27" t="s">
        <v>2314</v>
      </c>
      <c r="P4569" s="27" t="s">
        <v>19795</v>
      </c>
      <c r="Q4569" s="26" t="str">
        <f>HYPERLINK("https://ictv.global/taxonomy/taxondetails?taxnode_id=202512028&amp;ictv_id=ICTV202012028","ICTV202012028")</f>
        <v>ICTV202012028</v>
      </c>
      <c r="R4569" t="s">
        <v>579</v>
      </c>
      <c r="S4569" t="s">
        <v>824</v>
      </c>
      <c r="T4569">
        <v>40</v>
      </c>
      <c r="U4569" s="26" t="str">
        <f>HYPERLINK("https://ictv.global/ictv/proposals/2024.036B.Caudoviricetes_Faserviricetes_Name_Corrections.zip","2024.036B.Caudoviricetes_Faserviricetes_Name_Corrections.zip")</f>
        <v>2024.036B.Caudoviricetes_Faserviricetes_Name_Corrections.zip</v>
      </c>
    </row>
    <row r="4570" spans="1:21">
      <c r="A4570">
        <v>4569</v>
      </c>
      <c r="B4570" s="27" t="s">
        <v>1449</v>
      </c>
      <c r="D4570" s="27" t="s">
        <v>1450</v>
      </c>
      <c r="F4570" s="27" t="s">
        <v>1453</v>
      </c>
      <c r="H4570" s="27" t="s">
        <v>1454</v>
      </c>
      <c r="M4570" s="27" t="s">
        <v>6121</v>
      </c>
      <c r="N4570" s="27" t="s">
        <v>2314</v>
      </c>
      <c r="P4570" s="27" t="s">
        <v>19796</v>
      </c>
      <c r="Q4570" s="26" t="str">
        <f>HYPERLINK("https://ictv.global/taxonomy/taxondetails?taxnode_id=202512026&amp;ictv_id=ICTV202012026","ICTV202012026")</f>
        <v>ICTV202012026</v>
      </c>
      <c r="R4570" t="s">
        <v>579</v>
      </c>
      <c r="S4570" t="s">
        <v>824</v>
      </c>
      <c r="T4570">
        <v>40</v>
      </c>
      <c r="U4570" s="26" t="str">
        <f>HYPERLINK("https://ictv.global/ictv/proposals/2024.036B.Caudoviricetes_Faserviricetes_Name_Corrections.zip","2024.036B.Caudoviricetes_Faserviricetes_Name_Corrections.zip")</f>
        <v>2024.036B.Caudoviricetes_Faserviricetes_Name_Corrections.zip</v>
      </c>
    </row>
    <row r="4571" spans="1:21">
      <c r="A4571">
        <v>4570</v>
      </c>
      <c r="B4571" s="27" t="s">
        <v>1449</v>
      </c>
      <c r="D4571" s="27" t="s">
        <v>1450</v>
      </c>
      <c r="F4571" s="27" t="s">
        <v>1453</v>
      </c>
      <c r="H4571" s="27" t="s">
        <v>1454</v>
      </c>
      <c r="M4571" s="27" t="s">
        <v>11775</v>
      </c>
      <c r="N4571" s="27" t="s">
        <v>1329</v>
      </c>
      <c r="P4571" s="27" t="s">
        <v>6684</v>
      </c>
      <c r="Q4571" s="26" t="str">
        <f>HYPERLINK("https://ictv.global/taxonomy/taxondetails?taxnode_id=202507091&amp;ictv_id=ICTV201857091","ICTV201857091")</f>
        <v>ICTV201857091</v>
      </c>
      <c r="R4571" t="s">
        <v>579</v>
      </c>
      <c r="S4571" t="s">
        <v>22763</v>
      </c>
      <c r="T4571">
        <v>39</v>
      </c>
      <c r="U4571" s="26" t="str">
        <f t="shared" ref="U4571:U4584" si="174">HYPERLINK("https://ictv.global/ictv/proposals/2023.029B.Guarnerosvirinae_nsf.zip","2023.029B.Guarnerosvirinae_nsf.zip")</f>
        <v>2023.029B.Guarnerosvirinae_nsf.zip</v>
      </c>
    </row>
    <row r="4572" spans="1:21">
      <c r="A4572">
        <v>4571</v>
      </c>
      <c r="B4572" s="27" t="s">
        <v>1449</v>
      </c>
      <c r="D4572" s="27" t="s">
        <v>1450</v>
      </c>
      <c r="F4572" s="27" t="s">
        <v>1453</v>
      </c>
      <c r="H4572" s="27" t="s">
        <v>1454</v>
      </c>
      <c r="M4572" s="27" t="s">
        <v>11775</v>
      </c>
      <c r="N4572" s="27" t="s">
        <v>11776</v>
      </c>
      <c r="P4572" s="27" t="s">
        <v>11777</v>
      </c>
      <c r="Q4572" s="26" t="str">
        <f>HYPERLINK("https://ictv.global/taxonomy/taxondetails?taxnode_id=202519047&amp;ictv_id=ICTV202319047","ICTV202319047")</f>
        <v>ICTV202319047</v>
      </c>
      <c r="R4572" t="s">
        <v>579</v>
      </c>
      <c r="S4572" t="s">
        <v>823</v>
      </c>
      <c r="T4572">
        <v>39</v>
      </c>
      <c r="U4572" s="26" t="str">
        <f t="shared" si="174"/>
        <v>2023.029B.Guarnerosvirinae_nsf.zip</v>
      </c>
    </row>
    <row r="4573" spans="1:21">
      <c r="A4573">
        <v>4572</v>
      </c>
      <c r="B4573" s="27" t="s">
        <v>1449</v>
      </c>
      <c r="D4573" s="27" t="s">
        <v>1450</v>
      </c>
      <c r="F4573" s="27" t="s">
        <v>1453</v>
      </c>
      <c r="H4573" s="27" t="s">
        <v>1454</v>
      </c>
      <c r="M4573" s="27" t="s">
        <v>11775</v>
      </c>
      <c r="N4573" s="27" t="s">
        <v>11776</v>
      </c>
      <c r="P4573" s="27" t="s">
        <v>11778</v>
      </c>
      <c r="Q4573" s="26" t="str">
        <f>HYPERLINK("https://ictv.global/taxonomy/taxondetails?taxnode_id=202507094&amp;ictv_id=ICTV201857094","ICTV201857094")</f>
        <v>ICTV201857094</v>
      </c>
      <c r="R4573" t="s">
        <v>579</v>
      </c>
      <c r="S4573" t="s">
        <v>22764</v>
      </c>
      <c r="T4573">
        <v>39</v>
      </c>
      <c r="U4573" s="26" t="str">
        <f t="shared" si="174"/>
        <v>2023.029B.Guarnerosvirinae_nsf.zip</v>
      </c>
    </row>
    <row r="4574" spans="1:21">
      <c r="A4574">
        <v>4573</v>
      </c>
      <c r="B4574" s="27" t="s">
        <v>1449</v>
      </c>
      <c r="D4574" s="27" t="s">
        <v>1450</v>
      </c>
      <c r="F4574" s="27" t="s">
        <v>1453</v>
      </c>
      <c r="H4574" s="27" t="s">
        <v>1454</v>
      </c>
      <c r="M4574" s="27" t="s">
        <v>11775</v>
      </c>
      <c r="N4574" s="27" t="s">
        <v>11776</v>
      </c>
      <c r="P4574" s="27" t="s">
        <v>11779</v>
      </c>
      <c r="Q4574" s="26" t="str">
        <f>HYPERLINK("https://ictv.global/taxonomy/taxondetails?taxnode_id=202507092&amp;ictv_id=ICTV201857092","ICTV201857092")</f>
        <v>ICTV201857092</v>
      </c>
      <c r="R4574" t="s">
        <v>579</v>
      </c>
      <c r="S4574" t="s">
        <v>22764</v>
      </c>
      <c r="T4574">
        <v>39</v>
      </c>
      <c r="U4574" s="26" t="str">
        <f t="shared" si="174"/>
        <v>2023.029B.Guarnerosvirinae_nsf.zip</v>
      </c>
    </row>
    <row r="4575" spans="1:21">
      <c r="A4575">
        <v>4574</v>
      </c>
      <c r="B4575" s="27" t="s">
        <v>1449</v>
      </c>
      <c r="D4575" s="27" t="s">
        <v>1450</v>
      </c>
      <c r="F4575" s="27" t="s">
        <v>1453</v>
      </c>
      <c r="H4575" s="27" t="s">
        <v>1454</v>
      </c>
      <c r="M4575" s="27" t="s">
        <v>11775</v>
      </c>
      <c r="N4575" s="27" t="s">
        <v>11776</v>
      </c>
      <c r="P4575" s="27" t="s">
        <v>11780</v>
      </c>
      <c r="Q4575" s="26" t="str">
        <f>HYPERLINK("https://ictv.global/taxonomy/taxondetails?taxnode_id=202507093&amp;ictv_id=ICTV201857093","ICTV201857093")</f>
        <v>ICTV201857093</v>
      </c>
      <c r="R4575" t="s">
        <v>579</v>
      </c>
      <c r="S4575" t="s">
        <v>22764</v>
      </c>
      <c r="T4575">
        <v>39</v>
      </c>
      <c r="U4575" s="26" t="str">
        <f t="shared" si="174"/>
        <v>2023.029B.Guarnerosvirinae_nsf.zip</v>
      </c>
    </row>
    <row r="4576" spans="1:21">
      <c r="A4576">
        <v>4575</v>
      </c>
      <c r="B4576" s="27" t="s">
        <v>1449</v>
      </c>
      <c r="D4576" s="27" t="s">
        <v>1450</v>
      </c>
      <c r="F4576" s="27" t="s">
        <v>1453</v>
      </c>
      <c r="H4576" s="27" t="s">
        <v>1454</v>
      </c>
      <c r="M4576" s="27" t="s">
        <v>11775</v>
      </c>
      <c r="N4576" s="27" t="s">
        <v>11776</v>
      </c>
      <c r="P4576" s="27" t="s">
        <v>11781</v>
      </c>
      <c r="Q4576" s="26" t="str">
        <f>HYPERLINK("https://ictv.global/taxonomy/taxondetails?taxnode_id=202519045&amp;ictv_id=ICTV202319045","ICTV202319045")</f>
        <v>ICTV202319045</v>
      </c>
      <c r="R4576" t="s">
        <v>579</v>
      </c>
      <c r="S4576" t="s">
        <v>823</v>
      </c>
      <c r="T4576">
        <v>39</v>
      </c>
      <c r="U4576" s="26" t="str">
        <f t="shared" si="174"/>
        <v>2023.029B.Guarnerosvirinae_nsf.zip</v>
      </c>
    </row>
    <row r="4577" spans="1:21">
      <c r="A4577">
        <v>4576</v>
      </c>
      <c r="B4577" s="27" t="s">
        <v>1449</v>
      </c>
      <c r="D4577" s="27" t="s">
        <v>1450</v>
      </c>
      <c r="F4577" s="27" t="s">
        <v>1453</v>
      </c>
      <c r="H4577" s="27" t="s">
        <v>1454</v>
      </c>
      <c r="M4577" s="27" t="s">
        <v>11775</v>
      </c>
      <c r="N4577" s="27" t="s">
        <v>11776</v>
      </c>
      <c r="P4577" s="27" t="s">
        <v>11782</v>
      </c>
      <c r="Q4577" s="26" t="str">
        <f>HYPERLINK("https://ictv.global/taxonomy/taxondetails?taxnode_id=202519046&amp;ictv_id=ICTV202319046","ICTV202319046")</f>
        <v>ICTV202319046</v>
      </c>
      <c r="R4577" t="s">
        <v>579</v>
      </c>
      <c r="S4577" t="s">
        <v>823</v>
      </c>
      <c r="T4577">
        <v>39</v>
      </c>
      <c r="U4577" s="26" t="str">
        <f t="shared" si="174"/>
        <v>2023.029B.Guarnerosvirinae_nsf.zip</v>
      </c>
    </row>
    <row r="4578" spans="1:21">
      <c r="A4578">
        <v>4577</v>
      </c>
      <c r="B4578" s="27" t="s">
        <v>1449</v>
      </c>
      <c r="D4578" s="27" t="s">
        <v>1450</v>
      </c>
      <c r="F4578" s="27" t="s">
        <v>1453</v>
      </c>
      <c r="H4578" s="27" t="s">
        <v>1454</v>
      </c>
      <c r="M4578" s="27" t="s">
        <v>11775</v>
      </c>
      <c r="N4578" s="27" t="s">
        <v>11783</v>
      </c>
      <c r="P4578" s="27" t="s">
        <v>11784</v>
      </c>
      <c r="Q4578" s="26" t="str">
        <f>HYPERLINK("https://ictv.global/taxonomy/taxondetails?taxnode_id=202519041&amp;ictv_id=ICTV202319041","ICTV202319041")</f>
        <v>ICTV202319041</v>
      </c>
      <c r="R4578" t="s">
        <v>579</v>
      </c>
      <c r="S4578" t="s">
        <v>823</v>
      </c>
      <c r="T4578">
        <v>39</v>
      </c>
      <c r="U4578" s="26" t="str">
        <f t="shared" si="174"/>
        <v>2023.029B.Guarnerosvirinae_nsf.zip</v>
      </c>
    </row>
    <row r="4579" spans="1:21">
      <c r="A4579">
        <v>4578</v>
      </c>
      <c r="B4579" s="27" t="s">
        <v>1449</v>
      </c>
      <c r="D4579" s="27" t="s">
        <v>1450</v>
      </c>
      <c r="F4579" s="27" t="s">
        <v>1453</v>
      </c>
      <c r="H4579" s="27" t="s">
        <v>1454</v>
      </c>
      <c r="M4579" s="27" t="s">
        <v>11775</v>
      </c>
      <c r="N4579" s="27" t="s">
        <v>11783</v>
      </c>
      <c r="P4579" s="27" t="s">
        <v>11785</v>
      </c>
      <c r="Q4579" s="26" t="str">
        <f>HYPERLINK("https://ictv.global/taxonomy/taxondetails?taxnode_id=202519039&amp;ictv_id=ICTV202319039","ICTV202319039")</f>
        <v>ICTV202319039</v>
      </c>
      <c r="R4579" t="s">
        <v>579</v>
      </c>
      <c r="S4579" t="s">
        <v>823</v>
      </c>
      <c r="T4579">
        <v>39</v>
      </c>
      <c r="U4579" s="26" t="str">
        <f t="shared" si="174"/>
        <v>2023.029B.Guarnerosvirinae_nsf.zip</v>
      </c>
    </row>
    <row r="4580" spans="1:21">
      <c r="A4580">
        <v>4579</v>
      </c>
      <c r="B4580" s="27" t="s">
        <v>1449</v>
      </c>
      <c r="D4580" s="27" t="s">
        <v>1450</v>
      </c>
      <c r="F4580" s="27" t="s">
        <v>1453</v>
      </c>
      <c r="H4580" s="27" t="s">
        <v>1454</v>
      </c>
      <c r="M4580" s="27" t="s">
        <v>11775</v>
      </c>
      <c r="N4580" s="27" t="s">
        <v>11783</v>
      </c>
      <c r="P4580" s="27" t="s">
        <v>11786</v>
      </c>
      <c r="Q4580" s="26" t="str">
        <f>HYPERLINK("https://ictv.global/taxonomy/taxondetails?taxnode_id=202519043&amp;ictv_id=ICTV202319043","ICTV202319043")</f>
        <v>ICTV202319043</v>
      </c>
      <c r="R4580" t="s">
        <v>579</v>
      </c>
      <c r="S4580" t="s">
        <v>823</v>
      </c>
      <c r="T4580">
        <v>39</v>
      </c>
      <c r="U4580" s="26" t="str">
        <f t="shared" si="174"/>
        <v>2023.029B.Guarnerosvirinae_nsf.zip</v>
      </c>
    </row>
    <row r="4581" spans="1:21">
      <c r="A4581">
        <v>4580</v>
      </c>
      <c r="B4581" s="27" t="s">
        <v>1449</v>
      </c>
      <c r="D4581" s="27" t="s">
        <v>1450</v>
      </c>
      <c r="F4581" s="27" t="s">
        <v>1453</v>
      </c>
      <c r="H4581" s="27" t="s">
        <v>1454</v>
      </c>
      <c r="M4581" s="27" t="s">
        <v>11775</v>
      </c>
      <c r="N4581" s="27" t="s">
        <v>11783</v>
      </c>
      <c r="P4581" s="27" t="s">
        <v>11787</v>
      </c>
      <c r="Q4581" s="26" t="str">
        <f>HYPERLINK("https://ictv.global/taxonomy/taxondetails?taxnode_id=202519042&amp;ictv_id=ICTV202319042","ICTV202319042")</f>
        <v>ICTV202319042</v>
      </c>
      <c r="R4581" t="s">
        <v>579</v>
      </c>
      <c r="S4581" t="s">
        <v>823</v>
      </c>
      <c r="T4581">
        <v>39</v>
      </c>
      <c r="U4581" s="26" t="str">
        <f t="shared" si="174"/>
        <v>2023.029B.Guarnerosvirinae_nsf.zip</v>
      </c>
    </row>
    <row r="4582" spans="1:21">
      <c r="A4582">
        <v>4581</v>
      </c>
      <c r="B4582" s="27" t="s">
        <v>1449</v>
      </c>
      <c r="D4582" s="27" t="s">
        <v>1450</v>
      </c>
      <c r="F4582" s="27" t="s">
        <v>1453</v>
      </c>
      <c r="H4582" s="27" t="s">
        <v>1454</v>
      </c>
      <c r="M4582" s="27" t="s">
        <v>11775</v>
      </c>
      <c r="N4582" s="27" t="s">
        <v>11783</v>
      </c>
      <c r="P4582" s="27" t="s">
        <v>11788</v>
      </c>
      <c r="Q4582" s="26" t="str">
        <f>HYPERLINK("https://ictv.global/taxonomy/taxondetails?taxnode_id=202519038&amp;ictv_id=ICTV202319038","ICTV202319038")</f>
        <v>ICTV202319038</v>
      </c>
      <c r="R4582" t="s">
        <v>579</v>
      </c>
      <c r="S4582" t="s">
        <v>823</v>
      </c>
      <c r="T4582">
        <v>39</v>
      </c>
      <c r="U4582" s="26" t="str">
        <f t="shared" si="174"/>
        <v>2023.029B.Guarnerosvirinae_nsf.zip</v>
      </c>
    </row>
    <row r="4583" spans="1:21">
      <c r="A4583">
        <v>4582</v>
      </c>
      <c r="B4583" s="27" t="s">
        <v>1449</v>
      </c>
      <c r="D4583" s="27" t="s">
        <v>1450</v>
      </c>
      <c r="F4583" s="27" t="s">
        <v>1453</v>
      </c>
      <c r="H4583" s="27" t="s">
        <v>1454</v>
      </c>
      <c r="M4583" s="27" t="s">
        <v>11775</v>
      </c>
      <c r="N4583" s="27" t="s">
        <v>11783</v>
      </c>
      <c r="P4583" s="27" t="s">
        <v>11789</v>
      </c>
      <c r="Q4583" s="26" t="str">
        <f>HYPERLINK("https://ictv.global/taxonomy/taxondetails?taxnode_id=202519040&amp;ictv_id=ICTV202319040","ICTV202319040")</f>
        <v>ICTV202319040</v>
      </c>
      <c r="R4583" t="s">
        <v>579</v>
      </c>
      <c r="S4583" t="s">
        <v>823</v>
      </c>
      <c r="T4583">
        <v>39</v>
      </c>
      <c r="U4583" s="26" t="str">
        <f t="shared" si="174"/>
        <v>2023.029B.Guarnerosvirinae_nsf.zip</v>
      </c>
    </row>
    <row r="4584" spans="1:21">
      <c r="A4584">
        <v>4583</v>
      </c>
      <c r="B4584" s="27" t="s">
        <v>1449</v>
      </c>
      <c r="D4584" s="27" t="s">
        <v>1450</v>
      </c>
      <c r="F4584" s="27" t="s">
        <v>1453</v>
      </c>
      <c r="H4584" s="27" t="s">
        <v>1454</v>
      </c>
      <c r="M4584" s="27" t="s">
        <v>11775</v>
      </c>
      <c r="N4584" s="27" t="s">
        <v>11783</v>
      </c>
      <c r="P4584" s="27" t="s">
        <v>11790</v>
      </c>
      <c r="Q4584" s="26" t="str">
        <f>HYPERLINK("https://ictv.global/taxonomy/taxondetails?taxnode_id=202519044&amp;ictv_id=ICTV202319044","ICTV202319044")</f>
        <v>ICTV202319044</v>
      </c>
      <c r="R4584" t="s">
        <v>579</v>
      </c>
      <c r="S4584" t="s">
        <v>823</v>
      </c>
      <c r="T4584">
        <v>39</v>
      </c>
      <c r="U4584" s="26" t="str">
        <f t="shared" si="174"/>
        <v>2023.029B.Guarnerosvirinae_nsf.zip</v>
      </c>
    </row>
    <row r="4585" spans="1:21">
      <c r="A4585">
        <v>4584</v>
      </c>
      <c r="B4585" s="27" t="s">
        <v>1449</v>
      </c>
      <c r="D4585" s="27" t="s">
        <v>1450</v>
      </c>
      <c r="F4585" s="27" t="s">
        <v>1453</v>
      </c>
      <c r="H4585" s="27" t="s">
        <v>1454</v>
      </c>
      <c r="M4585" s="27" t="s">
        <v>2219</v>
      </c>
      <c r="N4585" s="27" t="s">
        <v>2220</v>
      </c>
      <c r="P4585" s="27" t="s">
        <v>6230</v>
      </c>
      <c r="Q4585" s="26" t="str">
        <f>HYPERLINK("https://ictv.global/taxonomy/taxondetails?taxnode_id=202510071&amp;ictv_id=ICTV202010071","ICTV202010071")</f>
        <v>ICTV202010071</v>
      </c>
      <c r="R4585" t="s">
        <v>579</v>
      </c>
      <c r="S4585" t="s">
        <v>824</v>
      </c>
      <c r="T4585">
        <v>37</v>
      </c>
      <c r="U4585" s="26" t="str">
        <f>HYPERLINK("https://ictv.global/ictv/proposals/2021.010B.R.Binomial_names.zip","2021.010B.R.Binomial_names.zip")</f>
        <v>2021.010B.R.Binomial_names.zip</v>
      </c>
    </row>
    <row r="4586" spans="1:21">
      <c r="A4586">
        <v>4585</v>
      </c>
      <c r="B4586" s="27" t="s">
        <v>1449</v>
      </c>
      <c r="D4586" s="27" t="s">
        <v>1450</v>
      </c>
      <c r="F4586" s="27" t="s">
        <v>1453</v>
      </c>
      <c r="H4586" s="27" t="s">
        <v>1454</v>
      </c>
      <c r="M4586" s="27" t="s">
        <v>2219</v>
      </c>
      <c r="N4586" s="27" t="s">
        <v>2220</v>
      </c>
      <c r="P4586" s="27" t="s">
        <v>6231</v>
      </c>
      <c r="Q4586" s="26" t="str">
        <f>HYPERLINK("https://ictv.global/taxonomy/taxondetails?taxnode_id=202510072&amp;ictv_id=ICTV202010072","ICTV202010072")</f>
        <v>ICTV202010072</v>
      </c>
      <c r="R4586" t="s">
        <v>579</v>
      </c>
      <c r="S4586" t="s">
        <v>824</v>
      </c>
      <c r="T4586">
        <v>37</v>
      </c>
      <c r="U4586" s="26" t="str">
        <f>HYPERLINK("https://ictv.global/ictv/proposals/2021.010B.R.Binomial_names.zip","2021.010B.R.Binomial_names.zip")</f>
        <v>2021.010B.R.Binomial_names.zip</v>
      </c>
    </row>
    <row r="4587" spans="1:21">
      <c r="A4587">
        <v>4586</v>
      </c>
      <c r="B4587" s="27" t="s">
        <v>1449</v>
      </c>
      <c r="D4587" s="27" t="s">
        <v>1450</v>
      </c>
      <c r="F4587" s="27" t="s">
        <v>1453</v>
      </c>
      <c r="H4587" s="27" t="s">
        <v>1454</v>
      </c>
      <c r="M4587" s="27" t="s">
        <v>2219</v>
      </c>
      <c r="N4587" s="27" t="s">
        <v>11857</v>
      </c>
      <c r="P4587" s="27" t="s">
        <v>11858</v>
      </c>
      <c r="Q4587" s="26" t="str">
        <f>HYPERLINK("https://ictv.global/taxonomy/taxondetails?taxnode_id=202519206&amp;ictv_id=ICTV202319206","ICTV202319206")</f>
        <v>ICTV202319206</v>
      </c>
      <c r="R4587" t="s">
        <v>579</v>
      </c>
      <c r="S4587" t="s">
        <v>823</v>
      </c>
      <c r="T4587">
        <v>39</v>
      </c>
      <c r="U4587" s="26" t="str">
        <f>HYPERLINK("https://ictv.global/ictv/proposals/2023.044B.Layangavirus_Layangbvirus_2ng.zip","2023.044B.Layangavirus_Layangbvirus_2ng.zip")</f>
        <v>2023.044B.Layangavirus_Layangbvirus_2ng.zip</v>
      </c>
    </row>
    <row r="4588" spans="1:21">
      <c r="A4588">
        <v>4587</v>
      </c>
      <c r="B4588" s="27" t="s">
        <v>1449</v>
      </c>
      <c r="D4588" s="27" t="s">
        <v>1450</v>
      </c>
      <c r="F4588" s="27" t="s">
        <v>1453</v>
      </c>
      <c r="H4588" s="27" t="s">
        <v>1454</v>
      </c>
      <c r="M4588" s="27" t="s">
        <v>2219</v>
      </c>
      <c r="N4588" s="27" t="s">
        <v>11859</v>
      </c>
      <c r="P4588" s="27" t="s">
        <v>11860</v>
      </c>
      <c r="Q4588" s="26" t="str">
        <f>HYPERLINK("https://ictv.global/taxonomy/taxondetails?taxnode_id=202519207&amp;ictv_id=ICTV202319207","ICTV202319207")</f>
        <v>ICTV202319207</v>
      </c>
      <c r="R4588" t="s">
        <v>579</v>
      </c>
      <c r="S4588" t="s">
        <v>823</v>
      </c>
      <c r="T4588">
        <v>39</v>
      </c>
      <c r="U4588" s="26" t="str">
        <f>HYPERLINK("https://ictv.global/ictv/proposals/2023.044B.Layangavirus_Layangbvirus_2ng.zip","2023.044B.Layangavirus_Layangbvirus_2ng.zip")</f>
        <v>2023.044B.Layangavirus_Layangbvirus_2ng.zip</v>
      </c>
    </row>
    <row r="4589" spans="1:21">
      <c r="A4589">
        <v>4588</v>
      </c>
      <c r="B4589" s="27" t="s">
        <v>1449</v>
      </c>
      <c r="D4589" s="27" t="s">
        <v>1450</v>
      </c>
      <c r="F4589" s="27" t="s">
        <v>1453</v>
      </c>
      <c r="H4589" s="27" t="s">
        <v>1454</v>
      </c>
      <c r="M4589" s="27" t="s">
        <v>2219</v>
      </c>
      <c r="N4589" s="27" t="s">
        <v>2221</v>
      </c>
      <c r="P4589" s="27" t="s">
        <v>6232</v>
      </c>
      <c r="Q4589" s="26" t="str">
        <f>HYPERLINK("https://ictv.global/taxonomy/taxondetails?taxnode_id=202510074&amp;ictv_id=ICTV202010074","ICTV202010074")</f>
        <v>ICTV202010074</v>
      </c>
      <c r="R4589" t="s">
        <v>579</v>
      </c>
      <c r="S4589" t="s">
        <v>824</v>
      </c>
      <c r="T4589">
        <v>37</v>
      </c>
      <c r="U4589" s="26" t="str">
        <f>HYPERLINK("https://ictv.global/ictv/proposals/2021.010B.R.Binomial_names.zip","2021.010B.R.Binomial_names.zip")</f>
        <v>2021.010B.R.Binomial_names.zip</v>
      </c>
    </row>
    <row r="4590" spans="1:21">
      <c r="A4590">
        <v>4589</v>
      </c>
      <c r="B4590" s="27" t="s">
        <v>1449</v>
      </c>
      <c r="D4590" s="27" t="s">
        <v>1450</v>
      </c>
      <c r="F4590" s="27" t="s">
        <v>1453</v>
      </c>
      <c r="H4590" s="27" t="s">
        <v>1454</v>
      </c>
      <c r="M4590" s="27" t="s">
        <v>11861</v>
      </c>
      <c r="N4590" s="27" t="s">
        <v>7211</v>
      </c>
      <c r="P4590" s="27" t="s">
        <v>7212</v>
      </c>
      <c r="Q4590" s="26" t="str">
        <f>HYPERLINK("https://ictv.global/taxonomy/taxondetails?taxnode_id=202514485&amp;ictv_id=ICTV202214485","ICTV202214485")</f>
        <v>ICTV202214485</v>
      </c>
      <c r="R4590" t="s">
        <v>579</v>
      </c>
      <c r="S4590" t="s">
        <v>22763</v>
      </c>
      <c r="T4590">
        <v>39</v>
      </c>
      <c r="U4590" s="26" t="str">
        <f>HYPERLINK("https://ictv.global/ictv/proposals/2023.033B.Heleneionescovirinae_nsf.zip","2023.033B.Heleneionescovirinae_nsf.zip")</f>
        <v>2023.033B.Heleneionescovirinae_nsf.zip</v>
      </c>
    </row>
    <row r="4591" spans="1:21">
      <c r="A4591">
        <v>4590</v>
      </c>
      <c r="B4591" s="27" t="s">
        <v>1449</v>
      </c>
      <c r="D4591" s="27" t="s">
        <v>1450</v>
      </c>
      <c r="F4591" s="27" t="s">
        <v>1453</v>
      </c>
      <c r="H4591" s="27" t="s">
        <v>1454</v>
      </c>
      <c r="M4591" s="27" t="s">
        <v>11861</v>
      </c>
      <c r="N4591" s="27" t="s">
        <v>8189</v>
      </c>
      <c r="P4591" s="27" t="s">
        <v>11862</v>
      </c>
      <c r="Q4591" s="26" t="str">
        <f>HYPERLINK("https://ictv.global/taxonomy/taxondetails?taxnode_id=202519073&amp;ictv_id=ICTV202319073","ICTV202319073")</f>
        <v>ICTV202319073</v>
      </c>
      <c r="R4591" t="s">
        <v>579</v>
      </c>
      <c r="S4591" t="s">
        <v>823</v>
      </c>
      <c r="T4591">
        <v>39</v>
      </c>
      <c r="U4591" s="26" t="str">
        <f>HYPERLINK("https://ictv.global/ictv/proposals/2023.033B.Heleneionescovirinae_nsf.zip","2023.033B.Heleneionescovirinae_nsf.zip")</f>
        <v>2023.033B.Heleneionescovirinae_nsf.zip</v>
      </c>
    </row>
    <row r="4592" spans="1:21">
      <c r="A4592">
        <v>4591</v>
      </c>
      <c r="B4592" s="27" t="s">
        <v>1449</v>
      </c>
      <c r="D4592" s="27" t="s">
        <v>1450</v>
      </c>
      <c r="F4592" s="27" t="s">
        <v>1453</v>
      </c>
      <c r="H4592" s="27" t="s">
        <v>1454</v>
      </c>
      <c r="M4592" s="27" t="s">
        <v>11861</v>
      </c>
      <c r="N4592" s="27" t="s">
        <v>8189</v>
      </c>
      <c r="P4592" s="27" t="s">
        <v>8190</v>
      </c>
      <c r="Q4592" s="26" t="str">
        <f>HYPERLINK("https://ictv.global/taxonomy/taxondetails?taxnode_id=202514486&amp;ictv_id=ICTV202214486","ICTV202214486")</f>
        <v>ICTV202214486</v>
      </c>
      <c r="R4592" t="s">
        <v>579</v>
      </c>
      <c r="S4592" t="s">
        <v>22763</v>
      </c>
      <c r="T4592">
        <v>39</v>
      </c>
      <c r="U4592" s="26" t="str">
        <f>HYPERLINK("https://ictv.global/ictv/proposals/2023.033B.Heleneionescovirinae_nsf.zip","2023.033B.Heleneionescovirinae_nsf.zip")</f>
        <v>2023.033B.Heleneionescovirinae_nsf.zip</v>
      </c>
    </row>
    <row r="4593" spans="1:21">
      <c r="A4593">
        <v>4592</v>
      </c>
      <c r="B4593" s="27" t="s">
        <v>1449</v>
      </c>
      <c r="D4593" s="27" t="s">
        <v>1450</v>
      </c>
      <c r="F4593" s="27" t="s">
        <v>1453</v>
      </c>
      <c r="H4593" s="27" t="s">
        <v>1454</v>
      </c>
      <c r="M4593" s="27" t="s">
        <v>2222</v>
      </c>
      <c r="N4593" s="27" t="s">
        <v>2223</v>
      </c>
      <c r="P4593" s="27" t="s">
        <v>6233</v>
      </c>
      <c r="Q4593" s="26" t="str">
        <f>HYPERLINK("https://ictv.global/taxonomy/taxondetails?taxnode_id=202501071&amp;ictv_id=ICTV20040489","ICTV20040489")</f>
        <v>ICTV20040489</v>
      </c>
      <c r="R4593" t="s">
        <v>579</v>
      </c>
      <c r="S4593" t="s">
        <v>824</v>
      </c>
      <c r="T4593">
        <v>37</v>
      </c>
      <c r="U4593" s="26" t="str">
        <f t="shared" ref="U4593:U4606" si="175">HYPERLINK("https://ictv.global/ictv/proposals/2021.010B.R.Binomial_names.zip","2021.010B.R.Binomial_names.zip")</f>
        <v>2021.010B.R.Binomial_names.zip</v>
      </c>
    </row>
    <row r="4594" spans="1:21">
      <c r="A4594">
        <v>4593</v>
      </c>
      <c r="B4594" s="27" t="s">
        <v>1449</v>
      </c>
      <c r="D4594" s="27" t="s">
        <v>1450</v>
      </c>
      <c r="F4594" s="27" t="s">
        <v>1453</v>
      </c>
      <c r="H4594" s="27" t="s">
        <v>1454</v>
      </c>
      <c r="M4594" s="27" t="s">
        <v>2222</v>
      </c>
      <c r="N4594" s="27" t="s">
        <v>2224</v>
      </c>
      <c r="P4594" s="27" t="s">
        <v>6234</v>
      </c>
      <c r="Q4594" s="26" t="str">
        <f>HYPERLINK("https://ictv.global/taxonomy/taxondetails?taxnode_id=202505555&amp;ictv_id=ICTV20175555","ICTV20175555")</f>
        <v>ICTV20175555</v>
      </c>
      <c r="R4594" t="s">
        <v>579</v>
      </c>
      <c r="S4594" t="s">
        <v>824</v>
      </c>
      <c r="T4594">
        <v>37</v>
      </c>
      <c r="U4594" s="26" t="str">
        <f t="shared" si="175"/>
        <v>2021.010B.R.Binomial_names.zip</v>
      </c>
    </row>
    <row r="4595" spans="1:21">
      <c r="A4595">
        <v>4594</v>
      </c>
      <c r="B4595" s="27" t="s">
        <v>1449</v>
      </c>
      <c r="D4595" s="27" t="s">
        <v>1450</v>
      </c>
      <c r="F4595" s="27" t="s">
        <v>1453</v>
      </c>
      <c r="H4595" s="27" t="s">
        <v>1454</v>
      </c>
      <c r="M4595" s="27" t="s">
        <v>2222</v>
      </c>
      <c r="N4595" s="27" t="s">
        <v>2225</v>
      </c>
      <c r="P4595" s="27" t="s">
        <v>6235</v>
      </c>
      <c r="Q4595" s="26" t="str">
        <f>HYPERLINK("https://ictv.global/taxonomy/taxondetails?taxnode_id=202505549&amp;ictv_id=ICTV20175549","ICTV20175549")</f>
        <v>ICTV20175549</v>
      </c>
      <c r="R4595" t="s">
        <v>579</v>
      </c>
      <c r="S4595" t="s">
        <v>824</v>
      </c>
      <c r="T4595">
        <v>37</v>
      </c>
      <c r="U4595" s="26" t="str">
        <f t="shared" si="175"/>
        <v>2021.010B.R.Binomial_names.zip</v>
      </c>
    </row>
    <row r="4596" spans="1:21">
      <c r="A4596">
        <v>4595</v>
      </c>
      <c r="B4596" s="27" t="s">
        <v>1449</v>
      </c>
      <c r="D4596" s="27" t="s">
        <v>1450</v>
      </c>
      <c r="F4596" s="27" t="s">
        <v>1453</v>
      </c>
      <c r="H4596" s="27" t="s">
        <v>1454</v>
      </c>
      <c r="M4596" s="27" t="s">
        <v>2222</v>
      </c>
      <c r="N4596" s="27" t="s">
        <v>2225</v>
      </c>
      <c r="P4596" s="27" t="s">
        <v>6236</v>
      </c>
      <c r="Q4596" s="26" t="str">
        <f>HYPERLINK("https://ictv.global/taxonomy/taxondetails?taxnode_id=202505551&amp;ictv_id=ICTV20175551","ICTV20175551")</f>
        <v>ICTV20175551</v>
      </c>
      <c r="R4596" t="s">
        <v>579</v>
      </c>
      <c r="S4596" t="s">
        <v>824</v>
      </c>
      <c r="T4596">
        <v>37</v>
      </c>
      <c r="U4596" s="26" t="str">
        <f t="shared" si="175"/>
        <v>2021.010B.R.Binomial_names.zip</v>
      </c>
    </row>
    <row r="4597" spans="1:21">
      <c r="A4597">
        <v>4596</v>
      </c>
      <c r="B4597" s="27" t="s">
        <v>1449</v>
      </c>
      <c r="D4597" s="27" t="s">
        <v>1450</v>
      </c>
      <c r="F4597" s="27" t="s">
        <v>1453</v>
      </c>
      <c r="H4597" s="27" t="s">
        <v>1454</v>
      </c>
      <c r="M4597" s="27" t="s">
        <v>2222</v>
      </c>
      <c r="N4597" s="27" t="s">
        <v>2226</v>
      </c>
      <c r="P4597" s="27" t="s">
        <v>6237</v>
      </c>
      <c r="Q4597" s="26" t="str">
        <f>HYPERLINK("https://ictv.global/taxonomy/taxondetails?taxnode_id=202510093&amp;ictv_id=ICTV202010093","ICTV202010093")</f>
        <v>ICTV202010093</v>
      </c>
      <c r="R4597" t="s">
        <v>579</v>
      </c>
      <c r="S4597" t="s">
        <v>824</v>
      </c>
      <c r="T4597">
        <v>37</v>
      </c>
      <c r="U4597" s="26" t="str">
        <f t="shared" si="175"/>
        <v>2021.010B.R.Binomial_names.zip</v>
      </c>
    </row>
    <row r="4598" spans="1:21">
      <c r="A4598">
        <v>4597</v>
      </c>
      <c r="B4598" s="27" t="s">
        <v>1449</v>
      </c>
      <c r="D4598" s="27" t="s">
        <v>1450</v>
      </c>
      <c r="F4598" s="27" t="s">
        <v>1453</v>
      </c>
      <c r="H4598" s="27" t="s">
        <v>1454</v>
      </c>
      <c r="M4598" s="27" t="s">
        <v>2222</v>
      </c>
      <c r="N4598" s="27" t="s">
        <v>2227</v>
      </c>
      <c r="P4598" s="27" t="s">
        <v>6238</v>
      </c>
      <c r="Q4598" s="26" t="str">
        <f>HYPERLINK("https://ictv.global/taxonomy/taxondetails?taxnode_id=202505553&amp;ictv_id=ICTV20175553","ICTV20175553")</f>
        <v>ICTV20175553</v>
      </c>
      <c r="R4598" t="s">
        <v>579</v>
      </c>
      <c r="S4598" t="s">
        <v>824</v>
      </c>
      <c r="T4598">
        <v>37</v>
      </c>
      <c r="U4598" s="26" t="str">
        <f t="shared" si="175"/>
        <v>2021.010B.R.Binomial_names.zip</v>
      </c>
    </row>
    <row r="4599" spans="1:21">
      <c r="A4599">
        <v>4598</v>
      </c>
      <c r="B4599" s="27" t="s">
        <v>1449</v>
      </c>
      <c r="D4599" s="27" t="s">
        <v>1450</v>
      </c>
      <c r="F4599" s="27" t="s">
        <v>1453</v>
      </c>
      <c r="H4599" s="27" t="s">
        <v>1454</v>
      </c>
      <c r="M4599" s="27" t="s">
        <v>2222</v>
      </c>
      <c r="N4599" s="27" t="s">
        <v>2227</v>
      </c>
      <c r="P4599" s="27" t="s">
        <v>6239</v>
      </c>
      <c r="Q4599" s="26" t="str">
        <f>HYPERLINK("https://ictv.global/taxonomy/taxondetails?taxnode_id=202505552&amp;ictv_id=ICTV20175552","ICTV20175552")</f>
        <v>ICTV20175552</v>
      </c>
      <c r="R4599" t="s">
        <v>579</v>
      </c>
      <c r="S4599" t="s">
        <v>824</v>
      </c>
      <c r="T4599">
        <v>37</v>
      </c>
      <c r="U4599" s="26" t="str">
        <f t="shared" si="175"/>
        <v>2021.010B.R.Binomial_names.zip</v>
      </c>
    </row>
    <row r="4600" spans="1:21">
      <c r="A4600">
        <v>4599</v>
      </c>
      <c r="B4600" s="27" t="s">
        <v>1449</v>
      </c>
      <c r="D4600" s="27" t="s">
        <v>1450</v>
      </c>
      <c r="F4600" s="27" t="s">
        <v>1453</v>
      </c>
      <c r="H4600" s="27" t="s">
        <v>1454</v>
      </c>
      <c r="M4600" s="27" t="s">
        <v>2222</v>
      </c>
      <c r="N4600" s="27" t="s">
        <v>2228</v>
      </c>
      <c r="P4600" s="27" t="s">
        <v>6240</v>
      </c>
      <c r="Q4600" s="26" t="str">
        <f>HYPERLINK("https://ictv.global/taxonomy/taxondetails?taxnode_id=202501070&amp;ictv_id=ICTV20040488","ICTV20040488")</f>
        <v>ICTV20040488</v>
      </c>
      <c r="R4600" t="s">
        <v>579</v>
      </c>
      <c r="S4600" t="s">
        <v>824</v>
      </c>
      <c r="T4600">
        <v>37</v>
      </c>
      <c r="U4600" s="26" t="str">
        <f t="shared" si="175"/>
        <v>2021.010B.R.Binomial_names.zip</v>
      </c>
    </row>
    <row r="4601" spans="1:21">
      <c r="A4601">
        <v>4600</v>
      </c>
      <c r="B4601" s="27" t="s">
        <v>1449</v>
      </c>
      <c r="D4601" s="27" t="s">
        <v>1450</v>
      </c>
      <c r="F4601" s="27" t="s">
        <v>1453</v>
      </c>
      <c r="H4601" s="27" t="s">
        <v>1454</v>
      </c>
      <c r="M4601" s="27" t="s">
        <v>2222</v>
      </c>
      <c r="N4601" s="27" t="s">
        <v>2228</v>
      </c>
      <c r="P4601" s="27" t="s">
        <v>6241</v>
      </c>
      <c r="Q4601" s="26" t="str">
        <f>HYPERLINK("https://ictv.global/taxonomy/taxondetails?taxnode_id=202505556&amp;ictv_id=ICTV20175556","ICTV20175556")</f>
        <v>ICTV20175556</v>
      </c>
      <c r="R4601" t="s">
        <v>579</v>
      </c>
      <c r="S4601" t="s">
        <v>824</v>
      </c>
      <c r="T4601">
        <v>37</v>
      </c>
      <c r="U4601" s="26" t="str">
        <f t="shared" si="175"/>
        <v>2021.010B.R.Binomial_names.zip</v>
      </c>
    </row>
    <row r="4602" spans="1:21">
      <c r="A4602">
        <v>4601</v>
      </c>
      <c r="B4602" s="27" t="s">
        <v>1449</v>
      </c>
      <c r="D4602" s="27" t="s">
        <v>1450</v>
      </c>
      <c r="F4602" s="27" t="s">
        <v>1453</v>
      </c>
      <c r="H4602" s="27" t="s">
        <v>1454</v>
      </c>
      <c r="M4602" s="27" t="s">
        <v>2222</v>
      </c>
      <c r="N4602" s="27" t="s">
        <v>2229</v>
      </c>
      <c r="P4602" s="27" t="s">
        <v>6242</v>
      </c>
      <c r="Q4602" s="26" t="str">
        <f>HYPERLINK("https://ictv.global/taxonomy/taxondetails?taxnode_id=202505548&amp;ictv_id=ICTV20175548","ICTV20175548")</f>
        <v>ICTV20175548</v>
      </c>
      <c r="R4602" t="s">
        <v>579</v>
      </c>
      <c r="S4602" t="s">
        <v>824</v>
      </c>
      <c r="T4602">
        <v>37</v>
      </c>
      <c r="U4602" s="26" t="str">
        <f t="shared" si="175"/>
        <v>2021.010B.R.Binomial_names.zip</v>
      </c>
    </row>
    <row r="4603" spans="1:21">
      <c r="A4603">
        <v>4602</v>
      </c>
      <c r="B4603" s="27" t="s">
        <v>1449</v>
      </c>
      <c r="D4603" s="27" t="s">
        <v>1450</v>
      </c>
      <c r="F4603" s="27" t="s">
        <v>1453</v>
      </c>
      <c r="H4603" s="27" t="s">
        <v>1454</v>
      </c>
      <c r="M4603" s="27" t="s">
        <v>2222</v>
      </c>
      <c r="N4603" s="27" t="s">
        <v>2229</v>
      </c>
      <c r="P4603" s="27" t="s">
        <v>6243</v>
      </c>
      <c r="Q4603" s="26" t="str">
        <f>HYPERLINK("https://ictv.global/taxonomy/taxondetails?taxnode_id=202505554&amp;ictv_id=ICTV20175554","ICTV20175554")</f>
        <v>ICTV20175554</v>
      </c>
      <c r="R4603" t="s">
        <v>579</v>
      </c>
      <c r="S4603" t="s">
        <v>824</v>
      </c>
      <c r="T4603">
        <v>37</v>
      </c>
      <c r="U4603" s="26" t="str">
        <f t="shared" si="175"/>
        <v>2021.010B.R.Binomial_names.zip</v>
      </c>
    </row>
    <row r="4604" spans="1:21">
      <c r="A4604">
        <v>4603</v>
      </c>
      <c r="B4604" s="27" t="s">
        <v>1449</v>
      </c>
      <c r="D4604" s="27" t="s">
        <v>1450</v>
      </c>
      <c r="F4604" s="27" t="s">
        <v>1453</v>
      </c>
      <c r="H4604" s="27" t="s">
        <v>1454</v>
      </c>
      <c r="M4604" s="27" t="s">
        <v>2222</v>
      </c>
      <c r="N4604" s="27" t="s">
        <v>2230</v>
      </c>
      <c r="P4604" s="27" t="s">
        <v>6244</v>
      </c>
      <c r="Q4604" s="26" t="str">
        <f>HYPERLINK("https://ictv.global/taxonomy/taxondetails?taxnode_id=202510098&amp;ictv_id=ICTV202010098","ICTV202010098")</f>
        <v>ICTV202010098</v>
      </c>
      <c r="R4604" t="s">
        <v>579</v>
      </c>
      <c r="S4604" t="s">
        <v>824</v>
      </c>
      <c r="T4604">
        <v>37</v>
      </c>
      <c r="U4604" s="26" t="str">
        <f t="shared" si="175"/>
        <v>2021.010B.R.Binomial_names.zip</v>
      </c>
    </row>
    <row r="4605" spans="1:21">
      <c r="A4605">
        <v>4604</v>
      </c>
      <c r="B4605" s="27" t="s">
        <v>1449</v>
      </c>
      <c r="D4605" s="27" t="s">
        <v>1450</v>
      </c>
      <c r="F4605" s="27" t="s">
        <v>1453</v>
      </c>
      <c r="H4605" s="27" t="s">
        <v>1454</v>
      </c>
      <c r="M4605" s="27" t="s">
        <v>2222</v>
      </c>
      <c r="N4605" s="27" t="s">
        <v>2230</v>
      </c>
      <c r="P4605" s="27" t="s">
        <v>6245</v>
      </c>
      <c r="Q4605" s="26" t="str">
        <f>HYPERLINK("https://ictv.global/taxonomy/taxondetails?taxnode_id=202505550&amp;ictv_id=ICTV20175550","ICTV20175550")</f>
        <v>ICTV20175550</v>
      </c>
      <c r="R4605" t="s">
        <v>579</v>
      </c>
      <c r="S4605" t="s">
        <v>824</v>
      </c>
      <c r="T4605">
        <v>37</v>
      </c>
      <c r="U4605" s="26" t="str">
        <f t="shared" si="175"/>
        <v>2021.010B.R.Binomial_names.zip</v>
      </c>
    </row>
    <row r="4606" spans="1:21">
      <c r="A4606">
        <v>4605</v>
      </c>
      <c r="B4606" s="27" t="s">
        <v>1449</v>
      </c>
      <c r="D4606" s="27" t="s">
        <v>1450</v>
      </c>
      <c r="F4606" s="27" t="s">
        <v>1453</v>
      </c>
      <c r="H4606" s="27" t="s">
        <v>1454</v>
      </c>
      <c r="M4606" s="27" t="s">
        <v>2222</v>
      </c>
      <c r="N4606" s="27" t="s">
        <v>2231</v>
      </c>
      <c r="P4606" s="27" t="s">
        <v>6246</v>
      </c>
      <c r="Q4606" s="26" t="str">
        <f>HYPERLINK("https://ictv.global/taxonomy/taxondetails?taxnode_id=202510095&amp;ictv_id=ICTV202010095","ICTV202010095")</f>
        <v>ICTV202010095</v>
      </c>
      <c r="R4606" t="s">
        <v>579</v>
      </c>
      <c r="S4606" t="s">
        <v>824</v>
      </c>
      <c r="T4606">
        <v>37</v>
      </c>
      <c r="U4606" s="26" t="str">
        <f t="shared" si="175"/>
        <v>2021.010B.R.Binomial_names.zip</v>
      </c>
    </row>
    <row r="4607" spans="1:21">
      <c r="A4607">
        <v>4606</v>
      </c>
      <c r="B4607" s="27" t="s">
        <v>1449</v>
      </c>
      <c r="D4607" s="27" t="s">
        <v>1450</v>
      </c>
      <c r="F4607" s="27" t="s">
        <v>1453</v>
      </c>
      <c r="H4607" s="27" t="s">
        <v>1454</v>
      </c>
      <c r="M4607" s="27" t="s">
        <v>6247</v>
      </c>
      <c r="N4607" s="27" t="s">
        <v>6248</v>
      </c>
      <c r="P4607" s="27" t="s">
        <v>6249</v>
      </c>
      <c r="Q4607" s="26" t="str">
        <f>HYPERLINK("https://ictv.global/taxonomy/taxondetails?taxnode_id=202514636&amp;ictv_id=ICTV202214636","ICTV202214636")</f>
        <v>ICTV202214636</v>
      </c>
      <c r="R4607" t="s">
        <v>579</v>
      </c>
      <c r="S4607" t="s">
        <v>823</v>
      </c>
      <c r="T4607">
        <v>38</v>
      </c>
      <c r="U4607" s="26" t="str">
        <f>HYPERLINK("https://ictv.global/ictv/proposals/2022.039B.Iiscvirinae_nsf.zip","2022.039B.Iiscvirinae_nsf.zip")</f>
        <v>2022.039B.Iiscvirinae_nsf.zip</v>
      </c>
    </row>
    <row r="4608" spans="1:21">
      <c r="A4608">
        <v>4607</v>
      </c>
      <c r="B4608" s="27" t="s">
        <v>1449</v>
      </c>
      <c r="D4608" s="27" t="s">
        <v>1450</v>
      </c>
      <c r="F4608" s="27" t="s">
        <v>1453</v>
      </c>
      <c r="H4608" s="27" t="s">
        <v>1454</v>
      </c>
      <c r="M4608" s="27" t="s">
        <v>6247</v>
      </c>
      <c r="N4608" s="27" t="s">
        <v>1240</v>
      </c>
      <c r="P4608" s="27" t="s">
        <v>6250</v>
      </c>
      <c r="Q4608" s="26" t="str">
        <f>HYPERLINK("https://ictv.global/taxonomy/taxondetails?taxnode_id=202500429&amp;ictv_id=ICTV20150175","ICTV20150175")</f>
        <v>ICTV20150175</v>
      </c>
      <c r="R4608" t="s">
        <v>579</v>
      </c>
      <c r="S4608" t="s">
        <v>22763</v>
      </c>
      <c r="T4608">
        <v>38</v>
      </c>
      <c r="U4608" s="26" t="str">
        <f>HYPERLINK("https://ictv.global/ictv/proposals/2022.039B.Iiscvirinae_nsf.zip","2022.039B.Iiscvirinae_nsf.zip")</f>
        <v>2022.039B.Iiscvirinae_nsf.zip</v>
      </c>
    </row>
    <row r="4609" spans="1:21">
      <c r="A4609">
        <v>4608</v>
      </c>
      <c r="B4609" s="27" t="s">
        <v>1449</v>
      </c>
      <c r="D4609" s="27" t="s">
        <v>1450</v>
      </c>
      <c r="F4609" s="27" t="s">
        <v>1453</v>
      </c>
      <c r="H4609" s="27" t="s">
        <v>1454</v>
      </c>
      <c r="M4609" s="27" t="s">
        <v>6247</v>
      </c>
      <c r="N4609" s="27" t="s">
        <v>1240</v>
      </c>
      <c r="P4609" s="27" t="s">
        <v>6251</v>
      </c>
      <c r="Q4609" s="26" t="str">
        <f>HYPERLINK("https://ictv.global/taxonomy/taxondetails?taxnode_id=202506999&amp;ictv_id=ICTV201856999","ICTV201856999")</f>
        <v>ICTV201856999</v>
      </c>
      <c r="R4609" t="s">
        <v>579</v>
      </c>
      <c r="S4609" t="s">
        <v>22763</v>
      </c>
      <c r="T4609">
        <v>38</v>
      </c>
      <c r="U4609" s="26" t="str">
        <f>HYPERLINK("https://ictv.global/ictv/proposals/2022.039B.Iiscvirinae_nsf.zip","2022.039B.Iiscvirinae_nsf.zip")</f>
        <v>2022.039B.Iiscvirinae_nsf.zip</v>
      </c>
    </row>
    <row r="4610" spans="1:21">
      <c r="A4610">
        <v>4609</v>
      </c>
      <c r="B4610" s="27" t="s">
        <v>1449</v>
      </c>
      <c r="D4610" s="27" t="s">
        <v>1450</v>
      </c>
      <c r="F4610" s="27" t="s">
        <v>1453</v>
      </c>
      <c r="H4610" s="27" t="s">
        <v>1454</v>
      </c>
      <c r="M4610" s="27" t="s">
        <v>6247</v>
      </c>
      <c r="N4610" s="27" t="s">
        <v>1240</v>
      </c>
      <c r="P4610" s="27" t="s">
        <v>6252</v>
      </c>
      <c r="Q4610" s="26" t="str">
        <f>HYPERLINK("https://ictv.global/taxonomy/taxondetails?taxnode_id=202500430&amp;ictv_id=ICTV20150176","ICTV20150176")</f>
        <v>ICTV20150176</v>
      </c>
      <c r="R4610" t="s">
        <v>579</v>
      </c>
      <c r="S4610" t="s">
        <v>22763</v>
      </c>
      <c r="T4610">
        <v>38</v>
      </c>
      <c r="U4610" s="26" t="str">
        <f>HYPERLINK("https://ictv.global/ictv/proposals/2022.039B.Iiscvirinae_nsf.zip","2022.039B.Iiscvirinae_nsf.zip")</f>
        <v>2022.039B.Iiscvirinae_nsf.zip</v>
      </c>
    </row>
    <row r="4611" spans="1:21">
      <c r="A4611">
        <v>4610</v>
      </c>
      <c r="B4611" s="27" t="s">
        <v>1449</v>
      </c>
      <c r="D4611" s="27" t="s">
        <v>1450</v>
      </c>
      <c r="F4611" s="27" t="s">
        <v>1453</v>
      </c>
      <c r="H4611" s="27" t="s">
        <v>1454</v>
      </c>
      <c r="M4611" s="27" t="s">
        <v>11863</v>
      </c>
      <c r="N4611" s="27" t="s">
        <v>11864</v>
      </c>
      <c r="P4611" s="27" t="s">
        <v>11865</v>
      </c>
      <c r="Q4611" s="26" t="str">
        <f>HYPERLINK("https://ictv.global/taxonomy/taxondetails?taxnode_id=202519095&amp;ictv_id=ICTV202319095","ICTV202319095")</f>
        <v>ICTV202319095</v>
      </c>
      <c r="R4611" t="s">
        <v>579</v>
      </c>
      <c r="S4611" t="s">
        <v>823</v>
      </c>
      <c r="T4611">
        <v>39</v>
      </c>
      <c r="U4611" s="26" t="str">
        <f t="shared" ref="U4611:U4628" si="176">HYPERLINK("https://ictv.global/ictv/proposals/2023.036B.Jameshumphriesvirinae_8ng.zip","2023.036B.Jameshumphriesvirinae_8ng.zip")</f>
        <v>2023.036B.Jameshumphriesvirinae_8ng.zip</v>
      </c>
    </row>
    <row r="4612" spans="1:21">
      <c r="A4612">
        <v>4611</v>
      </c>
      <c r="B4612" s="27" t="s">
        <v>1449</v>
      </c>
      <c r="D4612" s="27" t="s">
        <v>1450</v>
      </c>
      <c r="F4612" s="27" t="s">
        <v>1453</v>
      </c>
      <c r="H4612" s="27" t="s">
        <v>1454</v>
      </c>
      <c r="M4612" s="27" t="s">
        <v>11863</v>
      </c>
      <c r="N4612" s="27" t="s">
        <v>11864</v>
      </c>
      <c r="P4612" s="27" t="s">
        <v>11866</v>
      </c>
      <c r="Q4612" s="26" t="str">
        <f>HYPERLINK("https://ictv.global/taxonomy/taxondetails?taxnode_id=202519094&amp;ictv_id=ICTV202319094","ICTV202319094")</f>
        <v>ICTV202319094</v>
      </c>
      <c r="R4612" t="s">
        <v>579</v>
      </c>
      <c r="S4612" t="s">
        <v>823</v>
      </c>
      <c r="T4612">
        <v>39</v>
      </c>
      <c r="U4612" s="26" t="str">
        <f t="shared" si="176"/>
        <v>2023.036B.Jameshumphriesvirinae_8ng.zip</v>
      </c>
    </row>
    <row r="4613" spans="1:21">
      <c r="A4613">
        <v>4612</v>
      </c>
      <c r="B4613" s="27" t="s">
        <v>1449</v>
      </c>
      <c r="D4613" s="27" t="s">
        <v>1450</v>
      </c>
      <c r="F4613" s="27" t="s">
        <v>1453</v>
      </c>
      <c r="H4613" s="27" t="s">
        <v>1454</v>
      </c>
      <c r="M4613" s="27" t="s">
        <v>11863</v>
      </c>
      <c r="N4613" s="27" t="s">
        <v>11864</v>
      </c>
      <c r="P4613" s="27" t="s">
        <v>11867</v>
      </c>
      <c r="Q4613" s="26" t="str">
        <f>HYPERLINK("https://ictv.global/taxonomy/taxondetails?taxnode_id=202519096&amp;ictv_id=ICTV202319096","ICTV202319096")</f>
        <v>ICTV202319096</v>
      </c>
      <c r="R4613" t="s">
        <v>579</v>
      </c>
      <c r="S4613" t="s">
        <v>823</v>
      </c>
      <c r="T4613">
        <v>39</v>
      </c>
      <c r="U4613" s="26" t="str">
        <f t="shared" si="176"/>
        <v>2023.036B.Jameshumphriesvirinae_8ng.zip</v>
      </c>
    </row>
    <row r="4614" spans="1:21">
      <c r="A4614">
        <v>4613</v>
      </c>
      <c r="B4614" s="27" t="s">
        <v>1449</v>
      </c>
      <c r="D4614" s="27" t="s">
        <v>1450</v>
      </c>
      <c r="F4614" s="27" t="s">
        <v>1453</v>
      </c>
      <c r="H4614" s="27" t="s">
        <v>1454</v>
      </c>
      <c r="M4614" s="27" t="s">
        <v>11863</v>
      </c>
      <c r="N4614" s="27" t="s">
        <v>11868</v>
      </c>
      <c r="P4614" s="27" t="s">
        <v>11869</v>
      </c>
      <c r="Q4614" s="26" t="str">
        <f>HYPERLINK("https://ictv.global/taxonomy/taxondetails?taxnode_id=202519104&amp;ictv_id=ICTV202319104","ICTV202319104")</f>
        <v>ICTV202319104</v>
      </c>
      <c r="R4614" t="s">
        <v>579</v>
      </c>
      <c r="S4614" t="s">
        <v>823</v>
      </c>
      <c r="T4614">
        <v>39</v>
      </c>
      <c r="U4614" s="26" t="str">
        <f t="shared" si="176"/>
        <v>2023.036B.Jameshumphriesvirinae_8ng.zip</v>
      </c>
    </row>
    <row r="4615" spans="1:21">
      <c r="A4615">
        <v>4614</v>
      </c>
      <c r="B4615" s="27" t="s">
        <v>1449</v>
      </c>
      <c r="D4615" s="27" t="s">
        <v>1450</v>
      </c>
      <c r="F4615" s="27" t="s">
        <v>1453</v>
      </c>
      <c r="H4615" s="27" t="s">
        <v>1454</v>
      </c>
      <c r="M4615" s="27" t="s">
        <v>11863</v>
      </c>
      <c r="N4615" s="27" t="s">
        <v>11870</v>
      </c>
      <c r="P4615" s="27" t="s">
        <v>11871</v>
      </c>
      <c r="Q4615" s="26" t="str">
        <f>HYPERLINK("https://ictv.global/taxonomy/taxondetails?taxnode_id=202519101&amp;ictv_id=ICTV202319101","ICTV202319101")</f>
        <v>ICTV202319101</v>
      </c>
      <c r="R4615" t="s">
        <v>579</v>
      </c>
      <c r="S4615" t="s">
        <v>823</v>
      </c>
      <c r="T4615">
        <v>39</v>
      </c>
      <c r="U4615" s="26" t="str">
        <f t="shared" si="176"/>
        <v>2023.036B.Jameshumphriesvirinae_8ng.zip</v>
      </c>
    </row>
    <row r="4616" spans="1:21">
      <c r="A4616">
        <v>4615</v>
      </c>
      <c r="B4616" s="27" t="s">
        <v>1449</v>
      </c>
      <c r="D4616" s="27" t="s">
        <v>1450</v>
      </c>
      <c r="F4616" s="27" t="s">
        <v>1453</v>
      </c>
      <c r="H4616" s="27" t="s">
        <v>1454</v>
      </c>
      <c r="M4616" s="27" t="s">
        <v>11863</v>
      </c>
      <c r="N4616" s="27" t="s">
        <v>1239</v>
      </c>
      <c r="P4616" s="27" t="s">
        <v>7186</v>
      </c>
      <c r="Q4616" s="26" t="str">
        <f>HYPERLINK("https://ictv.global/taxonomy/taxondetails?taxnode_id=202506836&amp;ictv_id=ICTV201856836","ICTV201856836")</f>
        <v>ICTV201856836</v>
      </c>
      <c r="R4616" t="s">
        <v>579</v>
      </c>
      <c r="S4616" t="s">
        <v>22763</v>
      </c>
      <c r="T4616">
        <v>39</v>
      </c>
      <c r="U4616" s="26" t="str">
        <f t="shared" si="176"/>
        <v>2023.036B.Jameshumphriesvirinae_8ng.zip</v>
      </c>
    </row>
    <row r="4617" spans="1:21">
      <c r="A4617">
        <v>4616</v>
      </c>
      <c r="B4617" s="27" t="s">
        <v>1449</v>
      </c>
      <c r="D4617" s="27" t="s">
        <v>1450</v>
      </c>
      <c r="F4617" s="27" t="s">
        <v>1453</v>
      </c>
      <c r="H4617" s="27" t="s">
        <v>1454</v>
      </c>
      <c r="M4617" s="27" t="s">
        <v>11863</v>
      </c>
      <c r="N4617" s="27" t="s">
        <v>11872</v>
      </c>
      <c r="P4617" s="27" t="s">
        <v>11873</v>
      </c>
      <c r="Q4617" s="26" t="str">
        <f>HYPERLINK("https://ictv.global/taxonomy/taxondetails?taxnode_id=202519102&amp;ictv_id=ICTV202319102","ICTV202319102")</f>
        <v>ICTV202319102</v>
      </c>
      <c r="R4617" t="s">
        <v>579</v>
      </c>
      <c r="S4617" t="s">
        <v>823</v>
      </c>
      <c r="T4617">
        <v>39</v>
      </c>
      <c r="U4617" s="26" t="str">
        <f t="shared" si="176"/>
        <v>2023.036B.Jameshumphriesvirinae_8ng.zip</v>
      </c>
    </row>
    <row r="4618" spans="1:21">
      <c r="A4618">
        <v>4617</v>
      </c>
      <c r="B4618" s="27" t="s">
        <v>1449</v>
      </c>
      <c r="D4618" s="27" t="s">
        <v>1450</v>
      </c>
      <c r="F4618" s="27" t="s">
        <v>1453</v>
      </c>
      <c r="H4618" s="27" t="s">
        <v>1454</v>
      </c>
      <c r="M4618" s="27" t="s">
        <v>11863</v>
      </c>
      <c r="N4618" s="27" t="s">
        <v>11874</v>
      </c>
      <c r="P4618" s="27" t="s">
        <v>11875</v>
      </c>
      <c r="Q4618" s="26" t="str">
        <f>HYPERLINK("https://ictv.global/taxonomy/taxondetails?taxnode_id=202519105&amp;ictv_id=ICTV202319105","ICTV202319105")</f>
        <v>ICTV202319105</v>
      </c>
      <c r="R4618" t="s">
        <v>579</v>
      </c>
      <c r="S4618" t="s">
        <v>823</v>
      </c>
      <c r="T4618">
        <v>39</v>
      </c>
      <c r="U4618" s="26" t="str">
        <f t="shared" si="176"/>
        <v>2023.036B.Jameshumphriesvirinae_8ng.zip</v>
      </c>
    </row>
    <row r="4619" spans="1:21">
      <c r="A4619">
        <v>4618</v>
      </c>
      <c r="B4619" s="27" t="s">
        <v>1449</v>
      </c>
      <c r="D4619" s="27" t="s">
        <v>1450</v>
      </c>
      <c r="F4619" s="27" t="s">
        <v>1453</v>
      </c>
      <c r="H4619" s="27" t="s">
        <v>1454</v>
      </c>
      <c r="M4619" s="27" t="s">
        <v>11863</v>
      </c>
      <c r="N4619" s="27" t="s">
        <v>1252</v>
      </c>
      <c r="P4619" s="27" t="s">
        <v>7650</v>
      </c>
      <c r="Q4619" s="26" t="str">
        <f>HYPERLINK("https://ictv.global/taxonomy/taxondetails?taxnode_id=202506857&amp;ictv_id=ICTV201856857","ICTV201856857")</f>
        <v>ICTV201856857</v>
      </c>
      <c r="R4619" t="s">
        <v>579</v>
      </c>
      <c r="S4619" t="s">
        <v>22763</v>
      </c>
      <c r="T4619">
        <v>39</v>
      </c>
      <c r="U4619" s="26" t="str">
        <f t="shared" si="176"/>
        <v>2023.036B.Jameshumphriesvirinae_8ng.zip</v>
      </c>
    </row>
    <row r="4620" spans="1:21">
      <c r="A4620">
        <v>4619</v>
      </c>
      <c r="B4620" s="27" t="s">
        <v>1449</v>
      </c>
      <c r="D4620" s="27" t="s">
        <v>1450</v>
      </c>
      <c r="F4620" s="27" t="s">
        <v>1453</v>
      </c>
      <c r="H4620" s="27" t="s">
        <v>1454</v>
      </c>
      <c r="M4620" s="27" t="s">
        <v>11863</v>
      </c>
      <c r="N4620" s="27" t="s">
        <v>11876</v>
      </c>
      <c r="P4620" s="27" t="s">
        <v>11877</v>
      </c>
      <c r="Q4620" s="26" t="str">
        <f>HYPERLINK("https://ictv.global/taxonomy/taxondetails?taxnode_id=202519103&amp;ictv_id=ICTV202319103","ICTV202319103")</f>
        <v>ICTV202319103</v>
      </c>
      <c r="R4620" t="s">
        <v>579</v>
      </c>
      <c r="S4620" t="s">
        <v>823</v>
      </c>
      <c r="T4620">
        <v>39</v>
      </c>
      <c r="U4620" s="26" t="str">
        <f t="shared" si="176"/>
        <v>2023.036B.Jameshumphriesvirinae_8ng.zip</v>
      </c>
    </row>
    <row r="4621" spans="1:21">
      <c r="A4621">
        <v>4620</v>
      </c>
      <c r="B4621" s="27" t="s">
        <v>1449</v>
      </c>
      <c r="D4621" s="27" t="s">
        <v>1450</v>
      </c>
      <c r="F4621" s="27" t="s">
        <v>1453</v>
      </c>
      <c r="H4621" s="27" t="s">
        <v>1454</v>
      </c>
      <c r="M4621" s="27" t="s">
        <v>11863</v>
      </c>
      <c r="N4621" s="27" t="s">
        <v>11878</v>
      </c>
      <c r="P4621" s="27" t="s">
        <v>11879</v>
      </c>
      <c r="Q4621" s="26" t="str">
        <f>HYPERLINK("https://ictv.global/taxonomy/taxondetails?taxnode_id=202519097&amp;ictv_id=ICTV202319097","ICTV202319097")</f>
        <v>ICTV202319097</v>
      </c>
      <c r="R4621" t="s">
        <v>579</v>
      </c>
      <c r="S4621" t="s">
        <v>823</v>
      </c>
      <c r="T4621">
        <v>39</v>
      </c>
      <c r="U4621" s="26" t="str">
        <f t="shared" si="176"/>
        <v>2023.036B.Jameshumphriesvirinae_8ng.zip</v>
      </c>
    </row>
    <row r="4622" spans="1:21">
      <c r="A4622">
        <v>4621</v>
      </c>
      <c r="B4622" s="27" t="s">
        <v>1449</v>
      </c>
      <c r="D4622" s="27" t="s">
        <v>1450</v>
      </c>
      <c r="F4622" s="27" t="s">
        <v>1453</v>
      </c>
      <c r="H4622" s="27" t="s">
        <v>1454</v>
      </c>
      <c r="M4622" s="27" t="s">
        <v>11863</v>
      </c>
      <c r="N4622" s="27" t="s">
        <v>11878</v>
      </c>
      <c r="P4622" s="27" t="s">
        <v>11880</v>
      </c>
      <c r="Q4622" s="26" t="str">
        <f>HYPERLINK("https://ictv.global/taxonomy/taxondetails?taxnode_id=202519098&amp;ictv_id=ICTV202319098","ICTV202319098")</f>
        <v>ICTV202319098</v>
      </c>
      <c r="R4622" t="s">
        <v>579</v>
      </c>
      <c r="S4622" t="s">
        <v>823</v>
      </c>
      <c r="T4622">
        <v>39</v>
      </c>
      <c r="U4622" s="26" t="str">
        <f t="shared" si="176"/>
        <v>2023.036B.Jameshumphriesvirinae_8ng.zip</v>
      </c>
    </row>
    <row r="4623" spans="1:21">
      <c r="A4623">
        <v>4622</v>
      </c>
      <c r="B4623" s="27" t="s">
        <v>1449</v>
      </c>
      <c r="D4623" s="27" t="s">
        <v>1450</v>
      </c>
      <c r="F4623" s="27" t="s">
        <v>1453</v>
      </c>
      <c r="H4623" s="27" t="s">
        <v>1454</v>
      </c>
      <c r="M4623" s="27" t="s">
        <v>11863</v>
      </c>
      <c r="N4623" s="27" t="s">
        <v>11878</v>
      </c>
      <c r="P4623" s="27" t="s">
        <v>11881</v>
      </c>
      <c r="Q4623" s="26" t="str">
        <f>HYPERLINK("https://ictv.global/taxonomy/taxondetails?taxnode_id=202506838&amp;ictv_id=ICTV201856838","ICTV201856838")</f>
        <v>ICTV201856838</v>
      </c>
      <c r="R4623" t="s">
        <v>579</v>
      </c>
      <c r="S4623" t="s">
        <v>22764</v>
      </c>
      <c r="T4623">
        <v>39</v>
      </c>
      <c r="U4623" s="26" t="str">
        <f t="shared" si="176"/>
        <v>2023.036B.Jameshumphriesvirinae_8ng.zip</v>
      </c>
    </row>
    <row r="4624" spans="1:21">
      <c r="A4624">
        <v>4623</v>
      </c>
      <c r="B4624" s="27" t="s">
        <v>1449</v>
      </c>
      <c r="D4624" s="27" t="s">
        <v>1450</v>
      </c>
      <c r="F4624" s="27" t="s">
        <v>1453</v>
      </c>
      <c r="H4624" s="27" t="s">
        <v>1454</v>
      </c>
      <c r="M4624" s="27" t="s">
        <v>11863</v>
      </c>
      <c r="N4624" s="27" t="s">
        <v>11878</v>
      </c>
      <c r="P4624" s="27" t="s">
        <v>11882</v>
      </c>
      <c r="Q4624" s="26" t="str">
        <f>HYPERLINK("https://ictv.global/taxonomy/taxondetails?taxnode_id=202506837&amp;ictv_id=ICTV201856837","ICTV201856837")</f>
        <v>ICTV201856837</v>
      </c>
      <c r="R4624" t="s">
        <v>579</v>
      </c>
      <c r="S4624" t="s">
        <v>22764</v>
      </c>
      <c r="T4624">
        <v>39</v>
      </c>
      <c r="U4624" s="26" t="str">
        <f t="shared" si="176"/>
        <v>2023.036B.Jameshumphriesvirinae_8ng.zip</v>
      </c>
    </row>
    <row r="4625" spans="1:21">
      <c r="A4625">
        <v>4624</v>
      </c>
      <c r="B4625" s="27" t="s">
        <v>1449</v>
      </c>
      <c r="D4625" s="27" t="s">
        <v>1450</v>
      </c>
      <c r="F4625" s="27" t="s">
        <v>1453</v>
      </c>
      <c r="H4625" s="27" t="s">
        <v>1454</v>
      </c>
      <c r="M4625" s="27" t="s">
        <v>11863</v>
      </c>
      <c r="N4625" s="27" t="s">
        <v>11878</v>
      </c>
      <c r="P4625" s="27" t="s">
        <v>11883</v>
      </c>
      <c r="Q4625" s="26" t="str">
        <f>HYPERLINK("https://ictv.global/taxonomy/taxondetails?taxnode_id=202519099&amp;ictv_id=ICTV202319099","ICTV202319099")</f>
        <v>ICTV202319099</v>
      </c>
      <c r="R4625" t="s">
        <v>579</v>
      </c>
      <c r="S4625" t="s">
        <v>823</v>
      </c>
      <c r="T4625">
        <v>39</v>
      </c>
      <c r="U4625" s="26" t="str">
        <f t="shared" si="176"/>
        <v>2023.036B.Jameshumphriesvirinae_8ng.zip</v>
      </c>
    </row>
    <row r="4626" spans="1:21">
      <c r="A4626">
        <v>4625</v>
      </c>
      <c r="B4626" s="27" t="s">
        <v>1449</v>
      </c>
      <c r="D4626" s="27" t="s">
        <v>1450</v>
      </c>
      <c r="F4626" s="27" t="s">
        <v>1453</v>
      </c>
      <c r="H4626" s="27" t="s">
        <v>1454</v>
      </c>
      <c r="M4626" s="27" t="s">
        <v>11863</v>
      </c>
      <c r="N4626" s="27" t="s">
        <v>11878</v>
      </c>
      <c r="P4626" s="27" t="s">
        <v>11884</v>
      </c>
      <c r="Q4626" s="26" t="str">
        <f>HYPERLINK("https://ictv.global/taxonomy/taxondetails?taxnode_id=202519100&amp;ictv_id=ICTV202319100","ICTV202319100")</f>
        <v>ICTV202319100</v>
      </c>
      <c r="R4626" t="s">
        <v>579</v>
      </c>
      <c r="S4626" t="s">
        <v>823</v>
      </c>
      <c r="T4626">
        <v>39</v>
      </c>
      <c r="U4626" s="26" t="str">
        <f t="shared" si="176"/>
        <v>2023.036B.Jameshumphriesvirinae_8ng.zip</v>
      </c>
    </row>
    <row r="4627" spans="1:21">
      <c r="A4627">
        <v>4626</v>
      </c>
      <c r="B4627" s="27" t="s">
        <v>1449</v>
      </c>
      <c r="D4627" s="27" t="s">
        <v>1450</v>
      </c>
      <c r="F4627" s="27" t="s">
        <v>1453</v>
      </c>
      <c r="H4627" s="27" t="s">
        <v>1454</v>
      </c>
      <c r="M4627" s="27" t="s">
        <v>11863</v>
      </c>
      <c r="N4627" s="27" t="s">
        <v>11885</v>
      </c>
      <c r="P4627" s="27" t="s">
        <v>11886</v>
      </c>
      <c r="Q4627" s="26" t="str">
        <f>HYPERLINK("https://ictv.global/taxonomy/taxondetails?taxnode_id=202519093&amp;ictv_id=ICTV202319093","ICTV202319093")</f>
        <v>ICTV202319093</v>
      </c>
      <c r="R4627" t="s">
        <v>579</v>
      </c>
      <c r="S4627" t="s">
        <v>823</v>
      </c>
      <c r="T4627">
        <v>39</v>
      </c>
      <c r="U4627" s="26" t="str">
        <f t="shared" si="176"/>
        <v>2023.036B.Jameshumphriesvirinae_8ng.zip</v>
      </c>
    </row>
    <row r="4628" spans="1:21">
      <c r="A4628">
        <v>4627</v>
      </c>
      <c r="B4628" s="27" t="s">
        <v>1449</v>
      </c>
      <c r="D4628" s="27" t="s">
        <v>1450</v>
      </c>
      <c r="F4628" s="27" t="s">
        <v>1453</v>
      </c>
      <c r="H4628" s="27" t="s">
        <v>1454</v>
      </c>
      <c r="M4628" s="27" t="s">
        <v>11863</v>
      </c>
      <c r="N4628" s="27" t="s">
        <v>11885</v>
      </c>
      <c r="P4628" s="27" t="s">
        <v>11887</v>
      </c>
      <c r="Q4628" s="26" t="str">
        <f>HYPERLINK("https://ictv.global/taxonomy/taxondetails?taxnode_id=202519092&amp;ictv_id=ICTV202319092","ICTV202319092")</f>
        <v>ICTV202319092</v>
      </c>
      <c r="R4628" t="s">
        <v>579</v>
      </c>
      <c r="S4628" t="s">
        <v>823</v>
      </c>
      <c r="T4628">
        <v>39</v>
      </c>
      <c r="U4628" s="26" t="str">
        <f t="shared" si="176"/>
        <v>2023.036B.Jameshumphriesvirinae_8ng.zip</v>
      </c>
    </row>
    <row r="4629" spans="1:21">
      <c r="A4629">
        <v>4628</v>
      </c>
      <c r="B4629" s="27" t="s">
        <v>1449</v>
      </c>
      <c r="D4629" s="27" t="s">
        <v>1450</v>
      </c>
      <c r="F4629" s="27" t="s">
        <v>1453</v>
      </c>
      <c r="H4629" s="27" t="s">
        <v>1454</v>
      </c>
      <c r="M4629" s="27" t="s">
        <v>22034</v>
      </c>
      <c r="N4629" s="27" t="s">
        <v>22043</v>
      </c>
      <c r="P4629" s="27" t="s">
        <v>22050</v>
      </c>
      <c r="Q4629" s="26" t="str">
        <f>HYPERLINK("https://ictv.global/taxonomy/taxondetails?taxnode_id=202522851&amp;ictv_id=ICTV202522851","ICTV202522851")</f>
        <v>ICTV202522851</v>
      </c>
      <c r="R4629" t="s">
        <v>579</v>
      </c>
      <c r="S4629" t="s">
        <v>823</v>
      </c>
      <c r="T4629">
        <v>41</v>
      </c>
      <c r="U4629" s="26" t="str">
        <f t="shared" ref="U4629:U4650" si="177">HYPERLINK("https://ictv.global/ictv/proposals/2025.027B.Jianjiangvirinae_1nsf_2ng_22ns.zip","2025.027B.Jianjiangvirinae_1nsf_2ng_22ns.zip")</f>
        <v>2025.027B.Jianjiangvirinae_1nsf_2ng_22ns.zip</v>
      </c>
    </row>
    <row r="4630" spans="1:21">
      <c r="A4630">
        <v>4629</v>
      </c>
      <c r="B4630" s="27" t="s">
        <v>1449</v>
      </c>
      <c r="D4630" s="27" t="s">
        <v>1450</v>
      </c>
      <c r="F4630" s="27" t="s">
        <v>1453</v>
      </c>
      <c r="H4630" s="27" t="s">
        <v>1454</v>
      </c>
      <c r="M4630" s="27" t="s">
        <v>22034</v>
      </c>
      <c r="N4630" s="27" t="s">
        <v>22043</v>
      </c>
      <c r="P4630" s="27" t="s">
        <v>22051</v>
      </c>
      <c r="Q4630" s="26" t="str">
        <f>HYPERLINK("https://ictv.global/taxonomy/taxondetails?taxnode_id=202522852&amp;ictv_id=ICTV202522852","ICTV202522852")</f>
        <v>ICTV202522852</v>
      </c>
      <c r="R4630" t="s">
        <v>579</v>
      </c>
      <c r="S4630" t="s">
        <v>823</v>
      </c>
      <c r="T4630">
        <v>41</v>
      </c>
      <c r="U4630" s="26" t="str">
        <f t="shared" si="177"/>
        <v>2025.027B.Jianjiangvirinae_1nsf_2ng_22ns.zip</v>
      </c>
    </row>
    <row r="4631" spans="1:21">
      <c r="A4631">
        <v>4630</v>
      </c>
      <c r="B4631" s="27" t="s">
        <v>1449</v>
      </c>
      <c r="D4631" s="27" t="s">
        <v>1450</v>
      </c>
      <c r="F4631" s="27" t="s">
        <v>1453</v>
      </c>
      <c r="H4631" s="27" t="s">
        <v>1454</v>
      </c>
      <c r="M4631" s="27" t="s">
        <v>22034</v>
      </c>
      <c r="N4631" s="27" t="s">
        <v>22043</v>
      </c>
      <c r="P4631" s="27" t="s">
        <v>22046</v>
      </c>
      <c r="Q4631" s="26" t="str">
        <f>HYPERLINK("https://ictv.global/taxonomy/taxondetails?taxnode_id=202522847&amp;ictv_id=ICTV202522847","ICTV202522847")</f>
        <v>ICTV202522847</v>
      </c>
      <c r="R4631" t="s">
        <v>579</v>
      </c>
      <c r="S4631" t="s">
        <v>823</v>
      </c>
      <c r="T4631">
        <v>41</v>
      </c>
      <c r="U4631" s="26" t="str">
        <f t="shared" si="177"/>
        <v>2025.027B.Jianjiangvirinae_1nsf_2ng_22ns.zip</v>
      </c>
    </row>
    <row r="4632" spans="1:21">
      <c r="A4632">
        <v>4631</v>
      </c>
      <c r="B4632" s="27" t="s">
        <v>1449</v>
      </c>
      <c r="D4632" s="27" t="s">
        <v>1450</v>
      </c>
      <c r="F4632" s="27" t="s">
        <v>1453</v>
      </c>
      <c r="H4632" s="27" t="s">
        <v>1454</v>
      </c>
      <c r="M4632" s="27" t="s">
        <v>22034</v>
      </c>
      <c r="N4632" s="27" t="s">
        <v>22043</v>
      </c>
      <c r="P4632" s="27" t="s">
        <v>22047</v>
      </c>
      <c r="Q4632" s="26" t="str">
        <f>HYPERLINK("https://ictv.global/taxonomy/taxondetails?taxnode_id=202522848&amp;ictv_id=ICTV202522848","ICTV202522848")</f>
        <v>ICTV202522848</v>
      </c>
      <c r="R4632" t="s">
        <v>579</v>
      </c>
      <c r="S4632" t="s">
        <v>823</v>
      </c>
      <c r="T4632">
        <v>41</v>
      </c>
      <c r="U4632" s="26" t="str">
        <f t="shared" si="177"/>
        <v>2025.027B.Jianjiangvirinae_1nsf_2ng_22ns.zip</v>
      </c>
    </row>
    <row r="4633" spans="1:21">
      <c r="A4633">
        <v>4632</v>
      </c>
      <c r="B4633" s="27" t="s">
        <v>1449</v>
      </c>
      <c r="D4633" s="27" t="s">
        <v>1450</v>
      </c>
      <c r="F4633" s="27" t="s">
        <v>1453</v>
      </c>
      <c r="H4633" s="27" t="s">
        <v>1454</v>
      </c>
      <c r="M4633" s="27" t="s">
        <v>22034</v>
      </c>
      <c r="N4633" s="27" t="s">
        <v>22043</v>
      </c>
      <c r="P4633" s="27" t="s">
        <v>22045</v>
      </c>
      <c r="Q4633" s="26" t="str">
        <f>HYPERLINK("https://ictv.global/taxonomy/taxondetails?taxnode_id=202522846&amp;ictv_id=ICTV202522846","ICTV202522846")</f>
        <v>ICTV202522846</v>
      </c>
      <c r="R4633" t="s">
        <v>579</v>
      </c>
      <c r="S4633" t="s">
        <v>823</v>
      </c>
      <c r="T4633">
        <v>41</v>
      </c>
      <c r="U4633" s="26" t="str">
        <f t="shared" si="177"/>
        <v>2025.027B.Jianjiangvirinae_1nsf_2ng_22ns.zip</v>
      </c>
    </row>
    <row r="4634" spans="1:21">
      <c r="A4634">
        <v>4633</v>
      </c>
      <c r="B4634" s="27" t="s">
        <v>1449</v>
      </c>
      <c r="D4634" s="27" t="s">
        <v>1450</v>
      </c>
      <c r="F4634" s="27" t="s">
        <v>1453</v>
      </c>
      <c r="H4634" s="27" t="s">
        <v>1454</v>
      </c>
      <c r="M4634" s="27" t="s">
        <v>22034</v>
      </c>
      <c r="N4634" s="27" t="s">
        <v>22043</v>
      </c>
      <c r="P4634" s="27" t="s">
        <v>22052</v>
      </c>
      <c r="Q4634" s="26" t="str">
        <f>HYPERLINK("https://ictv.global/taxonomy/taxondetails?taxnode_id=202522853&amp;ictv_id=ICTV202522853","ICTV202522853")</f>
        <v>ICTV202522853</v>
      </c>
      <c r="R4634" t="s">
        <v>579</v>
      </c>
      <c r="S4634" t="s">
        <v>823</v>
      </c>
      <c r="T4634">
        <v>41</v>
      </c>
      <c r="U4634" s="26" t="str">
        <f t="shared" si="177"/>
        <v>2025.027B.Jianjiangvirinae_1nsf_2ng_22ns.zip</v>
      </c>
    </row>
    <row r="4635" spans="1:21">
      <c r="A4635">
        <v>4634</v>
      </c>
      <c r="B4635" s="27" t="s">
        <v>1449</v>
      </c>
      <c r="D4635" s="27" t="s">
        <v>1450</v>
      </c>
      <c r="F4635" s="27" t="s">
        <v>1453</v>
      </c>
      <c r="H4635" s="27" t="s">
        <v>1454</v>
      </c>
      <c r="M4635" s="27" t="s">
        <v>22034</v>
      </c>
      <c r="N4635" s="27" t="s">
        <v>22043</v>
      </c>
      <c r="P4635" s="27" t="s">
        <v>22057</v>
      </c>
      <c r="Q4635" s="26" t="str">
        <f>HYPERLINK("https://ictv.global/taxonomy/taxondetails?taxnode_id=202522858&amp;ictv_id=ICTV202522858","ICTV202522858")</f>
        <v>ICTV202522858</v>
      </c>
      <c r="R4635" t="s">
        <v>579</v>
      </c>
      <c r="S4635" t="s">
        <v>823</v>
      </c>
      <c r="T4635">
        <v>41</v>
      </c>
      <c r="U4635" s="26" t="str">
        <f t="shared" si="177"/>
        <v>2025.027B.Jianjiangvirinae_1nsf_2ng_22ns.zip</v>
      </c>
    </row>
    <row r="4636" spans="1:21">
      <c r="A4636">
        <v>4635</v>
      </c>
      <c r="B4636" s="27" t="s">
        <v>1449</v>
      </c>
      <c r="D4636" s="27" t="s">
        <v>1450</v>
      </c>
      <c r="F4636" s="27" t="s">
        <v>1453</v>
      </c>
      <c r="H4636" s="27" t="s">
        <v>1454</v>
      </c>
      <c r="M4636" s="27" t="s">
        <v>22034</v>
      </c>
      <c r="N4636" s="27" t="s">
        <v>22043</v>
      </c>
      <c r="P4636" s="27" t="s">
        <v>22054</v>
      </c>
      <c r="Q4636" s="26" t="str">
        <f>HYPERLINK("https://ictv.global/taxonomy/taxondetails?taxnode_id=202522855&amp;ictv_id=ICTV202522855","ICTV202522855")</f>
        <v>ICTV202522855</v>
      </c>
      <c r="R4636" t="s">
        <v>579</v>
      </c>
      <c r="S4636" t="s">
        <v>823</v>
      </c>
      <c r="T4636">
        <v>41</v>
      </c>
      <c r="U4636" s="26" t="str">
        <f t="shared" si="177"/>
        <v>2025.027B.Jianjiangvirinae_1nsf_2ng_22ns.zip</v>
      </c>
    </row>
    <row r="4637" spans="1:21">
      <c r="A4637">
        <v>4636</v>
      </c>
      <c r="B4637" s="27" t="s">
        <v>1449</v>
      </c>
      <c r="D4637" s="27" t="s">
        <v>1450</v>
      </c>
      <c r="F4637" s="27" t="s">
        <v>1453</v>
      </c>
      <c r="H4637" s="27" t="s">
        <v>1454</v>
      </c>
      <c r="M4637" s="27" t="s">
        <v>22034</v>
      </c>
      <c r="N4637" s="27" t="s">
        <v>22043</v>
      </c>
      <c r="P4637" s="27" t="s">
        <v>22055</v>
      </c>
      <c r="Q4637" s="26" t="str">
        <f>HYPERLINK("https://ictv.global/taxonomy/taxondetails?taxnode_id=202522856&amp;ictv_id=ICTV202522856","ICTV202522856")</f>
        <v>ICTV202522856</v>
      </c>
      <c r="R4637" t="s">
        <v>579</v>
      </c>
      <c r="S4637" t="s">
        <v>823</v>
      </c>
      <c r="T4637">
        <v>41</v>
      </c>
      <c r="U4637" s="26" t="str">
        <f t="shared" si="177"/>
        <v>2025.027B.Jianjiangvirinae_1nsf_2ng_22ns.zip</v>
      </c>
    </row>
    <row r="4638" spans="1:21">
      <c r="A4638">
        <v>4637</v>
      </c>
      <c r="B4638" s="27" t="s">
        <v>1449</v>
      </c>
      <c r="D4638" s="27" t="s">
        <v>1450</v>
      </c>
      <c r="F4638" s="27" t="s">
        <v>1453</v>
      </c>
      <c r="H4638" s="27" t="s">
        <v>1454</v>
      </c>
      <c r="M4638" s="27" t="s">
        <v>22034</v>
      </c>
      <c r="N4638" s="27" t="s">
        <v>22043</v>
      </c>
      <c r="P4638" s="27" t="s">
        <v>22058</v>
      </c>
      <c r="Q4638" s="26" t="str">
        <f>HYPERLINK("https://ictv.global/taxonomy/taxondetails?taxnode_id=202522859&amp;ictv_id=ICTV202522859","ICTV202522859")</f>
        <v>ICTV202522859</v>
      </c>
      <c r="R4638" t="s">
        <v>579</v>
      </c>
      <c r="S4638" t="s">
        <v>823</v>
      </c>
      <c r="T4638">
        <v>41</v>
      </c>
      <c r="U4638" s="26" t="str">
        <f t="shared" si="177"/>
        <v>2025.027B.Jianjiangvirinae_1nsf_2ng_22ns.zip</v>
      </c>
    </row>
    <row r="4639" spans="1:21">
      <c r="A4639">
        <v>4638</v>
      </c>
      <c r="B4639" s="27" t="s">
        <v>1449</v>
      </c>
      <c r="D4639" s="27" t="s">
        <v>1450</v>
      </c>
      <c r="F4639" s="27" t="s">
        <v>1453</v>
      </c>
      <c r="H4639" s="27" t="s">
        <v>1454</v>
      </c>
      <c r="M4639" s="27" t="s">
        <v>22034</v>
      </c>
      <c r="N4639" s="27" t="s">
        <v>22043</v>
      </c>
      <c r="P4639" s="27" t="s">
        <v>22048</v>
      </c>
      <c r="Q4639" s="26" t="str">
        <f>HYPERLINK("https://ictv.global/taxonomy/taxondetails?taxnode_id=202522849&amp;ictv_id=ICTV202522849","ICTV202522849")</f>
        <v>ICTV202522849</v>
      </c>
      <c r="R4639" t="s">
        <v>579</v>
      </c>
      <c r="S4639" t="s">
        <v>823</v>
      </c>
      <c r="T4639">
        <v>41</v>
      </c>
      <c r="U4639" s="26" t="str">
        <f t="shared" si="177"/>
        <v>2025.027B.Jianjiangvirinae_1nsf_2ng_22ns.zip</v>
      </c>
    </row>
    <row r="4640" spans="1:21">
      <c r="A4640">
        <v>4639</v>
      </c>
      <c r="B4640" s="27" t="s">
        <v>1449</v>
      </c>
      <c r="D4640" s="27" t="s">
        <v>1450</v>
      </c>
      <c r="F4640" s="27" t="s">
        <v>1453</v>
      </c>
      <c r="H4640" s="27" t="s">
        <v>1454</v>
      </c>
      <c r="M4640" s="27" t="s">
        <v>22034</v>
      </c>
      <c r="N4640" s="27" t="s">
        <v>22043</v>
      </c>
      <c r="P4640" s="27" t="s">
        <v>22053</v>
      </c>
      <c r="Q4640" s="26" t="str">
        <f>HYPERLINK("https://ictv.global/taxonomy/taxondetails?taxnode_id=202522854&amp;ictv_id=ICTV202522854","ICTV202522854")</f>
        <v>ICTV202522854</v>
      </c>
      <c r="R4640" t="s">
        <v>579</v>
      </c>
      <c r="S4640" t="s">
        <v>823</v>
      </c>
      <c r="T4640">
        <v>41</v>
      </c>
      <c r="U4640" s="26" t="str">
        <f t="shared" si="177"/>
        <v>2025.027B.Jianjiangvirinae_1nsf_2ng_22ns.zip</v>
      </c>
    </row>
    <row r="4641" spans="1:21">
      <c r="A4641">
        <v>4640</v>
      </c>
      <c r="B4641" s="27" t="s">
        <v>1449</v>
      </c>
      <c r="D4641" s="27" t="s">
        <v>1450</v>
      </c>
      <c r="F4641" s="27" t="s">
        <v>1453</v>
      </c>
      <c r="H4641" s="27" t="s">
        <v>1454</v>
      </c>
      <c r="M4641" s="27" t="s">
        <v>22034</v>
      </c>
      <c r="N4641" s="27" t="s">
        <v>22043</v>
      </c>
      <c r="P4641" s="27" t="s">
        <v>22049</v>
      </c>
      <c r="Q4641" s="26" t="str">
        <f>HYPERLINK("https://ictv.global/taxonomy/taxondetails?taxnode_id=202522850&amp;ictv_id=ICTV202522850","ICTV202522850")</f>
        <v>ICTV202522850</v>
      </c>
      <c r="R4641" t="s">
        <v>579</v>
      </c>
      <c r="S4641" t="s">
        <v>823</v>
      </c>
      <c r="T4641">
        <v>41</v>
      </c>
      <c r="U4641" s="26" t="str">
        <f t="shared" si="177"/>
        <v>2025.027B.Jianjiangvirinae_1nsf_2ng_22ns.zip</v>
      </c>
    </row>
    <row r="4642" spans="1:21">
      <c r="A4642">
        <v>4641</v>
      </c>
      <c r="B4642" s="27" t="s">
        <v>1449</v>
      </c>
      <c r="D4642" s="27" t="s">
        <v>1450</v>
      </c>
      <c r="F4642" s="27" t="s">
        <v>1453</v>
      </c>
      <c r="H4642" s="27" t="s">
        <v>1454</v>
      </c>
      <c r="M4642" s="27" t="s">
        <v>22034</v>
      </c>
      <c r="N4642" s="27" t="s">
        <v>22043</v>
      </c>
      <c r="P4642" s="27" t="s">
        <v>22056</v>
      </c>
      <c r="Q4642" s="26" t="str">
        <f>HYPERLINK("https://ictv.global/taxonomy/taxondetails?taxnode_id=202522857&amp;ictv_id=ICTV202522857","ICTV202522857")</f>
        <v>ICTV202522857</v>
      </c>
      <c r="R4642" t="s">
        <v>579</v>
      </c>
      <c r="S4642" t="s">
        <v>823</v>
      </c>
      <c r="T4642">
        <v>41</v>
      </c>
      <c r="U4642" s="26" t="str">
        <f t="shared" si="177"/>
        <v>2025.027B.Jianjiangvirinae_1nsf_2ng_22ns.zip</v>
      </c>
    </row>
    <row r="4643" spans="1:21">
      <c r="A4643">
        <v>4642</v>
      </c>
      <c r="B4643" s="27" t="s">
        <v>1449</v>
      </c>
      <c r="D4643" s="27" t="s">
        <v>1450</v>
      </c>
      <c r="F4643" s="27" t="s">
        <v>1453</v>
      </c>
      <c r="H4643" s="27" t="s">
        <v>1454</v>
      </c>
      <c r="M4643" s="27" t="s">
        <v>22034</v>
      </c>
      <c r="N4643" s="27" t="s">
        <v>22043</v>
      </c>
      <c r="P4643" s="27" t="s">
        <v>22044</v>
      </c>
      <c r="Q4643" s="26" t="str">
        <f>HYPERLINK("https://ictv.global/taxonomy/taxondetails?taxnode_id=202522845&amp;ictv_id=ICTV202522845","ICTV202522845")</f>
        <v>ICTV202522845</v>
      </c>
      <c r="R4643" t="s">
        <v>579</v>
      </c>
      <c r="S4643" t="s">
        <v>823</v>
      </c>
      <c r="T4643">
        <v>41</v>
      </c>
      <c r="U4643" s="26" t="str">
        <f t="shared" si="177"/>
        <v>2025.027B.Jianjiangvirinae_1nsf_2ng_22ns.zip</v>
      </c>
    </row>
    <row r="4644" spans="1:21">
      <c r="A4644">
        <v>4643</v>
      </c>
      <c r="B4644" s="27" t="s">
        <v>1449</v>
      </c>
      <c r="D4644" s="27" t="s">
        <v>1450</v>
      </c>
      <c r="F4644" s="27" t="s">
        <v>1453</v>
      </c>
      <c r="H4644" s="27" t="s">
        <v>1454</v>
      </c>
      <c r="M4644" s="27" t="s">
        <v>22034</v>
      </c>
      <c r="N4644" s="27" t="s">
        <v>22035</v>
      </c>
      <c r="P4644" s="27" t="s">
        <v>22037</v>
      </c>
      <c r="Q4644" s="26" t="str">
        <f>HYPERLINK("https://ictv.global/taxonomy/taxondetails?taxnode_id=202522839&amp;ictv_id=ICTV202522839","ICTV202522839")</f>
        <v>ICTV202522839</v>
      </c>
      <c r="R4644" t="s">
        <v>579</v>
      </c>
      <c r="S4644" t="s">
        <v>823</v>
      </c>
      <c r="T4644">
        <v>41</v>
      </c>
      <c r="U4644" s="26" t="str">
        <f t="shared" si="177"/>
        <v>2025.027B.Jianjiangvirinae_1nsf_2ng_22ns.zip</v>
      </c>
    </row>
    <row r="4645" spans="1:21">
      <c r="A4645">
        <v>4644</v>
      </c>
      <c r="B4645" s="27" t="s">
        <v>1449</v>
      </c>
      <c r="D4645" s="27" t="s">
        <v>1450</v>
      </c>
      <c r="F4645" s="27" t="s">
        <v>1453</v>
      </c>
      <c r="H4645" s="27" t="s">
        <v>1454</v>
      </c>
      <c r="M4645" s="27" t="s">
        <v>22034</v>
      </c>
      <c r="N4645" s="27" t="s">
        <v>22035</v>
      </c>
      <c r="P4645" s="27" t="s">
        <v>22038</v>
      </c>
      <c r="Q4645" s="26" t="str">
        <f>HYPERLINK("https://ictv.global/taxonomy/taxondetails?taxnode_id=202522840&amp;ictv_id=ICTV202522840","ICTV202522840")</f>
        <v>ICTV202522840</v>
      </c>
      <c r="R4645" t="s">
        <v>579</v>
      </c>
      <c r="S4645" t="s">
        <v>823</v>
      </c>
      <c r="T4645">
        <v>41</v>
      </c>
      <c r="U4645" s="26" t="str">
        <f t="shared" si="177"/>
        <v>2025.027B.Jianjiangvirinae_1nsf_2ng_22ns.zip</v>
      </c>
    </row>
    <row r="4646" spans="1:21">
      <c r="A4646">
        <v>4645</v>
      </c>
      <c r="B4646" s="27" t="s">
        <v>1449</v>
      </c>
      <c r="D4646" s="27" t="s">
        <v>1450</v>
      </c>
      <c r="F4646" s="27" t="s">
        <v>1453</v>
      </c>
      <c r="H4646" s="27" t="s">
        <v>1454</v>
      </c>
      <c r="M4646" s="27" t="s">
        <v>22034</v>
      </c>
      <c r="N4646" s="27" t="s">
        <v>22035</v>
      </c>
      <c r="P4646" s="27" t="s">
        <v>22041</v>
      </c>
      <c r="Q4646" s="26" t="str">
        <f>HYPERLINK("https://ictv.global/taxonomy/taxondetails?taxnode_id=202522843&amp;ictv_id=ICTV202522843","ICTV202522843")</f>
        <v>ICTV202522843</v>
      </c>
      <c r="R4646" t="s">
        <v>579</v>
      </c>
      <c r="S4646" t="s">
        <v>823</v>
      </c>
      <c r="T4646">
        <v>41</v>
      </c>
      <c r="U4646" s="26" t="str">
        <f t="shared" si="177"/>
        <v>2025.027B.Jianjiangvirinae_1nsf_2ng_22ns.zip</v>
      </c>
    </row>
    <row r="4647" spans="1:21">
      <c r="A4647">
        <v>4646</v>
      </c>
      <c r="B4647" s="27" t="s">
        <v>1449</v>
      </c>
      <c r="D4647" s="27" t="s">
        <v>1450</v>
      </c>
      <c r="F4647" s="27" t="s">
        <v>1453</v>
      </c>
      <c r="H4647" s="27" t="s">
        <v>1454</v>
      </c>
      <c r="M4647" s="27" t="s">
        <v>22034</v>
      </c>
      <c r="N4647" s="27" t="s">
        <v>22035</v>
      </c>
      <c r="P4647" s="27" t="s">
        <v>22039</v>
      </c>
      <c r="Q4647" s="26" t="str">
        <f>HYPERLINK("https://ictv.global/taxonomy/taxondetails?taxnode_id=202522841&amp;ictv_id=ICTV202522841","ICTV202522841")</f>
        <v>ICTV202522841</v>
      </c>
      <c r="R4647" t="s">
        <v>579</v>
      </c>
      <c r="S4647" t="s">
        <v>823</v>
      </c>
      <c r="T4647">
        <v>41</v>
      </c>
      <c r="U4647" s="26" t="str">
        <f t="shared" si="177"/>
        <v>2025.027B.Jianjiangvirinae_1nsf_2ng_22ns.zip</v>
      </c>
    </row>
    <row r="4648" spans="1:21">
      <c r="A4648">
        <v>4647</v>
      </c>
      <c r="B4648" s="27" t="s">
        <v>1449</v>
      </c>
      <c r="D4648" s="27" t="s">
        <v>1450</v>
      </c>
      <c r="F4648" s="27" t="s">
        <v>1453</v>
      </c>
      <c r="H4648" s="27" t="s">
        <v>1454</v>
      </c>
      <c r="M4648" s="27" t="s">
        <v>22034</v>
      </c>
      <c r="N4648" s="27" t="s">
        <v>22035</v>
      </c>
      <c r="P4648" s="27" t="s">
        <v>22040</v>
      </c>
      <c r="Q4648" s="26" t="str">
        <f>HYPERLINK("https://ictv.global/taxonomy/taxondetails?taxnode_id=202522842&amp;ictv_id=ICTV202522842","ICTV202522842")</f>
        <v>ICTV202522842</v>
      </c>
      <c r="R4648" t="s">
        <v>579</v>
      </c>
      <c r="S4648" t="s">
        <v>823</v>
      </c>
      <c r="T4648">
        <v>41</v>
      </c>
      <c r="U4648" s="26" t="str">
        <f t="shared" si="177"/>
        <v>2025.027B.Jianjiangvirinae_1nsf_2ng_22ns.zip</v>
      </c>
    </row>
    <row r="4649" spans="1:21">
      <c r="A4649">
        <v>4648</v>
      </c>
      <c r="B4649" s="27" t="s">
        <v>1449</v>
      </c>
      <c r="D4649" s="27" t="s">
        <v>1450</v>
      </c>
      <c r="F4649" s="27" t="s">
        <v>1453</v>
      </c>
      <c r="H4649" s="27" t="s">
        <v>1454</v>
      </c>
      <c r="M4649" s="27" t="s">
        <v>22034</v>
      </c>
      <c r="N4649" s="27" t="s">
        <v>22035</v>
      </c>
      <c r="P4649" s="27" t="s">
        <v>22042</v>
      </c>
      <c r="Q4649" s="26" t="str">
        <f>HYPERLINK("https://ictv.global/taxonomy/taxondetails?taxnode_id=202522844&amp;ictv_id=ICTV202522844","ICTV202522844")</f>
        <v>ICTV202522844</v>
      </c>
      <c r="R4649" t="s">
        <v>579</v>
      </c>
      <c r="S4649" t="s">
        <v>823</v>
      </c>
      <c r="T4649">
        <v>41</v>
      </c>
      <c r="U4649" s="26" t="str">
        <f t="shared" si="177"/>
        <v>2025.027B.Jianjiangvirinae_1nsf_2ng_22ns.zip</v>
      </c>
    </row>
    <row r="4650" spans="1:21">
      <c r="A4650">
        <v>4649</v>
      </c>
      <c r="B4650" s="27" t="s">
        <v>1449</v>
      </c>
      <c r="D4650" s="27" t="s">
        <v>1450</v>
      </c>
      <c r="F4650" s="27" t="s">
        <v>1453</v>
      </c>
      <c r="H4650" s="27" t="s">
        <v>1454</v>
      </c>
      <c r="M4650" s="27" t="s">
        <v>22034</v>
      </c>
      <c r="N4650" s="27" t="s">
        <v>22035</v>
      </c>
      <c r="P4650" s="27" t="s">
        <v>22036</v>
      </c>
      <c r="Q4650" s="26" t="str">
        <f>HYPERLINK("https://ictv.global/taxonomy/taxondetails?taxnode_id=202522838&amp;ictv_id=ICTV202522838","ICTV202522838")</f>
        <v>ICTV202522838</v>
      </c>
      <c r="R4650" t="s">
        <v>579</v>
      </c>
      <c r="S4650" t="s">
        <v>823</v>
      </c>
      <c r="T4650">
        <v>41</v>
      </c>
      <c r="U4650" s="26" t="str">
        <f t="shared" si="177"/>
        <v>2025.027B.Jianjiangvirinae_1nsf_2ng_22ns.zip</v>
      </c>
    </row>
    <row r="4651" spans="1:21">
      <c r="A4651">
        <v>4650</v>
      </c>
      <c r="B4651" s="27" t="s">
        <v>1449</v>
      </c>
      <c r="D4651" s="27" t="s">
        <v>1450</v>
      </c>
      <c r="F4651" s="27" t="s">
        <v>1453</v>
      </c>
      <c r="H4651" s="27" t="s">
        <v>1454</v>
      </c>
      <c r="M4651" s="27" t="s">
        <v>6253</v>
      </c>
      <c r="N4651" s="27" t="s">
        <v>6254</v>
      </c>
      <c r="P4651" s="27" t="s">
        <v>6255</v>
      </c>
      <c r="Q4651" s="26" t="str">
        <f>HYPERLINK("https://ictv.global/taxonomy/taxondetails?taxnode_id=202514479&amp;ictv_id=ICTV202214479","ICTV202214479")</f>
        <v>ICTV202214479</v>
      </c>
      <c r="R4651" t="s">
        <v>579</v>
      </c>
      <c r="S4651" t="s">
        <v>823</v>
      </c>
      <c r="T4651">
        <v>38</v>
      </c>
      <c r="U4651" s="26" t="str">
        <f t="shared" ref="U4651:U4658" si="178">HYPERLINK("https://ictv.global/ictv/proposals/2022.005B.Andregratiavirinae_Joanripponvirinae_nsf.zip","2022.005B.Andregratiavirinae_Joanripponvirinae_nsf.zip")</f>
        <v>2022.005B.Andregratiavirinae_Joanripponvirinae_nsf.zip</v>
      </c>
    </row>
    <row r="4652" spans="1:21">
      <c r="A4652">
        <v>4651</v>
      </c>
      <c r="B4652" s="27" t="s">
        <v>1449</v>
      </c>
      <c r="D4652" s="27" t="s">
        <v>1450</v>
      </c>
      <c r="F4652" s="27" t="s">
        <v>1453</v>
      </c>
      <c r="H4652" s="27" t="s">
        <v>1454</v>
      </c>
      <c r="M4652" s="27" t="s">
        <v>6253</v>
      </c>
      <c r="N4652" s="27" t="s">
        <v>6256</v>
      </c>
      <c r="P4652" s="27" t="s">
        <v>6257</v>
      </c>
      <c r="Q4652" s="26" t="str">
        <f>HYPERLINK("https://ictv.global/taxonomy/taxondetails?taxnode_id=202514478&amp;ictv_id=ICTV202214478","ICTV202214478")</f>
        <v>ICTV202214478</v>
      </c>
      <c r="R4652" t="s">
        <v>579</v>
      </c>
      <c r="S4652" t="s">
        <v>823</v>
      </c>
      <c r="T4652">
        <v>38</v>
      </c>
      <c r="U4652" s="26" t="str">
        <f t="shared" si="178"/>
        <v>2022.005B.Andregratiavirinae_Joanripponvirinae_nsf.zip</v>
      </c>
    </row>
    <row r="4653" spans="1:21">
      <c r="A4653">
        <v>4652</v>
      </c>
      <c r="B4653" s="27" t="s">
        <v>1449</v>
      </c>
      <c r="D4653" s="27" t="s">
        <v>1450</v>
      </c>
      <c r="F4653" s="27" t="s">
        <v>1453</v>
      </c>
      <c r="H4653" s="27" t="s">
        <v>1454</v>
      </c>
      <c r="M4653" s="27" t="s">
        <v>6253</v>
      </c>
      <c r="N4653" s="27" t="s">
        <v>6256</v>
      </c>
      <c r="P4653" s="27" t="s">
        <v>6258</v>
      </c>
      <c r="Q4653" s="26" t="str">
        <f>HYPERLINK("https://ictv.global/taxonomy/taxondetails?taxnode_id=202514477&amp;ictv_id=ICTV202214477","ICTV202214477")</f>
        <v>ICTV202214477</v>
      </c>
      <c r="R4653" t="s">
        <v>579</v>
      </c>
      <c r="S4653" t="s">
        <v>823</v>
      </c>
      <c r="T4653">
        <v>38</v>
      </c>
      <c r="U4653" s="26" t="str">
        <f t="shared" si="178"/>
        <v>2022.005B.Andregratiavirinae_Joanripponvirinae_nsf.zip</v>
      </c>
    </row>
    <row r="4654" spans="1:21">
      <c r="A4654">
        <v>4653</v>
      </c>
      <c r="B4654" s="27" t="s">
        <v>1449</v>
      </c>
      <c r="D4654" s="27" t="s">
        <v>1450</v>
      </c>
      <c r="F4654" s="27" t="s">
        <v>1453</v>
      </c>
      <c r="H4654" s="27" t="s">
        <v>1454</v>
      </c>
      <c r="M4654" s="27" t="s">
        <v>6253</v>
      </c>
      <c r="N4654" s="27" t="s">
        <v>6259</v>
      </c>
      <c r="P4654" s="27" t="s">
        <v>6260</v>
      </c>
      <c r="Q4654" s="26" t="str">
        <f>HYPERLINK("https://ictv.global/taxonomy/taxondetails?taxnode_id=202514484&amp;ictv_id=ICTV202214484","ICTV202214484")</f>
        <v>ICTV202214484</v>
      </c>
      <c r="R4654" t="s">
        <v>579</v>
      </c>
      <c r="S4654" t="s">
        <v>823</v>
      </c>
      <c r="T4654">
        <v>38</v>
      </c>
      <c r="U4654" s="26" t="str">
        <f t="shared" si="178"/>
        <v>2022.005B.Andregratiavirinae_Joanripponvirinae_nsf.zip</v>
      </c>
    </row>
    <row r="4655" spans="1:21">
      <c r="A4655">
        <v>4654</v>
      </c>
      <c r="B4655" s="27" t="s">
        <v>1449</v>
      </c>
      <c r="D4655" s="27" t="s">
        <v>1450</v>
      </c>
      <c r="F4655" s="27" t="s">
        <v>1453</v>
      </c>
      <c r="H4655" s="27" t="s">
        <v>1454</v>
      </c>
      <c r="M4655" s="27" t="s">
        <v>6253</v>
      </c>
      <c r="N4655" s="27" t="s">
        <v>6259</v>
      </c>
      <c r="P4655" s="27" t="s">
        <v>6261</v>
      </c>
      <c r="Q4655" s="26" t="str">
        <f>HYPERLINK("https://ictv.global/taxonomy/taxondetails?taxnode_id=202514481&amp;ictv_id=ICTV202214481","ICTV202214481")</f>
        <v>ICTV202214481</v>
      </c>
      <c r="R4655" t="s">
        <v>579</v>
      </c>
      <c r="S4655" t="s">
        <v>823</v>
      </c>
      <c r="T4655">
        <v>38</v>
      </c>
      <c r="U4655" s="26" t="str">
        <f t="shared" si="178"/>
        <v>2022.005B.Andregratiavirinae_Joanripponvirinae_nsf.zip</v>
      </c>
    </row>
    <row r="4656" spans="1:21">
      <c r="A4656">
        <v>4655</v>
      </c>
      <c r="B4656" s="27" t="s">
        <v>1449</v>
      </c>
      <c r="D4656" s="27" t="s">
        <v>1450</v>
      </c>
      <c r="F4656" s="27" t="s">
        <v>1453</v>
      </c>
      <c r="H4656" s="27" t="s">
        <v>1454</v>
      </c>
      <c r="M4656" s="27" t="s">
        <v>6253</v>
      </c>
      <c r="N4656" s="27" t="s">
        <v>6259</v>
      </c>
      <c r="P4656" s="27" t="s">
        <v>6262</v>
      </c>
      <c r="Q4656" s="26" t="str">
        <f>HYPERLINK("https://ictv.global/taxonomy/taxondetails?taxnode_id=202514483&amp;ictv_id=ICTV202214483","ICTV202214483")</f>
        <v>ICTV202214483</v>
      </c>
      <c r="R4656" t="s">
        <v>579</v>
      </c>
      <c r="S4656" t="s">
        <v>823</v>
      </c>
      <c r="T4656">
        <v>38</v>
      </c>
      <c r="U4656" s="26" t="str">
        <f t="shared" si="178"/>
        <v>2022.005B.Andregratiavirinae_Joanripponvirinae_nsf.zip</v>
      </c>
    </row>
    <row r="4657" spans="1:21">
      <c r="A4657">
        <v>4656</v>
      </c>
      <c r="B4657" s="27" t="s">
        <v>1449</v>
      </c>
      <c r="D4657" s="27" t="s">
        <v>1450</v>
      </c>
      <c r="F4657" s="27" t="s">
        <v>1453</v>
      </c>
      <c r="H4657" s="27" t="s">
        <v>1454</v>
      </c>
      <c r="M4657" s="27" t="s">
        <v>6253</v>
      </c>
      <c r="N4657" s="27" t="s">
        <v>6259</v>
      </c>
      <c r="P4657" s="27" t="s">
        <v>6263</v>
      </c>
      <c r="Q4657" s="26" t="str">
        <f>HYPERLINK("https://ictv.global/taxonomy/taxondetails?taxnode_id=202514482&amp;ictv_id=ICTV202214482","ICTV202214482")</f>
        <v>ICTV202214482</v>
      </c>
      <c r="R4657" t="s">
        <v>579</v>
      </c>
      <c r="S4657" t="s">
        <v>823</v>
      </c>
      <c r="T4657">
        <v>38</v>
      </c>
      <c r="U4657" s="26" t="str">
        <f t="shared" si="178"/>
        <v>2022.005B.Andregratiavirinae_Joanripponvirinae_nsf.zip</v>
      </c>
    </row>
    <row r="4658" spans="1:21">
      <c r="A4658">
        <v>4657</v>
      </c>
      <c r="B4658" s="27" t="s">
        <v>1449</v>
      </c>
      <c r="D4658" s="27" t="s">
        <v>1450</v>
      </c>
      <c r="F4658" s="27" t="s">
        <v>1453</v>
      </c>
      <c r="H4658" s="27" t="s">
        <v>1454</v>
      </c>
      <c r="M4658" s="27" t="s">
        <v>6253</v>
      </c>
      <c r="N4658" s="27" t="s">
        <v>6259</v>
      </c>
      <c r="P4658" s="27" t="s">
        <v>6264</v>
      </c>
      <c r="Q4658" s="26" t="str">
        <f>HYPERLINK("https://ictv.global/taxonomy/taxondetails?taxnode_id=202514480&amp;ictv_id=ICTV202214480","ICTV202214480")</f>
        <v>ICTV202214480</v>
      </c>
      <c r="R4658" t="s">
        <v>579</v>
      </c>
      <c r="S4658" t="s">
        <v>823</v>
      </c>
      <c r="T4658">
        <v>38</v>
      </c>
      <c r="U4658" s="26" t="str">
        <f t="shared" si="178"/>
        <v>2022.005B.Andregratiavirinae_Joanripponvirinae_nsf.zip</v>
      </c>
    </row>
    <row r="4659" spans="1:21">
      <c r="A4659">
        <v>4658</v>
      </c>
      <c r="B4659" s="27" t="s">
        <v>1449</v>
      </c>
      <c r="D4659" s="27" t="s">
        <v>1450</v>
      </c>
      <c r="F4659" s="27" t="s">
        <v>1453</v>
      </c>
      <c r="H4659" s="27" t="s">
        <v>1454</v>
      </c>
      <c r="M4659" s="27" t="s">
        <v>11888</v>
      </c>
      <c r="N4659" s="27" t="s">
        <v>11889</v>
      </c>
      <c r="P4659" s="27" t="s">
        <v>11890</v>
      </c>
      <c r="Q4659" s="26" t="str">
        <f>HYPERLINK("https://ictv.global/taxonomy/taxondetails?taxnode_id=202519158&amp;ictv_id=ICTV202319158","ICTV202319158")</f>
        <v>ICTV202319158</v>
      </c>
      <c r="R4659" t="s">
        <v>579</v>
      </c>
      <c r="S4659" t="s">
        <v>823</v>
      </c>
      <c r="T4659">
        <v>39</v>
      </c>
      <c r="U4659" s="26" t="str">
        <f>HYPERLINK("https://ictv.global/ictv/proposals/2023.038B.Johnpaulvirinae_nsf.zip","2023.038B.Johnpaulvirinae_nsf.zip")</f>
        <v>2023.038B.Johnpaulvirinae_nsf.zip</v>
      </c>
    </row>
    <row r="4660" spans="1:21">
      <c r="A4660">
        <v>4659</v>
      </c>
      <c r="B4660" s="27" t="s">
        <v>1449</v>
      </c>
      <c r="D4660" s="27" t="s">
        <v>1450</v>
      </c>
      <c r="F4660" s="27" t="s">
        <v>1453</v>
      </c>
      <c r="H4660" s="27" t="s">
        <v>1454</v>
      </c>
      <c r="M4660" s="27" t="s">
        <v>11888</v>
      </c>
      <c r="N4660" s="27" t="s">
        <v>11891</v>
      </c>
      <c r="P4660" s="27" t="s">
        <v>11892</v>
      </c>
      <c r="Q4660" s="26" t="str">
        <f>HYPERLINK("https://ictv.global/taxonomy/taxondetails?taxnode_id=202519159&amp;ictv_id=ICTV202319159","ICTV202319159")</f>
        <v>ICTV202319159</v>
      </c>
      <c r="R4660" t="s">
        <v>579</v>
      </c>
      <c r="S4660" t="s">
        <v>823</v>
      </c>
      <c r="T4660">
        <v>39</v>
      </c>
      <c r="U4660" s="26" t="str">
        <f>HYPERLINK("https://ictv.global/ictv/proposals/2023.038B.Johnpaulvirinae_nsf.zip","2023.038B.Johnpaulvirinae_nsf.zip")</f>
        <v>2023.038B.Johnpaulvirinae_nsf.zip</v>
      </c>
    </row>
    <row r="4661" spans="1:21">
      <c r="A4661">
        <v>4660</v>
      </c>
      <c r="B4661" s="27" t="s">
        <v>1449</v>
      </c>
      <c r="D4661" s="27" t="s">
        <v>1450</v>
      </c>
      <c r="F4661" s="27" t="s">
        <v>1453</v>
      </c>
      <c r="H4661" s="27" t="s">
        <v>1454</v>
      </c>
      <c r="M4661" s="27" t="s">
        <v>11888</v>
      </c>
      <c r="N4661" s="27" t="s">
        <v>11891</v>
      </c>
      <c r="P4661" s="27" t="s">
        <v>11893</v>
      </c>
      <c r="Q4661" s="26" t="str">
        <f>HYPERLINK("https://ictv.global/taxonomy/taxondetails?taxnode_id=202519160&amp;ictv_id=ICTV202319160","ICTV202319160")</f>
        <v>ICTV202319160</v>
      </c>
      <c r="R4661" t="s">
        <v>579</v>
      </c>
      <c r="S4661" t="s">
        <v>823</v>
      </c>
      <c r="T4661">
        <v>39</v>
      </c>
      <c r="U4661" s="26" t="str">
        <f>HYPERLINK("https://ictv.global/ictv/proposals/2023.038B.Johnpaulvirinae_nsf.zip","2023.038B.Johnpaulvirinae_nsf.zip")</f>
        <v>2023.038B.Johnpaulvirinae_nsf.zip</v>
      </c>
    </row>
    <row r="4662" spans="1:21">
      <c r="A4662">
        <v>4661</v>
      </c>
      <c r="B4662" s="27" t="s">
        <v>1449</v>
      </c>
      <c r="D4662" s="27" t="s">
        <v>1450</v>
      </c>
      <c r="F4662" s="27" t="s">
        <v>1453</v>
      </c>
      <c r="H4662" s="27" t="s">
        <v>1454</v>
      </c>
      <c r="M4662" s="27" t="s">
        <v>11894</v>
      </c>
      <c r="N4662" s="27" t="s">
        <v>1760</v>
      </c>
      <c r="P4662" s="27" t="s">
        <v>7213</v>
      </c>
      <c r="Q4662" s="26" t="str">
        <f>HYPERLINK("https://ictv.global/taxonomy/taxondetails?taxnode_id=202501256&amp;ictv_id=ICTV20150753","ICTV20150753")</f>
        <v>ICTV20150753</v>
      </c>
      <c r="R4662" t="s">
        <v>579</v>
      </c>
      <c r="S4662" t="s">
        <v>22763</v>
      </c>
      <c r="T4662">
        <v>39</v>
      </c>
      <c r="U4662" s="26" t="str">
        <f t="shared" ref="U4662:U4684" si="179">HYPERLINK("https://ictv.global/ictv/proposals/2023.039B.Jondennisvirinae_nsf.zip","2023.039B.Jondennisvirinae_nsf.zip")</f>
        <v>2023.039B.Jondennisvirinae_nsf.zip</v>
      </c>
    </row>
    <row r="4663" spans="1:21">
      <c r="A4663">
        <v>4662</v>
      </c>
      <c r="B4663" s="27" t="s">
        <v>1449</v>
      </c>
      <c r="D4663" s="27" t="s">
        <v>1450</v>
      </c>
      <c r="F4663" s="27" t="s">
        <v>1453</v>
      </c>
      <c r="H4663" s="27" t="s">
        <v>1454</v>
      </c>
      <c r="M4663" s="27" t="s">
        <v>11894</v>
      </c>
      <c r="N4663" s="27" t="s">
        <v>11895</v>
      </c>
      <c r="P4663" s="27" t="s">
        <v>11896</v>
      </c>
      <c r="Q4663" s="26" t="str">
        <f>HYPERLINK("https://ictv.global/taxonomy/taxondetails?taxnode_id=202519179&amp;ictv_id=ICTV202319179","ICTV202319179")</f>
        <v>ICTV202319179</v>
      </c>
      <c r="R4663" t="s">
        <v>579</v>
      </c>
      <c r="S4663" t="s">
        <v>823</v>
      </c>
      <c r="T4663">
        <v>39</v>
      </c>
      <c r="U4663" s="26" t="str">
        <f t="shared" si="179"/>
        <v>2023.039B.Jondennisvirinae_nsf.zip</v>
      </c>
    </row>
    <row r="4664" spans="1:21">
      <c r="A4664">
        <v>4663</v>
      </c>
      <c r="B4664" s="27" t="s">
        <v>1449</v>
      </c>
      <c r="D4664" s="27" t="s">
        <v>1450</v>
      </c>
      <c r="F4664" s="27" t="s">
        <v>1453</v>
      </c>
      <c r="H4664" s="27" t="s">
        <v>1454</v>
      </c>
      <c r="M4664" s="27" t="s">
        <v>11894</v>
      </c>
      <c r="N4664" s="27" t="s">
        <v>1418</v>
      </c>
      <c r="P4664" s="27" t="s">
        <v>7831</v>
      </c>
      <c r="Q4664" s="26" t="str">
        <f>HYPERLINK("https://ictv.global/taxonomy/taxondetails?taxnode_id=202501258&amp;ictv_id=ICTV20150752","ICTV20150752")</f>
        <v>ICTV20150752</v>
      </c>
      <c r="R4664" t="s">
        <v>579</v>
      </c>
      <c r="S4664" t="s">
        <v>22763</v>
      </c>
      <c r="T4664">
        <v>39</v>
      </c>
      <c r="U4664" s="26" t="str">
        <f t="shared" si="179"/>
        <v>2023.039B.Jondennisvirinae_nsf.zip</v>
      </c>
    </row>
    <row r="4665" spans="1:21">
      <c r="A4665">
        <v>4664</v>
      </c>
      <c r="B4665" s="27" t="s">
        <v>1449</v>
      </c>
      <c r="D4665" s="27" t="s">
        <v>1450</v>
      </c>
      <c r="F4665" s="27" t="s">
        <v>1453</v>
      </c>
      <c r="H4665" s="27" t="s">
        <v>1454</v>
      </c>
      <c r="M4665" s="27" t="s">
        <v>11894</v>
      </c>
      <c r="N4665" s="27" t="s">
        <v>1418</v>
      </c>
      <c r="P4665" s="27" t="s">
        <v>11897</v>
      </c>
      <c r="Q4665" s="26" t="str">
        <f>HYPERLINK("https://ictv.global/taxonomy/taxondetails?taxnode_id=202519173&amp;ictv_id=ICTV202319173","ICTV202319173")</f>
        <v>ICTV202319173</v>
      </c>
      <c r="R4665" t="s">
        <v>579</v>
      </c>
      <c r="S4665" t="s">
        <v>823</v>
      </c>
      <c r="T4665">
        <v>39</v>
      </c>
      <c r="U4665" s="26" t="str">
        <f t="shared" si="179"/>
        <v>2023.039B.Jondennisvirinae_nsf.zip</v>
      </c>
    </row>
    <row r="4666" spans="1:21">
      <c r="A4666">
        <v>4665</v>
      </c>
      <c r="B4666" s="27" t="s">
        <v>1449</v>
      </c>
      <c r="D4666" s="27" t="s">
        <v>1450</v>
      </c>
      <c r="F4666" s="27" t="s">
        <v>1453</v>
      </c>
      <c r="H4666" s="27" t="s">
        <v>1454</v>
      </c>
      <c r="M4666" s="27" t="s">
        <v>11894</v>
      </c>
      <c r="N4666" s="27" t="s">
        <v>1418</v>
      </c>
      <c r="P4666" s="27" t="s">
        <v>11898</v>
      </c>
      <c r="Q4666" s="26" t="str">
        <f>HYPERLINK("https://ictv.global/taxonomy/taxondetails?taxnode_id=202519171&amp;ictv_id=ICTV202319171","ICTV202319171")</f>
        <v>ICTV202319171</v>
      </c>
      <c r="R4666" t="s">
        <v>579</v>
      </c>
      <c r="S4666" t="s">
        <v>823</v>
      </c>
      <c r="T4666">
        <v>39</v>
      </c>
      <c r="U4666" s="26" t="str">
        <f t="shared" si="179"/>
        <v>2023.039B.Jondennisvirinae_nsf.zip</v>
      </c>
    </row>
    <row r="4667" spans="1:21">
      <c r="A4667">
        <v>4666</v>
      </c>
      <c r="B4667" s="27" t="s">
        <v>1449</v>
      </c>
      <c r="D4667" s="27" t="s">
        <v>1450</v>
      </c>
      <c r="F4667" s="27" t="s">
        <v>1453</v>
      </c>
      <c r="H4667" s="27" t="s">
        <v>1454</v>
      </c>
      <c r="M4667" s="27" t="s">
        <v>11894</v>
      </c>
      <c r="N4667" s="27" t="s">
        <v>1418</v>
      </c>
      <c r="P4667" s="27" t="s">
        <v>11899</v>
      </c>
      <c r="Q4667" s="26" t="str">
        <f>HYPERLINK("https://ictv.global/taxonomy/taxondetails?taxnode_id=202519172&amp;ictv_id=ICTV202319172","ICTV202319172")</f>
        <v>ICTV202319172</v>
      </c>
      <c r="R4667" t="s">
        <v>579</v>
      </c>
      <c r="S4667" t="s">
        <v>823</v>
      </c>
      <c r="T4667">
        <v>39</v>
      </c>
      <c r="U4667" s="26" t="str">
        <f t="shared" si="179"/>
        <v>2023.039B.Jondennisvirinae_nsf.zip</v>
      </c>
    </row>
    <row r="4668" spans="1:21">
      <c r="A4668">
        <v>4667</v>
      </c>
      <c r="B4668" s="27" t="s">
        <v>1449</v>
      </c>
      <c r="D4668" s="27" t="s">
        <v>1450</v>
      </c>
      <c r="F4668" s="27" t="s">
        <v>1453</v>
      </c>
      <c r="H4668" s="27" t="s">
        <v>1454</v>
      </c>
      <c r="M4668" s="27" t="s">
        <v>11894</v>
      </c>
      <c r="N4668" s="27" t="s">
        <v>1418</v>
      </c>
      <c r="P4668" s="27" t="s">
        <v>11900</v>
      </c>
      <c r="Q4668" s="26" t="str">
        <f>HYPERLINK("https://ictv.global/taxonomy/taxondetails?taxnode_id=202519165&amp;ictv_id=ICTV202319165","ICTV202319165")</f>
        <v>ICTV202319165</v>
      </c>
      <c r="R4668" t="s">
        <v>579</v>
      </c>
      <c r="S4668" t="s">
        <v>823</v>
      </c>
      <c r="T4668">
        <v>39</v>
      </c>
      <c r="U4668" s="26" t="str">
        <f t="shared" si="179"/>
        <v>2023.039B.Jondennisvirinae_nsf.zip</v>
      </c>
    </row>
    <row r="4669" spans="1:21">
      <c r="A4669">
        <v>4668</v>
      </c>
      <c r="B4669" s="27" t="s">
        <v>1449</v>
      </c>
      <c r="D4669" s="27" t="s">
        <v>1450</v>
      </c>
      <c r="F4669" s="27" t="s">
        <v>1453</v>
      </c>
      <c r="H4669" s="27" t="s">
        <v>1454</v>
      </c>
      <c r="M4669" s="27" t="s">
        <v>11894</v>
      </c>
      <c r="N4669" s="27" t="s">
        <v>1418</v>
      </c>
      <c r="P4669" s="27" t="s">
        <v>11901</v>
      </c>
      <c r="Q4669" s="26" t="str">
        <f>HYPERLINK("https://ictv.global/taxonomy/taxondetails?taxnode_id=202519168&amp;ictv_id=ICTV202319168","ICTV202319168")</f>
        <v>ICTV202319168</v>
      </c>
      <c r="R4669" t="s">
        <v>579</v>
      </c>
      <c r="S4669" t="s">
        <v>823</v>
      </c>
      <c r="T4669">
        <v>39</v>
      </c>
      <c r="U4669" s="26" t="str">
        <f t="shared" si="179"/>
        <v>2023.039B.Jondennisvirinae_nsf.zip</v>
      </c>
    </row>
    <row r="4670" spans="1:21">
      <c r="A4670">
        <v>4669</v>
      </c>
      <c r="B4670" s="27" t="s">
        <v>1449</v>
      </c>
      <c r="D4670" s="27" t="s">
        <v>1450</v>
      </c>
      <c r="F4670" s="27" t="s">
        <v>1453</v>
      </c>
      <c r="H4670" s="27" t="s">
        <v>1454</v>
      </c>
      <c r="M4670" s="27" t="s">
        <v>11894</v>
      </c>
      <c r="N4670" s="27" t="s">
        <v>1418</v>
      </c>
      <c r="P4670" s="27" t="s">
        <v>11902</v>
      </c>
      <c r="Q4670" s="26" t="str">
        <f>HYPERLINK("https://ictv.global/taxonomy/taxondetails?taxnode_id=202519163&amp;ictv_id=ICTV202319163","ICTV202319163")</f>
        <v>ICTV202319163</v>
      </c>
      <c r="R4670" t="s">
        <v>579</v>
      </c>
      <c r="S4670" t="s">
        <v>823</v>
      </c>
      <c r="T4670">
        <v>39</v>
      </c>
      <c r="U4670" s="26" t="str">
        <f t="shared" si="179"/>
        <v>2023.039B.Jondennisvirinae_nsf.zip</v>
      </c>
    </row>
    <row r="4671" spans="1:21">
      <c r="A4671">
        <v>4670</v>
      </c>
      <c r="B4671" s="27" t="s">
        <v>1449</v>
      </c>
      <c r="D4671" s="27" t="s">
        <v>1450</v>
      </c>
      <c r="F4671" s="27" t="s">
        <v>1453</v>
      </c>
      <c r="H4671" s="27" t="s">
        <v>1454</v>
      </c>
      <c r="M4671" s="27" t="s">
        <v>11894</v>
      </c>
      <c r="N4671" s="27" t="s">
        <v>1418</v>
      </c>
      <c r="P4671" s="27" t="s">
        <v>7832</v>
      </c>
      <c r="Q4671" s="26" t="str">
        <f>HYPERLINK("https://ictv.global/taxonomy/taxondetails?taxnode_id=202501259&amp;ictv_id=ICTV20150751","ICTV20150751")</f>
        <v>ICTV20150751</v>
      </c>
      <c r="R4671" t="s">
        <v>579</v>
      </c>
      <c r="S4671" t="s">
        <v>22763</v>
      </c>
      <c r="T4671">
        <v>39</v>
      </c>
      <c r="U4671" s="26" t="str">
        <f t="shared" si="179"/>
        <v>2023.039B.Jondennisvirinae_nsf.zip</v>
      </c>
    </row>
    <row r="4672" spans="1:21">
      <c r="A4672">
        <v>4671</v>
      </c>
      <c r="B4672" s="27" t="s">
        <v>1449</v>
      </c>
      <c r="D4672" s="27" t="s">
        <v>1450</v>
      </c>
      <c r="F4672" s="27" t="s">
        <v>1453</v>
      </c>
      <c r="H4672" s="27" t="s">
        <v>1454</v>
      </c>
      <c r="M4672" s="27" t="s">
        <v>11894</v>
      </c>
      <c r="N4672" s="27" t="s">
        <v>1418</v>
      </c>
      <c r="P4672" s="27" t="s">
        <v>11903</v>
      </c>
      <c r="Q4672" s="26" t="str">
        <f>HYPERLINK("https://ictv.global/taxonomy/taxondetails?taxnode_id=202519161&amp;ictv_id=ICTV202319161","ICTV202319161")</f>
        <v>ICTV202319161</v>
      </c>
      <c r="R4672" t="s">
        <v>579</v>
      </c>
      <c r="S4672" t="s">
        <v>823</v>
      </c>
      <c r="T4672">
        <v>39</v>
      </c>
      <c r="U4672" s="26" t="str">
        <f t="shared" si="179"/>
        <v>2023.039B.Jondennisvirinae_nsf.zip</v>
      </c>
    </row>
    <row r="4673" spans="1:21">
      <c r="A4673">
        <v>4672</v>
      </c>
      <c r="B4673" s="27" t="s">
        <v>1449</v>
      </c>
      <c r="D4673" s="27" t="s">
        <v>1450</v>
      </c>
      <c r="F4673" s="27" t="s">
        <v>1453</v>
      </c>
      <c r="H4673" s="27" t="s">
        <v>1454</v>
      </c>
      <c r="M4673" s="27" t="s">
        <v>11894</v>
      </c>
      <c r="N4673" s="27" t="s">
        <v>1418</v>
      </c>
      <c r="P4673" s="27" t="s">
        <v>11904</v>
      </c>
      <c r="Q4673" s="26" t="str">
        <f>HYPERLINK("https://ictv.global/taxonomy/taxondetails?taxnode_id=202519167&amp;ictv_id=ICTV202319167","ICTV202319167")</f>
        <v>ICTV202319167</v>
      </c>
      <c r="R4673" t="s">
        <v>579</v>
      </c>
      <c r="S4673" t="s">
        <v>823</v>
      </c>
      <c r="T4673">
        <v>39</v>
      </c>
      <c r="U4673" s="26" t="str">
        <f t="shared" si="179"/>
        <v>2023.039B.Jondennisvirinae_nsf.zip</v>
      </c>
    </row>
    <row r="4674" spans="1:21">
      <c r="A4674">
        <v>4673</v>
      </c>
      <c r="B4674" s="27" t="s">
        <v>1449</v>
      </c>
      <c r="D4674" s="27" t="s">
        <v>1450</v>
      </c>
      <c r="F4674" s="27" t="s">
        <v>1453</v>
      </c>
      <c r="H4674" s="27" t="s">
        <v>1454</v>
      </c>
      <c r="M4674" s="27" t="s">
        <v>11894</v>
      </c>
      <c r="N4674" s="27" t="s">
        <v>1418</v>
      </c>
      <c r="P4674" s="27" t="s">
        <v>11905</v>
      </c>
      <c r="Q4674" s="26" t="str">
        <f>HYPERLINK("https://ictv.global/taxonomy/taxondetails?taxnode_id=202519177&amp;ictv_id=ICTV202319177","ICTV202319177")</f>
        <v>ICTV202319177</v>
      </c>
      <c r="R4674" t="s">
        <v>579</v>
      </c>
      <c r="S4674" t="s">
        <v>823</v>
      </c>
      <c r="T4674">
        <v>39</v>
      </c>
      <c r="U4674" s="26" t="str">
        <f t="shared" si="179"/>
        <v>2023.039B.Jondennisvirinae_nsf.zip</v>
      </c>
    </row>
    <row r="4675" spans="1:21">
      <c r="A4675">
        <v>4674</v>
      </c>
      <c r="B4675" s="27" t="s">
        <v>1449</v>
      </c>
      <c r="D4675" s="27" t="s">
        <v>1450</v>
      </c>
      <c r="F4675" s="27" t="s">
        <v>1453</v>
      </c>
      <c r="H4675" s="27" t="s">
        <v>1454</v>
      </c>
      <c r="M4675" s="27" t="s">
        <v>11894</v>
      </c>
      <c r="N4675" s="27" t="s">
        <v>1418</v>
      </c>
      <c r="P4675" s="27" t="s">
        <v>11906</v>
      </c>
      <c r="Q4675" s="26" t="str">
        <f>HYPERLINK("https://ictv.global/taxonomy/taxondetails?taxnode_id=202519178&amp;ictv_id=ICTV202319178","ICTV202319178")</f>
        <v>ICTV202319178</v>
      </c>
      <c r="R4675" t="s">
        <v>579</v>
      </c>
      <c r="S4675" t="s">
        <v>823</v>
      </c>
      <c r="T4675">
        <v>39</v>
      </c>
      <c r="U4675" s="26" t="str">
        <f t="shared" si="179"/>
        <v>2023.039B.Jondennisvirinae_nsf.zip</v>
      </c>
    </row>
    <row r="4676" spans="1:21">
      <c r="A4676">
        <v>4675</v>
      </c>
      <c r="B4676" s="27" t="s">
        <v>1449</v>
      </c>
      <c r="D4676" s="27" t="s">
        <v>1450</v>
      </c>
      <c r="F4676" s="27" t="s">
        <v>1453</v>
      </c>
      <c r="H4676" s="27" t="s">
        <v>1454</v>
      </c>
      <c r="M4676" s="27" t="s">
        <v>11894</v>
      </c>
      <c r="N4676" s="27" t="s">
        <v>1418</v>
      </c>
      <c r="P4676" s="27" t="s">
        <v>11907</v>
      </c>
      <c r="Q4676" s="26" t="str">
        <f>HYPERLINK("https://ictv.global/taxonomy/taxondetails?taxnode_id=202519175&amp;ictv_id=ICTV202319175","ICTV202319175")</f>
        <v>ICTV202319175</v>
      </c>
      <c r="R4676" t="s">
        <v>579</v>
      </c>
      <c r="S4676" t="s">
        <v>823</v>
      </c>
      <c r="T4676">
        <v>39</v>
      </c>
      <c r="U4676" s="26" t="str">
        <f t="shared" si="179"/>
        <v>2023.039B.Jondennisvirinae_nsf.zip</v>
      </c>
    </row>
    <row r="4677" spans="1:21">
      <c r="A4677">
        <v>4676</v>
      </c>
      <c r="B4677" s="27" t="s">
        <v>1449</v>
      </c>
      <c r="D4677" s="27" t="s">
        <v>1450</v>
      </c>
      <c r="F4677" s="27" t="s">
        <v>1453</v>
      </c>
      <c r="H4677" s="27" t="s">
        <v>1454</v>
      </c>
      <c r="M4677" s="27" t="s">
        <v>11894</v>
      </c>
      <c r="N4677" s="27" t="s">
        <v>1418</v>
      </c>
      <c r="P4677" s="27" t="s">
        <v>11908</v>
      </c>
      <c r="Q4677" s="26" t="str">
        <f>HYPERLINK("https://ictv.global/taxonomy/taxondetails?taxnode_id=202519176&amp;ictv_id=ICTV202319176","ICTV202319176")</f>
        <v>ICTV202319176</v>
      </c>
      <c r="R4677" t="s">
        <v>579</v>
      </c>
      <c r="S4677" t="s">
        <v>823</v>
      </c>
      <c r="T4677">
        <v>39</v>
      </c>
      <c r="U4677" s="26" t="str">
        <f t="shared" si="179"/>
        <v>2023.039B.Jondennisvirinae_nsf.zip</v>
      </c>
    </row>
    <row r="4678" spans="1:21">
      <c r="A4678">
        <v>4677</v>
      </c>
      <c r="B4678" s="27" t="s">
        <v>1449</v>
      </c>
      <c r="D4678" s="27" t="s">
        <v>1450</v>
      </c>
      <c r="F4678" s="27" t="s">
        <v>1453</v>
      </c>
      <c r="H4678" s="27" t="s">
        <v>1454</v>
      </c>
      <c r="M4678" s="27" t="s">
        <v>11894</v>
      </c>
      <c r="N4678" s="27" t="s">
        <v>1418</v>
      </c>
      <c r="P4678" s="27" t="s">
        <v>11909</v>
      </c>
      <c r="Q4678" s="26" t="str">
        <f>HYPERLINK("https://ictv.global/taxonomy/taxondetails?taxnode_id=202519170&amp;ictv_id=ICTV202319170","ICTV202319170")</f>
        <v>ICTV202319170</v>
      </c>
      <c r="R4678" t="s">
        <v>579</v>
      </c>
      <c r="S4678" t="s">
        <v>823</v>
      </c>
      <c r="T4678">
        <v>39</v>
      </c>
      <c r="U4678" s="26" t="str">
        <f t="shared" si="179"/>
        <v>2023.039B.Jondennisvirinae_nsf.zip</v>
      </c>
    </row>
    <row r="4679" spans="1:21">
      <c r="A4679">
        <v>4678</v>
      </c>
      <c r="B4679" s="27" t="s">
        <v>1449</v>
      </c>
      <c r="D4679" s="27" t="s">
        <v>1450</v>
      </c>
      <c r="F4679" s="27" t="s">
        <v>1453</v>
      </c>
      <c r="H4679" s="27" t="s">
        <v>1454</v>
      </c>
      <c r="M4679" s="27" t="s">
        <v>11894</v>
      </c>
      <c r="N4679" s="27" t="s">
        <v>1418</v>
      </c>
      <c r="P4679" s="27" t="s">
        <v>11910</v>
      </c>
      <c r="Q4679" s="26" t="str">
        <f>HYPERLINK("https://ictv.global/taxonomy/taxondetails?taxnode_id=202519164&amp;ictv_id=ICTV202319164","ICTV202319164")</f>
        <v>ICTV202319164</v>
      </c>
      <c r="R4679" t="s">
        <v>579</v>
      </c>
      <c r="S4679" t="s">
        <v>823</v>
      </c>
      <c r="T4679">
        <v>39</v>
      </c>
      <c r="U4679" s="26" t="str">
        <f t="shared" si="179"/>
        <v>2023.039B.Jondennisvirinae_nsf.zip</v>
      </c>
    </row>
    <row r="4680" spans="1:21">
      <c r="A4680">
        <v>4679</v>
      </c>
      <c r="B4680" s="27" t="s">
        <v>1449</v>
      </c>
      <c r="D4680" s="27" t="s">
        <v>1450</v>
      </c>
      <c r="F4680" s="27" t="s">
        <v>1453</v>
      </c>
      <c r="H4680" s="27" t="s">
        <v>1454</v>
      </c>
      <c r="M4680" s="27" t="s">
        <v>11894</v>
      </c>
      <c r="N4680" s="27" t="s">
        <v>1418</v>
      </c>
      <c r="P4680" s="27" t="s">
        <v>11911</v>
      </c>
      <c r="Q4680" s="26" t="str">
        <f>HYPERLINK("https://ictv.global/taxonomy/taxondetails?taxnode_id=202519166&amp;ictv_id=ICTV202319166","ICTV202319166")</f>
        <v>ICTV202319166</v>
      </c>
      <c r="R4680" t="s">
        <v>579</v>
      </c>
      <c r="S4680" t="s">
        <v>823</v>
      </c>
      <c r="T4680">
        <v>39</v>
      </c>
      <c r="U4680" s="26" t="str">
        <f t="shared" si="179"/>
        <v>2023.039B.Jondennisvirinae_nsf.zip</v>
      </c>
    </row>
    <row r="4681" spans="1:21">
      <c r="A4681">
        <v>4680</v>
      </c>
      <c r="B4681" s="27" t="s">
        <v>1449</v>
      </c>
      <c r="D4681" s="27" t="s">
        <v>1450</v>
      </c>
      <c r="F4681" s="27" t="s">
        <v>1453</v>
      </c>
      <c r="H4681" s="27" t="s">
        <v>1454</v>
      </c>
      <c r="M4681" s="27" t="s">
        <v>11894</v>
      </c>
      <c r="N4681" s="27" t="s">
        <v>1418</v>
      </c>
      <c r="P4681" s="27" t="s">
        <v>7833</v>
      </c>
      <c r="Q4681" s="26" t="str">
        <f>HYPERLINK("https://ictv.global/taxonomy/taxondetails?taxnode_id=202501257&amp;ictv_id=ICTV20150750","ICTV20150750")</f>
        <v>ICTV20150750</v>
      </c>
      <c r="R4681" t="s">
        <v>579</v>
      </c>
      <c r="S4681" t="s">
        <v>22763</v>
      </c>
      <c r="T4681">
        <v>39</v>
      </c>
      <c r="U4681" s="26" t="str">
        <f t="shared" si="179"/>
        <v>2023.039B.Jondennisvirinae_nsf.zip</v>
      </c>
    </row>
    <row r="4682" spans="1:21">
      <c r="A4682">
        <v>4681</v>
      </c>
      <c r="B4682" s="27" t="s">
        <v>1449</v>
      </c>
      <c r="D4682" s="27" t="s">
        <v>1450</v>
      </c>
      <c r="F4682" s="27" t="s">
        <v>1453</v>
      </c>
      <c r="H4682" s="27" t="s">
        <v>1454</v>
      </c>
      <c r="M4682" s="27" t="s">
        <v>11894</v>
      </c>
      <c r="N4682" s="27" t="s">
        <v>1418</v>
      </c>
      <c r="P4682" s="27" t="s">
        <v>11912</v>
      </c>
      <c r="Q4682" s="26" t="str">
        <f>HYPERLINK("https://ictv.global/taxonomy/taxondetails?taxnode_id=202519174&amp;ictv_id=ICTV202319174","ICTV202319174")</f>
        <v>ICTV202319174</v>
      </c>
      <c r="R4682" t="s">
        <v>579</v>
      </c>
      <c r="S4682" t="s">
        <v>823</v>
      </c>
      <c r="T4682">
        <v>39</v>
      </c>
      <c r="U4682" s="26" t="str">
        <f t="shared" si="179"/>
        <v>2023.039B.Jondennisvirinae_nsf.zip</v>
      </c>
    </row>
    <row r="4683" spans="1:21">
      <c r="A4683">
        <v>4682</v>
      </c>
      <c r="B4683" s="27" t="s">
        <v>1449</v>
      </c>
      <c r="D4683" s="27" t="s">
        <v>1450</v>
      </c>
      <c r="F4683" s="27" t="s">
        <v>1453</v>
      </c>
      <c r="H4683" s="27" t="s">
        <v>1454</v>
      </c>
      <c r="M4683" s="27" t="s">
        <v>11894</v>
      </c>
      <c r="N4683" s="27" t="s">
        <v>1418</v>
      </c>
      <c r="P4683" s="27" t="s">
        <v>11913</v>
      </c>
      <c r="Q4683" s="26" t="str">
        <f>HYPERLINK("https://ictv.global/taxonomy/taxondetails?taxnode_id=202519169&amp;ictv_id=ICTV202319169","ICTV202319169")</f>
        <v>ICTV202319169</v>
      </c>
      <c r="R4683" t="s">
        <v>579</v>
      </c>
      <c r="S4683" t="s">
        <v>823</v>
      </c>
      <c r="T4683">
        <v>39</v>
      </c>
      <c r="U4683" s="26" t="str">
        <f t="shared" si="179"/>
        <v>2023.039B.Jondennisvirinae_nsf.zip</v>
      </c>
    </row>
    <row r="4684" spans="1:21">
      <c r="A4684">
        <v>4683</v>
      </c>
      <c r="B4684" s="27" t="s">
        <v>1449</v>
      </c>
      <c r="D4684" s="27" t="s">
        <v>1450</v>
      </c>
      <c r="F4684" s="27" t="s">
        <v>1453</v>
      </c>
      <c r="H4684" s="27" t="s">
        <v>1454</v>
      </c>
      <c r="M4684" s="27" t="s">
        <v>11894</v>
      </c>
      <c r="N4684" s="27" t="s">
        <v>1418</v>
      </c>
      <c r="P4684" s="27" t="s">
        <v>11914</v>
      </c>
      <c r="Q4684" s="26" t="str">
        <f>HYPERLINK("https://ictv.global/taxonomy/taxondetails?taxnode_id=202519162&amp;ictv_id=ICTV202319162","ICTV202319162")</f>
        <v>ICTV202319162</v>
      </c>
      <c r="R4684" t="s">
        <v>579</v>
      </c>
      <c r="S4684" t="s">
        <v>823</v>
      </c>
      <c r="T4684">
        <v>39</v>
      </c>
      <c r="U4684" s="26" t="str">
        <f t="shared" si="179"/>
        <v>2023.039B.Jondennisvirinae_nsf.zip</v>
      </c>
    </row>
    <row r="4685" spans="1:21">
      <c r="A4685">
        <v>4684</v>
      </c>
      <c r="B4685" s="27" t="s">
        <v>1449</v>
      </c>
      <c r="D4685" s="27" t="s">
        <v>1450</v>
      </c>
      <c r="F4685" s="27" t="s">
        <v>1453</v>
      </c>
      <c r="H4685" s="27" t="s">
        <v>1454</v>
      </c>
      <c r="M4685" s="27" t="s">
        <v>1731</v>
      </c>
      <c r="N4685" s="27" t="s">
        <v>1732</v>
      </c>
      <c r="P4685" s="27" t="s">
        <v>6273</v>
      </c>
      <c r="Q4685" s="26" t="str">
        <f>HYPERLINK("https://ictv.global/taxonomy/taxondetails?taxnode_id=202507882&amp;ictv_id=ICTV201907882","ICTV201907882")</f>
        <v>ICTV201907882</v>
      </c>
      <c r="R4685" t="s">
        <v>579</v>
      </c>
      <c r="S4685" t="s">
        <v>824</v>
      </c>
      <c r="T4685">
        <v>37</v>
      </c>
      <c r="U4685" s="26" t="str">
        <f t="shared" ref="U4685:U4702" si="180">HYPERLINK("https://ictv.global/ictv/proposals/2021.010B.R.Binomial_names.zip","2021.010B.R.Binomial_names.zip")</f>
        <v>2021.010B.R.Binomial_names.zip</v>
      </c>
    </row>
    <row r="4686" spans="1:21">
      <c r="A4686">
        <v>4685</v>
      </c>
      <c r="B4686" s="27" t="s">
        <v>1449</v>
      </c>
      <c r="D4686" s="27" t="s">
        <v>1450</v>
      </c>
      <c r="F4686" s="27" t="s">
        <v>1453</v>
      </c>
      <c r="H4686" s="27" t="s">
        <v>1454</v>
      </c>
      <c r="M4686" s="27" t="s">
        <v>1731</v>
      </c>
      <c r="N4686" s="27" t="s">
        <v>1732</v>
      </c>
      <c r="P4686" s="27" t="s">
        <v>6274</v>
      </c>
      <c r="Q4686" s="26" t="str">
        <f>HYPERLINK("https://ictv.global/taxonomy/taxondetails?taxnode_id=202507884&amp;ictv_id=ICTV201907884","ICTV201907884")</f>
        <v>ICTV201907884</v>
      </c>
      <c r="R4686" t="s">
        <v>579</v>
      </c>
      <c r="S4686" t="s">
        <v>824</v>
      </c>
      <c r="T4686">
        <v>37</v>
      </c>
      <c r="U4686" s="26" t="str">
        <f t="shared" si="180"/>
        <v>2021.010B.R.Binomial_names.zip</v>
      </c>
    </row>
    <row r="4687" spans="1:21">
      <c r="A4687">
        <v>4686</v>
      </c>
      <c r="B4687" s="27" t="s">
        <v>1449</v>
      </c>
      <c r="D4687" s="27" t="s">
        <v>1450</v>
      </c>
      <c r="F4687" s="27" t="s">
        <v>1453</v>
      </c>
      <c r="H4687" s="27" t="s">
        <v>1454</v>
      </c>
      <c r="M4687" s="27" t="s">
        <v>1731</v>
      </c>
      <c r="N4687" s="27" t="s">
        <v>1732</v>
      </c>
      <c r="P4687" s="27" t="s">
        <v>6275</v>
      </c>
      <c r="Q4687" s="26" t="str">
        <f>HYPERLINK("https://ictv.global/taxonomy/taxondetails?taxnode_id=202507881&amp;ictv_id=ICTV201907881","ICTV201907881")</f>
        <v>ICTV201907881</v>
      </c>
      <c r="R4687" t="s">
        <v>579</v>
      </c>
      <c r="S4687" t="s">
        <v>824</v>
      </c>
      <c r="T4687">
        <v>37</v>
      </c>
      <c r="U4687" s="26" t="str">
        <f t="shared" si="180"/>
        <v>2021.010B.R.Binomial_names.zip</v>
      </c>
    </row>
    <row r="4688" spans="1:21">
      <c r="A4688">
        <v>4687</v>
      </c>
      <c r="B4688" s="27" t="s">
        <v>1449</v>
      </c>
      <c r="D4688" s="27" t="s">
        <v>1450</v>
      </c>
      <c r="F4688" s="27" t="s">
        <v>1453</v>
      </c>
      <c r="H4688" s="27" t="s">
        <v>1454</v>
      </c>
      <c r="M4688" s="27" t="s">
        <v>1731</v>
      </c>
      <c r="N4688" s="27" t="s">
        <v>1732</v>
      </c>
      <c r="P4688" s="27" t="s">
        <v>6276</v>
      </c>
      <c r="Q4688" s="26" t="str">
        <f>HYPERLINK("https://ictv.global/taxonomy/taxondetails?taxnode_id=202507883&amp;ictv_id=ICTV201907883","ICTV201907883")</f>
        <v>ICTV201907883</v>
      </c>
      <c r="R4688" t="s">
        <v>579</v>
      </c>
      <c r="S4688" t="s">
        <v>824</v>
      </c>
      <c r="T4688">
        <v>37</v>
      </c>
      <c r="U4688" s="26" t="str">
        <f t="shared" si="180"/>
        <v>2021.010B.R.Binomial_names.zip</v>
      </c>
    </row>
    <row r="4689" spans="1:21">
      <c r="A4689">
        <v>4688</v>
      </c>
      <c r="B4689" s="27" t="s">
        <v>1449</v>
      </c>
      <c r="D4689" s="27" t="s">
        <v>1450</v>
      </c>
      <c r="F4689" s="27" t="s">
        <v>1453</v>
      </c>
      <c r="H4689" s="27" t="s">
        <v>1454</v>
      </c>
      <c r="M4689" s="27" t="s">
        <v>1731</v>
      </c>
      <c r="N4689" s="27" t="s">
        <v>1733</v>
      </c>
      <c r="P4689" s="27" t="s">
        <v>6277</v>
      </c>
      <c r="Q4689" s="26" t="str">
        <f>HYPERLINK("https://ictv.global/taxonomy/taxondetails?taxnode_id=202507886&amp;ictv_id=ICTV201907886","ICTV201907886")</f>
        <v>ICTV201907886</v>
      </c>
      <c r="R4689" t="s">
        <v>579</v>
      </c>
      <c r="S4689" t="s">
        <v>824</v>
      </c>
      <c r="T4689">
        <v>37</v>
      </c>
      <c r="U4689" s="26" t="str">
        <f t="shared" si="180"/>
        <v>2021.010B.R.Binomial_names.zip</v>
      </c>
    </row>
    <row r="4690" spans="1:21">
      <c r="A4690">
        <v>4689</v>
      </c>
      <c r="B4690" s="27" t="s">
        <v>1449</v>
      </c>
      <c r="D4690" s="27" t="s">
        <v>1450</v>
      </c>
      <c r="F4690" s="27" t="s">
        <v>1453</v>
      </c>
      <c r="H4690" s="27" t="s">
        <v>1454</v>
      </c>
      <c r="M4690" s="27" t="s">
        <v>1731</v>
      </c>
      <c r="N4690" s="27" t="s">
        <v>1734</v>
      </c>
      <c r="P4690" s="27" t="s">
        <v>6278</v>
      </c>
      <c r="Q4690" s="26" t="str">
        <f>HYPERLINK("https://ictv.global/taxonomy/taxondetails?taxnode_id=202507888&amp;ictv_id=ICTV201907888","ICTV201907888")</f>
        <v>ICTV201907888</v>
      </c>
      <c r="R4690" t="s">
        <v>579</v>
      </c>
      <c r="S4690" t="s">
        <v>824</v>
      </c>
      <c r="T4690">
        <v>37</v>
      </c>
      <c r="U4690" s="26" t="str">
        <f t="shared" si="180"/>
        <v>2021.010B.R.Binomial_names.zip</v>
      </c>
    </row>
    <row r="4691" spans="1:21">
      <c r="A4691">
        <v>4690</v>
      </c>
      <c r="B4691" s="27" t="s">
        <v>1449</v>
      </c>
      <c r="D4691" s="27" t="s">
        <v>1450</v>
      </c>
      <c r="F4691" s="27" t="s">
        <v>1453</v>
      </c>
      <c r="H4691" s="27" t="s">
        <v>1454</v>
      </c>
      <c r="M4691" s="27" t="s">
        <v>837</v>
      </c>
      <c r="N4691" s="27" t="s">
        <v>1318</v>
      </c>
      <c r="P4691" s="27" t="s">
        <v>6279</v>
      </c>
      <c r="Q4691" s="26" t="str">
        <f>HYPERLINK("https://ictv.global/taxonomy/taxondetails?taxnode_id=202510215&amp;ictv_id=ICTV202010215","ICTV202010215")</f>
        <v>ICTV202010215</v>
      </c>
      <c r="R4691" t="s">
        <v>579</v>
      </c>
      <c r="S4691" t="s">
        <v>824</v>
      </c>
      <c r="T4691">
        <v>37</v>
      </c>
      <c r="U4691" s="26" t="str">
        <f t="shared" si="180"/>
        <v>2021.010B.R.Binomial_names.zip</v>
      </c>
    </row>
    <row r="4692" spans="1:21">
      <c r="A4692">
        <v>4691</v>
      </c>
      <c r="B4692" s="27" t="s">
        <v>1449</v>
      </c>
      <c r="D4692" s="27" t="s">
        <v>1450</v>
      </c>
      <c r="F4692" s="27" t="s">
        <v>1453</v>
      </c>
      <c r="H4692" s="27" t="s">
        <v>1454</v>
      </c>
      <c r="M4692" s="27" t="s">
        <v>837</v>
      </c>
      <c r="N4692" s="27" t="s">
        <v>1318</v>
      </c>
      <c r="P4692" s="27" t="s">
        <v>6280</v>
      </c>
      <c r="Q4692" s="26" t="str">
        <f>HYPERLINK("https://ictv.global/taxonomy/taxondetails?taxnode_id=202505513&amp;ictv_id=ICTV20175513","ICTV20175513")</f>
        <v>ICTV20175513</v>
      </c>
      <c r="R4692" t="s">
        <v>579</v>
      </c>
      <c r="S4692" t="s">
        <v>824</v>
      </c>
      <c r="T4692">
        <v>37</v>
      </c>
      <c r="U4692" s="26" t="str">
        <f t="shared" si="180"/>
        <v>2021.010B.R.Binomial_names.zip</v>
      </c>
    </row>
    <row r="4693" spans="1:21">
      <c r="A4693">
        <v>4692</v>
      </c>
      <c r="B4693" s="27" t="s">
        <v>1449</v>
      </c>
      <c r="D4693" s="27" t="s">
        <v>1450</v>
      </c>
      <c r="F4693" s="27" t="s">
        <v>1453</v>
      </c>
      <c r="H4693" s="27" t="s">
        <v>1454</v>
      </c>
      <c r="M4693" s="27" t="s">
        <v>837</v>
      </c>
      <c r="N4693" s="27" t="s">
        <v>1318</v>
      </c>
      <c r="P4693" s="27" t="s">
        <v>6281</v>
      </c>
      <c r="Q4693" s="26" t="str">
        <f>HYPERLINK("https://ictv.global/taxonomy/taxondetails?taxnode_id=202505514&amp;ictv_id=ICTV20175514","ICTV20175514")</f>
        <v>ICTV20175514</v>
      </c>
      <c r="R4693" t="s">
        <v>579</v>
      </c>
      <c r="S4693" t="s">
        <v>824</v>
      </c>
      <c r="T4693">
        <v>37</v>
      </c>
      <c r="U4693" s="26" t="str">
        <f t="shared" si="180"/>
        <v>2021.010B.R.Binomial_names.zip</v>
      </c>
    </row>
    <row r="4694" spans="1:21">
      <c r="A4694">
        <v>4693</v>
      </c>
      <c r="B4694" s="27" t="s">
        <v>1449</v>
      </c>
      <c r="D4694" s="27" t="s">
        <v>1450</v>
      </c>
      <c r="F4694" s="27" t="s">
        <v>1453</v>
      </c>
      <c r="H4694" s="27" t="s">
        <v>1454</v>
      </c>
      <c r="M4694" s="27" t="s">
        <v>837</v>
      </c>
      <c r="N4694" s="27" t="s">
        <v>1318</v>
      </c>
      <c r="P4694" s="27" t="s">
        <v>6282</v>
      </c>
      <c r="Q4694" s="26" t="str">
        <f>HYPERLINK("https://ictv.global/taxonomy/taxondetails?taxnode_id=202505515&amp;ictv_id=ICTV20175515","ICTV20175515")</f>
        <v>ICTV20175515</v>
      </c>
      <c r="R4694" t="s">
        <v>579</v>
      </c>
      <c r="S4694" t="s">
        <v>824</v>
      </c>
      <c r="T4694">
        <v>37</v>
      </c>
      <c r="U4694" s="26" t="str">
        <f t="shared" si="180"/>
        <v>2021.010B.R.Binomial_names.zip</v>
      </c>
    </row>
    <row r="4695" spans="1:21">
      <c r="A4695">
        <v>4694</v>
      </c>
      <c r="B4695" s="27" t="s">
        <v>1449</v>
      </c>
      <c r="D4695" s="27" t="s">
        <v>1450</v>
      </c>
      <c r="F4695" s="27" t="s">
        <v>1453</v>
      </c>
      <c r="H4695" s="27" t="s">
        <v>1454</v>
      </c>
      <c r="M4695" s="27" t="s">
        <v>837</v>
      </c>
      <c r="N4695" s="27" t="s">
        <v>1318</v>
      </c>
      <c r="P4695" s="27" t="s">
        <v>6283</v>
      </c>
      <c r="Q4695" s="26" t="str">
        <f>HYPERLINK("https://ictv.global/taxonomy/taxondetails?taxnode_id=202505516&amp;ictv_id=ICTV20175516","ICTV20175516")</f>
        <v>ICTV20175516</v>
      </c>
      <c r="R4695" t="s">
        <v>579</v>
      </c>
      <c r="S4695" t="s">
        <v>824</v>
      </c>
      <c r="T4695">
        <v>37</v>
      </c>
      <c r="U4695" s="26" t="str">
        <f t="shared" si="180"/>
        <v>2021.010B.R.Binomial_names.zip</v>
      </c>
    </row>
    <row r="4696" spans="1:21">
      <c r="A4696">
        <v>4695</v>
      </c>
      <c r="B4696" s="27" t="s">
        <v>1449</v>
      </c>
      <c r="D4696" s="27" t="s">
        <v>1450</v>
      </c>
      <c r="F4696" s="27" t="s">
        <v>1453</v>
      </c>
      <c r="H4696" s="27" t="s">
        <v>1454</v>
      </c>
      <c r="M4696" s="27" t="s">
        <v>837</v>
      </c>
      <c r="N4696" s="27" t="s">
        <v>1318</v>
      </c>
      <c r="P4696" s="27" t="s">
        <v>6284</v>
      </c>
      <c r="Q4696" s="26" t="str">
        <f>HYPERLINK("https://ictv.global/taxonomy/taxondetails?taxnode_id=202505518&amp;ictv_id=ICTV20175518","ICTV20175518")</f>
        <v>ICTV20175518</v>
      </c>
      <c r="R4696" t="s">
        <v>579</v>
      </c>
      <c r="S4696" t="s">
        <v>824</v>
      </c>
      <c r="T4696">
        <v>37</v>
      </c>
      <c r="U4696" s="26" t="str">
        <f t="shared" si="180"/>
        <v>2021.010B.R.Binomial_names.zip</v>
      </c>
    </row>
    <row r="4697" spans="1:21">
      <c r="A4697">
        <v>4696</v>
      </c>
      <c r="B4697" s="27" t="s">
        <v>1449</v>
      </c>
      <c r="D4697" s="27" t="s">
        <v>1450</v>
      </c>
      <c r="F4697" s="27" t="s">
        <v>1453</v>
      </c>
      <c r="H4697" s="27" t="s">
        <v>1454</v>
      </c>
      <c r="M4697" s="27" t="s">
        <v>837</v>
      </c>
      <c r="N4697" s="27" t="s">
        <v>1318</v>
      </c>
      <c r="P4697" s="27" t="s">
        <v>6285</v>
      </c>
      <c r="Q4697" s="26" t="str">
        <f>HYPERLINK("https://ictv.global/taxonomy/taxondetails?taxnode_id=202510214&amp;ictv_id=ICTV202010214","ICTV202010214")</f>
        <v>ICTV202010214</v>
      </c>
      <c r="R4697" t="s">
        <v>579</v>
      </c>
      <c r="S4697" t="s">
        <v>824</v>
      </c>
      <c r="T4697">
        <v>37</v>
      </c>
      <c r="U4697" s="26" t="str">
        <f t="shared" si="180"/>
        <v>2021.010B.R.Binomial_names.zip</v>
      </c>
    </row>
    <row r="4698" spans="1:21">
      <c r="A4698">
        <v>4697</v>
      </c>
      <c r="B4698" s="27" t="s">
        <v>1449</v>
      </c>
      <c r="D4698" s="27" t="s">
        <v>1450</v>
      </c>
      <c r="F4698" s="27" t="s">
        <v>1453</v>
      </c>
      <c r="H4698" s="27" t="s">
        <v>1454</v>
      </c>
      <c r="M4698" s="27" t="s">
        <v>837</v>
      </c>
      <c r="N4698" s="27" t="s">
        <v>1319</v>
      </c>
      <c r="P4698" s="27" t="s">
        <v>6286</v>
      </c>
      <c r="Q4698" s="26" t="str">
        <f>HYPERLINK("https://ictv.global/taxonomy/taxondetails?taxnode_id=202510216&amp;ictv_id=ICTV202010216","ICTV202010216")</f>
        <v>ICTV202010216</v>
      </c>
      <c r="R4698" t="s">
        <v>579</v>
      </c>
      <c r="S4698" t="s">
        <v>824</v>
      </c>
      <c r="T4698">
        <v>37</v>
      </c>
      <c r="U4698" s="26" t="str">
        <f t="shared" si="180"/>
        <v>2021.010B.R.Binomial_names.zip</v>
      </c>
    </row>
    <row r="4699" spans="1:21">
      <c r="A4699">
        <v>4698</v>
      </c>
      <c r="B4699" s="27" t="s">
        <v>1449</v>
      </c>
      <c r="D4699" s="27" t="s">
        <v>1450</v>
      </c>
      <c r="F4699" s="27" t="s">
        <v>1453</v>
      </c>
      <c r="H4699" s="27" t="s">
        <v>1454</v>
      </c>
      <c r="M4699" s="27" t="s">
        <v>837</v>
      </c>
      <c r="N4699" s="27" t="s">
        <v>1319</v>
      </c>
      <c r="P4699" s="27" t="s">
        <v>6287</v>
      </c>
      <c r="Q4699" s="26" t="str">
        <f>HYPERLINK("https://ictv.global/taxonomy/taxondetails?taxnode_id=202505524&amp;ictv_id=ICTV20175524","ICTV20175524")</f>
        <v>ICTV20175524</v>
      </c>
      <c r="R4699" t="s">
        <v>579</v>
      </c>
      <c r="S4699" t="s">
        <v>824</v>
      </c>
      <c r="T4699">
        <v>37</v>
      </c>
      <c r="U4699" s="26" t="str">
        <f t="shared" si="180"/>
        <v>2021.010B.R.Binomial_names.zip</v>
      </c>
    </row>
    <row r="4700" spans="1:21">
      <c r="A4700">
        <v>4699</v>
      </c>
      <c r="B4700" s="27" t="s">
        <v>1449</v>
      </c>
      <c r="D4700" s="27" t="s">
        <v>1450</v>
      </c>
      <c r="F4700" s="27" t="s">
        <v>1453</v>
      </c>
      <c r="H4700" s="27" t="s">
        <v>1454</v>
      </c>
      <c r="M4700" s="27" t="s">
        <v>837</v>
      </c>
      <c r="N4700" s="27" t="s">
        <v>1319</v>
      </c>
      <c r="P4700" s="27" t="s">
        <v>6288</v>
      </c>
      <c r="Q4700" s="26" t="str">
        <f>HYPERLINK("https://ictv.global/taxonomy/taxondetails?taxnode_id=202505521&amp;ictv_id=ICTV20175521","ICTV20175521")</f>
        <v>ICTV20175521</v>
      </c>
      <c r="R4700" t="s">
        <v>579</v>
      </c>
      <c r="S4700" t="s">
        <v>824</v>
      </c>
      <c r="T4700">
        <v>37</v>
      </c>
      <c r="U4700" s="26" t="str">
        <f t="shared" si="180"/>
        <v>2021.010B.R.Binomial_names.zip</v>
      </c>
    </row>
    <row r="4701" spans="1:21">
      <c r="A4701">
        <v>4700</v>
      </c>
      <c r="B4701" s="27" t="s">
        <v>1449</v>
      </c>
      <c r="D4701" s="27" t="s">
        <v>1450</v>
      </c>
      <c r="F4701" s="27" t="s">
        <v>1453</v>
      </c>
      <c r="H4701" s="27" t="s">
        <v>1454</v>
      </c>
      <c r="M4701" s="27" t="s">
        <v>837</v>
      </c>
      <c r="N4701" s="27" t="s">
        <v>1319</v>
      </c>
      <c r="P4701" s="27" t="s">
        <v>6289</v>
      </c>
      <c r="Q4701" s="26" t="str">
        <f>HYPERLINK("https://ictv.global/taxonomy/taxondetails?taxnode_id=202505522&amp;ictv_id=ICTV20175522","ICTV20175522")</f>
        <v>ICTV20175522</v>
      </c>
      <c r="R4701" t="s">
        <v>579</v>
      </c>
      <c r="S4701" t="s">
        <v>824</v>
      </c>
      <c r="T4701">
        <v>37</v>
      </c>
      <c r="U4701" s="26" t="str">
        <f t="shared" si="180"/>
        <v>2021.010B.R.Binomial_names.zip</v>
      </c>
    </row>
    <row r="4702" spans="1:21">
      <c r="A4702">
        <v>4701</v>
      </c>
      <c r="B4702" s="27" t="s">
        <v>1449</v>
      </c>
      <c r="D4702" s="27" t="s">
        <v>1450</v>
      </c>
      <c r="F4702" s="27" t="s">
        <v>1453</v>
      </c>
      <c r="H4702" s="27" t="s">
        <v>1454</v>
      </c>
      <c r="M4702" s="27" t="s">
        <v>837</v>
      </c>
      <c r="N4702" s="27" t="s">
        <v>1319</v>
      </c>
      <c r="P4702" s="27" t="s">
        <v>6290</v>
      </c>
      <c r="Q4702" s="26" t="str">
        <f>HYPERLINK("https://ictv.global/taxonomy/taxondetails?taxnode_id=202505520&amp;ictv_id=ICTV20175520","ICTV20175520")</f>
        <v>ICTV20175520</v>
      </c>
      <c r="R4702" t="s">
        <v>579</v>
      </c>
      <c r="S4702" t="s">
        <v>824</v>
      </c>
      <c r="T4702">
        <v>37</v>
      </c>
      <c r="U4702" s="26" t="str">
        <f t="shared" si="180"/>
        <v>2021.010B.R.Binomial_names.zip</v>
      </c>
    </row>
    <row r="4703" spans="1:21">
      <c r="A4703">
        <v>4702</v>
      </c>
      <c r="B4703" s="27" t="s">
        <v>1449</v>
      </c>
      <c r="D4703" s="27" t="s">
        <v>1450</v>
      </c>
      <c r="F4703" s="27" t="s">
        <v>1453</v>
      </c>
      <c r="H4703" s="27" t="s">
        <v>1454</v>
      </c>
      <c r="M4703" s="27" t="s">
        <v>19798</v>
      </c>
      <c r="N4703" s="27" t="s">
        <v>19799</v>
      </c>
      <c r="P4703" s="27" t="s">
        <v>19800</v>
      </c>
      <c r="Q4703" s="26" t="str">
        <f>HYPERLINK("https://ictv.global/taxonomy/taxondetails?taxnode_id=202520799&amp;ictv_id=ICTV202420799","ICTV202420799")</f>
        <v>ICTV202420799</v>
      </c>
      <c r="R4703" t="s">
        <v>579</v>
      </c>
      <c r="S4703" t="s">
        <v>823</v>
      </c>
      <c r="T4703">
        <v>40</v>
      </c>
      <c r="U4703" s="26" t="str">
        <f t="shared" ref="U4703:U4727" si="181">HYPERLINK("https://ictv.global/ictv/proposals/2024.023B.Mcshanvirinae_1nsf_3ng_25ns.zip","2024.023B.Mcshanvirinae_1nsf_3ng_25ns.zip")</f>
        <v>2024.023B.Mcshanvirinae_1nsf_3ng_25ns.zip</v>
      </c>
    </row>
    <row r="4704" spans="1:21">
      <c r="A4704">
        <v>4703</v>
      </c>
      <c r="B4704" s="27" t="s">
        <v>1449</v>
      </c>
      <c r="D4704" s="27" t="s">
        <v>1450</v>
      </c>
      <c r="F4704" s="27" t="s">
        <v>1453</v>
      </c>
      <c r="H4704" s="27" t="s">
        <v>1454</v>
      </c>
      <c r="M4704" s="27" t="s">
        <v>19798</v>
      </c>
      <c r="N4704" s="27" t="s">
        <v>19799</v>
      </c>
      <c r="P4704" s="27" t="s">
        <v>19801</v>
      </c>
      <c r="Q4704" s="26" t="str">
        <f>HYPERLINK("https://ictv.global/taxonomy/taxondetails?taxnode_id=202520795&amp;ictv_id=ICTV202420795","ICTV202420795")</f>
        <v>ICTV202420795</v>
      </c>
      <c r="R4704" t="s">
        <v>579</v>
      </c>
      <c r="S4704" t="s">
        <v>823</v>
      </c>
      <c r="T4704">
        <v>40</v>
      </c>
      <c r="U4704" s="26" t="str">
        <f t="shared" si="181"/>
        <v>2024.023B.Mcshanvirinae_1nsf_3ng_25ns.zip</v>
      </c>
    </row>
    <row r="4705" spans="1:21">
      <c r="A4705">
        <v>4704</v>
      </c>
      <c r="B4705" s="27" t="s">
        <v>1449</v>
      </c>
      <c r="D4705" s="27" t="s">
        <v>1450</v>
      </c>
      <c r="F4705" s="27" t="s">
        <v>1453</v>
      </c>
      <c r="H4705" s="27" t="s">
        <v>1454</v>
      </c>
      <c r="M4705" s="27" t="s">
        <v>19798</v>
      </c>
      <c r="N4705" s="27" t="s">
        <v>19799</v>
      </c>
      <c r="P4705" s="27" t="s">
        <v>19802</v>
      </c>
      <c r="Q4705" s="26" t="str">
        <f>HYPERLINK("https://ictv.global/taxonomy/taxondetails?taxnode_id=202520800&amp;ictv_id=ICTV202420800","ICTV202420800")</f>
        <v>ICTV202420800</v>
      </c>
      <c r="R4705" t="s">
        <v>579</v>
      </c>
      <c r="S4705" t="s">
        <v>823</v>
      </c>
      <c r="T4705">
        <v>40</v>
      </c>
      <c r="U4705" s="26" t="str">
        <f t="shared" si="181"/>
        <v>2024.023B.Mcshanvirinae_1nsf_3ng_25ns.zip</v>
      </c>
    </row>
    <row r="4706" spans="1:21">
      <c r="A4706">
        <v>4705</v>
      </c>
      <c r="B4706" s="27" t="s">
        <v>1449</v>
      </c>
      <c r="D4706" s="27" t="s">
        <v>1450</v>
      </c>
      <c r="F4706" s="27" t="s">
        <v>1453</v>
      </c>
      <c r="H4706" s="27" t="s">
        <v>1454</v>
      </c>
      <c r="M4706" s="27" t="s">
        <v>19798</v>
      </c>
      <c r="N4706" s="27" t="s">
        <v>19799</v>
      </c>
      <c r="P4706" s="27" t="s">
        <v>19803</v>
      </c>
      <c r="Q4706" s="26" t="str">
        <f>HYPERLINK("https://ictv.global/taxonomy/taxondetails?taxnode_id=202520797&amp;ictv_id=ICTV202420797","ICTV202420797")</f>
        <v>ICTV202420797</v>
      </c>
      <c r="R4706" t="s">
        <v>579</v>
      </c>
      <c r="S4706" t="s">
        <v>823</v>
      </c>
      <c r="T4706">
        <v>40</v>
      </c>
      <c r="U4706" s="26" t="str">
        <f t="shared" si="181"/>
        <v>2024.023B.Mcshanvirinae_1nsf_3ng_25ns.zip</v>
      </c>
    </row>
    <row r="4707" spans="1:21">
      <c r="A4707">
        <v>4706</v>
      </c>
      <c r="B4707" s="27" t="s">
        <v>1449</v>
      </c>
      <c r="D4707" s="27" t="s">
        <v>1450</v>
      </c>
      <c r="F4707" s="27" t="s">
        <v>1453</v>
      </c>
      <c r="H4707" s="27" t="s">
        <v>1454</v>
      </c>
      <c r="M4707" s="27" t="s">
        <v>19798</v>
      </c>
      <c r="N4707" s="27" t="s">
        <v>19799</v>
      </c>
      <c r="P4707" s="27" t="s">
        <v>19804</v>
      </c>
      <c r="Q4707" s="26" t="str">
        <f>HYPERLINK("https://ictv.global/taxonomy/taxondetails?taxnode_id=202520801&amp;ictv_id=ICTV202420801","ICTV202420801")</f>
        <v>ICTV202420801</v>
      </c>
      <c r="R4707" t="s">
        <v>579</v>
      </c>
      <c r="S4707" t="s">
        <v>823</v>
      </c>
      <c r="T4707">
        <v>40</v>
      </c>
      <c r="U4707" s="26" t="str">
        <f t="shared" si="181"/>
        <v>2024.023B.Mcshanvirinae_1nsf_3ng_25ns.zip</v>
      </c>
    </row>
    <row r="4708" spans="1:21">
      <c r="A4708">
        <v>4707</v>
      </c>
      <c r="B4708" s="27" t="s">
        <v>1449</v>
      </c>
      <c r="D4708" s="27" t="s">
        <v>1450</v>
      </c>
      <c r="F4708" s="27" t="s">
        <v>1453</v>
      </c>
      <c r="H4708" s="27" t="s">
        <v>1454</v>
      </c>
      <c r="M4708" s="27" t="s">
        <v>19798</v>
      </c>
      <c r="N4708" s="27" t="s">
        <v>19799</v>
      </c>
      <c r="P4708" s="27" t="s">
        <v>19805</v>
      </c>
      <c r="Q4708" s="26" t="str">
        <f>HYPERLINK("https://ictv.global/taxonomy/taxondetails?taxnode_id=202520796&amp;ictv_id=ICTV202420796","ICTV202420796")</f>
        <v>ICTV202420796</v>
      </c>
      <c r="R4708" t="s">
        <v>579</v>
      </c>
      <c r="S4708" t="s">
        <v>823</v>
      </c>
      <c r="T4708">
        <v>40</v>
      </c>
      <c r="U4708" s="26" t="str">
        <f t="shared" si="181"/>
        <v>2024.023B.Mcshanvirinae_1nsf_3ng_25ns.zip</v>
      </c>
    </row>
    <row r="4709" spans="1:21">
      <c r="A4709">
        <v>4708</v>
      </c>
      <c r="B4709" s="27" t="s">
        <v>1449</v>
      </c>
      <c r="D4709" s="27" t="s">
        <v>1450</v>
      </c>
      <c r="F4709" s="27" t="s">
        <v>1453</v>
      </c>
      <c r="H4709" s="27" t="s">
        <v>1454</v>
      </c>
      <c r="M4709" s="27" t="s">
        <v>19798</v>
      </c>
      <c r="N4709" s="27" t="s">
        <v>19799</v>
      </c>
      <c r="P4709" s="27" t="s">
        <v>19806</v>
      </c>
      <c r="Q4709" s="26" t="str">
        <f>HYPERLINK("https://ictv.global/taxonomy/taxondetails?taxnode_id=202520798&amp;ictv_id=ICTV202420798","ICTV202420798")</f>
        <v>ICTV202420798</v>
      </c>
      <c r="R4709" t="s">
        <v>579</v>
      </c>
      <c r="S4709" t="s">
        <v>823</v>
      </c>
      <c r="T4709">
        <v>40</v>
      </c>
      <c r="U4709" s="26" t="str">
        <f t="shared" si="181"/>
        <v>2024.023B.Mcshanvirinae_1nsf_3ng_25ns.zip</v>
      </c>
    </row>
    <row r="4710" spans="1:21">
      <c r="A4710">
        <v>4709</v>
      </c>
      <c r="B4710" s="27" t="s">
        <v>1449</v>
      </c>
      <c r="D4710" s="27" t="s">
        <v>1450</v>
      </c>
      <c r="F4710" s="27" t="s">
        <v>1453</v>
      </c>
      <c r="H4710" s="27" t="s">
        <v>1454</v>
      </c>
      <c r="M4710" s="27" t="s">
        <v>19798</v>
      </c>
      <c r="N4710" s="27" t="s">
        <v>19799</v>
      </c>
      <c r="P4710" s="27" t="s">
        <v>19807</v>
      </c>
      <c r="Q4710" s="26" t="str">
        <f>HYPERLINK("https://ictv.global/taxonomy/taxondetails?taxnode_id=202520794&amp;ictv_id=ICTV202420794","ICTV202420794")</f>
        <v>ICTV202420794</v>
      </c>
      <c r="R4710" t="s">
        <v>579</v>
      </c>
      <c r="S4710" t="s">
        <v>823</v>
      </c>
      <c r="T4710">
        <v>40</v>
      </c>
      <c r="U4710" s="26" t="str">
        <f t="shared" si="181"/>
        <v>2024.023B.Mcshanvirinae_1nsf_3ng_25ns.zip</v>
      </c>
    </row>
    <row r="4711" spans="1:21">
      <c r="A4711">
        <v>4710</v>
      </c>
      <c r="B4711" s="27" t="s">
        <v>1449</v>
      </c>
      <c r="D4711" s="27" t="s">
        <v>1450</v>
      </c>
      <c r="F4711" s="27" t="s">
        <v>1453</v>
      </c>
      <c r="H4711" s="27" t="s">
        <v>1454</v>
      </c>
      <c r="M4711" s="27" t="s">
        <v>19798</v>
      </c>
      <c r="N4711" s="27" t="s">
        <v>19808</v>
      </c>
      <c r="P4711" s="27" t="s">
        <v>19809</v>
      </c>
      <c r="Q4711" s="26" t="str">
        <f>HYPERLINK("https://ictv.global/taxonomy/taxondetails?taxnode_id=202520812&amp;ictv_id=ICTV202420812","ICTV202420812")</f>
        <v>ICTV202420812</v>
      </c>
      <c r="R4711" t="s">
        <v>579</v>
      </c>
      <c r="S4711" t="s">
        <v>823</v>
      </c>
      <c r="T4711">
        <v>40</v>
      </c>
      <c r="U4711" s="26" t="str">
        <f t="shared" si="181"/>
        <v>2024.023B.Mcshanvirinae_1nsf_3ng_25ns.zip</v>
      </c>
    </row>
    <row r="4712" spans="1:21">
      <c r="A4712">
        <v>4711</v>
      </c>
      <c r="B4712" s="27" t="s">
        <v>1449</v>
      </c>
      <c r="D4712" s="27" t="s">
        <v>1450</v>
      </c>
      <c r="F4712" s="27" t="s">
        <v>1453</v>
      </c>
      <c r="H4712" s="27" t="s">
        <v>1454</v>
      </c>
      <c r="M4712" s="27" t="s">
        <v>19798</v>
      </c>
      <c r="N4712" s="27" t="s">
        <v>19808</v>
      </c>
      <c r="P4712" s="27" t="s">
        <v>19810</v>
      </c>
      <c r="Q4712" s="26" t="str">
        <f>HYPERLINK("https://ictv.global/taxonomy/taxondetails?taxnode_id=202520809&amp;ictv_id=ICTV202420809","ICTV202420809")</f>
        <v>ICTV202420809</v>
      </c>
      <c r="R4712" t="s">
        <v>579</v>
      </c>
      <c r="S4712" t="s">
        <v>823</v>
      </c>
      <c r="T4712">
        <v>40</v>
      </c>
      <c r="U4712" s="26" t="str">
        <f t="shared" si="181"/>
        <v>2024.023B.Mcshanvirinae_1nsf_3ng_25ns.zip</v>
      </c>
    </row>
    <row r="4713" spans="1:21">
      <c r="A4713">
        <v>4712</v>
      </c>
      <c r="B4713" s="27" t="s">
        <v>1449</v>
      </c>
      <c r="D4713" s="27" t="s">
        <v>1450</v>
      </c>
      <c r="F4713" s="27" t="s">
        <v>1453</v>
      </c>
      <c r="H4713" s="27" t="s">
        <v>1454</v>
      </c>
      <c r="M4713" s="27" t="s">
        <v>19798</v>
      </c>
      <c r="N4713" s="27" t="s">
        <v>19808</v>
      </c>
      <c r="P4713" s="27" t="s">
        <v>19811</v>
      </c>
      <c r="Q4713" s="26" t="str">
        <f>HYPERLINK("https://ictv.global/taxonomy/taxondetails?taxnode_id=202520802&amp;ictv_id=ICTV202420802","ICTV202420802")</f>
        <v>ICTV202420802</v>
      </c>
      <c r="R4713" t="s">
        <v>579</v>
      </c>
      <c r="S4713" t="s">
        <v>823</v>
      </c>
      <c r="T4713">
        <v>40</v>
      </c>
      <c r="U4713" s="26" t="str">
        <f t="shared" si="181"/>
        <v>2024.023B.Mcshanvirinae_1nsf_3ng_25ns.zip</v>
      </c>
    </row>
    <row r="4714" spans="1:21">
      <c r="A4714">
        <v>4713</v>
      </c>
      <c r="B4714" s="27" t="s">
        <v>1449</v>
      </c>
      <c r="D4714" s="27" t="s">
        <v>1450</v>
      </c>
      <c r="F4714" s="27" t="s">
        <v>1453</v>
      </c>
      <c r="H4714" s="27" t="s">
        <v>1454</v>
      </c>
      <c r="M4714" s="27" t="s">
        <v>19798</v>
      </c>
      <c r="N4714" s="27" t="s">
        <v>19808</v>
      </c>
      <c r="P4714" s="27" t="s">
        <v>19812</v>
      </c>
      <c r="Q4714" s="26" t="str">
        <f>HYPERLINK("https://ictv.global/taxonomy/taxondetails?taxnode_id=202520814&amp;ictv_id=ICTV202420814","ICTV202420814")</f>
        <v>ICTV202420814</v>
      </c>
      <c r="R4714" t="s">
        <v>579</v>
      </c>
      <c r="S4714" t="s">
        <v>823</v>
      </c>
      <c r="T4714">
        <v>40</v>
      </c>
      <c r="U4714" s="26" t="str">
        <f t="shared" si="181"/>
        <v>2024.023B.Mcshanvirinae_1nsf_3ng_25ns.zip</v>
      </c>
    </row>
    <row r="4715" spans="1:21">
      <c r="A4715">
        <v>4714</v>
      </c>
      <c r="B4715" s="27" t="s">
        <v>1449</v>
      </c>
      <c r="D4715" s="27" t="s">
        <v>1450</v>
      </c>
      <c r="F4715" s="27" t="s">
        <v>1453</v>
      </c>
      <c r="H4715" s="27" t="s">
        <v>1454</v>
      </c>
      <c r="M4715" s="27" t="s">
        <v>19798</v>
      </c>
      <c r="N4715" s="27" t="s">
        <v>19808</v>
      </c>
      <c r="P4715" s="27" t="s">
        <v>19813</v>
      </c>
      <c r="Q4715" s="26" t="str">
        <f>HYPERLINK("https://ictv.global/taxonomy/taxondetails?taxnode_id=202520804&amp;ictv_id=ICTV202420804","ICTV202420804")</f>
        <v>ICTV202420804</v>
      </c>
      <c r="R4715" t="s">
        <v>579</v>
      </c>
      <c r="S4715" t="s">
        <v>823</v>
      </c>
      <c r="T4715">
        <v>40</v>
      </c>
      <c r="U4715" s="26" t="str">
        <f t="shared" si="181"/>
        <v>2024.023B.Mcshanvirinae_1nsf_3ng_25ns.zip</v>
      </c>
    </row>
    <row r="4716" spans="1:21">
      <c r="A4716">
        <v>4715</v>
      </c>
      <c r="B4716" s="27" t="s">
        <v>1449</v>
      </c>
      <c r="D4716" s="27" t="s">
        <v>1450</v>
      </c>
      <c r="F4716" s="27" t="s">
        <v>1453</v>
      </c>
      <c r="H4716" s="27" t="s">
        <v>1454</v>
      </c>
      <c r="M4716" s="27" t="s">
        <v>19798</v>
      </c>
      <c r="N4716" s="27" t="s">
        <v>19808</v>
      </c>
      <c r="P4716" s="27" t="s">
        <v>19814</v>
      </c>
      <c r="Q4716" s="26" t="str">
        <f>HYPERLINK("https://ictv.global/taxonomy/taxondetails?taxnode_id=202520811&amp;ictv_id=ICTV202420811","ICTV202420811")</f>
        <v>ICTV202420811</v>
      </c>
      <c r="R4716" t="s">
        <v>579</v>
      </c>
      <c r="S4716" t="s">
        <v>823</v>
      </c>
      <c r="T4716">
        <v>40</v>
      </c>
      <c r="U4716" s="26" t="str">
        <f t="shared" si="181"/>
        <v>2024.023B.Mcshanvirinae_1nsf_3ng_25ns.zip</v>
      </c>
    </row>
    <row r="4717" spans="1:21">
      <c r="A4717">
        <v>4716</v>
      </c>
      <c r="B4717" s="27" t="s">
        <v>1449</v>
      </c>
      <c r="D4717" s="27" t="s">
        <v>1450</v>
      </c>
      <c r="F4717" s="27" t="s">
        <v>1453</v>
      </c>
      <c r="H4717" s="27" t="s">
        <v>1454</v>
      </c>
      <c r="M4717" s="27" t="s">
        <v>19798</v>
      </c>
      <c r="N4717" s="27" t="s">
        <v>19808</v>
      </c>
      <c r="P4717" s="27" t="s">
        <v>19815</v>
      </c>
      <c r="Q4717" s="26" t="str">
        <f>HYPERLINK("https://ictv.global/taxonomy/taxondetails?taxnode_id=202520806&amp;ictv_id=ICTV202420806","ICTV202420806")</f>
        <v>ICTV202420806</v>
      </c>
      <c r="R4717" t="s">
        <v>579</v>
      </c>
      <c r="S4717" t="s">
        <v>823</v>
      </c>
      <c r="T4717">
        <v>40</v>
      </c>
      <c r="U4717" s="26" t="str">
        <f t="shared" si="181"/>
        <v>2024.023B.Mcshanvirinae_1nsf_3ng_25ns.zip</v>
      </c>
    </row>
    <row r="4718" spans="1:21">
      <c r="A4718">
        <v>4717</v>
      </c>
      <c r="B4718" s="27" t="s">
        <v>1449</v>
      </c>
      <c r="D4718" s="27" t="s">
        <v>1450</v>
      </c>
      <c r="F4718" s="27" t="s">
        <v>1453</v>
      </c>
      <c r="H4718" s="27" t="s">
        <v>1454</v>
      </c>
      <c r="M4718" s="27" t="s">
        <v>19798</v>
      </c>
      <c r="N4718" s="27" t="s">
        <v>19808</v>
      </c>
      <c r="P4718" s="27" t="s">
        <v>19816</v>
      </c>
      <c r="Q4718" s="26" t="str">
        <f>HYPERLINK("https://ictv.global/taxonomy/taxondetails?taxnode_id=202520807&amp;ictv_id=ICTV202420807","ICTV202420807")</f>
        <v>ICTV202420807</v>
      </c>
      <c r="R4718" t="s">
        <v>579</v>
      </c>
      <c r="S4718" t="s">
        <v>823</v>
      </c>
      <c r="T4718">
        <v>40</v>
      </c>
      <c r="U4718" s="26" t="str">
        <f t="shared" si="181"/>
        <v>2024.023B.Mcshanvirinae_1nsf_3ng_25ns.zip</v>
      </c>
    </row>
    <row r="4719" spans="1:21">
      <c r="A4719">
        <v>4718</v>
      </c>
      <c r="B4719" s="27" t="s">
        <v>1449</v>
      </c>
      <c r="D4719" s="27" t="s">
        <v>1450</v>
      </c>
      <c r="F4719" s="27" t="s">
        <v>1453</v>
      </c>
      <c r="H4719" s="27" t="s">
        <v>1454</v>
      </c>
      <c r="M4719" s="27" t="s">
        <v>19798</v>
      </c>
      <c r="N4719" s="27" t="s">
        <v>19808</v>
      </c>
      <c r="P4719" s="27" t="s">
        <v>19817</v>
      </c>
      <c r="Q4719" s="26" t="str">
        <f>HYPERLINK("https://ictv.global/taxonomy/taxondetails?taxnode_id=202520803&amp;ictv_id=ICTV202420803","ICTV202420803")</f>
        <v>ICTV202420803</v>
      </c>
      <c r="R4719" t="s">
        <v>579</v>
      </c>
      <c r="S4719" t="s">
        <v>823</v>
      </c>
      <c r="T4719">
        <v>40</v>
      </c>
      <c r="U4719" s="26" t="str">
        <f t="shared" si="181"/>
        <v>2024.023B.Mcshanvirinae_1nsf_3ng_25ns.zip</v>
      </c>
    </row>
    <row r="4720" spans="1:21">
      <c r="A4720">
        <v>4719</v>
      </c>
      <c r="B4720" s="27" t="s">
        <v>1449</v>
      </c>
      <c r="D4720" s="27" t="s">
        <v>1450</v>
      </c>
      <c r="F4720" s="27" t="s">
        <v>1453</v>
      </c>
      <c r="H4720" s="27" t="s">
        <v>1454</v>
      </c>
      <c r="M4720" s="27" t="s">
        <v>19798</v>
      </c>
      <c r="N4720" s="27" t="s">
        <v>19808</v>
      </c>
      <c r="P4720" s="27" t="s">
        <v>19818</v>
      </c>
      <c r="Q4720" s="26" t="str">
        <f>HYPERLINK("https://ictv.global/taxonomy/taxondetails?taxnode_id=202520815&amp;ictv_id=ICTV202420815","ICTV202420815")</f>
        <v>ICTV202420815</v>
      </c>
      <c r="R4720" t="s">
        <v>579</v>
      </c>
      <c r="S4720" t="s">
        <v>823</v>
      </c>
      <c r="T4720">
        <v>40</v>
      </c>
      <c r="U4720" s="26" t="str">
        <f t="shared" si="181"/>
        <v>2024.023B.Mcshanvirinae_1nsf_3ng_25ns.zip</v>
      </c>
    </row>
    <row r="4721" spans="1:21">
      <c r="A4721">
        <v>4720</v>
      </c>
      <c r="B4721" s="27" t="s">
        <v>1449</v>
      </c>
      <c r="D4721" s="27" t="s">
        <v>1450</v>
      </c>
      <c r="F4721" s="27" t="s">
        <v>1453</v>
      </c>
      <c r="H4721" s="27" t="s">
        <v>1454</v>
      </c>
      <c r="M4721" s="27" t="s">
        <v>19798</v>
      </c>
      <c r="N4721" s="27" t="s">
        <v>19808</v>
      </c>
      <c r="P4721" s="27" t="s">
        <v>19819</v>
      </c>
      <c r="Q4721" s="26" t="str">
        <f>HYPERLINK("https://ictv.global/taxonomy/taxondetails?taxnode_id=202520810&amp;ictv_id=ICTV202420810","ICTV202420810")</f>
        <v>ICTV202420810</v>
      </c>
      <c r="R4721" t="s">
        <v>579</v>
      </c>
      <c r="S4721" t="s">
        <v>823</v>
      </c>
      <c r="T4721">
        <v>40</v>
      </c>
      <c r="U4721" s="26" t="str">
        <f t="shared" si="181"/>
        <v>2024.023B.Mcshanvirinae_1nsf_3ng_25ns.zip</v>
      </c>
    </row>
    <row r="4722" spans="1:21">
      <c r="A4722">
        <v>4721</v>
      </c>
      <c r="B4722" s="27" t="s">
        <v>1449</v>
      </c>
      <c r="D4722" s="27" t="s">
        <v>1450</v>
      </c>
      <c r="F4722" s="27" t="s">
        <v>1453</v>
      </c>
      <c r="H4722" s="27" t="s">
        <v>1454</v>
      </c>
      <c r="M4722" s="27" t="s">
        <v>19798</v>
      </c>
      <c r="N4722" s="27" t="s">
        <v>19808</v>
      </c>
      <c r="P4722" s="27" t="s">
        <v>19820</v>
      </c>
      <c r="Q4722" s="26" t="str">
        <f>HYPERLINK("https://ictv.global/taxonomy/taxondetails?taxnode_id=202520808&amp;ictv_id=ICTV202420808","ICTV202420808")</f>
        <v>ICTV202420808</v>
      </c>
      <c r="R4722" t="s">
        <v>579</v>
      </c>
      <c r="S4722" t="s">
        <v>823</v>
      </c>
      <c r="T4722">
        <v>40</v>
      </c>
      <c r="U4722" s="26" t="str">
        <f t="shared" si="181"/>
        <v>2024.023B.Mcshanvirinae_1nsf_3ng_25ns.zip</v>
      </c>
    </row>
    <row r="4723" spans="1:21">
      <c r="A4723">
        <v>4722</v>
      </c>
      <c r="B4723" s="27" t="s">
        <v>1449</v>
      </c>
      <c r="D4723" s="27" t="s">
        <v>1450</v>
      </c>
      <c r="F4723" s="27" t="s">
        <v>1453</v>
      </c>
      <c r="H4723" s="27" t="s">
        <v>1454</v>
      </c>
      <c r="M4723" s="27" t="s">
        <v>19798</v>
      </c>
      <c r="N4723" s="27" t="s">
        <v>19808</v>
      </c>
      <c r="P4723" s="27" t="s">
        <v>19821</v>
      </c>
      <c r="Q4723" s="26" t="str">
        <f>HYPERLINK("https://ictv.global/taxonomy/taxondetails?taxnode_id=202520805&amp;ictv_id=ICTV202420805","ICTV202420805")</f>
        <v>ICTV202420805</v>
      </c>
      <c r="R4723" t="s">
        <v>579</v>
      </c>
      <c r="S4723" t="s">
        <v>823</v>
      </c>
      <c r="T4723">
        <v>40</v>
      </c>
      <c r="U4723" s="26" t="str">
        <f t="shared" si="181"/>
        <v>2024.023B.Mcshanvirinae_1nsf_3ng_25ns.zip</v>
      </c>
    </row>
    <row r="4724" spans="1:21">
      <c r="A4724">
        <v>4723</v>
      </c>
      <c r="B4724" s="27" t="s">
        <v>1449</v>
      </c>
      <c r="D4724" s="27" t="s">
        <v>1450</v>
      </c>
      <c r="F4724" s="27" t="s">
        <v>1453</v>
      </c>
      <c r="H4724" s="27" t="s">
        <v>1454</v>
      </c>
      <c r="M4724" s="27" t="s">
        <v>19798</v>
      </c>
      <c r="N4724" s="27" t="s">
        <v>19808</v>
      </c>
      <c r="P4724" s="27" t="s">
        <v>19822</v>
      </c>
      <c r="Q4724" s="26" t="str">
        <f>HYPERLINK("https://ictv.global/taxonomy/taxondetails?taxnode_id=202520813&amp;ictv_id=ICTV202420813","ICTV202420813")</f>
        <v>ICTV202420813</v>
      </c>
      <c r="R4724" t="s">
        <v>579</v>
      </c>
      <c r="S4724" t="s">
        <v>823</v>
      </c>
      <c r="T4724">
        <v>40</v>
      </c>
      <c r="U4724" s="26" t="str">
        <f t="shared" si="181"/>
        <v>2024.023B.Mcshanvirinae_1nsf_3ng_25ns.zip</v>
      </c>
    </row>
    <row r="4725" spans="1:21">
      <c r="A4725">
        <v>4724</v>
      </c>
      <c r="B4725" s="27" t="s">
        <v>1449</v>
      </c>
      <c r="D4725" s="27" t="s">
        <v>1450</v>
      </c>
      <c r="F4725" s="27" t="s">
        <v>1453</v>
      </c>
      <c r="H4725" s="27" t="s">
        <v>1454</v>
      </c>
      <c r="M4725" s="27" t="s">
        <v>19798</v>
      </c>
      <c r="N4725" s="27" t="s">
        <v>19823</v>
      </c>
      <c r="P4725" s="27" t="s">
        <v>19824</v>
      </c>
      <c r="Q4725" s="26" t="str">
        <f>HYPERLINK("https://ictv.global/taxonomy/taxondetails?taxnode_id=202520818&amp;ictv_id=ICTV202420818","ICTV202420818")</f>
        <v>ICTV202420818</v>
      </c>
      <c r="R4725" t="s">
        <v>579</v>
      </c>
      <c r="S4725" t="s">
        <v>823</v>
      </c>
      <c r="T4725">
        <v>40</v>
      </c>
      <c r="U4725" s="26" t="str">
        <f t="shared" si="181"/>
        <v>2024.023B.Mcshanvirinae_1nsf_3ng_25ns.zip</v>
      </c>
    </row>
    <row r="4726" spans="1:21">
      <c r="A4726">
        <v>4725</v>
      </c>
      <c r="B4726" s="27" t="s">
        <v>1449</v>
      </c>
      <c r="D4726" s="27" t="s">
        <v>1450</v>
      </c>
      <c r="F4726" s="27" t="s">
        <v>1453</v>
      </c>
      <c r="H4726" s="27" t="s">
        <v>1454</v>
      </c>
      <c r="M4726" s="27" t="s">
        <v>19798</v>
      </c>
      <c r="N4726" s="27" t="s">
        <v>19823</v>
      </c>
      <c r="P4726" s="27" t="s">
        <v>19825</v>
      </c>
      <c r="Q4726" s="26" t="str">
        <f>HYPERLINK("https://ictv.global/taxonomy/taxondetails?taxnode_id=202520816&amp;ictv_id=ICTV202420816","ICTV202420816")</f>
        <v>ICTV202420816</v>
      </c>
      <c r="R4726" t="s">
        <v>579</v>
      </c>
      <c r="S4726" t="s">
        <v>823</v>
      </c>
      <c r="T4726">
        <v>40</v>
      </c>
      <c r="U4726" s="26" t="str">
        <f t="shared" si="181"/>
        <v>2024.023B.Mcshanvirinae_1nsf_3ng_25ns.zip</v>
      </c>
    </row>
    <row r="4727" spans="1:21">
      <c r="A4727">
        <v>4726</v>
      </c>
      <c r="B4727" s="27" t="s">
        <v>1449</v>
      </c>
      <c r="D4727" s="27" t="s">
        <v>1450</v>
      </c>
      <c r="F4727" s="27" t="s">
        <v>1453</v>
      </c>
      <c r="H4727" s="27" t="s">
        <v>1454</v>
      </c>
      <c r="M4727" s="27" t="s">
        <v>19798</v>
      </c>
      <c r="N4727" s="27" t="s">
        <v>19823</v>
      </c>
      <c r="P4727" s="27" t="s">
        <v>19826</v>
      </c>
      <c r="Q4727" s="26" t="str">
        <f>HYPERLINK("https://ictv.global/taxonomy/taxondetails?taxnode_id=202520817&amp;ictv_id=ICTV202420817","ICTV202420817")</f>
        <v>ICTV202420817</v>
      </c>
      <c r="R4727" t="s">
        <v>579</v>
      </c>
      <c r="S4727" t="s">
        <v>823</v>
      </c>
      <c r="T4727">
        <v>40</v>
      </c>
      <c r="U4727" s="26" t="str">
        <f t="shared" si="181"/>
        <v>2024.023B.Mcshanvirinae_1nsf_3ng_25ns.zip</v>
      </c>
    </row>
    <row r="4728" spans="1:21">
      <c r="A4728">
        <v>4727</v>
      </c>
      <c r="B4728" s="27" t="s">
        <v>1449</v>
      </c>
      <c r="D4728" s="27" t="s">
        <v>1450</v>
      </c>
      <c r="F4728" s="27" t="s">
        <v>1453</v>
      </c>
      <c r="H4728" s="27" t="s">
        <v>1454</v>
      </c>
      <c r="M4728" s="27" t="s">
        <v>11932</v>
      </c>
      <c r="N4728" s="27" t="s">
        <v>11933</v>
      </c>
      <c r="P4728" s="27" t="s">
        <v>11934</v>
      </c>
      <c r="Q4728" s="26" t="str">
        <f>HYPERLINK("https://ictv.global/taxonomy/taxondetails?taxnode_id=202519214&amp;ictv_id=ICTV202319214","ICTV202319214")</f>
        <v>ICTV202319214</v>
      </c>
      <c r="R4728" t="s">
        <v>579</v>
      </c>
      <c r="S4728" t="s">
        <v>823</v>
      </c>
      <c r="T4728">
        <v>39</v>
      </c>
      <c r="U4728" s="26" t="str">
        <f t="shared" ref="U4728:U4733" si="182">HYPERLINK("https://ictv.global/ictv/proposals/2023.048B.Munstervirinae_nsf.zip","2023.048B.Munstervirinae_nsf.zip")</f>
        <v>2023.048B.Munstervirinae_nsf.zip</v>
      </c>
    </row>
    <row r="4729" spans="1:21">
      <c r="A4729">
        <v>4728</v>
      </c>
      <c r="B4729" s="27" t="s">
        <v>1449</v>
      </c>
      <c r="D4729" s="27" t="s">
        <v>1450</v>
      </c>
      <c r="F4729" s="27" t="s">
        <v>1453</v>
      </c>
      <c r="H4729" s="27" t="s">
        <v>1454</v>
      </c>
      <c r="M4729" s="27" t="s">
        <v>11932</v>
      </c>
      <c r="N4729" s="27" t="s">
        <v>11935</v>
      </c>
      <c r="P4729" s="27" t="s">
        <v>11936</v>
      </c>
      <c r="Q4729" s="26" t="str">
        <f>HYPERLINK("https://ictv.global/taxonomy/taxondetails?taxnode_id=202519212&amp;ictv_id=ICTV202319212","ICTV202319212")</f>
        <v>ICTV202319212</v>
      </c>
      <c r="R4729" t="s">
        <v>579</v>
      </c>
      <c r="S4729" t="s">
        <v>823</v>
      </c>
      <c r="T4729">
        <v>39</v>
      </c>
      <c r="U4729" s="26" t="str">
        <f t="shared" si="182"/>
        <v>2023.048B.Munstervirinae_nsf.zip</v>
      </c>
    </row>
    <row r="4730" spans="1:21">
      <c r="A4730">
        <v>4729</v>
      </c>
      <c r="B4730" s="27" t="s">
        <v>1449</v>
      </c>
      <c r="D4730" s="27" t="s">
        <v>1450</v>
      </c>
      <c r="F4730" s="27" t="s">
        <v>1453</v>
      </c>
      <c r="H4730" s="27" t="s">
        <v>1454</v>
      </c>
      <c r="M4730" s="27" t="s">
        <v>11932</v>
      </c>
      <c r="N4730" s="27" t="s">
        <v>11935</v>
      </c>
      <c r="P4730" s="27" t="s">
        <v>11937</v>
      </c>
      <c r="Q4730" s="26" t="str">
        <f>HYPERLINK("https://ictv.global/taxonomy/taxondetails?taxnode_id=202519211&amp;ictv_id=ICTV202319211","ICTV202319211")</f>
        <v>ICTV202319211</v>
      </c>
      <c r="R4730" t="s">
        <v>579</v>
      </c>
      <c r="S4730" t="s">
        <v>823</v>
      </c>
      <c r="T4730">
        <v>39</v>
      </c>
      <c r="U4730" s="26" t="str">
        <f t="shared" si="182"/>
        <v>2023.048B.Munstervirinae_nsf.zip</v>
      </c>
    </row>
    <row r="4731" spans="1:21">
      <c r="A4731">
        <v>4730</v>
      </c>
      <c r="B4731" s="27" t="s">
        <v>1449</v>
      </c>
      <c r="D4731" s="27" t="s">
        <v>1450</v>
      </c>
      <c r="F4731" s="27" t="s">
        <v>1453</v>
      </c>
      <c r="H4731" s="27" t="s">
        <v>1454</v>
      </c>
      <c r="M4731" s="27" t="s">
        <v>11932</v>
      </c>
      <c r="N4731" s="27" t="s">
        <v>11938</v>
      </c>
      <c r="P4731" s="27" t="s">
        <v>11939</v>
      </c>
      <c r="Q4731" s="26" t="str">
        <f>HYPERLINK("https://ictv.global/taxonomy/taxondetails?taxnode_id=202519210&amp;ictv_id=ICTV202319210","ICTV202319210")</f>
        <v>ICTV202319210</v>
      </c>
      <c r="R4731" t="s">
        <v>579</v>
      </c>
      <c r="S4731" t="s">
        <v>823</v>
      </c>
      <c r="T4731">
        <v>39</v>
      </c>
      <c r="U4731" s="26" t="str">
        <f t="shared" si="182"/>
        <v>2023.048B.Munstervirinae_nsf.zip</v>
      </c>
    </row>
    <row r="4732" spans="1:21">
      <c r="A4732">
        <v>4731</v>
      </c>
      <c r="B4732" s="27" t="s">
        <v>1449</v>
      </c>
      <c r="D4732" s="27" t="s">
        <v>1450</v>
      </c>
      <c r="F4732" s="27" t="s">
        <v>1453</v>
      </c>
      <c r="H4732" s="27" t="s">
        <v>1454</v>
      </c>
      <c r="M4732" s="27" t="s">
        <v>11932</v>
      </c>
      <c r="N4732" s="27" t="s">
        <v>11938</v>
      </c>
      <c r="P4732" s="27" t="s">
        <v>11940</v>
      </c>
      <c r="Q4732" s="26" t="str">
        <f>HYPERLINK("https://ictv.global/taxonomy/taxondetails?taxnode_id=202519209&amp;ictv_id=ICTV202319209","ICTV202319209")</f>
        <v>ICTV202319209</v>
      </c>
      <c r="R4732" t="s">
        <v>579</v>
      </c>
      <c r="S4732" t="s">
        <v>823</v>
      </c>
      <c r="T4732">
        <v>39</v>
      </c>
      <c r="U4732" s="26" t="str">
        <f t="shared" si="182"/>
        <v>2023.048B.Munstervirinae_nsf.zip</v>
      </c>
    </row>
    <row r="4733" spans="1:21">
      <c r="A4733">
        <v>4732</v>
      </c>
      <c r="B4733" s="27" t="s">
        <v>1449</v>
      </c>
      <c r="D4733" s="27" t="s">
        <v>1450</v>
      </c>
      <c r="F4733" s="27" t="s">
        <v>1453</v>
      </c>
      <c r="H4733" s="27" t="s">
        <v>1454</v>
      </c>
      <c r="M4733" s="27" t="s">
        <v>11932</v>
      </c>
      <c r="N4733" s="27" t="s">
        <v>11941</v>
      </c>
      <c r="P4733" s="27" t="s">
        <v>11942</v>
      </c>
      <c r="Q4733" s="26" t="str">
        <f>HYPERLINK("https://ictv.global/taxonomy/taxondetails?taxnode_id=202519213&amp;ictv_id=ICTV202319213","ICTV202319213")</f>
        <v>ICTV202319213</v>
      </c>
      <c r="R4733" t="s">
        <v>579</v>
      </c>
      <c r="S4733" t="s">
        <v>823</v>
      </c>
      <c r="T4733">
        <v>39</v>
      </c>
      <c r="U4733" s="26" t="str">
        <f t="shared" si="182"/>
        <v>2023.048B.Munstervirinae_nsf.zip</v>
      </c>
    </row>
    <row r="4734" spans="1:21">
      <c r="A4734">
        <v>4733</v>
      </c>
      <c r="B4734" s="27" t="s">
        <v>1449</v>
      </c>
      <c r="D4734" s="27" t="s">
        <v>1450</v>
      </c>
      <c r="F4734" s="27" t="s">
        <v>1453</v>
      </c>
      <c r="H4734" s="27" t="s">
        <v>1454</v>
      </c>
      <c r="M4734" s="27" t="s">
        <v>838</v>
      </c>
      <c r="N4734" s="27" t="s">
        <v>616</v>
      </c>
      <c r="P4734" s="27" t="s">
        <v>6291</v>
      </c>
      <c r="Q4734" s="26" t="str">
        <f>HYPERLINK("https://ictv.global/taxonomy/taxondetails?taxnode_id=202512777&amp;ictv_id=ICTV202112777","ICTV202112777")</f>
        <v>ICTV202112777</v>
      </c>
      <c r="R4734" t="s">
        <v>579</v>
      </c>
      <c r="S4734" t="s">
        <v>823</v>
      </c>
      <c r="T4734">
        <v>37</v>
      </c>
      <c r="U4734" s="26" t="str">
        <f t="shared" ref="U4734:U4751" si="183">HYPERLINK("https://ictv.global/ictv/proposals/2021.057B.R.Nclasvirinae.zip","2021.057B.R.Nclasvirinae.zip")</f>
        <v>2021.057B.R.Nclasvirinae.zip</v>
      </c>
    </row>
    <row r="4735" spans="1:21">
      <c r="A4735">
        <v>4734</v>
      </c>
      <c r="B4735" s="27" t="s">
        <v>1449</v>
      </c>
      <c r="D4735" s="27" t="s">
        <v>1450</v>
      </c>
      <c r="F4735" s="27" t="s">
        <v>1453</v>
      </c>
      <c r="H4735" s="27" t="s">
        <v>1454</v>
      </c>
      <c r="M4735" s="27" t="s">
        <v>838</v>
      </c>
      <c r="N4735" s="27" t="s">
        <v>616</v>
      </c>
      <c r="P4735" s="27" t="s">
        <v>6292</v>
      </c>
      <c r="Q4735" s="26" t="str">
        <f>HYPERLINK("https://ictv.global/taxonomy/taxondetails?taxnode_id=202512779&amp;ictv_id=ICTV202112779","ICTV202112779")</f>
        <v>ICTV202112779</v>
      </c>
      <c r="R4735" t="s">
        <v>579</v>
      </c>
      <c r="S4735" t="s">
        <v>823</v>
      </c>
      <c r="T4735">
        <v>37</v>
      </c>
      <c r="U4735" s="26" t="str">
        <f t="shared" si="183"/>
        <v>2021.057B.R.Nclasvirinae.zip</v>
      </c>
    </row>
    <row r="4736" spans="1:21">
      <c r="A4736">
        <v>4735</v>
      </c>
      <c r="B4736" s="27" t="s">
        <v>1449</v>
      </c>
      <c r="D4736" s="27" t="s">
        <v>1450</v>
      </c>
      <c r="F4736" s="27" t="s">
        <v>1453</v>
      </c>
      <c r="H4736" s="27" t="s">
        <v>1454</v>
      </c>
      <c r="M4736" s="27" t="s">
        <v>838</v>
      </c>
      <c r="N4736" s="27" t="s">
        <v>616</v>
      </c>
      <c r="P4736" s="27" t="s">
        <v>6293</v>
      </c>
      <c r="Q4736" s="26" t="str">
        <f>HYPERLINK("https://ictv.global/taxonomy/taxondetails?taxnode_id=202505528&amp;ictv_id=ICTV20175528","ICTV20175528")</f>
        <v>ICTV20175528</v>
      </c>
      <c r="R4736" t="s">
        <v>579</v>
      </c>
      <c r="S4736" t="s">
        <v>22764</v>
      </c>
      <c r="T4736">
        <v>37</v>
      </c>
      <c r="U4736" s="26" t="str">
        <f t="shared" si="183"/>
        <v>2021.057B.R.Nclasvirinae.zip</v>
      </c>
    </row>
    <row r="4737" spans="1:21">
      <c r="A4737">
        <v>4736</v>
      </c>
      <c r="B4737" s="27" t="s">
        <v>1449</v>
      </c>
      <c r="D4737" s="27" t="s">
        <v>1450</v>
      </c>
      <c r="F4737" s="27" t="s">
        <v>1453</v>
      </c>
      <c r="H4737" s="27" t="s">
        <v>1454</v>
      </c>
      <c r="M4737" s="27" t="s">
        <v>838</v>
      </c>
      <c r="N4737" s="27" t="s">
        <v>616</v>
      </c>
      <c r="P4737" s="27" t="s">
        <v>6294</v>
      </c>
      <c r="Q4737" s="26" t="str">
        <f>HYPERLINK("https://ictv.global/taxonomy/taxondetails?taxnode_id=202500888&amp;ictv_id=ICTV20140303","ICTV20140303")</f>
        <v>ICTV20140303</v>
      </c>
      <c r="R4737" t="s">
        <v>579</v>
      </c>
      <c r="S4737" t="s">
        <v>824</v>
      </c>
      <c r="T4737">
        <v>37</v>
      </c>
      <c r="U4737" s="26" t="str">
        <f t="shared" si="183"/>
        <v>2021.057B.R.Nclasvirinae.zip</v>
      </c>
    </row>
    <row r="4738" spans="1:21">
      <c r="A4738">
        <v>4737</v>
      </c>
      <c r="B4738" s="27" t="s">
        <v>1449</v>
      </c>
      <c r="D4738" s="27" t="s">
        <v>1450</v>
      </c>
      <c r="F4738" s="27" t="s">
        <v>1453</v>
      </c>
      <c r="H4738" s="27" t="s">
        <v>1454</v>
      </c>
      <c r="M4738" s="27" t="s">
        <v>838</v>
      </c>
      <c r="N4738" s="27" t="s">
        <v>616</v>
      </c>
      <c r="P4738" s="27" t="s">
        <v>6295</v>
      </c>
      <c r="Q4738" s="26" t="str">
        <f>HYPERLINK("https://ictv.global/taxonomy/taxondetails?taxnode_id=202512780&amp;ictv_id=ICTV202112780","ICTV202112780")</f>
        <v>ICTV202112780</v>
      </c>
      <c r="R4738" t="s">
        <v>579</v>
      </c>
      <c r="S4738" t="s">
        <v>823</v>
      </c>
      <c r="T4738">
        <v>37</v>
      </c>
      <c r="U4738" s="26" t="str">
        <f t="shared" si="183"/>
        <v>2021.057B.R.Nclasvirinae.zip</v>
      </c>
    </row>
    <row r="4739" spans="1:21">
      <c r="A4739">
        <v>4738</v>
      </c>
      <c r="B4739" s="27" t="s">
        <v>1449</v>
      </c>
      <c r="D4739" s="27" t="s">
        <v>1450</v>
      </c>
      <c r="F4739" s="27" t="s">
        <v>1453</v>
      </c>
      <c r="H4739" s="27" t="s">
        <v>1454</v>
      </c>
      <c r="M4739" s="27" t="s">
        <v>838</v>
      </c>
      <c r="N4739" s="27" t="s">
        <v>616</v>
      </c>
      <c r="P4739" s="27" t="s">
        <v>6296</v>
      </c>
      <c r="Q4739" s="26" t="str">
        <f>HYPERLINK("https://ictv.global/taxonomy/taxondetails?taxnode_id=202512783&amp;ictv_id=ICTV202112783","ICTV202112783")</f>
        <v>ICTV202112783</v>
      </c>
      <c r="R4739" t="s">
        <v>579</v>
      </c>
      <c r="S4739" t="s">
        <v>823</v>
      </c>
      <c r="T4739">
        <v>37</v>
      </c>
      <c r="U4739" s="26" t="str">
        <f t="shared" si="183"/>
        <v>2021.057B.R.Nclasvirinae.zip</v>
      </c>
    </row>
    <row r="4740" spans="1:21">
      <c r="A4740">
        <v>4739</v>
      </c>
      <c r="B4740" s="27" t="s">
        <v>1449</v>
      </c>
      <c r="D4740" s="27" t="s">
        <v>1450</v>
      </c>
      <c r="F4740" s="27" t="s">
        <v>1453</v>
      </c>
      <c r="H4740" s="27" t="s">
        <v>1454</v>
      </c>
      <c r="M4740" s="27" t="s">
        <v>838</v>
      </c>
      <c r="N4740" s="27" t="s">
        <v>616</v>
      </c>
      <c r="P4740" s="27" t="s">
        <v>6297</v>
      </c>
      <c r="Q4740" s="26" t="str">
        <f>HYPERLINK("https://ictv.global/taxonomy/taxondetails?taxnode_id=202512778&amp;ictv_id=ICTV202112778","ICTV202112778")</f>
        <v>ICTV202112778</v>
      </c>
      <c r="R4740" t="s">
        <v>579</v>
      </c>
      <c r="S4740" t="s">
        <v>823</v>
      </c>
      <c r="T4740">
        <v>37</v>
      </c>
      <c r="U4740" s="26" t="str">
        <f t="shared" si="183"/>
        <v>2021.057B.R.Nclasvirinae.zip</v>
      </c>
    </row>
    <row r="4741" spans="1:21">
      <c r="A4741">
        <v>4740</v>
      </c>
      <c r="B4741" s="27" t="s">
        <v>1449</v>
      </c>
      <c r="D4741" s="27" t="s">
        <v>1450</v>
      </c>
      <c r="F4741" s="27" t="s">
        <v>1453</v>
      </c>
      <c r="H4741" s="27" t="s">
        <v>1454</v>
      </c>
      <c r="M4741" s="27" t="s">
        <v>838</v>
      </c>
      <c r="N4741" s="27" t="s">
        <v>616</v>
      </c>
      <c r="P4741" s="27" t="s">
        <v>6298</v>
      </c>
      <c r="Q4741" s="26" t="str">
        <f>HYPERLINK("https://ictv.global/taxonomy/taxondetails?taxnode_id=202505529&amp;ictv_id=ICTV20175529","ICTV20175529")</f>
        <v>ICTV20175529</v>
      </c>
      <c r="R4741" t="s">
        <v>579</v>
      </c>
      <c r="S4741" t="s">
        <v>22764</v>
      </c>
      <c r="T4741">
        <v>37</v>
      </c>
      <c r="U4741" s="26" t="str">
        <f t="shared" si="183"/>
        <v>2021.057B.R.Nclasvirinae.zip</v>
      </c>
    </row>
    <row r="4742" spans="1:21">
      <c r="A4742">
        <v>4741</v>
      </c>
      <c r="B4742" s="27" t="s">
        <v>1449</v>
      </c>
      <c r="D4742" s="27" t="s">
        <v>1450</v>
      </c>
      <c r="F4742" s="27" t="s">
        <v>1453</v>
      </c>
      <c r="H4742" s="27" t="s">
        <v>1454</v>
      </c>
      <c r="M4742" s="27" t="s">
        <v>838</v>
      </c>
      <c r="N4742" s="27" t="s">
        <v>616</v>
      </c>
      <c r="P4742" s="27" t="s">
        <v>6299</v>
      </c>
      <c r="Q4742" s="26" t="str">
        <f>HYPERLINK("https://ictv.global/taxonomy/taxondetails?taxnode_id=202505533&amp;ictv_id=ICTV20175533","ICTV20175533")</f>
        <v>ICTV20175533</v>
      </c>
      <c r="R4742" t="s">
        <v>579</v>
      </c>
      <c r="S4742" t="s">
        <v>22764</v>
      </c>
      <c r="T4742">
        <v>37</v>
      </c>
      <c r="U4742" s="26" t="str">
        <f t="shared" si="183"/>
        <v>2021.057B.R.Nclasvirinae.zip</v>
      </c>
    </row>
    <row r="4743" spans="1:21">
      <c r="A4743">
        <v>4742</v>
      </c>
      <c r="B4743" s="27" t="s">
        <v>1449</v>
      </c>
      <c r="D4743" s="27" t="s">
        <v>1450</v>
      </c>
      <c r="F4743" s="27" t="s">
        <v>1453</v>
      </c>
      <c r="H4743" s="27" t="s">
        <v>1454</v>
      </c>
      <c r="M4743" s="27" t="s">
        <v>838</v>
      </c>
      <c r="N4743" s="27" t="s">
        <v>616</v>
      </c>
      <c r="P4743" s="27" t="s">
        <v>6300</v>
      </c>
      <c r="Q4743" s="26" t="str">
        <f>HYPERLINK("https://ictv.global/taxonomy/taxondetails?taxnode_id=202512776&amp;ictv_id=ICTV202112776","ICTV202112776")</f>
        <v>ICTV202112776</v>
      </c>
      <c r="R4743" t="s">
        <v>579</v>
      </c>
      <c r="S4743" t="s">
        <v>823</v>
      </c>
      <c r="T4743">
        <v>37</v>
      </c>
      <c r="U4743" s="26" t="str">
        <f t="shared" si="183"/>
        <v>2021.057B.R.Nclasvirinae.zip</v>
      </c>
    </row>
    <row r="4744" spans="1:21">
      <c r="A4744">
        <v>4743</v>
      </c>
      <c r="B4744" s="27" t="s">
        <v>1449</v>
      </c>
      <c r="D4744" s="27" t="s">
        <v>1450</v>
      </c>
      <c r="F4744" s="27" t="s">
        <v>1453</v>
      </c>
      <c r="H4744" s="27" t="s">
        <v>1454</v>
      </c>
      <c r="M4744" s="27" t="s">
        <v>838</v>
      </c>
      <c r="N4744" s="27" t="s">
        <v>616</v>
      </c>
      <c r="P4744" s="27" t="s">
        <v>6301</v>
      </c>
      <c r="Q4744" s="26" t="str">
        <f>HYPERLINK("https://ictv.global/taxonomy/taxondetails?taxnode_id=202505534&amp;ictv_id=ICTV20175534","ICTV20175534")</f>
        <v>ICTV20175534</v>
      </c>
      <c r="R4744" t="s">
        <v>579</v>
      </c>
      <c r="S4744" t="s">
        <v>22764</v>
      </c>
      <c r="T4744">
        <v>37</v>
      </c>
      <c r="U4744" s="26" t="str">
        <f t="shared" si="183"/>
        <v>2021.057B.R.Nclasvirinae.zip</v>
      </c>
    </row>
    <row r="4745" spans="1:21">
      <c r="A4745">
        <v>4744</v>
      </c>
      <c r="B4745" s="27" t="s">
        <v>1449</v>
      </c>
      <c r="D4745" s="27" t="s">
        <v>1450</v>
      </c>
      <c r="F4745" s="27" t="s">
        <v>1453</v>
      </c>
      <c r="H4745" s="27" t="s">
        <v>1454</v>
      </c>
      <c r="M4745" s="27" t="s">
        <v>838</v>
      </c>
      <c r="N4745" s="27" t="s">
        <v>616</v>
      </c>
      <c r="P4745" s="27" t="s">
        <v>6302</v>
      </c>
      <c r="Q4745" s="26" t="str">
        <f>HYPERLINK("https://ictv.global/taxonomy/taxondetails?taxnode_id=202505531&amp;ictv_id=ICTV20175531","ICTV20175531")</f>
        <v>ICTV20175531</v>
      </c>
      <c r="R4745" t="s">
        <v>579</v>
      </c>
      <c r="S4745" t="s">
        <v>824</v>
      </c>
      <c r="T4745">
        <v>37</v>
      </c>
      <c r="U4745" s="26" t="str">
        <f t="shared" si="183"/>
        <v>2021.057B.R.Nclasvirinae.zip</v>
      </c>
    </row>
    <row r="4746" spans="1:21">
      <c r="A4746">
        <v>4745</v>
      </c>
      <c r="B4746" s="27" t="s">
        <v>1449</v>
      </c>
      <c r="D4746" s="27" t="s">
        <v>1450</v>
      </c>
      <c r="F4746" s="27" t="s">
        <v>1453</v>
      </c>
      <c r="H4746" s="27" t="s">
        <v>1454</v>
      </c>
      <c r="M4746" s="27" t="s">
        <v>838</v>
      </c>
      <c r="N4746" s="27" t="s">
        <v>616</v>
      </c>
      <c r="P4746" s="27" t="s">
        <v>6303</v>
      </c>
      <c r="Q4746" s="26" t="str">
        <f>HYPERLINK("https://ictv.global/taxonomy/taxondetails?taxnode_id=202512775&amp;ictv_id=ICTV202112775","ICTV202112775")</f>
        <v>ICTV202112775</v>
      </c>
      <c r="R4746" t="s">
        <v>579</v>
      </c>
      <c r="S4746" t="s">
        <v>823</v>
      </c>
      <c r="T4746">
        <v>37</v>
      </c>
      <c r="U4746" s="26" t="str">
        <f t="shared" si="183"/>
        <v>2021.057B.R.Nclasvirinae.zip</v>
      </c>
    </row>
    <row r="4747" spans="1:21">
      <c r="A4747">
        <v>4746</v>
      </c>
      <c r="B4747" s="27" t="s">
        <v>1449</v>
      </c>
      <c r="D4747" s="27" t="s">
        <v>1450</v>
      </c>
      <c r="F4747" s="27" t="s">
        <v>1453</v>
      </c>
      <c r="H4747" s="27" t="s">
        <v>1454</v>
      </c>
      <c r="M4747" s="27" t="s">
        <v>838</v>
      </c>
      <c r="N4747" s="27" t="s">
        <v>616</v>
      </c>
      <c r="P4747" s="27" t="s">
        <v>6304</v>
      </c>
      <c r="Q4747" s="26" t="str">
        <f>HYPERLINK("https://ictv.global/taxonomy/taxondetails?taxnode_id=202512781&amp;ictv_id=ICTV202112781","ICTV202112781")</f>
        <v>ICTV202112781</v>
      </c>
      <c r="R4747" t="s">
        <v>579</v>
      </c>
      <c r="S4747" t="s">
        <v>823</v>
      </c>
      <c r="T4747">
        <v>37</v>
      </c>
      <c r="U4747" s="26" t="str">
        <f t="shared" si="183"/>
        <v>2021.057B.R.Nclasvirinae.zip</v>
      </c>
    </row>
    <row r="4748" spans="1:21">
      <c r="A4748">
        <v>4747</v>
      </c>
      <c r="B4748" s="27" t="s">
        <v>1449</v>
      </c>
      <c r="D4748" s="27" t="s">
        <v>1450</v>
      </c>
      <c r="F4748" s="27" t="s">
        <v>1453</v>
      </c>
      <c r="H4748" s="27" t="s">
        <v>1454</v>
      </c>
      <c r="M4748" s="27" t="s">
        <v>838</v>
      </c>
      <c r="N4748" s="27" t="s">
        <v>616</v>
      </c>
      <c r="P4748" s="27" t="s">
        <v>6305</v>
      </c>
      <c r="Q4748" s="26" t="str">
        <f>HYPERLINK("https://ictv.global/taxonomy/taxondetails?taxnode_id=202500889&amp;ictv_id=ICTV20140304","ICTV20140304")</f>
        <v>ICTV20140304</v>
      </c>
      <c r="R4748" t="s">
        <v>579</v>
      </c>
      <c r="S4748" t="s">
        <v>22764</v>
      </c>
      <c r="T4748">
        <v>37</v>
      </c>
      <c r="U4748" s="26" t="str">
        <f t="shared" si="183"/>
        <v>2021.057B.R.Nclasvirinae.zip</v>
      </c>
    </row>
    <row r="4749" spans="1:21">
      <c r="A4749">
        <v>4748</v>
      </c>
      <c r="B4749" s="27" t="s">
        <v>1449</v>
      </c>
      <c r="D4749" s="27" t="s">
        <v>1450</v>
      </c>
      <c r="F4749" s="27" t="s">
        <v>1453</v>
      </c>
      <c r="H4749" s="27" t="s">
        <v>1454</v>
      </c>
      <c r="M4749" s="27" t="s">
        <v>838</v>
      </c>
      <c r="N4749" s="27" t="s">
        <v>616</v>
      </c>
      <c r="P4749" s="27" t="s">
        <v>6306</v>
      </c>
      <c r="Q4749" s="26" t="str">
        <f>HYPERLINK("https://ictv.global/taxonomy/taxondetails?taxnode_id=202505535&amp;ictv_id=ICTV20175535","ICTV20175535")</f>
        <v>ICTV20175535</v>
      </c>
      <c r="R4749" t="s">
        <v>579</v>
      </c>
      <c r="S4749" t="s">
        <v>22764</v>
      </c>
      <c r="T4749">
        <v>37</v>
      </c>
      <c r="U4749" s="26" t="str">
        <f t="shared" si="183"/>
        <v>2021.057B.R.Nclasvirinae.zip</v>
      </c>
    </row>
    <row r="4750" spans="1:21">
      <c r="A4750">
        <v>4749</v>
      </c>
      <c r="B4750" s="27" t="s">
        <v>1449</v>
      </c>
      <c r="D4750" s="27" t="s">
        <v>1450</v>
      </c>
      <c r="F4750" s="27" t="s">
        <v>1453</v>
      </c>
      <c r="H4750" s="27" t="s">
        <v>1454</v>
      </c>
      <c r="M4750" s="27" t="s">
        <v>838</v>
      </c>
      <c r="N4750" s="27" t="s">
        <v>616</v>
      </c>
      <c r="P4750" s="27" t="s">
        <v>6307</v>
      </c>
      <c r="Q4750" s="26" t="str">
        <f>HYPERLINK("https://ictv.global/taxonomy/taxondetails?taxnode_id=202512782&amp;ictv_id=ICTV202112782","ICTV202112782")</f>
        <v>ICTV202112782</v>
      </c>
      <c r="R4750" t="s">
        <v>579</v>
      </c>
      <c r="S4750" t="s">
        <v>823</v>
      </c>
      <c r="T4750">
        <v>37</v>
      </c>
      <c r="U4750" s="26" t="str">
        <f t="shared" si="183"/>
        <v>2021.057B.R.Nclasvirinae.zip</v>
      </c>
    </row>
    <row r="4751" spans="1:21">
      <c r="A4751">
        <v>4750</v>
      </c>
      <c r="B4751" s="27" t="s">
        <v>1449</v>
      </c>
      <c r="D4751" s="27" t="s">
        <v>1450</v>
      </c>
      <c r="F4751" s="27" t="s">
        <v>1453</v>
      </c>
      <c r="H4751" s="27" t="s">
        <v>1454</v>
      </c>
      <c r="M4751" s="27" t="s">
        <v>838</v>
      </c>
      <c r="N4751" s="27" t="s">
        <v>616</v>
      </c>
      <c r="P4751" s="27" t="s">
        <v>6308</v>
      </c>
      <c r="Q4751" s="26" t="str">
        <f>HYPERLINK("https://ictv.global/taxonomy/taxondetails?taxnode_id=202505532&amp;ictv_id=ICTV20175532","ICTV20175532")</f>
        <v>ICTV20175532</v>
      </c>
      <c r="R4751" t="s">
        <v>579</v>
      </c>
      <c r="S4751" t="s">
        <v>824</v>
      </c>
      <c r="T4751">
        <v>37</v>
      </c>
      <c r="U4751" s="26" t="str">
        <f t="shared" si="183"/>
        <v>2021.057B.R.Nclasvirinae.zip</v>
      </c>
    </row>
    <row r="4752" spans="1:21">
      <c r="A4752">
        <v>4751</v>
      </c>
      <c r="B4752" s="27" t="s">
        <v>1449</v>
      </c>
      <c r="D4752" s="27" t="s">
        <v>1450</v>
      </c>
      <c r="F4752" s="27" t="s">
        <v>1453</v>
      </c>
      <c r="H4752" s="27" t="s">
        <v>1454</v>
      </c>
      <c r="M4752" s="27" t="s">
        <v>839</v>
      </c>
      <c r="N4752" s="27" t="s">
        <v>6309</v>
      </c>
      <c r="P4752" s="27" t="s">
        <v>19827</v>
      </c>
      <c r="Q4752" s="26" t="str">
        <f>HYPERLINK("https://ictv.global/taxonomy/taxondetails?taxnode_id=202505498&amp;ictv_id=ICTV20175498","ICTV20175498")</f>
        <v>ICTV20175498</v>
      </c>
      <c r="R4752" t="s">
        <v>579</v>
      </c>
      <c r="S4752" t="s">
        <v>824</v>
      </c>
      <c r="T4752">
        <v>40</v>
      </c>
      <c r="U4752" s="26" t="str">
        <f>HYPERLINK("https://ictv.global/ictv/proposals/2024.036B.Caudoviricetes_Faserviricetes_Name_Corrections.zip","2024.036B.Caudoviricetes_Faserviricetes_Name_Corrections.zip")</f>
        <v>2024.036B.Caudoviricetes_Faserviricetes_Name_Corrections.zip</v>
      </c>
    </row>
    <row r="4753" spans="1:21">
      <c r="A4753">
        <v>4752</v>
      </c>
      <c r="B4753" s="27" t="s">
        <v>1449</v>
      </c>
      <c r="D4753" s="27" t="s">
        <v>1450</v>
      </c>
      <c r="F4753" s="27" t="s">
        <v>1453</v>
      </c>
      <c r="H4753" s="27" t="s">
        <v>1454</v>
      </c>
      <c r="M4753" s="27" t="s">
        <v>839</v>
      </c>
      <c r="N4753" s="27" t="s">
        <v>6309</v>
      </c>
      <c r="P4753" s="27" t="s">
        <v>6310</v>
      </c>
      <c r="Q4753" s="26" t="str">
        <f>HYPERLINK("https://ictv.global/taxonomy/taxondetails?taxnode_id=202514901&amp;ictv_id=ICTV202214901","ICTV202214901")</f>
        <v>ICTV202214901</v>
      </c>
      <c r="R4753" t="s">
        <v>579</v>
      </c>
      <c r="S4753" t="s">
        <v>823</v>
      </c>
      <c r="T4753">
        <v>38</v>
      </c>
      <c r="U4753" s="26" t="str">
        <f>HYPERLINK("https://ictv.global/ictv/proposals/2022.084B.Caudoviricetes_6ng_33nsp.zip","2022.084B.Caudoviricetes_6ng_33nsp.zip")</f>
        <v>2022.084B.Caudoviricetes_6ng_33nsp.zip</v>
      </c>
    </row>
    <row r="4754" spans="1:21">
      <c r="A4754">
        <v>4753</v>
      </c>
      <c r="B4754" s="27" t="s">
        <v>1449</v>
      </c>
      <c r="D4754" s="27" t="s">
        <v>1450</v>
      </c>
      <c r="F4754" s="27" t="s">
        <v>1453</v>
      </c>
      <c r="H4754" s="27" t="s">
        <v>1454</v>
      </c>
      <c r="M4754" s="27" t="s">
        <v>839</v>
      </c>
      <c r="N4754" s="27" t="s">
        <v>6309</v>
      </c>
      <c r="P4754" s="27" t="s">
        <v>19828</v>
      </c>
      <c r="Q4754" s="26" t="str">
        <f>HYPERLINK("https://ictv.global/taxonomy/taxondetails?taxnode_id=202505499&amp;ictv_id=ICTV20175499","ICTV20175499")</f>
        <v>ICTV20175499</v>
      </c>
      <c r="R4754" t="s">
        <v>579</v>
      </c>
      <c r="S4754" t="s">
        <v>824</v>
      </c>
      <c r="T4754">
        <v>40</v>
      </c>
      <c r="U4754" s="26" t="str">
        <f>HYPERLINK("https://ictv.global/ictv/proposals/2024.036B.Caudoviricetes_Faserviricetes_Name_Corrections.zip","2024.036B.Caudoviricetes_Faserviricetes_Name_Corrections.zip")</f>
        <v>2024.036B.Caudoviricetes_Faserviricetes_Name_Corrections.zip</v>
      </c>
    </row>
    <row r="4755" spans="1:21">
      <c r="A4755">
        <v>4754</v>
      </c>
      <c r="B4755" s="27" t="s">
        <v>1449</v>
      </c>
      <c r="D4755" s="27" t="s">
        <v>1450</v>
      </c>
      <c r="F4755" s="27" t="s">
        <v>1453</v>
      </c>
      <c r="H4755" s="27" t="s">
        <v>1454</v>
      </c>
      <c r="M4755" s="27" t="s">
        <v>839</v>
      </c>
      <c r="N4755" s="27" t="s">
        <v>840</v>
      </c>
      <c r="P4755" s="27" t="s">
        <v>6311</v>
      </c>
      <c r="Q4755" s="26" t="str">
        <f>HYPERLINK("https://ictv.global/taxonomy/taxondetails?taxnode_id=202514897&amp;ictv_id=ICTV202214897","ICTV202214897")</f>
        <v>ICTV202214897</v>
      </c>
      <c r="R4755" t="s">
        <v>579</v>
      </c>
      <c r="S4755" t="s">
        <v>823</v>
      </c>
      <c r="T4755">
        <v>38</v>
      </c>
      <c r="U4755" s="26" t="str">
        <f>HYPERLINK("https://ictv.global/ictv/proposals/2022.084B.Caudoviricetes_6ng_33nsp.zip","2022.084B.Caudoviricetes_6ng_33nsp.zip")</f>
        <v>2022.084B.Caudoviricetes_6ng_33nsp.zip</v>
      </c>
    </row>
    <row r="4756" spans="1:21">
      <c r="A4756">
        <v>4755</v>
      </c>
      <c r="B4756" s="27" t="s">
        <v>1449</v>
      </c>
      <c r="D4756" s="27" t="s">
        <v>1450</v>
      </c>
      <c r="F4756" s="27" t="s">
        <v>1453</v>
      </c>
      <c r="H4756" s="27" t="s">
        <v>1454</v>
      </c>
      <c r="M4756" s="27" t="s">
        <v>839</v>
      </c>
      <c r="N4756" s="27" t="s">
        <v>840</v>
      </c>
      <c r="P4756" s="27" t="s">
        <v>6312</v>
      </c>
      <c r="Q4756" s="26" t="str">
        <f>HYPERLINK("https://ictv.global/taxonomy/taxondetails?taxnode_id=202514895&amp;ictv_id=ICTV202214895","ICTV202214895")</f>
        <v>ICTV202214895</v>
      </c>
      <c r="R4756" t="s">
        <v>579</v>
      </c>
      <c r="S4756" t="s">
        <v>823</v>
      </c>
      <c r="T4756">
        <v>38</v>
      </c>
      <c r="U4756" s="26" t="str">
        <f>HYPERLINK("https://ictv.global/ictv/proposals/2022.084B.Caudoviricetes_6ng_33nsp.zip","2022.084B.Caudoviricetes_6ng_33nsp.zip")</f>
        <v>2022.084B.Caudoviricetes_6ng_33nsp.zip</v>
      </c>
    </row>
    <row r="4757" spans="1:21">
      <c r="A4757">
        <v>4756</v>
      </c>
      <c r="B4757" s="27" t="s">
        <v>1449</v>
      </c>
      <c r="D4757" s="27" t="s">
        <v>1450</v>
      </c>
      <c r="F4757" s="27" t="s">
        <v>1453</v>
      </c>
      <c r="H4757" s="27" t="s">
        <v>1454</v>
      </c>
      <c r="M4757" s="27" t="s">
        <v>839</v>
      </c>
      <c r="N4757" s="27" t="s">
        <v>840</v>
      </c>
      <c r="P4757" s="27" t="s">
        <v>6313</v>
      </c>
      <c r="Q4757" s="26" t="str">
        <f>HYPERLINK("https://ictv.global/taxonomy/taxondetails?taxnode_id=202514900&amp;ictv_id=ICTV202214900","ICTV202214900")</f>
        <v>ICTV202214900</v>
      </c>
      <c r="R4757" t="s">
        <v>579</v>
      </c>
      <c r="S4757" t="s">
        <v>823</v>
      </c>
      <c r="T4757">
        <v>38</v>
      </c>
      <c r="U4757" s="26" t="str">
        <f>HYPERLINK("https://ictv.global/ictv/proposals/2022.084B.Caudoviricetes_6ng_33nsp.zip","2022.084B.Caudoviricetes_6ng_33nsp.zip")</f>
        <v>2022.084B.Caudoviricetes_6ng_33nsp.zip</v>
      </c>
    </row>
    <row r="4758" spans="1:21">
      <c r="A4758">
        <v>4757</v>
      </c>
      <c r="B4758" s="27" t="s">
        <v>1449</v>
      </c>
      <c r="D4758" s="27" t="s">
        <v>1450</v>
      </c>
      <c r="F4758" s="27" t="s">
        <v>1453</v>
      </c>
      <c r="H4758" s="27" t="s">
        <v>1454</v>
      </c>
      <c r="M4758" s="27" t="s">
        <v>839</v>
      </c>
      <c r="N4758" s="27" t="s">
        <v>840</v>
      </c>
      <c r="P4758" s="27" t="s">
        <v>6314</v>
      </c>
      <c r="Q4758" s="26" t="str">
        <f>HYPERLINK("https://ictv.global/taxonomy/taxondetails?taxnode_id=202514892&amp;ictv_id=ICTV202214892","ICTV202214892")</f>
        <v>ICTV202214892</v>
      </c>
      <c r="R4758" t="s">
        <v>579</v>
      </c>
      <c r="S4758" t="s">
        <v>823</v>
      </c>
      <c r="T4758">
        <v>38</v>
      </c>
      <c r="U4758" s="26" t="str">
        <f>HYPERLINK("https://ictv.global/ictv/proposals/2022.084B.Caudoviricetes_6ng_33nsp.zip","2022.084B.Caudoviricetes_6ng_33nsp.zip")</f>
        <v>2022.084B.Caudoviricetes_6ng_33nsp.zip</v>
      </c>
    </row>
    <row r="4759" spans="1:21">
      <c r="A4759">
        <v>4758</v>
      </c>
      <c r="B4759" s="27" t="s">
        <v>1449</v>
      </c>
      <c r="D4759" s="27" t="s">
        <v>1450</v>
      </c>
      <c r="F4759" s="27" t="s">
        <v>1453</v>
      </c>
      <c r="H4759" s="27" t="s">
        <v>1454</v>
      </c>
      <c r="M4759" s="27" t="s">
        <v>839</v>
      </c>
      <c r="N4759" s="27" t="s">
        <v>840</v>
      </c>
      <c r="P4759" s="27" t="s">
        <v>6315</v>
      </c>
      <c r="Q4759" s="26" t="str">
        <f>HYPERLINK("https://ictv.global/taxonomy/taxondetails?taxnode_id=202514896&amp;ictv_id=ICTV202214896","ICTV202214896")</f>
        <v>ICTV202214896</v>
      </c>
      <c r="R4759" t="s">
        <v>579</v>
      </c>
      <c r="S4759" t="s">
        <v>823</v>
      </c>
      <c r="T4759">
        <v>38</v>
      </c>
      <c r="U4759" s="26" t="str">
        <f>HYPERLINK("https://ictv.global/ictv/proposals/2022.084B.Caudoviricetes_6ng_33nsp.zip","2022.084B.Caudoviricetes_6ng_33nsp.zip")</f>
        <v>2022.084B.Caudoviricetes_6ng_33nsp.zip</v>
      </c>
    </row>
    <row r="4760" spans="1:21">
      <c r="A4760">
        <v>4759</v>
      </c>
      <c r="B4760" s="27" t="s">
        <v>1449</v>
      </c>
      <c r="D4760" s="27" t="s">
        <v>1450</v>
      </c>
      <c r="F4760" s="27" t="s">
        <v>1453</v>
      </c>
      <c r="H4760" s="27" t="s">
        <v>1454</v>
      </c>
      <c r="M4760" s="27" t="s">
        <v>839</v>
      </c>
      <c r="N4760" s="27" t="s">
        <v>840</v>
      </c>
      <c r="P4760" s="27" t="s">
        <v>6316</v>
      </c>
      <c r="Q4760" s="26" t="str">
        <f>HYPERLINK("https://ictv.global/taxonomy/taxondetails?taxnode_id=202505501&amp;ictv_id=ICTV20175501","ICTV20175501")</f>
        <v>ICTV20175501</v>
      </c>
      <c r="R4760" t="s">
        <v>579</v>
      </c>
      <c r="S4760" t="s">
        <v>824</v>
      </c>
      <c r="T4760">
        <v>37</v>
      </c>
      <c r="U4760" s="26" t="str">
        <f>HYPERLINK("https://ictv.global/ictv/proposals/2021.010B.R.Binomial_names.zip","2021.010B.R.Binomial_names.zip")</f>
        <v>2021.010B.R.Binomial_names.zip</v>
      </c>
    </row>
    <row r="4761" spans="1:21">
      <c r="A4761">
        <v>4760</v>
      </c>
      <c r="B4761" s="27" t="s">
        <v>1449</v>
      </c>
      <c r="D4761" s="27" t="s">
        <v>1450</v>
      </c>
      <c r="F4761" s="27" t="s">
        <v>1453</v>
      </c>
      <c r="H4761" s="27" t="s">
        <v>1454</v>
      </c>
      <c r="M4761" s="27" t="s">
        <v>839</v>
      </c>
      <c r="N4761" s="27" t="s">
        <v>840</v>
      </c>
      <c r="P4761" s="27" t="s">
        <v>6317</v>
      </c>
      <c r="Q4761" s="26" t="str">
        <f>HYPERLINK("https://ictv.global/taxonomy/taxondetails?taxnode_id=202514893&amp;ictv_id=ICTV202214893","ICTV202214893")</f>
        <v>ICTV202214893</v>
      </c>
      <c r="R4761" t="s">
        <v>579</v>
      </c>
      <c r="S4761" t="s">
        <v>823</v>
      </c>
      <c r="T4761">
        <v>38</v>
      </c>
      <c r="U4761" s="26" t="str">
        <f>HYPERLINK("https://ictv.global/ictv/proposals/2022.084B.Caudoviricetes_6ng_33nsp.zip","2022.084B.Caudoviricetes_6ng_33nsp.zip")</f>
        <v>2022.084B.Caudoviricetes_6ng_33nsp.zip</v>
      </c>
    </row>
    <row r="4762" spans="1:21">
      <c r="A4762">
        <v>4761</v>
      </c>
      <c r="B4762" s="27" t="s">
        <v>1449</v>
      </c>
      <c r="D4762" s="27" t="s">
        <v>1450</v>
      </c>
      <c r="F4762" s="27" t="s">
        <v>1453</v>
      </c>
      <c r="H4762" s="27" t="s">
        <v>1454</v>
      </c>
      <c r="M4762" s="27" t="s">
        <v>839</v>
      </c>
      <c r="N4762" s="27" t="s">
        <v>840</v>
      </c>
      <c r="P4762" s="27" t="s">
        <v>6318</v>
      </c>
      <c r="Q4762" s="26" t="str">
        <f>HYPERLINK("https://ictv.global/taxonomy/taxondetails?taxnode_id=202514899&amp;ictv_id=ICTV202214899","ICTV202214899")</f>
        <v>ICTV202214899</v>
      </c>
      <c r="R4762" t="s">
        <v>579</v>
      </c>
      <c r="S4762" t="s">
        <v>823</v>
      </c>
      <c r="T4762">
        <v>38</v>
      </c>
      <c r="U4762" s="26" t="str">
        <f>HYPERLINK("https://ictv.global/ictv/proposals/2022.084B.Caudoviricetes_6ng_33nsp.zip","2022.084B.Caudoviricetes_6ng_33nsp.zip")</f>
        <v>2022.084B.Caudoviricetes_6ng_33nsp.zip</v>
      </c>
    </row>
    <row r="4763" spans="1:21">
      <c r="A4763">
        <v>4762</v>
      </c>
      <c r="B4763" s="27" t="s">
        <v>1449</v>
      </c>
      <c r="D4763" s="27" t="s">
        <v>1450</v>
      </c>
      <c r="F4763" s="27" t="s">
        <v>1453</v>
      </c>
      <c r="H4763" s="27" t="s">
        <v>1454</v>
      </c>
      <c r="M4763" s="27" t="s">
        <v>839</v>
      </c>
      <c r="N4763" s="27" t="s">
        <v>840</v>
      </c>
      <c r="P4763" s="27" t="s">
        <v>6319</v>
      </c>
      <c r="Q4763" s="26" t="str">
        <f>HYPERLINK("https://ictv.global/taxonomy/taxondetails?taxnode_id=202505503&amp;ictv_id=ICTV20175503","ICTV20175503")</f>
        <v>ICTV20175503</v>
      </c>
      <c r="R4763" t="s">
        <v>579</v>
      </c>
      <c r="S4763" t="s">
        <v>824</v>
      </c>
      <c r="T4763">
        <v>37</v>
      </c>
      <c r="U4763" s="26" t="str">
        <f>HYPERLINK("https://ictv.global/ictv/proposals/2021.010B.R.Binomial_names.zip","2021.010B.R.Binomial_names.zip")</f>
        <v>2021.010B.R.Binomial_names.zip</v>
      </c>
    </row>
    <row r="4764" spans="1:21">
      <c r="A4764">
        <v>4763</v>
      </c>
      <c r="B4764" s="27" t="s">
        <v>1449</v>
      </c>
      <c r="D4764" s="27" t="s">
        <v>1450</v>
      </c>
      <c r="F4764" s="27" t="s">
        <v>1453</v>
      </c>
      <c r="H4764" s="27" t="s">
        <v>1454</v>
      </c>
      <c r="M4764" s="27" t="s">
        <v>839</v>
      </c>
      <c r="N4764" s="27" t="s">
        <v>840</v>
      </c>
      <c r="P4764" s="27" t="s">
        <v>6320</v>
      </c>
      <c r="Q4764" s="26" t="str">
        <f>HYPERLINK("https://ictv.global/taxonomy/taxondetails?taxnode_id=202514898&amp;ictv_id=ICTV202214898","ICTV202214898")</f>
        <v>ICTV202214898</v>
      </c>
      <c r="R4764" t="s">
        <v>579</v>
      </c>
      <c r="S4764" t="s">
        <v>823</v>
      </c>
      <c r="T4764">
        <v>38</v>
      </c>
      <c r="U4764" s="26" t="str">
        <f>HYPERLINK("https://ictv.global/ictv/proposals/2022.084B.Caudoviricetes_6ng_33nsp.zip","2022.084B.Caudoviricetes_6ng_33nsp.zip")</f>
        <v>2022.084B.Caudoviricetes_6ng_33nsp.zip</v>
      </c>
    </row>
    <row r="4765" spans="1:21">
      <c r="A4765">
        <v>4764</v>
      </c>
      <c r="B4765" s="27" t="s">
        <v>1449</v>
      </c>
      <c r="D4765" s="27" t="s">
        <v>1450</v>
      </c>
      <c r="F4765" s="27" t="s">
        <v>1453</v>
      </c>
      <c r="H4765" s="27" t="s">
        <v>1454</v>
      </c>
      <c r="M4765" s="27" t="s">
        <v>839</v>
      </c>
      <c r="N4765" s="27" t="s">
        <v>840</v>
      </c>
      <c r="P4765" s="27" t="s">
        <v>6321</v>
      </c>
      <c r="Q4765" s="26" t="str">
        <f>HYPERLINK("https://ictv.global/taxonomy/taxondetails?taxnode_id=202514894&amp;ictv_id=ICTV202214894","ICTV202214894")</f>
        <v>ICTV202214894</v>
      </c>
      <c r="R4765" t="s">
        <v>579</v>
      </c>
      <c r="S4765" t="s">
        <v>823</v>
      </c>
      <c r="T4765">
        <v>38</v>
      </c>
      <c r="U4765" s="26" t="str">
        <f>HYPERLINK("https://ictv.global/ictv/proposals/2022.084B.Caudoviricetes_6ng_33nsp.zip","2022.084B.Caudoviricetes_6ng_33nsp.zip")</f>
        <v>2022.084B.Caudoviricetes_6ng_33nsp.zip</v>
      </c>
    </row>
    <row r="4766" spans="1:21">
      <c r="A4766">
        <v>4765</v>
      </c>
      <c r="B4766" s="27" t="s">
        <v>1449</v>
      </c>
      <c r="D4766" s="27" t="s">
        <v>1450</v>
      </c>
      <c r="F4766" s="27" t="s">
        <v>1453</v>
      </c>
      <c r="H4766" s="27" t="s">
        <v>1454</v>
      </c>
      <c r="M4766" s="27" t="s">
        <v>839</v>
      </c>
      <c r="N4766" s="27" t="s">
        <v>840</v>
      </c>
      <c r="P4766" s="27" t="s">
        <v>6322</v>
      </c>
      <c r="Q4766" s="26" t="str">
        <f>HYPERLINK("https://ictv.global/taxonomy/taxondetails?taxnode_id=202505502&amp;ictv_id=ICTV20175502","ICTV20175502")</f>
        <v>ICTV20175502</v>
      </c>
      <c r="R4766" t="s">
        <v>579</v>
      </c>
      <c r="S4766" t="s">
        <v>824</v>
      </c>
      <c r="T4766">
        <v>37</v>
      </c>
      <c r="U4766" s="26" t="str">
        <f>HYPERLINK("https://ictv.global/ictv/proposals/2021.010B.R.Binomial_names.zip","2021.010B.R.Binomial_names.zip")</f>
        <v>2021.010B.R.Binomial_names.zip</v>
      </c>
    </row>
    <row r="4767" spans="1:21">
      <c r="A4767">
        <v>4766</v>
      </c>
      <c r="B4767" s="27" t="s">
        <v>1449</v>
      </c>
      <c r="D4767" s="27" t="s">
        <v>1450</v>
      </c>
      <c r="F4767" s="27" t="s">
        <v>1453</v>
      </c>
      <c r="H4767" s="27" t="s">
        <v>1454</v>
      </c>
      <c r="M4767" s="27" t="s">
        <v>740</v>
      </c>
      <c r="N4767" s="27" t="s">
        <v>611</v>
      </c>
      <c r="P4767" s="27" t="s">
        <v>6347</v>
      </c>
      <c r="Q4767" s="26" t="str">
        <f>HYPERLINK("https://ictv.global/taxonomy/taxondetails?taxnode_id=202500794&amp;ictv_id=ICTV20140291","ICTV20140291")</f>
        <v>ICTV20140291</v>
      </c>
      <c r="R4767" t="s">
        <v>579</v>
      </c>
      <c r="S4767" t="s">
        <v>824</v>
      </c>
      <c r="T4767">
        <v>37</v>
      </c>
      <c r="U4767" s="26" t="str">
        <f>HYPERLINK("https://ictv.global/ictv/proposals/2021.062B.R.Pclasvirinae_new_genera.zip","2021.062B.R.Pclasvirinae_new_genera.zip")</f>
        <v>2021.062B.R.Pclasvirinae_new_genera.zip</v>
      </c>
    </row>
    <row r="4768" spans="1:21">
      <c r="A4768">
        <v>4767</v>
      </c>
      <c r="B4768" s="27" t="s">
        <v>1449</v>
      </c>
      <c r="D4768" s="27" t="s">
        <v>1450</v>
      </c>
      <c r="F4768" s="27" t="s">
        <v>1453</v>
      </c>
      <c r="H4768" s="27" t="s">
        <v>1454</v>
      </c>
      <c r="M4768" s="27" t="s">
        <v>740</v>
      </c>
      <c r="N4768" s="27" t="s">
        <v>741</v>
      </c>
      <c r="P4768" s="27" t="s">
        <v>6348</v>
      </c>
      <c r="Q4768" s="26" t="str">
        <f>HYPERLINK("https://ictv.global/taxonomy/taxondetails?taxnode_id=202512819&amp;ictv_id=ICTV202112819","ICTV202112819")</f>
        <v>ICTV202112819</v>
      </c>
      <c r="R4768" t="s">
        <v>579</v>
      </c>
      <c r="S4768" t="s">
        <v>823</v>
      </c>
      <c r="T4768">
        <v>37</v>
      </c>
      <c r="U4768" s="26" t="str">
        <f>HYPERLINK("https://ictv.global/ictv/proposals/2021.062B.R.Pclasvirinae_new_genera.zip","2021.062B.R.Pclasvirinae_new_genera.zip")</f>
        <v>2021.062B.R.Pclasvirinae_new_genera.zip</v>
      </c>
    </row>
    <row r="4769" spans="1:21">
      <c r="A4769">
        <v>4768</v>
      </c>
      <c r="B4769" s="27" t="s">
        <v>1449</v>
      </c>
      <c r="D4769" s="27" t="s">
        <v>1450</v>
      </c>
      <c r="F4769" s="27" t="s">
        <v>1453</v>
      </c>
      <c r="H4769" s="27" t="s">
        <v>1454</v>
      </c>
      <c r="M4769" s="27" t="s">
        <v>740</v>
      </c>
      <c r="N4769" s="27" t="s">
        <v>741</v>
      </c>
      <c r="P4769" s="27" t="s">
        <v>6349</v>
      </c>
      <c r="Q4769" s="26" t="str">
        <f>HYPERLINK("https://ictv.global/taxonomy/taxondetails?taxnode_id=202512820&amp;ictv_id=ICTV202112820","ICTV202112820")</f>
        <v>ICTV202112820</v>
      </c>
      <c r="R4769" t="s">
        <v>579</v>
      </c>
      <c r="S4769" t="s">
        <v>823</v>
      </c>
      <c r="T4769">
        <v>37</v>
      </c>
      <c r="U4769" s="26" t="str">
        <f>HYPERLINK("https://ictv.global/ictv/proposals/2021.062B.R.Pclasvirinae_new_genera.zip","2021.062B.R.Pclasvirinae_new_genera.zip")</f>
        <v>2021.062B.R.Pclasvirinae_new_genera.zip</v>
      </c>
    </row>
    <row r="4770" spans="1:21">
      <c r="A4770">
        <v>4769</v>
      </c>
      <c r="B4770" s="27" t="s">
        <v>1449</v>
      </c>
      <c r="D4770" s="27" t="s">
        <v>1450</v>
      </c>
      <c r="F4770" s="27" t="s">
        <v>1453</v>
      </c>
      <c r="H4770" s="27" t="s">
        <v>1454</v>
      </c>
      <c r="M4770" s="27" t="s">
        <v>740</v>
      </c>
      <c r="N4770" s="27" t="s">
        <v>741</v>
      </c>
      <c r="P4770" s="27" t="s">
        <v>6350</v>
      </c>
      <c r="Q4770" s="26" t="str">
        <f>HYPERLINK("https://ictv.global/taxonomy/taxondetails?taxnode_id=202512821&amp;ictv_id=ICTV202112821","ICTV202112821")</f>
        <v>ICTV202112821</v>
      </c>
      <c r="R4770" t="s">
        <v>579</v>
      </c>
      <c r="S4770" t="s">
        <v>823</v>
      </c>
      <c r="T4770">
        <v>37</v>
      </c>
      <c r="U4770" s="26" t="str">
        <f>HYPERLINK("https://ictv.global/ictv/proposals/2021.062B.R.Pclasvirinae_new_genera.zip","2021.062B.R.Pclasvirinae_new_genera.zip")</f>
        <v>2021.062B.R.Pclasvirinae_new_genera.zip</v>
      </c>
    </row>
    <row r="4771" spans="1:21">
      <c r="A4771">
        <v>4770</v>
      </c>
      <c r="B4771" s="27" t="s">
        <v>1449</v>
      </c>
      <c r="D4771" s="27" t="s">
        <v>1450</v>
      </c>
      <c r="F4771" s="27" t="s">
        <v>1453</v>
      </c>
      <c r="H4771" s="27" t="s">
        <v>1454</v>
      </c>
      <c r="M4771" s="27" t="s">
        <v>740</v>
      </c>
      <c r="N4771" s="27" t="s">
        <v>741</v>
      </c>
      <c r="P4771" s="27" t="s">
        <v>6351</v>
      </c>
      <c r="Q4771" s="26" t="str">
        <f>HYPERLINK("https://ictv.global/taxonomy/taxondetails?taxnode_id=202500796&amp;ictv_id=ICTV20164962","ICTV20164962")</f>
        <v>ICTV20164962</v>
      </c>
      <c r="R4771" t="s">
        <v>579</v>
      </c>
      <c r="S4771" t="s">
        <v>824</v>
      </c>
      <c r="T4771">
        <v>37</v>
      </c>
      <c r="U4771" s="26" t="str">
        <f>HYPERLINK("https://ictv.global/ictv/proposals/2021.010B.R.Binomial_names.zip","2021.010B.R.Binomial_names.zip")</f>
        <v>2021.010B.R.Binomial_names.zip</v>
      </c>
    </row>
    <row r="4772" spans="1:21">
      <c r="A4772">
        <v>4771</v>
      </c>
      <c r="B4772" s="27" t="s">
        <v>1449</v>
      </c>
      <c r="D4772" s="27" t="s">
        <v>1450</v>
      </c>
      <c r="F4772" s="27" t="s">
        <v>1453</v>
      </c>
      <c r="H4772" s="27" t="s">
        <v>1454</v>
      </c>
      <c r="M4772" s="27" t="s">
        <v>740</v>
      </c>
      <c r="N4772" s="27" t="s">
        <v>741</v>
      </c>
      <c r="P4772" s="27" t="s">
        <v>6352</v>
      </c>
      <c r="Q4772" s="26" t="str">
        <f>HYPERLINK("https://ictv.global/taxonomy/taxondetails?taxnode_id=202500797&amp;ictv_id=ICTV20164963","ICTV20164963")</f>
        <v>ICTV20164963</v>
      </c>
      <c r="R4772" t="s">
        <v>579</v>
      </c>
      <c r="S4772" t="s">
        <v>824</v>
      </c>
      <c r="T4772">
        <v>37</v>
      </c>
      <c r="U4772" s="26" t="str">
        <f>HYPERLINK("https://ictv.global/ictv/proposals/2021.010B.R.Binomial_names.zip","2021.010B.R.Binomial_names.zip")</f>
        <v>2021.010B.R.Binomial_names.zip</v>
      </c>
    </row>
    <row r="4773" spans="1:21">
      <c r="A4773">
        <v>4772</v>
      </c>
      <c r="B4773" s="27" t="s">
        <v>1449</v>
      </c>
      <c r="D4773" s="27" t="s">
        <v>1450</v>
      </c>
      <c r="F4773" s="27" t="s">
        <v>1453</v>
      </c>
      <c r="H4773" s="27" t="s">
        <v>1454</v>
      </c>
      <c r="M4773" s="27" t="s">
        <v>740</v>
      </c>
      <c r="N4773" s="27" t="s">
        <v>741</v>
      </c>
      <c r="P4773" s="27" t="s">
        <v>6353</v>
      </c>
      <c r="Q4773" s="26" t="str">
        <f>HYPERLINK("https://ictv.global/taxonomy/taxondetails?taxnode_id=202512822&amp;ictv_id=ICTV202112822","ICTV202112822")</f>
        <v>ICTV202112822</v>
      </c>
      <c r="R4773" t="s">
        <v>579</v>
      </c>
      <c r="S4773" t="s">
        <v>823</v>
      </c>
      <c r="T4773">
        <v>37</v>
      </c>
      <c r="U4773" s="26" t="str">
        <f>HYPERLINK("https://ictv.global/ictv/proposals/2021.062B.R.Pclasvirinae_new_genera.zip","2021.062B.R.Pclasvirinae_new_genera.zip")</f>
        <v>2021.062B.R.Pclasvirinae_new_genera.zip</v>
      </c>
    </row>
    <row r="4774" spans="1:21">
      <c r="A4774">
        <v>4773</v>
      </c>
      <c r="B4774" s="27" t="s">
        <v>1449</v>
      </c>
      <c r="D4774" s="27" t="s">
        <v>1450</v>
      </c>
      <c r="F4774" s="27" t="s">
        <v>1453</v>
      </c>
      <c r="H4774" s="27" t="s">
        <v>1454</v>
      </c>
      <c r="M4774" s="27" t="s">
        <v>740</v>
      </c>
      <c r="N4774" s="27" t="s">
        <v>741</v>
      </c>
      <c r="P4774" s="27" t="s">
        <v>6354</v>
      </c>
      <c r="Q4774" s="26" t="str">
        <f>HYPERLINK("https://ictv.global/taxonomy/taxondetails?taxnode_id=202500798&amp;ictv_id=ICTV20164964","ICTV20164964")</f>
        <v>ICTV20164964</v>
      </c>
      <c r="R4774" t="s">
        <v>579</v>
      </c>
      <c r="S4774" t="s">
        <v>824</v>
      </c>
      <c r="T4774">
        <v>37</v>
      </c>
      <c r="U4774" s="26" t="str">
        <f>HYPERLINK("https://ictv.global/ictv/proposals/2021.010B.R.Binomial_names.zip","2021.010B.R.Binomial_names.zip")</f>
        <v>2021.010B.R.Binomial_names.zip</v>
      </c>
    </row>
    <row r="4775" spans="1:21">
      <c r="A4775">
        <v>4774</v>
      </c>
      <c r="B4775" s="27" t="s">
        <v>1449</v>
      </c>
      <c r="D4775" s="27" t="s">
        <v>1450</v>
      </c>
      <c r="F4775" s="27" t="s">
        <v>1453</v>
      </c>
      <c r="H4775" s="27" t="s">
        <v>1454</v>
      </c>
      <c r="M4775" s="27" t="s">
        <v>740</v>
      </c>
      <c r="N4775" s="27" t="s">
        <v>741</v>
      </c>
      <c r="P4775" s="27" t="s">
        <v>6355</v>
      </c>
      <c r="Q4775" s="26" t="str">
        <f>HYPERLINK("https://ictv.global/taxonomy/taxondetails?taxnode_id=202512823&amp;ictv_id=ICTV202112823","ICTV202112823")</f>
        <v>ICTV202112823</v>
      </c>
      <c r="R4775" t="s">
        <v>579</v>
      </c>
      <c r="S4775" t="s">
        <v>823</v>
      </c>
      <c r="T4775">
        <v>37</v>
      </c>
      <c r="U4775" s="26" t="str">
        <f>HYPERLINK("https://ictv.global/ictv/proposals/2021.062B.R.Pclasvirinae_new_genera.zip","2021.062B.R.Pclasvirinae_new_genera.zip")</f>
        <v>2021.062B.R.Pclasvirinae_new_genera.zip</v>
      </c>
    </row>
    <row r="4776" spans="1:21">
      <c r="A4776">
        <v>4775</v>
      </c>
      <c r="B4776" s="27" t="s">
        <v>1449</v>
      </c>
      <c r="D4776" s="27" t="s">
        <v>1450</v>
      </c>
      <c r="F4776" s="27" t="s">
        <v>1453</v>
      </c>
      <c r="H4776" s="27" t="s">
        <v>1454</v>
      </c>
      <c r="M4776" s="27" t="s">
        <v>740</v>
      </c>
      <c r="N4776" s="27" t="s">
        <v>741</v>
      </c>
      <c r="P4776" s="27" t="s">
        <v>6356</v>
      </c>
      <c r="Q4776" s="26" t="str">
        <f>HYPERLINK("https://ictv.global/taxonomy/taxondetails?taxnode_id=202500799&amp;ictv_id=ICTV20140292","ICTV20140292")</f>
        <v>ICTV20140292</v>
      </c>
      <c r="R4776" t="s">
        <v>579</v>
      </c>
      <c r="S4776" t="s">
        <v>824</v>
      </c>
      <c r="T4776">
        <v>37</v>
      </c>
      <c r="U4776" s="26" t="str">
        <f>HYPERLINK("https://ictv.global/ictv/proposals/2021.010B.R.Binomial_names.zip","2021.010B.R.Binomial_names.zip")</f>
        <v>2021.010B.R.Binomial_names.zip</v>
      </c>
    </row>
    <row r="4777" spans="1:21">
      <c r="A4777">
        <v>4776</v>
      </c>
      <c r="B4777" s="27" t="s">
        <v>1449</v>
      </c>
      <c r="D4777" s="27" t="s">
        <v>1450</v>
      </c>
      <c r="F4777" s="27" t="s">
        <v>1453</v>
      </c>
      <c r="H4777" s="27" t="s">
        <v>1454</v>
      </c>
      <c r="M4777" s="27" t="s">
        <v>740</v>
      </c>
      <c r="N4777" s="27" t="s">
        <v>741</v>
      </c>
      <c r="P4777" s="27" t="s">
        <v>6357</v>
      </c>
      <c r="Q4777" s="26" t="str">
        <f>HYPERLINK("https://ictv.global/taxonomy/taxondetails?taxnode_id=202512824&amp;ictv_id=ICTV202112824","ICTV202112824")</f>
        <v>ICTV202112824</v>
      </c>
      <c r="R4777" t="s">
        <v>579</v>
      </c>
      <c r="S4777" t="s">
        <v>823</v>
      </c>
      <c r="T4777">
        <v>37</v>
      </c>
      <c r="U4777" s="26" t="str">
        <f>HYPERLINK("https://ictv.global/ictv/proposals/2021.062B.R.Pclasvirinae_new_genera.zip","2021.062B.R.Pclasvirinae_new_genera.zip")</f>
        <v>2021.062B.R.Pclasvirinae_new_genera.zip</v>
      </c>
    </row>
    <row r="4778" spans="1:21">
      <c r="A4778">
        <v>4777</v>
      </c>
      <c r="B4778" s="27" t="s">
        <v>1449</v>
      </c>
      <c r="D4778" s="27" t="s">
        <v>1450</v>
      </c>
      <c r="F4778" s="27" t="s">
        <v>1453</v>
      </c>
      <c r="H4778" s="27" t="s">
        <v>1454</v>
      </c>
      <c r="M4778" s="27" t="s">
        <v>740</v>
      </c>
      <c r="N4778" s="27" t="s">
        <v>741</v>
      </c>
      <c r="P4778" s="27" t="s">
        <v>6358</v>
      </c>
      <c r="Q4778" s="26" t="str">
        <f>HYPERLINK("https://ictv.global/taxonomy/taxondetails?taxnode_id=202512825&amp;ictv_id=ICTV202112825","ICTV202112825")</f>
        <v>ICTV202112825</v>
      </c>
      <c r="R4778" t="s">
        <v>579</v>
      </c>
      <c r="S4778" t="s">
        <v>823</v>
      </c>
      <c r="T4778">
        <v>37</v>
      </c>
      <c r="U4778" s="26" t="str">
        <f>HYPERLINK("https://ictv.global/ictv/proposals/2021.062B.R.Pclasvirinae_new_genera.zip","2021.062B.R.Pclasvirinae_new_genera.zip")</f>
        <v>2021.062B.R.Pclasvirinae_new_genera.zip</v>
      </c>
    </row>
    <row r="4779" spans="1:21">
      <c r="A4779">
        <v>4778</v>
      </c>
      <c r="B4779" s="27" t="s">
        <v>1449</v>
      </c>
      <c r="D4779" s="27" t="s">
        <v>1450</v>
      </c>
      <c r="F4779" s="27" t="s">
        <v>1453</v>
      </c>
      <c r="H4779" s="27" t="s">
        <v>1454</v>
      </c>
      <c r="M4779" s="27" t="s">
        <v>740</v>
      </c>
      <c r="N4779" s="27" t="s">
        <v>741</v>
      </c>
      <c r="P4779" s="27" t="s">
        <v>6359</v>
      </c>
      <c r="Q4779" s="26" t="str">
        <f>HYPERLINK("https://ictv.global/taxonomy/taxondetails?taxnode_id=202512826&amp;ictv_id=ICTV202112826","ICTV202112826")</f>
        <v>ICTV202112826</v>
      </c>
      <c r="R4779" t="s">
        <v>579</v>
      </c>
      <c r="S4779" t="s">
        <v>823</v>
      </c>
      <c r="T4779">
        <v>37</v>
      </c>
      <c r="U4779" s="26" t="str">
        <f>HYPERLINK("https://ictv.global/ictv/proposals/2021.062B.R.Pclasvirinae_new_genera.zip","2021.062B.R.Pclasvirinae_new_genera.zip")</f>
        <v>2021.062B.R.Pclasvirinae_new_genera.zip</v>
      </c>
    </row>
    <row r="4780" spans="1:21">
      <c r="A4780">
        <v>4779</v>
      </c>
      <c r="B4780" s="27" t="s">
        <v>1449</v>
      </c>
      <c r="D4780" s="27" t="s">
        <v>1450</v>
      </c>
      <c r="F4780" s="27" t="s">
        <v>1453</v>
      </c>
      <c r="H4780" s="27" t="s">
        <v>1454</v>
      </c>
      <c r="M4780" s="27" t="s">
        <v>740</v>
      </c>
      <c r="N4780" s="27" t="s">
        <v>741</v>
      </c>
      <c r="P4780" s="27" t="s">
        <v>6360</v>
      </c>
      <c r="Q4780" s="26" t="str">
        <f>HYPERLINK("https://ictv.global/taxonomy/taxondetails?taxnode_id=202512827&amp;ictv_id=ICTV202112827","ICTV202112827")</f>
        <v>ICTV202112827</v>
      </c>
      <c r="R4780" t="s">
        <v>579</v>
      </c>
      <c r="S4780" t="s">
        <v>823</v>
      </c>
      <c r="T4780">
        <v>37</v>
      </c>
      <c r="U4780" s="26" t="str">
        <f>HYPERLINK("https://ictv.global/ictv/proposals/2021.062B.R.Pclasvirinae_new_genera.zip","2021.062B.R.Pclasvirinae_new_genera.zip")</f>
        <v>2021.062B.R.Pclasvirinae_new_genera.zip</v>
      </c>
    </row>
    <row r="4781" spans="1:21">
      <c r="A4781">
        <v>4780</v>
      </c>
      <c r="B4781" s="27" t="s">
        <v>1449</v>
      </c>
      <c r="D4781" s="27" t="s">
        <v>1450</v>
      </c>
      <c r="F4781" s="27" t="s">
        <v>1453</v>
      </c>
      <c r="H4781" s="27" t="s">
        <v>1454</v>
      </c>
      <c r="M4781" s="27" t="s">
        <v>740</v>
      </c>
      <c r="N4781" s="27" t="s">
        <v>741</v>
      </c>
      <c r="P4781" s="27" t="s">
        <v>6361</v>
      </c>
      <c r="Q4781" s="26" t="str">
        <f>HYPERLINK("https://ictv.global/taxonomy/taxondetails?taxnode_id=202500800&amp;ictv_id=ICTV20164965","ICTV20164965")</f>
        <v>ICTV20164965</v>
      </c>
      <c r="R4781" t="s">
        <v>579</v>
      </c>
      <c r="S4781" t="s">
        <v>824</v>
      </c>
      <c r="T4781">
        <v>37</v>
      </c>
      <c r="U4781" s="26" t="str">
        <f>HYPERLINK("https://ictv.global/ictv/proposals/2021.010B.R.Binomial_names.zip","2021.010B.R.Binomial_names.zip")</f>
        <v>2021.010B.R.Binomial_names.zip</v>
      </c>
    </row>
    <row r="4782" spans="1:21">
      <c r="A4782">
        <v>4781</v>
      </c>
      <c r="B4782" s="27" t="s">
        <v>1449</v>
      </c>
      <c r="D4782" s="27" t="s">
        <v>1450</v>
      </c>
      <c r="F4782" s="27" t="s">
        <v>1453</v>
      </c>
      <c r="H4782" s="27" t="s">
        <v>1454</v>
      </c>
      <c r="M4782" s="27" t="s">
        <v>740</v>
      </c>
      <c r="N4782" s="27" t="s">
        <v>741</v>
      </c>
      <c r="P4782" s="27" t="s">
        <v>6362</v>
      </c>
      <c r="Q4782" s="26" t="str">
        <f>HYPERLINK("https://ictv.global/taxonomy/taxondetails?taxnode_id=202512828&amp;ictv_id=ICTV202112828","ICTV202112828")</f>
        <v>ICTV202112828</v>
      </c>
      <c r="R4782" t="s">
        <v>579</v>
      </c>
      <c r="S4782" t="s">
        <v>823</v>
      </c>
      <c r="T4782">
        <v>37</v>
      </c>
      <c r="U4782" s="26" t="str">
        <f>HYPERLINK("https://ictv.global/ictv/proposals/2021.062B.R.Pclasvirinae_new_genera.zip","2021.062B.R.Pclasvirinae_new_genera.zip")</f>
        <v>2021.062B.R.Pclasvirinae_new_genera.zip</v>
      </c>
    </row>
    <row r="4783" spans="1:21">
      <c r="A4783">
        <v>4782</v>
      </c>
      <c r="B4783" s="27" t="s">
        <v>1449</v>
      </c>
      <c r="D4783" s="27" t="s">
        <v>1450</v>
      </c>
      <c r="F4783" s="27" t="s">
        <v>1453</v>
      </c>
      <c r="H4783" s="27" t="s">
        <v>1454</v>
      </c>
      <c r="M4783" s="27" t="s">
        <v>740</v>
      </c>
      <c r="N4783" s="27" t="s">
        <v>741</v>
      </c>
      <c r="P4783" s="27" t="s">
        <v>6363</v>
      </c>
      <c r="Q4783" s="26" t="str">
        <f>HYPERLINK("https://ictv.global/taxonomy/taxondetails?taxnode_id=202512829&amp;ictv_id=ICTV202112829","ICTV202112829")</f>
        <v>ICTV202112829</v>
      </c>
      <c r="R4783" t="s">
        <v>579</v>
      </c>
      <c r="S4783" t="s">
        <v>823</v>
      </c>
      <c r="T4783">
        <v>37</v>
      </c>
      <c r="U4783" s="26" t="str">
        <f>HYPERLINK("https://ictv.global/ictv/proposals/2021.062B.R.Pclasvirinae_new_genera.zip","2021.062B.R.Pclasvirinae_new_genera.zip")</f>
        <v>2021.062B.R.Pclasvirinae_new_genera.zip</v>
      </c>
    </row>
    <row r="4784" spans="1:21">
      <c r="A4784">
        <v>4783</v>
      </c>
      <c r="B4784" s="27" t="s">
        <v>1449</v>
      </c>
      <c r="D4784" s="27" t="s">
        <v>1450</v>
      </c>
      <c r="F4784" s="27" t="s">
        <v>1453</v>
      </c>
      <c r="H4784" s="27" t="s">
        <v>1454</v>
      </c>
      <c r="M4784" s="27" t="s">
        <v>740</v>
      </c>
      <c r="N4784" s="27" t="s">
        <v>769</v>
      </c>
      <c r="P4784" s="27" t="s">
        <v>6364</v>
      </c>
      <c r="Q4784" s="26" t="str">
        <f>HYPERLINK("https://ictv.global/taxonomy/taxondetails?taxnode_id=202500802&amp;ictv_id=ICTV20164966","ICTV20164966")</f>
        <v>ICTV20164966</v>
      </c>
      <c r="R4784" t="s">
        <v>579</v>
      </c>
      <c r="S4784" t="s">
        <v>824</v>
      </c>
      <c r="T4784">
        <v>37</v>
      </c>
      <c r="U4784" s="26" t="str">
        <f>HYPERLINK("https://ictv.global/ictv/proposals/2021.010B.R.Binomial_names.zip","2021.010B.R.Binomial_names.zip")</f>
        <v>2021.010B.R.Binomial_names.zip</v>
      </c>
    </row>
    <row r="4785" spans="1:21">
      <c r="A4785">
        <v>4784</v>
      </c>
      <c r="B4785" s="27" t="s">
        <v>1449</v>
      </c>
      <c r="D4785" s="27" t="s">
        <v>1450</v>
      </c>
      <c r="F4785" s="27" t="s">
        <v>1453</v>
      </c>
      <c r="H4785" s="27" t="s">
        <v>1454</v>
      </c>
      <c r="M4785" s="27" t="s">
        <v>740</v>
      </c>
      <c r="N4785" s="27" t="s">
        <v>769</v>
      </c>
      <c r="P4785" s="27" t="s">
        <v>6365</v>
      </c>
      <c r="Q4785" s="26" t="str">
        <f>HYPERLINK("https://ictv.global/taxonomy/taxondetails?taxnode_id=202512830&amp;ictv_id=ICTV202112830","ICTV202112830")</f>
        <v>ICTV202112830</v>
      </c>
      <c r="R4785" t="s">
        <v>579</v>
      </c>
      <c r="S4785" t="s">
        <v>823</v>
      </c>
      <c r="T4785">
        <v>37</v>
      </c>
      <c r="U4785" s="26" t="str">
        <f>HYPERLINK("https://ictv.global/ictv/proposals/2021.062B.R.Pclasvirinae_new_genera.zip","2021.062B.R.Pclasvirinae_new_genera.zip")</f>
        <v>2021.062B.R.Pclasvirinae_new_genera.zip</v>
      </c>
    </row>
    <row r="4786" spans="1:21">
      <c r="A4786">
        <v>4785</v>
      </c>
      <c r="B4786" s="27" t="s">
        <v>1449</v>
      </c>
      <c r="D4786" s="27" t="s">
        <v>1450</v>
      </c>
      <c r="F4786" s="27" t="s">
        <v>1453</v>
      </c>
      <c r="H4786" s="27" t="s">
        <v>1454</v>
      </c>
      <c r="M4786" s="27" t="s">
        <v>740</v>
      </c>
      <c r="N4786" s="27" t="s">
        <v>6366</v>
      </c>
      <c r="P4786" s="27" t="s">
        <v>6367</v>
      </c>
      <c r="Q4786" s="26" t="str">
        <f>HYPERLINK("https://ictv.global/taxonomy/taxondetails?taxnode_id=202512834&amp;ictv_id=ICTV202112834","ICTV202112834")</f>
        <v>ICTV202112834</v>
      </c>
      <c r="R4786" t="s">
        <v>579</v>
      </c>
      <c r="S4786" t="s">
        <v>823</v>
      </c>
      <c r="T4786">
        <v>37</v>
      </c>
      <c r="U4786" s="26" t="str">
        <f>HYPERLINK("https://ictv.global/ictv/proposals/2021.062B.R.Pclasvirinae_new_genera.zip","2021.062B.R.Pclasvirinae_new_genera.zip")</f>
        <v>2021.062B.R.Pclasvirinae_new_genera.zip</v>
      </c>
    </row>
    <row r="4787" spans="1:21">
      <c r="A4787">
        <v>4786</v>
      </c>
      <c r="B4787" s="27" t="s">
        <v>1449</v>
      </c>
      <c r="D4787" s="27" t="s">
        <v>1450</v>
      </c>
      <c r="F4787" s="27" t="s">
        <v>1453</v>
      </c>
      <c r="H4787" s="27" t="s">
        <v>1454</v>
      </c>
      <c r="M4787" s="27" t="s">
        <v>740</v>
      </c>
      <c r="N4787" s="27" t="s">
        <v>1426</v>
      </c>
      <c r="P4787" s="27" t="s">
        <v>19829</v>
      </c>
      <c r="Q4787" s="26" t="str">
        <f>HYPERLINK("https://ictv.global/taxonomy/taxondetails?taxnode_id=202506722&amp;ictv_id=ICTV201856722","ICTV201856722")</f>
        <v>ICTV201856722</v>
      </c>
      <c r="R4787" t="s">
        <v>579</v>
      </c>
      <c r="S4787" t="s">
        <v>824</v>
      </c>
      <c r="T4787">
        <v>40</v>
      </c>
      <c r="U4787" s="26" t="str">
        <f>HYPERLINK("https://ictv.global/ictv/proposals/2024.036B.Caudoviricetes_Faserviricetes_Name_Corrections.zip","2024.036B.Caudoviricetes_Faserviricetes_Name_Corrections.zip")</f>
        <v>2024.036B.Caudoviricetes_Faserviricetes_Name_Corrections.zip</v>
      </c>
    </row>
    <row r="4788" spans="1:21">
      <c r="A4788">
        <v>4787</v>
      </c>
      <c r="B4788" s="27" t="s">
        <v>1449</v>
      </c>
      <c r="D4788" s="27" t="s">
        <v>1450</v>
      </c>
      <c r="F4788" s="27" t="s">
        <v>1453</v>
      </c>
      <c r="H4788" s="27" t="s">
        <v>1454</v>
      </c>
      <c r="M4788" s="27" t="s">
        <v>740</v>
      </c>
      <c r="N4788" s="27" t="s">
        <v>6368</v>
      </c>
      <c r="P4788" s="27" t="s">
        <v>6369</v>
      </c>
      <c r="Q4788" s="26" t="str">
        <f>HYPERLINK("https://ictv.global/taxonomy/taxondetails?taxnode_id=202512832&amp;ictv_id=ICTV202112832","ICTV202112832")</f>
        <v>ICTV202112832</v>
      </c>
      <c r="R4788" t="s">
        <v>579</v>
      </c>
      <c r="S4788" t="s">
        <v>823</v>
      </c>
      <c r="T4788">
        <v>37</v>
      </c>
      <c r="U4788" s="26" t="str">
        <f>HYPERLINK("https://ictv.global/ictv/proposals/2021.062B.R.Pclasvirinae_new_genera.zip","2021.062B.R.Pclasvirinae_new_genera.zip")</f>
        <v>2021.062B.R.Pclasvirinae_new_genera.zip</v>
      </c>
    </row>
    <row r="4789" spans="1:21">
      <c r="A4789">
        <v>4788</v>
      </c>
      <c r="B4789" s="27" t="s">
        <v>1449</v>
      </c>
      <c r="D4789" s="27" t="s">
        <v>1450</v>
      </c>
      <c r="F4789" s="27" t="s">
        <v>1453</v>
      </c>
      <c r="H4789" s="27" t="s">
        <v>1454</v>
      </c>
      <c r="M4789" s="27" t="s">
        <v>22465</v>
      </c>
      <c r="N4789" s="27" t="s">
        <v>22466</v>
      </c>
      <c r="P4789" s="27" t="s">
        <v>22480</v>
      </c>
      <c r="Q4789" s="26" t="str">
        <f>HYPERLINK("https://ictv.global/taxonomy/taxondetails?taxnode_id=202523109&amp;ictv_id=ICTV202523109","ICTV202523109")</f>
        <v>ICTV202523109</v>
      </c>
      <c r="R4789" t="s">
        <v>579</v>
      </c>
      <c r="S4789" t="s">
        <v>823</v>
      </c>
      <c r="T4789">
        <v>41</v>
      </c>
      <c r="U4789" s="26" t="str">
        <f t="shared" ref="U4789:U4804" si="184">HYPERLINK("https://ictv.global/ictv/proposals/2025.057B.Pearlrivervirinae_1nsf_2ng_16ns.zip","2025.057B.Pearlrivervirinae_1nsf_2ng_16ns.zip")</f>
        <v>2025.057B.Pearlrivervirinae_1nsf_2ng_16ns.zip</v>
      </c>
    </row>
    <row r="4790" spans="1:21">
      <c r="A4790">
        <v>4789</v>
      </c>
      <c r="B4790" s="27" t="s">
        <v>1449</v>
      </c>
      <c r="D4790" s="27" t="s">
        <v>1450</v>
      </c>
      <c r="F4790" s="27" t="s">
        <v>1453</v>
      </c>
      <c r="H4790" s="27" t="s">
        <v>1454</v>
      </c>
      <c r="M4790" s="27" t="s">
        <v>22465</v>
      </c>
      <c r="N4790" s="27" t="s">
        <v>22466</v>
      </c>
      <c r="P4790" s="27" t="s">
        <v>22479</v>
      </c>
      <c r="Q4790" s="26" t="str">
        <f>HYPERLINK("https://ictv.global/taxonomy/taxondetails?taxnode_id=202523108&amp;ictv_id=ICTV202523108","ICTV202523108")</f>
        <v>ICTV202523108</v>
      </c>
      <c r="R4790" t="s">
        <v>579</v>
      </c>
      <c r="S4790" t="s">
        <v>823</v>
      </c>
      <c r="T4790">
        <v>41</v>
      </c>
      <c r="U4790" s="26" t="str">
        <f t="shared" si="184"/>
        <v>2025.057B.Pearlrivervirinae_1nsf_2ng_16ns.zip</v>
      </c>
    </row>
    <row r="4791" spans="1:21">
      <c r="A4791">
        <v>4790</v>
      </c>
      <c r="B4791" s="27" t="s">
        <v>1449</v>
      </c>
      <c r="D4791" s="27" t="s">
        <v>1450</v>
      </c>
      <c r="F4791" s="27" t="s">
        <v>1453</v>
      </c>
      <c r="H4791" s="27" t="s">
        <v>1454</v>
      </c>
      <c r="M4791" s="27" t="s">
        <v>22465</v>
      </c>
      <c r="N4791" s="27" t="s">
        <v>22466</v>
      </c>
      <c r="P4791" s="27" t="s">
        <v>22474</v>
      </c>
      <c r="Q4791" s="26" t="str">
        <f>HYPERLINK("https://ictv.global/taxonomy/taxondetails?taxnode_id=202523103&amp;ictv_id=ICTV202523103","ICTV202523103")</f>
        <v>ICTV202523103</v>
      </c>
      <c r="R4791" t="s">
        <v>579</v>
      </c>
      <c r="S4791" t="s">
        <v>823</v>
      </c>
      <c r="T4791">
        <v>41</v>
      </c>
      <c r="U4791" s="26" t="str">
        <f t="shared" si="184"/>
        <v>2025.057B.Pearlrivervirinae_1nsf_2ng_16ns.zip</v>
      </c>
    </row>
    <row r="4792" spans="1:21">
      <c r="A4792">
        <v>4791</v>
      </c>
      <c r="B4792" s="27" t="s">
        <v>1449</v>
      </c>
      <c r="D4792" s="27" t="s">
        <v>1450</v>
      </c>
      <c r="F4792" s="27" t="s">
        <v>1453</v>
      </c>
      <c r="H4792" s="27" t="s">
        <v>1454</v>
      </c>
      <c r="M4792" s="27" t="s">
        <v>22465</v>
      </c>
      <c r="N4792" s="27" t="s">
        <v>22466</v>
      </c>
      <c r="P4792" s="27" t="s">
        <v>22475</v>
      </c>
      <c r="Q4792" s="26" t="str">
        <f>HYPERLINK("https://ictv.global/taxonomy/taxondetails?taxnode_id=202523104&amp;ictv_id=ICTV202523104","ICTV202523104")</f>
        <v>ICTV202523104</v>
      </c>
      <c r="R4792" t="s">
        <v>579</v>
      </c>
      <c r="S4792" t="s">
        <v>823</v>
      </c>
      <c r="T4792">
        <v>41</v>
      </c>
      <c r="U4792" s="26" t="str">
        <f t="shared" si="184"/>
        <v>2025.057B.Pearlrivervirinae_1nsf_2ng_16ns.zip</v>
      </c>
    </row>
    <row r="4793" spans="1:21">
      <c r="A4793">
        <v>4792</v>
      </c>
      <c r="B4793" s="27" t="s">
        <v>1449</v>
      </c>
      <c r="D4793" s="27" t="s">
        <v>1450</v>
      </c>
      <c r="F4793" s="27" t="s">
        <v>1453</v>
      </c>
      <c r="H4793" s="27" t="s">
        <v>1454</v>
      </c>
      <c r="M4793" s="27" t="s">
        <v>22465</v>
      </c>
      <c r="N4793" s="27" t="s">
        <v>22466</v>
      </c>
      <c r="P4793" s="27" t="s">
        <v>22476</v>
      </c>
      <c r="Q4793" s="26" t="str">
        <f>HYPERLINK("https://ictv.global/taxonomy/taxondetails?taxnode_id=202523105&amp;ictv_id=ICTV202523105","ICTV202523105")</f>
        <v>ICTV202523105</v>
      </c>
      <c r="R4793" t="s">
        <v>579</v>
      </c>
      <c r="S4793" t="s">
        <v>823</v>
      </c>
      <c r="T4793">
        <v>41</v>
      </c>
      <c r="U4793" s="26" t="str">
        <f t="shared" si="184"/>
        <v>2025.057B.Pearlrivervirinae_1nsf_2ng_16ns.zip</v>
      </c>
    </row>
    <row r="4794" spans="1:21">
      <c r="A4794">
        <v>4793</v>
      </c>
      <c r="B4794" s="27" t="s">
        <v>1449</v>
      </c>
      <c r="D4794" s="27" t="s">
        <v>1450</v>
      </c>
      <c r="F4794" s="27" t="s">
        <v>1453</v>
      </c>
      <c r="H4794" s="27" t="s">
        <v>1454</v>
      </c>
      <c r="M4794" s="27" t="s">
        <v>22465</v>
      </c>
      <c r="N4794" s="27" t="s">
        <v>22466</v>
      </c>
      <c r="P4794" s="27" t="s">
        <v>22478</v>
      </c>
      <c r="Q4794" s="26" t="str">
        <f>HYPERLINK("https://ictv.global/taxonomy/taxondetails?taxnode_id=202523107&amp;ictv_id=ICTV202523107","ICTV202523107")</f>
        <v>ICTV202523107</v>
      </c>
      <c r="R4794" t="s">
        <v>579</v>
      </c>
      <c r="S4794" t="s">
        <v>823</v>
      </c>
      <c r="T4794">
        <v>41</v>
      </c>
      <c r="U4794" s="26" t="str">
        <f t="shared" si="184"/>
        <v>2025.057B.Pearlrivervirinae_1nsf_2ng_16ns.zip</v>
      </c>
    </row>
    <row r="4795" spans="1:21">
      <c r="A4795">
        <v>4794</v>
      </c>
      <c r="B4795" s="27" t="s">
        <v>1449</v>
      </c>
      <c r="D4795" s="27" t="s">
        <v>1450</v>
      </c>
      <c r="F4795" s="27" t="s">
        <v>1453</v>
      </c>
      <c r="H4795" s="27" t="s">
        <v>1454</v>
      </c>
      <c r="M4795" s="27" t="s">
        <v>22465</v>
      </c>
      <c r="N4795" s="27" t="s">
        <v>22466</v>
      </c>
      <c r="P4795" s="27" t="s">
        <v>22471</v>
      </c>
      <c r="Q4795" s="26" t="str">
        <f>HYPERLINK("https://ictv.global/taxonomy/taxondetails?taxnode_id=202523100&amp;ictv_id=ICTV202523100","ICTV202523100")</f>
        <v>ICTV202523100</v>
      </c>
      <c r="R4795" t="s">
        <v>579</v>
      </c>
      <c r="S4795" t="s">
        <v>823</v>
      </c>
      <c r="T4795">
        <v>41</v>
      </c>
      <c r="U4795" s="26" t="str">
        <f t="shared" si="184"/>
        <v>2025.057B.Pearlrivervirinae_1nsf_2ng_16ns.zip</v>
      </c>
    </row>
    <row r="4796" spans="1:21">
      <c r="A4796">
        <v>4795</v>
      </c>
      <c r="B4796" s="27" t="s">
        <v>1449</v>
      </c>
      <c r="D4796" s="27" t="s">
        <v>1450</v>
      </c>
      <c r="F4796" s="27" t="s">
        <v>1453</v>
      </c>
      <c r="H4796" s="27" t="s">
        <v>1454</v>
      </c>
      <c r="M4796" s="27" t="s">
        <v>22465</v>
      </c>
      <c r="N4796" s="27" t="s">
        <v>22466</v>
      </c>
      <c r="P4796" s="27" t="s">
        <v>22481</v>
      </c>
      <c r="Q4796" s="26" t="str">
        <f>HYPERLINK("https://ictv.global/taxonomy/taxondetails?taxnode_id=202523110&amp;ictv_id=ICTV202523110","ICTV202523110")</f>
        <v>ICTV202523110</v>
      </c>
      <c r="R4796" t="s">
        <v>579</v>
      </c>
      <c r="S4796" t="s">
        <v>823</v>
      </c>
      <c r="T4796">
        <v>41</v>
      </c>
      <c r="U4796" s="26" t="str">
        <f t="shared" si="184"/>
        <v>2025.057B.Pearlrivervirinae_1nsf_2ng_16ns.zip</v>
      </c>
    </row>
    <row r="4797" spans="1:21">
      <c r="A4797">
        <v>4796</v>
      </c>
      <c r="B4797" s="27" t="s">
        <v>1449</v>
      </c>
      <c r="D4797" s="27" t="s">
        <v>1450</v>
      </c>
      <c r="F4797" s="27" t="s">
        <v>1453</v>
      </c>
      <c r="H4797" s="27" t="s">
        <v>1454</v>
      </c>
      <c r="M4797" s="27" t="s">
        <v>22465</v>
      </c>
      <c r="N4797" s="27" t="s">
        <v>22466</v>
      </c>
      <c r="P4797" s="27" t="s">
        <v>22469</v>
      </c>
      <c r="Q4797" s="26" t="str">
        <f>HYPERLINK("https://ictv.global/taxonomy/taxondetails?taxnode_id=202523098&amp;ictv_id=ICTV202523098","ICTV202523098")</f>
        <v>ICTV202523098</v>
      </c>
      <c r="R4797" t="s">
        <v>579</v>
      </c>
      <c r="S4797" t="s">
        <v>823</v>
      </c>
      <c r="T4797">
        <v>41</v>
      </c>
      <c r="U4797" s="26" t="str">
        <f t="shared" si="184"/>
        <v>2025.057B.Pearlrivervirinae_1nsf_2ng_16ns.zip</v>
      </c>
    </row>
    <row r="4798" spans="1:21">
      <c r="A4798">
        <v>4797</v>
      </c>
      <c r="B4798" s="27" t="s">
        <v>1449</v>
      </c>
      <c r="D4798" s="27" t="s">
        <v>1450</v>
      </c>
      <c r="F4798" s="27" t="s">
        <v>1453</v>
      </c>
      <c r="H4798" s="27" t="s">
        <v>1454</v>
      </c>
      <c r="M4798" s="27" t="s">
        <v>22465</v>
      </c>
      <c r="N4798" s="27" t="s">
        <v>22466</v>
      </c>
      <c r="P4798" s="27" t="s">
        <v>22467</v>
      </c>
      <c r="Q4798" s="26" t="str">
        <f>HYPERLINK("https://ictv.global/taxonomy/taxondetails?taxnode_id=202523096&amp;ictv_id=ICTV202523096","ICTV202523096")</f>
        <v>ICTV202523096</v>
      </c>
      <c r="R4798" t="s">
        <v>579</v>
      </c>
      <c r="S4798" t="s">
        <v>823</v>
      </c>
      <c r="T4798">
        <v>41</v>
      </c>
      <c r="U4798" s="26" t="str">
        <f t="shared" si="184"/>
        <v>2025.057B.Pearlrivervirinae_1nsf_2ng_16ns.zip</v>
      </c>
    </row>
    <row r="4799" spans="1:21">
      <c r="A4799">
        <v>4798</v>
      </c>
      <c r="B4799" s="27" t="s">
        <v>1449</v>
      </c>
      <c r="D4799" s="27" t="s">
        <v>1450</v>
      </c>
      <c r="F4799" s="27" t="s">
        <v>1453</v>
      </c>
      <c r="H4799" s="27" t="s">
        <v>1454</v>
      </c>
      <c r="M4799" s="27" t="s">
        <v>22465</v>
      </c>
      <c r="N4799" s="27" t="s">
        <v>22466</v>
      </c>
      <c r="P4799" s="27" t="s">
        <v>22472</v>
      </c>
      <c r="Q4799" s="26" t="str">
        <f>HYPERLINK("https://ictv.global/taxonomy/taxondetails?taxnode_id=202523101&amp;ictv_id=ICTV202523101","ICTV202523101")</f>
        <v>ICTV202523101</v>
      </c>
      <c r="R4799" t="s">
        <v>579</v>
      </c>
      <c r="S4799" t="s">
        <v>823</v>
      </c>
      <c r="T4799">
        <v>41</v>
      </c>
      <c r="U4799" s="26" t="str">
        <f t="shared" si="184"/>
        <v>2025.057B.Pearlrivervirinae_1nsf_2ng_16ns.zip</v>
      </c>
    </row>
    <row r="4800" spans="1:21">
      <c r="A4800">
        <v>4799</v>
      </c>
      <c r="B4800" s="27" t="s">
        <v>1449</v>
      </c>
      <c r="D4800" s="27" t="s">
        <v>1450</v>
      </c>
      <c r="F4800" s="27" t="s">
        <v>1453</v>
      </c>
      <c r="H4800" s="27" t="s">
        <v>1454</v>
      </c>
      <c r="M4800" s="27" t="s">
        <v>22465</v>
      </c>
      <c r="N4800" s="27" t="s">
        <v>22466</v>
      </c>
      <c r="P4800" s="27" t="s">
        <v>22473</v>
      </c>
      <c r="Q4800" s="26" t="str">
        <f>HYPERLINK("https://ictv.global/taxonomy/taxondetails?taxnode_id=202523102&amp;ictv_id=ICTV202523102","ICTV202523102")</f>
        <v>ICTV202523102</v>
      </c>
      <c r="R4800" t="s">
        <v>579</v>
      </c>
      <c r="S4800" t="s">
        <v>823</v>
      </c>
      <c r="T4800">
        <v>41</v>
      </c>
      <c r="U4800" s="26" t="str">
        <f t="shared" si="184"/>
        <v>2025.057B.Pearlrivervirinae_1nsf_2ng_16ns.zip</v>
      </c>
    </row>
    <row r="4801" spans="1:21">
      <c r="A4801">
        <v>4800</v>
      </c>
      <c r="B4801" s="27" t="s">
        <v>1449</v>
      </c>
      <c r="D4801" s="27" t="s">
        <v>1450</v>
      </c>
      <c r="F4801" s="27" t="s">
        <v>1453</v>
      </c>
      <c r="H4801" s="27" t="s">
        <v>1454</v>
      </c>
      <c r="M4801" s="27" t="s">
        <v>22465</v>
      </c>
      <c r="N4801" s="27" t="s">
        <v>22466</v>
      </c>
      <c r="P4801" s="27" t="s">
        <v>22468</v>
      </c>
      <c r="Q4801" s="26" t="str">
        <f>HYPERLINK("https://ictv.global/taxonomy/taxondetails?taxnode_id=202523097&amp;ictv_id=ICTV202523097","ICTV202523097")</f>
        <v>ICTV202523097</v>
      </c>
      <c r="R4801" t="s">
        <v>579</v>
      </c>
      <c r="S4801" t="s">
        <v>823</v>
      </c>
      <c r="T4801">
        <v>41</v>
      </c>
      <c r="U4801" s="26" t="str">
        <f t="shared" si="184"/>
        <v>2025.057B.Pearlrivervirinae_1nsf_2ng_16ns.zip</v>
      </c>
    </row>
    <row r="4802" spans="1:21">
      <c r="A4802">
        <v>4801</v>
      </c>
      <c r="B4802" s="27" t="s">
        <v>1449</v>
      </c>
      <c r="D4802" s="27" t="s">
        <v>1450</v>
      </c>
      <c r="F4802" s="27" t="s">
        <v>1453</v>
      </c>
      <c r="H4802" s="27" t="s">
        <v>1454</v>
      </c>
      <c r="M4802" s="27" t="s">
        <v>22465</v>
      </c>
      <c r="N4802" s="27" t="s">
        <v>22466</v>
      </c>
      <c r="P4802" s="27" t="s">
        <v>22477</v>
      </c>
      <c r="Q4802" s="26" t="str">
        <f>HYPERLINK("https://ictv.global/taxonomy/taxondetails?taxnode_id=202523106&amp;ictv_id=ICTV202523106","ICTV202523106")</f>
        <v>ICTV202523106</v>
      </c>
      <c r="R4802" t="s">
        <v>579</v>
      </c>
      <c r="S4802" t="s">
        <v>823</v>
      </c>
      <c r="T4802">
        <v>41</v>
      </c>
      <c r="U4802" s="26" t="str">
        <f t="shared" si="184"/>
        <v>2025.057B.Pearlrivervirinae_1nsf_2ng_16ns.zip</v>
      </c>
    </row>
    <row r="4803" spans="1:21">
      <c r="A4803">
        <v>4802</v>
      </c>
      <c r="B4803" s="27" t="s">
        <v>1449</v>
      </c>
      <c r="D4803" s="27" t="s">
        <v>1450</v>
      </c>
      <c r="F4803" s="27" t="s">
        <v>1453</v>
      </c>
      <c r="H4803" s="27" t="s">
        <v>1454</v>
      </c>
      <c r="M4803" s="27" t="s">
        <v>22465</v>
      </c>
      <c r="N4803" s="27" t="s">
        <v>22466</v>
      </c>
      <c r="P4803" s="27" t="s">
        <v>22470</v>
      </c>
      <c r="Q4803" s="26" t="str">
        <f>HYPERLINK("https://ictv.global/taxonomy/taxondetails?taxnode_id=202523099&amp;ictv_id=ICTV202523099","ICTV202523099")</f>
        <v>ICTV202523099</v>
      </c>
      <c r="R4803" t="s">
        <v>579</v>
      </c>
      <c r="S4803" t="s">
        <v>823</v>
      </c>
      <c r="T4803">
        <v>41</v>
      </c>
      <c r="U4803" s="26" t="str">
        <f t="shared" si="184"/>
        <v>2025.057B.Pearlrivervirinae_1nsf_2ng_16ns.zip</v>
      </c>
    </row>
    <row r="4804" spans="1:21">
      <c r="A4804">
        <v>4803</v>
      </c>
      <c r="B4804" s="27" t="s">
        <v>1449</v>
      </c>
      <c r="D4804" s="27" t="s">
        <v>1450</v>
      </c>
      <c r="F4804" s="27" t="s">
        <v>1453</v>
      </c>
      <c r="H4804" s="27" t="s">
        <v>1454</v>
      </c>
      <c r="M4804" s="27" t="s">
        <v>22465</v>
      </c>
      <c r="N4804" s="27" t="s">
        <v>22482</v>
      </c>
      <c r="P4804" s="27" t="s">
        <v>22483</v>
      </c>
      <c r="Q4804" s="26" t="str">
        <f>HYPERLINK("https://ictv.global/taxonomy/taxondetails?taxnode_id=202523111&amp;ictv_id=ICTV202523111","ICTV202523111")</f>
        <v>ICTV202523111</v>
      </c>
      <c r="R4804" t="s">
        <v>579</v>
      </c>
      <c r="S4804" t="s">
        <v>823</v>
      </c>
      <c r="T4804">
        <v>41</v>
      </c>
      <c r="U4804" s="26" t="str">
        <f t="shared" si="184"/>
        <v>2025.057B.Pearlrivervirinae_1nsf_2ng_16ns.zip</v>
      </c>
    </row>
    <row r="4805" spans="1:21">
      <c r="A4805">
        <v>4804</v>
      </c>
      <c r="B4805" s="27" t="s">
        <v>1449</v>
      </c>
      <c r="D4805" s="27" t="s">
        <v>1450</v>
      </c>
      <c r="F4805" s="27" t="s">
        <v>1453</v>
      </c>
      <c r="H4805" s="27" t="s">
        <v>1454</v>
      </c>
      <c r="M4805" s="27" t="s">
        <v>2232</v>
      </c>
      <c r="N4805" s="27" t="s">
        <v>2233</v>
      </c>
      <c r="P4805" s="27" t="s">
        <v>6370</v>
      </c>
      <c r="Q4805" s="26" t="str">
        <f>HYPERLINK("https://ictv.global/taxonomy/taxondetails?taxnode_id=202511642&amp;ictv_id=ICTV202011642","ICTV202011642")</f>
        <v>ICTV202011642</v>
      </c>
      <c r="R4805" t="s">
        <v>579</v>
      </c>
      <c r="S4805" t="s">
        <v>824</v>
      </c>
      <c r="T4805">
        <v>37</v>
      </c>
      <c r="U4805" s="26" t="str">
        <f>HYPERLINK("https://ictv.global/ictv/proposals/2021.010B.R.Binomial_names.zip","2021.010B.R.Binomial_names.zip")</f>
        <v>2021.010B.R.Binomial_names.zip</v>
      </c>
    </row>
    <row r="4806" spans="1:21">
      <c r="A4806">
        <v>4805</v>
      </c>
      <c r="B4806" s="27" t="s">
        <v>1449</v>
      </c>
      <c r="D4806" s="27" t="s">
        <v>1450</v>
      </c>
      <c r="F4806" s="27" t="s">
        <v>1453</v>
      </c>
      <c r="H4806" s="27" t="s">
        <v>1454</v>
      </c>
      <c r="M4806" s="27" t="s">
        <v>2232</v>
      </c>
      <c r="N4806" s="27" t="s">
        <v>7158</v>
      </c>
      <c r="P4806" s="27" t="s">
        <v>7159</v>
      </c>
      <c r="Q4806" s="26" t="str">
        <f>HYPERLINK("https://ictv.global/taxonomy/taxondetails?taxnode_id=202514632&amp;ictv_id=ICTV202214632","ICTV202214632")</f>
        <v>ICTV202214632</v>
      </c>
      <c r="R4806" t="s">
        <v>579</v>
      </c>
      <c r="S4806" t="s">
        <v>22763</v>
      </c>
      <c r="T4806">
        <v>39</v>
      </c>
      <c r="U4806" s="26" t="str">
        <f>HYPERLINK("https://ictv.global/ictv/proposals/2023.054B.Queuovirinae_reorg.zip","2023.054B.Queuovirinae_reorg.zip")</f>
        <v>2023.054B.Queuovirinae_reorg.zip</v>
      </c>
    </row>
    <row r="4807" spans="1:21">
      <c r="A4807">
        <v>4806</v>
      </c>
      <c r="B4807" s="27" t="s">
        <v>1449</v>
      </c>
      <c r="D4807" s="27" t="s">
        <v>1450</v>
      </c>
      <c r="F4807" s="27" t="s">
        <v>1453</v>
      </c>
      <c r="H4807" s="27" t="s">
        <v>1454</v>
      </c>
      <c r="M4807" s="27" t="s">
        <v>2232</v>
      </c>
      <c r="N4807" s="27" t="s">
        <v>7158</v>
      </c>
      <c r="P4807" s="27" t="s">
        <v>7160</v>
      </c>
      <c r="Q4807" s="26" t="str">
        <f>HYPERLINK("https://ictv.global/taxonomy/taxondetails?taxnode_id=202514633&amp;ictv_id=ICTV202214633","ICTV202214633")</f>
        <v>ICTV202214633</v>
      </c>
      <c r="R4807" t="s">
        <v>579</v>
      </c>
      <c r="S4807" t="s">
        <v>22763</v>
      </c>
      <c r="T4807">
        <v>39</v>
      </c>
      <c r="U4807" s="26" t="str">
        <f>HYPERLINK("https://ictv.global/ictv/proposals/2023.054B.Queuovirinae_reorg.zip","2023.054B.Queuovirinae_reorg.zip")</f>
        <v>2023.054B.Queuovirinae_reorg.zip</v>
      </c>
    </row>
    <row r="4808" spans="1:21">
      <c r="A4808">
        <v>4807</v>
      </c>
      <c r="B4808" s="27" t="s">
        <v>1449</v>
      </c>
      <c r="D4808" s="27" t="s">
        <v>1450</v>
      </c>
      <c r="F4808" s="27" t="s">
        <v>1453</v>
      </c>
      <c r="H4808" s="27" t="s">
        <v>1454</v>
      </c>
      <c r="M4808" s="27" t="s">
        <v>2232</v>
      </c>
      <c r="N4808" s="27" t="s">
        <v>11943</v>
      </c>
      <c r="P4808" s="27" t="s">
        <v>11944</v>
      </c>
      <c r="Q4808" s="26" t="str">
        <f>HYPERLINK("https://ictv.global/taxonomy/taxondetails?taxnode_id=202519246&amp;ictv_id=ICTV202319246","ICTV202319246")</f>
        <v>ICTV202319246</v>
      </c>
      <c r="R4808" t="s">
        <v>579</v>
      </c>
      <c r="S4808" t="s">
        <v>823</v>
      </c>
      <c r="T4808">
        <v>39</v>
      </c>
      <c r="U4808" s="26" t="str">
        <f>HYPERLINK("https://ictv.global/ictv/proposals/2023.054B.Queuovirinae_reorg.zip","2023.054B.Queuovirinae_reorg.zip")</f>
        <v>2023.054B.Queuovirinae_reorg.zip</v>
      </c>
    </row>
    <row r="4809" spans="1:21">
      <c r="A4809">
        <v>4808</v>
      </c>
      <c r="B4809" s="27" t="s">
        <v>1449</v>
      </c>
      <c r="D4809" s="27" t="s">
        <v>1450</v>
      </c>
      <c r="F4809" s="27" t="s">
        <v>1453</v>
      </c>
      <c r="H4809" s="27" t="s">
        <v>1454</v>
      </c>
      <c r="M4809" s="27" t="s">
        <v>2232</v>
      </c>
      <c r="N4809" s="27" t="s">
        <v>1394</v>
      </c>
      <c r="P4809" s="27" t="s">
        <v>11945</v>
      </c>
      <c r="Q4809" s="26" t="str">
        <f>HYPERLINK("https://ictv.global/taxonomy/taxondetails?taxnode_id=202519243&amp;ictv_id=ICTV202319243","ICTV202319243")</f>
        <v>ICTV202319243</v>
      </c>
      <c r="R4809" t="s">
        <v>579</v>
      </c>
      <c r="S4809" t="s">
        <v>823</v>
      </c>
      <c r="T4809">
        <v>39</v>
      </c>
      <c r="U4809" s="26" t="str">
        <f>HYPERLINK("https://ictv.global/ictv/proposals/2023.054B.Queuovirinae_reorg.zip","2023.054B.Queuovirinae_reorg.zip")</f>
        <v>2023.054B.Queuovirinae_reorg.zip</v>
      </c>
    </row>
    <row r="4810" spans="1:21">
      <c r="A4810">
        <v>4809</v>
      </c>
      <c r="B4810" s="27" t="s">
        <v>1449</v>
      </c>
      <c r="D4810" s="27" t="s">
        <v>1450</v>
      </c>
      <c r="F4810" s="27" t="s">
        <v>1453</v>
      </c>
      <c r="H4810" s="27" t="s">
        <v>1454</v>
      </c>
      <c r="M4810" s="27" t="s">
        <v>2232</v>
      </c>
      <c r="N4810" s="27" t="s">
        <v>1394</v>
      </c>
      <c r="P4810" s="27" t="s">
        <v>11946</v>
      </c>
      <c r="Q4810" s="26" t="str">
        <f>HYPERLINK("https://ictv.global/taxonomy/taxondetails?taxnode_id=202519242&amp;ictv_id=ICTV202319242","ICTV202319242")</f>
        <v>ICTV202319242</v>
      </c>
      <c r="R4810" t="s">
        <v>579</v>
      </c>
      <c r="S4810" t="s">
        <v>823</v>
      </c>
      <c r="T4810">
        <v>39</v>
      </c>
      <c r="U4810" s="26" t="str">
        <f>HYPERLINK("https://ictv.global/ictv/proposals/2023.054B.Queuovirinae_reorg.zip","2023.054B.Queuovirinae_reorg.zip")</f>
        <v>2023.054B.Queuovirinae_reorg.zip</v>
      </c>
    </row>
    <row r="4811" spans="1:21">
      <c r="A4811">
        <v>4810</v>
      </c>
      <c r="B4811" s="27" t="s">
        <v>1449</v>
      </c>
      <c r="D4811" s="27" t="s">
        <v>1450</v>
      </c>
      <c r="F4811" s="27" t="s">
        <v>1453</v>
      </c>
      <c r="H4811" s="27" t="s">
        <v>1454</v>
      </c>
      <c r="M4811" s="27" t="s">
        <v>2232</v>
      </c>
      <c r="N4811" s="27" t="s">
        <v>1394</v>
      </c>
      <c r="P4811" s="27" t="s">
        <v>6371</v>
      </c>
      <c r="Q4811" s="26" t="str">
        <f>HYPERLINK("https://ictv.global/taxonomy/taxondetails?taxnode_id=202501092&amp;ictv_id=ICTV20165015","ICTV20165015")</f>
        <v>ICTV20165015</v>
      </c>
      <c r="R4811" t="s">
        <v>579</v>
      </c>
      <c r="S4811" t="s">
        <v>824</v>
      </c>
      <c r="T4811">
        <v>37</v>
      </c>
      <c r="U4811" s="26" t="str">
        <f>HYPERLINK("https://ictv.global/ictv/proposals/2021.010B.R.Binomial_names.zip","2021.010B.R.Binomial_names.zip")</f>
        <v>2021.010B.R.Binomial_names.zip</v>
      </c>
    </row>
    <row r="4812" spans="1:21">
      <c r="A4812">
        <v>4811</v>
      </c>
      <c r="B4812" s="27" t="s">
        <v>1449</v>
      </c>
      <c r="D4812" s="27" t="s">
        <v>1450</v>
      </c>
      <c r="F4812" s="27" t="s">
        <v>1453</v>
      </c>
      <c r="H4812" s="27" t="s">
        <v>1454</v>
      </c>
      <c r="M4812" s="27" t="s">
        <v>2232</v>
      </c>
      <c r="N4812" s="27" t="s">
        <v>1394</v>
      </c>
      <c r="P4812" s="27" t="s">
        <v>11947</v>
      </c>
      <c r="Q4812" s="26" t="str">
        <f>HYPERLINK("https://ictv.global/taxonomy/taxondetails?taxnode_id=202519244&amp;ictv_id=ICTV202319244","ICTV202319244")</f>
        <v>ICTV202319244</v>
      </c>
      <c r="R4812" t="s">
        <v>579</v>
      </c>
      <c r="S4812" t="s">
        <v>823</v>
      </c>
      <c r="T4812">
        <v>39</v>
      </c>
      <c r="U4812" s="26" t="str">
        <f>HYPERLINK("https://ictv.global/ictv/proposals/2023.054B.Queuovirinae_reorg.zip","2023.054B.Queuovirinae_reorg.zip")</f>
        <v>2023.054B.Queuovirinae_reorg.zip</v>
      </c>
    </row>
    <row r="4813" spans="1:21">
      <c r="A4813">
        <v>4812</v>
      </c>
      <c r="B4813" s="27" t="s">
        <v>1449</v>
      </c>
      <c r="D4813" s="27" t="s">
        <v>1450</v>
      </c>
      <c r="F4813" s="27" t="s">
        <v>1453</v>
      </c>
      <c r="H4813" s="27" t="s">
        <v>1454</v>
      </c>
      <c r="M4813" s="27" t="s">
        <v>2232</v>
      </c>
      <c r="N4813" s="27" t="s">
        <v>1394</v>
      </c>
      <c r="P4813" s="27" t="s">
        <v>6372</v>
      </c>
      <c r="Q4813" s="26" t="str">
        <f>HYPERLINK("https://ictv.global/taxonomy/taxondetails?taxnode_id=202501093&amp;ictv_id=ICTV20165016","ICTV20165016")</f>
        <v>ICTV20165016</v>
      </c>
      <c r="R4813" t="s">
        <v>579</v>
      </c>
      <c r="S4813" t="s">
        <v>824</v>
      </c>
      <c r="T4813">
        <v>37</v>
      </c>
      <c r="U4813" s="26" t="str">
        <f>HYPERLINK("https://ictv.global/ictv/proposals/2021.010B.R.Binomial_names.zip","2021.010B.R.Binomial_names.zip")</f>
        <v>2021.010B.R.Binomial_names.zip</v>
      </c>
    </row>
    <row r="4814" spans="1:21">
      <c r="A4814">
        <v>4813</v>
      </c>
      <c r="B4814" s="27" t="s">
        <v>1449</v>
      </c>
      <c r="D4814" s="27" t="s">
        <v>1450</v>
      </c>
      <c r="F4814" s="27" t="s">
        <v>1453</v>
      </c>
      <c r="H4814" s="27" t="s">
        <v>1454</v>
      </c>
      <c r="M4814" s="27" t="s">
        <v>2232</v>
      </c>
      <c r="N4814" s="27" t="s">
        <v>1394</v>
      </c>
      <c r="P4814" s="27" t="s">
        <v>11948</v>
      </c>
      <c r="Q4814" s="26" t="str">
        <f>HYPERLINK("https://ictv.global/taxonomy/taxondetails?taxnode_id=202519245&amp;ictv_id=ICTV202319245","ICTV202319245")</f>
        <v>ICTV202319245</v>
      </c>
      <c r="R4814" t="s">
        <v>579</v>
      </c>
      <c r="S4814" t="s">
        <v>823</v>
      </c>
      <c r="T4814">
        <v>39</v>
      </c>
      <c r="U4814" s="26" t="str">
        <f>HYPERLINK("https://ictv.global/ictv/proposals/2023.054B.Queuovirinae_reorg.zip","2023.054B.Queuovirinae_reorg.zip")</f>
        <v>2023.054B.Queuovirinae_reorg.zip</v>
      </c>
    </row>
    <row r="4815" spans="1:21">
      <c r="A4815">
        <v>4814</v>
      </c>
      <c r="B4815" s="27" t="s">
        <v>1449</v>
      </c>
      <c r="D4815" s="27" t="s">
        <v>1450</v>
      </c>
      <c r="F4815" s="27" t="s">
        <v>1453</v>
      </c>
      <c r="H4815" s="27" t="s">
        <v>1454</v>
      </c>
      <c r="M4815" s="27" t="s">
        <v>2232</v>
      </c>
      <c r="N4815" s="27" t="s">
        <v>621</v>
      </c>
      <c r="P4815" s="27" t="s">
        <v>6373</v>
      </c>
      <c r="Q4815" s="26" t="str">
        <f>HYPERLINK("https://ictv.global/taxonomy/taxondetails?taxnode_id=202501088&amp;ictv_id=ICTV20150759","ICTV20150759")</f>
        <v>ICTV20150759</v>
      </c>
      <c r="R4815" t="s">
        <v>579</v>
      </c>
      <c r="S4815" t="s">
        <v>824</v>
      </c>
      <c r="T4815">
        <v>37</v>
      </c>
      <c r="U4815" s="26" t="str">
        <f t="shared" ref="U4815:U4821" si="185">HYPERLINK("https://ictv.global/ictv/proposals/2021.010B.R.Binomial_names.zip","2021.010B.R.Binomial_names.zip")</f>
        <v>2021.010B.R.Binomial_names.zip</v>
      </c>
    </row>
    <row r="4816" spans="1:21">
      <c r="A4816">
        <v>4815</v>
      </c>
      <c r="B4816" s="27" t="s">
        <v>1449</v>
      </c>
      <c r="D4816" s="27" t="s">
        <v>1450</v>
      </c>
      <c r="F4816" s="27" t="s">
        <v>1453</v>
      </c>
      <c r="H4816" s="27" t="s">
        <v>1454</v>
      </c>
      <c r="M4816" s="27" t="s">
        <v>2232</v>
      </c>
      <c r="N4816" s="27" t="s">
        <v>621</v>
      </c>
      <c r="P4816" s="27" t="s">
        <v>6374</v>
      </c>
      <c r="Q4816" s="26" t="str">
        <f>HYPERLINK("https://ictv.global/taxonomy/taxondetails?taxnode_id=202501089&amp;ictv_id=ICTV20150761","ICTV20150761")</f>
        <v>ICTV20150761</v>
      </c>
      <c r="R4816" t="s">
        <v>579</v>
      </c>
      <c r="S4816" t="s">
        <v>824</v>
      </c>
      <c r="T4816">
        <v>37</v>
      </c>
      <c r="U4816" s="26" t="str">
        <f t="shared" si="185"/>
        <v>2021.010B.R.Binomial_names.zip</v>
      </c>
    </row>
    <row r="4817" spans="1:21">
      <c r="A4817">
        <v>4816</v>
      </c>
      <c r="B4817" s="27" t="s">
        <v>1449</v>
      </c>
      <c r="D4817" s="27" t="s">
        <v>1450</v>
      </c>
      <c r="F4817" s="27" t="s">
        <v>1453</v>
      </c>
      <c r="H4817" s="27" t="s">
        <v>1454</v>
      </c>
      <c r="M4817" s="27" t="s">
        <v>2232</v>
      </c>
      <c r="N4817" s="27" t="s">
        <v>621</v>
      </c>
      <c r="P4817" s="27" t="s">
        <v>6375</v>
      </c>
      <c r="Q4817" s="26" t="str">
        <f>HYPERLINK("https://ictv.global/taxonomy/taxondetails?taxnode_id=202501090&amp;ictv_id=ICTV20150760","ICTV20150760")</f>
        <v>ICTV20150760</v>
      </c>
      <c r="R4817" t="s">
        <v>579</v>
      </c>
      <c r="S4817" t="s">
        <v>824</v>
      </c>
      <c r="T4817">
        <v>37</v>
      </c>
      <c r="U4817" s="26" t="str">
        <f t="shared" si="185"/>
        <v>2021.010B.R.Binomial_names.zip</v>
      </c>
    </row>
    <row r="4818" spans="1:21">
      <c r="A4818">
        <v>4817</v>
      </c>
      <c r="B4818" s="27" t="s">
        <v>1449</v>
      </c>
      <c r="D4818" s="27" t="s">
        <v>1450</v>
      </c>
      <c r="F4818" s="27" t="s">
        <v>1453</v>
      </c>
      <c r="H4818" s="27" t="s">
        <v>1454</v>
      </c>
      <c r="M4818" s="27" t="s">
        <v>2232</v>
      </c>
      <c r="N4818" s="27" t="s">
        <v>621</v>
      </c>
      <c r="P4818" s="27" t="s">
        <v>6376</v>
      </c>
      <c r="Q4818" s="26" t="str">
        <f>HYPERLINK("https://ictv.global/taxonomy/taxondetails?taxnode_id=202501087&amp;ictv_id=ICTV20150758","ICTV20150758")</f>
        <v>ICTV20150758</v>
      </c>
      <c r="R4818" t="s">
        <v>579</v>
      </c>
      <c r="S4818" t="s">
        <v>824</v>
      </c>
      <c r="T4818">
        <v>37</v>
      </c>
      <c r="U4818" s="26" t="str">
        <f t="shared" si="185"/>
        <v>2021.010B.R.Binomial_names.zip</v>
      </c>
    </row>
    <row r="4819" spans="1:21">
      <c r="A4819">
        <v>4818</v>
      </c>
      <c r="B4819" s="27" t="s">
        <v>1449</v>
      </c>
      <c r="D4819" s="27" t="s">
        <v>1450</v>
      </c>
      <c r="F4819" s="27" t="s">
        <v>1453</v>
      </c>
      <c r="H4819" s="27" t="s">
        <v>1454</v>
      </c>
      <c r="M4819" s="27" t="s">
        <v>2232</v>
      </c>
      <c r="N4819" s="27" t="s">
        <v>621</v>
      </c>
      <c r="P4819" s="27" t="s">
        <v>6377</v>
      </c>
      <c r="Q4819" s="26" t="str">
        <f>HYPERLINK("https://ictv.global/taxonomy/taxondetails?taxnode_id=202507077&amp;ictv_id=ICTV201857077","ICTV201857077")</f>
        <v>ICTV201857077</v>
      </c>
      <c r="R4819" t="s">
        <v>579</v>
      </c>
      <c r="S4819" t="s">
        <v>824</v>
      </c>
      <c r="T4819">
        <v>37</v>
      </c>
      <c r="U4819" s="26" t="str">
        <f t="shared" si="185"/>
        <v>2021.010B.R.Binomial_names.zip</v>
      </c>
    </row>
    <row r="4820" spans="1:21">
      <c r="A4820">
        <v>4819</v>
      </c>
      <c r="B4820" s="27" t="s">
        <v>1449</v>
      </c>
      <c r="D4820" s="27" t="s">
        <v>1450</v>
      </c>
      <c r="F4820" s="27" t="s">
        <v>1453</v>
      </c>
      <c r="H4820" s="27" t="s">
        <v>1454</v>
      </c>
      <c r="M4820" s="27" t="s">
        <v>2232</v>
      </c>
      <c r="N4820" s="27" t="s">
        <v>628</v>
      </c>
      <c r="P4820" s="27" t="s">
        <v>6378</v>
      </c>
      <c r="Q4820" s="26" t="str">
        <f>HYPERLINK("https://ictv.global/taxonomy/taxondetails?taxnode_id=202501261&amp;ictv_id=ICTV20150756","ICTV20150756")</f>
        <v>ICTV20150756</v>
      </c>
      <c r="R4820" t="s">
        <v>579</v>
      </c>
      <c r="S4820" t="s">
        <v>824</v>
      </c>
      <c r="T4820">
        <v>37</v>
      </c>
      <c r="U4820" s="26" t="str">
        <f t="shared" si="185"/>
        <v>2021.010B.R.Binomial_names.zip</v>
      </c>
    </row>
    <row r="4821" spans="1:21">
      <c r="A4821">
        <v>4820</v>
      </c>
      <c r="B4821" s="27" t="s">
        <v>1449</v>
      </c>
      <c r="D4821" s="27" t="s">
        <v>1450</v>
      </c>
      <c r="F4821" s="27" t="s">
        <v>1453</v>
      </c>
      <c r="H4821" s="27" t="s">
        <v>1454</v>
      </c>
      <c r="M4821" s="27" t="s">
        <v>2232</v>
      </c>
      <c r="N4821" s="27" t="s">
        <v>628</v>
      </c>
      <c r="P4821" s="27" t="s">
        <v>6379</v>
      </c>
      <c r="Q4821" s="26" t="str">
        <f>HYPERLINK("https://ictv.global/taxonomy/taxondetails?taxnode_id=202501262&amp;ictv_id=ICTV20150755","ICTV20150755")</f>
        <v>ICTV20150755</v>
      </c>
      <c r="R4821" t="s">
        <v>579</v>
      </c>
      <c r="S4821" t="s">
        <v>824</v>
      </c>
      <c r="T4821">
        <v>37</v>
      </c>
      <c r="U4821" s="26" t="str">
        <f t="shared" si="185"/>
        <v>2021.010B.R.Binomial_names.zip</v>
      </c>
    </row>
    <row r="4822" spans="1:21">
      <c r="A4822">
        <v>4821</v>
      </c>
      <c r="B4822" s="27" t="s">
        <v>1449</v>
      </c>
      <c r="D4822" s="27" t="s">
        <v>1450</v>
      </c>
      <c r="F4822" s="27" t="s">
        <v>1453</v>
      </c>
      <c r="H4822" s="27" t="s">
        <v>1454</v>
      </c>
      <c r="M4822" s="27" t="s">
        <v>2232</v>
      </c>
      <c r="N4822" s="27" t="s">
        <v>11949</v>
      </c>
      <c r="P4822" s="27" t="s">
        <v>21225</v>
      </c>
      <c r="Q4822" s="26" t="str">
        <f>HYPERLINK("https://ictv.global/taxonomy/taxondetails?taxnode_id=202522129&amp;ictv_id=ICTV202522129","ICTV202522129")</f>
        <v>ICTV202522129</v>
      </c>
      <c r="R4822" t="s">
        <v>579</v>
      </c>
      <c r="S4822" t="s">
        <v>823</v>
      </c>
      <c r="T4822">
        <v>41</v>
      </c>
      <c r="U4822" s="26" t="str">
        <f>HYPERLINK("https://ictv.global/ictv/proposals/2025.004B.Shangdongvirus_3ns.zip","2025.004B.Shangdongvirus_3ns.zip")</f>
        <v>2025.004B.Shangdongvirus_3ns.zip</v>
      </c>
    </row>
    <row r="4823" spans="1:21">
      <c r="A4823">
        <v>4822</v>
      </c>
      <c r="B4823" s="27" t="s">
        <v>1449</v>
      </c>
      <c r="D4823" s="27" t="s">
        <v>1450</v>
      </c>
      <c r="F4823" s="27" t="s">
        <v>1453</v>
      </c>
      <c r="H4823" s="27" t="s">
        <v>1454</v>
      </c>
      <c r="M4823" s="27" t="s">
        <v>2232</v>
      </c>
      <c r="N4823" s="27" t="s">
        <v>11949</v>
      </c>
      <c r="P4823" s="27" t="s">
        <v>21227</v>
      </c>
      <c r="Q4823" s="26" t="str">
        <f>HYPERLINK("https://ictv.global/taxonomy/taxondetails?taxnode_id=202522131&amp;ictv_id=ICTV202522131","ICTV202522131")</f>
        <v>ICTV202522131</v>
      </c>
      <c r="R4823" t="s">
        <v>579</v>
      </c>
      <c r="S4823" t="s">
        <v>823</v>
      </c>
      <c r="T4823">
        <v>41</v>
      </c>
      <c r="U4823" s="26" t="str">
        <f>HYPERLINK("https://ictv.global/ictv/proposals/2025.004B.Shangdongvirus_3ns.zip","2025.004B.Shangdongvirus_3ns.zip")</f>
        <v>2025.004B.Shangdongvirus_3ns.zip</v>
      </c>
    </row>
    <row r="4824" spans="1:21">
      <c r="A4824">
        <v>4823</v>
      </c>
      <c r="B4824" s="27" t="s">
        <v>1449</v>
      </c>
      <c r="D4824" s="27" t="s">
        <v>1450</v>
      </c>
      <c r="F4824" s="27" t="s">
        <v>1453</v>
      </c>
      <c r="H4824" s="27" t="s">
        <v>1454</v>
      </c>
      <c r="M4824" s="27" t="s">
        <v>2232</v>
      </c>
      <c r="N4824" s="27" t="s">
        <v>11949</v>
      </c>
      <c r="P4824" s="27" t="s">
        <v>21226</v>
      </c>
      <c r="Q4824" s="26" t="str">
        <f>HYPERLINK("https://ictv.global/taxonomy/taxondetails?taxnode_id=202522130&amp;ictv_id=ICTV202522130","ICTV202522130")</f>
        <v>ICTV202522130</v>
      </c>
      <c r="R4824" t="s">
        <v>579</v>
      </c>
      <c r="S4824" t="s">
        <v>823</v>
      </c>
      <c r="T4824">
        <v>41</v>
      </c>
      <c r="U4824" s="26" t="str">
        <f>HYPERLINK("https://ictv.global/ictv/proposals/2025.004B.Shangdongvirus_3ns.zip","2025.004B.Shangdongvirus_3ns.zip")</f>
        <v>2025.004B.Shangdongvirus_3ns.zip</v>
      </c>
    </row>
    <row r="4825" spans="1:21">
      <c r="A4825">
        <v>4824</v>
      </c>
      <c r="B4825" s="27" t="s">
        <v>1449</v>
      </c>
      <c r="D4825" s="27" t="s">
        <v>1450</v>
      </c>
      <c r="F4825" s="27" t="s">
        <v>1453</v>
      </c>
      <c r="H4825" s="27" t="s">
        <v>1454</v>
      </c>
      <c r="M4825" s="27" t="s">
        <v>2232</v>
      </c>
      <c r="N4825" s="27" t="s">
        <v>11949</v>
      </c>
      <c r="P4825" s="27" t="s">
        <v>11950</v>
      </c>
      <c r="Q4825" s="26" t="str">
        <f>HYPERLINK("https://ictv.global/taxonomy/taxondetails?taxnode_id=202519248&amp;ictv_id=ICTV202319248","ICTV202319248")</f>
        <v>ICTV202319248</v>
      </c>
      <c r="R4825" t="s">
        <v>579</v>
      </c>
      <c r="S4825" t="s">
        <v>823</v>
      </c>
      <c r="T4825">
        <v>39</v>
      </c>
      <c r="U4825" s="26" t="str">
        <f>HYPERLINK("https://ictv.global/ictv/proposals/2023.054B.Queuovirinae_reorg.zip","2023.054B.Queuovirinae_reorg.zip")</f>
        <v>2023.054B.Queuovirinae_reorg.zip</v>
      </c>
    </row>
    <row r="4826" spans="1:21">
      <c r="A4826">
        <v>4825</v>
      </c>
      <c r="B4826" s="27" t="s">
        <v>1449</v>
      </c>
      <c r="D4826" s="27" t="s">
        <v>1450</v>
      </c>
      <c r="F4826" s="27" t="s">
        <v>1453</v>
      </c>
      <c r="H4826" s="27" t="s">
        <v>1454</v>
      </c>
      <c r="M4826" s="27" t="s">
        <v>2232</v>
      </c>
      <c r="N4826" s="27" t="s">
        <v>11951</v>
      </c>
      <c r="P4826" s="27" t="s">
        <v>11952</v>
      </c>
      <c r="Q4826" s="26" t="str">
        <f>HYPERLINK("https://ictv.global/taxonomy/taxondetails?taxnode_id=202519247&amp;ictv_id=ICTV202319247","ICTV202319247")</f>
        <v>ICTV202319247</v>
      </c>
      <c r="R4826" t="s">
        <v>579</v>
      </c>
      <c r="S4826" t="s">
        <v>823</v>
      </c>
      <c r="T4826">
        <v>39</v>
      </c>
      <c r="U4826" s="26" t="str">
        <f>HYPERLINK("https://ictv.global/ictv/proposals/2023.054B.Queuovirinae_reorg.zip","2023.054B.Queuovirinae_reorg.zip")</f>
        <v>2023.054B.Queuovirinae_reorg.zip</v>
      </c>
    </row>
    <row r="4827" spans="1:21">
      <c r="A4827">
        <v>4826</v>
      </c>
      <c r="B4827" s="27" t="s">
        <v>1449</v>
      </c>
      <c r="D4827" s="27" t="s">
        <v>1450</v>
      </c>
      <c r="F4827" s="27" t="s">
        <v>1453</v>
      </c>
      <c r="H4827" s="27" t="s">
        <v>1454</v>
      </c>
      <c r="M4827" s="27" t="s">
        <v>6380</v>
      </c>
      <c r="N4827" s="27" t="s">
        <v>6381</v>
      </c>
      <c r="P4827" s="27" t="s">
        <v>6382</v>
      </c>
      <c r="Q4827" s="26" t="str">
        <f>HYPERLINK("https://ictv.global/taxonomy/taxondetails?taxnode_id=202512904&amp;ictv_id=ICTV202112904","ICTV202112904")</f>
        <v>ICTV202112904</v>
      </c>
      <c r="R4827" t="s">
        <v>579</v>
      </c>
      <c r="S4827" t="s">
        <v>823</v>
      </c>
      <c r="T4827">
        <v>37</v>
      </c>
      <c r="U4827" s="26" t="str">
        <f>HYPERLINK("https://ictv.global/ictv/proposals/2021.073B.R.Ruthgordonvirinae.zip","2021.073B.R.Ruthgordonvirinae.zip")</f>
        <v>2021.073B.R.Ruthgordonvirinae.zip</v>
      </c>
    </row>
    <row r="4828" spans="1:21">
      <c r="A4828">
        <v>4827</v>
      </c>
      <c r="B4828" s="27" t="s">
        <v>1449</v>
      </c>
      <c r="D4828" s="27" t="s">
        <v>1450</v>
      </c>
      <c r="F4828" s="27" t="s">
        <v>1453</v>
      </c>
      <c r="H4828" s="27" t="s">
        <v>1454</v>
      </c>
      <c r="M4828" s="27" t="s">
        <v>6380</v>
      </c>
      <c r="N4828" s="27" t="s">
        <v>6383</v>
      </c>
      <c r="P4828" s="27" t="s">
        <v>6384</v>
      </c>
      <c r="Q4828" s="26" t="str">
        <f>HYPERLINK("https://ictv.global/taxonomy/taxondetails?taxnode_id=202512906&amp;ictv_id=ICTV202112906","ICTV202112906")</f>
        <v>ICTV202112906</v>
      </c>
      <c r="R4828" t="s">
        <v>579</v>
      </c>
      <c r="S4828" t="s">
        <v>823</v>
      </c>
      <c r="T4828">
        <v>37</v>
      </c>
      <c r="U4828" s="26" t="str">
        <f>HYPERLINK("https://ictv.global/ictv/proposals/2021.073B.R.Ruthgordonvirinae.zip","2021.073B.R.Ruthgordonvirinae.zip")</f>
        <v>2021.073B.R.Ruthgordonvirinae.zip</v>
      </c>
    </row>
    <row r="4829" spans="1:21">
      <c r="A4829">
        <v>4828</v>
      </c>
      <c r="B4829" s="27" t="s">
        <v>1449</v>
      </c>
      <c r="D4829" s="27" t="s">
        <v>1450</v>
      </c>
      <c r="F4829" s="27" t="s">
        <v>1453</v>
      </c>
      <c r="H4829" s="27" t="s">
        <v>1454</v>
      </c>
      <c r="M4829" s="27" t="s">
        <v>6380</v>
      </c>
      <c r="N4829" s="27" t="s">
        <v>1362</v>
      </c>
      <c r="P4829" s="27" t="s">
        <v>6385</v>
      </c>
      <c r="Q4829" s="26" t="str">
        <f>HYPERLINK("https://ictv.global/taxonomy/taxondetails?taxnode_id=202506632&amp;ictv_id=ICTV201856632","ICTV201856632")</f>
        <v>ICTV201856632</v>
      </c>
      <c r="R4829" t="s">
        <v>579</v>
      </c>
      <c r="S4829" t="s">
        <v>824</v>
      </c>
      <c r="T4829">
        <v>37</v>
      </c>
      <c r="U4829" s="26" t="str">
        <f>HYPERLINK("https://ictv.global/ictv/proposals/2021.010B.R.Binomial_names.zip","2021.010B.R.Binomial_names.zip")</f>
        <v>2021.010B.R.Binomial_names.zip</v>
      </c>
    </row>
    <row r="4830" spans="1:21">
      <c r="A4830">
        <v>4829</v>
      </c>
      <c r="B4830" s="27" t="s">
        <v>1449</v>
      </c>
      <c r="D4830" s="27" t="s">
        <v>1450</v>
      </c>
      <c r="F4830" s="27" t="s">
        <v>1453</v>
      </c>
      <c r="H4830" s="27" t="s">
        <v>1454</v>
      </c>
      <c r="M4830" s="27" t="s">
        <v>6380</v>
      </c>
      <c r="N4830" s="27" t="s">
        <v>6386</v>
      </c>
      <c r="P4830" s="27" t="s">
        <v>6387</v>
      </c>
      <c r="Q4830" s="26" t="str">
        <f>HYPERLINK("https://ictv.global/taxonomy/taxondetails?taxnode_id=202512908&amp;ictv_id=ICTV202112908","ICTV202112908")</f>
        <v>ICTV202112908</v>
      </c>
      <c r="R4830" t="s">
        <v>579</v>
      </c>
      <c r="S4830" t="s">
        <v>823</v>
      </c>
      <c r="T4830">
        <v>37</v>
      </c>
      <c r="U4830" s="26" t="str">
        <f>HYPERLINK("https://ictv.global/ictv/proposals/2021.073B.R.Ruthgordonvirinae.zip","2021.073B.R.Ruthgordonvirinae.zip")</f>
        <v>2021.073B.R.Ruthgordonvirinae.zip</v>
      </c>
    </row>
    <row r="4831" spans="1:21">
      <c r="A4831">
        <v>4830</v>
      </c>
      <c r="B4831" s="27" t="s">
        <v>1449</v>
      </c>
      <c r="D4831" s="27" t="s">
        <v>1450</v>
      </c>
      <c r="F4831" s="27" t="s">
        <v>1453</v>
      </c>
      <c r="H4831" s="27" t="s">
        <v>1454</v>
      </c>
      <c r="M4831" s="27" t="s">
        <v>6380</v>
      </c>
      <c r="N4831" s="27" t="s">
        <v>6388</v>
      </c>
      <c r="P4831" s="27" t="s">
        <v>6389</v>
      </c>
      <c r="Q4831" s="26" t="str">
        <f>HYPERLINK("https://ictv.global/taxonomy/taxondetails?taxnode_id=202512911&amp;ictv_id=ICTV202112911","ICTV202112911")</f>
        <v>ICTV202112911</v>
      </c>
      <c r="R4831" t="s">
        <v>579</v>
      </c>
      <c r="S4831" t="s">
        <v>823</v>
      </c>
      <c r="T4831">
        <v>37</v>
      </c>
      <c r="U4831" s="26" t="str">
        <f>HYPERLINK("https://ictv.global/ictv/proposals/2021.073B.R.Ruthgordonvirinae.zip","2021.073B.R.Ruthgordonvirinae.zip")</f>
        <v>2021.073B.R.Ruthgordonvirinae.zip</v>
      </c>
    </row>
    <row r="4832" spans="1:21">
      <c r="A4832">
        <v>4831</v>
      </c>
      <c r="B4832" s="27" t="s">
        <v>1449</v>
      </c>
      <c r="D4832" s="27" t="s">
        <v>1450</v>
      </c>
      <c r="F4832" s="27" t="s">
        <v>1453</v>
      </c>
      <c r="H4832" s="27" t="s">
        <v>1454</v>
      </c>
      <c r="M4832" s="27" t="s">
        <v>6380</v>
      </c>
      <c r="N4832" s="27" t="s">
        <v>791</v>
      </c>
      <c r="P4832" s="27" t="s">
        <v>6390</v>
      </c>
      <c r="Q4832" s="26" t="str">
        <f>HYPERLINK("https://ictv.global/taxonomy/taxondetails?taxnode_id=202512909&amp;ictv_id=ICTV202112909","ICTV202112909")</f>
        <v>ICTV202112909</v>
      </c>
      <c r="R4832" t="s">
        <v>579</v>
      </c>
      <c r="S4832" t="s">
        <v>823</v>
      </c>
      <c r="T4832">
        <v>37</v>
      </c>
      <c r="U4832" s="26" t="str">
        <f>HYPERLINK("https://ictv.global/ictv/proposals/2021.073B.R.Ruthgordonvirinae.zip","2021.073B.R.Ruthgordonvirinae.zip")</f>
        <v>2021.073B.R.Ruthgordonvirinae.zip</v>
      </c>
    </row>
    <row r="4833" spans="1:21">
      <c r="A4833">
        <v>4832</v>
      </c>
      <c r="B4833" s="27" t="s">
        <v>1449</v>
      </c>
      <c r="D4833" s="27" t="s">
        <v>1450</v>
      </c>
      <c r="F4833" s="27" t="s">
        <v>1453</v>
      </c>
      <c r="H4833" s="27" t="s">
        <v>1454</v>
      </c>
      <c r="M4833" s="27" t="s">
        <v>6380</v>
      </c>
      <c r="N4833" s="27" t="s">
        <v>791</v>
      </c>
      <c r="P4833" s="27" t="s">
        <v>6391</v>
      </c>
      <c r="Q4833" s="26" t="str">
        <f>HYPERLINK("https://ictv.global/taxonomy/taxondetails?taxnode_id=202501367&amp;ictv_id=ICTV20165102","ICTV20165102")</f>
        <v>ICTV20165102</v>
      </c>
      <c r="R4833" t="s">
        <v>579</v>
      </c>
      <c r="S4833" t="s">
        <v>824</v>
      </c>
      <c r="T4833">
        <v>37</v>
      </c>
      <c r="U4833" s="26" t="str">
        <f>HYPERLINK("https://ictv.global/ictv/proposals/2021.073B.R.Ruthgordonvirinae.zip","2021.073B.R.Ruthgordonvirinae.zip")</f>
        <v>2021.073B.R.Ruthgordonvirinae.zip</v>
      </c>
    </row>
    <row r="4834" spans="1:21">
      <c r="A4834">
        <v>4833</v>
      </c>
      <c r="B4834" s="27" t="s">
        <v>1449</v>
      </c>
      <c r="D4834" s="27" t="s">
        <v>1450</v>
      </c>
      <c r="F4834" s="27" t="s">
        <v>1453</v>
      </c>
      <c r="H4834" s="27" t="s">
        <v>1454</v>
      </c>
      <c r="M4834" s="27" t="s">
        <v>20867</v>
      </c>
      <c r="N4834" s="27" t="s">
        <v>22528</v>
      </c>
      <c r="P4834" s="27" t="s">
        <v>22530</v>
      </c>
      <c r="Q4834" s="26" t="str">
        <f>HYPERLINK("https://ictv.global/taxonomy/taxondetails?taxnode_id=202523138&amp;ictv_id=ICTV202523138","ICTV202523138")</f>
        <v>ICTV202523138</v>
      </c>
      <c r="R4834" t="s">
        <v>579</v>
      </c>
      <c r="S4834" t="s">
        <v>823</v>
      </c>
      <c r="T4834">
        <v>41</v>
      </c>
      <c r="U4834" s="26" t="str">
        <f t="shared" ref="U4834:U4839" si="186">HYPERLINK("https://ictv.global/ictv/proposals/2025.071B.Santaclaravirinae_1nsf_3ng_6ns.zip","2025.071B.Santaclaravirinae_1nsf_3ng_6ns.zip")</f>
        <v>2025.071B.Santaclaravirinae_1nsf_3ng_6ns.zip</v>
      </c>
    </row>
    <row r="4835" spans="1:21">
      <c r="A4835">
        <v>4834</v>
      </c>
      <c r="B4835" s="27" t="s">
        <v>1449</v>
      </c>
      <c r="D4835" s="27" t="s">
        <v>1450</v>
      </c>
      <c r="F4835" s="27" t="s">
        <v>1453</v>
      </c>
      <c r="H4835" s="27" t="s">
        <v>1454</v>
      </c>
      <c r="M4835" s="27" t="s">
        <v>20867</v>
      </c>
      <c r="N4835" s="27" t="s">
        <v>22528</v>
      </c>
      <c r="P4835" s="27" t="s">
        <v>22531</v>
      </c>
      <c r="Q4835" s="26" t="str">
        <f>HYPERLINK("https://ictv.global/taxonomy/taxondetails?taxnode_id=202523139&amp;ictv_id=ICTV202523139","ICTV202523139")</f>
        <v>ICTV202523139</v>
      </c>
      <c r="R4835" t="s">
        <v>579</v>
      </c>
      <c r="S4835" t="s">
        <v>823</v>
      </c>
      <c r="T4835">
        <v>41</v>
      </c>
      <c r="U4835" s="26" t="str">
        <f t="shared" si="186"/>
        <v>2025.071B.Santaclaravirinae_1nsf_3ng_6ns.zip</v>
      </c>
    </row>
    <row r="4836" spans="1:21">
      <c r="A4836">
        <v>4835</v>
      </c>
      <c r="B4836" s="27" t="s">
        <v>1449</v>
      </c>
      <c r="D4836" s="27" t="s">
        <v>1450</v>
      </c>
      <c r="F4836" s="27" t="s">
        <v>1453</v>
      </c>
      <c r="H4836" s="27" t="s">
        <v>1454</v>
      </c>
      <c r="M4836" s="27" t="s">
        <v>20867</v>
      </c>
      <c r="N4836" s="27" t="s">
        <v>22528</v>
      </c>
      <c r="P4836" s="27" t="s">
        <v>22529</v>
      </c>
      <c r="Q4836" s="26" t="str">
        <f>HYPERLINK("https://ictv.global/taxonomy/taxondetails?taxnode_id=202523137&amp;ictv_id=ICTV202523137","ICTV202523137")</f>
        <v>ICTV202523137</v>
      </c>
      <c r="R4836" t="s">
        <v>579</v>
      </c>
      <c r="S4836" t="s">
        <v>823</v>
      </c>
      <c r="T4836">
        <v>41</v>
      </c>
      <c r="U4836" s="26" t="str">
        <f t="shared" si="186"/>
        <v>2025.071B.Santaclaravirinae_1nsf_3ng_6ns.zip</v>
      </c>
    </row>
    <row r="4837" spans="1:21">
      <c r="A4837">
        <v>4836</v>
      </c>
      <c r="B4837" s="27" t="s">
        <v>1449</v>
      </c>
      <c r="D4837" s="27" t="s">
        <v>1450</v>
      </c>
      <c r="F4837" s="27" t="s">
        <v>1453</v>
      </c>
      <c r="H4837" s="27" t="s">
        <v>1454</v>
      </c>
      <c r="M4837" s="27" t="s">
        <v>20867</v>
      </c>
      <c r="N4837" s="27" t="s">
        <v>22526</v>
      </c>
      <c r="P4837" s="27" t="s">
        <v>22527</v>
      </c>
      <c r="Q4837" s="26" t="str">
        <f>HYPERLINK("https://ictv.global/taxonomy/taxondetails?taxnode_id=202523136&amp;ictv_id=ICTV202523136","ICTV202523136")</f>
        <v>ICTV202523136</v>
      </c>
      <c r="R4837" t="s">
        <v>579</v>
      </c>
      <c r="S4837" t="s">
        <v>823</v>
      </c>
      <c r="T4837">
        <v>41</v>
      </c>
      <c r="U4837" s="26" t="str">
        <f t="shared" si="186"/>
        <v>2025.071B.Santaclaravirinae_1nsf_3ng_6ns.zip</v>
      </c>
    </row>
    <row r="4838" spans="1:21">
      <c r="A4838">
        <v>4837</v>
      </c>
      <c r="B4838" s="27" t="s">
        <v>1449</v>
      </c>
      <c r="D4838" s="27" t="s">
        <v>1450</v>
      </c>
      <c r="F4838" s="27" t="s">
        <v>1453</v>
      </c>
      <c r="H4838" s="27" t="s">
        <v>1454</v>
      </c>
      <c r="M4838" s="27" t="s">
        <v>20867</v>
      </c>
      <c r="N4838" s="27" t="s">
        <v>20868</v>
      </c>
      <c r="P4838" s="27" t="s">
        <v>22525</v>
      </c>
      <c r="Q4838" s="26" t="str">
        <f>HYPERLINK("https://ictv.global/taxonomy/taxondetails?taxnode_id=202523135&amp;ictv_id=ICTV202523135","ICTV202523135")</f>
        <v>ICTV202523135</v>
      </c>
      <c r="R4838" t="s">
        <v>579</v>
      </c>
      <c r="S4838" t="s">
        <v>823</v>
      </c>
      <c r="T4838">
        <v>41</v>
      </c>
      <c r="U4838" s="26" t="str">
        <f t="shared" si="186"/>
        <v>2025.071B.Santaclaravirinae_1nsf_3ng_6ns.zip</v>
      </c>
    </row>
    <row r="4839" spans="1:21">
      <c r="A4839">
        <v>4838</v>
      </c>
      <c r="B4839" s="27" t="s">
        <v>1449</v>
      </c>
      <c r="D4839" s="27" t="s">
        <v>1450</v>
      </c>
      <c r="F4839" s="27" t="s">
        <v>1453</v>
      </c>
      <c r="H4839" s="27" t="s">
        <v>1454</v>
      </c>
      <c r="M4839" s="27" t="s">
        <v>20867</v>
      </c>
      <c r="N4839" s="27" t="s">
        <v>20868</v>
      </c>
      <c r="P4839" s="27" t="s">
        <v>20869</v>
      </c>
      <c r="Q4839" s="26" t="str">
        <f>HYPERLINK("https://ictv.global/taxonomy/taxondetails?taxnode_id=202506991&amp;ictv_id=ICTV201856991","ICTV201856991")</f>
        <v>ICTV201856991</v>
      </c>
      <c r="R4839" t="s">
        <v>579</v>
      </c>
      <c r="S4839" t="s">
        <v>824</v>
      </c>
      <c r="T4839">
        <v>41</v>
      </c>
      <c r="U4839" s="26" t="str">
        <f t="shared" si="186"/>
        <v>2025.071B.Santaclaravirinae_1nsf_3ng_6ns.zip</v>
      </c>
    </row>
    <row r="4840" spans="1:21">
      <c r="A4840">
        <v>4839</v>
      </c>
      <c r="B4840" s="27" t="s">
        <v>1449</v>
      </c>
      <c r="D4840" s="27" t="s">
        <v>1450</v>
      </c>
      <c r="F4840" s="27" t="s">
        <v>1453</v>
      </c>
      <c r="H4840" s="27" t="s">
        <v>1454</v>
      </c>
      <c r="M4840" s="27" t="s">
        <v>6392</v>
      </c>
      <c r="N4840" s="27" t="s">
        <v>6393</v>
      </c>
      <c r="P4840" s="27" t="s">
        <v>6394</v>
      </c>
      <c r="Q4840" s="26" t="str">
        <f>HYPERLINK("https://ictv.global/taxonomy/taxondetails?taxnode_id=202514845&amp;ictv_id=ICTV202214845","ICTV202214845")</f>
        <v>ICTV202214845</v>
      </c>
      <c r="R4840" t="s">
        <v>579</v>
      </c>
      <c r="S4840" t="s">
        <v>823</v>
      </c>
      <c r="T4840">
        <v>38</v>
      </c>
      <c r="U4840" s="26" t="str">
        <f>HYPERLINK("https://ictv.global/ictv/proposals/2022.075B.Sejongvirinae_nsf.zip","2022.075B.Sejongvirinae_nsf.zip")</f>
        <v>2022.075B.Sejongvirinae_nsf.zip</v>
      </c>
    </row>
    <row r="4841" spans="1:21">
      <c r="A4841">
        <v>4840</v>
      </c>
      <c r="B4841" s="27" t="s">
        <v>1449</v>
      </c>
      <c r="D4841" s="27" t="s">
        <v>1450</v>
      </c>
      <c r="F4841" s="27" t="s">
        <v>1453</v>
      </c>
      <c r="H4841" s="27" t="s">
        <v>1454</v>
      </c>
      <c r="M4841" s="27" t="s">
        <v>6392</v>
      </c>
      <c r="N4841" s="27" t="s">
        <v>6393</v>
      </c>
      <c r="P4841" s="27" t="s">
        <v>6395</v>
      </c>
      <c r="Q4841" s="26" t="str">
        <f>HYPERLINK("https://ictv.global/taxonomy/taxondetails?taxnode_id=202514844&amp;ictv_id=ICTV202214844","ICTV202214844")</f>
        <v>ICTV202214844</v>
      </c>
      <c r="R4841" t="s">
        <v>579</v>
      </c>
      <c r="S4841" t="s">
        <v>823</v>
      </c>
      <c r="T4841">
        <v>38</v>
      </c>
      <c r="U4841" s="26" t="str">
        <f>HYPERLINK("https://ictv.global/ictv/proposals/2022.075B.Sejongvirinae_nsf.zip","2022.075B.Sejongvirinae_nsf.zip")</f>
        <v>2022.075B.Sejongvirinae_nsf.zip</v>
      </c>
    </row>
    <row r="4842" spans="1:21">
      <c r="A4842">
        <v>4841</v>
      </c>
      <c r="B4842" s="27" t="s">
        <v>1449</v>
      </c>
      <c r="D4842" s="27" t="s">
        <v>1450</v>
      </c>
      <c r="F4842" s="27" t="s">
        <v>1453</v>
      </c>
      <c r="H4842" s="27" t="s">
        <v>1454</v>
      </c>
      <c r="M4842" s="27" t="s">
        <v>6392</v>
      </c>
      <c r="N4842" s="27" t="s">
        <v>6396</v>
      </c>
      <c r="P4842" s="27" t="s">
        <v>6397</v>
      </c>
      <c r="Q4842" s="26" t="str">
        <f>HYPERLINK("https://ictv.global/taxonomy/taxondetails?taxnode_id=202514848&amp;ictv_id=ICTV202214848","ICTV202214848")</f>
        <v>ICTV202214848</v>
      </c>
      <c r="R4842" t="s">
        <v>579</v>
      </c>
      <c r="S4842" t="s">
        <v>823</v>
      </c>
      <c r="T4842">
        <v>38</v>
      </c>
      <c r="U4842" s="26" t="str">
        <f>HYPERLINK("https://ictv.global/ictv/proposals/2022.075B.Sejongvirinae_nsf.zip","2022.075B.Sejongvirinae_nsf.zip")</f>
        <v>2022.075B.Sejongvirinae_nsf.zip</v>
      </c>
    </row>
    <row r="4843" spans="1:21">
      <c r="A4843">
        <v>4842</v>
      </c>
      <c r="B4843" s="27" t="s">
        <v>1449</v>
      </c>
      <c r="D4843" s="27" t="s">
        <v>1450</v>
      </c>
      <c r="F4843" s="27" t="s">
        <v>1453</v>
      </c>
      <c r="H4843" s="27" t="s">
        <v>1454</v>
      </c>
      <c r="M4843" s="27" t="s">
        <v>6392</v>
      </c>
      <c r="N4843" s="27" t="s">
        <v>6396</v>
      </c>
      <c r="P4843" s="27" t="s">
        <v>6398</v>
      </c>
      <c r="Q4843" s="26" t="str">
        <f>HYPERLINK("https://ictv.global/taxonomy/taxondetails?taxnode_id=202514846&amp;ictv_id=ICTV202214846","ICTV202214846")</f>
        <v>ICTV202214846</v>
      </c>
      <c r="R4843" t="s">
        <v>579</v>
      </c>
      <c r="S4843" t="s">
        <v>823</v>
      </c>
      <c r="T4843">
        <v>38</v>
      </c>
      <c r="U4843" s="26" t="str">
        <f>HYPERLINK("https://ictv.global/ictv/proposals/2022.075B.Sejongvirinae_nsf.zip","2022.075B.Sejongvirinae_nsf.zip")</f>
        <v>2022.075B.Sejongvirinae_nsf.zip</v>
      </c>
    </row>
    <row r="4844" spans="1:21">
      <c r="A4844">
        <v>4843</v>
      </c>
      <c r="B4844" s="27" t="s">
        <v>1449</v>
      </c>
      <c r="D4844" s="27" t="s">
        <v>1450</v>
      </c>
      <c r="F4844" s="27" t="s">
        <v>1453</v>
      </c>
      <c r="H4844" s="27" t="s">
        <v>1454</v>
      </c>
      <c r="M4844" s="27" t="s">
        <v>6392</v>
      </c>
      <c r="N4844" s="27" t="s">
        <v>6396</v>
      </c>
      <c r="P4844" s="27" t="s">
        <v>6399</v>
      </c>
      <c r="Q4844" s="26" t="str">
        <f>HYPERLINK("https://ictv.global/taxonomy/taxondetails?taxnode_id=202514847&amp;ictv_id=ICTV202214847","ICTV202214847")</f>
        <v>ICTV202214847</v>
      </c>
      <c r="R4844" t="s">
        <v>579</v>
      </c>
      <c r="S4844" t="s">
        <v>823</v>
      </c>
      <c r="T4844">
        <v>38</v>
      </c>
      <c r="U4844" s="26" t="str">
        <f>HYPERLINK("https://ictv.global/ictv/proposals/2022.075B.Sejongvirinae_nsf.zip","2022.075B.Sejongvirinae_nsf.zip")</f>
        <v>2022.075B.Sejongvirinae_nsf.zip</v>
      </c>
    </row>
    <row r="4845" spans="1:21">
      <c r="A4845">
        <v>4844</v>
      </c>
      <c r="B4845" s="27" t="s">
        <v>1449</v>
      </c>
      <c r="D4845" s="27" t="s">
        <v>1450</v>
      </c>
      <c r="F4845" s="27" t="s">
        <v>1453</v>
      </c>
      <c r="H4845" s="27" t="s">
        <v>1454</v>
      </c>
      <c r="M4845" s="27" t="s">
        <v>765</v>
      </c>
      <c r="N4845" s="27" t="s">
        <v>1282</v>
      </c>
      <c r="P4845" s="27" t="s">
        <v>6400</v>
      </c>
      <c r="Q4845" s="26" t="str">
        <f>HYPERLINK("https://ictv.global/taxonomy/taxondetails?taxnode_id=202500613&amp;ictv_id=ICTV20164914","ICTV20164914")</f>
        <v>ICTV20164914</v>
      </c>
      <c r="R4845" t="s">
        <v>579</v>
      </c>
      <c r="S4845" t="s">
        <v>824</v>
      </c>
      <c r="T4845">
        <v>37</v>
      </c>
      <c r="U4845" s="26" t="str">
        <f t="shared" ref="U4845:U4867" si="187">HYPERLINK("https://ictv.global/ictv/proposals/2021.010B.R.Binomial_names.zip","2021.010B.R.Binomial_names.zip")</f>
        <v>2021.010B.R.Binomial_names.zip</v>
      </c>
    </row>
    <row r="4846" spans="1:21">
      <c r="A4846">
        <v>4845</v>
      </c>
      <c r="B4846" s="27" t="s">
        <v>1449</v>
      </c>
      <c r="D4846" s="27" t="s">
        <v>1450</v>
      </c>
      <c r="F4846" s="27" t="s">
        <v>1453</v>
      </c>
      <c r="H4846" s="27" t="s">
        <v>1454</v>
      </c>
      <c r="M4846" s="27" t="s">
        <v>765</v>
      </c>
      <c r="N4846" s="27" t="s">
        <v>1282</v>
      </c>
      <c r="P4846" s="27" t="s">
        <v>6401</v>
      </c>
      <c r="Q4846" s="26" t="str">
        <f>HYPERLINK("https://ictv.global/taxonomy/taxondetails?taxnode_id=202500614&amp;ictv_id=ICTV20164915","ICTV20164915")</f>
        <v>ICTV20164915</v>
      </c>
      <c r="R4846" t="s">
        <v>579</v>
      </c>
      <c r="S4846" t="s">
        <v>824</v>
      </c>
      <c r="T4846">
        <v>37</v>
      </c>
      <c r="U4846" s="26" t="str">
        <f t="shared" si="187"/>
        <v>2021.010B.R.Binomial_names.zip</v>
      </c>
    </row>
    <row r="4847" spans="1:21">
      <c r="A4847">
        <v>4846</v>
      </c>
      <c r="B4847" s="27" t="s">
        <v>1449</v>
      </c>
      <c r="D4847" s="27" t="s">
        <v>1450</v>
      </c>
      <c r="F4847" s="27" t="s">
        <v>1453</v>
      </c>
      <c r="H4847" s="27" t="s">
        <v>1454</v>
      </c>
      <c r="M4847" s="27" t="s">
        <v>765</v>
      </c>
      <c r="N4847" s="27" t="s">
        <v>1283</v>
      </c>
      <c r="P4847" s="27" t="s">
        <v>6402</v>
      </c>
      <c r="Q4847" s="26" t="str">
        <f>HYPERLINK("https://ictv.global/taxonomy/taxondetails?taxnode_id=202511846&amp;ictv_id=ICTV202011846","ICTV202011846")</f>
        <v>ICTV202011846</v>
      </c>
      <c r="R4847" t="s">
        <v>579</v>
      </c>
      <c r="S4847" t="s">
        <v>824</v>
      </c>
      <c r="T4847">
        <v>37</v>
      </c>
      <c r="U4847" s="26" t="str">
        <f t="shared" si="187"/>
        <v>2021.010B.R.Binomial_names.zip</v>
      </c>
    </row>
    <row r="4848" spans="1:21">
      <c r="A4848">
        <v>4847</v>
      </c>
      <c r="B4848" s="27" t="s">
        <v>1449</v>
      </c>
      <c r="D4848" s="27" t="s">
        <v>1450</v>
      </c>
      <c r="F4848" s="27" t="s">
        <v>1453</v>
      </c>
      <c r="H4848" s="27" t="s">
        <v>1454</v>
      </c>
      <c r="M4848" s="27" t="s">
        <v>765</v>
      </c>
      <c r="N4848" s="27" t="s">
        <v>1283</v>
      </c>
      <c r="P4848" s="27" t="s">
        <v>6403</v>
      </c>
      <c r="Q4848" s="26" t="str">
        <f>HYPERLINK("https://ictv.global/taxonomy/taxondetails?taxnode_id=202511845&amp;ictv_id=ICTV202011845","ICTV202011845")</f>
        <v>ICTV202011845</v>
      </c>
      <c r="R4848" t="s">
        <v>579</v>
      </c>
      <c r="S4848" t="s">
        <v>824</v>
      </c>
      <c r="T4848">
        <v>37</v>
      </c>
      <c r="U4848" s="26" t="str">
        <f t="shared" si="187"/>
        <v>2021.010B.R.Binomial_names.zip</v>
      </c>
    </row>
    <row r="4849" spans="1:21">
      <c r="A4849">
        <v>4848</v>
      </c>
      <c r="B4849" s="27" t="s">
        <v>1449</v>
      </c>
      <c r="D4849" s="27" t="s">
        <v>1450</v>
      </c>
      <c r="F4849" s="27" t="s">
        <v>1453</v>
      </c>
      <c r="H4849" s="27" t="s">
        <v>1454</v>
      </c>
      <c r="M4849" s="27" t="s">
        <v>765</v>
      </c>
      <c r="N4849" s="27" t="s">
        <v>1283</v>
      </c>
      <c r="P4849" s="27" t="s">
        <v>6404</v>
      </c>
      <c r="Q4849" s="26" t="str">
        <f>HYPERLINK("https://ictv.global/taxonomy/taxondetails?taxnode_id=202500616&amp;ictv_id=ICTV20164916","ICTV20164916")</f>
        <v>ICTV20164916</v>
      </c>
      <c r="R4849" t="s">
        <v>579</v>
      </c>
      <c r="S4849" t="s">
        <v>824</v>
      </c>
      <c r="T4849">
        <v>37</v>
      </c>
      <c r="U4849" s="26" t="str">
        <f t="shared" si="187"/>
        <v>2021.010B.R.Binomial_names.zip</v>
      </c>
    </row>
    <row r="4850" spans="1:21">
      <c r="A4850">
        <v>4849</v>
      </c>
      <c r="B4850" s="27" t="s">
        <v>1449</v>
      </c>
      <c r="D4850" s="27" t="s">
        <v>1450</v>
      </c>
      <c r="F4850" s="27" t="s">
        <v>1453</v>
      </c>
      <c r="H4850" s="27" t="s">
        <v>1454</v>
      </c>
      <c r="M4850" s="27" t="s">
        <v>765</v>
      </c>
      <c r="N4850" s="27" t="s">
        <v>1283</v>
      </c>
      <c r="P4850" s="27" t="s">
        <v>6405</v>
      </c>
      <c r="Q4850" s="26" t="str">
        <f>HYPERLINK("https://ictv.global/taxonomy/taxondetails?taxnode_id=202500617&amp;ictv_id=ICTV20164917","ICTV20164917")</f>
        <v>ICTV20164917</v>
      </c>
      <c r="R4850" t="s">
        <v>579</v>
      </c>
      <c r="S4850" t="s">
        <v>824</v>
      </c>
      <c r="T4850">
        <v>37</v>
      </c>
      <c r="U4850" s="26" t="str">
        <f t="shared" si="187"/>
        <v>2021.010B.R.Binomial_names.zip</v>
      </c>
    </row>
    <row r="4851" spans="1:21">
      <c r="A4851">
        <v>4850</v>
      </c>
      <c r="B4851" s="27" t="s">
        <v>1449</v>
      </c>
      <c r="D4851" s="27" t="s">
        <v>1450</v>
      </c>
      <c r="F4851" s="27" t="s">
        <v>1453</v>
      </c>
      <c r="H4851" s="27" t="s">
        <v>1454</v>
      </c>
      <c r="M4851" s="27" t="s">
        <v>765</v>
      </c>
      <c r="N4851" s="27" t="s">
        <v>1283</v>
      </c>
      <c r="P4851" s="27" t="s">
        <v>6406</v>
      </c>
      <c r="Q4851" s="26" t="str">
        <f>HYPERLINK("https://ictv.global/taxonomy/taxondetails?taxnode_id=202500618&amp;ictv_id=ICTV20164918","ICTV20164918")</f>
        <v>ICTV20164918</v>
      </c>
      <c r="R4851" t="s">
        <v>579</v>
      </c>
      <c r="S4851" t="s">
        <v>824</v>
      </c>
      <c r="T4851">
        <v>37</v>
      </c>
      <c r="U4851" s="26" t="str">
        <f t="shared" si="187"/>
        <v>2021.010B.R.Binomial_names.zip</v>
      </c>
    </row>
    <row r="4852" spans="1:21">
      <c r="A4852">
        <v>4851</v>
      </c>
      <c r="B4852" s="27" t="s">
        <v>1449</v>
      </c>
      <c r="D4852" s="27" t="s">
        <v>1450</v>
      </c>
      <c r="F4852" s="27" t="s">
        <v>1453</v>
      </c>
      <c r="H4852" s="27" t="s">
        <v>1454</v>
      </c>
      <c r="M4852" s="27" t="s">
        <v>765</v>
      </c>
      <c r="N4852" s="27" t="s">
        <v>1283</v>
      </c>
      <c r="P4852" s="27" t="s">
        <v>6407</v>
      </c>
      <c r="Q4852" s="26" t="str">
        <f>HYPERLINK("https://ictv.global/taxonomy/taxondetails?taxnode_id=202500619&amp;ictv_id=ICTV20164919","ICTV20164919")</f>
        <v>ICTV20164919</v>
      </c>
      <c r="R4852" t="s">
        <v>579</v>
      </c>
      <c r="S4852" t="s">
        <v>824</v>
      </c>
      <c r="T4852">
        <v>37</v>
      </c>
      <c r="U4852" s="26" t="str">
        <f t="shared" si="187"/>
        <v>2021.010B.R.Binomial_names.zip</v>
      </c>
    </row>
    <row r="4853" spans="1:21">
      <c r="A4853">
        <v>4852</v>
      </c>
      <c r="B4853" s="27" t="s">
        <v>1449</v>
      </c>
      <c r="D4853" s="27" t="s">
        <v>1450</v>
      </c>
      <c r="F4853" s="27" t="s">
        <v>1453</v>
      </c>
      <c r="H4853" s="27" t="s">
        <v>1454</v>
      </c>
      <c r="M4853" s="27" t="s">
        <v>765</v>
      </c>
      <c r="N4853" s="27" t="s">
        <v>1284</v>
      </c>
      <c r="P4853" s="27" t="s">
        <v>6408</v>
      </c>
      <c r="Q4853" s="26" t="str">
        <f>HYPERLINK("https://ictv.global/taxonomy/taxondetails?taxnode_id=202511849&amp;ictv_id=ICTV202011849","ICTV202011849")</f>
        <v>ICTV202011849</v>
      </c>
      <c r="R4853" t="s">
        <v>579</v>
      </c>
      <c r="S4853" t="s">
        <v>824</v>
      </c>
      <c r="T4853">
        <v>37</v>
      </c>
      <c r="U4853" s="26" t="str">
        <f t="shared" si="187"/>
        <v>2021.010B.R.Binomial_names.zip</v>
      </c>
    </row>
    <row r="4854" spans="1:21">
      <c r="A4854">
        <v>4853</v>
      </c>
      <c r="B4854" s="27" t="s">
        <v>1449</v>
      </c>
      <c r="D4854" s="27" t="s">
        <v>1450</v>
      </c>
      <c r="F4854" s="27" t="s">
        <v>1453</v>
      </c>
      <c r="H4854" s="27" t="s">
        <v>1454</v>
      </c>
      <c r="M4854" s="27" t="s">
        <v>765</v>
      </c>
      <c r="N4854" s="27" t="s">
        <v>1284</v>
      </c>
      <c r="P4854" s="27" t="s">
        <v>6409</v>
      </c>
      <c r="Q4854" s="26" t="str">
        <f>HYPERLINK("https://ictv.global/taxonomy/taxondetails?taxnode_id=202511850&amp;ictv_id=ICTV202011850","ICTV202011850")</f>
        <v>ICTV202011850</v>
      </c>
      <c r="R4854" t="s">
        <v>579</v>
      </c>
      <c r="S4854" t="s">
        <v>824</v>
      </c>
      <c r="T4854">
        <v>37</v>
      </c>
      <c r="U4854" s="26" t="str">
        <f t="shared" si="187"/>
        <v>2021.010B.R.Binomial_names.zip</v>
      </c>
    </row>
    <row r="4855" spans="1:21">
      <c r="A4855">
        <v>4854</v>
      </c>
      <c r="B4855" s="27" t="s">
        <v>1449</v>
      </c>
      <c r="D4855" s="27" t="s">
        <v>1450</v>
      </c>
      <c r="F4855" s="27" t="s">
        <v>1453</v>
      </c>
      <c r="H4855" s="27" t="s">
        <v>1454</v>
      </c>
      <c r="M4855" s="27" t="s">
        <v>765</v>
      </c>
      <c r="N4855" s="27" t="s">
        <v>1284</v>
      </c>
      <c r="P4855" s="27" t="s">
        <v>6410</v>
      </c>
      <c r="Q4855" s="26" t="str">
        <f>HYPERLINK("https://ictv.global/taxonomy/taxondetails?taxnode_id=202511853&amp;ictv_id=ICTV202011853","ICTV202011853")</f>
        <v>ICTV202011853</v>
      </c>
      <c r="R4855" t="s">
        <v>579</v>
      </c>
      <c r="S4855" t="s">
        <v>824</v>
      </c>
      <c r="T4855">
        <v>37</v>
      </c>
      <c r="U4855" s="26" t="str">
        <f t="shared" si="187"/>
        <v>2021.010B.R.Binomial_names.zip</v>
      </c>
    </row>
    <row r="4856" spans="1:21">
      <c r="A4856">
        <v>4855</v>
      </c>
      <c r="B4856" s="27" t="s">
        <v>1449</v>
      </c>
      <c r="D4856" s="27" t="s">
        <v>1450</v>
      </c>
      <c r="F4856" s="27" t="s">
        <v>1453</v>
      </c>
      <c r="H4856" s="27" t="s">
        <v>1454</v>
      </c>
      <c r="M4856" s="27" t="s">
        <v>765</v>
      </c>
      <c r="N4856" s="27" t="s">
        <v>1284</v>
      </c>
      <c r="P4856" s="27" t="s">
        <v>6411</v>
      </c>
      <c r="Q4856" s="26" t="str">
        <f>HYPERLINK("https://ictv.global/taxonomy/taxondetails?taxnode_id=202500611&amp;ictv_id=ICTV20164913","ICTV20164913")</f>
        <v>ICTV20164913</v>
      </c>
      <c r="R4856" t="s">
        <v>579</v>
      </c>
      <c r="S4856" t="s">
        <v>824</v>
      </c>
      <c r="T4856">
        <v>37</v>
      </c>
      <c r="U4856" s="26" t="str">
        <f t="shared" si="187"/>
        <v>2021.010B.R.Binomial_names.zip</v>
      </c>
    </row>
    <row r="4857" spans="1:21">
      <c r="A4857">
        <v>4856</v>
      </c>
      <c r="B4857" s="27" t="s">
        <v>1449</v>
      </c>
      <c r="D4857" s="27" t="s">
        <v>1450</v>
      </c>
      <c r="F4857" s="27" t="s">
        <v>1453</v>
      </c>
      <c r="H4857" s="27" t="s">
        <v>1454</v>
      </c>
      <c r="M4857" s="27" t="s">
        <v>765</v>
      </c>
      <c r="N4857" s="27" t="s">
        <v>1284</v>
      </c>
      <c r="P4857" s="27" t="s">
        <v>6412</v>
      </c>
      <c r="Q4857" s="26" t="str">
        <f>HYPERLINK("https://ictv.global/taxonomy/taxondetails?taxnode_id=202500609&amp;ictv_id=ICTV20164911","ICTV20164911")</f>
        <v>ICTV20164911</v>
      </c>
      <c r="R4857" t="s">
        <v>579</v>
      </c>
      <c r="S4857" t="s">
        <v>824</v>
      </c>
      <c r="T4857">
        <v>37</v>
      </c>
      <c r="U4857" s="26" t="str">
        <f t="shared" si="187"/>
        <v>2021.010B.R.Binomial_names.zip</v>
      </c>
    </row>
    <row r="4858" spans="1:21">
      <c r="A4858">
        <v>4857</v>
      </c>
      <c r="B4858" s="27" t="s">
        <v>1449</v>
      </c>
      <c r="D4858" s="27" t="s">
        <v>1450</v>
      </c>
      <c r="F4858" s="27" t="s">
        <v>1453</v>
      </c>
      <c r="H4858" s="27" t="s">
        <v>1454</v>
      </c>
      <c r="M4858" s="27" t="s">
        <v>765</v>
      </c>
      <c r="N4858" s="27" t="s">
        <v>1284</v>
      </c>
      <c r="P4858" s="27" t="s">
        <v>6413</v>
      </c>
      <c r="Q4858" s="26" t="str">
        <f>HYPERLINK("https://ictv.global/taxonomy/taxondetails?taxnode_id=202511854&amp;ictv_id=ICTV202011854","ICTV202011854")</f>
        <v>ICTV202011854</v>
      </c>
      <c r="R4858" t="s">
        <v>579</v>
      </c>
      <c r="S4858" t="s">
        <v>824</v>
      </c>
      <c r="T4858">
        <v>37</v>
      </c>
      <c r="U4858" s="26" t="str">
        <f t="shared" si="187"/>
        <v>2021.010B.R.Binomial_names.zip</v>
      </c>
    </row>
    <row r="4859" spans="1:21">
      <c r="A4859">
        <v>4858</v>
      </c>
      <c r="B4859" s="27" t="s">
        <v>1449</v>
      </c>
      <c r="D4859" s="27" t="s">
        <v>1450</v>
      </c>
      <c r="F4859" s="27" t="s">
        <v>1453</v>
      </c>
      <c r="H4859" s="27" t="s">
        <v>1454</v>
      </c>
      <c r="M4859" s="27" t="s">
        <v>765</v>
      </c>
      <c r="N4859" s="27" t="s">
        <v>1284</v>
      </c>
      <c r="P4859" s="27" t="s">
        <v>6414</v>
      </c>
      <c r="Q4859" s="26" t="str">
        <f>HYPERLINK("https://ictv.global/taxonomy/taxondetails?taxnode_id=202500610&amp;ictv_id=ICTV20164912","ICTV20164912")</f>
        <v>ICTV20164912</v>
      </c>
      <c r="R4859" t="s">
        <v>579</v>
      </c>
      <c r="S4859" t="s">
        <v>824</v>
      </c>
      <c r="T4859">
        <v>37</v>
      </c>
      <c r="U4859" s="26" t="str">
        <f t="shared" si="187"/>
        <v>2021.010B.R.Binomial_names.zip</v>
      </c>
    </row>
    <row r="4860" spans="1:21">
      <c r="A4860">
        <v>4859</v>
      </c>
      <c r="B4860" s="27" t="s">
        <v>1449</v>
      </c>
      <c r="D4860" s="27" t="s">
        <v>1450</v>
      </c>
      <c r="F4860" s="27" t="s">
        <v>1453</v>
      </c>
      <c r="H4860" s="27" t="s">
        <v>1454</v>
      </c>
      <c r="M4860" s="27" t="s">
        <v>765</v>
      </c>
      <c r="N4860" s="27" t="s">
        <v>1284</v>
      </c>
      <c r="P4860" s="27" t="s">
        <v>6415</v>
      </c>
      <c r="Q4860" s="26" t="str">
        <f>HYPERLINK("https://ictv.global/taxonomy/taxondetails?taxnode_id=202511848&amp;ictv_id=ICTV202011848","ICTV202011848")</f>
        <v>ICTV202011848</v>
      </c>
      <c r="R4860" t="s">
        <v>579</v>
      </c>
      <c r="S4860" t="s">
        <v>824</v>
      </c>
      <c r="T4860">
        <v>37</v>
      </c>
      <c r="U4860" s="26" t="str">
        <f t="shared" si="187"/>
        <v>2021.010B.R.Binomial_names.zip</v>
      </c>
    </row>
    <row r="4861" spans="1:21">
      <c r="A4861">
        <v>4860</v>
      </c>
      <c r="B4861" s="27" t="s">
        <v>1449</v>
      </c>
      <c r="D4861" s="27" t="s">
        <v>1450</v>
      </c>
      <c r="F4861" s="27" t="s">
        <v>1453</v>
      </c>
      <c r="H4861" s="27" t="s">
        <v>1454</v>
      </c>
      <c r="M4861" s="27" t="s">
        <v>765</v>
      </c>
      <c r="N4861" s="27" t="s">
        <v>1284</v>
      </c>
      <c r="P4861" s="27" t="s">
        <v>6416</v>
      </c>
      <c r="Q4861" s="26" t="str">
        <f>HYPERLINK("https://ictv.global/taxonomy/taxondetails?taxnode_id=202511851&amp;ictv_id=ICTV202011851","ICTV202011851")</f>
        <v>ICTV202011851</v>
      </c>
      <c r="R4861" t="s">
        <v>579</v>
      </c>
      <c r="S4861" t="s">
        <v>824</v>
      </c>
      <c r="T4861">
        <v>37</v>
      </c>
      <c r="U4861" s="26" t="str">
        <f t="shared" si="187"/>
        <v>2021.010B.R.Binomial_names.zip</v>
      </c>
    </row>
    <row r="4862" spans="1:21">
      <c r="A4862">
        <v>4861</v>
      </c>
      <c r="B4862" s="27" t="s">
        <v>1449</v>
      </c>
      <c r="D4862" s="27" t="s">
        <v>1450</v>
      </c>
      <c r="F4862" s="27" t="s">
        <v>1453</v>
      </c>
      <c r="H4862" s="27" t="s">
        <v>1454</v>
      </c>
      <c r="M4862" s="27" t="s">
        <v>765</v>
      </c>
      <c r="N4862" s="27" t="s">
        <v>1284</v>
      </c>
      <c r="P4862" s="27" t="s">
        <v>6417</v>
      </c>
      <c r="Q4862" s="26" t="str">
        <f>HYPERLINK("https://ictv.global/taxonomy/taxondetails?taxnode_id=202511847&amp;ictv_id=ICTV202011847","ICTV202011847")</f>
        <v>ICTV202011847</v>
      </c>
      <c r="R4862" t="s">
        <v>579</v>
      </c>
      <c r="S4862" t="s">
        <v>824</v>
      </c>
      <c r="T4862">
        <v>37</v>
      </c>
      <c r="U4862" s="26" t="str">
        <f t="shared" si="187"/>
        <v>2021.010B.R.Binomial_names.zip</v>
      </c>
    </row>
    <row r="4863" spans="1:21">
      <c r="A4863">
        <v>4862</v>
      </c>
      <c r="B4863" s="27" t="s">
        <v>1449</v>
      </c>
      <c r="D4863" s="27" t="s">
        <v>1450</v>
      </c>
      <c r="F4863" s="27" t="s">
        <v>1453</v>
      </c>
      <c r="H4863" s="27" t="s">
        <v>1454</v>
      </c>
      <c r="M4863" s="27" t="s">
        <v>765</v>
      </c>
      <c r="N4863" s="27" t="s">
        <v>1284</v>
      </c>
      <c r="P4863" s="27" t="s">
        <v>6418</v>
      </c>
      <c r="Q4863" s="26" t="str">
        <f>HYPERLINK("https://ictv.global/taxonomy/taxondetails?taxnode_id=202500607&amp;ictv_id=ICTV20164909","ICTV20164909")</f>
        <v>ICTV20164909</v>
      </c>
      <c r="R4863" t="s">
        <v>579</v>
      </c>
      <c r="S4863" t="s">
        <v>824</v>
      </c>
      <c r="T4863">
        <v>37</v>
      </c>
      <c r="U4863" s="26" t="str">
        <f t="shared" si="187"/>
        <v>2021.010B.R.Binomial_names.zip</v>
      </c>
    </row>
    <row r="4864" spans="1:21">
      <c r="A4864">
        <v>4863</v>
      </c>
      <c r="B4864" s="27" t="s">
        <v>1449</v>
      </c>
      <c r="D4864" s="27" t="s">
        <v>1450</v>
      </c>
      <c r="F4864" s="27" t="s">
        <v>1453</v>
      </c>
      <c r="H4864" s="27" t="s">
        <v>1454</v>
      </c>
      <c r="M4864" s="27" t="s">
        <v>765</v>
      </c>
      <c r="N4864" s="27" t="s">
        <v>1284</v>
      </c>
      <c r="P4864" s="27" t="s">
        <v>6419</v>
      </c>
      <c r="Q4864" s="26" t="str">
        <f>HYPERLINK("https://ictv.global/taxonomy/taxondetails?taxnode_id=202500608&amp;ictv_id=ICTV20164910","ICTV20164910")</f>
        <v>ICTV20164910</v>
      </c>
      <c r="R4864" t="s">
        <v>579</v>
      </c>
      <c r="S4864" t="s">
        <v>824</v>
      </c>
      <c r="T4864">
        <v>37</v>
      </c>
      <c r="U4864" s="26" t="str">
        <f t="shared" si="187"/>
        <v>2021.010B.R.Binomial_names.zip</v>
      </c>
    </row>
    <row r="4865" spans="1:21">
      <c r="A4865">
        <v>4864</v>
      </c>
      <c r="B4865" s="27" t="s">
        <v>1449</v>
      </c>
      <c r="D4865" s="27" t="s">
        <v>1450</v>
      </c>
      <c r="F4865" s="27" t="s">
        <v>1453</v>
      </c>
      <c r="H4865" s="27" t="s">
        <v>1454</v>
      </c>
      <c r="M4865" s="27" t="s">
        <v>765</v>
      </c>
      <c r="N4865" s="27" t="s">
        <v>1284</v>
      </c>
      <c r="P4865" s="27" t="s">
        <v>6420</v>
      </c>
      <c r="Q4865" s="26" t="str">
        <f>HYPERLINK("https://ictv.global/taxonomy/taxondetails?taxnode_id=202511852&amp;ictv_id=ICTV202011852","ICTV202011852")</f>
        <v>ICTV202011852</v>
      </c>
      <c r="R4865" t="s">
        <v>579</v>
      </c>
      <c r="S4865" t="s">
        <v>824</v>
      </c>
      <c r="T4865">
        <v>37</v>
      </c>
      <c r="U4865" s="26" t="str">
        <f t="shared" si="187"/>
        <v>2021.010B.R.Binomial_names.zip</v>
      </c>
    </row>
    <row r="4866" spans="1:21">
      <c r="A4866">
        <v>4865</v>
      </c>
      <c r="B4866" s="27" t="s">
        <v>1449</v>
      </c>
      <c r="D4866" s="27" t="s">
        <v>1450</v>
      </c>
      <c r="F4866" s="27" t="s">
        <v>1453</v>
      </c>
      <c r="H4866" s="27" t="s">
        <v>1454</v>
      </c>
      <c r="M4866" s="27" t="s">
        <v>2234</v>
      </c>
      <c r="N4866" s="27" t="s">
        <v>2235</v>
      </c>
      <c r="P4866" s="27" t="s">
        <v>6421</v>
      </c>
      <c r="Q4866" s="26" t="str">
        <f>HYPERLINK("https://ictv.global/taxonomy/taxondetails?taxnode_id=202511866&amp;ictv_id=ICTV202011866","ICTV202011866")</f>
        <v>ICTV202011866</v>
      </c>
      <c r="R4866" t="s">
        <v>579</v>
      </c>
      <c r="S4866" t="s">
        <v>824</v>
      </c>
      <c r="T4866">
        <v>37</v>
      </c>
      <c r="U4866" s="26" t="str">
        <f t="shared" si="187"/>
        <v>2021.010B.R.Binomial_names.zip</v>
      </c>
    </row>
    <row r="4867" spans="1:21">
      <c r="A4867">
        <v>4866</v>
      </c>
      <c r="B4867" s="27" t="s">
        <v>1449</v>
      </c>
      <c r="D4867" s="27" t="s">
        <v>1450</v>
      </c>
      <c r="F4867" s="27" t="s">
        <v>1453</v>
      </c>
      <c r="H4867" s="27" t="s">
        <v>1454</v>
      </c>
      <c r="M4867" s="27" t="s">
        <v>2234</v>
      </c>
      <c r="N4867" s="27" t="s">
        <v>2236</v>
      </c>
      <c r="P4867" s="27" t="s">
        <v>6422</v>
      </c>
      <c r="Q4867" s="26" t="str">
        <f>HYPERLINK("https://ictv.global/taxonomy/taxondetails?taxnode_id=202511864&amp;ictv_id=ICTV202011864","ICTV202011864")</f>
        <v>ICTV202011864</v>
      </c>
      <c r="R4867" t="s">
        <v>579</v>
      </c>
      <c r="S4867" t="s">
        <v>824</v>
      </c>
      <c r="T4867">
        <v>37</v>
      </c>
      <c r="U4867" s="26" t="str">
        <f t="shared" si="187"/>
        <v>2021.010B.R.Binomial_names.zip</v>
      </c>
    </row>
    <row r="4868" spans="1:21">
      <c r="A4868">
        <v>4867</v>
      </c>
      <c r="B4868" s="27" t="s">
        <v>1449</v>
      </c>
      <c r="D4868" s="27" t="s">
        <v>1450</v>
      </c>
      <c r="F4868" s="27" t="s">
        <v>1453</v>
      </c>
      <c r="H4868" s="27" t="s">
        <v>1454</v>
      </c>
      <c r="M4868" s="27" t="s">
        <v>11979</v>
      </c>
      <c r="N4868" s="27" t="s">
        <v>11980</v>
      </c>
      <c r="P4868" s="27" t="s">
        <v>11981</v>
      </c>
      <c r="Q4868" s="26" t="str">
        <f>HYPERLINK("https://ictv.global/taxonomy/taxondetails?taxnode_id=202519294&amp;ictv_id=ICTV202319294","ICTV202319294")</f>
        <v>ICTV202319294</v>
      </c>
      <c r="R4868" t="s">
        <v>579</v>
      </c>
      <c r="S4868" t="s">
        <v>823</v>
      </c>
      <c r="T4868">
        <v>39</v>
      </c>
      <c r="U4868" s="26" t="str">
        <f>HYPERLINK("https://ictv.global/ictv/proposals/2023.063B.Stanbayleyvirinae_nsf.zip","2023.063B.Stanbayleyvirinae_nsf.zip")</f>
        <v>2023.063B.Stanbayleyvirinae_nsf.zip</v>
      </c>
    </row>
    <row r="4869" spans="1:21">
      <c r="A4869">
        <v>4868</v>
      </c>
      <c r="B4869" s="27" t="s">
        <v>1449</v>
      </c>
      <c r="D4869" s="27" t="s">
        <v>1450</v>
      </c>
      <c r="F4869" s="27" t="s">
        <v>1453</v>
      </c>
      <c r="H4869" s="27" t="s">
        <v>1454</v>
      </c>
      <c r="M4869" s="27" t="s">
        <v>11979</v>
      </c>
      <c r="N4869" s="27" t="s">
        <v>11980</v>
      </c>
      <c r="P4869" s="27" t="s">
        <v>11982</v>
      </c>
      <c r="Q4869" s="26" t="str">
        <f>HYPERLINK("https://ictv.global/taxonomy/taxondetails?taxnode_id=202519295&amp;ictv_id=ICTV202319295","ICTV202319295")</f>
        <v>ICTV202319295</v>
      </c>
      <c r="R4869" t="s">
        <v>579</v>
      </c>
      <c r="S4869" t="s">
        <v>823</v>
      </c>
      <c r="T4869">
        <v>39</v>
      </c>
      <c r="U4869" s="26" t="str">
        <f>HYPERLINK("https://ictv.global/ictv/proposals/2023.063B.Stanbayleyvirinae_nsf.zip","2023.063B.Stanbayleyvirinae_nsf.zip")</f>
        <v>2023.063B.Stanbayleyvirinae_nsf.zip</v>
      </c>
    </row>
    <row r="4870" spans="1:21">
      <c r="A4870">
        <v>4869</v>
      </c>
      <c r="B4870" s="27" t="s">
        <v>1449</v>
      </c>
      <c r="D4870" s="27" t="s">
        <v>1450</v>
      </c>
      <c r="F4870" s="27" t="s">
        <v>1453</v>
      </c>
      <c r="H4870" s="27" t="s">
        <v>1454</v>
      </c>
      <c r="M4870" s="27" t="s">
        <v>11979</v>
      </c>
      <c r="N4870" s="27" t="s">
        <v>11980</v>
      </c>
      <c r="P4870" s="27" t="s">
        <v>11983</v>
      </c>
      <c r="Q4870" s="26" t="str">
        <f>HYPERLINK("https://ictv.global/taxonomy/taxondetails?taxnode_id=202519296&amp;ictv_id=ICTV202319296","ICTV202319296")</f>
        <v>ICTV202319296</v>
      </c>
      <c r="R4870" t="s">
        <v>579</v>
      </c>
      <c r="S4870" t="s">
        <v>823</v>
      </c>
      <c r="T4870">
        <v>39</v>
      </c>
      <c r="U4870" s="26" t="str">
        <f>HYPERLINK("https://ictv.global/ictv/proposals/2023.063B.Stanbayleyvirinae_nsf.zip","2023.063B.Stanbayleyvirinae_nsf.zip")</f>
        <v>2023.063B.Stanbayleyvirinae_nsf.zip</v>
      </c>
    </row>
    <row r="4871" spans="1:21">
      <c r="A4871">
        <v>4870</v>
      </c>
      <c r="B4871" s="27" t="s">
        <v>1449</v>
      </c>
      <c r="D4871" s="27" t="s">
        <v>1450</v>
      </c>
      <c r="F4871" s="27" t="s">
        <v>1453</v>
      </c>
      <c r="H4871" s="27" t="s">
        <v>1454</v>
      </c>
      <c r="M4871" s="27" t="s">
        <v>11979</v>
      </c>
      <c r="N4871" s="27" t="s">
        <v>11984</v>
      </c>
      <c r="P4871" s="27" t="s">
        <v>11985</v>
      </c>
      <c r="Q4871" s="26" t="str">
        <f>HYPERLINK("https://ictv.global/taxonomy/taxondetails?taxnode_id=202519293&amp;ictv_id=ICTV202319293","ICTV202319293")</f>
        <v>ICTV202319293</v>
      </c>
      <c r="R4871" t="s">
        <v>579</v>
      </c>
      <c r="S4871" t="s">
        <v>823</v>
      </c>
      <c r="T4871">
        <v>39</v>
      </c>
      <c r="U4871" s="26" t="str">
        <f>HYPERLINK("https://ictv.global/ictv/proposals/2023.063B.Stanbayleyvirinae_nsf.zip","2023.063B.Stanbayleyvirinae_nsf.zip")</f>
        <v>2023.063B.Stanbayleyvirinae_nsf.zip</v>
      </c>
    </row>
    <row r="4872" spans="1:21">
      <c r="A4872">
        <v>4871</v>
      </c>
      <c r="B4872" s="27" t="s">
        <v>1449</v>
      </c>
      <c r="D4872" s="27" t="s">
        <v>1450</v>
      </c>
      <c r="F4872" s="27" t="s">
        <v>1453</v>
      </c>
      <c r="H4872" s="27" t="s">
        <v>1454</v>
      </c>
      <c r="M4872" s="27" t="s">
        <v>6423</v>
      </c>
      <c r="N4872" s="27" t="s">
        <v>6424</v>
      </c>
      <c r="P4872" s="27" t="s">
        <v>6425</v>
      </c>
      <c r="Q4872" s="26" t="str">
        <f>HYPERLINK("https://ictv.global/taxonomy/taxondetails?taxnode_id=202513660&amp;ictv_id=ICTV202113660","ICTV202113660")</f>
        <v>ICTV202113660</v>
      </c>
      <c r="R4872" t="s">
        <v>579</v>
      </c>
      <c r="S4872" t="s">
        <v>823</v>
      </c>
      <c r="T4872">
        <v>37</v>
      </c>
      <c r="U4872" s="26" t="str">
        <f>HYPERLINK("https://ictv.global/ictv/proposals/2021.080B.R.Stephanstirmvirinae.zip","2021.080B.R.Stephanstirmvirinae.zip")</f>
        <v>2021.080B.R.Stephanstirmvirinae.zip</v>
      </c>
    </row>
    <row r="4873" spans="1:21">
      <c r="A4873">
        <v>4872</v>
      </c>
      <c r="B4873" s="27" t="s">
        <v>1449</v>
      </c>
      <c r="D4873" s="27" t="s">
        <v>1450</v>
      </c>
      <c r="F4873" s="27" t="s">
        <v>1453</v>
      </c>
      <c r="H4873" s="27" t="s">
        <v>1454</v>
      </c>
      <c r="M4873" s="27" t="s">
        <v>6423</v>
      </c>
      <c r="N4873" s="27" t="s">
        <v>6424</v>
      </c>
      <c r="P4873" s="27" t="s">
        <v>22061</v>
      </c>
      <c r="Q4873" s="26" t="str">
        <f>HYPERLINK("https://ictv.global/taxonomy/taxondetails?taxnode_id=202522862&amp;ictv_id=ICTV202522862","ICTV202522862")</f>
        <v>ICTV202522862</v>
      </c>
      <c r="R4873" t="s">
        <v>579</v>
      </c>
      <c r="S4873" t="s">
        <v>823</v>
      </c>
      <c r="T4873">
        <v>41</v>
      </c>
      <c r="U4873" s="26" t="str">
        <f>HYPERLINK("https://ictv.global/ictv/proposals/2025.029B.Justusliebigvirus_1ns.zip","2025.029B.Justusliebigvirus_1ns.zip")</f>
        <v>2025.029B.Justusliebigvirus_1ns.zip</v>
      </c>
    </row>
    <row r="4874" spans="1:21">
      <c r="A4874">
        <v>4873</v>
      </c>
      <c r="B4874" s="27" t="s">
        <v>1449</v>
      </c>
      <c r="D4874" s="27" t="s">
        <v>1450</v>
      </c>
      <c r="F4874" s="27" t="s">
        <v>1453</v>
      </c>
      <c r="H4874" s="27" t="s">
        <v>1454</v>
      </c>
      <c r="M4874" s="27" t="s">
        <v>6423</v>
      </c>
      <c r="N4874" s="27" t="s">
        <v>6424</v>
      </c>
      <c r="P4874" s="27" t="s">
        <v>22657</v>
      </c>
      <c r="Q4874" s="26" t="str">
        <f>HYPERLINK("https://ictv.global/taxonomy/taxondetails?taxnode_id=202523242&amp;ictv_id=ICTV202523242","ICTV202523242")</f>
        <v>ICTV202523242</v>
      </c>
      <c r="R4874" t="s">
        <v>579</v>
      </c>
      <c r="S4874" t="s">
        <v>823</v>
      </c>
      <c r="T4874">
        <v>41</v>
      </c>
      <c r="U4874" s="26" t="str">
        <f>HYPERLINK("https://ictv.global/ictv/proposals/2025.080B.Justusliebigvirus_4ns.zip","2025.080B.Justusliebigvirus_4ns.zip")</f>
        <v>2025.080B.Justusliebigvirus_4ns.zip</v>
      </c>
    </row>
    <row r="4875" spans="1:21">
      <c r="A4875">
        <v>4874</v>
      </c>
      <c r="B4875" s="27" t="s">
        <v>1449</v>
      </c>
      <c r="D4875" s="27" t="s">
        <v>1450</v>
      </c>
      <c r="F4875" s="27" t="s">
        <v>1453</v>
      </c>
      <c r="H4875" s="27" t="s">
        <v>1454</v>
      </c>
      <c r="M4875" s="27" t="s">
        <v>6423</v>
      </c>
      <c r="N4875" s="27" t="s">
        <v>6424</v>
      </c>
      <c r="P4875" s="27" t="s">
        <v>22656</v>
      </c>
      <c r="Q4875" s="26" t="str">
        <f>HYPERLINK("https://ictv.global/taxonomy/taxondetails?taxnode_id=202523241&amp;ictv_id=ICTV202523241","ICTV202523241")</f>
        <v>ICTV202523241</v>
      </c>
      <c r="R4875" t="s">
        <v>579</v>
      </c>
      <c r="S4875" t="s">
        <v>823</v>
      </c>
      <c r="T4875">
        <v>41</v>
      </c>
      <c r="U4875" s="26" t="str">
        <f>HYPERLINK("https://ictv.global/ictv/proposals/2025.080B.Justusliebigvirus_4ns.zip","2025.080B.Justusliebigvirus_4ns.zip")</f>
        <v>2025.080B.Justusliebigvirus_4ns.zip</v>
      </c>
    </row>
    <row r="4876" spans="1:21">
      <c r="A4876">
        <v>4875</v>
      </c>
      <c r="B4876" s="27" t="s">
        <v>1449</v>
      </c>
      <c r="D4876" s="27" t="s">
        <v>1450</v>
      </c>
      <c r="F4876" s="27" t="s">
        <v>1453</v>
      </c>
      <c r="H4876" s="27" t="s">
        <v>1454</v>
      </c>
      <c r="M4876" s="27" t="s">
        <v>6423</v>
      </c>
      <c r="N4876" s="27" t="s">
        <v>6424</v>
      </c>
      <c r="P4876" s="27" t="s">
        <v>6426</v>
      </c>
      <c r="Q4876" s="26" t="str">
        <f>HYPERLINK("https://ictv.global/taxonomy/taxondetails?taxnode_id=202513658&amp;ictv_id=ICTV202113658","ICTV202113658")</f>
        <v>ICTV202113658</v>
      </c>
      <c r="R4876" t="s">
        <v>579</v>
      </c>
      <c r="S4876" t="s">
        <v>823</v>
      </c>
      <c r="T4876">
        <v>37</v>
      </c>
      <c r="U4876" s="26" t="str">
        <f>HYPERLINK("https://ictv.global/ictv/proposals/2021.080B.R.Stephanstirmvirinae.zip","2021.080B.R.Stephanstirmvirinae.zip")</f>
        <v>2021.080B.R.Stephanstirmvirinae.zip</v>
      </c>
    </row>
    <row r="4877" spans="1:21">
      <c r="A4877">
        <v>4876</v>
      </c>
      <c r="B4877" s="27" t="s">
        <v>1449</v>
      </c>
      <c r="D4877" s="27" t="s">
        <v>1450</v>
      </c>
      <c r="F4877" s="27" t="s">
        <v>1453</v>
      </c>
      <c r="H4877" s="27" t="s">
        <v>1454</v>
      </c>
      <c r="M4877" s="27" t="s">
        <v>6423</v>
      </c>
      <c r="N4877" s="27" t="s">
        <v>6424</v>
      </c>
      <c r="P4877" s="27" t="s">
        <v>6427</v>
      </c>
      <c r="Q4877" s="26" t="str">
        <f>HYPERLINK("https://ictv.global/taxonomy/taxondetails?taxnode_id=202513661&amp;ictv_id=ICTV202113661","ICTV202113661")</f>
        <v>ICTV202113661</v>
      </c>
      <c r="R4877" t="s">
        <v>579</v>
      </c>
      <c r="S4877" t="s">
        <v>823</v>
      </c>
      <c r="T4877">
        <v>37</v>
      </c>
      <c r="U4877" s="26" t="str">
        <f>HYPERLINK("https://ictv.global/ictv/proposals/2021.080B.R.Stephanstirmvirinae.zip","2021.080B.R.Stephanstirmvirinae.zip")</f>
        <v>2021.080B.R.Stephanstirmvirinae.zip</v>
      </c>
    </row>
    <row r="4878" spans="1:21">
      <c r="A4878">
        <v>4877</v>
      </c>
      <c r="B4878" s="27" t="s">
        <v>1449</v>
      </c>
      <c r="D4878" s="27" t="s">
        <v>1450</v>
      </c>
      <c r="F4878" s="27" t="s">
        <v>1453</v>
      </c>
      <c r="H4878" s="27" t="s">
        <v>1454</v>
      </c>
      <c r="M4878" s="27" t="s">
        <v>6423</v>
      </c>
      <c r="N4878" s="27" t="s">
        <v>6424</v>
      </c>
      <c r="P4878" s="27" t="s">
        <v>6428</v>
      </c>
      <c r="Q4878" s="26" t="str">
        <f>HYPERLINK("https://ictv.global/taxonomy/taxondetails?taxnode_id=202513662&amp;ictv_id=ICTV202113662","ICTV202113662")</f>
        <v>ICTV202113662</v>
      </c>
      <c r="R4878" t="s">
        <v>579</v>
      </c>
      <c r="S4878" t="s">
        <v>823</v>
      </c>
      <c r="T4878">
        <v>37</v>
      </c>
      <c r="U4878" s="26" t="str">
        <f>HYPERLINK("https://ictv.global/ictv/proposals/2021.080B.R.Stephanstirmvirinae.zip","2021.080B.R.Stephanstirmvirinae.zip")</f>
        <v>2021.080B.R.Stephanstirmvirinae.zip</v>
      </c>
    </row>
    <row r="4879" spans="1:21">
      <c r="A4879">
        <v>4878</v>
      </c>
      <c r="B4879" s="27" t="s">
        <v>1449</v>
      </c>
      <c r="D4879" s="27" t="s">
        <v>1450</v>
      </c>
      <c r="F4879" s="27" t="s">
        <v>1453</v>
      </c>
      <c r="H4879" s="27" t="s">
        <v>1454</v>
      </c>
      <c r="M4879" s="27" t="s">
        <v>6423</v>
      </c>
      <c r="N4879" s="27" t="s">
        <v>6424</v>
      </c>
      <c r="P4879" s="27" t="s">
        <v>6429</v>
      </c>
      <c r="Q4879" s="26" t="str">
        <f>HYPERLINK("https://ictv.global/taxonomy/taxondetails?taxnode_id=202513657&amp;ictv_id=ICTV202113657","ICTV202113657")</f>
        <v>ICTV202113657</v>
      </c>
      <c r="R4879" t="s">
        <v>579</v>
      </c>
      <c r="S4879" t="s">
        <v>823</v>
      </c>
      <c r="T4879">
        <v>37</v>
      </c>
      <c r="U4879" s="26" t="str">
        <f>HYPERLINK("https://ictv.global/ictv/proposals/2021.080B.R.Stephanstirmvirinae.zip","2021.080B.R.Stephanstirmvirinae.zip")</f>
        <v>2021.080B.R.Stephanstirmvirinae.zip</v>
      </c>
    </row>
    <row r="4880" spans="1:21">
      <c r="A4880">
        <v>4879</v>
      </c>
      <c r="B4880" s="27" t="s">
        <v>1449</v>
      </c>
      <c r="D4880" s="27" t="s">
        <v>1450</v>
      </c>
      <c r="F4880" s="27" t="s">
        <v>1453</v>
      </c>
      <c r="H4880" s="27" t="s">
        <v>1454</v>
      </c>
      <c r="M4880" s="27" t="s">
        <v>6423</v>
      </c>
      <c r="N4880" s="27" t="s">
        <v>6424</v>
      </c>
      <c r="P4880" s="27" t="s">
        <v>22655</v>
      </c>
      <c r="Q4880" s="26" t="str">
        <f>HYPERLINK("https://ictv.global/taxonomy/taxondetails?taxnode_id=202523240&amp;ictv_id=ICTV202523240","ICTV202523240")</f>
        <v>ICTV202523240</v>
      </c>
      <c r="R4880" t="s">
        <v>579</v>
      </c>
      <c r="S4880" t="s">
        <v>823</v>
      </c>
      <c r="T4880">
        <v>41</v>
      </c>
      <c r="U4880" s="26" t="str">
        <f>HYPERLINK("https://ictv.global/ictv/proposals/2025.080B.Justusliebigvirus_4ns.zip","2025.080B.Justusliebigvirus_4ns.zip")</f>
        <v>2025.080B.Justusliebigvirus_4ns.zip</v>
      </c>
    </row>
    <row r="4881" spans="1:21">
      <c r="A4881">
        <v>4880</v>
      </c>
      <c r="B4881" s="27" t="s">
        <v>1449</v>
      </c>
      <c r="D4881" s="27" t="s">
        <v>1450</v>
      </c>
      <c r="F4881" s="27" t="s">
        <v>1453</v>
      </c>
      <c r="H4881" s="27" t="s">
        <v>1454</v>
      </c>
      <c r="M4881" s="27" t="s">
        <v>6423</v>
      </c>
      <c r="N4881" s="27" t="s">
        <v>6424</v>
      </c>
      <c r="P4881" s="27" t="s">
        <v>22654</v>
      </c>
      <c r="Q4881" s="26" t="str">
        <f>HYPERLINK("https://ictv.global/taxonomy/taxondetails?taxnode_id=202523239&amp;ictv_id=ICTV202523239","ICTV202523239")</f>
        <v>ICTV202523239</v>
      </c>
      <c r="R4881" t="s">
        <v>579</v>
      </c>
      <c r="S4881" t="s">
        <v>823</v>
      </c>
      <c r="T4881">
        <v>41</v>
      </c>
      <c r="U4881" s="26" t="str">
        <f>HYPERLINK("https://ictv.global/ictv/proposals/2025.080B.Justusliebigvirus_4ns.zip","2025.080B.Justusliebigvirus_4ns.zip")</f>
        <v>2025.080B.Justusliebigvirus_4ns.zip</v>
      </c>
    </row>
    <row r="4882" spans="1:21">
      <c r="A4882">
        <v>4881</v>
      </c>
      <c r="B4882" s="27" t="s">
        <v>1449</v>
      </c>
      <c r="D4882" s="27" t="s">
        <v>1450</v>
      </c>
      <c r="F4882" s="27" t="s">
        <v>1453</v>
      </c>
      <c r="H4882" s="27" t="s">
        <v>1454</v>
      </c>
      <c r="M4882" s="27" t="s">
        <v>6423</v>
      </c>
      <c r="N4882" s="27" t="s">
        <v>6424</v>
      </c>
      <c r="P4882" s="27" t="s">
        <v>6430</v>
      </c>
      <c r="Q4882" s="26" t="str">
        <f>HYPERLINK("https://ictv.global/taxonomy/taxondetails?taxnode_id=202513659&amp;ictv_id=ICTV202113659","ICTV202113659")</f>
        <v>ICTV202113659</v>
      </c>
      <c r="R4882" t="s">
        <v>579</v>
      </c>
      <c r="S4882" t="s">
        <v>823</v>
      </c>
      <c r="T4882">
        <v>37</v>
      </c>
      <c r="U4882" s="26" t="str">
        <f>HYPERLINK("https://ictv.global/ictv/proposals/2021.080B.R.Stephanstirmvirinae.zip","2021.080B.R.Stephanstirmvirinae.zip")</f>
        <v>2021.080B.R.Stephanstirmvirinae.zip</v>
      </c>
    </row>
    <row r="4883" spans="1:21">
      <c r="A4883">
        <v>4882</v>
      </c>
      <c r="B4883" s="27" t="s">
        <v>1449</v>
      </c>
      <c r="D4883" s="27" t="s">
        <v>1450</v>
      </c>
      <c r="F4883" s="27" t="s">
        <v>1453</v>
      </c>
      <c r="H4883" s="27" t="s">
        <v>1454</v>
      </c>
      <c r="M4883" s="27" t="s">
        <v>6423</v>
      </c>
      <c r="N4883" s="27" t="s">
        <v>1698</v>
      </c>
      <c r="P4883" s="27" t="s">
        <v>6431</v>
      </c>
      <c r="Q4883" s="26" t="str">
        <f>HYPERLINK("https://ictv.global/taxonomy/taxondetails?taxnode_id=202513649&amp;ictv_id=ICTV202113649","ICTV202113649")</f>
        <v>ICTV202113649</v>
      </c>
      <c r="R4883" t="s">
        <v>579</v>
      </c>
      <c r="S4883" t="s">
        <v>823</v>
      </c>
      <c r="T4883">
        <v>37</v>
      </c>
      <c r="U4883" s="26" t="str">
        <f>HYPERLINK("https://ictv.global/ictv/proposals/2021.080B.R.Stephanstirmvirinae.zip","2021.080B.R.Stephanstirmvirinae.zip")</f>
        <v>2021.080B.R.Stephanstirmvirinae.zip</v>
      </c>
    </row>
    <row r="4884" spans="1:21">
      <c r="A4884">
        <v>4883</v>
      </c>
      <c r="B4884" s="27" t="s">
        <v>1449</v>
      </c>
      <c r="D4884" s="27" t="s">
        <v>1450</v>
      </c>
      <c r="F4884" s="27" t="s">
        <v>1453</v>
      </c>
      <c r="H4884" s="27" t="s">
        <v>1454</v>
      </c>
      <c r="M4884" s="27" t="s">
        <v>6423</v>
      </c>
      <c r="N4884" s="27" t="s">
        <v>1698</v>
      </c>
      <c r="P4884" s="27" t="s">
        <v>19830</v>
      </c>
      <c r="Q4884" s="26" t="str">
        <f>HYPERLINK("https://ictv.global/taxonomy/taxondetails?taxnode_id=202507989&amp;ictv_id=ICTV201907989","ICTV201907989")</f>
        <v>ICTV201907989</v>
      </c>
      <c r="R4884" t="s">
        <v>579</v>
      </c>
      <c r="S4884" t="s">
        <v>824</v>
      </c>
      <c r="T4884">
        <v>40</v>
      </c>
      <c r="U4884" s="26" t="str">
        <f>HYPERLINK("https://ictv.global/ictv/proposals/2024.036B.Caudoviricetes_Faserviricetes_Name_Corrections.zip","2024.036B.Caudoviricetes_Faserviricetes_Name_Corrections.zip")</f>
        <v>2024.036B.Caudoviricetes_Faserviricetes_Name_Corrections.zip</v>
      </c>
    </row>
    <row r="4885" spans="1:21">
      <c r="A4885">
        <v>4884</v>
      </c>
      <c r="B4885" s="27" t="s">
        <v>1449</v>
      </c>
      <c r="D4885" s="27" t="s">
        <v>1450</v>
      </c>
      <c r="F4885" s="27" t="s">
        <v>1453</v>
      </c>
      <c r="H4885" s="27" t="s">
        <v>1454</v>
      </c>
      <c r="M4885" s="27" t="s">
        <v>6423</v>
      </c>
      <c r="N4885" s="27" t="s">
        <v>1698</v>
      </c>
      <c r="P4885" s="27" t="s">
        <v>19831</v>
      </c>
      <c r="Q4885" s="26" t="str">
        <f>HYPERLINK("https://ictv.global/taxonomy/taxondetails?taxnode_id=202507991&amp;ictv_id=ICTV201907991","ICTV201907991")</f>
        <v>ICTV201907991</v>
      </c>
      <c r="R4885" t="s">
        <v>579</v>
      </c>
      <c r="S4885" t="s">
        <v>824</v>
      </c>
      <c r="T4885">
        <v>40</v>
      </c>
      <c r="U4885" s="26" t="str">
        <f>HYPERLINK("https://ictv.global/ictv/proposals/2024.036B.Caudoviricetes_Faserviricetes_Name_Corrections.zip","2024.036B.Caudoviricetes_Faserviricetes_Name_Corrections.zip")</f>
        <v>2024.036B.Caudoviricetes_Faserviricetes_Name_Corrections.zip</v>
      </c>
    </row>
    <row r="4886" spans="1:21">
      <c r="A4886">
        <v>4885</v>
      </c>
      <c r="B4886" s="27" t="s">
        <v>1449</v>
      </c>
      <c r="D4886" s="27" t="s">
        <v>1450</v>
      </c>
      <c r="F4886" s="27" t="s">
        <v>1453</v>
      </c>
      <c r="H4886" s="27" t="s">
        <v>1454</v>
      </c>
      <c r="M4886" s="27" t="s">
        <v>6423</v>
      </c>
      <c r="N4886" s="27" t="s">
        <v>1698</v>
      </c>
      <c r="P4886" s="27" t="s">
        <v>6432</v>
      </c>
      <c r="Q4886" s="26" t="str">
        <f>HYPERLINK("https://ictv.global/taxonomy/taxondetails?taxnode_id=202513650&amp;ictv_id=ICTV202113650","ICTV202113650")</f>
        <v>ICTV202113650</v>
      </c>
      <c r="R4886" t="s">
        <v>579</v>
      </c>
      <c r="S4886" t="s">
        <v>823</v>
      </c>
      <c r="T4886">
        <v>37</v>
      </c>
      <c r="U4886" s="26" t="str">
        <f>HYPERLINK("https://ictv.global/ictv/proposals/2021.080B.R.Stephanstirmvirinae.zip","2021.080B.R.Stephanstirmvirinae.zip")</f>
        <v>2021.080B.R.Stephanstirmvirinae.zip</v>
      </c>
    </row>
    <row r="4887" spans="1:21">
      <c r="A4887">
        <v>4886</v>
      </c>
      <c r="B4887" s="27" t="s">
        <v>1449</v>
      </c>
      <c r="D4887" s="27" t="s">
        <v>1450</v>
      </c>
      <c r="F4887" s="27" t="s">
        <v>1453</v>
      </c>
      <c r="H4887" s="27" t="s">
        <v>1454</v>
      </c>
      <c r="M4887" s="27" t="s">
        <v>6423</v>
      </c>
      <c r="N4887" s="27" t="s">
        <v>1698</v>
      </c>
      <c r="P4887" s="27" t="s">
        <v>6433</v>
      </c>
      <c r="Q4887" s="26" t="str">
        <f>HYPERLINK("https://ictv.global/taxonomy/taxondetails?taxnode_id=202513651&amp;ictv_id=ICTV202113651","ICTV202113651")</f>
        <v>ICTV202113651</v>
      </c>
      <c r="R4887" t="s">
        <v>579</v>
      </c>
      <c r="S4887" t="s">
        <v>823</v>
      </c>
      <c r="T4887">
        <v>37</v>
      </c>
      <c r="U4887" s="26" t="str">
        <f>HYPERLINK("https://ictv.global/ictv/proposals/2021.080B.R.Stephanstirmvirinae.zip","2021.080B.R.Stephanstirmvirinae.zip")</f>
        <v>2021.080B.R.Stephanstirmvirinae.zip</v>
      </c>
    </row>
    <row r="4888" spans="1:21">
      <c r="A4888">
        <v>4887</v>
      </c>
      <c r="B4888" s="27" t="s">
        <v>1449</v>
      </c>
      <c r="D4888" s="27" t="s">
        <v>1450</v>
      </c>
      <c r="F4888" s="27" t="s">
        <v>1453</v>
      </c>
      <c r="H4888" s="27" t="s">
        <v>1454</v>
      </c>
      <c r="M4888" s="27" t="s">
        <v>6423</v>
      </c>
      <c r="N4888" s="27" t="s">
        <v>1698</v>
      </c>
      <c r="P4888" s="27" t="s">
        <v>6434</v>
      </c>
      <c r="Q4888" s="26" t="str">
        <f>HYPERLINK("https://ictv.global/taxonomy/taxondetails?taxnode_id=202513652&amp;ictv_id=ICTV202113652","ICTV202113652")</f>
        <v>ICTV202113652</v>
      </c>
      <c r="R4888" t="s">
        <v>579</v>
      </c>
      <c r="S4888" t="s">
        <v>823</v>
      </c>
      <c r="T4888">
        <v>37</v>
      </c>
      <c r="U4888" s="26" t="str">
        <f>HYPERLINK("https://ictv.global/ictv/proposals/2021.080B.R.Stephanstirmvirinae.zip","2021.080B.R.Stephanstirmvirinae.zip")</f>
        <v>2021.080B.R.Stephanstirmvirinae.zip</v>
      </c>
    </row>
    <row r="4889" spans="1:21">
      <c r="A4889">
        <v>4888</v>
      </c>
      <c r="B4889" s="27" t="s">
        <v>1449</v>
      </c>
      <c r="D4889" s="27" t="s">
        <v>1450</v>
      </c>
      <c r="F4889" s="27" t="s">
        <v>1453</v>
      </c>
      <c r="H4889" s="27" t="s">
        <v>1454</v>
      </c>
      <c r="M4889" s="27" t="s">
        <v>6423</v>
      </c>
      <c r="N4889" s="27" t="s">
        <v>1698</v>
      </c>
      <c r="P4889" s="27" t="s">
        <v>19832</v>
      </c>
      <c r="Q4889" s="26" t="str">
        <f>HYPERLINK("https://ictv.global/taxonomy/taxondetails?taxnode_id=202507987&amp;ictv_id=ICTV201907987","ICTV201907987")</f>
        <v>ICTV201907987</v>
      </c>
      <c r="R4889" t="s">
        <v>579</v>
      </c>
      <c r="S4889" t="s">
        <v>824</v>
      </c>
      <c r="T4889">
        <v>40</v>
      </c>
      <c r="U4889" s="26" t="str">
        <f>HYPERLINK("https://ictv.global/ictv/proposals/2024.036B.Caudoviricetes_Faserviricetes_Name_Corrections.zip","2024.036B.Caudoviricetes_Faserviricetes_Name_Corrections.zip")</f>
        <v>2024.036B.Caudoviricetes_Faserviricetes_Name_Corrections.zip</v>
      </c>
    </row>
    <row r="4890" spans="1:21">
      <c r="A4890">
        <v>4889</v>
      </c>
      <c r="B4890" s="27" t="s">
        <v>1449</v>
      </c>
      <c r="D4890" s="27" t="s">
        <v>1450</v>
      </c>
      <c r="F4890" s="27" t="s">
        <v>1453</v>
      </c>
      <c r="H4890" s="27" t="s">
        <v>1454</v>
      </c>
      <c r="M4890" s="27" t="s">
        <v>6423</v>
      </c>
      <c r="N4890" s="27" t="s">
        <v>1698</v>
      </c>
      <c r="P4890" s="27" t="s">
        <v>6435</v>
      </c>
      <c r="Q4890" s="26" t="str">
        <f>HYPERLINK("https://ictv.global/taxonomy/taxondetails?taxnode_id=202513655&amp;ictv_id=ICTV202113655","ICTV202113655")</f>
        <v>ICTV202113655</v>
      </c>
      <c r="R4890" t="s">
        <v>579</v>
      </c>
      <c r="S4890" t="s">
        <v>823</v>
      </c>
      <c r="T4890">
        <v>37</v>
      </c>
      <c r="U4890" s="26" t="str">
        <f>HYPERLINK("https://ictv.global/ictv/proposals/2021.080B.R.Stephanstirmvirinae.zip","2021.080B.R.Stephanstirmvirinae.zip")</f>
        <v>2021.080B.R.Stephanstirmvirinae.zip</v>
      </c>
    </row>
    <row r="4891" spans="1:21">
      <c r="A4891">
        <v>4890</v>
      </c>
      <c r="B4891" s="27" t="s">
        <v>1449</v>
      </c>
      <c r="D4891" s="27" t="s">
        <v>1450</v>
      </c>
      <c r="F4891" s="27" t="s">
        <v>1453</v>
      </c>
      <c r="H4891" s="27" t="s">
        <v>1454</v>
      </c>
      <c r="M4891" s="27" t="s">
        <v>6423</v>
      </c>
      <c r="N4891" s="27" t="s">
        <v>1698</v>
      </c>
      <c r="P4891" s="27" t="s">
        <v>19833</v>
      </c>
      <c r="Q4891" s="26" t="str">
        <f>HYPERLINK("https://ictv.global/taxonomy/taxondetails?taxnode_id=202507988&amp;ictv_id=ICTV201907988","ICTV201907988")</f>
        <v>ICTV201907988</v>
      </c>
      <c r="R4891" t="s">
        <v>579</v>
      </c>
      <c r="S4891" t="s">
        <v>824</v>
      </c>
      <c r="T4891">
        <v>40</v>
      </c>
      <c r="U4891" s="26" t="str">
        <f>HYPERLINK("https://ictv.global/ictv/proposals/2024.036B.Caudoviricetes_Faserviricetes_Name_Corrections.zip","2024.036B.Caudoviricetes_Faserviricetes_Name_Corrections.zip")</f>
        <v>2024.036B.Caudoviricetes_Faserviricetes_Name_Corrections.zip</v>
      </c>
    </row>
    <row r="4892" spans="1:21">
      <c r="A4892">
        <v>4891</v>
      </c>
      <c r="B4892" s="27" t="s">
        <v>1449</v>
      </c>
      <c r="D4892" s="27" t="s">
        <v>1450</v>
      </c>
      <c r="F4892" s="27" t="s">
        <v>1453</v>
      </c>
      <c r="H4892" s="27" t="s">
        <v>1454</v>
      </c>
      <c r="M4892" s="27" t="s">
        <v>6423</v>
      </c>
      <c r="N4892" s="27" t="s">
        <v>1698</v>
      </c>
      <c r="P4892" s="27" t="s">
        <v>6436</v>
      </c>
      <c r="Q4892" s="26" t="str">
        <f>HYPERLINK("https://ictv.global/taxonomy/taxondetails?taxnode_id=202513648&amp;ictv_id=ICTV202113648","ICTV202113648")</f>
        <v>ICTV202113648</v>
      </c>
      <c r="R4892" t="s">
        <v>579</v>
      </c>
      <c r="S4892" t="s">
        <v>823</v>
      </c>
      <c r="T4892">
        <v>37</v>
      </c>
      <c r="U4892" s="26" t="str">
        <f>HYPERLINK("https://ictv.global/ictv/proposals/2021.080B.R.Stephanstirmvirinae.zip","2021.080B.R.Stephanstirmvirinae.zip")</f>
        <v>2021.080B.R.Stephanstirmvirinae.zip</v>
      </c>
    </row>
    <row r="4893" spans="1:21">
      <c r="A4893">
        <v>4892</v>
      </c>
      <c r="B4893" s="27" t="s">
        <v>1449</v>
      </c>
      <c r="D4893" s="27" t="s">
        <v>1450</v>
      </c>
      <c r="F4893" s="27" t="s">
        <v>1453</v>
      </c>
      <c r="H4893" s="27" t="s">
        <v>1454</v>
      </c>
      <c r="M4893" s="27" t="s">
        <v>6423</v>
      </c>
      <c r="N4893" s="27" t="s">
        <v>1698</v>
      </c>
      <c r="P4893" s="27" t="s">
        <v>6437</v>
      </c>
      <c r="Q4893" s="26" t="str">
        <f>HYPERLINK("https://ictv.global/taxonomy/taxondetails?taxnode_id=202513653&amp;ictv_id=ICTV202113653","ICTV202113653")</f>
        <v>ICTV202113653</v>
      </c>
      <c r="R4893" t="s">
        <v>579</v>
      </c>
      <c r="S4893" t="s">
        <v>823</v>
      </c>
      <c r="T4893">
        <v>37</v>
      </c>
      <c r="U4893" s="26" t="str">
        <f>HYPERLINK("https://ictv.global/ictv/proposals/2021.080B.R.Stephanstirmvirinae.zip","2021.080B.R.Stephanstirmvirinae.zip")</f>
        <v>2021.080B.R.Stephanstirmvirinae.zip</v>
      </c>
    </row>
    <row r="4894" spans="1:21">
      <c r="A4894">
        <v>4893</v>
      </c>
      <c r="B4894" s="27" t="s">
        <v>1449</v>
      </c>
      <c r="D4894" s="27" t="s">
        <v>1450</v>
      </c>
      <c r="F4894" s="27" t="s">
        <v>1453</v>
      </c>
      <c r="H4894" s="27" t="s">
        <v>1454</v>
      </c>
      <c r="M4894" s="27" t="s">
        <v>6423</v>
      </c>
      <c r="N4894" s="27" t="s">
        <v>1698</v>
      </c>
      <c r="P4894" s="27" t="s">
        <v>6438</v>
      </c>
      <c r="Q4894" s="26" t="str">
        <f>HYPERLINK("https://ictv.global/taxonomy/taxondetails?taxnode_id=202513654&amp;ictv_id=ICTV202113654","ICTV202113654")</f>
        <v>ICTV202113654</v>
      </c>
      <c r="R4894" t="s">
        <v>579</v>
      </c>
      <c r="S4894" t="s">
        <v>823</v>
      </c>
      <c r="T4894">
        <v>37</v>
      </c>
      <c r="U4894" s="26" t="str">
        <f>HYPERLINK("https://ictv.global/ictv/proposals/2021.080B.R.Stephanstirmvirinae.zip","2021.080B.R.Stephanstirmvirinae.zip")</f>
        <v>2021.080B.R.Stephanstirmvirinae.zip</v>
      </c>
    </row>
    <row r="4895" spans="1:21">
      <c r="A4895">
        <v>4894</v>
      </c>
      <c r="B4895" s="27" t="s">
        <v>1449</v>
      </c>
      <c r="D4895" s="27" t="s">
        <v>1450</v>
      </c>
      <c r="F4895" s="27" t="s">
        <v>1453</v>
      </c>
      <c r="H4895" s="27" t="s">
        <v>1454</v>
      </c>
      <c r="M4895" s="27" t="s">
        <v>6423</v>
      </c>
      <c r="N4895" s="27" t="s">
        <v>1698</v>
      </c>
      <c r="P4895" s="27" t="s">
        <v>19834</v>
      </c>
      <c r="Q4895" s="26" t="str">
        <f>HYPERLINK("https://ictv.global/taxonomy/taxondetails?taxnode_id=202507990&amp;ictv_id=ICTV201907990","ICTV201907990")</f>
        <v>ICTV201907990</v>
      </c>
      <c r="R4895" t="s">
        <v>579</v>
      </c>
      <c r="S4895" t="s">
        <v>824</v>
      </c>
      <c r="T4895">
        <v>40</v>
      </c>
      <c r="U4895" s="26" t="str">
        <f>HYPERLINK("https://ictv.global/ictv/proposals/2024.036B.Caudoviricetes_Faserviricetes_Name_Corrections.zip","2024.036B.Caudoviricetes_Faserviricetes_Name_Corrections.zip")</f>
        <v>2024.036B.Caudoviricetes_Faserviricetes_Name_Corrections.zip</v>
      </c>
    </row>
    <row r="4896" spans="1:21">
      <c r="A4896">
        <v>4895</v>
      </c>
      <c r="B4896" s="27" t="s">
        <v>1449</v>
      </c>
      <c r="D4896" s="27" t="s">
        <v>1450</v>
      </c>
      <c r="F4896" s="27" t="s">
        <v>1453</v>
      </c>
      <c r="H4896" s="27" t="s">
        <v>1454</v>
      </c>
      <c r="M4896" s="27" t="s">
        <v>2237</v>
      </c>
      <c r="N4896" s="27" t="s">
        <v>2238</v>
      </c>
      <c r="P4896" s="27" t="s">
        <v>6439</v>
      </c>
      <c r="Q4896" s="26" t="str">
        <f>HYPERLINK("https://ictv.global/taxonomy/taxondetails?taxnode_id=202512034&amp;ictv_id=ICTV202012034","ICTV202012034")</f>
        <v>ICTV202012034</v>
      </c>
      <c r="R4896" t="s">
        <v>579</v>
      </c>
      <c r="S4896" t="s">
        <v>824</v>
      </c>
      <c r="T4896">
        <v>37</v>
      </c>
      <c r="U4896" s="26" t="str">
        <f t="shared" ref="U4896:U4921" si="188">HYPERLINK("https://ictv.global/ictv/proposals/2021.010B.R.Binomial_names.zip","2021.010B.R.Binomial_names.zip")</f>
        <v>2021.010B.R.Binomial_names.zip</v>
      </c>
    </row>
    <row r="4897" spans="1:21">
      <c r="A4897">
        <v>4896</v>
      </c>
      <c r="B4897" s="27" t="s">
        <v>1449</v>
      </c>
      <c r="D4897" s="27" t="s">
        <v>1450</v>
      </c>
      <c r="F4897" s="27" t="s">
        <v>1453</v>
      </c>
      <c r="H4897" s="27" t="s">
        <v>1454</v>
      </c>
      <c r="M4897" s="27" t="s">
        <v>2237</v>
      </c>
      <c r="N4897" s="27" t="s">
        <v>2239</v>
      </c>
      <c r="P4897" s="27" t="s">
        <v>6440</v>
      </c>
      <c r="Q4897" s="26" t="str">
        <f>HYPERLINK("https://ictv.global/taxonomy/taxondetails?taxnode_id=202512031&amp;ictv_id=ICTV202012031","ICTV202012031")</f>
        <v>ICTV202012031</v>
      </c>
      <c r="R4897" t="s">
        <v>579</v>
      </c>
      <c r="S4897" t="s">
        <v>824</v>
      </c>
      <c r="T4897">
        <v>37</v>
      </c>
      <c r="U4897" s="26" t="str">
        <f t="shared" si="188"/>
        <v>2021.010B.R.Binomial_names.zip</v>
      </c>
    </row>
    <row r="4898" spans="1:21">
      <c r="A4898">
        <v>4897</v>
      </c>
      <c r="B4898" s="27" t="s">
        <v>1449</v>
      </c>
      <c r="D4898" s="27" t="s">
        <v>1450</v>
      </c>
      <c r="F4898" s="27" t="s">
        <v>1453</v>
      </c>
      <c r="H4898" s="27" t="s">
        <v>1454</v>
      </c>
      <c r="M4898" s="27" t="s">
        <v>2237</v>
      </c>
      <c r="N4898" s="27" t="s">
        <v>2239</v>
      </c>
      <c r="P4898" s="27" t="s">
        <v>6441</v>
      </c>
      <c r="Q4898" s="26" t="str">
        <f>HYPERLINK("https://ictv.global/taxonomy/taxondetails?taxnode_id=202512032&amp;ictv_id=ICTV202012032","ICTV202012032")</f>
        <v>ICTV202012032</v>
      </c>
      <c r="R4898" t="s">
        <v>579</v>
      </c>
      <c r="S4898" t="s">
        <v>824</v>
      </c>
      <c r="T4898">
        <v>37</v>
      </c>
      <c r="U4898" s="26" t="str">
        <f t="shared" si="188"/>
        <v>2021.010B.R.Binomial_names.zip</v>
      </c>
    </row>
    <row r="4899" spans="1:21">
      <c r="A4899">
        <v>4898</v>
      </c>
      <c r="B4899" s="27" t="s">
        <v>1449</v>
      </c>
      <c r="D4899" s="27" t="s">
        <v>1450</v>
      </c>
      <c r="F4899" s="27" t="s">
        <v>1453</v>
      </c>
      <c r="H4899" s="27" t="s">
        <v>1454</v>
      </c>
      <c r="M4899" s="27" t="s">
        <v>1735</v>
      </c>
      <c r="N4899" s="27" t="s">
        <v>1736</v>
      </c>
      <c r="P4899" s="27" t="s">
        <v>6442</v>
      </c>
      <c r="Q4899" s="26" t="str">
        <f>HYPERLINK("https://ictv.global/taxonomy/taxondetails?taxnode_id=202507824&amp;ictv_id=ICTV201907824","ICTV201907824")</f>
        <v>ICTV201907824</v>
      </c>
      <c r="R4899" t="s">
        <v>579</v>
      </c>
      <c r="S4899" t="s">
        <v>824</v>
      </c>
      <c r="T4899">
        <v>37</v>
      </c>
      <c r="U4899" s="26" t="str">
        <f t="shared" si="188"/>
        <v>2021.010B.R.Binomial_names.zip</v>
      </c>
    </row>
    <row r="4900" spans="1:21">
      <c r="A4900">
        <v>4899</v>
      </c>
      <c r="B4900" s="27" t="s">
        <v>1449</v>
      </c>
      <c r="D4900" s="27" t="s">
        <v>1450</v>
      </c>
      <c r="F4900" s="27" t="s">
        <v>1453</v>
      </c>
      <c r="H4900" s="27" t="s">
        <v>1454</v>
      </c>
      <c r="M4900" s="27" t="s">
        <v>1735</v>
      </c>
      <c r="N4900" s="27" t="s">
        <v>1737</v>
      </c>
      <c r="P4900" s="27" t="s">
        <v>6443</v>
      </c>
      <c r="Q4900" s="26" t="str">
        <f>HYPERLINK("https://ictv.global/taxonomy/taxondetails?taxnode_id=202507829&amp;ictv_id=ICTV201907829","ICTV201907829")</f>
        <v>ICTV201907829</v>
      </c>
      <c r="R4900" t="s">
        <v>579</v>
      </c>
      <c r="S4900" t="s">
        <v>824</v>
      </c>
      <c r="T4900">
        <v>37</v>
      </c>
      <c r="U4900" s="26" t="str">
        <f t="shared" si="188"/>
        <v>2021.010B.R.Binomial_names.zip</v>
      </c>
    </row>
    <row r="4901" spans="1:21">
      <c r="A4901">
        <v>4900</v>
      </c>
      <c r="B4901" s="27" t="s">
        <v>1449</v>
      </c>
      <c r="D4901" s="27" t="s">
        <v>1450</v>
      </c>
      <c r="F4901" s="27" t="s">
        <v>1453</v>
      </c>
      <c r="H4901" s="27" t="s">
        <v>1454</v>
      </c>
      <c r="M4901" s="27" t="s">
        <v>1735</v>
      </c>
      <c r="N4901" s="27" t="s">
        <v>1737</v>
      </c>
      <c r="P4901" s="27" t="s">
        <v>6444</v>
      </c>
      <c r="Q4901" s="26" t="str">
        <f>HYPERLINK("https://ictv.global/taxonomy/taxondetails?taxnode_id=202507830&amp;ictv_id=ICTV201907830","ICTV201907830")</f>
        <v>ICTV201907830</v>
      </c>
      <c r="R4901" t="s">
        <v>579</v>
      </c>
      <c r="S4901" t="s">
        <v>824</v>
      </c>
      <c r="T4901">
        <v>37</v>
      </c>
      <c r="U4901" s="26" t="str">
        <f t="shared" si="188"/>
        <v>2021.010B.R.Binomial_names.zip</v>
      </c>
    </row>
    <row r="4902" spans="1:21">
      <c r="A4902">
        <v>4901</v>
      </c>
      <c r="B4902" s="27" t="s">
        <v>1449</v>
      </c>
      <c r="D4902" s="27" t="s">
        <v>1450</v>
      </c>
      <c r="F4902" s="27" t="s">
        <v>1453</v>
      </c>
      <c r="H4902" s="27" t="s">
        <v>1454</v>
      </c>
      <c r="M4902" s="27" t="s">
        <v>1735</v>
      </c>
      <c r="N4902" s="27" t="s">
        <v>1737</v>
      </c>
      <c r="P4902" s="27" t="s">
        <v>6445</v>
      </c>
      <c r="Q4902" s="26" t="str">
        <f>HYPERLINK("https://ictv.global/taxonomy/taxondetails?taxnode_id=202507831&amp;ictv_id=ICTV201907831","ICTV201907831")</f>
        <v>ICTV201907831</v>
      </c>
      <c r="R4902" t="s">
        <v>579</v>
      </c>
      <c r="S4902" t="s">
        <v>824</v>
      </c>
      <c r="T4902">
        <v>37</v>
      </c>
      <c r="U4902" s="26" t="str">
        <f t="shared" si="188"/>
        <v>2021.010B.R.Binomial_names.zip</v>
      </c>
    </row>
    <row r="4903" spans="1:21">
      <c r="A4903">
        <v>4902</v>
      </c>
      <c r="B4903" s="27" t="s">
        <v>1449</v>
      </c>
      <c r="D4903" s="27" t="s">
        <v>1450</v>
      </c>
      <c r="F4903" s="27" t="s">
        <v>1453</v>
      </c>
      <c r="H4903" s="27" t="s">
        <v>1454</v>
      </c>
      <c r="M4903" s="27" t="s">
        <v>1735</v>
      </c>
      <c r="N4903" s="27" t="s">
        <v>1738</v>
      </c>
      <c r="P4903" s="27" t="s">
        <v>6446</v>
      </c>
      <c r="Q4903" s="26" t="str">
        <f>HYPERLINK("https://ictv.global/taxonomy/taxondetails?taxnode_id=202507826&amp;ictv_id=ICTV201907826","ICTV201907826")</f>
        <v>ICTV201907826</v>
      </c>
      <c r="R4903" t="s">
        <v>579</v>
      </c>
      <c r="S4903" t="s">
        <v>824</v>
      </c>
      <c r="T4903">
        <v>37</v>
      </c>
      <c r="U4903" s="26" t="str">
        <f t="shared" si="188"/>
        <v>2021.010B.R.Binomial_names.zip</v>
      </c>
    </row>
    <row r="4904" spans="1:21">
      <c r="A4904">
        <v>4903</v>
      </c>
      <c r="B4904" s="27" t="s">
        <v>1449</v>
      </c>
      <c r="D4904" s="27" t="s">
        <v>1450</v>
      </c>
      <c r="F4904" s="27" t="s">
        <v>1453</v>
      </c>
      <c r="H4904" s="27" t="s">
        <v>1454</v>
      </c>
      <c r="M4904" s="27" t="s">
        <v>1735</v>
      </c>
      <c r="N4904" s="27" t="s">
        <v>1738</v>
      </c>
      <c r="P4904" s="27" t="s">
        <v>6447</v>
      </c>
      <c r="Q4904" s="26" t="str">
        <f>HYPERLINK("https://ictv.global/taxonomy/taxondetails?taxnode_id=202507827&amp;ictv_id=ICTV201907827","ICTV201907827")</f>
        <v>ICTV201907827</v>
      </c>
      <c r="R4904" t="s">
        <v>579</v>
      </c>
      <c r="S4904" t="s">
        <v>824</v>
      </c>
      <c r="T4904">
        <v>37</v>
      </c>
      <c r="U4904" s="26" t="str">
        <f t="shared" si="188"/>
        <v>2021.010B.R.Binomial_names.zip</v>
      </c>
    </row>
    <row r="4905" spans="1:21">
      <c r="A4905">
        <v>4904</v>
      </c>
      <c r="B4905" s="27" t="s">
        <v>1449</v>
      </c>
      <c r="D4905" s="27" t="s">
        <v>1450</v>
      </c>
      <c r="F4905" s="27" t="s">
        <v>1453</v>
      </c>
      <c r="H4905" s="27" t="s">
        <v>1454</v>
      </c>
      <c r="M4905" s="27" t="s">
        <v>1735</v>
      </c>
      <c r="N4905" s="27" t="s">
        <v>1739</v>
      </c>
      <c r="P4905" s="27" t="s">
        <v>6448</v>
      </c>
      <c r="Q4905" s="26" t="str">
        <f>HYPERLINK("https://ictv.global/taxonomy/taxondetails?taxnode_id=202507833&amp;ictv_id=ICTV201907833","ICTV201907833")</f>
        <v>ICTV201907833</v>
      </c>
      <c r="R4905" t="s">
        <v>579</v>
      </c>
      <c r="S4905" t="s">
        <v>824</v>
      </c>
      <c r="T4905">
        <v>37</v>
      </c>
      <c r="U4905" s="26" t="str">
        <f t="shared" si="188"/>
        <v>2021.010B.R.Binomial_names.zip</v>
      </c>
    </row>
    <row r="4906" spans="1:21">
      <c r="A4906">
        <v>4905</v>
      </c>
      <c r="B4906" s="27" t="s">
        <v>1449</v>
      </c>
      <c r="D4906" s="27" t="s">
        <v>1450</v>
      </c>
      <c r="F4906" s="27" t="s">
        <v>1453</v>
      </c>
      <c r="H4906" s="27" t="s">
        <v>1454</v>
      </c>
      <c r="M4906" s="27" t="s">
        <v>1735</v>
      </c>
      <c r="N4906" s="27" t="s">
        <v>1739</v>
      </c>
      <c r="P4906" s="27" t="s">
        <v>6449</v>
      </c>
      <c r="Q4906" s="26" t="str">
        <f>HYPERLINK("https://ictv.global/taxonomy/taxondetails?taxnode_id=202507835&amp;ictv_id=ICTV201907835","ICTV201907835")</f>
        <v>ICTV201907835</v>
      </c>
      <c r="R4906" t="s">
        <v>579</v>
      </c>
      <c r="S4906" t="s">
        <v>824</v>
      </c>
      <c r="T4906">
        <v>37</v>
      </c>
      <c r="U4906" s="26" t="str">
        <f t="shared" si="188"/>
        <v>2021.010B.R.Binomial_names.zip</v>
      </c>
    </row>
    <row r="4907" spans="1:21">
      <c r="A4907">
        <v>4906</v>
      </c>
      <c r="B4907" s="27" t="s">
        <v>1449</v>
      </c>
      <c r="D4907" s="27" t="s">
        <v>1450</v>
      </c>
      <c r="F4907" s="27" t="s">
        <v>1453</v>
      </c>
      <c r="H4907" s="27" t="s">
        <v>1454</v>
      </c>
      <c r="M4907" s="27" t="s">
        <v>1735</v>
      </c>
      <c r="N4907" s="27" t="s">
        <v>1739</v>
      </c>
      <c r="P4907" s="27" t="s">
        <v>6450</v>
      </c>
      <c r="Q4907" s="26" t="str">
        <f>HYPERLINK("https://ictv.global/taxonomy/taxondetails?taxnode_id=202507834&amp;ictv_id=ICTV201907834","ICTV201907834")</f>
        <v>ICTV201907834</v>
      </c>
      <c r="R4907" t="s">
        <v>579</v>
      </c>
      <c r="S4907" t="s">
        <v>824</v>
      </c>
      <c r="T4907">
        <v>37</v>
      </c>
      <c r="U4907" s="26" t="str">
        <f t="shared" si="188"/>
        <v>2021.010B.R.Binomial_names.zip</v>
      </c>
    </row>
    <row r="4908" spans="1:21">
      <c r="A4908">
        <v>4907</v>
      </c>
      <c r="B4908" s="27" t="s">
        <v>1449</v>
      </c>
      <c r="D4908" s="27" t="s">
        <v>1450</v>
      </c>
      <c r="F4908" s="27" t="s">
        <v>1453</v>
      </c>
      <c r="H4908" s="27" t="s">
        <v>1454</v>
      </c>
      <c r="M4908" s="27" t="s">
        <v>589</v>
      </c>
      <c r="N4908" s="27" t="s">
        <v>1216</v>
      </c>
      <c r="P4908" s="27" t="s">
        <v>6451</v>
      </c>
      <c r="Q4908" s="26" t="str">
        <f>HYPERLINK("https://ictv.global/taxonomy/taxondetails?taxnode_id=202507080&amp;ictv_id=ICTV201857080","ICTV201857080")</f>
        <v>ICTV201857080</v>
      </c>
      <c r="R4908" t="s">
        <v>579</v>
      </c>
      <c r="S4908" t="s">
        <v>824</v>
      </c>
      <c r="T4908">
        <v>37</v>
      </c>
      <c r="U4908" s="26" t="str">
        <f t="shared" si="188"/>
        <v>2021.010B.R.Binomial_names.zip</v>
      </c>
    </row>
    <row r="4909" spans="1:21">
      <c r="A4909">
        <v>4908</v>
      </c>
      <c r="B4909" s="27" t="s">
        <v>1449</v>
      </c>
      <c r="D4909" s="27" t="s">
        <v>1450</v>
      </c>
      <c r="F4909" s="27" t="s">
        <v>1453</v>
      </c>
      <c r="H4909" s="27" t="s">
        <v>1454</v>
      </c>
      <c r="M4909" s="27" t="s">
        <v>589</v>
      </c>
      <c r="N4909" s="27" t="s">
        <v>1217</v>
      </c>
      <c r="P4909" s="27" t="s">
        <v>6452</v>
      </c>
      <c r="Q4909" s="26" t="str">
        <f>HYPERLINK("https://ictv.global/taxonomy/taxondetails?taxnode_id=202500347&amp;ictv_id=ICTV20150247","ICTV20150247")</f>
        <v>ICTV20150247</v>
      </c>
      <c r="R4909" t="s">
        <v>579</v>
      </c>
      <c r="S4909" t="s">
        <v>824</v>
      </c>
      <c r="T4909">
        <v>37</v>
      </c>
      <c r="U4909" s="26" t="str">
        <f t="shared" si="188"/>
        <v>2021.010B.R.Binomial_names.zip</v>
      </c>
    </row>
    <row r="4910" spans="1:21">
      <c r="A4910">
        <v>4909</v>
      </c>
      <c r="B4910" s="27" t="s">
        <v>1449</v>
      </c>
      <c r="D4910" s="27" t="s">
        <v>1450</v>
      </c>
      <c r="F4910" s="27" t="s">
        <v>1453</v>
      </c>
      <c r="H4910" s="27" t="s">
        <v>1454</v>
      </c>
      <c r="M4910" s="27" t="s">
        <v>589</v>
      </c>
      <c r="N4910" s="27" t="s">
        <v>1217</v>
      </c>
      <c r="P4910" s="27" t="s">
        <v>6453</v>
      </c>
      <c r="Q4910" s="26" t="str">
        <f>HYPERLINK("https://ictv.global/taxonomy/taxondetails?taxnode_id=202500348&amp;ictv_id=ICTV20150248","ICTV20150248")</f>
        <v>ICTV20150248</v>
      </c>
      <c r="R4910" t="s">
        <v>579</v>
      </c>
      <c r="S4910" t="s">
        <v>824</v>
      </c>
      <c r="T4910">
        <v>37</v>
      </c>
      <c r="U4910" s="26" t="str">
        <f t="shared" si="188"/>
        <v>2021.010B.R.Binomial_names.zip</v>
      </c>
    </row>
    <row r="4911" spans="1:21">
      <c r="A4911">
        <v>4910</v>
      </c>
      <c r="B4911" s="27" t="s">
        <v>1449</v>
      </c>
      <c r="D4911" s="27" t="s">
        <v>1450</v>
      </c>
      <c r="F4911" s="27" t="s">
        <v>1453</v>
      </c>
      <c r="H4911" s="27" t="s">
        <v>1454</v>
      </c>
      <c r="M4911" s="27" t="s">
        <v>589</v>
      </c>
      <c r="N4911" s="27" t="s">
        <v>1217</v>
      </c>
      <c r="P4911" s="27" t="s">
        <v>6454</v>
      </c>
      <c r="Q4911" s="26" t="str">
        <f>HYPERLINK("https://ictv.global/taxonomy/taxondetails?taxnode_id=202500349&amp;ictv_id=ICTV20150249","ICTV20150249")</f>
        <v>ICTV20150249</v>
      </c>
      <c r="R4911" t="s">
        <v>579</v>
      </c>
      <c r="S4911" t="s">
        <v>824</v>
      </c>
      <c r="T4911">
        <v>37</v>
      </c>
      <c r="U4911" s="26" t="str">
        <f t="shared" si="188"/>
        <v>2021.010B.R.Binomial_names.zip</v>
      </c>
    </row>
    <row r="4912" spans="1:21">
      <c r="A4912">
        <v>4911</v>
      </c>
      <c r="B4912" s="27" t="s">
        <v>1449</v>
      </c>
      <c r="D4912" s="27" t="s">
        <v>1450</v>
      </c>
      <c r="F4912" s="27" t="s">
        <v>1453</v>
      </c>
      <c r="H4912" s="27" t="s">
        <v>1454</v>
      </c>
      <c r="M4912" s="27" t="s">
        <v>589</v>
      </c>
      <c r="N4912" s="27" t="s">
        <v>1217</v>
      </c>
      <c r="P4912" s="27" t="s">
        <v>6455</v>
      </c>
      <c r="Q4912" s="26" t="str">
        <f>HYPERLINK("https://ictv.global/taxonomy/taxondetails?taxnode_id=202500350&amp;ictv_id=ICTV20164886","ICTV20164886")</f>
        <v>ICTV20164886</v>
      </c>
      <c r="R4912" t="s">
        <v>579</v>
      </c>
      <c r="S4912" t="s">
        <v>824</v>
      </c>
      <c r="T4912">
        <v>37</v>
      </c>
      <c r="U4912" s="26" t="str">
        <f t="shared" si="188"/>
        <v>2021.010B.R.Binomial_names.zip</v>
      </c>
    </row>
    <row r="4913" spans="1:21">
      <c r="A4913">
        <v>4912</v>
      </c>
      <c r="B4913" s="27" t="s">
        <v>1449</v>
      </c>
      <c r="D4913" s="27" t="s">
        <v>1450</v>
      </c>
      <c r="F4913" s="27" t="s">
        <v>1453</v>
      </c>
      <c r="H4913" s="27" t="s">
        <v>1454</v>
      </c>
      <c r="M4913" s="27" t="s">
        <v>589</v>
      </c>
      <c r="N4913" s="27" t="s">
        <v>1217</v>
      </c>
      <c r="P4913" s="27" t="s">
        <v>6456</v>
      </c>
      <c r="Q4913" s="26" t="str">
        <f>HYPERLINK("https://ictv.global/taxonomy/taxondetails?taxnode_id=202500351&amp;ictv_id=ICTV20164887","ICTV20164887")</f>
        <v>ICTV20164887</v>
      </c>
      <c r="R4913" t="s">
        <v>579</v>
      </c>
      <c r="S4913" t="s">
        <v>824</v>
      </c>
      <c r="T4913">
        <v>37</v>
      </c>
      <c r="U4913" s="26" t="str">
        <f t="shared" si="188"/>
        <v>2021.010B.R.Binomial_names.zip</v>
      </c>
    </row>
    <row r="4914" spans="1:21">
      <c r="A4914">
        <v>4913</v>
      </c>
      <c r="B4914" s="27" t="s">
        <v>1449</v>
      </c>
      <c r="D4914" s="27" t="s">
        <v>1450</v>
      </c>
      <c r="F4914" s="27" t="s">
        <v>1453</v>
      </c>
      <c r="H4914" s="27" t="s">
        <v>1454</v>
      </c>
      <c r="M4914" s="27" t="s">
        <v>589</v>
      </c>
      <c r="N4914" s="27" t="s">
        <v>2089</v>
      </c>
      <c r="P4914" s="27" t="s">
        <v>6457</v>
      </c>
      <c r="Q4914" s="26" t="str">
        <f>HYPERLINK("https://ictv.global/taxonomy/taxondetails?taxnode_id=202510105&amp;ictv_id=ICTV202010105","ICTV202010105")</f>
        <v>ICTV202010105</v>
      </c>
      <c r="R4914" t="s">
        <v>579</v>
      </c>
      <c r="S4914" t="s">
        <v>824</v>
      </c>
      <c r="T4914">
        <v>37</v>
      </c>
      <c r="U4914" s="26" t="str">
        <f t="shared" si="188"/>
        <v>2021.010B.R.Binomial_names.zip</v>
      </c>
    </row>
    <row r="4915" spans="1:21">
      <c r="A4915">
        <v>4914</v>
      </c>
      <c r="B4915" s="27" t="s">
        <v>1449</v>
      </c>
      <c r="D4915" s="27" t="s">
        <v>1450</v>
      </c>
      <c r="F4915" s="27" t="s">
        <v>1453</v>
      </c>
      <c r="H4915" s="27" t="s">
        <v>1454</v>
      </c>
      <c r="M4915" s="27" t="s">
        <v>589</v>
      </c>
      <c r="N4915" s="27" t="s">
        <v>2089</v>
      </c>
      <c r="P4915" s="27" t="s">
        <v>6458</v>
      </c>
      <c r="Q4915" s="26" t="str">
        <f>HYPERLINK("https://ictv.global/taxonomy/taxondetails?taxnode_id=202510106&amp;ictv_id=ICTV202010106","ICTV202010106")</f>
        <v>ICTV202010106</v>
      </c>
      <c r="R4915" t="s">
        <v>579</v>
      </c>
      <c r="S4915" t="s">
        <v>824</v>
      </c>
      <c r="T4915">
        <v>37</v>
      </c>
      <c r="U4915" s="26" t="str">
        <f t="shared" si="188"/>
        <v>2021.010B.R.Binomial_names.zip</v>
      </c>
    </row>
    <row r="4916" spans="1:21">
      <c r="A4916">
        <v>4915</v>
      </c>
      <c r="B4916" s="27" t="s">
        <v>1449</v>
      </c>
      <c r="D4916" s="27" t="s">
        <v>1450</v>
      </c>
      <c r="F4916" s="27" t="s">
        <v>1453</v>
      </c>
      <c r="H4916" s="27" t="s">
        <v>1454</v>
      </c>
      <c r="M4916" s="27" t="s">
        <v>589</v>
      </c>
      <c r="N4916" s="27" t="s">
        <v>2090</v>
      </c>
      <c r="P4916" s="27" t="s">
        <v>6459</v>
      </c>
      <c r="Q4916" s="26" t="str">
        <f>HYPERLINK("https://ictv.global/taxonomy/taxondetails?taxnode_id=202511550&amp;ictv_id=ICTV202011550","ICTV202011550")</f>
        <v>ICTV202011550</v>
      </c>
      <c r="R4916" t="s">
        <v>579</v>
      </c>
      <c r="S4916" t="s">
        <v>824</v>
      </c>
      <c r="T4916">
        <v>37</v>
      </c>
      <c r="U4916" s="26" t="str">
        <f t="shared" si="188"/>
        <v>2021.010B.R.Binomial_names.zip</v>
      </c>
    </row>
    <row r="4917" spans="1:21">
      <c r="A4917">
        <v>4916</v>
      </c>
      <c r="B4917" s="27" t="s">
        <v>1449</v>
      </c>
      <c r="D4917" s="27" t="s">
        <v>1450</v>
      </c>
      <c r="F4917" s="27" t="s">
        <v>1453</v>
      </c>
      <c r="H4917" s="27" t="s">
        <v>1454</v>
      </c>
      <c r="M4917" s="27" t="s">
        <v>589</v>
      </c>
      <c r="N4917" s="27" t="s">
        <v>2090</v>
      </c>
      <c r="P4917" s="27" t="s">
        <v>6460</v>
      </c>
      <c r="Q4917" s="26" t="str">
        <f>HYPERLINK("https://ictv.global/taxonomy/taxondetails?taxnode_id=202511551&amp;ictv_id=ICTV202011551","ICTV202011551")</f>
        <v>ICTV202011551</v>
      </c>
      <c r="R4917" t="s">
        <v>579</v>
      </c>
      <c r="S4917" t="s">
        <v>824</v>
      </c>
      <c r="T4917">
        <v>37</v>
      </c>
      <c r="U4917" s="26" t="str">
        <f t="shared" si="188"/>
        <v>2021.010B.R.Binomial_names.zip</v>
      </c>
    </row>
    <row r="4918" spans="1:21">
      <c r="A4918">
        <v>4917</v>
      </c>
      <c r="B4918" s="27" t="s">
        <v>1449</v>
      </c>
      <c r="D4918" s="27" t="s">
        <v>1450</v>
      </c>
      <c r="F4918" s="27" t="s">
        <v>1453</v>
      </c>
      <c r="H4918" s="27" t="s">
        <v>1454</v>
      </c>
      <c r="M4918" s="27" t="s">
        <v>589</v>
      </c>
      <c r="N4918" s="27" t="s">
        <v>2090</v>
      </c>
      <c r="P4918" s="27" t="s">
        <v>6461</v>
      </c>
      <c r="Q4918" s="26" t="str">
        <f>HYPERLINK("https://ictv.global/taxonomy/taxondetails?taxnode_id=202511554&amp;ictv_id=ICTV202011554","ICTV202011554")</f>
        <v>ICTV202011554</v>
      </c>
      <c r="R4918" t="s">
        <v>579</v>
      </c>
      <c r="S4918" t="s">
        <v>824</v>
      </c>
      <c r="T4918">
        <v>37</v>
      </c>
      <c r="U4918" s="26" t="str">
        <f t="shared" si="188"/>
        <v>2021.010B.R.Binomial_names.zip</v>
      </c>
    </row>
    <row r="4919" spans="1:21">
      <c r="A4919">
        <v>4918</v>
      </c>
      <c r="B4919" s="27" t="s">
        <v>1449</v>
      </c>
      <c r="D4919" s="27" t="s">
        <v>1450</v>
      </c>
      <c r="F4919" s="27" t="s">
        <v>1453</v>
      </c>
      <c r="H4919" s="27" t="s">
        <v>1454</v>
      </c>
      <c r="M4919" s="27" t="s">
        <v>589</v>
      </c>
      <c r="N4919" s="27" t="s">
        <v>2090</v>
      </c>
      <c r="P4919" s="27" t="s">
        <v>6462</v>
      </c>
      <c r="Q4919" s="26" t="str">
        <f>HYPERLINK("https://ictv.global/taxonomy/taxondetails?taxnode_id=202511553&amp;ictv_id=ICTV202011553","ICTV202011553")</f>
        <v>ICTV202011553</v>
      </c>
      <c r="R4919" t="s">
        <v>579</v>
      </c>
      <c r="S4919" t="s">
        <v>824</v>
      </c>
      <c r="T4919">
        <v>37</v>
      </c>
      <c r="U4919" s="26" t="str">
        <f t="shared" si="188"/>
        <v>2021.010B.R.Binomial_names.zip</v>
      </c>
    </row>
    <row r="4920" spans="1:21">
      <c r="A4920">
        <v>4919</v>
      </c>
      <c r="B4920" s="27" t="s">
        <v>1449</v>
      </c>
      <c r="D4920" s="27" t="s">
        <v>1450</v>
      </c>
      <c r="F4920" s="27" t="s">
        <v>1453</v>
      </c>
      <c r="H4920" s="27" t="s">
        <v>1454</v>
      </c>
      <c r="M4920" s="27" t="s">
        <v>589</v>
      </c>
      <c r="N4920" s="27" t="s">
        <v>2090</v>
      </c>
      <c r="P4920" s="27" t="s">
        <v>6463</v>
      </c>
      <c r="Q4920" s="26" t="str">
        <f>HYPERLINK("https://ictv.global/taxonomy/taxondetails?taxnode_id=202511549&amp;ictv_id=ICTV202011549","ICTV202011549")</f>
        <v>ICTV202011549</v>
      </c>
      <c r="R4920" t="s">
        <v>579</v>
      </c>
      <c r="S4920" t="s">
        <v>824</v>
      </c>
      <c r="T4920">
        <v>37</v>
      </c>
      <c r="U4920" s="26" t="str">
        <f t="shared" si="188"/>
        <v>2021.010B.R.Binomial_names.zip</v>
      </c>
    </row>
    <row r="4921" spans="1:21">
      <c r="A4921">
        <v>4920</v>
      </c>
      <c r="B4921" s="27" t="s">
        <v>1449</v>
      </c>
      <c r="D4921" s="27" t="s">
        <v>1450</v>
      </c>
      <c r="F4921" s="27" t="s">
        <v>1453</v>
      </c>
      <c r="H4921" s="27" t="s">
        <v>1454</v>
      </c>
      <c r="M4921" s="27" t="s">
        <v>589</v>
      </c>
      <c r="N4921" s="27" t="s">
        <v>2090</v>
      </c>
      <c r="P4921" s="27" t="s">
        <v>6464</v>
      </c>
      <c r="Q4921" s="26" t="str">
        <f>HYPERLINK("https://ictv.global/taxonomy/taxondetails?taxnode_id=202511552&amp;ictv_id=ICTV202011552","ICTV202011552")</f>
        <v>ICTV202011552</v>
      </c>
      <c r="R4921" t="s">
        <v>579</v>
      </c>
      <c r="S4921" t="s">
        <v>824</v>
      </c>
      <c r="T4921">
        <v>37</v>
      </c>
      <c r="U4921" s="26" t="str">
        <f t="shared" si="188"/>
        <v>2021.010B.R.Binomial_names.zip</v>
      </c>
    </row>
    <row r="4922" spans="1:21">
      <c r="A4922">
        <v>4921</v>
      </c>
      <c r="B4922" s="27" t="s">
        <v>1449</v>
      </c>
      <c r="D4922" s="27" t="s">
        <v>1450</v>
      </c>
      <c r="F4922" s="27" t="s">
        <v>1453</v>
      </c>
      <c r="H4922" s="27" t="s">
        <v>1454</v>
      </c>
      <c r="M4922" s="27" t="s">
        <v>589</v>
      </c>
      <c r="N4922" s="27" t="s">
        <v>11986</v>
      </c>
      <c r="P4922" s="27" t="s">
        <v>11987</v>
      </c>
      <c r="Q4922" s="26" t="str">
        <f>HYPERLINK("https://ictv.global/taxonomy/taxondetails?taxnode_id=202519268&amp;ictv_id=ICTV202319268","ICTV202319268")</f>
        <v>ICTV202319268</v>
      </c>
      <c r="R4922" t="s">
        <v>579</v>
      </c>
      <c r="S4922" t="s">
        <v>823</v>
      </c>
      <c r="T4922">
        <v>39</v>
      </c>
      <c r="U4922" s="26" t="str">
        <f>HYPERLINK("https://ictv.global/ictv/proposals/2023.061B.Septuagintavirus_ng.zip","2023.061B.Septuagintavirus_ng.zip")</f>
        <v>2023.061B.Septuagintavirus_ng.zip</v>
      </c>
    </row>
    <row r="4923" spans="1:21">
      <c r="A4923">
        <v>4922</v>
      </c>
      <c r="B4923" s="27" t="s">
        <v>1449</v>
      </c>
      <c r="D4923" s="27" t="s">
        <v>1450</v>
      </c>
      <c r="F4923" s="27" t="s">
        <v>1453</v>
      </c>
      <c r="H4923" s="27" t="s">
        <v>1454</v>
      </c>
      <c r="M4923" s="27" t="s">
        <v>589</v>
      </c>
      <c r="N4923" s="27" t="s">
        <v>11986</v>
      </c>
      <c r="P4923" s="27" t="s">
        <v>11988</v>
      </c>
      <c r="Q4923" s="26" t="str">
        <f>HYPERLINK("https://ictv.global/taxonomy/taxondetails?taxnode_id=202519269&amp;ictv_id=ICTV202319269","ICTV202319269")</f>
        <v>ICTV202319269</v>
      </c>
      <c r="R4923" t="s">
        <v>579</v>
      </c>
      <c r="S4923" t="s">
        <v>823</v>
      </c>
      <c r="T4923">
        <v>39</v>
      </c>
      <c r="U4923" s="26" t="str">
        <f>HYPERLINK("https://ictv.global/ictv/proposals/2023.061B.Septuagintavirus_ng.zip","2023.061B.Septuagintavirus_ng.zip")</f>
        <v>2023.061B.Septuagintavirus_ng.zip</v>
      </c>
    </row>
    <row r="4924" spans="1:21">
      <c r="A4924">
        <v>4923</v>
      </c>
      <c r="B4924" s="27" t="s">
        <v>1449</v>
      </c>
      <c r="D4924" s="27" t="s">
        <v>1450</v>
      </c>
      <c r="F4924" s="27" t="s">
        <v>1453</v>
      </c>
      <c r="H4924" s="27" t="s">
        <v>1454</v>
      </c>
      <c r="M4924" s="27" t="s">
        <v>589</v>
      </c>
      <c r="N4924" s="27" t="s">
        <v>1218</v>
      </c>
      <c r="P4924" s="27" t="s">
        <v>6465</v>
      </c>
      <c r="Q4924" s="26" t="str">
        <f>HYPERLINK("https://ictv.global/taxonomy/taxondetails?taxnode_id=202500354&amp;ictv_id=ICTV20150244","ICTV20150244")</f>
        <v>ICTV20150244</v>
      </c>
      <c r="R4924" t="s">
        <v>579</v>
      </c>
      <c r="S4924" t="s">
        <v>824</v>
      </c>
      <c r="T4924">
        <v>37</v>
      </c>
      <c r="U4924" s="26" t="str">
        <f>HYPERLINK("https://ictv.global/ictv/proposals/2021.010B.R.Binomial_names.zip","2021.010B.R.Binomial_names.zip")</f>
        <v>2021.010B.R.Binomial_names.zip</v>
      </c>
    </row>
    <row r="4925" spans="1:21">
      <c r="A4925">
        <v>4924</v>
      </c>
      <c r="B4925" s="27" t="s">
        <v>1449</v>
      </c>
      <c r="D4925" s="27" t="s">
        <v>1450</v>
      </c>
      <c r="F4925" s="27" t="s">
        <v>1453</v>
      </c>
      <c r="H4925" s="27" t="s">
        <v>1454</v>
      </c>
      <c r="M4925" s="27" t="s">
        <v>589</v>
      </c>
      <c r="N4925" s="27" t="s">
        <v>1218</v>
      </c>
      <c r="P4925" s="27" t="s">
        <v>6466</v>
      </c>
      <c r="Q4925" s="26" t="str">
        <f>HYPERLINK("https://ictv.global/taxonomy/taxondetails?taxnode_id=202500353&amp;ictv_id=ICTV20150245","ICTV20150245")</f>
        <v>ICTV20150245</v>
      </c>
      <c r="R4925" t="s">
        <v>579</v>
      </c>
      <c r="S4925" t="s">
        <v>824</v>
      </c>
      <c r="T4925">
        <v>37</v>
      </c>
      <c r="U4925" s="26" t="str">
        <f>HYPERLINK("https://ictv.global/ictv/proposals/2021.010B.R.Binomial_names.zip","2021.010B.R.Binomial_names.zip")</f>
        <v>2021.010B.R.Binomial_names.zip</v>
      </c>
    </row>
    <row r="4926" spans="1:21">
      <c r="A4926">
        <v>4925</v>
      </c>
      <c r="B4926" s="27" t="s">
        <v>1449</v>
      </c>
      <c r="D4926" s="27" t="s">
        <v>1450</v>
      </c>
      <c r="F4926" s="27" t="s">
        <v>1453</v>
      </c>
      <c r="H4926" s="27" t="s">
        <v>1454</v>
      </c>
      <c r="M4926" s="27" t="s">
        <v>589</v>
      </c>
      <c r="N4926" s="27" t="s">
        <v>1218</v>
      </c>
      <c r="P4926" s="27" t="s">
        <v>6467</v>
      </c>
      <c r="Q4926" s="26" t="str">
        <f>HYPERLINK("https://ictv.global/taxonomy/taxondetails?taxnode_id=202500355&amp;ictv_id=ICTV20150242","ICTV20150242")</f>
        <v>ICTV20150242</v>
      </c>
      <c r="R4926" t="s">
        <v>579</v>
      </c>
      <c r="S4926" t="s">
        <v>824</v>
      </c>
      <c r="T4926">
        <v>37</v>
      </c>
      <c r="U4926" s="26" t="str">
        <f>HYPERLINK("https://ictv.global/ictv/proposals/2021.010B.R.Binomial_names.zip","2021.010B.R.Binomial_names.zip")</f>
        <v>2021.010B.R.Binomial_names.zip</v>
      </c>
    </row>
    <row r="4927" spans="1:21">
      <c r="A4927">
        <v>4926</v>
      </c>
      <c r="B4927" s="27" t="s">
        <v>1449</v>
      </c>
      <c r="D4927" s="27" t="s">
        <v>1450</v>
      </c>
      <c r="F4927" s="27" t="s">
        <v>1453</v>
      </c>
      <c r="H4927" s="27" t="s">
        <v>1454</v>
      </c>
      <c r="M4927" s="27" t="s">
        <v>589</v>
      </c>
      <c r="N4927" s="27" t="s">
        <v>1218</v>
      </c>
      <c r="P4927" s="27" t="s">
        <v>6468</v>
      </c>
      <c r="Q4927" s="26" t="str">
        <f>HYPERLINK("https://ictv.global/taxonomy/taxondetails?taxnode_id=202500356&amp;ictv_id=ICTV20150243","ICTV20150243")</f>
        <v>ICTV20150243</v>
      </c>
      <c r="R4927" t="s">
        <v>579</v>
      </c>
      <c r="S4927" t="s">
        <v>824</v>
      </c>
      <c r="T4927">
        <v>37</v>
      </c>
      <c r="U4927" s="26" t="str">
        <f>HYPERLINK("https://ictv.global/ictv/proposals/2021.010B.R.Binomial_names.zip","2021.010B.R.Binomial_names.zip")</f>
        <v>2021.010B.R.Binomial_names.zip</v>
      </c>
    </row>
    <row r="4928" spans="1:21">
      <c r="A4928">
        <v>4927</v>
      </c>
      <c r="B4928" s="27" t="s">
        <v>1449</v>
      </c>
      <c r="D4928" s="27" t="s">
        <v>1450</v>
      </c>
      <c r="F4928" s="27" t="s">
        <v>1453</v>
      </c>
      <c r="H4928" s="27" t="s">
        <v>1454</v>
      </c>
      <c r="M4928" s="27" t="s">
        <v>589</v>
      </c>
      <c r="N4928" s="27" t="s">
        <v>1219</v>
      </c>
      <c r="P4928" s="27" t="s">
        <v>11989</v>
      </c>
      <c r="Q4928" s="26" t="str">
        <f>HYPERLINK("https://ictv.global/taxonomy/taxondetails?taxnode_id=202519484&amp;ictv_id=ICTV202319484","ICTV202319484")</f>
        <v>ICTV202319484</v>
      </c>
      <c r="R4928" t="s">
        <v>579</v>
      </c>
      <c r="S4928" t="s">
        <v>823</v>
      </c>
      <c r="T4928">
        <v>39</v>
      </c>
      <c r="U4928" s="26" t="str">
        <f>HYPERLINK("https://ictv.global/ictv/proposals/2023.073B.Vequintavirus_28ns.zip","2023.073B.Vequintavirus_28ns.zip")</f>
        <v>2023.073B.Vequintavirus_28ns.zip</v>
      </c>
    </row>
    <row r="4929" spans="1:21">
      <c r="A4929">
        <v>4928</v>
      </c>
      <c r="B4929" s="27" t="s">
        <v>1449</v>
      </c>
      <c r="D4929" s="27" t="s">
        <v>1450</v>
      </c>
      <c r="F4929" s="27" t="s">
        <v>1453</v>
      </c>
      <c r="H4929" s="27" t="s">
        <v>1454</v>
      </c>
      <c r="M4929" s="27" t="s">
        <v>589</v>
      </c>
      <c r="N4929" s="27" t="s">
        <v>1219</v>
      </c>
      <c r="P4929" s="27" t="s">
        <v>11990</v>
      </c>
      <c r="Q4929" s="26" t="str">
        <f>HYPERLINK("https://ictv.global/taxonomy/taxondetails?taxnode_id=202519480&amp;ictv_id=ICTV202319480","ICTV202319480")</f>
        <v>ICTV202319480</v>
      </c>
      <c r="R4929" t="s">
        <v>579</v>
      </c>
      <c r="S4929" t="s">
        <v>823</v>
      </c>
      <c r="T4929">
        <v>39</v>
      </c>
      <c r="U4929" s="26" t="str">
        <f>HYPERLINK("https://ictv.global/ictv/proposals/2023.073B.Vequintavirus_28ns.zip","2023.073B.Vequintavirus_28ns.zip")</f>
        <v>2023.073B.Vequintavirus_28ns.zip</v>
      </c>
    </row>
    <row r="4930" spans="1:21">
      <c r="A4930">
        <v>4929</v>
      </c>
      <c r="B4930" s="27" t="s">
        <v>1449</v>
      </c>
      <c r="D4930" s="27" t="s">
        <v>1450</v>
      </c>
      <c r="F4930" s="27" t="s">
        <v>1453</v>
      </c>
      <c r="H4930" s="27" t="s">
        <v>1454</v>
      </c>
      <c r="M4930" s="27" t="s">
        <v>589</v>
      </c>
      <c r="N4930" s="27" t="s">
        <v>1219</v>
      </c>
      <c r="P4930" s="27" t="s">
        <v>6469</v>
      </c>
      <c r="Q4930" s="26" t="str">
        <f>HYPERLINK("https://ictv.global/taxonomy/taxondetails?taxnode_id=202507083&amp;ictv_id=ICTV201857083","ICTV201857083")</f>
        <v>ICTV201857083</v>
      </c>
      <c r="R4930" t="s">
        <v>579</v>
      </c>
      <c r="S4930" t="s">
        <v>824</v>
      </c>
      <c r="T4930">
        <v>37</v>
      </c>
      <c r="U4930" s="26" t="str">
        <f>HYPERLINK("https://ictv.global/ictv/proposals/2021.010B.R.Binomial_names.zip","2021.010B.R.Binomial_names.zip")</f>
        <v>2021.010B.R.Binomial_names.zip</v>
      </c>
    </row>
    <row r="4931" spans="1:21">
      <c r="A4931">
        <v>4930</v>
      </c>
      <c r="B4931" s="27" t="s">
        <v>1449</v>
      </c>
      <c r="D4931" s="27" t="s">
        <v>1450</v>
      </c>
      <c r="F4931" s="27" t="s">
        <v>1453</v>
      </c>
      <c r="H4931" s="27" t="s">
        <v>1454</v>
      </c>
      <c r="M4931" s="27" t="s">
        <v>589</v>
      </c>
      <c r="N4931" s="27" t="s">
        <v>1219</v>
      </c>
      <c r="P4931" s="27" t="s">
        <v>11991</v>
      </c>
      <c r="Q4931" s="26" t="str">
        <f>HYPERLINK("https://ictv.global/taxonomy/taxondetails?taxnode_id=202519467&amp;ictv_id=ICTV202319467","ICTV202319467")</f>
        <v>ICTV202319467</v>
      </c>
      <c r="R4931" t="s">
        <v>579</v>
      </c>
      <c r="S4931" t="s">
        <v>823</v>
      </c>
      <c r="T4931">
        <v>39</v>
      </c>
      <c r="U4931" s="26" t="str">
        <f t="shared" ref="U4931:U4937" si="189">HYPERLINK("https://ictv.global/ictv/proposals/2023.073B.Vequintavirus_28ns.zip","2023.073B.Vequintavirus_28ns.zip")</f>
        <v>2023.073B.Vequintavirus_28ns.zip</v>
      </c>
    </row>
    <row r="4932" spans="1:21">
      <c r="A4932">
        <v>4931</v>
      </c>
      <c r="B4932" s="27" t="s">
        <v>1449</v>
      </c>
      <c r="D4932" s="27" t="s">
        <v>1450</v>
      </c>
      <c r="F4932" s="27" t="s">
        <v>1453</v>
      </c>
      <c r="H4932" s="27" t="s">
        <v>1454</v>
      </c>
      <c r="M4932" s="27" t="s">
        <v>589</v>
      </c>
      <c r="N4932" s="27" t="s">
        <v>1219</v>
      </c>
      <c r="P4932" s="27" t="s">
        <v>11992</v>
      </c>
      <c r="Q4932" s="26" t="str">
        <f>HYPERLINK("https://ictv.global/taxonomy/taxondetails?taxnode_id=202519483&amp;ictv_id=ICTV202319483","ICTV202319483")</f>
        <v>ICTV202319483</v>
      </c>
      <c r="R4932" t="s">
        <v>579</v>
      </c>
      <c r="S4932" t="s">
        <v>823</v>
      </c>
      <c r="T4932">
        <v>39</v>
      </c>
      <c r="U4932" s="26" t="str">
        <f t="shared" si="189"/>
        <v>2023.073B.Vequintavirus_28ns.zip</v>
      </c>
    </row>
    <row r="4933" spans="1:21">
      <c r="A4933">
        <v>4932</v>
      </c>
      <c r="B4933" s="27" t="s">
        <v>1449</v>
      </c>
      <c r="D4933" s="27" t="s">
        <v>1450</v>
      </c>
      <c r="F4933" s="27" t="s">
        <v>1453</v>
      </c>
      <c r="H4933" s="27" t="s">
        <v>1454</v>
      </c>
      <c r="M4933" s="27" t="s">
        <v>589</v>
      </c>
      <c r="N4933" s="27" t="s">
        <v>1219</v>
      </c>
      <c r="P4933" s="27" t="s">
        <v>11993</v>
      </c>
      <c r="Q4933" s="26" t="str">
        <f>HYPERLINK("https://ictv.global/taxonomy/taxondetails?taxnode_id=202519481&amp;ictv_id=ICTV202319481","ICTV202319481")</f>
        <v>ICTV202319481</v>
      </c>
      <c r="R4933" t="s">
        <v>579</v>
      </c>
      <c r="S4933" t="s">
        <v>823</v>
      </c>
      <c r="T4933">
        <v>39</v>
      </c>
      <c r="U4933" s="26" t="str">
        <f t="shared" si="189"/>
        <v>2023.073B.Vequintavirus_28ns.zip</v>
      </c>
    </row>
    <row r="4934" spans="1:21">
      <c r="A4934">
        <v>4933</v>
      </c>
      <c r="B4934" s="27" t="s">
        <v>1449</v>
      </c>
      <c r="D4934" s="27" t="s">
        <v>1450</v>
      </c>
      <c r="F4934" s="27" t="s">
        <v>1453</v>
      </c>
      <c r="H4934" s="27" t="s">
        <v>1454</v>
      </c>
      <c r="M4934" s="27" t="s">
        <v>589</v>
      </c>
      <c r="N4934" s="27" t="s">
        <v>1219</v>
      </c>
      <c r="P4934" s="27" t="s">
        <v>11994</v>
      </c>
      <c r="Q4934" s="26" t="str">
        <f>HYPERLINK("https://ictv.global/taxonomy/taxondetails?taxnode_id=202519469&amp;ictv_id=ICTV202319469","ICTV202319469")</f>
        <v>ICTV202319469</v>
      </c>
      <c r="R4934" t="s">
        <v>579</v>
      </c>
      <c r="S4934" t="s">
        <v>823</v>
      </c>
      <c r="T4934">
        <v>39</v>
      </c>
      <c r="U4934" s="26" t="str">
        <f t="shared" si="189"/>
        <v>2023.073B.Vequintavirus_28ns.zip</v>
      </c>
    </row>
    <row r="4935" spans="1:21">
      <c r="A4935">
        <v>4934</v>
      </c>
      <c r="B4935" s="27" t="s">
        <v>1449</v>
      </c>
      <c r="D4935" s="27" t="s">
        <v>1450</v>
      </c>
      <c r="F4935" s="27" t="s">
        <v>1453</v>
      </c>
      <c r="H4935" s="27" t="s">
        <v>1454</v>
      </c>
      <c r="M4935" s="27" t="s">
        <v>589</v>
      </c>
      <c r="N4935" s="27" t="s">
        <v>1219</v>
      </c>
      <c r="P4935" s="27" t="s">
        <v>11995</v>
      </c>
      <c r="Q4935" s="26" t="str">
        <f>HYPERLINK("https://ictv.global/taxonomy/taxondetails?taxnode_id=202519468&amp;ictv_id=ICTV202319468","ICTV202319468")</f>
        <v>ICTV202319468</v>
      </c>
      <c r="R4935" t="s">
        <v>579</v>
      </c>
      <c r="S4935" t="s">
        <v>823</v>
      </c>
      <c r="T4935">
        <v>39</v>
      </c>
      <c r="U4935" s="26" t="str">
        <f t="shared" si="189"/>
        <v>2023.073B.Vequintavirus_28ns.zip</v>
      </c>
    </row>
    <row r="4936" spans="1:21">
      <c r="A4936">
        <v>4935</v>
      </c>
      <c r="B4936" s="27" t="s">
        <v>1449</v>
      </c>
      <c r="D4936" s="27" t="s">
        <v>1450</v>
      </c>
      <c r="F4936" s="27" t="s">
        <v>1453</v>
      </c>
      <c r="H4936" s="27" t="s">
        <v>1454</v>
      </c>
      <c r="M4936" s="27" t="s">
        <v>589</v>
      </c>
      <c r="N4936" s="27" t="s">
        <v>1219</v>
      </c>
      <c r="P4936" s="27" t="s">
        <v>11996</v>
      </c>
      <c r="Q4936" s="26" t="str">
        <f>HYPERLINK("https://ictv.global/taxonomy/taxondetails?taxnode_id=202519491&amp;ictv_id=ICTV202319491","ICTV202319491")</f>
        <v>ICTV202319491</v>
      </c>
      <c r="R4936" t="s">
        <v>579</v>
      </c>
      <c r="S4936" t="s">
        <v>823</v>
      </c>
      <c r="T4936">
        <v>39</v>
      </c>
      <c r="U4936" s="26" t="str">
        <f t="shared" si="189"/>
        <v>2023.073B.Vequintavirus_28ns.zip</v>
      </c>
    </row>
    <row r="4937" spans="1:21">
      <c r="A4937">
        <v>4936</v>
      </c>
      <c r="B4937" s="27" t="s">
        <v>1449</v>
      </c>
      <c r="D4937" s="27" t="s">
        <v>1450</v>
      </c>
      <c r="F4937" s="27" t="s">
        <v>1453</v>
      </c>
      <c r="H4937" s="27" t="s">
        <v>1454</v>
      </c>
      <c r="M4937" s="27" t="s">
        <v>589</v>
      </c>
      <c r="N4937" s="27" t="s">
        <v>1219</v>
      </c>
      <c r="P4937" s="27" t="s">
        <v>11997</v>
      </c>
      <c r="Q4937" s="26" t="str">
        <f>HYPERLINK("https://ictv.global/taxonomy/taxondetails?taxnode_id=202519475&amp;ictv_id=ICTV202319475","ICTV202319475")</f>
        <v>ICTV202319475</v>
      </c>
      <c r="R4937" t="s">
        <v>579</v>
      </c>
      <c r="S4937" t="s">
        <v>823</v>
      </c>
      <c r="T4937">
        <v>39</v>
      </c>
      <c r="U4937" s="26" t="str">
        <f t="shared" si="189"/>
        <v>2023.073B.Vequintavirus_28ns.zip</v>
      </c>
    </row>
    <row r="4938" spans="1:21">
      <c r="A4938">
        <v>4937</v>
      </c>
      <c r="B4938" s="27" t="s">
        <v>1449</v>
      </c>
      <c r="D4938" s="27" t="s">
        <v>1450</v>
      </c>
      <c r="F4938" s="27" t="s">
        <v>1453</v>
      </c>
      <c r="H4938" s="27" t="s">
        <v>1454</v>
      </c>
      <c r="M4938" s="27" t="s">
        <v>589</v>
      </c>
      <c r="N4938" s="27" t="s">
        <v>1219</v>
      </c>
      <c r="P4938" s="27" t="s">
        <v>6470</v>
      </c>
      <c r="Q4938" s="26" t="str">
        <f>HYPERLINK("https://ictv.global/taxonomy/taxondetails?taxnode_id=202500358&amp;ictv_id=ICTV20150240","ICTV20150240")</f>
        <v>ICTV20150240</v>
      </c>
      <c r="R4938" t="s">
        <v>579</v>
      </c>
      <c r="S4938" t="s">
        <v>824</v>
      </c>
      <c r="T4938">
        <v>37</v>
      </c>
      <c r="U4938" s="26" t="str">
        <f>HYPERLINK("https://ictv.global/ictv/proposals/2021.010B.R.Binomial_names.zip","2021.010B.R.Binomial_names.zip")</f>
        <v>2021.010B.R.Binomial_names.zip</v>
      </c>
    </row>
    <row r="4939" spans="1:21">
      <c r="A4939">
        <v>4938</v>
      </c>
      <c r="B4939" s="27" t="s">
        <v>1449</v>
      </c>
      <c r="D4939" s="27" t="s">
        <v>1450</v>
      </c>
      <c r="F4939" s="27" t="s">
        <v>1453</v>
      </c>
      <c r="H4939" s="27" t="s">
        <v>1454</v>
      </c>
      <c r="M4939" s="27" t="s">
        <v>589</v>
      </c>
      <c r="N4939" s="27" t="s">
        <v>1219</v>
      </c>
      <c r="P4939" s="27" t="s">
        <v>6471</v>
      </c>
      <c r="Q4939" s="26" t="str">
        <f>HYPERLINK("https://ictv.global/taxonomy/taxondetails?taxnode_id=202500359&amp;ictv_id=ICTV20150239","ICTV20150239")</f>
        <v>ICTV20150239</v>
      </c>
      <c r="R4939" t="s">
        <v>579</v>
      </c>
      <c r="S4939" t="s">
        <v>824</v>
      </c>
      <c r="T4939">
        <v>37</v>
      </c>
      <c r="U4939" s="26" t="str">
        <f>HYPERLINK("https://ictv.global/ictv/proposals/2021.010B.R.Binomial_names.zip","2021.010B.R.Binomial_names.zip")</f>
        <v>2021.010B.R.Binomial_names.zip</v>
      </c>
    </row>
    <row r="4940" spans="1:21">
      <c r="A4940">
        <v>4939</v>
      </c>
      <c r="B4940" s="27" t="s">
        <v>1449</v>
      </c>
      <c r="D4940" s="27" t="s">
        <v>1450</v>
      </c>
      <c r="F4940" s="27" t="s">
        <v>1453</v>
      </c>
      <c r="H4940" s="27" t="s">
        <v>1454</v>
      </c>
      <c r="M4940" s="27" t="s">
        <v>589</v>
      </c>
      <c r="N4940" s="27" t="s">
        <v>1219</v>
      </c>
      <c r="P4940" s="27" t="s">
        <v>11998</v>
      </c>
      <c r="Q4940" s="26" t="str">
        <f>HYPERLINK("https://ictv.global/taxonomy/taxondetails?taxnode_id=202519474&amp;ictv_id=ICTV202319474","ICTV202319474")</f>
        <v>ICTV202319474</v>
      </c>
      <c r="R4940" t="s">
        <v>579</v>
      </c>
      <c r="S4940" t="s">
        <v>823</v>
      </c>
      <c r="T4940">
        <v>39</v>
      </c>
      <c r="U4940" s="26" t="str">
        <f>HYPERLINK("https://ictv.global/ictv/proposals/2023.073B.Vequintavirus_28ns.zip","2023.073B.Vequintavirus_28ns.zip")</f>
        <v>2023.073B.Vequintavirus_28ns.zip</v>
      </c>
    </row>
    <row r="4941" spans="1:21">
      <c r="A4941">
        <v>4940</v>
      </c>
      <c r="B4941" s="27" t="s">
        <v>1449</v>
      </c>
      <c r="D4941" s="27" t="s">
        <v>1450</v>
      </c>
      <c r="F4941" s="27" t="s">
        <v>1453</v>
      </c>
      <c r="H4941" s="27" t="s">
        <v>1454</v>
      </c>
      <c r="M4941" s="27" t="s">
        <v>589</v>
      </c>
      <c r="N4941" s="27" t="s">
        <v>1219</v>
      </c>
      <c r="P4941" s="27" t="s">
        <v>11999</v>
      </c>
      <c r="Q4941" s="26" t="str">
        <f>HYPERLINK("https://ictv.global/taxonomy/taxondetails?taxnode_id=202519487&amp;ictv_id=ICTV202319487","ICTV202319487")</f>
        <v>ICTV202319487</v>
      </c>
      <c r="R4941" t="s">
        <v>579</v>
      </c>
      <c r="S4941" t="s">
        <v>823</v>
      </c>
      <c r="T4941">
        <v>39</v>
      </c>
      <c r="U4941" s="26" t="str">
        <f>HYPERLINK("https://ictv.global/ictv/proposals/2023.073B.Vequintavirus_28ns.zip","2023.073B.Vequintavirus_28ns.zip")</f>
        <v>2023.073B.Vequintavirus_28ns.zip</v>
      </c>
    </row>
    <row r="4942" spans="1:21">
      <c r="A4942">
        <v>4941</v>
      </c>
      <c r="B4942" s="27" t="s">
        <v>1449</v>
      </c>
      <c r="D4942" s="27" t="s">
        <v>1450</v>
      </c>
      <c r="F4942" s="27" t="s">
        <v>1453</v>
      </c>
      <c r="H4942" s="27" t="s">
        <v>1454</v>
      </c>
      <c r="M4942" s="27" t="s">
        <v>589</v>
      </c>
      <c r="N4942" s="27" t="s">
        <v>1219</v>
      </c>
      <c r="P4942" s="27" t="s">
        <v>12000</v>
      </c>
      <c r="Q4942" s="26" t="str">
        <f>HYPERLINK("https://ictv.global/taxonomy/taxondetails?taxnode_id=202519464&amp;ictv_id=ICTV202319464","ICTV202319464")</f>
        <v>ICTV202319464</v>
      </c>
      <c r="R4942" t="s">
        <v>579</v>
      </c>
      <c r="S4942" t="s">
        <v>823</v>
      </c>
      <c r="T4942">
        <v>39</v>
      </c>
      <c r="U4942" s="26" t="str">
        <f>HYPERLINK("https://ictv.global/ictv/proposals/2023.073B.Vequintavirus_28ns.zip","2023.073B.Vequintavirus_28ns.zip")</f>
        <v>2023.073B.Vequintavirus_28ns.zip</v>
      </c>
    </row>
    <row r="4943" spans="1:21">
      <c r="A4943">
        <v>4942</v>
      </c>
      <c r="B4943" s="27" t="s">
        <v>1449</v>
      </c>
      <c r="D4943" s="27" t="s">
        <v>1450</v>
      </c>
      <c r="F4943" s="27" t="s">
        <v>1453</v>
      </c>
      <c r="H4943" s="27" t="s">
        <v>1454</v>
      </c>
      <c r="M4943" s="27" t="s">
        <v>589</v>
      </c>
      <c r="N4943" s="27" t="s">
        <v>1219</v>
      </c>
      <c r="P4943" s="27" t="s">
        <v>6472</v>
      </c>
      <c r="Q4943" s="26" t="str">
        <f>HYPERLINK("https://ictv.global/taxonomy/taxondetails?taxnode_id=202500360&amp;ictv_id=ICTV20150238","ICTV20150238")</f>
        <v>ICTV20150238</v>
      </c>
      <c r="R4943" t="s">
        <v>579</v>
      </c>
      <c r="S4943" t="s">
        <v>824</v>
      </c>
      <c r="T4943">
        <v>37</v>
      </c>
      <c r="U4943" s="26" t="str">
        <f>HYPERLINK("https://ictv.global/ictv/proposals/2021.010B.R.Binomial_names.zip","2021.010B.R.Binomial_names.zip")</f>
        <v>2021.010B.R.Binomial_names.zip</v>
      </c>
    </row>
    <row r="4944" spans="1:21">
      <c r="A4944">
        <v>4943</v>
      </c>
      <c r="B4944" s="27" t="s">
        <v>1449</v>
      </c>
      <c r="D4944" s="27" t="s">
        <v>1450</v>
      </c>
      <c r="F4944" s="27" t="s">
        <v>1453</v>
      </c>
      <c r="H4944" s="27" t="s">
        <v>1454</v>
      </c>
      <c r="M4944" s="27" t="s">
        <v>589</v>
      </c>
      <c r="N4944" s="27" t="s">
        <v>1219</v>
      </c>
      <c r="P4944" s="27" t="s">
        <v>12001</v>
      </c>
      <c r="Q4944" s="26" t="str">
        <f>HYPERLINK("https://ictv.global/taxonomy/taxondetails?taxnode_id=202519471&amp;ictv_id=ICTV202319471","ICTV202319471")</f>
        <v>ICTV202319471</v>
      </c>
      <c r="R4944" t="s">
        <v>579</v>
      </c>
      <c r="S4944" t="s">
        <v>823</v>
      </c>
      <c r="T4944">
        <v>39</v>
      </c>
      <c r="U4944" s="26" t="str">
        <f>HYPERLINK("https://ictv.global/ictv/proposals/2023.073B.Vequintavirus_28ns.zip","2023.073B.Vequintavirus_28ns.zip")</f>
        <v>2023.073B.Vequintavirus_28ns.zip</v>
      </c>
    </row>
    <row r="4945" spans="1:21">
      <c r="A4945">
        <v>4944</v>
      </c>
      <c r="B4945" s="27" t="s">
        <v>1449</v>
      </c>
      <c r="D4945" s="27" t="s">
        <v>1450</v>
      </c>
      <c r="F4945" s="27" t="s">
        <v>1453</v>
      </c>
      <c r="H4945" s="27" t="s">
        <v>1454</v>
      </c>
      <c r="M4945" s="27" t="s">
        <v>589</v>
      </c>
      <c r="N4945" s="27" t="s">
        <v>1219</v>
      </c>
      <c r="P4945" s="27" t="s">
        <v>12002</v>
      </c>
      <c r="Q4945" s="26" t="str">
        <f>HYPERLINK("https://ictv.global/taxonomy/taxondetails?taxnode_id=202519485&amp;ictv_id=ICTV202319485","ICTV202319485")</f>
        <v>ICTV202319485</v>
      </c>
      <c r="R4945" t="s">
        <v>579</v>
      </c>
      <c r="S4945" t="s">
        <v>823</v>
      </c>
      <c r="T4945">
        <v>39</v>
      </c>
      <c r="U4945" s="26" t="str">
        <f>HYPERLINK("https://ictv.global/ictv/proposals/2023.073B.Vequintavirus_28ns.zip","2023.073B.Vequintavirus_28ns.zip")</f>
        <v>2023.073B.Vequintavirus_28ns.zip</v>
      </c>
    </row>
    <row r="4946" spans="1:21">
      <c r="A4946">
        <v>4945</v>
      </c>
      <c r="B4946" s="27" t="s">
        <v>1449</v>
      </c>
      <c r="D4946" s="27" t="s">
        <v>1450</v>
      </c>
      <c r="F4946" s="27" t="s">
        <v>1453</v>
      </c>
      <c r="H4946" s="27" t="s">
        <v>1454</v>
      </c>
      <c r="M4946" s="27" t="s">
        <v>589</v>
      </c>
      <c r="N4946" s="27" t="s">
        <v>1219</v>
      </c>
      <c r="P4946" s="27" t="s">
        <v>6473</v>
      </c>
      <c r="Q4946" s="26" t="str">
        <f>HYPERLINK("https://ictv.global/taxonomy/taxondetails?taxnode_id=202507082&amp;ictv_id=ICTV201857082","ICTV201857082")</f>
        <v>ICTV201857082</v>
      </c>
      <c r="R4946" t="s">
        <v>579</v>
      </c>
      <c r="S4946" t="s">
        <v>824</v>
      </c>
      <c r="T4946">
        <v>37</v>
      </c>
      <c r="U4946" s="26" t="str">
        <f>HYPERLINK("https://ictv.global/ictv/proposals/2021.010B.R.Binomial_names.zip","2021.010B.R.Binomial_names.zip")</f>
        <v>2021.010B.R.Binomial_names.zip</v>
      </c>
    </row>
    <row r="4947" spans="1:21">
      <c r="A4947">
        <v>4946</v>
      </c>
      <c r="B4947" s="27" t="s">
        <v>1449</v>
      </c>
      <c r="D4947" s="27" t="s">
        <v>1450</v>
      </c>
      <c r="F4947" s="27" t="s">
        <v>1453</v>
      </c>
      <c r="H4947" s="27" t="s">
        <v>1454</v>
      </c>
      <c r="M4947" s="27" t="s">
        <v>589</v>
      </c>
      <c r="N4947" s="27" t="s">
        <v>1219</v>
      </c>
      <c r="P4947" s="27" t="s">
        <v>12003</v>
      </c>
      <c r="Q4947" s="26" t="str">
        <f>HYPERLINK("https://ictv.global/taxonomy/taxondetails?taxnode_id=202519490&amp;ictv_id=ICTV202319490","ICTV202319490")</f>
        <v>ICTV202319490</v>
      </c>
      <c r="R4947" t="s">
        <v>579</v>
      </c>
      <c r="S4947" t="s">
        <v>823</v>
      </c>
      <c r="T4947">
        <v>39</v>
      </c>
      <c r="U4947" s="26" t="str">
        <f t="shared" ref="U4947:U4955" si="190">HYPERLINK("https://ictv.global/ictv/proposals/2023.073B.Vequintavirus_28ns.zip","2023.073B.Vequintavirus_28ns.zip")</f>
        <v>2023.073B.Vequintavirus_28ns.zip</v>
      </c>
    </row>
    <row r="4948" spans="1:21">
      <c r="A4948">
        <v>4947</v>
      </c>
      <c r="B4948" s="27" t="s">
        <v>1449</v>
      </c>
      <c r="D4948" s="27" t="s">
        <v>1450</v>
      </c>
      <c r="F4948" s="27" t="s">
        <v>1453</v>
      </c>
      <c r="H4948" s="27" t="s">
        <v>1454</v>
      </c>
      <c r="M4948" s="27" t="s">
        <v>589</v>
      </c>
      <c r="N4948" s="27" t="s">
        <v>1219</v>
      </c>
      <c r="P4948" s="27" t="s">
        <v>12004</v>
      </c>
      <c r="Q4948" s="26" t="str">
        <f>HYPERLINK("https://ictv.global/taxonomy/taxondetails?taxnode_id=202519482&amp;ictv_id=ICTV202319482","ICTV202319482")</f>
        <v>ICTV202319482</v>
      </c>
      <c r="R4948" t="s">
        <v>579</v>
      </c>
      <c r="S4948" t="s">
        <v>823</v>
      </c>
      <c r="T4948">
        <v>39</v>
      </c>
      <c r="U4948" s="26" t="str">
        <f t="shared" si="190"/>
        <v>2023.073B.Vequintavirus_28ns.zip</v>
      </c>
    </row>
    <row r="4949" spans="1:21">
      <c r="A4949">
        <v>4948</v>
      </c>
      <c r="B4949" s="27" t="s">
        <v>1449</v>
      </c>
      <c r="D4949" s="27" t="s">
        <v>1450</v>
      </c>
      <c r="F4949" s="27" t="s">
        <v>1453</v>
      </c>
      <c r="H4949" s="27" t="s">
        <v>1454</v>
      </c>
      <c r="M4949" s="27" t="s">
        <v>589</v>
      </c>
      <c r="N4949" s="27" t="s">
        <v>1219</v>
      </c>
      <c r="P4949" s="27" t="s">
        <v>12005</v>
      </c>
      <c r="Q4949" s="26" t="str">
        <f>HYPERLINK("https://ictv.global/taxonomy/taxondetails?taxnode_id=202519472&amp;ictv_id=ICTV202319472","ICTV202319472")</f>
        <v>ICTV202319472</v>
      </c>
      <c r="R4949" t="s">
        <v>579</v>
      </c>
      <c r="S4949" t="s">
        <v>823</v>
      </c>
      <c r="T4949">
        <v>39</v>
      </c>
      <c r="U4949" s="26" t="str">
        <f t="shared" si="190"/>
        <v>2023.073B.Vequintavirus_28ns.zip</v>
      </c>
    </row>
    <row r="4950" spans="1:21">
      <c r="A4950">
        <v>4949</v>
      </c>
      <c r="B4950" s="27" t="s">
        <v>1449</v>
      </c>
      <c r="D4950" s="27" t="s">
        <v>1450</v>
      </c>
      <c r="F4950" s="27" t="s">
        <v>1453</v>
      </c>
      <c r="H4950" s="27" t="s">
        <v>1454</v>
      </c>
      <c r="M4950" s="27" t="s">
        <v>589</v>
      </c>
      <c r="N4950" s="27" t="s">
        <v>1219</v>
      </c>
      <c r="P4950" s="27" t="s">
        <v>12006</v>
      </c>
      <c r="Q4950" s="26" t="str">
        <f>HYPERLINK("https://ictv.global/taxonomy/taxondetails?taxnode_id=202519476&amp;ictv_id=ICTV202319476","ICTV202319476")</f>
        <v>ICTV202319476</v>
      </c>
      <c r="R4950" t="s">
        <v>579</v>
      </c>
      <c r="S4950" t="s">
        <v>823</v>
      </c>
      <c r="T4950">
        <v>39</v>
      </c>
      <c r="U4950" s="26" t="str">
        <f t="shared" si="190"/>
        <v>2023.073B.Vequintavirus_28ns.zip</v>
      </c>
    </row>
    <row r="4951" spans="1:21">
      <c r="A4951">
        <v>4950</v>
      </c>
      <c r="B4951" s="27" t="s">
        <v>1449</v>
      </c>
      <c r="D4951" s="27" t="s">
        <v>1450</v>
      </c>
      <c r="F4951" s="27" t="s">
        <v>1453</v>
      </c>
      <c r="H4951" s="27" t="s">
        <v>1454</v>
      </c>
      <c r="M4951" s="27" t="s">
        <v>589</v>
      </c>
      <c r="N4951" s="27" t="s">
        <v>1219</v>
      </c>
      <c r="P4951" s="27" t="s">
        <v>12007</v>
      </c>
      <c r="Q4951" s="26" t="str">
        <f>HYPERLINK("https://ictv.global/taxonomy/taxondetails?taxnode_id=202519489&amp;ictv_id=ICTV202319489","ICTV202319489")</f>
        <v>ICTV202319489</v>
      </c>
      <c r="R4951" t="s">
        <v>579</v>
      </c>
      <c r="S4951" t="s">
        <v>823</v>
      </c>
      <c r="T4951">
        <v>39</v>
      </c>
      <c r="U4951" s="26" t="str">
        <f t="shared" si="190"/>
        <v>2023.073B.Vequintavirus_28ns.zip</v>
      </c>
    </row>
    <row r="4952" spans="1:21">
      <c r="A4952">
        <v>4951</v>
      </c>
      <c r="B4952" s="27" t="s">
        <v>1449</v>
      </c>
      <c r="D4952" s="27" t="s">
        <v>1450</v>
      </c>
      <c r="F4952" s="27" t="s">
        <v>1453</v>
      </c>
      <c r="H4952" s="27" t="s">
        <v>1454</v>
      </c>
      <c r="M4952" s="27" t="s">
        <v>589</v>
      </c>
      <c r="N4952" s="27" t="s">
        <v>1219</v>
      </c>
      <c r="P4952" s="27" t="s">
        <v>12008</v>
      </c>
      <c r="Q4952" s="26" t="str">
        <f>HYPERLINK("https://ictv.global/taxonomy/taxondetails?taxnode_id=202519479&amp;ictv_id=ICTV202319479","ICTV202319479")</f>
        <v>ICTV202319479</v>
      </c>
      <c r="R4952" t="s">
        <v>579</v>
      </c>
      <c r="S4952" t="s">
        <v>823</v>
      </c>
      <c r="T4952">
        <v>39</v>
      </c>
      <c r="U4952" s="26" t="str">
        <f t="shared" si="190"/>
        <v>2023.073B.Vequintavirus_28ns.zip</v>
      </c>
    </row>
    <row r="4953" spans="1:21">
      <c r="A4953">
        <v>4952</v>
      </c>
      <c r="B4953" s="27" t="s">
        <v>1449</v>
      </c>
      <c r="D4953" s="27" t="s">
        <v>1450</v>
      </c>
      <c r="F4953" s="27" t="s">
        <v>1453</v>
      </c>
      <c r="H4953" s="27" t="s">
        <v>1454</v>
      </c>
      <c r="M4953" s="27" t="s">
        <v>589</v>
      </c>
      <c r="N4953" s="27" t="s">
        <v>1219</v>
      </c>
      <c r="P4953" s="27" t="s">
        <v>12009</v>
      </c>
      <c r="Q4953" s="26" t="str">
        <f>HYPERLINK("https://ictv.global/taxonomy/taxondetails?taxnode_id=202519486&amp;ictv_id=ICTV202319486","ICTV202319486")</f>
        <v>ICTV202319486</v>
      </c>
      <c r="R4953" t="s">
        <v>579</v>
      </c>
      <c r="S4953" t="s">
        <v>823</v>
      </c>
      <c r="T4953">
        <v>39</v>
      </c>
      <c r="U4953" s="26" t="str">
        <f t="shared" si="190"/>
        <v>2023.073B.Vequintavirus_28ns.zip</v>
      </c>
    </row>
    <row r="4954" spans="1:21">
      <c r="A4954">
        <v>4953</v>
      </c>
      <c r="B4954" s="27" t="s">
        <v>1449</v>
      </c>
      <c r="D4954" s="27" t="s">
        <v>1450</v>
      </c>
      <c r="F4954" s="27" t="s">
        <v>1453</v>
      </c>
      <c r="H4954" s="27" t="s">
        <v>1454</v>
      </c>
      <c r="M4954" s="27" t="s">
        <v>589</v>
      </c>
      <c r="N4954" s="27" t="s">
        <v>1219</v>
      </c>
      <c r="P4954" s="27" t="s">
        <v>12010</v>
      </c>
      <c r="Q4954" s="26" t="str">
        <f>HYPERLINK("https://ictv.global/taxonomy/taxondetails?taxnode_id=202519470&amp;ictv_id=ICTV202319470","ICTV202319470")</f>
        <v>ICTV202319470</v>
      </c>
      <c r="R4954" t="s">
        <v>579</v>
      </c>
      <c r="S4954" t="s">
        <v>823</v>
      </c>
      <c r="T4954">
        <v>39</v>
      </c>
      <c r="U4954" s="26" t="str">
        <f t="shared" si="190"/>
        <v>2023.073B.Vequintavirus_28ns.zip</v>
      </c>
    </row>
    <row r="4955" spans="1:21">
      <c r="A4955">
        <v>4954</v>
      </c>
      <c r="B4955" s="27" t="s">
        <v>1449</v>
      </c>
      <c r="D4955" s="27" t="s">
        <v>1450</v>
      </c>
      <c r="F4955" s="27" t="s">
        <v>1453</v>
      </c>
      <c r="H4955" s="27" t="s">
        <v>1454</v>
      </c>
      <c r="M4955" s="27" t="s">
        <v>589</v>
      </c>
      <c r="N4955" s="27" t="s">
        <v>1219</v>
      </c>
      <c r="P4955" s="27" t="s">
        <v>12011</v>
      </c>
      <c r="Q4955" s="26" t="str">
        <f>HYPERLINK("https://ictv.global/taxonomy/taxondetails?taxnode_id=202519473&amp;ictv_id=ICTV202319473","ICTV202319473")</f>
        <v>ICTV202319473</v>
      </c>
      <c r="R4955" t="s">
        <v>579</v>
      </c>
      <c r="S4955" t="s">
        <v>823</v>
      </c>
      <c r="T4955">
        <v>39</v>
      </c>
      <c r="U4955" s="26" t="str">
        <f t="shared" si="190"/>
        <v>2023.073B.Vequintavirus_28ns.zip</v>
      </c>
    </row>
    <row r="4956" spans="1:21">
      <c r="A4956">
        <v>4955</v>
      </c>
      <c r="B4956" s="27" t="s">
        <v>1449</v>
      </c>
      <c r="D4956" s="27" t="s">
        <v>1450</v>
      </c>
      <c r="F4956" s="27" t="s">
        <v>1453</v>
      </c>
      <c r="H4956" s="27" t="s">
        <v>1454</v>
      </c>
      <c r="M4956" s="27" t="s">
        <v>589</v>
      </c>
      <c r="N4956" s="27" t="s">
        <v>1219</v>
      </c>
      <c r="P4956" s="27" t="s">
        <v>6474</v>
      </c>
      <c r="Q4956" s="26" t="str">
        <f>HYPERLINK("https://ictv.global/taxonomy/taxondetails?taxnode_id=202507081&amp;ictv_id=ICTV201857081","ICTV201857081")</f>
        <v>ICTV201857081</v>
      </c>
      <c r="R4956" t="s">
        <v>579</v>
      </c>
      <c r="S4956" t="s">
        <v>824</v>
      </c>
      <c r="T4956">
        <v>37</v>
      </c>
      <c r="U4956" s="26" t="str">
        <f>HYPERLINK("https://ictv.global/ictv/proposals/2021.010B.R.Binomial_names.zip","2021.010B.R.Binomial_names.zip")</f>
        <v>2021.010B.R.Binomial_names.zip</v>
      </c>
    </row>
    <row r="4957" spans="1:21">
      <c r="A4957">
        <v>4956</v>
      </c>
      <c r="B4957" s="27" t="s">
        <v>1449</v>
      </c>
      <c r="D4957" s="27" t="s">
        <v>1450</v>
      </c>
      <c r="F4957" s="27" t="s">
        <v>1453</v>
      </c>
      <c r="H4957" s="27" t="s">
        <v>1454</v>
      </c>
      <c r="M4957" s="27" t="s">
        <v>589</v>
      </c>
      <c r="N4957" s="27" t="s">
        <v>1219</v>
      </c>
      <c r="P4957" s="27" t="s">
        <v>12012</v>
      </c>
      <c r="Q4957" s="26" t="str">
        <f>HYPERLINK("https://ictv.global/taxonomy/taxondetails?taxnode_id=202519478&amp;ictv_id=ICTV202319478","ICTV202319478")</f>
        <v>ICTV202319478</v>
      </c>
      <c r="R4957" t="s">
        <v>579</v>
      </c>
      <c r="S4957" t="s">
        <v>823</v>
      </c>
      <c r="T4957">
        <v>39</v>
      </c>
      <c r="U4957" s="26" t="str">
        <f>HYPERLINK("https://ictv.global/ictv/proposals/2023.073B.Vequintavirus_28ns.zip","2023.073B.Vequintavirus_28ns.zip")</f>
        <v>2023.073B.Vequintavirus_28ns.zip</v>
      </c>
    </row>
    <row r="4958" spans="1:21">
      <c r="A4958">
        <v>4957</v>
      </c>
      <c r="B4958" s="27" t="s">
        <v>1449</v>
      </c>
      <c r="D4958" s="27" t="s">
        <v>1450</v>
      </c>
      <c r="F4958" s="27" t="s">
        <v>1453</v>
      </c>
      <c r="H4958" s="27" t="s">
        <v>1454</v>
      </c>
      <c r="M4958" s="27" t="s">
        <v>589</v>
      </c>
      <c r="N4958" s="27" t="s">
        <v>1219</v>
      </c>
      <c r="P4958" s="27" t="s">
        <v>12013</v>
      </c>
      <c r="Q4958" s="26" t="str">
        <f>HYPERLINK("https://ictv.global/taxonomy/taxondetails?taxnode_id=202519466&amp;ictv_id=ICTV202319466","ICTV202319466")</f>
        <v>ICTV202319466</v>
      </c>
      <c r="R4958" t="s">
        <v>579</v>
      </c>
      <c r="S4958" t="s">
        <v>823</v>
      </c>
      <c r="T4958">
        <v>39</v>
      </c>
      <c r="U4958" s="26" t="str">
        <f>HYPERLINK("https://ictv.global/ictv/proposals/2023.073B.Vequintavirus_28ns.zip","2023.073B.Vequintavirus_28ns.zip")</f>
        <v>2023.073B.Vequintavirus_28ns.zip</v>
      </c>
    </row>
    <row r="4959" spans="1:21">
      <c r="A4959">
        <v>4958</v>
      </c>
      <c r="B4959" s="27" t="s">
        <v>1449</v>
      </c>
      <c r="D4959" s="27" t="s">
        <v>1450</v>
      </c>
      <c r="F4959" s="27" t="s">
        <v>1453</v>
      </c>
      <c r="H4959" s="27" t="s">
        <v>1454</v>
      </c>
      <c r="M4959" s="27" t="s">
        <v>589</v>
      </c>
      <c r="N4959" s="27" t="s">
        <v>1219</v>
      </c>
      <c r="P4959" s="27" t="s">
        <v>12014</v>
      </c>
      <c r="Q4959" s="26" t="str">
        <f>HYPERLINK("https://ictv.global/taxonomy/taxondetails?taxnode_id=202519477&amp;ictv_id=ICTV202319477","ICTV202319477")</f>
        <v>ICTV202319477</v>
      </c>
      <c r="R4959" t="s">
        <v>579</v>
      </c>
      <c r="S4959" t="s">
        <v>823</v>
      </c>
      <c r="T4959">
        <v>39</v>
      </c>
      <c r="U4959" s="26" t="str">
        <f>HYPERLINK("https://ictv.global/ictv/proposals/2023.073B.Vequintavirus_28ns.zip","2023.073B.Vequintavirus_28ns.zip")</f>
        <v>2023.073B.Vequintavirus_28ns.zip</v>
      </c>
    </row>
    <row r="4960" spans="1:21">
      <c r="A4960">
        <v>4959</v>
      </c>
      <c r="B4960" s="27" t="s">
        <v>1449</v>
      </c>
      <c r="D4960" s="27" t="s">
        <v>1450</v>
      </c>
      <c r="F4960" s="27" t="s">
        <v>1453</v>
      </c>
      <c r="H4960" s="27" t="s">
        <v>1454</v>
      </c>
      <c r="M4960" s="27" t="s">
        <v>589</v>
      </c>
      <c r="N4960" s="27" t="s">
        <v>1219</v>
      </c>
      <c r="P4960" s="27" t="s">
        <v>6475</v>
      </c>
      <c r="Q4960" s="26" t="str">
        <f>HYPERLINK("https://ictv.global/taxonomy/taxondetails?taxnode_id=202500361&amp;ictv_id=ICTV20150237","ICTV20150237")</f>
        <v>ICTV20150237</v>
      </c>
      <c r="R4960" t="s">
        <v>579</v>
      </c>
      <c r="S4960" t="s">
        <v>824</v>
      </c>
      <c r="T4960">
        <v>37</v>
      </c>
      <c r="U4960" s="26" t="str">
        <f>HYPERLINK("https://ictv.global/ictv/proposals/2021.010B.R.Binomial_names.zip","2021.010B.R.Binomial_names.zip")</f>
        <v>2021.010B.R.Binomial_names.zip</v>
      </c>
    </row>
    <row r="4961" spans="1:21">
      <c r="A4961">
        <v>4960</v>
      </c>
      <c r="B4961" s="27" t="s">
        <v>1449</v>
      </c>
      <c r="D4961" s="27" t="s">
        <v>1450</v>
      </c>
      <c r="F4961" s="27" t="s">
        <v>1453</v>
      </c>
      <c r="H4961" s="27" t="s">
        <v>1454</v>
      </c>
      <c r="M4961" s="27" t="s">
        <v>589</v>
      </c>
      <c r="N4961" s="27" t="s">
        <v>1219</v>
      </c>
      <c r="P4961" s="27" t="s">
        <v>6476</v>
      </c>
      <c r="Q4961" s="26" t="str">
        <f>HYPERLINK("https://ictv.global/taxonomy/taxondetails?taxnode_id=202507084&amp;ictv_id=ICTV201857084","ICTV201857084")</f>
        <v>ICTV201857084</v>
      </c>
      <c r="R4961" t="s">
        <v>579</v>
      </c>
      <c r="S4961" t="s">
        <v>824</v>
      </c>
      <c r="T4961">
        <v>37</v>
      </c>
      <c r="U4961" s="26" t="str">
        <f>HYPERLINK("https://ictv.global/ictv/proposals/2021.010B.R.Binomial_names.zip","2021.010B.R.Binomial_names.zip")</f>
        <v>2021.010B.R.Binomial_names.zip</v>
      </c>
    </row>
    <row r="4962" spans="1:21">
      <c r="A4962">
        <v>4961</v>
      </c>
      <c r="B4962" s="27" t="s">
        <v>1449</v>
      </c>
      <c r="D4962" s="27" t="s">
        <v>1450</v>
      </c>
      <c r="F4962" s="27" t="s">
        <v>1453</v>
      </c>
      <c r="H4962" s="27" t="s">
        <v>1454</v>
      </c>
      <c r="M4962" s="27" t="s">
        <v>589</v>
      </c>
      <c r="N4962" s="27" t="s">
        <v>1219</v>
      </c>
      <c r="P4962" s="27" t="s">
        <v>12015</v>
      </c>
      <c r="Q4962" s="26" t="str">
        <f>HYPERLINK("https://ictv.global/taxonomy/taxondetails?taxnode_id=202519488&amp;ictv_id=ICTV202319488","ICTV202319488")</f>
        <v>ICTV202319488</v>
      </c>
      <c r="R4962" t="s">
        <v>579</v>
      </c>
      <c r="S4962" t="s">
        <v>823</v>
      </c>
      <c r="T4962">
        <v>39</v>
      </c>
      <c r="U4962" s="26" t="str">
        <f>HYPERLINK("https://ictv.global/ictv/proposals/2023.073B.Vequintavirus_28ns.zip","2023.073B.Vequintavirus_28ns.zip")</f>
        <v>2023.073B.Vequintavirus_28ns.zip</v>
      </c>
    </row>
    <row r="4963" spans="1:21">
      <c r="A4963">
        <v>4962</v>
      </c>
      <c r="B4963" s="27" t="s">
        <v>1449</v>
      </c>
      <c r="D4963" s="27" t="s">
        <v>1450</v>
      </c>
      <c r="F4963" s="27" t="s">
        <v>1453</v>
      </c>
      <c r="H4963" s="27" t="s">
        <v>1454</v>
      </c>
      <c r="M4963" s="27" t="s">
        <v>589</v>
      </c>
      <c r="N4963" s="27" t="s">
        <v>1219</v>
      </c>
      <c r="P4963" s="27" t="s">
        <v>12016</v>
      </c>
      <c r="Q4963" s="26" t="str">
        <f>HYPERLINK("https://ictv.global/taxonomy/taxondetails?taxnode_id=202519465&amp;ictv_id=ICTV202319465","ICTV202319465")</f>
        <v>ICTV202319465</v>
      </c>
      <c r="R4963" t="s">
        <v>579</v>
      </c>
      <c r="S4963" t="s">
        <v>823</v>
      </c>
      <c r="T4963">
        <v>39</v>
      </c>
      <c r="U4963" s="26" t="str">
        <f>HYPERLINK("https://ictv.global/ictv/proposals/2023.073B.Vequintavirus_28ns.zip","2023.073B.Vequintavirus_28ns.zip")</f>
        <v>2023.073B.Vequintavirus_28ns.zip</v>
      </c>
    </row>
    <row r="4964" spans="1:21">
      <c r="A4964">
        <v>4963</v>
      </c>
      <c r="B4964" s="27" t="s">
        <v>1449</v>
      </c>
      <c r="D4964" s="27" t="s">
        <v>1450</v>
      </c>
      <c r="F4964" s="27" t="s">
        <v>1453</v>
      </c>
      <c r="H4964" s="27" t="s">
        <v>1454</v>
      </c>
      <c r="M4964" s="27" t="s">
        <v>22641</v>
      </c>
      <c r="N4964" s="27" t="s">
        <v>22646</v>
      </c>
      <c r="P4964" s="27" t="s">
        <v>22647</v>
      </c>
      <c r="Q4964" s="26" t="str">
        <f>HYPERLINK("https://ictv.global/taxonomy/taxondetails?taxnode_id=202523233&amp;ictv_id=ICTV202523233","ICTV202523233")</f>
        <v>ICTV202523233</v>
      </c>
      <c r="R4964" t="s">
        <v>579</v>
      </c>
      <c r="S4964" t="s">
        <v>823</v>
      </c>
      <c r="T4964">
        <v>41</v>
      </c>
      <c r="U4964" s="26" t="str">
        <f t="shared" ref="U4964:U4972" si="191">HYPERLINK("https://ictv.global/ictv/proposals/2025.079B.Wallmarkvirinae_1nsf_3ng_9ns.zip","2025.079B.Wallmarkvirinae_1nsf_3ng_9ns.zip")</f>
        <v>2025.079B.Wallmarkvirinae_1nsf_3ng_9ns.zip</v>
      </c>
    </row>
    <row r="4965" spans="1:21">
      <c r="A4965">
        <v>4964</v>
      </c>
      <c r="B4965" s="27" t="s">
        <v>1449</v>
      </c>
      <c r="D4965" s="27" t="s">
        <v>1450</v>
      </c>
      <c r="F4965" s="27" t="s">
        <v>1453</v>
      </c>
      <c r="H4965" s="27" t="s">
        <v>1454</v>
      </c>
      <c r="M4965" s="27" t="s">
        <v>22641</v>
      </c>
      <c r="N4965" s="27" t="s">
        <v>22642</v>
      </c>
      <c r="P4965" s="27" t="s">
        <v>22643</v>
      </c>
      <c r="Q4965" s="26" t="str">
        <f>HYPERLINK("https://ictv.global/taxonomy/taxondetails?taxnode_id=202523230&amp;ictv_id=ICTV202523230","ICTV202523230")</f>
        <v>ICTV202523230</v>
      </c>
      <c r="R4965" t="s">
        <v>579</v>
      </c>
      <c r="S4965" t="s">
        <v>823</v>
      </c>
      <c r="T4965">
        <v>41</v>
      </c>
      <c r="U4965" s="26" t="str">
        <f t="shared" si="191"/>
        <v>2025.079B.Wallmarkvirinae_1nsf_3ng_9ns.zip</v>
      </c>
    </row>
    <row r="4966" spans="1:21">
      <c r="A4966">
        <v>4965</v>
      </c>
      <c r="B4966" s="27" t="s">
        <v>1449</v>
      </c>
      <c r="D4966" s="27" t="s">
        <v>1450</v>
      </c>
      <c r="F4966" s="27" t="s">
        <v>1453</v>
      </c>
      <c r="H4966" s="27" t="s">
        <v>1454</v>
      </c>
      <c r="M4966" s="27" t="s">
        <v>22641</v>
      </c>
      <c r="N4966" s="27" t="s">
        <v>22642</v>
      </c>
      <c r="P4966" s="27" t="s">
        <v>22644</v>
      </c>
      <c r="Q4966" s="26" t="str">
        <f>HYPERLINK("https://ictv.global/taxonomy/taxondetails?taxnode_id=202523231&amp;ictv_id=ICTV202523231","ICTV202523231")</f>
        <v>ICTV202523231</v>
      </c>
      <c r="R4966" t="s">
        <v>579</v>
      </c>
      <c r="S4966" t="s">
        <v>823</v>
      </c>
      <c r="T4966">
        <v>41</v>
      </c>
      <c r="U4966" s="26" t="str">
        <f t="shared" si="191"/>
        <v>2025.079B.Wallmarkvirinae_1nsf_3ng_9ns.zip</v>
      </c>
    </row>
    <row r="4967" spans="1:21">
      <c r="A4967">
        <v>4966</v>
      </c>
      <c r="B4967" s="27" t="s">
        <v>1449</v>
      </c>
      <c r="D4967" s="27" t="s">
        <v>1450</v>
      </c>
      <c r="F4967" s="27" t="s">
        <v>1453</v>
      </c>
      <c r="H4967" s="27" t="s">
        <v>1454</v>
      </c>
      <c r="M4967" s="27" t="s">
        <v>22641</v>
      </c>
      <c r="N4967" s="27" t="s">
        <v>22642</v>
      </c>
      <c r="P4967" s="27" t="s">
        <v>22645</v>
      </c>
      <c r="Q4967" s="26" t="str">
        <f>HYPERLINK("https://ictv.global/taxonomy/taxondetails?taxnode_id=202523232&amp;ictv_id=ICTV202523232","ICTV202523232")</f>
        <v>ICTV202523232</v>
      </c>
      <c r="R4967" t="s">
        <v>579</v>
      </c>
      <c r="S4967" t="s">
        <v>823</v>
      </c>
      <c r="T4967">
        <v>41</v>
      </c>
      <c r="U4967" s="26" t="str">
        <f t="shared" si="191"/>
        <v>2025.079B.Wallmarkvirinae_1nsf_3ng_9ns.zip</v>
      </c>
    </row>
    <row r="4968" spans="1:21">
      <c r="A4968">
        <v>4967</v>
      </c>
      <c r="B4968" s="27" t="s">
        <v>1449</v>
      </c>
      <c r="D4968" s="27" t="s">
        <v>1450</v>
      </c>
      <c r="F4968" s="27" t="s">
        <v>1453</v>
      </c>
      <c r="H4968" s="27" t="s">
        <v>1454</v>
      </c>
      <c r="M4968" s="27" t="s">
        <v>22641</v>
      </c>
      <c r="N4968" s="27" t="s">
        <v>22648</v>
      </c>
      <c r="P4968" s="27" t="s">
        <v>22651</v>
      </c>
      <c r="Q4968" s="26" t="str">
        <f>HYPERLINK("https://ictv.global/taxonomy/taxondetails?taxnode_id=202523236&amp;ictv_id=ICTV202523236","ICTV202523236")</f>
        <v>ICTV202523236</v>
      </c>
      <c r="R4968" t="s">
        <v>579</v>
      </c>
      <c r="S4968" t="s">
        <v>823</v>
      </c>
      <c r="T4968">
        <v>41</v>
      </c>
      <c r="U4968" s="26" t="str">
        <f t="shared" si="191"/>
        <v>2025.079B.Wallmarkvirinae_1nsf_3ng_9ns.zip</v>
      </c>
    </row>
    <row r="4969" spans="1:21">
      <c r="A4969">
        <v>4968</v>
      </c>
      <c r="B4969" s="27" t="s">
        <v>1449</v>
      </c>
      <c r="D4969" s="27" t="s">
        <v>1450</v>
      </c>
      <c r="F4969" s="27" t="s">
        <v>1453</v>
      </c>
      <c r="H4969" s="27" t="s">
        <v>1454</v>
      </c>
      <c r="M4969" s="27" t="s">
        <v>22641</v>
      </c>
      <c r="N4969" s="27" t="s">
        <v>22648</v>
      </c>
      <c r="P4969" s="27" t="s">
        <v>22649</v>
      </c>
      <c r="Q4969" s="26" t="str">
        <f>HYPERLINK("https://ictv.global/taxonomy/taxondetails?taxnode_id=202523234&amp;ictv_id=ICTV202523234","ICTV202523234")</f>
        <v>ICTV202523234</v>
      </c>
      <c r="R4969" t="s">
        <v>579</v>
      </c>
      <c r="S4969" t="s">
        <v>823</v>
      </c>
      <c r="T4969">
        <v>41</v>
      </c>
      <c r="U4969" s="26" t="str">
        <f t="shared" si="191"/>
        <v>2025.079B.Wallmarkvirinae_1nsf_3ng_9ns.zip</v>
      </c>
    </row>
    <row r="4970" spans="1:21">
      <c r="A4970">
        <v>4969</v>
      </c>
      <c r="B4970" s="27" t="s">
        <v>1449</v>
      </c>
      <c r="D4970" s="27" t="s">
        <v>1450</v>
      </c>
      <c r="F4970" s="27" t="s">
        <v>1453</v>
      </c>
      <c r="H4970" s="27" t="s">
        <v>1454</v>
      </c>
      <c r="M4970" s="27" t="s">
        <v>22641</v>
      </c>
      <c r="N4970" s="27" t="s">
        <v>22648</v>
      </c>
      <c r="P4970" s="27" t="s">
        <v>22653</v>
      </c>
      <c r="Q4970" s="26" t="str">
        <f>HYPERLINK("https://ictv.global/taxonomy/taxondetails?taxnode_id=202523238&amp;ictv_id=ICTV202523238","ICTV202523238")</f>
        <v>ICTV202523238</v>
      </c>
      <c r="R4970" t="s">
        <v>579</v>
      </c>
      <c r="S4970" t="s">
        <v>823</v>
      </c>
      <c r="T4970">
        <v>41</v>
      </c>
      <c r="U4970" s="26" t="str">
        <f t="shared" si="191"/>
        <v>2025.079B.Wallmarkvirinae_1nsf_3ng_9ns.zip</v>
      </c>
    </row>
    <row r="4971" spans="1:21">
      <c r="A4971">
        <v>4970</v>
      </c>
      <c r="B4971" s="27" t="s">
        <v>1449</v>
      </c>
      <c r="D4971" s="27" t="s">
        <v>1450</v>
      </c>
      <c r="F4971" s="27" t="s">
        <v>1453</v>
      </c>
      <c r="H4971" s="27" t="s">
        <v>1454</v>
      </c>
      <c r="M4971" s="27" t="s">
        <v>22641</v>
      </c>
      <c r="N4971" s="27" t="s">
        <v>22648</v>
      </c>
      <c r="P4971" s="27" t="s">
        <v>22652</v>
      </c>
      <c r="Q4971" s="26" t="str">
        <f>HYPERLINK("https://ictv.global/taxonomy/taxondetails?taxnode_id=202523237&amp;ictv_id=ICTV202523237","ICTV202523237")</f>
        <v>ICTV202523237</v>
      </c>
      <c r="R4971" t="s">
        <v>579</v>
      </c>
      <c r="S4971" t="s">
        <v>823</v>
      </c>
      <c r="T4971">
        <v>41</v>
      </c>
      <c r="U4971" s="26" t="str">
        <f t="shared" si="191"/>
        <v>2025.079B.Wallmarkvirinae_1nsf_3ng_9ns.zip</v>
      </c>
    </row>
    <row r="4972" spans="1:21">
      <c r="A4972">
        <v>4971</v>
      </c>
      <c r="B4972" s="27" t="s">
        <v>1449</v>
      </c>
      <c r="D4972" s="27" t="s">
        <v>1450</v>
      </c>
      <c r="F4972" s="27" t="s">
        <v>1453</v>
      </c>
      <c r="H4972" s="27" t="s">
        <v>1454</v>
      </c>
      <c r="M4972" s="27" t="s">
        <v>22641</v>
      </c>
      <c r="N4972" s="27" t="s">
        <v>22648</v>
      </c>
      <c r="P4972" s="27" t="s">
        <v>22650</v>
      </c>
      <c r="Q4972" s="26" t="str">
        <f>HYPERLINK("https://ictv.global/taxonomy/taxondetails?taxnode_id=202523235&amp;ictv_id=ICTV202523235","ICTV202523235")</f>
        <v>ICTV202523235</v>
      </c>
      <c r="R4972" t="s">
        <v>579</v>
      </c>
      <c r="S4972" t="s">
        <v>823</v>
      </c>
      <c r="T4972">
        <v>41</v>
      </c>
      <c r="U4972" s="26" t="str">
        <f t="shared" si="191"/>
        <v>2025.079B.Wallmarkvirinae_1nsf_3ng_9ns.zip</v>
      </c>
    </row>
    <row r="4973" spans="1:21">
      <c r="A4973">
        <v>4972</v>
      </c>
      <c r="B4973" s="27" t="s">
        <v>1449</v>
      </c>
      <c r="D4973" s="27" t="s">
        <v>1450</v>
      </c>
      <c r="F4973" s="27" t="s">
        <v>1453</v>
      </c>
      <c r="H4973" s="27" t="s">
        <v>1454</v>
      </c>
      <c r="M4973" s="27" t="s">
        <v>6477</v>
      </c>
      <c r="N4973" s="27" t="s">
        <v>6478</v>
      </c>
      <c r="P4973" s="27" t="s">
        <v>6479</v>
      </c>
      <c r="Q4973" s="26" t="str">
        <f>HYPERLINK("https://ictv.global/taxonomy/taxondetails?taxnode_id=202512732&amp;ictv_id=ICTV202112732","ICTV202112732")</f>
        <v>ICTV202112732</v>
      </c>
      <c r="R4973" t="s">
        <v>579</v>
      </c>
      <c r="S4973" t="s">
        <v>823</v>
      </c>
      <c r="T4973">
        <v>37</v>
      </c>
      <c r="U4973" s="26" t="str">
        <f t="shared" ref="U4973:U5004" si="192">HYPERLINK("https://ictv.global/ictv/proposals/2021.091B.R.Weiservirinae.zip","2021.091B.R.Weiservirinae.zip")</f>
        <v>2021.091B.R.Weiservirinae.zip</v>
      </c>
    </row>
    <row r="4974" spans="1:21">
      <c r="A4974">
        <v>4973</v>
      </c>
      <c r="B4974" s="27" t="s">
        <v>1449</v>
      </c>
      <c r="D4974" s="27" t="s">
        <v>1450</v>
      </c>
      <c r="F4974" s="27" t="s">
        <v>1453</v>
      </c>
      <c r="H4974" s="27" t="s">
        <v>1454</v>
      </c>
      <c r="M4974" s="27" t="s">
        <v>6477</v>
      </c>
      <c r="N4974" s="27" t="s">
        <v>6478</v>
      </c>
      <c r="P4974" s="27" t="s">
        <v>6480</v>
      </c>
      <c r="Q4974" s="26" t="str">
        <f>HYPERLINK("https://ictv.global/taxonomy/taxondetails?taxnode_id=202512733&amp;ictv_id=ICTV202112733","ICTV202112733")</f>
        <v>ICTV202112733</v>
      </c>
      <c r="R4974" t="s">
        <v>579</v>
      </c>
      <c r="S4974" t="s">
        <v>823</v>
      </c>
      <c r="T4974">
        <v>37</v>
      </c>
      <c r="U4974" s="26" t="str">
        <f t="shared" si="192"/>
        <v>2021.091B.R.Weiservirinae.zip</v>
      </c>
    </row>
    <row r="4975" spans="1:21">
      <c r="A4975">
        <v>4974</v>
      </c>
      <c r="B4975" s="27" t="s">
        <v>1449</v>
      </c>
      <c r="D4975" s="27" t="s">
        <v>1450</v>
      </c>
      <c r="F4975" s="27" t="s">
        <v>1453</v>
      </c>
      <c r="H4975" s="27" t="s">
        <v>1454</v>
      </c>
      <c r="M4975" s="27" t="s">
        <v>6477</v>
      </c>
      <c r="N4975" s="27" t="s">
        <v>6478</v>
      </c>
      <c r="P4975" s="27" t="s">
        <v>6481</v>
      </c>
      <c r="Q4975" s="26" t="str">
        <f>HYPERLINK("https://ictv.global/taxonomy/taxondetails?taxnode_id=202512734&amp;ictv_id=ICTV202112734","ICTV202112734")</f>
        <v>ICTV202112734</v>
      </c>
      <c r="R4975" t="s">
        <v>579</v>
      </c>
      <c r="S4975" t="s">
        <v>823</v>
      </c>
      <c r="T4975">
        <v>37</v>
      </c>
      <c r="U4975" s="26" t="str">
        <f t="shared" si="192"/>
        <v>2021.091B.R.Weiservirinae.zip</v>
      </c>
    </row>
    <row r="4976" spans="1:21">
      <c r="A4976">
        <v>4975</v>
      </c>
      <c r="B4976" s="27" t="s">
        <v>1449</v>
      </c>
      <c r="D4976" s="27" t="s">
        <v>1450</v>
      </c>
      <c r="F4976" s="27" t="s">
        <v>1453</v>
      </c>
      <c r="H4976" s="27" t="s">
        <v>1454</v>
      </c>
      <c r="M4976" s="27" t="s">
        <v>6477</v>
      </c>
      <c r="N4976" s="27" t="s">
        <v>6478</v>
      </c>
      <c r="P4976" s="27" t="s">
        <v>6482</v>
      </c>
      <c r="Q4976" s="26" t="str">
        <f>HYPERLINK("https://ictv.global/taxonomy/taxondetails?taxnode_id=202512735&amp;ictv_id=ICTV202112735","ICTV202112735")</f>
        <v>ICTV202112735</v>
      </c>
      <c r="R4976" t="s">
        <v>579</v>
      </c>
      <c r="S4976" t="s">
        <v>823</v>
      </c>
      <c r="T4976">
        <v>37</v>
      </c>
      <c r="U4976" s="26" t="str">
        <f t="shared" si="192"/>
        <v>2021.091B.R.Weiservirinae.zip</v>
      </c>
    </row>
    <row r="4977" spans="1:21">
      <c r="A4977">
        <v>4976</v>
      </c>
      <c r="B4977" s="27" t="s">
        <v>1449</v>
      </c>
      <c r="D4977" s="27" t="s">
        <v>1450</v>
      </c>
      <c r="F4977" s="27" t="s">
        <v>1453</v>
      </c>
      <c r="H4977" s="27" t="s">
        <v>1454</v>
      </c>
      <c r="M4977" s="27" t="s">
        <v>6477</v>
      </c>
      <c r="N4977" s="27" t="s">
        <v>6478</v>
      </c>
      <c r="P4977" s="27" t="s">
        <v>6483</v>
      </c>
      <c r="Q4977" s="26" t="str">
        <f>HYPERLINK("https://ictv.global/taxonomy/taxondetails?taxnode_id=202512736&amp;ictv_id=ICTV202112736","ICTV202112736")</f>
        <v>ICTV202112736</v>
      </c>
      <c r="R4977" t="s">
        <v>579</v>
      </c>
      <c r="S4977" t="s">
        <v>823</v>
      </c>
      <c r="T4977">
        <v>37</v>
      </c>
      <c r="U4977" s="26" t="str">
        <f t="shared" si="192"/>
        <v>2021.091B.R.Weiservirinae.zip</v>
      </c>
    </row>
    <row r="4978" spans="1:21">
      <c r="A4978">
        <v>4977</v>
      </c>
      <c r="B4978" s="27" t="s">
        <v>1449</v>
      </c>
      <c r="D4978" s="27" t="s">
        <v>1450</v>
      </c>
      <c r="F4978" s="27" t="s">
        <v>1453</v>
      </c>
      <c r="H4978" s="27" t="s">
        <v>1454</v>
      </c>
      <c r="M4978" s="27" t="s">
        <v>6477</v>
      </c>
      <c r="N4978" s="27" t="s">
        <v>6484</v>
      </c>
      <c r="P4978" s="27" t="s">
        <v>6485</v>
      </c>
      <c r="Q4978" s="26" t="str">
        <f>HYPERLINK("https://ictv.global/taxonomy/taxondetails?taxnode_id=202512702&amp;ictv_id=ICTV202112702","ICTV202112702")</f>
        <v>ICTV202112702</v>
      </c>
      <c r="R4978" t="s">
        <v>579</v>
      </c>
      <c r="S4978" t="s">
        <v>823</v>
      </c>
      <c r="T4978">
        <v>37</v>
      </c>
      <c r="U4978" s="26" t="str">
        <f t="shared" si="192"/>
        <v>2021.091B.R.Weiservirinae.zip</v>
      </c>
    </row>
    <row r="4979" spans="1:21">
      <c r="A4979">
        <v>4978</v>
      </c>
      <c r="B4979" s="27" t="s">
        <v>1449</v>
      </c>
      <c r="D4979" s="27" t="s">
        <v>1450</v>
      </c>
      <c r="F4979" s="27" t="s">
        <v>1453</v>
      </c>
      <c r="H4979" s="27" t="s">
        <v>1454</v>
      </c>
      <c r="M4979" s="27" t="s">
        <v>6477</v>
      </c>
      <c r="N4979" s="27" t="s">
        <v>6486</v>
      </c>
      <c r="P4979" s="27" t="s">
        <v>6487</v>
      </c>
      <c r="Q4979" s="26" t="str">
        <f>HYPERLINK("https://ictv.global/taxonomy/taxondetails?taxnode_id=202512738&amp;ictv_id=ICTV202112738","ICTV202112738")</f>
        <v>ICTV202112738</v>
      </c>
      <c r="R4979" t="s">
        <v>579</v>
      </c>
      <c r="S4979" t="s">
        <v>823</v>
      </c>
      <c r="T4979">
        <v>37</v>
      </c>
      <c r="U4979" s="26" t="str">
        <f t="shared" si="192"/>
        <v>2021.091B.R.Weiservirinae.zip</v>
      </c>
    </row>
    <row r="4980" spans="1:21">
      <c r="A4980">
        <v>4979</v>
      </c>
      <c r="B4980" s="27" t="s">
        <v>1449</v>
      </c>
      <c r="D4980" s="27" t="s">
        <v>1450</v>
      </c>
      <c r="F4980" s="27" t="s">
        <v>1453</v>
      </c>
      <c r="H4980" s="27" t="s">
        <v>1454</v>
      </c>
      <c r="M4980" s="27" t="s">
        <v>6477</v>
      </c>
      <c r="N4980" s="27" t="s">
        <v>6486</v>
      </c>
      <c r="P4980" s="27" t="s">
        <v>6488</v>
      </c>
      <c r="Q4980" s="26" t="str">
        <f>HYPERLINK("https://ictv.global/taxonomy/taxondetails?taxnode_id=202512739&amp;ictv_id=ICTV202112739","ICTV202112739")</f>
        <v>ICTV202112739</v>
      </c>
      <c r="R4980" t="s">
        <v>579</v>
      </c>
      <c r="S4980" t="s">
        <v>823</v>
      </c>
      <c r="T4980">
        <v>37</v>
      </c>
      <c r="U4980" s="26" t="str">
        <f t="shared" si="192"/>
        <v>2021.091B.R.Weiservirinae.zip</v>
      </c>
    </row>
    <row r="4981" spans="1:21">
      <c r="A4981">
        <v>4980</v>
      </c>
      <c r="B4981" s="27" t="s">
        <v>1449</v>
      </c>
      <c r="D4981" s="27" t="s">
        <v>1450</v>
      </c>
      <c r="F4981" s="27" t="s">
        <v>1453</v>
      </c>
      <c r="H4981" s="27" t="s">
        <v>1454</v>
      </c>
      <c r="M4981" s="27" t="s">
        <v>6477</v>
      </c>
      <c r="N4981" s="27" t="s">
        <v>6486</v>
      </c>
      <c r="P4981" s="27" t="s">
        <v>6489</v>
      </c>
      <c r="Q4981" s="26" t="str">
        <f>HYPERLINK("https://ictv.global/taxonomy/taxondetails?taxnode_id=202512740&amp;ictv_id=ICTV202112740","ICTV202112740")</f>
        <v>ICTV202112740</v>
      </c>
      <c r="R4981" t="s">
        <v>579</v>
      </c>
      <c r="S4981" t="s">
        <v>823</v>
      </c>
      <c r="T4981">
        <v>37</v>
      </c>
      <c r="U4981" s="26" t="str">
        <f t="shared" si="192"/>
        <v>2021.091B.R.Weiservirinae.zip</v>
      </c>
    </row>
    <row r="4982" spans="1:21">
      <c r="A4982">
        <v>4981</v>
      </c>
      <c r="B4982" s="27" t="s">
        <v>1449</v>
      </c>
      <c r="D4982" s="27" t="s">
        <v>1450</v>
      </c>
      <c r="F4982" s="27" t="s">
        <v>1453</v>
      </c>
      <c r="H4982" s="27" t="s">
        <v>1454</v>
      </c>
      <c r="M4982" s="27" t="s">
        <v>6477</v>
      </c>
      <c r="N4982" s="27" t="s">
        <v>6486</v>
      </c>
      <c r="P4982" s="27" t="s">
        <v>6490</v>
      </c>
      <c r="Q4982" s="26" t="str">
        <f>HYPERLINK("https://ictv.global/taxonomy/taxondetails?taxnode_id=202512741&amp;ictv_id=ICTV202112741","ICTV202112741")</f>
        <v>ICTV202112741</v>
      </c>
      <c r="R4982" t="s">
        <v>579</v>
      </c>
      <c r="S4982" t="s">
        <v>823</v>
      </c>
      <c r="T4982">
        <v>37</v>
      </c>
      <c r="U4982" s="26" t="str">
        <f t="shared" si="192"/>
        <v>2021.091B.R.Weiservirinae.zip</v>
      </c>
    </row>
    <row r="4983" spans="1:21">
      <c r="A4983">
        <v>4982</v>
      </c>
      <c r="B4983" s="27" t="s">
        <v>1449</v>
      </c>
      <c r="D4983" s="27" t="s">
        <v>1450</v>
      </c>
      <c r="F4983" s="27" t="s">
        <v>1453</v>
      </c>
      <c r="H4983" s="27" t="s">
        <v>1454</v>
      </c>
      <c r="M4983" s="27" t="s">
        <v>6477</v>
      </c>
      <c r="N4983" s="27" t="s">
        <v>6486</v>
      </c>
      <c r="P4983" s="27" t="s">
        <v>6491</v>
      </c>
      <c r="Q4983" s="26" t="str">
        <f>HYPERLINK("https://ictv.global/taxonomy/taxondetails?taxnode_id=202501343&amp;ictv_id=ICTV20140417","ICTV20140417")</f>
        <v>ICTV20140417</v>
      </c>
      <c r="R4983" t="s">
        <v>579</v>
      </c>
      <c r="S4983" t="s">
        <v>22764</v>
      </c>
      <c r="T4983">
        <v>37</v>
      </c>
      <c r="U4983" s="26" t="str">
        <f t="shared" si="192"/>
        <v>2021.091B.R.Weiservirinae.zip</v>
      </c>
    </row>
    <row r="4984" spans="1:21">
      <c r="A4984">
        <v>4983</v>
      </c>
      <c r="B4984" s="27" t="s">
        <v>1449</v>
      </c>
      <c r="D4984" s="27" t="s">
        <v>1450</v>
      </c>
      <c r="F4984" s="27" t="s">
        <v>1453</v>
      </c>
      <c r="H4984" s="27" t="s">
        <v>1454</v>
      </c>
      <c r="M4984" s="27" t="s">
        <v>6477</v>
      </c>
      <c r="N4984" s="27" t="s">
        <v>6486</v>
      </c>
      <c r="P4984" s="27" t="s">
        <v>6492</v>
      </c>
      <c r="Q4984" s="26" t="str">
        <f>HYPERLINK("https://ictv.global/taxonomy/taxondetails?taxnode_id=202501344&amp;ictv_id=ICTV20140414","ICTV20140414")</f>
        <v>ICTV20140414</v>
      </c>
      <c r="R4984" t="s">
        <v>579</v>
      </c>
      <c r="S4984" t="s">
        <v>22764</v>
      </c>
      <c r="T4984">
        <v>37</v>
      </c>
      <c r="U4984" s="26" t="str">
        <f t="shared" si="192"/>
        <v>2021.091B.R.Weiservirinae.zip</v>
      </c>
    </row>
    <row r="4985" spans="1:21">
      <c r="A4985">
        <v>4984</v>
      </c>
      <c r="B4985" s="27" t="s">
        <v>1449</v>
      </c>
      <c r="D4985" s="27" t="s">
        <v>1450</v>
      </c>
      <c r="F4985" s="27" t="s">
        <v>1453</v>
      </c>
      <c r="H4985" s="27" t="s">
        <v>1454</v>
      </c>
      <c r="M4985" s="27" t="s">
        <v>6477</v>
      </c>
      <c r="N4985" s="27" t="s">
        <v>6486</v>
      </c>
      <c r="P4985" s="27" t="s">
        <v>6493</v>
      </c>
      <c r="Q4985" s="26" t="str">
        <f>HYPERLINK("https://ictv.global/taxonomy/taxondetails?taxnode_id=202512742&amp;ictv_id=ICTV202112742","ICTV202112742")</f>
        <v>ICTV202112742</v>
      </c>
      <c r="R4985" t="s">
        <v>579</v>
      </c>
      <c r="S4985" t="s">
        <v>823</v>
      </c>
      <c r="T4985">
        <v>37</v>
      </c>
      <c r="U4985" s="26" t="str">
        <f t="shared" si="192"/>
        <v>2021.091B.R.Weiservirinae.zip</v>
      </c>
    </row>
    <row r="4986" spans="1:21">
      <c r="A4986">
        <v>4985</v>
      </c>
      <c r="B4986" s="27" t="s">
        <v>1449</v>
      </c>
      <c r="D4986" s="27" t="s">
        <v>1450</v>
      </c>
      <c r="F4986" s="27" t="s">
        <v>1453</v>
      </c>
      <c r="H4986" s="27" t="s">
        <v>1454</v>
      </c>
      <c r="M4986" s="27" t="s">
        <v>6477</v>
      </c>
      <c r="N4986" s="27" t="s">
        <v>6486</v>
      </c>
      <c r="P4986" s="27" t="s">
        <v>6494</v>
      </c>
      <c r="Q4986" s="26" t="str">
        <f>HYPERLINK("https://ictv.global/taxonomy/taxondetails?taxnode_id=202512743&amp;ictv_id=ICTV202112743","ICTV202112743")</f>
        <v>ICTV202112743</v>
      </c>
      <c r="R4986" t="s">
        <v>579</v>
      </c>
      <c r="S4986" t="s">
        <v>823</v>
      </c>
      <c r="T4986">
        <v>37</v>
      </c>
      <c r="U4986" s="26" t="str">
        <f t="shared" si="192"/>
        <v>2021.091B.R.Weiservirinae.zip</v>
      </c>
    </row>
    <row r="4987" spans="1:21">
      <c r="A4987">
        <v>4986</v>
      </c>
      <c r="B4987" s="27" t="s">
        <v>1449</v>
      </c>
      <c r="D4987" s="27" t="s">
        <v>1450</v>
      </c>
      <c r="F4987" s="27" t="s">
        <v>1453</v>
      </c>
      <c r="H4987" s="27" t="s">
        <v>1454</v>
      </c>
      <c r="M4987" s="27" t="s">
        <v>6477</v>
      </c>
      <c r="N4987" s="27" t="s">
        <v>6486</v>
      </c>
      <c r="P4987" s="27" t="s">
        <v>6495</v>
      </c>
      <c r="Q4987" s="26" t="str">
        <f>HYPERLINK("https://ictv.global/taxonomy/taxondetails?taxnode_id=202512744&amp;ictv_id=ICTV202112744","ICTV202112744")</f>
        <v>ICTV202112744</v>
      </c>
      <c r="R4987" t="s">
        <v>579</v>
      </c>
      <c r="S4987" t="s">
        <v>823</v>
      </c>
      <c r="T4987">
        <v>37</v>
      </c>
      <c r="U4987" s="26" t="str">
        <f t="shared" si="192"/>
        <v>2021.091B.R.Weiservirinae.zip</v>
      </c>
    </row>
    <row r="4988" spans="1:21">
      <c r="A4988">
        <v>4987</v>
      </c>
      <c r="B4988" s="27" t="s">
        <v>1449</v>
      </c>
      <c r="D4988" s="27" t="s">
        <v>1450</v>
      </c>
      <c r="F4988" s="27" t="s">
        <v>1453</v>
      </c>
      <c r="H4988" s="27" t="s">
        <v>1454</v>
      </c>
      <c r="M4988" s="27" t="s">
        <v>6477</v>
      </c>
      <c r="N4988" s="27" t="s">
        <v>6486</v>
      </c>
      <c r="P4988" s="27" t="s">
        <v>6496</v>
      </c>
      <c r="Q4988" s="26" t="str">
        <f>HYPERLINK("https://ictv.global/taxonomy/taxondetails?taxnode_id=202512745&amp;ictv_id=ICTV202112745","ICTV202112745")</f>
        <v>ICTV202112745</v>
      </c>
      <c r="R4988" t="s">
        <v>579</v>
      </c>
      <c r="S4988" t="s">
        <v>823</v>
      </c>
      <c r="T4988">
        <v>37</v>
      </c>
      <c r="U4988" s="26" t="str">
        <f t="shared" si="192"/>
        <v>2021.091B.R.Weiservirinae.zip</v>
      </c>
    </row>
    <row r="4989" spans="1:21">
      <c r="A4989">
        <v>4988</v>
      </c>
      <c r="B4989" s="27" t="s">
        <v>1449</v>
      </c>
      <c r="D4989" s="27" t="s">
        <v>1450</v>
      </c>
      <c r="F4989" s="27" t="s">
        <v>1453</v>
      </c>
      <c r="H4989" s="27" t="s">
        <v>1454</v>
      </c>
      <c r="M4989" s="27" t="s">
        <v>6477</v>
      </c>
      <c r="N4989" s="27" t="s">
        <v>6486</v>
      </c>
      <c r="P4989" s="27" t="s">
        <v>6497</v>
      </c>
      <c r="Q4989" s="26" t="str">
        <f>HYPERLINK("https://ictv.global/taxonomy/taxondetails?taxnode_id=202501345&amp;ictv_id=ICTV20140416","ICTV20140416")</f>
        <v>ICTV20140416</v>
      </c>
      <c r="R4989" t="s">
        <v>579</v>
      </c>
      <c r="S4989" t="s">
        <v>22764</v>
      </c>
      <c r="T4989">
        <v>37</v>
      </c>
      <c r="U4989" s="26" t="str">
        <f t="shared" si="192"/>
        <v>2021.091B.R.Weiservirinae.zip</v>
      </c>
    </row>
    <row r="4990" spans="1:21">
      <c r="A4990">
        <v>4989</v>
      </c>
      <c r="B4990" s="27" t="s">
        <v>1449</v>
      </c>
      <c r="D4990" s="27" t="s">
        <v>1450</v>
      </c>
      <c r="F4990" s="27" t="s">
        <v>1453</v>
      </c>
      <c r="H4990" s="27" t="s">
        <v>1454</v>
      </c>
      <c r="M4990" s="27" t="s">
        <v>6477</v>
      </c>
      <c r="N4990" s="27" t="s">
        <v>6486</v>
      </c>
      <c r="P4990" s="27" t="s">
        <v>6498</v>
      </c>
      <c r="Q4990" s="26" t="str">
        <f>HYPERLINK("https://ictv.global/taxonomy/taxondetails?taxnode_id=202512746&amp;ictv_id=ICTV202112746","ICTV202112746")</f>
        <v>ICTV202112746</v>
      </c>
      <c r="R4990" t="s">
        <v>579</v>
      </c>
      <c r="S4990" t="s">
        <v>823</v>
      </c>
      <c r="T4990">
        <v>37</v>
      </c>
      <c r="U4990" s="26" t="str">
        <f t="shared" si="192"/>
        <v>2021.091B.R.Weiservirinae.zip</v>
      </c>
    </row>
    <row r="4991" spans="1:21">
      <c r="A4991">
        <v>4990</v>
      </c>
      <c r="B4991" s="27" t="s">
        <v>1449</v>
      </c>
      <c r="D4991" s="27" t="s">
        <v>1450</v>
      </c>
      <c r="F4991" s="27" t="s">
        <v>1453</v>
      </c>
      <c r="H4991" s="27" t="s">
        <v>1454</v>
      </c>
      <c r="M4991" s="27" t="s">
        <v>6477</v>
      </c>
      <c r="N4991" s="27" t="s">
        <v>6486</v>
      </c>
      <c r="P4991" s="27" t="s">
        <v>6499</v>
      </c>
      <c r="Q4991" s="26" t="str">
        <f>HYPERLINK("https://ictv.global/taxonomy/taxondetails?taxnode_id=202501347&amp;ictv_id=ICTV20140415","ICTV20140415")</f>
        <v>ICTV20140415</v>
      </c>
      <c r="R4991" t="s">
        <v>579</v>
      </c>
      <c r="S4991" t="s">
        <v>22764</v>
      </c>
      <c r="T4991">
        <v>37</v>
      </c>
      <c r="U4991" s="26" t="str">
        <f t="shared" si="192"/>
        <v>2021.091B.R.Weiservirinae.zip</v>
      </c>
    </row>
    <row r="4992" spans="1:21">
      <c r="A4992">
        <v>4991</v>
      </c>
      <c r="B4992" s="27" t="s">
        <v>1449</v>
      </c>
      <c r="D4992" s="27" t="s">
        <v>1450</v>
      </c>
      <c r="F4992" s="27" t="s">
        <v>1453</v>
      </c>
      <c r="H4992" s="27" t="s">
        <v>1454</v>
      </c>
      <c r="M4992" s="27" t="s">
        <v>6477</v>
      </c>
      <c r="N4992" s="27" t="s">
        <v>6486</v>
      </c>
      <c r="P4992" s="27" t="s">
        <v>6500</v>
      </c>
      <c r="Q4992" s="26" t="str">
        <f>HYPERLINK("https://ictv.global/taxonomy/taxondetails?taxnode_id=202512747&amp;ictv_id=ICTV202112747","ICTV202112747")</f>
        <v>ICTV202112747</v>
      </c>
      <c r="R4992" t="s">
        <v>579</v>
      </c>
      <c r="S4992" t="s">
        <v>823</v>
      </c>
      <c r="T4992">
        <v>37</v>
      </c>
      <c r="U4992" s="26" t="str">
        <f t="shared" si="192"/>
        <v>2021.091B.R.Weiservirinae.zip</v>
      </c>
    </row>
    <row r="4993" spans="1:21">
      <c r="A4993">
        <v>4992</v>
      </c>
      <c r="B4993" s="27" t="s">
        <v>1449</v>
      </c>
      <c r="D4993" s="27" t="s">
        <v>1450</v>
      </c>
      <c r="F4993" s="27" t="s">
        <v>1453</v>
      </c>
      <c r="H4993" s="27" t="s">
        <v>1454</v>
      </c>
      <c r="M4993" s="27" t="s">
        <v>6477</v>
      </c>
      <c r="N4993" s="27" t="s">
        <v>6486</v>
      </c>
      <c r="P4993" s="27" t="s">
        <v>6501</v>
      </c>
      <c r="Q4993" s="26" t="str">
        <f>HYPERLINK("https://ictv.global/taxonomy/taxondetails?taxnode_id=202512748&amp;ictv_id=ICTV202112748","ICTV202112748")</f>
        <v>ICTV202112748</v>
      </c>
      <c r="R4993" t="s">
        <v>579</v>
      </c>
      <c r="S4993" t="s">
        <v>823</v>
      </c>
      <c r="T4993">
        <v>37</v>
      </c>
      <c r="U4993" s="26" t="str">
        <f t="shared" si="192"/>
        <v>2021.091B.R.Weiservirinae.zip</v>
      </c>
    </row>
    <row r="4994" spans="1:21">
      <c r="A4994">
        <v>4993</v>
      </c>
      <c r="B4994" s="27" t="s">
        <v>1449</v>
      </c>
      <c r="D4994" s="27" t="s">
        <v>1450</v>
      </c>
      <c r="F4994" s="27" t="s">
        <v>1453</v>
      </c>
      <c r="H4994" s="27" t="s">
        <v>1454</v>
      </c>
      <c r="M4994" s="27" t="s">
        <v>6477</v>
      </c>
      <c r="N4994" s="27" t="s">
        <v>6486</v>
      </c>
      <c r="P4994" s="27" t="s">
        <v>6502</v>
      </c>
      <c r="Q4994" s="26" t="str">
        <f>HYPERLINK("https://ictv.global/taxonomy/taxondetails?taxnode_id=202512749&amp;ictv_id=ICTV202112749","ICTV202112749")</f>
        <v>ICTV202112749</v>
      </c>
      <c r="R4994" t="s">
        <v>579</v>
      </c>
      <c r="S4994" t="s">
        <v>823</v>
      </c>
      <c r="T4994">
        <v>37</v>
      </c>
      <c r="U4994" s="26" t="str">
        <f t="shared" si="192"/>
        <v>2021.091B.R.Weiservirinae.zip</v>
      </c>
    </row>
    <row r="4995" spans="1:21">
      <c r="A4995">
        <v>4994</v>
      </c>
      <c r="B4995" s="27" t="s">
        <v>1449</v>
      </c>
      <c r="D4995" s="27" t="s">
        <v>1450</v>
      </c>
      <c r="F4995" s="27" t="s">
        <v>1453</v>
      </c>
      <c r="H4995" s="27" t="s">
        <v>1454</v>
      </c>
      <c r="M4995" s="27" t="s">
        <v>6477</v>
      </c>
      <c r="N4995" s="27" t="s">
        <v>6486</v>
      </c>
      <c r="P4995" s="27" t="s">
        <v>6503</v>
      </c>
      <c r="Q4995" s="26" t="str">
        <f>HYPERLINK("https://ictv.global/taxonomy/taxondetails?taxnode_id=202512750&amp;ictv_id=ICTV202112750","ICTV202112750")</f>
        <v>ICTV202112750</v>
      </c>
      <c r="R4995" t="s">
        <v>579</v>
      </c>
      <c r="S4995" t="s">
        <v>823</v>
      </c>
      <c r="T4995">
        <v>37</v>
      </c>
      <c r="U4995" s="26" t="str">
        <f t="shared" si="192"/>
        <v>2021.091B.R.Weiservirinae.zip</v>
      </c>
    </row>
    <row r="4996" spans="1:21">
      <c r="A4996">
        <v>4995</v>
      </c>
      <c r="B4996" s="27" t="s">
        <v>1449</v>
      </c>
      <c r="D4996" s="27" t="s">
        <v>1450</v>
      </c>
      <c r="F4996" s="27" t="s">
        <v>1453</v>
      </c>
      <c r="H4996" s="27" t="s">
        <v>1454</v>
      </c>
      <c r="M4996" s="27" t="s">
        <v>6477</v>
      </c>
      <c r="N4996" s="27" t="s">
        <v>6486</v>
      </c>
      <c r="P4996" s="27" t="s">
        <v>6504</v>
      </c>
      <c r="Q4996" s="26" t="str">
        <f>HYPERLINK("https://ictv.global/taxonomy/taxondetails?taxnode_id=202512751&amp;ictv_id=ICTV202112751","ICTV202112751")</f>
        <v>ICTV202112751</v>
      </c>
      <c r="R4996" t="s">
        <v>579</v>
      </c>
      <c r="S4996" t="s">
        <v>823</v>
      </c>
      <c r="T4996">
        <v>37</v>
      </c>
      <c r="U4996" s="26" t="str">
        <f t="shared" si="192"/>
        <v>2021.091B.R.Weiservirinae.zip</v>
      </c>
    </row>
    <row r="4997" spans="1:21">
      <c r="A4997">
        <v>4996</v>
      </c>
      <c r="B4997" s="27" t="s">
        <v>1449</v>
      </c>
      <c r="D4997" s="27" t="s">
        <v>1450</v>
      </c>
      <c r="F4997" s="27" t="s">
        <v>1453</v>
      </c>
      <c r="H4997" s="27" t="s">
        <v>1454</v>
      </c>
      <c r="M4997" s="27" t="s">
        <v>6477</v>
      </c>
      <c r="N4997" s="27" t="s">
        <v>6486</v>
      </c>
      <c r="P4997" s="27" t="s">
        <v>6505</v>
      </c>
      <c r="Q4997" s="26" t="str">
        <f>HYPERLINK("https://ictv.global/taxonomy/taxondetails?taxnode_id=202512752&amp;ictv_id=ICTV202112752","ICTV202112752")</f>
        <v>ICTV202112752</v>
      </c>
      <c r="R4997" t="s">
        <v>579</v>
      </c>
      <c r="S4997" t="s">
        <v>823</v>
      </c>
      <c r="T4997">
        <v>37</v>
      </c>
      <c r="U4997" s="26" t="str">
        <f t="shared" si="192"/>
        <v>2021.091B.R.Weiservirinae.zip</v>
      </c>
    </row>
    <row r="4998" spans="1:21">
      <c r="A4998">
        <v>4997</v>
      </c>
      <c r="B4998" s="27" t="s">
        <v>1449</v>
      </c>
      <c r="D4998" s="27" t="s">
        <v>1450</v>
      </c>
      <c r="F4998" s="27" t="s">
        <v>1453</v>
      </c>
      <c r="H4998" s="27" t="s">
        <v>1454</v>
      </c>
      <c r="M4998" s="27" t="s">
        <v>6477</v>
      </c>
      <c r="N4998" s="27" t="s">
        <v>6486</v>
      </c>
      <c r="P4998" s="27" t="s">
        <v>6506</v>
      </c>
      <c r="Q4998" s="26" t="str">
        <f>HYPERLINK("https://ictv.global/taxonomy/taxondetails?taxnode_id=202512753&amp;ictv_id=ICTV202112753","ICTV202112753")</f>
        <v>ICTV202112753</v>
      </c>
      <c r="R4998" t="s">
        <v>579</v>
      </c>
      <c r="S4998" t="s">
        <v>823</v>
      </c>
      <c r="T4998">
        <v>37</v>
      </c>
      <c r="U4998" s="26" t="str">
        <f t="shared" si="192"/>
        <v>2021.091B.R.Weiservirinae.zip</v>
      </c>
    </row>
    <row r="4999" spans="1:21">
      <c r="A4999">
        <v>4998</v>
      </c>
      <c r="B4999" s="27" t="s">
        <v>1449</v>
      </c>
      <c r="D4999" s="27" t="s">
        <v>1450</v>
      </c>
      <c r="F4999" s="27" t="s">
        <v>1453</v>
      </c>
      <c r="H4999" s="27" t="s">
        <v>1454</v>
      </c>
      <c r="M4999" s="27" t="s">
        <v>6477</v>
      </c>
      <c r="N4999" s="27" t="s">
        <v>6486</v>
      </c>
      <c r="P4999" s="27" t="s">
        <v>6507</v>
      </c>
      <c r="Q4999" s="26" t="str">
        <f>HYPERLINK("https://ictv.global/taxonomy/taxondetails?taxnode_id=202512754&amp;ictv_id=ICTV202112754","ICTV202112754")</f>
        <v>ICTV202112754</v>
      </c>
      <c r="R4999" t="s">
        <v>579</v>
      </c>
      <c r="S4999" t="s">
        <v>823</v>
      </c>
      <c r="T4999">
        <v>37</v>
      </c>
      <c r="U4999" s="26" t="str">
        <f t="shared" si="192"/>
        <v>2021.091B.R.Weiservirinae.zip</v>
      </c>
    </row>
    <row r="5000" spans="1:21">
      <c r="A5000">
        <v>4999</v>
      </c>
      <c r="B5000" s="27" t="s">
        <v>1449</v>
      </c>
      <c r="D5000" s="27" t="s">
        <v>1450</v>
      </c>
      <c r="F5000" s="27" t="s">
        <v>1453</v>
      </c>
      <c r="H5000" s="27" t="s">
        <v>1454</v>
      </c>
      <c r="M5000" s="27" t="s">
        <v>6477</v>
      </c>
      <c r="N5000" s="27" t="s">
        <v>6486</v>
      </c>
      <c r="P5000" s="27" t="s">
        <v>6508</v>
      </c>
      <c r="Q5000" s="26" t="str">
        <f>HYPERLINK("https://ictv.global/taxonomy/taxondetails?taxnode_id=202512755&amp;ictv_id=ICTV202112755","ICTV202112755")</f>
        <v>ICTV202112755</v>
      </c>
      <c r="R5000" t="s">
        <v>579</v>
      </c>
      <c r="S5000" t="s">
        <v>823</v>
      </c>
      <c r="T5000">
        <v>37</v>
      </c>
      <c r="U5000" s="26" t="str">
        <f t="shared" si="192"/>
        <v>2021.091B.R.Weiservirinae.zip</v>
      </c>
    </row>
    <row r="5001" spans="1:21">
      <c r="A5001">
        <v>5000</v>
      </c>
      <c r="B5001" s="27" t="s">
        <v>1449</v>
      </c>
      <c r="D5001" s="27" t="s">
        <v>1450</v>
      </c>
      <c r="F5001" s="27" t="s">
        <v>1453</v>
      </c>
      <c r="H5001" s="27" t="s">
        <v>1454</v>
      </c>
      <c r="M5001" s="27" t="s">
        <v>6477</v>
      </c>
      <c r="N5001" s="27" t="s">
        <v>6486</v>
      </c>
      <c r="P5001" s="27" t="s">
        <v>6509</v>
      </c>
      <c r="Q5001" s="26" t="str">
        <f>HYPERLINK("https://ictv.global/taxonomy/taxondetails?taxnode_id=202512756&amp;ictv_id=ICTV202112756","ICTV202112756")</f>
        <v>ICTV202112756</v>
      </c>
      <c r="R5001" t="s">
        <v>579</v>
      </c>
      <c r="S5001" t="s">
        <v>823</v>
      </c>
      <c r="T5001">
        <v>37</v>
      </c>
      <c r="U5001" s="26" t="str">
        <f t="shared" si="192"/>
        <v>2021.091B.R.Weiservirinae.zip</v>
      </c>
    </row>
    <row r="5002" spans="1:21">
      <c r="A5002">
        <v>5001</v>
      </c>
      <c r="B5002" s="27" t="s">
        <v>1449</v>
      </c>
      <c r="D5002" s="27" t="s">
        <v>1450</v>
      </c>
      <c r="F5002" s="27" t="s">
        <v>1453</v>
      </c>
      <c r="H5002" s="27" t="s">
        <v>1454</v>
      </c>
      <c r="M5002" s="27" t="s">
        <v>6477</v>
      </c>
      <c r="N5002" s="27" t="s">
        <v>6486</v>
      </c>
      <c r="P5002" s="27" t="s">
        <v>6510</v>
      </c>
      <c r="Q5002" s="26" t="str">
        <f>HYPERLINK("https://ictv.global/taxonomy/taxondetails?taxnode_id=202512757&amp;ictv_id=ICTV202112757","ICTV202112757")</f>
        <v>ICTV202112757</v>
      </c>
      <c r="R5002" t="s">
        <v>579</v>
      </c>
      <c r="S5002" t="s">
        <v>823</v>
      </c>
      <c r="T5002">
        <v>37</v>
      </c>
      <c r="U5002" s="26" t="str">
        <f t="shared" si="192"/>
        <v>2021.091B.R.Weiservirinae.zip</v>
      </c>
    </row>
    <row r="5003" spans="1:21">
      <c r="A5003">
        <v>5002</v>
      </c>
      <c r="B5003" s="27" t="s">
        <v>1449</v>
      </c>
      <c r="D5003" s="27" t="s">
        <v>1450</v>
      </c>
      <c r="F5003" s="27" t="s">
        <v>1453</v>
      </c>
      <c r="H5003" s="27" t="s">
        <v>1454</v>
      </c>
      <c r="M5003" s="27" t="s">
        <v>6477</v>
      </c>
      <c r="N5003" s="27" t="s">
        <v>6486</v>
      </c>
      <c r="P5003" s="27" t="s">
        <v>6511</v>
      </c>
      <c r="Q5003" s="26" t="str">
        <f>HYPERLINK("https://ictv.global/taxonomy/taxondetails?taxnode_id=202512758&amp;ictv_id=ICTV202112758","ICTV202112758")</f>
        <v>ICTV202112758</v>
      </c>
      <c r="R5003" t="s">
        <v>579</v>
      </c>
      <c r="S5003" t="s">
        <v>823</v>
      </c>
      <c r="T5003">
        <v>37</v>
      </c>
      <c r="U5003" s="26" t="str">
        <f t="shared" si="192"/>
        <v>2021.091B.R.Weiservirinae.zip</v>
      </c>
    </row>
    <row r="5004" spans="1:21">
      <c r="A5004">
        <v>5003</v>
      </c>
      <c r="B5004" s="27" t="s">
        <v>1449</v>
      </c>
      <c r="D5004" s="27" t="s">
        <v>1450</v>
      </c>
      <c r="F5004" s="27" t="s">
        <v>1453</v>
      </c>
      <c r="H5004" s="27" t="s">
        <v>1454</v>
      </c>
      <c r="M5004" s="27" t="s">
        <v>6477</v>
      </c>
      <c r="N5004" s="27" t="s">
        <v>6486</v>
      </c>
      <c r="P5004" s="27" t="s">
        <v>6512</v>
      </c>
      <c r="Q5004" s="26" t="str">
        <f>HYPERLINK("https://ictv.global/taxonomy/taxondetails?taxnode_id=202512759&amp;ictv_id=ICTV202112759","ICTV202112759")</f>
        <v>ICTV202112759</v>
      </c>
      <c r="R5004" t="s">
        <v>579</v>
      </c>
      <c r="S5004" t="s">
        <v>823</v>
      </c>
      <c r="T5004">
        <v>37</v>
      </c>
      <c r="U5004" s="26" t="str">
        <f t="shared" si="192"/>
        <v>2021.091B.R.Weiservirinae.zip</v>
      </c>
    </row>
    <row r="5005" spans="1:21">
      <c r="A5005">
        <v>5004</v>
      </c>
      <c r="B5005" s="27" t="s">
        <v>1449</v>
      </c>
      <c r="D5005" s="27" t="s">
        <v>1450</v>
      </c>
      <c r="F5005" s="27" t="s">
        <v>1453</v>
      </c>
      <c r="H5005" s="27" t="s">
        <v>1454</v>
      </c>
      <c r="M5005" s="27" t="s">
        <v>6477</v>
      </c>
      <c r="N5005" s="27" t="s">
        <v>6486</v>
      </c>
      <c r="P5005" s="27" t="s">
        <v>6513</v>
      </c>
      <c r="Q5005" s="26" t="str">
        <f>HYPERLINK("https://ictv.global/taxonomy/taxondetails?taxnode_id=202512760&amp;ictv_id=ICTV202112760","ICTV202112760")</f>
        <v>ICTV202112760</v>
      </c>
      <c r="R5005" t="s">
        <v>579</v>
      </c>
      <c r="S5005" t="s">
        <v>823</v>
      </c>
      <c r="T5005">
        <v>37</v>
      </c>
      <c r="U5005" s="26" t="str">
        <f t="shared" ref="U5005:U5027" si="193">HYPERLINK("https://ictv.global/ictv/proposals/2021.091B.R.Weiservirinae.zip","2021.091B.R.Weiservirinae.zip")</f>
        <v>2021.091B.R.Weiservirinae.zip</v>
      </c>
    </row>
    <row r="5006" spans="1:21">
      <c r="A5006">
        <v>5005</v>
      </c>
      <c r="B5006" s="27" t="s">
        <v>1449</v>
      </c>
      <c r="D5006" s="27" t="s">
        <v>1450</v>
      </c>
      <c r="F5006" s="27" t="s">
        <v>1453</v>
      </c>
      <c r="H5006" s="27" t="s">
        <v>1454</v>
      </c>
      <c r="M5006" s="27" t="s">
        <v>6477</v>
      </c>
      <c r="N5006" s="27" t="s">
        <v>6486</v>
      </c>
      <c r="P5006" s="27" t="s">
        <v>6514</v>
      </c>
      <c r="Q5006" s="26" t="str">
        <f>HYPERLINK("https://ictv.global/taxonomy/taxondetails?taxnode_id=202512761&amp;ictv_id=ICTV202112761","ICTV202112761")</f>
        <v>ICTV202112761</v>
      </c>
      <c r="R5006" t="s">
        <v>579</v>
      </c>
      <c r="S5006" t="s">
        <v>823</v>
      </c>
      <c r="T5006">
        <v>37</v>
      </c>
      <c r="U5006" s="26" t="str">
        <f t="shared" si="193"/>
        <v>2021.091B.R.Weiservirinae.zip</v>
      </c>
    </row>
    <row r="5007" spans="1:21">
      <c r="A5007">
        <v>5006</v>
      </c>
      <c r="B5007" s="27" t="s">
        <v>1449</v>
      </c>
      <c r="D5007" s="27" t="s">
        <v>1450</v>
      </c>
      <c r="F5007" s="27" t="s">
        <v>1453</v>
      </c>
      <c r="H5007" s="27" t="s">
        <v>1454</v>
      </c>
      <c r="M5007" s="27" t="s">
        <v>6477</v>
      </c>
      <c r="N5007" s="27" t="s">
        <v>6515</v>
      </c>
      <c r="P5007" s="27" t="s">
        <v>6516</v>
      </c>
      <c r="Q5007" s="26" t="str">
        <f>HYPERLINK("https://ictv.global/taxonomy/taxondetails?taxnode_id=202512706&amp;ictv_id=ICTV202112706","ICTV202112706")</f>
        <v>ICTV202112706</v>
      </c>
      <c r="R5007" t="s">
        <v>579</v>
      </c>
      <c r="S5007" t="s">
        <v>823</v>
      </c>
      <c r="T5007">
        <v>37</v>
      </c>
      <c r="U5007" s="26" t="str">
        <f t="shared" si="193"/>
        <v>2021.091B.R.Weiservirinae.zip</v>
      </c>
    </row>
    <row r="5008" spans="1:21">
      <c r="A5008">
        <v>5007</v>
      </c>
      <c r="B5008" s="27" t="s">
        <v>1449</v>
      </c>
      <c r="D5008" s="27" t="s">
        <v>1450</v>
      </c>
      <c r="F5008" s="27" t="s">
        <v>1453</v>
      </c>
      <c r="H5008" s="27" t="s">
        <v>1454</v>
      </c>
      <c r="M5008" s="27" t="s">
        <v>6477</v>
      </c>
      <c r="N5008" s="27" t="s">
        <v>6515</v>
      </c>
      <c r="P5008" s="27" t="s">
        <v>6517</v>
      </c>
      <c r="Q5008" s="26" t="str">
        <f>HYPERLINK("https://ictv.global/taxonomy/taxondetails?taxnode_id=202512704&amp;ictv_id=ICTV202112704","ICTV202112704")</f>
        <v>ICTV202112704</v>
      </c>
      <c r="R5008" t="s">
        <v>579</v>
      </c>
      <c r="S5008" t="s">
        <v>823</v>
      </c>
      <c r="T5008">
        <v>37</v>
      </c>
      <c r="U5008" s="26" t="str">
        <f t="shared" si="193"/>
        <v>2021.091B.R.Weiservirinae.zip</v>
      </c>
    </row>
    <row r="5009" spans="1:21">
      <c r="A5009">
        <v>5008</v>
      </c>
      <c r="B5009" s="27" t="s">
        <v>1449</v>
      </c>
      <c r="D5009" s="27" t="s">
        <v>1450</v>
      </c>
      <c r="F5009" s="27" t="s">
        <v>1453</v>
      </c>
      <c r="H5009" s="27" t="s">
        <v>1454</v>
      </c>
      <c r="M5009" s="27" t="s">
        <v>6477</v>
      </c>
      <c r="N5009" s="27" t="s">
        <v>6515</v>
      </c>
      <c r="P5009" s="27" t="s">
        <v>6518</v>
      </c>
      <c r="Q5009" s="26" t="str">
        <f>HYPERLINK("https://ictv.global/taxonomy/taxondetails?taxnode_id=202512705&amp;ictv_id=ICTV202112705","ICTV202112705")</f>
        <v>ICTV202112705</v>
      </c>
      <c r="R5009" t="s">
        <v>579</v>
      </c>
      <c r="S5009" t="s">
        <v>823</v>
      </c>
      <c r="T5009">
        <v>37</v>
      </c>
      <c r="U5009" s="26" t="str">
        <f t="shared" si="193"/>
        <v>2021.091B.R.Weiservirinae.zip</v>
      </c>
    </row>
    <row r="5010" spans="1:21">
      <c r="A5010">
        <v>5009</v>
      </c>
      <c r="B5010" s="27" t="s">
        <v>1449</v>
      </c>
      <c r="D5010" s="27" t="s">
        <v>1450</v>
      </c>
      <c r="F5010" s="27" t="s">
        <v>1453</v>
      </c>
      <c r="H5010" s="27" t="s">
        <v>1454</v>
      </c>
      <c r="M5010" s="27" t="s">
        <v>6477</v>
      </c>
      <c r="N5010" s="27" t="s">
        <v>6515</v>
      </c>
      <c r="P5010" s="27" t="s">
        <v>6519</v>
      </c>
      <c r="Q5010" s="26" t="str">
        <f>HYPERLINK("https://ictv.global/taxonomy/taxondetails?taxnode_id=202512708&amp;ictv_id=ICTV202112708","ICTV202112708")</f>
        <v>ICTV202112708</v>
      </c>
      <c r="R5010" t="s">
        <v>579</v>
      </c>
      <c r="S5010" t="s">
        <v>823</v>
      </c>
      <c r="T5010">
        <v>37</v>
      </c>
      <c r="U5010" s="26" t="str">
        <f t="shared" si="193"/>
        <v>2021.091B.R.Weiservirinae.zip</v>
      </c>
    </row>
    <row r="5011" spans="1:21">
      <c r="A5011">
        <v>5010</v>
      </c>
      <c r="B5011" s="27" t="s">
        <v>1449</v>
      </c>
      <c r="D5011" s="27" t="s">
        <v>1450</v>
      </c>
      <c r="F5011" s="27" t="s">
        <v>1453</v>
      </c>
      <c r="H5011" s="27" t="s">
        <v>1454</v>
      </c>
      <c r="M5011" s="27" t="s">
        <v>6477</v>
      </c>
      <c r="N5011" s="27" t="s">
        <v>6515</v>
      </c>
      <c r="P5011" s="27" t="s">
        <v>6520</v>
      </c>
      <c r="Q5011" s="26" t="str">
        <f>HYPERLINK("https://ictv.global/taxonomy/taxondetails?taxnode_id=202512707&amp;ictv_id=ICTV202112707","ICTV202112707")</f>
        <v>ICTV202112707</v>
      </c>
      <c r="R5011" t="s">
        <v>579</v>
      </c>
      <c r="S5011" t="s">
        <v>823</v>
      </c>
      <c r="T5011">
        <v>37</v>
      </c>
      <c r="U5011" s="26" t="str">
        <f t="shared" si="193"/>
        <v>2021.091B.R.Weiservirinae.zip</v>
      </c>
    </row>
    <row r="5012" spans="1:21">
      <c r="A5012">
        <v>5011</v>
      </c>
      <c r="B5012" s="27" t="s">
        <v>1449</v>
      </c>
      <c r="D5012" s="27" t="s">
        <v>1450</v>
      </c>
      <c r="F5012" s="27" t="s">
        <v>1453</v>
      </c>
      <c r="H5012" s="27" t="s">
        <v>1454</v>
      </c>
      <c r="M5012" s="27" t="s">
        <v>6477</v>
      </c>
      <c r="N5012" s="27" t="s">
        <v>6521</v>
      </c>
      <c r="P5012" s="27" t="s">
        <v>6522</v>
      </c>
      <c r="Q5012" s="26" t="str">
        <f>HYPERLINK("https://ictv.global/taxonomy/taxondetails?taxnode_id=202512729&amp;ictv_id=ICTV202112729","ICTV202112729")</f>
        <v>ICTV202112729</v>
      </c>
      <c r="R5012" t="s">
        <v>579</v>
      </c>
      <c r="S5012" t="s">
        <v>823</v>
      </c>
      <c r="T5012">
        <v>37</v>
      </c>
      <c r="U5012" s="26" t="str">
        <f t="shared" si="193"/>
        <v>2021.091B.R.Weiservirinae.zip</v>
      </c>
    </row>
    <row r="5013" spans="1:21">
      <c r="A5013">
        <v>5012</v>
      </c>
      <c r="B5013" s="27" t="s">
        <v>1449</v>
      </c>
      <c r="D5013" s="27" t="s">
        <v>1450</v>
      </c>
      <c r="F5013" s="27" t="s">
        <v>1453</v>
      </c>
      <c r="H5013" s="27" t="s">
        <v>1454</v>
      </c>
      <c r="M5013" s="27" t="s">
        <v>6477</v>
      </c>
      <c r="N5013" s="27" t="s">
        <v>6521</v>
      </c>
      <c r="P5013" s="27" t="s">
        <v>6523</v>
      </c>
      <c r="Q5013" s="26" t="str">
        <f>HYPERLINK("https://ictv.global/taxonomy/taxondetails?taxnode_id=202512728&amp;ictv_id=ICTV202112728","ICTV202112728")</f>
        <v>ICTV202112728</v>
      </c>
      <c r="R5013" t="s">
        <v>579</v>
      </c>
      <c r="S5013" t="s">
        <v>823</v>
      </c>
      <c r="T5013">
        <v>37</v>
      </c>
      <c r="U5013" s="26" t="str">
        <f t="shared" si="193"/>
        <v>2021.091B.R.Weiservirinae.zip</v>
      </c>
    </row>
    <row r="5014" spans="1:21">
      <c r="A5014">
        <v>5013</v>
      </c>
      <c r="B5014" s="27" t="s">
        <v>1449</v>
      </c>
      <c r="D5014" s="27" t="s">
        <v>1450</v>
      </c>
      <c r="F5014" s="27" t="s">
        <v>1453</v>
      </c>
      <c r="H5014" s="27" t="s">
        <v>1454</v>
      </c>
      <c r="M5014" s="27" t="s">
        <v>6477</v>
      </c>
      <c r="N5014" s="27" t="s">
        <v>6521</v>
      </c>
      <c r="P5014" s="27" t="s">
        <v>6524</v>
      </c>
      <c r="Q5014" s="26" t="str">
        <f>HYPERLINK("https://ictv.global/taxonomy/taxondetails?taxnode_id=202501349&amp;ictv_id=ICTV20140419","ICTV20140419")</f>
        <v>ICTV20140419</v>
      </c>
      <c r="R5014" t="s">
        <v>579</v>
      </c>
      <c r="S5014" t="s">
        <v>22764</v>
      </c>
      <c r="T5014">
        <v>37</v>
      </c>
      <c r="U5014" s="26" t="str">
        <f t="shared" si="193"/>
        <v>2021.091B.R.Weiservirinae.zip</v>
      </c>
    </row>
    <row r="5015" spans="1:21">
      <c r="A5015">
        <v>5014</v>
      </c>
      <c r="B5015" s="27" t="s">
        <v>1449</v>
      </c>
      <c r="D5015" s="27" t="s">
        <v>1450</v>
      </c>
      <c r="F5015" s="27" t="s">
        <v>1453</v>
      </c>
      <c r="H5015" s="27" t="s">
        <v>1454</v>
      </c>
      <c r="M5015" s="27" t="s">
        <v>6477</v>
      </c>
      <c r="N5015" s="27" t="s">
        <v>6521</v>
      </c>
      <c r="P5015" s="27" t="s">
        <v>6525</v>
      </c>
      <c r="Q5015" s="26" t="str">
        <f>HYPERLINK("https://ictv.global/taxonomy/taxondetails?taxnode_id=202501350&amp;ictv_id=ICTV20140418","ICTV20140418")</f>
        <v>ICTV20140418</v>
      </c>
      <c r="R5015" t="s">
        <v>579</v>
      </c>
      <c r="S5015" t="s">
        <v>22764</v>
      </c>
      <c r="T5015">
        <v>37</v>
      </c>
      <c r="U5015" s="26" t="str">
        <f t="shared" si="193"/>
        <v>2021.091B.R.Weiservirinae.zip</v>
      </c>
    </row>
    <row r="5016" spans="1:21">
      <c r="A5016">
        <v>5015</v>
      </c>
      <c r="B5016" s="27" t="s">
        <v>1449</v>
      </c>
      <c r="D5016" s="27" t="s">
        <v>1450</v>
      </c>
      <c r="F5016" s="27" t="s">
        <v>1453</v>
      </c>
      <c r="H5016" s="27" t="s">
        <v>1454</v>
      </c>
      <c r="M5016" s="27" t="s">
        <v>6477</v>
      </c>
      <c r="N5016" s="27" t="s">
        <v>6521</v>
      </c>
      <c r="P5016" s="27" t="s">
        <v>6526</v>
      </c>
      <c r="Q5016" s="26" t="str">
        <f>HYPERLINK("https://ictv.global/taxonomy/taxondetails?taxnode_id=202512730&amp;ictv_id=ICTV202112730","ICTV202112730")</f>
        <v>ICTV202112730</v>
      </c>
      <c r="R5016" t="s">
        <v>579</v>
      </c>
      <c r="S5016" t="s">
        <v>823</v>
      </c>
      <c r="T5016">
        <v>37</v>
      </c>
      <c r="U5016" s="26" t="str">
        <f t="shared" si="193"/>
        <v>2021.091B.R.Weiservirinae.zip</v>
      </c>
    </row>
    <row r="5017" spans="1:21">
      <c r="A5017">
        <v>5016</v>
      </c>
      <c r="B5017" s="27" t="s">
        <v>1449</v>
      </c>
      <c r="D5017" s="27" t="s">
        <v>1450</v>
      </c>
      <c r="F5017" s="27" t="s">
        <v>1453</v>
      </c>
      <c r="H5017" s="27" t="s">
        <v>1454</v>
      </c>
      <c r="M5017" s="27" t="s">
        <v>6477</v>
      </c>
      <c r="N5017" s="27" t="s">
        <v>6527</v>
      </c>
      <c r="P5017" s="27" t="s">
        <v>6528</v>
      </c>
      <c r="Q5017" s="26" t="str">
        <f>HYPERLINK("https://ictv.global/taxonomy/taxondetails?taxnode_id=202512711&amp;ictv_id=ICTV202112711","ICTV202112711")</f>
        <v>ICTV202112711</v>
      </c>
      <c r="R5017" t="s">
        <v>579</v>
      </c>
      <c r="S5017" t="s">
        <v>823</v>
      </c>
      <c r="T5017">
        <v>37</v>
      </c>
      <c r="U5017" s="26" t="str">
        <f t="shared" si="193"/>
        <v>2021.091B.R.Weiservirinae.zip</v>
      </c>
    </row>
    <row r="5018" spans="1:21">
      <c r="A5018">
        <v>5017</v>
      </c>
      <c r="B5018" s="27" t="s">
        <v>1449</v>
      </c>
      <c r="D5018" s="27" t="s">
        <v>1450</v>
      </c>
      <c r="F5018" s="27" t="s">
        <v>1453</v>
      </c>
      <c r="H5018" s="27" t="s">
        <v>1454</v>
      </c>
      <c r="M5018" s="27" t="s">
        <v>6477</v>
      </c>
      <c r="N5018" s="27" t="s">
        <v>6527</v>
      </c>
      <c r="P5018" s="27" t="s">
        <v>6529</v>
      </c>
      <c r="Q5018" s="26" t="str">
        <f>HYPERLINK("https://ictv.global/taxonomy/taxondetails?taxnode_id=202512712&amp;ictv_id=ICTV202112712","ICTV202112712")</f>
        <v>ICTV202112712</v>
      </c>
      <c r="R5018" t="s">
        <v>579</v>
      </c>
      <c r="S5018" t="s">
        <v>823</v>
      </c>
      <c r="T5018">
        <v>37</v>
      </c>
      <c r="U5018" s="26" t="str">
        <f t="shared" si="193"/>
        <v>2021.091B.R.Weiservirinae.zip</v>
      </c>
    </row>
    <row r="5019" spans="1:21">
      <c r="A5019">
        <v>5018</v>
      </c>
      <c r="B5019" s="27" t="s">
        <v>1449</v>
      </c>
      <c r="D5019" s="27" t="s">
        <v>1450</v>
      </c>
      <c r="F5019" s="27" t="s">
        <v>1453</v>
      </c>
      <c r="H5019" s="27" t="s">
        <v>1454</v>
      </c>
      <c r="M5019" s="27" t="s">
        <v>6477</v>
      </c>
      <c r="N5019" s="27" t="s">
        <v>6527</v>
      </c>
      <c r="P5019" s="27" t="s">
        <v>6530</v>
      </c>
      <c r="Q5019" s="26" t="str">
        <f>HYPERLINK("https://ictv.global/taxonomy/taxondetails?taxnode_id=202512710&amp;ictv_id=ICTV202112710","ICTV202112710")</f>
        <v>ICTV202112710</v>
      </c>
      <c r="R5019" t="s">
        <v>579</v>
      </c>
      <c r="S5019" t="s">
        <v>823</v>
      </c>
      <c r="T5019">
        <v>37</v>
      </c>
      <c r="U5019" s="26" t="str">
        <f t="shared" si="193"/>
        <v>2021.091B.R.Weiservirinae.zip</v>
      </c>
    </row>
    <row r="5020" spans="1:21">
      <c r="A5020">
        <v>5019</v>
      </c>
      <c r="B5020" s="27" t="s">
        <v>1449</v>
      </c>
      <c r="D5020" s="27" t="s">
        <v>1450</v>
      </c>
      <c r="F5020" s="27" t="s">
        <v>1453</v>
      </c>
      <c r="H5020" s="27" t="s">
        <v>1454</v>
      </c>
      <c r="M5020" s="27" t="s">
        <v>6477</v>
      </c>
      <c r="N5020" s="27" t="s">
        <v>6527</v>
      </c>
      <c r="P5020" s="27" t="s">
        <v>6531</v>
      </c>
      <c r="Q5020" s="26" t="str">
        <f>HYPERLINK("https://ictv.global/taxonomy/taxondetails?taxnode_id=202501348&amp;ictv_id=ICTV20140420","ICTV20140420")</f>
        <v>ICTV20140420</v>
      </c>
      <c r="R5020" t="s">
        <v>579</v>
      </c>
      <c r="S5020" t="s">
        <v>22764</v>
      </c>
      <c r="T5020">
        <v>37</v>
      </c>
      <c r="U5020" s="26" t="str">
        <f t="shared" si="193"/>
        <v>2021.091B.R.Weiservirinae.zip</v>
      </c>
    </row>
    <row r="5021" spans="1:21">
      <c r="A5021">
        <v>5020</v>
      </c>
      <c r="B5021" s="27" t="s">
        <v>1449</v>
      </c>
      <c r="D5021" s="27" t="s">
        <v>1450</v>
      </c>
      <c r="F5021" s="27" t="s">
        <v>1453</v>
      </c>
      <c r="H5021" s="27" t="s">
        <v>1454</v>
      </c>
      <c r="M5021" s="27" t="s">
        <v>6477</v>
      </c>
      <c r="N5021" s="27" t="s">
        <v>6527</v>
      </c>
      <c r="P5021" s="27" t="s">
        <v>6532</v>
      </c>
      <c r="Q5021" s="26" t="str">
        <f>HYPERLINK("https://ictv.global/taxonomy/taxondetails?taxnode_id=202512713&amp;ictv_id=ICTV202112713","ICTV202112713")</f>
        <v>ICTV202112713</v>
      </c>
      <c r="R5021" t="s">
        <v>579</v>
      </c>
      <c r="S5021" t="s">
        <v>823</v>
      </c>
      <c r="T5021">
        <v>37</v>
      </c>
      <c r="U5021" s="26" t="str">
        <f t="shared" si="193"/>
        <v>2021.091B.R.Weiservirinae.zip</v>
      </c>
    </row>
    <row r="5022" spans="1:21">
      <c r="A5022">
        <v>5021</v>
      </c>
      <c r="B5022" s="27" t="s">
        <v>1449</v>
      </c>
      <c r="D5022" s="27" t="s">
        <v>1450</v>
      </c>
      <c r="F5022" s="27" t="s">
        <v>1453</v>
      </c>
      <c r="H5022" s="27" t="s">
        <v>1454</v>
      </c>
      <c r="M5022" s="27" t="s">
        <v>6477</v>
      </c>
      <c r="N5022" s="27" t="s">
        <v>6527</v>
      </c>
      <c r="P5022" s="27" t="s">
        <v>6533</v>
      </c>
      <c r="Q5022" s="26" t="str">
        <f>HYPERLINK("https://ictv.global/taxonomy/taxondetails?taxnode_id=202512714&amp;ictv_id=ICTV202112714","ICTV202112714")</f>
        <v>ICTV202112714</v>
      </c>
      <c r="R5022" t="s">
        <v>579</v>
      </c>
      <c r="S5022" t="s">
        <v>823</v>
      </c>
      <c r="T5022">
        <v>37</v>
      </c>
      <c r="U5022" s="26" t="str">
        <f t="shared" si="193"/>
        <v>2021.091B.R.Weiservirinae.zip</v>
      </c>
    </row>
    <row r="5023" spans="1:21">
      <c r="A5023">
        <v>5022</v>
      </c>
      <c r="B5023" s="27" t="s">
        <v>1449</v>
      </c>
      <c r="D5023" s="27" t="s">
        <v>1450</v>
      </c>
      <c r="F5023" s="27" t="s">
        <v>1453</v>
      </c>
      <c r="H5023" s="27" t="s">
        <v>1454</v>
      </c>
      <c r="M5023" s="27" t="s">
        <v>6477</v>
      </c>
      <c r="N5023" s="27" t="s">
        <v>6527</v>
      </c>
      <c r="P5023" s="27" t="s">
        <v>6534</v>
      </c>
      <c r="Q5023" s="26" t="str">
        <f>HYPERLINK("https://ictv.global/taxonomy/taxondetails?taxnode_id=202512715&amp;ictv_id=ICTV202112715","ICTV202112715")</f>
        <v>ICTV202112715</v>
      </c>
      <c r="R5023" t="s">
        <v>579</v>
      </c>
      <c r="S5023" t="s">
        <v>823</v>
      </c>
      <c r="T5023">
        <v>37</v>
      </c>
      <c r="U5023" s="26" t="str">
        <f t="shared" si="193"/>
        <v>2021.091B.R.Weiservirinae.zip</v>
      </c>
    </row>
    <row r="5024" spans="1:21">
      <c r="A5024">
        <v>5023</v>
      </c>
      <c r="B5024" s="27" t="s">
        <v>1449</v>
      </c>
      <c r="D5024" s="27" t="s">
        <v>1450</v>
      </c>
      <c r="F5024" s="27" t="s">
        <v>1453</v>
      </c>
      <c r="H5024" s="27" t="s">
        <v>1454</v>
      </c>
      <c r="M5024" s="27" t="s">
        <v>6477</v>
      </c>
      <c r="N5024" s="27" t="s">
        <v>6527</v>
      </c>
      <c r="P5024" s="27" t="s">
        <v>6535</v>
      </c>
      <c r="Q5024" s="26" t="str">
        <f>HYPERLINK("https://ictv.global/taxonomy/taxondetails?taxnode_id=202512716&amp;ictv_id=ICTV202112716","ICTV202112716")</f>
        <v>ICTV202112716</v>
      </c>
      <c r="R5024" t="s">
        <v>579</v>
      </c>
      <c r="S5024" t="s">
        <v>823</v>
      </c>
      <c r="T5024">
        <v>37</v>
      </c>
      <c r="U5024" s="26" t="str">
        <f t="shared" si="193"/>
        <v>2021.091B.R.Weiservirinae.zip</v>
      </c>
    </row>
    <row r="5025" spans="1:21">
      <c r="A5025">
        <v>5024</v>
      </c>
      <c r="B5025" s="27" t="s">
        <v>1449</v>
      </c>
      <c r="D5025" s="27" t="s">
        <v>1450</v>
      </c>
      <c r="F5025" s="27" t="s">
        <v>1453</v>
      </c>
      <c r="H5025" s="27" t="s">
        <v>1454</v>
      </c>
      <c r="M5025" s="27" t="s">
        <v>6477</v>
      </c>
      <c r="N5025" s="27" t="s">
        <v>6527</v>
      </c>
      <c r="P5025" s="27" t="s">
        <v>6536</v>
      </c>
      <c r="Q5025" s="26" t="str">
        <f>HYPERLINK("https://ictv.global/taxonomy/taxondetails?taxnode_id=202512717&amp;ictv_id=ICTV202112717","ICTV202112717")</f>
        <v>ICTV202112717</v>
      </c>
      <c r="R5025" t="s">
        <v>579</v>
      </c>
      <c r="S5025" t="s">
        <v>823</v>
      </c>
      <c r="T5025">
        <v>37</v>
      </c>
      <c r="U5025" s="26" t="str">
        <f t="shared" si="193"/>
        <v>2021.091B.R.Weiservirinae.zip</v>
      </c>
    </row>
    <row r="5026" spans="1:21">
      <c r="A5026">
        <v>5025</v>
      </c>
      <c r="B5026" s="27" t="s">
        <v>1449</v>
      </c>
      <c r="D5026" s="27" t="s">
        <v>1450</v>
      </c>
      <c r="F5026" s="27" t="s">
        <v>1453</v>
      </c>
      <c r="H5026" s="27" t="s">
        <v>1454</v>
      </c>
      <c r="M5026" s="27" t="s">
        <v>6477</v>
      </c>
      <c r="N5026" s="27" t="s">
        <v>1424</v>
      </c>
      <c r="P5026" s="27" t="s">
        <v>6537</v>
      </c>
      <c r="Q5026" s="26" t="str">
        <f>HYPERLINK("https://ictv.global/taxonomy/taxondetails?taxnode_id=202512718&amp;ictv_id=ICTV202112718","ICTV202112718")</f>
        <v>ICTV202112718</v>
      </c>
      <c r="R5026" t="s">
        <v>579</v>
      </c>
      <c r="S5026" t="s">
        <v>823</v>
      </c>
      <c r="T5026">
        <v>37</v>
      </c>
      <c r="U5026" s="26" t="str">
        <f t="shared" si="193"/>
        <v>2021.091B.R.Weiservirinae.zip</v>
      </c>
    </row>
    <row r="5027" spans="1:21">
      <c r="A5027">
        <v>5026</v>
      </c>
      <c r="B5027" s="27" t="s">
        <v>1449</v>
      </c>
      <c r="D5027" s="27" t="s">
        <v>1450</v>
      </c>
      <c r="F5027" s="27" t="s">
        <v>1453</v>
      </c>
      <c r="H5027" s="27" t="s">
        <v>1454</v>
      </c>
      <c r="M5027" s="27" t="s">
        <v>6477</v>
      </c>
      <c r="N5027" s="27" t="s">
        <v>1424</v>
      </c>
      <c r="P5027" s="27" t="s">
        <v>6538</v>
      </c>
      <c r="Q5027" s="26" t="str">
        <f>HYPERLINK("https://ictv.global/taxonomy/taxondetails?taxnode_id=202512719&amp;ictv_id=ICTV202112719","ICTV202112719")</f>
        <v>ICTV202112719</v>
      </c>
      <c r="R5027" t="s">
        <v>579</v>
      </c>
      <c r="S5027" t="s">
        <v>823</v>
      </c>
      <c r="T5027">
        <v>37</v>
      </c>
      <c r="U5027" s="26" t="str">
        <f t="shared" si="193"/>
        <v>2021.091B.R.Weiservirinae.zip</v>
      </c>
    </row>
    <row r="5028" spans="1:21">
      <c r="A5028">
        <v>5027</v>
      </c>
      <c r="B5028" s="27" t="s">
        <v>1449</v>
      </c>
      <c r="D5028" s="27" t="s">
        <v>1450</v>
      </c>
      <c r="F5028" s="27" t="s">
        <v>1453</v>
      </c>
      <c r="H5028" s="27" t="s">
        <v>1454</v>
      </c>
      <c r="M5028" s="27" t="s">
        <v>6477</v>
      </c>
      <c r="N5028" s="27" t="s">
        <v>1424</v>
      </c>
      <c r="P5028" s="27" t="s">
        <v>19835</v>
      </c>
      <c r="Q5028" s="26" t="str">
        <f>HYPERLINK("https://ictv.global/taxonomy/taxondetails?taxnode_id=202501351&amp;ictv_id=ICTV20140413","ICTV20140413")</f>
        <v>ICTV20140413</v>
      </c>
      <c r="R5028" t="s">
        <v>579</v>
      </c>
      <c r="S5028" t="s">
        <v>824</v>
      </c>
      <c r="T5028">
        <v>40</v>
      </c>
      <c r="U5028" s="26" t="str">
        <f>HYPERLINK("https://ictv.global/ictv/proposals/2024.036B.Caudoviricetes_Faserviricetes_Name_Corrections.zip","2024.036B.Caudoviricetes_Faserviricetes_Name_Corrections.zip")</f>
        <v>2024.036B.Caudoviricetes_Faserviricetes_Name_Corrections.zip</v>
      </c>
    </row>
    <row r="5029" spans="1:21">
      <c r="A5029">
        <v>5028</v>
      </c>
      <c r="B5029" s="27" t="s">
        <v>1449</v>
      </c>
      <c r="D5029" s="27" t="s">
        <v>1450</v>
      </c>
      <c r="F5029" s="27" t="s">
        <v>1453</v>
      </c>
      <c r="H5029" s="27" t="s">
        <v>1454</v>
      </c>
      <c r="M5029" s="27" t="s">
        <v>6477</v>
      </c>
      <c r="N5029" s="27" t="s">
        <v>1424</v>
      </c>
      <c r="P5029" s="27" t="s">
        <v>6539</v>
      </c>
      <c r="Q5029" s="26" t="str">
        <f>HYPERLINK("https://ictv.global/taxonomy/taxondetails?taxnode_id=202512720&amp;ictv_id=ICTV202112720","ICTV202112720")</f>
        <v>ICTV202112720</v>
      </c>
      <c r="R5029" t="s">
        <v>579</v>
      </c>
      <c r="S5029" t="s">
        <v>823</v>
      </c>
      <c r="T5029">
        <v>37</v>
      </c>
      <c r="U5029" s="26" t="str">
        <f t="shared" ref="U5029:U5034" si="194">HYPERLINK("https://ictv.global/ictv/proposals/2021.091B.R.Weiservirinae.zip","2021.091B.R.Weiservirinae.zip")</f>
        <v>2021.091B.R.Weiservirinae.zip</v>
      </c>
    </row>
    <row r="5030" spans="1:21">
      <c r="A5030">
        <v>5029</v>
      </c>
      <c r="B5030" s="27" t="s">
        <v>1449</v>
      </c>
      <c r="D5030" s="27" t="s">
        <v>1450</v>
      </c>
      <c r="F5030" s="27" t="s">
        <v>1453</v>
      </c>
      <c r="H5030" s="27" t="s">
        <v>1454</v>
      </c>
      <c r="M5030" s="27" t="s">
        <v>6477</v>
      </c>
      <c r="N5030" s="27" t="s">
        <v>6540</v>
      </c>
      <c r="P5030" s="27" t="s">
        <v>6541</v>
      </c>
      <c r="Q5030" s="26" t="str">
        <f>HYPERLINK("https://ictv.global/taxonomy/taxondetails?taxnode_id=202512723&amp;ictv_id=ICTV202112723","ICTV202112723")</f>
        <v>ICTV202112723</v>
      </c>
      <c r="R5030" t="s">
        <v>579</v>
      </c>
      <c r="S5030" t="s">
        <v>823</v>
      </c>
      <c r="T5030">
        <v>37</v>
      </c>
      <c r="U5030" s="26" t="str">
        <f t="shared" si="194"/>
        <v>2021.091B.R.Weiservirinae.zip</v>
      </c>
    </row>
    <row r="5031" spans="1:21">
      <c r="A5031">
        <v>5030</v>
      </c>
      <c r="B5031" s="27" t="s">
        <v>1449</v>
      </c>
      <c r="D5031" s="27" t="s">
        <v>1450</v>
      </c>
      <c r="F5031" s="27" t="s">
        <v>1453</v>
      </c>
      <c r="H5031" s="27" t="s">
        <v>1454</v>
      </c>
      <c r="M5031" s="27" t="s">
        <v>6477</v>
      </c>
      <c r="N5031" s="27" t="s">
        <v>6540</v>
      </c>
      <c r="P5031" s="27" t="s">
        <v>6542</v>
      </c>
      <c r="Q5031" s="26" t="str">
        <f>HYPERLINK("https://ictv.global/taxonomy/taxondetails?taxnode_id=202512724&amp;ictv_id=ICTV202112724","ICTV202112724")</f>
        <v>ICTV202112724</v>
      </c>
      <c r="R5031" t="s">
        <v>579</v>
      </c>
      <c r="S5031" t="s">
        <v>823</v>
      </c>
      <c r="T5031">
        <v>37</v>
      </c>
      <c r="U5031" s="26" t="str">
        <f t="shared" si="194"/>
        <v>2021.091B.R.Weiservirinae.zip</v>
      </c>
    </row>
    <row r="5032" spans="1:21">
      <c r="A5032">
        <v>5031</v>
      </c>
      <c r="B5032" s="27" t="s">
        <v>1449</v>
      </c>
      <c r="D5032" s="27" t="s">
        <v>1450</v>
      </c>
      <c r="F5032" s="27" t="s">
        <v>1453</v>
      </c>
      <c r="H5032" s="27" t="s">
        <v>1454</v>
      </c>
      <c r="M5032" s="27" t="s">
        <v>6477</v>
      </c>
      <c r="N5032" s="27" t="s">
        <v>6540</v>
      </c>
      <c r="P5032" s="27" t="s">
        <v>6543</v>
      </c>
      <c r="Q5032" s="26" t="str">
        <f>HYPERLINK("https://ictv.global/taxonomy/taxondetails?taxnode_id=202512725&amp;ictv_id=ICTV202112725","ICTV202112725")</f>
        <v>ICTV202112725</v>
      </c>
      <c r="R5032" t="s">
        <v>579</v>
      </c>
      <c r="S5032" t="s">
        <v>823</v>
      </c>
      <c r="T5032">
        <v>37</v>
      </c>
      <c r="U5032" s="26" t="str">
        <f t="shared" si="194"/>
        <v>2021.091B.R.Weiservirinae.zip</v>
      </c>
    </row>
    <row r="5033" spans="1:21">
      <c r="A5033">
        <v>5032</v>
      </c>
      <c r="B5033" s="27" t="s">
        <v>1449</v>
      </c>
      <c r="D5033" s="27" t="s">
        <v>1450</v>
      </c>
      <c r="F5033" s="27" t="s">
        <v>1453</v>
      </c>
      <c r="H5033" s="27" t="s">
        <v>1454</v>
      </c>
      <c r="M5033" s="27" t="s">
        <v>6477</v>
      </c>
      <c r="N5033" s="27" t="s">
        <v>6540</v>
      </c>
      <c r="P5033" s="27" t="s">
        <v>6544</v>
      </c>
      <c r="Q5033" s="26" t="str">
        <f>HYPERLINK("https://ictv.global/taxonomy/taxondetails?taxnode_id=202512722&amp;ictv_id=ICTV202112722","ICTV202112722")</f>
        <v>ICTV202112722</v>
      </c>
      <c r="R5033" t="s">
        <v>579</v>
      </c>
      <c r="S5033" t="s">
        <v>823</v>
      </c>
      <c r="T5033">
        <v>37</v>
      </c>
      <c r="U5033" s="26" t="str">
        <f t="shared" si="194"/>
        <v>2021.091B.R.Weiservirinae.zip</v>
      </c>
    </row>
    <row r="5034" spans="1:21">
      <c r="A5034">
        <v>5033</v>
      </c>
      <c r="B5034" s="27" t="s">
        <v>1449</v>
      </c>
      <c r="D5034" s="27" t="s">
        <v>1450</v>
      </c>
      <c r="F5034" s="27" t="s">
        <v>1453</v>
      </c>
      <c r="H5034" s="27" t="s">
        <v>1454</v>
      </c>
      <c r="M5034" s="27" t="s">
        <v>6477</v>
      </c>
      <c r="N5034" s="27" t="s">
        <v>6540</v>
      </c>
      <c r="P5034" s="27" t="s">
        <v>6545</v>
      </c>
      <c r="Q5034" s="26" t="str">
        <f>HYPERLINK("https://ictv.global/taxonomy/taxondetails?taxnode_id=202512726&amp;ictv_id=ICTV202112726","ICTV202112726")</f>
        <v>ICTV202112726</v>
      </c>
      <c r="R5034" t="s">
        <v>579</v>
      </c>
      <c r="S5034" t="s">
        <v>823</v>
      </c>
      <c r="T5034">
        <v>37</v>
      </c>
      <c r="U5034" s="26" t="str">
        <f t="shared" si="194"/>
        <v>2021.091B.R.Weiservirinae.zip</v>
      </c>
    </row>
    <row r="5035" spans="1:21">
      <c r="A5035">
        <v>5034</v>
      </c>
      <c r="B5035" s="27" t="s">
        <v>1449</v>
      </c>
      <c r="D5035" s="27" t="s">
        <v>1450</v>
      </c>
      <c r="F5035" s="27" t="s">
        <v>1453</v>
      </c>
      <c r="H5035" s="27" t="s">
        <v>1454</v>
      </c>
      <c r="N5035" s="27" t="s">
        <v>6546</v>
      </c>
      <c r="P5035" s="27" t="s">
        <v>6547</v>
      </c>
      <c r="Q5035" s="26" t="str">
        <f>HYPERLINK("https://ictv.global/taxonomy/taxondetails?taxnode_id=202514701&amp;ictv_id=ICTV202214701","ICTV202214701")</f>
        <v>ICTV202214701</v>
      </c>
      <c r="R5035" t="s">
        <v>579</v>
      </c>
      <c r="S5035" t="s">
        <v>823</v>
      </c>
      <c r="T5035">
        <v>38</v>
      </c>
      <c r="U5035" s="26" t="str">
        <f>HYPERLINK("https://ictv.global/ictv/proposals/2022.058B.Caudoviricetes_3ng.zip","2022.058B.Caudoviricetes_3ng.zip")</f>
        <v>2022.058B.Caudoviricetes_3ng.zip</v>
      </c>
    </row>
    <row r="5036" spans="1:21">
      <c r="A5036">
        <v>5035</v>
      </c>
      <c r="B5036" s="27" t="s">
        <v>1449</v>
      </c>
      <c r="D5036" s="27" t="s">
        <v>1450</v>
      </c>
      <c r="F5036" s="27" t="s">
        <v>1453</v>
      </c>
      <c r="H5036" s="27" t="s">
        <v>1454</v>
      </c>
      <c r="N5036" s="27" t="s">
        <v>1740</v>
      </c>
      <c r="P5036" s="27" t="s">
        <v>6548</v>
      </c>
      <c r="Q5036" s="26" t="str">
        <f>HYPERLINK("https://ictv.global/taxonomy/taxondetails?taxnode_id=202507712&amp;ictv_id=ICTV201907712","ICTV201907712")</f>
        <v>ICTV201907712</v>
      </c>
      <c r="R5036" t="s">
        <v>579</v>
      </c>
      <c r="S5036" t="s">
        <v>824</v>
      </c>
      <c r="T5036">
        <v>37</v>
      </c>
      <c r="U5036" s="26" t="str">
        <f>HYPERLINK("https://ictv.global/ictv/proposals/2021.010B.R.Binomial_names.zip","2021.010B.R.Binomial_names.zip")</f>
        <v>2021.010B.R.Binomial_names.zip</v>
      </c>
    </row>
    <row r="5037" spans="1:21">
      <c r="A5037">
        <v>5036</v>
      </c>
      <c r="B5037" s="27" t="s">
        <v>1449</v>
      </c>
      <c r="D5037" s="27" t="s">
        <v>1450</v>
      </c>
      <c r="F5037" s="27" t="s">
        <v>1453</v>
      </c>
      <c r="H5037" s="27" t="s">
        <v>1454</v>
      </c>
      <c r="N5037" s="27" t="s">
        <v>761</v>
      </c>
      <c r="P5037" s="27" t="s">
        <v>6549</v>
      </c>
      <c r="Q5037" s="26" t="str">
        <f>HYPERLINK("https://ictv.global/taxonomy/taxondetails?taxnode_id=202500364&amp;ictv_id=ICTV20164846","ICTV20164846")</f>
        <v>ICTV20164846</v>
      </c>
      <c r="R5037" t="s">
        <v>579</v>
      </c>
      <c r="S5037" t="s">
        <v>824</v>
      </c>
      <c r="T5037">
        <v>37</v>
      </c>
      <c r="U5037" s="26" t="str">
        <f>HYPERLINK("https://ictv.global/ictv/proposals/2021.010B.R.Binomial_names.zip","2021.010B.R.Binomial_names.zip")</f>
        <v>2021.010B.R.Binomial_names.zip</v>
      </c>
    </row>
    <row r="5038" spans="1:21">
      <c r="A5038">
        <v>5037</v>
      </c>
      <c r="B5038" s="27" t="s">
        <v>1449</v>
      </c>
      <c r="D5038" s="27" t="s">
        <v>1450</v>
      </c>
      <c r="F5038" s="27" t="s">
        <v>1453</v>
      </c>
      <c r="H5038" s="27" t="s">
        <v>1454</v>
      </c>
      <c r="N5038" s="27" t="s">
        <v>761</v>
      </c>
      <c r="P5038" s="27" t="s">
        <v>6550</v>
      </c>
      <c r="Q5038" s="26" t="str">
        <f>HYPERLINK("https://ictv.global/taxonomy/taxondetails?taxnode_id=202500365&amp;ictv_id=ICTV20164847","ICTV20164847")</f>
        <v>ICTV20164847</v>
      </c>
      <c r="R5038" t="s">
        <v>579</v>
      </c>
      <c r="S5038" t="s">
        <v>824</v>
      </c>
      <c r="T5038">
        <v>37</v>
      </c>
      <c r="U5038" s="26" t="str">
        <f>HYPERLINK("https://ictv.global/ictv/proposals/2021.010B.R.Binomial_names.zip","2021.010B.R.Binomial_names.zip")</f>
        <v>2021.010B.R.Binomial_names.zip</v>
      </c>
    </row>
    <row r="5039" spans="1:21">
      <c r="A5039">
        <v>5038</v>
      </c>
      <c r="B5039" s="27" t="s">
        <v>1449</v>
      </c>
      <c r="D5039" s="27" t="s">
        <v>1450</v>
      </c>
      <c r="F5039" s="27" t="s">
        <v>1453</v>
      </c>
      <c r="H5039" s="27" t="s">
        <v>1454</v>
      </c>
      <c r="N5039" s="27" t="s">
        <v>6551</v>
      </c>
      <c r="P5039" s="27" t="s">
        <v>6552</v>
      </c>
      <c r="Q5039" s="26" t="str">
        <f>HYPERLINK("https://ictv.global/taxonomy/taxondetails?taxnode_id=202514964&amp;ictv_id=ICTV202214964","ICTV202214964")</f>
        <v>ICTV202214964</v>
      </c>
      <c r="R5039" t="s">
        <v>579</v>
      </c>
      <c r="S5039" t="s">
        <v>823</v>
      </c>
      <c r="T5039">
        <v>38</v>
      </c>
      <c r="U5039" s="26" t="str">
        <f>HYPERLINK("https://ictv.global/ictv/proposals/2022.091B.Caudoviricetes_3ng_actinophages.zip","2022.091B.Caudoviricetes_3ng_actinophages.zip")</f>
        <v>2022.091B.Caudoviricetes_3ng_actinophages.zip</v>
      </c>
    </row>
    <row r="5040" spans="1:21">
      <c r="A5040">
        <v>5039</v>
      </c>
      <c r="B5040" s="27" t="s">
        <v>1449</v>
      </c>
      <c r="D5040" s="27" t="s">
        <v>1450</v>
      </c>
      <c r="F5040" s="27" t="s">
        <v>1453</v>
      </c>
      <c r="H5040" s="27" t="s">
        <v>1454</v>
      </c>
      <c r="N5040" s="27" t="s">
        <v>2240</v>
      </c>
      <c r="P5040" s="27" t="s">
        <v>6553</v>
      </c>
      <c r="Q5040" s="26" t="str">
        <f>HYPERLINK("https://ictv.global/taxonomy/taxondetails?taxnode_id=202509142&amp;ictv_id=ICTV202009142","ICTV202009142")</f>
        <v>ICTV202009142</v>
      </c>
      <c r="R5040" t="s">
        <v>579</v>
      </c>
      <c r="S5040" t="s">
        <v>824</v>
      </c>
      <c r="T5040">
        <v>37</v>
      </c>
      <c r="U5040" s="26" t="str">
        <f>HYPERLINK("https://ictv.global/ictv/proposals/2021.010B.R.Binomial_names.zip","2021.010B.R.Binomial_names.zip")</f>
        <v>2021.010B.R.Binomial_names.zip</v>
      </c>
    </row>
    <row r="5041" spans="1:21">
      <c r="A5041">
        <v>5040</v>
      </c>
      <c r="B5041" s="27" t="s">
        <v>1449</v>
      </c>
      <c r="D5041" s="27" t="s">
        <v>1450</v>
      </c>
      <c r="F5041" s="27" t="s">
        <v>1453</v>
      </c>
      <c r="H5041" s="27" t="s">
        <v>1454</v>
      </c>
      <c r="N5041" s="27" t="s">
        <v>2241</v>
      </c>
      <c r="P5041" s="27" t="s">
        <v>6560</v>
      </c>
      <c r="Q5041" s="26" t="str">
        <f>HYPERLINK("https://ictv.global/taxonomy/taxondetails?taxnode_id=202509360&amp;ictv_id=ICTV202009360","ICTV202009360")</f>
        <v>ICTV202009360</v>
      </c>
      <c r="R5041" t="s">
        <v>579</v>
      </c>
      <c r="S5041" t="s">
        <v>824</v>
      </c>
      <c r="T5041">
        <v>37</v>
      </c>
      <c r="U5041" s="26" t="str">
        <f>HYPERLINK("https://ictv.global/ictv/proposals/2021.010B.R.Binomial_names.zip","2021.010B.R.Binomial_names.zip")</f>
        <v>2021.010B.R.Binomial_names.zip</v>
      </c>
    </row>
    <row r="5042" spans="1:21">
      <c r="A5042">
        <v>5041</v>
      </c>
      <c r="B5042" s="27" t="s">
        <v>1449</v>
      </c>
      <c r="D5042" s="27" t="s">
        <v>1450</v>
      </c>
      <c r="F5042" s="27" t="s">
        <v>1453</v>
      </c>
      <c r="H5042" s="27" t="s">
        <v>1454</v>
      </c>
      <c r="N5042" s="27" t="s">
        <v>2241</v>
      </c>
      <c r="P5042" s="27" t="s">
        <v>6561</v>
      </c>
      <c r="Q5042" s="26" t="str">
        <f>HYPERLINK("https://ictv.global/taxonomy/taxondetails?taxnode_id=202509361&amp;ictv_id=ICTV202009361","ICTV202009361")</f>
        <v>ICTV202009361</v>
      </c>
      <c r="R5042" t="s">
        <v>579</v>
      </c>
      <c r="S5042" t="s">
        <v>824</v>
      </c>
      <c r="T5042">
        <v>37</v>
      </c>
      <c r="U5042" s="26" t="str">
        <f>HYPERLINK("https://ictv.global/ictv/proposals/2021.010B.R.Binomial_names.zip","2021.010B.R.Binomial_names.zip")</f>
        <v>2021.010B.R.Binomial_names.zip</v>
      </c>
    </row>
    <row r="5043" spans="1:21">
      <c r="A5043">
        <v>5042</v>
      </c>
      <c r="B5043" s="27" t="s">
        <v>1449</v>
      </c>
      <c r="D5043" s="27" t="s">
        <v>1450</v>
      </c>
      <c r="F5043" s="27" t="s">
        <v>1453</v>
      </c>
      <c r="H5043" s="27" t="s">
        <v>1454</v>
      </c>
      <c r="N5043" s="27" t="s">
        <v>12017</v>
      </c>
      <c r="P5043" s="27" t="s">
        <v>12018</v>
      </c>
      <c r="Q5043" s="26" t="str">
        <f>HYPERLINK("https://ictv.global/taxonomy/taxondetails?taxnode_id=202517786&amp;ictv_id=ICTV202317786","ICTV202317786")</f>
        <v>ICTV202317786</v>
      </c>
      <c r="R5043" t="s">
        <v>579</v>
      </c>
      <c r="S5043" t="s">
        <v>823</v>
      </c>
      <c r="T5043">
        <v>39</v>
      </c>
      <c r="U5043" s="26" t="str">
        <f>HYPERLINK("https://ictv.global/ictv/proposals/2023.004B.Ahotrevirus_ng.zip","2023.004B.Ahotrevirus_ng.zip")</f>
        <v>2023.004B.Ahotrevirus_ng.zip</v>
      </c>
    </row>
    <row r="5044" spans="1:21">
      <c r="A5044">
        <v>5043</v>
      </c>
      <c r="B5044" s="27" t="s">
        <v>1449</v>
      </c>
      <c r="D5044" s="27" t="s">
        <v>1450</v>
      </c>
      <c r="F5044" s="27" t="s">
        <v>1453</v>
      </c>
      <c r="H5044" s="27" t="s">
        <v>1454</v>
      </c>
      <c r="N5044" s="27" t="s">
        <v>6562</v>
      </c>
      <c r="P5044" s="27" t="s">
        <v>6563</v>
      </c>
      <c r="Q5044" s="26" t="str">
        <f>HYPERLINK("https://ictv.global/taxonomy/taxondetails?taxnode_id=202513631&amp;ictv_id=ICTV202113631","ICTV202113631")</f>
        <v>ICTV202113631</v>
      </c>
      <c r="R5044" t="s">
        <v>579</v>
      </c>
      <c r="S5044" t="s">
        <v>823</v>
      </c>
      <c r="T5044">
        <v>37</v>
      </c>
      <c r="U5044" s="26" t="str">
        <f>HYPERLINK("https://ictv.global/ictv/proposals/2021.078B.R.Siphoviridae_new_genera.zip","2021.078B.R.Siphoviridae_new_genera.zip")</f>
        <v>2021.078B.R.Siphoviridae_new_genera.zip</v>
      </c>
    </row>
    <row r="5045" spans="1:21">
      <c r="A5045">
        <v>5044</v>
      </c>
      <c r="B5045" s="27" t="s">
        <v>1449</v>
      </c>
      <c r="D5045" s="27" t="s">
        <v>1450</v>
      </c>
      <c r="F5045" s="27" t="s">
        <v>1453</v>
      </c>
      <c r="H5045" s="27" t="s">
        <v>1454</v>
      </c>
      <c r="N5045" s="27" t="s">
        <v>2242</v>
      </c>
      <c r="P5045" s="27" t="s">
        <v>6564</v>
      </c>
      <c r="Q5045" s="26" t="str">
        <f>HYPERLINK("https://ictv.global/taxonomy/taxondetails?taxnode_id=202509159&amp;ictv_id=ICTV202009159","ICTV202009159")</f>
        <v>ICTV202009159</v>
      </c>
      <c r="R5045" t="s">
        <v>579</v>
      </c>
      <c r="S5045" t="s">
        <v>824</v>
      </c>
      <c r="T5045">
        <v>37</v>
      </c>
      <c r="U5045" s="26" t="str">
        <f>HYPERLINK("https://ictv.global/ictv/proposals/2021.010B.R.Binomial_names.zip","2021.010B.R.Binomial_names.zip")</f>
        <v>2021.010B.R.Binomial_names.zip</v>
      </c>
    </row>
    <row r="5046" spans="1:21">
      <c r="A5046">
        <v>5045</v>
      </c>
      <c r="B5046" s="27" t="s">
        <v>1449</v>
      </c>
      <c r="D5046" s="27" t="s">
        <v>1450</v>
      </c>
      <c r="F5046" s="27" t="s">
        <v>1453</v>
      </c>
      <c r="H5046" s="27" t="s">
        <v>1454</v>
      </c>
      <c r="N5046" s="27" t="s">
        <v>1221</v>
      </c>
      <c r="P5046" s="27" t="s">
        <v>6565</v>
      </c>
      <c r="Q5046" s="26" t="str">
        <f>HYPERLINK("https://ictv.global/taxonomy/taxondetails?taxnode_id=202506654&amp;ictv_id=ICTV201856654","ICTV201856654")</f>
        <v>ICTV201856654</v>
      </c>
      <c r="R5046" t="s">
        <v>579</v>
      </c>
      <c r="S5046" t="s">
        <v>824</v>
      </c>
      <c r="T5046">
        <v>37</v>
      </c>
      <c r="U5046" s="26" t="str">
        <f>HYPERLINK("https://ictv.global/ictv/proposals/2021.010B.R.Binomial_names.zip","2021.010B.R.Binomial_names.zip")</f>
        <v>2021.010B.R.Binomial_names.zip</v>
      </c>
    </row>
    <row r="5047" spans="1:21">
      <c r="A5047">
        <v>5046</v>
      </c>
      <c r="B5047" s="27" t="s">
        <v>1449</v>
      </c>
      <c r="D5047" s="27" t="s">
        <v>1450</v>
      </c>
      <c r="F5047" s="27" t="s">
        <v>1453</v>
      </c>
      <c r="H5047" s="27" t="s">
        <v>1454</v>
      </c>
      <c r="N5047" s="27" t="s">
        <v>1221</v>
      </c>
      <c r="P5047" s="27" t="s">
        <v>6566</v>
      </c>
      <c r="Q5047" s="26" t="str">
        <f>HYPERLINK("https://ictv.global/taxonomy/taxondetails?taxnode_id=202506655&amp;ictv_id=ICTV201856655","ICTV201856655")</f>
        <v>ICTV201856655</v>
      </c>
      <c r="R5047" t="s">
        <v>579</v>
      </c>
      <c r="S5047" t="s">
        <v>824</v>
      </c>
      <c r="T5047">
        <v>37</v>
      </c>
      <c r="U5047" s="26" t="str">
        <f>HYPERLINK("https://ictv.global/ictv/proposals/2021.010B.R.Binomial_names.zip","2021.010B.R.Binomial_names.zip")</f>
        <v>2021.010B.R.Binomial_names.zip</v>
      </c>
    </row>
    <row r="5048" spans="1:21">
      <c r="A5048">
        <v>5047</v>
      </c>
      <c r="B5048" s="27" t="s">
        <v>1449</v>
      </c>
      <c r="D5048" s="27" t="s">
        <v>1450</v>
      </c>
      <c r="F5048" s="27" t="s">
        <v>1453</v>
      </c>
      <c r="H5048" s="27" t="s">
        <v>1454</v>
      </c>
      <c r="N5048" s="27" t="s">
        <v>1662</v>
      </c>
      <c r="P5048" s="27" t="s">
        <v>6568</v>
      </c>
      <c r="Q5048" s="26" t="str">
        <f>HYPERLINK("https://ictv.global/taxonomy/taxondetails?taxnode_id=202507921&amp;ictv_id=ICTV201907921","ICTV201907921")</f>
        <v>ICTV201907921</v>
      </c>
      <c r="R5048" t="s">
        <v>579</v>
      </c>
      <c r="S5048" t="s">
        <v>824</v>
      </c>
      <c r="T5048">
        <v>37</v>
      </c>
      <c r="U5048" s="26" t="str">
        <f>HYPERLINK("https://ictv.global/ictv/proposals/2021.010B.R.Binomial_names.zip","2021.010B.R.Binomial_names.zip")</f>
        <v>2021.010B.R.Binomial_names.zip</v>
      </c>
    </row>
    <row r="5049" spans="1:21">
      <c r="A5049">
        <v>5048</v>
      </c>
      <c r="B5049" s="27" t="s">
        <v>1449</v>
      </c>
      <c r="D5049" s="27" t="s">
        <v>1450</v>
      </c>
      <c r="F5049" s="27" t="s">
        <v>1453</v>
      </c>
      <c r="H5049" s="27" t="s">
        <v>1454</v>
      </c>
      <c r="N5049" s="27" t="s">
        <v>1662</v>
      </c>
      <c r="P5049" s="27" t="s">
        <v>6569</v>
      </c>
      <c r="Q5049" s="26" t="str">
        <f>HYPERLINK("https://ictv.global/taxonomy/taxondetails?taxnode_id=202507920&amp;ictv_id=ICTV201907920","ICTV201907920")</f>
        <v>ICTV201907920</v>
      </c>
      <c r="R5049" t="s">
        <v>579</v>
      </c>
      <c r="S5049" t="s">
        <v>824</v>
      </c>
      <c r="T5049">
        <v>37</v>
      </c>
      <c r="U5049" s="26" t="str">
        <f>HYPERLINK("https://ictv.global/ictv/proposals/2021.010B.R.Binomial_names.zip","2021.010B.R.Binomial_names.zip")</f>
        <v>2021.010B.R.Binomial_names.zip</v>
      </c>
    </row>
    <row r="5050" spans="1:21">
      <c r="A5050">
        <v>5049</v>
      </c>
      <c r="B5050" s="27" t="s">
        <v>1449</v>
      </c>
      <c r="D5050" s="27" t="s">
        <v>1450</v>
      </c>
      <c r="F5050" s="27" t="s">
        <v>1453</v>
      </c>
      <c r="H5050" s="27" t="s">
        <v>1454</v>
      </c>
      <c r="N5050" s="27" t="s">
        <v>1662</v>
      </c>
      <c r="P5050" s="27" t="s">
        <v>6570</v>
      </c>
      <c r="Q5050" s="26" t="str">
        <f>HYPERLINK("https://ictv.global/taxonomy/taxondetails?taxnode_id=202514464&amp;ictv_id=ICTV202214464","ICTV202214464")</f>
        <v>ICTV202214464</v>
      </c>
      <c r="R5050" t="s">
        <v>579</v>
      </c>
      <c r="S5050" t="s">
        <v>823</v>
      </c>
      <c r="T5050">
        <v>38</v>
      </c>
      <c r="U5050" s="26" t="str">
        <f t="shared" ref="U5050:U5059" si="195">HYPERLINK("https://ictv.global/ictv/proposals/2022.004B.Alexandravirus_10nsp.zip","2022.004B.Alexandravirus_10nsp.zip")</f>
        <v>2022.004B.Alexandravirus_10nsp.zip</v>
      </c>
    </row>
    <row r="5051" spans="1:21">
      <c r="A5051">
        <v>5050</v>
      </c>
      <c r="B5051" s="27" t="s">
        <v>1449</v>
      </c>
      <c r="D5051" s="27" t="s">
        <v>1450</v>
      </c>
      <c r="F5051" s="27" t="s">
        <v>1453</v>
      </c>
      <c r="H5051" s="27" t="s">
        <v>1454</v>
      </c>
      <c r="N5051" s="27" t="s">
        <v>1662</v>
      </c>
      <c r="P5051" s="27" t="s">
        <v>6571</v>
      </c>
      <c r="Q5051" s="26" t="str">
        <f>HYPERLINK("https://ictv.global/taxonomy/taxondetails?taxnode_id=202514459&amp;ictv_id=ICTV202214459","ICTV202214459")</f>
        <v>ICTV202214459</v>
      </c>
      <c r="R5051" t="s">
        <v>579</v>
      </c>
      <c r="S5051" t="s">
        <v>823</v>
      </c>
      <c r="T5051">
        <v>38</v>
      </c>
      <c r="U5051" s="26" t="str">
        <f t="shared" si="195"/>
        <v>2022.004B.Alexandravirus_10nsp.zip</v>
      </c>
    </row>
    <row r="5052" spans="1:21">
      <c r="A5052">
        <v>5051</v>
      </c>
      <c r="B5052" s="27" t="s">
        <v>1449</v>
      </c>
      <c r="D5052" s="27" t="s">
        <v>1450</v>
      </c>
      <c r="F5052" s="27" t="s">
        <v>1453</v>
      </c>
      <c r="H5052" s="27" t="s">
        <v>1454</v>
      </c>
      <c r="N5052" s="27" t="s">
        <v>1662</v>
      </c>
      <c r="P5052" s="27" t="s">
        <v>6572</v>
      </c>
      <c r="Q5052" s="26" t="str">
        <f>HYPERLINK("https://ictv.global/taxonomy/taxondetails?taxnode_id=202514461&amp;ictv_id=ICTV202214461","ICTV202214461")</f>
        <v>ICTV202214461</v>
      </c>
      <c r="R5052" t="s">
        <v>579</v>
      </c>
      <c r="S5052" t="s">
        <v>823</v>
      </c>
      <c r="T5052">
        <v>38</v>
      </c>
      <c r="U5052" s="26" t="str">
        <f t="shared" si="195"/>
        <v>2022.004B.Alexandravirus_10nsp.zip</v>
      </c>
    </row>
    <row r="5053" spans="1:21">
      <c r="A5053">
        <v>5052</v>
      </c>
      <c r="B5053" s="27" t="s">
        <v>1449</v>
      </c>
      <c r="D5053" s="27" t="s">
        <v>1450</v>
      </c>
      <c r="F5053" s="27" t="s">
        <v>1453</v>
      </c>
      <c r="H5053" s="27" t="s">
        <v>1454</v>
      </c>
      <c r="N5053" s="27" t="s">
        <v>1662</v>
      </c>
      <c r="P5053" s="27" t="s">
        <v>6573</v>
      </c>
      <c r="Q5053" s="26" t="str">
        <f>HYPERLINK("https://ictv.global/taxonomy/taxondetails?taxnode_id=202514457&amp;ictv_id=ICTV202214457","ICTV202214457")</f>
        <v>ICTV202214457</v>
      </c>
      <c r="R5053" t="s">
        <v>579</v>
      </c>
      <c r="S5053" t="s">
        <v>823</v>
      </c>
      <c r="T5053">
        <v>38</v>
      </c>
      <c r="U5053" s="26" t="str">
        <f t="shared" si="195"/>
        <v>2022.004B.Alexandravirus_10nsp.zip</v>
      </c>
    </row>
    <row r="5054" spans="1:21">
      <c r="A5054">
        <v>5053</v>
      </c>
      <c r="B5054" s="27" t="s">
        <v>1449</v>
      </c>
      <c r="D5054" s="27" t="s">
        <v>1450</v>
      </c>
      <c r="F5054" s="27" t="s">
        <v>1453</v>
      </c>
      <c r="H5054" s="27" t="s">
        <v>1454</v>
      </c>
      <c r="N5054" s="27" t="s">
        <v>1662</v>
      </c>
      <c r="P5054" s="27" t="s">
        <v>6574</v>
      </c>
      <c r="Q5054" s="26" t="str">
        <f>HYPERLINK("https://ictv.global/taxonomy/taxondetails?taxnode_id=202514465&amp;ictv_id=ICTV202214465","ICTV202214465")</f>
        <v>ICTV202214465</v>
      </c>
      <c r="R5054" t="s">
        <v>579</v>
      </c>
      <c r="S5054" t="s">
        <v>823</v>
      </c>
      <c r="T5054">
        <v>38</v>
      </c>
      <c r="U5054" s="26" t="str">
        <f t="shared" si="195"/>
        <v>2022.004B.Alexandravirus_10nsp.zip</v>
      </c>
    </row>
    <row r="5055" spans="1:21">
      <c r="A5055">
        <v>5054</v>
      </c>
      <c r="B5055" s="27" t="s">
        <v>1449</v>
      </c>
      <c r="D5055" s="27" t="s">
        <v>1450</v>
      </c>
      <c r="F5055" s="27" t="s">
        <v>1453</v>
      </c>
      <c r="H5055" s="27" t="s">
        <v>1454</v>
      </c>
      <c r="N5055" s="27" t="s">
        <v>1662</v>
      </c>
      <c r="P5055" s="27" t="s">
        <v>6575</v>
      </c>
      <c r="Q5055" s="26" t="str">
        <f>HYPERLINK("https://ictv.global/taxonomy/taxondetails?taxnode_id=202514456&amp;ictv_id=ICTV202214456","ICTV202214456")</f>
        <v>ICTV202214456</v>
      </c>
      <c r="R5055" t="s">
        <v>579</v>
      </c>
      <c r="S5055" t="s">
        <v>823</v>
      </c>
      <c r="T5055">
        <v>38</v>
      </c>
      <c r="U5055" s="26" t="str">
        <f t="shared" si="195"/>
        <v>2022.004B.Alexandravirus_10nsp.zip</v>
      </c>
    </row>
    <row r="5056" spans="1:21">
      <c r="A5056">
        <v>5055</v>
      </c>
      <c r="B5056" s="27" t="s">
        <v>1449</v>
      </c>
      <c r="D5056" s="27" t="s">
        <v>1450</v>
      </c>
      <c r="F5056" s="27" t="s">
        <v>1453</v>
      </c>
      <c r="H5056" s="27" t="s">
        <v>1454</v>
      </c>
      <c r="N5056" s="27" t="s">
        <v>1662</v>
      </c>
      <c r="P5056" s="27" t="s">
        <v>6576</v>
      </c>
      <c r="Q5056" s="26" t="str">
        <f>HYPERLINK("https://ictv.global/taxonomy/taxondetails?taxnode_id=202514462&amp;ictv_id=ICTV202214462","ICTV202214462")</f>
        <v>ICTV202214462</v>
      </c>
      <c r="R5056" t="s">
        <v>579</v>
      </c>
      <c r="S5056" t="s">
        <v>823</v>
      </c>
      <c r="T5056">
        <v>38</v>
      </c>
      <c r="U5056" s="26" t="str">
        <f t="shared" si="195"/>
        <v>2022.004B.Alexandravirus_10nsp.zip</v>
      </c>
    </row>
    <row r="5057" spans="1:21">
      <c r="A5057">
        <v>5056</v>
      </c>
      <c r="B5057" s="27" t="s">
        <v>1449</v>
      </c>
      <c r="D5057" s="27" t="s">
        <v>1450</v>
      </c>
      <c r="F5057" s="27" t="s">
        <v>1453</v>
      </c>
      <c r="H5057" s="27" t="s">
        <v>1454</v>
      </c>
      <c r="N5057" s="27" t="s">
        <v>1662</v>
      </c>
      <c r="P5057" s="27" t="s">
        <v>6577</v>
      </c>
      <c r="Q5057" s="26" t="str">
        <f>HYPERLINK("https://ictv.global/taxonomy/taxondetails?taxnode_id=202514460&amp;ictv_id=ICTV202214460","ICTV202214460")</f>
        <v>ICTV202214460</v>
      </c>
      <c r="R5057" t="s">
        <v>579</v>
      </c>
      <c r="S5057" t="s">
        <v>823</v>
      </c>
      <c r="T5057">
        <v>38</v>
      </c>
      <c r="U5057" s="26" t="str">
        <f t="shared" si="195"/>
        <v>2022.004B.Alexandravirus_10nsp.zip</v>
      </c>
    </row>
    <row r="5058" spans="1:21">
      <c r="A5058">
        <v>5057</v>
      </c>
      <c r="B5058" s="27" t="s">
        <v>1449</v>
      </c>
      <c r="D5058" s="27" t="s">
        <v>1450</v>
      </c>
      <c r="F5058" s="27" t="s">
        <v>1453</v>
      </c>
      <c r="H5058" s="27" t="s">
        <v>1454</v>
      </c>
      <c r="N5058" s="27" t="s">
        <v>1662</v>
      </c>
      <c r="P5058" s="27" t="s">
        <v>6578</v>
      </c>
      <c r="Q5058" s="26" t="str">
        <f>HYPERLINK("https://ictv.global/taxonomy/taxondetails?taxnode_id=202514463&amp;ictv_id=ICTV202214463","ICTV202214463")</f>
        <v>ICTV202214463</v>
      </c>
      <c r="R5058" t="s">
        <v>579</v>
      </c>
      <c r="S5058" t="s">
        <v>823</v>
      </c>
      <c r="T5058">
        <v>38</v>
      </c>
      <c r="U5058" s="26" t="str">
        <f t="shared" si="195"/>
        <v>2022.004B.Alexandravirus_10nsp.zip</v>
      </c>
    </row>
    <row r="5059" spans="1:21">
      <c r="A5059">
        <v>5058</v>
      </c>
      <c r="B5059" s="27" t="s">
        <v>1449</v>
      </c>
      <c r="D5059" s="27" t="s">
        <v>1450</v>
      </c>
      <c r="F5059" s="27" t="s">
        <v>1453</v>
      </c>
      <c r="H5059" s="27" t="s">
        <v>1454</v>
      </c>
      <c r="N5059" s="27" t="s">
        <v>1662</v>
      </c>
      <c r="P5059" s="27" t="s">
        <v>6579</v>
      </c>
      <c r="Q5059" s="26" t="str">
        <f>HYPERLINK("https://ictv.global/taxonomy/taxondetails?taxnode_id=202514458&amp;ictv_id=ICTV202214458","ICTV202214458")</f>
        <v>ICTV202214458</v>
      </c>
      <c r="R5059" t="s">
        <v>579</v>
      </c>
      <c r="S5059" t="s">
        <v>823</v>
      </c>
      <c r="T5059">
        <v>38</v>
      </c>
      <c r="U5059" s="26" t="str">
        <f t="shared" si="195"/>
        <v>2022.004B.Alexandravirus_10nsp.zip</v>
      </c>
    </row>
    <row r="5060" spans="1:21">
      <c r="A5060">
        <v>5059</v>
      </c>
      <c r="B5060" s="27" t="s">
        <v>1449</v>
      </c>
      <c r="D5060" s="27" t="s">
        <v>1450</v>
      </c>
      <c r="F5060" s="27" t="s">
        <v>1453</v>
      </c>
      <c r="H5060" s="27" t="s">
        <v>1454</v>
      </c>
      <c r="N5060" s="27" t="s">
        <v>12019</v>
      </c>
      <c r="P5060" s="27" t="s">
        <v>12020</v>
      </c>
      <c r="Q5060" s="26" t="str">
        <f>HYPERLINK("https://ictv.global/taxonomy/taxondetails?taxnode_id=202517765&amp;ictv_id=ICTV202317765","ICTV202317765")</f>
        <v>ICTV202317765</v>
      </c>
      <c r="R5060" t="s">
        <v>579</v>
      </c>
      <c r="S5060" t="s">
        <v>823</v>
      </c>
      <c r="T5060">
        <v>39</v>
      </c>
      <c r="U5060" s="26" t="str">
        <f>HYPERLINK("https://ictv.global/ictv/proposals/2023.003B.Actinobacteriophage_singletons_25ng.zip","2023.003B.Actinobacteriophage_singletons_25ng.zip")</f>
        <v>2023.003B.Actinobacteriophage_singletons_25ng.zip</v>
      </c>
    </row>
    <row r="5061" spans="1:21">
      <c r="A5061">
        <v>5060</v>
      </c>
      <c r="B5061" s="27" t="s">
        <v>1449</v>
      </c>
      <c r="D5061" s="27" t="s">
        <v>1450</v>
      </c>
      <c r="F5061" s="27" t="s">
        <v>1453</v>
      </c>
      <c r="H5061" s="27" t="s">
        <v>1454</v>
      </c>
      <c r="N5061" s="27" t="s">
        <v>770</v>
      </c>
      <c r="P5061" s="27" t="s">
        <v>6580</v>
      </c>
      <c r="Q5061" s="26" t="str">
        <f>HYPERLINK("https://ictv.global/taxonomy/taxondetails?taxnode_id=202500843&amp;ictv_id=ICTV20164976","ICTV20164976")</f>
        <v>ICTV20164976</v>
      </c>
      <c r="R5061" t="s">
        <v>579</v>
      </c>
      <c r="S5061" t="s">
        <v>824</v>
      </c>
      <c r="T5061">
        <v>37</v>
      </c>
      <c r="U5061" s="26" t="str">
        <f>HYPERLINK("https://ictv.global/ictv/proposals/2021.010B.R.Binomial_names.zip","2021.010B.R.Binomial_names.zip")</f>
        <v>2021.010B.R.Binomial_names.zip</v>
      </c>
    </row>
    <row r="5062" spans="1:21">
      <c r="A5062">
        <v>5061</v>
      </c>
      <c r="B5062" s="27" t="s">
        <v>1449</v>
      </c>
      <c r="D5062" s="27" t="s">
        <v>1450</v>
      </c>
      <c r="F5062" s="27" t="s">
        <v>1453</v>
      </c>
      <c r="H5062" s="27" t="s">
        <v>1454</v>
      </c>
      <c r="N5062" s="27" t="s">
        <v>770</v>
      </c>
      <c r="P5062" s="27" t="s">
        <v>6581</v>
      </c>
      <c r="Q5062" s="26" t="str">
        <f>HYPERLINK("https://ictv.global/taxonomy/taxondetails?taxnode_id=202506757&amp;ictv_id=ICTV201856757","ICTV201856757")</f>
        <v>ICTV201856757</v>
      </c>
      <c r="R5062" t="s">
        <v>579</v>
      </c>
      <c r="S5062" t="s">
        <v>824</v>
      </c>
      <c r="T5062">
        <v>37</v>
      </c>
      <c r="U5062" s="26" t="str">
        <f>HYPERLINK("https://ictv.global/ictv/proposals/2021.010B.R.Binomial_names.zip","2021.010B.R.Binomial_names.zip")</f>
        <v>2021.010B.R.Binomial_names.zip</v>
      </c>
    </row>
    <row r="5063" spans="1:21">
      <c r="A5063">
        <v>5062</v>
      </c>
      <c r="B5063" s="27" t="s">
        <v>1449</v>
      </c>
      <c r="D5063" s="27" t="s">
        <v>1450</v>
      </c>
      <c r="F5063" s="27" t="s">
        <v>1453</v>
      </c>
      <c r="H5063" s="27" t="s">
        <v>1454</v>
      </c>
      <c r="N5063" s="27" t="s">
        <v>12021</v>
      </c>
      <c r="P5063" s="27" t="s">
        <v>12022</v>
      </c>
      <c r="Q5063" s="26" t="str">
        <f>HYPERLINK("https://ictv.global/taxonomy/taxondetails?taxnode_id=202519223&amp;ictv_id=ICTV202319223","ICTV202319223")</f>
        <v>ICTV202319223</v>
      </c>
      <c r="R5063" t="s">
        <v>579</v>
      </c>
      <c r="S5063" t="s">
        <v>823</v>
      </c>
      <c r="T5063">
        <v>39</v>
      </c>
      <c r="U5063" s="26" t="str">
        <f>HYPERLINK("https://ictv.global/ictv/proposals/2023.049B.Caudoviricetes_Enterococcus_6ng.zip","2023.049B.Caudoviricetes_Enterococcus_6ng.zip")</f>
        <v>2023.049B.Caudoviricetes_Enterococcus_6ng.zip</v>
      </c>
    </row>
    <row r="5064" spans="1:21">
      <c r="A5064">
        <v>5063</v>
      </c>
      <c r="B5064" s="27" t="s">
        <v>1449</v>
      </c>
      <c r="D5064" s="27" t="s">
        <v>1450</v>
      </c>
      <c r="F5064" s="27" t="s">
        <v>1453</v>
      </c>
      <c r="H5064" s="27" t="s">
        <v>1454</v>
      </c>
      <c r="N5064" s="27" t="s">
        <v>1663</v>
      </c>
      <c r="P5064" s="27" t="s">
        <v>6582</v>
      </c>
      <c r="Q5064" s="26" t="str">
        <f>HYPERLINK("https://ictv.global/taxonomy/taxondetails?taxnode_id=202507910&amp;ictv_id=ICTV201907910","ICTV201907910")</f>
        <v>ICTV201907910</v>
      </c>
      <c r="R5064" t="s">
        <v>579</v>
      </c>
      <c r="S5064" t="s">
        <v>824</v>
      </c>
      <c r="T5064">
        <v>37</v>
      </c>
      <c r="U5064" s="26" t="str">
        <f t="shared" ref="U5064:U5069" si="196">HYPERLINK("https://ictv.global/ictv/proposals/2021.010B.R.Binomial_names.zip","2021.010B.R.Binomial_names.zip")</f>
        <v>2021.010B.R.Binomial_names.zip</v>
      </c>
    </row>
    <row r="5065" spans="1:21">
      <c r="A5065">
        <v>5064</v>
      </c>
      <c r="B5065" s="27" t="s">
        <v>1449</v>
      </c>
      <c r="D5065" s="27" t="s">
        <v>1450</v>
      </c>
      <c r="F5065" s="27" t="s">
        <v>1453</v>
      </c>
      <c r="H5065" s="27" t="s">
        <v>1454</v>
      </c>
      <c r="N5065" s="27" t="s">
        <v>841</v>
      </c>
      <c r="P5065" s="27" t="s">
        <v>6583</v>
      </c>
      <c r="Q5065" s="26" t="str">
        <f>HYPERLINK("https://ictv.global/taxonomy/taxondetails?taxnode_id=202505538&amp;ictv_id=ICTV20175538","ICTV20175538")</f>
        <v>ICTV20175538</v>
      </c>
      <c r="R5065" t="s">
        <v>579</v>
      </c>
      <c r="S5065" t="s">
        <v>824</v>
      </c>
      <c r="T5065">
        <v>37</v>
      </c>
      <c r="U5065" s="26" t="str">
        <f t="shared" si="196"/>
        <v>2021.010B.R.Binomial_names.zip</v>
      </c>
    </row>
    <row r="5066" spans="1:21">
      <c r="A5066">
        <v>5065</v>
      </c>
      <c r="B5066" s="27" t="s">
        <v>1449</v>
      </c>
      <c r="D5066" s="27" t="s">
        <v>1450</v>
      </c>
      <c r="F5066" s="27" t="s">
        <v>1453</v>
      </c>
      <c r="H5066" s="27" t="s">
        <v>1454</v>
      </c>
      <c r="N5066" s="27" t="s">
        <v>841</v>
      </c>
      <c r="P5066" s="27" t="s">
        <v>6584</v>
      </c>
      <c r="Q5066" s="26" t="str">
        <f>HYPERLINK("https://ictv.global/taxonomy/taxondetails?taxnode_id=202505539&amp;ictv_id=ICTV20175539","ICTV20175539")</f>
        <v>ICTV20175539</v>
      </c>
      <c r="R5066" t="s">
        <v>579</v>
      </c>
      <c r="S5066" t="s">
        <v>824</v>
      </c>
      <c r="T5066">
        <v>37</v>
      </c>
      <c r="U5066" s="26" t="str">
        <f t="shared" si="196"/>
        <v>2021.010B.R.Binomial_names.zip</v>
      </c>
    </row>
    <row r="5067" spans="1:21">
      <c r="A5067">
        <v>5066</v>
      </c>
      <c r="B5067" s="27" t="s">
        <v>1449</v>
      </c>
      <c r="D5067" s="27" t="s">
        <v>1450</v>
      </c>
      <c r="F5067" s="27" t="s">
        <v>1453</v>
      </c>
      <c r="H5067" s="27" t="s">
        <v>1454</v>
      </c>
      <c r="N5067" s="27" t="s">
        <v>1741</v>
      </c>
      <c r="P5067" s="27" t="s">
        <v>6585</v>
      </c>
      <c r="Q5067" s="26" t="str">
        <f>HYPERLINK("https://ictv.global/taxonomy/taxondetails?taxnode_id=202507734&amp;ictv_id=ICTV201907734","ICTV201907734")</f>
        <v>ICTV201907734</v>
      </c>
      <c r="R5067" t="s">
        <v>579</v>
      </c>
      <c r="S5067" t="s">
        <v>824</v>
      </c>
      <c r="T5067">
        <v>37</v>
      </c>
      <c r="U5067" s="26" t="str">
        <f t="shared" si="196"/>
        <v>2021.010B.R.Binomial_names.zip</v>
      </c>
    </row>
    <row r="5068" spans="1:21">
      <c r="A5068">
        <v>5067</v>
      </c>
      <c r="B5068" s="27" t="s">
        <v>1449</v>
      </c>
      <c r="D5068" s="27" t="s">
        <v>1450</v>
      </c>
      <c r="F5068" s="27" t="s">
        <v>1453</v>
      </c>
      <c r="H5068" s="27" t="s">
        <v>1454</v>
      </c>
      <c r="N5068" s="27" t="s">
        <v>2135</v>
      </c>
      <c r="P5068" s="27" t="s">
        <v>6594</v>
      </c>
      <c r="Q5068" s="26" t="str">
        <f>HYPERLINK("https://ictv.global/taxonomy/taxondetails?taxnode_id=202509250&amp;ictv_id=ICTV202009250","ICTV202009250")</f>
        <v>ICTV202009250</v>
      </c>
      <c r="R5068" t="s">
        <v>579</v>
      </c>
      <c r="S5068" t="s">
        <v>824</v>
      </c>
      <c r="T5068">
        <v>37</v>
      </c>
      <c r="U5068" s="26" t="str">
        <f t="shared" si="196"/>
        <v>2021.010B.R.Binomial_names.zip</v>
      </c>
    </row>
    <row r="5069" spans="1:21">
      <c r="A5069">
        <v>5068</v>
      </c>
      <c r="B5069" s="27" t="s">
        <v>1449</v>
      </c>
      <c r="D5069" s="27" t="s">
        <v>1450</v>
      </c>
      <c r="F5069" s="27" t="s">
        <v>1453</v>
      </c>
      <c r="H5069" s="27" t="s">
        <v>1454</v>
      </c>
      <c r="N5069" s="27" t="s">
        <v>2135</v>
      </c>
      <c r="P5069" s="27" t="s">
        <v>6595</v>
      </c>
      <c r="Q5069" s="26" t="str">
        <f>HYPERLINK("https://ictv.global/taxonomy/taxondetails?taxnode_id=202509251&amp;ictv_id=ICTV202009251","ICTV202009251")</f>
        <v>ICTV202009251</v>
      </c>
      <c r="R5069" t="s">
        <v>579</v>
      </c>
      <c r="S5069" t="s">
        <v>824</v>
      </c>
      <c r="T5069">
        <v>37</v>
      </c>
      <c r="U5069" s="26" t="str">
        <f t="shared" si="196"/>
        <v>2021.010B.R.Binomial_names.zip</v>
      </c>
    </row>
    <row r="5070" spans="1:21">
      <c r="A5070">
        <v>5069</v>
      </c>
      <c r="B5070" s="27" t="s">
        <v>1449</v>
      </c>
      <c r="D5070" s="27" t="s">
        <v>1450</v>
      </c>
      <c r="F5070" s="27" t="s">
        <v>1453</v>
      </c>
      <c r="H5070" s="27" t="s">
        <v>1454</v>
      </c>
      <c r="N5070" s="27" t="s">
        <v>6596</v>
      </c>
      <c r="P5070" s="27" t="s">
        <v>6597</v>
      </c>
      <c r="Q5070" s="26" t="str">
        <f>HYPERLINK("https://ictv.global/taxonomy/taxondetails?taxnode_id=202513125&amp;ictv_id=ICTV202113125","ICTV202113125")</f>
        <v>ICTV202113125</v>
      </c>
      <c r="R5070" t="s">
        <v>579</v>
      </c>
      <c r="S5070" t="s">
        <v>823</v>
      </c>
      <c r="T5070">
        <v>37</v>
      </c>
      <c r="U5070" s="26" t="str">
        <f>HYPERLINK("https://ictv.global/ictv/proposals/2021.003B.R.Anthonyvirus.zip","2021.003B.R.Anthonyvirus.zip")</f>
        <v>2021.003B.R.Anthonyvirus.zip</v>
      </c>
    </row>
    <row r="5071" spans="1:21">
      <c r="A5071">
        <v>5070</v>
      </c>
      <c r="B5071" s="27" t="s">
        <v>1449</v>
      </c>
      <c r="D5071" s="27" t="s">
        <v>1450</v>
      </c>
      <c r="F5071" s="27" t="s">
        <v>1453</v>
      </c>
      <c r="H5071" s="27" t="s">
        <v>1454</v>
      </c>
      <c r="N5071" s="27" t="s">
        <v>1665</v>
      </c>
      <c r="P5071" s="27" t="s">
        <v>6598</v>
      </c>
      <c r="Q5071" s="26" t="str">
        <f>HYPERLINK("https://ictv.global/taxonomy/taxondetails?taxnode_id=202507764&amp;ictv_id=ICTV201907764","ICTV201907764")</f>
        <v>ICTV201907764</v>
      </c>
      <c r="R5071" t="s">
        <v>579</v>
      </c>
      <c r="S5071" t="s">
        <v>824</v>
      </c>
      <c r="T5071">
        <v>37</v>
      </c>
      <c r="U5071" s="26" t="str">
        <f>HYPERLINK("https://ictv.global/ictv/proposals/2021.010B.R.Binomial_names.zip","2021.010B.R.Binomial_names.zip")</f>
        <v>2021.010B.R.Binomial_names.zip</v>
      </c>
    </row>
    <row r="5072" spans="1:21">
      <c r="A5072">
        <v>5071</v>
      </c>
      <c r="B5072" s="27" t="s">
        <v>1449</v>
      </c>
      <c r="D5072" s="27" t="s">
        <v>1450</v>
      </c>
      <c r="F5072" s="27" t="s">
        <v>1453</v>
      </c>
      <c r="H5072" s="27" t="s">
        <v>1454</v>
      </c>
      <c r="N5072" s="27" t="s">
        <v>1742</v>
      </c>
      <c r="P5072" s="27" t="s">
        <v>6599</v>
      </c>
      <c r="Q5072" s="26" t="str">
        <f>HYPERLINK("https://ictv.global/taxonomy/taxondetails?taxnode_id=202507736&amp;ictv_id=ICTV201907736","ICTV201907736")</f>
        <v>ICTV201907736</v>
      </c>
      <c r="R5072" t="s">
        <v>579</v>
      </c>
      <c r="S5072" t="s">
        <v>824</v>
      </c>
      <c r="T5072">
        <v>37</v>
      </c>
      <c r="U5072" s="26" t="str">
        <f>HYPERLINK("https://ictv.global/ictv/proposals/2021.010B.R.Binomial_names.zip","2021.010B.R.Binomial_names.zip")</f>
        <v>2021.010B.R.Binomial_names.zip</v>
      </c>
    </row>
    <row r="5073" spans="1:21">
      <c r="A5073">
        <v>5072</v>
      </c>
      <c r="B5073" s="27" t="s">
        <v>1449</v>
      </c>
      <c r="D5073" s="27" t="s">
        <v>1450</v>
      </c>
      <c r="F5073" s="27" t="s">
        <v>1453</v>
      </c>
      <c r="H5073" s="27" t="s">
        <v>1454</v>
      </c>
      <c r="N5073" s="27" t="s">
        <v>12027</v>
      </c>
      <c r="P5073" s="27" t="s">
        <v>12028</v>
      </c>
      <c r="Q5073" s="26" t="str">
        <f>HYPERLINK("https://ictv.global/taxonomy/taxondetails?taxnode_id=202517830&amp;ictv_id=ICTV202317830","ICTV202317830")</f>
        <v>ICTV202317830</v>
      </c>
      <c r="R5073" t="s">
        <v>579</v>
      </c>
      <c r="S5073" t="s">
        <v>823</v>
      </c>
      <c r="T5073">
        <v>39</v>
      </c>
      <c r="U5073" s="26" t="str">
        <f t="shared" ref="U5073:U5079" si="197">HYPERLINK("https://ictv.global/ictv/proposals/2023.007B.Aquingentivirus_ng.zip","2023.007B.Aquingentivirus_ng.zip")</f>
        <v>2023.007B.Aquingentivirus_ng.zip</v>
      </c>
    </row>
    <row r="5074" spans="1:21">
      <c r="A5074">
        <v>5073</v>
      </c>
      <c r="B5074" s="27" t="s">
        <v>1449</v>
      </c>
      <c r="D5074" s="27" t="s">
        <v>1450</v>
      </c>
      <c r="F5074" s="27" t="s">
        <v>1453</v>
      </c>
      <c r="H5074" s="27" t="s">
        <v>1454</v>
      </c>
      <c r="N5074" s="27" t="s">
        <v>12027</v>
      </c>
      <c r="P5074" s="27" t="s">
        <v>12029</v>
      </c>
      <c r="Q5074" s="26" t="str">
        <f>HYPERLINK("https://ictv.global/taxonomy/taxondetails?taxnode_id=202517836&amp;ictv_id=ICTV202317836","ICTV202317836")</f>
        <v>ICTV202317836</v>
      </c>
      <c r="R5074" t="s">
        <v>579</v>
      </c>
      <c r="S5074" t="s">
        <v>823</v>
      </c>
      <c r="T5074">
        <v>39</v>
      </c>
      <c r="U5074" s="26" t="str">
        <f t="shared" si="197"/>
        <v>2023.007B.Aquingentivirus_ng.zip</v>
      </c>
    </row>
    <row r="5075" spans="1:21">
      <c r="A5075">
        <v>5074</v>
      </c>
      <c r="B5075" s="27" t="s">
        <v>1449</v>
      </c>
      <c r="D5075" s="27" t="s">
        <v>1450</v>
      </c>
      <c r="F5075" s="27" t="s">
        <v>1453</v>
      </c>
      <c r="H5075" s="27" t="s">
        <v>1454</v>
      </c>
      <c r="N5075" s="27" t="s">
        <v>12027</v>
      </c>
      <c r="P5075" s="27" t="s">
        <v>12030</v>
      </c>
      <c r="Q5075" s="26" t="str">
        <f>HYPERLINK("https://ictv.global/taxonomy/taxondetails?taxnode_id=202517834&amp;ictv_id=ICTV202317834","ICTV202317834")</f>
        <v>ICTV202317834</v>
      </c>
      <c r="R5075" t="s">
        <v>579</v>
      </c>
      <c r="S5075" t="s">
        <v>823</v>
      </c>
      <c r="T5075">
        <v>39</v>
      </c>
      <c r="U5075" s="26" t="str">
        <f t="shared" si="197"/>
        <v>2023.007B.Aquingentivirus_ng.zip</v>
      </c>
    </row>
    <row r="5076" spans="1:21">
      <c r="A5076">
        <v>5075</v>
      </c>
      <c r="B5076" s="27" t="s">
        <v>1449</v>
      </c>
      <c r="D5076" s="27" t="s">
        <v>1450</v>
      </c>
      <c r="F5076" s="27" t="s">
        <v>1453</v>
      </c>
      <c r="H5076" s="27" t="s">
        <v>1454</v>
      </c>
      <c r="N5076" s="27" t="s">
        <v>12027</v>
      </c>
      <c r="P5076" s="27" t="s">
        <v>12031</v>
      </c>
      <c r="Q5076" s="26" t="str">
        <f>HYPERLINK("https://ictv.global/taxonomy/taxondetails?taxnode_id=202517831&amp;ictv_id=ICTV202317831","ICTV202317831")</f>
        <v>ICTV202317831</v>
      </c>
      <c r="R5076" t="s">
        <v>579</v>
      </c>
      <c r="S5076" t="s">
        <v>823</v>
      </c>
      <c r="T5076">
        <v>39</v>
      </c>
      <c r="U5076" s="26" t="str">
        <f t="shared" si="197"/>
        <v>2023.007B.Aquingentivirus_ng.zip</v>
      </c>
    </row>
    <row r="5077" spans="1:21">
      <c r="A5077">
        <v>5076</v>
      </c>
      <c r="B5077" s="27" t="s">
        <v>1449</v>
      </c>
      <c r="D5077" s="27" t="s">
        <v>1450</v>
      </c>
      <c r="F5077" s="27" t="s">
        <v>1453</v>
      </c>
      <c r="H5077" s="27" t="s">
        <v>1454</v>
      </c>
      <c r="N5077" s="27" t="s">
        <v>12027</v>
      </c>
      <c r="P5077" s="27" t="s">
        <v>12032</v>
      </c>
      <c r="Q5077" s="26" t="str">
        <f>HYPERLINK("https://ictv.global/taxonomy/taxondetails?taxnode_id=202517832&amp;ictv_id=ICTV202317832","ICTV202317832")</f>
        <v>ICTV202317832</v>
      </c>
      <c r="R5077" t="s">
        <v>579</v>
      </c>
      <c r="S5077" t="s">
        <v>823</v>
      </c>
      <c r="T5077">
        <v>39</v>
      </c>
      <c r="U5077" s="26" t="str">
        <f t="shared" si="197"/>
        <v>2023.007B.Aquingentivirus_ng.zip</v>
      </c>
    </row>
    <row r="5078" spans="1:21">
      <c r="A5078">
        <v>5077</v>
      </c>
      <c r="B5078" s="27" t="s">
        <v>1449</v>
      </c>
      <c r="D5078" s="27" t="s">
        <v>1450</v>
      </c>
      <c r="F5078" s="27" t="s">
        <v>1453</v>
      </c>
      <c r="H5078" s="27" t="s">
        <v>1454</v>
      </c>
      <c r="N5078" s="27" t="s">
        <v>12027</v>
      </c>
      <c r="P5078" s="27" t="s">
        <v>12033</v>
      </c>
      <c r="Q5078" s="26" t="str">
        <f>HYPERLINK("https://ictv.global/taxonomy/taxondetails?taxnode_id=202517833&amp;ictv_id=ICTV202317833","ICTV202317833")</f>
        <v>ICTV202317833</v>
      </c>
      <c r="R5078" t="s">
        <v>579</v>
      </c>
      <c r="S5078" t="s">
        <v>823</v>
      </c>
      <c r="T5078">
        <v>39</v>
      </c>
      <c r="U5078" s="26" t="str">
        <f t="shared" si="197"/>
        <v>2023.007B.Aquingentivirus_ng.zip</v>
      </c>
    </row>
    <row r="5079" spans="1:21">
      <c r="A5079">
        <v>5078</v>
      </c>
      <c r="B5079" s="27" t="s">
        <v>1449</v>
      </c>
      <c r="D5079" s="27" t="s">
        <v>1450</v>
      </c>
      <c r="F5079" s="27" t="s">
        <v>1453</v>
      </c>
      <c r="H5079" s="27" t="s">
        <v>1454</v>
      </c>
      <c r="N5079" s="27" t="s">
        <v>12027</v>
      </c>
      <c r="P5079" s="27" t="s">
        <v>12034</v>
      </c>
      <c r="Q5079" s="26" t="str">
        <f>HYPERLINK("https://ictv.global/taxonomy/taxondetails?taxnode_id=202517835&amp;ictv_id=ICTV202317835","ICTV202317835")</f>
        <v>ICTV202317835</v>
      </c>
      <c r="R5079" t="s">
        <v>579</v>
      </c>
      <c r="S5079" t="s">
        <v>823</v>
      </c>
      <c r="T5079">
        <v>39</v>
      </c>
      <c r="U5079" s="26" t="str">
        <f t="shared" si="197"/>
        <v>2023.007B.Aquingentivirus_ng.zip</v>
      </c>
    </row>
    <row r="5080" spans="1:21">
      <c r="A5080">
        <v>5079</v>
      </c>
      <c r="B5080" s="27" t="s">
        <v>1449</v>
      </c>
      <c r="D5080" s="27" t="s">
        <v>1450</v>
      </c>
      <c r="F5080" s="27" t="s">
        <v>1453</v>
      </c>
      <c r="H5080" s="27" t="s">
        <v>1454</v>
      </c>
      <c r="N5080" s="27" t="s">
        <v>12035</v>
      </c>
      <c r="P5080" s="27" t="s">
        <v>12036</v>
      </c>
      <c r="Q5080" s="26" t="str">
        <f>HYPERLINK("https://ictv.global/taxonomy/taxondetails?taxnode_id=202519216&amp;ictv_id=ICTV202319216","ICTV202319216")</f>
        <v>ICTV202319216</v>
      </c>
      <c r="R5080" t="s">
        <v>579</v>
      </c>
      <c r="S5080" t="s">
        <v>823</v>
      </c>
      <c r="T5080">
        <v>39</v>
      </c>
      <c r="U5080" s="26" t="str">
        <f>HYPERLINK("https://ictv.global/ictv/proposals/2023.049B.Caudoviricetes_Enterococcus_6ng.zip","2023.049B.Caudoviricetes_Enterococcus_6ng.zip")</f>
        <v>2023.049B.Caudoviricetes_Enterococcus_6ng.zip</v>
      </c>
    </row>
    <row r="5081" spans="1:21">
      <c r="A5081">
        <v>5080</v>
      </c>
      <c r="B5081" s="27" t="s">
        <v>1449</v>
      </c>
      <c r="D5081" s="27" t="s">
        <v>1450</v>
      </c>
      <c r="F5081" s="27" t="s">
        <v>1453</v>
      </c>
      <c r="H5081" s="27" t="s">
        <v>1454</v>
      </c>
      <c r="N5081" s="27" t="s">
        <v>12035</v>
      </c>
      <c r="P5081" s="27" t="s">
        <v>12037</v>
      </c>
      <c r="Q5081" s="26" t="str">
        <f>HYPERLINK("https://ictv.global/taxonomy/taxondetails?taxnode_id=202519217&amp;ictv_id=ICTV202319217","ICTV202319217")</f>
        <v>ICTV202319217</v>
      </c>
      <c r="R5081" t="s">
        <v>579</v>
      </c>
      <c r="S5081" t="s">
        <v>823</v>
      </c>
      <c r="T5081">
        <v>39</v>
      </c>
      <c r="U5081" s="26" t="str">
        <f>HYPERLINK("https://ictv.global/ictv/proposals/2023.049B.Caudoviricetes_Enterococcus_6ng.zip","2023.049B.Caudoviricetes_Enterococcus_6ng.zip")</f>
        <v>2023.049B.Caudoviricetes_Enterococcus_6ng.zip</v>
      </c>
    </row>
    <row r="5082" spans="1:21">
      <c r="A5082">
        <v>5081</v>
      </c>
      <c r="B5082" s="27" t="s">
        <v>1449</v>
      </c>
      <c r="D5082" s="27" t="s">
        <v>1450</v>
      </c>
      <c r="F5082" s="27" t="s">
        <v>1453</v>
      </c>
      <c r="H5082" s="27" t="s">
        <v>1454</v>
      </c>
      <c r="N5082" s="27" t="s">
        <v>2245</v>
      </c>
      <c r="P5082" s="27" t="s">
        <v>6600</v>
      </c>
      <c r="Q5082" s="26" t="str">
        <f>HYPERLINK("https://ictv.global/taxonomy/taxondetails?taxnode_id=202509291&amp;ictv_id=ICTV202009291","ICTV202009291")</f>
        <v>ICTV202009291</v>
      </c>
      <c r="R5082" t="s">
        <v>579</v>
      </c>
      <c r="S5082" t="s">
        <v>824</v>
      </c>
      <c r="T5082">
        <v>37</v>
      </c>
      <c r="U5082" s="26" t="str">
        <f>HYPERLINK("https://ictv.global/ictv/proposals/2021.010B.R.Binomial_names.zip","2021.010B.R.Binomial_names.zip")</f>
        <v>2021.010B.R.Binomial_names.zip</v>
      </c>
    </row>
    <row r="5083" spans="1:21">
      <c r="A5083">
        <v>5082</v>
      </c>
      <c r="B5083" s="27" t="s">
        <v>1449</v>
      </c>
      <c r="D5083" s="27" t="s">
        <v>1450</v>
      </c>
      <c r="F5083" s="27" t="s">
        <v>1453</v>
      </c>
      <c r="H5083" s="27" t="s">
        <v>1454</v>
      </c>
      <c r="N5083" s="27" t="s">
        <v>6601</v>
      </c>
      <c r="P5083" s="27" t="s">
        <v>6602</v>
      </c>
      <c r="Q5083" s="26" t="str">
        <f>HYPERLINK("https://ictv.global/taxonomy/taxondetails?taxnode_id=202513127&amp;ictv_id=ICTV202113127","ICTV202113127")</f>
        <v>ICTV202113127</v>
      </c>
      <c r="R5083" t="s">
        <v>579</v>
      </c>
      <c r="S5083" t="s">
        <v>823</v>
      </c>
      <c r="T5083">
        <v>37</v>
      </c>
      <c r="U5083" s="26" t="str">
        <f>HYPERLINK("https://ictv.global/ictv/proposals/2021.004B.R.Archimedesvirus.zip","2021.004B.R.Archimedesvirus.zip")</f>
        <v>2021.004B.R.Archimedesvirus.zip</v>
      </c>
    </row>
    <row r="5084" spans="1:21">
      <c r="A5084">
        <v>5083</v>
      </c>
      <c r="B5084" s="27" t="s">
        <v>1449</v>
      </c>
      <c r="D5084" s="27" t="s">
        <v>1450</v>
      </c>
      <c r="F5084" s="27" t="s">
        <v>1453</v>
      </c>
      <c r="H5084" s="27" t="s">
        <v>1454</v>
      </c>
      <c r="N5084" s="27" t="s">
        <v>1743</v>
      </c>
      <c r="P5084" s="27" t="s">
        <v>6603</v>
      </c>
      <c r="Q5084" s="26" t="str">
        <f>HYPERLINK("https://ictv.global/taxonomy/taxondetails?taxnode_id=202507723&amp;ictv_id=ICTV201907723","ICTV201907723")</f>
        <v>ICTV201907723</v>
      </c>
      <c r="R5084" t="s">
        <v>579</v>
      </c>
      <c r="S5084" t="s">
        <v>824</v>
      </c>
      <c r="T5084">
        <v>37</v>
      </c>
      <c r="U5084" s="26" t="str">
        <f>HYPERLINK("https://ictv.global/ictv/proposals/2021.010B.R.Binomial_names.zip","2021.010B.R.Binomial_names.zip")</f>
        <v>2021.010B.R.Binomial_names.zip</v>
      </c>
    </row>
    <row r="5085" spans="1:21">
      <c r="A5085">
        <v>5084</v>
      </c>
      <c r="B5085" s="27" t="s">
        <v>1449</v>
      </c>
      <c r="D5085" s="27" t="s">
        <v>1450</v>
      </c>
      <c r="F5085" s="27" t="s">
        <v>1453</v>
      </c>
      <c r="H5085" s="27" t="s">
        <v>1454</v>
      </c>
      <c r="N5085" s="27" t="s">
        <v>6604</v>
      </c>
      <c r="P5085" s="27" t="s">
        <v>6605</v>
      </c>
      <c r="Q5085" s="26" t="str">
        <f>HYPERLINK("https://ictv.global/taxonomy/taxondetails?taxnode_id=202514491&amp;ictv_id=ICTV202214491","ICTV202214491")</f>
        <v>ICTV202214491</v>
      </c>
      <c r="R5085" t="s">
        <v>579</v>
      </c>
      <c r="S5085" t="s">
        <v>823</v>
      </c>
      <c r="T5085">
        <v>38</v>
      </c>
      <c r="U5085" s="26" t="str">
        <f>HYPERLINK("https://ictv.global/ictv/proposals/2022.007B.Arvduovirus_ng.zip","2022.007B.Arvduovirus_ng.zip")</f>
        <v>2022.007B.Arvduovirus_ng.zip</v>
      </c>
    </row>
    <row r="5086" spans="1:21">
      <c r="A5086">
        <v>5085</v>
      </c>
      <c r="B5086" s="27" t="s">
        <v>1449</v>
      </c>
      <c r="D5086" s="27" t="s">
        <v>1450</v>
      </c>
      <c r="F5086" s="27" t="s">
        <v>1453</v>
      </c>
      <c r="H5086" s="27" t="s">
        <v>1454</v>
      </c>
      <c r="N5086" s="27" t="s">
        <v>2246</v>
      </c>
      <c r="P5086" s="27" t="s">
        <v>6606</v>
      </c>
      <c r="Q5086" s="26" t="str">
        <f>HYPERLINK("https://ictv.global/taxonomy/taxondetails?taxnode_id=202510191&amp;ictv_id=ICTV202010191","ICTV202010191")</f>
        <v>ICTV202010191</v>
      </c>
      <c r="R5086" t="s">
        <v>579</v>
      </c>
      <c r="S5086" t="s">
        <v>824</v>
      </c>
      <c r="T5086">
        <v>37</v>
      </c>
      <c r="U5086" s="26" t="str">
        <f>HYPERLINK("https://ictv.global/ictv/proposals/2021.010B.R.Binomial_names.zip","2021.010B.R.Binomial_names.zip")</f>
        <v>2021.010B.R.Binomial_names.zip</v>
      </c>
    </row>
    <row r="5087" spans="1:21">
      <c r="A5087">
        <v>5086</v>
      </c>
      <c r="B5087" s="27" t="s">
        <v>1449</v>
      </c>
      <c r="D5087" s="27" t="s">
        <v>1450</v>
      </c>
      <c r="F5087" s="27" t="s">
        <v>1453</v>
      </c>
      <c r="H5087" s="27" t="s">
        <v>1454</v>
      </c>
      <c r="N5087" s="27" t="s">
        <v>12038</v>
      </c>
      <c r="P5087" s="27" t="s">
        <v>12039</v>
      </c>
      <c r="Q5087" s="26" t="str">
        <f>HYPERLINK("https://ictv.global/taxonomy/taxondetails?taxnode_id=202517764&amp;ictv_id=ICTV202317764","ICTV202317764")</f>
        <v>ICTV202317764</v>
      </c>
      <c r="R5087" t="s">
        <v>579</v>
      </c>
      <c r="S5087" t="s">
        <v>823</v>
      </c>
      <c r="T5087">
        <v>39</v>
      </c>
      <c r="U5087" s="26" t="str">
        <f>HYPERLINK("https://ictv.global/ictv/proposals/2023.003B.Actinobacteriophage_singletons_25ng.zip","2023.003B.Actinobacteriophage_singletons_25ng.zip")</f>
        <v>2023.003B.Actinobacteriophage_singletons_25ng.zip</v>
      </c>
    </row>
    <row r="5088" spans="1:21">
      <c r="A5088">
        <v>5087</v>
      </c>
      <c r="B5088" s="27" t="s">
        <v>1449</v>
      </c>
      <c r="D5088" s="27" t="s">
        <v>1450</v>
      </c>
      <c r="F5088" s="27" t="s">
        <v>1453</v>
      </c>
      <c r="H5088" s="27" t="s">
        <v>1454</v>
      </c>
      <c r="N5088" s="27" t="s">
        <v>1223</v>
      </c>
      <c r="P5088" s="27" t="s">
        <v>6607</v>
      </c>
      <c r="Q5088" s="26" t="str">
        <f>HYPERLINK("https://ictv.global/taxonomy/taxondetails?taxnode_id=202506660&amp;ictv_id=ICTV201856660","ICTV201856660")</f>
        <v>ICTV201856660</v>
      </c>
      <c r="R5088" t="s">
        <v>579</v>
      </c>
      <c r="S5088" t="s">
        <v>824</v>
      </c>
      <c r="T5088">
        <v>37</v>
      </c>
      <c r="U5088" s="26" t="str">
        <f>HYPERLINK("https://ictv.global/ictv/proposals/2021.010B.R.Binomial_names.zip","2021.010B.R.Binomial_names.zip")</f>
        <v>2021.010B.R.Binomial_names.zip</v>
      </c>
    </row>
    <row r="5089" spans="1:21">
      <c r="A5089">
        <v>5088</v>
      </c>
      <c r="B5089" s="27" t="s">
        <v>1449</v>
      </c>
      <c r="D5089" s="27" t="s">
        <v>1450</v>
      </c>
      <c r="F5089" s="27" t="s">
        <v>1453</v>
      </c>
      <c r="H5089" s="27" t="s">
        <v>1454</v>
      </c>
      <c r="N5089" s="27" t="s">
        <v>1223</v>
      </c>
      <c r="P5089" s="27" t="s">
        <v>6608</v>
      </c>
      <c r="Q5089" s="26" t="str">
        <f>HYPERLINK("https://ictv.global/taxonomy/taxondetails?taxnode_id=202506659&amp;ictv_id=ICTV201856659","ICTV201856659")</f>
        <v>ICTV201856659</v>
      </c>
      <c r="R5089" t="s">
        <v>579</v>
      </c>
      <c r="S5089" t="s">
        <v>824</v>
      </c>
      <c r="T5089">
        <v>37</v>
      </c>
      <c r="U5089" s="26" t="str">
        <f>HYPERLINK("https://ictv.global/ictv/proposals/2021.010B.R.Binomial_names.zip","2021.010B.R.Binomial_names.zip")</f>
        <v>2021.010B.R.Binomial_names.zip</v>
      </c>
    </row>
    <row r="5090" spans="1:21">
      <c r="A5090">
        <v>5089</v>
      </c>
      <c r="B5090" s="27" t="s">
        <v>1449</v>
      </c>
      <c r="D5090" s="27" t="s">
        <v>1450</v>
      </c>
      <c r="F5090" s="27" t="s">
        <v>1453</v>
      </c>
      <c r="H5090" s="27" t="s">
        <v>1454</v>
      </c>
      <c r="N5090" s="27" t="s">
        <v>2136</v>
      </c>
      <c r="P5090" s="27" t="s">
        <v>6609</v>
      </c>
      <c r="Q5090" s="26" t="str">
        <f>HYPERLINK("https://ictv.global/taxonomy/taxondetails?taxnode_id=202509373&amp;ictv_id=ICTV202009373","ICTV202009373")</f>
        <v>ICTV202009373</v>
      </c>
      <c r="R5090" t="s">
        <v>579</v>
      </c>
      <c r="S5090" t="s">
        <v>824</v>
      </c>
      <c r="T5090">
        <v>37</v>
      </c>
      <c r="U5090" s="26" t="str">
        <f>HYPERLINK("https://ictv.global/ictv/proposals/2021.010B.R.Binomial_names.zip","2021.010B.R.Binomial_names.zip")</f>
        <v>2021.010B.R.Binomial_names.zip</v>
      </c>
    </row>
    <row r="5091" spans="1:21">
      <c r="A5091">
        <v>5090</v>
      </c>
      <c r="B5091" s="27" t="s">
        <v>1449</v>
      </c>
      <c r="D5091" s="27" t="s">
        <v>1450</v>
      </c>
      <c r="F5091" s="27" t="s">
        <v>1453</v>
      </c>
      <c r="H5091" s="27" t="s">
        <v>1454</v>
      </c>
      <c r="N5091" s="27" t="s">
        <v>12040</v>
      </c>
      <c r="P5091" s="27" t="s">
        <v>12041</v>
      </c>
      <c r="Q5091" s="26" t="str">
        <f>HYPERLINK("https://ictv.global/taxonomy/taxondetails?taxnode_id=202517871&amp;ictv_id=ICTV202317871","ICTV202317871")</f>
        <v>ICTV202317871</v>
      </c>
      <c r="R5091" t="s">
        <v>579</v>
      </c>
      <c r="S5091" t="s">
        <v>823</v>
      </c>
      <c r="T5091">
        <v>39</v>
      </c>
      <c r="U5091" s="26" t="str">
        <f>HYPERLINK("https://ictv.global/ictv/proposals/2023.008B.Athenavirus_Theosmithvirus_2ng.zip","2023.008B.Athenavirus_Theosmithvirus_2ng.zip")</f>
        <v>2023.008B.Athenavirus_Theosmithvirus_2ng.zip</v>
      </c>
    </row>
    <row r="5092" spans="1:21">
      <c r="A5092">
        <v>5091</v>
      </c>
      <c r="B5092" s="27" t="s">
        <v>1449</v>
      </c>
      <c r="D5092" s="27" t="s">
        <v>1450</v>
      </c>
      <c r="F5092" s="27" t="s">
        <v>1453</v>
      </c>
      <c r="H5092" s="27" t="s">
        <v>1454</v>
      </c>
      <c r="N5092" s="27" t="s">
        <v>6610</v>
      </c>
      <c r="P5092" s="27" t="s">
        <v>6611</v>
      </c>
      <c r="Q5092" s="26" t="str">
        <f>HYPERLINK("https://ictv.global/taxonomy/taxondetails?taxnode_id=202514965&amp;ictv_id=ICTV202214965","ICTV202214965")</f>
        <v>ICTV202214965</v>
      </c>
      <c r="R5092" t="s">
        <v>579</v>
      </c>
      <c r="S5092" t="s">
        <v>823</v>
      </c>
      <c r="T5092">
        <v>38</v>
      </c>
      <c r="U5092" s="26" t="str">
        <f>HYPERLINK("https://ictv.global/ictv/proposals/2022.091B.Caudoviricetes_3ng_actinophages.zip","2022.091B.Caudoviricetes_3ng_actinophages.zip")</f>
        <v>2022.091B.Caudoviricetes_3ng_actinophages.zip</v>
      </c>
    </row>
    <row r="5093" spans="1:21">
      <c r="A5093">
        <v>5092</v>
      </c>
      <c r="B5093" s="27" t="s">
        <v>1449</v>
      </c>
      <c r="D5093" s="27" t="s">
        <v>1450</v>
      </c>
      <c r="F5093" s="27" t="s">
        <v>1453</v>
      </c>
      <c r="H5093" s="27" t="s">
        <v>1454</v>
      </c>
      <c r="N5093" s="27" t="s">
        <v>842</v>
      </c>
      <c r="P5093" s="27" t="s">
        <v>6612</v>
      </c>
      <c r="Q5093" s="26" t="str">
        <f>HYPERLINK("https://ictv.global/taxonomy/taxondetails?taxnode_id=202505541&amp;ictv_id=ICTV20175541","ICTV20175541")</f>
        <v>ICTV20175541</v>
      </c>
      <c r="R5093" t="s">
        <v>579</v>
      </c>
      <c r="S5093" t="s">
        <v>824</v>
      </c>
      <c r="T5093">
        <v>37</v>
      </c>
      <c r="U5093" s="26" t="str">
        <f>HYPERLINK("https://ictv.global/ictv/proposals/2021.010B.R.Binomial_names.zip","2021.010B.R.Binomial_names.zip")</f>
        <v>2021.010B.R.Binomial_names.zip</v>
      </c>
    </row>
    <row r="5094" spans="1:21">
      <c r="A5094">
        <v>5093</v>
      </c>
      <c r="B5094" s="27" t="s">
        <v>1449</v>
      </c>
      <c r="D5094" s="27" t="s">
        <v>1450</v>
      </c>
      <c r="F5094" s="27" t="s">
        <v>1453</v>
      </c>
      <c r="H5094" s="27" t="s">
        <v>1454</v>
      </c>
      <c r="N5094" s="27" t="s">
        <v>842</v>
      </c>
      <c r="P5094" s="27" t="s">
        <v>6613</v>
      </c>
      <c r="Q5094" s="26" t="str">
        <f>HYPERLINK("https://ictv.global/taxonomy/taxondetails?taxnode_id=202514908&amp;ictv_id=ICTV202214908","ICTV202214908")</f>
        <v>ICTV202214908</v>
      </c>
      <c r="R5094" t="s">
        <v>579</v>
      </c>
      <c r="S5094" t="s">
        <v>823</v>
      </c>
      <c r="T5094">
        <v>38</v>
      </c>
      <c r="U5094" s="26" t="str">
        <f t="shared" ref="U5094:U5101" si="198">HYPERLINK("https://ictv.global/ictv/proposals/2022.084B.Caudoviricetes_6ng_33nsp.zip","2022.084B.Caudoviricetes_6ng_33nsp.zip")</f>
        <v>2022.084B.Caudoviricetes_6ng_33nsp.zip</v>
      </c>
    </row>
    <row r="5095" spans="1:21">
      <c r="A5095">
        <v>5094</v>
      </c>
      <c r="B5095" s="27" t="s">
        <v>1449</v>
      </c>
      <c r="D5095" s="27" t="s">
        <v>1450</v>
      </c>
      <c r="F5095" s="27" t="s">
        <v>1453</v>
      </c>
      <c r="H5095" s="27" t="s">
        <v>1454</v>
      </c>
      <c r="N5095" s="27" t="s">
        <v>842</v>
      </c>
      <c r="P5095" s="27" t="s">
        <v>6614</v>
      </c>
      <c r="Q5095" s="26" t="str">
        <f>HYPERLINK("https://ictv.global/taxonomy/taxondetails?taxnode_id=202514909&amp;ictv_id=ICTV202214909","ICTV202214909")</f>
        <v>ICTV202214909</v>
      </c>
      <c r="R5095" t="s">
        <v>579</v>
      </c>
      <c r="S5095" t="s">
        <v>823</v>
      </c>
      <c r="T5095">
        <v>38</v>
      </c>
      <c r="U5095" s="26" t="str">
        <f t="shared" si="198"/>
        <v>2022.084B.Caudoviricetes_6ng_33nsp.zip</v>
      </c>
    </row>
    <row r="5096" spans="1:21">
      <c r="A5096">
        <v>5095</v>
      </c>
      <c r="B5096" s="27" t="s">
        <v>1449</v>
      </c>
      <c r="D5096" s="27" t="s">
        <v>1450</v>
      </c>
      <c r="F5096" s="27" t="s">
        <v>1453</v>
      </c>
      <c r="H5096" s="27" t="s">
        <v>1454</v>
      </c>
      <c r="N5096" s="27" t="s">
        <v>842</v>
      </c>
      <c r="P5096" s="27" t="s">
        <v>6615</v>
      </c>
      <c r="Q5096" s="26" t="str">
        <f>HYPERLINK("https://ictv.global/taxonomy/taxondetails?taxnode_id=202514906&amp;ictv_id=ICTV202214906","ICTV202214906")</f>
        <v>ICTV202214906</v>
      </c>
      <c r="R5096" t="s">
        <v>579</v>
      </c>
      <c r="S5096" t="s">
        <v>823</v>
      </c>
      <c r="T5096">
        <v>38</v>
      </c>
      <c r="U5096" s="26" t="str">
        <f t="shared" si="198"/>
        <v>2022.084B.Caudoviricetes_6ng_33nsp.zip</v>
      </c>
    </row>
    <row r="5097" spans="1:21">
      <c r="A5097">
        <v>5096</v>
      </c>
      <c r="B5097" s="27" t="s">
        <v>1449</v>
      </c>
      <c r="D5097" s="27" t="s">
        <v>1450</v>
      </c>
      <c r="F5097" s="27" t="s">
        <v>1453</v>
      </c>
      <c r="H5097" s="27" t="s">
        <v>1454</v>
      </c>
      <c r="N5097" s="27" t="s">
        <v>842</v>
      </c>
      <c r="P5097" s="27" t="s">
        <v>6616</v>
      </c>
      <c r="Q5097" s="26" t="str">
        <f>HYPERLINK("https://ictv.global/taxonomy/taxondetails?taxnode_id=202514903&amp;ictv_id=ICTV202214903","ICTV202214903")</f>
        <v>ICTV202214903</v>
      </c>
      <c r="R5097" t="s">
        <v>579</v>
      </c>
      <c r="S5097" t="s">
        <v>823</v>
      </c>
      <c r="T5097">
        <v>38</v>
      </c>
      <c r="U5097" s="26" t="str">
        <f t="shared" si="198"/>
        <v>2022.084B.Caudoviricetes_6ng_33nsp.zip</v>
      </c>
    </row>
    <row r="5098" spans="1:21">
      <c r="A5098">
        <v>5097</v>
      </c>
      <c r="B5098" s="27" t="s">
        <v>1449</v>
      </c>
      <c r="D5098" s="27" t="s">
        <v>1450</v>
      </c>
      <c r="F5098" s="27" t="s">
        <v>1453</v>
      </c>
      <c r="H5098" s="27" t="s">
        <v>1454</v>
      </c>
      <c r="N5098" s="27" t="s">
        <v>842</v>
      </c>
      <c r="P5098" s="27" t="s">
        <v>6617</v>
      </c>
      <c r="Q5098" s="26" t="str">
        <f>HYPERLINK("https://ictv.global/taxonomy/taxondetails?taxnode_id=202514904&amp;ictv_id=ICTV202214904","ICTV202214904")</f>
        <v>ICTV202214904</v>
      </c>
      <c r="R5098" t="s">
        <v>579</v>
      </c>
      <c r="S5098" t="s">
        <v>823</v>
      </c>
      <c r="T5098">
        <v>38</v>
      </c>
      <c r="U5098" s="26" t="str">
        <f t="shared" si="198"/>
        <v>2022.084B.Caudoviricetes_6ng_33nsp.zip</v>
      </c>
    </row>
    <row r="5099" spans="1:21">
      <c r="A5099">
        <v>5098</v>
      </c>
      <c r="B5099" s="27" t="s">
        <v>1449</v>
      </c>
      <c r="D5099" s="27" t="s">
        <v>1450</v>
      </c>
      <c r="F5099" s="27" t="s">
        <v>1453</v>
      </c>
      <c r="H5099" s="27" t="s">
        <v>1454</v>
      </c>
      <c r="N5099" s="27" t="s">
        <v>842</v>
      </c>
      <c r="P5099" s="27" t="s">
        <v>6618</v>
      </c>
      <c r="Q5099" s="26" t="str">
        <f>HYPERLINK("https://ictv.global/taxonomy/taxondetails?taxnode_id=202514907&amp;ictv_id=ICTV202214907","ICTV202214907")</f>
        <v>ICTV202214907</v>
      </c>
      <c r="R5099" t="s">
        <v>579</v>
      </c>
      <c r="S5099" t="s">
        <v>823</v>
      </c>
      <c r="T5099">
        <v>38</v>
      </c>
      <c r="U5099" s="26" t="str">
        <f t="shared" si="198"/>
        <v>2022.084B.Caudoviricetes_6ng_33nsp.zip</v>
      </c>
    </row>
    <row r="5100" spans="1:21">
      <c r="A5100">
        <v>5099</v>
      </c>
      <c r="B5100" s="27" t="s">
        <v>1449</v>
      </c>
      <c r="D5100" s="27" t="s">
        <v>1450</v>
      </c>
      <c r="F5100" s="27" t="s">
        <v>1453</v>
      </c>
      <c r="H5100" s="27" t="s">
        <v>1454</v>
      </c>
      <c r="N5100" s="27" t="s">
        <v>842</v>
      </c>
      <c r="P5100" s="27" t="s">
        <v>6619</v>
      </c>
      <c r="Q5100" s="26" t="str">
        <f>HYPERLINK("https://ictv.global/taxonomy/taxondetails?taxnode_id=202514902&amp;ictv_id=ICTV202214902","ICTV202214902")</f>
        <v>ICTV202214902</v>
      </c>
      <c r="R5100" t="s">
        <v>579</v>
      </c>
      <c r="S5100" t="s">
        <v>823</v>
      </c>
      <c r="T5100">
        <v>38</v>
      </c>
      <c r="U5100" s="26" t="str">
        <f t="shared" si="198"/>
        <v>2022.084B.Caudoviricetes_6ng_33nsp.zip</v>
      </c>
    </row>
    <row r="5101" spans="1:21">
      <c r="A5101">
        <v>5100</v>
      </c>
      <c r="B5101" s="27" t="s">
        <v>1449</v>
      </c>
      <c r="D5101" s="27" t="s">
        <v>1450</v>
      </c>
      <c r="F5101" s="27" t="s">
        <v>1453</v>
      </c>
      <c r="H5101" s="27" t="s">
        <v>1454</v>
      </c>
      <c r="N5101" s="27" t="s">
        <v>842</v>
      </c>
      <c r="P5101" s="27" t="s">
        <v>6620</v>
      </c>
      <c r="Q5101" s="26" t="str">
        <f>HYPERLINK("https://ictv.global/taxonomy/taxondetails?taxnode_id=202514905&amp;ictv_id=ICTV202214905","ICTV202214905")</f>
        <v>ICTV202214905</v>
      </c>
      <c r="R5101" t="s">
        <v>579</v>
      </c>
      <c r="S5101" t="s">
        <v>823</v>
      </c>
      <c r="T5101">
        <v>38</v>
      </c>
      <c r="U5101" s="26" t="str">
        <f t="shared" si="198"/>
        <v>2022.084B.Caudoviricetes_6ng_33nsp.zip</v>
      </c>
    </row>
    <row r="5102" spans="1:21">
      <c r="A5102">
        <v>5101</v>
      </c>
      <c r="B5102" s="27" t="s">
        <v>1449</v>
      </c>
      <c r="D5102" s="27" t="s">
        <v>1450</v>
      </c>
      <c r="F5102" s="27" t="s">
        <v>1453</v>
      </c>
      <c r="H5102" s="27" t="s">
        <v>1454</v>
      </c>
      <c r="N5102" s="27" t="s">
        <v>1744</v>
      </c>
      <c r="P5102" s="27" t="s">
        <v>6621</v>
      </c>
      <c r="Q5102" s="26" t="str">
        <f>HYPERLINK("https://ictv.global/taxonomy/taxondetails?taxnode_id=202507725&amp;ictv_id=ICTV201907725","ICTV201907725")</f>
        <v>ICTV201907725</v>
      </c>
      <c r="R5102" t="s">
        <v>579</v>
      </c>
      <c r="S5102" t="s">
        <v>824</v>
      </c>
      <c r="T5102">
        <v>37</v>
      </c>
      <c r="U5102" s="26" t="str">
        <f t="shared" ref="U5102:U5110" si="199">HYPERLINK("https://ictv.global/ictv/proposals/2021.010B.R.Binomial_names.zip","2021.010B.R.Binomial_names.zip")</f>
        <v>2021.010B.R.Binomial_names.zip</v>
      </c>
    </row>
    <row r="5103" spans="1:21">
      <c r="A5103">
        <v>5102</v>
      </c>
      <c r="B5103" s="27" t="s">
        <v>1449</v>
      </c>
      <c r="D5103" s="27" t="s">
        <v>1450</v>
      </c>
      <c r="F5103" s="27" t="s">
        <v>1453</v>
      </c>
      <c r="H5103" s="27" t="s">
        <v>1454</v>
      </c>
      <c r="N5103" s="27" t="s">
        <v>2247</v>
      </c>
      <c r="P5103" s="27" t="s">
        <v>6622</v>
      </c>
      <c r="Q5103" s="26" t="str">
        <f>HYPERLINK("https://ictv.global/taxonomy/taxondetails?taxnode_id=202509386&amp;ictv_id=ICTV202009386","ICTV202009386")</f>
        <v>ICTV202009386</v>
      </c>
      <c r="R5103" t="s">
        <v>579</v>
      </c>
      <c r="S5103" t="s">
        <v>824</v>
      </c>
      <c r="T5103">
        <v>37</v>
      </c>
      <c r="U5103" s="26" t="str">
        <f t="shared" si="199"/>
        <v>2021.010B.R.Binomial_names.zip</v>
      </c>
    </row>
    <row r="5104" spans="1:21">
      <c r="A5104">
        <v>5103</v>
      </c>
      <c r="B5104" s="27" t="s">
        <v>1449</v>
      </c>
      <c r="D5104" s="27" t="s">
        <v>1450</v>
      </c>
      <c r="F5104" s="27" t="s">
        <v>1453</v>
      </c>
      <c r="H5104" s="27" t="s">
        <v>1454</v>
      </c>
      <c r="N5104" s="27" t="s">
        <v>2247</v>
      </c>
      <c r="P5104" s="27" t="s">
        <v>6623</v>
      </c>
      <c r="Q5104" s="26" t="str">
        <f>HYPERLINK("https://ictv.global/taxonomy/taxondetails?taxnode_id=202509388&amp;ictv_id=ICTV202009388","ICTV202009388")</f>
        <v>ICTV202009388</v>
      </c>
      <c r="R5104" t="s">
        <v>579</v>
      </c>
      <c r="S5104" t="s">
        <v>824</v>
      </c>
      <c r="T5104">
        <v>37</v>
      </c>
      <c r="U5104" s="26" t="str">
        <f t="shared" si="199"/>
        <v>2021.010B.R.Binomial_names.zip</v>
      </c>
    </row>
    <row r="5105" spans="1:21">
      <c r="A5105">
        <v>5104</v>
      </c>
      <c r="B5105" s="27" t="s">
        <v>1449</v>
      </c>
      <c r="D5105" s="27" t="s">
        <v>1450</v>
      </c>
      <c r="F5105" s="27" t="s">
        <v>1453</v>
      </c>
      <c r="H5105" s="27" t="s">
        <v>1454</v>
      </c>
      <c r="N5105" s="27" t="s">
        <v>2247</v>
      </c>
      <c r="P5105" s="27" t="s">
        <v>6624</v>
      </c>
      <c r="Q5105" s="26" t="str">
        <f>HYPERLINK("https://ictv.global/taxonomy/taxondetails?taxnode_id=202509385&amp;ictv_id=ICTV202009385","ICTV202009385")</f>
        <v>ICTV202009385</v>
      </c>
      <c r="R5105" t="s">
        <v>579</v>
      </c>
      <c r="S5105" t="s">
        <v>824</v>
      </c>
      <c r="T5105">
        <v>37</v>
      </c>
      <c r="U5105" s="26" t="str">
        <f t="shared" si="199"/>
        <v>2021.010B.R.Binomial_names.zip</v>
      </c>
    </row>
    <row r="5106" spans="1:21">
      <c r="A5106">
        <v>5105</v>
      </c>
      <c r="B5106" s="27" t="s">
        <v>1449</v>
      </c>
      <c r="D5106" s="27" t="s">
        <v>1450</v>
      </c>
      <c r="F5106" s="27" t="s">
        <v>1453</v>
      </c>
      <c r="H5106" s="27" t="s">
        <v>1454</v>
      </c>
      <c r="N5106" s="27" t="s">
        <v>2247</v>
      </c>
      <c r="P5106" s="27" t="s">
        <v>6625</v>
      </c>
      <c r="Q5106" s="26" t="str">
        <f>HYPERLINK("https://ictv.global/taxonomy/taxondetails?taxnode_id=202509389&amp;ictv_id=ICTV202009389","ICTV202009389")</f>
        <v>ICTV202009389</v>
      </c>
      <c r="R5106" t="s">
        <v>579</v>
      </c>
      <c r="S5106" t="s">
        <v>824</v>
      </c>
      <c r="T5106">
        <v>37</v>
      </c>
      <c r="U5106" s="26" t="str">
        <f t="shared" si="199"/>
        <v>2021.010B.R.Binomial_names.zip</v>
      </c>
    </row>
    <row r="5107" spans="1:21">
      <c r="A5107">
        <v>5106</v>
      </c>
      <c r="B5107" s="27" t="s">
        <v>1449</v>
      </c>
      <c r="D5107" s="27" t="s">
        <v>1450</v>
      </c>
      <c r="F5107" s="27" t="s">
        <v>1453</v>
      </c>
      <c r="H5107" s="27" t="s">
        <v>1454</v>
      </c>
      <c r="N5107" s="27" t="s">
        <v>2247</v>
      </c>
      <c r="P5107" s="27" t="s">
        <v>6626</v>
      </c>
      <c r="Q5107" s="26" t="str">
        <f>HYPERLINK("https://ictv.global/taxonomy/taxondetails?taxnode_id=202509387&amp;ictv_id=ICTV202009387","ICTV202009387")</f>
        <v>ICTV202009387</v>
      </c>
      <c r="R5107" t="s">
        <v>579</v>
      </c>
      <c r="S5107" t="s">
        <v>824</v>
      </c>
      <c r="T5107">
        <v>37</v>
      </c>
      <c r="U5107" s="26" t="str">
        <f t="shared" si="199"/>
        <v>2021.010B.R.Binomial_names.zip</v>
      </c>
    </row>
    <row r="5108" spans="1:21">
      <c r="A5108">
        <v>5107</v>
      </c>
      <c r="B5108" s="27" t="s">
        <v>1449</v>
      </c>
      <c r="D5108" s="27" t="s">
        <v>1450</v>
      </c>
      <c r="F5108" s="27" t="s">
        <v>1453</v>
      </c>
      <c r="H5108" s="27" t="s">
        <v>1454</v>
      </c>
      <c r="N5108" s="27" t="s">
        <v>2247</v>
      </c>
      <c r="P5108" s="27" t="s">
        <v>6627</v>
      </c>
      <c r="Q5108" s="26" t="str">
        <f>HYPERLINK("https://ictv.global/taxonomy/taxondetails?taxnode_id=202509391&amp;ictv_id=ICTV202009391","ICTV202009391")</f>
        <v>ICTV202009391</v>
      </c>
      <c r="R5108" t="s">
        <v>579</v>
      </c>
      <c r="S5108" t="s">
        <v>824</v>
      </c>
      <c r="T5108">
        <v>37</v>
      </c>
      <c r="U5108" s="26" t="str">
        <f t="shared" si="199"/>
        <v>2021.010B.R.Binomial_names.zip</v>
      </c>
    </row>
    <row r="5109" spans="1:21">
      <c r="A5109">
        <v>5108</v>
      </c>
      <c r="B5109" s="27" t="s">
        <v>1449</v>
      </c>
      <c r="D5109" s="27" t="s">
        <v>1450</v>
      </c>
      <c r="F5109" s="27" t="s">
        <v>1453</v>
      </c>
      <c r="H5109" s="27" t="s">
        <v>1454</v>
      </c>
      <c r="N5109" s="27" t="s">
        <v>2247</v>
      </c>
      <c r="P5109" s="27" t="s">
        <v>6628</v>
      </c>
      <c r="Q5109" s="26" t="str">
        <f>HYPERLINK("https://ictv.global/taxonomy/taxondetails?taxnode_id=202509390&amp;ictv_id=ICTV202009390","ICTV202009390")</f>
        <v>ICTV202009390</v>
      </c>
      <c r="R5109" t="s">
        <v>579</v>
      </c>
      <c r="S5109" t="s">
        <v>824</v>
      </c>
      <c r="T5109">
        <v>37</v>
      </c>
      <c r="U5109" s="26" t="str">
        <f t="shared" si="199"/>
        <v>2021.010B.R.Binomial_names.zip</v>
      </c>
    </row>
    <row r="5110" spans="1:21">
      <c r="A5110">
        <v>5109</v>
      </c>
      <c r="B5110" s="27" t="s">
        <v>1449</v>
      </c>
      <c r="D5110" s="27" t="s">
        <v>1450</v>
      </c>
      <c r="F5110" s="27" t="s">
        <v>1453</v>
      </c>
      <c r="H5110" s="27" t="s">
        <v>1454</v>
      </c>
      <c r="N5110" s="27" t="s">
        <v>1667</v>
      </c>
      <c r="P5110" s="27" t="s">
        <v>6629</v>
      </c>
      <c r="Q5110" s="26" t="str">
        <f>HYPERLINK("https://ictv.global/taxonomy/taxondetails?taxnode_id=202507766&amp;ictv_id=ICTV201907766","ICTV201907766")</f>
        <v>ICTV201907766</v>
      </c>
      <c r="R5110" t="s">
        <v>579</v>
      </c>
      <c r="S5110" t="s">
        <v>824</v>
      </c>
      <c r="T5110">
        <v>37</v>
      </c>
      <c r="U5110" s="26" t="str">
        <f t="shared" si="199"/>
        <v>2021.010B.R.Binomial_names.zip</v>
      </c>
    </row>
    <row r="5111" spans="1:21">
      <c r="A5111">
        <v>5110</v>
      </c>
      <c r="B5111" s="27" t="s">
        <v>1449</v>
      </c>
      <c r="D5111" s="27" t="s">
        <v>1450</v>
      </c>
      <c r="F5111" s="27" t="s">
        <v>1453</v>
      </c>
      <c r="H5111" s="27" t="s">
        <v>1454</v>
      </c>
      <c r="N5111" s="27" t="s">
        <v>21275</v>
      </c>
      <c r="P5111" s="27" t="s">
        <v>21276</v>
      </c>
      <c r="Q5111" s="26" t="str">
        <f>HYPERLINK("https://ictv.global/taxonomy/taxondetails?taxnode_id=202522174&amp;ictv_id=ICTV202522174","ICTV202522174")</f>
        <v>ICTV202522174</v>
      </c>
      <c r="R5111" t="s">
        <v>579</v>
      </c>
      <c r="S5111" t="s">
        <v>823</v>
      </c>
      <c r="T5111">
        <v>41</v>
      </c>
      <c r="U5111" s="26" t="str">
        <f>HYPERLINK("https://ictv.global/ictv/proposals/2025.005B.Aussievirus_1ng_2ns.zip","2025.005B.Aussievirus_1ng_2ns.zip")</f>
        <v>2025.005B.Aussievirus_1ng_2ns.zip</v>
      </c>
    </row>
    <row r="5112" spans="1:21">
      <c r="A5112">
        <v>5111</v>
      </c>
      <c r="B5112" s="27" t="s">
        <v>1449</v>
      </c>
      <c r="D5112" s="27" t="s">
        <v>1450</v>
      </c>
      <c r="F5112" s="27" t="s">
        <v>1453</v>
      </c>
      <c r="H5112" s="27" t="s">
        <v>1454</v>
      </c>
      <c r="N5112" s="27" t="s">
        <v>21275</v>
      </c>
      <c r="P5112" s="27" t="s">
        <v>21277</v>
      </c>
      <c r="Q5112" s="26" t="str">
        <f>HYPERLINK("https://ictv.global/taxonomy/taxondetails?taxnode_id=202522175&amp;ictv_id=ICTV202522175","ICTV202522175")</f>
        <v>ICTV202522175</v>
      </c>
      <c r="R5112" t="s">
        <v>579</v>
      </c>
      <c r="S5112" t="s">
        <v>823</v>
      </c>
      <c r="T5112">
        <v>41</v>
      </c>
      <c r="U5112" s="26" t="str">
        <f>HYPERLINK("https://ictv.global/ictv/proposals/2025.005B.Aussievirus_1ng_2ns.zip","2025.005B.Aussievirus_1ng_2ns.zip")</f>
        <v>2025.005B.Aussievirus_1ng_2ns.zip</v>
      </c>
    </row>
    <row r="5113" spans="1:21">
      <c r="A5113">
        <v>5112</v>
      </c>
      <c r="B5113" s="27" t="s">
        <v>1449</v>
      </c>
      <c r="D5113" s="27" t="s">
        <v>1450</v>
      </c>
      <c r="F5113" s="27" t="s">
        <v>1453</v>
      </c>
      <c r="H5113" s="27" t="s">
        <v>1454</v>
      </c>
      <c r="N5113" s="27" t="s">
        <v>1745</v>
      </c>
      <c r="P5113" s="27" t="s">
        <v>6630</v>
      </c>
      <c r="Q5113" s="26" t="str">
        <f>HYPERLINK("https://ictv.global/taxonomy/taxondetails?taxnode_id=202507727&amp;ictv_id=ICTV201907727","ICTV201907727")</f>
        <v>ICTV201907727</v>
      </c>
      <c r="R5113" t="s">
        <v>579</v>
      </c>
      <c r="S5113" t="s">
        <v>824</v>
      </c>
      <c r="T5113">
        <v>37</v>
      </c>
      <c r="U5113" s="26" t="str">
        <f>HYPERLINK("https://ictv.global/ictv/proposals/2021.010B.R.Binomial_names.zip","2021.010B.R.Binomial_names.zip")</f>
        <v>2021.010B.R.Binomial_names.zip</v>
      </c>
    </row>
    <row r="5114" spans="1:21">
      <c r="A5114">
        <v>5113</v>
      </c>
      <c r="B5114" s="27" t="s">
        <v>1449</v>
      </c>
      <c r="D5114" s="27" t="s">
        <v>1450</v>
      </c>
      <c r="F5114" s="27" t="s">
        <v>1453</v>
      </c>
      <c r="H5114" s="27" t="s">
        <v>1454</v>
      </c>
      <c r="N5114" s="27" t="s">
        <v>1745</v>
      </c>
      <c r="P5114" s="27" t="s">
        <v>6631</v>
      </c>
      <c r="Q5114" s="26" t="str">
        <f>HYPERLINK("https://ictv.global/taxonomy/taxondetails?taxnode_id=202507728&amp;ictv_id=ICTV201907728","ICTV201907728")</f>
        <v>ICTV201907728</v>
      </c>
      <c r="R5114" t="s">
        <v>579</v>
      </c>
      <c r="S5114" t="s">
        <v>824</v>
      </c>
      <c r="T5114">
        <v>37</v>
      </c>
      <c r="U5114" s="26" t="str">
        <f>HYPERLINK("https://ictv.global/ictv/proposals/2021.010B.R.Binomial_names.zip","2021.010B.R.Binomial_names.zip")</f>
        <v>2021.010B.R.Binomial_names.zip</v>
      </c>
    </row>
    <row r="5115" spans="1:21">
      <c r="A5115">
        <v>5114</v>
      </c>
      <c r="B5115" s="27" t="s">
        <v>1449</v>
      </c>
      <c r="D5115" s="27" t="s">
        <v>1450</v>
      </c>
      <c r="F5115" s="27" t="s">
        <v>1453</v>
      </c>
      <c r="H5115" s="27" t="s">
        <v>1454</v>
      </c>
      <c r="N5115" s="27" t="s">
        <v>1745</v>
      </c>
      <c r="P5115" s="27" t="s">
        <v>6632</v>
      </c>
      <c r="Q5115" s="26" t="str">
        <f>HYPERLINK("https://ictv.global/taxonomy/taxondetails?taxnode_id=202507729&amp;ictv_id=ICTV201907729","ICTV201907729")</f>
        <v>ICTV201907729</v>
      </c>
      <c r="R5115" t="s">
        <v>579</v>
      </c>
      <c r="S5115" t="s">
        <v>824</v>
      </c>
      <c r="T5115">
        <v>37</v>
      </c>
      <c r="U5115" s="26" t="str">
        <f>HYPERLINK("https://ictv.global/ictv/proposals/2021.010B.R.Binomial_names.zip","2021.010B.R.Binomial_names.zip")</f>
        <v>2021.010B.R.Binomial_names.zip</v>
      </c>
    </row>
    <row r="5116" spans="1:21">
      <c r="A5116">
        <v>5115</v>
      </c>
      <c r="B5116" s="27" t="s">
        <v>1449</v>
      </c>
      <c r="D5116" s="27" t="s">
        <v>1450</v>
      </c>
      <c r="F5116" s="27" t="s">
        <v>1453</v>
      </c>
      <c r="H5116" s="27" t="s">
        <v>1454</v>
      </c>
      <c r="N5116" s="27" t="s">
        <v>6633</v>
      </c>
      <c r="P5116" s="27" t="s">
        <v>6634</v>
      </c>
      <c r="Q5116" s="26" t="str">
        <f>HYPERLINK("https://ictv.global/taxonomy/taxondetails?taxnode_id=202514495&amp;ictv_id=ICTV202214495","ICTV202214495")</f>
        <v>ICTV202214495</v>
      </c>
      <c r="R5116" t="s">
        <v>579</v>
      </c>
      <c r="S5116" t="s">
        <v>823</v>
      </c>
      <c r="T5116">
        <v>38</v>
      </c>
      <c r="U5116" s="26" t="str">
        <f>HYPERLINK("https://ictv.global/ictv/proposals/2022.009B.Axeltriavirus_ng.zip","2022.009B.Axeltriavirus_ng.zip")</f>
        <v>2022.009B.Axeltriavirus_ng.zip</v>
      </c>
    </row>
    <row r="5117" spans="1:21">
      <c r="A5117">
        <v>5116</v>
      </c>
      <c r="B5117" s="27" t="s">
        <v>1449</v>
      </c>
      <c r="D5117" s="27" t="s">
        <v>1450</v>
      </c>
      <c r="F5117" s="27" t="s">
        <v>1453</v>
      </c>
      <c r="H5117" s="27" t="s">
        <v>1454</v>
      </c>
      <c r="N5117" s="27" t="s">
        <v>6636</v>
      </c>
      <c r="P5117" s="27" t="s">
        <v>6637</v>
      </c>
      <c r="Q5117" s="26" t="str">
        <f>HYPERLINK("https://ictv.global/taxonomy/taxondetails?taxnode_id=202501010&amp;ictv_id=ICTV20140365","ICTV20140365")</f>
        <v>ICTV20140365</v>
      </c>
      <c r="R5117" t="s">
        <v>579</v>
      </c>
      <c r="S5117" t="s">
        <v>22764</v>
      </c>
      <c r="T5117">
        <v>37</v>
      </c>
      <c r="U5117" s="26" t="str">
        <f t="shared" ref="U5117:U5132" si="200">HYPERLINK("https://ictv.global/ictv/proposals/2021.006B.R.Backyardiganvirus.zip","2021.006B.R.Backyardiganvirus.zip")</f>
        <v>2021.006B.R.Backyardiganvirus.zip</v>
      </c>
    </row>
    <row r="5118" spans="1:21">
      <c r="A5118">
        <v>5117</v>
      </c>
      <c r="B5118" s="27" t="s">
        <v>1449</v>
      </c>
      <c r="D5118" s="27" t="s">
        <v>1450</v>
      </c>
      <c r="F5118" s="27" t="s">
        <v>1453</v>
      </c>
      <c r="H5118" s="27" t="s">
        <v>1454</v>
      </c>
      <c r="N5118" s="27" t="s">
        <v>6636</v>
      </c>
      <c r="P5118" s="27" t="s">
        <v>6638</v>
      </c>
      <c r="Q5118" s="26" t="str">
        <f>HYPERLINK("https://ictv.global/taxonomy/taxondetails?taxnode_id=202501012&amp;ictv_id=ICTV20140367","ICTV20140367")</f>
        <v>ICTV20140367</v>
      </c>
      <c r="R5118" t="s">
        <v>579</v>
      </c>
      <c r="S5118" t="s">
        <v>22764</v>
      </c>
      <c r="T5118">
        <v>37</v>
      </c>
      <c r="U5118" s="26" t="str">
        <f t="shared" si="200"/>
        <v>2021.006B.R.Backyardiganvirus.zip</v>
      </c>
    </row>
    <row r="5119" spans="1:21">
      <c r="A5119">
        <v>5118</v>
      </c>
      <c r="B5119" s="27" t="s">
        <v>1449</v>
      </c>
      <c r="D5119" s="27" t="s">
        <v>1450</v>
      </c>
      <c r="F5119" s="27" t="s">
        <v>1453</v>
      </c>
      <c r="H5119" s="27" t="s">
        <v>1454</v>
      </c>
      <c r="N5119" s="27" t="s">
        <v>6636</v>
      </c>
      <c r="P5119" s="27" t="s">
        <v>6639</v>
      </c>
      <c r="Q5119" s="26" t="str">
        <f>HYPERLINK("https://ictv.global/taxonomy/taxondetails?taxnode_id=202513168&amp;ictv_id=ICTV202113168","ICTV202113168")</f>
        <v>ICTV202113168</v>
      </c>
      <c r="R5119" t="s">
        <v>579</v>
      </c>
      <c r="S5119" t="s">
        <v>823</v>
      </c>
      <c r="T5119">
        <v>37</v>
      </c>
      <c r="U5119" s="26" t="str">
        <f t="shared" si="200"/>
        <v>2021.006B.R.Backyardiganvirus.zip</v>
      </c>
    </row>
    <row r="5120" spans="1:21">
      <c r="A5120">
        <v>5119</v>
      </c>
      <c r="B5120" s="27" t="s">
        <v>1449</v>
      </c>
      <c r="D5120" s="27" t="s">
        <v>1450</v>
      </c>
      <c r="F5120" s="27" t="s">
        <v>1453</v>
      </c>
      <c r="H5120" s="27" t="s">
        <v>1454</v>
      </c>
      <c r="N5120" s="27" t="s">
        <v>6636</v>
      </c>
      <c r="P5120" s="27" t="s">
        <v>6640</v>
      </c>
      <c r="Q5120" s="26" t="str">
        <f>HYPERLINK("https://ictv.global/taxonomy/taxondetails?taxnode_id=202513171&amp;ictv_id=ICTV202113171","ICTV202113171")</f>
        <v>ICTV202113171</v>
      </c>
      <c r="R5120" t="s">
        <v>579</v>
      </c>
      <c r="S5120" t="s">
        <v>823</v>
      </c>
      <c r="T5120">
        <v>37</v>
      </c>
      <c r="U5120" s="26" t="str">
        <f t="shared" si="200"/>
        <v>2021.006B.R.Backyardiganvirus.zip</v>
      </c>
    </row>
    <row r="5121" spans="1:21">
      <c r="A5121">
        <v>5120</v>
      </c>
      <c r="B5121" s="27" t="s">
        <v>1449</v>
      </c>
      <c r="D5121" s="27" t="s">
        <v>1450</v>
      </c>
      <c r="F5121" s="27" t="s">
        <v>1453</v>
      </c>
      <c r="H5121" s="27" t="s">
        <v>1454</v>
      </c>
      <c r="N5121" s="27" t="s">
        <v>6636</v>
      </c>
      <c r="P5121" s="27" t="s">
        <v>6641</v>
      </c>
      <c r="Q5121" s="26" t="str">
        <f>HYPERLINK("https://ictv.global/taxonomy/taxondetails?taxnode_id=202513166&amp;ictv_id=ICTV202113166","ICTV202113166")</f>
        <v>ICTV202113166</v>
      </c>
      <c r="R5121" t="s">
        <v>579</v>
      </c>
      <c r="S5121" t="s">
        <v>823</v>
      </c>
      <c r="T5121">
        <v>37</v>
      </c>
      <c r="U5121" s="26" t="str">
        <f t="shared" si="200"/>
        <v>2021.006B.R.Backyardiganvirus.zip</v>
      </c>
    </row>
    <row r="5122" spans="1:21">
      <c r="A5122">
        <v>5121</v>
      </c>
      <c r="B5122" s="27" t="s">
        <v>1449</v>
      </c>
      <c r="D5122" s="27" t="s">
        <v>1450</v>
      </c>
      <c r="F5122" s="27" t="s">
        <v>1453</v>
      </c>
      <c r="H5122" s="27" t="s">
        <v>1454</v>
      </c>
      <c r="N5122" s="27" t="s">
        <v>6636</v>
      </c>
      <c r="P5122" s="27" t="s">
        <v>6642</v>
      </c>
      <c r="Q5122" s="26" t="str">
        <f>HYPERLINK("https://ictv.global/taxonomy/taxondetails?taxnode_id=202513176&amp;ictv_id=ICTV202113176","ICTV202113176")</f>
        <v>ICTV202113176</v>
      </c>
      <c r="R5122" t="s">
        <v>579</v>
      </c>
      <c r="S5122" t="s">
        <v>823</v>
      </c>
      <c r="T5122">
        <v>37</v>
      </c>
      <c r="U5122" s="26" t="str">
        <f t="shared" si="200"/>
        <v>2021.006B.R.Backyardiganvirus.zip</v>
      </c>
    </row>
    <row r="5123" spans="1:21">
      <c r="A5123">
        <v>5122</v>
      </c>
      <c r="B5123" s="27" t="s">
        <v>1449</v>
      </c>
      <c r="D5123" s="27" t="s">
        <v>1450</v>
      </c>
      <c r="F5123" s="27" t="s">
        <v>1453</v>
      </c>
      <c r="H5123" s="27" t="s">
        <v>1454</v>
      </c>
      <c r="N5123" s="27" t="s">
        <v>6636</v>
      </c>
      <c r="P5123" s="27" t="s">
        <v>6643</v>
      </c>
      <c r="Q5123" s="26" t="str">
        <f>HYPERLINK("https://ictv.global/taxonomy/taxondetails?taxnode_id=202513169&amp;ictv_id=ICTV202113169","ICTV202113169")</f>
        <v>ICTV202113169</v>
      </c>
      <c r="R5123" t="s">
        <v>579</v>
      </c>
      <c r="S5123" t="s">
        <v>823</v>
      </c>
      <c r="T5123">
        <v>37</v>
      </c>
      <c r="U5123" s="26" t="str">
        <f t="shared" si="200"/>
        <v>2021.006B.R.Backyardiganvirus.zip</v>
      </c>
    </row>
    <row r="5124" spans="1:21">
      <c r="A5124">
        <v>5123</v>
      </c>
      <c r="B5124" s="27" t="s">
        <v>1449</v>
      </c>
      <c r="D5124" s="27" t="s">
        <v>1450</v>
      </c>
      <c r="F5124" s="27" t="s">
        <v>1453</v>
      </c>
      <c r="H5124" s="27" t="s">
        <v>1454</v>
      </c>
      <c r="N5124" s="27" t="s">
        <v>6636</v>
      </c>
      <c r="P5124" s="27" t="s">
        <v>6644</v>
      </c>
      <c r="Q5124" s="26" t="str">
        <f>HYPERLINK("https://ictv.global/taxonomy/taxondetails?taxnode_id=202513172&amp;ictv_id=ICTV202113172","ICTV202113172")</f>
        <v>ICTV202113172</v>
      </c>
      <c r="R5124" t="s">
        <v>579</v>
      </c>
      <c r="S5124" t="s">
        <v>823</v>
      </c>
      <c r="T5124">
        <v>37</v>
      </c>
      <c r="U5124" s="26" t="str">
        <f t="shared" si="200"/>
        <v>2021.006B.R.Backyardiganvirus.zip</v>
      </c>
    </row>
    <row r="5125" spans="1:21">
      <c r="A5125">
        <v>5124</v>
      </c>
      <c r="B5125" s="27" t="s">
        <v>1449</v>
      </c>
      <c r="D5125" s="27" t="s">
        <v>1450</v>
      </c>
      <c r="F5125" s="27" t="s">
        <v>1453</v>
      </c>
      <c r="H5125" s="27" t="s">
        <v>1454</v>
      </c>
      <c r="N5125" s="27" t="s">
        <v>6636</v>
      </c>
      <c r="P5125" s="27" t="s">
        <v>6645</v>
      </c>
      <c r="Q5125" s="26" t="str">
        <f>HYPERLINK("https://ictv.global/taxonomy/taxondetails?taxnode_id=202513167&amp;ictv_id=ICTV202113167","ICTV202113167")</f>
        <v>ICTV202113167</v>
      </c>
      <c r="R5125" t="s">
        <v>579</v>
      </c>
      <c r="S5125" t="s">
        <v>823</v>
      </c>
      <c r="T5125">
        <v>37</v>
      </c>
      <c r="U5125" s="26" t="str">
        <f t="shared" si="200"/>
        <v>2021.006B.R.Backyardiganvirus.zip</v>
      </c>
    </row>
    <row r="5126" spans="1:21">
      <c r="A5126">
        <v>5125</v>
      </c>
      <c r="B5126" s="27" t="s">
        <v>1449</v>
      </c>
      <c r="D5126" s="27" t="s">
        <v>1450</v>
      </c>
      <c r="F5126" s="27" t="s">
        <v>1453</v>
      </c>
      <c r="H5126" s="27" t="s">
        <v>1454</v>
      </c>
      <c r="N5126" s="27" t="s">
        <v>6636</v>
      </c>
      <c r="P5126" s="27" t="s">
        <v>6646</v>
      </c>
      <c r="Q5126" s="26" t="str">
        <f>HYPERLINK("https://ictv.global/taxonomy/taxondetails?taxnode_id=202501040&amp;ictv_id=ICTV20140366","ICTV20140366")</f>
        <v>ICTV20140366</v>
      </c>
      <c r="R5126" t="s">
        <v>579</v>
      </c>
      <c r="S5126" t="s">
        <v>22764</v>
      </c>
      <c r="T5126">
        <v>37</v>
      </c>
      <c r="U5126" s="26" t="str">
        <f t="shared" si="200"/>
        <v>2021.006B.R.Backyardiganvirus.zip</v>
      </c>
    </row>
    <row r="5127" spans="1:21">
      <c r="A5127">
        <v>5126</v>
      </c>
      <c r="B5127" s="27" t="s">
        <v>1449</v>
      </c>
      <c r="D5127" s="27" t="s">
        <v>1450</v>
      </c>
      <c r="F5127" s="27" t="s">
        <v>1453</v>
      </c>
      <c r="H5127" s="27" t="s">
        <v>1454</v>
      </c>
      <c r="N5127" s="27" t="s">
        <v>6636</v>
      </c>
      <c r="P5127" s="27" t="s">
        <v>6647</v>
      </c>
      <c r="Q5127" s="26" t="str">
        <f>HYPERLINK("https://ictv.global/taxonomy/taxondetails?taxnode_id=202513174&amp;ictv_id=ICTV202113174","ICTV202113174")</f>
        <v>ICTV202113174</v>
      </c>
      <c r="R5127" t="s">
        <v>579</v>
      </c>
      <c r="S5127" t="s">
        <v>823</v>
      </c>
      <c r="T5127">
        <v>37</v>
      </c>
      <c r="U5127" s="26" t="str">
        <f t="shared" si="200"/>
        <v>2021.006B.R.Backyardiganvirus.zip</v>
      </c>
    </row>
    <row r="5128" spans="1:21">
      <c r="A5128">
        <v>5127</v>
      </c>
      <c r="B5128" s="27" t="s">
        <v>1449</v>
      </c>
      <c r="D5128" s="27" t="s">
        <v>1450</v>
      </c>
      <c r="F5128" s="27" t="s">
        <v>1453</v>
      </c>
      <c r="H5128" s="27" t="s">
        <v>1454</v>
      </c>
      <c r="N5128" s="27" t="s">
        <v>6636</v>
      </c>
      <c r="P5128" s="27" t="s">
        <v>6648</v>
      </c>
      <c r="Q5128" s="26" t="str">
        <f>HYPERLINK("https://ictv.global/taxonomy/taxondetails?taxnode_id=202513175&amp;ictv_id=ICTV202113175","ICTV202113175")</f>
        <v>ICTV202113175</v>
      </c>
      <c r="R5128" t="s">
        <v>579</v>
      </c>
      <c r="S5128" t="s">
        <v>823</v>
      </c>
      <c r="T5128">
        <v>37</v>
      </c>
      <c r="U5128" s="26" t="str">
        <f t="shared" si="200"/>
        <v>2021.006B.R.Backyardiganvirus.zip</v>
      </c>
    </row>
    <row r="5129" spans="1:21">
      <c r="A5129">
        <v>5128</v>
      </c>
      <c r="B5129" s="27" t="s">
        <v>1449</v>
      </c>
      <c r="D5129" s="27" t="s">
        <v>1450</v>
      </c>
      <c r="F5129" s="27" t="s">
        <v>1453</v>
      </c>
      <c r="H5129" s="27" t="s">
        <v>1454</v>
      </c>
      <c r="N5129" s="27" t="s">
        <v>6636</v>
      </c>
      <c r="P5129" s="27" t="s">
        <v>6649</v>
      </c>
      <c r="Q5129" s="26" t="str">
        <f>HYPERLINK("https://ictv.global/taxonomy/taxondetails?taxnode_id=202513173&amp;ictv_id=ICTV202113173","ICTV202113173")</f>
        <v>ICTV202113173</v>
      </c>
      <c r="R5129" t="s">
        <v>579</v>
      </c>
      <c r="S5129" t="s">
        <v>823</v>
      </c>
      <c r="T5129">
        <v>37</v>
      </c>
      <c r="U5129" s="26" t="str">
        <f t="shared" si="200"/>
        <v>2021.006B.R.Backyardiganvirus.zip</v>
      </c>
    </row>
    <row r="5130" spans="1:21">
      <c r="A5130">
        <v>5129</v>
      </c>
      <c r="B5130" s="27" t="s">
        <v>1449</v>
      </c>
      <c r="D5130" s="27" t="s">
        <v>1450</v>
      </c>
      <c r="F5130" s="27" t="s">
        <v>1453</v>
      </c>
      <c r="H5130" s="27" t="s">
        <v>1454</v>
      </c>
      <c r="N5130" s="27" t="s">
        <v>6636</v>
      </c>
      <c r="P5130" s="27" t="s">
        <v>6650</v>
      </c>
      <c r="Q5130" s="26" t="str">
        <f>HYPERLINK("https://ictv.global/taxonomy/taxondetails?taxnode_id=202501048&amp;ictv_id=ICTV20140364","ICTV20140364")</f>
        <v>ICTV20140364</v>
      </c>
      <c r="R5130" t="s">
        <v>579</v>
      </c>
      <c r="S5130" t="s">
        <v>22764</v>
      </c>
      <c r="T5130">
        <v>37</v>
      </c>
      <c r="U5130" s="26" t="str">
        <f t="shared" si="200"/>
        <v>2021.006B.R.Backyardiganvirus.zip</v>
      </c>
    </row>
    <row r="5131" spans="1:21">
      <c r="A5131">
        <v>5130</v>
      </c>
      <c r="B5131" s="27" t="s">
        <v>1449</v>
      </c>
      <c r="D5131" s="27" t="s">
        <v>1450</v>
      </c>
      <c r="F5131" s="27" t="s">
        <v>1453</v>
      </c>
      <c r="H5131" s="27" t="s">
        <v>1454</v>
      </c>
      <c r="N5131" s="27" t="s">
        <v>6636</v>
      </c>
      <c r="P5131" s="27" t="s">
        <v>6651</v>
      </c>
      <c r="Q5131" s="26" t="str">
        <f>HYPERLINK("https://ictv.global/taxonomy/taxondetails?taxnode_id=202513165&amp;ictv_id=ICTV202113165","ICTV202113165")</f>
        <v>ICTV202113165</v>
      </c>
      <c r="R5131" t="s">
        <v>579</v>
      </c>
      <c r="S5131" t="s">
        <v>823</v>
      </c>
      <c r="T5131">
        <v>37</v>
      </c>
      <c r="U5131" s="26" t="str">
        <f t="shared" si="200"/>
        <v>2021.006B.R.Backyardiganvirus.zip</v>
      </c>
    </row>
    <row r="5132" spans="1:21">
      <c r="A5132">
        <v>5131</v>
      </c>
      <c r="B5132" s="27" t="s">
        <v>1449</v>
      </c>
      <c r="D5132" s="27" t="s">
        <v>1450</v>
      </c>
      <c r="F5132" s="27" t="s">
        <v>1453</v>
      </c>
      <c r="H5132" s="27" t="s">
        <v>1454</v>
      </c>
      <c r="N5132" s="27" t="s">
        <v>6636</v>
      </c>
      <c r="P5132" s="27" t="s">
        <v>6652</v>
      </c>
      <c r="Q5132" s="26" t="str">
        <f>HYPERLINK("https://ictv.global/taxonomy/taxondetails?taxnode_id=202513170&amp;ictv_id=ICTV202113170","ICTV202113170")</f>
        <v>ICTV202113170</v>
      </c>
      <c r="R5132" t="s">
        <v>579</v>
      </c>
      <c r="S5132" t="s">
        <v>823</v>
      </c>
      <c r="T5132">
        <v>37</v>
      </c>
      <c r="U5132" s="26" t="str">
        <f t="shared" si="200"/>
        <v>2021.006B.R.Backyardiganvirus.zip</v>
      </c>
    </row>
    <row r="5133" spans="1:21">
      <c r="A5133">
        <v>5132</v>
      </c>
      <c r="B5133" s="27" t="s">
        <v>1449</v>
      </c>
      <c r="D5133" s="27" t="s">
        <v>1450</v>
      </c>
      <c r="F5133" s="27" t="s">
        <v>1453</v>
      </c>
      <c r="H5133" s="27" t="s">
        <v>1454</v>
      </c>
      <c r="N5133" s="27" t="s">
        <v>2137</v>
      </c>
      <c r="P5133" s="27" t="s">
        <v>6653</v>
      </c>
      <c r="Q5133" s="26" t="str">
        <f>HYPERLINK("https://ictv.global/taxonomy/taxondetails?taxnode_id=202509581&amp;ictv_id=ICTV202009581","ICTV202009581")</f>
        <v>ICTV202009581</v>
      </c>
      <c r="R5133" t="s">
        <v>579</v>
      </c>
      <c r="S5133" t="s">
        <v>824</v>
      </c>
      <c r="T5133">
        <v>37</v>
      </c>
      <c r="U5133" s="26" t="str">
        <f t="shared" ref="U5133:U5143" si="201">HYPERLINK("https://ictv.global/ictv/proposals/2021.010B.R.Binomial_names.zip","2021.010B.R.Binomial_names.zip")</f>
        <v>2021.010B.R.Binomial_names.zip</v>
      </c>
    </row>
    <row r="5134" spans="1:21">
      <c r="A5134">
        <v>5133</v>
      </c>
      <c r="B5134" s="27" t="s">
        <v>1449</v>
      </c>
      <c r="D5134" s="27" t="s">
        <v>1450</v>
      </c>
      <c r="F5134" s="27" t="s">
        <v>1453</v>
      </c>
      <c r="H5134" s="27" t="s">
        <v>1454</v>
      </c>
      <c r="N5134" s="27" t="s">
        <v>2137</v>
      </c>
      <c r="P5134" s="27" t="s">
        <v>6654</v>
      </c>
      <c r="Q5134" s="26" t="str">
        <f>HYPERLINK("https://ictv.global/taxonomy/taxondetails?taxnode_id=202509580&amp;ictv_id=ICTV202009580","ICTV202009580")</f>
        <v>ICTV202009580</v>
      </c>
      <c r="R5134" t="s">
        <v>579</v>
      </c>
      <c r="S5134" t="s">
        <v>824</v>
      </c>
      <c r="T5134">
        <v>37</v>
      </c>
      <c r="U5134" s="26" t="str">
        <f t="shared" si="201"/>
        <v>2021.010B.R.Binomial_names.zip</v>
      </c>
    </row>
    <row r="5135" spans="1:21">
      <c r="A5135">
        <v>5134</v>
      </c>
      <c r="B5135" s="27" t="s">
        <v>1449</v>
      </c>
      <c r="D5135" s="27" t="s">
        <v>1450</v>
      </c>
      <c r="F5135" s="27" t="s">
        <v>1453</v>
      </c>
      <c r="H5135" s="27" t="s">
        <v>1454</v>
      </c>
      <c r="N5135" s="27" t="s">
        <v>1668</v>
      </c>
      <c r="P5135" s="27" t="s">
        <v>6655</v>
      </c>
      <c r="Q5135" s="26" t="str">
        <f>HYPERLINK("https://ictv.global/taxonomy/taxondetails?taxnode_id=202507912&amp;ictv_id=ICTV201907912","ICTV201907912")</f>
        <v>ICTV201907912</v>
      </c>
      <c r="R5135" t="s">
        <v>579</v>
      </c>
      <c r="S5135" t="s">
        <v>824</v>
      </c>
      <c r="T5135">
        <v>37</v>
      </c>
      <c r="U5135" s="26" t="str">
        <f t="shared" si="201"/>
        <v>2021.010B.R.Binomial_names.zip</v>
      </c>
    </row>
    <row r="5136" spans="1:21">
      <c r="A5136">
        <v>5135</v>
      </c>
      <c r="B5136" s="27" t="s">
        <v>1449</v>
      </c>
      <c r="D5136" s="27" t="s">
        <v>1450</v>
      </c>
      <c r="F5136" s="27" t="s">
        <v>1453</v>
      </c>
      <c r="H5136" s="27" t="s">
        <v>1454</v>
      </c>
      <c r="N5136" s="27" t="s">
        <v>1328</v>
      </c>
      <c r="P5136" s="27" t="s">
        <v>6660</v>
      </c>
      <c r="Q5136" s="26" t="str">
        <f>HYPERLINK("https://ictv.global/taxonomy/taxondetails?taxnode_id=202506342&amp;ictv_id=ICTV201856342","ICTV201856342")</f>
        <v>ICTV201856342</v>
      </c>
      <c r="R5136" t="s">
        <v>579</v>
      </c>
      <c r="S5136" t="s">
        <v>824</v>
      </c>
      <c r="T5136">
        <v>37</v>
      </c>
      <c r="U5136" s="26" t="str">
        <f t="shared" si="201"/>
        <v>2021.010B.R.Binomial_names.zip</v>
      </c>
    </row>
    <row r="5137" spans="1:21">
      <c r="A5137">
        <v>5136</v>
      </c>
      <c r="B5137" s="27" t="s">
        <v>1449</v>
      </c>
      <c r="D5137" s="27" t="s">
        <v>1450</v>
      </c>
      <c r="F5137" s="27" t="s">
        <v>1453</v>
      </c>
      <c r="H5137" s="27" t="s">
        <v>1454</v>
      </c>
      <c r="N5137" s="27" t="s">
        <v>1669</v>
      </c>
      <c r="P5137" s="27" t="s">
        <v>6661</v>
      </c>
      <c r="Q5137" s="26" t="str">
        <f>HYPERLINK("https://ictv.global/taxonomy/taxondetails?taxnode_id=202507108&amp;ictv_id=ICTV201907108","ICTV201907108")</f>
        <v>ICTV201907108</v>
      </c>
      <c r="R5137" t="s">
        <v>579</v>
      </c>
      <c r="S5137" t="s">
        <v>824</v>
      </c>
      <c r="T5137">
        <v>37</v>
      </c>
      <c r="U5137" s="26" t="str">
        <f t="shared" si="201"/>
        <v>2021.010B.R.Binomial_names.zip</v>
      </c>
    </row>
    <row r="5138" spans="1:21">
      <c r="A5138">
        <v>5137</v>
      </c>
      <c r="B5138" s="27" t="s">
        <v>1449</v>
      </c>
      <c r="D5138" s="27" t="s">
        <v>1450</v>
      </c>
      <c r="F5138" s="27" t="s">
        <v>1453</v>
      </c>
      <c r="H5138" s="27" t="s">
        <v>1454</v>
      </c>
      <c r="N5138" s="27" t="s">
        <v>1669</v>
      </c>
      <c r="P5138" s="27" t="s">
        <v>6662</v>
      </c>
      <c r="Q5138" s="26" t="str">
        <f>HYPERLINK("https://ictv.global/taxonomy/taxondetails?taxnode_id=202507112&amp;ictv_id=ICTV201907112","ICTV201907112")</f>
        <v>ICTV201907112</v>
      </c>
      <c r="R5138" t="s">
        <v>579</v>
      </c>
      <c r="S5138" t="s">
        <v>824</v>
      </c>
      <c r="T5138">
        <v>37</v>
      </c>
      <c r="U5138" s="26" t="str">
        <f t="shared" si="201"/>
        <v>2021.010B.R.Binomial_names.zip</v>
      </c>
    </row>
    <row r="5139" spans="1:21">
      <c r="A5139">
        <v>5138</v>
      </c>
      <c r="B5139" s="27" t="s">
        <v>1449</v>
      </c>
      <c r="D5139" s="27" t="s">
        <v>1450</v>
      </c>
      <c r="F5139" s="27" t="s">
        <v>1453</v>
      </c>
      <c r="H5139" s="27" t="s">
        <v>1454</v>
      </c>
      <c r="N5139" s="27" t="s">
        <v>1669</v>
      </c>
      <c r="P5139" s="27" t="s">
        <v>6663</v>
      </c>
      <c r="Q5139" s="26" t="str">
        <f>HYPERLINK("https://ictv.global/taxonomy/taxondetails?taxnode_id=202507109&amp;ictv_id=ICTV201907109","ICTV201907109")</f>
        <v>ICTV201907109</v>
      </c>
      <c r="R5139" t="s">
        <v>579</v>
      </c>
      <c r="S5139" t="s">
        <v>824</v>
      </c>
      <c r="T5139">
        <v>37</v>
      </c>
      <c r="U5139" s="26" t="str">
        <f t="shared" si="201"/>
        <v>2021.010B.R.Binomial_names.zip</v>
      </c>
    </row>
    <row r="5140" spans="1:21">
      <c r="A5140">
        <v>5139</v>
      </c>
      <c r="B5140" s="27" t="s">
        <v>1449</v>
      </c>
      <c r="D5140" s="27" t="s">
        <v>1450</v>
      </c>
      <c r="F5140" s="27" t="s">
        <v>1453</v>
      </c>
      <c r="H5140" s="27" t="s">
        <v>1454</v>
      </c>
      <c r="N5140" s="27" t="s">
        <v>1669</v>
      </c>
      <c r="P5140" s="27" t="s">
        <v>6664</v>
      </c>
      <c r="Q5140" s="26" t="str">
        <f>HYPERLINK("https://ictv.global/taxonomy/taxondetails?taxnode_id=202507110&amp;ictv_id=ICTV201907110","ICTV201907110")</f>
        <v>ICTV201907110</v>
      </c>
      <c r="R5140" t="s">
        <v>579</v>
      </c>
      <c r="S5140" t="s">
        <v>824</v>
      </c>
      <c r="T5140">
        <v>37</v>
      </c>
      <c r="U5140" s="26" t="str">
        <f t="shared" si="201"/>
        <v>2021.010B.R.Binomial_names.zip</v>
      </c>
    </row>
    <row r="5141" spans="1:21">
      <c r="A5141">
        <v>5140</v>
      </c>
      <c r="B5141" s="27" t="s">
        <v>1449</v>
      </c>
      <c r="D5141" s="27" t="s">
        <v>1450</v>
      </c>
      <c r="F5141" s="27" t="s">
        <v>1453</v>
      </c>
      <c r="H5141" s="27" t="s">
        <v>1454</v>
      </c>
      <c r="N5141" s="27" t="s">
        <v>1669</v>
      </c>
      <c r="P5141" s="27" t="s">
        <v>6665</v>
      </c>
      <c r="Q5141" s="26" t="str">
        <f>HYPERLINK("https://ictv.global/taxonomy/taxondetails?taxnode_id=202507111&amp;ictv_id=ICTV201907111","ICTV201907111")</f>
        <v>ICTV201907111</v>
      </c>
      <c r="R5141" t="s">
        <v>579</v>
      </c>
      <c r="S5141" t="s">
        <v>824</v>
      </c>
      <c r="T5141">
        <v>37</v>
      </c>
      <c r="U5141" s="26" t="str">
        <f t="shared" si="201"/>
        <v>2021.010B.R.Binomial_names.zip</v>
      </c>
    </row>
    <row r="5142" spans="1:21">
      <c r="A5142">
        <v>5141</v>
      </c>
      <c r="B5142" s="27" t="s">
        <v>1449</v>
      </c>
      <c r="D5142" s="27" t="s">
        <v>1450</v>
      </c>
      <c r="F5142" s="27" t="s">
        <v>1453</v>
      </c>
      <c r="H5142" s="27" t="s">
        <v>1454</v>
      </c>
      <c r="N5142" s="27" t="s">
        <v>610</v>
      </c>
      <c r="P5142" s="27" t="s">
        <v>6666</v>
      </c>
      <c r="Q5142" s="26" t="str">
        <f>HYPERLINK("https://ictv.global/taxonomy/taxondetails?taxnode_id=202500854&amp;ictv_id=ICTV20140298","ICTV20140298")</f>
        <v>ICTV20140298</v>
      </c>
      <c r="R5142" t="s">
        <v>579</v>
      </c>
      <c r="S5142" t="s">
        <v>824</v>
      </c>
      <c r="T5142">
        <v>37</v>
      </c>
      <c r="U5142" s="26" t="str">
        <f t="shared" si="201"/>
        <v>2021.010B.R.Binomial_names.zip</v>
      </c>
    </row>
    <row r="5143" spans="1:21">
      <c r="A5143">
        <v>5142</v>
      </c>
      <c r="B5143" s="27" t="s">
        <v>1449</v>
      </c>
      <c r="D5143" s="27" t="s">
        <v>1450</v>
      </c>
      <c r="F5143" s="27" t="s">
        <v>1453</v>
      </c>
      <c r="H5143" s="27" t="s">
        <v>1454</v>
      </c>
      <c r="N5143" s="27" t="s">
        <v>610</v>
      </c>
      <c r="P5143" s="27" t="s">
        <v>6667</v>
      </c>
      <c r="Q5143" s="26" t="str">
        <f>HYPERLINK("https://ictv.global/taxonomy/taxondetails?taxnode_id=202509604&amp;ictv_id=ICTV202009604","ICTV202009604")</f>
        <v>ICTV202009604</v>
      </c>
      <c r="R5143" t="s">
        <v>579</v>
      </c>
      <c r="S5143" t="s">
        <v>824</v>
      </c>
      <c r="T5143">
        <v>37</v>
      </c>
      <c r="U5143" s="26" t="str">
        <f t="shared" si="201"/>
        <v>2021.010B.R.Binomial_names.zip</v>
      </c>
    </row>
    <row r="5144" spans="1:21">
      <c r="A5144">
        <v>5143</v>
      </c>
      <c r="B5144" s="27" t="s">
        <v>1449</v>
      </c>
      <c r="D5144" s="27" t="s">
        <v>1450</v>
      </c>
      <c r="F5144" s="27" t="s">
        <v>1453</v>
      </c>
      <c r="H5144" s="27" t="s">
        <v>1454</v>
      </c>
      <c r="N5144" s="27" t="s">
        <v>12045</v>
      </c>
      <c r="P5144" s="27" t="s">
        <v>12046</v>
      </c>
      <c r="Q5144" s="26" t="str">
        <f>HYPERLINK("https://ictv.global/taxonomy/taxondetails?taxnode_id=202517927&amp;ictv_id=ICTV202317927","ICTV202317927")</f>
        <v>ICTV202317927</v>
      </c>
      <c r="R5144" t="s">
        <v>579</v>
      </c>
      <c r="S5144" t="s">
        <v>823</v>
      </c>
      <c r="T5144">
        <v>39</v>
      </c>
      <c r="U5144" s="26" t="str">
        <f>HYPERLINK("https://ictv.global/ictv/proposals/2023.009B.Bauervirus_ng.zip","2023.009B.Bauervirus_ng.zip")</f>
        <v>2023.009B.Bauervirus_ng.zip</v>
      </c>
    </row>
    <row r="5145" spans="1:21">
      <c r="A5145">
        <v>5144</v>
      </c>
      <c r="B5145" s="27" t="s">
        <v>1449</v>
      </c>
      <c r="D5145" s="27" t="s">
        <v>1450</v>
      </c>
      <c r="F5145" s="27" t="s">
        <v>1453</v>
      </c>
      <c r="H5145" s="27" t="s">
        <v>1454</v>
      </c>
      <c r="N5145" s="27" t="s">
        <v>22639</v>
      </c>
      <c r="P5145" s="27" t="s">
        <v>22640</v>
      </c>
      <c r="Q5145" s="26" t="str">
        <f>HYPERLINK("https://ictv.global/taxonomy/taxondetails?taxnode_id=202523229&amp;ictv_id=ICTV202523229","ICTV202523229")</f>
        <v>ICTV202523229</v>
      </c>
      <c r="R5145" t="s">
        <v>579</v>
      </c>
      <c r="S5145" t="s">
        <v>823</v>
      </c>
      <c r="T5145">
        <v>41</v>
      </c>
      <c r="U5145" s="26" t="str">
        <f>HYPERLINK("https://ictv.global/ictv/proposals/2025.078B.Vibrio_phages_2ng_3ns.zip","2025.078B.Vibrio_phages_2ng_3ns.zip")</f>
        <v>2025.078B.Vibrio_phages_2ng_3ns.zip</v>
      </c>
    </row>
    <row r="5146" spans="1:21">
      <c r="A5146">
        <v>5145</v>
      </c>
      <c r="B5146" s="27" t="s">
        <v>1449</v>
      </c>
      <c r="D5146" s="27" t="s">
        <v>1450</v>
      </c>
      <c r="F5146" s="27" t="s">
        <v>1453</v>
      </c>
      <c r="H5146" s="27" t="s">
        <v>1454</v>
      </c>
      <c r="N5146" s="27" t="s">
        <v>592</v>
      </c>
      <c r="P5146" s="27" t="s">
        <v>6669</v>
      </c>
      <c r="Q5146" s="26" t="str">
        <f>HYPERLINK("https://ictv.global/taxonomy/taxondetails?taxnode_id=202500408&amp;ictv_id=ICTV20115463","ICTV20115463")</f>
        <v>ICTV20115463</v>
      </c>
      <c r="R5146" t="s">
        <v>579</v>
      </c>
      <c r="S5146" t="s">
        <v>824</v>
      </c>
      <c r="T5146">
        <v>37</v>
      </c>
      <c r="U5146" s="26" t="str">
        <f>HYPERLINK("https://ictv.global/ictv/proposals/2021.010B.R.Binomial_names.zip","2021.010B.R.Binomial_names.zip")</f>
        <v>2021.010B.R.Binomial_names.zip</v>
      </c>
    </row>
    <row r="5147" spans="1:21">
      <c r="A5147">
        <v>5146</v>
      </c>
      <c r="B5147" s="27" t="s">
        <v>1449</v>
      </c>
      <c r="D5147" s="27" t="s">
        <v>1450</v>
      </c>
      <c r="F5147" s="27" t="s">
        <v>1453</v>
      </c>
      <c r="H5147" s="27" t="s">
        <v>1454</v>
      </c>
      <c r="N5147" s="27" t="s">
        <v>592</v>
      </c>
      <c r="P5147" s="27" t="s">
        <v>6670</v>
      </c>
      <c r="Q5147" s="26" t="str">
        <f>HYPERLINK("https://ictv.global/taxonomy/taxondetails?taxnode_id=202500409&amp;ictv_id=ICTV20115462","ICTV20115462")</f>
        <v>ICTV20115462</v>
      </c>
      <c r="R5147" t="s">
        <v>579</v>
      </c>
      <c r="S5147" t="s">
        <v>824</v>
      </c>
      <c r="T5147">
        <v>37</v>
      </c>
      <c r="U5147" s="26" t="str">
        <f>HYPERLINK("https://ictv.global/ictv/proposals/2021.010B.R.Binomial_names.zip","2021.010B.R.Binomial_names.zip")</f>
        <v>2021.010B.R.Binomial_names.zip</v>
      </c>
    </row>
    <row r="5148" spans="1:21">
      <c r="A5148">
        <v>5147</v>
      </c>
      <c r="B5148" s="27" t="s">
        <v>1449</v>
      </c>
      <c r="D5148" s="27" t="s">
        <v>1450</v>
      </c>
      <c r="F5148" s="27" t="s">
        <v>1453</v>
      </c>
      <c r="H5148" s="27" t="s">
        <v>1454</v>
      </c>
      <c r="N5148" s="27" t="s">
        <v>2249</v>
      </c>
      <c r="P5148" s="27" t="s">
        <v>6671</v>
      </c>
      <c r="Q5148" s="26" t="str">
        <f>HYPERLINK("https://ictv.global/taxonomy/taxondetails?taxnode_id=202509616&amp;ictv_id=ICTV202009616","ICTV202009616")</f>
        <v>ICTV202009616</v>
      </c>
      <c r="R5148" t="s">
        <v>579</v>
      </c>
      <c r="S5148" t="s">
        <v>824</v>
      </c>
      <c r="T5148">
        <v>37</v>
      </c>
      <c r="U5148" s="26" t="str">
        <f>HYPERLINK("https://ictv.global/ictv/proposals/2021.010B.R.Binomial_names.zip","2021.010B.R.Binomial_names.zip")</f>
        <v>2021.010B.R.Binomial_names.zip</v>
      </c>
    </row>
    <row r="5149" spans="1:21">
      <c r="A5149">
        <v>5148</v>
      </c>
      <c r="B5149" s="27" t="s">
        <v>1449</v>
      </c>
      <c r="D5149" s="27" t="s">
        <v>1450</v>
      </c>
      <c r="F5149" s="27" t="s">
        <v>1453</v>
      </c>
      <c r="H5149" s="27" t="s">
        <v>1454</v>
      </c>
      <c r="N5149" s="27" t="s">
        <v>2094</v>
      </c>
      <c r="P5149" s="27" t="s">
        <v>6672</v>
      </c>
      <c r="Q5149" s="26" t="str">
        <f>HYPERLINK("https://ictv.global/taxonomy/taxondetails?taxnode_id=202509620&amp;ictv_id=ICTV202009620","ICTV202009620")</f>
        <v>ICTV202009620</v>
      </c>
      <c r="R5149" t="s">
        <v>579</v>
      </c>
      <c r="S5149" t="s">
        <v>824</v>
      </c>
      <c r="T5149">
        <v>37</v>
      </c>
      <c r="U5149" s="26" t="str">
        <f>HYPERLINK("https://ictv.global/ictv/proposals/2021.010B.R.Binomial_names.zip","2021.010B.R.Binomial_names.zip")</f>
        <v>2021.010B.R.Binomial_names.zip</v>
      </c>
    </row>
    <row r="5150" spans="1:21">
      <c r="A5150">
        <v>5149</v>
      </c>
      <c r="B5150" s="27" t="s">
        <v>1449</v>
      </c>
      <c r="D5150" s="27" t="s">
        <v>1450</v>
      </c>
      <c r="F5150" s="27" t="s">
        <v>1453</v>
      </c>
      <c r="H5150" s="27" t="s">
        <v>1454</v>
      </c>
      <c r="N5150" s="27" t="s">
        <v>6673</v>
      </c>
      <c r="P5150" s="27" t="s">
        <v>6674</v>
      </c>
      <c r="Q5150" s="26" t="str">
        <f>HYPERLINK("https://ictv.global/taxonomy/taxondetails?taxnode_id=202514911&amp;ictv_id=ICTV202214911","ICTV202214911")</f>
        <v>ICTV202214911</v>
      </c>
      <c r="R5150" t="s">
        <v>579</v>
      </c>
      <c r="S5150" t="s">
        <v>823</v>
      </c>
      <c r="T5150">
        <v>38</v>
      </c>
      <c r="U5150" s="26" t="str">
        <f t="shared" ref="U5150:U5159" si="202">HYPERLINK("https://ictv.global/ictv/proposals/2022.084B.Caudoviricetes_6ng_33nsp.zip","2022.084B.Caudoviricetes_6ng_33nsp.zip")</f>
        <v>2022.084B.Caudoviricetes_6ng_33nsp.zip</v>
      </c>
    </row>
    <row r="5151" spans="1:21">
      <c r="A5151">
        <v>5150</v>
      </c>
      <c r="B5151" s="27" t="s">
        <v>1449</v>
      </c>
      <c r="D5151" s="27" t="s">
        <v>1450</v>
      </c>
      <c r="F5151" s="27" t="s">
        <v>1453</v>
      </c>
      <c r="H5151" s="27" t="s">
        <v>1454</v>
      </c>
      <c r="N5151" s="27" t="s">
        <v>6673</v>
      </c>
      <c r="P5151" s="27" t="s">
        <v>6675</v>
      </c>
      <c r="Q5151" s="26" t="str">
        <f>HYPERLINK("https://ictv.global/taxonomy/taxondetails?taxnode_id=202514916&amp;ictv_id=ICTV202214916","ICTV202214916")</f>
        <v>ICTV202214916</v>
      </c>
      <c r="R5151" t="s">
        <v>579</v>
      </c>
      <c r="S5151" t="s">
        <v>823</v>
      </c>
      <c r="T5151">
        <v>38</v>
      </c>
      <c r="U5151" s="26" t="str">
        <f t="shared" si="202"/>
        <v>2022.084B.Caudoviricetes_6ng_33nsp.zip</v>
      </c>
    </row>
    <row r="5152" spans="1:21">
      <c r="A5152">
        <v>5151</v>
      </c>
      <c r="B5152" s="27" t="s">
        <v>1449</v>
      </c>
      <c r="D5152" s="27" t="s">
        <v>1450</v>
      </c>
      <c r="F5152" s="27" t="s">
        <v>1453</v>
      </c>
      <c r="H5152" s="27" t="s">
        <v>1454</v>
      </c>
      <c r="N5152" s="27" t="s">
        <v>6673</v>
      </c>
      <c r="P5152" s="27" t="s">
        <v>6676</v>
      </c>
      <c r="Q5152" s="26" t="str">
        <f>HYPERLINK("https://ictv.global/taxonomy/taxondetails?taxnode_id=202514915&amp;ictv_id=ICTV202214915","ICTV202214915")</f>
        <v>ICTV202214915</v>
      </c>
      <c r="R5152" t="s">
        <v>579</v>
      </c>
      <c r="S5152" t="s">
        <v>823</v>
      </c>
      <c r="T5152">
        <v>38</v>
      </c>
      <c r="U5152" s="26" t="str">
        <f t="shared" si="202"/>
        <v>2022.084B.Caudoviricetes_6ng_33nsp.zip</v>
      </c>
    </row>
    <row r="5153" spans="1:21">
      <c r="A5153">
        <v>5152</v>
      </c>
      <c r="B5153" s="27" t="s">
        <v>1449</v>
      </c>
      <c r="D5153" s="27" t="s">
        <v>1450</v>
      </c>
      <c r="F5153" s="27" t="s">
        <v>1453</v>
      </c>
      <c r="H5153" s="27" t="s">
        <v>1454</v>
      </c>
      <c r="N5153" s="27" t="s">
        <v>6673</v>
      </c>
      <c r="P5153" s="27" t="s">
        <v>6677</v>
      </c>
      <c r="Q5153" s="26" t="str">
        <f>HYPERLINK("https://ictv.global/taxonomy/taxondetails?taxnode_id=202514913&amp;ictv_id=ICTV202214913","ICTV202214913")</f>
        <v>ICTV202214913</v>
      </c>
      <c r="R5153" t="s">
        <v>579</v>
      </c>
      <c r="S5153" t="s">
        <v>823</v>
      </c>
      <c r="T5153">
        <v>38</v>
      </c>
      <c r="U5153" s="26" t="str">
        <f t="shared" si="202"/>
        <v>2022.084B.Caudoviricetes_6ng_33nsp.zip</v>
      </c>
    </row>
    <row r="5154" spans="1:21">
      <c r="A5154">
        <v>5153</v>
      </c>
      <c r="B5154" s="27" t="s">
        <v>1449</v>
      </c>
      <c r="D5154" s="27" t="s">
        <v>1450</v>
      </c>
      <c r="F5154" s="27" t="s">
        <v>1453</v>
      </c>
      <c r="H5154" s="27" t="s">
        <v>1454</v>
      </c>
      <c r="N5154" s="27" t="s">
        <v>6673</v>
      </c>
      <c r="P5154" s="27" t="s">
        <v>6678</v>
      </c>
      <c r="Q5154" s="26" t="str">
        <f>HYPERLINK("https://ictv.global/taxonomy/taxondetails?taxnode_id=202514914&amp;ictv_id=ICTV202214914","ICTV202214914")</f>
        <v>ICTV202214914</v>
      </c>
      <c r="R5154" t="s">
        <v>579</v>
      </c>
      <c r="S5154" t="s">
        <v>823</v>
      </c>
      <c r="T5154">
        <v>38</v>
      </c>
      <c r="U5154" s="26" t="str">
        <f t="shared" si="202"/>
        <v>2022.084B.Caudoviricetes_6ng_33nsp.zip</v>
      </c>
    </row>
    <row r="5155" spans="1:21">
      <c r="A5155">
        <v>5154</v>
      </c>
      <c r="B5155" s="27" t="s">
        <v>1449</v>
      </c>
      <c r="D5155" s="27" t="s">
        <v>1450</v>
      </c>
      <c r="F5155" s="27" t="s">
        <v>1453</v>
      </c>
      <c r="H5155" s="27" t="s">
        <v>1454</v>
      </c>
      <c r="N5155" s="27" t="s">
        <v>6673</v>
      </c>
      <c r="P5155" s="27" t="s">
        <v>6679</v>
      </c>
      <c r="Q5155" s="26" t="str">
        <f>HYPERLINK("https://ictv.global/taxonomy/taxondetails?taxnode_id=202514919&amp;ictv_id=ICTV202214919","ICTV202214919")</f>
        <v>ICTV202214919</v>
      </c>
      <c r="R5155" t="s">
        <v>579</v>
      </c>
      <c r="S5155" t="s">
        <v>823</v>
      </c>
      <c r="T5155">
        <v>38</v>
      </c>
      <c r="U5155" s="26" t="str">
        <f t="shared" si="202"/>
        <v>2022.084B.Caudoviricetes_6ng_33nsp.zip</v>
      </c>
    </row>
    <row r="5156" spans="1:21">
      <c r="A5156">
        <v>5155</v>
      </c>
      <c r="B5156" s="27" t="s">
        <v>1449</v>
      </c>
      <c r="D5156" s="27" t="s">
        <v>1450</v>
      </c>
      <c r="F5156" s="27" t="s">
        <v>1453</v>
      </c>
      <c r="H5156" s="27" t="s">
        <v>1454</v>
      </c>
      <c r="N5156" s="27" t="s">
        <v>6673</v>
      </c>
      <c r="P5156" s="27" t="s">
        <v>6680</v>
      </c>
      <c r="Q5156" s="26" t="str">
        <f>HYPERLINK("https://ictv.global/taxonomy/taxondetails?taxnode_id=202514918&amp;ictv_id=ICTV202214918","ICTV202214918")</f>
        <v>ICTV202214918</v>
      </c>
      <c r="R5156" t="s">
        <v>579</v>
      </c>
      <c r="S5156" t="s">
        <v>823</v>
      </c>
      <c r="T5156">
        <v>38</v>
      </c>
      <c r="U5156" s="26" t="str">
        <f t="shared" si="202"/>
        <v>2022.084B.Caudoviricetes_6ng_33nsp.zip</v>
      </c>
    </row>
    <row r="5157" spans="1:21">
      <c r="A5157">
        <v>5156</v>
      </c>
      <c r="B5157" s="27" t="s">
        <v>1449</v>
      </c>
      <c r="D5157" s="27" t="s">
        <v>1450</v>
      </c>
      <c r="F5157" s="27" t="s">
        <v>1453</v>
      </c>
      <c r="H5157" s="27" t="s">
        <v>1454</v>
      </c>
      <c r="N5157" s="27" t="s">
        <v>6673</v>
      </c>
      <c r="P5157" s="27" t="s">
        <v>6681</v>
      </c>
      <c r="Q5157" s="26" t="str">
        <f>HYPERLINK("https://ictv.global/taxonomy/taxondetails?taxnode_id=202514917&amp;ictv_id=ICTV202214917","ICTV202214917")</f>
        <v>ICTV202214917</v>
      </c>
      <c r="R5157" t="s">
        <v>579</v>
      </c>
      <c r="S5157" t="s">
        <v>823</v>
      </c>
      <c r="T5157">
        <v>38</v>
      </c>
      <c r="U5157" s="26" t="str">
        <f t="shared" si="202"/>
        <v>2022.084B.Caudoviricetes_6ng_33nsp.zip</v>
      </c>
    </row>
    <row r="5158" spans="1:21">
      <c r="A5158">
        <v>5157</v>
      </c>
      <c r="B5158" s="27" t="s">
        <v>1449</v>
      </c>
      <c r="D5158" s="27" t="s">
        <v>1450</v>
      </c>
      <c r="F5158" s="27" t="s">
        <v>1453</v>
      </c>
      <c r="H5158" s="27" t="s">
        <v>1454</v>
      </c>
      <c r="N5158" s="27" t="s">
        <v>6673</v>
      </c>
      <c r="P5158" s="27" t="s">
        <v>6682</v>
      </c>
      <c r="Q5158" s="26" t="str">
        <f>HYPERLINK("https://ictv.global/taxonomy/taxondetails?taxnode_id=202514912&amp;ictv_id=ICTV202214912","ICTV202214912")</f>
        <v>ICTV202214912</v>
      </c>
      <c r="R5158" t="s">
        <v>579</v>
      </c>
      <c r="S5158" t="s">
        <v>823</v>
      </c>
      <c r="T5158">
        <v>38</v>
      </c>
      <c r="U5158" s="26" t="str">
        <f t="shared" si="202"/>
        <v>2022.084B.Caudoviricetes_6ng_33nsp.zip</v>
      </c>
    </row>
    <row r="5159" spans="1:21">
      <c r="A5159">
        <v>5158</v>
      </c>
      <c r="B5159" s="27" t="s">
        <v>1449</v>
      </c>
      <c r="D5159" s="27" t="s">
        <v>1450</v>
      </c>
      <c r="F5159" s="27" t="s">
        <v>1453</v>
      </c>
      <c r="H5159" s="27" t="s">
        <v>1454</v>
      </c>
      <c r="N5159" s="27" t="s">
        <v>6673</v>
      </c>
      <c r="P5159" s="27" t="s">
        <v>6683</v>
      </c>
      <c r="Q5159" s="26" t="str">
        <f>HYPERLINK("https://ictv.global/taxonomy/taxondetails?taxnode_id=202514920&amp;ictv_id=ICTV202214920","ICTV202214920")</f>
        <v>ICTV202214920</v>
      </c>
      <c r="R5159" t="s">
        <v>579</v>
      </c>
      <c r="S5159" t="s">
        <v>823</v>
      </c>
      <c r="T5159">
        <v>38</v>
      </c>
      <c r="U5159" s="26" t="str">
        <f t="shared" si="202"/>
        <v>2022.084B.Caudoviricetes_6ng_33nsp.zip</v>
      </c>
    </row>
    <row r="5160" spans="1:21">
      <c r="A5160">
        <v>5159</v>
      </c>
      <c r="B5160" s="27" t="s">
        <v>1449</v>
      </c>
      <c r="D5160" s="27" t="s">
        <v>1450</v>
      </c>
      <c r="F5160" s="27" t="s">
        <v>1453</v>
      </c>
      <c r="H5160" s="27" t="s">
        <v>1454</v>
      </c>
      <c r="N5160" s="27" t="s">
        <v>2250</v>
      </c>
      <c r="P5160" s="27" t="s">
        <v>6685</v>
      </c>
      <c r="Q5160" s="26" t="str">
        <f>HYPERLINK("https://ictv.global/taxonomy/taxondetails?taxnode_id=202510193&amp;ictv_id=ICTV202010193","ICTV202010193")</f>
        <v>ICTV202010193</v>
      </c>
      <c r="R5160" t="s">
        <v>579</v>
      </c>
      <c r="S5160" t="s">
        <v>824</v>
      </c>
      <c r="T5160">
        <v>37</v>
      </c>
      <c r="U5160" s="26" t="str">
        <f>HYPERLINK("https://ictv.global/ictv/proposals/2021.010B.R.Binomial_names.zip","2021.010B.R.Binomial_names.zip")</f>
        <v>2021.010B.R.Binomial_names.zip</v>
      </c>
    </row>
    <row r="5161" spans="1:21">
      <c r="A5161">
        <v>5160</v>
      </c>
      <c r="B5161" s="27" t="s">
        <v>1449</v>
      </c>
      <c r="D5161" s="27" t="s">
        <v>1450</v>
      </c>
      <c r="F5161" s="27" t="s">
        <v>1453</v>
      </c>
      <c r="H5161" s="27" t="s">
        <v>1454</v>
      </c>
      <c r="N5161" s="27" t="s">
        <v>1330</v>
      </c>
      <c r="P5161" s="27" t="s">
        <v>6686</v>
      </c>
      <c r="Q5161" s="26" t="str">
        <f>HYPERLINK("https://ictv.global/taxonomy/taxondetails?taxnode_id=202506394&amp;ictv_id=ICTV201856394","ICTV201856394")</f>
        <v>ICTV201856394</v>
      </c>
      <c r="R5161" t="s">
        <v>579</v>
      </c>
      <c r="S5161" t="s">
        <v>824</v>
      </c>
      <c r="T5161">
        <v>37</v>
      </c>
      <c r="U5161" s="26" t="str">
        <f>HYPERLINK("https://ictv.global/ictv/proposals/2021.010B.R.Binomial_names.zip","2021.010B.R.Binomial_names.zip")</f>
        <v>2021.010B.R.Binomial_names.zip</v>
      </c>
    </row>
    <row r="5162" spans="1:21">
      <c r="A5162">
        <v>5161</v>
      </c>
      <c r="B5162" s="27" t="s">
        <v>1449</v>
      </c>
      <c r="D5162" s="27" t="s">
        <v>1450</v>
      </c>
      <c r="F5162" s="27" t="s">
        <v>1453</v>
      </c>
      <c r="H5162" s="27" t="s">
        <v>1454</v>
      </c>
      <c r="N5162" s="27" t="s">
        <v>6687</v>
      </c>
      <c r="P5162" s="27" t="s">
        <v>6688</v>
      </c>
      <c r="Q5162" s="26" t="str">
        <f>HYPERLINK("https://ictv.global/taxonomy/taxondetails?taxnode_id=202513208&amp;ictv_id=ICTV202113208","ICTV202113208")</f>
        <v>ICTV202113208</v>
      </c>
      <c r="R5162" t="s">
        <v>579</v>
      </c>
      <c r="S5162" t="s">
        <v>823</v>
      </c>
      <c r="T5162">
        <v>37</v>
      </c>
      <c r="U5162" s="26" t="str">
        <f t="shared" ref="U5162:U5175" si="203">HYPERLINK("https://ictv.global/ictv/proposals/2021.008B.R.Benedictvirus.zip","2021.008B.R.Benedictvirus.zip")</f>
        <v>2021.008B.R.Benedictvirus.zip</v>
      </c>
    </row>
    <row r="5163" spans="1:21">
      <c r="A5163">
        <v>5162</v>
      </c>
      <c r="B5163" s="27" t="s">
        <v>1449</v>
      </c>
      <c r="D5163" s="27" t="s">
        <v>1450</v>
      </c>
      <c r="F5163" s="27" t="s">
        <v>1453</v>
      </c>
      <c r="H5163" s="27" t="s">
        <v>1454</v>
      </c>
      <c r="N5163" s="27" t="s">
        <v>6687</v>
      </c>
      <c r="P5163" s="27" t="s">
        <v>6689</v>
      </c>
      <c r="Q5163" s="26" t="str">
        <f>HYPERLINK("https://ictv.global/taxonomy/taxondetails?taxnode_id=202501014&amp;ictv_id=ICTV20140368","ICTV20140368")</f>
        <v>ICTV20140368</v>
      </c>
      <c r="R5163" t="s">
        <v>579</v>
      </c>
      <c r="S5163" t="s">
        <v>22764</v>
      </c>
      <c r="T5163">
        <v>37</v>
      </c>
      <c r="U5163" s="26" t="str">
        <f t="shared" si="203"/>
        <v>2021.008B.R.Benedictvirus.zip</v>
      </c>
    </row>
    <row r="5164" spans="1:21">
      <c r="A5164">
        <v>5163</v>
      </c>
      <c r="B5164" s="27" t="s">
        <v>1449</v>
      </c>
      <c r="D5164" s="27" t="s">
        <v>1450</v>
      </c>
      <c r="F5164" s="27" t="s">
        <v>1453</v>
      </c>
      <c r="H5164" s="27" t="s">
        <v>1454</v>
      </c>
      <c r="N5164" s="27" t="s">
        <v>6687</v>
      </c>
      <c r="P5164" s="27" t="s">
        <v>6690</v>
      </c>
      <c r="Q5164" s="26" t="str">
        <f>HYPERLINK("https://ictv.global/taxonomy/taxondetails?taxnode_id=202513207&amp;ictv_id=ICTV202113207","ICTV202113207")</f>
        <v>ICTV202113207</v>
      </c>
      <c r="R5164" t="s">
        <v>579</v>
      </c>
      <c r="S5164" t="s">
        <v>823</v>
      </c>
      <c r="T5164">
        <v>37</v>
      </c>
      <c r="U5164" s="26" t="str">
        <f t="shared" si="203"/>
        <v>2021.008B.R.Benedictvirus.zip</v>
      </c>
    </row>
    <row r="5165" spans="1:21">
      <c r="A5165">
        <v>5164</v>
      </c>
      <c r="B5165" s="27" t="s">
        <v>1449</v>
      </c>
      <c r="D5165" s="27" t="s">
        <v>1450</v>
      </c>
      <c r="F5165" s="27" t="s">
        <v>1453</v>
      </c>
      <c r="H5165" s="27" t="s">
        <v>1454</v>
      </c>
      <c r="N5165" s="27" t="s">
        <v>6687</v>
      </c>
      <c r="P5165" s="27" t="s">
        <v>6691</v>
      </c>
      <c r="Q5165" s="26" t="str">
        <f>HYPERLINK("https://ictv.global/taxonomy/taxondetails?taxnode_id=202513201&amp;ictv_id=ICTV202113201","ICTV202113201")</f>
        <v>ICTV202113201</v>
      </c>
      <c r="R5165" t="s">
        <v>579</v>
      </c>
      <c r="S5165" t="s">
        <v>823</v>
      </c>
      <c r="T5165">
        <v>37</v>
      </c>
      <c r="U5165" s="26" t="str">
        <f t="shared" si="203"/>
        <v>2021.008B.R.Benedictvirus.zip</v>
      </c>
    </row>
    <row r="5166" spans="1:21">
      <c r="A5166">
        <v>5165</v>
      </c>
      <c r="B5166" s="27" t="s">
        <v>1449</v>
      </c>
      <c r="D5166" s="27" t="s">
        <v>1450</v>
      </c>
      <c r="F5166" s="27" t="s">
        <v>1453</v>
      </c>
      <c r="H5166" s="27" t="s">
        <v>1454</v>
      </c>
      <c r="N5166" s="27" t="s">
        <v>6687</v>
      </c>
      <c r="P5166" s="27" t="s">
        <v>6692</v>
      </c>
      <c r="Q5166" s="26" t="str">
        <f>HYPERLINK("https://ictv.global/taxonomy/taxondetails?taxnode_id=202501021&amp;ictv_id=ICTV20140370","ICTV20140370")</f>
        <v>ICTV20140370</v>
      </c>
      <c r="R5166" t="s">
        <v>579</v>
      </c>
      <c r="S5166" t="s">
        <v>22764</v>
      </c>
      <c r="T5166">
        <v>37</v>
      </c>
      <c r="U5166" s="26" t="str">
        <f t="shared" si="203"/>
        <v>2021.008B.R.Benedictvirus.zip</v>
      </c>
    </row>
    <row r="5167" spans="1:21">
      <c r="A5167">
        <v>5166</v>
      </c>
      <c r="B5167" s="27" t="s">
        <v>1449</v>
      </c>
      <c r="D5167" s="27" t="s">
        <v>1450</v>
      </c>
      <c r="F5167" s="27" t="s">
        <v>1453</v>
      </c>
      <c r="H5167" s="27" t="s">
        <v>1454</v>
      </c>
      <c r="N5167" s="27" t="s">
        <v>6687</v>
      </c>
      <c r="P5167" s="27" t="s">
        <v>6693</v>
      </c>
      <c r="Q5167" s="26" t="str">
        <f>HYPERLINK("https://ictv.global/taxonomy/taxondetails?taxnode_id=202513209&amp;ictv_id=ICTV202113209","ICTV202113209")</f>
        <v>ICTV202113209</v>
      </c>
      <c r="R5167" t="s">
        <v>579</v>
      </c>
      <c r="S5167" t="s">
        <v>823</v>
      </c>
      <c r="T5167">
        <v>37</v>
      </c>
      <c r="U5167" s="26" t="str">
        <f t="shared" si="203"/>
        <v>2021.008B.R.Benedictvirus.zip</v>
      </c>
    </row>
    <row r="5168" spans="1:21">
      <c r="A5168">
        <v>5167</v>
      </c>
      <c r="B5168" s="27" t="s">
        <v>1449</v>
      </c>
      <c r="D5168" s="27" t="s">
        <v>1450</v>
      </c>
      <c r="F5168" s="27" t="s">
        <v>1453</v>
      </c>
      <c r="H5168" s="27" t="s">
        <v>1454</v>
      </c>
      <c r="N5168" s="27" t="s">
        <v>6687</v>
      </c>
      <c r="P5168" s="27" t="s">
        <v>6694</v>
      </c>
      <c r="Q5168" s="26" t="str">
        <f>HYPERLINK("https://ictv.global/taxonomy/taxondetails?taxnode_id=202513205&amp;ictv_id=ICTV202113205","ICTV202113205")</f>
        <v>ICTV202113205</v>
      </c>
      <c r="R5168" t="s">
        <v>579</v>
      </c>
      <c r="S5168" t="s">
        <v>823</v>
      </c>
      <c r="T5168">
        <v>37</v>
      </c>
      <c r="U5168" s="26" t="str">
        <f t="shared" si="203"/>
        <v>2021.008B.R.Benedictvirus.zip</v>
      </c>
    </row>
    <row r="5169" spans="1:21">
      <c r="A5169">
        <v>5168</v>
      </c>
      <c r="B5169" s="27" t="s">
        <v>1449</v>
      </c>
      <c r="D5169" s="27" t="s">
        <v>1450</v>
      </c>
      <c r="F5169" s="27" t="s">
        <v>1453</v>
      </c>
      <c r="H5169" s="27" t="s">
        <v>1454</v>
      </c>
      <c r="N5169" s="27" t="s">
        <v>6687</v>
      </c>
      <c r="P5169" s="27" t="s">
        <v>6695</v>
      </c>
      <c r="Q5169" s="26" t="str">
        <f>HYPERLINK("https://ictv.global/taxonomy/taxondetails?taxnode_id=202513199&amp;ictv_id=ICTV202113199","ICTV202113199")</f>
        <v>ICTV202113199</v>
      </c>
      <c r="R5169" t="s">
        <v>579</v>
      </c>
      <c r="S5169" t="s">
        <v>823</v>
      </c>
      <c r="T5169">
        <v>37</v>
      </c>
      <c r="U5169" s="26" t="str">
        <f t="shared" si="203"/>
        <v>2021.008B.R.Benedictvirus.zip</v>
      </c>
    </row>
    <row r="5170" spans="1:21">
      <c r="A5170">
        <v>5169</v>
      </c>
      <c r="B5170" s="27" t="s">
        <v>1449</v>
      </c>
      <c r="D5170" s="27" t="s">
        <v>1450</v>
      </c>
      <c r="F5170" s="27" t="s">
        <v>1453</v>
      </c>
      <c r="H5170" s="27" t="s">
        <v>1454</v>
      </c>
      <c r="N5170" s="27" t="s">
        <v>6687</v>
      </c>
      <c r="P5170" s="27" t="s">
        <v>6696</v>
      </c>
      <c r="Q5170" s="26" t="str">
        <f>HYPERLINK("https://ictv.global/taxonomy/taxondetails?taxnode_id=202513202&amp;ictv_id=ICTV202113202","ICTV202113202")</f>
        <v>ICTV202113202</v>
      </c>
      <c r="R5170" t="s">
        <v>579</v>
      </c>
      <c r="S5170" t="s">
        <v>823</v>
      </c>
      <c r="T5170">
        <v>37</v>
      </c>
      <c r="U5170" s="26" t="str">
        <f t="shared" si="203"/>
        <v>2021.008B.R.Benedictvirus.zip</v>
      </c>
    </row>
    <row r="5171" spans="1:21">
      <c r="A5171">
        <v>5170</v>
      </c>
      <c r="B5171" s="27" t="s">
        <v>1449</v>
      </c>
      <c r="D5171" s="27" t="s">
        <v>1450</v>
      </c>
      <c r="F5171" s="27" t="s">
        <v>1453</v>
      </c>
      <c r="H5171" s="27" t="s">
        <v>1454</v>
      </c>
      <c r="N5171" s="27" t="s">
        <v>6687</v>
      </c>
      <c r="P5171" s="27" t="s">
        <v>6697</v>
      </c>
      <c r="Q5171" s="26" t="str">
        <f>HYPERLINK("https://ictv.global/taxonomy/taxondetails?taxnode_id=202513204&amp;ictv_id=ICTV202113204","ICTV202113204")</f>
        <v>ICTV202113204</v>
      </c>
      <c r="R5171" t="s">
        <v>579</v>
      </c>
      <c r="S5171" t="s">
        <v>823</v>
      </c>
      <c r="T5171">
        <v>37</v>
      </c>
      <c r="U5171" s="26" t="str">
        <f t="shared" si="203"/>
        <v>2021.008B.R.Benedictvirus.zip</v>
      </c>
    </row>
    <row r="5172" spans="1:21">
      <c r="A5172">
        <v>5171</v>
      </c>
      <c r="B5172" s="27" t="s">
        <v>1449</v>
      </c>
      <c r="D5172" s="27" t="s">
        <v>1450</v>
      </c>
      <c r="F5172" s="27" t="s">
        <v>1453</v>
      </c>
      <c r="H5172" s="27" t="s">
        <v>1454</v>
      </c>
      <c r="N5172" s="27" t="s">
        <v>6687</v>
      </c>
      <c r="P5172" s="27" t="s">
        <v>6698</v>
      </c>
      <c r="Q5172" s="26" t="str">
        <f>HYPERLINK("https://ictv.global/taxonomy/taxondetails?taxnode_id=202513203&amp;ictv_id=ICTV202113203","ICTV202113203")</f>
        <v>ICTV202113203</v>
      </c>
      <c r="R5172" t="s">
        <v>579</v>
      </c>
      <c r="S5172" t="s">
        <v>823</v>
      </c>
      <c r="T5172">
        <v>37</v>
      </c>
      <c r="U5172" s="26" t="str">
        <f t="shared" si="203"/>
        <v>2021.008B.R.Benedictvirus.zip</v>
      </c>
    </row>
    <row r="5173" spans="1:21">
      <c r="A5173">
        <v>5172</v>
      </c>
      <c r="B5173" s="27" t="s">
        <v>1449</v>
      </c>
      <c r="D5173" s="27" t="s">
        <v>1450</v>
      </c>
      <c r="F5173" s="27" t="s">
        <v>1453</v>
      </c>
      <c r="H5173" s="27" t="s">
        <v>1454</v>
      </c>
      <c r="N5173" s="27" t="s">
        <v>6687</v>
      </c>
      <c r="P5173" s="27" t="s">
        <v>6699</v>
      </c>
      <c r="Q5173" s="26" t="str">
        <f>HYPERLINK("https://ictv.global/taxonomy/taxondetails?taxnode_id=202501061&amp;ictv_id=ICTV20140371","ICTV20140371")</f>
        <v>ICTV20140371</v>
      </c>
      <c r="R5173" t="s">
        <v>579</v>
      </c>
      <c r="S5173" t="s">
        <v>22764</v>
      </c>
      <c r="T5173">
        <v>37</v>
      </c>
      <c r="U5173" s="26" t="str">
        <f t="shared" si="203"/>
        <v>2021.008B.R.Benedictvirus.zip</v>
      </c>
    </row>
    <row r="5174" spans="1:21">
      <c r="A5174">
        <v>5173</v>
      </c>
      <c r="B5174" s="27" t="s">
        <v>1449</v>
      </c>
      <c r="D5174" s="27" t="s">
        <v>1450</v>
      </c>
      <c r="F5174" s="27" t="s">
        <v>1453</v>
      </c>
      <c r="H5174" s="27" t="s">
        <v>1454</v>
      </c>
      <c r="N5174" s="27" t="s">
        <v>6687</v>
      </c>
      <c r="P5174" s="27" t="s">
        <v>6700</v>
      </c>
      <c r="Q5174" s="26" t="str">
        <f>HYPERLINK("https://ictv.global/taxonomy/taxondetails?taxnode_id=202513200&amp;ictv_id=ICTV202113200","ICTV202113200")</f>
        <v>ICTV202113200</v>
      </c>
      <c r="R5174" t="s">
        <v>579</v>
      </c>
      <c r="S5174" t="s">
        <v>823</v>
      </c>
      <c r="T5174">
        <v>37</v>
      </c>
      <c r="U5174" s="26" t="str">
        <f t="shared" si="203"/>
        <v>2021.008B.R.Benedictvirus.zip</v>
      </c>
    </row>
    <row r="5175" spans="1:21">
      <c r="A5175">
        <v>5174</v>
      </c>
      <c r="B5175" s="27" t="s">
        <v>1449</v>
      </c>
      <c r="D5175" s="27" t="s">
        <v>1450</v>
      </c>
      <c r="F5175" s="27" t="s">
        <v>1453</v>
      </c>
      <c r="H5175" s="27" t="s">
        <v>1454</v>
      </c>
      <c r="N5175" s="27" t="s">
        <v>6687</v>
      </c>
      <c r="P5175" s="27" t="s">
        <v>6701</v>
      </c>
      <c r="Q5175" s="26" t="str">
        <f>HYPERLINK("https://ictv.global/taxonomy/taxondetails?taxnode_id=202513206&amp;ictv_id=ICTV202113206","ICTV202113206")</f>
        <v>ICTV202113206</v>
      </c>
      <c r="R5175" t="s">
        <v>579</v>
      </c>
      <c r="S5175" t="s">
        <v>823</v>
      </c>
      <c r="T5175">
        <v>37</v>
      </c>
      <c r="U5175" s="26" t="str">
        <f t="shared" si="203"/>
        <v>2021.008B.R.Benedictvirus.zip</v>
      </c>
    </row>
    <row r="5176" spans="1:21">
      <c r="A5176">
        <v>5175</v>
      </c>
      <c r="B5176" s="27" t="s">
        <v>1449</v>
      </c>
      <c r="D5176" s="27" t="s">
        <v>1450</v>
      </c>
      <c r="F5176" s="27" t="s">
        <v>1453</v>
      </c>
      <c r="H5176" s="27" t="s">
        <v>1454</v>
      </c>
      <c r="N5176" s="27" t="s">
        <v>1331</v>
      </c>
      <c r="P5176" s="27" t="s">
        <v>6702</v>
      </c>
      <c r="Q5176" s="26" t="str">
        <f>HYPERLINK("https://ictv.global/taxonomy/taxondetails?taxnode_id=202500858&amp;ictv_id=ICTV20164977","ICTV20164977")</f>
        <v>ICTV20164977</v>
      </c>
      <c r="R5176" t="s">
        <v>579</v>
      </c>
      <c r="S5176" t="s">
        <v>824</v>
      </c>
      <c r="T5176">
        <v>37</v>
      </c>
      <c r="U5176" s="26" t="str">
        <f>HYPERLINK("https://ictv.global/ictv/proposals/2021.010B.R.Binomial_names.zip","2021.010B.R.Binomial_names.zip")</f>
        <v>2021.010B.R.Binomial_names.zip</v>
      </c>
    </row>
    <row r="5177" spans="1:21">
      <c r="A5177">
        <v>5176</v>
      </c>
      <c r="B5177" s="27" t="s">
        <v>1449</v>
      </c>
      <c r="D5177" s="27" t="s">
        <v>1450</v>
      </c>
      <c r="F5177" s="27" t="s">
        <v>1453</v>
      </c>
      <c r="H5177" s="27" t="s">
        <v>1454</v>
      </c>
      <c r="N5177" s="27" t="s">
        <v>1331</v>
      </c>
      <c r="P5177" s="27" t="s">
        <v>6703</v>
      </c>
      <c r="Q5177" s="26" t="str">
        <f>HYPERLINK("https://ictv.global/taxonomy/taxondetails?taxnode_id=202512355&amp;ictv_id=ICTV202112355","ICTV202112355")</f>
        <v>ICTV202112355</v>
      </c>
      <c r="R5177" t="s">
        <v>579</v>
      </c>
      <c r="S5177" t="s">
        <v>823</v>
      </c>
      <c r="T5177">
        <v>37</v>
      </c>
      <c r="U5177" s="26" t="str">
        <f>HYPERLINK("https://ictv.global/ictv/proposals/2021.039B.R.Infilling.zip","2021.039B.R.Infilling.zip")</f>
        <v>2021.039B.R.Infilling.zip</v>
      </c>
    </row>
    <row r="5178" spans="1:21">
      <c r="A5178">
        <v>5177</v>
      </c>
      <c r="B5178" s="27" t="s">
        <v>1449</v>
      </c>
      <c r="D5178" s="27" t="s">
        <v>1450</v>
      </c>
      <c r="F5178" s="27" t="s">
        <v>1453</v>
      </c>
      <c r="H5178" s="27" t="s">
        <v>1454</v>
      </c>
      <c r="N5178" s="27" t="s">
        <v>1332</v>
      </c>
      <c r="P5178" s="27" t="s">
        <v>6704</v>
      </c>
      <c r="Q5178" s="26" t="str">
        <f>HYPERLINK("https://ictv.global/taxonomy/taxondetails?taxnode_id=202506801&amp;ictv_id=ICTV201856801","ICTV201856801")</f>
        <v>ICTV201856801</v>
      </c>
      <c r="R5178" t="s">
        <v>579</v>
      </c>
      <c r="S5178" t="s">
        <v>824</v>
      </c>
      <c r="T5178">
        <v>37</v>
      </c>
      <c r="U5178" s="26" t="str">
        <f>HYPERLINK("https://ictv.global/ictv/proposals/2021.010B.R.Binomial_names.zip","2021.010B.R.Binomial_names.zip")</f>
        <v>2021.010B.R.Binomial_names.zip</v>
      </c>
    </row>
    <row r="5179" spans="1:21">
      <c r="A5179">
        <v>5178</v>
      </c>
      <c r="B5179" s="27" t="s">
        <v>1449</v>
      </c>
      <c r="D5179" s="27" t="s">
        <v>1450</v>
      </c>
      <c r="F5179" s="27" t="s">
        <v>1453</v>
      </c>
      <c r="H5179" s="27" t="s">
        <v>1454</v>
      </c>
      <c r="N5179" s="27" t="s">
        <v>12047</v>
      </c>
      <c r="P5179" s="27" t="s">
        <v>12048</v>
      </c>
      <c r="Q5179" s="26" t="str">
        <f>HYPERLINK("https://ictv.global/taxonomy/taxondetails?taxnode_id=202519574&amp;ictv_id=ICTV202319574","ICTV202319574")</f>
        <v>ICTV202319574</v>
      </c>
      <c r="R5179" t="s">
        <v>579</v>
      </c>
      <c r="S5179" t="s">
        <v>823</v>
      </c>
      <c r="T5179">
        <v>39</v>
      </c>
      <c r="U5179" s="26" t="str">
        <f>HYPERLINK("https://ictv.global/ictv/proposals/2023.080B.Bglawtbvirus_ng.zip","2023.080B.Bglawtbvirus_ng.zip")</f>
        <v>2023.080B.Bglawtbvirus_ng.zip</v>
      </c>
    </row>
    <row r="5180" spans="1:21">
      <c r="A5180">
        <v>5179</v>
      </c>
      <c r="B5180" s="27" t="s">
        <v>1449</v>
      </c>
      <c r="D5180" s="27" t="s">
        <v>1450</v>
      </c>
      <c r="F5180" s="27" t="s">
        <v>1453</v>
      </c>
      <c r="H5180" s="27" t="s">
        <v>1454</v>
      </c>
      <c r="N5180" s="27" t="s">
        <v>6706</v>
      </c>
      <c r="P5180" s="27" t="s">
        <v>6707</v>
      </c>
      <c r="Q5180" s="26" t="str">
        <f>HYPERLINK("https://ictv.global/taxonomy/taxondetails?taxnode_id=202514667&amp;ictv_id=ICTV202214667","ICTV202214667")</f>
        <v>ICTV202214667</v>
      </c>
      <c r="R5180" t="s">
        <v>579</v>
      </c>
      <c r="S5180" t="s">
        <v>823</v>
      </c>
      <c r="T5180">
        <v>38</v>
      </c>
      <c r="U5180" s="26" t="str">
        <f>HYPERLINK("https://ictv.global/ictv/proposals/2022.046B.Caudoviricetes_2ng.zip","2022.046B.Caudoviricetes_2ng.zip")</f>
        <v>2022.046B.Caudoviricetes_2ng.zip</v>
      </c>
    </row>
    <row r="5181" spans="1:21">
      <c r="A5181">
        <v>5180</v>
      </c>
      <c r="B5181" s="27" t="s">
        <v>1449</v>
      </c>
      <c r="D5181" s="27" t="s">
        <v>1450</v>
      </c>
      <c r="F5181" s="27" t="s">
        <v>1453</v>
      </c>
      <c r="H5181" s="27" t="s">
        <v>1454</v>
      </c>
      <c r="N5181" s="27" t="s">
        <v>1333</v>
      </c>
      <c r="P5181" s="27" t="s">
        <v>6708</v>
      </c>
      <c r="Q5181" s="26" t="str">
        <f>HYPERLINK("https://ictv.global/taxonomy/taxondetails?taxnode_id=202506724&amp;ictv_id=ICTV201856724","ICTV201856724")</f>
        <v>ICTV201856724</v>
      </c>
      <c r="R5181" t="s">
        <v>579</v>
      </c>
      <c r="S5181" t="s">
        <v>824</v>
      </c>
      <c r="T5181">
        <v>37</v>
      </c>
      <c r="U5181" s="26" t="str">
        <f>HYPERLINK("https://ictv.global/ictv/proposals/2021.010B.R.Binomial_names.zip","2021.010B.R.Binomial_names.zip")</f>
        <v>2021.010B.R.Binomial_names.zip</v>
      </c>
    </row>
    <row r="5182" spans="1:21">
      <c r="A5182">
        <v>5181</v>
      </c>
      <c r="B5182" s="27" t="s">
        <v>1449</v>
      </c>
      <c r="D5182" s="27" t="s">
        <v>1450</v>
      </c>
      <c r="F5182" s="27" t="s">
        <v>1453</v>
      </c>
      <c r="H5182" s="27" t="s">
        <v>1454</v>
      </c>
      <c r="N5182" s="27" t="s">
        <v>6709</v>
      </c>
      <c r="P5182" s="27" t="s">
        <v>6710</v>
      </c>
      <c r="Q5182" s="26" t="str">
        <f>HYPERLINK("https://ictv.global/taxonomy/taxondetails?taxnode_id=202512974&amp;ictv_id=ICTV202112974","ICTV202112974")</f>
        <v>ICTV202112974</v>
      </c>
      <c r="R5182" t="s">
        <v>579</v>
      </c>
      <c r="S5182" t="s">
        <v>823</v>
      </c>
      <c r="T5182">
        <v>37</v>
      </c>
      <c r="U5182" s="26" t="str">
        <f>HYPERLINK("https://ictv.global/ictv/proposals/2021.011B.R.Bippervirus.zip","2021.011B.R.Bippervirus.zip")</f>
        <v>2021.011B.R.Bippervirus.zip</v>
      </c>
    </row>
    <row r="5183" spans="1:21">
      <c r="A5183">
        <v>5182</v>
      </c>
      <c r="B5183" s="27" t="s">
        <v>1449</v>
      </c>
      <c r="D5183" s="27" t="s">
        <v>1450</v>
      </c>
      <c r="F5183" s="27" t="s">
        <v>1453</v>
      </c>
      <c r="H5183" s="27" t="s">
        <v>1454</v>
      </c>
      <c r="N5183" s="27" t="s">
        <v>12049</v>
      </c>
      <c r="P5183" s="27" t="s">
        <v>12050</v>
      </c>
      <c r="Q5183" s="26" t="str">
        <f>HYPERLINK("https://ictv.global/taxonomy/taxondetails?taxnode_id=202517768&amp;ictv_id=ICTV202317768","ICTV202317768")</f>
        <v>ICTV202317768</v>
      </c>
      <c r="R5183" t="s">
        <v>579</v>
      </c>
      <c r="S5183" t="s">
        <v>823</v>
      </c>
      <c r="T5183">
        <v>39</v>
      </c>
      <c r="U5183" s="26" t="str">
        <f>HYPERLINK("https://ictv.global/ictv/proposals/2023.003B.Actinobacteriophage_singletons_25ng.zip","2023.003B.Actinobacteriophage_singletons_25ng.zip")</f>
        <v>2023.003B.Actinobacteriophage_singletons_25ng.zip</v>
      </c>
    </row>
    <row r="5184" spans="1:21">
      <c r="A5184">
        <v>5183</v>
      </c>
      <c r="B5184" s="27" t="s">
        <v>1449</v>
      </c>
      <c r="D5184" s="27" t="s">
        <v>1450</v>
      </c>
      <c r="F5184" s="27" t="s">
        <v>1453</v>
      </c>
      <c r="H5184" s="27" t="s">
        <v>1454</v>
      </c>
      <c r="N5184" s="27" t="s">
        <v>1288</v>
      </c>
      <c r="P5184" s="27" t="s">
        <v>6711</v>
      </c>
      <c r="Q5184" s="26" t="str">
        <f>HYPERLINK("https://ictv.global/taxonomy/taxondetails?taxnode_id=202506806&amp;ictv_id=ICTV201856806","ICTV201856806")</f>
        <v>ICTV201856806</v>
      </c>
      <c r="R5184" t="s">
        <v>579</v>
      </c>
      <c r="S5184" t="s">
        <v>824</v>
      </c>
      <c r="T5184">
        <v>37</v>
      </c>
      <c r="U5184" s="26" t="str">
        <f>HYPERLINK("https://ictv.global/ictv/proposals/2021.010B.R.Binomial_names.zip","2021.010B.R.Binomial_names.zip")</f>
        <v>2021.010B.R.Binomial_names.zip</v>
      </c>
    </row>
    <row r="5185" spans="1:21">
      <c r="A5185">
        <v>5184</v>
      </c>
      <c r="B5185" s="27" t="s">
        <v>1449</v>
      </c>
      <c r="D5185" s="27" t="s">
        <v>1450</v>
      </c>
      <c r="F5185" s="27" t="s">
        <v>1453</v>
      </c>
      <c r="H5185" s="27" t="s">
        <v>1454</v>
      </c>
      <c r="N5185" s="27" t="s">
        <v>12051</v>
      </c>
      <c r="P5185" s="27" t="s">
        <v>12052</v>
      </c>
      <c r="Q5185" s="26" t="str">
        <f>HYPERLINK("https://ictv.global/taxonomy/taxondetails?taxnode_id=202517743&amp;ictv_id=ICTV202317743","ICTV202317743")</f>
        <v>ICTV202317743</v>
      </c>
      <c r="R5185" t="s">
        <v>579</v>
      </c>
      <c r="S5185" t="s">
        <v>823</v>
      </c>
      <c r="T5185">
        <v>39</v>
      </c>
      <c r="U5185" s="26" t="str">
        <f>HYPERLINK("https://ictv.global/ictv/proposals/2023.002B.Actinobacteriophage_Database_Cluster_FE_1nsf_5ng.zip","2023.002B.Actinobacteriophage_Database_Cluster_FE_1nsf_5ng.zip")</f>
        <v>2023.002B.Actinobacteriophage_Database_Cluster_FE_1nsf_5ng.zip</v>
      </c>
    </row>
    <row r="5186" spans="1:21">
      <c r="A5186">
        <v>5185</v>
      </c>
      <c r="B5186" s="27" t="s">
        <v>1449</v>
      </c>
      <c r="D5186" s="27" t="s">
        <v>1450</v>
      </c>
      <c r="F5186" s="27" t="s">
        <v>1453</v>
      </c>
      <c r="H5186" s="27" t="s">
        <v>1454</v>
      </c>
      <c r="N5186" s="27" t="s">
        <v>6712</v>
      </c>
      <c r="P5186" s="27" t="s">
        <v>6713</v>
      </c>
      <c r="Q5186" s="26" t="str">
        <f>HYPERLINK("https://ictv.global/taxonomy/taxondetails?taxnode_id=202514523&amp;ictv_id=ICTV202214523","ICTV202214523")</f>
        <v>ICTV202214523</v>
      </c>
      <c r="R5186" t="s">
        <v>579</v>
      </c>
      <c r="S5186" t="s">
        <v>823</v>
      </c>
      <c r="T5186">
        <v>38</v>
      </c>
      <c r="U5186" s="26" t="str">
        <f>HYPERLINK("https://ictv.global/ictv/proposals/2022.013B.Bocovirus_ng.zip","2022.013B.Bocovirus_ng.zip")</f>
        <v>2022.013B.Bocovirus_ng.zip</v>
      </c>
    </row>
    <row r="5187" spans="1:21">
      <c r="A5187">
        <v>5186</v>
      </c>
      <c r="B5187" s="27" t="s">
        <v>1449</v>
      </c>
      <c r="D5187" s="27" t="s">
        <v>1450</v>
      </c>
      <c r="F5187" s="27" t="s">
        <v>1453</v>
      </c>
      <c r="H5187" s="27" t="s">
        <v>1454</v>
      </c>
      <c r="N5187" s="27" t="s">
        <v>12053</v>
      </c>
      <c r="P5187" s="27" t="s">
        <v>12054</v>
      </c>
      <c r="Q5187" s="26" t="str">
        <f>HYPERLINK("https://ictv.global/taxonomy/taxondetails?taxnode_id=202519256&amp;ictv_id=ICTV202319256","ICTV202319256")</f>
        <v>ICTV202319256</v>
      </c>
      <c r="R5187" t="s">
        <v>579</v>
      </c>
      <c r="S5187" t="s">
        <v>823</v>
      </c>
      <c r="T5187">
        <v>39</v>
      </c>
      <c r="U5187" s="26" t="str">
        <f>HYPERLINK("https://ictv.global/ictv/proposals/2023.056B.Caudoviricetes_Serratia_2ng.zip","2023.056B.Caudoviricetes_Serratia_2ng.zip")</f>
        <v>2023.056B.Caudoviricetes_Serratia_2ng.zip</v>
      </c>
    </row>
    <row r="5188" spans="1:21">
      <c r="A5188">
        <v>5187</v>
      </c>
      <c r="B5188" s="27" t="s">
        <v>1449</v>
      </c>
      <c r="D5188" s="27" t="s">
        <v>1450</v>
      </c>
      <c r="F5188" s="27" t="s">
        <v>1453</v>
      </c>
      <c r="H5188" s="27" t="s">
        <v>1454</v>
      </c>
      <c r="N5188" s="27" t="s">
        <v>12053</v>
      </c>
      <c r="P5188" s="27" t="s">
        <v>12055</v>
      </c>
      <c r="Q5188" s="26" t="str">
        <f>HYPERLINK("https://ictv.global/taxonomy/taxondetails?taxnode_id=202519253&amp;ictv_id=ICTV202319253","ICTV202319253")</f>
        <v>ICTV202319253</v>
      </c>
      <c r="R5188" t="s">
        <v>579</v>
      </c>
      <c r="S5188" t="s">
        <v>823</v>
      </c>
      <c r="T5188">
        <v>39</v>
      </c>
      <c r="U5188" s="26" t="str">
        <f>HYPERLINK("https://ictv.global/ictv/proposals/2023.056B.Caudoviricetes_Serratia_2ng.zip","2023.056B.Caudoviricetes_Serratia_2ng.zip")</f>
        <v>2023.056B.Caudoviricetes_Serratia_2ng.zip</v>
      </c>
    </row>
    <row r="5189" spans="1:21">
      <c r="A5189">
        <v>5188</v>
      </c>
      <c r="B5189" s="27" t="s">
        <v>1449</v>
      </c>
      <c r="D5189" s="27" t="s">
        <v>1450</v>
      </c>
      <c r="F5189" s="27" t="s">
        <v>1453</v>
      </c>
      <c r="H5189" s="27" t="s">
        <v>1454</v>
      </c>
      <c r="N5189" s="27" t="s">
        <v>12053</v>
      </c>
      <c r="P5189" s="27" t="s">
        <v>12056</v>
      </c>
      <c r="Q5189" s="26" t="str">
        <f>HYPERLINK("https://ictv.global/taxonomy/taxondetails?taxnode_id=202519254&amp;ictv_id=ICTV202319254","ICTV202319254")</f>
        <v>ICTV202319254</v>
      </c>
      <c r="R5189" t="s">
        <v>579</v>
      </c>
      <c r="S5189" t="s">
        <v>823</v>
      </c>
      <c r="T5189">
        <v>39</v>
      </c>
      <c r="U5189" s="26" t="str">
        <f>HYPERLINK("https://ictv.global/ictv/proposals/2023.056B.Caudoviricetes_Serratia_2ng.zip","2023.056B.Caudoviricetes_Serratia_2ng.zip")</f>
        <v>2023.056B.Caudoviricetes_Serratia_2ng.zip</v>
      </c>
    </row>
    <row r="5190" spans="1:21">
      <c r="A5190">
        <v>5189</v>
      </c>
      <c r="B5190" s="27" t="s">
        <v>1449</v>
      </c>
      <c r="D5190" s="27" t="s">
        <v>1450</v>
      </c>
      <c r="F5190" s="27" t="s">
        <v>1453</v>
      </c>
      <c r="H5190" s="27" t="s">
        <v>1454</v>
      </c>
      <c r="N5190" s="27" t="s">
        <v>12053</v>
      </c>
      <c r="P5190" s="27" t="s">
        <v>12057</v>
      </c>
      <c r="Q5190" s="26" t="str">
        <f>HYPERLINK("https://ictv.global/taxonomy/taxondetails?taxnode_id=202519255&amp;ictv_id=ICTV202319255","ICTV202319255")</f>
        <v>ICTV202319255</v>
      </c>
      <c r="R5190" t="s">
        <v>579</v>
      </c>
      <c r="S5190" t="s">
        <v>823</v>
      </c>
      <c r="T5190">
        <v>39</v>
      </c>
      <c r="U5190" s="26" t="str">
        <f>HYPERLINK("https://ictv.global/ictv/proposals/2023.056B.Caudoviricetes_Serratia_2ng.zip","2023.056B.Caudoviricetes_Serratia_2ng.zip")</f>
        <v>2023.056B.Caudoviricetes_Serratia_2ng.zip</v>
      </c>
    </row>
    <row r="5191" spans="1:21">
      <c r="A5191">
        <v>5190</v>
      </c>
      <c r="B5191" s="27" t="s">
        <v>1449</v>
      </c>
      <c r="D5191" s="27" t="s">
        <v>1450</v>
      </c>
      <c r="F5191" s="27" t="s">
        <v>1453</v>
      </c>
      <c r="H5191" s="27" t="s">
        <v>1454</v>
      </c>
      <c r="N5191" s="27" t="s">
        <v>2095</v>
      </c>
      <c r="P5191" s="27" t="s">
        <v>6714</v>
      </c>
      <c r="Q5191" s="26" t="str">
        <f>HYPERLINK("https://ictv.global/taxonomy/taxondetails?taxnode_id=202509662&amp;ictv_id=ICTV202009662","ICTV202009662")</f>
        <v>ICTV202009662</v>
      </c>
      <c r="R5191" t="s">
        <v>579</v>
      </c>
      <c r="S5191" t="s">
        <v>824</v>
      </c>
      <c r="T5191">
        <v>37</v>
      </c>
      <c r="U5191" s="26" t="str">
        <f t="shared" ref="U5191:U5207" si="204">HYPERLINK("https://ictv.global/ictv/proposals/2021.010B.R.Binomial_names.zip","2021.010B.R.Binomial_names.zip")</f>
        <v>2021.010B.R.Binomial_names.zip</v>
      </c>
    </row>
    <row r="5192" spans="1:21">
      <c r="A5192">
        <v>5191</v>
      </c>
      <c r="B5192" s="27" t="s">
        <v>1449</v>
      </c>
      <c r="D5192" s="27" t="s">
        <v>1450</v>
      </c>
      <c r="F5192" s="27" t="s">
        <v>1453</v>
      </c>
      <c r="H5192" s="27" t="s">
        <v>1454</v>
      </c>
      <c r="N5192" s="27" t="s">
        <v>1334</v>
      </c>
      <c r="P5192" s="27" t="s">
        <v>6715</v>
      </c>
      <c r="Q5192" s="26" t="str">
        <f>HYPERLINK("https://ictv.global/taxonomy/taxondetails?taxnode_id=202506620&amp;ictv_id=ICTV201856620","ICTV201856620")</f>
        <v>ICTV201856620</v>
      </c>
      <c r="R5192" t="s">
        <v>579</v>
      </c>
      <c r="S5192" t="s">
        <v>824</v>
      </c>
      <c r="T5192">
        <v>37</v>
      </c>
      <c r="U5192" s="26" t="str">
        <f t="shared" si="204"/>
        <v>2021.010B.R.Binomial_names.zip</v>
      </c>
    </row>
    <row r="5193" spans="1:21">
      <c r="A5193">
        <v>5192</v>
      </c>
      <c r="B5193" s="27" t="s">
        <v>1449</v>
      </c>
      <c r="D5193" s="27" t="s">
        <v>1450</v>
      </c>
      <c r="F5193" s="27" t="s">
        <v>1453</v>
      </c>
      <c r="H5193" s="27" t="s">
        <v>1454</v>
      </c>
      <c r="N5193" s="27" t="s">
        <v>1746</v>
      </c>
      <c r="P5193" s="27" t="s">
        <v>6718</v>
      </c>
      <c r="Q5193" s="26" t="str">
        <f>HYPERLINK("https://ictv.global/taxonomy/taxondetails?taxnode_id=202507136&amp;ictv_id=ICTV201907136","ICTV201907136")</f>
        <v>ICTV201907136</v>
      </c>
      <c r="R5193" t="s">
        <v>579</v>
      </c>
      <c r="S5193" t="s">
        <v>824</v>
      </c>
      <c r="T5193">
        <v>37</v>
      </c>
      <c r="U5193" s="26" t="str">
        <f t="shared" si="204"/>
        <v>2021.010B.R.Binomial_names.zip</v>
      </c>
    </row>
    <row r="5194" spans="1:21">
      <c r="A5194">
        <v>5193</v>
      </c>
      <c r="B5194" s="27" t="s">
        <v>1449</v>
      </c>
      <c r="D5194" s="27" t="s">
        <v>1450</v>
      </c>
      <c r="F5194" s="27" t="s">
        <v>1453</v>
      </c>
      <c r="H5194" s="27" t="s">
        <v>1454</v>
      </c>
      <c r="N5194" s="27" t="s">
        <v>1746</v>
      </c>
      <c r="P5194" s="27" t="s">
        <v>6719</v>
      </c>
      <c r="Q5194" s="26" t="str">
        <f>HYPERLINK("https://ictv.global/taxonomy/taxondetails?taxnode_id=202507138&amp;ictv_id=ICTV201907138","ICTV201907138")</f>
        <v>ICTV201907138</v>
      </c>
      <c r="R5194" t="s">
        <v>579</v>
      </c>
      <c r="S5194" t="s">
        <v>824</v>
      </c>
      <c r="T5194">
        <v>37</v>
      </c>
      <c r="U5194" s="26" t="str">
        <f t="shared" si="204"/>
        <v>2021.010B.R.Binomial_names.zip</v>
      </c>
    </row>
    <row r="5195" spans="1:21">
      <c r="A5195">
        <v>5194</v>
      </c>
      <c r="B5195" s="27" t="s">
        <v>1449</v>
      </c>
      <c r="D5195" s="27" t="s">
        <v>1450</v>
      </c>
      <c r="F5195" s="27" t="s">
        <v>1453</v>
      </c>
      <c r="H5195" s="27" t="s">
        <v>1454</v>
      </c>
      <c r="N5195" s="27" t="s">
        <v>1746</v>
      </c>
      <c r="P5195" s="27" t="s">
        <v>6720</v>
      </c>
      <c r="Q5195" s="26" t="str">
        <f>HYPERLINK("https://ictv.global/taxonomy/taxondetails?taxnode_id=202507140&amp;ictv_id=ICTV201907140","ICTV201907140")</f>
        <v>ICTV201907140</v>
      </c>
      <c r="R5195" t="s">
        <v>579</v>
      </c>
      <c r="S5195" t="s">
        <v>824</v>
      </c>
      <c r="T5195">
        <v>37</v>
      </c>
      <c r="U5195" s="26" t="str">
        <f t="shared" si="204"/>
        <v>2021.010B.R.Binomial_names.zip</v>
      </c>
    </row>
    <row r="5196" spans="1:21">
      <c r="A5196">
        <v>5195</v>
      </c>
      <c r="B5196" s="27" t="s">
        <v>1449</v>
      </c>
      <c r="D5196" s="27" t="s">
        <v>1450</v>
      </c>
      <c r="F5196" s="27" t="s">
        <v>1453</v>
      </c>
      <c r="H5196" s="27" t="s">
        <v>1454</v>
      </c>
      <c r="N5196" s="27" t="s">
        <v>1746</v>
      </c>
      <c r="P5196" s="27" t="s">
        <v>6721</v>
      </c>
      <c r="Q5196" s="26" t="str">
        <f>HYPERLINK("https://ictv.global/taxonomy/taxondetails?taxnode_id=202507137&amp;ictv_id=ICTV201907137","ICTV201907137")</f>
        <v>ICTV201907137</v>
      </c>
      <c r="R5196" t="s">
        <v>579</v>
      </c>
      <c r="S5196" t="s">
        <v>824</v>
      </c>
      <c r="T5196">
        <v>37</v>
      </c>
      <c r="U5196" s="26" t="str">
        <f t="shared" si="204"/>
        <v>2021.010B.R.Binomial_names.zip</v>
      </c>
    </row>
    <row r="5197" spans="1:21">
      <c r="A5197">
        <v>5196</v>
      </c>
      <c r="B5197" s="27" t="s">
        <v>1449</v>
      </c>
      <c r="D5197" s="27" t="s">
        <v>1450</v>
      </c>
      <c r="F5197" s="27" t="s">
        <v>1453</v>
      </c>
      <c r="H5197" s="27" t="s">
        <v>1454</v>
      </c>
      <c r="N5197" s="27" t="s">
        <v>1746</v>
      </c>
      <c r="P5197" s="27" t="s">
        <v>6722</v>
      </c>
      <c r="Q5197" s="26" t="str">
        <f>HYPERLINK("https://ictv.global/taxonomy/taxondetails?taxnode_id=202507139&amp;ictv_id=ICTV201907139","ICTV201907139")</f>
        <v>ICTV201907139</v>
      </c>
      <c r="R5197" t="s">
        <v>579</v>
      </c>
      <c r="S5197" t="s">
        <v>824</v>
      </c>
      <c r="T5197">
        <v>37</v>
      </c>
      <c r="U5197" s="26" t="str">
        <f t="shared" si="204"/>
        <v>2021.010B.R.Binomial_names.zip</v>
      </c>
    </row>
    <row r="5198" spans="1:21">
      <c r="A5198">
        <v>5197</v>
      </c>
      <c r="B5198" s="27" t="s">
        <v>1449</v>
      </c>
      <c r="D5198" s="27" t="s">
        <v>1450</v>
      </c>
      <c r="F5198" s="27" t="s">
        <v>1453</v>
      </c>
      <c r="H5198" s="27" t="s">
        <v>1454</v>
      </c>
      <c r="N5198" s="27" t="s">
        <v>1671</v>
      </c>
      <c r="P5198" s="27" t="s">
        <v>6723</v>
      </c>
      <c r="Q5198" s="26" t="str">
        <f>HYPERLINK("https://ictv.global/taxonomy/taxondetails?taxnode_id=202508052&amp;ictv_id=ICTV201908052","ICTV201908052")</f>
        <v>ICTV201908052</v>
      </c>
      <c r="R5198" t="s">
        <v>579</v>
      </c>
      <c r="S5198" t="s">
        <v>824</v>
      </c>
      <c r="T5198">
        <v>37</v>
      </c>
      <c r="U5198" s="26" t="str">
        <f t="shared" si="204"/>
        <v>2021.010B.R.Binomial_names.zip</v>
      </c>
    </row>
    <row r="5199" spans="1:21">
      <c r="A5199">
        <v>5198</v>
      </c>
      <c r="B5199" s="27" t="s">
        <v>1449</v>
      </c>
      <c r="D5199" s="27" t="s">
        <v>1450</v>
      </c>
      <c r="F5199" s="27" t="s">
        <v>1453</v>
      </c>
      <c r="H5199" s="27" t="s">
        <v>1454</v>
      </c>
      <c r="N5199" s="27" t="s">
        <v>1335</v>
      </c>
      <c r="P5199" s="27" t="s">
        <v>6724</v>
      </c>
      <c r="Q5199" s="26" t="str">
        <f>HYPERLINK("https://ictv.global/taxonomy/taxondetails?taxnode_id=202506808&amp;ictv_id=ICTV201856808","ICTV201856808")</f>
        <v>ICTV201856808</v>
      </c>
      <c r="R5199" t="s">
        <v>579</v>
      </c>
      <c r="S5199" t="s">
        <v>824</v>
      </c>
      <c r="T5199">
        <v>37</v>
      </c>
      <c r="U5199" s="26" t="str">
        <f t="shared" si="204"/>
        <v>2021.010B.R.Binomial_names.zip</v>
      </c>
    </row>
    <row r="5200" spans="1:21">
      <c r="A5200">
        <v>5199</v>
      </c>
      <c r="B5200" s="27" t="s">
        <v>1449</v>
      </c>
      <c r="D5200" s="27" t="s">
        <v>1450</v>
      </c>
      <c r="F5200" s="27" t="s">
        <v>1453</v>
      </c>
      <c r="H5200" s="27" t="s">
        <v>1454</v>
      </c>
      <c r="N5200" s="27" t="s">
        <v>1226</v>
      </c>
      <c r="P5200" s="27" t="s">
        <v>6725</v>
      </c>
      <c r="Q5200" s="26" t="str">
        <f>HYPERLINK("https://ictv.global/taxonomy/taxondetails?taxnode_id=202506810&amp;ictv_id=ICTV201856810","ICTV201856810")</f>
        <v>ICTV201856810</v>
      </c>
      <c r="R5200" t="s">
        <v>579</v>
      </c>
      <c r="S5200" t="s">
        <v>824</v>
      </c>
      <c r="T5200">
        <v>37</v>
      </c>
      <c r="U5200" s="26" t="str">
        <f t="shared" si="204"/>
        <v>2021.010B.R.Binomial_names.zip</v>
      </c>
    </row>
    <row r="5201" spans="1:21">
      <c r="A5201">
        <v>5200</v>
      </c>
      <c r="B5201" s="27" t="s">
        <v>1449</v>
      </c>
      <c r="D5201" s="27" t="s">
        <v>1450</v>
      </c>
      <c r="F5201" s="27" t="s">
        <v>1453</v>
      </c>
      <c r="H5201" s="27" t="s">
        <v>1454</v>
      </c>
      <c r="N5201" s="27" t="s">
        <v>1289</v>
      </c>
      <c r="P5201" s="27" t="s">
        <v>6726</v>
      </c>
      <c r="Q5201" s="26" t="str">
        <f>HYPERLINK("https://ictv.global/taxonomy/taxondetails?taxnode_id=202500661&amp;ictv_id=ICTV20150368","ICTV20150368")</f>
        <v>ICTV20150368</v>
      </c>
      <c r="R5201" t="s">
        <v>579</v>
      </c>
      <c r="S5201" t="s">
        <v>824</v>
      </c>
      <c r="T5201">
        <v>37</v>
      </c>
      <c r="U5201" s="26" t="str">
        <f t="shared" si="204"/>
        <v>2021.010B.R.Binomial_names.zip</v>
      </c>
    </row>
    <row r="5202" spans="1:21">
      <c r="A5202">
        <v>5201</v>
      </c>
      <c r="B5202" s="27" t="s">
        <v>1449</v>
      </c>
      <c r="D5202" s="27" t="s">
        <v>1450</v>
      </c>
      <c r="F5202" s="27" t="s">
        <v>1453</v>
      </c>
      <c r="H5202" s="27" t="s">
        <v>1454</v>
      </c>
      <c r="N5202" s="27" t="s">
        <v>1289</v>
      </c>
      <c r="P5202" s="27" t="s">
        <v>6727</v>
      </c>
      <c r="Q5202" s="26" t="str">
        <f>HYPERLINK("https://ictv.global/taxonomy/taxondetails?taxnode_id=202500662&amp;ictv_id=ICTV20150367","ICTV20150367")</f>
        <v>ICTV20150367</v>
      </c>
      <c r="R5202" t="s">
        <v>579</v>
      </c>
      <c r="S5202" t="s">
        <v>824</v>
      </c>
      <c r="T5202">
        <v>37</v>
      </c>
      <c r="U5202" s="26" t="str">
        <f t="shared" si="204"/>
        <v>2021.010B.R.Binomial_names.zip</v>
      </c>
    </row>
    <row r="5203" spans="1:21">
      <c r="A5203">
        <v>5202</v>
      </c>
      <c r="B5203" s="27" t="s">
        <v>1449</v>
      </c>
      <c r="D5203" s="27" t="s">
        <v>1450</v>
      </c>
      <c r="F5203" s="27" t="s">
        <v>1453</v>
      </c>
      <c r="H5203" s="27" t="s">
        <v>1454</v>
      </c>
      <c r="N5203" s="27" t="s">
        <v>1289</v>
      </c>
      <c r="P5203" s="27" t="s">
        <v>6728</v>
      </c>
      <c r="Q5203" s="26" t="str">
        <f>HYPERLINK("https://ictv.global/taxonomy/taxondetails?taxnode_id=202500663&amp;ictv_id=ICTV20094375","ICTV20094375")</f>
        <v>ICTV20094375</v>
      </c>
      <c r="R5203" t="s">
        <v>579</v>
      </c>
      <c r="S5203" t="s">
        <v>824</v>
      </c>
      <c r="T5203">
        <v>37</v>
      </c>
      <c r="U5203" s="26" t="str">
        <f t="shared" si="204"/>
        <v>2021.010B.R.Binomial_names.zip</v>
      </c>
    </row>
    <row r="5204" spans="1:21">
      <c r="A5204">
        <v>5203</v>
      </c>
      <c r="B5204" s="27" t="s">
        <v>1449</v>
      </c>
      <c r="D5204" s="27" t="s">
        <v>1450</v>
      </c>
      <c r="F5204" s="27" t="s">
        <v>1453</v>
      </c>
      <c r="H5204" s="27" t="s">
        <v>1454</v>
      </c>
      <c r="N5204" s="27" t="s">
        <v>1289</v>
      </c>
      <c r="P5204" s="27" t="s">
        <v>6729</v>
      </c>
      <c r="Q5204" s="26" t="str">
        <f>HYPERLINK("https://ictv.global/taxonomy/taxondetails?taxnode_id=202500664&amp;ictv_id=ICTV20150369","ICTV20150369")</f>
        <v>ICTV20150369</v>
      </c>
      <c r="R5204" t="s">
        <v>579</v>
      </c>
      <c r="S5204" t="s">
        <v>824</v>
      </c>
      <c r="T5204">
        <v>37</v>
      </c>
      <c r="U5204" s="26" t="str">
        <f t="shared" si="204"/>
        <v>2021.010B.R.Binomial_names.zip</v>
      </c>
    </row>
    <row r="5205" spans="1:21">
      <c r="A5205">
        <v>5204</v>
      </c>
      <c r="B5205" s="27" t="s">
        <v>1449</v>
      </c>
      <c r="D5205" s="27" t="s">
        <v>1450</v>
      </c>
      <c r="F5205" s="27" t="s">
        <v>1453</v>
      </c>
      <c r="H5205" s="27" t="s">
        <v>1454</v>
      </c>
      <c r="N5205" s="27" t="s">
        <v>1289</v>
      </c>
      <c r="P5205" s="27" t="s">
        <v>6730</v>
      </c>
      <c r="Q5205" s="26" t="str">
        <f>HYPERLINK("https://ictv.global/taxonomy/taxondetails?taxnode_id=202500665&amp;ictv_id=ICTV20094376","ICTV20094376")</f>
        <v>ICTV20094376</v>
      </c>
      <c r="R5205" t="s">
        <v>579</v>
      </c>
      <c r="S5205" t="s">
        <v>824</v>
      </c>
      <c r="T5205">
        <v>37</v>
      </c>
      <c r="U5205" s="26" t="str">
        <f t="shared" si="204"/>
        <v>2021.010B.R.Binomial_names.zip</v>
      </c>
    </row>
    <row r="5206" spans="1:21">
      <c r="A5206">
        <v>5205</v>
      </c>
      <c r="B5206" s="27" t="s">
        <v>1449</v>
      </c>
      <c r="D5206" s="27" t="s">
        <v>1450</v>
      </c>
      <c r="F5206" s="27" t="s">
        <v>1453</v>
      </c>
      <c r="H5206" s="27" t="s">
        <v>1454</v>
      </c>
      <c r="N5206" s="27" t="s">
        <v>1289</v>
      </c>
      <c r="P5206" s="27" t="s">
        <v>6731</v>
      </c>
      <c r="Q5206" s="26" t="str">
        <f>HYPERLINK("https://ictv.global/taxonomy/taxondetails?taxnode_id=202500666&amp;ictv_id=ICTV20150371","ICTV20150371")</f>
        <v>ICTV20150371</v>
      </c>
      <c r="R5206" t="s">
        <v>579</v>
      </c>
      <c r="S5206" t="s">
        <v>824</v>
      </c>
      <c r="T5206">
        <v>37</v>
      </c>
      <c r="U5206" s="26" t="str">
        <f t="shared" si="204"/>
        <v>2021.010B.R.Binomial_names.zip</v>
      </c>
    </row>
    <row r="5207" spans="1:21">
      <c r="A5207">
        <v>5206</v>
      </c>
      <c r="B5207" s="27" t="s">
        <v>1449</v>
      </c>
      <c r="D5207" s="27" t="s">
        <v>1450</v>
      </c>
      <c r="F5207" s="27" t="s">
        <v>1453</v>
      </c>
      <c r="H5207" s="27" t="s">
        <v>1454</v>
      </c>
      <c r="N5207" s="27" t="s">
        <v>1289</v>
      </c>
      <c r="P5207" s="27" t="s">
        <v>6732</v>
      </c>
      <c r="Q5207" s="26" t="str">
        <f>HYPERLINK("https://ictv.global/taxonomy/taxondetails?taxnode_id=202500667&amp;ictv_id=ICTV20150370","ICTV20150370")</f>
        <v>ICTV20150370</v>
      </c>
      <c r="R5207" t="s">
        <v>579</v>
      </c>
      <c r="S5207" t="s">
        <v>824</v>
      </c>
      <c r="T5207">
        <v>37</v>
      </c>
      <c r="U5207" s="26" t="str">
        <f t="shared" si="204"/>
        <v>2021.010B.R.Binomial_names.zip</v>
      </c>
    </row>
    <row r="5208" spans="1:21">
      <c r="A5208">
        <v>5207</v>
      </c>
      <c r="B5208" s="27" t="s">
        <v>1449</v>
      </c>
      <c r="D5208" s="27" t="s">
        <v>1450</v>
      </c>
      <c r="F5208" s="27" t="s">
        <v>1453</v>
      </c>
      <c r="H5208" s="27" t="s">
        <v>1454</v>
      </c>
      <c r="N5208" s="27" t="s">
        <v>6733</v>
      </c>
      <c r="P5208" s="27" t="s">
        <v>6734</v>
      </c>
      <c r="Q5208" s="26" t="str">
        <f>HYPERLINK("https://ictv.global/taxonomy/taxondetails?taxnode_id=202513618&amp;ictv_id=ICTV202113618","ICTV202113618")</f>
        <v>ICTV202113618</v>
      </c>
      <c r="R5208" t="s">
        <v>579</v>
      </c>
      <c r="S5208" t="s">
        <v>823</v>
      </c>
      <c r="T5208">
        <v>37</v>
      </c>
      <c r="U5208" s="26" t="str">
        <f>HYPERLINK("https://ictv.global/ictv/proposals/2021.078B.R.Siphoviridae_new_genera.zip","2021.078B.R.Siphoviridae_new_genera.zip")</f>
        <v>2021.078B.R.Siphoviridae_new_genera.zip</v>
      </c>
    </row>
    <row r="5209" spans="1:21">
      <c r="A5209">
        <v>5208</v>
      </c>
      <c r="B5209" s="27" t="s">
        <v>1449</v>
      </c>
      <c r="D5209" s="27" t="s">
        <v>1450</v>
      </c>
      <c r="F5209" s="27" t="s">
        <v>1453</v>
      </c>
      <c r="H5209" s="27" t="s">
        <v>1454</v>
      </c>
      <c r="N5209" s="27" t="s">
        <v>12058</v>
      </c>
      <c r="P5209" s="27" t="s">
        <v>12059</v>
      </c>
      <c r="Q5209" s="26" t="str">
        <f>HYPERLINK("https://ictv.global/taxonomy/taxondetails?taxnode_id=202518572&amp;ictv_id=ICTV202318572","ICTV202318572")</f>
        <v>ICTV202318572</v>
      </c>
      <c r="R5209" t="s">
        <v>579</v>
      </c>
      <c r="S5209" t="s">
        <v>823</v>
      </c>
      <c r="T5209">
        <v>39</v>
      </c>
      <c r="U5209" s="26" t="str">
        <f>HYPERLINK("https://ictv.global/ictv/proposals/2023.022B.Caudoviricetes_Pseudomonas_7ng.zip","2023.022B.Caudoviricetes_Pseudomonas_7ng.zip")</f>
        <v>2023.022B.Caudoviricetes_Pseudomonas_7ng.zip</v>
      </c>
    </row>
    <row r="5210" spans="1:21">
      <c r="A5210">
        <v>5209</v>
      </c>
      <c r="B5210" s="27" t="s">
        <v>1449</v>
      </c>
      <c r="D5210" s="27" t="s">
        <v>1450</v>
      </c>
      <c r="F5210" s="27" t="s">
        <v>1453</v>
      </c>
      <c r="H5210" s="27" t="s">
        <v>1454</v>
      </c>
      <c r="N5210" s="27" t="s">
        <v>12060</v>
      </c>
      <c r="P5210" s="27" t="s">
        <v>12061</v>
      </c>
      <c r="Q5210" s="26" t="str">
        <f>HYPERLINK("https://ictv.global/taxonomy/taxondetails?taxnode_id=202518065&amp;ictv_id=ICTV202318065","ICTV202318065")</f>
        <v>ICTV202318065</v>
      </c>
      <c r="R5210" t="s">
        <v>579</v>
      </c>
      <c r="S5210" t="s">
        <v>823</v>
      </c>
      <c r="T5210">
        <v>39</v>
      </c>
      <c r="U5210" s="26" t="str">
        <f>HYPERLINK("https://ictv.global/ictv/proposals/2023.013B.Bunatrivirus_ng.zip","2023.013B.Bunatrivirus_ng.zip")</f>
        <v>2023.013B.Bunatrivirus_ng.zip</v>
      </c>
    </row>
    <row r="5211" spans="1:21">
      <c r="A5211">
        <v>5210</v>
      </c>
      <c r="B5211" s="27" t="s">
        <v>1449</v>
      </c>
      <c r="D5211" s="27" t="s">
        <v>1450</v>
      </c>
      <c r="F5211" s="27" t="s">
        <v>1453</v>
      </c>
      <c r="H5211" s="27" t="s">
        <v>1454</v>
      </c>
      <c r="N5211" s="27" t="s">
        <v>2138</v>
      </c>
      <c r="P5211" s="27" t="s">
        <v>6735</v>
      </c>
      <c r="Q5211" s="26" t="str">
        <f>HYPERLINK("https://ictv.global/taxonomy/taxondetails?taxnode_id=202509707&amp;ictv_id=ICTV202009707","ICTV202009707")</f>
        <v>ICTV202009707</v>
      </c>
      <c r="R5211" t="s">
        <v>579</v>
      </c>
      <c r="S5211" t="s">
        <v>824</v>
      </c>
      <c r="T5211">
        <v>37</v>
      </c>
      <c r="U5211" s="26" t="str">
        <f>HYPERLINK("https://ictv.global/ictv/proposals/2021.010B.R.Binomial_names.zip","2021.010B.R.Binomial_names.zip")</f>
        <v>2021.010B.R.Binomial_names.zip</v>
      </c>
    </row>
    <row r="5212" spans="1:21">
      <c r="A5212">
        <v>5211</v>
      </c>
      <c r="B5212" s="27" t="s">
        <v>1449</v>
      </c>
      <c r="D5212" s="27" t="s">
        <v>1450</v>
      </c>
      <c r="F5212" s="27" t="s">
        <v>1453</v>
      </c>
      <c r="H5212" s="27" t="s">
        <v>1454</v>
      </c>
      <c r="N5212" s="27" t="s">
        <v>2138</v>
      </c>
      <c r="P5212" s="27" t="s">
        <v>6736</v>
      </c>
      <c r="Q5212" s="26" t="str">
        <f>HYPERLINK("https://ictv.global/taxonomy/taxondetails?taxnode_id=202509708&amp;ictv_id=ICTV202009708","ICTV202009708")</f>
        <v>ICTV202009708</v>
      </c>
      <c r="R5212" t="s">
        <v>579</v>
      </c>
      <c r="S5212" t="s">
        <v>824</v>
      </c>
      <c r="T5212">
        <v>37</v>
      </c>
      <c r="U5212" s="26" t="str">
        <f>HYPERLINK("https://ictv.global/ictv/proposals/2021.010B.R.Binomial_names.zip","2021.010B.R.Binomial_names.zip")</f>
        <v>2021.010B.R.Binomial_names.zip</v>
      </c>
    </row>
    <row r="5213" spans="1:21">
      <c r="A5213">
        <v>5212</v>
      </c>
      <c r="B5213" s="27" t="s">
        <v>1449</v>
      </c>
      <c r="D5213" s="27" t="s">
        <v>1450</v>
      </c>
      <c r="F5213" s="27" t="s">
        <v>1453</v>
      </c>
      <c r="H5213" s="27" t="s">
        <v>1454</v>
      </c>
      <c r="N5213" s="27" t="s">
        <v>2138</v>
      </c>
      <c r="P5213" s="27" t="s">
        <v>6737</v>
      </c>
      <c r="Q5213" s="26" t="str">
        <f>HYPERLINK("https://ictv.global/taxonomy/taxondetails?taxnode_id=202509706&amp;ictv_id=ICTV202009706","ICTV202009706")</f>
        <v>ICTV202009706</v>
      </c>
      <c r="R5213" t="s">
        <v>579</v>
      </c>
      <c r="S5213" t="s">
        <v>824</v>
      </c>
      <c r="T5213">
        <v>37</v>
      </c>
      <c r="U5213" s="26" t="str">
        <f>HYPERLINK("https://ictv.global/ictv/proposals/2021.010B.R.Binomial_names.zip","2021.010B.R.Binomial_names.zip")</f>
        <v>2021.010B.R.Binomial_names.zip</v>
      </c>
    </row>
    <row r="5214" spans="1:21">
      <c r="A5214">
        <v>5213</v>
      </c>
      <c r="B5214" s="27" t="s">
        <v>1449</v>
      </c>
      <c r="D5214" s="27" t="s">
        <v>1450</v>
      </c>
      <c r="F5214" s="27" t="s">
        <v>1453</v>
      </c>
      <c r="H5214" s="27" t="s">
        <v>1454</v>
      </c>
      <c r="N5214" s="27" t="s">
        <v>1227</v>
      </c>
      <c r="P5214" s="27" t="s">
        <v>6738</v>
      </c>
      <c r="Q5214" s="26" t="str">
        <f>HYPERLINK("https://ictv.global/taxonomy/taxondetails?taxnode_id=202506812&amp;ictv_id=ICTV201856812","ICTV201856812")</f>
        <v>ICTV201856812</v>
      </c>
      <c r="R5214" t="s">
        <v>579</v>
      </c>
      <c r="S5214" t="s">
        <v>824</v>
      </c>
      <c r="T5214">
        <v>37</v>
      </c>
      <c r="U5214" s="26" t="str">
        <f>HYPERLINK("https://ictv.global/ictv/proposals/2021.010B.R.Binomial_names.zip","2021.010B.R.Binomial_names.zip")</f>
        <v>2021.010B.R.Binomial_names.zip</v>
      </c>
    </row>
    <row r="5215" spans="1:21">
      <c r="A5215">
        <v>5214</v>
      </c>
      <c r="B5215" s="27" t="s">
        <v>1449</v>
      </c>
      <c r="D5215" s="27" t="s">
        <v>1450</v>
      </c>
      <c r="F5215" s="27" t="s">
        <v>1453</v>
      </c>
      <c r="H5215" s="27" t="s">
        <v>1454</v>
      </c>
      <c r="N5215" s="27" t="s">
        <v>6739</v>
      </c>
      <c r="P5215" s="27" t="s">
        <v>6740</v>
      </c>
      <c r="Q5215" s="26" t="str">
        <f>HYPERLINK("https://ictv.global/taxonomy/taxondetails?taxnode_id=202513633&amp;ictv_id=ICTV202113633","ICTV202113633")</f>
        <v>ICTV202113633</v>
      </c>
      <c r="R5215" t="s">
        <v>579</v>
      </c>
      <c r="S5215" t="s">
        <v>823</v>
      </c>
      <c r="T5215">
        <v>37</v>
      </c>
      <c r="U5215" s="26" t="str">
        <f>HYPERLINK("https://ictv.global/ictv/proposals/2021.078B.R.Siphoviridae_new_genera.zip","2021.078B.R.Siphoviridae_new_genera.zip")</f>
        <v>2021.078B.R.Siphoviridae_new_genera.zip</v>
      </c>
    </row>
    <row r="5216" spans="1:21">
      <c r="A5216">
        <v>5215</v>
      </c>
      <c r="B5216" s="27" t="s">
        <v>1449</v>
      </c>
      <c r="D5216" s="27" t="s">
        <v>1450</v>
      </c>
      <c r="F5216" s="27" t="s">
        <v>1453</v>
      </c>
      <c r="H5216" s="27" t="s">
        <v>1454</v>
      </c>
      <c r="N5216" s="27" t="s">
        <v>2252</v>
      </c>
      <c r="P5216" s="27" t="s">
        <v>6741</v>
      </c>
      <c r="Q5216" s="26" t="str">
        <f>HYPERLINK("https://ictv.global/taxonomy/taxondetails?taxnode_id=202509755&amp;ictv_id=ICTV202009755","ICTV202009755")</f>
        <v>ICTV202009755</v>
      </c>
      <c r="R5216" t="s">
        <v>579</v>
      </c>
      <c r="S5216" t="s">
        <v>824</v>
      </c>
      <c r="T5216">
        <v>37</v>
      </c>
      <c r="U5216" s="26" t="str">
        <f>HYPERLINK("https://ictv.global/ictv/proposals/2021.010B.R.Binomial_names.zip","2021.010B.R.Binomial_names.zip")</f>
        <v>2021.010B.R.Binomial_names.zip</v>
      </c>
    </row>
    <row r="5217" spans="1:21">
      <c r="A5217">
        <v>5216</v>
      </c>
      <c r="B5217" s="27" t="s">
        <v>1449</v>
      </c>
      <c r="D5217" s="27" t="s">
        <v>1450</v>
      </c>
      <c r="F5217" s="27" t="s">
        <v>1453</v>
      </c>
      <c r="H5217" s="27" t="s">
        <v>1454</v>
      </c>
      <c r="N5217" s="27" t="s">
        <v>2252</v>
      </c>
      <c r="P5217" s="27" t="s">
        <v>6742</v>
      </c>
      <c r="Q5217" s="26" t="str">
        <f>HYPERLINK("https://ictv.global/taxonomy/taxondetails?taxnode_id=202509754&amp;ictv_id=ICTV202009754","ICTV202009754")</f>
        <v>ICTV202009754</v>
      </c>
      <c r="R5217" t="s">
        <v>579</v>
      </c>
      <c r="S5217" t="s">
        <v>824</v>
      </c>
      <c r="T5217">
        <v>37</v>
      </c>
      <c r="U5217" s="26" t="str">
        <f>HYPERLINK("https://ictv.global/ictv/proposals/2021.010B.R.Binomial_names.zip","2021.010B.R.Binomial_names.zip")</f>
        <v>2021.010B.R.Binomial_names.zip</v>
      </c>
    </row>
    <row r="5218" spans="1:21">
      <c r="A5218">
        <v>5217</v>
      </c>
      <c r="B5218" s="27" t="s">
        <v>1449</v>
      </c>
      <c r="D5218" s="27" t="s">
        <v>1450</v>
      </c>
      <c r="F5218" s="27" t="s">
        <v>1453</v>
      </c>
      <c r="H5218" s="27" t="s">
        <v>1454</v>
      </c>
      <c r="N5218" s="27" t="s">
        <v>2252</v>
      </c>
      <c r="P5218" s="27" t="s">
        <v>6743</v>
      </c>
      <c r="Q5218" s="26" t="str">
        <f>HYPERLINK("https://ictv.global/taxonomy/taxondetails?taxnode_id=202509756&amp;ictv_id=ICTV202009756","ICTV202009756")</f>
        <v>ICTV202009756</v>
      </c>
      <c r="R5218" t="s">
        <v>579</v>
      </c>
      <c r="S5218" t="s">
        <v>824</v>
      </c>
      <c r="T5218">
        <v>37</v>
      </c>
      <c r="U5218" s="26" t="str">
        <f>HYPERLINK("https://ictv.global/ictv/proposals/2021.010B.R.Binomial_names.zip","2021.010B.R.Binomial_names.zip")</f>
        <v>2021.010B.R.Binomial_names.zip</v>
      </c>
    </row>
    <row r="5219" spans="1:21">
      <c r="A5219">
        <v>5218</v>
      </c>
      <c r="B5219" s="27" t="s">
        <v>1449</v>
      </c>
      <c r="D5219" s="27" t="s">
        <v>1450</v>
      </c>
      <c r="F5219" s="27" t="s">
        <v>1453</v>
      </c>
      <c r="H5219" s="27" t="s">
        <v>1454</v>
      </c>
      <c r="N5219" s="27" t="s">
        <v>6744</v>
      </c>
      <c r="P5219" s="27" t="s">
        <v>6745</v>
      </c>
      <c r="Q5219" s="26" t="str">
        <f>HYPERLINK("https://ictv.global/taxonomy/taxondetails?taxnode_id=202514527&amp;ictv_id=ICTV202214527","ICTV202214527")</f>
        <v>ICTV202214527</v>
      </c>
      <c r="R5219" t="s">
        <v>579</v>
      </c>
      <c r="S5219" t="s">
        <v>823</v>
      </c>
      <c r="T5219">
        <v>38</v>
      </c>
      <c r="U5219" s="26" t="str">
        <f>HYPERLINK("https://ictv.global/ictv/proposals/2022.015B.Cantarevirus_ng.zip","2022.015B.Cantarevirus_ng.zip")</f>
        <v>2022.015B.Cantarevirus_ng.zip</v>
      </c>
    </row>
    <row r="5220" spans="1:21">
      <c r="A5220">
        <v>5219</v>
      </c>
      <c r="B5220" s="27" t="s">
        <v>1449</v>
      </c>
      <c r="D5220" s="27" t="s">
        <v>1450</v>
      </c>
      <c r="F5220" s="27" t="s">
        <v>1453</v>
      </c>
      <c r="H5220" s="27" t="s">
        <v>1454</v>
      </c>
      <c r="N5220" s="27" t="s">
        <v>6746</v>
      </c>
      <c r="P5220" s="27" t="s">
        <v>6747</v>
      </c>
      <c r="Q5220" s="26" t="str">
        <f>HYPERLINK("https://ictv.global/taxonomy/taxondetails?taxnode_id=202514529&amp;ictv_id=ICTV202214529","ICTV202214529")</f>
        <v>ICTV202214529</v>
      </c>
      <c r="R5220" t="s">
        <v>579</v>
      </c>
      <c r="S5220" t="s">
        <v>823</v>
      </c>
      <c r="T5220">
        <v>38</v>
      </c>
      <c r="U5220" s="26" t="str">
        <f>HYPERLINK("https://ictv.global/ictv/proposals/2022.016B.Capnelvirus_ng.zip","2022.016B.Capnelvirus_ng.zip")</f>
        <v>2022.016B.Capnelvirus_ng.zip</v>
      </c>
    </row>
    <row r="5221" spans="1:21">
      <c r="A5221">
        <v>5220</v>
      </c>
      <c r="B5221" s="27" t="s">
        <v>1449</v>
      </c>
      <c r="D5221" s="27" t="s">
        <v>1450</v>
      </c>
      <c r="F5221" s="27" t="s">
        <v>1453</v>
      </c>
      <c r="H5221" s="27" t="s">
        <v>1454</v>
      </c>
      <c r="N5221" s="27" t="s">
        <v>6748</v>
      </c>
      <c r="P5221" s="27" t="s">
        <v>6749</v>
      </c>
      <c r="Q5221" s="26" t="str">
        <f>HYPERLINK("https://ictv.global/taxonomy/taxondetails?taxnode_id=202514531&amp;ictv_id=ICTV202214531","ICTV202214531")</f>
        <v>ICTV202214531</v>
      </c>
      <c r="R5221" t="s">
        <v>579</v>
      </c>
      <c r="S5221" t="s">
        <v>823</v>
      </c>
      <c r="T5221">
        <v>38</v>
      </c>
      <c r="U5221" s="26" t="str">
        <f>HYPERLINK("https://ictv.global/ictv/proposals/2022.017B.Carnodivirus_ng.zip","2022.017B.Carnodivirus_ng.zip")</f>
        <v>2022.017B.Carnodivirus_ng.zip</v>
      </c>
    </row>
    <row r="5222" spans="1:21">
      <c r="A5222">
        <v>5221</v>
      </c>
      <c r="B5222" s="27" t="s">
        <v>1449</v>
      </c>
      <c r="D5222" s="27" t="s">
        <v>1450</v>
      </c>
      <c r="F5222" s="27" t="s">
        <v>1453</v>
      </c>
      <c r="H5222" s="27" t="s">
        <v>1454</v>
      </c>
      <c r="N5222" s="27" t="s">
        <v>6748</v>
      </c>
      <c r="P5222" s="27" t="s">
        <v>6750</v>
      </c>
      <c r="Q5222" s="26" t="str">
        <f>HYPERLINK("https://ictv.global/taxonomy/taxondetails?taxnode_id=202514532&amp;ictv_id=ICTV202214532","ICTV202214532")</f>
        <v>ICTV202214532</v>
      </c>
      <c r="R5222" t="s">
        <v>579</v>
      </c>
      <c r="S5222" t="s">
        <v>823</v>
      </c>
      <c r="T5222">
        <v>38</v>
      </c>
      <c r="U5222" s="26" t="str">
        <f>HYPERLINK("https://ictv.global/ictv/proposals/2022.017B.Carnodivirus_ng.zip","2022.017B.Carnodivirus_ng.zip")</f>
        <v>2022.017B.Carnodivirus_ng.zip</v>
      </c>
    </row>
    <row r="5223" spans="1:21">
      <c r="A5223">
        <v>5222</v>
      </c>
      <c r="B5223" s="27" t="s">
        <v>1449</v>
      </c>
      <c r="D5223" s="27" t="s">
        <v>1450</v>
      </c>
      <c r="F5223" s="27" t="s">
        <v>1453</v>
      </c>
      <c r="H5223" s="27" t="s">
        <v>1454</v>
      </c>
      <c r="N5223" s="27" t="s">
        <v>6753</v>
      </c>
      <c r="P5223" s="27" t="s">
        <v>6754</v>
      </c>
      <c r="Q5223" s="26" t="str">
        <f>HYPERLINK("https://ictv.global/taxonomy/taxondetails?taxnode_id=202514534&amp;ictv_id=ICTV202214534","ICTV202214534")</f>
        <v>ICTV202214534</v>
      </c>
      <c r="R5223" t="s">
        <v>579</v>
      </c>
      <c r="S5223" t="s">
        <v>823</v>
      </c>
      <c r="T5223">
        <v>38</v>
      </c>
      <c r="U5223" s="26" t="str">
        <f>HYPERLINK("https://ictv.global/ictv/proposals/2022.018B.Carvajevirus_ng.zip","2022.018B.Carvajevirus_ng.zip")</f>
        <v>2022.018B.Carvajevirus_ng.zip</v>
      </c>
    </row>
    <row r="5224" spans="1:21">
      <c r="A5224">
        <v>5223</v>
      </c>
      <c r="B5224" s="27" t="s">
        <v>1449</v>
      </c>
      <c r="D5224" s="27" t="s">
        <v>1450</v>
      </c>
      <c r="F5224" s="27" t="s">
        <v>1453</v>
      </c>
      <c r="H5224" s="27" t="s">
        <v>1454</v>
      </c>
      <c r="N5224" s="27" t="s">
        <v>1337</v>
      </c>
      <c r="P5224" s="27" t="s">
        <v>6755</v>
      </c>
      <c r="Q5224" s="26" t="str">
        <f>HYPERLINK("https://ictv.global/taxonomy/taxondetails?taxnode_id=202514549&amp;ictv_id=ICTV202214549","ICTV202214549")</f>
        <v>ICTV202214549</v>
      </c>
      <c r="R5224" t="s">
        <v>579</v>
      </c>
      <c r="S5224" t="s">
        <v>823</v>
      </c>
      <c r="T5224">
        <v>38</v>
      </c>
      <c r="U5224" s="26" t="str">
        <f>HYPERLINK("https://ictv.global/ictv/proposals/2022.019B.Casadabanvirus_16nsp.zip","2022.019B.Casadabanvirus_16nsp.zip")</f>
        <v>2022.019B.Casadabanvirus_16nsp.zip</v>
      </c>
    </row>
    <row r="5225" spans="1:21">
      <c r="A5225">
        <v>5224</v>
      </c>
      <c r="B5225" s="27" t="s">
        <v>1449</v>
      </c>
      <c r="D5225" s="27" t="s">
        <v>1450</v>
      </c>
      <c r="F5225" s="27" t="s">
        <v>1453</v>
      </c>
      <c r="H5225" s="27" t="s">
        <v>1454</v>
      </c>
      <c r="N5225" s="27" t="s">
        <v>1337</v>
      </c>
      <c r="P5225" s="27" t="s">
        <v>6756</v>
      </c>
      <c r="Q5225" s="26" t="str">
        <f>HYPERLINK("https://ictv.global/taxonomy/taxondetails?taxnode_id=202514542&amp;ictv_id=ICTV202214542","ICTV202214542")</f>
        <v>ICTV202214542</v>
      </c>
      <c r="R5225" t="s">
        <v>579</v>
      </c>
      <c r="S5225" t="s">
        <v>823</v>
      </c>
      <c r="T5225">
        <v>38</v>
      </c>
      <c r="U5225" s="26" t="str">
        <f>HYPERLINK("https://ictv.global/ictv/proposals/2022.019B.Casadabanvirus_16nsp.zip","2022.019B.Casadabanvirus_16nsp.zip")</f>
        <v>2022.019B.Casadabanvirus_16nsp.zip</v>
      </c>
    </row>
    <row r="5226" spans="1:21">
      <c r="A5226">
        <v>5225</v>
      </c>
      <c r="B5226" s="27" t="s">
        <v>1449</v>
      </c>
      <c r="D5226" s="27" t="s">
        <v>1450</v>
      </c>
      <c r="F5226" s="27" t="s">
        <v>1453</v>
      </c>
      <c r="H5226" s="27" t="s">
        <v>1454</v>
      </c>
      <c r="N5226" s="27" t="s">
        <v>1337</v>
      </c>
      <c r="P5226" s="27" t="s">
        <v>6757</v>
      </c>
      <c r="Q5226" s="26" t="str">
        <f>HYPERLINK("https://ictv.global/taxonomy/taxondetails?taxnode_id=202500945&amp;ictv_id=ICTV20140243","ICTV20140243")</f>
        <v>ICTV20140243</v>
      </c>
      <c r="R5226" t="s">
        <v>579</v>
      </c>
      <c r="S5226" t="s">
        <v>824</v>
      </c>
      <c r="T5226">
        <v>37</v>
      </c>
      <c r="U5226" s="26" t="str">
        <f>HYPERLINK("https://ictv.global/ictv/proposals/2021.010B.R.Binomial_names.zip","2021.010B.R.Binomial_names.zip")</f>
        <v>2021.010B.R.Binomial_names.zip</v>
      </c>
    </row>
    <row r="5227" spans="1:21">
      <c r="A5227">
        <v>5226</v>
      </c>
      <c r="B5227" s="27" t="s">
        <v>1449</v>
      </c>
      <c r="D5227" s="27" t="s">
        <v>1450</v>
      </c>
      <c r="F5227" s="27" t="s">
        <v>1453</v>
      </c>
      <c r="H5227" s="27" t="s">
        <v>1454</v>
      </c>
      <c r="N5227" s="27" t="s">
        <v>1337</v>
      </c>
      <c r="P5227" s="27" t="s">
        <v>6758</v>
      </c>
      <c r="Q5227" s="26" t="str">
        <f>HYPERLINK("https://ictv.global/taxonomy/taxondetails?taxnode_id=202500946&amp;ictv_id=ICTV20140244","ICTV20140244")</f>
        <v>ICTV20140244</v>
      </c>
      <c r="R5227" t="s">
        <v>579</v>
      </c>
      <c r="S5227" t="s">
        <v>824</v>
      </c>
      <c r="T5227">
        <v>37</v>
      </c>
      <c r="U5227" s="26" t="str">
        <f>HYPERLINK("https://ictv.global/ictv/proposals/2021.010B.R.Binomial_names.zip","2021.010B.R.Binomial_names.zip")</f>
        <v>2021.010B.R.Binomial_names.zip</v>
      </c>
    </row>
    <row r="5228" spans="1:21">
      <c r="A5228">
        <v>5227</v>
      </c>
      <c r="B5228" s="27" t="s">
        <v>1449</v>
      </c>
      <c r="D5228" s="27" t="s">
        <v>1450</v>
      </c>
      <c r="F5228" s="27" t="s">
        <v>1453</v>
      </c>
      <c r="H5228" s="27" t="s">
        <v>1454</v>
      </c>
      <c r="N5228" s="27" t="s">
        <v>1337</v>
      </c>
      <c r="P5228" s="27" t="s">
        <v>6759</v>
      </c>
      <c r="Q5228" s="26" t="str">
        <f>HYPERLINK("https://ictv.global/taxonomy/taxondetails?taxnode_id=202514544&amp;ictv_id=ICTV202214544","ICTV202214544")</f>
        <v>ICTV202214544</v>
      </c>
      <c r="R5228" t="s">
        <v>579</v>
      </c>
      <c r="S5228" t="s">
        <v>823</v>
      </c>
      <c r="T5228">
        <v>38</v>
      </c>
      <c r="U5228" s="26" t="str">
        <f>HYPERLINK("https://ictv.global/ictv/proposals/2022.019B.Casadabanvirus_16nsp.zip","2022.019B.Casadabanvirus_16nsp.zip")</f>
        <v>2022.019B.Casadabanvirus_16nsp.zip</v>
      </c>
    </row>
    <row r="5229" spans="1:21">
      <c r="A5229">
        <v>5228</v>
      </c>
      <c r="B5229" s="27" t="s">
        <v>1449</v>
      </c>
      <c r="D5229" s="27" t="s">
        <v>1450</v>
      </c>
      <c r="F5229" s="27" t="s">
        <v>1453</v>
      </c>
      <c r="H5229" s="27" t="s">
        <v>1454</v>
      </c>
      <c r="N5229" s="27" t="s">
        <v>1337</v>
      </c>
      <c r="P5229" s="27" t="s">
        <v>6760</v>
      </c>
      <c r="Q5229" s="26" t="str">
        <f>HYPERLINK("https://ictv.global/taxonomy/taxondetails?taxnode_id=202500947&amp;ictv_id=ICTV20140245","ICTV20140245")</f>
        <v>ICTV20140245</v>
      </c>
      <c r="R5229" t="s">
        <v>579</v>
      </c>
      <c r="S5229" t="s">
        <v>824</v>
      </c>
      <c r="T5229">
        <v>37</v>
      </c>
      <c r="U5229" s="26" t="str">
        <f>HYPERLINK("https://ictv.global/ictv/proposals/2021.010B.R.Binomial_names.zip","2021.010B.R.Binomial_names.zip")</f>
        <v>2021.010B.R.Binomial_names.zip</v>
      </c>
    </row>
    <row r="5230" spans="1:21">
      <c r="A5230">
        <v>5229</v>
      </c>
      <c r="B5230" s="27" t="s">
        <v>1449</v>
      </c>
      <c r="D5230" s="27" t="s">
        <v>1450</v>
      </c>
      <c r="F5230" s="27" t="s">
        <v>1453</v>
      </c>
      <c r="H5230" s="27" t="s">
        <v>1454</v>
      </c>
      <c r="N5230" s="27" t="s">
        <v>1337</v>
      </c>
      <c r="P5230" s="27" t="s">
        <v>6761</v>
      </c>
      <c r="Q5230" s="26" t="str">
        <f>HYPERLINK("https://ictv.global/taxonomy/taxondetails?taxnode_id=202514543&amp;ictv_id=ICTV202214543","ICTV202214543")</f>
        <v>ICTV202214543</v>
      </c>
      <c r="R5230" t="s">
        <v>579</v>
      </c>
      <c r="S5230" t="s">
        <v>823</v>
      </c>
      <c r="T5230">
        <v>38</v>
      </c>
      <c r="U5230" s="26" t="str">
        <f t="shared" ref="U5230:U5236" si="205">HYPERLINK("https://ictv.global/ictv/proposals/2022.019B.Casadabanvirus_16nsp.zip","2022.019B.Casadabanvirus_16nsp.zip")</f>
        <v>2022.019B.Casadabanvirus_16nsp.zip</v>
      </c>
    </row>
    <row r="5231" spans="1:21">
      <c r="A5231">
        <v>5230</v>
      </c>
      <c r="B5231" s="27" t="s">
        <v>1449</v>
      </c>
      <c r="D5231" s="27" t="s">
        <v>1450</v>
      </c>
      <c r="F5231" s="27" t="s">
        <v>1453</v>
      </c>
      <c r="H5231" s="27" t="s">
        <v>1454</v>
      </c>
      <c r="N5231" s="27" t="s">
        <v>1337</v>
      </c>
      <c r="P5231" s="27" t="s">
        <v>6762</v>
      </c>
      <c r="Q5231" s="26" t="str">
        <f>HYPERLINK("https://ictv.global/taxonomy/taxondetails?taxnode_id=202514538&amp;ictv_id=ICTV202214538","ICTV202214538")</f>
        <v>ICTV202214538</v>
      </c>
      <c r="R5231" t="s">
        <v>579</v>
      </c>
      <c r="S5231" t="s">
        <v>823</v>
      </c>
      <c r="T5231">
        <v>38</v>
      </c>
      <c r="U5231" s="26" t="str">
        <f t="shared" si="205"/>
        <v>2022.019B.Casadabanvirus_16nsp.zip</v>
      </c>
    </row>
    <row r="5232" spans="1:21">
      <c r="A5232">
        <v>5231</v>
      </c>
      <c r="B5232" s="27" t="s">
        <v>1449</v>
      </c>
      <c r="D5232" s="27" t="s">
        <v>1450</v>
      </c>
      <c r="F5232" s="27" t="s">
        <v>1453</v>
      </c>
      <c r="H5232" s="27" t="s">
        <v>1454</v>
      </c>
      <c r="N5232" s="27" t="s">
        <v>1337</v>
      </c>
      <c r="P5232" s="27" t="s">
        <v>6763</v>
      </c>
      <c r="Q5232" s="26" t="str">
        <f>HYPERLINK("https://ictv.global/taxonomy/taxondetails?taxnode_id=202514548&amp;ictv_id=ICTV202214548","ICTV202214548")</f>
        <v>ICTV202214548</v>
      </c>
      <c r="R5232" t="s">
        <v>579</v>
      </c>
      <c r="S5232" t="s">
        <v>823</v>
      </c>
      <c r="T5232">
        <v>38</v>
      </c>
      <c r="U5232" s="26" t="str">
        <f t="shared" si="205"/>
        <v>2022.019B.Casadabanvirus_16nsp.zip</v>
      </c>
    </row>
    <row r="5233" spans="1:21">
      <c r="A5233">
        <v>5232</v>
      </c>
      <c r="B5233" s="27" t="s">
        <v>1449</v>
      </c>
      <c r="D5233" s="27" t="s">
        <v>1450</v>
      </c>
      <c r="F5233" s="27" t="s">
        <v>1453</v>
      </c>
      <c r="H5233" s="27" t="s">
        <v>1454</v>
      </c>
      <c r="N5233" s="27" t="s">
        <v>1337</v>
      </c>
      <c r="P5233" s="27" t="s">
        <v>6764</v>
      </c>
      <c r="Q5233" s="26" t="str">
        <f>HYPERLINK("https://ictv.global/taxonomy/taxondetails?taxnode_id=202514541&amp;ictv_id=ICTV202214541","ICTV202214541")</f>
        <v>ICTV202214541</v>
      </c>
      <c r="R5233" t="s">
        <v>579</v>
      </c>
      <c r="S5233" t="s">
        <v>823</v>
      </c>
      <c r="T5233">
        <v>38</v>
      </c>
      <c r="U5233" s="26" t="str">
        <f t="shared" si="205"/>
        <v>2022.019B.Casadabanvirus_16nsp.zip</v>
      </c>
    </row>
    <row r="5234" spans="1:21">
      <c r="A5234">
        <v>5233</v>
      </c>
      <c r="B5234" s="27" t="s">
        <v>1449</v>
      </c>
      <c r="D5234" s="27" t="s">
        <v>1450</v>
      </c>
      <c r="F5234" s="27" t="s">
        <v>1453</v>
      </c>
      <c r="H5234" s="27" t="s">
        <v>1454</v>
      </c>
      <c r="N5234" s="27" t="s">
        <v>1337</v>
      </c>
      <c r="P5234" s="27" t="s">
        <v>6765</v>
      </c>
      <c r="Q5234" s="26" t="str">
        <f>HYPERLINK("https://ictv.global/taxonomy/taxondetails?taxnode_id=202514547&amp;ictv_id=ICTV202214547","ICTV202214547")</f>
        <v>ICTV202214547</v>
      </c>
      <c r="R5234" t="s">
        <v>579</v>
      </c>
      <c r="S5234" t="s">
        <v>823</v>
      </c>
      <c r="T5234">
        <v>38</v>
      </c>
      <c r="U5234" s="26" t="str">
        <f t="shared" si="205"/>
        <v>2022.019B.Casadabanvirus_16nsp.zip</v>
      </c>
    </row>
    <row r="5235" spans="1:21">
      <c r="A5235">
        <v>5234</v>
      </c>
      <c r="B5235" s="27" t="s">
        <v>1449</v>
      </c>
      <c r="D5235" s="27" t="s">
        <v>1450</v>
      </c>
      <c r="F5235" s="27" t="s">
        <v>1453</v>
      </c>
      <c r="H5235" s="27" t="s">
        <v>1454</v>
      </c>
      <c r="N5235" s="27" t="s">
        <v>1337</v>
      </c>
      <c r="P5235" s="27" t="s">
        <v>6766</v>
      </c>
      <c r="Q5235" s="26" t="str">
        <f>HYPERLINK("https://ictv.global/taxonomy/taxondetails?taxnode_id=202514545&amp;ictv_id=ICTV202214545","ICTV202214545")</f>
        <v>ICTV202214545</v>
      </c>
      <c r="R5235" t="s">
        <v>579</v>
      </c>
      <c r="S5235" t="s">
        <v>823</v>
      </c>
      <c r="T5235">
        <v>38</v>
      </c>
      <c r="U5235" s="26" t="str">
        <f t="shared" si="205"/>
        <v>2022.019B.Casadabanvirus_16nsp.zip</v>
      </c>
    </row>
    <row r="5236" spans="1:21">
      <c r="A5236">
        <v>5235</v>
      </c>
      <c r="B5236" s="27" t="s">
        <v>1449</v>
      </c>
      <c r="D5236" s="27" t="s">
        <v>1450</v>
      </c>
      <c r="F5236" s="27" t="s">
        <v>1453</v>
      </c>
      <c r="H5236" s="27" t="s">
        <v>1454</v>
      </c>
      <c r="N5236" s="27" t="s">
        <v>1337</v>
      </c>
      <c r="P5236" s="27" t="s">
        <v>6767</v>
      </c>
      <c r="Q5236" s="26" t="str">
        <f>HYPERLINK("https://ictv.global/taxonomy/taxondetails?taxnode_id=202514540&amp;ictv_id=ICTV202214540","ICTV202214540")</f>
        <v>ICTV202214540</v>
      </c>
      <c r="R5236" t="s">
        <v>579</v>
      </c>
      <c r="S5236" t="s">
        <v>823</v>
      </c>
      <c r="T5236">
        <v>38</v>
      </c>
      <c r="U5236" s="26" t="str">
        <f t="shared" si="205"/>
        <v>2022.019B.Casadabanvirus_16nsp.zip</v>
      </c>
    </row>
    <row r="5237" spans="1:21">
      <c r="A5237">
        <v>5236</v>
      </c>
      <c r="B5237" s="27" t="s">
        <v>1449</v>
      </c>
      <c r="D5237" s="27" t="s">
        <v>1450</v>
      </c>
      <c r="F5237" s="27" t="s">
        <v>1453</v>
      </c>
      <c r="H5237" s="27" t="s">
        <v>1454</v>
      </c>
      <c r="N5237" s="27" t="s">
        <v>1337</v>
      </c>
      <c r="P5237" s="27" t="s">
        <v>6768</v>
      </c>
      <c r="Q5237" s="26" t="str">
        <f>HYPERLINK("https://ictv.global/taxonomy/taxondetails?taxnode_id=202500948&amp;ictv_id=ICTV20140246","ICTV20140246")</f>
        <v>ICTV20140246</v>
      </c>
      <c r="R5237" t="s">
        <v>579</v>
      </c>
      <c r="S5237" t="s">
        <v>824</v>
      </c>
      <c r="T5237">
        <v>37</v>
      </c>
      <c r="U5237" s="26" t="str">
        <f>HYPERLINK("https://ictv.global/ictv/proposals/2021.010B.R.Binomial_names.zip","2021.010B.R.Binomial_names.zip")</f>
        <v>2021.010B.R.Binomial_names.zip</v>
      </c>
    </row>
    <row r="5238" spans="1:21">
      <c r="A5238">
        <v>5237</v>
      </c>
      <c r="B5238" s="27" t="s">
        <v>1449</v>
      </c>
      <c r="D5238" s="27" t="s">
        <v>1450</v>
      </c>
      <c r="F5238" s="27" t="s">
        <v>1453</v>
      </c>
      <c r="H5238" s="27" t="s">
        <v>1454</v>
      </c>
      <c r="N5238" s="27" t="s">
        <v>1337</v>
      </c>
      <c r="P5238" s="27" t="s">
        <v>6769</v>
      </c>
      <c r="Q5238" s="26" t="str">
        <f>HYPERLINK("https://ictv.global/taxonomy/taxondetails?taxnode_id=202500949&amp;ictv_id=ICTV20140247","ICTV20140247")</f>
        <v>ICTV20140247</v>
      </c>
      <c r="R5238" t="s">
        <v>579</v>
      </c>
      <c r="S5238" t="s">
        <v>824</v>
      </c>
      <c r="T5238">
        <v>37</v>
      </c>
      <c r="U5238" s="26" t="str">
        <f>HYPERLINK("https://ictv.global/ictv/proposals/2021.010B.R.Binomial_names.zip","2021.010B.R.Binomial_names.zip")</f>
        <v>2021.010B.R.Binomial_names.zip</v>
      </c>
    </row>
    <row r="5239" spans="1:21">
      <c r="A5239">
        <v>5238</v>
      </c>
      <c r="B5239" s="27" t="s">
        <v>1449</v>
      </c>
      <c r="D5239" s="27" t="s">
        <v>1450</v>
      </c>
      <c r="F5239" s="27" t="s">
        <v>1453</v>
      </c>
      <c r="H5239" s="27" t="s">
        <v>1454</v>
      </c>
      <c r="N5239" s="27" t="s">
        <v>1337</v>
      </c>
      <c r="P5239" s="27" t="s">
        <v>6770</v>
      </c>
      <c r="Q5239" s="26" t="str">
        <f>HYPERLINK("https://ictv.global/taxonomy/taxondetails?taxnode_id=202500950&amp;ictv_id=ICTV20140248","ICTV20140248")</f>
        <v>ICTV20140248</v>
      </c>
      <c r="R5239" t="s">
        <v>579</v>
      </c>
      <c r="S5239" t="s">
        <v>824</v>
      </c>
      <c r="T5239">
        <v>37</v>
      </c>
      <c r="U5239" s="26" t="str">
        <f>HYPERLINK("https://ictv.global/ictv/proposals/2021.010B.R.Binomial_names.zip","2021.010B.R.Binomial_names.zip")</f>
        <v>2021.010B.R.Binomial_names.zip</v>
      </c>
    </row>
    <row r="5240" spans="1:21">
      <c r="A5240">
        <v>5239</v>
      </c>
      <c r="B5240" s="27" t="s">
        <v>1449</v>
      </c>
      <c r="D5240" s="27" t="s">
        <v>1450</v>
      </c>
      <c r="F5240" s="27" t="s">
        <v>1453</v>
      </c>
      <c r="H5240" s="27" t="s">
        <v>1454</v>
      </c>
      <c r="N5240" s="27" t="s">
        <v>1337</v>
      </c>
      <c r="P5240" s="27" t="s">
        <v>6771</v>
      </c>
      <c r="Q5240" s="26" t="str">
        <f>HYPERLINK("https://ictv.global/taxonomy/taxondetails?taxnode_id=202500951&amp;ictv_id=ICTV20140249","ICTV20140249")</f>
        <v>ICTV20140249</v>
      </c>
      <c r="R5240" t="s">
        <v>579</v>
      </c>
      <c r="S5240" t="s">
        <v>824</v>
      </c>
      <c r="T5240">
        <v>37</v>
      </c>
      <c r="U5240" s="26" t="str">
        <f>HYPERLINK("https://ictv.global/ictv/proposals/2021.010B.R.Binomial_names.zip","2021.010B.R.Binomial_names.zip")</f>
        <v>2021.010B.R.Binomial_names.zip</v>
      </c>
    </row>
    <row r="5241" spans="1:21">
      <c r="A5241">
        <v>5240</v>
      </c>
      <c r="B5241" s="27" t="s">
        <v>1449</v>
      </c>
      <c r="D5241" s="27" t="s">
        <v>1450</v>
      </c>
      <c r="F5241" s="27" t="s">
        <v>1453</v>
      </c>
      <c r="H5241" s="27" t="s">
        <v>1454</v>
      </c>
      <c r="N5241" s="27" t="s">
        <v>1337</v>
      </c>
      <c r="P5241" s="27" t="s">
        <v>6772</v>
      </c>
      <c r="Q5241" s="26" t="str">
        <f>HYPERLINK("https://ictv.global/taxonomy/taxondetails?taxnode_id=202514546&amp;ictv_id=ICTV202214546","ICTV202214546")</f>
        <v>ICTV202214546</v>
      </c>
      <c r="R5241" t="s">
        <v>579</v>
      </c>
      <c r="S5241" t="s">
        <v>823</v>
      </c>
      <c r="T5241">
        <v>38</v>
      </c>
      <c r="U5241" s="26" t="str">
        <f>HYPERLINK("https://ictv.global/ictv/proposals/2022.019B.Casadabanvirus_16nsp.zip","2022.019B.Casadabanvirus_16nsp.zip")</f>
        <v>2022.019B.Casadabanvirus_16nsp.zip</v>
      </c>
    </row>
    <row r="5242" spans="1:21">
      <c r="A5242">
        <v>5241</v>
      </c>
      <c r="B5242" s="27" t="s">
        <v>1449</v>
      </c>
      <c r="D5242" s="27" t="s">
        <v>1450</v>
      </c>
      <c r="F5242" s="27" t="s">
        <v>1453</v>
      </c>
      <c r="H5242" s="27" t="s">
        <v>1454</v>
      </c>
      <c r="N5242" s="27" t="s">
        <v>1337</v>
      </c>
      <c r="P5242" s="27" t="s">
        <v>6773</v>
      </c>
      <c r="Q5242" s="26" t="str">
        <f>HYPERLINK("https://ictv.global/taxonomy/taxondetails?taxnode_id=202514536&amp;ictv_id=ICTV202214536","ICTV202214536")</f>
        <v>ICTV202214536</v>
      </c>
      <c r="R5242" t="s">
        <v>579</v>
      </c>
      <c r="S5242" t="s">
        <v>823</v>
      </c>
      <c r="T5242">
        <v>38</v>
      </c>
      <c r="U5242" s="26" t="str">
        <f>HYPERLINK("https://ictv.global/ictv/proposals/2022.019B.Casadabanvirus_16nsp.zip","2022.019B.Casadabanvirus_16nsp.zip")</f>
        <v>2022.019B.Casadabanvirus_16nsp.zip</v>
      </c>
    </row>
    <row r="5243" spans="1:21">
      <c r="A5243">
        <v>5242</v>
      </c>
      <c r="B5243" s="27" t="s">
        <v>1449</v>
      </c>
      <c r="D5243" s="27" t="s">
        <v>1450</v>
      </c>
      <c r="F5243" s="27" t="s">
        <v>1453</v>
      </c>
      <c r="H5243" s="27" t="s">
        <v>1454</v>
      </c>
      <c r="N5243" s="27" t="s">
        <v>1337</v>
      </c>
      <c r="P5243" s="27" t="s">
        <v>6774</v>
      </c>
      <c r="Q5243" s="26" t="str">
        <f>HYPERLINK("https://ictv.global/taxonomy/taxondetails?taxnode_id=202500952&amp;ictv_id=ICTV20140250","ICTV20140250")</f>
        <v>ICTV20140250</v>
      </c>
      <c r="R5243" t="s">
        <v>579</v>
      </c>
      <c r="S5243" t="s">
        <v>824</v>
      </c>
      <c r="T5243">
        <v>37</v>
      </c>
      <c r="U5243" s="26" t="str">
        <f>HYPERLINK("https://ictv.global/ictv/proposals/2021.010B.R.Binomial_names.zip","2021.010B.R.Binomial_names.zip")</f>
        <v>2021.010B.R.Binomial_names.zip</v>
      </c>
    </row>
    <row r="5244" spans="1:21">
      <c r="A5244">
        <v>5243</v>
      </c>
      <c r="B5244" s="27" t="s">
        <v>1449</v>
      </c>
      <c r="D5244" s="27" t="s">
        <v>1450</v>
      </c>
      <c r="F5244" s="27" t="s">
        <v>1453</v>
      </c>
      <c r="H5244" s="27" t="s">
        <v>1454</v>
      </c>
      <c r="N5244" s="27" t="s">
        <v>1337</v>
      </c>
      <c r="P5244" s="27" t="s">
        <v>6775</v>
      </c>
      <c r="Q5244" s="26" t="str">
        <f>HYPERLINK("https://ictv.global/taxonomy/taxondetails?taxnode_id=202514550&amp;ictv_id=ICTV202214550","ICTV202214550")</f>
        <v>ICTV202214550</v>
      </c>
      <c r="R5244" t="s">
        <v>579</v>
      </c>
      <c r="S5244" t="s">
        <v>823</v>
      </c>
      <c r="T5244">
        <v>38</v>
      </c>
      <c r="U5244" s="26" t="str">
        <f>HYPERLINK("https://ictv.global/ictv/proposals/2022.019B.Casadabanvirus_16nsp.zip","2022.019B.Casadabanvirus_16nsp.zip")</f>
        <v>2022.019B.Casadabanvirus_16nsp.zip</v>
      </c>
    </row>
    <row r="5245" spans="1:21">
      <c r="A5245">
        <v>5244</v>
      </c>
      <c r="B5245" s="27" t="s">
        <v>1449</v>
      </c>
      <c r="D5245" s="27" t="s">
        <v>1450</v>
      </c>
      <c r="F5245" s="27" t="s">
        <v>1453</v>
      </c>
      <c r="H5245" s="27" t="s">
        <v>1454</v>
      </c>
      <c r="N5245" s="27" t="s">
        <v>1337</v>
      </c>
      <c r="P5245" s="27" t="s">
        <v>6776</v>
      </c>
      <c r="Q5245" s="26" t="str">
        <f>HYPERLINK("https://ictv.global/taxonomy/taxondetails?taxnode_id=202514535&amp;ictv_id=ICTV202214535","ICTV202214535")</f>
        <v>ICTV202214535</v>
      </c>
      <c r="R5245" t="s">
        <v>579</v>
      </c>
      <c r="S5245" t="s">
        <v>823</v>
      </c>
      <c r="T5245">
        <v>38</v>
      </c>
      <c r="U5245" s="26" t="str">
        <f>HYPERLINK("https://ictv.global/ictv/proposals/2022.019B.Casadabanvirus_16nsp.zip","2022.019B.Casadabanvirus_16nsp.zip")</f>
        <v>2022.019B.Casadabanvirus_16nsp.zip</v>
      </c>
    </row>
    <row r="5246" spans="1:21">
      <c r="A5246">
        <v>5245</v>
      </c>
      <c r="B5246" s="27" t="s">
        <v>1449</v>
      </c>
      <c r="D5246" s="27" t="s">
        <v>1450</v>
      </c>
      <c r="F5246" s="27" t="s">
        <v>1453</v>
      </c>
      <c r="H5246" s="27" t="s">
        <v>1454</v>
      </c>
      <c r="N5246" s="27" t="s">
        <v>1337</v>
      </c>
      <c r="P5246" s="27" t="s">
        <v>6777</v>
      </c>
      <c r="Q5246" s="26" t="str">
        <f>HYPERLINK("https://ictv.global/taxonomy/taxondetails?taxnode_id=202514539&amp;ictv_id=ICTV202214539","ICTV202214539")</f>
        <v>ICTV202214539</v>
      </c>
      <c r="R5246" t="s">
        <v>579</v>
      </c>
      <c r="S5246" t="s">
        <v>823</v>
      </c>
      <c r="T5246">
        <v>38</v>
      </c>
      <c r="U5246" s="26" t="str">
        <f>HYPERLINK("https://ictv.global/ictv/proposals/2022.019B.Casadabanvirus_16nsp.zip","2022.019B.Casadabanvirus_16nsp.zip")</f>
        <v>2022.019B.Casadabanvirus_16nsp.zip</v>
      </c>
    </row>
    <row r="5247" spans="1:21">
      <c r="A5247">
        <v>5246</v>
      </c>
      <c r="B5247" s="27" t="s">
        <v>1449</v>
      </c>
      <c r="D5247" s="27" t="s">
        <v>1450</v>
      </c>
      <c r="F5247" s="27" t="s">
        <v>1453</v>
      </c>
      <c r="H5247" s="27" t="s">
        <v>1454</v>
      </c>
      <c r="N5247" s="27" t="s">
        <v>1337</v>
      </c>
      <c r="P5247" s="27" t="s">
        <v>6778</v>
      </c>
      <c r="Q5247" s="26" t="str">
        <f>HYPERLINK("https://ictv.global/taxonomy/taxondetails?taxnode_id=202514537&amp;ictv_id=ICTV202214537","ICTV202214537")</f>
        <v>ICTV202214537</v>
      </c>
      <c r="R5247" t="s">
        <v>579</v>
      </c>
      <c r="S5247" t="s">
        <v>823</v>
      </c>
      <c r="T5247">
        <v>38</v>
      </c>
      <c r="U5247" s="26" t="str">
        <f>HYPERLINK("https://ictv.global/ictv/proposals/2022.019B.Casadabanvirus_16nsp.zip","2022.019B.Casadabanvirus_16nsp.zip")</f>
        <v>2022.019B.Casadabanvirus_16nsp.zip</v>
      </c>
    </row>
    <row r="5248" spans="1:21">
      <c r="A5248">
        <v>5247</v>
      </c>
      <c r="B5248" s="27" t="s">
        <v>1449</v>
      </c>
      <c r="D5248" s="27" t="s">
        <v>1450</v>
      </c>
      <c r="F5248" s="27" t="s">
        <v>1453</v>
      </c>
      <c r="H5248" s="27" t="s">
        <v>1454</v>
      </c>
      <c r="N5248" s="27" t="s">
        <v>614</v>
      </c>
      <c r="P5248" s="27" t="s">
        <v>6779</v>
      </c>
      <c r="Q5248" s="26" t="str">
        <f>HYPERLINK("https://ictv.global/taxonomy/taxondetails?taxnode_id=202500883&amp;ictv_id=ICTV20150801","ICTV20150801")</f>
        <v>ICTV20150801</v>
      </c>
      <c r="R5248" t="s">
        <v>579</v>
      </c>
      <c r="S5248" t="s">
        <v>824</v>
      </c>
      <c r="T5248">
        <v>37</v>
      </c>
      <c r="U5248" s="26" t="str">
        <f>HYPERLINK("https://ictv.global/ictv/proposals/2021.010B.R.Binomial_names.zip","2021.010B.R.Binomial_names.zip")</f>
        <v>2021.010B.R.Binomial_names.zip</v>
      </c>
    </row>
    <row r="5249" spans="1:21">
      <c r="A5249">
        <v>5248</v>
      </c>
      <c r="B5249" s="27" t="s">
        <v>1449</v>
      </c>
      <c r="D5249" s="27" t="s">
        <v>1450</v>
      </c>
      <c r="F5249" s="27" t="s">
        <v>1453</v>
      </c>
      <c r="H5249" s="27" t="s">
        <v>1454</v>
      </c>
      <c r="N5249" s="27" t="s">
        <v>615</v>
      </c>
      <c r="P5249" s="27" t="s">
        <v>6780</v>
      </c>
      <c r="Q5249" s="26" t="str">
        <f>HYPERLINK("https://ictv.global/taxonomy/taxondetails?taxnode_id=202500885&amp;ictv_id=ICTV20140257","ICTV20140257")</f>
        <v>ICTV20140257</v>
      </c>
      <c r="R5249" t="s">
        <v>579</v>
      </c>
      <c r="S5249" t="s">
        <v>824</v>
      </c>
      <c r="T5249">
        <v>37</v>
      </c>
      <c r="U5249" s="26" t="str">
        <f>HYPERLINK("https://ictv.global/ictv/proposals/2021.010B.R.Binomial_names.zip","2021.010B.R.Binomial_names.zip")</f>
        <v>2021.010B.R.Binomial_names.zip</v>
      </c>
    </row>
    <row r="5250" spans="1:21">
      <c r="A5250">
        <v>5249</v>
      </c>
      <c r="B5250" s="27" t="s">
        <v>1449</v>
      </c>
      <c r="D5250" s="27" t="s">
        <v>1450</v>
      </c>
      <c r="F5250" s="27" t="s">
        <v>1453</v>
      </c>
      <c r="H5250" s="27" t="s">
        <v>1454</v>
      </c>
      <c r="N5250" s="27" t="s">
        <v>615</v>
      </c>
      <c r="P5250" s="27" t="s">
        <v>6781</v>
      </c>
      <c r="Q5250" s="26" t="str">
        <f>HYPERLINK("https://ictv.global/taxonomy/taxondetails?taxnode_id=202500886&amp;ictv_id=ICTV20140256","ICTV20140256")</f>
        <v>ICTV20140256</v>
      </c>
      <c r="R5250" t="s">
        <v>579</v>
      </c>
      <c r="S5250" t="s">
        <v>824</v>
      </c>
      <c r="T5250">
        <v>37</v>
      </c>
      <c r="U5250" s="26" t="str">
        <f>HYPERLINK("https://ictv.global/ictv/proposals/2021.010B.R.Binomial_names.zip","2021.010B.R.Binomial_names.zip")</f>
        <v>2021.010B.R.Binomial_names.zip</v>
      </c>
    </row>
    <row r="5251" spans="1:21">
      <c r="A5251">
        <v>5250</v>
      </c>
      <c r="B5251" s="27" t="s">
        <v>1449</v>
      </c>
      <c r="D5251" s="27" t="s">
        <v>1450</v>
      </c>
      <c r="F5251" s="27" t="s">
        <v>1453</v>
      </c>
      <c r="H5251" s="27" t="s">
        <v>1454</v>
      </c>
      <c r="N5251" s="27" t="s">
        <v>6782</v>
      </c>
      <c r="P5251" s="27" t="s">
        <v>6783</v>
      </c>
      <c r="Q5251" s="26" t="str">
        <f>HYPERLINK("https://ictv.global/taxonomy/taxondetails?taxnode_id=202513616&amp;ictv_id=ICTV202113616","ICTV202113616")</f>
        <v>ICTV202113616</v>
      </c>
      <c r="R5251" t="s">
        <v>579</v>
      </c>
      <c r="S5251" t="s">
        <v>823</v>
      </c>
      <c r="T5251">
        <v>37</v>
      </c>
      <c r="U5251" s="26" t="str">
        <f>HYPERLINK("https://ictv.global/ictv/proposals/2021.078B.R.Siphoviridae_new_genera.zip","2021.078B.R.Siphoviridae_new_genera.zip")</f>
        <v>2021.078B.R.Siphoviridae_new_genera.zip</v>
      </c>
    </row>
    <row r="5252" spans="1:21">
      <c r="A5252">
        <v>5251</v>
      </c>
      <c r="B5252" s="27" t="s">
        <v>1449</v>
      </c>
      <c r="D5252" s="27" t="s">
        <v>1450</v>
      </c>
      <c r="F5252" s="27" t="s">
        <v>1453</v>
      </c>
      <c r="H5252" s="27" t="s">
        <v>1454</v>
      </c>
      <c r="N5252" s="27" t="s">
        <v>1338</v>
      </c>
      <c r="P5252" s="27" t="s">
        <v>6784</v>
      </c>
      <c r="Q5252" s="26" t="str">
        <f>HYPERLINK("https://ictv.global/taxonomy/taxondetails?taxnode_id=202509801&amp;ictv_id=ICTV202009801","ICTV202009801")</f>
        <v>ICTV202009801</v>
      </c>
      <c r="R5252" t="s">
        <v>579</v>
      </c>
      <c r="S5252" t="s">
        <v>824</v>
      </c>
      <c r="T5252">
        <v>37</v>
      </c>
      <c r="U5252" s="26" t="str">
        <f t="shared" ref="U5252:U5295" si="206">HYPERLINK("https://ictv.global/ictv/proposals/2021.010B.R.Binomial_names.zip","2021.010B.R.Binomial_names.zip")</f>
        <v>2021.010B.R.Binomial_names.zip</v>
      </c>
    </row>
    <row r="5253" spans="1:21">
      <c r="A5253">
        <v>5252</v>
      </c>
      <c r="B5253" s="27" t="s">
        <v>1449</v>
      </c>
      <c r="D5253" s="27" t="s">
        <v>1450</v>
      </c>
      <c r="F5253" s="27" t="s">
        <v>1453</v>
      </c>
      <c r="H5253" s="27" t="s">
        <v>1454</v>
      </c>
      <c r="N5253" s="27" t="s">
        <v>1338</v>
      </c>
      <c r="P5253" s="27" t="s">
        <v>6785</v>
      </c>
      <c r="Q5253" s="26" t="str">
        <f>HYPERLINK("https://ictv.global/taxonomy/taxondetails?taxnode_id=202509806&amp;ictv_id=ICTV202009806","ICTV202009806")</f>
        <v>ICTV202009806</v>
      </c>
      <c r="R5253" t="s">
        <v>579</v>
      </c>
      <c r="S5253" t="s">
        <v>824</v>
      </c>
      <c r="T5253">
        <v>37</v>
      </c>
      <c r="U5253" s="26" t="str">
        <f t="shared" si="206"/>
        <v>2021.010B.R.Binomial_names.zip</v>
      </c>
    </row>
    <row r="5254" spans="1:21">
      <c r="A5254">
        <v>5253</v>
      </c>
      <c r="B5254" s="27" t="s">
        <v>1449</v>
      </c>
      <c r="D5254" s="27" t="s">
        <v>1450</v>
      </c>
      <c r="F5254" s="27" t="s">
        <v>1453</v>
      </c>
      <c r="H5254" s="27" t="s">
        <v>1454</v>
      </c>
      <c r="N5254" s="27" t="s">
        <v>1338</v>
      </c>
      <c r="P5254" s="27" t="s">
        <v>6786</v>
      </c>
      <c r="Q5254" s="26" t="str">
        <f>HYPERLINK("https://ictv.global/taxonomy/taxondetails?taxnode_id=202509797&amp;ictv_id=ICTV202009797","ICTV202009797")</f>
        <v>ICTV202009797</v>
      </c>
      <c r="R5254" t="s">
        <v>579</v>
      </c>
      <c r="S5254" t="s">
        <v>824</v>
      </c>
      <c r="T5254">
        <v>37</v>
      </c>
      <c r="U5254" s="26" t="str">
        <f t="shared" si="206"/>
        <v>2021.010B.R.Binomial_names.zip</v>
      </c>
    </row>
    <row r="5255" spans="1:21">
      <c r="A5255">
        <v>5254</v>
      </c>
      <c r="B5255" s="27" t="s">
        <v>1449</v>
      </c>
      <c r="D5255" s="27" t="s">
        <v>1450</v>
      </c>
      <c r="F5255" s="27" t="s">
        <v>1453</v>
      </c>
      <c r="H5255" s="27" t="s">
        <v>1454</v>
      </c>
      <c r="N5255" s="27" t="s">
        <v>1338</v>
      </c>
      <c r="P5255" s="27" t="s">
        <v>6787</v>
      </c>
      <c r="Q5255" s="26" t="str">
        <f>HYPERLINK("https://ictv.global/taxonomy/taxondetails?taxnode_id=202509814&amp;ictv_id=ICTV202009814","ICTV202009814")</f>
        <v>ICTV202009814</v>
      </c>
      <c r="R5255" t="s">
        <v>579</v>
      </c>
      <c r="S5255" t="s">
        <v>824</v>
      </c>
      <c r="T5255">
        <v>37</v>
      </c>
      <c r="U5255" s="26" t="str">
        <f t="shared" si="206"/>
        <v>2021.010B.R.Binomial_names.zip</v>
      </c>
    </row>
    <row r="5256" spans="1:21">
      <c r="A5256">
        <v>5255</v>
      </c>
      <c r="B5256" s="27" t="s">
        <v>1449</v>
      </c>
      <c r="D5256" s="27" t="s">
        <v>1450</v>
      </c>
      <c r="F5256" s="27" t="s">
        <v>1453</v>
      </c>
      <c r="H5256" s="27" t="s">
        <v>1454</v>
      </c>
      <c r="N5256" s="27" t="s">
        <v>1338</v>
      </c>
      <c r="P5256" s="27" t="s">
        <v>6788</v>
      </c>
      <c r="Q5256" s="26" t="str">
        <f>HYPERLINK("https://ictv.global/taxonomy/taxondetails?taxnode_id=202509807&amp;ictv_id=ICTV202009807","ICTV202009807")</f>
        <v>ICTV202009807</v>
      </c>
      <c r="R5256" t="s">
        <v>579</v>
      </c>
      <c r="S5256" t="s">
        <v>824</v>
      </c>
      <c r="T5256">
        <v>37</v>
      </c>
      <c r="U5256" s="26" t="str">
        <f t="shared" si="206"/>
        <v>2021.010B.R.Binomial_names.zip</v>
      </c>
    </row>
    <row r="5257" spans="1:21">
      <c r="A5257">
        <v>5256</v>
      </c>
      <c r="B5257" s="27" t="s">
        <v>1449</v>
      </c>
      <c r="D5257" s="27" t="s">
        <v>1450</v>
      </c>
      <c r="F5257" s="27" t="s">
        <v>1453</v>
      </c>
      <c r="H5257" s="27" t="s">
        <v>1454</v>
      </c>
      <c r="N5257" s="27" t="s">
        <v>1338</v>
      </c>
      <c r="P5257" s="27" t="s">
        <v>6789</v>
      </c>
      <c r="Q5257" s="26" t="str">
        <f>HYPERLINK("https://ictv.global/taxonomy/taxondetails?taxnode_id=202509818&amp;ictv_id=ICTV202009818","ICTV202009818")</f>
        <v>ICTV202009818</v>
      </c>
      <c r="R5257" t="s">
        <v>579</v>
      </c>
      <c r="S5257" t="s">
        <v>824</v>
      </c>
      <c r="T5257">
        <v>37</v>
      </c>
      <c r="U5257" s="26" t="str">
        <f t="shared" si="206"/>
        <v>2021.010B.R.Binomial_names.zip</v>
      </c>
    </row>
    <row r="5258" spans="1:21">
      <c r="A5258">
        <v>5257</v>
      </c>
      <c r="B5258" s="27" t="s">
        <v>1449</v>
      </c>
      <c r="D5258" s="27" t="s">
        <v>1450</v>
      </c>
      <c r="F5258" s="27" t="s">
        <v>1453</v>
      </c>
      <c r="H5258" s="27" t="s">
        <v>1454</v>
      </c>
      <c r="N5258" s="27" t="s">
        <v>1338</v>
      </c>
      <c r="P5258" s="27" t="s">
        <v>6790</v>
      </c>
      <c r="Q5258" s="26" t="str">
        <f>HYPERLINK("https://ictv.global/taxonomy/taxondetails?taxnode_id=202500869&amp;ictv_id=ICTV20073023","ICTV20073023")</f>
        <v>ICTV20073023</v>
      </c>
      <c r="R5258" t="s">
        <v>579</v>
      </c>
      <c r="S5258" t="s">
        <v>824</v>
      </c>
      <c r="T5258">
        <v>37</v>
      </c>
      <c r="U5258" s="26" t="str">
        <f t="shared" si="206"/>
        <v>2021.010B.R.Binomial_names.zip</v>
      </c>
    </row>
    <row r="5259" spans="1:21">
      <c r="A5259">
        <v>5258</v>
      </c>
      <c r="B5259" s="27" t="s">
        <v>1449</v>
      </c>
      <c r="D5259" s="27" t="s">
        <v>1450</v>
      </c>
      <c r="F5259" s="27" t="s">
        <v>1453</v>
      </c>
      <c r="H5259" s="27" t="s">
        <v>1454</v>
      </c>
      <c r="N5259" s="27" t="s">
        <v>1338</v>
      </c>
      <c r="P5259" s="27" t="s">
        <v>6791</v>
      </c>
      <c r="Q5259" s="26" t="str">
        <f>HYPERLINK("https://ictv.global/taxonomy/taxondetails?taxnode_id=202509794&amp;ictv_id=ICTV202009794","ICTV202009794")</f>
        <v>ICTV202009794</v>
      </c>
      <c r="R5259" t="s">
        <v>579</v>
      </c>
      <c r="S5259" t="s">
        <v>824</v>
      </c>
      <c r="T5259">
        <v>37</v>
      </c>
      <c r="U5259" s="26" t="str">
        <f t="shared" si="206"/>
        <v>2021.010B.R.Binomial_names.zip</v>
      </c>
    </row>
    <row r="5260" spans="1:21">
      <c r="A5260">
        <v>5259</v>
      </c>
      <c r="B5260" s="27" t="s">
        <v>1449</v>
      </c>
      <c r="D5260" s="27" t="s">
        <v>1450</v>
      </c>
      <c r="F5260" s="27" t="s">
        <v>1453</v>
      </c>
      <c r="H5260" s="27" t="s">
        <v>1454</v>
      </c>
      <c r="N5260" s="27" t="s">
        <v>1338</v>
      </c>
      <c r="P5260" s="27" t="s">
        <v>6792</v>
      </c>
      <c r="Q5260" s="26" t="str">
        <f>HYPERLINK("https://ictv.global/taxonomy/taxondetails?taxnode_id=202500870&amp;ictv_id=ICTV19952185","ICTV19952185")</f>
        <v>ICTV19952185</v>
      </c>
      <c r="R5260" t="s">
        <v>579</v>
      </c>
      <c r="S5260" t="s">
        <v>824</v>
      </c>
      <c r="T5260">
        <v>37</v>
      </c>
      <c r="U5260" s="26" t="str">
        <f t="shared" si="206"/>
        <v>2021.010B.R.Binomial_names.zip</v>
      </c>
    </row>
    <row r="5261" spans="1:21">
      <c r="A5261">
        <v>5260</v>
      </c>
      <c r="B5261" s="27" t="s">
        <v>1449</v>
      </c>
      <c r="D5261" s="27" t="s">
        <v>1450</v>
      </c>
      <c r="F5261" s="27" t="s">
        <v>1453</v>
      </c>
      <c r="H5261" s="27" t="s">
        <v>1454</v>
      </c>
      <c r="N5261" s="27" t="s">
        <v>1338</v>
      </c>
      <c r="P5261" s="27" t="s">
        <v>6793</v>
      </c>
      <c r="Q5261" s="26" t="str">
        <f>HYPERLINK("https://ictv.global/taxonomy/taxondetails?taxnode_id=202509820&amp;ictv_id=ICTV202009820","ICTV202009820")</f>
        <v>ICTV202009820</v>
      </c>
      <c r="R5261" t="s">
        <v>579</v>
      </c>
      <c r="S5261" t="s">
        <v>824</v>
      </c>
      <c r="T5261">
        <v>37</v>
      </c>
      <c r="U5261" s="26" t="str">
        <f t="shared" si="206"/>
        <v>2021.010B.R.Binomial_names.zip</v>
      </c>
    </row>
    <row r="5262" spans="1:21">
      <c r="A5262">
        <v>5261</v>
      </c>
      <c r="B5262" s="27" t="s">
        <v>1449</v>
      </c>
      <c r="D5262" s="27" t="s">
        <v>1450</v>
      </c>
      <c r="F5262" s="27" t="s">
        <v>1453</v>
      </c>
      <c r="H5262" s="27" t="s">
        <v>1454</v>
      </c>
      <c r="N5262" s="27" t="s">
        <v>1338</v>
      </c>
      <c r="P5262" s="27" t="s">
        <v>6794</v>
      </c>
      <c r="Q5262" s="26" t="str">
        <f>HYPERLINK("https://ictv.global/taxonomy/taxondetails?taxnode_id=202509823&amp;ictv_id=ICTV202009823","ICTV202009823")</f>
        <v>ICTV202009823</v>
      </c>
      <c r="R5262" t="s">
        <v>579</v>
      </c>
      <c r="S5262" t="s">
        <v>824</v>
      </c>
      <c r="T5262">
        <v>37</v>
      </c>
      <c r="U5262" s="26" t="str">
        <f t="shared" si="206"/>
        <v>2021.010B.R.Binomial_names.zip</v>
      </c>
    </row>
    <row r="5263" spans="1:21">
      <c r="A5263">
        <v>5262</v>
      </c>
      <c r="B5263" s="27" t="s">
        <v>1449</v>
      </c>
      <c r="D5263" s="27" t="s">
        <v>1450</v>
      </c>
      <c r="F5263" s="27" t="s">
        <v>1453</v>
      </c>
      <c r="H5263" s="27" t="s">
        <v>1454</v>
      </c>
      <c r="N5263" s="27" t="s">
        <v>1338</v>
      </c>
      <c r="P5263" s="27" t="s">
        <v>6795</v>
      </c>
      <c r="Q5263" s="26" t="str">
        <f>HYPERLINK("https://ictv.global/taxonomy/taxondetails?taxnode_id=202509795&amp;ictv_id=ICTV202009795","ICTV202009795")</f>
        <v>ICTV202009795</v>
      </c>
      <c r="R5263" t="s">
        <v>579</v>
      </c>
      <c r="S5263" t="s">
        <v>824</v>
      </c>
      <c r="T5263">
        <v>37</v>
      </c>
      <c r="U5263" s="26" t="str">
        <f t="shared" si="206"/>
        <v>2021.010B.R.Binomial_names.zip</v>
      </c>
    </row>
    <row r="5264" spans="1:21">
      <c r="A5264">
        <v>5263</v>
      </c>
      <c r="B5264" s="27" t="s">
        <v>1449</v>
      </c>
      <c r="D5264" s="27" t="s">
        <v>1450</v>
      </c>
      <c r="F5264" s="27" t="s">
        <v>1453</v>
      </c>
      <c r="H5264" s="27" t="s">
        <v>1454</v>
      </c>
      <c r="N5264" s="27" t="s">
        <v>1338</v>
      </c>
      <c r="P5264" s="27" t="s">
        <v>6796</v>
      </c>
      <c r="Q5264" s="26" t="str">
        <f>HYPERLINK("https://ictv.global/taxonomy/taxondetails?taxnode_id=202509819&amp;ictv_id=ICTV202009819","ICTV202009819")</f>
        <v>ICTV202009819</v>
      </c>
      <c r="R5264" t="s">
        <v>579</v>
      </c>
      <c r="S5264" t="s">
        <v>824</v>
      </c>
      <c r="T5264">
        <v>37</v>
      </c>
      <c r="U5264" s="26" t="str">
        <f t="shared" si="206"/>
        <v>2021.010B.R.Binomial_names.zip</v>
      </c>
    </row>
    <row r="5265" spans="1:21">
      <c r="A5265">
        <v>5264</v>
      </c>
      <c r="B5265" s="27" t="s">
        <v>1449</v>
      </c>
      <c r="D5265" s="27" t="s">
        <v>1450</v>
      </c>
      <c r="F5265" s="27" t="s">
        <v>1453</v>
      </c>
      <c r="H5265" s="27" t="s">
        <v>1454</v>
      </c>
      <c r="N5265" s="27" t="s">
        <v>1338</v>
      </c>
      <c r="P5265" s="27" t="s">
        <v>6797</v>
      </c>
      <c r="Q5265" s="26" t="str">
        <f>HYPERLINK("https://ictv.global/taxonomy/taxondetails?taxnode_id=202509825&amp;ictv_id=ICTV202009825","ICTV202009825")</f>
        <v>ICTV202009825</v>
      </c>
      <c r="R5265" t="s">
        <v>579</v>
      </c>
      <c r="S5265" t="s">
        <v>824</v>
      </c>
      <c r="T5265">
        <v>37</v>
      </c>
      <c r="U5265" s="26" t="str">
        <f t="shared" si="206"/>
        <v>2021.010B.R.Binomial_names.zip</v>
      </c>
    </row>
    <row r="5266" spans="1:21">
      <c r="A5266">
        <v>5265</v>
      </c>
      <c r="B5266" s="27" t="s">
        <v>1449</v>
      </c>
      <c r="D5266" s="27" t="s">
        <v>1450</v>
      </c>
      <c r="F5266" s="27" t="s">
        <v>1453</v>
      </c>
      <c r="H5266" s="27" t="s">
        <v>1454</v>
      </c>
      <c r="N5266" s="27" t="s">
        <v>1338</v>
      </c>
      <c r="P5266" s="27" t="s">
        <v>6798</v>
      </c>
      <c r="Q5266" s="26" t="str">
        <f>HYPERLINK("https://ictv.global/taxonomy/taxondetails?taxnode_id=202509800&amp;ictv_id=ICTV202009800","ICTV202009800")</f>
        <v>ICTV202009800</v>
      </c>
      <c r="R5266" t="s">
        <v>579</v>
      </c>
      <c r="S5266" t="s">
        <v>824</v>
      </c>
      <c r="T5266">
        <v>37</v>
      </c>
      <c r="U5266" s="26" t="str">
        <f t="shared" si="206"/>
        <v>2021.010B.R.Binomial_names.zip</v>
      </c>
    </row>
    <row r="5267" spans="1:21">
      <c r="A5267">
        <v>5266</v>
      </c>
      <c r="B5267" s="27" t="s">
        <v>1449</v>
      </c>
      <c r="D5267" s="27" t="s">
        <v>1450</v>
      </c>
      <c r="F5267" s="27" t="s">
        <v>1453</v>
      </c>
      <c r="H5267" s="27" t="s">
        <v>1454</v>
      </c>
      <c r="N5267" s="27" t="s">
        <v>1338</v>
      </c>
      <c r="P5267" s="27" t="s">
        <v>6799</v>
      </c>
      <c r="Q5267" s="26" t="str">
        <f>HYPERLINK("https://ictv.global/taxonomy/taxondetails?taxnode_id=202509824&amp;ictv_id=ICTV202009824","ICTV202009824")</f>
        <v>ICTV202009824</v>
      </c>
      <c r="R5267" t="s">
        <v>579</v>
      </c>
      <c r="S5267" t="s">
        <v>824</v>
      </c>
      <c r="T5267">
        <v>37</v>
      </c>
      <c r="U5267" s="26" t="str">
        <f t="shared" si="206"/>
        <v>2021.010B.R.Binomial_names.zip</v>
      </c>
    </row>
    <row r="5268" spans="1:21">
      <c r="A5268">
        <v>5267</v>
      </c>
      <c r="B5268" s="27" t="s">
        <v>1449</v>
      </c>
      <c r="D5268" s="27" t="s">
        <v>1450</v>
      </c>
      <c r="F5268" s="27" t="s">
        <v>1453</v>
      </c>
      <c r="H5268" s="27" t="s">
        <v>1454</v>
      </c>
      <c r="N5268" s="27" t="s">
        <v>1338</v>
      </c>
      <c r="P5268" s="27" t="s">
        <v>6800</v>
      </c>
      <c r="Q5268" s="26" t="str">
        <f>HYPERLINK("https://ictv.global/taxonomy/taxondetails?taxnode_id=202509802&amp;ictv_id=ICTV202009802","ICTV202009802")</f>
        <v>ICTV202009802</v>
      </c>
      <c r="R5268" t="s">
        <v>579</v>
      </c>
      <c r="S5268" t="s">
        <v>824</v>
      </c>
      <c r="T5268">
        <v>37</v>
      </c>
      <c r="U5268" s="26" t="str">
        <f t="shared" si="206"/>
        <v>2021.010B.R.Binomial_names.zip</v>
      </c>
    </row>
    <row r="5269" spans="1:21">
      <c r="A5269">
        <v>5268</v>
      </c>
      <c r="B5269" s="27" t="s">
        <v>1449</v>
      </c>
      <c r="D5269" s="27" t="s">
        <v>1450</v>
      </c>
      <c r="F5269" s="27" t="s">
        <v>1453</v>
      </c>
      <c r="H5269" s="27" t="s">
        <v>1454</v>
      </c>
      <c r="N5269" s="27" t="s">
        <v>1338</v>
      </c>
      <c r="P5269" s="27" t="s">
        <v>6801</v>
      </c>
      <c r="Q5269" s="26" t="str">
        <f>HYPERLINK("https://ictv.global/taxonomy/taxondetails?taxnode_id=202509803&amp;ictv_id=ICTV202009803","ICTV202009803")</f>
        <v>ICTV202009803</v>
      </c>
      <c r="R5269" t="s">
        <v>579</v>
      </c>
      <c r="S5269" t="s">
        <v>824</v>
      </c>
      <c r="T5269">
        <v>37</v>
      </c>
      <c r="U5269" s="26" t="str">
        <f t="shared" si="206"/>
        <v>2021.010B.R.Binomial_names.zip</v>
      </c>
    </row>
    <row r="5270" spans="1:21">
      <c r="A5270">
        <v>5269</v>
      </c>
      <c r="B5270" s="27" t="s">
        <v>1449</v>
      </c>
      <c r="D5270" s="27" t="s">
        <v>1450</v>
      </c>
      <c r="F5270" s="27" t="s">
        <v>1453</v>
      </c>
      <c r="H5270" s="27" t="s">
        <v>1454</v>
      </c>
      <c r="N5270" s="27" t="s">
        <v>1338</v>
      </c>
      <c r="P5270" s="27" t="s">
        <v>6802</v>
      </c>
      <c r="Q5270" s="26" t="str">
        <f>HYPERLINK("https://ictv.global/taxonomy/taxondetails?taxnode_id=202509821&amp;ictv_id=ICTV202009821","ICTV202009821")</f>
        <v>ICTV202009821</v>
      </c>
      <c r="R5270" t="s">
        <v>579</v>
      </c>
      <c r="S5270" t="s">
        <v>824</v>
      </c>
      <c r="T5270">
        <v>37</v>
      </c>
      <c r="U5270" s="26" t="str">
        <f t="shared" si="206"/>
        <v>2021.010B.R.Binomial_names.zip</v>
      </c>
    </row>
    <row r="5271" spans="1:21">
      <c r="A5271">
        <v>5270</v>
      </c>
      <c r="B5271" s="27" t="s">
        <v>1449</v>
      </c>
      <c r="D5271" s="27" t="s">
        <v>1450</v>
      </c>
      <c r="F5271" s="27" t="s">
        <v>1453</v>
      </c>
      <c r="H5271" s="27" t="s">
        <v>1454</v>
      </c>
      <c r="N5271" s="27" t="s">
        <v>1338</v>
      </c>
      <c r="P5271" s="27" t="s">
        <v>6803</v>
      </c>
      <c r="Q5271" s="26" t="str">
        <f>HYPERLINK("https://ictv.global/taxonomy/taxondetails?taxnode_id=202509813&amp;ictv_id=ICTV202009813","ICTV202009813")</f>
        <v>ICTV202009813</v>
      </c>
      <c r="R5271" t="s">
        <v>579</v>
      </c>
      <c r="S5271" t="s">
        <v>824</v>
      </c>
      <c r="T5271">
        <v>37</v>
      </c>
      <c r="U5271" s="26" t="str">
        <f t="shared" si="206"/>
        <v>2021.010B.R.Binomial_names.zip</v>
      </c>
    </row>
    <row r="5272" spans="1:21">
      <c r="A5272">
        <v>5271</v>
      </c>
      <c r="B5272" s="27" t="s">
        <v>1449</v>
      </c>
      <c r="D5272" s="27" t="s">
        <v>1450</v>
      </c>
      <c r="F5272" s="27" t="s">
        <v>1453</v>
      </c>
      <c r="H5272" s="27" t="s">
        <v>1454</v>
      </c>
      <c r="N5272" s="27" t="s">
        <v>1338</v>
      </c>
      <c r="P5272" s="27" t="s">
        <v>6804</v>
      </c>
      <c r="Q5272" s="26" t="str">
        <f>HYPERLINK("https://ictv.global/taxonomy/taxondetails?taxnode_id=202509816&amp;ictv_id=ICTV202009816","ICTV202009816")</f>
        <v>ICTV202009816</v>
      </c>
      <c r="R5272" t="s">
        <v>579</v>
      </c>
      <c r="S5272" t="s">
        <v>824</v>
      </c>
      <c r="T5272">
        <v>37</v>
      </c>
      <c r="U5272" s="26" t="str">
        <f t="shared" si="206"/>
        <v>2021.010B.R.Binomial_names.zip</v>
      </c>
    </row>
    <row r="5273" spans="1:21">
      <c r="A5273">
        <v>5272</v>
      </c>
      <c r="B5273" s="27" t="s">
        <v>1449</v>
      </c>
      <c r="D5273" s="27" t="s">
        <v>1450</v>
      </c>
      <c r="F5273" s="27" t="s">
        <v>1453</v>
      </c>
      <c r="H5273" s="27" t="s">
        <v>1454</v>
      </c>
      <c r="N5273" s="27" t="s">
        <v>1338</v>
      </c>
      <c r="P5273" s="27" t="s">
        <v>6805</v>
      </c>
      <c r="Q5273" s="26" t="str">
        <f>HYPERLINK("https://ictv.global/taxonomy/taxondetails?taxnode_id=202509815&amp;ictv_id=ICTV202009815","ICTV202009815")</f>
        <v>ICTV202009815</v>
      </c>
      <c r="R5273" t="s">
        <v>579</v>
      </c>
      <c r="S5273" t="s">
        <v>824</v>
      </c>
      <c r="T5273">
        <v>37</v>
      </c>
      <c r="U5273" s="26" t="str">
        <f t="shared" si="206"/>
        <v>2021.010B.R.Binomial_names.zip</v>
      </c>
    </row>
    <row r="5274" spans="1:21">
      <c r="A5274">
        <v>5273</v>
      </c>
      <c r="B5274" s="27" t="s">
        <v>1449</v>
      </c>
      <c r="D5274" s="27" t="s">
        <v>1450</v>
      </c>
      <c r="F5274" s="27" t="s">
        <v>1453</v>
      </c>
      <c r="H5274" s="27" t="s">
        <v>1454</v>
      </c>
      <c r="N5274" s="27" t="s">
        <v>1338</v>
      </c>
      <c r="P5274" s="27" t="s">
        <v>6806</v>
      </c>
      <c r="Q5274" s="26" t="str">
        <f>HYPERLINK("https://ictv.global/taxonomy/taxondetails?taxnode_id=202509817&amp;ictv_id=ICTV202009817","ICTV202009817")</f>
        <v>ICTV202009817</v>
      </c>
      <c r="R5274" t="s">
        <v>579</v>
      </c>
      <c r="S5274" t="s">
        <v>824</v>
      </c>
      <c r="T5274">
        <v>37</v>
      </c>
      <c r="U5274" s="26" t="str">
        <f t="shared" si="206"/>
        <v>2021.010B.R.Binomial_names.zip</v>
      </c>
    </row>
    <row r="5275" spans="1:21">
      <c r="A5275">
        <v>5274</v>
      </c>
      <c r="B5275" s="27" t="s">
        <v>1449</v>
      </c>
      <c r="D5275" s="27" t="s">
        <v>1450</v>
      </c>
      <c r="F5275" s="27" t="s">
        <v>1453</v>
      </c>
      <c r="H5275" s="27" t="s">
        <v>1454</v>
      </c>
      <c r="N5275" s="27" t="s">
        <v>1338</v>
      </c>
      <c r="P5275" s="27" t="s">
        <v>6807</v>
      </c>
      <c r="Q5275" s="26" t="str">
        <f>HYPERLINK("https://ictv.global/taxonomy/taxondetails?taxnode_id=202509822&amp;ictv_id=ICTV202009822","ICTV202009822")</f>
        <v>ICTV202009822</v>
      </c>
      <c r="R5275" t="s">
        <v>579</v>
      </c>
      <c r="S5275" t="s">
        <v>824</v>
      </c>
      <c r="T5275">
        <v>37</v>
      </c>
      <c r="U5275" s="26" t="str">
        <f t="shared" si="206"/>
        <v>2021.010B.R.Binomial_names.zip</v>
      </c>
    </row>
    <row r="5276" spans="1:21">
      <c r="A5276">
        <v>5275</v>
      </c>
      <c r="B5276" s="27" t="s">
        <v>1449</v>
      </c>
      <c r="D5276" s="27" t="s">
        <v>1450</v>
      </c>
      <c r="F5276" s="27" t="s">
        <v>1453</v>
      </c>
      <c r="H5276" s="27" t="s">
        <v>1454</v>
      </c>
      <c r="N5276" s="27" t="s">
        <v>1338</v>
      </c>
      <c r="P5276" s="27" t="s">
        <v>6808</v>
      </c>
      <c r="Q5276" s="26" t="str">
        <f>HYPERLINK("https://ictv.global/taxonomy/taxondetails?taxnode_id=202509805&amp;ictv_id=ICTV202009805","ICTV202009805")</f>
        <v>ICTV202009805</v>
      </c>
      <c r="R5276" t="s">
        <v>579</v>
      </c>
      <c r="S5276" t="s">
        <v>824</v>
      </c>
      <c r="T5276">
        <v>37</v>
      </c>
      <c r="U5276" s="26" t="str">
        <f t="shared" si="206"/>
        <v>2021.010B.R.Binomial_names.zip</v>
      </c>
    </row>
    <row r="5277" spans="1:21">
      <c r="A5277">
        <v>5276</v>
      </c>
      <c r="B5277" s="27" t="s">
        <v>1449</v>
      </c>
      <c r="D5277" s="27" t="s">
        <v>1450</v>
      </c>
      <c r="F5277" s="27" t="s">
        <v>1453</v>
      </c>
      <c r="H5277" s="27" t="s">
        <v>1454</v>
      </c>
      <c r="N5277" s="27" t="s">
        <v>1338</v>
      </c>
      <c r="P5277" s="27" t="s">
        <v>6809</v>
      </c>
      <c r="Q5277" s="26" t="str">
        <f>HYPERLINK("https://ictv.global/taxonomy/taxondetails?taxnode_id=202509798&amp;ictv_id=ICTV202009798","ICTV202009798")</f>
        <v>ICTV202009798</v>
      </c>
      <c r="R5277" t="s">
        <v>579</v>
      </c>
      <c r="S5277" t="s">
        <v>824</v>
      </c>
      <c r="T5277">
        <v>37</v>
      </c>
      <c r="U5277" s="26" t="str">
        <f t="shared" si="206"/>
        <v>2021.010B.R.Binomial_names.zip</v>
      </c>
    </row>
    <row r="5278" spans="1:21">
      <c r="A5278">
        <v>5277</v>
      </c>
      <c r="B5278" s="27" t="s">
        <v>1449</v>
      </c>
      <c r="D5278" s="27" t="s">
        <v>1450</v>
      </c>
      <c r="F5278" s="27" t="s">
        <v>1453</v>
      </c>
      <c r="H5278" s="27" t="s">
        <v>1454</v>
      </c>
      <c r="N5278" s="27" t="s">
        <v>1338</v>
      </c>
      <c r="P5278" s="27" t="s">
        <v>6810</v>
      </c>
      <c r="Q5278" s="26" t="str">
        <f>HYPERLINK("https://ictv.global/taxonomy/taxondetails?taxnode_id=202509799&amp;ictv_id=ICTV202009799","ICTV202009799")</f>
        <v>ICTV202009799</v>
      </c>
      <c r="R5278" t="s">
        <v>579</v>
      </c>
      <c r="S5278" t="s">
        <v>824</v>
      </c>
      <c r="T5278">
        <v>37</v>
      </c>
      <c r="U5278" s="26" t="str">
        <f t="shared" si="206"/>
        <v>2021.010B.R.Binomial_names.zip</v>
      </c>
    </row>
    <row r="5279" spans="1:21">
      <c r="A5279">
        <v>5278</v>
      </c>
      <c r="B5279" s="27" t="s">
        <v>1449</v>
      </c>
      <c r="D5279" s="27" t="s">
        <v>1450</v>
      </c>
      <c r="F5279" s="27" t="s">
        <v>1453</v>
      </c>
      <c r="H5279" s="27" t="s">
        <v>1454</v>
      </c>
      <c r="N5279" s="27" t="s">
        <v>1338</v>
      </c>
      <c r="P5279" s="27" t="s">
        <v>6811</v>
      </c>
      <c r="Q5279" s="26" t="str">
        <f>HYPERLINK("https://ictv.global/taxonomy/taxondetails?taxnode_id=202509809&amp;ictv_id=ICTV202009809","ICTV202009809")</f>
        <v>ICTV202009809</v>
      </c>
      <c r="R5279" t="s">
        <v>579</v>
      </c>
      <c r="S5279" t="s">
        <v>824</v>
      </c>
      <c r="T5279">
        <v>37</v>
      </c>
      <c r="U5279" s="26" t="str">
        <f t="shared" si="206"/>
        <v>2021.010B.R.Binomial_names.zip</v>
      </c>
    </row>
    <row r="5280" spans="1:21">
      <c r="A5280">
        <v>5279</v>
      </c>
      <c r="B5280" s="27" t="s">
        <v>1449</v>
      </c>
      <c r="D5280" s="27" t="s">
        <v>1450</v>
      </c>
      <c r="F5280" s="27" t="s">
        <v>1453</v>
      </c>
      <c r="H5280" s="27" t="s">
        <v>1454</v>
      </c>
      <c r="N5280" s="27" t="s">
        <v>1338</v>
      </c>
      <c r="P5280" s="27" t="s">
        <v>6812</v>
      </c>
      <c r="Q5280" s="26" t="str">
        <f>HYPERLINK("https://ictv.global/taxonomy/taxondetails?taxnode_id=202509796&amp;ictv_id=ICTV202009796","ICTV202009796")</f>
        <v>ICTV202009796</v>
      </c>
      <c r="R5280" t="s">
        <v>579</v>
      </c>
      <c r="S5280" t="s">
        <v>824</v>
      </c>
      <c r="T5280">
        <v>37</v>
      </c>
      <c r="U5280" s="26" t="str">
        <f t="shared" si="206"/>
        <v>2021.010B.R.Binomial_names.zip</v>
      </c>
    </row>
    <row r="5281" spans="1:21">
      <c r="A5281">
        <v>5280</v>
      </c>
      <c r="B5281" s="27" t="s">
        <v>1449</v>
      </c>
      <c r="D5281" s="27" t="s">
        <v>1450</v>
      </c>
      <c r="F5281" s="27" t="s">
        <v>1453</v>
      </c>
      <c r="H5281" s="27" t="s">
        <v>1454</v>
      </c>
      <c r="N5281" s="27" t="s">
        <v>1338</v>
      </c>
      <c r="P5281" s="27" t="s">
        <v>6813</v>
      </c>
      <c r="Q5281" s="26" t="str">
        <f>HYPERLINK("https://ictv.global/taxonomy/taxondetails?taxnode_id=202509811&amp;ictv_id=ICTV202009811","ICTV202009811")</f>
        <v>ICTV202009811</v>
      </c>
      <c r="R5281" t="s">
        <v>579</v>
      </c>
      <c r="S5281" t="s">
        <v>824</v>
      </c>
      <c r="T5281">
        <v>37</v>
      </c>
      <c r="U5281" s="26" t="str">
        <f t="shared" si="206"/>
        <v>2021.010B.R.Binomial_names.zip</v>
      </c>
    </row>
    <row r="5282" spans="1:21">
      <c r="A5282">
        <v>5281</v>
      </c>
      <c r="B5282" s="27" t="s">
        <v>1449</v>
      </c>
      <c r="D5282" s="27" t="s">
        <v>1450</v>
      </c>
      <c r="F5282" s="27" t="s">
        <v>1453</v>
      </c>
      <c r="H5282" s="27" t="s">
        <v>1454</v>
      </c>
      <c r="N5282" s="27" t="s">
        <v>1338</v>
      </c>
      <c r="P5282" s="27" t="s">
        <v>6814</v>
      </c>
      <c r="Q5282" s="26" t="str">
        <f>HYPERLINK("https://ictv.global/taxonomy/taxondetails?taxnode_id=202509808&amp;ictv_id=ICTV202009808","ICTV202009808")</f>
        <v>ICTV202009808</v>
      </c>
      <c r="R5282" t="s">
        <v>579</v>
      </c>
      <c r="S5282" t="s">
        <v>824</v>
      </c>
      <c r="T5282">
        <v>37</v>
      </c>
      <c r="U5282" s="26" t="str">
        <f t="shared" si="206"/>
        <v>2021.010B.R.Binomial_names.zip</v>
      </c>
    </row>
    <row r="5283" spans="1:21">
      <c r="A5283">
        <v>5282</v>
      </c>
      <c r="B5283" s="27" t="s">
        <v>1449</v>
      </c>
      <c r="D5283" s="27" t="s">
        <v>1450</v>
      </c>
      <c r="F5283" s="27" t="s">
        <v>1453</v>
      </c>
      <c r="H5283" s="27" t="s">
        <v>1454</v>
      </c>
      <c r="N5283" s="27" t="s">
        <v>1338</v>
      </c>
      <c r="P5283" s="27" t="s">
        <v>6815</v>
      </c>
      <c r="Q5283" s="26" t="str">
        <f>HYPERLINK("https://ictv.global/taxonomy/taxondetails?taxnode_id=202509812&amp;ictv_id=ICTV202009812","ICTV202009812")</f>
        <v>ICTV202009812</v>
      </c>
      <c r="R5283" t="s">
        <v>579</v>
      </c>
      <c r="S5283" t="s">
        <v>824</v>
      </c>
      <c r="T5283">
        <v>37</v>
      </c>
      <c r="U5283" s="26" t="str">
        <f t="shared" si="206"/>
        <v>2021.010B.R.Binomial_names.zip</v>
      </c>
    </row>
    <row r="5284" spans="1:21">
      <c r="A5284">
        <v>5283</v>
      </c>
      <c r="B5284" s="27" t="s">
        <v>1449</v>
      </c>
      <c r="D5284" s="27" t="s">
        <v>1450</v>
      </c>
      <c r="F5284" s="27" t="s">
        <v>1453</v>
      </c>
      <c r="H5284" s="27" t="s">
        <v>1454</v>
      </c>
      <c r="N5284" s="27" t="s">
        <v>1338</v>
      </c>
      <c r="P5284" s="27" t="s">
        <v>6816</v>
      </c>
      <c r="Q5284" s="26" t="str">
        <f>HYPERLINK("https://ictv.global/taxonomy/taxondetails?taxnode_id=202509810&amp;ictv_id=ICTV202009810","ICTV202009810")</f>
        <v>ICTV202009810</v>
      </c>
      <c r="R5284" t="s">
        <v>579</v>
      </c>
      <c r="S5284" t="s">
        <v>824</v>
      </c>
      <c r="T5284">
        <v>37</v>
      </c>
      <c r="U5284" s="26" t="str">
        <f t="shared" si="206"/>
        <v>2021.010B.R.Binomial_names.zip</v>
      </c>
    </row>
    <row r="5285" spans="1:21">
      <c r="A5285">
        <v>5284</v>
      </c>
      <c r="B5285" s="27" t="s">
        <v>1449</v>
      </c>
      <c r="D5285" s="27" t="s">
        <v>1450</v>
      </c>
      <c r="F5285" s="27" t="s">
        <v>1453</v>
      </c>
      <c r="H5285" s="27" t="s">
        <v>1454</v>
      </c>
      <c r="N5285" s="27" t="s">
        <v>1338</v>
      </c>
      <c r="P5285" s="27" t="s">
        <v>6817</v>
      </c>
      <c r="Q5285" s="26" t="str">
        <f>HYPERLINK("https://ictv.global/taxonomy/taxondetails?taxnode_id=202509804&amp;ictv_id=ICTV202009804","ICTV202009804")</f>
        <v>ICTV202009804</v>
      </c>
      <c r="R5285" t="s">
        <v>579</v>
      </c>
      <c r="S5285" t="s">
        <v>824</v>
      </c>
      <c r="T5285">
        <v>37</v>
      </c>
      <c r="U5285" s="26" t="str">
        <f t="shared" si="206"/>
        <v>2021.010B.R.Binomial_names.zip</v>
      </c>
    </row>
    <row r="5286" spans="1:21">
      <c r="A5286">
        <v>5285</v>
      </c>
      <c r="B5286" s="27" t="s">
        <v>1449</v>
      </c>
      <c r="D5286" s="27" t="s">
        <v>1450</v>
      </c>
      <c r="F5286" s="27" t="s">
        <v>1453</v>
      </c>
      <c r="H5286" s="27" t="s">
        <v>1454</v>
      </c>
      <c r="N5286" s="27" t="s">
        <v>1340</v>
      </c>
      <c r="P5286" s="27" t="s">
        <v>6818</v>
      </c>
      <c r="Q5286" s="26" t="str">
        <f>HYPERLINK("https://ictv.global/taxonomy/taxondetails?taxnode_id=202500872&amp;ictv_id=ICTV20140423","ICTV20140423")</f>
        <v>ICTV20140423</v>
      </c>
      <c r="R5286" t="s">
        <v>579</v>
      </c>
      <c r="S5286" t="s">
        <v>824</v>
      </c>
      <c r="T5286">
        <v>37</v>
      </c>
      <c r="U5286" s="26" t="str">
        <f t="shared" si="206"/>
        <v>2021.010B.R.Binomial_names.zip</v>
      </c>
    </row>
    <row r="5287" spans="1:21">
      <c r="A5287">
        <v>5286</v>
      </c>
      <c r="B5287" s="27" t="s">
        <v>1449</v>
      </c>
      <c r="D5287" s="27" t="s">
        <v>1450</v>
      </c>
      <c r="F5287" s="27" t="s">
        <v>1453</v>
      </c>
      <c r="H5287" s="27" t="s">
        <v>1454</v>
      </c>
      <c r="N5287" s="27" t="s">
        <v>1340</v>
      </c>
      <c r="P5287" s="27" t="s">
        <v>6819</v>
      </c>
      <c r="Q5287" s="26" t="str">
        <f>HYPERLINK("https://ictv.global/taxonomy/taxondetails?taxnode_id=202500873&amp;ictv_id=ICTV20164980","ICTV20164980")</f>
        <v>ICTV20164980</v>
      </c>
      <c r="R5287" t="s">
        <v>579</v>
      </c>
      <c r="S5287" t="s">
        <v>824</v>
      </c>
      <c r="T5287">
        <v>37</v>
      </c>
      <c r="U5287" s="26" t="str">
        <f t="shared" si="206"/>
        <v>2021.010B.R.Binomial_names.zip</v>
      </c>
    </row>
    <row r="5288" spans="1:21">
      <c r="A5288">
        <v>5287</v>
      </c>
      <c r="B5288" s="27" t="s">
        <v>1449</v>
      </c>
      <c r="D5288" s="27" t="s">
        <v>1450</v>
      </c>
      <c r="F5288" s="27" t="s">
        <v>1453</v>
      </c>
      <c r="H5288" s="27" t="s">
        <v>1454</v>
      </c>
      <c r="N5288" s="27" t="s">
        <v>1340</v>
      </c>
      <c r="P5288" s="27" t="s">
        <v>6820</v>
      </c>
      <c r="Q5288" s="26" t="str">
        <f>HYPERLINK("https://ictv.global/taxonomy/taxondetails?taxnode_id=202500874&amp;ictv_id=ICTV20164978","ICTV20164978")</f>
        <v>ICTV20164978</v>
      </c>
      <c r="R5288" t="s">
        <v>579</v>
      </c>
      <c r="S5288" t="s">
        <v>824</v>
      </c>
      <c r="T5288">
        <v>37</v>
      </c>
      <c r="U5288" s="26" t="str">
        <f t="shared" si="206"/>
        <v>2021.010B.R.Binomial_names.zip</v>
      </c>
    </row>
    <row r="5289" spans="1:21">
      <c r="A5289">
        <v>5288</v>
      </c>
      <c r="B5289" s="27" t="s">
        <v>1449</v>
      </c>
      <c r="D5289" s="27" t="s">
        <v>1450</v>
      </c>
      <c r="F5289" s="27" t="s">
        <v>1453</v>
      </c>
      <c r="H5289" s="27" t="s">
        <v>1454</v>
      </c>
      <c r="N5289" s="27" t="s">
        <v>1340</v>
      </c>
      <c r="P5289" s="27" t="s">
        <v>6821</v>
      </c>
      <c r="Q5289" s="26" t="str">
        <f>HYPERLINK("https://ictv.global/taxonomy/taxondetails?taxnode_id=202500875&amp;ictv_id=ICTV20164979","ICTV20164979")</f>
        <v>ICTV20164979</v>
      </c>
      <c r="R5289" t="s">
        <v>579</v>
      </c>
      <c r="S5289" t="s">
        <v>824</v>
      </c>
      <c r="T5289">
        <v>37</v>
      </c>
      <c r="U5289" s="26" t="str">
        <f t="shared" si="206"/>
        <v>2021.010B.R.Binomial_names.zip</v>
      </c>
    </row>
    <row r="5290" spans="1:21">
      <c r="A5290">
        <v>5289</v>
      </c>
      <c r="B5290" s="27" t="s">
        <v>1449</v>
      </c>
      <c r="D5290" s="27" t="s">
        <v>1450</v>
      </c>
      <c r="F5290" s="27" t="s">
        <v>1453</v>
      </c>
      <c r="H5290" s="27" t="s">
        <v>1454</v>
      </c>
      <c r="N5290" s="27" t="s">
        <v>1340</v>
      </c>
      <c r="P5290" s="27" t="s">
        <v>6822</v>
      </c>
      <c r="Q5290" s="26" t="str">
        <f>HYPERLINK("https://ictv.global/taxonomy/taxondetails?taxnode_id=202500877&amp;ictv_id=ICTV20164981","ICTV20164981")</f>
        <v>ICTV20164981</v>
      </c>
      <c r="R5290" t="s">
        <v>579</v>
      </c>
      <c r="S5290" t="s">
        <v>824</v>
      </c>
      <c r="T5290">
        <v>37</v>
      </c>
      <c r="U5290" s="26" t="str">
        <f t="shared" si="206"/>
        <v>2021.010B.R.Binomial_names.zip</v>
      </c>
    </row>
    <row r="5291" spans="1:21">
      <c r="A5291">
        <v>5290</v>
      </c>
      <c r="B5291" s="27" t="s">
        <v>1449</v>
      </c>
      <c r="D5291" s="27" t="s">
        <v>1450</v>
      </c>
      <c r="F5291" s="27" t="s">
        <v>1453</v>
      </c>
      <c r="H5291" s="27" t="s">
        <v>1454</v>
      </c>
      <c r="N5291" s="27" t="s">
        <v>1340</v>
      </c>
      <c r="P5291" s="27" t="s">
        <v>6823</v>
      </c>
      <c r="Q5291" s="26" t="str">
        <f>HYPERLINK("https://ictv.global/taxonomy/taxondetails?taxnode_id=202500876&amp;ictv_id=ICTV20140424","ICTV20140424")</f>
        <v>ICTV20140424</v>
      </c>
      <c r="R5291" t="s">
        <v>579</v>
      </c>
      <c r="S5291" t="s">
        <v>824</v>
      </c>
      <c r="T5291">
        <v>37</v>
      </c>
      <c r="U5291" s="26" t="str">
        <f t="shared" si="206"/>
        <v>2021.010B.R.Binomial_names.zip</v>
      </c>
    </row>
    <row r="5292" spans="1:21">
      <c r="A5292">
        <v>5291</v>
      </c>
      <c r="B5292" s="27" t="s">
        <v>1449</v>
      </c>
      <c r="D5292" s="27" t="s">
        <v>1450</v>
      </c>
      <c r="F5292" s="27" t="s">
        <v>1453</v>
      </c>
      <c r="H5292" s="27" t="s">
        <v>1454</v>
      </c>
      <c r="N5292" s="27" t="s">
        <v>1228</v>
      </c>
      <c r="P5292" s="27" t="s">
        <v>6826</v>
      </c>
      <c r="Q5292" s="26" t="str">
        <f>HYPERLINK("https://ictv.global/taxonomy/taxondetails?taxnode_id=202506814&amp;ictv_id=ICTV201856814","ICTV201856814")</f>
        <v>ICTV201856814</v>
      </c>
      <c r="R5292" t="s">
        <v>579</v>
      </c>
      <c r="S5292" t="s">
        <v>824</v>
      </c>
      <c r="T5292">
        <v>37</v>
      </c>
      <c r="U5292" s="26" t="str">
        <f t="shared" si="206"/>
        <v>2021.010B.R.Binomial_names.zip</v>
      </c>
    </row>
    <row r="5293" spans="1:21">
      <c r="A5293">
        <v>5292</v>
      </c>
      <c r="B5293" s="27" t="s">
        <v>1449</v>
      </c>
      <c r="D5293" s="27" t="s">
        <v>1450</v>
      </c>
      <c r="F5293" s="27" t="s">
        <v>1453</v>
      </c>
      <c r="H5293" s="27" t="s">
        <v>1454</v>
      </c>
      <c r="N5293" s="27" t="s">
        <v>1342</v>
      </c>
      <c r="P5293" s="27" t="s">
        <v>6829</v>
      </c>
      <c r="Q5293" s="26" t="str">
        <f>HYPERLINK("https://ictv.global/taxonomy/taxondetails?taxnode_id=202500922&amp;ictv_id=ICTV20140306","ICTV20140306")</f>
        <v>ICTV20140306</v>
      </c>
      <c r="R5293" t="s">
        <v>579</v>
      </c>
      <c r="S5293" t="s">
        <v>824</v>
      </c>
      <c r="T5293">
        <v>37</v>
      </c>
      <c r="U5293" s="26" t="str">
        <f t="shared" si="206"/>
        <v>2021.010B.R.Binomial_names.zip</v>
      </c>
    </row>
    <row r="5294" spans="1:21">
      <c r="A5294">
        <v>5293</v>
      </c>
      <c r="B5294" s="27" t="s">
        <v>1449</v>
      </c>
      <c r="D5294" s="27" t="s">
        <v>1450</v>
      </c>
      <c r="F5294" s="27" t="s">
        <v>1453</v>
      </c>
      <c r="H5294" s="27" t="s">
        <v>1454</v>
      </c>
      <c r="N5294" s="27" t="s">
        <v>1342</v>
      </c>
      <c r="P5294" s="27" t="s">
        <v>6830</v>
      </c>
      <c r="Q5294" s="26" t="str">
        <f>HYPERLINK("https://ictv.global/taxonomy/taxondetails?taxnode_id=202505506&amp;ictv_id=ICTV20175506","ICTV20175506")</f>
        <v>ICTV20175506</v>
      </c>
      <c r="R5294" t="s">
        <v>579</v>
      </c>
      <c r="S5294" t="s">
        <v>824</v>
      </c>
      <c r="T5294">
        <v>37</v>
      </c>
      <c r="U5294" s="26" t="str">
        <f t="shared" si="206"/>
        <v>2021.010B.R.Binomial_names.zip</v>
      </c>
    </row>
    <row r="5295" spans="1:21">
      <c r="A5295">
        <v>5294</v>
      </c>
      <c r="B5295" s="27" t="s">
        <v>1449</v>
      </c>
      <c r="D5295" s="27" t="s">
        <v>1450</v>
      </c>
      <c r="F5295" s="27" t="s">
        <v>1453</v>
      </c>
      <c r="H5295" s="27" t="s">
        <v>1454</v>
      </c>
      <c r="N5295" s="27" t="s">
        <v>2253</v>
      </c>
      <c r="P5295" s="27" t="s">
        <v>6831</v>
      </c>
      <c r="Q5295" s="26" t="str">
        <f>HYPERLINK("https://ictv.global/taxonomy/taxondetails?taxnode_id=202509864&amp;ictv_id=ICTV202009864","ICTV202009864")</f>
        <v>ICTV202009864</v>
      </c>
      <c r="R5295" t="s">
        <v>579</v>
      </c>
      <c r="S5295" t="s">
        <v>824</v>
      </c>
      <c r="T5295">
        <v>37</v>
      </c>
      <c r="U5295" s="26" t="str">
        <f t="shared" si="206"/>
        <v>2021.010B.R.Binomial_names.zip</v>
      </c>
    </row>
    <row r="5296" spans="1:21">
      <c r="A5296">
        <v>5295</v>
      </c>
      <c r="B5296" s="27" t="s">
        <v>1449</v>
      </c>
      <c r="D5296" s="27" t="s">
        <v>1450</v>
      </c>
      <c r="F5296" s="27" t="s">
        <v>1453</v>
      </c>
      <c r="H5296" s="27" t="s">
        <v>1454</v>
      </c>
      <c r="N5296" s="27" t="s">
        <v>12062</v>
      </c>
      <c r="P5296" s="27" t="s">
        <v>12063</v>
      </c>
      <c r="Q5296" s="26" t="str">
        <f>HYPERLINK("https://ictv.global/taxonomy/taxondetails?taxnode_id=202517752&amp;ictv_id=ICTV202317752","ICTV202317752")</f>
        <v>ICTV202317752</v>
      </c>
      <c r="R5296" t="s">
        <v>579</v>
      </c>
      <c r="S5296" t="s">
        <v>823</v>
      </c>
      <c r="T5296">
        <v>39</v>
      </c>
      <c r="U5296" s="26" t="str">
        <f>HYPERLINK("https://ictv.global/ictv/proposals/2023.003B.Actinobacteriophage_singletons_25ng.zip","2023.003B.Actinobacteriophage_singletons_25ng.zip")</f>
        <v>2023.003B.Actinobacteriophage_singletons_25ng.zip</v>
      </c>
    </row>
    <row r="5297" spans="1:21">
      <c r="A5297">
        <v>5296</v>
      </c>
      <c r="B5297" s="27" t="s">
        <v>1449</v>
      </c>
      <c r="D5297" s="27" t="s">
        <v>1450</v>
      </c>
      <c r="F5297" s="27" t="s">
        <v>1453</v>
      </c>
      <c r="H5297" s="27" t="s">
        <v>1454</v>
      </c>
      <c r="N5297" s="27" t="s">
        <v>6834</v>
      </c>
      <c r="P5297" s="27" t="s">
        <v>6835</v>
      </c>
      <c r="Q5297" s="26" t="str">
        <f>HYPERLINK("https://ictv.global/taxonomy/taxondetails?taxnode_id=202514558&amp;ictv_id=ICTV202214558","ICTV202214558")</f>
        <v>ICTV202214558</v>
      </c>
      <c r="R5297" t="s">
        <v>579</v>
      </c>
      <c r="S5297" t="s">
        <v>823</v>
      </c>
      <c r="T5297">
        <v>38</v>
      </c>
      <c r="U5297" s="26" t="str">
        <f>HYPERLINK("https://ictv.global/ictv/proposals/2022.023B.Chidieberevirus_ng.zip","2022.023B.Chidieberevirus_ng.zip")</f>
        <v>2022.023B.Chidieberevirus_ng.zip</v>
      </c>
    </row>
    <row r="5298" spans="1:21">
      <c r="A5298">
        <v>5297</v>
      </c>
      <c r="B5298" s="27" t="s">
        <v>1449</v>
      </c>
      <c r="D5298" s="27" t="s">
        <v>1450</v>
      </c>
      <c r="F5298" s="27" t="s">
        <v>1453</v>
      </c>
      <c r="H5298" s="27" t="s">
        <v>1454</v>
      </c>
      <c r="N5298" s="27" t="s">
        <v>6834</v>
      </c>
      <c r="P5298" s="27" t="s">
        <v>6836</v>
      </c>
      <c r="Q5298" s="26" t="str">
        <f>HYPERLINK("https://ictv.global/taxonomy/taxondetails?taxnode_id=202514559&amp;ictv_id=ICTV202214559","ICTV202214559")</f>
        <v>ICTV202214559</v>
      </c>
      <c r="R5298" t="s">
        <v>579</v>
      </c>
      <c r="S5298" t="s">
        <v>823</v>
      </c>
      <c r="T5298">
        <v>38</v>
      </c>
      <c r="U5298" s="26" t="str">
        <f>HYPERLINK("https://ictv.global/ictv/proposals/2022.023B.Chidieberevirus_ng.zip","2022.023B.Chidieberevirus_ng.zip")</f>
        <v>2022.023B.Chidieberevirus_ng.zip</v>
      </c>
    </row>
    <row r="5299" spans="1:21">
      <c r="A5299">
        <v>5298</v>
      </c>
      <c r="B5299" s="27" t="s">
        <v>1449</v>
      </c>
      <c r="D5299" s="27" t="s">
        <v>1450</v>
      </c>
      <c r="F5299" s="27" t="s">
        <v>1453</v>
      </c>
      <c r="H5299" s="27" t="s">
        <v>1454</v>
      </c>
      <c r="N5299" s="27" t="s">
        <v>2139</v>
      </c>
      <c r="P5299" s="27" t="s">
        <v>6837</v>
      </c>
      <c r="Q5299" s="26" t="str">
        <f>HYPERLINK("https://ictv.global/taxonomy/taxondetails?taxnode_id=202500703&amp;ictv_id=ICTV20094384","ICTV20094384")</f>
        <v>ICTV20094384</v>
      </c>
      <c r="R5299" t="s">
        <v>579</v>
      </c>
      <c r="S5299" t="s">
        <v>824</v>
      </c>
      <c r="T5299">
        <v>37</v>
      </c>
      <c r="U5299" s="26" t="str">
        <f>HYPERLINK("https://ictv.global/ictv/proposals/2021.010B.R.Binomial_names.zip","2021.010B.R.Binomial_names.zip")</f>
        <v>2021.010B.R.Binomial_names.zip</v>
      </c>
    </row>
    <row r="5300" spans="1:21">
      <c r="A5300">
        <v>5299</v>
      </c>
      <c r="B5300" s="27" t="s">
        <v>1449</v>
      </c>
      <c r="D5300" s="27" t="s">
        <v>1450</v>
      </c>
      <c r="F5300" s="27" t="s">
        <v>1453</v>
      </c>
      <c r="H5300" s="27" t="s">
        <v>1454</v>
      </c>
      <c r="N5300" s="27" t="s">
        <v>12064</v>
      </c>
      <c r="P5300" s="27" t="s">
        <v>12065</v>
      </c>
      <c r="Q5300" s="26" t="str">
        <f>HYPERLINK("https://ictv.global/taxonomy/taxondetails?taxnode_id=202517753&amp;ictv_id=ICTV202317753","ICTV202317753")</f>
        <v>ICTV202317753</v>
      </c>
      <c r="R5300" t="s">
        <v>579</v>
      </c>
      <c r="S5300" t="s">
        <v>823</v>
      </c>
      <c r="T5300">
        <v>39</v>
      </c>
      <c r="U5300" s="26" t="str">
        <f>HYPERLINK("https://ictv.global/ictv/proposals/2023.003B.Actinobacteriophage_singletons_25ng.zip","2023.003B.Actinobacteriophage_singletons_25ng.zip")</f>
        <v>2023.003B.Actinobacteriophage_singletons_25ng.zip</v>
      </c>
    </row>
    <row r="5301" spans="1:21">
      <c r="A5301">
        <v>5300</v>
      </c>
      <c r="B5301" s="27" t="s">
        <v>1449</v>
      </c>
      <c r="D5301" s="27" t="s">
        <v>1450</v>
      </c>
      <c r="F5301" s="27" t="s">
        <v>1453</v>
      </c>
      <c r="H5301" s="27" t="s">
        <v>1454</v>
      </c>
      <c r="N5301" s="27" t="s">
        <v>2140</v>
      </c>
      <c r="P5301" s="27" t="s">
        <v>6838</v>
      </c>
      <c r="Q5301" s="26" t="str">
        <f>HYPERLINK("https://ictv.global/taxonomy/taxondetails?taxnode_id=202511652&amp;ictv_id=ICTV202011652","ICTV202011652")</f>
        <v>ICTV202011652</v>
      </c>
      <c r="R5301" t="s">
        <v>579</v>
      </c>
      <c r="S5301" t="s">
        <v>824</v>
      </c>
      <c r="T5301">
        <v>37</v>
      </c>
      <c r="U5301" s="26" t="str">
        <f t="shared" ref="U5301:U5307" si="207">HYPERLINK("https://ictv.global/ictv/proposals/2021.010B.R.Binomial_names.zip","2021.010B.R.Binomial_names.zip")</f>
        <v>2021.010B.R.Binomial_names.zip</v>
      </c>
    </row>
    <row r="5302" spans="1:21">
      <c r="A5302">
        <v>5301</v>
      </c>
      <c r="B5302" s="27" t="s">
        <v>1449</v>
      </c>
      <c r="D5302" s="27" t="s">
        <v>1450</v>
      </c>
      <c r="F5302" s="27" t="s">
        <v>1453</v>
      </c>
      <c r="H5302" s="27" t="s">
        <v>1454</v>
      </c>
      <c r="N5302" s="27" t="s">
        <v>2140</v>
      </c>
      <c r="P5302" s="27" t="s">
        <v>6839</v>
      </c>
      <c r="Q5302" s="26" t="str">
        <f>HYPERLINK("https://ictv.global/taxonomy/taxondetails?taxnode_id=202511654&amp;ictv_id=ICTV202011654","ICTV202011654")</f>
        <v>ICTV202011654</v>
      </c>
      <c r="R5302" t="s">
        <v>579</v>
      </c>
      <c r="S5302" t="s">
        <v>824</v>
      </c>
      <c r="T5302">
        <v>37</v>
      </c>
      <c r="U5302" s="26" t="str">
        <f t="shared" si="207"/>
        <v>2021.010B.R.Binomial_names.zip</v>
      </c>
    </row>
    <row r="5303" spans="1:21">
      <c r="A5303">
        <v>5302</v>
      </c>
      <c r="B5303" s="27" t="s">
        <v>1449</v>
      </c>
      <c r="D5303" s="27" t="s">
        <v>1450</v>
      </c>
      <c r="F5303" s="27" t="s">
        <v>1453</v>
      </c>
      <c r="H5303" s="27" t="s">
        <v>1454</v>
      </c>
      <c r="N5303" s="27" t="s">
        <v>2140</v>
      </c>
      <c r="P5303" s="27" t="s">
        <v>6840</v>
      </c>
      <c r="Q5303" s="26" t="str">
        <f>HYPERLINK("https://ictv.global/taxonomy/taxondetails?taxnode_id=202511655&amp;ictv_id=ICTV202011655","ICTV202011655")</f>
        <v>ICTV202011655</v>
      </c>
      <c r="R5303" t="s">
        <v>579</v>
      </c>
      <c r="S5303" t="s">
        <v>824</v>
      </c>
      <c r="T5303">
        <v>37</v>
      </c>
      <c r="U5303" s="26" t="str">
        <f t="shared" si="207"/>
        <v>2021.010B.R.Binomial_names.zip</v>
      </c>
    </row>
    <row r="5304" spans="1:21">
      <c r="A5304">
        <v>5303</v>
      </c>
      <c r="B5304" s="27" t="s">
        <v>1449</v>
      </c>
      <c r="D5304" s="27" t="s">
        <v>1450</v>
      </c>
      <c r="F5304" s="27" t="s">
        <v>1453</v>
      </c>
      <c r="H5304" s="27" t="s">
        <v>1454</v>
      </c>
      <c r="N5304" s="27" t="s">
        <v>2140</v>
      </c>
      <c r="P5304" s="27" t="s">
        <v>6841</v>
      </c>
      <c r="Q5304" s="26" t="str">
        <f>HYPERLINK("https://ictv.global/taxonomy/taxondetails?taxnode_id=202511656&amp;ictv_id=ICTV202011656","ICTV202011656")</f>
        <v>ICTV202011656</v>
      </c>
      <c r="R5304" t="s">
        <v>579</v>
      </c>
      <c r="S5304" t="s">
        <v>824</v>
      </c>
      <c r="T5304">
        <v>37</v>
      </c>
      <c r="U5304" s="26" t="str">
        <f t="shared" si="207"/>
        <v>2021.010B.R.Binomial_names.zip</v>
      </c>
    </row>
    <row r="5305" spans="1:21">
      <c r="A5305">
        <v>5304</v>
      </c>
      <c r="B5305" s="27" t="s">
        <v>1449</v>
      </c>
      <c r="D5305" s="27" t="s">
        <v>1450</v>
      </c>
      <c r="F5305" s="27" t="s">
        <v>1453</v>
      </c>
      <c r="H5305" s="27" t="s">
        <v>1454</v>
      </c>
      <c r="N5305" s="27" t="s">
        <v>2140</v>
      </c>
      <c r="P5305" s="27" t="s">
        <v>6842</v>
      </c>
      <c r="Q5305" s="26" t="str">
        <f>HYPERLINK("https://ictv.global/taxonomy/taxondetails?taxnode_id=202511653&amp;ictv_id=ICTV202011653","ICTV202011653")</f>
        <v>ICTV202011653</v>
      </c>
      <c r="R5305" t="s">
        <v>579</v>
      </c>
      <c r="S5305" t="s">
        <v>824</v>
      </c>
      <c r="T5305">
        <v>37</v>
      </c>
      <c r="U5305" s="26" t="str">
        <f t="shared" si="207"/>
        <v>2021.010B.R.Binomial_names.zip</v>
      </c>
    </row>
    <row r="5306" spans="1:21">
      <c r="A5306">
        <v>5305</v>
      </c>
      <c r="B5306" s="27" t="s">
        <v>1449</v>
      </c>
      <c r="D5306" s="27" t="s">
        <v>1450</v>
      </c>
      <c r="F5306" s="27" t="s">
        <v>1453</v>
      </c>
      <c r="H5306" s="27" t="s">
        <v>1454</v>
      </c>
      <c r="N5306" s="27" t="s">
        <v>1345</v>
      </c>
      <c r="P5306" s="27" t="s">
        <v>6843</v>
      </c>
      <c r="Q5306" s="26" t="str">
        <f>HYPERLINK("https://ictv.global/taxonomy/taxondetails?taxnode_id=202506733&amp;ictv_id=ICTV201856733","ICTV201856733")</f>
        <v>ICTV201856733</v>
      </c>
      <c r="R5306" t="s">
        <v>579</v>
      </c>
      <c r="S5306" t="s">
        <v>824</v>
      </c>
      <c r="T5306">
        <v>37</v>
      </c>
      <c r="U5306" s="26" t="str">
        <f t="shared" si="207"/>
        <v>2021.010B.R.Binomial_names.zip</v>
      </c>
    </row>
    <row r="5307" spans="1:21">
      <c r="A5307">
        <v>5306</v>
      </c>
      <c r="B5307" s="27" t="s">
        <v>1449</v>
      </c>
      <c r="D5307" s="27" t="s">
        <v>1450</v>
      </c>
      <c r="F5307" s="27" t="s">
        <v>1453</v>
      </c>
      <c r="H5307" s="27" t="s">
        <v>1454</v>
      </c>
      <c r="N5307" s="27" t="s">
        <v>1346</v>
      </c>
      <c r="P5307" s="27" t="s">
        <v>6844</v>
      </c>
      <c r="Q5307" s="26" t="str">
        <f>HYPERLINK("https://ictv.global/taxonomy/taxondetails?taxnode_id=202506735&amp;ictv_id=ICTV201856735","ICTV201856735")</f>
        <v>ICTV201856735</v>
      </c>
      <c r="R5307" t="s">
        <v>579</v>
      </c>
      <c r="S5307" t="s">
        <v>824</v>
      </c>
      <c r="T5307">
        <v>37</v>
      </c>
      <c r="U5307" s="26" t="str">
        <f t="shared" si="207"/>
        <v>2021.010B.R.Binomial_names.zip</v>
      </c>
    </row>
    <row r="5308" spans="1:21">
      <c r="A5308">
        <v>5307</v>
      </c>
      <c r="B5308" s="27" t="s">
        <v>1449</v>
      </c>
      <c r="D5308" s="27" t="s">
        <v>1450</v>
      </c>
      <c r="F5308" s="27" t="s">
        <v>1453</v>
      </c>
      <c r="H5308" s="27" t="s">
        <v>1454</v>
      </c>
      <c r="N5308" s="27" t="s">
        <v>6845</v>
      </c>
      <c r="P5308" s="27" t="s">
        <v>6846</v>
      </c>
      <c r="Q5308" s="26" t="str">
        <f>HYPERLINK("https://ictv.global/taxonomy/taxondetails?taxnode_id=202514561&amp;ictv_id=ICTV202214561","ICTV202214561")</f>
        <v>ICTV202214561</v>
      </c>
      <c r="R5308" t="s">
        <v>579</v>
      </c>
      <c r="S5308" t="s">
        <v>823</v>
      </c>
      <c r="T5308">
        <v>38</v>
      </c>
      <c r="U5308" s="26" t="str">
        <f>HYPERLINK("https://ictv.global/ictv/proposals/2022.024B.Clawzvirus_ng.zip","2022.024B.Clawzvirus_ng.zip")</f>
        <v>2022.024B.Clawzvirus_ng.zip</v>
      </c>
    </row>
    <row r="5309" spans="1:21">
      <c r="A5309">
        <v>5308</v>
      </c>
      <c r="B5309" s="27" t="s">
        <v>1449</v>
      </c>
      <c r="D5309" s="27" t="s">
        <v>1450</v>
      </c>
      <c r="F5309" s="27" t="s">
        <v>1453</v>
      </c>
      <c r="H5309" s="27" t="s">
        <v>1454</v>
      </c>
      <c r="N5309" s="27" t="s">
        <v>6849</v>
      </c>
      <c r="P5309" s="27" t="s">
        <v>6850</v>
      </c>
      <c r="Q5309" s="26" t="str">
        <f>HYPERLINK("https://ictv.global/taxonomy/taxondetails?taxnode_id=202513053&amp;ictv_id=ICTV202113053","ICTV202113053")</f>
        <v>ICTV202113053</v>
      </c>
      <c r="R5309" t="s">
        <v>579</v>
      </c>
      <c r="S5309" t="s">
        <v>823</v>
      </c>
      <c r="T5309">
        <v>37</v>
      </c>
      <c r="U5309" s="26" t="str">
        <f>HYPERLINK("https://ictv.global/ictv/proposals/2021.019B.R.Coatlandelriovirus.zip","2021.019B.R.Coatlandelriovirus.zip")</f>
        <v>2021.019B.R.Coatlandelriovirus.zip</v>
      </c>
    </row>
    <row r="5310" spans="1:21">
      <c r="A5310">
        <v>5309</v>
      </c>
      <c r="B5310" s="27" t="s">
        <v>1449</v>
      </c>
      <c r="D5310" s="27" t="s">
        <v>1450</v>
      </c>
      <c r="F5310" s="27" t="s">
        <v>1453</v>
      </c>
      <c r="H5310" s="27" t="s">
        <v>1454</v>
      </c>
      <c r="N5310" s="27" t="s">
        <v>6851</v>
      </c>
      <c r="P5310" s="27" t="s">
        <v>6852</v>
      </c>
      <c r="Q5310" s="26" t="str">
        <f>HYPERLINK("https://ictv.global/taxonomy/taxondetails?taxnode_id=202514563&amp;ictv_id=ICTV202214563","ICTV202214563")</f>
        <v>ICTV202214563</v>
      </c>
      <c r="R5310" t="s">
        <v>579</v>
      </c>
      <c r="S5310" t="s">
        <v>823</v>
      </c>
      <c r="T5310">
        <v>38</v>
      </c>
      <c r="U5310" s="26" t="str">
        <f>HYPERLINK("https://ictv.global/ictv/proposals/2022.025B.Cobrasixvirus_ng.zip","2022.025B.Cobrasixvirus_ng.zip")</f>
        <v>2022.025B.Cobrasixvirus_ng.zip</v>
      </c>
    </row>
    <row r="5311" spans="1:21">
      <c r="A5311">
        <v>5310</v>
      </c>
      <c r="B5311" s="27" t="s">
        <v>1449</v>
      </c>
      <c r="D5311" s="27" t="s">
        <v>1450</v>
      </c>
      <c r="F5311" s="27" t="s">
        <v>1453</v>
      </c>
      <c r="H5311" s="27" t="s">
        <v>1454</v>
      </c>
      <c r="N5311" s="27" t="s">
        <v>1347</v>
      </c>
      <c r="P5311" s="27" t="s">
        <v>6853</v>
      </c>
      <c r="Q5311" s="26" t="str">
        <f>HYPERLINK("https://ictv.global/taxonomy/taxondetails?taxnode_id=202501231&amp;ictv_id=ICTV20140296","ICTV20140296")</f>
        <v>ICTV20140296</v>
      </c>
      <c r="R5311" t="s">
        <v>579</v>
      </c>
      <c r="S5311" t="s">
        <v>824</v>
      </c>
      <c r="T5311">
        <v>37</v>
      </c>
      <c r="U5311" s="26" t="str">
        <f>HYPERLINK("https://ictv.global/ictv/proposals/2021.010B.R.Binomial_names.zip","2021.010B.R.Binomial_names.zip")</f>
        <v>2021.010B.R.Binomial_names.zip</v>
      </c>
    </row>
    <row r="5312" spans="1:21">
      <c r="A5312">
        <v>5311</v>
      </c>
      <c r="B5312" s="27" t="s">
        <v>1449</v>
      </c>
      <c r="D5312" s="27" t="s">
        <v>1450</v>
      </c>
      <c r="F5312" s="27" t="s">
        <v>1453</v>
      </c>
      <c r="H5312" s="27" t="s">
        <v>1454</v>
      </c>
      <c r="N5312" s="27" t="s">
        <v>1347</v>
      </c>
      <c r="P5312" s="27" t="s">
        <v>6854</v>
      </c>
      <c r="Q5312" s="26" t="str">
        <f>HYPERLINK("https://ictv.global/taxonomy/taxondetails?taxnode_id=202501233&amp;ictv_id=ICTV20140295","ICTV20140295")</f>
        <v>ICTV20140295</v>
      </c>
      <c r="R5312" t="s">
        <v>579</v>
      </c>
      <c r="S5312" t="s">
        <v>824</v>
      </c>
      <c r="T5312">
        <v>37</v>
      </c>
      <c r="U5312" s="26" t="str">
        <f>HYPERLINK("https://ictv.global/ictv/proposals/2021.010B.R.Binomial_names.zip","2021.010B.R.Binomial_names.zip")</f>
        <v>2021.010B.R.Binomial_names.zip</v>
      </c>
    </row>
    <row r="5313" spans="1:21">
      <c r="A5313">
        <v>5312</v>
      </c>
      <c r="B5313" s="27" t="s">
        <v>1449</v>
      </c>
      <c r="D5313" s="27" t="s">
        <v>1450</v>
      </c>
      <c r="F5313" s="27" t="s">
        <v>1453</v>
      </c>
      <c r="H5313" s="27" t="s">
        <v>1454</v>
      </c>
      <c r="N5313" s="27" t="s">
        <v>1347</v>
      </c>
      <c r="P5313" s="27" t="s">
        <v>6855</v>
      </c>
      <c r="Q5313" s="26" t="str">
        <f>HYPERLINK("https://ictv.global/taxonomy/taxondetails?taxnode_id=202501232&amp;ictv_id=ICTV20140294","ICTV20140294")</f>
        <v>ICTV20140294</v>
      </c>
      <c r="R5313" t="s">
        <v>579</v>
      </c>
      <c r="S5313" t="s">
        <v>824</v>
      </c>
      <c r="T5313">
        <v>37</v>
      </c>
      <c r="U5313" s="26" t="str">
        <f>HYPERLINK("https://ictv.global/ictv/proposals/2021.010B.R.Binomial_names.zip","2021.010B.R.Binomial_names.zip")</f>
        <v>2021.010B.R.Binomial_names.zip</v>
      </c>
    </row>
    <row r="5314" spans="1:21">
      <c r="A5314">
        <v>5313</v>
      </c>
      <c r="B5314" s="27" t="s">
        <v>1449</v>
      </c>
      <c r="D5314" s="27" t="s">
        <v>1450</v>
      </c>
      <c r="F5314" s="27" t="s">
        <v>1453</v>
      </c>
      <c r="H5314" s="27" t="s">
        <v>1454</v>
      </c>
      <c r="N5314" s="27" t="s">
        <v>6856</v>
      </c>
      <c r="P5314" s="27" t="s">
        <v>6857</v>
      </c>
      <c r="Q5314" s="26" t="str">
        <f>HYPERLINK("https://ictv.global/taxonomy/taxondetails?taxnode_id=202514590&amp;ictv_id=ICTV202214590","ICTV202214590")</f>
        <v>ICTV202214590</v>
      </c>
      <c r="R5314" t="s">
        <v>579</v>
      </c>
      <c r="S5314" t="s">
        <v>823</v>
      </c>
      <c r="T5314">
        <v>38</v>
      </c>
      <c r="U5314" s="26" t="str">
        <f>HYPERLINK("https://ictv.global/ictv/proposals/2022.032B.Caudoviricetes_5ng.zip","2022.032B.Caudoviricetes_5ng.zip")</f>
        <v>2022.032B.Caudoviricetes_5ng.zip</v>
      </c>
    </row>
    <row r="5315" spans="1:21">
      <c r="A5315">
        <v>5314</v>
      </c>
      <c r="B5315" s="27" t="s">
        <v>1449</v>
      </c>
      <c r="D5315" s="27" t="s">
        <v>1450</v>
      </c>
      <c r="F5315" s="27" t="s">
        <v>1453</v>
      </c>
      <c r="H5315" s="27" t="s">
        <v>1454</v>
      </c>
      <c r="N5315" s="27" t="s">
        <v>2096</v>
      </c>
      <c r="P5315" s="27" t="s">
        <v>6858</v>
      </c>
      <c r="Q5315" s="26" t="str">
        <f>HYPERLINK("https://ictv.global/taxonomy/taxondetails?taxnode_id=202500422&amp;ictv_id=ICTV20115470","ICTV20115470")</f>
        <v>ICTV20115470</v>
      </c>
      <c r="R5315" t="s">
        <v>579</v>
      </c>
      <c r="S5315" t="s">
        <v>824</v>
      </c>
      <c r="T5315">
        <v>37</v>
      </c>
      <c r="U5315" s="26" t="str">
        <f t="shared" ref="U5315:U5322" si="208">HYPERLINK("https://ictv.global/ictv/proposals/2021.010B.R.Binomial_names.zip","2021.010B.R.Binomial_names.zip")</f>
        <v>2021.010B.R.Binomial_names.zip</v>
      </c>
    </row>
    <row r="5316" spans="1:21">
      <c r="A5316">
        <v>5315</v>
      </c>
      <c r="B5316" s="27" t="s">
        <v>1449</v>
      </c>
      <c r="D5316" s="27" t="s">
        <v>1450</v>
      </c>
      <c r="F5316" s="27" t="s">
        <v>1453</v>
      </c>
      <c r="H5316" s="27" t="s">
        <v>1454</v>
      </c>
      <c r="N5316" s="27" t="s">
        <v>2096</v>
      </c>
      <c r="P5316" s="27" t="s">
        <v>6859</v>
      </c>
      <c r="Q5316" s="26" t="str">
        <f>HYPERLINK("https://ictv.global/taxonomy/taxondetails?taxnode_id=202509886&amp;ictv_id=ICTV202009886","ICTV202009886")</f>
        <v>ICTV202009886</v>
      </c>
      <c r="R5316" t="s">
        <v>579</v>
      </c>
      <c r="S5316" t="s">
        <v>824</v>
      </c>
      <c r="T5316">
        <v>37</v>
      </c>
      <c r="U5316" s="26" t="str">
        <f t="shared" si="208"/>
        <v>2021.010B.R.Binomial_names.zip</v>
      </c>
    </row>
    <row r="5317" spans="1:21">
      <c r="A5317">
        <v>5316</v>
      </c>
      <c r="B5317" s="27" t="s">
        <v>1449</v>
      </c>
      <c r="D5317" s="27" t="s">
        <v>1450</v>
      </c>
      <c r="F5317" s="27" t="s">
        <v>1453</v>
      </c>
      <c r="H5317" s="27" t="s">
        <v>1454</v>
      </c>
      <c r="N5317" s="27" t="s">
        <v>2096</v>
      </c>
      <c r="P5317" s="27" t="s">
        <v>6860</v>
      </c>
      <c r="Q5317" s="26" t="str">
        <f>HYPERLINK("https://ictv.global/taxonomy/taxondetails?taxnode_id=202509885&amp;ictv_id=ICTV202009885","ICTV202009885")</f>
        <v>ICTV202009885</v>
      </c>
      <c r="R5317" t="s">
        <v>579</v>
      </c>
      <c r="S5317" t="s">
        <v>824</v>
      </c>
      <c r="T5317">
        <v>37</v>
      </c>
      <c r="U5317" s="26" t="str">
        <f t="shared" si="208"/>
        <v>2021.010B.R.Binomial_names.zip</v>
      </c>
    </row>
    <row r="5318" spans="1:21">
      <c r="A5318">
        <v>5317</v>
      </c>
      <c r="B5318" s="27" t="s">
        <v>1449</v>
      </c>
      <c r="D5318" s="27" t="s">
        <v>1450</v>
      </c>
      <c r="F5318" s="27" t="s">
        <v>1453</v>
      </c>
      <c r="H5318" s="27" t="s">
        <v>1454</v>
      </c>
      <c r="N5318" s="27" t="s">
        <v>2096</v>
      </c>
      <c r="P5318" s="27" t="s">
        <v>6861</v>
      </c>
      <c r="Q5318" s="26" t="str">
        <f>HYPERLINK("https://ictv.global/taxonomy/taxondetails?taxnode_id=202509888&amp;ictv_id=ICTV202009888","ICTV202009888")</f>
        <v>ICTV202009888</v>
      </c>
      <c r="R5318" t="s">
        <v>579</v>
      </c>
      <c r="S5318" t="s">
        <v>824</v>
      </c>
      <c r="T5318">
        <v>37</v>
      </c>
      <c r="U5318" s="26" t="str">
        <f t="shared" si="208"/>
        <v>2021.010B.R.Binomial_names.zip</v>
      </c>
    </row>
    <row r="5319" spans="1:21">
      <c r="A5319">
        <v>5318</v>
      </c>
      <c r="B5319" s="27" t="s">
        <v>1449</v>
      </c>
      <c r="D5319" s="27" t="s">
        <v>1450</v>
      </c>
      <c r="F5319" s="27" t="s">
        <v>1453</v>
      </c>
      <c r="H5319" s="27" t="s">
        <v>1454</v>
      </c>
      <c r="N5319" s="27" t="s">
        <v>2096</v>
      </c>
      <c r="P5319" s="27" t="s">
        <v>6862</v>
      </c>
      <c r="Q5319" s="26" t="str">
        <f>HYPERLINK("https://ictv.global/taxonomy/taxondetails?taxnode_id=202509887&amp;ictv_id=ICTV202009887","ICTV202009887")</f>
        <v>ICTV202009887</v>
      </c>
      <c r="R5319" t="s">
        <v>579</v>
      </c>
      <c r="S5319" t="s">
        <v>824</v>
      </c>
      <c r="T5319">
        <v>37</v>
      </c>
      <c r="U5319" s="26" t="str">
        <f t="shared" si="208"/>
        <v>2021.010B.R.Binomial_names.zip</v>
      </c>
    </row>
    <row r="5320" spans="1:21">
      <c r="A5320">
        <v>5319</v>
      </c>
      <c r="B5320" s="27" t="s">
        <v>1449</v>
      </c>
      <c r="D5320" s="27" t="s">
        <v>1450</v>
      </c>
      <c r="F5320" s="27" t="s">
        <v>1453</v>
      </c>
      <c r="H5320" s="27" t="s">
        <v>1454</v>
      </c>
      <c r="N5320" s="27" t="s">
        <v>2254</v>
      </c>
      <c r="P5320" s="27" t="s">
        <v>6863</v>
      </c>
      <c r="Q5320" s="26" t="str">
        <f>HYPERLINK("https://ictv.global/taxonomy/taxondetails?taxnode_id=202510180&amp;ictv_id=ICTV202010180","ICTV202010180")</f>
        <v>ICTV202010180</v>
      </c>
      <c r="R5320" t="s">
        <v>579</v>
      </c>
      <c r="S5320" t="s">
        <v>824</v>
      </c>
      <c r="T5320">
        <v>37</v>
      </c>
      <c r="U5320" s="26" t="str">
        <f t="shared" si="208"/>
        <v>2021.010B.R.Binomial_names.zip</v>
      </c>
    </row>
    <row r="5321" spans="1:21">
      <c r="A5321">
        <v>5320</v>
      </c>
      <c r="B5321" s="27" t="s">
        <v>1449</v>
      </c>
      <c r="D5321" s="27" t="s">
        <v>1450</v>
      </c>
      <c r="F5321" s="27" t="s">
        <v>1453</v>
      </c>
      <c r="H5321" s="27" t="s">
        <v>1454</v>
      </c>
      <c r="N5321" s="27" t="s">
        <v>2254</v>
      </c>
      <c r="P5321" s="27" t="s">
        <v>6864</v>
      </c>
      <c r="Q5321" s="26" t="str">
        <f>HYPERLINK("https://ictv.global/taxonomy/taxondetails?taxnode_id=202510182&amp;ictv_id=ICTV202010182","ICTV202010182")</f>
        <v>ICTV202010182</v>
      </c>
      <c r="R5321" t="s">
        <v>579</v>
      </c>
      <c r="S5321" t="s">
        <v>824</v>
      </c>
      <c r="T5321">
        <v>37</v>
      </c>
      <c r="U5321" s="26" t="str">
        <f t="shared" si="208"/>
        <v>2021.010B.R.Binomial_names.zip</v>
      </c>
    </row>
    <row r="5322" spans="1:21">
      <c r="A5322">
        <v>5321</v>
      </c>
      <c r="B5322" s="27" t="s">
        <v>1449</v>
      </c>
      <c r="D5322" s="27" t="s">
        <v>1450</v>
      </c>
      <c r="F5322" s="27" t="s">
        <v>1453</v>
      </c>
      <c r="H5322" s="27" t="s">
        <v>1454</v>
      </c>
      <c r="N5322" s="27" t="s">
        <v>2254</v>
      </c>
      <c r="P5322" s="27" t="s">
        <v>6865</v>
      </c>
      <c r="Q5322" s="26" t="str">
        <f>HYPERLINK("https://ictv.global/taxonomy/taxondetails?taxnode_id=202510181&amp;ictv_id=ICTV202010181","ICTV202010181")</f>
        <v>ICTV202010181</v>
      </c>
      <c r="R5322" t="s">
        <v>579</v>
      </c>
      <c r="S5322" t="s">
        <v>824</v>
      </c>
      <c r="T5322">
        <v>37</v>
      </c>
      <c r="U5322" s="26" t="str">
        <f t="shared" si="208"/>
        <v>2021.010B.R.Binomial_names.zip</v>
      </c>
    </row>
    <row r="5323" spans="1:21">
      <c r="A5323">
        <v>5322</v>
      </c>
      <c r="B5323" s="27" t="s">
        <v>1449</v>
      </c>
      <c r="D5323" s="27" t="s">
        <v>1450</v>
      </c>
      <c r="F5323" s="27" t="s">
        <v>1453</v>
      </c>
      <c r="H5323" s="27" t="s">
        <v>1454</v>
      </c>
      <c r="N5323" s="27" t="s">
        <v>21646</v>
      </c>
      <c r="P5323" s="27" t="s">
        <v>21648</v>
      </c>
      <c r="Q5323" s="26" t="str">
        <f>HYPERLINK("https://ictv.global/taxonomy/taxondetails?taxnode_id=202522503&amp;ictv_id=ICTV202522503","ICTV202522503")</f>
        <v>ICTV202522503</v>
      </c>
      <c r="R5323" t="s">
        <v>579</v>
      </c>
      <c r="S5323" t="s">
        <v>823</v>
      </c>
      <c r="T5323">
        <v>41</v>
      </c>
      <c r="U5323" s="26" t="str">
        <f>HYPERLINK("https://ictv.global/ictv/proposals/2025.012B.Comeauvirus_1ng_2ns.zip","2025.012B.Comeauvirus_1ng_2ns.zip")</f>
        <v>2025.012B.Comeauvirus_1ng_2ns.zip</v>
      </c>
    </row>
    <row r="5324" spans="1:21">
      <c r="A5324">
        <v>5323</v>
      </c>
      <c r="B5324" s="27" t="s">
        <v>1449</v>
      </c>
      <c r="D5324" s="27" t="s">
        <v>1450</v>
      </c>
      <c r="F5324" s="27" t="s">
        <v>1453</v>
      </c>
      <c r="H5324" s="27" t="s">
        <v>1454</v>
      </c>
      <c r="N5324" s="27" t="s">
        <v>21646</v>
      </c>
      <c r="P5324" s="27" t="s">
        <v>21647</v>
      </c>
      <c r="Q5324" s="26" t="str">
        <f>HYPERLINK("https://ictv.global/taxonomy/taxondetails?taxnode_id=202522502&amp;ictv_id=ICTV202522502","ICTV202522502")</f>
        <v>ICTV202522502</v>
      </c>
      <c r="R5324" t="s">
        <v>579</v>
      </c>
      <c r="S5324" t="s">
        <v>823</v>
      </c>
      <c r="T5324">
        <v>41</v>
      </c>
      <c r="U5324" s="26" t="str">
        <f>HYPERLINK("https://ictv.global/ictv/proposals/2025.012B.Comeauvirus_1ng_2ns.zip","2025.012B.Comeauvirus_1ng_2ns.zip")</f>
        <v>2025.012B.Comeauvirus_1ng_2ns.zip</v>
      </c>
    </row>
    <row r="5325" spans="1:21">
      <c r="A5325">
        <v>5324</v>
      </c>
      <c r="B5325" s="27" t="s">
        <v>1449</v>
      </c>
      <c r="D5325" s="27" t="s">
        <v>1450</v>
      </c>
      <c r="F5325" s="27" t="s">
        <v>1453</v>
      </c>
      <c r="H5325" s="27" t="s">
        <v>1454</v>
      </c>
      <c r="N5325" s="27" t="s">
        <v>1747</v>
      </c>
      <c r="P5325" s="27" t="s">
        <v>6866</v>
      </c>
      <c r="Q5325" s="26" t="str">
        <f>HYPERLINK("https://ictv.global/taxonomy/taxondetails?taxnode_id=202507256&amp;ictv_id=ICTV201907256","ICTV201907256")</f>
        <v>ICTV201907256</v>
      </c>
      <c r="R5325" t="s">
        <v>579</v>
      </c>
      <c r="S5325" t="s">
        <v>824</v>
      </c>
      <c r="T5325">
        <v>37</v>
      </c>
      <c r="U5325" s="26" t="str">
        <f>HYPERLINK("https://ictv.global/ictv/proposals/2021.010B.R.Binomial_names.zip","2021.010B.R.Binomial_names.zip")</f>
        <v>2021.010B.R.Binomial_names.zip</v>
      </c>
    </row>
    <row r="5326" spans="1:21">
      <c r="A5326">
        <v>5325</v>
      </c>
      <c r="B5326" s="27" t="s">
        <v>1449</v>
      </c>
      <c r="D5326" s="27" t="s">
        <v>1450</v>
      </c>
      <c r="F5326" s="27" t="s">
        <v>1453</v>
      </c>
      <c r="H5326" s="27" t="s">
        <v>1454</v>
      </c>
      <c r="N5326" s="27" t="s">
        <v>1747</v>
      </c>
      <c r="P5326" s="27" t="s">
        <v>6867</v>
      </c>
      <c r="Q5326" s="26" t="str">
        <f>HYPERLINK("https://ictv.global/taxonomy/taxondetails?taxnode_id=202507257&amp;ictv_id=ICTV201907257","ICTV201907257")</f>
        <v>ICTV201907257</v>
      </c>
      <c r="R5326" t="s">
        <v>579</v>
      </c>
      <c r="S5326" t="s">
        <v>824</v>
      </c>
      <c r="T5326">
        <v>37</v>
      </c>
      <c r="U5326" s="26" t="str">
        <f>HYPERLINK("https://ictv.global/ictv/proposals/2021.010B.R.Binomial_names.zip","2021.010B.R.Binomial_names.zip")</f>
        <v>2021.010B.R.Binomial_names.zip</v>
      </c>
    </row>
    <row r="5327" spans="1:21">
      <c r="A5327">
        <v>5326</v>
      </c>
      <c r="B5327" s="27" t="s">
        <v>1449</v>
      </c>
      <c r="D5327" s="27" t="s">
        <v>1450</v>
      </c>
      <c r="F5327" s="27" t="s">
        <v>1453</v>
      </c>
      <c r="H5327" s="27" t="s">
        <v>1454</v>
      </c>
      <c r="N5327" s="27" t="s">
        <v>618</v>
      </c>
      <c r="P5327" s="27" t="s">
        <v>6868</v>
      </c>
      <c r="Q5327" s="26" t="str">
        <f>HYPERLINK("https://ictv.global/taxonomy/taxondetails?taxnode_id=202513056&amp;ictv_id=ICTV202113056","ICTV202113056")</f>
        <v>ICTV202113056</v>
      </c>
      <c r="R5327" t="s">
        <v>579</v>
      </c>
      <c r="S5327" t="s">
        <v>823</v>
      </c>
      <c r="T5327">
        <v>37</v>
      </c>
      <c r="U5327" s="26" t="str">
        <f>HYPERLINK("https://ictv.global/ictv/proposals/2021.021B.R.Corndogvirus.zip","2021.021B.R.Corndogvirus.zip")</f>
        <v>2021.021B.R.Corndogvirus.zip</v>
      </c>
    </row>
    <row r="5328" spans="1:21">
      <c r="A5328">
        <v>5327</v>
      </c>
      <c r="B5328" s="27" t="s">
        <v>1449</v>
      </c>
      <c r="D5328" s="27" t="s">
        <v>1450</v>
      </c>
      <c r="F5328" s="27" t="s">
        <v>1453</v>
      </c>
      <c r="H5328" s="27" t="s">
        <v>1454</v>
      </c>
      <c r="N5328" s="27" t="s">
        <v>618</v>
      </c>
      <c r="P5328" s="27" t="s">
        <v>6869</v>
      </c>
      <c r="Q5328" s="26" t="str">
        <f>HYPERLINK("https://ictv.global/taxonomy/taxondetails?taxnode_id=202500940&amp;ictv_id=ICTV20140240","ICTV20140240")</f>
        <v>ICTV20140240</v>
      </c>
      <c r="R5328" t="s">
        <v>579</v>
      </c>
      <c r="S5328" t="s">
        <v>824</v>
      </c>
      <c r="T5328">
        <v>37</v>
      </c>
      <c r="U5328" s="26" t="str">
        <f>HYPERLINK("https://ictv.global/ictv/proposals/2021.010B.R.Binomial_names.zip","2021.010B.R.Binomial_names.zip")</f>
        <v>2021.010B.R.Binomial_names.zip</v>
      </c>
    </row>
    <row r="5329" spans="1:21">
      <c r="A5329">
        <v>5328</v>
      </c>
      <c r="B5329" s="27" t="s">
        <v>1449</v>
      </c>
      <c r="D5329" s="27" t="s">
        <v>1450</v>
      </c>
      <c r="F5329" s="27" t="s">
        <v>1453</v>
      </c>
      <c r="H5329" s="27" t="s">
        <v>1454</v>
      </c>
      <c r="N5329" s="27" t="s">
        <v>618</v>
      </c>
      <c r="P5329" s="27" t="s">
        <v>6870</v>
      </c>
      <c r="Q5329" s="26" t="str">
        <f>HYPERLINK("https://ictv.global/taxonomy/taxondetails?taxnode_id=202500941&amp;ictv_id=ICTV20140241","ICTV20140241")</f>
        <v>ICTV20140241</v>
      </c>
      <c r="R5329" t="s">
        <v>579</v>
      </c>
      <c r="S5329" t="s">
        <v>824</v>
      </c>
      <c r="T5329">
        <v>37</v>
      </c>
      <c r="U5329" s="26" t="str">
        <f>HYPERLINK("https://ictv.global/ictv/proposals/2021.010B.R.Binomial_names.zip","2021.010B.R.Binomial_names.zip")</f>
        <v>2021.010B.R.Binomial_names.zip</v>
      </c>
    </row>
    <row r="5330" spans="1:21">
      <c r="A5330">
        <v>5329</v>
      </c>
      <c r="B5330" s="27" t="s">
        <v>1449</v>
      </c>
      <c r="D5330" s="27" t="s">
        <v>1450</v>
      </c>
      <c r="F5330" s="27" t="s">
        <v>1453</v>
      </c>
      <c r="H5330" s="27" t="s">
        <v>1454</v>
      </c>
      <c r="N5330" s="27" t="s">
        <v>618</v>
      </c>
      <c r="P5330" s="27" t="s">
        <v>6871</v>
      </c>
      <c r="Q5330" s="26" t="str">
        <f>HYPERLINK("https://ictv.global/taxonomy/taxondetails?taxnode_id=202513055&amp;ictv_id=ICTV202113055","ICTV202113055")</f>
        <v>ICTV202113055</v>
      </c>
      <c r="R5330" t="s">
        <v>579</v>
      </c>
      <c r="S5330" t="s">
        <v>823</v>
      </c>
      <c r="T5330">
        <v>37</v>
      </c>
      <c r="U5330" s="26" t="str">
        <f>HYPERLINK("https://ictv.global/ictv/proposals/2021.021B.R.Corndogvirus.zip","2021.021B.R.Corndogvirus.zip")</f>
        <v>2021.021B.R.Corndogvirus.zip</v>
      </c>
    </row>
    <row r="5331" spans="1:21">
      <c r="A5331">
        <v>5330</v>
      </c>
      <c r="B5331" s="27" t="s">
        <v>1449</v>
      </c>
      <c r="D5331" s="27" t="s">
        <v>1450</v>
      </c>
      <c r="F5331" s="27" t="s">
        <v>1453</v>
      </c>
      <c r="H5331" s="27" t="s">
        <v>1454</v>
      </c>
      <c r="N5331" s="27" t="s">
        <v>618</v>
      </c>
      <c r="P5331" s="27" t="s">
        <v>21473</v>
      </c>
      <c r="Q5331" s="26" t="str">
        <f>HYPERLINK("https://ictv.global/taxonomy/taxondetails?taxnode_id=202522344&amp;ictv_id=ICTV202522344","ICTV202522344")</f>
        <v>ICTV202522344</v>
      </c>
      <c r="R5331" t="s">
        <v>579</v>
      </c>
      <c r="S5331" t="s">
        <v>823</v>
      </c>
      <c r="T5331">
        <v>41</v>
      </c>
      <c r="U5331" s="26" t="str">
        <f>HYPERLINK("https://ictv.global/ictv/proposals/2025.008B.Caudoviricetes_11ns.zip","2025.008B.Caudoviricetes_11ns.zip")</f>
        <v>2025.008B.Caudoviricetes_11ns.zip</v>
      </c>
    </row>
    <row r="5332" spans="1:21">
      <c r="A5332">
        <v>5331</v>
      </c>
      <c r="B5332" s="27" t="s">
        <v>1449</v>
      </c>
      <c r="D5332" s="27" t="s">
        <v>1450</v>
      </c>
      <c r="F5332" s="27" t="s">
        <v>1453</v>
      </c>
      <c r="H5332" s="27" t="s">
        <v>1454</v>
      </c>
      <c r="N5332" s="27" t="s">
        <v>2256</v>
      </c>
      <c r="P5332" s="27" t="s">
        <v>6872</v>
      </c>
      <c r="Q5332" s="26" t="str">
        <f>HYPERLINK("https://ictv.global/taxonomy/taxondetails?taxnode_id=202509905&amp;ictv_id=ICTV202009905","ICTV202009905")</f>
        <v>ICTV202009905</v>
      </c>
      <c r="R5332" t="s">
        <v>579</v>
      </c>
      <c r="S5332" t="s">
        <v>824</v>
      </c>
      <c r="T5332">
        <v>37</v>
      </c>
      <c r="U5332" s="26" t="str">
        <f t="shared" ref="U5332:U5338" si="209">HYPERLINK("https://ictv.global/ictv/proposals/2021.010B.R.Binomial_names.zip","2021.010B.R.Binomial_names.zip")</f>
        <v>2021.010B.R.Binomial_names.zip</v>
      </c>
    </row>
    <row r="5333" spans="1:21">
      <c r="A5333">
        <v>5332</v>
      </c>
      <c r="B5333" s="27" t="s">
        <v>1449</v>
      </c>
      <c r="D5333" s="27" t="s">
        <v>1450</v>
      </c>
      <c r="F5333" s="27" t="s">
        <v>1453</v>
      </c>
      <c r="H5333" s="27" t="s">
        <v>1454</v>
      </c>
      <c r="N5333" s="27" t="s">
        <v>2256</v>
      </c>
      <c r="P5333" s="27" t="s">
        <v>6873</v>
      </c>
      <c r="Q5333" s="26" t="str">
        <f>HYPERLINK("https://ictv.global/taxonomy/taxondetails?taxnode_id=202509908&amp;ictv_id=ICTV202009908","ICTV202009908")</f>
        <v>ICTV202009908</v>
      </c>
      <c r="R5333" t="s">
        <v>579</v>
      </c>
      <c r="S5333" t="s">
        <v>824</v>
      </c>
      <c r="T5333">
        <v>37</v>
      </c>
      <c r="U5333" s="26" t="str">
        <f t="shared" si="209"/>
        <v>2021.010B.R.Binomial_names.zip</v>
      </c>
    </row>
    <row r="5334" spans="1:21">
      <c r="A5334">
        <v>5333</v>
      </c>
      <c r="B5334" s="27" t="s">
        <v>1449</v>
      </c>
      <c r="D5334" s="27" t="s">
        <v>1450</v>
      </c>
      <c r="F5334" s="27" t="s">
        <v>1453</v>
      </c>
      <c r="H5334" s="27" t="s">
        <v>1454</v>
      </c>
      <c r="N5334" s="27" t="s">
        <v>2256</v>
      </c>
      <c r="P5334" s="27" t="s">
        <v>6874</v>
      </c>
      <c r="Q5334" s="26" t="str">
        <f>HYPERLINK("https://ictv.global/taxonomy/taxondetails?taxnode_id=202509904&amp;ictv_id=ICTV202009904","ICTV202009904")</f>
        <v>ICTV202009904</v>
      </c>
      <c r="R5334" t="s">
        <v>579</v>
      </c>
      <c r="S5334" t="s">
        <v>824</v>
      </c>
      <c r="T5334">
        <v>37</v>
      </c>
      <c r="U5334" s="26" t="str">
        <f t="shared" si="209"/>
        <v>2021.010B.R.Binomial_names.zip</v>
      </c>
    </row>
    <row r="5335" spans="1:21">
      <c r="A5335">
        <v>5334</v>
      </c>
      <c r="B5335" s="27" t="s">
        <v>1449</v>
      </c>
      <c r="D5335" s="27" t="s">
        <v>1450</v>
      </c>
      <c r="F5335" s="27" t="s">
        <v>1453</v>
      </c>
      <c r="H5335" s="27" t="s">
        <v>1454</v>
      </c>
      <c r="N5335" s="27" t="s">
        <v>2256</v>
      </c>
      <c r="P5335" s="27" t="s">
        <v>6875</v>
      </c>
      <c r="Q5335" s="26" t="str">
        <f>HYPERLINK("https://ictv.global/taxonomy/taxondetails?taxnode_id=202509909&amp;ictv_id=ICTV202009909","ICTV202009909")</f>
        <v>ICTV202009909</v>
      </c>
      <c r="R5335" t="s">
        <v>579</v>
      </c>
      <c r="S5335" t="s">
        <v>824</v>
      </c>
      <c r="T5335">
        <v>37</v>
      </c>
      <c r="U5335" s="26" t="str">
        <f t="shared" si="209"/>
        <v>2021.010B.R.Binomial_names.zip</v>
      </c>
    </row>
    <row r="5336" spans="1:21">
      <c r="A5336">
        <v>5335</v>
      </c>
      <c r="B5336" s="27" t="s">
        <v>1449</v>
      </c>
      <c r="D5336" s="27" t="s">
        <v>1450</v>
      </c>
      <c r="F5336" s="27" t="s">
        <v>1453</v>
      </c>
      <c r="H5336" s="27" t="s">
        <v>1454</v>
      </c>
      <c r="N5336" s="27" t="s">
        <v>2256</v>
      </c>
      <c r="P5336" s="27" t="s">
        <v>6876</v>
      </c>
      <c r="Q5336" s="26" t="str">
        <f>HYPERLINK("https://ictv.global/taxonomy/taxondetails?taxnode_id=202509903&amp;ictv_id=ICTV202009903","ICTV202009903")</f>
        <v>ICTV202009903</v>
      </c>
      <c r="R5336" t="s">
        <v>579</v>
      </c>
      <c r="S5336" t="s">
        <v>824</v>
      </c>
      <c r="T5336">
        <v>37</v>
      </c>
      <c r="U5336" s="26" t="str">
        <f t="shared" si="209"/>
        <v>2021.010B.R.Binomial_names.zip</v>
      </c>
    </row>
    <row r="5337" spans="1:21">
      <c r="A5337">
        <v>5336</v>
      </c>
      <c r="B5337" s="27" t="s">
        <v>1449</v>
      </c>
      <c r="D5337" s="27" t="s">
        <v>1450</v>
      </c>
      <c r="F5337" s="27" t="s">
        <v>1453</v>
      </c>
      <c r="H5337" s="27" t="s">
        <v>1454</v>
      </c>
      <c r="N5337" s="27" t="s">
        <v>2256</v>
      </c>
      <c r="P5337" s="27" t="s">
        <v>6877</v>
      </c>
      <c r="Q5337" s="26" t="str">
        <f>HYPERLINK("https://ictv.global/taxonomy/taxondetails?taxnode_id=202509907&amp;ictv_id=ICTV202009907","ICTV202009907")</f>
        <v>ICTV202009907</v>
      </c>
      <c r="R5337" t="s">
        <v>579</v>
      </c>
      <c r="S5337" t="s">
        <v>824</v>
      </c>
      <c r="T5337">
        <v>37</v>
      </c>
      <c r="U5337" s="26" t="str">
        <f t="shared" si="209"/>
        <v>2021.010B.R.Binomial_names.zip</v>
      </c>
    </row>
    <row r="5338" spans="1:21">
      <c r="A5338">
        <v>5337</v>
      </c>
      <c r="B5338" s="27" t="s">
        <v>1449</v>
      </c>
      <c r="D5338" s="27" t="s">
        <v>1450</v>
      </c>
      <c r="F5338" s="27" t="s">
        <v>1453</v>
      </c>
      <c r="H5338" s="27" t="s">
        <v>1454</v>
      </c>
      <c r="N5338" s="27" t="s">
        <v>2256</v>
      </c>
      <c r="P5338" s="27" t="s">
        <v>6878</v>
      </c>
      <c r="Q5338" s="26" t="str">
        <f>HYPERLINK("https://ictv.global/taxonomy/taxondetails?taxnode_id=202509906&amp;ictv_id=ICTV202009906","ICTV202009906")</f>
        <v>ICTV202009906</v>
      </c>
      <c r="R5338" t="s">
        <v>579</v>
      </c>
      <c r="S5338" t="s">
        <v>824</v>
      </c>
      <c r="T5338">
        <v>37</v>
      </c>
      <c r="U5338" s="26" t="str">
        <f t="shared" si="209"/>
        <v>2021.010B.R.Binomial_names.zip</v>
      </c>
    </row>
    <row r="5339" spans="1:21">
      <c r="A5339">
        <v>5338</v>
      </c>
      <c r="B5339" s="27" t="s">
        <v>1449</v>
      </c>
      <c r="D5339" s="27" t="s">
        <v>1450</v>
      </c>
      <c r="F5339" s="27" t="s">
        <v>1453</v>
      </c>
      <c r="H5339" s="27" t="s">
        <v>1454</v>
      </c>
      <c r="N5339" s="27" t="s">
        <v>6879</v>
      </c>
      <c r="P5339" s="27" t="s">
        <v>6880</v>
      </c>
      <c r="Q5339" s="26" t="str">
        <f>HYPERLINK("https://ictv.global/taxonomy/taxondetails?taxnode_id=202514566&amp;ictv_id=ICTV202214566","ICTV202214566")</f>
        <v>ICTV202214566</v>
      </c>
      <c r="R5339" t="s">
        <v>579</v>
      </c>
      <c r="S5339" t="s">
        <v>823</v>
      </c>
      <c r="T5339">
        <v>38</v>
      </c>
      <c r="U5339" s="26" t="str">
        <f>HYPERLINK("https://ictv.global/ictv/proposals/2022.027B.Craquatrovirus_ng.zip","2022.027B.Craquatrovirus_ng.zip")</f>
        <v>2022.027B.Craquatrovirus_ng.zip</v>
      </c>
    </row>
    <row r="5340" spans="1:21">
      <c r="A5340">
        <v>5339</v>
      </c>
      <c r="B5340" s="27" t="s">
        <v>1449</v>
      </c>
      <c r="D5340" s="27" t="s">
        <v>1450</v>
      </c>
      <c r="F5340" s="27" t="s">
        <v>1453</v>
      </c>
      <c r="H5340" s="27" t="s">
        <v>1454</v>
      </c>
      <c r="N5340" s="27" t="s">
        <v>6879</v>
      </c>
      <c r="P5340" s="27" t="s">
        <v>6881</v>
      </c>
      <c r="Q5340" s="26" t="str">
        <f>HYPERLINK("https://ictv.global/taxonomy/taxondetails?taxnode_id=202514567&amp;ictv_id=ICTV202214567","ICTV202214567")</f>
        <v>ICTV202214567</v>
      </c>
      <c r="R5340" t="s">
        <v>579</v>
      </c>
      <c r="S5340" t="s">
        <v>823</v>
      </c>
      <c r="T5340">
        <v>38</v>
      </c>
      <c r="U5340" s="26" t="str">
        <f>HYPERLINK("https://ictv.global/ictv/proposals/2022.027B.Craquatrovirus_ng.zip","2022.027B.Craquatrovirus_ng.zip")</f>
        <v>2022.027B.Craquatrovirus_ng.zip</v>
      </c>
    </row>
    <row r="5341" spans="1:21">
      <c r="A5341">
        <v>5340</v>
      </c>
      <c r="B5341" s="27" t="s">
        <v>1449</v>
      </c>
      <c r="D5341" s="27" t="s">
        <v>1450</v>
      </c>
      <c r="F5341" s="27" t="s">
        <v>1453</v>
      </c>
      <c r="H5341" s="27" t="s">
        <v>1454</v>
      </c>
      <c r="N5341" s="27" t="s">
        <v>20856</v>
      </c>
      <c r="P5341" s="27" t="s">
        <v>20857</v>
      </c>
      <c r="Q5341" s="26" t="str">
        <f>HYPERLINK("https://ictv.global/taxonomy/taxondetails?taxnode_id=202506587&amp;ictv_id=ICTV201856587","ICTV201856587")</f>
        <v>ICTV201856587</v>
      </c>
      <c r="R5341" t="s">
        <v>579</v>
      </c>
      <c r="S5341" t="s">
        <v>824</v>
      </c>
      <c r="T5341">
        <v>41</v>
      </c>
      <c r="U5341" s="26" t="str">
        <f>HYPERLINK("https://ictv.global/ictv/proposals/2025.066B.Rename_taxa.zip","2025.066B.Rename_taxa.zip")</f>
        <v>2025.066B.Rename_taxa.zip</v>
      </c>
    </row>
    <row r="5342" spans="1:21">
      <c r="A5342">
        <v>5341</v>
      </c>
      <c r="B5342" s="27" t="s">
        <v>1449</v>
      </c>
      <c r="D5342" s="27" t="s">
        <v>1450</v>
      </c>
      <c r="F5342" s="27" t="s">
        <v>1453</v>
      </c>
      <c r="H5342" s="27" t="s">
        <v>1454</v>
      </c>
      <c r="N5342" s="27" t="s">
        <v>771</v>
      </c>
      <c r="P5342" s="27" t="s">
        <v>6882</v>
      </c>
      <c r="Q5342" s="26" t="str">
        <f>HYPERLINK("https://ictv.global/taxonomy/taxondetails?taxnode_id=202500943&amp;ictv_id=ICTV20164982","ICTV20164982")</f>
        <v>ICTV20164982</v>
      </c>
      <c r="R5342" t="s">
        <v>579</v>
      </c>
      <c r="S5342" t="s">
        <v>824</v>
      </c>
      <c r="T5342">
        <v>37</v>
      </c>
      <c r="U5342" s="26" t="str">
        <f>HYPERLINK("https://ictv.global/ictv/proposals/2021.010B.R.Binomial_names.zip","2021.010B.R.Binomial_names.zip")</f>
        <v>2021.010B.R.Binomial_names.zip</v>
      </c>
    </row>
    <row r="5343" spans="1:21">
      <c r="A5343">
        <v>5342</v>
      </c>
      <c r="B5343" s="27" t="s">
        <v>1449</v>
      </c>
      <c r="D5343" s="27" t="s">
        <v>1450</v>
      </c>
      <c r="F5343" s="27" t="s">
        <v>1453</v>
      </c>
      <c r="H5343" s="27" t="s">
        <v>1454</v>
      </c>
      <c r="N5343" s="27" t="s">
        <v>2257</v>
      </c>
      <c r="P5343" s="27" t="s">
        <v>6883</v>
      </c>
      <c r="Q5343" s="26" t="str">
        <f>HYPERLINK("https://ictv.global/taxonomy/taxondetails?taxnode_id=202509911&amp;ictv_id=ICTV202009911","ICTV202009911")</f>
        <v>ICTV202009911</v>
      </c>
      <c r="R5343" t="s">
        <v>579</v>
      </c>
      <c r="S5343" t="s">
        <v>824</v>
      </c>
      <c r="T5343">
        <v>37</v>
      </c>
      <c r="U5343" s="26" t="str">
        <f>HYPERLINK("https://ictv.global/ictv/proposals/2021.010B.R.Binomial_names.zip","2021.010B.R.Binomial_names.zip")</f>
        <v>2021.010B.R.Binomial_names.zip</v>
      </c>
    </row>
    <row r="5344" spans="1:21">
      <c r="A5344">
        <v>5343</v>
      </c>
      <c r="B5344" s="27" t="s">
        <v>1449</v>
      </c>
      <c r="D5344" s="27" t="s">
        <v>1450</v>
      </c>
      <c r="F5344" s="27" t="s">
        <v>1453</v>
      </c>
      <c r="H5344" s="27" t="s">
        <v>1454</v>
      </c>
      <c r="N5344" s="27" t="s">
        <v>1748</v>
      </c>
      <c r="P5344" s="27" t="s">
        <v>6884</v>
      </c>
      <c r="Q5344" s="26" t="str">
        <f>HYPERLINK("https://ictv.global/taxonomy/taxondetails?taxnode_id=202507191&amp;ictv_id=ICTV201907191","ICTV201907191")</f>
        <v>ICTV201907191</v>
      </c>
      <c r="R5344" t="s">
        <v>579</v>
      </c>
      <c r="S5344" t="s">
        <v>824</v>
      </c>
      <c r="T5344">
        <v>37</v>
      </c>
      <c r="U5344" s="26" t="str">
        <f>HYPERLINK("https://ictv.global/ictv/proposals/2021.010B.R.Binomial_names.zip","2021.010B.R.Binomial_names.zip")</f>
        <v>2021.010B.R.Binomial_names.zip</v>
      </c>
    </row>
    <row r="5345" spans="1:21">
      <c r="A5345">
        <v>5344</v>
      </c>
      <c r="B5345" s="27" t="s">
        <v>1449</v>
      </c>
      <c r="D5345" s="27" t="s">
        <v>1450</v>
      </c>
      <c r="F5345" s="27" t="s">
        <v>1453</v>
      </c>
      <c r="H5345" s="27" t="s">
        <v>1454</v>
      </c>
      <c r="N5345" s="27" t="s">
        <v>772</v>
      </c>
      <c r="P5345" s="27" t="s">
        <v>6885</v>
      </c>
      <c r="Q5345" s="26" t="str">
        <f>HYPERLINK("https://ictv.global/taxonomy/taxondetails?taxnode_id=202500957&amp;ictv_id=ICTV20164983","ICTV20164983")</f>
        <v>ICTV20164983</v>
      </c>
      <c r="R5345" t="s">
        <v>579</v>
      </c>
      <c r="S5345" t="s">
        <v>824</v>
      </c>
      <c r="T5345">
        <v>37</v>
      </c>
      <c r="U5345" s="26" t="str">
        <f>HYPERLINK("https://ictv.global/ictv/proposals/2021.010B.R.Binomial_names.zip","2021.010B.R.Binomial_names.zip")</f>
        <v>2021.010B.R.Binomial_names.zip</v>
      </c>
    </row>
    <row r="5346" spans="1:21">
      <c r="A5346">
        <v>5345</v>
      </c>
      <c r="B5346" s="27" t="s">
        <v>1449</v>
      </c>
      <c r="D5346" s="27" t="s">
        <v>1450</v>
      </c>
      <c r="F5346" s="27" t="s">
        <v>1453</v>
      </c>
      <c r="H5346" s="27" t="s">
        <v>1454</v>
      </c>
      <c r="N5346" s="27" t="s">
        <v>1348</v>
      </c>
      <c r="P5346" s="27" t="s">
        <v>6886</v>
      </c>
      <c r="Q5346" s="26" t="str">
        <f>HYPERLINK("https://ictv.global/taxonomy/taxondetails?taxnode_id=202506932&amp;ictv_id=ICTV201856932","ICTV201856932")</f>
        <v>ICTV201856932</v>
      </c>
      <c r="R5346" t="s">
        <v>579</v>
      </c>
      <c r="S5346" t="s">
        <v>824</v>
      </c>
      <c r="T5346">
        <v>37</v>
      </c>
      <c r="U5346" s="26" t="str">
        <f>HYPERLINK("https://ictv.global/ictv/proposals/2021.010B.R.Binomial_names.zip","2021.010B.R.Binomial_names.zip")</f>
        <v>2021.010B.R.Binomial_names.zip</v>
      </c>
    </row>
    <row r="5347" spans="1:21">
      <c r="A5347">
        <v>5346</v>
      </c>
      <c r="B5347" s="27" t="s">
        <v>1449</v>
      </c>
      <c r="D5347" s="27" t="s">
        <v>1450</v>
      </c>
      <c r="F5347" s="27" t="s">
        <v>1453</v>
      </c>
      <c r="H5347" s="27" t="s">
        <v>1454</v>
      </c>
      <c r="N5347" s="27" t="s">
        <v>12066</v>
      </c>
      <c r="P5347" s="27" t="s">
        <v>12067</v>
      </c>
      <c r="Q5347" s="26" t="str">
        <f>HYPERLINK("https://ictv.global/taxonomy/taxondetails?taxnode_id=202519220&amp;ictv_id=ICTV202319220","ICTV202319220")</f>
        <v>ICTV202319220</v>
      </c>
      <c r="R5347" t="s">
        <v>579</v>
      </c>
      <c r="S5347" t="s">
        <v>823</v>
      </c>
      <c r="T5347">
        <v>39</v>
      </c>
      <c r="U5347" s="26" t="str">
        <f>HYPERLINK("https://ictv.global/ictv/proposals/2023.049B.Caudoviricetes_Enterococcus_6ng.zip","2023.049B.Caudoviricetes_Enterococcus_6ng.zip")</f>
        <v>2023.049B.Caudoviricetes_Enterococcus_6ng.zip</v>
      </c>
    </row>
    <row r="5348" spans="1:21">
      <c r="A5348">
        <v>5347</v>
      </c>
      <c r="B5348" s="27" t="s">
        <v>1449</v>
      </c>
      <c r="D5348" s="27" t="s">
        <v>1450</v>
      </c>
      <c r="F5348" s="27" t="s">
        <v>1453</v>
      </c>
      <c r="H5348" s="27" t="s">
        <v>1454</v>
      </c>
      <c r="N5348" s="27" t="s">
        <v>12066</v>
      </c>
      <c r="P5348" s="27" t="s">
        <v>12068</v>
      </c>
      <c r="Q5348" s="26" t="str">
        <f>HYPERLINK("https://ictv.global/taxonomy/taxondetails?taxnode_id=202519221&amp;ictv_id=ICTV202319221","ICTV202319221")</f>
        <v>ICTV202319221</v>
      </c>
      <c r="R5348" t="s">
        <v>579</v>
      </c>
      <c r="S5348" t="s">
        <v>823</v>
      </c>
      <c r="T5348">
        <v>39</v>
      </c>
      <c r="U5348" s="26" t="str">
        <f>HYPERLINK("https://ictv.global/ictv/proposals/2023.049B.Caudoviricetes_Enterococcus_6ng.zip","2023.049B.Caudoviricetes_Enterococcus_6ng.zip")</f>
        <v>2023.049B.Caudoviricetes_Enterococcus_6ng.zip</v>
      </c>
    </row>
    <row r="5349" spans="1:21">
      <c r="A5349">
        <v>5348</v>
      </c>
      <c r="B5349" s="27" t="s">
        <v>1449</v>
      </c>
      <c r="D5349" s="27" t="s">
        <v>1450</v>
      </c>
      <c r="F5349" s="27" t="s">
        <v>1453</v>
      </c>
      <c r="H5349" s="27" t="s">
        <v>1454</v>
      </c>
      <c r="N5349" s="27" t="s">
        <v>2141</v>
      </c>
      <c r="P5349" s="27" t="s">
        <v>6887</v>
      </c>
      <c r="Q5349" s="26" t="str">
        <f>HYPERLINK("https://ictv.global/taxonomy/taxondetails?taxnode_id=202500604&amp;ictv_id=ICTV20094412","ICTV20094412")</f>
        <v>ICTV20094412</v>
      </c>
      <c r="R5349" t="s">
        <v>579</v>
      </c>
      <c r="S5349" t="s">
        <v>824</v>
      </c>
      <c r="T5349">
        <v>37</v>
      </c>
      <c r="U5349" s="26" t="str">
        <f>HYPERLINK("https://ictv.global/ictv/proposals/2021.010B.R.Binomial_names.zip","2021.010B.R.Binomial_names.zip")</f>
        <v>2021.010B.R.Binomial_names.zip</v>
      </c>
    </row>
    <row r="5350" spans="1:21">
      <c r="A5350">
        <v>5349</v>
      </c>
      <c r="B5350" s="27" t="s">
        <v>1449</v>
      </c>
      <c r="D5350" s="27" t="s">
        <v>1450</v>
      </c>
      <c r="F5350" s="27" t="s">
        <v>1453</v>
      </c>
      <c r="H5350" s="27" t="s">
        <v>1454</v>
      </c>
      <c r="N5350" s="27" t="s">
        <v>773</v>
      </c>
      <c r="P5350" s="27" t="s">
        <v>6888</v>
      </c>
      <c r="Q5350" s="26" t="str">
        <f>HYPERLINK("https://ictv.global/taxonomy/taxondetails?taxnode_id=202500959&amp;ictv_id=ICTV20164984","ICTV20164984")</f>
        <v>ICTV20164984</v>
      </c>
      <c r="R5350" t="s">
        <v>579</v>
      </c>
      <c r="S5350" t="s">
        <v>824</v>
      </c>
      <c r="T5350">
        <v>37</v>
      </c>
      <c r="U5350" s="26" t="str">
        <f>HYPERLINK("https://ictv.global/ictv/proposals/2021.010B.R.Binomial_names.zip","2021.010B.R.Binomial_names.zip")</f>
        <v>2021.010B.R.Binomial_names.zip</v>
      </c>
    </row>
    <row r="5351" spans="1:21">
      <c r="A5351">
        <v>5350</v>
      </c>
      <c r="B5351" s="27" t="s">
        <v>1449</v>
      </c>
      <c r="D5351" s="27" t="s">
        <v>1450</v>
      </c>
      <c r="F5351" s="27" t="s">
        <v>1453</v>
      </c>
      <c r="H5351" s="27" t="s">
        <v>1454</v>
      </c>
      <c r="N5351" s="27" t="s">
        <v>773</v>
      </c>
      <c r="P5351" s="27" t="s">
        <v>6889</v>
      </c>
      <c r="Q5351" s="26" t="str">
        <f>HYPERLINK("https://ictv.global/taxonomy/taxondetails?taxnode_id=202500960&amp;ictv_id=ICTV20164985","ICTV20164985")</f>
        <v>ICTV20164985</v>
      </c>
      <c r="R5351" t="s">
        <v>579</v>
      </c>
      <c r="S5351" t="s">
        <v>824</v>
      </c>
      <c r="T5351">
        <v>37</v>
      </c>
      <c r="U5351" s="26" t="str">
        <f>HYPERLINK("https://ictv.global/ictv/proposals/2021.010B.R.Binomial_names.zip","2021.010B.R.Binomial_names.zip")</f>
        <v>2021.010B.R.Binomial_names.zip</v>
      </c>
    </row>
    <row r="5352" spans="1:21">
      <c r="A5352">
        <v>5351</v>
      </c>
      <c r="B5352" s="27" t="s">
        <v>1449</v>
      </c>
      <c r="D5352" s="27" t="s">
        <v>1450</v>
      </c>
      <c r="F5352" s="27" t="s">
        <v>1453</v>
      </c>
      <c r="H5352" s="27" t="s">
        <v>1454</v>
      </c>
      <c r="N5352" s="27" t="s">
        <v>6890</v>
      </c>
      <c r="P5352" s="27" t="s">
        <v>6891</v>
      </c>
      <c r="Q5352" s="26" t="str">
        <f>HYPERLINK("https://ictv.global/taxonomy/taxondetails?taxnode_id=202514921&amp;ictv_id=ICTV202214921","ICTV202214921")</f>
        <v>ICTV202214921</v>
      </c>
      <c r="R5352" t="s">
        <v>579</v>
      </c>
      <c r="S5352" t="s">
        <v>823</v>
      </c>
      <c r="T5352">
        <v>38</v>
      </c>
      <c r="U5352" s="26" t="str">
        <f>HYPERLINK("https://ictv.global/ictv/proposals/2022.084B.Caudoviricetes_6ng_33nsp.zip","2022.084B.Caudoviricetes_6ng_33nsp.zip")</f>
        <v>2022.084B.Caudoviricetes_6ng_33nsp.zip</v>
      </c>
    </row>
    <row r="5353" spans="1:21">
      <c r="A5353">
        <v>5352</v>
      </c>
      <c r="B5353" s="27" t="s">
        <v>1449</v>
      </c>
      <c r="D5353" s="27" t="s">
        <v>1450</v>
      </c>
      <c r="F5353" s="27" t="s">
        <v>1453</v>
      </c>
      <c r="H5353" s="27" t="s">
        <v>1454</v>
      </c>
      <c r="N5353" s="27" t="s">
        <v>6893</v>
      </c>
      <c r="P5353" s="27" t="s">
        <v>6894</v>
      </c>
      <c r="Q5353" s="26" t="str">
        <f>HYPERLINK("https://ictv.global/taxonomy/taxondetails?taxnode_id=202513640&amp;ictv_id=ICTV202113640","ICTV202113640")</f>
        <v>ICTV202113640</v>
      </c>
      <c r="R5353" t="s">
        <v>579</v>
      </c>
      <c r="S5353" t="s">
        <v>823</v>
      </c>
      <c r="T5353">
        <v>37</v>
      </c>
      <c r="U5353" s="26" t="str">
        <f>HYPERLINK("https://ictv.global/ictv/proposals/2021.078B.R.Siphoviridae_new_genera.zip","2021.078B.R.Siphoviridae_new_genera.zip")</f>
        <v>2021.078B.R.Siphoviridae_new_genera.zip</v>
      </c>
    </row>
    <row r="5354" spans="1:21">
      <c r="A5354">
        <v>5353</v>
      </c>
      <c r="B5354" s="27" t="s">
        <v>1449</v>
      </c>
      <c r="D5354" s="27" t="s">
        <v>1450</v>
      </c>
      <c r="F5354" s="27" t="s">
        <v>1453</v>
      </c>
      <c r="H5354" s="27" t="s">
        <v>1454</v>
      </c>
      <c r="N5354" s="27" t="s">
        <v>6893</v>
      </c>
      <c r="P5354" s="27" t="s">
        <v>6895</v>
      </c>
      <c r="Q5354" s="26" t="str">
        <f>HYPERLINK("https://ictv.global/taxonomy/taxondetails?taxnode_id=202513639&amp;ictv_id=ICTV202113639","ICTV202113639")</f>
        <v>ICTV202113639</v>
      </c>
      <c r="R5354" t="s">
        <v>579</v>
      </c>
      <c r="S5354" t="s">
        <v>823</v>
      </c>
      <c r="T5354">
        <v>37</v>
      </c>
      <c r="U5354" s="26" t="str">
        <f>HYPERLINK("https://ictv.global/ictv/proposals/2021.078B.R.Siphoviridae_new_genera.zip","2021.078B.R.Siphoviridae_new_genera.zip")</f>
        <v>2021.078B.R.Siphoviridae_new_genera.zip</v>
      </c>
    </row>
    <row r="5355" spans="1:21">
      <c r="A5355">
        <v>5354</v>
      </c>
      <c r="B5355" s="27" t="s">
        <v>1449</v>
      </c>
      <c r="D5355" s="27" t="s">
        <v>1450</v>
      </c>
      <c r="F5355" s="27" t="s">
        <v>1453</v>
      </c>
      <c r="H5355" s="27" t="s">
        <v>1454</v>
      </c>
      <c r="N5355" s="27" t="s">
        <v>1349</v>
      </c>
      <c r="P5355" s="27" t="s">
        <v>6896</v>
      </c>
      <c r="Q5355" s="26" t="str">
        <f>HYPERLINK("https://ictv.global/taxonomy/taxondetails?taxnode_id=202500954&amp;ictv_id=ICTV20140320","ICTV20140320")</f>
        <v>ICTV20140320</v>
      </c>
      <c r="R5355" t="s">
        <v>579</v>
      </c>
      <c r="S5355" t="s">
        <v>824</v>
      </c>
      <c r="T5355">
        <v>37</v>
      </c>
      <c r="U5355" s="26" t="str">
        <f>HYPERLINK("https://ictv.global/ictv/proposals/2021.010B.R.Binomial_names.zip","2021.010B.R.Binomial_names.zip")</f>
        <v>2021.010B.R.Binomial_names.zip</v>
      </c>
    </row>
    <row r="5356" spans="1:21">
      <c r="A5356">
        <v>5355</v>
      </c>
      <c r="B5356" s="27" t="s">
        <v>1449</v>
      </c>
      <c r="D5356" s="27" t="s">
        <v>1450</v>
      </c>
      <c r="F5356" s="27" t="s">
        <v>1453</v>
      </c>
      <c r="H5356" s="27" t="s">
        <v>1454</v>
      </c>
      <c r="N5356" s="27" t="s">
        <v>1349</v>
      </c>
      <c r="P5356" s="27" t="s">
        <v>6897</v>
      </c>
      <c r="Q5356" s="26" t="str">
        <f>HYPERLINK("https://ictv.global/taxonomy/taxondetails?taxnode_id=202500955&amp;ictv_id=ICTV20140321","ICTV20140321")</f>
        <v>ICTV20140321</v>
      </c>
      <c r="R5356" t="s">
        <v>579</v>
      </c>
      <c r="S5356" t="s">
        <v>824</v>
      </c>
      <c r="T5356">
        <v>37</v>
      </c>
      <c r="U5356" s="26" t="str">
        <f>HYPERLINK("https://ictv.global/ictv/proposals/2021.010B.R.Binomial_names.zip","2021.010B.R.Binomial_names.zip")</f>
        <v>2021.010B.R.Binomial_names.zip</v>
      </c>
    </row>
    <row r="5357" spans="1:21">
      <c r="A5357">
        <v>5356</v>
      </c>
      <c r="B5357" s="27" t="s">
        <v>1449</v>
      </c>
      <c r="D5357" s="27" t="s">
        <v>1450</v>
      </c>
      <c r="F5357" s="27" t="s">
        <v>1453</v>
      </c>
      <c r="H5357" s="27" t="s">
        <v>1454</v>
      </c>
      <c r="N5357" s="27" t="s">
        <v>2258</v>
      </c>
      <c r="P5357" s="27" t="s">
        <v>6898</v>
      </c>
      <c r="Q5357" s="26" t="str">
        <f>HYPERLINK("https://ictv.global/taxonomy/taxondetails?taxnode_id=202509965&amp;ictv_id=ICTV202009965","ICTV202009965")</f>
        <v>ICTV202009965</v>
      </c>
      <c r="R5357" t="s">
        <v>579</v>
      </c>
      <c r="S5357" t="s">
        <v>824</v>
      </c>
      <c r="T5357">
        <v>37</v>
      </c>
      <c r="U5357" s="26" t="str">
        <f>HYPERLINK("https://ictv.global/ictv/proposals/2021.010B.R.Binomial_names.zip","2021.010B.R.Binomial_names.zip")</f>
        <v>2021.010B.R.Binomial_names.zip</v>
      </c>
    </row>
    <row r="5358" spans="1:21">
      <c r="A5358">
        <v>5357</v>
      </c>
      <c r="B5358" s="27" t="s">
        <v>1449</v>
      </c>
      <c r="D5358" s="27" t="s">
        <v>1450</v>
      </c>
      <c r="F5358" s="27" t="s">
        <v>1453</v>
      </c>
      <c r="H5358" s="27" t="s">
        <v>1454</v>
      </c>
      <c r="N5358" s="27" t="s">
        <v>1350</v>
      </c>
      <c r="P5358" s="27" t="s">
        <v>12069</v>
      </c>
      <c r="Q5358" s="26" t="str">
        <f>HYPERLINK("https://ictv.global/taxonomy/taxondetails?taxnode_id=202518435&amp;ictv_id=ICTV202318435","ICTV202318435")</f>
        <v>ICTV202318435</v>
      </c>
      <c r="R5358" t="s">
        <v>579</v>
      </c>
      <c r="S5358" t="s">
        <v>823</v>
      </c>
      <c r="T5358">
        <v>39</v>
      </c>
      <c r="U5358" s="26" t="str">
        <f t="shared" ref="U5358:U5366" si="210">HYPERLINK("https://ictv.global/ictv/proposals/2023.020B.Dhillonvirus_42ns.zip","2023.020B.Dhillonvirus_42ns.zip")</f>
        <v>2023.020B.Dhillonvirus_42ns.zip</v>
      </c>
    </row>
    <row r="5359" spans="1:21">
      <c r="A5359">
        <v>5358</v>
      </c>
      <c r="B5359" s="27" t="s">
        <v>1449</v>
      </c>
      <c r="D5359" s="27" t="s">
        <v>1450</v>
      </c>
      <c r="F5359" s="27" t="s">
        <v>1453</v>
      </c>
      <c r="H5359" s="27" t="s">
        <v>1454</v>
      </c>
      <c r="N5359" s="27" t="s">
        <v>1350</v>
      </c>
      <c r="P5359" s="27" t="s">
        <v>12070</v>
      </c>
      <c r="Q5359" s="26" t="str">
        <f>HYPERLINK("https://ictv.global/taxonomy/taxondetails?taxnode_id=202518449&amp;ictv_id=ICTV202318449","ICTV202318449")</f>
        <v>ICTV202318449</v>
      </c>
      <c r="R5359" t="s">
        <v>579</v>
      </c>
      <c r="S5359" t="s">
        <v>823</v>
      </c>
      <c r="T5359">
        <v>39</v>
      </c>
      <c r="U5359" s="26" t="str">
        <f t="shared" si="210"/>
        <v>2023.020B.Dhillonvirus_42ns.zip</v>
      </c>
    </row>
    <row r="5360" spans="1:21">
      <c r="A5360">
        <v>5359</v>
      </c>
      <c r="B5360" s="27" t="s">
        <v>1449</v>
      </c>
      <c r="D5360" s="27" t="s">
        <v>1450</v>
      </c>
      <c r="F5360" s="27" t="s">
        <v>1453</v>
      </c>
      <c r="H5360" s="27" t="s">
        <v>1454</v>
      </c>
      <c r="N5360" s="27" t="s">
        <v>1350</v>
      </c>
      <c r="P5360" s="27" t="s">
        <v>12071</v>
      </c>
      <c r="Q5360" s="26" t="str">
        <f>HYPERLINK("https://ictv.global/taxonomy/taxondetails?taxnode_id=202518438&amp;ictv_id=ICTV202318438","ICTV202318438")</f>
        <v>ICTV202318438</v>
      </c>
      <c r="R5360" t="s">
        <v>579</v>
      </c>
      <c r="S5360" t="s">
        <v>823</v>
      </c>
      <c r="T5360">
        <v>39</v>
      </c>
      <c r="U5360" s="26" t="str">
        <f t="shared" si="210"/>
        <v>2023.020B.Dhillonvirus_42ns.zip</v>
      </c>
    </row>
    <row r="5361" spans="1:21">
      <c r="A5361">
        <v>5360</v>
      </c>
      <c r="B5361" s="27" t="s">
        <v>1449</v>
      </c>
      <c r="D5361" s="27" t="s">
        <v>1450</v>
      </c>
      <c r="F5361" s="27" t="s">
        <v>1453</v>
      </c>
      <c r="H5361" s="27" t="s">
        <v>1454</v>
      </c>
      <c r="N5361" s="27" t="s">
        <v>1350</v>
      </c>
      <c r="P5361" s="27" t="s">
        <v>12072</v>
      </c>
      <c r="Q5361" s="26" t="str">
        <f>HYPERLINK("https://ictv.global/taxonomy/taxondetails?taxnode_id=202518450&amp;ictv_id=ICTV202318450","ICTV202318450")</f>
        <v>ICTV202318450</v>
      </c>
      <c r="R5361" t="s">
        <v>579</v>
      </c>
      <c r="S5361" t="s">
        <v>823</v>
      </c>
      <c r="T5361">
        <v>39</v>
      </c>
      <c r="U5361" s="26" t="str">
        <f t="shared" si="210"/>
        <v>2023.020B.Dhillonvirus_42ns.zip</v>
      </c>
    </row>
    <row r="5362" spans="1:21">
      <c r="A5362">
        <v>5361</v>
      </c>
      <c r="B5362" s="27" t="s">
        <v>1449</v>
      </c>
      <c r="D5362" s="27" t="s">
        <v>1450</v>
      </c>
      <c r="F5362" s="27" t="s">
        <v>1453</v>
      </c>
      <c r="H5362" s="27" t="s">
        <v>1454</v>
      </c>
      <c r="N5362" s="27" t="s">
        <v>1350</v>
      </c>
      <c r="P5362" s="27" t="s">
        <v>12073</v>
      </c>
      <c r="Q5362" s="26" t="str">
        <f>HYPERLINK("https://ictv.global/taxonomy/taxondetails?taxnode_id=202518436&amp;ictv_id=ICTV202318436","ICTV202318436")</f>
        <v>ICTV202318436</v>
      </c>
      <c r="R5362" t="s">
        <v>579</v>
      </c>
      <c r="S5362" t="s">
        <v>823</v>
      </c>
      <c r="T5362">
        <v>39</v>
      </c>
      <c r="U5362" s="26" t="str">
        <f t="shared" si="210"/>
        <v>2023.020B.Dhillonvirus_42ns.zip</v>
      </c>
    </row>
    <row r="5363" spans="1:21">
      <c r="A5363">
        <v>5362</v>
      </c>
      <c r="B5363" s="27" t="s">
        <v>1449</v>
      </c>
      <c r="D5363" s="27" t="s">
        <v>1450</v>
      </c>
      <c r="F5363" s="27" t="s">
        <v>1453</v>
      </c>
      <c r="H5363" s="27" t="s">
        <v>1454</v>
      </c>
      <c r="N5363" s="27" t="s">
        <v>1350</v>
      </c>
      <c r="P5363" s="27" t="s">
        <v>12074</v>
      </c>
      <c r="Q5363" s="26" t="str">
        <f>HYPERLINK("https://ictv.global/taxonomy/taxondetails?taxnode_id=202518425&amp;ictv_id=ICTV202318425","ICTV202318425")</f>
        <v>ICTV202318425</v>
      </c>
      <c r="R5363" t="s">
        <v>579</v>
      </c>
      <c r="S5363" t="s">
        <v>823</v>
      </c>
      <c r="T5363">
        <v>39</v>
      </c>
      <c r="U5363" s="26" t="str">
        <f t="shared" si="210"/>
        <v>2023.020B.Dhillonvirus_42ns.zip</v>
      </c>
    </row>
    <row r="5364" spans="1:21">
      <c r="A5364">
        <v>5363</v>
      </c>
      <c r="B5364" s="27" t="s">
        <v>1449</v>
      </c>
      <c r="D5364" s="27" t="s">
        <v>1450</v>
      </c>
      <c r="F5364" s="27" t="s">
        <v>1453</v>
      </c>
      <c r="H5364" s="27" t="s">
        <v>1454</v>
      </c>
      <c r="N5364" s="27" t="s">
        <v>1350</v>
      </c>
      <c r="P5364" s="27" t="s">
        <v>12075</v>
      </c>
      <c r="Q5364" s="26" t="str">
        <f>HYPERLINK("https://ictv.global/taxonomy/taxondetails?taxnode_id=202518427&amp;ictv_id=ICTV202318427","ICTV202318427")</f>
        <v>ICTV202318427</v>
      </c>
      <c r="R5364" t="s">
        <v>579</v>
      </c>
      <c r="S5364" t="s">
        <v>823</v>
      </c>
      <c r="T5364">
        <v>39</v>
      </c>
      <c r="U5364" s="26" t="str">
        <f t="shared" si="210"/>
        <v>2023.020B.Dhillonvirus_42ns.zip</v>
      </c>
    </row>
    <row r="5365" spans="1:21">
      <c r="A5365">
        <v>5364</v>
      </c>
      <c r="B5365" s="27" t="s">
        <v>1449</v>
      </c>
      <c r="D5365" s="27" t="s">
        <v>1450</v>
      </c>
      <c r="F5365" s="27" t="s">
        <v>1453</v>
      </c>
      <c r="H5365" s="27" t="s">
        <v>1454</v>
      </c>
      <c r="N5365" s="27" t="s">
        <v>1350</v>
      </c>
      <c r="P5365" s="27" t="s">
        <v>12076</v>
      </c>
      <c r="Q5365" s="26" t="str">
        <f>HYPERLINK("https://ictv.global/taxonomy/taxondetails?taxnode_id=202518451&amp;ictv_id=ICTV202318451","ICTV202318451")</f>
        <v>ICTV202318451</v>
      </c>
      <c r="R5365" t="s">
        <v>579</v>
      </c>
      <c r="S5365" t="s">
        <v>823</v>
      </c>
      <c r="T5365">
        <v>39</v>
      </c>
      <c r="U5365" s="26" t="str">
        <f t="shared" si="210"/>
        <v>2023.020B.Dhillonvirus_42ns.zip</v>
      </c>
    </row>
    <row r="5366" spans="1:21">
      <c r="A5366">
        <v>5365</v>
      </c>
      <c r="B5366" s="27" t="s">
        <v>1449</v>
      </c>
      <c r="D5366" s="27" t="s">
        <v>1450</v>
      </c>
      <c r="F5366" s="27" t="s">
        <v>1453</v>
      </c>
      <c r="H5366" s="27" t="s">
        <v>1454</v>
      </c>
      <c r="N5366" s="27" t="s">
        <v>1350</v>
      </c>
      <c r="P5366" s="27" t="s">
        <v>12077</v>
      </c>
      <c r="Q5366" s="26" t="str">
        <f>HYPERLINK("https://ictv.global/taxonomy/taxondetails?taxnode_id=202518446&amp;ictv_id=ICTV202318446","ICTV202318446")</f>
        <v>ICTV202318446</v>
      </c>
      <c r="R5366" t="s">
        <v>579</v>
      </c>
      <c r="S5366" t="s">
        <v>823</v>
      </c>
      <c r="T5366">
        <v>39</v>
      </c>
      <c r="U5366" s="26" t="str">
        <f t="shared" si="210"/>
        <v>2023.020B.Dhillonvirus_42ns.zip</v>
      </c>
    </row>
    <row r="5367" spans="1:21">
      <c r="A5367">
        <v>5366</v>
      </c>
      <c r="B5367" s="27" t="s">
        <v>1449</v>
      </c>
      <c r="D5367" s="27" t="s">
        <v>1450</v>
      </c>
      <c r="F5367" s="27" t="s">
        <v>1453</v>
      </c>
      <c r="H5367" s="27" t="s">
        <v>1454</v>
      </c>
      <c r="N5367" s="27" t="s">
        <v>1350</v>
      </c>
      <c r="P5367" s="27" t="s">
        <v>6903</v>
      </c>
      <c r="Q5367" s="26" t="str">
        <f>HYPERLINK("https://ictv.global/taxonomy/taxondetails?taxnode_id=202500983&amp;ictv_id=ICTV20164994","ICTV20164994")</f>
        <v>ICTV20164994</v>
      </c>
      <c r="R5367" t="s">
        <v>579</v>
      </c>
      <c r="S5367" t="s">
        <v>824</v>
      </c>
      <c r="T5367">
        <v>37</v>
      </c>
      <c r="U5367" s="26" t="str">
        <f>HYPERLINK("https://ictv.global/ictv/proposals/2021.010B.R.Binomial_names.zip","2021.010B.R.Binomial_names.zip")</f>
        <v>2021.010B.R.Binomial_names.zip</v>
      </c>
    </row>
    <row r="5368" spans="1:21">
      <c r="A5368">
        <v>5367</v>
      </c>
      <c r="B5368" s="27" t="s">
        <v>1449</v>
      </c>
      <c r="D5368" s="27" t="s">
        <v>1450</v>
      </c>
      <c r="F5368" s="27" t="s">
        <v>1453</v>
      </c>
      <c r="H5368" s="27" t="s">
        <v>1454</v>
      </c>
      <c r="N5368" s="27" t="s">
        <v>1350</v>
      </c>
      <c r="P5368" s="27" t="s">
        <v>12078</v>
      </c>
      <c r="Q5368" s="26" t="str">
        <f>HYPERLINK("https://ictv.global/taxonomy/taxondetails?taxnode_id=202518419&amp;ictv_id=ICTV202318419","ICTV202318419")</f>
        <v>ICTV202318419</v>
      </c>
      <c r="R5368" t="s">
        <v>579</v>
      </c>
      <c r="S5368" t="s">
        <v>823</v>
      </c>
      <c r="T5368">
        <v>39</v>
      </c>
      <c r="U5368" s="26" t="str">
        <f>HYPERLINK("https://ictv.global/ictv/proposals/2023.020B.Dhillonvirus_42ns.zip","2023.020B.Dhillonvirus_42ns.zip")</f>
        <v>2023.020B.Dhillonvirus_42ns.zip</v>
      </c>
    </row>
    <row r="5369" spans="1:21">
      <c r="A5369">
        <v>5368</v>
      </c>
      <c r="B5369" s="27" t="s">
        <v>1449</v>
      </c>
      <c r="D5369" s="27" t="s">
        <v>1450</v>
      </c>
      <c r="F5369" s="27" t="s">
        <v>1453</v>
      </c>
      <c r="H5369" s="27" t="s">
        <v>1454</v>
      </c>
      <c r="N5369" s="27" t="s">
        <v>1350</v>
      </c>
      <c r="P5369" s="27" t="s">
        <v>6904</v>
      </c>
      <c r="Q5369" s="26" t="str">
        <f>HYPERLINK("https://ictv.global/taxonomy/taxondetails?taxnode_id=202500988&amp;ictv_id=ICTV20140452","ICTV20140452")</f>
        <v>ICTV20140452</v>
      </c>
      <c r="R5369" t="s">
        <v>579</v>
      </c>
      <c r="S5369" t="s">
        <v>824</v>
      </c>
      <c r="T5369">
        <v>37</v>
      </c>
      <c r="U5369" s="26" t="str">
        <f>HYPERLINK("https://ictv.global/ictv/proposals/2021.010B.R.Binomial_names.zip","2021.010B.R.Binomial_names.zip")</f>
        <v>2021.010B.R.Binomial_names.zip</v>
      </c>
    </row>
    <row r="5370" spans="1:21">
      <c r="A5370">
        <v>5369</v>
      </c>
      <c r="B5370" s="27" t="s">
        <v>1449</v>
      </c>
      <c r="D5370" s="27" t="s">
        <v>1450</v>
      </c>
      <c r="F5370" s="27" t="s">
        <v>1453</v>
      </c>
      <c r="H5370" s="27" t="s">
        <v>1454</v>
      </c>
      <c r="N5370" s="27" t="s">
        <v>1350</v>
      </c>
      <c r="P5370" s="27" t="s">
        <v>12079</v>
      </c>
      <c r="Q5370" s="26" t="str">
        <f>HYPERLINK("https://ictv.global/taxonomy/taxondetails?taxnode_id=202518432&amp;ictv_id=ICTV202318432","ICTV202318432")</f>
        <v>ICTV202318432</v>
      </c>
      <c r="R5370" t="s">
        <v>579</v>
      </c>
      <c r="S5370" t="s">
        <v>823</v>
      </c>
      <c r="T5370">
        <v>39</v>
      </c>
      <c r="U5370" s="26" t="str">
        <f>HYPERLINK("https://ictv.global/ictv/proposals/2023.020B.Dhillonvirus_42ns.zip","2023.020B.Dhillonvirus_42ns.zip")</f>
        <v>2023.020B.Dhillonvirus_42ns.zip</v>
      </c>
    </row>
    <row r="5371" spans="1:21">
      <c r="A5371">
        <v>5370</v>
      </c>
      <c r="B5371" s="27" t="s">
        <v>1449</v>
      </c>
      <c r="D5371" s="27" t="s">
        <v>1450</v>
      </c>
      <c r="F5371" s="27" t="s">
        <v>1453</v>
      </c>
      <c r="H5371" s="27" t="s">
        <v>1454</v>
      </c>
      <c r="N5371" s="27" t="s">
        <v>1350</v>
      </c>
      <c r="P5371" s="27" t="s">
        <v>12080</v>
      </c>
      <c r="Q5371" s="26" t="str">
        <f>HYPERLINK("https://ictv.global/taxonomy/taxondetails?taxnode_id=202518416&amp;ictv_id=ICTV202318416","ICTV202318416")</f>
        <v>ICTV202318416</v>
      </c>
      <c r="R5371" t="s">
        <v>579</v>
      </c>
      <c r="S5371" t="s">
        <v>823</v>
      </c>
      <c r="T5371">
        <v>39</v>
      </c>
      <c r="U5371" s="26" t="str">
        <f>HYPERLINK("https://ictv.global/ictv/proposals/2023.020B.Dhillonvirus_42ns.zip","2023.020B.Dhillonvirus_42ns.zip")</f>
        <v>2023.020B.Dhillonvirus_42ns.zip</v>
      </c>
    </row>
    <row r="5372" spans="1:21">
      <c r="A5372">
        <v>5371</v>
      </c>
      <c r="B5372" s="27" t="s">
        <v>1449</v>
      </c>
      <c r="D5372" s="27" t="s">
        <v>1450</v>
      </c>
      <c r="F5372" s="27" t="s">
        <v>1453</v>
      </c>
      <c r="H5372" s="27" t="s">
        <v>1454</v>
      </c>
      <c r="N5372" s="27" t="s">
        <v>1350</v>
      </c>
      <c r="P5372" s="27" t="s">
        <v>12081</v>
      </c>
      <c r="Q5372" s="26" t="str">
        <f>HYPERLINK("https://ictv.global/taxonomy/taxondetails?taxnode_id=202518453&amp;ictv_id=ICTV202318453","ICTV202318453")</f>
        <v>ICTV202318453</v>
      </c>
      <c r="R5372" t="s">
        <v>579</v>
      </c>
      <c r="S5372" t="s">
        <v>823</v>
      </c>
      <c r="T5372">
        <v>39</v>
      </c>
      <c r="U5372" s="26" t="str">
        <f>HYPERLINK("https://ictv.global/ictv/proposals/2023.020B.Dhillonvirus_42ns.zip","2023.020B.Dhillonvirus_42ns.zip")</f>
        <v>2023.020B.Dhillonvirus_42ns.zip</v>
      </c>
    </row>
    <row r="5373" spans="1:21">
      <c r="A5373">
        <v>5372</v>
      </c>
      <c r="B5373" s="27" t="s">
        <v>1449</v>
      </c>
      <c r="D5373" s="27" t="s">
        <v>1450</v>
      </c>
      <c r="F5373" s="27" t="s">
        <v>1453</v>
      </c>
      <c r="H5373" s="27" t="s">
        <v>1454</v>
      </c>
      <c r="N5373" s="27" t="s">
        <v>1350</v>
      </c>
      <c r="P5373" s="27" t="s">
        <v>6905</v>
      </c>
      <c r="Q5373" s="26" t="str">
        <f>HYPERLINK("https://ictv.global/taxonomy/taxondetails?taxnode_id=202500984&amp;ictv_id=ICTV20140450","ICTV20140450")</f>
        <v>ICTV20140450</v>
      </c>
      <c r="R5373" t="s">
        <v>579</v>
      </c>
      <c r="S5373" t="s">
        <v>824</v>
      </c>
      <c r="T5373">
        <v>37</v>
      </c>
      <c r="U5373" s="26" t="str">
        <f>HYPERLINK("https://ictv.global/ictv/proposals/2021.010B.R.Binomial_names.zip","2021.010B.R.Binomial_names.zip")</f>
        <v>2021.010B.R.Binomial_names.zip</v>
      </c>
    </row>
    <row r="5374" spans="1:21">
      <c r="A5374">
        <v>5373</v>
      </c>
      <c r="B5374" s="27" t="s">
        <v>1449</v>
      </c>
      <c r="D5374" s="27" t="s">
        <v>1450</v>
      </c>
      <c r="F5374" s="27" t="s">
        <v>1453</v>
      </c>
      <c r="H5374" s="27" t="s">
        <v>1454</v>
      </c>
      <c r="N5374" s="27" t="s">
        <v>1350</v>
      </c>
      <c r="P5374" s="27" t="s">
        <v>12082</v>
      </c>
      <c r="Q5374" s="26" t="str">
        <f>HYPERLINK("https://ictv.global/taxonomy/taxondetails?taxnode_id=202518442&amp;ictv_id=ICTV202318442","ICTV202318442")</f>
        <v>ICTV202318442</v>
      </c>
      <c r="R5374" t="s">
        <v>579</v>
      </c>
      <c r="S5374" t="s">
        <v>823</v>
      </c>
      <c r="T5374">
        <v>39</v>
      </c>
      <c r="U5374" s="26" t="str">
        <f>HYPERLINK("https://ictv.global/ictv/proposals/2023.020B.Dhillonvirus_42ns.zip","2023.020B.Dhillonvirus_42ns.zip")</f>
        <v>2023.020B.Dhillonvirus_42ns.zip</v>
      </c>
    </row>
    <row r="5375" spans="1:21">
      <c r="A5375">
        <v>5374</v>
      </c>
      <c r="B5375" s="27" t="s">
        <v>1449</v>
      </c>
      <c r="D5375" s="27" t="s">
        <v>1450</v>
      </c>
      <c r="F5375" s="27" t="s">
        <v>1453</v>
      </c>
      <c r="H5375" s="27" t="s">
        <v>1454</v>
      </c>
      <c r="N5375" s="27" t="s">
        <v>1350</v>
      </c>
      <c r="P5375" s="27" t="s">
        <v>6906</v>
      </c>
      <c r="Q5375" s="26" t="str">
        <f>HYPERLINK("https://ictv.global/taxonomy/taxondetails?taxnode_id=202500985&amp;ictv_id=ICTV20140453","ICTV20140453")</f>
        <v>ICTV20140453</v>
      </c>
      <c r="R5375" t="s">
        <v>579</v>
      </c>
      <c r="S5375" t="s">
        <v>824</v>
      </c>
      <c r="T5375">
        <v>37</v>
      </c>
      <c r="U5375" s="26" t="str">
        <f>HYPERLINK("https://ictv.global/ictv/proposals/2021.010B.R.Binomial_names.zip","2021.010B.R.Binomial_names.zip")</f>
        <v>2021.010B.R.Binomial_names.zip</v>
      </c>
    </row>
    <row r="5376" spans="1:21">
      <c r="A5376">
        <v>5375</v>
      </c>
      <c r="B5376" s="27" t="s">
        <v>1449</v>
      </c>
      <c r="D5376" s="27" t="s">
        <v>1450</v>
      </c>
      <c r="F5376" s="27" t="s">
        <v>1453</v>
      </c>
      <c r="H5376" s="27" t="s">
        <v>1454</v>
      </c>
      <c r="N5376" s="27" t="s">
        <v>1350</v>
      </c>
      <c r="P5376" s="27" t="s">
        <v>12083</v>
      </c>
      <c r="Q5376" s="26" t="str">
        <f>HYPERLINK("https://ictv.global/taxonomy/taxondetails?taxnode_id=202518420&amp;ictv_id=ICTV202318420","ICTV202318420")</f>
        <v>ICTV202318420</v>
      </c>
      <c r="R5376" t="s">
        <v>579</v>
      </c>
      <c r="S5376" t="s">
        <v>823</v>
      </c>
      <c r="T5376">
        <v>39</v>
      </c>
      <c r="U5376" s="26" t="str">
        <f t="shared" ref="U5376:U5393" si="211">HYPERLINK("https://ictv.global/ictv/proposals/2023.020B.Dhillonvirus_42ns.zip","2023.020B.Dhillonvirus_42ns.zip")</f>
        <v>2023.020B.Dhillonvirus_42ns.zip</v>
      </c>
    </row>
    <row r="5377" spans="1:21">
      <c r="A5377">
        <v>5376</v>
      </c>
      <c r="B5377" s="27" t="s">
        <v>1449</v>
      </c>
      <c r="D5377" s="27" t="s">
        <v>1450</v>
      </c>
      <c r="F5377" s="27" t="s">
        <v>1453</v>
      </c>
      <c r="H5377" s="27" t="s">
        <v>1454</v>
      </c>
      <c r="N5377" s="27" t="s">
        <v>1350</v>
      </c>
      <c r="P5377" s="27" t="s">
        <v>12084</v>
      </c>
      <c r="Q5377" s="26" t="str">
        <f>HYPERLINK("https://ictv.global/taxonomy/taxondetails?taxnode_id=202518417&amp;ictv_id=ICTV202318417","ICTV202318417")</f>
        <v>ICTV202318417</v>
      </c>
      <c r="R5377" t="s">
        <v>579</v>
      </c>
      <c r="S5377" t="s">
        <v>823</v>
      </c>
      <c r="T5377">
        <v>39</v>
      </c>
      <c r="U5377" s="26" t="str">
        <f t="shared" si="211"/>
        <v>2023.020B.Dhillonvirus_42ns.zip</v>
      </c>
    </row>
    <row r="5378" spans="1:21">
      <c r="A5378">
        <v>5377</v>
      </c>
      <c r="B5378" s="27" t="s">
        <v>1449</v>
      </c>
      <c r="D5378" s="27" t="s">
        <v>1450</v>
      </c>
      <c r="F5378" s="27" t="s">
        <v>1453</v>
      </c>
      <c r="H5378" s="27" t="s">
        <v>1454</v>
      </c>
      <c r="N5378" s="27" t="s">
        <v>1350</v>
      </c>
      <c r="P5378" s="27" t="s">
        <v>12085</v>
      </c>
      <c r="Q5378" s="26" t="str">
        <f>HYPERLINK("https://ictv.global/taxonomy/taxondetails?taxnode_id=202518423&amp;ictv_id=ICTV202318423","ICTV202318423")</f>
        <v>ICTV202318423</v>
      </c>
      <c r="R5378" t="s">
        <v>579</v>
      </c>
      <c r="S5378" t="s">
        <v>823</v>
      </c>
      <c r="T5378">
        <v>39</v>
      </c>
      <c r="U5378" s="26" t="str">
        <f t="shared" si="211"/>
        <v>2023.020B.Dhillonvirus_42ns.zip</v>
      </c>
    </row>
    <row r="5379" spans="1:21">
      <c r="A5379">
        <v>5378</v>
      </c>
      <c r="B5379" s="27" t="s">
        <v>1449</v>
      </c>
      <c r="D5379" s="27" t="s">
        <v>1450</v>
      </c>
      <c r="F5379" s="27" t="s">
        <v>1453</v>
      </c>
      <c r="H5379" s="27" t="s">
        <v>1454</v>
      </c>
      <c r="N5379" s="27" t="s">
        <v>1350</v>
      </c>
      <c r="P5379" s="27" t="s">
        <v>12086</v>
      </c>
      <c r="Q5379" s="26" t="str">
        <f>HYPERLINK("https://ictv.global/taxonomy/taxondetails?taxnode_id=202518452&amp;ictv_id=ICTV202318452","ICTV202318452")</f>
        <v>ICTV202318452</v>
      </c>
      <c r="R5379" t="s">
        <v>579</v>
      </c>
      <c r="S5379" t="s">
        <v>823</v>
      </c>
      <c r="T5379">
        <v>39</v>
      </c>
      <c r="U5379" s="26" t="str">
        <f t="shared" si="211"/>
        <v>2023.020B.Dhillonvirus_42ns.zip</v>
      </c>
    </row>
    <row r="5380" spans="1:21">
      <c r="A5380">
        <v>5379</v>
      </c>
      <c r="B5380" s="27" t="s">
        <v>1449</v>
      </c>
      <c r="D5380" s="27" t="s">
        <v>1450</v>
      </c>
      <c r="F5380" s="27" t="s">
        <v>1453</v>
      </c>
      <c r="H5380" s="27" t="s">
        <v>1454</v>
      </c>
      <c r="N5380" s="27" t="s">
        <v>1350</v>
      </c>
      <c r="P5380" s="27" t="s">
        <v>12087</v>
      </c>
      <c r="Q5380" s="26" t="str">
        <f>HYPERLINK("https://ictv.global/taxonomy/taxondetails?taxnode_id=202518443&amp;ictv_id=ICTV202318443","ICTV202318443")</f>
        <v>ICTV202318443</v>
      </c>
      <c r="R5380" t="s">
        <v>579</v>
      </c>
      <c r="S5380" t="s">
        <v>823</v>
      </c>
      <c r="T5380">
        <v>39</v>
      </c>
      <c r="U5380" s="26" t="str">
        <f t="shared" si="211"/>
        <v>2023.020B.Dhillonvirus_42ns.zip</v>
      </c>
    </row>
    <row r="5381" spans="1:21">
      <c r="A5381">
        <v>5380</v>
      </c>
      <c r="B5381" s="27" t="s">
        <v>1449</v>
      </c>
      <c r="D5381" s="27" t="s">
        <v>1450</v>
      </c>
      <c r="F5381" s="27" t="s">
        <v>1453</v>
      </c>
      <c r="H5381" s="27" t="s">
        <v>1454</v>
      </c>
      <c r="N5381" s="27" t="s">
        <v>1350</v>
      </c>
      <c r="P5381" s="27" t="s">
        <v>12088</v>
      </c>
      <c r="Q5381" s="26" t="str">
        <f>HYPERLINK("https://ictv.global/taxonomy/taxondetails?taxnode_id=202518439&amp;ictv_id=ICTV202318439","ICTV202318439")</f>
        <v>ICTV202318439</v>
      </c>
      <c r="R5381" t="s">
        <v>579</v>
      </c>
      <c r="S5381" t="s">
        <v>823</v>
      </c>
      <c r="T5381">
        <v>39</v>
      </c>
      <c r="U5381" s="26" t="str">
        <f t="shared" si="211"/>
        <v>2023.020B.Dhillonvirus_42ns.zip</v>
      </c>
    </row>
    <row r="5382" spans="1:21">
      <c r="A5382">
        <v>5381</v>
      </c>
      <c r="B5382" s="27" t="s">
        <v>1449</v>
      </c>
      <c r="D5382" s="27" t="s">
        <v>1450</v>
      </c>
      <c r="F5382" s="27" t="s">
        <v>1453</v>
      </c>
      <c r="H5382" s="27" t="s">
        <v>1454</v>
      </c>
      <c r="N5382" s="27" t="s">
        <v>1350</v>
      </c>
      <c r="P5382" s="27" t="s">
        <v>12089</v>
      </c>
      <c r="Q5382" s="26" t="str">
        <f>HYPERLINK("https://ictv.global/taxonomy/taxondetails?taxnode_id=202518455&amp;ictv_id=ICTV202318455","ICTV202318455")</f>
        <v>ICTV202318455</v>
      </c>
      <c r="R5382" t="s">
        <v>579</v>
      </c>
      <c r="S5382" t="s">
        <v>823</v>
      </c>
      <c r="T5382">
        <v>39</v>
      </c>
      <c r="U5382" s="26" t="str">
        <f t="shared" si="211"/>
        <v>2023.020B.Dhillonvirus_42ns.zip</v>
      </c>
    </row>
    <row r="5383" spans="1:21">
      <c r="A5383">
        <v>5382</v>
      </c>
      <c r="B5383" s="27" t="s">
        <v>1449</v>
      </c>
      <c r="D5383" s="27" t="s">
        <v>1450</v>
      </c>
      <c r="F5383" s="27" t="s">
        <v>1453</v>
      </c>
      <c r="H5383" s="27" t="s">
        <v>1454</v>
      </c>
      <c r="N5383" s="27" t="s">
        <v>1350</v>
      </c>
      <c r="P5383" s="27" t="s">
        <v>12090</v>
      </c>
      <c r="Q5383" s="26" t="str">
        <f>HYPERLINK("https://ictv.global/taxonomy/taxondetails?taxnode_id=202518421&amp;ictv_id=ICTV202318421","ICTV202318421")</f>
        <v>ICTV202318421</v>
      </c>
      <c r="R5383" t="s">
        <v>579</v>
      </c>
      <c r="S5383" t="s">
        <v>823</v>
      </c>
      <c r="T5383">
        <v>39</v>
      </c>
      <c r="U5383" s="26" t="str">
        <f t="shared" si="211"/>
        <v>2023.020B.Dhillonvirus_42ns.zip</v>
      </c>
    </row>
    <row r="5384" spans="1:21">
      <c r="A5384">
        <v>5383</v>
      </c>
      <c r="B5384" s="27" t="s">
        <v>1449</v>
      </c>
      <c r="D5384" s="27" t="s">
        <v>1450</v>
      </c>
      <c r="F5384" s="27" t="s">
        <v>1453</v>
      </c>
      <c r="H5384" s="27" t="s">
        <v>1454</v>
      </c>
      <c r="N5384" s="27" t="s">
        <v>1350</v>
      </c>
      <c r="P5384" s="27" t="s">
        <v>12091</v>
      </c>
      <c r="Q5384" s="26" t="str">
        <f>HYPERLINK("https://ictv.global/taxonomy/taxondetails?taxnode_id=202518445&amp;ictv_id=ICTV202318445","ICTV202318445")</f>
        <v>ICTV202318445</v>
      </c>
      <c r="R5384" t="s">
        <v>579</v>
      </c>
      <c r="S5384" t="s">
        <v>823</v>
      </c>
      <c r="T5384">
        <v>39</v>
      </c>
      <c r="U5384" s="26" t="str">
        <f t="shared" si="211"/>
        <v>2023.020B.Dhillonvirus_42ns.zip</v>
      </c>
    </row>
    <row r="5385" spans="1:21">
      <c r="A5385">
        <v>5384</v>
      </c>
      <c r="B5385" s="27" t="s">
        <v>1449</v>
      </c>
      <c r="D5385" s="27" t="s">
        <v>1450</v>
      </c>
      <c r="F5385" s="27" t="s">
        <v>1453</v>
      </c>
      <c r="H5385" s="27" t="s">
        <v>1454</v>
      </c>
      <c r="N5385" s="27" t="s">
        <v>1350</v>
      </c>
      <c r="P5385" s="27" t="s">
        <v>12092</v>
      </c>
      <c r="Q5385" s="26" t="str">
        <f>HYPERLINK("https://ictv.global/taxonomy/taxondetails?taxnode_id=202518433&amp;ictv_id=ICTV202318433","ICTV202318433")</f>
        <v>ICTV202318433</v>
      </c>
      <c r="R5385" t="s">
        <v>579</v>
      </c>
      <c r="S5385" t="s">
        <v>823</v>
      </c>
      <c r="T5385">
        <v>39</v>
      </c>
      <c r="U5385" s="26" t="str">
        <f t="shared" si="211"/>
        <v>2023.020B.Dhillonvirus_42ns.zip</v>
      </c>
    </row>
    <row r="5386" spans="1:21">
      <c r="A5386">
        <v>5385</v>
      </c>
      <c r="B5386" s="27" t="s">
        <v>1449</v>
      </c>
      <c r="D5386" s="27" t="s">
        <v>1450</v>
      </c>
      <c r="F5386" s="27" t="s">
        <v>1453</v>
      </c>
      <c r="H5386" s="27" t="s">
        <v>1454</v>
      </c>
      <c r="N5386" s="27" t="s">
        <v>1350</v>
      </c>
      <c r="P5386" s="27" t="s">
        <v>12093</v>
      </c>
      <c r="Q5386" s="26" t="str">
        <f>HYPERLINK("https://ictv.global/taxonomy/taxondetails?taxnode_id=202518454&amp;ictv_id=ICTV202318454","ICTV202318454")</f>
        <v>ICTV202318454</v>
      </c>
      <c r="R5386" t="s">
        <v>579</v>
      </c>
      <c r="S5386" t="s">
        <v>823</v>
      </c>
      <c r="T5386">
        <v>39</v>
      </c>
      <c r="U5386" s="26" t="str">
        <f t="shared" si="211"/>
        <v>2023.020B.Dhillonvirus_42ns.zip</v>
      </c>
    </row>
    <row r="5387" spans="1:21">
      <c r="A5387">
        <v>5386</v>
      </c>
      <c r="B5387" s="27" t="s">
        <v>1449</v>
      </c>
      <c r="D5387" s="27" t="s">
        <v>1450</v>
      </c>
      <c r="F5387" s="27" t="s">
        <v>1453</v>
      </c>
      <c r="H5387" s="27" t="s">
        <v>1454</v>
      </c>
      <c r="N5387" s="27" t="s">
        <v>1350</v>
      </c>
      <c r="P5387" s="27" t="s">
        <v>12094</v>
      </c>
      <c r="Q5387" s="26" t="str">
        <f>HYPERLINK("https://ictv.global/taxonomy/taxondetails?taxnode_id=202518415&amp;ictv_id=ICTV202318415","ICTV202318415")</f>
        <v>ICTV202318415</v>
      </c>
      <c r="R5387" t="s">
        <v>579</v>
      </c>
      <c r="S5387" t="s">
        <v>823</v>
      </c>
      <c r="T5387">
        <v>39</v>
      </c>
      <c r="U5387" s="26" t="str">
        <f t="shared" si="211"/>
        <v>2023.020B.Dhillonvirus_42ns.zip</v>
      </c>
    </row>
    <row r="5388" spans="1:21">
      <c r="A5388">
        <v>5387</v>
      </c>
      <c r="B5388" s="27" t="s">
        <v>1449</v>
      </c>
      <c r="D5388" s="27" t="s">
        <v>1450</v>
      </c>
      <c r="F5388" s="27" t="s">
        <v>1453</v>
      </c>
      <c r="H5388" s="27" t="s">
        <v>1454</v>
      </c>
      <c r="N5388" s="27" t="s">
        <v>1350</v>
      </c>
      <c r="P5388" s="27" t="s">
        <v>12095</v>
      </c>
      <c r="Q5388" s="26" t="str">
        <f>HYPERLINK("https://ictv.global/taxonomy/taxondetails?taxnode_id=202518429&amp;ictv_id=ICTV202318429","ICTV202318429")</f>
        <v>ICTV202318429</v>
      </c>
      <c r="R5388" t="s">
        <v>579</v>
      </c>
      <c r="S5388" t="s">
        <v>823</v>
      </c>
      <c r="T5388">
        <v>39</v>
      </c>
      <c r="U5388" s="26" t="str">
        <f t="shared" si="211"/>
        <v>2023.020B.Dhillonvirus_42ns.zip</v>
      </c>
    </row>
    <row r="5389" spans="1:21">
      <c r="A5389">
        <v>5388</v>
      </c>
      <c r="B5389" s="27" t="s">
        <v>1449</v>
      </c>
      <c r="D5389" s="27" t="s">
        <v>1450</v>
      </c>
      <c r="F5389" s="27" t="s">
        <v>1453</v>
      </c>
      <c r="H5389" s="27" t="s">
        <v>1454</v>
      </c>
      <c r="N5389" s="27" t="s">
        <v>1350</v>
      </c>
      <c r="P5389" s="27" t="s">
        <v>12096</v>
      </c>
      <c r="Q5389" s="26" t="str">
        <f>HYPERLINK("https://ictv.global/taxonomy/taxondetails?taxnode_id=202518430&amp;ictv_id=ICTV202318430","ICTV202318430")</f>
        <v>ICTV202318430</v>
      </c>
      <c r="R5389" t="s">
        <v>579</v>
      </c>
      <c r="S5389" t="s">
        <v>823</v>
      </c>
      <c r="T5389">
        <v>39</v>
      </c>
      <c r="U5389" s="26" t="str">
        <f t="shared" si="211"/>
        <v>2023.020B.Dhillonvirus_42ns.zip</v>
      </c>
    </row>
    <row r="5390" spans="1:21">
      <c r="A5390">
        <v>5389</v>
      </c>
      <c r="B5390" s="27" t="s">
        <v>1449</v>
      </c>
      <c r="D5390" s="27" t="s">
        <v>1450</v>
      </c>
      <c r="F5390" s="27" t="s">
        <v>1453</v>
      </c>
      <c r="H5390" s="27" t="s">
        <v>1454</v>
      </c>
      <c r="N5390" s="27" t="s">
        <v>1350</v>
      </c>
      <c r="P5390" s="27" t="s">
        <v>12097</v>
      </c>
      <c r="Q5390" s="26" t="str">
        <f>HYPERLINK("https://ictv.global/taxonomy/taxondetails?taxnode_id=202518434&amp;ictv_id=ICTV202318434","ICTV202318434")</f>
        <v>ICTV202318434</v>
      </c>
      <c r="R5390" t="s">
        <v>579</v>
      </c>
      <c r="S5390" t="s">
        <v>823</v>
      </c>
      <c r="T5390">
        <v>39</v>
      </c>
      <c r="U5390" s="26" t="str">
        <f t="shared" si="211"/>
        <v>2023.020B.Dhillonvirus_42ns.zip</v>
      </c>
    </row>
    <row r="5391" spans="1:21">
      <c r="A5391">
        <v>5390</v>
      </c>
      <c r="B5391" s="27" t="s">
        <v>1449</v>
      </c>
      <c r="D5391" s="27" t="s">
        <v>1450</v>
      </c>
      <c r="F5391" s="27" t="s">
        <v>1453</v>
      </c>
      <c r="H5391" s="27" t="s">
        <v>1454</v>
      </c>
      <c r="N5391" s="27" t="s">
        <v>1350</v>
      </c>
      <c r="P5391" s="27" t="s">
        <v>12098</v>
      </c>
      <c r="Q5391" s="26" t="str">
        <f>HYPERLINK("https://ictv.global/taxonomy/taxondetails?taxnode_id=202518422&amp;ictv_id=ICTV202318422","ICTV202318422")</f>
        <v>ICTV202318422</v>
      </c>
      <c r="R5391" t="s">
        <v>579</v>
      </c>
      <c r="S5391" t="s">
        <v>823</v>
      </c>
      <c r="T5391">
        <v>39</v>
      </c>
      <c r="U5391" s="26" t="str">
        <f t="shared" si="211"/>
        <v>2023.020B.Dhillonvirus_42ns.zip</v>
      </c>
    </row>
    <row r="5392" spans="1:21">
      <c r="A5392">
        <v>5391</v>
      </c>
      <c r="B5392" s="27" t="s">
        <v>1449</v>
      </c>
      <c r="D5392" s="27" t="s">
        <v>1450</v>
      </c>
      <c r="F5392" s="27" t="s">
        <v>1453</v>
      </c>
      <c r="H5392" s="27" t="s">
        <v>1454</v>
      </c>
      <c r="N5392" s="27" t="s">
        <v>1350</v>
      </c>
      <c r="P5392" s="27" t="s">
        <v>12099</v>
      </c>
      <c r="Q5392" s="26" t="str">
        <f>HYPERLINK("https://ictv.global/taxonomy/taxondetails?taxnode_id=202518437&amp;ictv_id=ICTV202318437","ICTV202318437")</f>
        <v>ICTV202318437</v>
      </c>
      <c r="R5392" t="s">
        <v>579</v>
      </c>
      <c r="S5392" t="s">
        <v>823</v>
      </c>
      <c r="T5392">
        <v>39</v>
      </c>
      <c r="U5392" s="26" t="str">
        <f t="shared" si="211"/>
        <v>2023.020B.Dhillonvirus_42ns.zip</v>
      </c>
    </row>
    <row r="5393" spans="1:21">
      <c r="A5393">
        <v>5392</v>
      </c>
      <c r="B5393" s="27" t="s">
        <v>1449</v>
      </c>
      <c r="D5393" s="27" t="s">
        <v>1450</v>
      </c>
      <c r="F5393" s="27" t="s">
        <v>1453</v>
      </c>
      <c r="H5393" s="27" t="s">
        <v>1454</v>
      </c>
      <c r="N5393" s="27" t="s">
        <v>1350</v>
      </c>
      <c r="P5393" s="27" t="s">
        <v>12100</v>
      </c>
      <c r="Q5393" s="26" t="str">
        <f>HYPERLINK("https://ictv.global/taxonomy/taxondetails?taxnode_id=202518456&amp;ictv_id=ICTV202318456","ICTV202318456")</f>
        <v>ICTV202318456</v>
      </c>
      <c r="R5393" t="s">
        <v>579</v>
      </c>
      <c r="S5393" t="s">
        <v>823</v>
      </c>
      <c r="T5393">
        <v>39</v>
      </c>
      <c r="U5393" s="26" t="str">
        <f t="shared" si="211"/>
        <v>2023.020B.Dhillonvirus_42ns.zip</v>
      </c>
    </row>
    <row r="5394" spans="1:21">
      <c r="A5394">
        <v>5393</v>
      </c>
      <c r="B5394" s="27" t="s">
        <v>1449</v>
      </c>
      <c r="D5394" s="27" t="s">
        <v>1450</v>
      </c>
      <c r="F5394" s="27" t="s">
        <v>1453</v>
      </c>
      <c r="H5394" s="27" t="s">
        <v>1454</v>
      </c>
      <c r="N5394" s="27" t="s">
        <v>1350</v>
      </c>
      <c r="P5394" s="27" t="s">
        <v>6907</v>
      </c>
      <c r="Q5394" s="26" t="str">
        <f>HYPERLINK("https://ictv.global/taxonomy/taxondetails?taxnode_id=202500989&amp;ictv_id=ICTV20140451","ICTV20140451")</f>
        <v>ICTV20140451</v>
      </c>
      <c r="R5394" t="s">
        <v>579</v>
      </c>
      <c r="S5394" t="s">
        <v>824</v>
      </c>
      <c r="T5394">
        <v>37</v>
      </c>
      <c r="U5394" s="26" t="str">
        <f>HYPERLINK("https://ictv.global/ictv/proposals/2021.010B.R.Binomial_names.zip","2021.010B.R.Binomial_names.zip")</f>
        <v>2021.010B.R.Binomial_names.zip</v>
      </c>
    </row>
    <row r="5395" spans="1:21">
      <c r="A5395">
        <v>5394</v>
      </c>
      <c r="B5395" s="27" t="s">
        <v>1449</v>
      </c>
      <c r="D5395" s="27" t="s">
        <v>1450</v>
      </c>
      <c r="F5395" s="27" t="s">
        <v>1453</v>
      </c>
      <c r="H5395" s="27" t="s">
        <v>1454</v>
      </c>
      <c r="N5395" s="27" t="s">
        <v>1350</v>
      </c>
      <c r="P5395" s="27" t="s">
        <v>12101</v>
      </c>
      <c r="Q5395" s="26" t="str">
        <f>HYPERLINK("https://ictv.global/taxonomy/taxondetails?taxnode_id=202518447&amp;ictv_id=ICTV202318447","ICTV202318447")</f>
        <v>ICTV202318447</v>
      </c>
      <c r="R5395" t="s">
        <v>579</v>
      </c>
      <c r="S5395" t="s">
        <v>823</v>
      </c>
      <c r="T5395">
        <v>39</v>
      </c>
      <c r="U5395" s="26" t="str">
        <f>HYPERLINK("https://ictv.global/ictv/proposals/2023.020B.Dhillonvirus_42ns.zip","2023.020B.Dhillonvirus_42ns.zip")</f>
        <v>2023.020B.Dhillonvirus_42ns.zip</v>
      </c>
    </row>
    <row r="5396" spans="1:21">
      <c r="A5396">
        <v>5395</v>
      </c>
      <c r="B5396" s="27" t="s">
        <v>1449</v>
      </c>
      <c r="D5396" s="27" t="s">
        <v>1450</v>
      </c>
      <c r="F5396" s="27" t="s">
        <v>1453</v>
      </c>
      <c r="H5396" s="27" t="s">
        <v>1454</v>
      </c>
      <c r="N5396" s="27" t="s">
        <v>1350</v>
      </c>
      <c r="P5396" s="27" t="s">
        <v>6908</v>
      </c>
      <c r="Q5396" s="26" t="str">
        <f>HYPERLINK("https://ictv.global/taxonomy/taxondetails?taxnode_id=202500986&amp;ictv_id=ICTV20140454","ICTV20140454")</f>
        <v>ICTV20140454</v>
      </c>
      <c r="R5396" t="s">
        <v>579</v>
      </c>
      <c r="S5396" t="s">
        <v>824</v>
      </c>
      <c r="T5396">
        <v>37</v>
      </c>
      <c r="U5396" s="26" t="str">
        <f>HYPERLINK("https://ictv.global/ictv/proposals/2021.010B.R.Binomial_names.zip","2021.010B.R.Binomial_names.zip")</f>
        <v>2021.010B.R.Binomial_names.zip</v>
      </c>
    </row>
    <row r="5397" spans="1:21">
      <c r="A5397">
        <v>5396</v>
      </c>
      <c r="B5397" s="27" t="s">
        <v>1449</v>
      </c>
      <c r="D5397" s="27" t="s">
        <v>1450</v>
      </c>
      <c r="F5397" s="27" t="s">
        <v>1453</v>
      </c>
      <c r="H5397" s="27" t="s">
        <v>1454</v>
      </c>
      <c r="N5397" s="27" t="s">
        <v>1350</v>
      </c>
      <c r="P5397" s="27" t="s">
        <v>12102</v>
      </c>
      <c r="Q5397" s="26" t="str">
        <f>HYPERLINK("https://ictv.global/taxonomy/taxondetails?taxnode_id=202518448&amp;ictv_id=ICTV202318448","ICTV202318448")</f>
        <v>ICTV202318448</v>
      </c>
      <c r="R5397" t="s">
        <v>579</v>
      </c>
      <c r="S5397" t="s">
        <v>823</v>
      </c>
      <c r="T5397">
        <v>39</v>
      </c>
      <c r="U5397" s="26" t="str">
        <f t="shared" ref="U5397:U5403" si="212">HYPERLINK("https://ictv.global/ictv/proposals/2023.020B.Dhillonvirus_42ns.zip","2023.020B.Dhillonvirus_42ns.zip")</f>
        <v>2023.020B.Dhillonvirus_42ns.zip</v>
      </c>
    </row>
    <row r="5398" spans="1:21">
      <c r="A5398">
        <v>5397</v>
      </c>
      <c r="B5398" s="27" t="s">
        <v>1449</v>
      </c>
      <c r="D5398" s="27" t="s">
        <v>1450</v>
      </c>
      <c r="F5398" s="27" t="s">
        <v>1453</v>
      </c>
      <c r="H5398" s="27" t="s">
        <v>1454</v>
      </c>
      <c r="N5398" s="27" t="s">
        <v>1350</v>
      </c>
      <c r="P5398" s="27" t="s">
        <v>12103</v>
      </c>
      <c r="Q5398" s="26" t="str">
        <f>HYPERLINK("https://ictv.global/taxonomy/taxondetails?taxnode_id=202518418&amp;ictv_id=ICTV202318418","ICTV202318418")</f>
        <v>ICTV202318418</v>
      </c>
      <c r="R5398" t="s">
        <v>579</v>
      </c>
      <c r="S5398" t="s">
        <v>823</v>
      </c>
      <c r="T5398">
        <v>39</v>
      </c>
      <c r="U5398" s="26" t="str">
        <f t="shared" si="212"/>
        <v>2023.020B.Dhillonvirus_42ns.zip</v>
      </c>
    </row>
    <row r="5399" spans="1:21">
      <c r="A5399">
        <v>5398</v>
      </c>
      <c r="B5399" s="27" t="s">
        <v>1449</v>
      </c>
      <c r="D5399" s="27" t="s">
        <v>1450</v>
      </c>
      <c r="F5399" s="27" t="s">
        <v>1453</v>
      </c>
      <c r="H5399" s="27" t="s">
        <v>1454</v>
      </c>
      <c r="N5399" s="27" t="s">
        <v>1350</v>
      </c>
      <c r="P5399" s="27" t="s">
        <v>12104</v>
      </c>
      <c r="Q5399" s="26" t="str">
        <f>HYPERLINK("https://ictv.global/taxonomy/taxondetails?taxnode_id=202518428&amp;ictv_id=ICTV202318428","ICTV202318428")</f>
        <v>ICTV202318428</v>
      </c>
      <c r="R5399" t="s">
        <v>579</v>
      </c>
      <c r="S5399" t="s">
        <v>823</v>
      </c>
      <c r="T5399">
        <v>39</v>
      </c>
      <c r="U5399" s="26" t="str">
        <f t="shared" si="212"/>
        <v>2023.020B.Dhillonvirus_42ns.zip</v>
      </c>
    </row>
    <row r="5400" spans="1:21">
      <c r="A5400">
        <v>5399</v>
      </c>
      <c r="B5400" s="27" t="s">
        <v>1449</v>
      </c>
      <c r="D5400" s="27" t="s">
        <v>1450</v>
      </c>
      <c r="F5400" s="27" t="s">
        <v>1453</v>
      </c>
      <c r="H5400" s="27" t="s">
        <v>1454</v>
      </c>
      <c r="N5400" s="27" t="s">
        <v>1350</v>
      </c>
      <c r="P5400" s="27" t="s">
        <v>12105</v>
      </c>
      <c r="Q5400" s="26" t="str">
        <f>HYPERLINK("https://ictv.global/taxonomy/taxondetails?taxnode_id=202518440&amp;ictv_id=ICTV202318440","ICTV202318440")</f>
        <v>ICTV202318440</v>
      </c>
      <c r="R5400" t="s">
        <v>579</v>
      </c>
      <c r="S5400" t="s">
        <v>823</v>
      </c>
      <c r="T5400">
        <v>39</v>
      </c>
      <c r="U5400" s="26" t="str">
        <f t="shared" si="212"/>
        <v>2023.020B.Dhillonvirus_42ns.zip</v>
      </c>
    </row>
    <row r="5401" spans="1:21">
      <c r="A5401">
        <v>5400</v>
      </c>
      <c r="B5401" s="27" t="s">
        <v>1449</v>
      </c>
      <c r="D5401" s="27" t="s">
        <v>1450</v>
      </c>
      <c r="F5401" s="27" t="s">
        <v>1453</v>
      </c>
      <c r="H5401" s="27" t="s">
        <v>1454</v>
      </c>
      <c r="N5401" s="27" t="s">
        <v>1350</v>
      </c>
      <c r="P5401" s="27" t="s">
        <v>12106</v>
      </c>
      <c r="Q5401" s="26" t="str">
        <f>HYPERLINK("https://ictv.global/taxonomy/taxondetails?taxnode_id=202518444&amp;ictv_id=ICTV202318444","ICTV202318444")</f>
        <v>ICTV202318444</v>
      </c>
      <c r="R5401" t="s">
        <v>579</v>
      </c>
      <c r="S5401" t="s">
        <v>823</v>
      </c>
      <c r="T5401">
        <v>39</v>
      </c>
      <c r="U5401" s="26" t="str">
        <f t="shared" si="212"/>
        <v>2023.020B.Dhillonvirus_42ns.zip</v>
      </c>
    </row>
    <row r="5402" spans="1:21">
      <c r="A5402">
        <v>5401</v>
      </c>
      <c r="B5402" s="27" t="s">
        <v>1449</v>
      </c>
      <c r="D5402" s="27" t="s">
        <v>1450</v>
      </c>
      <c r="F5402" s="27" t="s">
        <v>1453</v>
      </c>
      <c r="H5402" s="27" t="s">
        <v>1454</v>
      </c>
      <c r="N5402" s="27" t="s">
        <v>1350</v>
      </c>
      <c r="P5402" s="27" t="s">
        <v>12107</v>
      </c>
      <c r="Q5402" s="26" t="str">
        <f>HYPERLINK("https://ictv.global/taxonomy/taxondetails?taxnode_id=202518424&amp;ictv_id=ICTV202318424","ICTV202318424")</f>
        <v>ICTV202318424</v>
      </c>
      <c r="R5402" t="s">
        <v>579</v>
      </c>
      <c r="S5402" t="s">
        <v>823</v>
      </c>
      <c r="T5402">
        <v>39</v>
      </c>
      <c r="U5402" s="26" t="str">
        <f t="shared" si="212"/>
        <v>2023.020B.Dhillonvirus_42ns.zip</v>
      </c>
    </row>
    <row r="5403" spans="1:21">
      <c r="A5403">
        <v>5402</v>
      </c>
      <c r="B5403" s="27" t="s">
        <v>1449</v>
      </c>
      <c r="D5403" s="27" t="s">
        <v>1450</v>
      </c>
      <c r="F5403" s="27" t="s">
        <v>1453</v>
      </c>
      <c r="H5403" s="27" t="s">
        <v>1454</v>
      </c>
      <c r="N5403" s="27" t="s">
        <v>1350</v>
      </c>
      <c r="P5403" s="27" t="s">
        <v>12108</v>
      </c>
      <c r="Q5403" s="26" t="str">
        <f>HYPERLINK("https://ictv.global/taxonomy/taxondetails?taxnode_id=202518426&amp;ictv_id=ICTV202318426","ICTV202318426")</f>
        <v>ICTV202318426</v>
      </c>
      <c r="R5403" t="s">
        <v>579</v>
      </c>
      <c r="S5403" t="s">
        <v>823</v>
      </c>
      <c r="T5403">
        <v>39</v>
      </c>
      <c r="U5403" s="26" t="str">
        <f t="shared" si="212"/>
        <v>2023.020B.Dhillonvirus_42ns.zip</v>
      </c>
    </row>
    <row r="5404" spans="1:21">
      <c r="A5404">
        <v>5403</v>
      </c>
      <c r="B5404" s="27" t="s">
        <v>1449</v>
      </c>
      <c r="D5404" s="27" t="s">
        <v>1450</v>
      </c>
      <c r="F5404" s="27" t="s">
        <v>1453</v>
      </c>
      <c r="H5404" s="27" t="s">
        <v>1454</v>
      </c>
      <c r="N5404" s="27" t="s">
        <v>1350</v>
      </c>
      <c r="P5404" s="27" t="s">
        <v>6909</v>
      </c>
      <c r="Q5404" s="26" t="str">
        <f>HYPERLINK("https://ictv.global/taxonomy/taxondetails?taxnode_id=202500987&amp;ictv_id=ICTV20164995","ICTV20164995")</f>
        <v>ICTV20164995</v>
      </c>
      <c r="R5404" t="s">
        <v>579</v>
      </c>
      <c r="S5404" t="s">
        <v>824</v>
      </c>
      <c r="T5404">
        <v>37</v>
      </c>
      <c r="U5404" s="26" t="str">
        <f>HYPERLINK("https://ictv.global/ictv/proposals/2021.010B.R.Binomial_names.zip","2021.010B.R.Binomial_names.zip")</f>
        <v>2021.010B.R.Binomial_names.zip</v>
      </c>
    </row>
    <row r="5405" spans="1:21">
      <c r="A5405">
        <v>5404</v>
      </c>
      <c r="B5405" s="27" t="s">
        <v>1449</v>
      </c>
      <c r="D5405" s="27" t="s">
        <v>1450</v>
      </c>
      <c r="F5405" s="27" t="s">
        <v>1453</v>
      </c>
      <c r="H5405" s="27" t="s">
        <v>1454</v>
      </c>
      <c r="N5405" s="27" t="s">
        <v>1350</v>
      </c>
      <c r="P5405" s="27" t="s">
        <v>12109</v>
      </c>
      <c r="Q5405" s="26" t="str">
        <f>HYPERLINK("https://ictv.global/taxonomy/taxondetails?taxnode_id=202518431&amp;ictv_id=ICTV202318431","ICTV202318431")</f>
        <v>ICTV202318431</v>
      </c>
      <c r="R5405" t="s">
        <v>579</v>
      </c>
      <c r="S5405" t="s">
        <v>823</v>
      </c>
      <c r="T5405">
        <v>39</v>
      </c>
      <c r="U5405" s="26" t="str">
        <f>HYPERLINK("https://ictv.global/ictv/proposals/2023.020B.Dhillonvirus_42ns.zip","2023.020B.Dhillonvirus_42ns.zip")</f>
        <v>2023.020B.Dhillonvirus_42ns.zip</v>
      </c>
    </row>
    <row r="5406" spans="1:21">
      <c r="A5406">
        <v>5405</v>
      </c>
      <c r="B5406" s="27" t="s">
        <v>1449</v>
      </c>
      <c r="D5406" s="27" t="s">
        <v>1450</v>
      </c>
      <c r="F5406" s="27" t="s">
        <v>1453</v>
      </c>
      <c r="H5406" s="27" t="s">
        <v>1454</v>
      </c>
      <c r="N5406" s="27" t="s">
        <v>1350</v>
      </c>
      <c r="P5406" s="27" t="s">
        <v>12110</v>
      </c>
      <c r="Q5406" s="26" t="str">
        <f>HYPERLINK("https://ictv.global/taxonomy/taxondetails?taxnode_id=202518441&amp;ictv_id=ICTV202318441","ICTV202318441")</f>
        <v>ICTV202318441</v>
      </c>
      <c r="R5406" t="s">
        <v>579</v>
      </c>
      <c r="S5406" t="s">
        <v>823</v>
      </c>
      <c r="T5406">
        <v>39</v>
      </c>
      <c r="U5406" s="26" t="str">
        <f>HYPERLINK("https://ictv.global/ictv/proposals/2023.020B.Dhillonvirus_42ns.zip","2023.020B.Dhillonvirus_42ns.zip")</f>
        <v>2023.020B.Dhillonvirus_42ns.zip</v>
      </c>
    </row>
    <row r="5407" spans="1:21">
      <c r="A5407">
        <v>5406</v>
      </c>
      <c r="B5407" s="27" t="s">
        <v>1449</v>
      </c>
      <c r="D5407" s="27" t="s">
        <v>1450</v>
      </c>
      <c r="F5407" s="27" t="s">
        <v>1453</v>
      </c>
      <c r="H5407" s="27" t="s">
        <v>1454</v>
      </c>
      <c r="N5407" s="27" t="s">
        <v>2097</v>
      </c>
      <c r="P5407" s="27" t="s">
        <v>6910</v>
      </c>
      <c r="Q5407" s="26" t="str">
        <f>HYPERLINK("https://ictv.global/taxonomy/taxondetails?taxnode_id=202509969&amp;ictv_id=ICTV202009969","ICTV202009969")</f>
        <v>ICTV202009969</v>
      </c>
      <c r="R5407" t="s">
        <v>579</v>
      </c>
      <c r="S5407" t="s">
        <v>824</v>
      </c>
      <c r="T5407">
        <v>37</v>
      </c>
      <c r="U5407" s="26" t="str">
        <f>HYPERLINK("https://ictv.global/ictv/proposals/2021.010B.R.Binomial_names.zip","2021.010B.R.Binomial_names.zip")</f>
        <v>2021.010B.R.Binomial_names.zip</v>
      </c>
    </row>
    <row r="5408" spans="1:21">
      <c r="A5408">
        <v>5407</v>
      </c>
      <c r="B5408" s="27" t="s">
        <v>1449</v>
      </c>
      <c r="D5408" s="27" t="s">
        <v>1450</v>
      </c>
      <c r="F5408" s="27" t="s">
        <v>1453</v>
      </c>
      <c r="H5408" s="27" t="s">
        <v>1454</v>
      </c>
      <c r="N5408" s="27" t="s">
        <v>2097</v>
      </c>
      <c r="P5408" s="27" t="s">
        <v>6911</v>
      </c>
      <c r="Q5408" s="26" t="str">
        <f>HYPERLINK("https://ictv.global/taxonomy/taxondetails?taxnode_id=202509967&amp;ictv_id=ICTV202009967","ICTV202009967")</f>
        <v>ICTV202009967</v>
      </c>
      <c r="R5408" t="s">
        <v>579</v>
      </c>
      <c r="S5408" t="s">
        <v>824</v>
      </c>
      <c r="T5408">
        <v>37</v>
      </c>
      <c r="U5408" s="26" t="str">
        <f>HYPERLINK("https://ictv.global/ictv/proposals/2021.010B.R.Binomial_names.zip","2021.010B.R.Binomial_names.zip")</f>
        <v>2021.010B.R.Binomial_names.zip</v>
      </c>
    </row>
    <row r="5409" spans="1:21">
      <c r="A5409">
        <v>5408</v>
      </c>
      <c r="B5409" s="27" t="s">
        <v>1449</v>
      </c>
      <c r="D5409" s="27" t="s">
        <v>1450</v>
      </c>
      <c r="F5409" s="27" t="s">
        <v>1453</v>
      </c>
      <c r="H5409" s="27" t="s">
        <v>1454</v>
      </c>
      <c r="N5409" s="27" t="s">
        <v>2097</v>
      </c>
      <c r="P5409" s="27" t="s">
        <v>6912</v>
      </c>
      <c r="Q5409" s="26" t="str">
        <f>HYPERLINK("https://ictv.global/taxonomy/taxondetails?taxnode_id=202509968&amp;ictv_id=ICTV202009968","ICTV202009968")</f>
        <v>ICTV202009968</v>
      </c>
      <c r="R5409" t="s">
        <v>579</v>
      </c>
      <c r="S5409" t="s">
        <v>824</v>
      </c>
      <c r="T5409">
        <v>37</v>
      </c>
      <c r="U5409" s="26" t="str">
        <f>HYPERLINK("https://ictv.global/ictv/proposals/2021.010B.R.Binomial_names.zip","2021.010B.R.Binomial_names.zip")</f>
        <v>2021.010B.R.Binomial_names.zip</v>
      </c>
    </row>
    <row r="5410" spans="1:21">
      <c r="A5410">
        <v>5409</v>
      </c>
      <c r="B5410" s="27" t="s">
        <v>1449</v>
      </c>
      <c r="D5410" s="27" t="s">
        <v>1450</v>
      </c>
      <c r="F5410" s="27" t="s">
        <v>1453</v>
      </c>
      <c r="H5410" s="27" t="s">
        <v>1454</v>
      </c>
      <c r="N5410" s="27" t="s">
        <v>2259</v>
      </c>
      <c r="P5410" s="27" t="s">
        <v>6913</v>
      </c>
      <c r="Q5410" s="26" t="str">
        <f>HYPERLINK("https://ictv.global/taxonomy/taxondetails?taxnode_id=202511658&amp;ictv_id=ICTV202011658","ICTV202011658")</f>
        <v>ICTV202011658</v>
      </c>
      <c r="R5410" t="s">
        <v>579</v>
      </c>
      <c r="S5410" t="s">
        <v>824</v>
      </c>
      <c r="T5410">
        <v>37</v>
      </c>
      <c r="U5410" s="26" t="str">
        <f>HYPERLINK("https://ictv.global/ictv/proposals/2021.010B.R.Binomial_names.zip","2021.010B.R.Binomial_names.zip")</f>
        <v>2021.010B.R.Binomial_names.zip</v>
      </c>
    </row>
    <row r="5411" spans="1:21">
      <c r="A5411">
        <v>5410</v>
      </c>
      <c r="B5411" s="27" t="s">
        <v>1449</v>
      </c>
      <c r="D5411" s="27" t="s">
        <v>1450</v>
      </c>
      <c r="F5411" s="27" t="s">
        <v>1453</v>
      </c>
      <c r="H5411" s="27" t="s">
        <v>1454</v>
      </c>
      <c r="N5411" s="27" t="s">
        <v>1351</v>
      </c>
      <c r="P5411" s="27" t="s">
        <v>6914</v>
      </c>
      <c r="Q5411" s="26" t="str">
        <f>HYPERLINK("https://ictv.global/taxonomy/taxondetails?taxnode_id=202506737&amp;ictv_id=ICTV201856737","ICTV201856737")</f>
        <v>ICTV201856737</v>
      </c>
      <c r="R5411" t="s">
        <v>579</v>
      </c>
      <c r="S5411" t="s">
        <v>824</v>
      </c>
      <c r="T5411">
        <v>37</v>
      </c>
      <c r="U5411" s="26" t="str">
        <f>HYPERLINK("https://ictv.global/ictv/proposals/2021.010B.R.Binomial_names.zip","2021.010B.R.Binomial_names.zip")</f>
        <v>2021.010B.R.Binomial_names.zip</v>
      </c>
    </row>
    <row r="5412" spans="1:21">
      <c r="A5412">
        <v>5411</v>
      </c>
      <c r="B5412" s="27" t="s">
        <v>1449</v>
      </c>
      <c r="D5412" s="27" t="s">
        <v>1450</v>
      </c>
      <c r="F5412" s="27" t="s">
        <v>1453</v>
      </c>
      <c r="H5412" s="27" t="s">
        <v>1454</v>
      </c>
      <c r="N5412" s="27" t="s">
        <v>22515</v>
      </c>
      <c r="P5412" s="27" t="s">
        <v>22516</v>
      </c>
      <c r="Q5412" s="26" t="str">
        <f>HYPERLINK("https://ictv.global/taxonomy/taxondetails?taxnode_id=202523130&amp;ictv_id=ICTV202523130","ICTV202523130")</f>
        <v>ICTV202523130</v>
      </c>
      <c r="R5412" t="s">
        <v>579</v>
      </c>
      <c r="S5412" t="s">
        <v>823</v>
      </c>
      <c r="T5412">
        <v>41</v>
      </c>
      <c r="U5412" s="26" t="str">
        <f>HYPERLINK("https://ictv.global/ictv/proposals/2025.067B.Rhodococcus_phages_2ng_2ns.zip","2025.067B.Rhodococcus_phages_2ng_2ns.zip")</f>
        <v>2025.067B.Rhodococcus_phages_2ng_2ns.zip</v>
      </c>
    </row>
    <row r="5413" spans="1:21">
      <c r="A5413">
        <v>5412</v>
      </c>
      <c r="B5413" s="27" t="s">
        <v>1449</v>
      </c>
      <c r="D5413" s="27" t="s">
        <v>1450</v>
      </c>
      <c r="F5413" s="27" t="s">
        <v>1453</v>
      </c>
      <c r="H5413" s="27" t="s">
        <v>1454</v>
      </c>
      <c r="N5413" s="27" t="s">
        <v>12111</v>
      </c>
      <c r="P5413" s="27" t="s">
        <v>12112</v>
      </c>
      <c r="Q5413" s="26" t="str">
        <f>HYPERLINK("https://ictv.global/taxonomy/taxondetails?taxnode_id=202517772&amp;ictv_id=ICTV202317772","ICTV202317772")</f>
        <v>ICTV202317772</v>
      </c>
      <c r="R5413" t="s">
        <v>579</v>
      </c>
      <c r="S5413" t="s">
        <v>823</v>
      </c>
      <c r="T5413">
        <v>39</v>
      </c>
      <c r="U5413" s="26" t="str">
        <f>HYPERLINK("https://ictv.global/ictv/proposals/2023.003B.Actinobacteriophage_singletons_25ng.zip","2023.003B.Actinobacteriophage_singletons_25ng.zip")</f>
        <v>2023.003B.Actinobacteriophage_singletons_25ng.zip</v>
      </c>
    </row>
    <row r="5414" spans="1:21">
      <c r="A5414">
        <v>5413</v>
      </c>
      <c r="B5414" s="27" t="s">
        <v>1449</v>
      </c>
      <c r="D5414" s="27" t="s">
        <v>1450</v>
      </c>
      <c r="F5414" s="27" t="s">
        <v>1453</v>
      </c>
      <c r="H5414" s="27" t="s">
        <v>1454</v>
      </c>
      <c r="N5414" s="27" t="s">
        <v>2098</v>
      </c>
      <c r="P5414" s="27" t="s">
        <v>6915</v>
      </c>
      <c r="Q5414" s="26" t="str">
        <f>HYPERLINK("https://ictv.global/taxonomy/taxondetails?taxnode_id=202500513&amp;ictv_id=ICTV20094109","ICTV20094109")</f>
        <v>ICTV20094109</v>
      </c>
      <c r="R5414" t="s">
        <v>579</v>
      </c>
      <c r="S5414" t="s">
        <v>824</v>
      </c>
      <c r="T5414">
        <v>37</v>
      </c>
      <c r="U5414" s="26" t="str">
        <f>HYPERLINK("https://ictv.global/ictv/proposals/2021.010B.R.Binomial_names.zip","2021.010B.R.Binomial_names.zip")</f>
        <v>2021.010B.R.Binomial_names.zip</v>
      </c>
    </row>
    <row r="5415" spans="1:21">
      <c r="A5415">
        <v>5414</v>
      </c>
      <c r="B5415" s="27" t="s">
        <v>1449</v>
      </c>
      <c r="D5415" s="27" t="s">
        <v>1450</v>
      </c>
      <c r="F5415" s="27" t="s">
        <v>1453</v>
      </c>
      <c r="H5415" s="27" t="s">
        <v>1454</v>
      </c>
      <c r="N5415" s="27" t="s">
        <v>843</v>
      </c>
      <c r="P5415" s="27" t="s">
        <v>6916</v>
      </c>
      <c r="Q5415" s="26" t="str">
        <f>HYPERLINK("https://ictv.global/taxonomy/taxondetails?taxnode_id=202505543&amp;ictv_id=ICTV20175543","ICTV20175543")</f>
        <v>ICTV20175543</v>
      </c>
      <c r="R5415" t="s">
        <v>579</v>
      </c>
      <c r="S5415" t="s">
        <v>824</v>
      </c>
      <c r="T5415">
        <v>37</v>
      </c>
      <c r="U5415" s="26" t="str">
        <f>HYPERLINK("https://ictv.global/ictv/proposals/2021.010B.R.Binomial_names.zip","2021.010B.R.Binomial_names.zip")</f>
        <v>2021.010B.R.Binomial_names.zip</v>
      </c>
    </row>
    <row r="5416" spans="1:21">
      <c r="A5416">
        <v>5415</v>
      </c>
      <c r="B5416" s="27" t="s">
        <v>1449</v>
      </c>
      <c r="D5416" s="27" t="s">
        <v>1450</v>
      </c>
      <c r="F5416" s="27" t="s">
        <v>1453</v>
      </c>
      <c r="H5416" s="27" t="s">
        <v>1454</v>
      </c>
      <c r="N5416" s="27" t="s">
        <v>843</v>
      </c>
      <c r="P5416" s="27" t="s">
        <v>6917</v>
      </c>
      <c r="Q5416" s="26" t="str">
        <f>HYPERLINK("https://ictv.global/taxonomy/taxondetails?taxnode_id=202505544&amp;ictv_id=ICTV20175544","ICTV20175544")</f>
        <v>ICTV20175544</v>
      </c>
      <c r="R5416" t="s">
        <v>579</v>
      </c>
      <c r="S5416" t="s">
        <v>824</v>
      </c>
      <c r="T5416">
        <v>37</v>
      </c>
      <c r="U5416" s="26" t="str">
        <f>HYPERLINK("https://ictv.global/ictv/proposals/2021.010B.R.Binomial_names.zip","2021.010B.R.Binomial_names.zip")</f>
        <v>2021.010B.R.Binomial_names.zip</v>
      </c>
    </row>
    <row r="5417" spans="1:21">
      <c r="A5417">
        <v>5416</v>
      </c>
      <c r="B5417" s="27" t="s">
        <v>1449</v>
      </c>
      <c r="D5417" s="27" t="s">
        <v>1450</v>
      </c>
      <c r="F5417" s="27" t="s">
        <v>1453</v>
      </c>
      <c r="H5417" s="27" t="s">
        <v>1454</v>
      </c>
      <c r="N5417" s="27" t="s">
        <v>843</v>
      </c>
      <c r="P5417" s="27" t="s">
        <v>6918</v>
      </c>
      <c r="Q5417" s="26" t="str">
        <f>HYPERLINK("https://ictv.global/taxonomy/taxondetails?taxnode_id=202505545&amp;ictv_id=ICTV20175545","ICTV20175545")</f>
        <v>ICTV20175545</v>
      </c>
      <c r="R5417" t="s">
        <v>579</v>
      </c>
      <c r="S5417" t="s">
        <v>824</v>
      </c>
      <c r="T5417">
        <v>37</v>
      </c>
      <c r="U5417" s="26" t="str">
        <f>HYPERLINK("https://ictv.global/ictv/proposals/2021.010B.R.Binomial_names.zip","2021.010B.R.Binomial_names.zip")</f>
        <v>2021.010B.R.Binomial_names.zip</v>
      </c>
    </row>
    <row r="5418" spans="1:21">
      <c r="A5418">
        <v>5417</v>
      </c>
      <c r="B5418" s="27" t="s">
        <v>1449</v>
      </c>
      <c r="D5418" s="27" t="s">
        <v>1450</v>
      </c>
      <c r="F5418" s="27" t="s">
        <v>1453</v>
      </c>
      <c r="H5418" s="27" t="s">
        <v>1454</v>
      </c>
      <c r="N5418" s="27" t="s">
        <v>843</v>
      </c>
      <c r="P5418" s="27" t="s">
        <v>6919</v>
      </c>
      <c r="Q5418" s="26" t="str">
        <f>HYPERLINK("https://ictv.global/taxonomy/taxondetails?taxnode_id=202505546&amp;ictv_id=ICTV20175546","ICTV20175546")</f>
        <v>ICTV20175546</v>
      </c>
      <c r="R5418" t="s">
        <v>579</v>
      </c>
      <c r="S5418" t="s">
        <v>824</v>
      </c>
      <c r="T5418">
        <v>37</v>
      </c>
      <c r="U5418" s="26" t="str">
        <f>HYPERLINK("https://ictv.global/ictv/proposals/2021.010B.R.Binomial_names.zip","2021.010B.R.Binomial_names.zip")</f>
        <v>2021.010B.R.Binomial_names.zip</v>
      </c>
    </row>
    <row r="5419" spans="1:21">
      <c r="A5419">
        <v>5418</v>
      </c>
      <c r="B5419" s="27" t="s">
        <v>1449</v>
      </c>
      <c r="D5419" s="27" t="s">
        <v>1450</v>
      </c>
      <c r="F5419" s="27" t="s">
        <v>1453</v>
      </c>
      <c r="H5419" s="27" t="s">
        <v>1454</v>
      </c>
      <c r="N5419" s="27" t="s">
        <v>6920</v>
      </c>
      <c r="P5419" s="27" t="s">
        <v>6921</v>
      </c>
      <c r="Q5419" s="26" t="str">
        <f>HYPERLINK("https://ictv.global/taxonomy/taxondetails?taxnode_id=202514877&amp;ictv_id=ICTV202214877","ICTV202214877")</f>
        <v>ICTV202214877</v>
      </c>
      <c r="R5419" t="s">
        <v>579</v>
      </c>
      <c r="S5419" t="s">
        <v>823</v>
      </c>
      <c r="T5419">
        <v>38</v>
      </c>
      <c r="U5419" s="26" t="str">
        <f>HYPERLINK("https://ictv.global/ictv/proposals/2022.081B.Caudoviricetes_6ng_streptomyces.zip","2022.081B.Caudoviricetes_6ng_streptomyces.zip")</f>
        <v>2022.081B.Caudoviricetes_6ng_streptomyces.zip</v>
      </c>
    </row>
    <row r="5420" spans="1:21">
      <c r="A5420">
        <v>5419</v>
      </c>
      <c r="B5420" s="27" t="s">
        <v>1449</v>
      </c>
      <c r="D5420" s="27" t="s">
        <v>1450</v>
      </c>
      <c r="F5420" s="27" t="s">
        <v>1453</v>
      </c>
      <c r="H5420" s="27" t="s">
        <v>1454</v>
      </c>
      <c r="N5420" s="27" t="s">
        <v>2142</v>
      </c>
      <c r="P5420" s="27" t="s">
        <v>6922</v>
      </c>
      <c r="Q5420" s="26" t="str">
        <f>HYPERLINK("https://ictv.global/taxonomy/taxondetails?taxnode_id=202500603&amp;ictv_id=ICTV20094411","ICTV20094411")</f>
        <v>ICTV20094411</v>
      </c>
      <c r="R5420" t="s">
        <v>579</v>
      </c>
      <c r="S5420" t="s">
        <v>824</v>
      </c>
      <c r="T5420">
        <v>37</v>
      </c>
      <c r="U5420" s="26" t="str">
        <f>HYPERLINK("https://ictv.global/ictv/proposals/2021.010B.R.Binomial_names.zip","2021.010B.R.Binomial_names.zip")</f>
        <v>2021.010B.R.Binomial_names.zip</v>
      </c>
    </row>
    <row r="5421" spans="1:21">
      <c r="A5421">
        <v>5420</v>
      </c>
      <c r="B5421" s="27" t="s">
        <v>1449</v>
      </c>
      <c r="D5421" s="27" t="s">
        <v>1450</v>
      </c>
      <c r="F5421" s="27" t="s">
        <v>1453</v>
      </c>
      <c r="H5421" s="27" t="s">
        <v>1454</v>
      </c>
      <c r="N5421" s="27" t="s">
        <v>6923</v>
      </c>
      <c r="P5421" s="27" t="s">
        <v>6924</v>
      </c>
      <c r="Q5421" s="26" t="str">
        <f>HYPERLINK("https://ictv.global/taxonomy/taxondetails?taxnode_id=202513522&amp;ictv_id=ICTV202113522","ICTV202113522")</f>
        <v>ICTV202113522</v>
      </c>
      <c r="R5421" t="s">
        <v>579</v>
      </c>
      <c r="S5421" t="s">
        <v>823</v>
      </c>
      <c r="T5421">
        <v>37</v>
      </c>
      <c r="U5421" s="26" t="str">
        <f>HYPERLINK("https://ictv.global/ictv/proposals/2021.025B.R.Eagleeyevirus.zip","2021.025B.R.Eagleeyevirus.zip")</f>
        <v>2021.025B.R.Eagleeyevirus.zip</v>
      </c>
    </row>
    <row r="5422" spans="1:21">
      <c r="A5422">
        <v>5421</v>
      </c>
      <c r="B5422" s="27" t="s">
        <v>1449</v>
      </c>
      <c r="D5422" s="27" t="s">
        <v>1450</v>
      </c>
      <c r="F5422" s="27" t="s">
        <v>1453</v>
      </c>
      <c r="H5422" s="27" t="s">
        <v>1454</v>
      </c>
      <c r="N5422" s="27" t="s">
        <v>1749</v>
      </c>
      <c r="P5422" s="27" t="s">
        <v>6925</v>
      </c>
      <c r="Q5422" s="26" t="str">
        <f>HYPERLINK("https://ictv.global/taxonomy/taxondetails?taxnode_id=202507839&amp;ictv_id=ICTV201907839","ICTV201907839")</f>
        <v>ICTV201907839</v>
      </c>
      <c r="R5422" t="s">
        <v>579</v>
      </c>
      <c r="S5422" t="s">
        <v>824</v>
      </c>
      <c r="T5422">
        <v>37</v>
      </c>
      <c r="U5422" s="26" t="str">
        <f>HYPERLINK("https://ictv.global/ictv/proposals/2021.010B.R.Binomial_names.zip","2021.010B.R.Binomial_names.zip")</f>
        <v>2021.010B.R.Binomial_names.zip</v>
      </c>
    </row>
    <row r="5423" spans="1:21">
      <c r="A5423">
        <v>5422</v>
      </c>
      <c r="B5423" s="27" t="s">
        <v>1449</v>
      </c>
      <c r="D5423" s="27" t="s">
        <v>1450</v>
      </c>
      <c r="F5423" s="27" t="s">
        <v>1453</v>
      </c>
      <c r="H5423" s="27" t="s">
        <v>1454</v>
      </c>
      <c r="N5423" s="27" t="s">
        <v>19836</v>
      </c>
      <c r="P5423" s="27" t="s">
        <v>19837</v>
      </c>
      <c r="Q5423" s="26" t="str">
        <f>HYPERLINK("https://ictv.global/taxonomy/taxondetails?taxnode_id=202520833&amp;ictv_id=ICTV202420833","ICTV202420833")</f>
        <v>ICTV202420833</v>
      </c>
      <c r="R5423" t="s">
        <v>579</v>
      </c>
      <c r="S5423" t="s">
        <v>823</v>
      </c>
      <c r="T5423">
        <v>40</v>
      </c>
      <c r="U5423" s="26" t="str">
        <f>HYPERLINK("https://ictv.global/ictv/proposals/2024.029B.Rhodococcus_siphoviruses_7ng_7ns.zip","2024.029B.Rhodococcus_siphoviruses_7ng_7ns.zip")</f>
        <v>2024.029B.Rhodococcus_siphoviruses_7ng_7ns.zip</v>
      </c>
    </row>
    <row r="5424" spans="1:21">
      <c r="A5424">
        <v>5423</v>
      </c>
      <c r="B5424" s="27" t="s">
        <v>1449</v>
      </c>
      <c r="D5424" s="27" t="s">
        <v>1450</v>
      </c>
      <c r="F5424" s="27" t="s">
        <v>1453</v>
      </c>
      <c r="H5424" s="27" t="s">
        <v>1454</v>
      </c>
      <c r="N5424" s="27" t="s">
        <v>22517</v>
      </c>
      <c r="P5424" s="27" t="s">
        <v>22518</v>
      </c>
      <c r="Q5424" s="26" t="str">
        <f>HYPERLINK("https://ictv.global/taxonomy/taxondetails?taxnode_id=202523131&amp;ictv_id=ICTV202523131","ICTV202523131")</f>
        <v>ICTV202523131</v>
      </c>
      <c r="R5424" t="s">
        <v>579</v>
      </c>
      <c r="S5424" t="s">
        <v>823</v>
      </c>
      <c r="T5424">
        <v>41</v>
      </c>
      <c r="U5424" s="26" t="str">
        <f>HYPERLINK("https://ictv.global/ictv/proposals/2025.067B.Rhodococcus_phages_2ng_2ns.zip","2025.067B.Rhodococcus_phages_2ng_2ns.zip")</f>
        <v>2025.067B.Rhodococcus_phages_2ng_2ns.zip</v>
      </c>
    </row>
    <row r="5425" spans="1:21">
      <c r="A5425">
        <v>5424</v>
      </c>
      <c r="B5425" s="27" t="s">
        <v>1449</v>
      </c>
      <c r="D5425" s="27" t="s">
        <v>1450</v>
      </c>
      <c r="F5425" s="27" t="s">
        <v>1453</v>
      </c>
      <c r="H5425" s="27" t="s">
        <v>1454</v>
      </c>
      <c r="N5425" s="27" t="s">
        <v>12113</v>
      </c>
      <c r="P5425" s="27" t="s">
        <v>12114</v>
      </c>
      <c r="Q5425" s="26" t="str">
        <f>HYPERLINK("https://ictv.global/taxonomy/taxondetails?taxnode_id=202519222&amp;ictv_id=ICTV202319222","ICTV202319222")</f>
        <v>ICTV202319222</v>
      </c>
      <c r="R5425" t="s">
        <v>579</v>
      </c>
      <c r="S5425" t="s">
        <v>823</v>
      </c>
      <c r="T5425">
        <v>39</v>
      </c>
      <c r="U5425" s="26" t="str">
        <f>HYPERLINK("https://ictv.global/ictv/proposals/2023.049B.Caudoviricetes_Enterococcus_6ng.zip","2023.049B.Caudoviricetes_Enterococcus_6ng.zip")</f>
        <v>2023.049B.Caudoviricetes_Enterococcus_6ng.zip</v>
      </c>
    </row>
    <row r="5426" spans="1:21">
      <c r="A5426">
        <v>5425</v>
      </c>
      <c r="B5426" s="27" t="s">
        <v>1449</v>
      </c>
      <c r="D5426" s="27" t="s">
        <v>1450</v>
      </c>
      <c r="F5426" s="27" t="s">
        <v>1453</v>
      </c>
      <c r="H5426" s="27" t="s">
        <v>1454</v>
      </c>
      <c r="N5426" s="27" t="s">
        <v>12115</v>
      </c>
      <c r="P5426" s="27" t="s">
        <v>12116</v>
      </c>
      <c r="Q5426" s="26" t="str">
        <f>HYPERLINK("https://ictv.global/taxonomy/taxondetails?taxnode_id=202519218&amp;ictv_id=ICTV202319218","ICTV202319218")</f>
        <v>ICTV202319218</v>
      </c>
      <c r="R5426" t="s">
        <v>579</v>
      </c>
      <c r="S5426" t="s">
        <v>823</v>
      </c>
      <c r="T5426">
        <v>39</v>
      </c>
      <c r="U5426" s="26" t="str">
        <f>HYPERLINK("https://ictv.global/ictv/proposals/2023.049B.Caudoviricetes_Enterococcus_6ng.zip","2023.049B.Caudoviricetes_Enterococcus_6ng.zip")</f>
        <v>2023.049B.Caudoviricetes_Enterococcus_6ng.zip</v>
      </c>
    </row>
    <row r="5427" spans="1:21">
      <c r="A5427">
        <v>5426</v>
      </c>
      <c r="B5427" s="27" t="s">
        <v>1449</v>
      </c>
      <c r="D5427" s="27" t="s">
        <v>1450</v>
      </c>
      <c r="F5427" s="27" t="s">
        <v>1453</v>
      </c>
      <c r="H5427" s="27" t="s">
        <v>1454</v>
      </c>
      <c r="N5427" s="27" t="s">
        <v>12115</v>
      </c>
      <c r="P5427" s="27" t="s">
        <v>12117</v>
      </c>
      <c r="Q5427" s="26" t="str">
        <f>HYPERLINK("https://ictv.global/taxonomy/taxondetails?taxnode_id=202519219&amp;ictv_id=ICTV202319219","ICTV202319219")</f>
        <v>ICTV202319219</v>
      </c>
      <c r="R5427" t="s">
        <v>579</v>
      </c>
      <c r="S5427" t="s">
        <v>823</v>
      </c>
      <c r="T5427">
        <v>39</v>
      </c>
      <c r="U5427" s="26" t="str">
        <f>HYPERLINK("https://ictv.global/ictv/proposals/2023.049B.Caudoviricetes_Enterococcus_6ng.zip","2023.049B.Caudoviricetes_Enterococcus_6ng.zip")</f>
        <v>2023.049B.Caudoviricetes_Enterococcus_6ng.zip</v>
      </c>
    </row>
    <row r="5428" spans="1:21">
      <c r="A5428">
        <v>5427</v>
      </c>
      <c r="B5428" s="27" t="s">
        <v>1449</v>
      </c>
      <c r="D5428" s="27" t="s">
        <v>1450</v>
      </c>
      <c r="F5428" s="27" t="s">
        <v>1453</v>
      </c>
      <c r="H5428" s="27" t="s">
        <v>1454</v>
      </c>
      <c r="N5428" s="27" t="s">
        <v>1352</v>
      </c>
      <c r="P5428" s="27" t="s">
        <v>6926</v>
      </c>
      <c r="Q5428" s="26" t="str">
        <f>HYPERLINK("https://ictv.global/taxonomy/taxondetails?taxnode_id=202506936&amp;ictv_id=ICTV201856936","ICTV201856936")</f>
        <v>ICTV201856936</v>
      </c>
      <c r="R5428" t="s">
        <v>579</v>
      </c>
      <c r="S5428" t="s">
        <v>824</v>
      </c>
      <c r="T5428">
        <v>37</v>
      </c>
      <c r="U5428" s="26" t="str">
        <f t="shared" ref="U5428:U5436" si="213">HYPERLINK("https://ictv.global/ictv/proposals/2021.010B.R.Binomial_names.zip","2021.010B.R.Binomial_names.zip")</f>
        <v>2021.010B.R.Binomial_names.zip</v>
      </c>
    </row>
    <row r="5429" spans="1:21">
      <c r="A5429">
        <v>5428</v>
      </c>
      <c r="B5429" s="27" t="s">
        <v>1449</v>
      </c>
      <c r="D5429" s="27" t="s">
        <v>1450</v>
      </c>
      <c r="F5429" s="27" t="s">
        <v>1453</v>
      </c>
      <c r="H5429" s="27" t="s">
        <v>1454</v>
      </c>
      <c r="N5429" s="27" t="s">
        <v>1352</v>
      </c>
      <c r="P5429" s="27" t="s">
        <v>6927</v>
      </c>
      <c r="Q5429" s="26" t="str">
        <f>HYPERLINK("https://ictv.global/taxonomy/taxondetails?taxnode_id=202506938&amp;ictv_id=ICTV201856938","ICTV201856938")</f>
        <v>ICTV201856938</v>
      </c>
      <c r="R5429" t="s">
        <v>579</v>
      </c>
      <c r="S5429" t="s">
        <v>824</v>
      </c>
      <c r="T5429">
        <v>37</v>
      </c>
      <c r="U5429" s="26" t="str">
        <f t="shared" si="213"/>
        <v>2021.010B.R.Binomial_names.zip</v>
      </c>
    </row>
    <row r="5430" spans="1:21">
      <c r="A5430">
        <v>5429</v>
      </c>
      <c r="B5430" s="27" t="s">
        <v>1449</v>
      </c>
      <c r="D5430" s="27" t="s">
        <v>1450</v>
      </c>
      <c r="F5430" s="27" t="s">
        <v>1453</v>
      </c>
      <c r="H5430" s="27" t="s">
        <v>1454</v>
      </c>
      <c r="N5430" s="27" t="s">
        <v>1352</v>
      </c>
      <c r="P5430" s="27" t="s">
        <v>6928</v>
      </c>
      <c r="Q5430" s="26" t="str">
        <f>HYPERLINK("https://ictv.global/taxonomy/taxondetails?taxnode_id=202506939&amp;ictv_id=ICTV201856939","ICTV201856939")</f>
        <v>ICTV201856939</v>
      </c>
      <c r="R5430" t="s">
        <v>579</v>
      </c>
      <c r="S5430" t="s">
        <v>824</v>
      </c>
      <c r="T5430">
        <v>37</v>
      </c>
      <c r="U5430" s="26" t="str">
        <f t="shared" si="213"/>
        <v>2021.010B.R.Binomial_names.zip</v>
      </c>
    </row>
    <row r="5431" spans="1:21">
      <c r="A5431">
        <v>5430</v>
      </c>
      <c r="B5431" s="27" t="s">
        <v>1449</v>
      </c>
      <c r="D5431" s="27" t="s">
        <v>1450</v>
      </c>
      <c r="F5431" s="27" t="s">
        <v>1453</v>
      </c>
      <c r="H5431" s="27" t="s">
        <v>1454</v>
      </c>
      <c r="N5431" s="27" t="s">
        <v>1352</v>
      </c>
      <c r="P5431" s="27" t="s">
        <v>6929</v>
      </c>
      <c r="Q5431" s="26" t="str">
        <f>HYPERLINK("https://ictv.global/taxonomy/taxondetails?taxnode_id=202506935&amp;ictv_id=ICTV201856935","ICTV201856935")</f>
        <v>ICTV201856935</v>
      </c>
      <c r="R5431" t="s">
        <v>579</v>
      </c>
      <c r="S5431" t="s">
        <v>824</v>
      </c>
      <c r="T5431">
        <v>37</v>
      </c>
      <c r="U5431" s="26" t="str">
        <f t="shared" si="213"/>
        <v>2021.010B.R.Binomial_names.zip</v>
      </c>
    </row>
    <row r="5432" spans="1:21">
      <c r="A5432">
        <v>5431</v>
      </c>
      <c r="B5432" s="27" t="s">
        <v>1449</v>
      </c>
      <c r="D5432" s="27" t="s">
        <v>1450</v>
      </c>
      <c r="F5432" s="27" t="s">
        <v>1453</v>
      </c>
      <c r="H5432" s="27" t="s">
        <v>1454</v>
      </c>
      <c r="N5432" s="27" t="s">
        <v>1352</v>
      </c>
      <c r="P5432" s="27" t="s">
        <v>6930</v>
      </c>
      <c r="Q5432" s="26" t="str">
        <f>HYPERLINK("https://ictv.global/taxonomy/taxondetails?taxnode_id=202506940&amp;ictv_id=ICTV201856940","ICTV201856940")</f>
        <v>ICTV201856940</v>
      </c>
      <c r="R5432" t="s">
        <v>579</v>
      </c>
      <c r="S5432" t="s">
        <v>824</v>
      </c>
      <c r="T5432">
        <v>37</v>
      </c>
      <c r="U5432" s="26" t="str">
        <f t="shared" si="213"/>
        <v>2021.010B.R.Binomial_names.zip</v>
      </c>
    </row>
    <row r="5433" spans="1:21">
      <c r="A5433">
        <v>5432</v>
      </c>
      <c r="B5433" s="27" t="s">
        <v>1449</v>
      </c>
      <c r="D5433" s="27" t="s">
        <v>1450</v>
      </c>
      <c r="F5433" s="27" t="s">
        <v>1453</v>
      </c>
      <c r="H5433" s="27" t="s">
        <v>1454</v>
      </c>
      <c r="N5433" s="27" t="s">
        <v>1352</v>
      </c>
      <c r="P5433" s="27" t="s">
        <v>6931</v>
      </c>
      <c r="Q5433" s="26" t="str">
        <f>HYPERLINK("https://ictv.global/taxonomy/taxondetails?taxnode_id=202506934&amp;ictv_id=ICTV201856934","ICTV201856934")</f>
        <v>ICTV201856934</v>
      </c>
      <c r="R5433" t="s">
        <v>579</v>
      </c>
      <c r="S5433" t="s">
        <v>824</v>
      </c>
      <c r="T5433">
        <v>37</v>
      </c>
      <c r="U5433" s="26" t="str">
        <f t="shared" si="213"/>
        <v>2021.010B.R.Binomial_names.zip</v>
      </c>
    </row>
    <row r="5434" spans="1:21">
      <c r="A5434">
        <v>5433</v>
      </c>
      <c r="B5434" s="27" t="s">
        <v>1449</v>
      </c>
      <c r="D5434" s="27" t="s">
        <v>1450</v>
      </c>
      <c r="F5434" s="27" t="s">
        <v>1453</v>
      </c>
      <c r="H5434" s="27" t="s">
        <v>1454</v>
      </c>
      <c r="N5434" s="27" t="s">
        <v>1352</v>
      </c>
      <c r="P5434" s="27" t="s">
        <v>6932</v>
      </c>
      <c r="Q5434" s="26" t="str">
        <f>HYPERLINK("https://ictv.global/taxonomy/taxondetails?taxnode_id=202506946&amp;ictv_id=ICTV201856946","ICTV201856946")</f>
        <v>ICTV201856946</v>
      </c>
      <c r="R5434" t="s">
        <v>579</v>
      </c>
      <c r="S5434" t="s">
        <v>824</v>
      </c>
      <c r="T5434">
        <v>37</v>
      </c>
      <c r="U5434" s="26" t="str">
        <f t="shared" si="213"/>
        <v>2021.010B.R.Binomial_names.zip</v>
      </c>
    </row>
    <row r="5435" spans="1:21">
      <c r="A5435">
        <v>5434</v>
      </c>
      <c r="B5435" s="27" t="s">
        <v>1449</v>
      </c>
      <c r="D5435" s="27" t="s">
        <v>1450</v>
      </c>
      <c r="F5435" s="27" t="s">
        <v>1453</v>
      </c>
      <c r="H5435" s="27" t="s">
        <v>1454</v>
      </c>
      <c r="N5435" s="27" t="s">
        <v>1352</v>
      </c>
      <c r="P5435" s="27" t="s">
        <v>6933</v>
      </c>
      <c r="Q5435" s="26" t="str">
        <f>HYPERLINK("https://ictv.global/taxonomy/taxondetails?taxnode_id=202506947&amp;ictv_id=ICTV201856947","ICTV201856947")</f>
        <v>ICTV201856947</v>
      </c>
      <c r="R5435" t="s">
        <v>579</v>
      </c>
      <c r="S5435" t="s">
        <v>824</v>
      </c>
      <c r="T5435">
        <v>37</v>
      </c>
      <c r="U5435" s="26" t="str">
        <f t="shared" si="213"/>
        <v>2021.010B.R.Binomial_names.zip</v>
      </c>
    </row>
    <row r="5436" spans="1:21">
      <c r="A5436">
        <v>5435</v>
      </c>
      <c r="B5436" s="27" t="s">
        <v>1449</v>
      </c>
      <c r="D5436" s="27" t="s">
        <v>1450</v>
      </c>
      <c r="F5436" s="27" t="s">
        <v>1453</v>
      </c>
      <c r="H5436" s="27" t="s">
        <v>1454</v>
      </c>
      <c r="N5436" s="27" t="s">
        <v>1352</v>
      </c>
      <c r="P5436" s="27" t="s">
        <v>6934</v>
      </c>
      <c r="Q5436" s="26" t="str">
        <f>HYPERLINK("https://ictv.global/taxonomy/taxondetails?taxnode_id=202506937&amp;ictv_id=ICTV201856937","ICTV201856937")</f>
        <v>ICTV201856937</v>
      </c>
      <c r="R5436" t="s">
        <v>579</v>
      </c>
      <c r="S5436" t="s">
        <v>824</v>
      </c>
      <c r="T5436">
        <v>37</v>
      </c>
      <c r="U5436" s="26" t="str">
        <f t="shared" si="213"/>
        <v>2021.010B.R.Binomial_names.zip</v>
      </c>
    </row>
    <row r="5437" spans="1:21">
      <c r="A5437">
        <v>5436</v>
      </c>
      <c r="B5437" s="27" t="s">
        <v>1449</v>
      </c>
      <c r="D5437" s="27" t="s">
        <v>1450</v>
      </c>
      <c r="F5437" s="27" t="s">
        <v>1453</v>
      </c>
      <c r="H5437" s="27" t="s">
        <v>1454</v>
      </c>
      <c r="N5437" s="27" t="s">
        <v>1352</v>
      </c>
      <c r="P5437" s="27" t="s">
        <v>21468</v>
      </c>
      <c r="Q5437" s="26" t="str">
        <f>HYPERLINK("https://ictv.global/taxonomy/taxondetails?taxnode_id=202522339&amp;ictv_id=ICTV202522339","ICTV202522339")</f>
        <v>ICTV202522339</v>
      </c>
      <c r="R5437" t="s">
        <v>579</v>
      </c>
      <c r="S5437" t="s">
        <v>823</v>
      </c>
      <c r="T5437">
        <v>41</v>
      </c>
      <c r="U5437" s="26" t="str">
        <f>HYPERLINK("https://ictv.global/ictv/proposals/2025.008B.Caudoviricetes_11ns.zip","2025.008B.Caudoviricetes_11ns.zip")</f>
        <v>2025.008B.Caudoviricetes_11ns.zip</v>
      </c>
    </row>
    <row r="5438" spans="1:21">
      <c r="A5438">
        <v>5437</v>
      </c>
      <c r="B5438" s="27" t="s">
        <v>1449</v>
      </c>
      <c r="D5438" s="27" t="s">
        <v>1450</v>
      </c>
      <c r="F5438" s="27" t="s">
        <v>1453</v>
      </c>
      <c r="H5438" s="27" t="s">
        <v>1454</v>
      </c>
      <c r="N5438" s="27" t="s">
        <v>1352</v>
      </c>
      <c r="P5438" s="27" t="s">
        <v>6935</v>
      </c>
      <c r="Q5438" s="26" t="str">
        <f>HYPERLINK("https://ictv.global/taxonomy/taxondetails?taxnode_id=202506945&amp;ictv_id=ICTV201856945","ICTV201856945")</f>
        <v>ICTV201856945</v>
      </c>
      <c r="R5438" t="s">
        <v>579</v>
      </c>
      <c r="S5438" t="s">
        <v>824</v>
      </c>
      <c r="T5438">
        <v>37</v>
      </c>
      <c r="U5438" s="26" t="str">
        <f>HYPERLINK("https://ictv.global/ictv/proposals/2021.010B.R.Binomial_names.zip","2021.010B.R.Binomial_names.zip")</f>
        <v>2021.010B.R.Binomial_names.zip</v>
      </c>
    </row>
    <row r="5439" spans="1:21">
      <c r="A5439">
        <v>5438</v>
      </c>
      <c r="B5439" s="27" t="s">
        <v>1449</v>
      </c>
      <c r="D5439" s="27" t="s">
        <v>1450</v>
      </c>
      <c r="F5439" s="27" t="s">
        <v>1453</v>
      </c>
      <c r="H5439" s="27" t="s">
        <v>1454</v>
      </c>
      <c r="N5439" s="27" t="s">
        <v>1352</v>
      </c>
      <c r="P5439" s="27" t="s">
        <v>6936</v>
      </c>
      <c r="Q5439" s="26" t="str">
        <f>HYPERLINK("https://ictv.global/taxonomy/taxondetails?taxnode_id=202506943&amp;ictv_id=ICTV201856943","ICTV201856943")</f>
        <v>ICTV201856943</v>
      </c>
      <c r="R5439" t="s">
        <v>579</v>
      </c>
      <c r="S5439" t="s">
        <v>824</v>
      </c>
      <c r="T5439">
        <v>37</v>
      </c>
      <c r="U5439" s="26" t="str">
        <f>HYPERLINK("https://ictv.global/ictv/proposals/2021.010B.R.Binomial_names.zip","2021.010B.R.Binomial_names.zip")</f>
        <v>2021.010B.R.Binomial_names.zip</v>
      </c>
    </row>
    <row r="5440" spans="1:21">
      <c r="A5440">
        <v>5439</v>
      </c>
      <c r="B5440" s="27" t="s">
        <v>1449</v>
      </c>
      <c r="D5440" s="27" t="s">
        <v>1450</v>
      </c>
      <c r="F5440" s="27" t="s">
        <v>1453</v>
      </c>
      <c r="H5440" s="27" t="s">
        <v>1454</v>
      </c>
      <c r="N5440" s="27" t="s">
        <v>1352</v>
      </c>
      <c r="P5440" s="27" t="s">
        <v>6937</v>
      </c>
      <c r="Q5440" s="26" t="str">
        <f>HYPERLINK("https://ictv.global/taxonomy/taxondetails?taxnode_id=202506944&amp;ictv_id=ICTV201856944","ICTV201856944")</f>
        <v>ICTV201856944</v>
      </c>
      <c r="R5440" t="s">
        <v>579</v>
      </c>
      <c r="S5440" t="s">
        <v>824</v>
      </c>
      <c r="T5440">
        <v>37</v>
      </c>
      <c r="U5440" s="26" t="str">
        <f>HYPERLINK("https://ictv.global/ictv/proposals/2021.010B.R.Binomial_names.zip","2021.010B.R.Binomial_names.zip")</f>
        <v>2021.010B.R.Binomial_names.zip</v>
      </c>
    </row>
    <row r="5441" spans="1:21">
      <c r="A5441">
        <v>5440</v>
      </c>
      <c r="B5441" s="27" t="s">
        <v>1449</v>
      </c>
      <c r="D5441" s="27" t="s">
        <v>1450</v>
      </c>
      <c r="F5441" s="27" t="s">
        <v>1453</v>
      </c>
      <c r="H5441" s="27" t="s">
        <v>1454</v>
      </c>
      <c r="N5441" s="27" t="s">
        <v>1352</v>
      </c>
      <c r="P5441" s="27" t="s">
        <v>6938</v>
      </c>
      <c r="Q5441" s="26" t="str">
        <f>HYPERLINK("https://ictv.global/taxonomy/taxondetails?taxnode_id=202506942&amp;ictv_id=ICTV201856942","ICTV201856942")</f>
        <v>ICTV201856942</v>
      </c>
      <c r="R5441" t="s">
        <v>579</v>
      </c>
      <c r="S5441" t="s">
        <v>824</v>
      </c>
      <c r="T5441">
        <v>37</v>
      </c>
      <c r="U5441" s="26" t="str">
        <f>HYPERLINK("https://ictv.global/ictv/proposals/2021.010B.R.Binomial_names.zip","2021.010B.R.Binomial_names.zip")</f>
        <v>2021.010B.R.Binomial_names.zip</v>
      </c>
    </row>
    <row r="5442" spans="1:21">
      <c r="A5442">
        <v>5441</v>
      </c>
      <c r="B5442" s="27" t="s">
        <v>1449</v>
      </c>
      <c r="D5442" s="27" t="s">
        <v>1450</v>
      </c>
      <c r="F5442" s="27" t="s">
        <v>1453</v>
      </c>
      <c r="H5442" s="27" t="s">
        <v>1454</v>
      </c>
      <c r="N5442" s="27" t="s">
        <v>1352</v>
      </c>
      <c r="P5442" s="27" t="s">
        <v>6939</v>
      </c>
      <c r="Q5442" s="26" t="str">
        <f>HYPERLINK("https://ictv.global/taxonomy/taxondetails?taxnode_id=202506941&amp;ictv_id=ICTV201856941","ICTV201856941")</f>
        <v>ICTV201856941</v>
      </c>
      <c r="R5442" t="s">
        <v>579</v>
      </c>
      <c r="S5442" t="s">
        <v>824</v>
      </c>
      <c r="T5442">
        <v>37</v>
      </c>
      <c r="U5442" s="26" t="str">
        <f>HYPERLINK("https://ictv.global/ictv/proposals/2021.010B.R.Binomial_names.zip","2021.010B.R.Binomial_names.zip")</f>
        <v>2021.010B.R.Binomial_names.zip</v>
      </c>
    </row>
    <row r="5443" spans="1:21">
      <c r="A5443">
        <v>5442</v>
      </c>
      <c r="B5443" s="27" t="s">
        <v>1449</v>
      </c>
      <c r="D5443" s="27" t="s">
        <v>1450</v>
      </c>
      <c r="F5443" s="27" t="s">
        <v>1453</v>
      </c>
      <c r="H5443" s="27" t="s">
        <v>1454</v>
      </c>
      <c r="N5443" s="27" t="s">
        <v>12118</v>
      </c>
      <c r="P5443" s="27" t="s">
        <v>12119</v>
      </c>
      <c r="Q5443" s="26" t="str">
        <f>HYPERLINK("https://ictv.global/taxonomy/taxondetails?taxnode_id=202518501&amp;ictv_id=ICTV202318501","ICTV202318501")</f>
        <v>ICTV202318501</v>
      </c>
      <c r="R5443" t="s">
        <v>579</v>
      </c>
      <c r="S5443" t="s">
        <v>823</v>
      </c>
      <c r="T5443">
        <v>39</v>
      </c>
      <c r="U5443" s="26" t="str">
        <f>HYPERLINK("https://ictv.global/ictv/proposals/2023.021B.Efunavirus_ng.zip","2023.021B.Efunavirus_ng.zip")</f>
        <v>2023.021B.Efunavirus_ng.zip</v>
      </c>
    </row>
    <row r="5444" spans="1:21">
      <c r="A5444">
        <v>5443</v>
      </c>
      <c r="B5444" s="27" t="s">
        <v>1449</v>
      </c>
      <c r="D5444" s="27" t="s">
        <v>1450</v>
      </c>
      <c r="F5444" s="27" t="s">
        <v>1453</v>
      </c>
      <c r="H5444" s="27" t="s">
        <v>1454</v>
      </c>
      <c r="N5444" s="27" t="s">
        <v>12118</v>
      </c>
      <c r="P5444" s="27" t="s">
        <v>12120</v>
      </c>
      <c r="Q5444" s="26" t="str">
        <f>HYPERLINK("https://ictv.global/taxonomy/taxondetails?taxnode_id=202518502&amp;ictv_id=ICTV202318502","ICTV202318502")</f>
        <v>ICTV202318502</v>
      </c>
      <c r="R5444" t="s">
        <v>579</v>
      </c>
      <c r="S5444" t="s">
        <v>823</v>
      </c>
      <c r="T5444">
        <v>39</v>
      </c>
      <c r="U5444" s="26" t="str">
        <f>HYPERLINK("https://ictv.global/ictv/proposals/2023.021B.Efunavirus_ng.zip","2023.021B.Efunavirus_ng.zip")</f>
        <v>2023.021B.Efunavirus_ng.zip</v>
      </c>
    </row>
    <row r="5445" spans="1:21">
      <c r="A5445">
        <v>5444</v>
      </c>
      <c r="B5445" s="27" t="s">
        <v>1449</v>
      </c>
      <c r="D5445" s="27" t="s">
        <v>1450</v>
      </c>
      <c r="F5445" s="27" t="s">
        <v>1453</v>
      </c>
      <c r="H5445" s="27" t="s">
        <v>1454</v>
      </c>
      <c r="N5445" s="27" t="s">
        <v>774</v>
      </c>
      <c r="P5445" s="27" t="s">
        <v>6940</v>
      </c>
      <c r="Q5445" s="26" t="str">
        <f>HYPERLINK("https://ictv.global/taxonomy/taxondetails?taxnode_id=202500967&amp;ictv_id=ICTV20164987","ICTV20164987")</f>
        <v>ICTV20164987</v>
      </c>
      <c r="R5445" t="s">
        <v>579</v>
      </c>
      <c r="S5445" t="s">
        <v>824</v>
      </c>
      <c r="T5445">
        <v>37</v>
      </c>
      <c r="U5445" s="26" t="str">
        <f>HYPERLINK("https://ictv.global/ictv/proposals/2021.010B.R.Binomial_names.zip","2021.010B.R.Binomial_names.zip")</f>
        <v>2021.010B.R.Binomial_names.zip</v>
      </c>
    </row>
    <row r="5446" spans="1:21">
      <c r="A5446">
        <v>5445</v>
      </c>
      <c r="B5446" s="27" t="s">
        <v>1449</v>
      </c>
      <c r="D5446" s="27" t="s">
        <v>1450</v>
      </c>
      <c r="F5446" s="27" t="s">
        <v>1453</v>
      </c>
      <c r="H5446" s="27" t="s">
        <v>1454</v>
      </c>
      <c r="N5446" s="27" t="s">
        <v>1353</v>
      </c>
      <c r="P5446" s="27" t="s">
        <v>6941</v>
      </c>
      <c r="Q5446" s="26" t="str">
        <f>HYPERLINK("https://ictv.global/taxonomy/taxondetails?taxnode_id=202501379&amp;ictv_id=ICTV20140447","ICTV20140447")</f>
        <v>ICTV20140447</v>
      </c>
      <c r="R5446" t="s">
        <v>579</v>
      </c>
      <c r="S5446" t="s">
        <v>824</v>
      </c>
      <c r="T5446">
        <v>37</v>
      </c>
      <c r="U5446" s="26" t="str">
        <f>HYPERLINK("https://ictv.global/ictv/proposals/2021.010B.R.Binomial_names.zip","2021.010B.R.Binomial_names.zip")</f>
        <v>2021.010B.R.Binomial_names.zip</v>
      </c>
    </row>
    <row r="5447" spans="1:21">
      <c r="A5447">
        <v>5446</v>
      </c>
      <c r="B5447" s="27" t="s">
        <v>1449</v>
      </c>
      <c r="D5447" s="27" t="s">
        <v>1450</v>
      </c>
      <c r="F5447" s="27" t="s">
        <v>1453</v>
      </c>
      <c r="H5447" s="27" t="s">
        <v>1454</v>
      </c>
      <c r="N5447" s="27" t="s">
        <v>6942</v>
      </c>
      <c r="P5447" s="27" t="s">
        <v>6943</v>
      </c>
      <c r="Q5447" s="26" t="str">
        <f>HYPERLINK("https://ictv.global/taxonomy/taxondetails?taxnode_id=202513530&amp;ictv_id=ICTV202113530","ICTV202113530")</f>
        <v>ICTV202113530</v>
      </c>
      <c r="R5447" t="s">
        <v>579</v>
      </c>
      <c r="S5447" t="s">
        <v>823</v>
      </c>
      <c r="T5447">
        <v>37</v>
      </c>
      <c r="U5447" s="26" t="str">
        <f t="shared" ref="U5447:U5452" si="214">HYPERLINK("https://ictv.global/ictv/proposals/2021.028B.R.Flavobacterium_phages_new_genera.zip","2021.028B.R.Flavobacterium_phages_new_genera.zip")</f>
        <v>2021.028B.R.Flavobacterium_phages_new_genera.zip</v>
      </c>
    </row>
    <row r="5448" spans="1:21">
      <c r="A5448">
        <v>5447</v>
      </c>
      <c r="B5448" s="27" t="s">
        <v>1449</v>
      </c>
      <c r="D5448" s="27" t="s">
        <v>1450</v>
      </c>
      <c r="F5448" s="27" t="s">
        <v>1453</v>
      </c>
      <c r="H5448" s="27" t="s">
        <v>1454</v>
      </c>
      <c r="N5448" s="27" t="s">
        <v>6942</v>
      </c>
      <c r="P5448" s="27" t="s">
        <v>6944</v>
      </c>
      <c r="Q5448" s="26" t="str">
        <f>HYPERLINK("https://ictv.global/taxonomy/taxondetails?taxnode_id=202513531&amp;ictv_id=ICTV202113531","ICTV202113531")</f>
        <v>ICTV202113531</v>
      </c>
      <c r="R5448" t="s">
        <v>579</v>
      </c>
      <c r="S5448" t="s">
        <v>823</v>
      </c>
      <c r="T5448">
        <v>37</v>
      </c>
      <c r="U5448" s="26" t="str">
        <f t="shared" si="214"/>
        <v>2021.028B.R.Flavobacterium_phages_new_genera.zip</v>
      </c>
    </row>
    <row r="5449" spans="1:21">
      <c r="A5449">
        <v>5448</v>
      </c>
      <c r="B5449" s="27" t="s">
        <v>1449</v>
      </c>
      <c r="D5449" s="27" t="s">
        <v>1450</v>
      </c>
      <c r="F5449" s="27" t="s">
        <v>1453</v>
      </c>
      <c r="H5449" s="27" t="s">
        <v>1454</v>
      </c>
      <c r="N5449" s="27" t="s">
        <v>6942</v>
      </c>
      <c r="P5449" s="27" t="s">
        <v>6945</v>
      </c>
      <c r="Q5449" s="26" t="str">
        <f>HYPERLINK("https://ictv.global/taxonomy/taxondetails?taxnode_id=202513532&amp;ictv_id=ICTV202113532","ICTV202113532")</f>
        <v>ICTV202113532</v>
      </c>
      <c r="R5449" t="s">
        <v>579</v>
      </c>
      <c r="S5449" t="s">
        <v>823</v>
      </c>
      <c r="T5449">
        <v>37</v>
      </c>
      <c r="U5449" s="26" t="str">
        <f t="shared" si="214"/>
        <v>2021.028B.R.Flavobacterium_phages_new_genera.zip</v>
      </c>
    </row>
    <row r="5450" spans="1:21">
      <c r="A5450">
        <v>5449</v>
      </c>
      <c r="B5450" s="27" t="s">
        <v>1449</v>
      </c>
      <c r="D5450" s="27" t="s">
        <v>1450</v>
      </c>
      <c r="F5450" s="27" t="s">
        <v>1453</v>
      </c>
      <c r="H5450" s="27" t="s">
        <v>1454</v>
      </c>
      <c r="N5450" s="27" t="s">
        <v>6942</v>
      </c>
      <c r="P5450" s="27" t="s">
        <v>6946</v>
      </c>
      <c r="Q5450" s="26" t="str">
        <f>HYPERLINK("https://ictv.global/taxonomy/taxondetails?taxnode_id=202513533&amp;ictv_id=ICTV202113533","ICTV202113533")</f>
        <v>ICTV202113533</v>
      </c>
      <c r="R5450" t="s">
        <v>579</v>
      </c>
      <c r="S5450" t="s">
        <v>823</v>
      </c>
      <c r="T5450">
        <v>37</v>
      </c>
      <c r="U5450" s="26" t="str">
        <f t="shared" si="214"/>
        <v>2021.028B.R.Flavobacterium_phages_new_genera.zip</v>
      </c>
    </row>
    <row r="5451" spans="1:21">
      <c r="A5451">
        <v>5450</v>
      </c>
      <c r="B5451" s="27" t="s">
        <v>1449</v>
      </c>
      <c r="D5451" s="27" t="s">
        <v>1450</v>
      </c>
      <c r="F5451" s="27" t="s">
        <v>1453</v>
      </c>
      <c r="H5451" s="27" t="s">
        <v>1454</v>
      </c>
      <c r="N5451" s="27" t="s">
        <v>6942</v>
      </c>
      <c r="P5451" s="27" t="s">
        <v>6947</v>
      </c>
      <c r="Q5451" s="26" t="str">
        <f>HYPERLINK("https://ictv.global/taxonomy/taxondetails?taxnode_id=202513534&amp;ictv_id=ICTV202113534","ICTV202113534")</f>
        <v>ICTV202113534</v>
      </c>
      <c r="R5451" t="s">
        <v>579</v>
      </c>
      <c r="S5451" t="s">
        <v>823</v>
      </c>
      <c r="T5451">
        <v>37</v>
      </c>
      <c r="U5451" s="26" t="str">
        <f t="shared" si="214"/>
        <v>2021.028B.R.Flavobacterium_phages_new_genera.zip</v>
      </c>
    </row>
    <row r="5452" spans="1:21">
      <c r="A5452">
        <v>5451</v>
      </c>
      <c r="B5452" s="27" t="s">
        <v>1449</v>
      </c>
      <c r="D5452" s="27" t="s">
        <v>1450</v>
      </c>
      <c r="F5452" s="27" t="s">
        <v>1453</v>
      </c>
      <c r="H5452" s="27" t="s">
        <v>1454</v>
      </c>
      <c r="N5452" s="27" t="s">
        <v>6942</v>
      </c>
      <c r="P5452" s="27" t="s">
        <v>6948</v>
      </c>
      <c r="Q5452" s="26" t="str">
        <f>HYPERLINK("https://ictv.global/taxonomy/taxondetails?taxnode_id=202513535&amp;ictv_id=ICTV202113535","ICTV202113535")</f>
        <v>ICTV202113535</v>
      </c>
      <c r="R5452" t="s">
        <v>579</v>
      </c>
      <c r="S5452" t="s">
        <v>823</v>
      </c>
      <c r="T5452">
        <v>37</v>
      </c>
      <c r="U5452" s="26" t="str">
        <f t="shared" si="214"/>
        <v>2021.028B.R.Flavobacterium_phages_new_genera.zip</v>
      </c>
    </row>
    <row r="5453" spans="1:21">
      <c r="A5453">
        <v>5452</v>
      </c>
      <c r="B5453" s="27" t="s">
        <v>1449</v>
      </c>
      <c r="D5453" s="27" t="s">
        <v>1450</v>
      </c>
      <c r="F5453" s="27" t="s">
        <v>1453</v>
      </c>
      <c r="H5453" s="27" t="s">
        <v>1454</v>
      </c>
      <c r="N5453" s="27" t="s">
        <v>1354</v>
      </c>
      <c r="P5453" s="27" t="s">
        <v>6949</v>
      </c>
      <c r="Q5453" s="26" t="str">
        <f>HYPERLINK("https://ictv.global/taxonomy/taxondetails?taxnode_id=202506739&amp;ictv_id=ICTV201856739","ICTV201856739")</f>
        <v>ICTV201856739</v>
      </c>
      <c r="R5453" t="s">
        <v>579</v>
      </c>
      <c r="S5453" t="s">
        <v>824</v>
      </c>
      <c r="T5453">
        <v>37</v>
      </c>
      <c r="U5453" s="26" t="str">
        <f>HYPERLINK("https://ictv.global/ictv/proposals/2021.010B.R.Binomial_names.zip","2021.010B.R.Binomial_names.zip")</f>
        <v>2021.010B.R.Binomial_names.zip</v>
      </c>
    </row>
    <row r="5454" spans="1:21">
      <c r="A5454">
        <v>5453</v>
      </c>
      <c r="B5454" s="27" t="s">
        <v>1449</v>
      </c>
      <c r="D5454" s="27" t="s">
        <v>1450</v>
      </c>
      <c r="F5454" s="27" t="s">
        <v>1453</v>
      </c>
      <c r="H5454" s="27" t="s">
        <v>1454</v>
      </c>
      <c r="N5454" s="27" t="s">
        <v>2099</v>
      </c>
      <c r="P5454" s="27" t="s">
        <v>6950</v>
      </c>
      <c r="Q5454" s="26" t="str">
        <f>HYPERLINK("https://ictv.global/taxonomy/taxondetails?taxnode_id=202509991&amp;ictv_id=ICTV202009991","ICTV202009991")</f>
        <v>ICTV202009991</v>
      </c>
      <c r="R5454" t="s">
        <v>579</v>
      </c>
      <c r="S5454" t="s">
        <v>824</v>
      </c>
      <c r="T5454">
        <v>37</v>
      </c>
      <c r="U5454" s="26" t="str">
        <f>HYPERLINK("https://ictv.global/ictv/proposals/2021.010B.R.Binomial_names.zip","2021.010B.R.Binomial_names.zip")</f>
        <v>2021.010B.R.Binomial_names.zip</v>
      </c>
    </row>
    <row r="5455" spans="1:21">
      <c r="A5455">
        <v>5454</v>
      </c>
      <c r="B5455" s="27" t="s">
        <v>1449</v>
      </c>
      <c r="D5455" s="27" t="s">
        <v>1450</v>
      </c>
      <c r="F5455" s="27" t="s">
        <v>1453</v>
      </c>
      <c r="H5455" s="27" t="s">
        <v>1454</v>
      </c>
      <c r="N5455" s="27" t="s">
        <v>1230</v>
      </c>
      <c r="P5455" s="27" t="s">
        <v>6956</v>
      </c>
      <c r="Q5455" s="26" t="str">
        <f>HYPERLINK("https://ictv.global/taxonomy/taxondetails?taxnode_id=202500444&amp;ictv_id=ICTV20164867","ICTV20164867")</f>
        <v>ICTV20164867</v>
      </c>
      <c r="R5455" t="s">
        <v>579</v>
      </c>
      <c r="S5455" t="s">
        <v>824</v>
      </c>
      <c r="T5455">
        <v>37</v>
      </c>
      <c r="U5455" s="26" t="str">
        <f>HYPERLINK("https://ictv.global/ictv/proposals/2021.010B.R.Binomial_names.zip","2021.010B.R.Binomial_names.zip")</f>
        <v>2021.010B.R.Binomial_names.zip</v>
      </c>
    </row>
    <row r="5456" spans="1:21">
      <c r="A5456">
        <v>5455</v>
      </c>
      <c r="B5456" s="27" t="s">
        <v>1449</v>
      </c>
      <c r="D5456" s="27" t="s">
        <v>1450</v>
      </c>
      <c r="F5456" s="27" t="s">
        <v>1453</v>
      </c>
      <c r="H5456" s="27" t="s">
        <v>1454</v>
      </c>
      <c r="N5456" s="27" t="s">
        <v>1230</v>
      </c>
      <c r="P5456" s="27" t="s">
        <v>6957</v>
      </c>
      <c r="Q5456" s="26" t="str">
        <f>HYPERLINK("https://ictv.global/taxonomy/taxondetails?taxnode_id=202500445&amp;ictv_id=ICTV20164866","ICTV20164866")</f>
        <v>ICTV20164866</v>
      </c>
      <c r="R5456" t="s">
        <v>579</v>
      </c>
      <c r="S5456" t="s">
        <v>824</v>
      </c>
      <c r="T5456">
        <v>37</v>
      </c>
      <c r="U5456" s="26" t="str">
        <f>HYPERLINK("https://ictv.global/ictv/proposals/2021.010B.R.Binomial_names.zip","2021.010B.R.Binomial_names.zip")</f>
        <v>2021.010B.R.Binomial_names.zip</v>
      </c>
    </row>
    <row r="5457" spans="1:21">
      <c r="A5457">
        <v>5456</v>
      </c>
      <c r="B5457" s="27" t="s">
        <v>1449</v>
      </c>
      <c r="D5457" s="27" t="s">
        <v>1450</v>
      </c>
      <c r="F5457" s="27" t="s">
        <v>1453</v>
      </c>
      <c r="H5457" s="27" t="s">
        <v>1454</v>
      </c>
      <c r="N5457" s="27" t="s">
        <v>1230</v>
      </c>
      <c r="P5457" s="27" t="s">
        <v>6958</v>
      </c>
      <c r="Q5457" s="26" t="str">
        <f>HYPERLINK("https://ictv.global/taxonomy/taxondetails?taxnode_id=202500446&amp;ictv_id=ICTV20164868","ICTV20164868")</f>
        <v>ICTV20164868</v>
      </c>
      <c r="R5457" t="s">
        <v>579</v>
      </c>
      <c r="S5457" t="s">
        <v>824</v>
      </c>
      <c r="T5457">
        <v>37</v>
      </c>
      <c r="U5457" s="26" t="str">
        <f>HYPERLINK("https://ictv.global/ictv/proposals/2021.010B.R.Binomial_names.zip","2021.010B.R.Binomial_names.zip")</f>
        <v>2021.010B.R.Binomial_names.zip</v>
      </c>
    </row>
    <row r="5458" spans="1:21">
      <c r="A5458">
        <v>5457</v>
      </c>
      <c r="B5458" s="27" t="s">
        <v>1449</v>
      </c>
      <c r="D5458" s="27" t="s">
        <v>1450</v>
      </c>
      <c r="F5458" s="27" t="s">
        <v>1453</v>
      </c>
      <c r="H5458" s="27" t="s">
        <v>1454</v>
      </c>
      <c r="N5458" s="27" t="s">
        <v>12121</v>
      </c>
      <c r="P5458" s="27" t="s">
        <v>12122</v>
      </c>
      <c r="Q5458" s="26" t="str">
        <f>HYPERLINK("https://ictv.global/taxonomy/taxondetails?taxnode_id=202517754&amp;ictv_id=ICTV202317754","ICTV202317754")</f>
        <v>ICTV202317754</v>
      </c>
      <c r="R5458" t="s">
        <v>579</v>
      </c>
      <c r="S5458" t="s">
        <v>823</v>
      </c>
      <c r="T5458">
        <v>39</v>
      </c>
      <c r="U5458" s="26" t="str">
        <f>HYPERLINK("https://ictv.global/ictv/proposals/2023.003B.Actinobacteriophage_singletons_25ng.zip","2023.003B.Actinobacteriophage_singletons_25ng.zip")</f>
        <v>2023.003B.Actinobacteriophage_singletons_25ng.zip</v>
      </c>
    </row>
    <row r="5459" spans="1:21">
      <c r="A5459">
        <v>5458</v>
      </c>
      <c r="B5459" s="27" t="s">
        <v>1449</v>
      </c>
      <c r="D5459" s="27" t="s">
        <v>1450</v>
      </c>
      <c r="F5459" s="27" t="s">
        <v>1453</v>
      </c>
      <c r="H5459" s="27" t="s">
        <v>1454</v>
      </c>
      <c r="N5459" s="27" t="s">
        <v>6959</v>
      </c>
      <c r="P5459" s="27" t="s">
        <v>6960</v>
      </c>
      <c r="Q5459" s="26" t="str">
        <f>HYPERLINK("https://ictv.global/taxonomy/taxondetails?taxnode_id=202514591&amp;ictv_id=ICTV202214591","ICTV202214591")</f>
        <v>ICTV202214591</v>
      </c>
      <c r="R5459" t="s">
        <v>579</v>
      </c>
      <c r="S5459" t="s">
        <v>823</v>
      </c>
      <c r="T5459">
        <v>38</v>
      </c>
      <c r="U5459" s="26" t="str">
        <f>HYPERLINK("https://ictv.global/ictv/proposals/2022.032B.Caudoviricetes_5ng.zip","2022.032B.Caudoviricetes_5ng.zip")</f>
        <v>2022.032B.Caudoviricetes_5ng.zip</v>
      </c>
    </row>
    <row r="5460" spans="1:21">
      <c r="A5460">
        <v>5459</v>
      </c>
      <c r="B5460" s="27" t="s">
        <v>1449</v>
      </c>
      <c r="D5460" s="27" t="s">
        <v>1450</v>
      </c>
      <c r="F5460" s="27" t="s">
        <v>1453</v>
      </c>
      <c r="H5460" s="27" t="s">
        <v>1454</v>
      </c>
      <c r="N5460" s="27" t="s">
        <v>6959</v>
      </c>
      <c r="P5460" s="27" t="s">
        <v>6961</v>
      </c>
      <c r="Q5460" s="26" t="str">
        <f>HYPERLINK("https://ictv.global/taxonomy/taxondetails?taxnode_id=202514592&amp;ictv_id=ICTV202214592","ICTV202214592")</f>
        <v>ICTV202214592</v>
      </c>
      <c r="R5460" t="s">
        <v>579</v>
      </c>
      <c r="S5460" t="s">
        <v>823</v>
      </c>
      <c r="T5460">
        <v>38</v>
      </c>
      <c r="U5460" s="26" t="str">
        <f>HYPERLINK("https://ictv.global/ictv/proposals/2022.032B.Caudoviricetes_5ng.zip","2022.032B.Caudoviricetes_5ng.zip")</f>
        <v>2022.032B.Caudoviricetes_5ng.zip</v>
      </c>
    </row>
    <row r="5461" spans="1:21">
      <c r="A5461">
        <v>5460</v>
      </c>
      <c r="B5461" s="27" t="s">
        <v>1449</v>
      </c>
      <c r="D5461" s="27" t="s">
        <v>1450</v>
      </c>
      <c r="F5461" s="27" t="s">
        <v>1453</v>
      </c>
      <c r="H5461" s="27" t="s">
        <v>1454</v>
      </c>
      <c r="N5461" s="27" t="s">
        <v>1231</v>
      </c>
      <c r="P5461" s="27" t="s">
        <v>6962</v>
      </c>
      <c r="Q5461" s="26" t="str">
        <f>HYPERLINK("https://ictv.global/taxonomy/taxondetails?taxnode_id=202506669&amp;ictv_id=ICTV201856669","ICTV201856669")</f>
        <v>ICTV201856669</v>
      </c>
      <c r="R5461" t="s">
        <v>579</v>
      </c>
      <c r="S5461" t="s">
        <v>824</v>
      </c>
      <c r="T5461">
        <v>37</v>
      </c>
      <c r="U5461" s="26" t="str">
        <f>HYPERLINK("https://ictv.global/ictv/proposals/2021.010B.R.Binomial_names.zip","2021.010B.R.Binomial_names.zip")</f>
        <v>2021.010B.R.Binomial_names.zip</v>
      </c>
    </row>
    <row r="5462" spans="1:21">
      <c r="A5462">
        <v>5461</v>
      </c>
      <c r="B5462" s="27" t="s">
        <v>1449</v>
      </c>
      <c r="D5462" s="27" t="s">
        <v>1450</v>
      </c>
      <c r="F5462" s="27" t="s">
        <v>1453</v>
      </c>
      <c r="H5462" s="27" t="s">
        <v>1454</v>
      </c>
      <c r="N5462" s="27" t="s">
        <v>1231</v>
      </c>
      <c r="P5462" s="27" t="s">
        <v>6963</v>
      </c>
      <c r="Q5462" s="26" t="str">
        <f>HYPERLINK("https://ictv.global/taxonomy/taxondetails?taxnode_id=202506670&amp;ictv_id=ICTV201856670","ICTV201856670")</f>
        <v>ICTV201856670</v>
      </c>
      <c r="R5462" t="s">
        <v>579</v>
      </c>
      <c r="S5462" t="s">
        <v>824</v>
      </c>
      <c r="T5462">
        <v>37</v>
      </c>
      <c r="U5462" s="26" t="str">
        <f>HYPERLINK("https://ictv.global/ictv/proposals/2021.010B.R.Binomial_names.zip","2021.010B.R.Binomial_names.zip")</f>
        <v>2021.010B.R.Binomial_names.zip</v>
      </c>
    </row>
    <row r="5463" spans="1:21">
      <c r="A5463">
        <v>5462</v>
      </c>
      <c r="B5463" s="27" t="s">
        <v>1449</v>
      </c>
      <c r="D5463" s="27" t="s">
        <v>1450</v>
      </c>
      <c r="F5463" s="27" t="s">
        <v>1453</v>
      </c>
      <c r="H5463" s="27" t="s">
        <v>1454</v>
      </c>
      <c r="N5463" s="27" t="s">
        <v>6964</v>
      </c>
      <c r="P5463" s="27" t="s">
        <v>6965</v>
      </c>
      <c r="Q5463" s="26" t="str">
        <f>HYPERLINK("https://ictv.global/taxonomy/taxondetails?taxnode_id=202514951&amp;ictv_id=ICTV202214951","ICTV202214951")</f>
        <v>ICTV202214951</v>
      </c>
      <c r="R5463" t="s">
        <v>579</v>
      </c>
      <c r="S5463" t="s">
        <v>823</v>
      </c>
      <c r="T5463">
        <v>38</v>
      </c>
      <c r="U5463" s="26" t="str">
        <f>HYPERLINK("https://ictv.global/ictv/proposals/2022.089B.Caudoviricetes_3ng_vibrio.zip","2022.089B.Caudoviricetes_3ng_vibrio.zip")</f>
        <v>2022.089B.Caudoviricetes_3ng_vibrio.zip</v>
      </c>
    </row>
    <row r="5464" spans="1:21">
      <c r="A5464">
        <v>5463</v>
      </c>
      <c r="B5464" s="27" t="s">
        <v>1449</v>
      </c>
      <c r="D5464" s="27" t="s">
        <v>1450</v>
      </c>
      <c r="F5464" s="27" t="s">
        <v>1453</v>
      </c>
      <c r="H5464" s="27" t="s">
        <v>1454</v>
      </c>
      <c r="N5464" s="27" t="s">
        <v>1290</v>
      </c>
      <c r="P5464" s="27" t="s">
        <v>6966</v>
      </c>
      <c r="Q5464" s="26" t="str">
        <f>HYPERLINK("https://ictv.global/taxonomy/taxondetails?taxnode_id=202500710&amp;ictv_id=ICTV20150377","ICTV20150377")</f>
        <v>ICTV20150377</v>
      </c>
      <c r="R5464" t="s">
        <v>579</v>
      </c>
      <c r="S5464" t="s">
        <v>824</v>
      </c>
      <c r="T5464">
        <v>37</v>
      </c>
      <c r="U5464" s="26" t="str">
        <f>HYPERLINK("https://ictv.global/ictv/proposals/2021.010B.R.Binomial_names.zip","2021.010B.R.Binomial_names.zip")</f>
        <v>2021.010B.R.Binomial_names.zip</v>
      </c>
    </row>
    <row r="5465" spans="1:21">
      <c r="A5465">
        <v>5464</v>
      </c>
      <c r="B5465" s="27" t="s">
        <v>1449</v>
      </c>
      <c r="D5465" s="27" t="s">
        <v>1450</v>
      </c>
      <c r="F5465" s="27" t="s">
        <v>1453</v>
      </c>
      <c r="H5465" s="27" t="s">
        <v>1454</v>
      </c>
      <c r="N5465" s="27" t="s">
        <v>1290</v>
      </c>
      <c r="P5465" s="27" t="s">
        <v>6967</v>
      </c>
      <c r="Q5465" s="26" t="str">
        <f>HYPERLINK("https://ictv.global/taxonomy/taxondetails?taxnode_id=202500711&amp;ictv_id=ICTV20150378","ICTV20150378")</f>
        <v>ICTV20150378</v>
      </c>
      <c r="R5465" t="s">
        <v>579</v>
      </c>
      <c r="S5465" t="s">
        <v>824</v>
      </c>
      <c r="T5465">
        <v>37</v>
      </c>
      <c r="U5465" s="26" t="str">
        <f>HYPERLINK("https://ictv.global/ictv/proposals/2021.010B.R.Binomial_names.zip","2021.010B.R.Binomial_names.zip")</f>
        <v>2021.010B.R.Binomial_names.zip</v>
      </c>
    </row>
    <row r="5466" spans="1:21">
      <c r="A5466">
        <v>5465</v>
      </c>
      <c r="B5466" s="27" t="s">
        <v>1449</v>
      </c>
      <c r="D5466" s="27" t="s">
        <v>1450</v>
      </c>
      <c r="F5466" s="27" t="s">
        <v>1453</v>
      </c>
      <c r="H5466" s="27" t="s">
        <v>1454</v>
      </c>
      <c r="N5466" s="27" t="s">
        <v>1290</v>
      </c>
      <c r="P5466" s="27" t="s">
        <v>6968</v>
      </c>
      <c r="Q5466" s="26" t="str">
        <f>HYPERLINK("https://ictv.global/taxonomy/taxondetails?taxnode_id=202500712&amp;ictv_id=ICTV20150376","ICTV20150376")</f>
        <v>ICTV20150376</v>
      </c>
      <c r="R5466" t="s">
        <v>579</v>
      </c>
      <c r="S5466" t="s">
        <v>824</v>
      </c>
      <c r="T5466">
        <v>37</v>
      </c>
      <c r="U5466" s="26" t="str">
        <f>HYPERLINK("https://ictv.global/ictv/proposals/2021.010B.R.Binomial_names.zip","2021.010B.R.Binomial_names.zip")</f>
        <v>2021.010B.R.Binomial_names.zip</v>
      </c>
    </row>
    <row r="5467" spans="1:21">
      <c r="A5467">
        <v>5466</v>
      </c>
      <c r="B5467" s="27" t="s">
        <v>1449</v>
      </c>
      <c r="D5467" s="27" t="s">
        <v>1450</v>
      </c>
      <c r="F5467" s="27" t="s">
        <v>1453</v>
      </c>
      <c r="H5467" s="27" t="s">
        <v>1454</v>
      </c>
      <c r="N5467" s="27" t="s">
        <v>1677</v>
      </c>
      <c r="P5467" s="27" t="s">
        <v>6971</v>
      </c>
      <c r="Q5467" s="26" t="str">
        <f>HYPERLINK("https://ictv.global/taxonomy/taxondetails?taxnode_id=202508048&amp;ictv_id=ICTV201908048","ICTV201908048")</f>
        <v>ICTV201908048</v>
      </c>
      <c r="R5467" t="s">
        <v>579</v>
      </c>
      <c r="S5467" t="s">
        <v>824</v>
      </c>
      <c r="T5467">
        <v>37</v>
      </c>
      <c r="U5467" s="26" t="str">
        <f>HYPERLINK("https://ictv.global/ictv/proposals/2021.010B.R.Binomial_names.zip","2021.010B.R.Binomial_names.zip")</f>
        <v>2021.010B.R.Binomial_names.zip</v>
      </c>
    </row>
    <row r="5468" spans="1:21">
      <c r="A5468">
        <v>5467</v>
      </c>
      <c r="B5468" s="27" t="s">
        <v>1449</v>
      </c>
      <c r="D5468" s="27" t="s">
        <v>1450</v>
      </c>
      <c r="F5468" s="27" t="s">
        <v>1453</v>
      </c>
      <c r="H5468" s="27" t="s">
        <v>1454</v>
      </c>
      <c r="N5468" s="27" t="s">
        <v>6972</v>
      </c>
      <c r="P5468" s="27" t="s">
        <v>6973</v>
      </c>
      <c r="Q5468" s="26" t="str">
        <f>HYPERLINK("https://ictv.global/taxonomy/taxondetails?taxnode_id=202514593&amp;ictv_id=ICTV202214593","ICTV202214593")</f>
        <v>ICTV202214593</v>
      </c>
      <c r="R5468" t="s">
        <v>579</v>
      </c>
      <c r="S5468" t="s">
        <v>823</v>
      </c>
      <c r="T5468">
        <v>38</v>
      </c>
      <c r="U5468" s="26" t="str">
        <f>HYPERLINK("https://ictv.global/ictv/proposals/2022.032B.Caudoviricetes_5ng.zip","2022.032B.Caudoviricetes_5ng.zip")</f>
        <v>2022.032B.Caudoviricetes_5ng.zip</v>
      </c>
    </row>
    <row r="5469" spans="1:21">
      <c r="A5469">
        <v>5468</v>
      </c>
      <c r="B5469" s="27" t="s">
        <v>1449</v>
      </c>
      <c r="D5469" s="27" t="s">
        <v>1450</v>
      </c>
      <c r="F5469" s="27" t="s">
        <v>1453</v>
      </c>
      <c r="H5469" s="27" t="s">
        <v>1454</v>
      </c>
      <c r="N5469" s="27" t="s">
        <v>1678</v>
      </c>
      <c r="P5469" s="27" t="s">
        <v>6976</v>
      </c>
      <c r="Q5469" s="26" t="str">
        <f>HYPERLINK("https://ictv.global/taxonomy/taxondetails?taxnode_id=202507779&amp;ictv_id=ICTV201907779","ICTV201907779")</f>
        <v>ICTV201907779</v>
      </c>
      <c r="R5469" t="s">
        <v>579</v>
      </c>
      <c r="S5469" t="s">
        <v>824</v>
      </c>
      <c r="T5469">
        <v>37</v>
      </c>
      <c r="U5469" s="26" t="str">
        <f>HYPERLINK("https://ictv.global/ictv/proposals/2021.010B.R.Binomial_names.zip","2021.010B.R.Binomial_names.zip")</f>
        <v>2021.010B.R.Binomial_names.zip</v>
      </c>
    </row>
    <row r="5470" spans="1:21">
      <c r="A5470">
        <v>5469</v>
      </c>
      <c r="B5470" s="27" t="s">
        <v>1449</v>
      </c>
      <c r="D5470" s="27" t="s">
        <v>1450</v>
      </c>
      <c r="F5470" s="27" t="s">
        <v>1453</v>
      </c>
      <c r="H5470" s="27" t="s">
        <v>1454</v>
      </c>
      <c r="N5470" s="27" t="s">
        <v>1678</v>
      </c>
      <c r="P5470" s="27" t="s">
        <v>6977</v>
      </c>
      <c r="Q5470" s="26" t="str">
        <f>HYPERLINK("https://ictv.global/taxonomy/taxondetails?taxnode_id=202507778&amp;ictv_id=ICTV201907778","ICTV201907778")</f>
        <v>ICTV201907778</v>
      </c>
      <c r="R5470" t="s">
        <v>579</v>
      </c>
      <c r="S5470" t="s">
        <v>824</v>
      </c>
      <c r="T5470">
        <v>37</v>
      </c>
      <c r="U5470" s="26" t="str">
        <f>HYPERLINK("https://ictv.global/ictv/proposals/2021.010B.R.Binomial_names.zip","2021.010B.R.Binomial_names.zip")</f>
        <v>2021.010B.R.Binomial_names.zip</v>
      </c>
    </row>
    <row r="5471" spans="1:21">
      <c r="A5471">
        <v>5470</v>
      </c>
      <c r="B5471" s="27" t="s">
        <v>1449</v>
      </c>
      <c r="D5471" s="27" t="s">
        <v>1450</v>
      </c>
      <c r="F5471" s="27" t="s">
        <v>1453</v>
      </c>
      <c r="H5471" s="27" t="s">
        <v>1454</v>
      </c>
      <c r="N5471" s="27" t="s">
        <v>1678</v>
      </c>
      <c r="P5471" s="27" t="s">
        <v>6978</v>
      </c>
      <c r="Q5471" s="26" t="str">
        <f>HYPERLINK("https://ictv.global/taxonomy/taxondetails?taxnode_id=202507780&amp;ictv_id=ICTV201907780","ICTV201907780")</f>
        <v>ICTV201907780</v>
      </c>
      <c r="R5471" t="s">
        <v>579</v>
      </c>
      <c r="S5471" t="s">
        <v>824</v>
      </c>
      <c r="T5471">
        <v>37</v>
      </c>
      <c r="U5471" s="26" t="str">
        <f>HYPERLINK("https://ictv.global/ictv/proposals/2021.010B.R.Binomial_names.zip","2021.010B.R.Binomial_names.zip")</f>
        <v>2021.010B.R.Binomial_names.zip</v>
      </c>
    </row>
    <row r="5472" spans="1:21">
      <c r="A5472">
        <v>5471</v>
      </c>
      <c r="B5472" s="27" t="s">
        <v>1449</v>
      </c>
      <c r="D5472" s="27" t="s">
        <v>1450</v>
      </c>
      <c r="F5472" s="27" t="s">
        <v>1453</v>
      </c>
      <c r="H5472" s="27" t="s">
        <v>1454</v>
      </c>
      <c r="N5472" s="27" t="s">
        <v>21872</v>
      </c>
      <c r="P5472" s="27" t="s">
        <v>21873</v>
      </c>
      <c r="Q5472" s="26" t="str">
        <f>HYPERLINK("https://ictv.global/taxonomy/taxondetails?taxnode_id=202522682&amp;ictv_id=ICTV202522682","ICTV202522682")</f>
        <v>ICTV202522682</v>
      </c>
      <c r="R5472" t="s">
        <v>579</v>
      </c>
      <c r="S5472" t="s">
        <v>823</v>
      </c>
      <c r="T5472">
        <v>41</v>
      </c>
      <c r="U5472" s="26" t="str">
        <f>HYPERLINK("https://ictv.global/ictv/proposals/2025.017B.Evaavirus_1ng_1ns.zip","2025.017B.Evaavirus_1ng_1ns.zip")</f>
        <v>2025.017B.Evaavirus_1ng_1ns.zip</v>
      </c>
    </row>
    <row r="5473" spans="1:21">
      <c r="A5473">
        <v>5472</v>
      </c>
      <c r="B5473" s="27" t="s">
        <v>1449</v>
      </c>
      <c r="D5473" s="27" t="s">
        <v>1450</v>
      </c>
      <c r="F5473" s="27" t="s">
        <v>1453</v>
      </c>
      <c r="H5473" s="27" t="s">
        <v>1454</v>
      </c>
      <c r="N5473" s="27" t="s">
        <v>1356</v>
      </c>
      <c r="P5473" s="27" t="s">
        <v>6979</v>
      </c>
      <c r="Q5473" s="26" t="str">
        <f>HYPERLINK("https://ictv.global/taxonomy/taxondetails?taxnode_id=202506424&amp;ictv_id=ICTV201856424","ICTV201856424")</f>
        <v>ICTV201856424</v>
      </c>
      <c r="R5473" t="s">
        <v>579</v>
      </c>
      <c r="S5473" t="s">
        <v>824</v>
      </c>
      <c r="T5473">
        <v>37</v>
      </c>
      <c r="U5473" s="26" t="str">
        <f>HYPERLINK("https://ictv.global/ictv/proposals/2021.010B.R.Binomial_names.zip","2021.010B.R.Binomial_names.zip")</f>
        <v>2021.010B.R.Binomial_names.zip</v>
      </c>
    </row>
    <row r="5474" spans="1:21">
      <c r="A5474">
        <v>5473</v>
      </c>
      <c r="B5474" s="27" t="s">
        <v>1449</v>
      </c>
      <c r="D5474" s="27" t="s">
        <v>1450</v>
      </c>
      <c r="F5474" s="27" t="s">
        <v>1453</v>
      </c>
      <c r="H5474" s="27" t="s">
        <v>1454</v>
      </c>
      <c r="N5474" s="27" t="s">
        <v>1750</v>
      </c>
      <c r="P5474" s="27" t="s">
        <v>6980</v>
      </c>
      <c r="Q5474" s="26" t="str">
        <f>HYPERLINK("https://ictv.global/taxonomy/taxondetails?taxnode_id=202507273&amp;ictv_id=ICTV201907273","ICTV201907273")</f>
        <v>ICTV201907273</v>
      </c>
      <c r="R5474" t="s">
        <v>579</v>
      </c>
      <c r="S5474" t="s">
        <v>824</v>
      </c>
      <c r="T5474">
        <v>37</v>
      </c>
      <c r="U5474" s="26" t="str">
        <f>HYPERLINK("https://ictv.global/ictv/proposals/2021.010B.R.Binomial_names.zip","2021.010B.R.Binomial_names.zip")</f>
        <v>2021.010B.R.Binomial_names.zip</v>
      </c>
    </row>
    <row r="5475" spans="1:21">
      <c r="A5475">
        <v>5474</v>
      </c>
      <c r="B5475" s="27" t="s">
        <v>1449</v>
      </c>
      <c r="D5475" s="27" t="s">
        <v>1450</v>
      </c>
      <c r="F5475" s="27" t="s">
        <v>1453</v>
      </c>
      <c r="H5475" s="27" t="s">
        <v>1454</v>
      </c>
      <c r="N5475" s="27" t="s">
        <v>1750</v>
      </c>
      <c r="P5475" s="27" t="s">
        <v>6981</v>
      </c>
      <c r="Q5475" s="26" t="str">
        <f>HYPERLINK("https://ictv.global/taxonomy/taxondetails?taxnode_id=202513523&amp;ictv_id=ICTV202113523","ICTV202113523")</f>
        <v>ICTV202113523</v>
      </c>
      <c r="R5475" t="s">
        <v>579</v>
      </c>
      <c r="S5475" t="s">
        <v>823</v>
      </c>
      <c r="T5475">
        <v>37</v>
      </c>
      <c r="U5475" s="26" t="str">
        <f>HYPERLINK("https://ictv.global/ictv/proposals/2021.026B.R.Fairfaxidumvirus_new_species.zip","2021.026B.R.Fairfaxidumvirus_new_species.zip")</f>
        <v>2021.026B.R.Fairfaxidumvirus_new_species.zip</v>
      </c>
    </row>
    <row r="5476" spans="1:21">
      <c r="A5476">
        <v>5475</v>
      </c>
      <c r="B5476" s="27" t="s">
        <v>1449</v>
      </c>
      <c r="D5476" s="27" t="s">
        <v>1450</v>
      </c>
      <c r="F5476" s="27" t="s">
        <v>1453</v>
      </c>
      <c r="H5476" s="27" t="s">
        <v>1454</v>
      </c>
      <c r="N5476" s="27" t="s">
        <v>1750</v>
      </c>
      <c r="P5476" s="27" t="s">
        <v>6982</v>
      </c>
      <c r="Q5476" s="26" t="str">
        <f>HYPERLINK("https://ictv.global/taxonomy/taxondetails?taxnode_id=202513524&amp;ictv_id=ICTV202113524","ICTV202113524")</f>
        <v>ICTV202113524</v>
      </c>
      <c r="R5476" t="s">
        <v>579</v>
      </c>
      <c r="S5476" t="s">
        <v>823</v>
      </c>
      <c r="T5476">
        <v>37</v>
      </c>
      <c r="U5476" s="26" t="str">
        <f>HYPERLINK("https://ictv.global/ictv/proposals/2021.026B.R.Fairfaxidumvirus_new_species.zip","2021.026B.R.Fairfaxidumvirus_new_species.zip")</f>
        <v>2021.026B.R.Fairfaxidumvirus_new_species.zip</v>
      </c>
    </row>
    <row r="5477" spans="1:21">
      <c r="A5477">
        <v>5476</v>
      </c>
      <c r="B5477" s="27" t="s">
        <v>1449</v>
      </c>
      <c r="D5477" s="27" t="s">
        <v>1450</v>
      </c>
      <c r="F5477" s="27" t="s">
        <v>1453</v>
      </c>
      <c r="H5477" s="27" t="s">
        <v>1454</v>
      </c>
      <c r="N5477" s="27" t="s">
        <v>6983</v>
      </c>
      <c r="P5477" s="27" t="s">
        <v>6984</v>
      </c>
      <c r="Q5477" s="26" t="str">
        <f>HYPERLINK("https://ictv.global/taxonomy/taxondetails?taxnode_id=202514869&amp;ictv_id=ICTV202214869","ICTV202214869")</f>
        <v>ICTV202214869</v>
      </c>
      <c r="R5477" t="s">
        <v>579</v>
      </c>
      <c r="S5477" t="s">
        <v>823</v>
      </c>
      <c r="T5477">
        <v>38</v>
      </c>
      <c r="U5477" s="26" t="str">
        <f>HYPERLINK("https://ictv.global/ictv/proposals/2022.080B.Caudoviricetes_6ng.zip","2022.080B.Caudoviricetes_6ng.zip")</f>
        <v>2022.080B.Caudoviricetes_6ng.zip</v>
      </c>
    </row>
    <row r="5478" spans="1:21">
      <c r="A5478">
        <v>5477</v>
      </c>
      <c r="B5478" s="27" t="s">
        <v>1449</v>
      </c>
      <c r="D5478" s="27" t="s">
        <v>1450</v>
      </c>
      <c r="F5478" s="27" t="s">
        <v>1453</v>
      </c>
      <c r="H5478" s="27" t="s">
        <v>1454</v>
      </c>
      <c r="N5478" s="27" t="s">
        <v>1357</v>
      </c>
      <c r="P5478" s="27" t="s">
        <v>6985</v>
      </c>
      <c r="Q5478" s="26" t="str">
        <f>HYPERLINK("https://ictv.global/taxonomy/taxondetails?taxnode_id=202506560&amp;ictv_id=ICTV201856560","ICTV201856560")</f>
        <v>ICTV201856560</v>
      </c>
      <c r="R5478" t="s">
        <v>579</v>
      </c>
      <c r="S5478" t="s">
        <v>824</v>
      </c>
      <c r="T5478">
        <v>37</v>
      </c>
      <c r="U5478" s="26" t="str">
        <f>HYPERLINK("https://ictv.global/ictv/proposals/2021.010B.R.Binomial_names.zip","2021.010B.R.Binomial_names.zip")</f>
        <v>2021.010B.R.Binomial_names.zip</v>
      </c>
    </row>
    <row r="5479" spans="1:21">
      <c r="A5479">
        <v>5478</v>
      </c>
      <c r="B5479" s="27" t="s">
        <v>1449</v>
      </c>
      <c r="D5479" s="27" t="s">
        <v>1450</v>
      </c>
      <c r="F5479" s="27" t="s">
        <v>1453</v>
      </c>
      <c r="H5479" s="27" t="s">
        <v>1454</v>
      </c>
      <c r="N5479" s="27" t="s">
        <v>2260</v>
      </c>
      <c r="P5479" s="27" t="s">
        <v>6986</v>
      </c>
      <c r="Q5479" s="26" t="str">
        <f>HYPERLINK("https://ictv.global/taxonomy/taxondetails?taxnode_id=202510174&amp;ictv_id=ICTV202010174","ICTV202010174")</f>
        <v>ICTV202010174</v>
      </c>
      <c r="R5479" t="s">
        <v>579</v>
      </c>
      <c r="S5479" t="s">
        <v>824</v>
      </c>
      <c r="T5479">
        <v>37</v>
      </c>
      <c r="U5479" s="26" t="str">
        <f>HYPERLINK("https://ictv.global/ictv/proposals/2021.010B.R.Binomial_names.zip","2021.010B.R.Binomial_names.zip")</f>
        <v>2021.010B.R.Binomial_names.zip</v>
      </c>
    </row>
    <row r="5480" spans="1:21">
      <c r="A5480">
        <v>5479</v>
      </c>
      <c r="B5480" s="27" t="s">
        <v>1449</v>
      </c>
      <c r="D5480" s="27" t="s">
        <v>1450</v>
      </c>
      <c r="F5480" s="27" t="s">
        <v>1453</v>
      </c>
      <c r="H5480" s="27" t="s">
        <v>1454</v>
      </c>
      <c r="N5480" s="27" t="s">
        <v>21940</v>
      </c>
      <c r="P5480" s="27" t="s">
        <v>21941</v>
      </c>
      <c r="Q5480" s="26" t="str">
        <f>HYPERLINK("https://ictv.global/taxonomy/taxondetails?taxnode_id=202522748&amp;ictv_id=ICTV202522748","ICTV202522748")</f>
        <v>ICTV202522748</v>
      </c>
      <c r="R5480" t="s">
        <v>579</v>
      </c>
      <c r="S5480" t="s">
        <v>823</v>
      </c>
      <c r="T5480">
        <v>41</v>
      </c>
      <c r="U5480" s="26" t="str">
        <f>HYPERLINK("https://ictv.global/ictv/proposals/2025.019B.Fenglinvirus_1ng_1ns.zip","2025.019B.Fenglinvirus_1ng_1ns.zip")</f>
        <v>2025.019B.Fenglinvirus_1ng_1ns.zip</v>
      </c>
    </row>
    <row r="5481" spans="1:21">
      <c r="A5481">
        <v>5480</v>
      </c>
      <c r="B5481" s="27" t="s">
        <v>1449</v>
      </c>
      <c r="D5481" s="27" t="s">
        <v>1450</v>
      </c>
      <c r="F5481" s="27" t="s">
        <v>1453</v>
      </c>
      <c r="H5481" s="27" t="s">
        <v>1454</v>
      </c>
      <c r="N5481" s="27" t="s">
        <v>1751</v>
      </c>
      <c r="P5481" s="27" t="s">
        <v>6987</v>
      </c>
      <c r="Q5481" s="26" t="str">
        <f>HYPERLINK("https://ictv.global/taxonomy/taxondetails?taxnode_id=202507842&amp;ictv_id=ICTV201907842","ICTV201907842")</f>
        <v>ICTV201907842</v>
      </c>
      <c r="R5481" t="s">
        <v>579</v>
      </c>
      <c r="S5481" t="s">
        <v>824</v>
      </c>
      <c r="T5481">
        <v>37</v>
      </c>
      <c r="U5481" s="26" t="str">
        <f t="shared" ref="U5481:U5504" si="215">HYPERLINK("https://ictv.global/ictv/proposals/2021.010B.R.Binomial_names.zip","2021.010B.R.Binomial_names.zip")</f>
        <v>2021.010B.R.Binomial_names.zip</v>
      </c>
    </row>
    <row r="5482" spans="1:21">
      <c r="A5482">
        <v>5481</v>
      </c>
      <c r="B5482" s="27" t="s">
        <v>1449</v>
      </c>
      <c r="D5482" s="27" t="s">
        <v>1450</v>
      </c>
      <c r="F5482" s="27" t="s">
        <v>1453</v>
      </c>
      <c r="H5482" s="27" t="s">
        <v>1454</v>
      </c>
      <c r="N5482" s="27" t="s">
        <v>1751</v>
      </c>
      <c r="P5482" s="27" t="s">
        <v>6988</v>
      </c>
      <c r="Q5482" s="26" t="str">
        <f>HYPERLINK("https://ictv.global/taxonomy/taxondetails?taxnode_id=202507841&amp;ictv_id=ICTV201907841","ICTV201907841")</f>
        <v>ICTV201907841</v>
      </c>
      <c r="R5482" t="s">
        <v>579</v>
      </c>
      <c r="S5482" t="s">
        <v>824</v>
      </c>
      <c r="T5482">
        <v>37</v>
      </c>
      <c r="U5482" s="26" t="str">
        <f t="shared" si="215"/>
        <v>2021.010B.R.Binomial_names.zip</v>
      </c>
    </row>
    <row r="5483" spans="1:21">
      <c r="A5483">
        <v>5482</v>
      </c>
      <c r="B5483" s="27" t="s">
        <v>1449</v>
      </c>
      <c r="D5483" s="27" t="s">
        <v>1450</v>
      </c>
      <c r="F5483" s="27" t="s">
        <v>1453</v>
      </c>
      <c r="H5483" s="27" t="s">
        <v>1454</v>
      </c>
      <c r="N5483" s="27" t="s">
        <v>2261</v>
      </c>
      <c r="P5483" s="27" t="s">
        <v>6989</v>
      </c>
      <c r="Q5483" s="26" t="str">
        <f>HYPERLINK("https://ictv.global/taxonomy/taxondetails?taxnode_id=202510004&amp;ictv_id=ICTV202010004","ICTV202010004")</f>
        <v>ICTV202010004</v>
      </c>
      <c r="R5483" t="s">
        <v>579</v>
      </c>
      <c r="S5483" t="s">
        <v>824</v>
      </c>
      <c r="T5483">
        <v>37</v>
      </c>
      <c r="U5483" s="26" t="str">
        <f t="shared" si="215"/>
        <v>2021.010B.R.Binomial_names.zip</v>
      </c>
    </row>
    <row r="5484" spans="1:21">
      <c r="A5484">
        <v>5483</v>
      </c>
      <c r="B5484" s="27" t="s">
        <v>1449</v>
      </c>
      <c r="D5484" s="27" t="s">
        <v>1450</v>
      </c>
      <c r="F5484" s="27" t="s">
        <v>1453</v>
      </c>
      <c r="H5484" s="27" t="s">
        <v>1454</v>
      </c>
      <c r="N5484" s="27" t="s">
        <v>2261</v>
      </c>
      <c r="P5484" s="27" t="s">
        <v>6990</v>
      </c>
      <c r="Q5484" s="26" t="str">
        <f>HYPERLINK("https://ictv.global/taxonomy/taxondetails?taxnode_id=202501279&amp;ictv_id=ICTV20150785","ICTV20150785")</f>
        <v>ICTV20150785</v>
      </c>
      <c r="R5484" t="s">
        <v>579</v>
      </c>
      <c r="S5484" t="s">
        <v>824</v>
      </c>
      <c r="T5484">
        <v>37</v>
      </c>
      <c r="U5484" s="26" t="str">
        <f t="shared" si="215"/>
        <v>2021.010B.R.Binomial_names.zip</v>
      </c>
    </row>
    <row r="5485" spans="1:21">
      <c r="A5485">
        <v>5484</v>
      </c>
      <c r="B5485" s="27" t="s">
        <v>1449</v>
      </c>
      <c r="D5485" s="27" t="s">
        <v>1450</v>
      </c>
      <c r="F5485" s="27" t="s">
        <v>1453</v>
      </c>
      <c r="H5485" s="27" t="s">
        <v>1454</v>
      </c>
      <c r="N5485" s="27" t="s">
        <v>2261</v>
      </c>
      <c r="P5485" s="27" t="s">
        <v>6991</v>
      </c>
      <c r="Q5485" s="26" t="str">
        <f>HYPERLINK("https://ictv.global/taxonomy/taxondetails?taxnode_id=202510009&amp;ictv_id=ICTV202010009","ICTV202010009")</f>
        <v>ICTV202010009</v>
      </c>
      <c r="R5485" t="s">
        <v>579</v>
      </c>
      <c r="S5485" t="s">
        <v>824</v>
      </c>
      <c r="T5485">
        <v>37</v>
      </c>
      <c r="U5485" s="26" t="str">
        <f t="shared" si="215"/>
        <v>2021.010B.R.Binomial_names.zip</v>
      </c>
    </row>
    <row r="5486" spans="1:21">
      <c r="A5486">
        <v>5485</v>
      </c>
      <c r="B5486" s="27" t="s">
        <v>1449</v>
      </c>
      <c r="D5486" s="27" t="s">
        <v>1450</v>
      </c>
      <c r="F5486" s="27" t="s">
        <v>1453</v>
      </c>
      <c r="H5486" s="27" t="s">
        <v>1454</v>
      </c>
      <c r="N5486" s="27" t="s">
        <v>2261</v>
      </c>
      <c r="P5486" s="27" t="s">
        <v>6992</v>
      </c>
      <c r="Q5486" s="26" t="str">
        <f>HYPERLINK("https://ictv.global/taxonomy/taxondetails?taxnode_id=202510012&amp;ictv_id=ICTV202010012","ICTV202010012")</f>
        <v>ICTV202010012</v>
      </c>
      <c r="R5486" t="s">
        <v>579</v>
      </c>
      <c r="S5486" t="s">
        <v>824</v>
      </c>
      <c r="T5486">
        <v>37</v>
      </c>
      <c r="U5486" s="26" t="str">
        <f t="shared" si="215"/>
        <v>2021.010B.R.Binomial_names.zip</v>
      </c>
    </row>
    <row r="5487" spans="1:21">
      <c r="A5487">
        <v>5486</v>
      </c>
      <c r="B5487" s="27" t="s">
        <v>1449</v>
      </c>
      <c r="D5487" s="27" t="s">
        <v>1450</v>
      </c>
      <c r="F5487" s="27" t="s">
        <v>1453</v>
      </c>
      <c r="H5487" s="27" t="s">
        <v>1454</v>
      </c>
      <c r="N5487" s="27" t="s">
        <v>2261</v>
      </c>
      <c r="P5487" s="27" t="s">
        <v>6993</v>
      </c>
      <c r="Q5487" s="26" t="str">
        <f>HYPERLINK("https://ictv.global/taxonomy/taxondetails?taxnode_id=202501280&amp;ictv_id=ICTV20150789","ICTV20150789")</f>
        <v>ICTV20150789</v>
      </c>
      <c r="R5487" t="s">
        <v>579</v>
      </c>
      <c r="S5487" t="s">
        <v>824</v>
      </c>
      <c r="T5487">
        <v>37</v>
      </c>
      <c r="U5487" s="26" t="str">
        <f t="shared" si="215"/>
        <v>2021.010B.R.Binomial_names.zip</v>
      </c>
    </row>
    <row r="5488" spans="1:21">
      <c r="A5488">
        <v>5487</v>
      </c>
      <c r="B5488" s="27" t="s">
        <v>1449</v>
      </c>
      <c r="D5488" s="27" t="s">
        <v>1450</v>
      </c>
      <c r="F5488" s="27" t="s">
        <v>1453</v>
      </c>
      <c r="H5488" s="27" t="s">
        <v>1454</v>
      </c>
      <c r="N5488" s="27" t="s">
        <v>2261</v>
      </c>
      <c r="P5488" s="27" t="s">
        <v>6994</v>
      </c>
      <c r="Q5488" s="26" t="str">
        <f>HYPERLINK("https://ictv.global/taxonomy/taxondetails?taxnode_id=202510000&amp;ictv_id=ICTV202010000","ICTV202010000")</f>
        <v>ICTV202010000</v>
      </c>
      <c r="R5488" t="s">
        <v>579</v>
      </c>
      <c r="S5488" t="s">
        <v>824</v>
      </c>
      <c r="T5488">
        <v>37</v>
      </c>
      <c r="U5488" s="26" t="str">
        <f t="shared" si="215"/>
        <v>2021.010B.R.Binomial_names.zip</v>
      </c>
    </row>
    <row r="5489" spans="1:21">
      <c r="A5489">
        <v>5488</v>
      </c>
      <c r="B5489" s="27" t="s">
        <v>1449</v>
      </c>
      <c r="D5489" s="27" t="s">
        <v>1450</v>
      </c>
      <c r="F5489" s="27" t="s">
        <v>1453</v>
      </c>
      <c r="H5489" s="27" t="s">
        <v>1454</v>
      </c>
      <c r="N5489" s="27" t="s">
        <v>2261</v>
      </c>
      <c r="P5489" s="27" t="s">
        <v>6995</v>
      </c>
      <c r="Q5489" s="26" t="str">
        <f>HYPERLINK("https://ictv.global/taxonomy/taxondetails?taxnode_id=202510007&amp;ictv_id=ICTV202010007","ICTV202010007")</f>
        <v>ICTV202010007</v>
      </c>
      <c r="R5489" t="s">
        <v>579</v>
      </c>
      <c r="S5489" t="s">
        <v>824</v>
      </c>
      <c r="T5489">
        <v>37</v>
      </c>
      <c r="U5489" s="26" t="str">
        <f t="shared" si="215"/>
        <v>2021.010B.R.Binomial_names.zip</v>
      </c>
    </row>
    <row r="5490" spans="1:21">
      <c r="A5490">
        <v>5489</v>
      </c>
      <c r="B5490" s="27" t="s">
        <v>1449</v>
      </c>
      <c r="D5490" s="27" t="s">
        <v>1450</v>
      </c>
      <c r="F5490" s="27" t="s">
        <v>1453</v>
      </c>
      <c r="H5490" s="27" t="s">
        <v>1454</v>
      </c>
      <c r="N5490" s="27" t="s">
        <v>2261</v>
      </c>
      <c r="P5490" s="27" t="s">
        <v>6996</v>
      </c>
      <c r="Q5490" s="26" t="str">
        <f>HYPERLINK("https://ictv.global/taxonomy/taxondetails?taxnode_id=202510002&amp;ictv_id=ICTV202010002","ICTV202010002")</f>
        <v>ICTV202010002</v>
      </c>
      <c r="R5490" t="s">
        <v>579</v>
      </c>
      <c r="S5490" t="s">
        <v>824</v>
      </c>
      <c r="T5490">
        <v>37</v>
      </c>
      <c r="U5490" s="26" t="str">
        <f t="shared" si="215"/>
        <v>2021.010B.R.Binomial_names.zip</v>
      </c>
    </row>
    <row r="5491" spans="1:21">
      <c r="A5491">
        <v>5490</v>
      </c>
      <c r="B5491" s="27" t="s">
        <v>1449</v>
      </c>
      <c r="D5491" s="27" t="s">
        <v>1450</v>
      </c>
      <c r="F5491" s="27" t="s">
        <v>1453</v>
      </c>
      <c r="H5491" s="27" t="s">
        <v>1454</v>
      </c>
      <c r="N5491" s="27" t="s">
        <v>2261</v>
      </c>
      <c r="P5491" s="27" t="s">
        <v>6997</v>
      </c>
      <c r="Q5491" s="26" t="str">
        <f>HYPERLINK("https://ictv.global/taxonomy/taxondetails?taxnode_id=202510001&amp;ictv_id=ICTV202010001","ICTV202010001")</f>
        <v>ICTV202010001</v>
      </c>
      <c r="R5491" t="s">
        <v>579</v>
      </c>
      <c r="S5491" t="s">
        <v>824</v>
      </c>
      <c r="T5491">
        <v>37</v>
      </c>
      <c r="U5491" s="26" t="str">
        <f t="shared" si="215"/>
        <v>2021.010B.R.Binomial_names.zip</v>
      </c>
    </row>
    <row r="5492" spans="1:21">
      <c r="A5492">
        <v>5491</v>
      </c>
      <c r="B5492" s="27" t="s">
        <v>1449</v>
      </c>
      <c r="D5492" s="27" t="s">
        <v>1450</v>
      </c>
      <c r="F5492" s="27" t="s">
        <v>1453</v>
      </c>
      <c r="H5492" s="27" t="s">
        <v>1454</v>
      </c>
      <c r="N5492" s="27" t="s">
        <v>2261</v>
      </c>
      <c r="P5492" s="27" t="s">
        <v>6998</v>
      </c>
      <c r="Q5492" s="26" t="str">
        <f>HYPERLINK("https://ictv.global/taxonomy/taxondetails?taxnode_id=202510008&amp;ictv_id=ICTV202010008","ICTV202010008")</f>
        <v>ICTV202010008</v>
      </c>
      <c r="R5492" t="s">
        <v>579</v>
      </c>
      <c r="S5492" t="s">
        <v>824</v>
      </c>
      <c r="T5492">
        <v>37</v>
      </c>
      <c r="U5492" s="26" t="str">
        <f t="shared" si="215"/>
        <v>2021.010B.R.Binomial_names.zip</v>
      </c>
    </row>
    <row r="5493" spans="1:21">
      <c r="A5493">
        <v>5492</v>
      </c>
      <c r="B5493" s="27" t="s">
        <v>1449</v>
      </c>
      <c r="D5493" s="27" t="s">
        <v>1450</v>
      </c>
      <c r="F5493" s="27" t="s">
        <v>1453</v>
      </c>
      <c r="H5493" s="27" t="s">
        <v>1454</v>
      </c>
      <c r="N5493" s="27" t="s">
        <v>2261</v>
      </c>
      <c r="P5493" s="27" t="s">
        <v>6999</v>
      </c>
      <c r="Q5493" s="26" t="str">
        <f>HYPERLINK("https://ictv.global/taxonomy/taxondetails?taxnode_id=202510010&amp;ictv_id=ICTV202010010","ICTV202010010")</f>
        <v>ICTV202010010</v>
      </c>
      <c r="R5493" t="s">
        <v>579</v>
      </c>
      <c r="S5493" t="s">
        <v>824</v>
      </c>
      <c r="T5493">
        <v>37</v>
      </c>
      <c r="U5493" s="26" t="str">
        <f t="shared" si="215"/>
        <v>2021.010B.R.Binomial_names.zip</v>
      </c>
    </row>
    <row r="5494" spans="1:21">
      <c r="A5494">
        <v>5493</v>
      </c>
      <c r="B5494" s="27" t="s">
        <v>1449</v>
      </c>
      <c r="D5494" s="27" t="s">
        <v>1450</v>
      </c>
      <c r="F5494" s="27" t="s">
        <v>1453</v>
      </c>
      <c r="H5494" s="27" t="s">
        <v>1454</v>
      </c>
      <c r="N5494" s="27" t="s">
        <v>2261</v>
      </c>
      <c r="P5494" s="27" t="s">
        <v>7000</v>
      </c>
      <c r="Q5494" s="26" t="str">
        <f>HYPERLINK("https://ictv.global/taxonomy/taxondetails?taxnode_id=202510006&amp;ictv_id=ICTV202010006","ICTV202010006")</f>
        <v>ICTV202010006</v>
      </c>
      <c r="R5494" t="s">
        <v>579</v>
      </c>
      <c r="S5494" t="s">
        <v>824</v>
      </c>
      <c r="T5494">
        <v>37</v>
      </c>
      <c r="U5494" s="26" t="str">
        <f t="shared" si="215"/>
        <v>2021.010B.R.Binomial_names.zip</v>
      </c>
    </row>
    <row r="5495" spans="1:21">
      <c r="A5495">
        <v>5494</v>
      </c>
      <c r="B5495" s="27" t="s">
        <v>1449</v>
      </c>
      <c r="D5495" s="27" t="s">
        <v>1450</v>
      </c>
      <c r="F5495" s="27" t="s">
        <v>1453</v>
      </c>
      <c r="H5495" s="27" t="s">
        <v>1454</v>
      </c>
      <c r="N5495" s="27" t="s">
        <v>2261</v>
      </c>
      <c r="P5495" s="27" t="s">
        <v>7001</v>
      </c>
      <c r="Q5495" s="26" t="str">
        <f>HYPERLINK("https://ictv.global/taxonomy/taxondetails?taxnode_id=202510003&amp;ictv_id=ICTV202010003","ICTV202010003")</f>
        <v>ICTV202010003</v>
      </c>
      <c r="R5495" t="s">
        <v>579</v>
      </c>
      <c r="S5495" t="s">
        <v>824</v>
      </c>
      <c r="T5495">
        <v>37</v>
      </c>
      <c r="U5495" s="26" t="str">
        <f t="shared" si="215"/>
        <v>2021.010B.R.Binomial_names.zip</v>
      </c>
    </row>
    <row r="5496" spans="1:21">
      <c r="A5496">
        <v>5495</v>
      </c>
      <c r="B5496" s="27" t="s">
        <v>1449</v>
      </c>
      <c r="D5496" s="27" t="s">
        <v>1450</v>
      </c>
      <c r="F5496" s="27" t="s">
        <v>1453</v>
      </c>
      <c r="H5496" s="27" t="s">
        <v>1454</v>
      </c>
      <c r="N5496" s="27" t="s">
        <v>2261</v>
      </c>
      <c r="P5496" s="27" t="s">
        <v>7002</v>
      </c>
      <c r="Q5496" s="26" t="str">
        <f>HYPERLINK("https://ictv.global/taxonomy/taxondetails?taxnode_id=202501281&amp;ictv_id=ICTV20150788","ICTV20150788")</f>
        <v>ICTV20150788</v>
      </c>
      <c r="R5496" t="s">
        <v>579</v>
      </c>
      <c r="S5496" t="s">
        <v>824</v>
      </c>
      <c r="T5496">
        <v>37</v>
      </c>
      <c r="U5496" s="26" t="str">
        <f t="shared" si="215"/>
        <v>2021.010B.R.Binomial_names.zip</v>
      </c>
    </row>
    <row r="5497" spans="1:21">
      <c r="A5497">
        <v>5496</v>
      </c>
      <c r="B5497" s="27" t="s">
        <v>1449</v>
      </c>
      <c r="D5497" s="27" t="s">
        <v>1450</v>
      </c>
      <c r="F5497" s="27" t="s">
        <v>1453</v>
      </c>
      <c r="H5497" s="27" t="s">
        <v>1454</v>
      </c>
      <c r="N5497" s="27" t="s">
        <v>2261</v>
      </c>
      <c r="P5497" s="27" t="s">
        <v>7003</v>
      </c>
      <c r="Q5497" s="26" t="str">
        <f>HYPERLINK("https://ictv.global/taxonomy/taxondetails?taxnode_id=202501282&amp;ictv_id=ICTV20150786","ICTV20150786")</f>
        <v>ICTV20150786</v>
      </c>
      <c r="R5497" t="s">
        <v>579</v>
      </c>
      <c r="S5497" t="s">
        <v>824</v>
      </c>
      <c r="T5497">
        <v>37</v>
      </c>
      <c r="U5497" s="26" t="str">
        <f t="shared" si="215"/>
        <v>2021.010B.R.Binomial_names.zip</v>
      </c>
    </row>
    <row r="5498" spans="1:21">
      <c r="A5498">
        <v>5497</v>
      </c>
      <c r="B5498" s="27" t="s">
        <v>1449</v>
      </c>
      <c r="D5498" s="27" t="s">
        <v>1450</v>
      </c>
      <c r="F5498" s="27" t="s">
        <v>1453</v>
      </c>
      <c r="H5498" s="27" t="s">
        <v>1454</v>
      </c>
      <c r="N5498" s="27" t="s">
        <v>2261</v>
      </c>
      <c r="P5498" s="27" t="s">
        <v>7004</v>
      </c>
      <c r="Q5498" s="26" t="str">
        <f>HYPERLINK("https://ictv.global/taxonomy/taxondetails?taxnode_id=202501283&amp;ictv_id=ICTV20150787","ICTV20150787")</f>
        <v>ICTV20150787</v>
      </c>
      <c r="R5498" t="s">
        <v>579</v>
      </c>
      <c r="S5498" t="s">
        <v>824</v>
      </c>
      <c r="T5498">
        <v>37</v>
      </c>
      <c r="U5498" s="26" t="str">
        <f t="shared" si="215"/>
        <v>2021.010B.R.Binomial_names.zip</v>
      </c>
    </row>
    <row r="5499" spans="1:21">
      <c r="A5499">
        <v>5498</v>
      </c>
      <c r="B5499" s="27" t="s">
        <v>1449</v>
      </c>
      <c r="D5499" s="27" t="s">
        <v>1450</v>
      </c>
      <c r="F5499" s="27" t="s">
        <v>1453</v>
      </c>
      <c r="H5499" s="27" t="s">
        <v>1454</v>
      </c>
      <c r="N5499" s="27" t="s">
        <v>2261</v>
      </c>
      <c r="P5499" s="27" t="s">
        <v>7005</v>
      </c>
      <c r="Q5499" s="26" t="str">
        <f>HYPERLINK("https://ictv.global/taxonomy/taxondetails?taxnode_id=202510005&amp;ictv_id=ICTV202010005","ICTV202010005")</f>
        <v>ICTV202010005</v>
      </c>
      <c r="R5499" t="s">
        <v>579</v>
      </c>
      <c r="S5499" t="s">
        <v>824</v>
      </c>
      <c r="T5499">
        <v>37</v>
      </c>
      <c r="U5499" s="26" t="str">
        <f t="shared" si="215"/>
        <v>2021.010B.R.Binomial_names.zip</v>
      </c>
    </row>
    <row r="5500" spans="1:21">
      <c r="A5500">
        <v>5499</v>
      </c>
      <c r="B5500" s="27" t="s">
        <v>1449</v>
      </c>
      <c r="D5500" s="27" t="s">
        <v>1450</v>
      </c>
      <c r="F5500" s="27" t="s">
        <v>1453</v>
      </c>
      <c r="H5500" s="27" t="s">
        <v>1454</v>
      </c>
      <c r="N5500" s="27" t="s">
        <v>2261</v>
      </c>
      <c r="P5500" s="27" t="s">
        <v>7006</v>
      </c>
      <c r="Q5500" s="26" t="str">
        <f>HYPERLINK("https://ictv.global/taxonomy/taxondetails?taxnode_id=202510011&amp;ictv_id=ICTV202010011","ICTV202010011")</f>
        <v>ICTV202010011</v>
      </c>
      <c r="R5500" t="s">
        <v>579</v>
      </c>
      <c r="S5500" t="s">
        <v>824</v>
      </c>
      <c r="T5500">
        <v>37</v>
      </c>
      <c r="U5500" s="26" t="str">
        <f t="shared" si="215"/>
        <v>2021.010B.R.Binomial_names.zip</v>
      </c>
    </row>
    <row r="5501" spans="1:21">
      <c r="A5501">
        <v>5500</v>
      </c>
      <c r="B5501" s="27" t="s">
        <v>1449</v>
      </c>
      <c r="D5501" s="27" t="s">
        <v>1450</v>
      </c>
      <c r="F5501" s="27" t="s">
        <v>1453</v>
      </c>
      <c r="H5501" s="27" t="s">
        <v>1454</v>
      </c>
      <c r="N5501" s="27" t="s">
        <v>1752</v>
      </c>
      <c r="P5501" s="27" t="s">
        <v>7010</v>
      </c>
      <c r="Q5501" s="26" t="str">
        <f>HYPERLINK("https://ictv.global/taxonomy/taxondetails?taxnode_id=202507845&amp;ictv_id=ICTV201907845","ICTV201907845")</f>
        <v>ICTV201907845</v>
      </c>
      <c r="R5501" t="s">
        <v>579</v>
      </c>
      <c r="S5501" t="s">
        <v>824</v>
      </c>
      <c r="T5501">
        <v>37</v>
      </c>
      <c r="U5501" s="26" t="str">
        <f t="shared" si="215"/>
        <v>2021.010B.R.Binomial_names.zip</v>
      </c>
    </row>
    <row r="5502" spans="1:21">
      <c r="A5502">
        <v>5501</v>
      </c>
      <c r="B5502" s="27" t="s">
        <v>1449</v>
      </c>
      <c r="D5502" s="27" t="s">
        <v>1450</v>
      </c>
      <c r="F5502" s="27" t="s">
        <v>1453</v>
      </c>
      <c r="H5502" s="27" t="s">
        <v>1454</v>
      </c>
      <c r="N5502" s="27" t="s">
        <v>1752</v>
      </c>
      <c r="P5502" s="27" t="s">
        <v>7011</v>
      </c>
      <c r="Q5502" s="26" t="str">
        <f>HYPERLINK("https://ictv.global/taxonomy/taxondetails?taxnode_id=202507844&amp;ictv_id=ICTV201907844","ICTV201907844")</f>
        <v>ICTV201907844</v>
      </c>
      <c r="R5502" t="s">
        <v>579</v>
      </c>
      <c r="S5502" t="s">
        <v>824</v>
      </c>
      <c r="T5502">
        <v>37</v>
      </c>
      <c r="U5502" s="26" t="str">
        <f t="shared" si="215"/>
        <v>2021.010B.R.Binomial_names.zip</v>
      </c>
    </row>
    <row r="5503" spans="1:21">
      <c r="A5503">
        <v>5502</v>
      </c>
      <c r="B5503" s="27" t="s">
        <v>1449</v>
      </c>
      <c r="D5503" s="27" t="s">
        <v>1450</v>
      </c>
      <c r="F5503" s="27" t="s">
        <v>1453</v>
      </c>
      <c r="H5503" s="27" t="s">
        <v>1454</v>
      </c>
      <c r="N5503" s="27" t="s">
        <v>1233</v>
      </c>
      <c r="P5503" s="27" t="s">
        <v>7012</v>
      </c>
      <c r="Q5503" s="26" t="str">
        <f>HYPERLINK("https://ictv.global/taxonomy/taxondetails?taxnode_id=202506949&amp;ictv_id=ICTV201856949","ICTV201856949")</f>
        <v>ICTV201856949</v>
      </c>
      <c r="R5503" t="s">
        <v>579</v>
      </c>
      <c r="S5503" t="s">
        <v>824</v>
      </c>
      <c r="T5503">
        <v>37</v>
      </c>
      <c r="U5503" s="26" t="str">
        <f t="shared" si="215"/>
        <v>2021.010B.R.Binomial_names.zip</v>
      </c>
    </row>
    <row r="5504" spans="1:21">
      <c r="A5504">
        <v>5503</v>
      </c>
      <c r="B5504" s="27" t="s">
        <v>1449</v>
      </c>
      <c r="D5504" s="27" t="s">
        <v>1450</v>
      </c>
      <c r="F5504" s="27" t="s">
        <v>1453</v>
      </c>
      <c r="H5504" s="27" t="s">
        <v>1454</v>
      </c>
      <c r="N5504" s="27" t="s">
        <v>1233</v>
      </c>
      <c r="P5504" s="27" t="s">
        <v>7013</v>
      </c>
      <c r="Q5504" s="26" t="str">
        <f>HYPERLINK("https://ictv.global/taxonomy/taxondetails?taxnode_id=202506950&amp;ictv_id=ICTV201856950","ICTV201856950")</f>
        <v>ICTV201856950</v>
      </c>
      <c r="R5504" t="s">
        <v>579</v>
      </c>
      <c r="S5504" t="s">
        <v>824</v>
      </c>
      <c r="T5504">
        <v>37</v>
      </c>
      <c r="U5504" s="26" t="str">
        <f t="shared" si="215"/>
        <v>2021.010B.R.Binomial_names.zip</v>
      </c>
    </row>
    <row r="5505" spans="1:21">
      <c r="A5505">
        <v>5504</v>
      </c>
      <c r="B5505" s="27" t="s">
        <v>1449</v>
      </c>
      <c r="D5505" s="27" t="s">
        <v>1450</v>
      </c>
      <c r="F5505" s="27" t="s">
        <v>1453</v>
      </c>
      <c r="H5505" s="27" t="s">
        <v>1454</v>
      </c>
      <c r="N5505" s="27" t="s">
        <v>7014</v>
      </c>
      <c r="P5505" s="27" t="s">
        <v>7015</v>
      </c>
      <c r="Q5505" s="26" t="str">
        <f>HYPERLINK("https://ictv.global/taxonomy/taxondetails?taxnode_id=202513526&amp;ictv_id=ICTV202113526","ICTV202113526")</f>
        <v>ICTV202113526</v>
      </c>
      <c r="R5505" t="s">
        <v>579</v>
      </c>
      <c r="S5505" t="s">
        <v>823</v>
      </c>
      <c r="T5505">
        <v>37</v>
      </c>
      <c r="U5505" s="26" t="str">
        <f>HYPERLINK("https://ictv.global/ictv/proposals/2021.027B.R.Finchvirus.zip","2021.027B.R.Finchvirus.zip")</f>
        <v>2021.027B.R.Finchvirus.zip</v>
      </c>
    </row>
    <row r="5506" spans="1:21">
      <c r="A5506">
        <v>5505</v>
      </c>
      <c r="B5506" s="27" t="s">
        <v>1449</v>
      </c>
      <c r="D5506" s="27" t="s">
        <v>1450</v>
      </c>
      <c r="F5506" s="27" t="s">
        <v>1453</v>
      </c>
      <c r="H5506" s="27" t="s">
        <v>1454</v>
      </c>
      <c r="N5506" s="27" t="s">
        <v>12123</v>
      </c>
      <c r="P5506" s="27" t="s">
        <v>12124</v>
      </c>
      <c r="Q5506" s="26" t="str">
        <f>HYPERLINK("https://ictv.global/taxonomy/taxondetails?taxnode_id=202517755&amp;ictv_id=ICTV202317755","ICTV202317755")</f>
        <v>ICTV202317755</v>
      </c>
      <c r="R5506" t="s">
        <v>579</v>
      </c>
      <c r="S5506" t="s">
        <v>823</v>
      </c>
      <c r="T5506">
        <v>39</v>
      </c>
      <c r="U5506" s="26" t="str">
        <f>HYPERLINK("https://ictv.global/ictv/proposals/2023.003B.Actinobacteriophage_singletons_25ng.zip","2023.003B.Actinobacteriophage_singletons_25ng.zip")</f>
        <v>2023.003B.Actinobacteriophage_singletons_25ng.zip</v>
      </c>
    </row>
    <row r="5507" spans="1:21">
      <c r="A5507">
        <v>5506</v>
      </c>
      <c r="B5507" s="27" t="s">
        <v>1449</v>
      </c>
      <c r="D5507" s="27" t="s">
        <v>1450</v>
      </c>
      <c r="F5507" s="27" t="s">
        <v>1453</v>
      </c>
      <c r="H5507" s="27" t="s">
        <v>1454</v>
      </c>
      <c r="N5507" s="27" t="s">
        <v>1292</v>
      </c>
      <c r="P5507" s="27" t="s">
        <v>7016</v>
      </c>
      <c r="Q5507" s="26" t="str">
        <f>HYPERLINK("https://ictv.global/taxonomy/taxondetails?taxnode_id=202506952&amp;ictv_id=ICTV201856952","ICTV201856952")</f>
        <v>ICTV201856952</v>
      </c>
      <c r="R5507" t="s">
        <v>579</v>
      </c>
      <c r="S5507" t="s">
        <v>824</v>
      </c>
      <c r="T5507">
        <v>37</v>
      </c>
      <c r="U5507" s="26" t="str">
        <f>HYPERLINK("https://ictv.global/ictv/proposals/2021.010B.R.Binomial_names.zip","2021.010B.R.Binomial_names.zip")</f>
        <v>2021.010B.R.Binomial_names.zip</v>
      </c>
    </row>
    <row r="5508" spans="1:21">
      <c r="A5508">
        <v>5507</v>
      </c>
      <c r="B5508" s="27" t="s">
        <v>1449</v>
      </c>
      <c r="D5508" s="27" t="s">
        <v>1450</v>
      </c>
      <c r="F5508" s="27" t="s">
        <v>1453</v>
      </c>
      <c r="H5508" s="27" t="s">
        <v>1454</v>
      </c>
      <c r="N5508" s="27" t="s">
        <v>1292</v>
      </c>
      <c r="P5508" s="27" t="s">
        <v>7017</v>
      </c>
      <c r="Q5508" s="26" t="str">
        <f>HYPERLINK("https://ictv.global/taxonomy/taxondetails?taxnode_id=202506953&amp;ictv_id=ICTV201856953","ICTV201856953")</f>
        <v>ICTV201856953</v>
      </c>
      <c r="R5508" t="s">
        <v>579</v>
      </c>
      <c r="S5508" t="s">
        <v>824</v>
      </c>
      <c r="T5508">
        <v>37</v>
      </c>
      <c r="U5508" s="26" t="str">
        <f>HYPERLINK("https://ictv.global/ictv/proposals/2021.010B.R.Binomial_names.zip","2021.010B.R.Binomial_names.zip")</f>
        <v>2021.010B.R.Binomial_names.zip</v>
      </c>
    </row>
    <row r="5509" spans="1:21">
      <c r="A5509">
        <v>5508</v>
      </c>
      <c r="B5509" s="27" t="s">
        <v>1449</v>
      </c>
      <c r="D5509" s="27" t="s">
        <v>1450</v>
      </c>
      <c r="F5509" s="27" t="s">
        <v>1453</v>
      </c>
      <c r="H5509" s="27" t="s">
        <v>1454</v>
      </c>
      <c r="N5509" s="27" t="s">
        <v>2143</v>
      </c>
      <c r="P5509" s="27" t="s">
        <v>7018</v>
      </c>
      <c r="Q5509" s="26" t="str">
        <f>HYPERLINK("https://ictv.global/taxonomy/taxondetails?taxnode_id=202511660&amp;ictv_id=ICTV202011660","ICTV202011660")</f>
        <v>ICTV202011660</v>
      </c>
      <c r="R5509" t="s">
        <v>579</v>
      </c>
      <c r="S5509" t="s">
        <v>824</v>
      </c>
      <c r="T5509">
        <v>37</v>
      </c>
      <c r="U5509" s="26" t="str">
        <f>HYPERLINK("https://ictv.global/ictv/proposals/2021.010B.R.Binomial_names.zip","2021.010B.R.Binomial_names.zip")</f>
        <v>2021.010B.R.Binomial_names.zip</v>
      </c>
    </row>
    <row r="5510" spans="1:21">
      <c r="A5510">
        <v>5509</v>
      </c>
      <c r="B5510" s="27" t="s">
        <v>1449</v>
      </c>
      <c r="D5510" s="27" t="s">
        <v>1450</v>
      </c>
      <c r="F5510" s="27" t="s">
        <v>1453</v>
      </c>
      <c r="H5510" s="27" t="s">
        <v>1454</v>
      </c>
      <c r="N5510" s="27" t="s">
        <v>2143</v>
      </c>
      <c r="P5510" s="27" t="s">
        <v>7019</v>
      </c>
      <c r="Q5510" s="26" t="str">
        <f>HYPERLINK("https://ictv.global/taxonomy/taxondetails?taxnode_id=202511661&amp;ictv_id=ICTV202011661","ICTV202011661")</f>
        <v>ICTV202011661</v>
      </c>
      <c r="R5510" t="s">
        <v>579</v>
      </c>
      <c r="S5510" t="s">
        <v>824</v>
      </c>
      <c r="T5510">
        <v>37</v>
      </c>
      <c r="U5510" s="26" t="str">
        <f>HYPERLINK("https://ictv.global/ictv/proposals/2021.010B.R.Binomial_names.zip","2021.010B.R.Binomial_names.zip")</f>
        <v>2021.010B.R.Binomial_names.zip</v>
      </c>
    </row>
    <row r="5511" spans="1:21">
      <c r="A5511">
        <v>5510</v>
      </c>
      <c r="B5511" s="27" t="s">
        <v>1449</v>
      </c>
      <c r="D5511" s="27" t="s">
        <v>1450</v>
      </c>
      <c r="F5511" s="27" t="s">
        <v>1453</v>
      </c>
      <c r="H5511" s="27" t="s">
        <v>1454</v>
      </c>
      <c r="N5511" s="27" t="s">
        <v>12125</v>
      </c>
      <c r="P5511" s="27" t="s">
        <v>12126</v>
      </c>
      <c r="Q5511" s="26" t="str">
        <f>HYPERLINK("https://ictv.global/taxonomy/taxondetails?taxnode_id=202517756&amp;ictv_id=ICTV202317756","ICTV202317756")</f>
        <v>ICTV202317756</v>
      </c>
      <c r="R5511" t="s">
        <v>579</v>
      </c>
      <c r="S5511" t="s">
        <v>823</v>
      </c>
      <c r="T5511">
        <v>39</v>
      </c>
      <c r="U5511" s="26" t="str">
        <f>HYPERLINK("https://ictv.global/ictv/proposals/2023.003B.Actinobacteriophage_singletons_25ng.zip","2023.003B.Actinobacteriophage_singletons_25ng.zip")</f>
        <v>2023.003B.Actinobacteriophage_singletons_25ng.zip</v>
      </c>
    </row>
    <row r="5512" spans="1:21">
      <c r="A5512">
        <v>5511</v>
      </c>
      <c r="B5512" s="27" t="s">
        <v>1449</v>
      </c>
      <c r="D5512" s="27" t="s">
        <v>1450</v>
      </c>
      <c r="F5512" s="27" t="s">
        <v>1453</v>
      </c>
      <c r="H5512" s="27" t="s">
        <v>1454</v>
      </c>
      <c r="N5512" s="27" t="s">
        <v>7022</v>
      </c>
      <c r="P5512" s="27" t="s">
        <v>7023</v>
      </c>
      <c r="Q5512" s="26" t="str">
        <f>HYPERLINK("https://ictv.global/taxonomy/taxondetails?taxnode_id=202514970&amp;ictv_id=ICTV202214970","ICTV202214970")</f>
        <v>ICTV202214970</v>
      </c>
      <c r="R5512" t="s">
        <v>579</v>
      </c>
      <c r="S5512" t="s">
        <v>823</v>
      </c>
      <c r="T5512">
        <v>38</v>
      </c>
      <c r="U5512" s="26" t="str">
        <f>HYPERLINK("https://ictv.global/ictv/proposals/2022.092B.Caudoviricetes_3ng_gordonia.zip","2022.092B.Caudoviricetes_3ng_gordonia.zip")</f>
        <v>2022.092B.Caudoviricetes_3ng_gordonia.zip</v>
      </c>
    </row>
    <row r="5513" spans="1:21">
      <c r="A5513">
        <v>5512</v>
      </c>
      <c r="B5513" s="27" t="s">
        <v>1449</v>
      </c>
      <c r="D5513" s="27" t="s">
        <v>1450</v>
      </c>
      <c r="F5513" s="27" t="s">
        <v>1453</v>
      </c>
      <c r="H5513" s="27" t="s">
        <v>1454</v>
      </c>
      <c r="N5513" s="27" t="s">
        <v>2262</v>
      </c>
      <c r="P5513" s="27" t="s">
        <v>7024</v>
      </c>
      <c r="Q5513" s="26" t="str">
        <f>HYPERLINK("https://ictv.global/taxonomy/taxondetails?taxnode_id=202509913&amp;ictv_id=ICTV202009913","ICTV202009913")</f>
        <v>ICTV202009913</v>
      </c>
      <c r="R5513" t="s">
        <v>579</v>
      </c>
      <c r="S5513" t="s">
        <v>824</v>
      </c>
      <c r="T5513">
        <v>37</v>
      </c>
      <c r="U5513" s="26" t="str">
        <f>HYPERLINK("https://ictv.global/ictv/proposals/2021.010B.R.Binomial_names.zip","2021.010B.R.Binomial_names.zip")</f>
        <v>2021.010B.R.Binomial_names.zip</v>
      </c>
    </row>
    <row r="5514" spans="1:21">
      <c r="A5514">
        <v>5513</v>
      </c>
      <c r="B5514" s="27" t="s">
        <v>1449</v>
      </c>
      <c r="D5514" s="27" t="s">
        <v>1450</v>
      </c>
      <c r="F5514" s="27" t="s">
        <v>1453</v>
      </c>
      <c r="H5514" s="27" t="s">
        <v>1454</v>
      </c>
      <c r="N5514" s="27" t="s">
        <v>7025</v>
      </c>
      <c r="P5514" s="27" t="s">
        <v>7026</v>
      </c>
      <c r="Q5514" s="26" t="str">
        <f>HYPERLINK("https://ictv.global/taxonomy/taxondetails?taxnode_id=202513577&amp;ictv_id=ICTV202113577","ICTV202113577")</f>
        <v>ICTV202113577</v>
      </c>
      <c r="R5514" t="s">
        <v>579</v>
      </c>
      <c r="S5514" t="s">
        <v>823</v>
      </c>
      <c r="T5514">
        <v>37</v>
      </c>
      <c r="U5514" s="26" t="str">
        <f>HYPERLINK("https://ictv.global/ictv/proposals/2021.030B.R.Foxquatrovirus.zip","2021.030B.R.Foxquatrovirus.zip")</f>
        <v>2021.030B.R.Foxquatrovirus.zip</v>
      </c>
    </row>
    <row r="5515" spans="1:21">
      <c r="A5515">
        <v>5514</v>
      </c>
      <c r="B5515" s="27" t="s">
        <v>1449</v>
      </c>
      <c r="D5515" s="27" t="s">
        <v>1450</v>
      </c>
      <c r="F5515" s="27" t="s">
        <v>1453</v>
      </c>
      <c r="H5515" s="27" t="s">
        <v>1454</v>
      </c>
      <c r="N5515" s="27" t="s">
        <v>7027</v>
      </c>
      <c r="P5515" s="27" t="s">
        <v>7028</v>
      </c>
      <c r="Q5515" s="26" t="str">
        <f>HYPERLINK("https://ictv.global/taxonomy/taxondetails?taxnode_id=202513579&amp;ictv_id=ICTV202113579","ICTV202113579")</f>
        <v>ICTV202113579</v>
      </c>
      <c r="R5515" t="s">
        <v>579</v>
      </c>
      <c r="S5515" t="s">
        <v>823</v>
      </c>
      <c r="T5515">
        <v>37</v>
      </c>
      <c r="U5515" s="26" t="str">
        <f>HYPERLINK("https://ictv.global/ictv/proposals/2021.031B.R.Foxunavirus.zip","2021.031B.R.Foxunavirus.zip")</f>
        <v>2021.031B.R.Foxunavirus.zip</v>
      </c>
    </row>
    <row r="5516" spans="1:21">
      <c r="A5516">
        <v>5515</v>
      </c>
      <c r="B5516" s="27" t="s">
        <v>1449</v>
      </c>
      <c r="D5516" s="27" t="s">
        <v>1450</v>
      </c>
      <c r="F5516" s="27" t="s">
        <v>1453</v>
      </c>
      <c r="H5516" s="27" t="s">
        <v>1454</v>
      </c>
      <c r="N5516" s="27" t="s">
        <v>7027</v>
      </c>
      <c r="P5516" s="27" t="s">
        <v>7029</v>
      </c>
      <c r="Q5516" s="26" t="str">
        <f>HYPERLINK("https://ictv.global/taxonomy/taxondetails?taxnode_id=202513580&amp;ictv_id=ICTV202113580","ICTV202113580")</f>
        <v>ICTV202113580</v>
      </c>
      <c r="R5516" t="s">
        <v>579</v>
      </c>
      <c r="S5516" t="s">
        <v>823</v>
      </c>
      <c r="T5516">
        <v>37</v>
      </c>
      <c r="U5516" s="26" t="str">
        <f>HYPERLINK("https://ictv.global/ictv/proposals/2021.031B.R.Foxunavirus.zip","2021.031B.R.Foxunavirus.zip")</f>
        <v>2021.031B.R.Foxunavirus.zip</v>
      </c>
    </row>
    <row r="5517" spans="1:21">
      <c r="A5517">
        <v>5516</v>
      </c>
      <c r="B5517" s="27" t="s">
        <v>1449</v>
      </c>
      <c r="D5517" s="27" t="s">
        <v>1450</v>
      </c>
      <c r="F5517" s="27" t="s">
        <v>1453</v>
      </c>
      <c r="H5517" s="27" t="s">
        <v>1454</v>
      </c>
      <c r="N5517" s="27" t="s">
        <v>7027</v>
      </c>
      <c r="P5517" s="27" t="s">
        <v>7030</v>
      </c>
      <c r="Q5517" s="26" t="str">
        <f>HYPERLINK("https://ictv.global/taxonomy/taxondetails?taxnode_id=202513581&amp;ictv_id=ICTV202113581","ICTV202113581")</f>
        <v>ICTV202113581</v>
      </c>
      <c r="R5517" t="s">
        <v>579</v>
      </c>
      <c r="S5517" t="s">
        <v>823</v>
      </c>
      <c r="T5517">
        <v>37</v>
      </c>
      <c r="U5517" s="26" t="str">
        <f>HYPERLINK("https://ictv.global/ictv/proposals/2021.031B.R.Foxunavirus.zip","2021.031B.R.Foxunavirus.zip")</f>
        <v>2021.031B.R.Foxunavirus.zip</v>
      </c>
    </row>
    <row r="5518" spans="1:21">
      <c r="A5518">
        <v>5517</v>
      </c>
      <c r="B5518" s="27" t="s">
        <v>1449</v>
      </c>
      <c r="D5518" s="27" t="s">
        <v>1450</v>
      </c>
      <c r="F5518" s="27" t="s">
        <v>1453</v>
      </c>
      <c r="H5518" s="27" t="s">
        <v>1454</v>
      </c>
      <c r="N5518" s="27" t="s">
        <v>7027</v>
      </c>
      <c r="P5518" s="27" t="s">
        <v>7031</v>
      </c>
      <c r="Q5518" s="26" t="str">
        <f>HYPERLINK("https://ictv.global/taxonomy/taxondetails?taxnode_id=202513582&amp;ictv_id=ICTV202113582","ICTV202113582")</f>
        <v>ICTV202113582</v>
      </c>
      <c r="R5518" t="s">
        <v>579</v>
      </c>
      <c r="S5518" t="s">
        <v>823</v>
      </c>
      <c r="T5518">
        <v>37</v>
      </c>
      <c r="U5518" s="26" t="str">
        <f>HYPERLINK("https://ictv.global/ictv/proposals/2021.031B.R.Foxunavirus.zip","2021.031B.R.Foxunavirus.zip")</f>
        <v>2021.031B.R.Foxunavirus.zip</v>
      </c>
    </row>
    <row r="5519" spans="1:21">
      <c r="A5519">
        <v>5518</v>
      </c>
      <c r="B5519" s="27" t="s">
        <v>1449</v>
      </c>
      <c r="D5519" s="27" t="s">
        <v>1450</v>
      </c>
      <c r="F5519" s="27" t="s">
        <v>1453</v>
      </c>
      <c r="H5519" s="27" t="s">
        <v>1454</v>
      </c>
      <c r="N5519" s="27" t="s">
        <v>1753</v>
      </c>
      <c r="P5519" s="27" t="s">
        <v>7032</v>
      </c>
      <c r="Q5519" s="26" t="str">
        <f>HYPERLINK("https://ictv.global/taxonomy/taxondetails?taxnode_id=202507850&amp;ictv_id=ICTV201907850","ICTV201907850")</f>
        <v>ICTV201907850</v>
      </c>
      <c r="R5519" t="s">
        <v>579</v>
      </c>
      <c r="S5519" t="s">
        <v>824</v>
      </c>
      <c r="T5519">
        <v>37</v>
      </c>
      <c r="U5519" s="26" t="str">
        <f>HYPERLINK("https://ictv.global/ictv/proposals/2021.010B.R.Binomial_names.zip","2021.010B.R.Binomial_names.zip")</f>
        <v>2021.010B.R.Binomial_names.zip</v>
      </c>
    </row>
    <row r="5520" spans="1:21">
      <c r="A5520">
        <v>5519</v>
      </c>
      <c r="B5520" s="27" t="s">
        <v>1449</v>
      </c>
      <c r="D5520" s="27" t="s">
        <v>1450</v>
      </c>
      <c r="F5520" s="27" t="s">
        <v>1453</v>
      </c>
      <c r="H5520" s="27" t="s">
        <v>1454</v>
      </c>
      <c r="N5520" s="27" t="s">
        <v>22488</v>
      </c>
      <c r="P5520" s="27" t="s">
        <v>22491</v>
      </c>
      <c r="Q5520" s="26" t="str">
        <f>HYPERLINK("https://ictv.global/taxonomy/taxondetails?taxnode_id=202523116&amp;ictv_id=ICTV202523116","ICTV202523116")</f>
        <v>ICTV202523116</v>
      </c>
      <c r="R5520" t="s">
        <v>579</v>
      </c>
      <c r="S5520" t="s">
        <v>823</v>
      </c>
      <c r="T5520">
        <v>41</v>
      </c>
      <c r="U5520" s="26" t="str">
        <f>HYPERLINK("https://ictv.global/ictv/proposals/2025.058B.Pectobacterium_phages_3ng_6ns.zip","2025.058B.Pectobacterium_phages_3ng_6ns.zip")</f>
        <v>2025.058B.Pectobacterium_phages_3ng_6ns.zip</v>
      </c>
    </row>
    <row r="5521" spans="1:21">
      <c r="A5521">
        <v>5520</v>
      </c>
      <c r="B5521" s="27" t="s">
        <v>1449</v>
      </c>
      <c r="D5521" s="27" t="s">
        <v>1450</v>
      </c>
      <c r="F5521" s="27" t="s">
        <v>1453</v>
      </c>
      <c r="H5521" s="27" t="s">
        <v>1454</v>
      </c>
      <c r="N5521" s="27" t="s">
        <v>22488</v>
      </c>
      <c r="P5521" s="27" t="s">
        <v>22490</v>
      </c>
      <c r="Q5521" s="26" t="str">
        <f>HYPERLINK("https://ictv.global/taxonomy/taxondetails?taxnode_id=202523115&amp;ictv_id=ICTV202523115","ICTV202523115")</f>
        <v>ICTV202523115</v>
      </c>
      <c r="R5521" t="s">
        <v>579</v>
      </c>
      <c r="S5521" t="s">
        <v>823</v>
      </c>
      <c r="T5521">
        <v>41</v>
      </c>
      <c r="U5521" s="26" t="str">
        <f>HYPERLINK("https://ictv.global/ictv/proposals/2025.058B.Pectobacterium_phages_3ng_6ns.zip","2025.058B.Pectobacterium_phages_3ng_6ns.zip")</f>
        <v>2025.058B.Pectobacterium_phages_3ng_6ns.zip</v>
      </c>
    </row>
    <row r="5522" spans="1:21">
      <c r="A5522">
        <v>5521</v>
      </c>
      <c r="B5522" s="27" t="s">
        <v>1449</v>
      </c>
      <c r="D5522" s="27" t="s">
        <v>1450</v>
      </c>
      <c r="F5522" s="27" t="s">
        <v>1453</v>
      </c>
      <c r="H5522" s="27" t="s">
        <v>1454</v>
      </c>
      <c r="N5522" s="27" t="s">
        <v>22488</v>
      </c>
      <c r="P5522" s="27" t="s">
        <v>22489</v>
      </c>
      <c r="Q5522" s="26" t="str">
        <f>HYPERLINK("https://ictv.global/taxonomy/taxondetails?taxnode_id=202523114&amp;ictv_id=ICTV202523114","ICTV202523114")</f>
        <v>ICTV202523114</v>
      </c>
      <c r="R5522" t="s">
        <v>579</v>
      </c>
      <c r="S5522" t="s">
        <v>823</v>
      </c>
      <c r="T5522">
        <v>41</v>
      </c>
      <c r="U5522" s="26" t="str">
        <f>HYPERLINK("https://ictv.global/ictv/proposals/2025.058B.Pectobacterium_phages_3ng_6ns.zip","2025.058B.Pectobacterium_phages_3ng_6ns.zip")</f>
        <v>2025.058B.Pectobacterium_phages_3ng_6ns.zip</v>
      </c>
    </row>
    <row r="5523" spans="1:21">
      <c r="A5523">
        <v>5522</v>
      </c>
      <c r="B5523" s="27" t="s">
        <v>1449</v>
      </c>
      <c r="D5523" s="27" t="s">
        <v>1450</v>
      </c>
      <c r="F5523" s="27" t="s">
        <v>1453</v>
      </c>
      <c r="H5523" s="27" t="s">
        <v>1454</v>
      </c>
      <c r="N5523" s="27" t="s">
        <v>22488</v>
      </c>
      <c r="P5523" s="27" t="s">
        <v>22492</v>
      </c>
      <c r="Q5523" s="26" t="str">
        <f>HYPERLINK("https://ictv.global/taxonomy/taxondetails?taxnode_id=202523117&amp;ictv_id=ICTV202523117","ICTV202523117")</f>
        <v>ICTV202523117</v>
      </c>
      <c r="R5523" t="s">
        <v>579</v>
      </c>
      <c r="S5523" t="s">
        <v>823</v>
      </c>
      <c r="T5523">
        <v>41</v>
      </c>
      <c r="U5523" s="26" t="str">
        <f>HYPERLINK("https://ictv.global/ictv/proposals/2025.058B.Pectobacterium_phages_3ng_6ns.zip","2025.058B.Pectobacterium_phages_3ng_6ns.zip")</f>
        <v>2025.058B.Pectobacterium_phages_3ng_6ns.zip</v>
      </c>
    </row>
    <row r="5524" spans="1:21">
      <c r="A5524">
        <v>5523</v>
      </c>
      <c r="B5524" s="27" t="s">
        <v>1449</v>
      </c>
      <c r="D5524" s="27" t="s">
        <v>1450</v>
      </c>
      <c r="F5524" s="27" t="s">
        <v>1453</v>
      </c>
      <c r="H5524" s="27" t="s">
        <v>1454</v>
      </c>
      <c r="N5524" s="27" t="s">
        <v>2263</v>
      </c>
      <c r="P5524" s="27" t="s">
        <v>7033</v>
      </c>
      <c r="Q5524" s="26" t="str">
        <f>HYPERLINK("https://ictv.global/taxonomy/taxondetails?taxnode_id=202510037&amp;ictv_id=ICTV202010037","ICTV202010037")</f>
        <v>ICTV202010037</v>
      </c>
      <c r="R5524" t="s">
        <v>579</v>
      </c>
      <c r="S5524" t="s">
        <v>824</v>
      </c>
      <c r="T5524">
        <v>37</v>
      </c>
      <c r="U5524" s="26" t="str">
        <f t="shared" ref="U5524:U5566" si="216">HYPERLINK("https://ictv.global/ictv/proposals/2021.010B.R.Binomial_names.zip","2021.010B.R.Binomial_names.zip")</f>
        <v>2021.010B.R.Binomial_names.zip</v>
      </c>
    </row>
    <row r="5525" spans="1:21">
      <c r="A5525">
        <v>5524</v>
      </c>
      <c r="B5525" s="27" t="s">
        <v>1449</v>
      </c>
      <c r="D5525" s="27" t="s">
        <v>1450</v>
      </c>
      <c r="F5525" s="27" t="s">
        <v>1453</v>
      </c>
      <c r="H5525" s="27" t="s">
        <v>1454</v>
      </c>
      <c r="N5525" s="27" t="s">
        <v>2263</v>
      </c>
      <c r="P5525" s="27" t="s">
        <v>7034</v>
      </c>
      <c r="Q5525" s="26" t="str">
        <f>HYPERLINK("https://ictv.global/taxonomy/taxondetails?taxnode_id=202510036&amp;ictv_id=ICTV202010036","ICTV202010036")</f>
        <v>ICTV202010036</v>
      </c>
      <c r="R5525" t="s">
        <v>579</v>
      </c>
      <c r="S5525" t="s">
        <v>824</v>
      </c>
      <c r="T5525">
        <v>37</v>
      </c>
      <c r="U5525" s="26" t="str">
        <f t="shared" si="216"/>
        <v>2021.010B.R.Binomial_names.zip</v>
      </c>
    </row>
    <row r="5526" spans="1:21">
      <c r="A5526">
        <v>5525</v>
      </c>
      <c r="B5526" s="27" t="s">
        <v>1449</v>
      </c>
      <c r="D5526" s="27" t="s">
        <v>1450</v>
      </c>
      <c r="F5526" s="27" t="s">
        <v>1453</v>
      </c>
      <c r="H5526" s="27" t="s">
        <v>1454</v>
      </c>
      <c r="N5526" s="27" t="s">
        <v>1358</v>
      </c>
      <c r="P5526" s="27" t="s">
        <v>7035</v>
      </c>
      <c r="Q5526" s="26" t="str">
        <f>HYPERLINK("https://ictv.global/taxonomy/taxondetails?taxnode_id=202501009&amp;ictv_id=ICTV20140376","ICTV20140376")</f>
        <v>ICTV20140376</v>
      </c>
      <c r="R5526" t="s">
        <v>579</v>
      </c>
      <c r="S5526" t="s">
        <v>824</v>
      </c>
      <c r="T5526">
        <v>37</v>
      </c>
      <c r="U5526" s="26" t="str">
        <f t="shared" si="216"/>
        <v>2021.010B.R.Binomial_names.zip</v>
      </c>
    </row>
    <row r="5527" spans="1:21">
      <c r="A5527">
        <v>5526</v>
      </c>
      <c r="B5527" s="27" t="s">
        <v>1449</v>
      </c>
      <c r="D5527" s="27" t="s">
        <v>1450</v>
      </c>
      <c r="F5527" s="27" t="s">
        <v>1453</v>
      </c>
      <c r="H5527" s="27" t="s">
        <v>1454</v>
      </c>
      <c r="N5527" s="27" t="s">
        <v>1358</v>
      </c>
      <c r="P5527" s="27" t="s">
        <v>7036</v>
      </c>
      <c r="Q5527" s="26" t="str">
        <f>HYPERLINK("https://ictv.global/taxonomy/taxondetails?taxnode_id=202501011&amp;ictv_id=ICTV20140374","ICTV20140374")</f>
        <v>ICTV20140374</v>
      </c>
      <c r="R5527" t="s">
        <v>579</v>
      </c>
      <c r="S5527" t="s">
        <v>824</v>
      </c>
      <c r="T5527">
        <v>37</v>
      </c>
      <c r="U5527" s="26" t="str">
        <f t="shared" si="216"/>
        <v>2021.010B.R.Binomial_names.zip</v>
      </c>
    </row>
    <row r="5528" spans="1:21">
      <c r="A5528">
        <v>5527</v>
      </c>
      <c r="B5528" s="27" t="s">
        <v>1449</v>
      </c>
      <c r="D5528" s="27" t="s">
        <v>1450</v>
      </c>
      <c r="F5528" s="27" t="s">
        <v>1453</v>
      </c>
      <c r="H5528" s="27" t="s">
        <v>1454</v>
      </c>
      <c r="N5528" s="27" t="s">
        <v>1358</v>
      </c>
      <c r="P5528" s="27" t="s">
        <v>7037</v>
      </c>
      <c r="Q5528" s="26" t="str">
        <f>HYPERLINK("https://ictv.global/taxonomy/taxondetails?taxnode_id=202501015&amp;ictv_id=ICTV20140342","ICTV20140342")</f>
        <v>ICTV20140342</v>
      </c>
      <c r="R5528" t="s">
        <v>579</v>
      </c>
      <c r="S5528" t="s">
        <v>824</v>
      </c>
      <c r="T5528">
        <v>37</v>
      </c>
      <c r="U5528" s="26" t="str">
        <f t="shared" si="216"/>
        <v>2021.010B.R.Binomial_names.zip</v>
      </c>
    </row>
    <row r="5529" spans="1:21">
      <c r="A5529">
        <v>5528</v>
      </c>
      <c r="B5529" s="27" t="s">
        <v>1449</v>
      </c>
      <c r="D5529" s="27" t="s">
        <v>1450</v>
      </c>
      <c r="F5529" s="27" t="s">
        <v>1453</v>
      </c>
      <c r="H5529" s="27" t="s">
        <v>1454</v>
      </c>
      <c r="N5529" s="27" t="s">
        <v>1358</v>
      </c>
      <c r="P5529" s="27" t="s">
        <v>7038</v>
      </c>
      <c r="Q5529" s="26" t="str">
        <f>HYPERLINK("https://ictv.global/taxonomy/taxondetails?taxnode_id=202501016&amp;ictv_id=ICTV20140334","ICTV20140334")</f>
        <v>ICTV20140334</v>
      </c>
      <c r="R5529" t="s">
        <v>579</v>
      </c>
      <c r="S5529" t="s">
        <v>824</v>
      </c>
      <c r="T5529">
        <v>37</v>
      </c>
      <c r="U5529" s="26" t="str">
        <f t="shared" si="216"/>
        <v>2021.010B.R.Binomial_names.zip</v>
      </c>
    </row>
    <row r="5530" spans="1:21">
      <c r="A5530">
        <v>5529</v>
      </c>
      <c r="B5530" s="27" t="s">
        <v>1449</v>
      </c>
      <c r="D5530" s="27" t="s">
        <v>1450</v>
      </c>
      <c r="F5530" s="27" t="s">
        <v>1453</v>
      </c>
      <c r="H5530" s="27" t="s">
        <v>1454</v>
      </c>
      <c r="N5530" s="27" t="s">
        <v>1358</v>
      </c>
      <c r="P5530" s="27" t="s">
        <v>7039</v>
      </c>
      <c r="Q5530" s="26" t="str">
        <f>HYPERLINK("https://ictv.global/taxonomy/taxondetails?taxnode_id=202501013&amp;ictv_id=ICTV20140348","ICTV20140348")</f>
        <v>ICTV20140348</v>
      </c>
      <c r="R5530" t="s">
        <v>579</v>
      </c>
      <c r="S5530" t="s">
        <v>824</v>
      </c>
      <c r="T5530">
        <v>37</v>
      </c>
      <c r="U5530" s="26" t="str">
        <f t="shared" si="216"/>
        <v>2021.010B.R.Binomial_names.zip</v>
      </c>
    </row>
    <row r="5531" spans="1:21">
      <c r="A5531">
        <v>5530</v>
      </c>
      <c r="B5531" s="27" t="s">
        <v>1449</v>
      </c>
      <c r="D5531" s="27" t="s">
        <v>1450</v>
      </c>
      <c r="F5531" s="27" t="s">
        <v>1453</v>
      </c>
      <c r="H5531" s="27" t="s">
        <v>1454</v>
      </c>
      <c r="N5531" s="27" t="s">
        <v>1358</v>
      </c>
      <c r="P5531" s="27" t="s">
        <v>7040</v>
      </c>
      <c r="Q5531" s="26" t="str">
        <f>HYPERLINK("https://ictv.global/taxonomy/taxondetails?taxnode_id=202501017&amp;ictv_id=ICTV20140345","ICTV20140345")</f>
        <v>ICTV20140345</v>
      </c>
      <c r="R5531" t="s">
        <v>579</v>
      </c>
      <c r="S5531" t="s">
        <v>824</v>
      </c>
      <c r="T5531">
        <v>37</v>
      </c>
      <c r="U5531" s="26" t="str">
        <f t="shared" si="216"/>
        <v>2021.010B.R.Binomial_names.zip</v>
      </c>
    </row>
    <row r="5532" spans="1:21">
      <c r="A5532">
        <v>5531</v>
      </c>
      <c r="B5532" s="27" t="s">
        <v>1449</v>
      </c>
      <c r="D5532" s="27" t="s">
        <v>1450</v>
      </c>
      <c r="F5532" s="27" t="s">
        <v>1453</v>
      </c>
      <c r="H5532" s="27" t="s">
        <v>1454</v>
      </c>
      <c r="N5532" s="27" t="s">
        <v>1358</v>
      </c>
      <c r="P5532" s="27" t="s">
        <v>7041</v>
      </c>
      <c r="Q5532" s="26" t="str">
        <f>HYPERLINK("https://ictv.global/taxonomy/taxondetails?taxnode_id=202501018&amp;ictv_id=ICTV20140333","ICTV20140333")</f>
        <v>ICTV20140333</v>
      </c>
      <c r="R5532" t="s">
        <v>579</v>
      </c>
      <c r="S5532" t="s">
        <v>824</v>
      </c>
      <c r="T5532">
        <v>37</v>
      </c>
      <c r="U5532" s="26" t="str">
        <f t="shared" si="216"/>
        <v>2021.010B.R.Binomial_names.zip</v>
      </c>
    </row>
    <row r="5533" spans="1:21">
      <c r="A5533">
        <v>5532</v>
      </c>
      <c r="B5533" s="27" t="s">
        <v>1449</v>
      </c>
      <c r="D5533" s="27" t="s">
        <v>1450</v>
      </c>
      <c r="F5533" s="27" t="s">
        <v>1453</v>
      </c>
      <c r="H5533" s="27" t="s">
        <v>1454</v>
      </c>
      <c r="N5533" s="27" t="s">
        <v>1358</v>
      </c>
      <c r="P5533" s="27" t="s">
        <v>7042</v>
      </c>
      <c r="Q5533" s="26" t="str">
        <f>HYPERLINK("https://ictv.global/taxonomy/taxondetails?taxnode_id=202501020&amp;ictv_id=ICTV20140323","ICTV20140323")</f>
        <v>ICTV20140323</v>
      </c>
      <c r="R5533" t="s">
        <v>579</v>
      </c>
      <c r="S5533" t="s">
        <v>824</v>
      </c>
      <c r="T5533">
        <v>37</v>
      </c>
      <c r="U5533" s="26" t="str">
        <f t="shared" si="216"/>
        <v>2021.010B.R.Binomial_names.zip</v>
      </c>
    </row>
    <row r="5534" spans="1:21">
      <c r="A5534">
        <v>5533</v>
      </c>
      <c r="B5534" s="27" t="s">
        <v>1449</v>
      </c>
      <c r="D5534" s="27" t="s">
        <v>1450</v>
      </c>
      <c r="F5534" s="27" t="s">
        <v>1453</v>
      </c>
      <c r="H5534" s="27" t="s">
        <v>1454</v>
      </c>
      <c r="N5534" s="27" t="s">
        <v>1358</v>
      </c>
      <c r="P5534" s="27" t="s">
        <v>7043</v>
      </c>
      <c r="Q5534" s="26" t="str">
        <f>HYPERLINK("https://ictv.global/taxonomy/taxondetails?taxnode_id=202501022&amp;ictv_id=ICTV20073025","ICTV20073025")</f>
        <v>ICTV20073025</v>
      </c>
      <c r="R5534" t="s">
        <v>579</v>
      </c>
      <c r="S5534" t="s">
        <v>824</v>
      </c>
      <c r="T5534">
        <v>37</v>
      </c>
      <c r="U5534" s="26" t="str">
        <f t="shared" si="216"/>
        <v>2021.010B.R.Binomial_names.zip</v>
      </c>
    </row>
    <row r="5535" spans="1:21">
      <c r="A5535">
        <v>5534</v>
      </c>
      <c r="B5535" s="27" t="s">
        <v>1449</v>
      </c>
      <c r="D5535" s="27" t="s">
        <v>1450</v>
      </c>
      <c r="F5535" s="27" t="s">
        <v>1453</v>
      </c>
      <c r="H5535" s="27" t="s">
        <v>1454</v>
      </c>
      <c r="N5535" s="27" t="s">
        <v>1358</v>
      </c>
      <c r="P5535" s="27" t="s">
        <v>7044</v>
      </c>
      <c r="Q5535" s="26" t="str">
        <f>HYPERLINK("https://ictv.global/taxonomy/taxondetails?taxnode_id=202501023&amp;ictv_id=ICTV20140350","ICTV20140350")</f>
        <v>ICTV20140350</v>
      </c>
      <c r="R5535" t="s">
        <v>579</v>
      </c>
      <c r="S5535" t="s">
        <v>824</v>
      </c>
      <c r="T5535">
        <v>37</v>
      </c>
      <c r="U5535" s="26" t="str">
        <f t="shared" si="216"/>
        <v>2021.010B.R.Binomial_names.zip</v>
      </c>
    </row>
    <row r="5536" spans="1:21">
      <c r="A5536">
        <v>5535</v>
      </c>
      <c r="B5536" s="27" t="s">
        <v>1449</v>
      </c>
      <c r="D5536" s="27" t="s">
        <v>1450</v>
      </c>
      <c r="F5536" s="27" t="s">
        <v>1453</v>
      </c>
      <c r="H5536" s="27" t="s">
        <v>1454</v>
      </c>
      <c r="N5536" s="27" t="s">
        <v>1358</v>
      </c>
      <c r="P5536" s="27" t="s">
        <v>7045</v>
      </c>
      <c r="Q5536" s="26" t="str">
        <f>HYPERLINK("https://ictv.global/taxonomy/taxondetails?taxnode_id=202501025&amp;ictv_id=ICTV20140347","ICTV20140347")</f>
        <v>ICTV20140347</v>
      </c>
      <c r="R5536" t="s">
        <v>579</v>
      </c>
      <c r="S5536" t="s">
        <v>824</v>
      </c>
      <c r="T5536">
        <v>37</v>
      </c>
      <c r="U5536" s="26" t="str">
        <f t="shared" si="216"/>
        <v>2021.010B.R.Binomial_names.zip</v>
      </c>
    </row>
    <row r="5537" spans="1:21">
      <c r="A5537">
        <v>5536</v>
      </c>
      <c r="B5537" s="27" t="s">
        <v>1449</v>
      </c>
      <c r="D5537" s="27" t="s">
        <v>1450</v>
      </c>
      <c r="F5537" s="27" t="s">
        <v>1453</v>
      </c>
      <c r="H5537" s="27" t="s">
        <v>1454</v>
      </c>
      <c r="N5537" s="27" t="s">
        <v>1358</v>
      </c>
      <c r="P5537" s="27" t="s">
        <v>7046</v>
      </c>
      <c r="Q5537" s="26" t="str">
        <f>HYPERLINK("https://ictv.global/taxonomy/taxondetails?taxnode_id=202501026&amp;ictv_id=ICTV20140369","ICTV20140369")</f>
        <v>ICTV20140369</v>
      </c>
      <c r="R5537" t="s">
        <v>579</v>
      </c>
      <c r="S5537" t="s">
        <v>824</v>
      </c>
      <c r="T5537">
        <v>37</v>
      </c>
      <c r="U5537" s="26" t="str">
        <f t="shared" si="216"/>
        <v>2021.010B.R.Binomial_names.zip</v>
      </c>
    </row>
    <row r="5538" spans="1:21">
      <c r="A5538">
        <v>5537</v>
      </c>
      <c r="B5538" s="27" t="s">
        <v>1449</v>
      </c>
      <c r="D5538" s="27" t="s">
        <v>1450</v>
      </c>
      <c r="F5538" s="27" t="s">
        <v>1453</v>
      </c>
      <c r="H5538" s="27" t="s">
        <v>1454</v>
      </c>
      <c r="N5538" s="27" t="s">
        <v>1358</v>
      </c>
      <c r="P5538" s="27" t="s">
        <v>7047</v>
      </c>
      <c r="Q5538" s="26" t="str">
        <f>HYPERLINK("https://ictv.global/taxonomy/taxondetails?taxnode_id=202501028&amp;ictv_id=ICTV20140378","ICTV20140378")</f>
        <v>ICTV20140378</v>
      </c>
      <c r="R5538" t="s">
        <v>579</v>
      </c>
      <c r="S5538" t="s">
        <v>824</v>
      </c>
      <c r="T5538">
        <v>37</v>
      </c>
      <c r="U5538" s="26" t="str">
        <f t="shared" si="216"/>
        <v>2021.010B.R.Binomial_names.zip</v>
      </c>
    </row>
    <row r="5539" spans="1:21">
      <c r="A5539">
        <v>5538</v>
      </c>
      <c r="B5539" s="27" t="s">
        <v>1449</v>
      </c>
      <c r="D5539" s="27" t="s">
        <v>1450</v>
      </c>
      <c r="F5539" s="27" t="s">
        <v>1453</v>
      </c>
      <c r="H5539" s="27" t="s">
        <v>1454</v>
      </c>
      <c r="N5539" s="27" t="s">
        <v>1358</v>
      </c>
      <c r="P5539" s="27" t="s">
        <v>7048</v>
      </c>
      <c r="Q5539" s="26" t="str">
        <f>HYPERLINK("https://ictv.global/taxonomy/taxondetails?taxnode_id=202501031&amp;ictv_id=ICTV20140355","ICTV20140355")</f>
        <v>ICTV20140355</v>
      </c>
      <c r="R5539" t="s">
        <v>579</v>
      </c>
      <c r="S5539" t="s">
        <v>824</v>
      </c>
      <c r="T5539">
        <v>37</v>
      </c>
      <c r="U5539" s="26" t="str">
        <f t="shared" si="216"/>
        <v>2021.010B.R.Binomial_names.zip</v>
      </c>
    </row>
    <row r="5540" spans="1:21">
      <c r="A5540">
        <v>5539</v>
      </c>
      <c r="B5540" s="27" t="s">
        <v>1449</v>
      </c>
      <c r="D5540" s="27" t="s">
        <v>1450</v>
      </c>
      <c r="F5540" s="27" t="s">
        <v>1453</v>
      </c>
      <c r="H5540" s="27" t="s">
        <v>1454</v>
      </c>
      <c r="N5540" s="27" t="s">
        <v>1358</v>
      </c>
      <c r="P5540" s="27" t="s">
        <v>7049</v>
      </c>
      <c r="Q5540" s="26" t="str">
        <f>HYPERLINK("https://ictv.global/taxonomy/taxondetails?taxnode_id=202501032&amp;ictv_id=ICTV20140354","ICTV20140354")</f>
        <v>ICTV20140354</v>
      </c>
      <c r="R5540" t="s">
        <v>579</v>
      </c>
      <c r="S5540" t="s">
        <v>824</v>
      </c>
      <c r="T5540">
        <v>37</v>
      </c>
      <c r="U5540" s="26" t="str">
        <f t="shared" si="216"/>
        <v>2021.010B.R.Binomial_names.zip</v>
      </c>
    </row>
    <row r="5541" spans="1:21">
      <c r="A5541">
        <v>5540</v>
      </c>
      <c r="B5541" s="27" t="s">
        <v>1449</v>
      </c>
      <c r="D5541" s="27" t="s">
        <v>1450</v>
      </c>
      <c r="F5541" s="27" t="s">
        <v>1453</v>
      </c>
      <c r="H5541" s="27" t="s">
        <v>1454</v>
      </c>
      <c r="N5541" s="27" t="s">
        <v>1358</v>
      </c>
      <c r="P5541" s="27" t="s">
        <v>7050</v>
      </c>
      <c r="Q5541" s="26" t="str">
        <f>HYPERLINK("https://ictv.global/taxonomy/taxondetails?taxnode_id=202501035&amp;ictv_id=ICTV20140343","ICTV20140343")</f>
        <v>ICTV20140343</v>
      </c>
      <c r="R5541" t="s">
        <v>579</v>
      </c>
      <c r="S5541" t="s">
        <v>824</v>
      </c>
      <c r="T5541">
        <v>37</v>
      </c>
      <c r="U5541" s="26" t="str">
        <f t="shared" si="216"/>
        <v>2021.010B.R.Binomial_names.zip</v>
      </c>
    </row>
    <row r="5542" spans="1:21">
      <c r="A5542">
        <v>5541</v>
      </c>
      <c r="B5542" s="27" t="s">
        <v>1449</v>
      </c>
      <c r="D5542" s="27" t="s">
        <v>1450</v>
      </c>
      <c r="F5542" s="27" t="s">
        <v>1453</v>
      </c>
      <c r="H5542" s="27" t="s">
        <v>1454</v>
      </c>
      <c r="N5542" s="27" t="s">
        <v>1358</v>
      </c>
      <c r="P5542" s="27" t="s">
        <v>7051</v>
      </c>
      <c r="Q5542" s="26" t="str">
        <f>HYPERLINK("https://ictv.global/taxonomy/taxondetails?taxnode_id=202501036&amp;ictv_id=ICTV20140336","ICTV20140336")</f>
        <v>ICTV20140336</v>
      </c>
      <c r="R5542" t="s">
        <v>579</v>
      </c>
      <c r="S5542" t="s">
        <v>824</v>
      </c>
      <c r="T5542">
        <v>37</v>
      </c>
      <c r="U5542" s="26" t="str">
        <f t="shared" si="216"/>
        <v>2021.010B.R.Binomial_names.zip</v>
      </c>
    </row>
    <row r="5543" spans="1:21">
      <c r="A5543">
        <v>5542</v>
      </c>
      <c r="B5543" s="27" t="s">
        <v>1449</v>
      </c>
      <c r="D5543" s="27" t="s">
        <v>1450</v>
      </c>
      <c r="F5543" s="27" t="s">
        <v>1453</v>
      </c>
      <c r="H5543" s="27" t="s">
        <v>1454</v>
      </c>
      <c r="N5543" s="27" t="s">
        <v>1358</v>
      </c>
      <c r="P5543" s="27" t="s">
        <v>7052</v>
      </c>
      <c r="Q5543" s="26" t="str">
        <f>HYPERLINK("https://ictv.global/taxonomy/taxondetails?taxnode_id=202501037&amp;ictv_id=ICTV20140344","ICTV20140344")</f>
        <v>ICTV20140344</v>
      </c>
      <c r="R5543" t="s">
        <v>579</v>
      </c>
      <c r="S5543" t="s">
        <v>824</v>
      </c>
      <c r="T5543">
        <v>37</v>
      </c>
      <c r="U5543" s="26" t="str">
        <f t="shared" si="216"/>
        <v>2021.010B.R.Binomial_names.zip</v>
      </c>
    </row>
    <row r="5544" spans="1:21">
      <c r="A5544">
        <v>5543</v>
      </c>
      <c r="B5544" s="27" t="s">
        <v>1449</v>
      </c>
      <c r="D5544" s="27" t="s">
        <v>1450</v>
      </c>
      <c r="F5544" s="27" t="s">
        <v>1453</v>
      </c>
      <c r="H5544" s="27" t="s">
        <v>1454</v>
      </c>
      <c r="N5544" s="27" t="s">
        <v>1358</v>
      </c>
      <c r="P5544" s="27" t="s">
        <v>7053</v>
      </c>
      <c r="Q5544" s="26" t="str">
        <f>HYPERLINK("https://ictv.global/taxonomy/taxondetails?taxnode_id=202501038&amp;ictv_id=ICTV19962180","ICTV19962180")</f>
        <v>ICTV19962180</v>
      </c>
      <c r="R5544" t="s">
        <v>579</v>
      </c>
      <c r="S5544" t="s">
        <v>824</v>
      </c>
      <c r="T5544">
        <v>37</v>
      </c>
      <c r="U5544" s="26" t="str">
        <f t="shared" si="216"/>
        <v>2021.010B.R.Binomial_names.zip</v>
      </c>
    </row>
    <row r="5545" spans="1:21">
      <c r="A5545">
        <v>5544</v>
      </c>
      <c r="B5545" s="27" t="s">
        <v>1449</v>
      </c>
      <c r="D5545" s="27" t="s">
        <v>1450</v>
      </c>
      <c r="F5545" s="27" t="s">
        <v>1453</v>
      </c>
      <c r="H5545" s="27" t="s">
        <v>1454</v>
      </c>
      <c r="N5545" s="27" t="s">
        <v>1358</v>
      </c>
      <c r="P5545" s="27" t="s">
        <v>7054</v>
      </c>
      <c r="Q5545" s="26" t="str">
        <f>HYPERLINK("https://ictv.global/taxonomy/taxondetails?taxnode_id=202501039&amp;ictv_id=ICTV20140340","ICTV20140340")</f>
        <v>ICTV20140340</v>
      </c>
      <c r="R5545" t="s">
        <v>579</v>
      </c>
      <c r="S5545" t="s">
        <v>824</v>
      </c>
      <c r="T5545">
        <v>37</v>
      </c>
      <c r="U5545" s="26" t="str">
        <f t="shared" si="216"/>
        <v>2021.010B.R.Binomial_names.zip</v>
      </c>
    </row>
    <row r="5546" spans="1:21">
      <c r="A5546">
        <v>5545</v>
      </c>
      <c r="B5546" s="27" t="s">
        <v>1449</v>
      </c>
      <c r="D5546" s="27" t="s">
        <v>1450</v>
      </c>
      <c r="F5546" s="27" t="s">
        <v>1453</v>
      </c>
      <c r="H5546" s="27" t="s">
        <v>1454</v>
      </c>
      <c r="N5546" s="27" t="s">
        <v>1358</v>
      </c>
      <c r="P5546" s="27" t="s">
        <v>7055</v>
      </c>
      <c r="Q5546" s="26" t="str">
        <f>HYPERLINK("https://ictv.global/taxonomy/taxondetails?taxnode_id=202501041&amp;ictv_id=ICTV20140352","ICTV20140352")</f>
        <v>ICTV20140352</v>
      </c>
      <c r="R5546" t="s">
        <v>579</v>
      </c>
      <c r="S5546" t="s">
        <v>824</v>
      </c>
      <c r="T5546">
        <v>37</v>
      </c>
      <c r="U5546" s="26" t="str">
        <f t="shared" si="216"/>
        <v>2021.010B.R.Binomial_names.zip</v>
      </c>
    </row>
    <row r="5547" spans="1:21">
      <c r="A5547">
        <v>5546</v>
      </c>
      <c r="B5547" s="27" t="s">
        <v>1449</v>
      </c>
      <c r="D5547" s="27" t="s">
        <v>1450</v>
      </c>
      <c r="F5547" s="27" t="s">
        <v>1453</v>
      </c>
      <c r="H5547" s="27" t="s">
        <v>1454</v>
      </c>
      <c r="N5547" s="27" t="s">
        <v>1358</v>
      </c>
      <c r="P5547" s="27" t="s">
        <v>7056</v>
      </c>
      <c r="Q5547" s="26" t="str">
        <f>HYPERLINK("https://ictv.global/taxonomy/taxondetails?taxnode_id=202501042&amp;ictv_id=ICTV20140351","ICTV20140351")</f>
        <v>ICTV20140351</v>
      </c>
      <c r="R5547" t="s">
        <v>579</v>
      </c>
      <c r="S5547" t="s">
        <v>824</v>
      </c>
      <c r="T5547">
        <v>37</v>
      </c>
      <c r="U5547" s="26" t="str">
        <f t="shared" si="216"/>
        <v>2021.010B.R.Binomial_names.zip</v>
      </c>
    </row>
    <row r="5548" spans="1:21">
      <c r="A5548">
        <v>5547</v>
      </c>
      <c r="B5548" s="27" t="s">
        <v>1449</v>
      </c>
      <c r="D5548" s="27" t="s">
        <v>1450</v>
      </c>
      <c r="F5548" s="27" t="s">
        <v>1453</v>
      </c>
      <c r="H5548" s="27" t="s">
        <v>1454</v>
      </c>
      <c r="N5548" s="27" t="s">
        <v>1358</v>
      </c>
      <c r="P5548" s="27" t="s">
        <v>7057</v>
      </c>
      <c r="Q5548" s="26" t="str">
        <f>HYPERLINK("https://ictv.global/taxonomy/taxondetails?taxnode_id=202501044&amp;ictv_id=ICTV20140338","ICTV20140338")</f>
        <v>ICTV20140338</v>
      </c>
      <c r="R5548" t="s">
        <v>579</v>
      </c>
      <c r="S5548" t="s">
        <v>824</v>
      </c>
      <c r="T5548">
        <v>37</v>
      </c>
      <c r="U5548" s="26" t="str">
        <f t="shared" si="216"/>
        <v>2021.010B.R.Binomial_names.zip</v>
      </c>
    </row>
    <row r="5549" spans="1:21">
      <c r="A5549">
        <v>5548</v>
      </c>
      <c r="B5549" s="27" t="s">
        <v>1449</v>
      </c>
      <c r="D5549" s="27" t="s">
        <v>1450</v>
      </c>
      <c r="F5549" s="27" t="s">
        <v>1453</v>
      </c>
      <c r="H5549" s="27" t="s">
        <v>1454</v>
      </c>
      <c r="N5549" s="27" t="s">
        <v>1358</v>
      </c>
      <c r="P5549" s="27" t="s">
        <v>7058</v>
      </c>
      <c r="Q5549" s="26" t="str">
        <f>HYPERLINK("https://ictv.global/taxonomy/taxondetails?taxnode_id=202501045&amp;ictv_id=ICTV20140339","ICTV20140339")</f>
        <v>ICTV20140339</v>
      </c>
      <c r="R5549" t="s">
        <v>579</v>
      </c>
      <c r="S5549" t="s">
        <v>824</v>
      </c>
      <c r="T5549">
        <v>37</v>
      </c>
      <c r="U5549" s="26" t="str">
        <f t="shared" si="216"/>
        <v>2021.010B.R.Binomial_names.zip</v>
      </c>
    </row>
    <row r="5550" spans="1:21">
      <c r="A5550">
        <v>5549</v>
      </c>
      <c r="B5550" s="27" t="s">
        <v>1449</v>
      </c>
      <c r="D5550" s="27" t="s">
        <v>1450</v>
      </c>
      <c r="F5550" s="27" t="s">
        <v>1453</v>
      </c>
      <c r="H5550" s="27" t="s">
        <v>1454</v>
      </c>
      <c r="N5550" s="27" t="s">
        <v>1358</v>
      </c>
      <c r="P5550" s="27" t="s">
        <v>7059</v>
      </c>
      <c r="Q5550" s="26" t="str">
        <f>HYPERLINK("https://ictv.global/taxonomy/taxondetails?taxnode_id=202501046&amp;ictv_id=ICTV20140349","ICTV20140349")</f>
        <v>ICTV20140349</v>
      </c>
      <c r="R5550" t="s">
        <v>579</v>
      </c>
      <c r="S5550" t="s">
        <v>824</v>
      </c>
      <c r="T5550">
        <v>37</v>
      </c>
      <c r="U5550" s="26" t="str">
        <f t="shared" si="216"/>
        <v>2021.010B.R.Binomial_names.zip</v>
      </c>
    </row>
    <row r="5551" spans="1:21">
      <c r="A5551">
        <v>5550</v>
      </c>
      <c r="B5551" s="27" t="s">
        <v>1449</v>
      </c>
      <c r="D5551" s="27" t="s">
        <v>1450</v>
      </c>
      <c r="F5551" s="27" t="s">
        <v>1453</v>
      </c>
      <c r="H5551" s="27" t="s">
        <v>1454</v>
      </c>
      <c r="N5551" s="27" t="s">
        <v>1358</v>
      </c>
      <c r="P5551" s="27" t="s">
        <v>7060</v>
      </c>
      <c r="Q5551" s="26" t="str">
        <f>HYPERLINK("https://ictv.global/taxonomy/taxondetails?taxnode_id=202501047&amp;ictv_id=ICTV20140375","ICTV20140375")</f>
        <v>ICTV20140375</v>
      </c>
      <c r="R5551" t="s">
        <v>579</v>
      </c>
      <c r="S5551" t="s">
        <v>824</v>
      </c>
      <c r="T5551">
        <v>37</v>
      </c>
      <c r="U5551" s="26" t="str">
        <f t="shared" si="216"/>
        <v>2021.010B.R.Binomial_names.zip</v>
      </c>
    </row>
    <row r="5552" spans="1:21">
      <c r="A5552">
        <v>5551</v>
      </c>
      <c r="B5552" s="27" t="s">
        <v>1449</v>
      </c>
      <c r="D5552" s="27" t="s">
        <v>1450</v>
      </c>
      <c r="F5552" s="27" t="s">
        <v>1453</v>
      </c>
      <c r="H5552" s="27" t="s">
        <v>1454</v>
      </c>
      <c r="N5552" s="27" t="s">
        <v>1358</v>
      </c>
      <c r="P5552" s="27" t="s">
        <v>7061</v>
      </c>
      <c r="Q5552" s="26" t="str">
        <f>HYPERLINK("https://ictv.global/taxonomy/taxondetails?taxnode_id=202501049&amp;ictv_id=ICTV20140357","ICTV20140357")</f>
        <v>ICTV20140357</v>
      </c>
      <c r="R5552" t="s">
        <v>579</v>
      </c>
      <c r="S5552" t="s">
        <v>824</v>
      </c>
      <c r="T5552">
        <v>37</v>
      </c>
      <c r="U5552" s="26" t="str">
        <f t="shared" si="216"/>
        <v>2021.010B.R.Binomial_names.zip</v>
      </c>
    </row>
    <row r="5553" spans="1:21">
      <c r="A5553">
        <v>5552</v>
      </c>
      <c r="B5553" s="27" t="s">
        <v>1449</v>
      </c>
      <c r="D5553" s="27" t="s">
        <v>1450</v>
      </c>
      <c r="F5553" s="27" t="s">
        <v>1453</v>
      </c>
      <c r="H5553" s="27" t="s">
        <v>1454</v>
      </c>
      <c r="N5553" s="27" t="s">
        <v>1358</v>
      </c>
      <c r="P5553" s="27" t="s">
        <v>7062</v>
      </c>
      <c r="Q5553" s="26" t="str">
        <f>HYPERLINK("https://ictv.global/taxonomy/taxondetails?taxnode_id=202501051&amp;ictv_id=ICTV20140377","ICTV20140377")</f>
        <v>ICTV20140377</v>
      </c>
      <c r="R5553" t="s">
        <v>579</v>
      </c>
      <c r="S5553" t="s">
        <v>824</v>
      </c>
      <c r="T5553">
        <v>37</v>
      </c>
      <c r="U5553" s="26" t="str">
        <f t="shared" si="216"/>
        <v>2021.010B.R.Binomial_names.zip</v>
      </c>
    </row>
    <row r="5554" spans="1:21">
      <c r="A5554">
        <v>5553</v>
      </c>
      <c r="B5554" s="27" t="s">
        <v>1449</v>
      </c>
      <c r="D5554" s="27" t="s">
        <v>1450</v>
      </c>
      <c r="F5554" s="27" t="s">
        <v>1453</v>
      </c>
      <c r="H5554" s="27" t="s">
        <v>1454</v>
      </c>
      <c r="N5554" s="27" t="s">
        <v>1358</v>
      </c>
      <c r="P5554" s="27" t="s">
        <v>7063</v>
      </c>
      <c r="Q5554" s="26" t="str">
        <f>HYPERLINK("https://ictv.global/taxonomy/taxondetails?taxnode_id=202501052&amp;ictv_id=ICTV20140327","ICTV20140327")</f>
        <v>ICTV20140327</v>
      </c>
      <c r="R5554" t="s">
        <v>579</v>
      </c>
      <c r="S5554" t="s">
        <v>824</v>
      </c>
      <c r="T5554">
        <v>37</v>
      </c>
      <c r="U5554" s="26" t="str">
        <f t="shared" si="216"/>
        <v>2021.010B.R.Binomial_names.zip</v>
      </c>
    </row>
    <row r="5555" spans="1:21">
      <c r="A5555">
        <v>5554</v>
      </c>
      <c r="B5555" s="27" t="s">
        <v>1449</v>
      </c>
      <c r="D5555" s="27" t="s">
        <v>1450</v>
      </c>
      <c r="F5555" s="27" t="s">
        <v>1453</v>
      </c>
      <c r="H5555" s="27" t="s">
        <v>1454</v>
      </c>
      <c r="N5555" s="27" t="s">
        <v>1358</v>
      </c>
      <c r="P5555" s="27" t="s">
        <v>7064</v>
      </c>
      <c r="Q5555" s="26" t="str">
        <f>HYPERLINK("https://ictv.global/taxonomy/taxondetails?taxnode_id=202501053&amp;ictv_id=ICTV20140356","ICTV20140356")</f>
        <v>ICTV20140356</v>
      </c>
      <c r="R5555" t="s">
        <v>579</v>
      </c>
      <c r="S5555" t="s">
        <v>824</v>
      </c>
      <c r="T5555">
        <v>37</v>
      </c>
      <c r="U5555" s="26" t="str">
        <f t="shared" si="216"/>
        <v>2021.010B.R.Binomial_names.zip</v>
      </c>
    </row>
    <row r="5556" spans="1:21">
      <c r="A5556">
        <v>5555</v>
      </c>
      <c r="B5556" s="27" t="s">
        <v>1449</v>
      </c>
      <c r="D5556" s="27" t="s">
        <v>1450</v>
      </c>
      <c r="F5556" s="27" t="s">
        <v>1453</v>
      </c>
      <c r="H5556" s="27" t="s">
        <v>1454</v>
      </c>
      <c r="N5556" s="27" t="s">
        <v>1358</v>
      </c>
      <c r="P5556" s="27" t="s">
        <v>7065</v>
      </c>
      <c r="Q5556" s="26" t="str">
        <f>HYPERLINK("https://ictv.global/taxonomy/taxondetails?taxnode_id=202501055&amp;ictv_id=ICTV20140373","ICTV20140373")</f>
        <v>ICTV20140373</v>
      </c>
      <c r="R5556" t="s">
        <v>579</v>
      </c>
      <c r="S5556" t="s">
        <v>824</v>
      </c>
      <c r="T5556">
        <v>37</v>
      </c>
      <c r="U5556" s="26" t="str">
        <f t="shared" si="216"/>
        <v>2021.010B.R.Binomial_names.zip</v>
      </c>
    </row>
    <row r="5557" spans="1:21">
      <c r="A5557">
        <v>5556</v>
      </c>
      <c r="B5557" s="27" t="s">
        <v>1449</v>
      </c>
      <c r="D5557" s="27" t="s">
        <v>1450</v>
      </c>
      <c r="F5557" s="27" t="s">
        <v>1453</v>
      </c>
      <c r="H5557" s="27" t="s">
        <v>1454</v>
      </c>
      <c r="N5557" s="27" t="s">
        <v>1358</v>
      </c>
      <c r="P5557" s="27" t="s">
        <v>7066</v>
      </c>
      <c r="Q5557" s="26" t="str">
        <f>HYPERLINK("https://ictv.global/taxonomy/taxondetails?taxnode_id=202501056&amp;ictv_id=ICTV20140353","ICTV20140353")</f>
        <v>ICTV20140353</v>
      </c>
      <c r="R5557" t="s">
        <v>579</v>
      </c>
      <c r="S5557" t="s">
        <v>824</v>
      </c>
      <c r="T5557">
        <v>37</v>
      </c>
      <c r="U5557" s="26" t="str">
        <f t="shared" si="216"/>
        <v>2021.010B.R.Binomial_names.zip</v>
      </c>
    </row>
    <row r="5558" spans="1:21">
      <c r="A5558">
        <v>5557</v>
      </c>
      <c r="B5558" s="27" t="s">
        <v>1449</v>
      </c>
      <c r="D5558" s="27" t="s">
        <v>1450</v>
      </c>
      <c r="F5558" s="27" t="s">
        <v>1453</v>
      </c>
      <c r="H5558" s="27" t="s">
        <v>1454</v>
      </c>
      <c r="N5558" s="27" t="s">
        <v>1358</v>
      </c>
      <c r="P5558" s="27" t="s">
        <v>7067</v>
      </c>
      <c r="Q5558" s="26" t="str">
        <f>HYPERLINK("https://ictv.global/taxonomy/taxondetails?taxnode_id=202501057&amp;ictv_id=ICTV20140341","ICTV20140341")</f>
        <v>ICTV20140341</v>
      </c>
      <c r="R5558" t="s">
        <v>579</v>
      </c>
      <c r="S5558" t="s">
        <v>824</v>
      </c>
      <c r="T5558">
        <v>37</v>
      </c>
      <c r="U5558" s="26" t="str">
        <f t="shared" si="216"/>
        <v>2021.010B.R.Binomial_names.zip</v>
      </c>
    </row>
    <row r="5559" spans="1:21">
      <c r="A5559">
        <v>5558</v>
      </c>
      <c r="B5559" s="27" t="s">
        <v>1449</v>
      </c>
      <c r="D5559" s="27" t="s">
        <v>1450</v>
      </c>
      <c r="F5559" s="27" t="s">
        <v>1453</v>
      </c>
      <c r="H5559" s="27" t="s">
        <v>1454</v>
      </c>
      <c r="N5559" s="27" t="s">
        <v>1358</v>
      </c>
      <c r="P5559" s="27" t="s">
        <v>7068</v>
      </c>
      <c r="Q5559" s="26" t="str">
        <f>HYPERLINK("https://ictv.global/taxonomy/taxondetails?taxnode_id=202501058&amp;ictv_id=ICTV20140335","ICTV20140335")</f>
        <v>ICTV20140335</v>
      </c>
      <c r="R5559" t="s">
        <v>579</v>
      </c>
      <c r="S5559" t="s">
        <v>824</v>
      </c>
      <c r="T5559">
        <v>37</v>
      </c>
      <c r="U5559" s="26" t="str">
        <f t="shared" si="216"/>
        <v>2021.010B.R.Binomial_names.zip</v>
      </c>
    </row>
    <row r="5560" spans="1:21">
      <c r="A5560">
        <v>5559</v>
      </c>
      <c r="B5560" s="27" t="s">
        <v>1449</v>
      </c>
      <c r="D5560" s="27" t="s">
        <v>1450</v>
      </c>
      <c r="F5560" s="27" t="s">
        <v>1453</v>
      </c>
      <c r="H5560" s="27" t="s">
        <v>1454</v>
      </c>
      <c r="N5560" s="27" t="s">
        <v>1358</v>
      </c>
      <c r="P5560" s="27" t="s">
        <v>7069</v>
      </c>
      <c r="Q5560" s="26" t="str">
        <f>HYPERLINK("https://ictv.global/taxonomy/taxondetails?taxnode_id=202501059&amp;ictv_id=ICTV20140322","ICTV20140322")</f>
        <v>ICTV20140322</v>
      </c>
      <c r="R5560" t="s">
        <v>579</v>
      </c>
      <c r="S5560" t="s">
        <v>824</v>
      </c>
      <c r="T5560">
        <v>37</v>
      </c>
      <c r="U5560" s="26" t="str">
        <f t="shared" si="216"/>
        <v>2021.010B.R.Binomial_names.zip</v>
      </c>
    </row>
    <row r="5561" spans="1:21">
      <c r="A5561">
        <v>5560</v>
      </c>
      <c r="B5561" s="27" t="s">
        <v>1449</v>
      </c>
      <c r="D5561" s="27" t="s">
        <v>1450</v>
      </c>
      <c r="F5561" s="27" t="s">
        <v>1453</v>
      </c>
      <c r="H5561" s="27" t="s">
        <v>1454</v>
      </c>
      <c r="N5561" s="27" t="s">
        <v>1358</v>
      </c>
      <c r="P5561" s="27" t="s">
        <v>7070</v>
      </c>
      <c r="Q5561" s="26" t="str">
        <f>HYPERLINK("https://ictv.global/taxonomy/taxondetails?taxnode_id=202501063&amp;ictv_id=ICTV20140324","ICTV20140324")</f>
        <v>ICTV20140324</v>
      </c>
      <c r="R5561" t="s">
        <v>579</v>
      </c>
      <c r="S5561" t="s">
        <v>824</v>
      </c>
      <c r="T5561">
        <v>37</v>
      </c>
      <c r="U5561" s="26" t="str">
        <f t="shared" si="216"/>
        <v>2021.010B.R.Binomial_names.zip</v>
      </c>
    </row>
    <row r="5562" spans="1:21">
      <c r="A5562">
        <v>5561</v>
      </c>
      <c r="B5562" s="27" t="s">
        <v>1449</v>
      </c>
      <c r="D5562" s="27" t="s">
        <v>1450</v>
      </c>
      <c r="F5562" s="27" t="s">
        <v>1453</v>
      </c>
      <c r="H5562" s="27" t="s">
        <v>1454</v>
      </c>
      <c r="N5562" s="27" t="s">
        <v>1358</v>
      </c>
      <c r="P5562" s="27" t="s">
        <v>7071</v>
      </c>
      <c r="Q5562" s="26" t="str">
        <f>HYPERLINK("https://ictv.global/taxonomy/taxondetails?taxnode_id=202501065&amp;ictv_id=ICTV20140379","ICTV20140379")</f>
        <v>ICTV20140379</v>
      </c>
      <c r="R5562" t="s">
        <v>579</v>
      </c>
      <c r="S5562" t="s">
        <v>824</v>
      </c>
      <c r="T5562">
        <v>37</v>
      </c>
      <c r="U5562" s="26" t="str">
        <f t="shared" si="216"/>
        <v>2021.010B.R.Binomial_names.zip</v>
      </c>
    </row>
    <row r="5563" spans="1:21">
      <c r="A5563">
        <v>5562</v>
      </c>
      <c r="B5563" s="27" t="s">
        <v>1449</v>
      </c>
      <c r="D5563" s="27" t="s">
        <v>1450</v>
      </c>
      <c r="F5563" s="27" t="s">
        <v>1453</v>
      </c>
      <c r="H5563" s="27" t="s">
        <v>1454</v>
      </c>
      <c r="N5563" s="27" t="s">
        <v>1358</v>
      </c>
      <c r="P5563" s="27" t="s">
        <v>7072</v>
      </c>
      <c r="Q5563" s="26" t="str">
        <f>HYPERLINK("https://ictv.global/taxonomy/taxondetails?taxnode_id=202501066&amp;ictv_id=ICTV20140337","ICTV20140337")</f>
        <v>ICTV20140337</v>
      </c>
      <c r="R5563" t="s">
        <v>579</v>
      </c>
      <c r="S5563" t="s">
        <v>824</v>
      </c>
      <c r="T5563">
        <v>37</v>
      </c>
      <c r="U5563" s="26" t="str">
        <f t="shared" si="216"/>
        <v>2021.010B.R.Binomial_names.zip</v>
      </c>
    </row>
    <row r="5564" spans="1:21">
      <c r="A5564">
        <v>5563</v>
      </c>
      <c r="B5564" s="27" t="s">
        <v>1449</v>
      </c>
      <c r="D5564" s="27" t="s">
        <v>1450</v>
      </c>
      <c r="F5564" s="27" t="s">
        <v>1453</v>
      </c>
      <c r="H5564" s="27" t="s">
        <v>1454</v>
      </c>
      <c r="N5564" s="27" t="s">
        <v>1358</v>
      </c>
      <c r="P5564" s="27" t="s">
        <v>7073</v>
      </c>
      <c r="Q5564" s="26" t="str">
        <f>HYPERLINK("https://ictv.global/taxonomy/taxondetails?taxnode_id=202501067&amp;ictv_id=ICTV20140346","ICTV20140346")</f>
        <v>ICTV20140346</v>
      </c>
      <c r="R5564" t="s">
        <v>579</v>
      </c>
      <c r="S5564" t="s">
        <v>824</v>
      </c>
      <c r="T5564">
        <v>37</v>
      </c>
      <c r="U5564" s="26" t="str">
        <f t="shared" si="216"/>
        <v>2021.010B.R.Binomial_names.zip</v>
      </c>
    </row>
    <row r="5565" spans="1:21">
      <c r="A5565">
        <v>5564</v>
      </c>
      <c r="B5565" s="27" t="s">
        <v>1449</v>
      </c>
      <c r="D5565" s="27" t="s">
        <v>1450</v>
      </c>
      <c r="F5565" s="27" t="s">
        <v>1453</v>
      </c>
      <c r="H5565" s="27" t="s">
        <v>1454</v>
      </c>
      <c r="N5565" s="27" t="s">
        <v>2100</v>
      </c>
      <c r="P5565" s="27" t="s">
        <v>7074</v>
      </c>
      <c r="Q5565" s="26" t="str">
        <f>HYPERLINK("https://ictv.global/taxonomy/taxondetails?taxnode_id=202500515&amp;ictv_id=ICTV20094111","ICTV20094111")</f>
        <v>ICTV20094111</v>
      </c>
      <c r="R5565" t="s">
        <v>579</v>
      </c>
      <c r="S5565" t="s">
        <v>824</v>
      </c>
      <c r="T5565">
        <v>37</v>
      </c>
      <c r="U5565" s="26" t="str">
        <f t="shared" si="216"/>
        <v>2021.010B.R.Binomial_names.zip</v>
      </c>
    </row>
    <row r="5566" spans="1:21">
      <c r="A5566">
        <v>5565</v>
      </c>
      <c r="B5566" s="27" t="s">
        <v>1449</v>
      </c>
      <c r="D5566" s="27" t="s">
        <v>1450</v>
      </c>
      <c r="F5566" s="27" t="s">
        <v>1453</v>
      </c>
      <c r="H5566" s="27" t="s">
        <v>1454</v>
      </c>
      <c r="N5566" s="27" t="s">
        <v>2100</v>
      </c>
      <c r="P5566" s="27" t="s">
        <v>7075</v>
      </c>
      <c r="Q5566" s="26" t="str">
        <f>HYPERLINK("https://ictv.global/taxonomy/taxondetails?taxnode_id=202510039&amp;ictv_id=ICTV202010039","ICTV202010039")</f>
        <v>ICTV202010039</v>
      </c>
      <c r="R5566" t="s">
        <v>579</v>
      </c>
      <c r="S5566" t="s">
        <v>824</v>
      </c>
      <c r="T5566">
        <v>37</v>
      </c>
      <c r="U5566" s="26" t="str">
        <f t="shared" si="216"/>
        <v>2021.010B.R.Binomial_names.zip</v>
      </c>
    </row>
    <row r="5567" spans="1:21">
      <c r="A5567">
        <v>5566</v>
      </c>
      <c r="B5567" s="27" t="s">
        <v>1449</v>
      </c>
      <c r="D5567" s="27" t="s">
        <v>1450</v>
      </c>
      <c r="F5567" s="27" t="s">
        <v>1453</v>
      </c>
      <c r="H5567" s="27" t="s">
        <v>1454</v>
      </c>
      <c r="N5567" s="27" t="s">
        <v>12127</v>
      </c>
      <c r="P5567" s="27" t="s">
        <v>12128</v>
      </c>
      <c r="Q5567" s="26" t="str">
        <f>HYPERLINK("https://ictv.global/taxonomy/taxondetails?taxnode_id=202517767&amp;ictv_id=ICTV202317767","ICTV202317767")</f>
        <v>ICTV202317767</v>
      </c>
      <c r="R5567" t="s">
        <v>579</v>
      </c>
      <c r="S5567" t="s">
        <v>823</v>
      </c>
      <c r="T5567">
        <v>39</v>
      </c>
      <c r="U5567" s="26" t="str">
        <f>HYPERLINK("https://ictv.global/ictv/proposals/2023.003B.Actinobacteriophage_singletons_25ng.zip","2023.003B.Actinobacteriophage_singletons_25ng.zip")</f>
        <v>2023.003B.Actinobacteriophage_singletons_25ng.zip</v>
      </c>
    </row>
    <row r="5568" spans="1:21">
      <c r="A5568">
        <v>5567</v>
      </c>
      <c r="B5568" s="27" t="s">
        <v>1449</v>
      </c>
      <c r="D5568" s="27" t="s">
        <v>1450</v>
      </c>
      <c r="F5568" s="27" t="s">
        <v>1453</v>
      </c>
      <c r="H5568" s="27" t="s">
        <v>1454</v>
      </c>
      <c r="N5568" s="27" t="s">
        <v>775</v>
      </c>
      <c r="P5568" s="27" t="s">
        <v>7076</v>
      </c>
      <c r="Q5568" s="26" t="str">
        <f>HYPERLINK("https://ictv.global/taxonomy/taxondetails?taxnode_id=202500972&amp;ictv_id=ICTV20164988","ICTV20164988")</f>
        <v>ICTV20164988</v>
      </c>
      <c r="R5568" t="s">
        <v>579</v>
      </c>
      <c r="S5568" t="s">
        <v>824</v>
      </c>
      <c r="T5568">
        <v>37</v>
      </c>
      <c r="U5568" s="26" t="str">
        <f t="shared" ref="U5568:U5579" si="217">HYPERLINK("https://ictv.global/ictv/proposals/2021.010B.R.Binomial_names.zip","2021.010B.R.Binomial_names.zip")</f>
        <v>2021.010B.R.Binomial_names.zip</v>
      </c>
    </row>
    <row r="5569" spans="1:21">
      <c r="A5569">
        <v>5568</v>
      </c>
      <c r="B5569" s="27" t="s">
        <v>1449</v>
      </c>
      <c r="D5569" s="27" t="s">
        <v>1450</v>
      </c>
      <c r="F5569" s="27" t="s">
        <v>1453</v>
      </c>
      <c r="H5569" s="27" t="s">
        <v>1454</v>
      </c>
      <c r="N5569" s="27" t="s">
        <v>1359</v>
      </c>
      <c r="P5569" s="27" t="s">
        <v>7077</v>
      </c>
      <c r="Q5569" s="26" t="str">
        <f>HYPERLINK("https://ictv.global/taxonomy/taxondetails?taxnode_id=202506628&amp;ictv_id=ICTV201856628","ICTV201856628")</f>
        <v>ICTV201856628</v>
      </c>
      <c r="R5569" t="s">
        <v>579</v>
      </c>
      <c r="S5569" t="s">
        <v>824</v>
      </c>
      <c r="T5569">
        <v>37</v>
      </c>
      <c r="U5569" s="26" t="str">
        <f t="shared" si="217"/>
        <v>2021.010B.R.Binomial_names.zip</v>
      </c>
    </row>
    <row r="5570" spans="1:21">
      <c r="A5570">
        <v>5569</v>
      </c>
      <c r="B5570" s="27" t="s">
        <v>1449</v>
      </c>
      <c r="D5570" s="27" t="s">
        <v>1450</v>
      </c>
      <c r="F5570" s="27" t="s">
        <v>1453</v>
      </c>
      <c r="H5570" s="27" t="s">
        <v>1454</v>
      </c>
      <c r="N5570" s="27" t="s">
        <v>1359</v>
      </c>
      <c r="P5570" s="27" t="s">
        <v>7078</v>
      </c>
      <c r="Q5570" s="26" t="str">
        <f>HYPERLINK("https://ictv.global/taxonomy/taxondetails?taxnode_id=202506627&amp;ictv_id=ICTV201856627","ICTV201856627")</f>
        <v>ICTV201856627</v>
      </c>
      <c r="R5570" t="s">
        <v>579</v>
      </c>
      <c r="S5570" t="s">
        <v>824</v>
      </c>
      <c r="T5570">
        <v>37</v>
      </c>
      <c r="U5570" s="26" t="str">
        <f t="shared" si="217"/>
        <v>2021.010B.R.Binomial_names.zip</v>
      </c>
    </row>
    <row r="5571" spans="1:21">
      <c r="A5571">
        <v>5570</v>
      </c>
      <c r="B5571" s="27" t="s">
        <v>1449</v>
      </c>
      <c r="D5571" s="27" t="s">
        <v>1450</v>
      </c>
      <c r="F5571" s="27" t="s">
        <v>1453</v>
      </c>
      <c r="H5571" s="27" t="s">
        <v>1454</v>
      </c>
      <c r="N5571" s="27" t="s">
        <v>1360</v>
      </c>
      <c r="P5571" s="27" t="s">
        <v>7079</v>
      </c>
      <c r="Q5571" s="26" t="str">
        <f>HYPERLINK("https://ictv.global/taxonomy/taxondetails?taxnode_id=202506444&amp;ictv_id=ICTV201856444","ICTV201856444")</f>
        <v>ICTV201856444</v>
      </c>
      <c r="R5571" t="s">
        <v>579</v>
      </c>
      <c r="S5571" t="s">
        <v>824</v>
      </c>
      <c r="T5571">
        <v>37</v>
      </c>
      <c r="U5571" s="26" t="str">
        <f t="shared" si="217"/>
        <v>2021.010B.R.Binomial_names.zip</v>
      </c>
    </row>
    <row r="5572" spans="1:21">
      <c r="A5572">
        <v>5571</v>
      </c>
      <c r="B5572" s="27" t="s">
        <v>1449</v>
      </c>
      <c r="D5572" s="27" t="s">
        <v>1450</v>
      </c>
      <c r="F5572" s="27" t="s">
        <v>1453</v>
      </c>
      <c r="H5572" s="27" t="s">
        <v>1454</v>
      </c>
      <c r="N5572" s="27" t="s">
        <v>1361</v>
      </c>
      <c r="P5572" s="27" t="s">
        <v>7080</v>
      </c>
      <c r="Q5572" s="26" t="str">
        <f>HYPERLINK("https://ictv.global/taxonomy/taxondetails?taxnode_id=202506480&amp;ictv_id=ICTV201856480","ICTV201856480")</f>
        <v>ICTV201856480</v>
      </c>
      <c r="R5572" t="s">
        <v>579</v>
      </c>
      <c r="S5572" t="s">
        <v>824</v>
      </c>
      <c r="T5572">
        <v>37</v>
      </c>
      <c r="U5572" s="26" t="str">
        <f t="shared" si="217"/>
        <v>2021.010B.R.Binomial_names.zip</v>
      </c>
    </row>
    <row r="5573" spans="1:21">
      <c r="A5573">
        <v>5572</v>
      </c>
      <c r="B5573" s="27" t="s">
        <v>1449</v>
      </c>
      <c r="D5573" s="27" t="s">
        <v>1450</v>
      </c>
      <c r="F5573" s="27" t="s">
        <v>1453</v>
      </c>
      <c r="H5573" s="27" t="s">
        <v>1454</v>
      </c>
      <c r="N5573" s="27" t="s">
        <v>2144</v>
      </c>
      <c r="P5573" s="27" t="s">
        <v>7081</v>
      </c>
      <c r="Q5573" s="26" t="str">
        <f>HYPERLINK("https://ictv.global/taxonomy/taxondetails?taxnode_id=202511663&amp;ictv_id=ICTV202011663","ICTV202011663")</f>
        <v>ICTV202011663</v>
      </c>
      <c r="R5573" t="s">
        <v>579</v>
      </c>
      <c r="S5573" t="s">
        <v>824</v>
      </c>
      <c r="T5573">
        <v>37</v>
      </c>
      <c r="U5573" s="26" t="str">
        <f t="shared" si="217"/>
        <v>2021.010B.R.Binomial_names.zip</v>
      </c>
    </row>
    <row r="5574" spans="1:21">
      <c r="A5574">
        <v>5573</v>
      </c>
      <c r="B5574" s="27" t="s">
        <v>1449</v>
      </c>
      <c r="D5574" s="27" t="s">
        <v>1450</v>
      </c>
      <c r="F5574" s="27" t="s">
        <v>1453</v>
      </c>
      <c r="H5574" s="27" t="s">
        <v>1454</v>
      </c>
      <c r="N5574" s="27" t="s">
        <v>2144</v>
      </c>
      <c r="P5574" s="27" t="s">
        <v>7082</v>
      </c>
      <c r="Q5574" s="26" t="str">
        <f>HYPERLINK("https://ictv.global/taxonomy/taxondetails?taxnode_id=202511664&amp;ictv_id=ICTV202011664","ICTV202011664")</f>
        <v>ICTV202011664</v>
      </c>
      <c r="R5574" t="s">
        <v>579</v>
      </c>
      <c r="S5574" t="s">
        <v>824</v>
      </c>
      <c r="T5574">
        <v>37</v>
      </c>
      <c r="U5574" s="26" t="str">
        <f t="shared" si="217"/>
        <v>2021.010B.R.Binomial_names.zip</v>
      </c>
    </row>
    <row r="5575" spans="1:21">
      <c r="A5575">
        <v>5574</v>
      </c>
      <c r="B5575" s="27" t="s">
        <v>1449</v>
      </c>
      <c r="D5575" s="27" t="s">
        <v>1450</v>
      </c>
      <c r="F5575" s="27" t="s">
        <v>1453</v>
      </c>
      <c r="H5575" s="27" t="s">
        <v>1454</v>
      </c>
      <c r="N5575" s="27" t="s">
        <v>2144</v>
      </c>
      <c r="P5575" s="27" t="s">
        <v>7083</v>
      </c>
      <c r="Q5575" s="26" t="str">
        <f>HYPERLINK("https://ictv.global/taxonomy/taxondetails?taxnode_id=202511665&amp;ictv_id=ICTV202011665","ICTV202011665")</f>
        <v>ICTV202011665</v>
      </c>
      <c r="R5575" t="s">
        <v>579</v>
      </c>
      <c r="S5575" t="s">
        <v>824</v>
      </c>
      <c r="T5575">
        <v>37</v>
      </c>
      <c r="U5575" s="26" t="str">
        <f t="shared" si="217"/>
        <v>2021.010B.R.Binomial_names.zip</v>
      </c>
    </row>
    <row r="5576" spans="1:21">
      <c r="A5576">
        <v>5575</v>
      </c>
      <c r="B5576" s="27" t="s">
        <v>1449</v>
      </c>
      <c r="D5576" s="27" t="s">
        <v>1450</v>
      </c>
      <c r="F5576" s="27" t="s">
        <v>1453</v>
      </c>
      <c r="H5576" s="27" t="s">
        <v>1454</v>
      </c>
      <c r="N5576" s="27" t="s">
        <v>1363</v>
      </c>
      <c r="P5576" s="27" t="s">
        <v>7084</v>
      </c>
      <c r="Q5576" s="26" t="str">
        <f>HYPERLINK("https://ictv.global/taxonomy/taxondetails?taxnode_id=202506827&amp;ictv_id=ICTV201856827","ICTV201856827")</f>
        <v>ICTV201856827</v>
      </c>
      <c r="R5576" t="s">
        <v>579</v>
      </c>
      <c r="S5576" t="s">
        <v>824</v>
      </c>
      <c r="T5576">
        <v>37</v>
      </c>
      <c r="U5576" s="26" t="str">
        <f t="shared" si="217"/>
        <v>2021.010B.R.Binomial_names.zip</v>
      </c>
    </row>
    <row r="5577" spans="1:21">
      <c r="A5577">
        <v>5576</v>
      </c>
      <c r="B5577" s="27" t="s">
        <v>1449</v>
      </c>
      <c r="D5577" s="27" t="s">
        <v>1450</v>
      </c>
      <c r="F5577" s="27" t="s">
        <v>1453</v>
      </c>
      <c r="H5577" s="27" t="s">
        <v>1454</v>
      </c>
      <c r="N5577" s="27" t="s">
        <v>1363</v>
      </c>
      <c r="P5577" s="27" t="s">
        <v>7085</v>
      </c>
      <c r="Q5577" s="26" t="str">
        <f>HYPERLINK("https://ictv.global/taxonomy/taxondetails?taxnode_id=202506826&amp;ictv_id=ICTV201856826","ICTV201856826")</f>
        <v>ICTV201856826</v>
      </c>
      <c r="R5577" t="s">
        <v>579</v>
      </c>
      <c r="S5577" t="s">
        <v>824</v>
      </c>
      <c r="T5577">
        <v>37</v>
      </c>
      <c r="U5577" s="26" t="str">
        <f t="shared" si="217"/>
        <v>2021.010B.R.Binomial_names.zip</v>
      </c>
    </row>
    <row r="5578" spans="1:21">
      <c r="A5578">
        <v>5577</v>
      </c>
      <c r="B5578" s="27" t="s">
        <v>1449</v>
      </c>
      <c r="D5578" s="27" t="s">
        <v>1450</v>
      </c>
      <c r="F5578" s="27" t="s">
        <v>1453</v>
      </c>
      <c r="H5578" s="27" t="s">
        <v>1454</v>
      </c>
      <c r="N5578" s="27" t="s">
        <v>1364</v>
      </c>
      <c r="P5578" s="27" t="s">
        <v>7086</v>
      </c>
      <c r="Q5578" s="26" t="str">
        <f>HYPERLINK("https://ictv.global/taxonomy/taxondetails?taxnode_id=202506635&amp;ictv_id=ICTV201856635","ICTV201856635")</f>
        <v>ICTV201856635</v>
      </c>
      <c r="R5578" t="s">
        <v>579</v>
      </c>
      <c r="S5578" t="s">
        <v>824</v>
      </c>
      <c r="T5578">
        <v>37</v>
      </c>
      <c r="U5578" s="26" t="str">
        <f t="shared" si="217"/>
        <v>2021.010B.R.Binomial_names.zip</v>
      </c>
    </row>
    <row r="5579" spans="1:21">
      <c r="A5579">
        <v>5578</v>
      </c>
      <c r="B5579" s="27" t="s">
        <v>1449</v>
      </c>
      <c r="D5579" s="27" t="s">
        <v>1450</v>
      </c>
      <c r="F5579" s="27" t="s">
        <v>1453</v>
      </c>
      <c r="H5579" s="27" t="s">
        <v>1454</v>
      </c>
      <c r="N5579" s="27" t="s">
        <v>776</v>
      </c>
      <c r="P5579" s="27" t="s">
        <v>7087</v>
      </c>
      <c r="Q5579" s="26" t="str">
        <f>HYPERLINK("https://ictv.global/taxonomy/taxondetails?taxnode_id=202500974&amp;ictv_id=ICTV20164989","ICTV20164989")</f>
        <v>ICTV20164989</v>
      </c>
      <c r="R5579" t="s">
        <v>579</v>
      </c>
      <c r="S5579" t="s">
        <v>824</v>
      </c>
      <c r="T5579">
        <v>37</v>
      </c>
      <c r="U5579" s="26" t="str">
        <f t="shared" si="217"/>
        <v>2021.010B.R.Binomial_names.zip</v>
      </c>
    </row>
    <row r="5580" spans="1:21">
      <c r="A5580">
        <v>5579</v>
      </c>
      <c r="B5580" s="27" t="s">
        <v>1449</v>
      </c>
      <c r="D5580" s="27" t="s">
        <v>1450</v>
      </c>
      <c r="F5580" s="27" t="s">
        <v>1453</v>
      </c>
      <c r="H5580" s="27" t="s">
        <v>1454</v>
      </c>
      <c r="N5580" s="27" t="s">
        <v>776</v>
      </c>
      <c r="P5580" s="27" t="s">
        <v>21470</v>
      </c>
      <c r="Q5580" s="26" t="str">
        <f>HYPERLINK("https://ictv.global/taxonomy/taxondetails?taxnode_id=202522341&amp;ictv_id=ICTV202522341","ICTV202522341")</f>
        <v>ICTV202522341</v>
      </c>
      <c r="R5580" t="s">
        <v>579</v>
      </c>
      <c r="S5580" t="s">
        <v>823</v>
      </c>
      <c r="T5580">
        <v>41</v>
      </c>
      <c r="U5580" s="26" t="str">
        <f>HYPERLINK("https://ictv.global/ictv/proposals/2025.008B.Caudoviricetes_11ns.zip","2025.008B.Caudoviricetes_11ns.zip")</f>
        <v>2025.008B.Caudoviricetes_11ns.zip</v>
      </c>
    </row>
    <row r="5581" spans="1:21">
      <c r="A5581">
        <v>5580</v>
      </c>
      <c r="B5581" s="27" t="s">
        <v>1449</v>
      </c>
      <c r="D5581" s="27" t="s">
        <v>1450</v>
      </c>
      <c r="F5581" s="27" t="s">
        <v>1453</v>
      </c>
      <c r="H5581" s="27" t="s">
        <v>1454</v>
      </c>
      <c r="N5581" s="27" t="s">
        <v>12129</v>
      </c>
      <c r="P5581" s="27" t="s">
        <v>12130</v>
      </c>
      <c r="Q5581" s="26" t="str">
        <f>HYPERLINK("https://ictv.global/taxonomy/taxondetails?taxnode_id=202517757&amp;ictv_id=ICTV202317757","ICTV202317757")</f>
        <v>ICTV202317757</v>
      </c>
      <c r="R5581" t="s">
        <v>579</v>
      </c>
      <c r="S5581" t="s">
        <v>823</v>
      </c>
      <c r="T5581">
        <v>39</v>
      </c>
      <c r="U5581" s="26" t="str">
        <f>HYPERLINK("https://ictv.global/ictv/proposals/2023.003B.Actinobacteriophage_singletons_25ng.zip","2023.003B.Actinobacteriophage_singletons_25ng.zip")</f>
        <v>2023.003B.Actinobacteriophage_singletons_25ng.zip</v>
      </c>
    </row>
    <row r="5582" spans="1:21">
      <c r="A5582">
        <v>5581</v>
      </c>
      <c r="B5582" s="27" t="s">
        <v>1449</v>
      </c>
      <c r="D5582" s="27" t="s">
        <v>1450</v>
      </c>
      <c r="F5582" s="27" t="s">
        <v>1453</v>
      </c>
      <c r="H5582" s="27" t="s">
        <v>1454</v>
      </c>
      <c r="N5582" s="27" t="s">
        <v>1754</v>
      </c>
      <c r="P5582" s="27" t="s">
        <v>7088</v>
      </c>
      <c r="Q5582" s="26" t="str">
        <f>HYPERLINK("https://ictv.global/taxonomy/taxondetails?taxnode_id=202507308&amp;ictv_id=ICTV201907308","ICTV201907308")</f>
        <v>ICTV201907308</v>
      </c>
      <c r="R5582" t="s">
        <v>579</v>
      </c>
      <c r="S5582" t="s">
        <v>824</v>
      </c>
      <c r="T5582">
        <v>37</v>
      </c>
      <c r="U5582" s="26" t="str">
        <f>HYPERLINK("https://ictv.global/ictv/proposals/2021.010B.R.Binomial_names.zip","2021.010B.R.Binomial_names.zip")</f>
        <v>2021.010B.R.Binomial_names.zip</v>
      </c>
    </row>
    <row r="5583" spans="1:21">
      <c r="A5583">
        <v>5582</v>
      </c>
      <c r="B5583" s="27" t="s">
        <v>1449</v>
      </c>
      <c r="D5583" s="27" t="s">
        <v>1450</v>
      </c>
      <c r="F5583" s="27" t="s">
        <v>1453</v>
      </c>
      <c r="H5583" s="27" t="s">
        <v>1454</v>
      </c>
      <c r="N5583" s="27" t="s">
        <v>7089</v>
      </c>
      <c r="P5583" s="27" t="s">
        <v>7090</v>
      </c>
      <c r="Q5583" s="26" t="str">
        <f>HYPERLINK("https://ictv.global/taxonomy/taxondetails?taxnode_id=202514972&amp;ictv_id=ICTV202214972","ICTV202214972")</f>
        <v>ICTV202214972</v>
      </c>
      <c r="R5583" t="s">
        <v>579</v>
      </c>
      <c r="S5583" t="s">
        <v>823</v>
      </c>
      <c r="T5583">
        <v>38</v>
      </c>
      <c r="U5583" s="26" t="str">
        <f>HYPERLINK("https://ictv.global/ictv/proposals/2022.092B.Caudoviricetes_3ng_gordonia.zip","2022.092B.Caudoviricetes_3ng_gordonia.zip")</f>
        <v>2022.092B.Caudoviricetes_3ng_gordonia.zip</v>
      </c>
    </row>
    <row r="5584" spans="1:21">
      <c r="A5584">
        <v>5583</v>
      </c>
      <c r="B5584" s="27" t="s">
        <v>1449</v>
      </c>
      <c r="D5584" s="27" t="s">
        <v>1450</v>
      </c>
      <c r="F5584" s="27" t="s">
        <v>1453</v>
      </c>
      <c r="H5584" s="27" t="s">
        <v>1454</v>
      </c>
      <c r="N5584" s="27" t="s">
        <v>7091</v>
      </c>
      <c r="P5584" s="27" t="s">
        <v>7092</v>
      </c>
      <c r="Q5584" s="26" t="str">
        <f>HYPERLINK("https://ictv.global/taxonomy/taxondetails?taxnode_id=202513602&amp;ictv_id=ICTV202113602","ICTV202113602")</f>
        <v>ICTV202113602</v>
      </c>
      <c r="R5584" t="s">
        <v>579</v>
      </c>
      <c r="S5584" t="s">
        <v>823</v>
      </c>
      <c r="T5584">
        <v>37</v>
      </c>
      <c r="U5584" s="26" t="str">
        <f t="shared" ref="U5584:U5593" si="218">HYPERLINK("https://ictv.global/ictv/proposals/2021.033B.R.Gladiatorvirus.zip","2021.033B.R.Gladiatorvirus.zip")</f>
        <v>2021.033B.R.Gladiatorvirus.zip</v>
      </c>
    </row>
    <row r="5585" spans="1:21">
      <c r="A5585">
        <v>5584</v>
      </c>
      <c r="B5585" s="27" t="s">
        <v>1449</v>
      </c>
      <c r="D5585" s="27" t="s">
        <v>1450</v>
      </c>
      <c r="F5585" s="27" t="s">
        <v>1453</v>
      </c>
      <c r="H5585" s="27" t="s">
        <v>1454</v>
      </c>
      <c r="N5585" s="27" t="s">
        <v>7091</v>
      </c>
      <c r="P5585" s="27" t="s">
        <v>7093</v>
      </c>
      <c r="Q5585" s="26" t="str">
        <f>HYPERLINK("https://ictv.global/taxonomy/taxondetails?taxnode_id=202512254&amp;ictv_id=ICTV202112254","ICTV202112254")</f>
        <v>ICTV202112254</v>
      </c>
      <c r="R5585" t="s">
        <v>579</v>
      </c>
      <c r="S5585" t="s">
        <v>823</v>
      </c>
      <c r="T5585">
        <v>37</v>
      </c>
      <c r="U5585" s="26" t="str">
        <f t="shared" si="218"/>
        <v>2021.033B.R.Gladiatorvirus.zip</v>
      </c>
    </row>
    <row r="5586" spans="1:21">
      <c r="A5586">
        <v>5585</v>
      </c>
      <c r="B5586" s="27" t="s">
        <v>1449</v>
      </c>
      <c r="D5586" s="27" t="s">
        <v>1450</v>
      </c>
      <c r="F5586" s="27" t="s">
        <v>1453</v>
      </c>
      <c r="H5586" s="27" t="s">
        <v>1454</v>
      </c>
      <c r="N5586" s="27" t="s">
        <v>7091</v>
      </c>
      <c r="P5586" s="27" t="s">
        <v>7094</v>
      </c>
      <c r="Q5586" s="26" t="str">
        <f>HYPERLINK("https://ictv.global/taxonomy/taxondetails?taxnode_id=202501024&amp;ictv_id=ICTV20140329","ICTV20140329")</f>
        <v>ICTV20140329</v>
      </c>
      <c r="R5586" t="s">
        <v>579</v>
      </c>
      <c r="S5586" t="s">
        <v>22764</v>
      </c>
      <c r="T5586">
        <v>37</v>
      </c>
      <c r="U5586" s="26" t="str">
        <f t="shared" si="218"/>
        <v>2021.033B.R.Gladiatorvirus.zip</v>
      </c>
    </row>
    <row r="5587" spans="1:21">
      <c r="A5587">
        <v>5586</v>
      </c>
      <c r="B5587" s="27" t="s">
        <v>1449</v>
      </c>
      <c r="D5587" s="27" t="s">
        <v>1450</v>
      </c>
      <c r="F5587" s="27" t="s">
        <v>1453</v>
      </c>
      <c r="H5587" s="27" t="s">
        <v>1454</v>
      </c>
      <c r="N5587" s="27" t="s">
        <v>7091</v>
      </c>
      <c r="P5587" s="27" t="s">
        <v>7095</v>
      </c>
      <c r="Q5587" s="26" t="str">
        <f>HYPERLINK("https://ictv.global/taxonomy/taxondetails?taxnode_id=202501027&amp;ictv_id=ICTV20140331","ICTV20140331")</f>
        <v>ICTV20140331</v>
      </c>
      <c r="R5587" t="s">
        <v>579</v>
      </c>
      <c r="S5587" t="s">
        <v>22764</v>
      </c>
      <c r="T5587">
        <v>37</v>
      </c>
      <c r="U5587" s="26" t="str">
        <f t="shared" si="218"/>
        <v>2021.033B.R.Gladiatorvirus.zip</v>
      </c>
    </row>
    <row r="5588" spans="1:21">
      <c r="A5588">
        <v>5587</v>
      </c>
      <c r="B5588" s="27" t="s">
        <v>1449</v>
      </c>
      <c r="D5588" s="27" t="s">
        <v>1450</v>
      </c>
      <c r="F5588" s="27" t="s">
        <v>1453</v>
      </c>
      <c r="H5588" s="27" t="s">
        <v>1454</v>
      </c>
      <c r="N5588" s="27" t="s">
        <v>7091</v>
      </c>
      <c r="P5588" s="27" t="s">
        <v>7096</v>
      </c>
      <c r="Q5588" s="26" t="str">
        <f>HYPERLINK("https://ictv.global/taxonomy/taxondetails?taxnode_id=202501029&amp;ictv_id=ICTV20140330","ICTV20140330")</f>
        <v>ICTV20140330</v>
      </c>
      <c r="R5588" t="s">
        <v>579</v>
      </c>
      <c r="S5588" t="s">
        <v>22764</v>
      </c>
      <c r="T5588">
        <v>37</v>
      </c>
      <c r="U5588" s="26" t="str">
        <f t="shared" si="218"/>
        <v>2021.033B.R.Gladiatorvirus.zip</v>
      </c>
    </row>
    <row r="5589" spans="1:21">
      <c r="A5589">
        <v>5588</v>
      </c>
      <c r="B5589" s="27" t="s">
        <v>1449</v>
      </c>
      <c r="D5589" s="27" t="s">
        <v>1450</v>
      </c>
      <c r="F5589" s="27" t="s">
        <v>1453</v>
      </c>
      <c r="H5589" s="27" t="s">
        <v>1454</v>
      </c>
      <c r="N5589" s="27" t="s">
        <v>7091</v>
      </c>
      <c r="P5589" s="27" t="s">
        <v>7097</v>
      </c>
      <c r="Q5589" s="26" t="str">
        <f>HYPERLINK("https://ictv.global/taxonomy/taxondetails?taxnode_id=202501033&amp;ictv_id=ICTV20140332","ICTV20140332")</f>
        <v>ICTV20140332</v>
      </c>
      <c r="R5589" t="s">
        <v>579</v>
      </c>
      <c r="S5589" t="s">
        <v>22764</v>
      </c>
      <c r="T5589">
        <v>37</v>
      </c>
      <c r="U5589" s="26" t="str">
        <f t="shared" si="218"/>
        <v>2021.033B.R.Gladiatorvirus.zip</v>
      </c>
    </row>
    <row r="5590" spans="1:21">
      <c r="A5590">
        <v>5589</v>
      </c>
      <c r="B5590" s="27" t="s">
        <v>1449</v>
      </c>
      <c r="D5590" s="27" t="s">
        <v>1450</v>
      </c>
      <c r="F5590" s="27" t="s">
        <v>1453</v>
      </c>
      <c r="H5590" s="27" t="s">
        <v>1454</v>
      </c>
      <c r="N5590" s="27" t="s">
        <v>7091</v>
      </c>
      <c r="P5590" s="27" t="s">
        <v>7098</v>
      </c>
      <c r="Q5590" s="26" t="str">
        <f>HYPERLINK("https://ictv.global/taxonomy/taxondetails?taxnode_id=202513604&amp;ictv_id=ICTV202113604","ICTV202113604")</f>
        <v>ICTV202113604</v>
      </c>
      <c r="R5590" t="s">
        <v>579</v>
      </c>
      <c r="S5590" t="s">
        <v>823</v>
      </c>
      <c r="T5590">
        <v>37</v>
      </c>
      <c r="U5590" s="26" t="str">
        <f t="shared" si="218"/>
        <v>2021.033B.R.Gladiatorvirus.zip</v>
      </c>
    </row>
    <row r="5591" spans="1:21">
      <c r="A5591">
        <v>5590</v>
      </c>
      <c r="B5591" s="27" t="s">
        <v>1449</v>
      </c>
      <c r="D5591" s="27" t="s">
        <v>1450</v>
      </c>
      <c r="F5591" s="27" t="s">
        <v>1453</v>
      </c>
      <c r="H5591" s="27" t="s">
        <v>1454</v>
      </c>
      <c r="N5591" s="27" t="s">
        <v>7091</v>
      </c>
      <c r="P5591" s="27" t="s">
        <v>7099</v>
      </c>
      <c r="Q5591" s="26" t="str">
        <f>HYPERLINK("https://ictv.global/taxonomy/taxondetails?taxnode_id=202512253&amp;ictv_id=ICTV202112253","ICTV202112253")</f>
        <v>ICTV202112253</v>
      </c>
      <c r="R5591" t="s">
        <v>579</v>
      </c>
      <c r="S5591" t="s">
        <v>823</v>
      </c>
      <c r="T5591">
        <v>37</v>
      </c>
      <c r="U5591" s="26" t="str">
        <f t="shared" si="218"/>
        <v>2021.033B.R.Gladiatorvirus.zip</v>
      </c>
    </row>
    <row r="5592" spans="1:21">
      <c r="A5592">
        <v>5591</v>
      </c>
      <c r="B5592" s="27" t="s">
        <v>1449</v>
      </c>
      <c r="D5592" s="27" t="s">
        <v>1450</v>
      </c>
      <c r="F5592" s="27" t="s">
        <v>1453</v>
      </c>
      <c r="H5592" s="27" t="s">
        <v>1454</v>
      </c>
      <c r="N5592" s="27" t="s">
        <v>7091</v>
      </c>
      <c r="P5592" s="27" t="s">
        <v>7100</v>
      </c>
      <c r="Q5592" s="26" t="str">
        <f>HYPERLINK("https://ictv.global/taxonomy/taxondetails?taxnode_id=202512252&amp;ictv_id=ICTV202112252","ICTV202112252")</f>
        <v>ICTV202112252</v>
      </c>
      <c r="R5592" t="s">
        <v>579</v>
      </c>
      <c r="S5592" t="s">
        <v>823</v>
      </c>
      <c r="T5592">
        <v>37</v>
      </c>
      <c r="U5592" s="26" t="str">
        <f t="shared" si="218"/>
        <v>2021.033B.R.Gladiatorvirus.zip</v>
      </c>
    </row>
    <row r="5593" spans="1:21">
      <c r="A5593">
        <v>5592</v>
      </c>
      <c r="B5593" s="27" t="s">
        <v>1449</v>
      </c>
      <c r="D5593" s="27" t="s">
        <v>1450</v>
      </c>
      <c r="F5593" s="27" t="s">
        <v>1453</v>
      </c>
      <c r="H5593" s="27" t="s">
        <v>1454</v>
      </c>
      <c r="N5593" s="27" t="s">
        <v>7091</v>
      </c>
      <c r="P5593" s="27" t="s">
        <v>7101</v>
      </c>
      <c r="Q5593" s="26" t="str">
        <f>HYPERLINK("https://ictv.global/taxonomy/taxondetails?taxnode_id=202513603&amp;ictv_id=ICTV202113603","ICTV202113603")</f>
        <v>ICTV202113603</v>
      </c>
      <c r="R5593" t="s">
        <v>579</v>
      </c>
      <c r="S5593" t="s">
        <v>823</v>
      </c>
      <c r="T5593">
        <v>37</v>
      </c>
      <c r="U5593" s="26" t="str">
        <f t="shared" si="218"/>
        <v>2021.033B.R.Gladiatorvirus.zip</v>
      </c>
    </row>
    <row r="5594" spans="1:21">
      <c r="A5594">
        <v>5593</v>
      </c>
      <c r="B5594" s="27" t="s">
        <v>1449</v>
      </c>
      <c r="D5594" s="27" t="s">
        <v>1450</v>
      </c>
      <c r="F5594" s="27" t="s">
        <v>1453</v>
      </c>
      <c r="H5594" s="27" t="s">
        <v>1454</v>
      </c>
      <c r="N5594" s="27" t="s">
        <v>1755</v>
      </c>
      <c r="P5594" s="27" t="s">
        <v>7103</v>
      </c>
      <c r="Q5594" s="26" t="str">
        <f>HYPERLINK("https://ictv.global/taxonomy/taxondetails?taxnode_id=202507287&amp;ictv_id=ICTV201907287","ICTV201907287")</f>
        <v>ICTV201907287</v>
      </c>
      <c r="R5594" t="s">
        <v>579</v>
      </c>
      <c r="S5594" t="s">
        <v>824</v>
      </c>
      <c r="T5594">
        <v>37</v>
      </c>
      <c r="U5594" s="26" t="str">
        <f>HYPERLINK("https://ictv.global/ictv/proposals/2021.010B.R.Binomial_names.zip","2021.010B.R.Binomial_names.zip")</f>
        <v>2021.010B.R.Binomial_names.zip</v>
      </c>
    </row>
    <row r="5595" spans="1:21">
      <c r="A5595">
        <v>5594</v>
      </c>
      <c r="B5595" s="27" t="s">
        <v>1449</v>
      </c>
      <c r="D5595" s="27" t="s">
        <v>1450</v>
      </c>
      <c r="F5595" s="27" t="s">
        <v>1453</v>
      </c>
      <c r="H5595" s="27" t="s">
        <v>1454</v>
      </c>
      <c r="N5595" s="27" t="s">
        <v>1755</v>
      </c>
      <c r="P5595" s="27" t="s">
        <v>7104</v>
      </c>
      <c r="Q5595" s="26" t="str">
        <f>HYPERLINK("https://ictv.global/taxonomy/taxondetails?taxnode_id=202514969&amp;ictv_id=ICTV202214969","ICTV202214969")</f>
        <v>ICTV202214969</v>
      </c>
      <c r="R5595" t="s">
        <v>579</v>
      </c>
      <c r="S5595" t="s">
        <v>823</v>
      </c>
      <c r="T5595">
        <v>38</v>
      </c>
      <c r="U5595" s="26" t="str">
        <f>HYPERLINK("https://ictv.global/ictv/proposals/2022.092B.Caudoviricetes_3ng_gordonia.zip","2022.092B.Caudoviricetes_3ng_gordonia.zip")</f>
        <v>2022.092B.Caudoviricetes_3ng_gordonia.zip</v>
      </c>
    </row>
    <row r="5596" spans="1:21">
      <c r="A5596">
        <v>5595</v>
      </c>
      <c r="B5596" s="27" t="s">
        <v>1449</v>
      </c>
      <c r="D5596" s="27" t="s">
        <v>1450</v>
      </c>
      <c r="F5596" s="27" t="s">
        <v>1453</v>
      </c>
      <c r="H5596" s="27" t="s">
        <v>1454</v>
      </c>
      <c r="N5596" s="27" t="s">
        <v>1235</v>
      </c>
      <c r="P5596" s="27" t="s">
        <v>7105</v>
      </c>
      <c r="Q5596" s="26" t="str">
        <f>HYPERLINK("https://ictv.global/taxonomy/taxondetails?taxnode_id=202512255&amp;ictv_id=ICTV202112255","ICTV202112255")</f>
        <v>ICTV202112255</v>
      </c>
      <c r="R5596" t="s">
        <v>579</v>
      </c>
      <c r="S5596" t="s">
        <v>823</v>
      </c>
      <c r="T5596">
        <v>37</v>
      </c>
      <c r="U5596" s="26" t="str">
        <f>HYPERLINK("https://ictv.global/ictv/proposals/2021.034B.R.Gofduovirus_new_species.zip","2021.034B.R.Gofduovirus_new_species.zip")</f>
        <v>2021.034B.R.Gofduovirus_new_species.zip</v>
      </c>
    </row>
    <row r="5597" spans="1:21">
      <c r="A5597">
        <v>5596</v>
      </c>
      <c r="B5597" s="27" t="s">
        <v>1449</v>
      </c>
      <c r="D5597" s="27" t="s">
        <v>1450</v>
      </c>
      <c r="F5597" s="27" t="s">
        <v>1453</v>
      </c>
      <c r="H5597" s="27" t="s">
        <v>1454</v>
      </c>
      <c r="N5597" s="27" t="s">
        <v>1235</v>
      </c>
      <c r="P5597" s="27" t="s">
        <v>7106</v>
      </c>
      <c r="Q5597" s="26" t="str">
        <f>HYPERLINK("https://ictv.global/taxonomy/taxondetails?taxnode_id=202506769&amp;ictv_id=ICTV201856769","ICTV201856769")</f>
        <v>ICTV201856769</v>
      </c>
      <c r="R5597" t="s">
        <v>579</v>
      </c>
      <c r="S5597" t="s">
        <v>824</v>
      </c>
      <c r="T5597">
        <v>37</v>
      </c>
      <c r="U5597" s="26" t="str">
        <f>HYPERLINK("https://ictv.global/ictv/proposals/2021.010B.R.Binomial_names.zip","2021.010B.R.Binomial_names.zip")</f>
        <v>2021.010B.R.Binomial_names.zip</v>
      </c>
    </row>
    <row r="5598" spans="1:21">
      <c r="A5598">
        <v>5597</v>
      </c>
      <c r="B5598" s="27" t="s">
        <v>1449</v>
      </c>
      <c r="D5598" s="27" t="s">
        <v>1450</v>
      </c>
      <c r="F5598" s="27" t="s">
        <v>1453</v>
      </c>
      <c r="H5598" s="27" t="s">
        <v>1454</v>
      </c>
      <c r="N5598" s="27" t="s">
        <v>1756</v>
      </c>
      <c r="P5598" s="27" t="s">
        <v>7107</v>
      </c>
      <c r="Q5598" s="26" t="str">
        <f>HYPERLINK("https://ictv.global/taxonomy/taxondetails?taxnode_id=202507361&amp;ictv_id=ICTV201907361","ICTV201907361")</f>
        <v>ICTV201907361</v>
      </c>
      <c r="R5598" t="s">
        <v>579</v>
      </c>
      <c r="S5598" t="s">
        <v>824</v>
      </c>
      <c r="T5598">
        <v>37</v>
      </c>
      <c r="U5598" s="26" t="str">
        <f>HYPERLINK("https://ictv.global/ictv/proposals/2021.010B.R.Binomial_names.zip","2021.010B.R.Binomial_names.zip")</f>
        <v>2021.010B.R.Binomial_names.zip</v>
      </c>
    </row>
    <row r="5599" spans="1:21">
      <c r="A5599">
        <v>5598</v>
      </c>
      <c r="B5599" s="27" t="s">
        <v>1449</v>
      </c>
      <c r="D5599" s="27" t="s">
        <v>1450</v>
      </c>
      <c r="F5599" s="27" t="s">
        <v>1453</v>
      </c>
      <c r="H5599" s="27" t="s">
        <v>1454</v>
      </c>
      <c r="N5599" s="27" t="s">
        <v>777</v>
      </c>
      <c r="P5599" s="27" t="s">
        <v>12131</v>
      </c>
      <c r="Q5599" s="26" t="str">
        <f>HYPERLINK("https://ictv.global/taxonomy/taxondetails?taxnode_id=202518982&amp;ictv_id=ICTV202318982","ICTV202318982")</f>
        <v>ICTV202318982</v>
      </c>
      <c r="R5599" t="s">
        <v>579</v>
      </c>
      <c r="S5599" t="s">
        <v>823</v>
      </c>
      <c r="T5599">
        <v>39</v>
      </c>
      <c r="U5599" s="26" t="str">
        <f>HYPERLINK("https://ictv.global/ictv/proposals/2023.026B.Gordonvirus_11ns.zip","2023.026B.Gordonvirus_11ns.zip")</f>
        <v>2023.026B.Gordonvirus_11ns.zip</v>
      </c>
    </row>
    <row r="5600" spans="1:21">
      <c r="A5600">
        <v>5599</v>
      </c>
      <c r="B5600" s="27" t="s">
        <v>1449</v>
      </c>
      <c r="D5600" s="27" t="s">
        <v>1450</v>
      </c>
      <c r="F5600" s="27" t="s">
        <v>1453</v>
      </c>
      <c r="H5600" s="27" t="s">
        <v>1454</v>
      </c>
      <c r="N5600" s="27" t="s">
        <v>777</v>
      </c>
      <c r="P5600" s="27" t="s">
        <v>7108</v>
      </c>
      <c r="Q5600" s="26" t="str">
        <f>HYPERLINK("https://ictv.global/taxonomy/taxondetails?taxnode_id=202500976&amp;ictv_id=ICTV20164990","ICTV20164990")</f>
        <v>ICTV20164990</v>
      </c>
      <c r="R5600" t="s">
        <v>579</v>
      </c>
      <c r="S5600" t="s">
        <v>824</v>
      </c>
      <c r="T5600">
        <v>37</v>
      </c>
      <c r="U5600" s="26" t="str">
        <f>HYPERLINK("https://ictv.global/ictv/proposals/2021.010B.R.Binomial_names.zip","2021.010B.R.Binomial_names.zip")</f>
        <v>2021.010B.R.Binomial_names.zip</v>
      </c>
    </row>
    <row r="5601" spans="1:21">
      <c r="A5601">
        <v>5600</v>
      </c>
      <c r="B5601" s="27" t="s">
        <v>1449</v>
      </c>
      <c r="D5601" s="27" t="s">
        <v>1450</v>
      </c>
      <c r="F5601" s="27" t="s">
        <v>1453</v>
      </c>
      <c r="H5601" s="27" t="s">
        <v>1454</v>
      </c>
      <c r="N5601" s="27" t="s">
        <v>777</v>
      </c>
      <c r="P5601" s="27" t="s">
        <v>12132</v>
      </c>
      <c r="Q5601" s="26" t="str">
        <f>HYPERLINK("https://ictv.global/taxonomy/taxondetails?taxnode_id=202518984&amp;ictv_id=ICTV202318984","ICTV202318984")</f>
        <v>ICTV202318984</v>
      </c>
      <c r="R5601" t="s">
        <v>579</v>
      </c>
      <c r="S5601" t="s">
        <v>823</v>
      </c>
      <c r="T5601">
        <v>39</v>
      </c>
      <c r="U5601" s="26" t="str">
        <f>HYPERLINK("https://ictv.global/ictv/proposals/2023.026B.Gordonvirus_11ns.zip","2023.026B.Gordonvirus_11ns.zip")</f>
        <v>2023.026B.Gordonvirus_11ns.zip</v>
      </c>
    </row>
    <row r="5602" spans="1:21">
      <c r="A5602">
        <v>5601</v>
      </c>
      <c r="B5602" s="27" t="s">
        <v>1449</v>
      </c>
      <c r="D5602" s="27" t="s">
        <v>1450</v>
      </c>
      <c r="F5602" s="27" t="s">
        <v>1453</v>
      </c>
      <c r="H5602" s="27" t="s">
        <v>1454</v>
      </c>
      <c r="N5602" s="27" t="s">
        <v>777</v>
      </c>
      <c r="P5602" s="27" t="s">
        <v>12133</v>
      </c>
      <c r="Q5602" s="26" t="str">
        <f>HYPERLINK("https://ictv.global/taxonomy/taxondetails?taxnode_id=202518987&amp;ictv_id=ICTV202318987","ICTV202318987")</f>
        <v>ICTV202318987</v>
      </c>
      <c r="R5602" t="s">
        <v>579</v>
      </c>
      <c r="S5602" t="s">
        <v>823</v>
      </c>
      <c r="T5602">
        <v>39</v>
      </c>
      <c r="U5602" s="26" t="str">
        <f>HYPERLINK("https://ictv.global/ictv/proposals/2023.026B.Gordonvirus_11ns.zip","2023.026B.Gordonvirus_11ns.zip")</f>
        <v>2023.026B.Gordonvirus_11ns.zip</v>
      </c>
    </row>
    <row r="5603" spans="1:21">
      <c r="A5603">
        <v>5602</v>
      </c>
      <c r="B5603" s="27" t="s">
        <v>1449</v>
      </c>
      <c r="D5603" s="27" t="s">
        <v>1450</v>
      </c>
      <c r="F5603" s="27" t="s">
        <v>1453</v>
      </c>
      <c r="H5603" s="27" t="s">
        <v>1454</v>
      </c>
      <c r="N5603" s="27" t="s">
        <v>777</v>
      </c>
      <c r="P5603" s="27" t="s">
        <v>12134</v>
      </c>
      <c r="Q5603" s="26" t="str">
        <f>HYPERLINK("https://ictv.global/taxonomy/taxondetails?taxnode_id=202518988&amp;ictv_id=ICTV202318988","ICTV202318988")</f>
        <v>ICTV202318988</v>
      </c>
      <c r="R5603" t="s">
        <v>579</v>
      </c>
      <c r="S5603" t="s">
        <v>823</v>
      </c>
      <c r="T5603">
        <v>39</v>
      </c>
      <c r="U5603" s="26" t="str">
        <f>HYPERLINK("https://ictv.global/ictv/proposals/2023.026B.Gordonvirus_11ns.zip","2023.026B.Gordonvirus_11ns.zip")</f>
        <v>2023.026B.Gordonvirus_11ns.zip</v>
      </c>
    </row>
    <row r="5604" spans="1:21">
      <c r="A5604">
        <v>5603</v>
      </c>
      <c r="B5604" s="27" t="s">
        <v>1449</v>
      </c>
      <c r="D5604" s="27" t="s">
        <v>1450</v>
      </c>
      <c r="F5604" s="27" t="s">
        <v>1453</v>
      </c>
      <c r="H5604" s="27" t="s">
        <v>1454</v>
      </c>
      <c r="N5604" s="27" t="s">
        <v>777</v>
      </c>
      <c r="P5604" s="27" t="s">
        <v>7109</v>
      </c>
      <c r="Q5604" s="26" t="str">
        <f>HYPERLINK("https://ictv.global/taxonomy/taxondetails?taxnode_id=202500977&amp;ictv_id=ICTV20164991","ICTV20164991")</f>
        <v>ICTV20164991</v>
      </c>
      <c r="R5604" t="s">
        <v>579</v>
      </c>
      <c r="S5604" t="s">
        <v>824</v>
      </c>
      <c r="T5604">
        <v>37</v>
      </c>
      <c r="U5604" s="26" t="str">
        <f>HYPERLINK("https://ictv.global/ictv/proposals/2021.010B.R.Binomial_names.zip","2021.010B.R.Binomial_names.zip")</f>
        <v>2021.010B.R.Binomial_names.zip</v>
      </c>
    </row>
    <row r="5605" spans="1:21">
      <c r="A5605">
        <v>5604</v>
      </c>
      <c r="B5605" s="27" t="s">
        <v>1449</v>
      </c>
      <c r="D5605" s="27" t="s">
        <v>1450</v>
      </c>
      <c r="F5605" s="27" t="s">
        <v>1453</v>
      </c>
      <c r="H5605" s="27" t="s">
        <v>1454</v>
      </c>
      <c r="N5605" s="27" t="s">
        <v>777</v>
      </c>
      <c r="P5605" s="27" t="s">
        <v>12135</v>
      </c>
      <c r="Q5605" s="26" t="str">
        <f>HYPERLINK("https://ictv.global/taxonomy/taxondetails?taxnode_id=202518981&amp;ictv_id=ICTV202318981","ICTV202318981")</f>
        <v>ICTV202318981</v>
      </c>
      <c r="R5605" t="s">
        <v>579</v>
      </c>
      <c r="S5605" t="s">
        <v>823</v>
      </c>
      <c r="T5605">
        <v>39</v>
      </c>
      <c r="U5605" s="26" t="str">
        <f t="shared" ref="U5605:U5611" si="219">HYPERLINK("https://ictv.global/ictv/proposals/2023.026B.Gordonvirus_11ns.zip","2023.026B.Gordonvirus_11ns.zip")</f>
        <v>2023.026B.Gordonvirus_11ns.zip</v>
      </c>
    </row>
    <row r="5606" spans="1:21">
      <c r="A5606">
        <v>5605</v>
      </c>
      <c r="B5606" s="27" t="s">
        <v>1449</v>
      </c>
      <c r="D5606" s="27" t="s">
        <v>1450</v>
      </c>
      <c r="F5606" s="27" t="s">
        <v>1453</v>
      </c>
      <c r="H5606" s="27" t="s">
        <v>1454</v>
      </c>
      <c r="N5606" s="27" t="s">
        <v>777</v>
      </c>
      <c r="P5606" s="27" t="s">
        <v>12136</v>
      </c>
      <c r="Q5606" s="26" t="str">
        <f>HYPERLINK("https://ictv.global/taxonomy/taxondetails?taxnode_id=202518980&amp;ictv_id=ICTV202318980","ICTV202318980")</f>
        <v>ICTV202318980</v>
      </c>
      <c r="R5606" t="s">
        <v>579</v>
      </c>
      <c r="S5606" t="s">
        <v>823</v>
      </c>
      <c r="T5606">
        <v>39</v>
      </c>
      <c r="U5606" s="26" t="str">
        <f t="shared" si="219"/>
        <v>2023.026B.Gordonvirus_11ns.zip</v>
      </c>
    </row>
    <row r="5607" spans="1:21">
      <c r="A5607">
        <v>5606</v>
      </c>
      <c r="B5607" s="27" t="s">
        <v>1449</v>
      </c>
      <c r="D5607" s="27" t="s">
        <v>1450</v>
      </c>
      <c r="F5607" s="27" t="s">
        <v>1453</v>
      </c>
      <c r="H5607" s="27" t="s">
        <v>1454</v>
      </c>
      <c r="N5607" s="27" t="s">
        <v>777</v>
      </c>
      <c r="P5607" s="27" t="s">
        <v>12137</v>
      </c>
      <c r="Q5607" s="26" t="str">
        <f>HYPERLINK("https://ictv.global/taxonomy/taxondetails?taxnode_id=202518989&amp;ictv_id=ICTV202318989","ICTV202318989")</f>
        <v>ICTV202318989</v>
      </c>
      <c r="R5607" t="s">
        <v>579</v>
      </c>
      <c r="S5607" t="s">
        <v>823</v>
      </c>
      <c r="T5607">
        <v>39</v>
      </c>
      <c r="U5607" s="26" t="str">
        <f t="shared" si="219"/>
        <v>2023.026B.Gordonvirus_11ns.zip</v>
      </c>
    </row>
    <row r="5608" spans="1:21">
      <c r="A5608">
        <v>5607</v>
      </c>
      <c r="B5608" s="27" t="s">
        <v>1449</v>
      </c>
      <c r="D5608" s="27" t="s">
        <v>1450</v>
      </c>
      <c r="F5608" s="27" t="s">
        <v>1453</v>
      </c>
      <c r="H5608" s="27" t="s">
        <v>1454</v>
      </c>
      <c r="N5608" s="27" t="s">
        <v>777</v>
      </c>
      <c r="P5608" s="27" t="s">
        <v>12138</v>
      </c>
      <c r="Q5608" s="26" t="str">
        <f>HYPERLINK("https://ictv.global/taxonomy/taxondetails?taxnode_id=202518983&amp;ictv_id=ICTV202318983","ICTV202318983")</f>
        <v>ICTV202318983</v>
      </c>
      <c r="R5608" t="s">
        <v>579</v>
      </c>
      <c r="S5608" t="s">
        <v>823</v>
      </c>
      <c r="T5608">
        <v>39</v>
      </c>
      <c r="U5608" s="26" t="str">
        <f t="shared" si="219"/>
        <v>2023.026B.Gordonvirus_11ns.zip</v>
      </c>
    </row>
    <row r="5609" spans="1:21">
      <c r="A5609">
        <v>5608</v>
      </c>
      <c r="B5609" s="27" t="s">
        <v>1449</v>
      </c>
      <c r="D5609" s="27" t="s">
        <v>1450</v>
      </c>
      <c r="F5609" s="27" t="s">
        <v>1453</v>
      </c>
      <c r="H5609" s="27" t="s">
        <v>1454</v>
      </c>
      <c r="N5609" s="27" t="s">
        <v>777</v>
      </c>
      <c r="P5609" s="27" t="s">
        <v>12139</v>
      </c>
      <c r="Q5609" s="26" t="str">
        <f>HYPERLINK("https://ictv.global/taxonomy/taxondetails?taxnode_id=202518985&amp;ictv_id=ICTV202318985","ICTV202318985")</f>
        <v>ICTV202318985</v>
      </c>
      <c r="R5609" t="s">
        <v>579</v>
      </c>
      <c r="S5609" t="s">
        <v>823</v>
      </c>
      <c r="T5609">
        <v>39</v>
      </c>
      <c r="U5609" s="26" t="str">
        <f t="shared" si="219"/>
        <v>2023.026B.Gordonvirus_11ns.zip</v>
      </c>
    </row>
    <row r="5610" spans="1:21">
      <c r="A5610">
        <v>5609</v>
      </c>
      <c r="B5610" s="27" t="s">
        <v>1449</v>
      </c>
      <c r="D5610" s="27" t="s">
        <v>1450</v>
      </c>
      <c r="F5610" s="27" t="s">
        <v>1453</v>
      </c>
      <c r="H5610" s="27" t="s">
        <v>1454</v>
      </c>
      <c r="N5610" s="27" t="s">
        <v>777</v>
      </c>
      <c r="P5610" s="27" t="s">
        <v>12140</v>
      </c>
      <c r="Q5610" s="26" t="str">
        <f>HYPERLINK("https://ictv.global/taxonomy/taxondetails?taxnode_id=202518979&amp;ictv_id=ICTV202318979","ICTV202318979")</f>
        <v>ICTV202318979</v>
      </c>
      <c r="R5610" t="s">
        <v>579</v>
      </c>
      <c r="S5610" t="s">
        <v>823</v>
      </c>
      <c r="T5610">
        <v>39</v>
      </c>
      <c r="U5610" s="26" t="str">
        <f t="shared" si="219"/>
        <v>2023.026B.Gordonvirus_11ns.zip</v>
      </c>
    </row>
    <row r="5611" spans="1:21">
      <c r="A5611">
        <v>5610</v>
      </c>
      <c r="B5611" s="27" t="s">
        <v>1449</v>
      </c>
      <c r="D5611" s="27" t="s">
        <v>1450</v>
      </c>
      <c r="F5611" s="27" t="s">
        <v>1453</v>
      </c>
      <c r="H5611" s="27" t="s">
        <v>1454</v>
      </c>
      <c r="N5611" s="27" t="s">
        <v>777</v>
      </c>
      <c r="P5611" s="27" t="s">
        <v>12141</v>
      </c>
      <c r="Q5611" s="26" t="str">
        <f>HYPERLINK("https://ictv.global/taxonomy/taxondetails?taxnode_id=202518986&amp;ictv_id=ICTV202318986","ICTV202318986")</f>
        <v>ICTV202318986</v>
      </c>
      <c r="R5611" t="s">
        <v>579</v>
      </c>
      <c r="S5611" t="s">
        <v>823</v>
      </c>
      <c r="T5611">
        <v>39</v>
      </c>
      <c r="U5611" s="26" t="str">
        <f t="shared" si="219"/>
        <v>2023.026B.Gordonvirus_11ns.zip</v>
      </c>
    </row>
    <row r="5612" spans="1:21">
      <c r="A5612">
        <v>5611</v>
      </c>
      <c r="B5612" s="27" t="s">
        <v>1449</v>
      </c>
      <c r="D5612" s="27" t="s">
        <v>1450</v>
      </c>
      <c r="F5612" s="27" t="s">
        <v>1453</v>
      </c>
      <c r="H5612" s="27" t="s">
        <v>1454</v>
      </c>
      <c r="N5612" s="27" t="s">
        <v>778</v>
      </c>
      <c r="P5612" s="27" t="s">
        <v>7110</v>
      </c>
      <c r="Q5612" s="26" t="str">
        <f>HYPERLINK("https://ictv.global/taxonomy/taxondetails?taxnode_id=202500979&amp;ictv_id=ICTV20164992","ICTV20164992")</f>
        <v>ICTV20164992</v>
      </c>
      <c r="R5612" t="s">
        <v>579</v>
      </c>
      <c r="S5612" t="s">
        <v>824</v>
      </c>
      <c r="T5612">
        <v>37</v>
      </c>
      <c r="U5612" s="26" t="str">
        <f>HYPERLINK("https://ictv.global/ictv/proposals/2021.010B.R.Binomial_names.zip","2021.010B.R.Binomial_names.zip")</f>
        <v>2021.010B.R.Binomial_names.zip</v>
      </c>
    </row>
    <row r="5613" spans="1:21">
      <c r="A5613">
        <v>5612</v>
      </c>
      <c r="B5613" s="27" t="s">
        <v>1449</v>
      </c>
      <c r="D5613" s="27" t="s">
        <v>1450</v>
      </c>
      <c r="F5613" s="27" t="s">
        <v>1453</v>
      </c>
      <c r="H5613" s="27" t="s">
        <v>1454</v>
      </c>
      <c r="N5613" s="27" t="s">
        <v>1365</v>
      </c>
      <c r="P5613" s="27" t="s">
        <v>7111</v>
      </c>
      <c r="Q5613" s="26" t="str">
        <f>HYPERLINK("https://ictv.global/taxonomy/taxondetails?taxnode_id=202506985&amp;ictv_id=ICTV201856985","ICTV201856985")</f>
        <v>ICTV201856985</v>
      </c>
      <c r="R5613" t="s">
        <v>579</v>
      </c>
      <c r="S5613" t="s">
        <v>824</v>
      </c>
      <c r="T5613">
        <v>37</v>
      </c>
      <c r="U5613" s="26" t="str">
        <f>HYPERLINK("https://ictv.global/ictv/proposals/2021.010B.R.Binomial_names.zip","2021.010B.R.Binomial_names.zip")</f>
        <v>2021.010B.R.Binomial_names.zip</v>
      </c>
    </row>
    <row r="5614" spans="1:21">
      <c r="A5614">
        <v>5613</v>
      </c>
      <c r="B5614" s="27" t="s">
        <v>1449</v>
      </c>
      <c r="D5614" s="27" t="s">
        <v>1450</v>
      </c>
      <c r="F5614" s="27" t="s">
        <v>1453</v>
      </c>
      <c r="H5614" s="27" t="s">
        <v>1454</v>
      </c>
      <c r="N5614" s="27" t="s">
        <v>1366</v>
      </c>
      <c r="P5614" s="27" t="s">
        <v>7112</v>
      </c>
      <c r="Q5614" s="26" t="str">
        <f>HYPERLINK("https://ictv.global/taxonomy/taxondetails?taxnode_id=202506485&amp;ictv_id=ICTV201856485","ICTV201856485")</f>
        <v>ICTV201856485</v>
      </c>
      <c r="R5614" t="s">
        <v>579</v>
      </c>
      <c r="S5614" t="s">
        <v>824</v>
      </c>
      <c r="T5614">
        <v>37</v>
      </c>
      <c r="U5614" s="26" t="str">
        <f>HYPERLINK("https://ictv.global/ictv/proposals/2021.010B.R.Binomial_names.zip","2021.010B.R.Binomial_names.zip")</f>
        <v>2021.010B.R.Binomial_names.zip</v>
      </c>
    </row>
    <row r="5615" spans="1:21">
      <c r="A5615">
        <v>5614</v>
      </c>
      <c r="B5615" s="27" t="s">
        <v>1449</v>
      </c>
      <c r="D5615" s="27" t="s">
        <v>1450</v>
      </c>
      <c r="F5615" s="27" t="s">
        <v>1453</v>
      </c>
      <c r="H5615" s="27" t="s">
        <v>1454</v>
      </c>
      <c r="N5615" s="27" t="s">
        <v>7114</v>
      </c>
      <c r="P5615" s="27" t="s">
        <v>7115</v>
      </c>
      <c r="Q5615" s="26" t="str">
        <f>HYPERLINK("https://ictv.global/taxonomy/taxondetails?taxnode_id=202514589&amp;ictv_id=ICTV202214589","ICTV202214589")</f>
        <v>ICTV202214589</v>
      </c>
      <c r="R5615" t="s">
        <v>579</v>
      </c>
      <c r="S5615" t="s">
        <v>823</v>
      </c>
      <c r="T5615">
        <v>38</v>
      </c>
      <c r="U5615" s="26" t="str">
        <f>HYPERLINK("https://ictv.global/ictv/proposals/2022.032B.Caudoviricetes_5ng.zip","2022.032B.Caudoviricetes_5ng.zip")</f>
        <v>2022.032B.Caudoviricetes_5ng.zip</v>
      </c>
    </row>
    <row r="5616" spans="1:21">
      <c r="A5616">
        <v>5615</v>
      </c>
      <c r="B5616" s="27" t="s">
        <v>1449</v>
      </c>
      <c r="D5616" s="27" t="s">
        <v>1450</v>
      </c>
      <c r="F5616" s="27" t="s">
        <v>1453</v>
      </c>
      <c r="H5616" s="27" t="s">
        <v>1454</v>
      </c>
      <c r="N5616" s="27" t="s">
        <v>7114</v>
      </c>
      <c r="P5616" s="27" t="s">
        <v>7116</v>
      </c>
      <c r="Q5616" s="26" t="str">
        <f>HYPERLINK("https://ictv.global/taxonomy/taxondetails?taxnode_id=202514588&amp;ictv_id=ICTV202214588","ICTV202214588")</f>
        <v>ICTV202214588</v>
      </c>
      <c r="R5616" t="s">
        <v>579</v>
      </c>
      <c r="S5616" t="s">
        <v>823</v>
      </c>
      <c r="T5616">
        <v>38</v>
      </c>
      <c r="U5616" s="26" t="str">
        <f>HYPERLINK("https://ictv.global/ictv/proposals/2022.032B.Caudoviricetes_5ng.zip","2022.032B.Caudoviricetes_5ng.zip")</f>
        <v>2022.032B.Caudoviricetes_5ng.zip</v>
      </c>
    </row>
    <row r="5617" spans="1:21">
      <c r="A5617">
        <v>5616</v>
      </c>
      <c r="B5617" s="27" t="s">
        <v>1449</v>
      </c>
      <c r="D5617" s="27" t="s">
        <v>1450</v>
      </c>
      <c r="F5617" s="27" t="s">
        <v>1453</v>
      </c>
      <c r="H5617" s="27" t="s">
        <v>1454</v>
      </c>
      <c r="N5617" s="27" t="s">
        <v>1367</v>
      </c>
      <c r="P5617" s="27" t="s">
        <v>7117</v>
      </c>
      <c r="Q5617" s="26" t="str">
        <f>HYPERLINK("https://ictv.global/taxonomy/taxondetails?taxnode_id=202506638&amp;ictv_id=ICTV201856638","ICTV201856638")</f>
        <v>ICTV201856638</v>
      </c>
      <c r="R5617" t="s">
        <v>579</v>
      </c>
      <c r="S5617" t="s">
        <v>824</v>
      </c>
      <c r="T5617">
        <v>37</v>
      </c>
      <c r="U5617" s="26" t="str">
        <f>HYPERLINK("https://ictv.global/ictv/proposals/2021.010B.R.Binomial_names.zip","2021.010B.R.Binomial_names.zip")</f>
        <v>2021.010B.R.Binomial_names.zip</v>
      </c>
    </row>
    <row r="5618" spans="1:21">
      <c r="A5618">
        <v>5617</v>
      </c>
      <c r="B5618" s="27" t="s">
        <v>1449</v>
      </c>
      <c r="D5618" s="27" t="s">
        <v>1450</v>
      </c>
      <c r="F5618" s="27" t="s">
        <v>1453</v>
      </c>
      <c r="H5618" s="27" t="s">
        <v>1454</v>
      </c>
      <c r="N5618" s="27" t="s">
        <v>1367</v>
      </c>
      <c r="P5618" s="27" t="s">
        <v>7118</v>
      </c>
      <c r="Q5618" s="26" t="str">
        <f>HYPERLINK("https://ictv.global/taxonomy/taxondetails?taxnode_id=202506639&amp;ictv_id=ICTV201856639","ICTV201856639")</f>
        <v>ICTV201856639</v>
      </c>
      <c r="R5618" t="s">
        <v>579</v>
      </c>
      <c r="S5618" t="s">
        <v>824</v>
      </c>
      <c r="T5618">
        <v>37</v>
      </c>
      <c r="U5618" s="26" t="str">
        <f>HYPERLINK("https://ictv.global/ictv/proposals/2021.010B.R.Binomial_names.zip","2021.010B.R.Binomial_names.zip")</f>
        <v>2021.010B.R.Binomial_names.zip</v>
      </c>
    </row>
    <row r="5619" spans="1:21">
      <c r="A5619">
        <v>5618</v>
      </c>
      <c r="B5619" s="27" t="s">
        <v>1449</v>
      </c>
      <c r="D5619" s="27" t="s">
        <v>1450</v>
      </c>
      <c r="F5619" s="27" t="s">
        <v>1453</v>
      </c>
      <c r="H5619" s="27" t="s">
        <v>1454</v>
      </c>
      <c r="N5619" s="27" t="s">
        <v>12142</v>
      </c>
      <c r="P5619" s="27" t="s">
        <v>12143</v>
      </c>
      <c r="Q5619" s="26" t="str">
        <f>HYPERLINK("https://ictv.global/taxonomy/taxondetails?taxnode_id=202519063&amp;ictv_id=ICTV202319063","ICTV202319063")</f>
        <v>ICTV202319063</v>
      </c>
      <c r="R5619" t="s">
        <v>579</v>
      </c>
      <c r="S5619" t="s">
        <v>823</v>
      </c>
      <c r="T5619">
        <v>39</v>
      </c>
      <c r="U5619" s="26" t="str">
        <f>HYPERLINK("https://ictv.global/ictv/proposals/2023.031B.Hafyongvirus_ng.zip","2023.031B.Hafyongvirus_ng.zip")</f>
        <v>2023.031B.Hafyongvirus_ng.zip</v>
      </c>
    </row>
    <row r="5620" spans="1:21">
      <c r="A5620">
        <v>5619</v>
      </c>
      <c r="B5620" s="27" t="s">
        <v>1449</v>
      </c>
      <c r="D5620" s="27" t="s">
        <v>1450</v>
      </c>
      <c r="F5620" s="27" t="s">
        <v>1453</v>
      </c>
      <c r="H5620" s="27" t="s">
        <v>1454</v>
      </c>
      <c r="N5620" s="27" t="s">
        <v>12144</v>
      </c>
      <c r="P5620" s="27" t="s">
        <v>12145</v>
      </c>
      <c r="Q5620" s="26" t="str">
        <f>HYPERLINK("https://ictv.global/taxonomy/taxondetails?taxnode_id=202518571&amp;ictv_id=ICTV202318571","ICTV202318571")</f>
        <v>ICTV202318571</v>
      </c>
      <c r="R5620" t="s">
        <v>579</v>
      </c>
      <c r="S5620" t="s">
        <v>823</v>
      </c>
      <c r="T5620">
        <v>39</v>
      </c>
      <c r="U5620" s="26" t="str">
        <f>HYPERLINK("https://ictv.global/ictv/proposals/2023.022B.Caudoviricetes_Pseudomonas_7ng.zip","2023.022B.Caudoviricetes_Pseudomonas_7ng.zip")</f>
        <v>2023.022B.Caudoviricetes_Pseudomonas_7ng.zip</v>
      </c>
    </row>
    <row r="5621" spans="1:21">
      <c r="A5621">
        <v>5620</v>
      </c>
      <c r="B5621" s="27" t="s">
        <v>1449</v>
      </c>
      <c r="D5621" s="27" t="s">
        <v>1450</v>
      </c>
      <c r="F5621" s="27" t="s">
        <v>1453</v>
      </c>
      <c r="H5621" s="27" t="s">
        <v>1454</v>
      </c>
      <c r="N5621" s="27" t="s">
        <v>2266</v>
      </c>
      <c r="P5621" s="27" t="s">
        <v>7119</v>
      </c>
      <c r="Q5621" s="26" t="str">
        <f>HYPERLINK("https://ictv.global/taxonomy/taxondetails?taxnode_id=202510078&amp;ictv_id=ICTV202010078","ICTV202010078")</f>
        <v>ICTV202010078</v>
      </c>
      <c r="R5621" t="s">
        <v>579</v>
      </c>
      <c r="S5621" t="s">
        <v>824</v>
      </c>
      <c r="T5621">
        <v>37</v>
      </c>
      <c r="U5621" s="26" t="str">
        <f>HYPERLINK("https://ictv.global/ictv/proposals/2021.010B.R.Binomial_names.zip","2021.010B.R.Binomial_names.zip")</f>
        <v>2021.010B.R.Binomial_names.zip</v>
      </c>
    </row>
    <row r="5622" spans="1:21">
      <c r="A5622">
        <v>5621</v>
      </c>
      <c r="B5622" s="27" t="s">
        <v>1449</v>
      </c>
      <c r="D5622" s="27" t="s">
        <v>1450</v>
      </c>
      <c r="F5622" s="27" t="s">
        <v>1453</v>
      </c>
      <c r="H5622" s="27" t="s">
        <v>1454</v>
      </c>
      <c r="N5622" s="27" t="s">
        <v>2266</v>
      </c>
      <c r="P5622" s="27" t="s">
        <v>7120</v>
      </c>
      <c r="Q5622" s="26" t="str">
        <f>HYPERLINK("https://ictv.global/taxonomy/taxondetails?taxnode_id=202510075&amp;ictv_id=ICTV202010075","ICTV202010075")</f>
        <v>ICTV202010075</v>
      </c>
      <c r="R5622" t="s">
        <v>579</v>
      </c>
      <c r="S5622" t="s">
        <v>824</v>
      </c>
      <c r="T5622">
        <v>37</v>
      </c>
      <c r="U5622" s="26" t="str">
        <f>HYPERLINK("https://ictv.global/ictv/proposals/2021.010B.R.Binomial_names.zip","2021.010B.R.Binomial_names.zip")</f>
        <v>2021.010B.R.Binomial_names.zip</v>
      </c>
    </row>
    <row r="5623" spans="1:21">
      <c r="A5623">
        <v>5622</v>
      </c>
      <c r="B5623" s="27" t="s">
        <v>1449</v>
      </c>
      <c r="D5623" s="27" t="s">
        <v>1450</v>
      </c>
      <c r="F5623" s="27" t="s">
        <v>1453</v>
      </c>
      <c r="H5623" s="27" t="s">
        <v>1454</v>
      </c>
      <c r="N5623" s="27" t="s">
        <v>2266</v>
      </c>
      <c r="P5623" s="27" t="s">
        <v>7121</v>
      </c>
      <c r="Q5623" s="26" t="str">
        <f>HYPERLINK("https://ictv.global/taxonomy/taxondetails?taxnode_id=202510077&amp;ictv_id=ICTV202010077","ICTV202010077")</f>
        <v>ICTV202010077</v>
      </c>
      <c r="R5623" t="s">
        <v>579</v>
      </c>
      <c r="S5623" t="s">
        <v>824</v>
      </c>
      <c r="T5623">
        <v>37</v>
      </c>
      <c r="U5623" s="26" t="str">
        <f>HYPERLINK("https://ictv.global/ictv/proposals/2021.010B.R.Binomial_names.zip","2021.010B.R.Binomial_names.zip")</f>
        <v>2021.010B.R.Binomial_names.zip</v>
      </c>
    </row>
    <row r="5624" spans="1:21">
      <c r="A5624">
        <v>5623</v>
      </c>
      <c r="B5624" s="27" t="s">
        <v>1449</v>
      </c>
      <c r="D5624" s="27" t="s">
        <v>1450</v>
      </c>
      <c r="F5624" s="27" t="s">
        <v>1453</v>
      </c>
      <c r="H5624" s="27" t="s">
        <v>1454</v>
      </c>
      <c r="N5624" s="27" t="s">
        <v>2266</v>
      </c>
      <c r="P5624" s="27" t="s">
        <v>7122</v>
      </c>
      <c r="Q5624" s="26" t="str">
        <f>HYPERLINK("https://ictv.global/taxonomy/taxondetails?taxnode_id=202506895&amp;ictv_id=ICTV201856895","ICTV201856895")</f>
        <v>ICTV201856895</v>
      </c>
      <c r="R5624" t="s">
        <v>579</v>
      </c>
      <c r="S5624" t="s">
        <v>824</v>
      </c>
      <c r="T5624">
        <v>37</v>
      </c>
      <c r="U5624" s="26" t="str">
        <f>HYPERLINK("https://ictv.global/ictv/proposals/2021.010B.R.Binomial_names.zip","2021.010B.R.Binomial_names.zip")</f>
        <v>2021.010B.R.Binomial_names.zip</v>
      </c>
    </row>
    <row r="5625" spans="1:21">
      <c r="A5625">
        <v>5624</v>
      </c>
      <c r="B5625" s="27" t="s">
        <v>1449</v>
      </c>
      <c r="D5625" s="27" t="s">
        <v>1450</v>
      </c>
      <c r="F5625" s="27" t="s">
        <v>1453</v>
      </c>
      <c r="H5625" s="27" t="s">
        <v>1454</v>
      </c>
      <c r="N5625" s="27" t="s">
        <v>2266</v>
      </c>
      <c r="P5625" s="27" t="s">
        <v>7123</v>
      </c>
      <c r="Q5625" s="26" t="str">
        <f>HYPERLINK("https://ictv.global/taxonomy/taxondetails?taxnode_id=202510076&amp;ictv_id=ICTV202010076","ICTV202010076")</f>
        <v>ICTV202010076</v>
      </c>
      <c r="R5625" t="s">
        <v>579</v>
      </c>
      <c r="S5625" t="s">
        <v>824</v>
      </c>
      <c r="T5625">
        <v>37</v>
      </c>
      <c r="U5625" s="26" t="str">
        <f>HYPERLINK("https://ictv.global/ictv/proposals/2021.010B.R.Binomial_names.zip","2021.010B.R.Binomial_names.zip")</f>
        <v>2021.010B.R.Binomial_names.zip</v>
      </c>
    </row>
    <row r="5626" spans="1:21">
      <c r="A5626">
        <v>5625</v>
      </c>
      <c r="B5626" s="27" t="s">
        <v>1449</v>
      </c>
      <c r="D5626" s="27" t="s">
        <v>1450</v>
      </c>
      <c r="F5626" s="27" t="s">
        <v>1453</v>
      </c>
      <c r="H5626" s="27" t="s">
        <v>1454</v>
      </c>
      <c r="N5626" s="27" t="s">
        <v>12146</v>
      </c>
      <c r="P5626" s="27" t="s">
        <v>12147</v>
      </c>
      <c r="Q5626" s="26" t="str">
        <f>HYPERLINK("https://ictv.global/taxonomy/taxondetails?taxnode_id=202519072&amp;ictv_id=ICTV202319072","ICTV202319072")</f>
        <v>ICTV202319072</v>
      </c>
      <c r="R5626" t="s">
        <v>579</v>
      </c>
      <c r="S5626" t="s">
        <v>823</v>
      </c>
      <c r="T5626">
        <v>39</v>
      </c>
      <c r="U5626" s="26" t="str">
        <f>HYPERLINK("https://ictv.global/ictv/proposals/2023.032B.Halfdanvirus_ng.zip","2023.032B.Halfdanvirus_ng.zip")</f>
        <v>2023.032B.Halfdanvirus_ng.zip</v>
      </c>
    </row>
    <row r="5627" spans="1:21">
      <c r="A5627">
        <v>5626</v>
      </c>
      <c r="B5627" s="27" t="s">
        <v>1449</v>
      </c>
      <c r="D5627" s="27" t="s">
        <v>1450</v>
      </c>
      <c r="F5627" s="27" t="s">
        <v>1453</v>
      </c>
      <c r="H5627" s="27" t="s">
        <v>1454</v>
      </c>
      <c r="N5627" s="27" t="s">
        <v>594</v>
      </c>
      <c r="P5627" s="27" t="s">
        <v>7124</v>
      </c>
      <c r="Q5627" s="26" t="str">
        <f>HYPERLINK("https://ictv.global/taxonomy/taxondetails?taxnode_id=202500434&amp;ictv_id=ICTV20115466","ICTV20115466")</f>
        <v>ICTV20115466</v>
      </c>
      <c r="R5627" t="s">
        <v>579</v>
      </c>
      <c r="S5627" t="s">
        <v>824</v>
      </c>
      <c r="T5627">
        <v>37</v>
      </c>
      <c r="U5627" s="26" t="str">
        <f>HYPERLINK("https://ictv.global/ictv/proposals/2021.010B.R.Binomial_names.zip","2021.010B.R.Binomial_names.zip")</f>
        <v>2021.010B.R.Binomial_names.zip</v>
      </c>
    </row>
    <row r="5628" spans="1:21">
      <c r="A5628">
        <v>5627</v>
      </c>
      <c r="B5628" s="27" t="s">
        <v>1449</v>
      </c>
      <c r="D5628" s="27" t="s">
        <v>1450</v>
      </c>
      <c r="F5628" s="27" t="s">
        <v>1453</v>
      </c>
      <c r="H5628" s="27" t="s">
        <v>1454</v>
      </c>
      <c r="N5628" s="27" t="s">
        <v>594</v>
      </c>
      <c r="P5628" s="27" t="s">
        <v>7125</v>
      </c>
      <c r="Q5628" s="26" t="str">
        <f>HYPERLINK("https://ictv.global/taxonomy/taxondetails?taxnode_id=202500435&amp;ictv_id=ICTV20115465","ICTV20115465")</f>
        <v>ICTV20115465</v>
      </c>
      <c r="R5628" t="s">
        <v>579</v>
      </c>
      <c r="S5628" t="s">
        <v>824</v>
      </c>
      <c r="T5628">
        <v>37</v>
      </c>
      <c r="U5628" s="26" t="str">
        <f>HYPERLINK("https://ictv.global/ictv/proposals/2021.010B.R.Binomial_names.zip","2021.010B.R.Binomial_names.zip")</f>
        <v>2021.010B.R.Binomial_names.zip</v>
      </c>
    </row>
    <row r="5629" spans="1:21">
      <c r="A5629">
        <v>5628</v>
      </c>
      <c r="B5629" s="27" t="s">
        <v>1449</v>
      </c>
      <c r="D5629" s="27" t="s">
        <v>1450</v>
      </c>
      <c r="F5629" s="27" t="s">
        <v>1453</v>
      </c>
      <c r="H5629" s="27" t="s">
        <v>1454</v>
      </c>
      <c r="N5629" s="27" t="s">
        <v>7126</v>
      </c>
      <c r="P5629" s="27" t="s">
        <v>7127</v>
      </c>
      <c r="Q5629" s="26" t="str">
        <f>HYPERLINK("https://ictv.global/taxonomy/taxondetails?taxnode_id=202512344&amp;ictv_id=ICTV202112344","ICTV202112344")</f>
        <v>ICTV202112344</v>
      </c>
      <c r="R5629" t="s">
        <v>579</v>
      </c>
      <c r="S5629" t="s">
        <v>823</v>
      </c>
      <c r="T5629">
        <v>37</v>
      </c>
      <c r="U5629" s="26" t="str">
        <f>HYPERLINK("https://ictv.global/ictv/proposals/2021.036B.R.Harrisonburgvirus.zip","2021.036B.R.Harrisonburgvirus.zip")</f>
        <v>2021.036B.R.Harrisonburgvirus.zip</v>
      </c>
    </row>
    <row r="5630" spans="1:21">
      <c r="A5630">
        <v>5629</v>
      </c>
      <c r="B5630" s="27" t="s">
        <v>1449</v>
      </c>
      <c r="D5630" s="27" t="s">
        <v>1450</v>
      </c>
      <c r="F5630" s="27" t="s">
        <v>1453</v>
      </c>
      <c r="H5630" s="27" t="s">
        <v>1454</v>
      </c>
      <c r="N5630" s="27" t="s">
        <v>2267</v>
      </c>
      <c r="P5630" s="27" t="s">
        <v>7128</v>
      </c>
      <c r="Q5630" s="26" t="str">
        <f>HYPERLINK("https://ictv.global/taxonomy/taxondetails?taxnode_id=202510025&amp;ictv_id=ICTV202010025","ICTV202010025")</f>
        <v>ICTV202010025</v>
      </c>
      <c r="R5630" t="s">
        <v>579</v>
      </c>
      <c r="S5630" t="s">
        <v>824</v>
      </c>
      <c r="T5630">
        <v>37</v>
      </c>
      <c r="U5630" s="26" t="str">
        <f t="shared" ref="U5630:U5635" si="220">HYPERLINK("https://ictv.global/ictv/proposals/2021.010B.R.Binomial_names.zip","2021.010B.R.Binomial_names.zip")</f>
        <v>2021.010B.R.Binomial_names.zip</v>
      </c>
    </row>
    <row r="5631" spans="1:21">
      <c r="A5631">
        <v>5630</v>
      </c>
      <c r="B5631" s="27" t="s">
        <v>1449</v>
      </c>
      <c r="D5631" s="27" t="s">
        <v>1450</v>
      </c>
      <c r="F5631" s="27" t="s">
        <v>1453</v>
      </c>
      <c r="H5631" s="27" t="s">
        <v>1454</v>
      </c>
      <c r="N5631" s="27" t="s">
        <v>1368</v>
      </c>
      <c r="P5631" s="27" t="s">
        <v>7129</v>
      </c>
      <c r="Q5631" s="26" t="str">
        <f>HYPERLINK("https://ictv.global/taxonomy/taxondetails?taxnode_id=202506684&amp;ictv_id=ICTV201856684","ICTV201856684")</f>
        <v>ICTV201856684</v>
      </c>
      <c r="R5631" t="s">
        <v>579</v>
      </c>
      <c r="S5631" t="s">
        <v>824</v>
      </c>
      <c r="T5631">
        <v>37</v>
      </c>
      <c r="U5631" s="26" t="str">
        <f t="shared" si="220"/>
        <v>2021.010B.R.Binomial_names.zip</v>
      </c>
    </row>
    <row r="5632" spans="1:21">
      <c r="A5632">
        <v>5631</v>
      </c>
      <c r="B5632" s="27" t="s">
        <v>1449</v>
      </c>
      <c r="D5632" s="27" t="s">
        <v>1450</v>
      </c>
      <c r="F5632" s="27" t="s">
        <v>1453</v>
      </c>
      <c r="H5632" s="27" t="s">
        <v>1454</v>
      </c>
      <c r="N5632" s="27" t="s">
        <v>1680</v>
      </c>
      <c r="P5632" s="27" t="s">
        <v>7130</v>
      </c>
      <c r="Q5632" s="26" t="str">
        <f>HYPERLINK("https://ictv.global/taxonomy/taxondetails?taxnode_id=202507908&amp;ictv_id=ICTV201907908","ICTV201907908")</f>
        <v>ICTV201907908</v>
      </c>
      <c r="R5632" t="s">
        <v>579</v>
      </c>
      <c r="S5632" t="s">
        <v>824</v>
      </c>
      <c r="T5632">
        <v>37</v>
      </c>
      <c r="U5632" s="26" t="str">
        <f t="shared" si="220"/>
        <v>2021.010B.R.Binomial_names.zip</v>
      </c>
    </row>
    <row r="5633" spans="1:21">
      <c r="A5633">
        <v>5632</v>
      </c>
      <c r="B5633" s="27" t="s">
        <v>1449</v>
      </c>
      <c r="D5633" s="27" t="s">
        <v>1450</v>
      </c>
      <c r="F5633" s="27" t="s">
        <v>1453</v>
      </c>
      <c r="H5633" s="27" t="s">
        <v>1454</v>
      </c>
      <c r="N5633" s="27" t="s">
        <v>1369</v>
      </c>
      <c r="P5633" s="27" t="s">
        <v>7131</v>
      </c>
      <c r="Q5633" s="26" t="str">
        <f>HYPERLINK("https://ictv.global/taxonomy/taxondetails?taxnode_id=202500879&amp;ictv_id=ICTV20150798","ICTV20150798")</f>
        <v>ICTV20150798</v>
      </c>
      <c r="R5633" t="s">
        <v>579</v>
      </c>
      <c r="S5633" t="s">
        <v>824</v>
      </c>
      <c r="T5633">
        <v>37</v>
      </c>
      <c r="U5633" s="26" t="str">
        <f t="shared" si="220"/>
        <v>2021.010B.R.Binomial_names.zip</v>
      </c>
    </row>
    <row r="5634" spans="1:21">
      <c r="A5634">
        <v>5633</v>
      </c>
      <c r="B5634" s="27" t="s">
        <v>1449</v>
      </c>
      <c r="D5634" s="27" t="s">
        <v>1450</v>
      </c>
      <c r="F5634" s="27" t="s">
        <v>1453</v>
      </c>
      <c r="H5634" s="27" t="s">
        <v>1454</v>
      </c>
      <c r="N5634" s="27" t="s">
        <v>1369</v>
      </c>
      <c r="P5634" s="27" t="s">
        <v>7132</v>
      </c>
      <c r="Q5634" s="26" t="str">
        <f>HYPERLINK("https://ictv.global/taxonomy/taxondetails?taxnode_id=202500880&amp;ictv_id=ICTV20150799","ICTV20150799")</f>
        <v>ICTV20150799</v>
      </c>
      <c r="R5634" t="s">
        <v>579</v>
      </c>
      <c r="S5634" t="s">
        <v>824</v>
      </c>
      <c r="T5634">
        <v>37</v>
      </c>
      <c r="U5634" s="26" t="str">
        <f t="shared" si="220"/>
        <v>2021.010B.R.Binomial_names.zip</v>
      </c>
    </row>
    <row r="5635" spans="1:21">
      <c r="A5635">
        <v>5634</v>
      </c>
      <c r="B5635" s="27" t="s">
        <v>1449</v>
      </c>
      <c r="D5635" s="27" t="s">
        <v>1450</v>
      </c>
      <c r="F5635" s="27" t="s">
        <v>1453</v>
      </c>
      <c r="H5635" s="27" t="s">
        <v>1454</v>
      </c>
      <c r="N5635" s="27" t="s">
        <v>1369</v>
      </c>
      <c r="P5635" s="27" t="s">
        <v>7133</v>
      </c>
      <c r="Q5635" s="26" t="str">
        <f>HYPERLINK("https://ictv.global/taxonomy/taxondetails?taxnode_id=202500881&amp;ictv_id=ICTV20150797","ICTV20150797")</f>
        <v>ICTV20150797</v>
      </c>
      <c r="R5635" t="s">
        <v>579</v>
      </c>
      <c r="S5635" t="s">
        <v>824</v>
      </c>
      <c r="T5635">
        <v>37</v>
      </c>
      <c r="U5635" s="26" t="str">
        <f t="shared" si="220"/>
        <v>2021.010B.R.Binomial_names.zip</v>
      </c>
    </row>
    <row r="5636" spans="1:21">
      <c r="A5636">
        <v>5635</v>
      </c>
      <c r="B5636" s="27" t="s">
        <v>1449</v>
      </c>
      <c r="D5636" s="27" t="s">
        <v>1450</v>
      </c>
      <c r="F5636" s="27" t="s">
        <v>1453</v>
      </c>
      <c r="H5636" s="27" t="s">
        <v>1454</v>
      </c>
      <c r="N5636" s="27" t="s">
        <v>7134</v>
      </c>
      <c r="P5636" s="27" t="s">
        <v>7135</v>
      </c>
      <c r="Q5636" s="26" t="str">
        <f>HYPERLINK("https://ictv.global/taxonomy/taxondetails?taxnode_id=202514865&amp;ictv_id=ICTV202214865","ICTV202214865")</f>
        <v>ICTV202214865</v>
      </c>
      <c r="R5636" t="s">
        <v>579</v>
      </c>
      <c r="S5636" t="s">
        <v>823</v>
      </c>
      <c r="T5636">
        <v>38</v>
      </c>
      <c r="U5636" s="26" t="str">
        <f>HYPERLINK("https://ictv.global/ictv/proposals/2022.080B.Caudoviricetes_6ng.zip","2022.080B.Caudoviricetes_6ng.zip")</f>
        <v>2022.080B.Caudoviricetes_6ng.zip</v>
      </c>
    </row>
    <row r="5637" spans="1:21">
      <c r="A5637">
        <v>5636</v>
      </c>
      <c r="B5637" s="27" t="s">
        <v>1449</v>
      </c>
      <c r="D5637" s="27" t="s">
        <v>1450</v>
      </c>
      <c r="F5637" s="27" t="s">
        <v>1453</v>
      </c>
      <c r="H5637" s="27" t="s">
        <v>1454</v>
      </c>
      <c r="N5637" s="27" t="s">
        <v>7136</v>
      </c>
      <c r="P5637" s="27" t="s">
        <v>7137</v>
      </c>
      <c r="Q5637" s="26" t="str">
        <f>HYPERLINK("https://ictv.global/taxonomy/taxondetails?taxnode_id=202514628&amp;ictv_id=ICTV202214628","ICTV202214628")</f>
        <v>ICTV202214628</v>
      </c>
      <c r="R5637" t="s">
        <v>579</v>
      </c>
      <c r="S5637" t="s">
        <v>823</v>
      </c>
      <c r="T5637">
        <v>38</v>
      </c>
      <c r="U5637" s="26" t="str">
        <f>HYPERLINK("https://ictv.global/ictv/proposals/2022.036B.Hiroshimavirus_ng.zip","2022.036B.Hiroshimavirus_ng.zip")</f>
        <v>2022.036B.Hiroshimavirus_ng.zip</v>
      </c>
    </row>
    <row r="5638" spans="1:21">
      <c r="A5638">
        <v>5637</v>
      </c>
      <c r="B5638" s="27" t="s">
        <v>1449</v>
      </c>
      <c r="D5638" s="27" t="s">
        <v>1450</v>
      </c>
      <c r="F5638" s="27" t="s">
        <v>1453</v>
      </c>
      <c r="H5638" s="27" t="s">
        <v>1454</v>
      </c>
      <c r="N5638" s="27" t="s">
        <v>1757</v>
      </c>
      <c r="P5638" s="27" t="s">
        <v>7138</v>
      </c>
      <c r="Q5638" s="26" t="str">
        <f>HYPERLINK("https://ictv.global/taxonomy/taxondetails?taxnode_id=202507853&amp;ictv_id=ICTV201907853","ICTV201907853")</f>
        <v>ICTV201907853</v>
      </c>
      <c r="R5638" t="s">
        <v>579</v>
      </c>
      <c r="S5638" t="s">
        <v>824</v>
      </c>
      <c r="T5638">
        <v>37</v>
      </c>
      <c r="U5638" s="26" t="str">
        <f>HYPERLINK("https://ictv.global/ictv/proposals/2021.010B.R.Binomial_names.zip","2021.010B.R.Binomial_names.zip")</f>
        <v>2021.010B.R.Binomial_names.zip</v>
      </c>
    </row>
    <row r="5639" spans="1:21">
      <c r="A5639">
        <v>5638</v>
      </c>
      <c r="B5639" s="27" t="s">
        <v>1449</v>
      </c>
      <c r="D5639" s="27" t="s">
        <v>1450</v>
      </c>
      <c r="F5639" s="27" t="s">
        <v>1453</v>
      </c>
      <c r="H5639" s="27" t="s">
        <v>1454</v>
      </c>
      <c r="N5639" s="27" t="s">
        <v>2268</v>
      </c>
      <c r="P5639" s="27" t="s">
        <v>7139</v>
      </c>
      <c r="Q5639" s="26" t="str">
        <f>HYPERLINK("https://ictv.global/taxonomy/taxondetails?taxnode_id=202510130&amp;ictv_id=ICTV202010130","ICTV202010130")</f>
        <v>ICTV202010130</v>
      </c>
      <c r="R5639" t="s">
        <v>579</v>
      </c>
      <c r="S5639" t="s">
        <v>824</v>
      </c>
      <c r="T5639">
        <v>37</v>
      </c>
      <c r="U5639" s="26" t="str">
        <f>HYPERLINK("https://ictv.global/ictv/proposals/2021.010B.R.Binomial_names.zip","2021.010B.R.Binomial_names.zip")</f>
        <v>2021.010B.R.Binomial_names.zip</v>
      </c>
    </row>
    <row r="5640" spans="1:21">
      <c r="A5640">
        <v>5639</v>
      </c>
      <c r="B5640" s="27" t="s">
        <v>1449</v>
      </c>
      <c r="D5640" s="27" t="s">
        <v>1450</v>
      </c>
      <c r="F5640" s="27" t="s">
        <v>1453</v>
      </c>
      <c r="H5640" s="27" t="s">
        <v>1454</v>
      </c>
      <c r="N5640" s="27" t="s">
        <v>1294</v>
      </c>
      <c r="P5640" s="27" t="s">
        <v>12148</v>
      </c>
      <c r="Q5640" s="26" t="str">
        <f>HYPERLINK("https://ictv.global/taxonomy/taxondetails?taxnode_id=202519075&amp;ictv_id=ICTV202319075","ICTV202319075")</f>
        <v>ICTV202319075</v>
      </c>
      <c r="R5640" t="s">
        <v>579</v>
      </c>
      <c r="S5640" t="s">
        <v>823</v>
      </c>
      <c r="T5640">
        <v>39</v>
      </c>
      <c r="U5640" s="26" t="str">
        <f>HYPERLINK("https://ictv.global/ictv/proposals/2023.034B.Hollowayvirus_5ns.zip","2023.034B.Hollowayvirus_5ns.zip")</f>
        <v>2023.034B.Hollowayvirus_5ns.zip</v>
      </c>
    </row>
    <row r="5641" spans="1:21">
      <c r="A5641">
        <v>5640</v>
      </c>
      <c r="B5641" s="27" t="s">
        <v>1449</v>
      </c>
      <c r="D5641" s="27" t="s">
        <v>1450</v>
      </c>
      <c r="F5641" s="27" t="s">
        <v>1453</v>
      </c>
      <c r="H5641" s="27" t="s">
        <v>1454</v>
      </c>
      <c r="N5641" s="27" t="s">
        <v>1294</v>
      </c>
      <c r="P5641" s="27" t="s">
        <v>12149</v>
      </c>
      <c r="Q5641" s="26" t="str">
        <f>HYPERLINK("https://ictv.global/taxonomy/taxondetails?taxnode_id=202519078&amp;ictv_id=ICTV202319078","ICTV202319078")</f>
        <v>ICTV202319078</v>
      </c>
      <c r="R5641" t="s">
        <v>579</v>
      </c>
      <c r="S5641" t="s">
        <v>823</v>
      </c>
      <c r="T5641">
        <v>39</v>
      </c>
      <c r="U5641" s="26" t="str">
        <f>HYPERLINK("https://ictv.global/ictv/proposals/2023.034B.Hollowayvirus_5ns.zip","2023.034B.Hollowayvirus_5ns.zip")</f>
        <v>2023.034B.Hollowayvirus_5ns.zip</v>
      </c>
    </row>
    <row r="5642" spans="1:21">
      <c r="A5642">
        <v>5641</v>
      </c>
      <c r="B5642" s="27" t="s">
        <v>1449</v>
      </c>
      <c r="D5642" s="27" t="s">
        <v>1450</v>
      </c>
      <c r="F5642" s="27" t="s">
        <v>1453</v>
      </c>
      <c r="H5642" s="27" t="s">
        <v>1454</v>
      </c>
      <c r="N5642" s="27" t="s">
        <v>1294</v>
      </c>
      <c r="P5642" s="27" t="s">
        <v>7140</v>
      </c>
      <c r="Q5642" s="26" t="str">
        <f>HYPERLINK("https://ictv.global/taxonomy/taxondetails?taxnode_id=202500640&amp;ictv_id=ICTV20140192","ICTV20140192")</f>
        <v>ICTV20140192</v>
      </c>
      <c r="R5642" t="s">
        <v>579</v>
      </c>
      <c r="S5642" t="s">
        <v>824</v>
      </c>
      <c r="T5642">
        <v>37</v>
      </c>
      <c r="U5642" s="26" t="str">
        <f>HYPERLINK("https://ictv.global/ictv/proposals/2021.010B.R.Binomial_names.zip","2021.010B.R.Binomial_names.zip")</f>
        <v>2021.010B.R.Binomial_names.zip</v>
      </c>
    </row>
    <row r="5643" spans="1:21">
      <c r="A5643">
        <v>5642</v>
      </c>
      <c r="B5643" s="27" t="s">
        <v>1449</v>
      </c>
      <c r="D5643" s="27" t="s">
        <v>1450</v>
      </c>
      <c r="F5643" s="27" t="s">
        <v>1453</v>
      </c>
      <c r="H5643" s="27" t="s">
        <v>1454</v>
      </c>
      <c r="N5643" s="27" t="s">
        <v>1294</v>
      </c>
      <c r="P5643" s="27" t="s">
        <v>7141</v>
      </c>
      <c r="Q5643" s="26" t="str">
        <f>HYPERLINK("https://ictv.global/taxonomy/taxondetails?taxnode_id=202500641&amp;ictv_id=ICTV20140193","ICTV20140193")</f>
        <v>ICTV20140193</v>
      </c>
      <c r="R5643" t="s">
        <v>579</v>
      </c>
      <c r="S5643" t="s">
        <v>824</v>
      </c>
      <c r="T5643">
        <v>37</v>
      </c>
      <c r="U5643" s="26" t="str">
        <f>HYPERLINK("https://ictv.global/ictv/proposals/2021.010B.R.Binomial_names.zip","2021.010B.R.Binomial_names.zip")</f>
        <v>2021.010B.R.Binomial_names.zip</v>
      </c>
    </row>
    <row r="5644" spans="1:21">
      <c r="A5644">
        <v>5643</v>
      </c>
      <c r="B5644" s="27" t="s">
        <v>1449</v>
      </c>
      <c r="D5644" s="27" t="s">
        <v>1450</v>
      </c>
      <c r="F5644" s="27" t="s">
        <v>1453</v>
      </c>
      <c r="H5644" s="27" t="s">
        <v>1454</v>
      </c>
      <c r="N5644" s="27" t="s">
        <v>1294</v>
      </c>
      <c r="P5644" s="27" t="s">
        <v>12150</v>
      </c>
      <c r="Q5644" s="26" t="str">
        <f>HYPERLINK("https://ictv.global/taxonomy/taxondetails?taxnode_id=202519077&amp;ictv_id=ICTV202319077","ICTV202319077")</f>
        <v>ICTV202319077</v>
      </c>
      <c r="R5644" t="s">
        <v>579</v>
      </c>
      <c r="S5644" t="s">
        <v>823</v>
      </c>
      <c r="T5644">
        <v>39</v>
      </c>
      <c r="U5644" s="26" t="str">
        <f>HYPERLINK("https://ictv.global/ictv/proposals/2023.034B.Hollowayvirus_5ns.zip","2023.034B.Hollowayvirus_5ns.zip")</f>
        <v>2023.034B.Hollowayvirus_5ns.zip</v>
      </c>
    </row>
    <row r="5645" spans="1:21">
      <c r="A5645">
        <v>5644</v>
      </c>
      <c r="B5645" s="27" t="s">
        <v>1449</v>
      </c>
      <c r="D5645" s="27" t="s">
        <v>1450</v>
      </c>
      <c r="F5645" s="27" t="s">
        <v>1453</v>
      </c>
      <c r="H5645" s="27" t="s">
        <v>1454</v>
      </c>
      <c r="N5645" s="27" t="s">
        <v>1294</v>
      </c>
      <c r="P5645" s="27" t="s">
        <v>12151</v>
      </c>
      <c r="Q5645" s="26" t="str">
        <f>HYPERLINK("https://ictv.global/taxonomy/taxondetails?taxnode_id=202519074&amp;ictv_id=ICTV202319074","ICTV202319074")</f>
        <v>ICTV202319074</v>
      </c>
      <c r="R5645" t="s">
        <v>579</v>
      </c>
      <c r="S5645" t="s">
        <v>823</v>
      </c>
      <c r="T5645">
        <v>39</v>
      </c>
      <c r="U5645" s="26" t="str">
        <f>HYPERLINK("https://ictv.global/ictv/proposals/2023.034B.Hollowayvirus_5ns.zip","2023.034B.Hollowayvirus_5ns.zip")</f>
        <v>2023.034B.Hollowayvirus_5ns.zip</v>
      </c>
    </row>
    <row r="5646" spans="1:21">
      <c r="A5646">
        <v>5645</v>
      </c>
      <c r="B5646" s="27" t="s">
        <v>1449</v>
      </c>
      <c r="D5646" s="27" t="s">
        <v>1450</v>
      </c>
      <c r="F5646" s="27" t="s">
        <v>1453</v>
      </c>
      <c r="H5646" s="27" t="s">
        <v>1454</v>
      </c>
      <c r="N5646" s="27" t="s">
        <v>1294</v>
      </c>
      <c r="P5646" s="27" t="s">
        <v>12152</v>
      </c>
      <c r="Q5646" s="26" t="str">
        <f>HYPERLINK("https://ictv.global/taxonomy/taxondetails?taxnode_id=202519076&amp;ictv_id=ICTV202319076","ICTV202319076")</f>
        <v>ICTV202319076</v>
      </c>
      <c r="R5646" t="s">
        <v>579</v>
      </c>
      <c r="S5646" t="s">
        <v>823</v>
      </c>
      <c r="T5646">
        <v>39</v>
      </c>
      <c r="U5646" s="26" t="str">
        <f>HYPERLINK("https://ictv.global/ictv/proposals/2023.034B.Hollowayvirus_5ns.zip","2023.034B.Hollowayvirus_5ns.zip")</f>
        <v>2023.034B.Hollowayvirus_5ns.zip</v>
      </c>
    </row>
    <row r="5647" spans="1:21">
      <c r="A5647">
        <v>5646</v>
      </c>
      <c r="B5647" s="27" t="s">
        <v>1449</v>
      </c>
      <c r="D5647" s="27" t="s">
        <v>1450</v>
      </c>
      <c r="F5647" s="27" t="s">
        <v>1453</v>
      </c>
      <c r="H5647" s="27" t="s">
        <v>1454</v>
      </c>
      <c r="N5647" s="27" t="s">
        <v>1370</v>
      </c>
      <c r="P5647" s="27" t="s">
        <v>7142</v>
      </c>
      <c r="Q5647" s="26" t="str">
        <f>HYPERLINK("https://ictv.global/taxonomy/taxondetails?taxnode_id=202506830&amp;ictv_id=ICTV201856830","ICTV201856830")</f>
        <v>ICTV201856830</v>
      </c>
      <c r="R5647" t="s">
        <v>579</v>
      </c>
      <c r="S5647" t="s">
        <v>824</v>
      </c>
      <c r="T5647">
        <v>37</v>
      </c>
      <c r="U5647" s="26" t="str">
        <f t="shared" ref="U5647:U5653" si="221">HYPERLINK("https://ictv.global/ictv/proposals/2021.010B.R.Binomial_names.zip","2021.010B.R.Binomial_names.zip")</f>
        <v>2021.010B.R.Binomial_names.zip</v>
      </c>
    </row>
    <row r="5648" spans="1:21">
      <c r="A5648">
        <v>5647</v>
      </c>
      <c r="B5648" s="27" t="s">
        <v>1449</v>
      </c>
      <c r="D5648" s="27" t="s">
        <v>1450</v>
      </c>
      <c r="F5648" s="27" t="s">
        <v>1453</v>
      </c>
      <c r="H5648" s="27" t="s">
        <v>1454</v>
      </c>
      <c r="N5648" s="27" t="s">
        <v>1370</v>
      </c>
      <c r="P5648" s="27" t="s">
        <v>7143</v>
      </c>
      <c r="Q5648" s="26" t="str">
        <f>HYPERLINK("https://ictv.global/taxonomy/taxondetails?taxnode_id=202506829&amp;ictv_id=ICTV201856829","ICTV201856829")</f>
        <v>ICTV201856829</v>
      </c>
      <c r="R5648" t="s">
        <v>579</v>
      </c>
      <c r="S5648" t="s">
        <v>824</v>
      </c>
      <c r="T5648">
        <v>37</v>
      </c>
      <c r="U5648" s="26" t="str">
        <f t="shared" si="221"/>
        <v>2021.010B.R.Binomial_names.zip</v>
      </c>
    </row>
    <row r="5649" spans="1:21">
      <c r="A5649">
        <v>5648</v>
      </c>
      <c r="B5649" s="27" t="s">
        <v>1449</v>
      </c>
      <c r="D5649" s="27" t="s">
        <v>1450</v>
      </c>
      <c r="F5649" s="27" t="s">
        <v>1453</v>
      </c>
      <c r="H5649" s="27" t="s">
        <v>1454</v>
      </c>
      <c r="N5649" s="27" t="s">
        <v>1371</v>
      </c>
      <c r="P5649" s="27" t="s">
        <v>7144</v>
      </c>
      <c r="Q5649" s="26" t="str">
        <f>HYPERLINK("https://ictv.global/taxonomy/taxondetails?taxnode_id=202501111&amp;ictv_id=ICTV20150804","ICTV20150804")</f>
        <v>ICTV20150804</v>
      </c>
      <c r="R5649" t="s">
        <v>579</v>
      </c>
      <c r="S5649" t="s">
        <v>824</v>
      </c>
      <c r="T5649">
        <v>37</v>
      </c>
      <c r="U5649" s="26" t="str">
        <f t="shared" si="221"/>
        <v>2021.010B.R.Binomial_names.zip</v>
      </c>
    </row>
    <row r="5650" spans="1:21">
      <c r="A5650">
        <v>5649</v>
      </c>
      <c r="B5650" s="27" t="s">
        <v>1449</v>
      </c>
      <c r="D5650" s="27" t="s">
        <v>1450</v>
      </c>
      <c r="F5650" s="27" t="s">
        <v>1453</v>
      </c>
      <c r="H5650" s="27" t="s">
        <v>1454</v>
      </c>
      <c r="N5650" s="27" t="s">
        <v>1371</v>
      </c>
      <c r="P5650" s="27" t="s">
        <v>7145</v>
      </c>
      <c r="Q5650" s="26" t="str">
        <f>HYPERLINK("https://ictv.global/taxonomy/taxondetails?taxnode_id=202501112&amp;ictv_id=ICTV20150807","ICTV20150807")</f>
        <v>ICTV20150807</v>
      </c>
      <c r="R5650" t="s">
        <v>579</v>
      </c>
      <c r="S5650" t="s">
        <v>824</v>
      </c>
      <c r="T5650">
        <v>37</v>
      </c>
      <c r="U5650" s="26" t="str">
        <f t="shared" si="221"/>
        <v>2021.010B.R.Binomial_names.zip</v>
      </c>
    </row>
    <row r="5651" spans="1:21">
      <c r="A5651">
        <v>5650</v>
      </c>
      <c r="B5651" s="27" t="s">
        <v>1449</v>
      </c>
      <c r="D5651" s="27" t="s">
        <v>1450</v>
      </c>
      <c r="F5651" s="27" t="s">
        <v>1453</v>
      </c>
      <c r="H5651" s="27" t="s">
        <v>1454</v>
      </c>
      <c r="N5651" s="27" t="s">
        <v>1371</v>
      </c>
      <c r="P5651" s="27" t="s">
        <v>7146</v>
      </c>
      <c r="Q5651" s="26" t="str">
        <f>HYPERLINK("https://ictv.global/taxonomy/taxondetails?taxnode_id=202501113&amp;ictv_id=ICTV20150805","ICTV20150805")</f>
        <v>ICTV20150805</v>
      </c>
      <c r="R5651" t="s">
        <v>579</v>
      </c>
      <c r="S5651" t="s">
        <v>824</v>
      </c>
      <c r="T5651">
        <v>37</v>
      </c>
      <c r="U5651" s="26" t="str">
        <f t="shared" si="221"/>
        <v>2021.010B.R.Binomial_names.zip</v>
      </c>
    </row>
    <row r="5652" spans="1:21">
      <c r="A5652">
        <v>5651</v>
      </c>
      <c r="B5652" s="27" t="s">
        <v>1449</v>
      </c>
      <c r="D5652" s="27" t="s">
        <v>1450</v>
      </c>
      <c r="F5652" s="27" t="s">
        <v>1453</v>
      </c>
      <c r="H5652" s="27" t="s">
        <v>1454</v>
      </c>
      <c r="N5652" s="27" t="s">
        <v>1371</v>
      </c>
      <c r="P5652" s="27" t="s">
        <v>7147</v>
      </c>
      <c r="Q5652" s="26" t="str">
        <f>HYPERLINK("https://ictv.global/taxonomy/taxondetails?taxnode_id=202501114&amp;ictv_id=ICTV20150806","ICTV20150806")</f>
        <v>ICTV20150806</v>
      </c>
      <c r="R5652" t="s">
        <v>579</v>
      </c>
      <c r="S5652" t="s">
        <v>824</v>
      </c>
      <c r="T5652">
        <v>37</v>
      </c>
      <c r="U5652" s="26" t="str">
        <f t="shared" si="221"/>
        <v>2021.010B.R.Binomial_names.zip</v>
      </c>
    </row>
    <row r="5653" spans="1:21">
      <c r="A5653">
        <v>5652</v>
      </c>
      <c r="B5653" s="27" t="s">
        <v>1449</v>
      </c>
      <c r="D5653" s="27" t="s">
        <v>1450</v>
      </c>
      <c r="F5653" s="27" t="s">
        <v>1453</v>
      </c>
      <c r="H5653" s="27" t="s">
        <v>1454</v>
      </c>
      <c r="N5653" s="27" t="s">
        <v>1371</v>
      </c>
      <c r="P5653" s="27" t="s">
        <v>7148</v>
      </c>
      <c r="Q5653" s="26" t="str">
        <f>HYPERLINK("https://ictv.global/taxonomy/taxondetails?taxnode_id=202501115&amp;ictv_id=ICTV20150803","ICTV20150803")</f>
        <v>ICTV20150803</v>
      </c>
      <c r="R5653" t="s">
        <v>579</v>
      </c>
      <c r="S5653" t="s">
        <v>824</v>
      </c>
      <c r="T5653">
        <v>37</v>
      </c>
      <c r="U5653" s="26" t="str">
        <f t="shared" si="221"/>
        <v>2021.010B.R.Binomial_names.zip</v>
      </c>
    </row>
    <row r="5654" spans="1:21">
      <c r="A5654">
        <v>5653</v>
      </c>
      <c r="B5654" s="27" t="s">
        <v>1449</v>
      </c>
      <c r="D5654" s="27" t="s">
        <v>1450</v>
      </c>
      <c r="F5654" s="27" t="s">
        <v>1453</v>
      </c>
      <c r="H5654" s="27" t="s">
        <v>1454</v>
      </c>
      <c r="N5654" s="27" t="s">
        <v>7149</v>
      </c>
      <c r="P5654" s="27" t="s">
        <v>7150</v>
      </c>
      <c r="Q5654" s="26" t="str">
        <f>HYPERLINK("https://ictv.global/taxonomy/taxondetails?taxnode_id=202514922&amp;ictv_id=ICTV202214922","ICTV202214922")</f>
        <v>ICTV202214922</v>
      </c>
      <c r="R5654" t="s">
        <v>579</v>
      </c>
      <c r="S5654" t="s">
        <v>823</v>
      </c>
      <c r="T5654">
        <v>38</v>
      </c>
      <c r="U5654" s="26" t="str">
        <f>HYPERLINK("https://ictv.global/ictv/proposals/2022.084B.Caudoviricetes_6ng_33nsp.zip","2022.084B.Caudoviricetes_6ng_33nsp.zip")</f>
        <v>2022.084B.Caudoviricetes_6ng_33nsp.zip</v>
      </c>
    </row>
    <row r="5655" spans="1:21">
      <c r="A5655">
        <v>5654</v>
      </c>
      <c r="B5655" s="27" t="s">
        <v>1449</v>
      </c>
      <c r="D5655" s="27" t="s">
        <v>1450</v>
      </c>
      <c r="F5655" s="27" t="s">
        <v>1453</v>
      </c>
      <c r="H5655" s="27" t="s">
        <v>1454</v>
      </c>
      <c r="N5655" s="27" t="s">
        <v>7149</v>
      </c>
      <c r="P5655" s="27" t="s">
        <v>7151</v>
      </c>
      <c r="Q5655" s="26" t="str">
        <f>HYPERLINK("https://ictv.global/taxonomy/taxondetails?taxnode_id=202514923&amp;ictv_id=ICTV202214923","ICTV202214923")</f>
        <v>ICTV202214923</v>
      </c>
      <c r="R5655" t="s">
        <v>579</v>
      </c>
      <c r="S5655" t="s">
        <v>823</v>
      </c>
      <c r="T5655">
        <v>38</v>
      </c>
      <c r="U5655" s="26" t="str">
        <f>HYPERLINK("https://ictv.global/ictv/proposals/2022.084B.Caudoviricetes_6ng_33nsp.zip","2022.084B.Caudoviricetes_6ng_33nsp.zip")</f>
        <v>2022.084B.Caudoviricetes_6ng_33nsp.zip</v>
      </c>
    </row>
    <row r="5656" spans="1:21">
      <c r="A5656">
        <v>5655</v>
      </c>
      <c r="B5656" s="27" t="s">
        <v>1449</v>
      </c>
      <c r="D5656" s="27" t="s">
        <v>1450</v>
      </c>
      <c r="F5656" s="27" t="s">
        <v>1453</v>
      </c>
      <c r="H5656" s="27" t="s">
        <v>1454</v>
      </c>
      <c r="N5656" s="27" t="s">
        <v>22009</v>
      </c>
      <c r="P5656" s="27" t="s">
        <v>22010</v>
      </c>
      <c r="Q5656" s="26" t="str">
        <f>HYPERLINK("https://ictv.global/taxonomy/taxondetails?taxnode_id=202522814&amp;ictv_id=ICTV202522814","ICTV202522814")</f>
        <v>ICTV202522814</v>
      </c>
      <c r="R5656" t="s">
        <v>579</v>
      </c>
      <c r="S5656" t="s">
        <v>823</v>
      </c>
      <c r="T5656">
        <v>41</v>
      </c>
      <c r="U5656" s="26" t="str">
        <f>HYPERLINK("https://ictv.global/ictv/proposals/2025.024B.Huairouvirus_1ng_1ns.zip","2025.024B.Huairouvirus_1ng_1ns.zip")</f>
        <v>2025.024B.Huairouvirus_1ng_1ns.zip</v>
      </c>
    </row>
    <row r="5657" spans="1:21">
      <c r="A5657">
        <v>5656</v>
      </c>
      <c r="B5657" s="27" t="s">
        <v>1449</v>
      </c>
      <c r="D5657" s="27" t="s">
        <v>1450</v>
      </c>
      <c r="F5657" s="27" t="s">
        <v>1453</v>
      </c>
      <c r="H5657" s="27" t="s">
        <v>1454</v>
      </c>
      <c r="N5657" s="27" t="s">
        <v>2269</v>
      </c>
      <c r="P5657" s="27" t="s">
        <v>7152</v>
      </c>
      <c r="Q5657" s="26" t="str">
        <f>HYPERLINK("https://ictv.global/taxonomy/taxondetails?taxnode_id=202510133&amp;ictv_id=ICTV202010133","ICTV202010133")</f>
        <v>ICTV202010133</v>
      </c>
      <c r="R5657" t="s">
        <v>579</v>
      </c>
      <c r="S5657" t="s">
        <v>824</v>
      </c>
      <c r="T5657">
        <v>37</v>
      </c>
      <c r="U5657" s="26" t="str">
        <f>HYPERLINK("https://ictv.global/ictv/proposals/2021.010B.R.Binomial_names.zip","2021.010B.R.Binomial_names.zip")</f>
        <v>2021.010B.R.Binomial_names.zip</v>
      </c>
    </row>
    <row r="5658" spans="1:21">
      <c r="A5658">
        <v>5657</v>
      </c>
      <c r="B5658" s="27" t="s">
        <v>1449</v>
      </c>
      <c r="D5658" s="27" t="s">
        <v>1450</v>
      </c>
      <c r="F5658" s="27" t="s">
        <v>1453</v>
      </c>
      <c r="H5658" s="27" t="s">
        <v>1454</v>
      </c>
      <c r="N5658" s="27" t="s">
        <v>2269</v>
      </c>
      <c r="P5658" s="27" t="s">
        <v>7153</v>
      </c>
      <c r="Q5658" s="26" t="str">
        <f>HYPERLINK("https://ictv.global/taxonomy/taxondetails?taxnode_id=202510132&amp;ictv_id=ICTV202010132","ICTV202010132")</f>
        <v>ICTV202010132</v>
      </c>
      <c r="R5658" t="s">
        <v>579</v>
      </c>
      <c r="S5658" t="s">
        <v>824</v>
      </c>
      <c r="T5658">
        <v>37</v>
      </c>
      <c r="U5658" s="26" t="str">
        <f>HYPERLINK("https://ictv.global/ictv/proposals/2021.010B.R.Binomial_names.zip","2021.010B.R.Binomial_names.zip")</f>
        <v>2021.010B.R.Binomial_names.zip</v>
      </c>
    </row>
    <row r="5659" spans="1:21">
      <c r="A5659">
        <v>5658</v>
      </c>
      <c r="B5659" s="27" t="s">
        <v>1449</v>
      </c>
      <c r="D5659" s="27" t="s">
        <v>1450</v>
      </c>
      <c r="F5659" s="27" t="s">
        <v>1453</v>
      </c>
      <c r="H5659" s="27" t="s">
        <v>1454</v>
      </c>
      <c r="N5659" s="27" t="s">
        <v>12153</v>
      </c>
      <c r="P5659" s="27" t="s">
        <v>12154</v>
      </c>
      <c r="Q5659" s="26" t="str">
        <f>HYPERLINK("https://ictv.global/taxonomy/taxondetails?taxnode_id=202518573&amp;ictv_id=ICTV202318573","ICTV202318573")</f>
        <v>ICTV202318573</v>
      </c>
      <c r="R5659" t="s">
        <v>579</v>
      </c>
      <c r="S5659" t="s">
        <v>823</v>
      </c>
      <c r="T5659">
        <v>39</v>
      </c>
      <c r="U5659" s="26" t="str">
        <f>HYPERLINK("https://ictv.global/ictv/proposals/2023.022B.Caudoviricetes_Pseudomonas_7ng.zip","2023.022B.Caudoviricetes_Pseudomonas_7ng.zip")</f>
        <v>2023.022B.Caudoviricetes_Pseudomonas_7ng.zip</v>
      </c>
    </row>
    <row r="5660" spans="1:21">
      <c r="A5660">
        <v>5659</v>
      </c>
      <c r="B5660" s="27" t="s">
        <v>1449</v>
      </c>
      <c r="D5660" s="27" t="s">
        <v>1450</v>
      </c>
      <c r="F5660" s="27" t="s">
        <v>1453</v>
      </c>
      <c r="H5660" s="27" t="s">
        <v>1454</v>
      </c>
      <c r="N5660" s="27" t="s">
        <v>7154</v>
      </c>
      <c r="P5660" s="27" t="s">
        <v>7155</v>
      </c>
      <c r="Q5660" s="26" t="str">
        <f>HYPERLINK("https://ictv.global/taxonomy/taxondetails?taxnode_id=202507995&amp;ictv_id=ICTV201907995","ICTV201907995")</f>
        <v>ICTV201907995</v>
      </c>
      <c r="R5660" t="s">
        <v>579</v>
      </c>
      <c r="S5660" t="s">
        <v>824</v>
      </c>
      <c r="T5660">
        <v>37</v>
      </c>
      <c r="U5660" s="26" t="str">
        <f>HYPERLINK("https://ictv.global/ictv/proposals/2021.069B.R.Rename_Giessenvirus.zip","2021.069B.R.Rename_Giessenvirus.zip")</f>
        <v>2021.069B.R.Rename_Giessenvirus.zip</v>
      </c>
    </row>
    <row r="5661" spans="1:21">
      <c r="A5661">
        <v>5660</v>
      </c>
      <c r="B5661" s="27" t="s">
        <v>1449</v>
      </c>
      <c r="D5661" s="27" t="s">
        <v>1450</v>
      </c>
      <c r="F5661" s="27" t="s">
        <v>1453</v>
      </c>
      <c r="H5661" s="27" t="s">
        <v>1454</v>
      </c>
      <c r="N5661" s="27" t="s">
        <v>2270</v>
      </c>
      <c r="P5661" s="27" t="s">
        <v>7156</v>
      </c>
      <c r="Q5661" s="26" t="str">
        <f>HYPERLINK("https://ictv.global/taxonomy/taxondetails?taxnode_id=202510189&amp;ictv_id=ICTV202010189","ICTV202010189")</f>
        <v>ICTV202010189</v>
      </c>
      <c r="R5661" t="s">
        <v>579</v>
      </c>
      <c r="S5661" t="s">
        <v>824</v>
      </c>
      <c r="T5661">
        <v>37</v>
      </c>
      <c r="U5661" s="26" t="str">
        <f>HYPERLINK("https://ictv.global/ictv/proposals/2021.010B.R.Binomial_names.zip","2021.010B.R.Binomial_names.zip")</f>
        <v>2021.010B.R.Binomial_names.zip</v>
      </c>
    </row>
    <row r="5662" spans="1:21">
      <c r="A5662">
        <v>5661</v>
      </c>
      <c r="B5662" s="27" t="s">
        <v>1449</v>
      </c>
      <c r="D5662" s="27" t="s">
        <v>1450</v>
      </c>
      <c r="F5662" s="27" t="s">
        <v>1453</v>
      </c>
      <c r="H5662" s="27" t="s">
        <v>1454</v>
      </c>
      <c r="N5662" s="27" t="s">
        <v>12155</v>
      </c>
      <c r="P5662" s="27" t="s">
        <v>12156</v>
      </c>
      <c r="Q5662" s="26" t="str">
        <f>HYPERLINK("https://ictv.global/taxonomy/taxondetails?taxnode_id=202517758&amp;ictv_id=ICTV202317758","ICTV202317758")</f>
        <v>ICTV202317758</v>
      </c>
      <c r="R5662" t="s">
        <v>579</v>
      </c>
      <c r="S5662" t="s">
        <v>823</v>
      </c>
      <c r="T5662">
        <v>39</v>
      </c>
      <c r="U5662" s="26" t="str">
        <f>HYPERLINK("https://ictv.global/ictv/proposals/2023.003B.Actinobacteriophage_singletons_25ng.zip","2023.003B.Actinobacteriophage_singletons_25ng.zip")</f>
        <v>2023.003B.Actinobacteriophage_singletons_25ng.zip</v>
      </c>
    </row>
    <row r="5663" spans="1:21">
      <c r="A5663">
        <v>5662</v>
      </c>
      <c r="B5663" s="27" t="s">
        <v>1449</v>
      </c>
      <c r="D5663" s="27" t="s">
        <v>1450</v>
      </c>
      <c r="F5663" s="27" t="s">
        <v>1453</v>
      </c>
      <c r="H5663" s="27" t="s">
        <v>1454</v>
      </c>
      <c r="N5663" s="27" t="s">
        <v>12157</v>
      </c>
      <c r="P5663" s="27" t="s">
        <v>12158</v>
      </c>
      <c r="Q5663" s="26" t="str">
        <f>HYPERLINK("https://ictv.global/taxonomy/taxondetails?taxnode_id=202517759&amp;ictv_id=ICTV202317759","ICTV202317759")</f>
        <v>ICTV202317759</v>
      </c>
      <c r="R5663" t="s">
        <v>579</v>
      </c>
      <c r="S5663" t="s">
        <v>823</v>
      </c>
      <c r="T5663">
        <v>39</v>
      </c>
      <c r="U5663" s="26" t="str">
        <f>HYPERLINK("https://ictv.global/ictv/proposals/2023.003B.Actinobacteriophage_singletons_25ng.zip","2023.003B.Actinobacteriophage_singletons_25ng.zip")</f>
        <v>2023.003B.Actinobacteriophage_singletons_25ng.zip</v>
      </c>
    </row>
    <row r="5664" spans="1:21">
      <c r="A5664">
        <v>5663</v>
      </c>
      <c r="B5664" s="27" t="s">
        <v>1449</v>
      </c>
      <c r="D5664" s="27" t="s">
        <v>1450</v>
      </c>
      <c r="F5664" s="27" t="s">
        <v>1453</v>
      </c>
      <c r="H5664" s="27" t="s">
        <v>1454</v>
      </c>
      <c r="N5664" s="27" t="s">
        <v>12159</v>
      </c>
      <c r="P5664" s="27" t="s">
        <v>12160</v>
      </c>
      <c r="Q5664" s="26" t="str">
        <f>HYPERLINK("https://ictv.global/taxonomy/taxondetails?taxnode_id=202519081&amp;ictv_id=ICTV202319081","ICTV202319081")</f>
        <v>ICTV202319081</v>
      </c>
      <c r="R5664" t="s">
        <v>579</v>
      </c>
      <c r="S5664" t="s">
        <v>823</v>
      </c>
      <c r="T5664">
        <v>39</v>
      </c>
      <c r="U5664" s="26" t="str">
        <f t="shared" ref="U5664:U5671" si="222">HYPERLINK("https://ictv.global/ictv/proposals/2023.035B.Ignaciovirus_ng.zip","2023.035B.Ignaciovirus_ng.zip")</f>
        <v>2023.035B.Ignaciovirus_ng.zip</v>
      </c>
    </row>
    <row r="5665" spans="1:21">
      <c r="A5665">
        <v>5664</v>
      </c>
      <c r="B5665" s="27" t="s">
        <v>1449</v>
      </c>
      <c r="D5665" s="27" t="s">
        <v>1450</v>
      </c>
      <c r="F5665" s="27" t="s">
        <v>1453</v>
      </c>
      <c r="H5665" s="27" t="s">
        <v>1454</v>
      </c>
      <c r="N5665" s="27" t="s">
        <v>12159</v>
      </c>
      <c r="P5665" s="27" t="s">
        <v>12161</v>
      </c>
      <c r="Q5665" s="26" t="str">
        <f>HYPERLINK("https://ictv.global/taxonomy/taxondetails?taxnode_id=202519084&amp;ictv_id=ICTV202319084","ICTV202319084")</f>
        <v>ICTV202319084</v>
      </c>
      <c r="R5665" t="s">
        <v>579</v>
      </c>
      <c r="S5665" t="s">
        <v>823</v>
      </c>
      <c r="T5665">
        <v>39</v>
      </c>
      <c r="U5665" s="26" t="str">
        <f t="shared" si="222"/>
        <v>2023.035B.Ignaciovirus_ng.zip</v>
      </c>
    </row>
    <row r="5666" spans="1:21">
      <c r="A5666">
        <v>5665</v>
      </c>
      <c r="B5666" s="27" t="s">
        <v>1449</v>
      </c>
      <c r="D5666" s="27" t="s">
        <v>1450</v>
      </c>
      <c r="F5666" s="27" t="s">
        <v>1453</v>
      </c>
      <c r="H5666" s="27" t="s">
        <v>1454</v>
      </c>
      <c r="N5666" s="27" t="s">
        <v>12159</v>
      </c>
      <c r="P5666" s="27" t="s">
        <v>12162</v>
      </c>
      <c r="Q5666" s="26" t="str">
        <f>HYPERLINK("https://ictv.global/taxonomy/taxondetails?taxnode_id=202519086&amp;ictv_id=ICTV202319086","ICTV202319086")</f>
        <v>ICTV202319086</v>
      </c>
      <c r="R5666" t="s">
        <v>579</v>
      </c>
      <c r="S5666" t="s">
        <v>823</v>
      </c>
      <c r="T5666">
        <v>39</v>
      </c>
      <c r="U5666" s="26" t="str">
        <f t="shared" si="222"/>
        <v>2023.035B.Ignaciovirus_ng.zip</v>
      </c>
    </row>
    <row r="5667" spans="1:21">
      <c r="A5667">
        <v>5666</v>
      </c>
      <c r="B5667" s="27" t="s">
        <v>1449</v>
      </c>
      <c r="D5667" s="27" t="s">
        <v>1450</v>
      </c>
      <c r="F5667" s="27" t="s">
        <v>1453</v>
      </c>
      <c r="H5667" s="27" t="s">
        <v>1454</v>
      </c>
      <c r="N5667" s="27" t="s">
        <v>12159</v>
      </c>
      <c r="P5667" s="27" t="s">
        <v>12163</v>
      </c>
      <c r="Q5667" s="26" t="str">
        <f>HYPERLINK("https://ictv.global/taxonomy/taxondetails?taxnode_id=202519080&amp;ictv_id=ICTV202319080","ICTV202319080")</f>
        <v>ICTV202319080</v>
      </c>
      <c r="R5667" t="s">
        <v>579</v>
      </c>
      <c r="S5667" t="s">
        <v>823</v>
      </c>
      <c r="T5667">
        <v>39</v>
      </c>
      <c r="U5667" s="26" t="str">
        <f t="shared" si="222"/>
        <v>2023.035B.Ignaciovirus_ng.zip</v>
      </c>
    </row>
    <row r="5668" spans="1:21">
      <c r="A5668">
        <v>5667</v>
      </c>
      <c r="B5668" s="27" t="s">
        <v>1449</v>
      </c>
      <c r="D5668" s="27" t="s">
        <v>1450</v>
      </c>
      <c r="F5668" s="27" t="s">
        <v>1453</v>
      </c>
      <c r="H5668" s="27" t="s">
        <v>1454</v>
      </c>
      <c r="N5668" s="27" t="s">
        <v>12159</v>
      </c>
      <c r="P5668" s="27" t="s">
        <v>12164</v>
      </c>
      <c r="Q5668" s="26" t="str">
        <f>HYPERLINK("https://ictv.global/taxonomy/taxondetails?taxnode_id=202519083&amp;ictv_id=ICTV202319083","ICTV202319083")</f>
        <v>ICTV202319083</v>
      </c>
      <c r="R5668" t="s">
        <v>579</v>
      </c>
      <c r="S5668" t="s">
        <v>823</v>
      </c>
      <c r="T5668">
        <v>39</v>
      </c>
      <c r="U5668" s="26" t="str">
        <f t="shared" si="222"/>
        <v>2023.035B.Ignaciovirus_ng.zip</v>
      </c>
    </row>
    <row r="5669" spans="1:21">
      <c r="A5669">
        <v>5668</v>
      </c>
      <c r="B5669" s="27" t="s">
        <v>1449</v>
      </c>
      <c r="D5669" s="27" t="s">
        <v>1450</v>
      </c>
      <c r="F5669" s="27" t="s">
        <v>1453</v>
      </c>
      <c r="H5669" s="27" t="s">
        <v>1454</v>
      </c>
      <c r="N5669" s="27" t="s">
        <v>12159</v>
      </c>
      <c r="P5669" s="27" t="s">
        <v>12165</v>
      </c>
      <c r="Q5669" s="26" t="str">
        <f>HYPERLINK("https://ictv.global/taxonomy/taxondetails?taxnode_id=202519079&amp;ictv_id=ICTV202319079","ICTV202319079")</f>
        <v>ICTV202319079</v>
      </c>
      <c r="R5669" t="s">
        <v>579</v>
      </c>
      <c r="S5669" t="s">
        <v>823</v>
      </c>
      <c r="T5669">
        <v>39</v>
      </c>
      <c r="U5669" s="26" t="str">
        <f t="shared" si="222"/>
        <v>2023.035B.Ignaciovirus_ng.zip</v>
      </c>
    </row>
    <row r="5670" spans="1:21">
      <c r="A5670">
        <v>5669</v>
      </c>
      <c r="B5670" s="27" t="s">
        <v>1449</v>
      </c>
      <c r="D5670" s="27" t="s">
        <v>1450</v>
      </c>
      <c r="F5670" s="27" t="s">
        <v>1453</v>
      </c>
      <c r="H5670" s="27" t="s">
        <v>1454</v>
      </c>
      <c r="N5670" s="27" t="s">
        <v>12159</v>
      </c>
      <c r="P5670" s="27" t="s">
        <v>12166</v>
      </c>
      <c r="Q5670" s="26" t="str">
        <f>HYPERLINK("https://ictv.global/taxonomy/taxondetails?taxnode_id=202519085&amp;ictv_id=ICTV202319085","ICTV202319085")</f>
        <v>ICTV202319085</v>
      </c>
      <c r="R5670" t="s">
        <v>579</v>
      </c>
      <c r="S5670" t="s">
        <v>823</v>
      </c>
      <c r="T5670">
        <v>39</v>
      </c>
      <c r="U5670" s="26" t="str">
        <f t="shared" si="222"/>
        <v>2023.035B.Ignaciovirus_ng.zip</v>
      </c>
    </row>
    <row r="5671" spans="1:21">
      <c r="A5671">
        <v>5670</v>
      </c>
      <c r="B5671" s="27" t="s">
        <v>1449</v>
      </c>
      <c r="D5671" s="27" t="s">
        <v>1450</v>
      </c>
      <c r="F5671" s="27" t="s">
        <v>1453</v>
      </c>
      <c r="H5671" s="27" t="s">
        <v>1454</v>
      </c>
      <c r="N5671" s="27" t="s">
        <v>12159</v>
      </c>
      <c r="P5671" s="27" t="s">
        <v>12167</v>
      </c>
      <c r="Q5671" s="26" t="str">
        <f>HYPERLINK("https://ictv.global/taxonomy/taxondetails?taxnode_id=202519082&amp;ictv_id=ICTV202319082","ICTV202319082")</f>
        <v>ICTV202319082</v>
      </c>
      <c r="R5671" t="s">
        <v>579</v>
      </c>
      <c r="S5671" t="s">
        <v>823</v>
      </c>
      <c r="T5671">
        <v>39</v>
      </c>
      <c r="U5671" s="26" t="str">
        <f t="shared" si="222"/>
        <v>2023.035B.Ignaciovirus_ng.zip</v>
      </c>
    </row>
    <row r="5672" spans="1:21">
      <c r="A5672">
        <v>5671</v>
      </c>
      <c r="B5672" s="27" t="s">
        <v>1449</v>
      </c>
      <c r="D5672" s="27" t="s">
        <v>1450</v>
      </c>
      <c r="F5672" s="27" t="s">
        <v>1453</v>
      </c>
      <c r="H5672" s="27" t="s">
        <v>1454</v>
      </c>
      <c r="N5672" s="27" t="s">
        <v>1372</v>
      </c>
      <c r="P5672" s="27" t="s">
        <v>7161</v>
      </c>
      <c r="Q5672" s="26" t="str">
        <f>HYPERLINK("https://ictv.global/taxonomy/taxondetails?taxnode_id=202506771&amp;ictv_id=ICTV201856771","ICTV201856771")</f>
        <v>ICTV201856771</v>
      </c>
      <c r="R5672" t="s">
        <v>579</v>
      </c>
      <c r="S5672" t="s">
        <v>824</v>
      </c>
      <c r="T5672">
        <v>37</v>
      </c>
      <c r="U5672" s="26" t="str">
        <f>HYPERLINK("https://ictv.global/ictv/proposals/2021.010B.R.Binomial_names.zip","2021.010B.R.Binomial_names.zip")</f>
        <v>2021.010B.R.Binomial_names.zip</v>
      </c>
    </row>
    <row r="5673" spans="1:21">
      <c r="A5673">
        <v>5672</v>
      </c>
      <c r="B5673" s="27" t="s">
        <v>1449</v>
      </c>
      <c r="D5673" s="27" t="s">
        <v>1450</v>
      </c>
      <c r="F5673" s="27" t="s">
        <v>1453</v>
      </c>
      <c r="H5673" s="27" t="s">
        <v>1454</v>
      </c>
      <c r="N5673" s="27" t="s">
        <v>1372</v>
      </c>
      <c r="P5673" s="27" t="s">
        <v>7162</v>
      </c>
      <c r="Q5673" s="26" t="str">
        <f>HYPERLINK("https://ictv.global/taxonomy/taxondetails?taxnode_id=202506772&amp;ictv_id=ICTV201856772","ICTV201856772")</f>
        <v>ICTV201856772</v>
      </c>
      <c r="R5673" t="s">
        <v>579</v>
      </c>
      <c r="S5673" t="s">
        <v>824</v>
      </c>
      <c r="T5673">
        <v>37</v>
      </c>
      <c r="U5673" s="26" t="str">
        <f>HYPERLINK("https://ictv.global/ictv/proposals/2021.010B.R.Binomial_names.zip","2021.010B.R.Binomial_names.zip")</f>
        <v>2021.010B.R.Binomial_names.zip</v>
      </c>
    </row>
    <row r="5674" spans="1:21">
      <c r="A5674">
        <v>5673</v>
      </c>
      <c r="B5674" s="27" t="s">
        <v>1449</v>
      </c>
      <c r="D5674" s="27" t="s">
        <v>1450</v>
      </c>
      <c r="F5674" s="27" t="s">
        <v>1453</v>
      </c>
      <c r="H5674" s="27" t="s">
        <v>1454</v>
      </c>
      <c r="N5674" s="27" t="s">
        <v>22004</v>
      </c>
      <c r="P5674" s="27" t="s">
        <v>22007</v>
      </c>
      <c r="Q5674" s="26" t="str">
        <f>HYPERLINK("https://ictv.global/taxonomy/taxondetails?taxnode_id=202522812&amp;ictv_id=ICTV202522812","ICTV202522812")</f>
        <v>ICTV202522812</v>
      </c>
      <c r="R5674" t="s">
        <v>579</v>
      </c>
      <c r="S5674" t="s">
        <v>823</v>
      </c>
      <c r="T5674">
        <v>41</v>
      </c>
      <c r="U5674" s="26" t="str">
        <f>HYPERLINK("https://ictv.global/ictv/proposals/2025.023B.Illiduovirus_1ng_3ns.zip","2025.023B.Illiduovirus_1ng_3ns.zip")</f>
        <v>2025.023B.Illiduovirus_1ng_3ns.zip</v>
      </c>
    </row>
    <row r="5675" spans="1:21">
      <c r="A5675">
        <v>5674</v>
      </c>
      <c r="B5675" s="27" t="s">
        <v>1449</v>
      </c>
      <c r="D5675" s="27" t="s">
        <v>1450</v>
      </c>
      <c r="F5675" s="27" t="s">
        <v>1453</v>
      </c>
      <c r="H5675" s="27" t="s">
        <v>1454</v>
      </c>
      <c r="N5675" s="27" t="s">
        <v>22004</v>
      </c>
      <c r="P5675" s="27" t="s">
        <v>22005</v>
      </c>
      <c r="Q5675" s="26" t="str">
        <f>HYPERLINK("https://ictv.global/taxonomy/taxondetails?taxnode_id=202522810&amp;ictv_id=ICTV202522810","ICTV202522810")</f>
        <v>ICTV202522810</v>
      </c>
      <c r="R5675" t="s">
        <v>579</v>
      </c>
      <c r="S5675" t="s">
        <v>823</v>
      </c>
      <c r="T5675">
        <v>41</v>
      </c>
      <c r="U5675" s="26" t="str">
        <f>HYPERLINK("https://ictv.global/ictv/proposals/2025.023B.Illiduovirus_1ng_3ns.zip","2025.023B.Illiduovirus_1ng_3ns.zip")</f>
        <v>2025.023B.Illiduovirus_1ng_3ns.zip</v>
      </c>
    </row>
    <row r="5676" spans="1:21">
      <c r="A5676">
        <v>5675</v>
      </c>
      <c r="B5676" s="27" t="s">
        <v>1449</v>
      </c>
      <c r="D5676" s="27" t="s">
        <v>1450</v>
      </c>
      <c r="F5676" s="27" t="s">
        <v>1453</v>
      </c>
      <c r="H5676" s="27" t="s">
        <v>1454</v>
      </c>
      <c r="N5676" s="27" t="s">
        <v>22004</v>
      </c>
      <c r="P5676" s="27" t="s">
        <v>22006</v>
      </c>
      <c r="Q5676" s="26" t="str">
        <f>HYPERLINK("https://ictv.global/taxonomy/taxondetails?taxnode_id=202522811&amp;ictv_id=ICTV202522811","ICTV202522811")</f>
        <v>ICTV202522811</v>
      </c>
      <c r="R5676" t="s">
        <v>579</v>
      </c>
      <c r="S5676" t="s">
        <v>823</v>
      </c>
      <c r="T5676">
        <v>41</v>
      </c>
      <c r="U5676" s="26" t="str">
        <f>HYPERLINK("https://ictv.global/ictv/proposals/2025.023B.Illiduovirus_1ng_3ns.zip","2025.023B.Illiduovirus_1ng_3ns.zip")</f>
        <v>2025.023B.Illiduovirus_1ng_3ns.zip</v>
      </c>
    </row>
    <row r="5677" spans="1:21">
      <c r="A5677">
        <v>5676</v>
      </c>
      <c r="B5677" s="27" t="s">
        <v>1449</v>
      </c>
      <c r="D5677" s="27" t="s">
        <v>1450</v>
      </c>
      <c r="F5677" s="27" t="s">
        <v>1453</v>
      </c>
      <c r="H5677" s="27" t="s">
        <v>1454</v>
      </c>
      <c r="N5677" s="27" t="s">
        <v>1373</v>
      </c>
      <c r="P5677" s="27" t="s">
        <v>7163</v>
      </c>
      <c r="Q5677" s="26" t="str">
        <f>HYPERLINK("https://ictv.global/taxonomy/taxondetails?taxnode_id=202506742&amp;ictv_id=ICTV201856742","ICTV201856742")</f>
        <v>ICTV201856742</v>
      </c>
      <c r="R5677" t="s">
        <v>579</v>
      </c>
      <c r="S5677" t="s">
        <v>824</v>
      </c>
      <c r="T5677">
        <v>37</v>
      </c>
      <c r="U5677" s="26" t="str">
        <f>HYPERLINK("https://ictv.global/ictv/proposals/2021.010B.R.Binomial_names.zip","2021.010B.R.Binomial_names.zip")</f>
        <v>2021.010B.R.Binomial_names.zip</v>
      </c>
    </row>
    <row r="5678" spans="1:21">
      <c r="A5678">
        <v>5677</v>
      </c>
      <c r="B5678" s="27" t="s">
        <v>1449</v>
      </c>
      <c r="D5678" s="27" t="s">
        <v>1450</v>
      </c>
      <c r="F5678" s="27" t="s">
        <v>1453</v>
      </c>
      <c r="H5678" s="27" t="s">
        <v>1454</v>
      </c>
      <c r="N5678" s="27" t="s">
        <v>1373</v>
      </c>
      <c r="P5678" s="27" t="s">
        <v>7164</v>
      </c>
      <c r="Q5678" s="26" t="str">
        <f>HYPERLINK("https://ictv.global/taxonomy/taxondetails?taxnode_id=202506741&amp;ictv_id=ICTV201856741","ICTV201856741")</f>
        <v>ICTV201856741</v>
      </c>
      <c r="R5678" t="s">
        <v>579</v>
      </c>
      <c r="S5678" t="s">
        <v>824</v>
      </c>
      <c r="T5678">
        <v>37</v>
      </c>
      <c r="U5678" s="26" t="str">
        <f>HYPERLINK("https://ictv.global/ictv/proposals/2021.010B.R.Binomial_names.zip","2021.010B.R.Binomial_names.zip")</f>
        <v>2021.010B.R.Binomial_names.zip</v>
      </c>
    </row>
    <row r="5679" spans="1:21">
      <c r="A5679">
        <v>5678</v>
      </c>
      <c r="B5679" s="27" t="s">
        <v>1449</v>
      </c>
      <c r="D5679" s="27" t="s">
        <v>1450</v>
      </c>
      <c r="F5679" s="27" t="s">
        <v>1453</v>
      </c>
      <c r="H5679" s="27" t="s">
        <v>1454</v>
      </c>
      <c r="N5679" s="27" t="s">
        <v>1373</v>
      </c>
      <c r="P5679" s="27" t="s">
        <v>7165</v>
      </c>
      <c r="Q5679" s="26" t="str">
        <f>HYPERLINK("https://ictv.global/taxonomy/taxondetails?taxnode_id=202510134&amp;ictv_id=ICTV202010134","ICTV202010134")</f>
        <v>ICTV202010134</v>
      </c>
      <c r="R5679" t="s">
        <v>579</v>
      </c>
      <c r="S5679" t="s">
        <v>824</v>
      </c>
      <c r="T5679">
        <v>37</v>
      </c>
      <c r="U5679" s="26" t="str">
        <f>HYPERLINK("https://ictv.global/ictv/proposals/2021.010B.R.Binomial_names.zip","2021.010B.R.Binomial_names.zip")</f>
        <v>2021.010B.R.Binomial_names.zip</v>
      </c>
    </row>
    <row r="5680" spans="1:21">
      <c r="A5680">
        <v>5679</v>
      </c>
      <c r="B5680" s="27" t="s">
        <v>1449</v>
      </c>
      <c r="D5680" s="27" t="s">
        <v>1450</v>
      </c>
      <c r="F5680" s="27" t="s">
        <v>1453</v>
      </c>
      <c r="H5680" s="27" t="s">
        <v>1454</v>
      </c>
      <c r="N5680" s="27" t="s">
        <v>1373</v>
      </c>
      <c r="P5680" s="27" t="s">
        <v>7166</v>
      </c>
      <c r="Q5680" s="26" t="str">
        <f>HYPERLINK("https://ictv.global/taxonomy/taxondetails?taxnode_id=202510135&amp;ictv_id=ICTV202010135","ICTV202010135")</f>
        <v>ICTV202010135</v>
      </c>
      <c r="R5680" t="s">
        <v>579</v>
      </c>
      <c r="S5680" t="s">
        <v>824</v>
      </c>
      <c r="T5680">
        <v>37</v>
      </c>
      <c r="U5680" s="26" t="str">
        <f>HYPERLINK("https://ictv.global/ictv/proposals/2021.010B.R.Binomial_names.zip","2021.010B.R.Binomial_names.zip")</f>
        <v>2021.010B.R.Binomial_names.zip</v>
      </c>
    </row>
    <row r="5681" spans="1:21">
      <c r="A5681">
        <v>5680</v>
      </c>
      <c r="B5681" s="27" t="s">
        <v>1449</v>
      </c>
      <c r="D5681" s="27" t="s">
        <v>1450</v>
      </c>
      <c r="F5681" s="27" t="s">
        <v>1453</v>
      </c>
      <c r="H5681" s="27" t="s">
        <v>1454</v>
      </c>
      <c r="N5681" s="27" t="s">
        <v>1373</v>
      </c>
      <c r="P5681" s="27" t="s">
        <v>7167</v>
      </c>
      <c r="Q5681" s="26" t="str">
        <f>HYPERLINK("https://ictv.global/taxonomy/taxondetails?taxnode_id=202510136&amp;ictv_id=ICTV202010136","ICTV202010136")</f>
        <v>ICTV202010136</v>
      </c>
      <c r="R5681" t="s">
        <v>579</v>
      </c>
      <c r="S5681" t="s">
        <v>824</v>
      </c>
      <c r="T5681">
        <v>37</v>
      </c>
      <c r="U5681" s="26" t="str">
        <f>HYPERLINK("https://ictv.global/ictv/proposals/2021.010B.R.Binomial_names.zip","2021.010B.R.Binomial_names.zip")</f>
        <v>2021.010B.R.Binomial_names.zip</v>
      </c>
    </row>
    <row r="5682" spans="1:21">
      <c r="A5682">
        <v>5681</v>
      </c>
      <c r="B5682" s="27" t="s">
        <v>1449</v>
      </c>
      <c r="D5682" s="27" t="s">
        <v>1450</v>
      </c>
      <c r="F5682" s="27" t="s">
        <v>1453</v>
      </c>
      <c r="H5682" s="27" t="s">
        <v>1454</v>
      </c>
      <c r="N5682" s="27" t="s">
        <v>7168</v>
      </c>
      <c r="P5682" s="27" t="s">
        <v>7169</v>
      </c>
      <c r="Q5682" s="26" t="str">
        <f>HYPERLINK("https://ictv.global/taxonomy/taxondetails?taxnode_id=202513528&amp;ictv_id=ICTV202113528","ICTV202113528")</f>
        <v>ICTV202113528</v>
      </c>
      <c r="R5682" t="s">
        <v>579</v>
      </c>
      <c r="S5682" t="s">
        <v>823</v>
      </c>
      <c r="T5682">
        <v>37</v>
      </c>
      <c r="U5682" s="26" t="str">
        <f>HYPERLINK("https://ictv.global/ictv/proposals/2021.028B.R.Flavobacterium_phages_new_genera.zip","2021.028B.R.Flavobacterium_phages_new_genera.zip")</f>
        <v>2021.028B.R.Flavobacterium_phages_new_genera.zip</v>
      </c>
    </row>
    <row r="5683" spans="1:21">
      <c r="A5683">
        <v>5682</v>
      </c>
      <c r="B5683" s="27" t="s">
        <v>1449</v>
      </c>
      <c r="D5683" s="27" t="s">
        <v>1450</v>
      </c>
      <c r="F5683" s="27" t="s">
        <v>1453</v>
      </c>
      <c r="H5683" s="27" t="s">
        <v>1454</v>
      </c>
      <c r="N5683" s="27" t="s">
        <v>7170</v>
      </c>
      <c r="P5683" s="27" t="s">
        <v>7171</v>
      </c>
      <c r="Q5683" s="26" t="str">
        <f>HYPERLINK("https://ictv.global/taxonomy/taxondetails?taxnode_id=202501102&amp;ictv_id=ICTV20165017","ICTV20165017")</f>
        <v>ICTV20165017</v>
      </c>
      <c r="R5683" t="s">
        <v>579</v>
      </c>
      <c r="S5683" t="s">
        <v>824</v>
      </c>
      <c r="T5683">
        <v>38</v>
      </c>
      <c r="U5683" s="26" t="str">
        <f>HYPERLINK("https://ictv.global/ictv/proposals/2022.030B.Error_correction.zip","2022.030B.Error_correction.zip")</f>
        <v>2022.030B.Error_correction.zip</v>
      </c>
    </row>
    <row r="5684" spans="1:21">
      <c r="A5684">
        <v>5683</v>
      </c>
      <c r="B5684" s="27" t="s">
        <v>1449</v>
      </c>
      <c r="D5684" s="27" t="s">
        <v>1450</v>
      </c>
      <c r="F5684" s="27" t="s">
        <v>1453</v>
      </c>
      <c r="H5684" s="27" t="s">
        <v>1454</v>
      </c>
      <c r="N5684" s="27" t="s">
        <v>7170</v>
      </c>
      <c r="P5684" s="27" t="s">
        <v>7172</v>
      </c>
      <c r="Q5684" s="26" t="str">
        <f>HYPERLINK("https://ictv.global/taxonomy/taxondetails?taxnode_id=202501103&amp;ictv_id=ICTV20165018","ICTV20165018")</f>
        <v>ICTV20165018</v>
      </c>
      <c r="R5684" t="s">
        <v>579</v>
      </c>
      <c r="S5684" t="s">
        <v>824</v>
      </c>
      <c r="T5684">
        <v>38</v>
      </c>
      <c r="U5684" s="26" t="str">
        <f>HYPERLINK("https://ictv.global/ictv/proposals/2022.030B.Error_correction.zip","2022.030B.Error_correction.zip")</f>
        <v>2022.030B.Error_correction.zip</v>
      </c>
    </row>
    <row r="5685" spans="1:21">
      <c r="A5685">
        <v>5684</v>
      </c>
      <c r="B5685" s="27" t="s">
        <v>1449</v>
      </c>
      <c r="D5685" s="27" t="s">
        <v>1450</v>
      </c>
      <c r="F5685" s="27" t="s">
        <v>1453</v>
      </c>
      <c r="H5685" s="27" t="s">
        <v>1454</v>
      </c>
      <c r="N5685" s="27" t="s">
        <v>2271</v>
      </c>
      <c r="P5685" s="27" t="s">
        <v>7173</v>
      </c>
      <c r="Q5685" s="26" t="str">
        <f>HYPERLINK("https://ictv.global/taxonomy/taxondetails?taxnode_id=202509915&amp;ictv_id=ICTV202009915","ICTV202009915")</f>
        <v>ICTV202009915</v>
      </c>
      <c r="R5685" t="s">
        <v>579</v>
      </c>
      <c r="S5685" t="s">
        <v>824</v>
      </c>
      <c r="T5685">
        <v>37</v>
      </c>
      <c r="U5685" s="26" t="str">
        <f>HYPERLINK("https://ictv.global/ictv/proposals/2021.010B.R.Binomial_names.zip","2021.010B.R.Binomial_names.zip")</f>
        <v>2021.010B.R.Binomial_names.zip</v>
      </c>
    </row>
    <row r="5686" spans="1:21">
      <c r="A5686">
        <v>5685</v>
      </c>
      <c r="B5686" s="27" t="s">
        <v>1449</v>
      </c>
      <c r="D5686" s="27" t="s">
        <v>1450</v>
      </c>
      <c r="F5686" s="27" t="s">
        <v>1453</v>
      </c>
      <c r="H5686" s="27" t="s">
        <v>1454</v>
      </c>
      <c r="N5686" s="27" t="s">
        <v>1374</v>
      </c>
      <c r="P5686" s="27" t="s">
        <v>7174</v>
      </c>
      <c r="Q5686" s="26" t="str">
        <f>HYPERLINK("https://ictv.global/taxonomy/taxondetails?taxnode_id=202501105&amp;ictv_id=ICTV20165019","ICTV20165019")</f>
        <v>ICTV20165019</v>
      </c>
      <c r="R5686" t="s">
        <v>579</v>
      </c>
      <c r="S5686" t="s">
        <v>824</v>
      </c>
      <c r="T5686">
        <v>37</v>
      </c>
      <c r="U5686" s="26" t="str">
        <f>HYPERLINK("https://ictv.global/ictv/proposals/2021.010B.R.Binomial_names.zip","2021.010B.R.Binomial_names.zip")</f>
        <v>2021.010B.R.Binomial_names.zip</v>
      </c>
    </row>
    <row r="5687" spans="1:21">
      <c r="A5687">
        <v>5686</v>
      </c>
      <c r="B5687" s="27" t="s">
        <v>1449</v>
      </c>
      <c r="D5687" s="27" t="s">
        <v>1450</v>
      </c>
      <c r="F5687" s="27" t="s">
        <v>1453</v>
      </c>
      <c r="H5687" s="27" t="s">
        <v>1454</v>
      </c>
      <c r="N5687" s="27" t="s">
        <v>1374</v>
      </c>
      <c r="P5687" s="27" t="s">
        <v>7175</v>
      </c>
      <c r="Q5687" s="26" t="str">
        <f>HYPERLINK("https://ictv.global/taxonomy/taxondetails?taxnode_id=202501106&amp;ictv_id=ICTV20165020","ICTV20165020")</f>
        <v>ICTV20165020</v>
      </c>
      <c r="R5687" t="s">
        <v>579</v>
      </c>
      <c r="S5687" t="s">
        <v>824</v>
      </c>
      <c r="T5687">
        <v>37</v>
      </c>
      <c r="U5687" s="26" t="str">
        <f>HYPERLINK("https://ictv.global/ictv/proposals/2021.010B.R.Binomial_names.zip","2021.010B.R.Binomial_names.zip")</f>
        <v>2021.010B.R.Binomial_names.zip</v>
      </c>
    </row>
    <row r="5688" spans="1:21">
      <c r="A5688">
        <v>5687</v>
      </c>
      <c r="B5688" s="27" t="s">
        <v>1449</v>
      </c>
      <c r="D5688" s="27" t="s">
        <v>1450</v>
      </c>
      <c r="F5688" s="27" t="s">
        <v>1453</v>
      </c>
      <c r="H5688" s="27" t="s">
        <v>1454</v>
      </c>
      <c r="N5688" s="27" t="s">
        <v>1237</v>
      </c>
      <c r="P5688" s="27" t="s">
        <v>7176</v>
      </c>
      <c r="Q5688" s="26" t="str">
        <f>HYPERLINK("https://ictv.global/taxonomy/taxondetails?taxnode_id=202506507&amp;ictv_id=ICTV201856507","ICTV201856507")</f>
        <v>ICTV201856507</v>
      </c>
      <c r="R5688" t="s">
        <v>579</v>
      </c>
      <c r="S5688" t="s">
        <v>824</v>
      </c>
      <c r="T5688">
        <v>37</v>
      </c>
      <c r="U5688" s="26" t="str">
        <f>HYPERLINK("https://ictv.global/ictv/proposals/2021.010B.R.Binomial_names.zip","2021.010B.R.Binomial_names.zip")</f>
        <v>2021.010B.R.Binomial_names.zip</v>
      </c>
    </row>
    <row r="5689" spans="1:21">
      <c r="A5689">
        <v>5688</v>
      </c>
      <c r="B5689" s="27" t="s">
        <v>1449</v>
      </c>
      <c r="D5689" s="27" t="s">
        <v>1450</v>
      </c>
      <c r="F5689" s="27" t="s">
        <v>1453</v>
      </c>
      <c r="H5689" s="27" t="s">
        <v>1454</v>
      </c>
      <c r="N5689" s="27" t="s">
        <v>1238</v>
      </c>
      <c r="P5689" s="27" t="s">
        <v>7177</v>
      </c>
      <c r="Q5689" s="26" t="str">
        <f>HYPERLINK("https://ictv.global/taxonomy/taxondetails?taxnode_id=202506832&amp;ictv_id=ICTV201856832","ICTV201856832")</f>
        <v>ICTV201856832</v>
      </c>
      <c r="R5689" t="s">
        <v>579</v>
      </c>
      <c r="S5689" t="s">
        <v>824</v>
      </c>
      <c r="T5689">
        <v>37</v>
      </c>
      <c r="U5689" s="26" t="str">
        <f>HYPERLINK("https://ictv.global/ictv/proposals/2021.010B.R.Binomial_names.zip","2021.010B.R.Binomial_names.zip")</f>
        <v>2021.010B.R.Binomial_names.zip</v>
      </c>
    </row>
    <row r="5690" spans="1:21">
      <c r="A5690">
        <v>5689</v>
      </c>
      <c r="B5690" s="27" t="s">
        <v>1449</v>
      </c>
      <c r="D5690" s="27" t="s">
        <v>1450</v>
      </c>
      <c r="F5690" s="27" t="s">
        <v>1453</v>
      </c>
      <c r="H5690" s="27" t="s">
        <v>1454</v>
      </c>
      <c r="N5690" s="27" t="s">
        <v>7178</v>
      </c>
      <c r="P5690" s="27" t="s">
        <v>7179</v>
      </c>
      <c r="Q5690" s="26" t="str">
        <f>HYPERLINK("https://ictv.global/taxonomy/taxondetails?taxnode_id=202514867&amp;ictv_id=ICTV202214867","ICTV202214867")</f>
        <v>ICTV202214867</v>
      </c>
      <c r="R5690" t="s">
        <v>579</v>
      </c>
      <c r="S5690" t="s">
        <v>823</v>
      </c>
      <c r="T5690">
        <v>38</v>
      </c>
      <c r="U5690" s="26" t="str">
        <f>HYPERLINK("https://ictv.global/ictv/proposals/2022.080B.Caudoviricetes_6ng.zip","2022.080B.Caudoviricetes_6ng.zip")</f>
        <v>2022.080B.Caudoviricetes_6ng.zip</v>
      </c>
    </row>
    <row r="5691" spans="1:21">
      <c r="A5691">
        <v>5690</v>
      </c>
      <c r="B5691" s="27" t="s">
        <v>1449</v>
      </c>
      <c r="D5691" s="27" t="s">
        <v>1450</v>
      </c>
      <c r="F5691" s="27" t="s">
        <v>1453</v>
      </c>
      <c r="H5691" s="27" t="s">
        <v>1454</v>
      </c>
      <c r="N5691" s="27" t="s">
        <v>7180</v>
      </c>
      <c r="P5691" s="27" t="s">
        <v>7181</v>
      </c>
      <c r="Q5691" s="26" t="str">
        <f>HYPERLINK("https://ictv.global/taxonomy/taxondetails?taxnode_id=202514638&amp;ictv_id=ICTV202214638","ICTV202214638")</f>
        <v>ICTV202214638</v>
      </c>
      <c r="R5691" t="s">
        <v>579</v>
      </c>
      <c r="S5691" t="s">
        <v>823</v>
      </c>
      <c r="T5691">
        <v>38</v>
      </c>
      <c r="U5691" s="26" t="str">
        <f>HYPERLINK("https://ictv.global/ictv/proposals/2022.040B.Ittyvirus_ng.zip","2022.040B.Ittyvirus_ng.zip")</f>
        <v>2022.040B.Ittyvirus_ng.zip</v>
      </c>
    </row>
    <row r="5692" spans="1:21">
      <c r="A5692">
        <v>5691</v>
      </c>
      <c r="B5692" s="27" t="s">
        <v>1449</v>
      </c>
      <c r="D5692" s="27" t="s">
        <v>1450</v>
      </c>
      <c r="F5692" s="27" t="s">
        <v>1453</v>
      </c>
      <c r="H5692" s="27" t="s">
        <v>1454</v>
      </c>
      <c r="N5692" s="27" t="s">
        <v>1758</v>
      </c>
      <c r="P5692" s="27" t="s">
        <v>7182</v>
      </c>
      <c r="Q5692" s="26" t="str">
        <f>HYPERLINK("https://ictv.global/taxonomy/taxondetails?taxnode_id=202507414&amp;ictv_id=ICTV201907414","ICTV201907414")</f>
        <v>ICTV201907414</v>
      </c>
      <c r="R5692" t="s">
        <v>579</v>
      </c>
      <c r="S5692" t="s">
        <v>824</v>
      </c>
      <c r="T5692">
        <v>37</v>
      </c>
      <c r="U5692" s="26" t="str">
        <f t="shared" ref="U5692:U5699" si="223">HYPERLINK("https://ictv.global/ictv/proposals/2021.010B.R.Binomial_names.zip","2021.010B.R.Binomial_names.zip")</f>
        <v>2021.010B.R.Binomial_names.zip</v>
      </c>
    </row>
    <row r="5693" spans="1:21">
      <c r="A5693">
        <v>5692</v>
      </c>
      <c r="B5693" s="27" t="s">
        <v>1449</v>
      </c>
      <c r="D5693" s="27" t="s">
        <v>1450</v>
      </c>
      <c r="F5693" s="27" t="s">
        <v>1453</v>
      </c>
      <c r="H5693" s="27" t="s">
        <v>1454</v>
      </c>
      <c r="N5693" s="27" t="s">
        <v>2272</v>
      </c>
      <c r="P5693" s="27" t="s">
        <v>7183</v>
      </c>
      <c r="Q5693" s="26" t="str">
        <f>HYPERLINK("https://ictv.global/taxonomy/taxondetails?taxnode_id=202510138&amp;ictv_id=ICTV202010138","ICTV202010138")</f>
        <v>ICTV202010138</v>
      </c>
      <c r="R5693" t="s">
        <v>579</v>
      </c>
      <c r="S5693" t="s">
        <v>824</v>
      </c>
      <c r="T5693">
        <v>37</v>
      </c>
      <c r="U5693" s="26" t="str">
        <f t="shared" si="223"/>
        <v>2021.010B.R.Binomial_names.zip</v>
      </c>
    </row>
    <row r="5694" spans="1:21">
      <c r="A5694">
        <v>5693</v>
      </c>
      <c r="B5694" s="27" t="s">
        <v>1449</v>
      </c>
      <c r="D5694" s="27" t="s">
        <v>1450</v>
      </c>
      <c r="F5694" s="27" t="s">
        <v>1453</v>
      </c>
      <c r="H5694" s="27" t="s">
        <v>1454</v>
      </c>
      <c r="N5694" s="27" t="s">
        <v>1296</v>
      </c>
      <c r="P5694" s="27" t="s">
        <v>7184</v>
      </c>
      <c r="Q5694" s="26" t="str">
        <f>HYPERLINK("https://ictv.global/taxonomy/taxondetails?taxnode_id=202506491&amp;ictv_id=ICTV201856491","ICTV201856491")</f>
        <v>ICTV201856491</v>
      </c>
      <c r="R5694" t="s">
        <v>579</v>
      </c>
      <c r="S5694" t="s">
        <v>824</v>
      </c>
      <c r="T5694">
        <v>37</v>
      </c>
      <c r="U5694" s="26" t="str">
        <f t="shared" si="223"/>
        <v>2021.010B.R.Binomial_names.zip</v>
      </c>
    </row>
    <row r="5695" spans="1:21">
      <c r="A5695">
        <v>5694</v>
      </c>
      <c r="B5695" s="27" t="s">
        <v>1449</v>
      </c>
      <c r="D5695" s="27" t="s">
        <v>1450</v>
      </c>
      <c r="F5695" s="27" t="s">
        <v>1453</v>
      </c>
      <c r="H5695" s="27" t="s">
        <v>1454</v>
      </c>
      <c r="N5695" s="27" t="s">
        <v>1296</v>
      </c>
      <c r="P5695" s="27" t="s">
        <v>7185</v>
      </c>
      <c r="Q5695" s="26" t="str">
        <f>HYPERLINK("https://ictv.global/taxonomy/taxondetails?taxnode_id=202506490&amp;ictv_id=ICTV201856490","ICTV201856490")</f>
        <v>ICTV201856490</v>
      </c>
      <c r="R5695" t="s">
        <v>579</v>
      </c>
      <c r="S5695" t="s">
        <v>824</v>
      </c>
      <c r="T5695">
        <v>37</v>
      </c>
      <c r="U5695" s="26" t="str">
        <f t="shared" si="223"/>
        <v>2021.010B.R.Binomial_names.zip</v>
      </c>
    </row>
    <row r="5696" spans="1:21">
      <c r="A5696">
        <v>5695</v>
      </c>
      <c r="B5696" s="27" t="s">
        <v>1449</v>
      </c>
      <c r="D5696" s="27" t="s">
        <v>1450</v>
      </c>
      <c r="F5696" s="27" t="s">
        <v>1453</v>
      </c>
      <c r="H5696" s="27" t="s">
        <v>1454</v>
      </c>
      <c r="N5696" s="27" t="s">
        <v>780</v>
      </c>
      <c r="P5696" s="27" t="s">
        <v>7187</v>
      </c>
      <c r="Q5696" s="26" t="str">
        <f>HYPERLINK("https://ictv.global/taxonomy/taxondetails?taxnode_id=202500991&amp;ictv_id=ICTV20164996","ICTV20164996")</f>
        <v>ICTV20164996</v>
      </c>
      <c r="R5696" t="s">
        <v>579</v>
      </c>
      <c r="S5696" t="s">
        <v>824</v>
      </c>
      <c r="T5696">
        <v>37</v>
      </c>
      <c r="U5696" s="26" t="str">
        <f t="shared" si="223"/>
        <v>2021.010B.R.Binomial_names.zip</v>
      </c>
    </row>
    <row r="5697" spans="1:21">
      <c r="A5697">
        <v>5696</v>
      </c>
      <c r="B5697" s="27" t="s">
        <v>1449</v>
      </c>
      <c r="D5697" s="27" t="s">
        <v>1450</v>
      </c>
      <c r="F5697" s="27" t="s">
        <v>1453</v>
      </c>
      <c r="H5697" s="27" t="s">
        <v>1454</v>
      </c>
      <c r="N5697" s="27" t="s">
        <v>762</v>
      </c>
      <c r="P5697" s="27" t="s">
        <v>7188</v>
      </c>
      <c r="Q5697" s="26" t="str">
        <f>HYPERLINK("https://ictv.global/taxonomy/taxondetails?taxnode_id=202500437&amp;ictv_id=ICTV20164864","ICTV20164864")</f>
        <v>ICTV20164864</v>
      </c>
      <c r="R5697" t="s">
        <v>579</v>
      </c>
      <c r="S5697" t="s">
        <v>824</v>
      </c>
      <c r="T5697">
        <v>37</v>
      </c>
      <c r="U5697" s="26" t="str">
        <f t="shared" si="223"/>
        <v>2021.010B.R.Binomial_names.zip</v>
      </c>
    </row>
    <row r="5698" spans="1:21">
      <c r="A5698">
        <v>5697</v>
      </c>
      <c r="B5698" s="27" t="s">
        <v>1449</v>
      </c>
      <c r="D5698" s="27" t="s">
        <v>1450</v>
      </c>
      <c r="F5698" s="27" t="s">
        <v>1453</v>
      </c>
      <c r="H5698" s="27" t="s">
        <v>1454</v>
      </c>
      <c r="N5698" s="27" t="s">
        <v>762</v>
      </c>
      <c r="P5698" s="27" t="s">
        <v>7189</v>
      </c>
      <c r="Q5698" s="26" t="str">
        <f>HYPERLINK("https://ictv.global/taxonomy/taxondetails?taxnode_id=202500438&amp;ictv_id=ICTV20164865","ICTV20164865")</f>
        <v>ICTV20164865</v>
      </c>
      <c r="R5698" t="s">
        <v>579</v>
      </c>
      <c r="S5698" t="s">
        <v>824</v>
      </c>
      <c r="T5698">
        <v>37</v>
      </c>
      <c r="U5698" s="26" t="str">
        <f t="shared" si="223"/>
        <v>2021.010B.R.Binomial_names.zip</v>
      </c>
    </row>
    <row r="5699" spans="1:21">
      <c r="A5699">
        <v>5698</v>
      </c>
      <c r="B5699" s="27" t="s">
        <v>1449</v>
      </c>
      <c r="D5699" s="27" t="s">
        <v>1450</v>
      </c>
      <c r="F5699" s="27" t="s">
        <v>1453</v>
      </c>
      <c r="H5699" s="27" t="s">
        <v>1454</v>
      </c>
      <c r="N5699" s="27" t="s">
        <v>1759</v>
      </c>
      <c r="P5699" s="27" t="s">
        <v>7193</v>
      </c>
      <c r="Q5699" s="26" t="str">
        <f>HYPERLINK("https://ictv.global/taxonomy/taxondetails?taxnode_id=202507421&amp;ictv_id=ICTV201907421","ICTV201907421")</f>
        <v>ICTV201907421</v>
      </c>
      <c r="R5699" t="s">
        <v>579</v>
      </c>
      <c r="S5699" t="s">
        <v>824</v>
      </c>
      <c r="T5699">
        <v>37</v>
      </c>
      <c r="U5699" s="26" t="str">
        <f t="shared" si="223"/>
        <v>2021.010B.R.Binomial_names.zip</v>
      </c>
    </row>
    <row r="5700" spans="1:21">
      <c r="A5700">
        <v>5699</v>
      </c>
      <c r="B5700" s="27" t="s">
        <v>1449</v>
      </c>
      <c r="D5700" s="27" t="s">
        <v>1450</v>
      </c>
      <c r="F5700" s="27" t="s">
        <v>1453</v>
      </c>
      <c r="H5700" s="27" t="s">
        <v>1454</v>
      </c>
      <c r="N5700" s="27" t="s">
        <v>7194</v>
      </c>
      <c r="P5700" s="27" t="s">
        <v>7195</v>
      </c>
      <c r="Q5700" s="26" t="str">
        <f>HYPERLINK("https://ictv.global/taxonomy/taxondetails?taxnode_id=202512364&amp;ictv_id=ICTV202112364","ICTV202112364")</f>
        <v>ICTV202112364</v>
      </c>
      <c r="R5700" t="s">
        <v>579</v>
      </c>
      <c r="S5700" t="s">
        <v>823</v>
      </c>
      <c r="T5700">
        <v>37</v>
      </c>
      <c r="U5700" s="26" t="str">
        <f t="shared" ref="U5700:U5705" si="224">HYPERLINK("https://ictv.global/ictv/proposals/2021.041B.R.Jujuvirus.zip","2021.041B.R.Jujuvirus.zip")</f>
        <v>2021.041B.R.Jujuvirus.zip</v>
      </c>
    </row>
    <row r="5701" spans="1:21">
      <c r="A5701">
        <v>5700</v>
      </c>
      <c r="B5701" s="27" t="s">
        <v>1449</v>
      </c>
      <c r="D5701" s="27" t="s">
        <v>1450</v>
      </c>
      <c r="F5701" s="27" t="s">
        <v>1453</v>
      </c>
      <c r="H5701" s="27" t="s">
        <v>1454</v>
      </c>
      <c r="N5701" s="27" t="s">
        <v>7194</v>
      </c>
      <c r="P5701" s="27" t="s">
        <v>7196</v>
      </c>
      <c r="Q5701" s="26" t="str">
        <f>HYPERLINK("https://ictv.global/taxonomy/taxondetails?taxnode_id=202512362&amp;ictv_id=ICTV202112362","ICTV202112362")</f>
        <v>ICTV202112362</v>
      </c>
      <c r="R5701" t="s">
        <v>579</v>
      </c>
      <c r="S5701" t="s">
        <v>823</v>
      </c>
      <c r="T5701">
        <v>37</v>
      </c>
      <c r="U5701" s="26" t="str">
        <f t="shared" si="224"/>
        <v>2021.041B.R.Jujuvirus.zip</v>
      </c>
    </row>
    <row r="5702" spans="1:21">
      <c r="A5702">
        <v>5701</v>
      </c>
      <c r="B5702" s="27" t="s">
        <v>1449</v>
      </c>
      <c r="D5702" s="27" t="s">
        <v>1450</v>
      </c>
      <c r="F5702" s="27" t="s">
        <v>1453</v>
      </c>
      <c r="H5702" s="27" t="s">
        <v>1454</v>
      </c>
      <c r="N5702" s="27" t="s">
        <v>7194</v>
      </c>
      <c r="P5702" s="27" t="s">
        <v>7197</v>
      </c>
      <c r="Q5702" s="26" t="str">
        <f>HYPERLINK("https://ictv.global/taxonomy/taxondetails?taxnode_id=202512363&amp;ictv_id=ICTV202112363","ICTV202112363")</f>
        <v>ICTV202112363</v>
      </c>
      <c r="R5702" t="s">
        <v>579</v>
      </c>
      <c r="S5702" t="s">
        <v>823</v>
      </c>
      <c r="T5702">
        <v>37</v>
      </c>
      <c r="U5702" s="26" t="str">
        <f t="shared" si="224"/>
        <v>2021.041B.R.Jujuvirus.zip</v>
      </c>
    </row>
    <row r="5703" spans="1:21">
      <c r="A5703">
        <v>5702</v>
      </c>
      <c r="B5703" s="27" t="s">
        <v>1449</v>
      </c>
      <c r="D5703" s="27" t="s">
        <v>1450</v>
      </c>
      <c r="F5703" s="27" t="s">
        <v>1453</v>
      </c>
      <c r="H5703" s="27" t="s">
        <v>1454</v>
      </c>
      <c r="N5703" s="27" t="s">
        <v>7194</v>
      </c>
      <c r="P5703" s="27" t="s">
        <v>7198</v>
      </c>
      <c r="Q5703" s="26" t="str">
        <f>HYPERLINK("https://ictv.global/taxonomy/taxondetails?taxnode_id=202512359&amp;ictv_id=ICTV202112359","ICTV202112359")</f>
        <v>ICTV202112359</v>
      </c>
      <c r="R5703" t="s">
        <v>579</v>
      </c>
      <c r="S5703" t="s">
        <v>823</v>
      </c>
      <c r="T5703">
        <v>37</v>
      </c>
      <c r="U5703" s="26" t="str">
        <f t="shared" si="224"/>
        <v>2021.041B.R.Jujuvirus.zip</v>
      </c>
    </row>
    <row r="5704" spans="1:21">
      <c r="A5704">
        <v>5703</v>
      </c>
      <c r="B5704" s="27" t="s">
        <v>1449</v>
      </c>
      <c r="D5704" s="27" t="s">
        <v>1450</v>
      </c>
      <c r="F5704" s="27" t="s">
        <v>1453</v>
      </c>
      <c r="H5704" s="27" t="s">
        <v>1454</v>
      </c>
      <c r="N5704" s="27" t="s">
        <v>7194</v>
      </c>
      <c r="P5704" s="27" t="s">
        <v>7199</v>
      </c>
      <c r="Q5704" s="26" t="str">
        <f>HYPERLINK("https://ictv.global/taxonomy/taxondetails?taxnode_id=202512360&amp;ictv_id=ICTV202112360","ICTV202112360")</f>
        <v>ICTV202112360</v>
      </c>
      <c r="R5704" t="s">
        <v>579</v>
      </c>
      <c r="S5704" t="s">
        <v>823</v>
      </c>
      <c r="T5704">
        <v>37</v>
      </c>
      <c r="U5704" s="26" t="str">
        <f t="shared" si="224"/>
        <v>2021.041B.R.Jujuvirus.zip</v>
      </c>
    </row>
    <row r="5705" spans="1:21">
      <c r="A5705">
        <v>5704</v>
      </c>
      <c r="B5705" s="27" t="s">
        <v>1449</v>
      </c>
      <c r="D5705" s="27" t="s">
        <v>1450</v>
      </c>
      <c r="F5705" s="27" t="s">
        <v>1453</v>
      </c>
      <c r="H5705" s="27" t="s">
        <v>1454</v>
      </c>
      <c r="N5705" s="27" t="s">
        <v>7194</v>
      </c>
      <c r="P5705" s="27" t="s">
        <v>7200</v>
      </c>
      <c r="Q5705" s="26" t="str">
        <f>HYPERLINK("https://ictv.global/taxonomy/taxondetails?taxnode_id=202512361&amp;ictv_id=ICTV202112361","ICTV202112361")</f>
        <v>ICTV202112361</v>
      </c>
      <c r="R5705" t="s">
        <v>579</v>
      </c>
      <c r="S5705" t="s">
        <v>823</v>
      </c>
      <c r="T5705">
        <v>37</v>
      </c>
      <c r="U5705" s="26" t="str">
        <f t="shared" si="224"/>
        <v>2021.041B.R.Jujuvirus.zip</v>
      </c>
    </row>
    <row r="5706" spans="1:21">
      <c r="A5706">
        <v>5705</v>
      </c>
      <c r="B5706" s="27" t="s">
        <v>1449</v>
      </c>
      <c r="D5706" s="27" t="s">
        <v>1450</v>
      </c>
      <c r="F5706" s="27" t="s">
        <v>1453</v>
      </c>
      <c r="H5706" s="27" t="s">
        <v>1454</v>
      </c>
      <c r="N5706" s="27" t="s">
        <v>2274</v>
      </c>
      <c r="P5706" s="27" t="s">
        <v>7201</v>
      </c>
      <c r="Q5706" s="26" t="str">
        <f>HYPERLINK("https://ictv.global/taxonomy/taxondetails?taxnode_id=202510197&amp;ictv_id=ICTV202010197","ICTV202010197")</f>
        <v>ICTV202010197</v>
      </c>
      <c r="R5706" t="s">
        <v>579</v>
      </c>
      <c r="S5706" t="s">
        <v>824</v>
      </c>
      <c r="T5706">
        <v>37</v>
      </c>
      <c r="U5706" s="26" t="str">
        <f t="shared" ref="U5706:U5712" si="225">HYPERLINK("https://ictv.global/ictv/proposals/2021.010B.R.Binomial_names.zip","2021.010B.R.Binomial_names.zip")</f>
        <v>2021.010B.R.Binomial_names.zip</v>
      </c>
    </row>
    <row r="5707" spans="1:21">
      <c r="A5707">
        <v>5706</v>
      </c>
      <c r="B5707" s="27" t="s">
        <v>1449</v>
      </c>
      <c r="D5707" s="27" t="s">
        <v>1450</v>
      </c>
      <c r="F5707" s="27" t="s">
        <v>1453</v>
      </c>
      <c r="H5707" s="27" t="s">
        <v>1454</v>
      </c>
      <c r="N5707" s="27" t="s">
        <v>2274</v>
      </c>
      <c r="P5707" s="27" t="s">
        <v>7202</v>
      </c>
      <c r="Q5707" s="26" t="str">
        <f>HYPERLINK("https://ictv.global/taxonomy/taxondetails?taxnode_id=202510199&amp;ictv_id=ICTV202010199","ICTV202010199")</f>
        <v>ICTV202010199</v>
      </c>
      <c r="R5707" t="s">
        <v>579</v>
      </c>
      <c r="S5707" t="s">
        <v>824</v>
      </c>
      <c r="T5707">
        <v>37</v>
      </c>
      <c r="U5707" s="26" t="str">
        <f t="shared" si="225"/>
        <v>2021.010B.R.Binomial_names.zip</v>
      </c>
    </row>
    <row r="5708" spans="1:21">
      <c r="A5708">
        <v>5707</v>
      </c>
      <c r="B5708" s="27" t="s">
        <v>1449</v>
      </c>
      <c r="D5708" s="27" t="s">
        <v>1450</v>
      </c>
      <c r="F5708" s="27" t="s">
        <v>1453</v>
      </c>
      <c r="H5708" s="27" t="s">
        <v>1454</v>
      </c>
      <c r="N5708" s="27" t="s">
        <v>2274</v>
      </c>
      <c r="P5708" s="27" t="s">
        <v>7203</v>
      </c>
      <c r="Q5708" s="26" t="str">
        <f>HYPERLINK("https://ictv.global/taxonomy/taxondetails?taxnode_id=202510198&amp;ictv_id=ICTV202010198","ICTV202010198")</f>
        <v>ICTV202010198</v>
      </c>
      <c r="R5708" t="s">
        <v>579</v>
      </c>
      <c r="S5708" t="s">
        <v>824</v>
      </c>
      <c r="T5708">
        <v>37</v>
      </c>
      <c r="U5708" s="26" t="str">
        <f t="shared" si="225"/>
        <v>2021.010B.R.Binomial_names.zip</v>
      </c>
    </row>
    <row r="5709" spans="1:21">
      <c r="A5709">
        <v>5708</v>
      </c>
      <c r="B5709" s="27" t="s">
        <v>1449</v>
      </c>
      <c r="D5709" s="27" t="s">
        <v>1450</v>
      </c>
      <c r="F5709" s="27" t="s">
        <v>1453</v>
      </c>
      <c r="H5709" s="27" t="s">
        <v>1454</v>
      </c>
      <c r="N5709" s="27" t="s">
        <v>1298</v>
      </c>
      <c r="P5709" s="27" t="s">
        <v>7204</v>
      </c>
      <c r="Q5709" s="26" t="str">
        <f>HYPERLINK("https://ictv.global/taxonomy/taxondetails?taxnode_id=202500652&amp;ictv_id=ICTV20164923","ICTV20164923")</f>
        <v>ICTV20164923</v>
      </c>
      <c r="R5709" t="s">
        <v>579</v>
      </c>
      <c r="S5709" t="s">
        <v>824</v>
      </c>
      <c r="T5709">
        <v>37</v>
      </c>
      <c r="U5709" s="26" t="str">
        <f t="shared" si="225"/>
        <v>2021.010B.R.Binomial_names.zip</v>
      </c>
    </row>
    <row r="5710" spans="1:21">
      <c r="A5710">
        <v>5709</v>
      </c>
      <c r="B5710" s="27" t="s">
        <v>1449</v>
      </c>
      <c r="D5710" s="27" t="s">
        <v>1450</v>
      </c>
      <c r="F5710" s="27" t="s">
        <v>1453</v>
      </c>
      <c r="H5710" s="27" t="s">
        <v>1454</v>
      </c>
      <c r="N5710" s="27" t="s">
        <v>1376</v>
      </c>
      <c r="P5710" s="27" t="s">
        <v>7205</v>
      </c>
      <c r="Q5710" s="26" t="str">
        <f>HYPERLINK("https://ictv.global/taxonomy/taxondetails?taxnode_id=202506840&amp;ictv_id=ICTV201856840","ICTV201856840")</f>
        <v>ICTV201856840</v>
      </c>
      <c r="R5710" t="s">
        <v>579</v>
      </c>
      <c r="S5710" t="s">
        <v>824</v>
      </c>
      <c r="T5710">
        <v>37</v>
      </c>
      <c r="U5710" s="26" t="str">
        <f t="shared" si="225"/>
        <v>2021.010B.R.Binomial_names.zip</v>
      </c>
    </row>
    <row r="5711" spans="1:21">
      <c r="A5711">
        <v>5710</v>
      </c>
      <c r="B5711" s="27" t="s">
        <v>1449</v>
      </c>
      <c r="D5711" s="27" t="s">
        <v>1450</v>
      </c>
      <c r="F5711" s="27" t="s">
        <v>1453</v>
      </c>
      <c r="H5711" s="27" t="s">
        <v>1454</v>
      </c>
      <c r="N5711" s="27" t="s">
        <v>1376</v>
      </c>
      <c r="P5711" s="27" t="s">
        <v>7206</v>
      </c>
      <c r="Q5711" s="26" t="str">
        <f>HYPERLINK("https://ictv.global/taxonomy/taxondetails?taxnode_id=202506841&amp;ictv_id=ICTV201856841","ICTV201856841")</f>
        <v>ICTV201856841</v>
      </c>
      <c r="R5711" t="s">
        <v>579</v>
      </c>
      <c r="S5711" t="s">
        <v>824</v>
      </c>
      <c r="T5711">
        <v>37</v>
      </c>
      <c r="U5711" s="26" t="str">
        <f t="shared" si="225"/>
        <v>2021.010B.R.Binomial_names.zip</v>
      </c>
    </row>
    <row r="5712" spans="1:21">
      <c r="A5712">
        <v>5711</v>
      </c>
      <c r="B5712" s="27" t="s">
        <v>1449</v>
      </c>
      <c r="D5712" s="27" t="s">
        <v>1450</v>
      </c>
      <c r="F5712" s="27" t="s">
        <v>1453</v>
      </c>
      <c r="H5712" s="27" t="s">
        <v>1454</v>
      </c>
      <c r="N5712" s="27" t="s">
        <v>2275</v>
      </c>
      <c r="P5712" s="27" t="s">
        <v>7207</v>
      </c>
      <c r="Q5712" s="26" t="str">
        <f>HYPERLINK("https://ictv.global/taxonomy/taxondetails?taxnode_id=202510140&amp;ictv_id=ICTV202010140","ICTV202010140")</f>
        <v>ICTV202010140</v>
      </c>
      <c r="R5712" t="s">
        <v>579</v>
      </c>
      <c r="S5712" t="s">
        <v>824</v>
      </c>
      <c r="T5712">
        <v>37</v>
      </c>
      <c r="U5712" s="26" t="str">
        <f t="shared" si="225"/>
        <v>2021.010B.R.Binomial_names.zip</v>
      </c>
    </row>
    <row r="5713" spans="1:21">
      <c r="A5713">
        <v>5712</v>
      </c>
      <c r="B5713" s="27" t="s">
        <v>1449</v>
      </c>
      <c r="D5713" s="27" t="s">
        <v>1450</v>
      </c>
      <c r="F5713" s="27" t="s">
        <v>1453</v>
      </c>
      <c r="H5713" s="27" t="s">
        <v>1454</v>
      </c>
      <c r="N5713" s="27" t="s">
        <v>20894</v>
      </c>
      <c r="P5713" s="27" t="s">
        <v>20895</v>
      </c>
      <c r="Q5713" s="26" t="str">
        <f>HYPERLINK("https://ictv.global/taxonomy/taxondetails?taxnode_id=202508701&amp;ictv_id=ICTV201908701","ICTV201908701")</f>
        <v>ICTV201908701</v>
      </c>
      <c r="R5713" t="s">
        <v>579</v>
      </c>
      <c r="S5713" t="s">
        <v>824</v>
      </c>
      <c r="T5713">
        <v>41</v>
      </c>
      <c r="U5713" s="26" t="str">
        <f>HYPERLINK("https://ictv.global/ictv/proposals/2025.066B.Rename_taxa.zip","2025.066B.Rename_taxa.zip")</f>
        <v>2025.066B.Rename_taxa.zip</v>
      </c>
    </row>
    <row r="5714" spans="1:21">
      <c r="A5714">
        <v>5713</v>
      </c>
      <c r="B5714" s="27" t="s">
        <v>1449</v>
      </c>
      <c r="D5714" s="27" t="s">
        <v>1450</v>
      </c>
      <c r="F5714" s="27" t="s">
        <v>1453</v>
      </c>
      <c r="H5714" s="27" t="s">
        <v>1454</v>
      </c>
      <c r="N5714" s="27" t="s">
        <v>781</v>
      </c>
      <c r="P5714" s="27" t="s">
        <v>7208</v>
      </c>
      <c r="Q5714" s="26" t="str">
        <f>HYPERLINK("https://ictv.global/taxonomy/taxondetails?taxnode_id=202500996&amp;ictv_id=ICTV20164999","ICTV20164999")</f>
        <v>ICTV20164999</v>
      </c>
      <c r="R5714" t="s">
        <v>579</v>
      </c>
      <c r="S5714" t="s">
        <v>824</v>
      </c>
      <c r="T5714">
        <v>37</v>
      </c>
      <c r="U5714" s="26" t="str">
        <f>HYPERLINK("https://ictv.global/ictv/proposals/2021.010B.R.Binomial_names.zip","2021.010B.R.Binomial_names.zip")</f>
        <v>2021.010B.R.Binomial_names.zip</v>
      </c>
    </row>
    <row r="5715" spans="1:21">
      <c r="A5715">
        <v>5714</v>
      </c>
      <c r="B5715" s="27" t="s">
        <v>1449</v>
      </c>
      <c r="D5715" s="27" t="s">
        <v>1450</v>
      </c>
      <c r="F5715" s="27" t="s">
        <v>1453</v>
      </c>
      <c r="H5715" s="27" t="s">
        <v>1454</v>
      </c>
      <c r="N5715" s="27" t="s">
        <v>781</v>
      </c>
      <c r="P5715" s="27" t="s">
        <v>7209</v>
      </c>
      <c r="Q5715" s="26" t="str">
        <f>HYPERLINK("https://ictv.global/taxonomy/taxondetails?taxnode_id=202500997&amp;ictv_id=ICTV20165000","ICTV20165000")</f>
        <v>ICTV20165000</v>
      </c>
      <c r="R5715" t="s">
        <v>579</v>
      </c>
      <c r="S5715" t="s">
        <v>824</v>
      </c>
      <c r="T5715">
        <v>37</v>
      </c>
      <c r="U5715" s="26" t="str">
        <f>HYPERLINK("https://ictv.global/ictv/proposals/2021.010B.R.Binomial_names.zip","2021.010B.R.Binomial_names.zip")</f>
        <v>2021.010B.R.Binomial_names.zip</v>
      </c>
    </row>
    <row r="5716" spans="1:21">
      <c r="A5716">
        <v>5715</v>
      </c>
      <c r="B5716" s="27" t="s">
        <v>1449</v>
      </c>
      <c r="D5716" s="27" t="s">
        <v>1450</v>
      </c>
      <c r="F5716" s="27" t="s">
        <v>1453</v>
      </c>
      <c r="H5716" s="27" t="s">
        <v>1454</v>
      </c>
      <c r="N5716" s="27" t="s">
        <v>1720</v>
      </c>
      <c r="P5716" s="27" t="s">
        <v>7210</v>
      </c>
      <c r="Q5716" s="26" t="str">
        <f>HYPERLINK("https://ictv.global/taxonomy/taxondetails?taxnode_id=202508022&amp;ictv_id=ICTV201908022","ICTV201908022")</f>
        <v>ICTV201908022</v>
      </c>
      <c r="R5716" t="s">
        <v>579</v>
      </c>
      <c r="S5716" t="s">
        <v>824</v>
      </c>
      <c r="T5716">
        <v>37</v>
      </c>
      <c r="U5716" s="26" t="str">
        <f>HYPERLINK("https://ictv.global/ictv/proposals/2021.010B.R.Binomial_names.zip","2021.010B.R.Binomial_names.zip")</f>
        <v>2021.010B.R.Binomial_names.zip</v>
      </c>
    </row>
    <row r="5717" spans="1:21">
      <c r="A5717">
        <v>5716</v>
      </c>
      <c r="B5717" s="27" t="s">
        <v>1449</v>
      </c>
      <c r="D5717" s="27" t="s">
        <v>1450</v>
      </c>
      <c r="F5717" s="27" t="s">
        <v>1453</v>
      </c>
      <c r="H5717" s="27" t="s">
        <v>1454</v>
      </c>
      <c r="N5717" s="27" t="s">
        <v>7214</v>
      </c>
      <c r="P5717" s="27" t="s">
        <v>7215</v>
      </c>
      <c r="Q5717" s="26" t="str">
        <f>HYPERLINK("https://ictv.global/taxonomy/taxondetails?taxnode_id=202512366&amp;ictv_id=ICTV202112366","ICTV202112366")</f>
        <v>ICTV202112366</v>
      </c>
      <c r="R5717" t="s">
        <v>579</v>
      </c>
      <c r="S5717" t="s">
        <v>823</v>
      </c>
      <c r="T5717">
        <v>37</v>
      </c>
      <c r="U5717" s="26" t="str">
        <f>HYPERLINK("https://ictv.global/ictv/proposals/2021.042B.R.Kimonavirus.zip","2021.042B.R.Kimonavirus.zip")</f>
        <v>2021.042B.R.Kimonavirus.zip</v>
      </c>
    </row>
    <row r="5718" spans="1:21">
      <c r="A5718">
        <v>5717</v>
      </c>
      <c r="B5718" s="27" t="s">
        <v>1449</v>
      </c>
      <c r="D5718" s="27" t="s">
        <v>1450</v>
      </c>
      <c r="F5718" s="27" t="s">
        <v>1453</v>
      </c>
      <c r="H5718" s="27" t="s">
        <v>1454</v>
      </c>
      <c r="N5718" s="27" t="s">
        <v>2103</v>
      </c>
      <c r="P5718" s="27" t="s">
        <v>7216</v>
      </c>
      <c r="Q5718" s="26" t="str">
        <f>HYPERLINK("https://ictv.global/taxonomy/taxondetails?taxnode_id=202500382&amp;ictv_id=ICTV20164853","ICTV20164853")</f>
        <v>ICTV20164853</v>
      </c>
      <c r="R5718" t="s">
        <v>579</v>
      </c>
      <c r="S5718" t="s">
        <v>824</v>
      </c>
      <c r="T5718">
        <v>37</v>
      </c>
      <c r="U5718" s="26" t="str">
        <f t="shared" ref="U5718:U5725" si="226">HYPERLINK("https://ictv.global/ictv/proposals/2021.010B.R.Binomial_names.zip","2021.010B.R.Binomial_names.zip")</f>
        <v>2021.010B.R.Binomial_names.zip</v>
      </c>
    </row>
    <row r="5719" spans="1:21">
      <c r="A5719">
        <v>5718</v>
      </c>
      <c r="B5719" s="27" t="s">
        <v>1449</v>
      </c>
      <c r="D5719" s="27" t="s">
        <v>1450</v>
      </c>
      <c r="F5719" s="27" t="s">
        <v>1453</v>
      </c>
      <c r="H5719" s="27" t="s">
        <v>1454</v>
      </c>
      <c r="N5719" s="27" t="s">
        <v>2103</v>
      </c>
      <c r="P5719" s="27" t="s">
        <v>7217</v>
      </c>
      <c r="Q5719" s="26" t="str">
        <f>HYPERLINK("https://ictv.global/taxonomy/taxondetails?taxnode_id=202506996&amp;ictv_id=ICTV201856996","ICTV201856996")</f>
        <v>ICTV201856996</v>
      </c>
      <c r="R5719" t="s">
        <v>579</v>
      </c>
      <c r="S5719" t="s">
        <v>824</v>
      </c>
      <c r="T5719">
        <v>37</v>
      </c>
      <c r="U5719" s="26" t="str">
        <f t="shared" si="226"/>
        <v>2021.010B.R.Binomial_names.zip</v>
      </c>
    </row>
    <row r="5720" spans="1:21">
      <c r="A5720">
        <v>5719</v>
      </c>
      <c r="B5720" s="27" t="s">
        <v>1449</v>
      </c>
      <c r="D5720" s="27" t="s">
        <v>1450</v>
      </c>
      <c r="F5720" s="27" t="s">
        <v>1453</v>
      </c>
      <c r="H5720" s="27" t="s">
        <v>1454</v>
      </c>
      <c r="N5720" s="27" t="s">
        <v>2103</v>
      </c>
      <c r="P5720" s="27" t="s">
        <v>7218</v>
      </c>
      <c r="Q5720" s="26" t="str">
        <f>HYPERLINK("https://ictv.global/taxonomy/taxondetails?taxnode_id=202511644&amp;ictv_id=ICTV202011644","ICTV202011644")</f>
        <v>ICTV202011644</v>
      </c>
      <c r="R5720" t="s">
        <v>579</v>
      </c>
      <c r="S5720" t="s">
        <v>824</v>
      </c>
      <c r="T5720">
        <v>37</v>
      </c>
      <c r="U5720" s="26" t="str">
        <f t="shared" si="226"/>
        <v>2021.010B.R.Binomial_names.zip</v>
      </c>
    </row>
    <row r="5721" spans="1:21">
      <c r="A5721">
        <v>5720</v>
      </c>
      <c r="B5721" s="27" t="s">
        <v>1449</v>
      </c>
      <c r="D5721" s="27" t="s">
        <v>1450</v>
      </c>
      <c r="F5721" s="27" t="s">
        <v>1453</v>
      </c>
      <c r="H5721" s="27" t="s">
        <v>1454</v>
      </c>
      <c r="N5721" s="27" t="s">
        <v>2103</v>
      </c>
      <c r="P5721" s="27" t="s">
        <v>7219</v>
      </c>
      <c r="Q5721" s="26" t="str">
        <f>HYPERLINK("https://ictv.global/taxonomy/taxondetails?taxnode_id=202511643&amp;ictv_id=ICTV202011643","ICTV202011643")</f>
        <v>ICTV202011643</v>
      </c>
      <c r="R5721" t="s">
        <v>579</v>
      </c>
      <c r="S5721" t="s">
        <v>824</v>
      </c>
      <c r="T5721">
        <v>37</v>
      </c>
      <c r="U5721" s="26" t="str">
        <f t="shared" si="226"/>
        <v>2021.010B.R.Binomial_names.zip</v>
      </c>
    </row>
    <row r="5722" spans="1:21">
      <c r="A5722">
        <v>5721</v>
      </c>
      <c r="B5722" s="27" t="s">
        <v>1449</v>
      </c>
      <c r="D5722" s="27" t="s">
        <v>1450</v>
      </c>
      <c r="F5722" s="27" t="s">
        <v>1453</v>
      </c>
      <c r="H5722" s="27" t="s">
        <v>1454</v>
      </c>
      <c r="N5722" s="27" t="s">
        <v>2103</v>
      </c>
      <c r="P5722" s="27" t="s">
        <v>7220</v>
      </c>
      <c r="Q5722" s="26" t="str">
        <f>HYPERLINK("https://ictv.global/taxonomy/taxondetails?taxnode_id=202511645&amp;ictv_id=ICTV202011645","ICTV202011645")</f>
        <v>ICTV202011645</v>
      </c>
      <c r="R5722" t="s">
        <v>579</v>
      </c>
      <c r="S5722" t="s">
        <v>824</v>
      </c>
      <c r="T5722">
        <v>37</v>
      </c>
      <c r="U5722" s="26" t="str">
        <f t="shared" si="226"/>
        <v>2021.010B.R.Binomial_names.zip</v>
      </c>
    </row>
    <row r="5723" spans="1:21">
      <c r="A5723">
        <v>5722</v>
      </c>
      <c r="B5723" s="27" t="s">
        <v>1449</v>
      </c>
      <c r="D5723" s="27" t="s">
        <v>1450</v>
      </c>
      <c r="F5723" s="27" t="s">
        <v>1453</v>
      </c>
      <c r="H5723" s="27" t="s">
        <v>1454</v>
      </c>
      <c r="N5723" s="27" t="s">
        <v>2103</v>
      </c>
      <c r="P5723" s="27" t="s">
        <v>7221</v>
      </c>
      <c r="Q5723" s="26" t="str">
        <f>HYPERLINK("https://ictv.global/taxonomy/taxondetails?taxnode_id=202500383&amp;ictv_id=ICTV20164854","ICTV20164854")</f>
        <v>ICTV20164854</v>
      </c>
      <c r="R5723" t="s">
        <v>579</v>
      </c>
      <c r="S5723" t="s">
        <v>824</v>
      </c>
      <c r="T5723">
        <v>37</v>
      </c>
      <c r="U5723" s="26" t="str">
        <f t="shared" si="226"/>
        <v>2021.010B.R.Binomial_names.zip</v>
      </c>
    </row>
    <row r="5724" spans="1:21">
      <c r="A5724">
        <v>5723</v>
      </c>
      <c r="B5724" s="27" t="s">
        <v>1449</v>
      </c>
      <c r="D5724" s="27" t="s">
        <v>1450</v>
      </c>
      <c r="F5724" s="27" t="s">
        <v>1453</v>
      </c>
      <c r="H5724" s="27" t="s">
        <v>1454</v>
      </c>
      <c r="N5724" s="27" t="s">
        <v>1241</v>
      </c>
      <c r="P5724" s="27" t="s">
        <v>7222</v>
      </c>
      <c r="Q5724" s="26" t="str">
        <f>HYPERLINK("https://ictv.global/taxonomy/taxondetails?taxnode_id=202500491&amp;ictv_id=ICTV20150178","ICTV20150178")</f>
        <v>ICTV20150178</v>
      </c>
      <c r="R5724" t="s">
        <v>579</v>
      </c>
      <c r="S5724" t="s">
        <v>824</v>
      </c>
      <c r="T5724">
        <v>37</v>
      </c>
      <c r="U5724" s="26" t="str">
        <f t="shared" si="226"/>
        <v>2021.010B.R.Binomial_names.zip</v>
      </c>
    </row>
    <row r="5725" spans="1:21">
      <c r="A5725">
        <v>5724</v>
      </c>
      <c r="B5725" s="27" t="s">
        <v>1449</v>
      </c>
      <c r="D5725" s="27" t="s">
        <v>1450</v>
      </c>
      <c r="F5725" s="27" t="s">
        <v>1453</v>
      </c>
      <c r="H5725" s="27" t="s">
        <v>1454</v>
      </c>
      <c r="N5725" s="27" t="s">
        <v>1377</v>
      </c>
      <c r="P5725" s="27" t="s">
        <v>7223</v>
      </c>
      <c r="Q5725" s="26" t="str">
        <f>HYPERLINK("https://ictv.global/taxonomy/taxondetails?taxnode_id=202501377&amp;ictv_id=ICTV20140448","ICTV20140448")</f>
        <v>ICTV20140448</v>
      </c>
      <c r="R5725" t="s">
        <v>579</v>
      </c>
      <c r="S5725" t="s">
        <v>824</v>
      </c>
      <c r="T5725">
        <v>37</v>
      </c>
      <c r="U5725" s="26" t="str">
        <f t="shared" si="226"/>
        <v>2021.010B.R.Binomial_names.zip</v>
      </c>
    </row>
    <row r="5726" spans="1:21">
      <c r="A5726">
        <v>5725</v>
      </c>
      <c r="B5726" s="27" t="s">
        <v>1449</v>
      </c>
      <c r="D5726" s="27" t="s">
        <v>1450</v>
      </c>
      <c r="F5726" s="27" t="s">
        <v>1453</v>
      </c>
      <c r="H5726" s="27" t="s">
        <v>1454</v>
      </c>
      <c r="N5726" s="27" t="s">
        <v>22463</v>
      </c>
      <c r="P5726" s="27" t="s">
        <v>22464</v>
      </c>
      <c r="Q5726" s="26" t="str">
        <f>HYPERLINK("https://ictv.global/taxonomy/taxondetails?taxnode_id=202523095&amp;ictv_id=ICTV202523095","ICTV202523095")</f>
        <v>ICTV202523095</v>
      </c>
      <c r="R5726" t="s">
        <v>579</v>
      </c>
      <c r="S5726" t="s">
        <v>823</v>
      </c>
      <c r="T5726">
        <v>41</v>
      </c>
      <c r="U5726" s="26" t="str">
        <f>HYPERLINK("https://ictv.global/ictv/proposals/2025.056B.Paracoccus_phages_7ng_7ns.zip","2025.056B.Paracoccus_phages_7ng_7ns.zip")</f>
        <v>2025.056B.Paracoccus_phages_7ng_7ns.zip</v>
      </c>
    </row>
    <row r="5727" spans="1:21">
      <c r="A5727">
        <v>5726</v>
      </c>
      <c r="B5727" s="27" t="s">
        <v>1449</v>
      </c>
      <c r="D5727" s="27" t="s">
        <v>1450</v>
      </c>
      <c r="F5727" s="27" t="s">
        <v>1453</v>
      </c>
      <c r="H5727" s="27" t="s">
        <v>1454</v>
      </c>
      <c r="N5727" s="27" t="s">
        <v>2277</v>
      </c>
      <c r="P5727" s="27" t="s">
        <v>7224</v>
      </c>
      <c r="Q5727" s="26" t="str">
        <f>HYPERLINK("https://ictv.global/taxonomy/taxondetails?taxnode_id=202510151&amp;ictv_id=ICTV202010151","ICTV202010151")</f>
        <v>ICTV202010151</v>
      </c>
      <c r="R5727" t="s">
        <v>579</v>
      </c>
      <c r="S5727" t="s">
        <v>824</v>
      </c>
      <c r="T5727">
        <v>37</v>
      </c>
      <c r="U5727" s="26" t="str">
        <f t="shared" ref="U5727:U5733" si="227">HYPERLINK("https://ictv.global/ictv/proposals/2021.010B.R.Binomial_names.zip","2021.010B.R.Binomial_names.zip")</f>
        <v>2021.010B.R.Binomial_names.zip</v>
      </c>
    </row>
    <row r="5728" spans="1:21">
      <c r="A5728">
        <v>5727</v>
      </c>
      <c r="B5728" s="27" t="s">
        <v>1449</v>
      </c>
      <c r="D5728" s="27" t="s">
        <v>1450</v>
      </c>
      <c r="F5728" s="27" t="s">
        <v>1453</v>
      </c>
      <c r="H5728" s="27" t="s">
        <v>1454</v>
      </c>
      <c r="N5728" s="27" t="s">
        <v>1299</v>
      </c>
      <c r="P5728" s="27" t="s">
        <v>7225</v>
      </c>
      <c r="Q5728" s="26" t="str">
        <f>HYPERLINK("https://ictv.global/taxonomy/taxondetails?taxnode_id=202500654&amp;ictv_id=ICTV20164924","ICTV20164924")</f>
        <v>ICTV20164924</v>
      </c>
      <c r="R5728" t="s">
        <v>579</v>
      </c>
      <c r="S5728" t="s">
        <v>824</v>
      </c>
      <c r="T5728">
        <v>37</v>
      </c>
      <c r="U5728" s="26" t="str">
        <f t="shared" si="227"/>
        <v>2021.010B.R.Binomial_names.zip</v>
      </c>
    </row>
    <row r="5729" spans="1:21">
      <c r="A5729">
        <v>5728</v>
      </c>
      <c r="B5729" s="27" t="s">
        <v>1449</v>
      </c>
      <c r="D5729" s="27" t="s">
        <v>1450</v>
      </c>
      <c r="F5729" s="27" t="s">
        <v>1453</v>
      </c>
      <c r="H5729" s="27" t="s">
        <v>1454</v>
      </c>
      <c r="N5729" s="27" t="s">
        <v>1299</v>
      </c>
      <c r="P5729" s="27" t="s">
        <v>7226</v>
      </c>
      <c r="Q5729" s="26" t="str">
        <f>HYPERLINK("https://ictv.global/taxonomy/taxondetails?taxnode_id=202500655&amp;ictv_id=ICTV20164925","ICTV20164925")</f>
        <v>ICTV20164925</v>
      </c>
      <c r="R5729" t="s">
        <v>579</v>
      </c>
      <c r="S5729" t="s">
        <v>824</v>
      </c>
      <c r="T5729">
        <v>37</v>
      </c>
      <c r="U5729" s="26" t="str">
        <f t="shared" si="227"/>
        <v>2021.010B.R.Binomial_names.zip</v>
      </c>
    </row>
    <row r="5730" spans="1:21">
      <c r="A5730">
        <v>5729</v>
      </c>
      <c r="B5730" s="27" t="s">
        <v>1449</v>
      </c>
      <c r="D5730" s="27" t="s">
        <v>1450</v>
      </c>
      <c r="F5730" s="27" t="s">
        <v>1453</v>
      </c>
      <c r="H5730" s="27" t="s">
        <v>1454</v>
      </c>
      <c r="N5730" s="27" t="s">
        <v>1378</v>
      </c>
      <c r="P5730" s="27" t="s">
        <v>7227</v>
      </c>
      <c r="Q5730" s="26" t="str">
        <f>HYPERLINK("https://ictv.global/taxonomy/taxondetails?taxnode_id=202506745&amp;ictv_id=ICTV201856745","ICTV201856745")</f>
        <v>ICTV201856745</v>
      </c>
      <c r="R5730" t="s">
        <v>579</v>
      </c>
      <c r="S5730" t="s">
        <v>824</v>
      </c>
      <c r="T5730">
        <v>37</v>
      </c>
      <c r="U5730" s="26" t="str">
        <f t="shared" si="227"/>
        <v>2021.010B.R.Binomial_names.zip</v>
      </c>
    </row>
    <row r="5731" spans="1:21">
      <c r="A5731">
        <v>5730</v>
      </c>
      <c r="B5731" s="27" t="s">
        <v>1449</v>
      </c>
      <c r="D5731" s="27" t="s">
        <v>1450</v>
      </c>
      <c r="F5731" s="27" t="s">
        <v>1453</v>
      </c>
      <c r="H5731" s="27" t="s">
        <v>1454</v>
      </c>
      <c r="N5731" s="27" t="s">
        <v>1378</v>
      </c>
      <c r="P5731" s="27" t="s">
        <v>7228</v>
      </c>
      <c r="Q5731" s="26" t="str">
        <f>HYPERLINK("https://ictv.global/taxonomy/taxondetails?taxnode_id=202506744&amp;ictv_id=ICTV201856744","ICTV201856744")</f>
        <v>ICTV201856744</v>
      </c>
      <c r="R5731" t="s">
        <v>579</v>
      </c>
      <c r="S5731" t="s">
        <v>824</v>
      </c>
      <c r="T5731">
        <v>37</v>
      </c>
      <c r="U5731" s="26" t="str">
        <f t="shared" si="227"/>
        <v>2021.010B.R.Binomial_names.zip</v>
      </c>
    </row>
    <row r="5732" spans="1:21">
      <c r="A5732">
        <v>5731</v>
      </c>
      <c r="B5732" s="27" t="s">
        <v>1449</v>
      </c>
      <c r="D5732" s="27" t="s">
        <v>1450</v>
      </c>
      <c r="F5732" s="27" t="s">
        <v>1453</v>
      </c>
      <c r="H5732" s="27" t="s">
        <v>1454</v>
      </c>
      <c r="N5732" s="27" t="s">
        <v>2278</v>
      </c>
      <c r="P5732" s="27" t="s">
        <v>7229</v>
      </c>
      <c r="Q5732" s="26" t="str">
        <f>HYPERLINK("https://ictv.global/taxonomy/taxondetails?taxnode_id=202500855&amp;ictv_id=ICTV20140300","ICTV20140300")</f>
        <v>ICTV20140300</v>
      </c>
      <c r="R5732" t="s">
        <v>579</v>
      </c>
      <c r="S5732" t="s">
        <v>824</v>
      </c>
      <c r="T5732">
        <v>37</v>
      </c>
      <c r="U5732" s="26" t="str">
        <f t="shared" si="227"/>
        <v>2021.010B.R.Binomial_names.zip</v>
      </c>
    </row>
    <row r="5733" spans="1:21">
      <c r="A5733">
        <v>5732</v>
      </c>
      <c r="B5733" s="27" t="s">
        <v>1449</v>
      </c>
      <c r="D5733" s="27" t="s">
        <v>1450</v>
      </c>
      <c r="F5733" s="27" t="s">
        <v>1453</v>
      </c>
      <c r="H5733" s="27" t="s">
        <v>1454</v>
      </c>
      <c r="N5733" s="27" t="s">
        <v>782</v>
      </c>
      <c r="P5733" s="27" t="s">
        <v>7230</v>
      </c>
      <c r="Q5733" s="26" t="str">
        <f>HYPERLINK("https://ictv.global/taxonomy/taxondetails?taxnode_id=202500999&amp;ictv_id=ICTV20165001","ICTV20165001")</f>
        <v>ICTV20165001</v>
      </c>
      <c r="R5733" t="s">
        <v>579</v>
      </c>
      <c r="S5733" t="s">
        <v>824</v>
      </c>
      <c r="T5733">
        <v>37</v>
      </c>
      <c r="U5733" s="26" t="str">
        <f t="shared" si="227"/>
        <v>2021.010B.R.Binomial_names.zip</v>
      </c>
    </row>
    <row r="5734" spans="1:21">
      <c r="A5734">
        <v>5733</v>
      </c>
      <c r="B5734" s="27" t="s">
        <v>1449</v>
      </c>
      <c r="D5734" s="27" t="s">
        <v>1450</v>
      </c>
      <c r="F5734" s="27" t="s">
        <v>1453</v>
      </c>
      <c r="H5734" s="27" t="s">
        <v>1454</v>
      </c>
      <c r="N5734" s="27" t="s">
        <v>782</v>
      </c>
      <c r="P5734" s="27" t="s">
        <v>7231</v>
      </c>
      <c r="Q5734" s="26" t="str">
        <f>HYPERLINK("https://ictv.global/taxonomy/taxondetails?taxnode_id=202512368&amp;ictv_id=ICTV202112368","ICTV202112368")</f>
        <v>ICTV202112368</v>
      </c>
      <c r="R5734" t="s">
        <v>579</v>
      </c>
      <c r="S5734" t="s">
        <v>823</v>
      </c>
      <c r="T5734">
        <v>37</v>
      </c>
      <c r="U5734" s="26" t="str">
        <f>HYPERLINK("https://ictv.global/ictv/proposals/2021.044B.R.Korravirus_new_species.zip","2021.044B.R.Korravirus_new_species.zip")</f>
        <v>2021.044B.R.Korravirus_new_species.zip</v>
      </c>
    </row>
    <row r="5735" spans="1:21">
      <c r="A5735">
        <v>5734</v>
      </c>
      <c r="B5735" s="27" t="s">
        <v>1449</v>
      </c>
      <c r="D5735" s="27" t="s">
        <v>1450</v>
      </c>
      <c r="F5735" s="27" t="s">
        <v>1453</v>
      </c>
      <c r="H5735" s="27" t="s">
        <v>1454</v>
      </c>
      <c r="N5735" s="27" t="s">
        <v>782</v>
      </c>
      <c r="P5735" s="27" t="s">
        <v>7232</v>
      </c>
      <c r="Q5735" s="26" t="str">
        <f>HYPERLINK("https://ictv.global/taxonomy/taxondetails?taxnode_id=202501000&amp;ictv_id=ICTV20165002","ICTV20165002")</f>
        <v>ICTV20165002</v>
      </c>
      <c r="R5735" t="s">
        <v>579</v>
      </c>
      <c r="S5735" t="s">
        <v>824</v>
      </c>
      <c r="T5735">
        <v>37</v>
      </c>
      <c r="U5735" s="26" t="str">
        <f>HYPERLINK("https://ictv.global/ictv/proposals/2021.010B.R.Binomial_names.zip","2021.010B.R.Binomial_names.zip")</f>
        <v>2021.010B.R.Binomial_names.zip</v>
      </c>
    </row>
    <row r="5736" spans="1:21">
      <c r="A5736">
        <v>5735</v>
      </c>
      <c r="B5736" s="27" t="s">
        <v>1449</v>
      </c>
      <c r="D5736" s="27" t="s">
        <v>1450</v>
      </c>
      <c r="F5736" s="27" t="s">
        <v>1453</v>
      </c>
      <c r="H5736" s="27" t="s">
        <v>1454</v>
      </c>
      <c r="N5736" s="27" t="s">
        <v>782</v>
      </c>
      <c r="P5736" s="27" t="s">
        <v>7233</v>
      </c>
      <c r="Q5736" s="26" t="str">
        <f>HYPERLINK("https://ictv.global/taxonomy/taxondetails?taxnode_id=202512369&amp;ictv_id=ICTV202112369","ICTV202112369")</f>
        <v>ICTV202112369</v>
      </c>
      <c r="R5736" t="s">
        <v>579</v>
      </c>
      <c r="S5736" t="s">
        <v>823</v>
      </c>
      <c r="T5736">
        <v>37</v>
      </c>
      <c r="U5736" s="26" t="str">
        <f>HYPERLINK("https://ictv.global/ictv/proposals/2021.044B.R.Korravirus_new_species.zip","2021.044B.R.Korravirus_new_species.zip")</f>
        <v>2021.044B.R.Korravirus_new_species.zip</v>
      </c>
    </row>
    <row r="5737" spans="1:21">
      <c r="A5737">
        <v>5736</v>
      </c>
      <c r="B5737" s="27" t="s">
        <v>1449</v>
      </c>
      <c r="D5737" s="27" t="s">
        <v>1450</v>
      </c>
      <c r="F5737" s="27" t="s">
        <v>1453</v>
      </c>
      <c r="H5737" s="27" t="s">
        <v>1454</v>
      </c>
      <c r="N5737" s="27" t="s">
        <v>782</v>
      </c>
      <c r="P5737" s="27" t="s">
        <v>7234</v>
      </c>
      <c r="Q5737" s="26" t="str">
        <f>HYPERLINK("https://ictv.global/taxonomy/taxondetails?taxnode_id=202501001&amp;ictv_id=ICTV20165003","ICTV20165003")</f>
        <v>ICTV20165003</v>
      </c>
      <c r="R5737" t="s">
        <v>579</v>
      </c>
      <c r="S5737" t="s">
        <v>824</v>
      </c>
      <c r="T5737">
        <v>37</v>
      </c>
      <c r="U5737" s="26" t="str">
        <f>HYPERLINK("https://ictv.global/ictv/proposals/2021.010B.R.Binomial_names.zip","2021.010B.R.Binomial_names.zip")</f>
        <v>2021.010B.R.Binomial_names.zip</v>
      </c>
    </row>
    <row r="5738" spans="1:21">
      <c r="A5738">
        <v>5737</v>
      </c>
      <c r="B5738" s="27" t="s">
        <v>1449</v>
      </c>
      <c r="D5738" s="27" t="s">
        <v>1450</v>
      </c>
      <c r="F5738" s="27" t="s">
        <v>1453</v>
      </c>
      <c r="H5738" s="27" t="s">
        <v>1454</v>
      </c>
      <c r="N5738" s="27" t="s">
        <v>782</v>
      </c>
      <c r="P5738" s="27" t="s">
        <v>7235</v>
      </c>
      <c r="Q5738" s="26" t="str">
        <f>HYPERLINK("https://ictv.global/taxonomy/taxondetails?taxnode_id=202512370&amp;ictv_id=ICTV202112370","ICTV202112370")</f>
        <v>ICTV202112370</v>
      </c>
      <c r="R5738" t="s">
        <v>579</v>
      </c>
      <c r="S5738" t="s">
        <v>823</v>
      </c>
      <c r="T5738">
        <v>37</v>
      </c>
      <c r="U5738" s="26" t="str">
        <f>HYPERLINK("https://ictv.global/ictv/proposals/2021.044B.R.Korravirus_new_species.zip","2021.044B.R.Korravirus_new_species.zip")</f>
        <v>2021.044B.R.Korravirus_new_species.zip</v>
      </c>
    </row>
    <row r="5739" spans="1:21">
      <c r="A5739">
        <v>5738</v>
      </c>
      <c r="B5739" s="27" t="s">
        <v>1449</v>
      </c>
      <c r="D5739" s="27" t="s">
        <v>1450</v>
      </c>
      <c r="F5739" s="27" t="s">
        <v>1453</v>
      </c>
      <c r="H5739" s="27" t="s">
        <v>1454</v>
      </c>
      <c r="N5739" s="27" t="s">
        <v>782</v>
      </c>
      <c r="P5739" s="27" t="s">
        <v>7236</v>
      </c>
      <c r="Q5739" s="26" t="str">
        <f>HYPERLINK("https://ictv.global/taxonomy/taxondetails?taxnode_id=202512371&amp;ictv_id=ICTV202112371","ICTV202112371")</f>
        <v>ICTV202112371</v>
      </c>
      <c r="R5739" t="s">
        <v>579</v>
      </c>
      <c r="S5739" t="s">
        <v>823</v>
      </c>
      <c r="T5739">
        <v>37</v>
      </c>
      <c r="U5739" s="26" t="str">
        <f>HYPERLINK("https://ictv.global/ictv/proposals/2021.044B.R.Korravirus_new_species.zip","2021.044B.R.Korravirus_new_species.zip")</f>
        <v>2021.044B.R.Korravirus_new_species.zip</v>
      </c>
    </row>
    <row r="5740" spans="1:21">
      <c r="A5740">
        <v>5739</v>
      </c>
      <c r="B5740" s="27" t="s">
        <v>1449</v>
      </c>
      <c r="D5740" s="27" t="s">
        <v>1450</v>
      </c>
      <c r="F5740" s="27" t="s">
        <v>1453</v>
      </c>
      <c r="H5740" s="27" t="s">
        <v>1454</v>
      </c>
      <c r="N5740" s="27" t="s">
        <v>782</v>
      </c>
      <c r="P5740" s="27" t="s">
        <v>7237</v>
      </c>
      <c r="Q5740" s="26" t="str">
        <f>HYPERLINK("https://ictv.global/taxonomy/taxondetails?taxnode_id=202501002&amp;ictv_id=ICTV20165004","ICTV20165004")</f>
        <v>ICTV20165004</v>
      </c>
      <c r="R5740" t="s">
        <v>579</v>
      </c>
      <c r="S5740" t="s">
        <v>824</v>
      </c>
      <c r="T5740">
        <v>37</v>
      </c>
      <c r="U5740" s="26" t="str">
        <f>HYPERLINK("https://ictv.global/ictv/proposals/2021.010B.R.Binomial_names.zip","2021.010B.R.Binomial_names.zip")</f>
        <v>2021.010B.R.Binomial_names.zip</v>
      </c>
    </row>
    <row r="5741" spans="1:21">
      <c r="A5741">
        <v>5740</v>
      </c>
      <c r="B5741" s="27" t="s">
        <v>1449</v>
      </c>
      <c r="D5741" s="27" t="s">
        <v>1450</v>
      </c>
      <c r="F5741" s="27" t="s">
        <v>1453</v>
      </c>
      <c r="H5741" s="27" t="s">
        <v>1454</v>
      </c>
      <c r="N5741" s="27" t="s">
        <v>782</v>
      </c>
      <c r="P5741" s="27" t="s">
        <v>7238</v>
      </c>
      <c r="Q5741" s="26" t="str">
        <f>HYPERLINK("https://ictv.global/taxonomy/taxondetails?taxnode_id=202512372&amp;ictv_id=ICTV202112372","ICTV202112372")</f>
        <v>ICTV202112372</v>
      </c>
      <c r="R5741" t="s">
        <v>579</v>
      </c>
      <c r="S5741" t="s">
        <v>823</v>
      </c>
      <c r="T5741">
        <v>37</v>
      </c>
      <c r="U5741" s="26" t="str">
        <f>HYPERLINK("https://ictv.global/ictv/proposals/2021.044B.R.Korravirus_new_species.zip","2021.044B.R.Korravirus_new_species.zip")</f>
        <v>2021.044B.R.Korravirus_new_species.zip</v>
      </c>
    </row>
    <row r="5742" spans="1:21">
      <c r="A5742">
        <v>5741</v>
      </c>
      <c r="B5742" s="27" t="s">
        <v>1449</v>
      </c>
      <c r="D5742" s="27" t="s">
        <v>1450</v>
      </c>
      <c r="F5742" s="27" t="s">
        <v>1453</v>
      </c>
      <c r="H5742" s="27" t="s">
        <v>1454</v>
      </c>
      <c r="N5742" s="27" t="s">
        <v>782</v>
      </c>
      <c r="P5742" s="27" t="s">
        <v>7239</v>
      </c>
      <c r="Q5742" s="26" t="str">
        <f>HYPERLINK("https://ictv.global/taxonomy/taxondetails?taxnode_id=202501003&amp;ictv_id=ICTV20165005","ICTV20165005")</f>
        <v>ICTV20165005</v>
      </c>
      <c r="R5742" t="s">
        <v>579</v>
      </c>
      <c r="S5742" t="s">
        <v>824</v>
      </c>
      <c r="T5742">
        <v>37</v>
      </c>
      <c r="U5742" s="26" t="str">
        <f>HYPERLINK("https://ictv.global/ictv/proposals/2021.010B.R.Binomial_names.zip","2021.010B.R.Binomial_names.zip")</f>
        <v>2021.010B.R.Binomial_names.zip</v>
      </c>
    </row>
    <row r="5743" spans="1:21">
      <c r="A5743">
        <v>5742</v>
      </c>
      <c r="B5743" s="27" t="s">
        <v>1449</v>
      </c>
      <c r="D5743" s="27" t="s">
        <v>1450</v>
      </c>
      <c r="F5743" s="27" t="s">
        <v>1453</v>
      </c>
      <c r="H5743" s="27" t="s">
        <v>1454</v>
      </c>
      <c r="N5743" s="27" t="s">
        <v>782</v>
      </c>
      <c r="P5743" s="27" t="s">
        <v>7240</v>
      </c>
      <c r="Q5743" s="26" t="str">
        <f>HYPERLINK("https://ictv.global/taxonomy/taxondetails?taxnode_id=202512373&amp;ictv_id=ICTV202112373","ICTV202112373")</f>
        <v>ICTV202112373</v>
      </c>
      <c r="R5743" t="s">
        <v>579</v>
      </c>
      <c r="S5743" t="s">
        <v>823</v>
      </c>
      <c r="T5743">
        <v>37</v>
      </c>
      <c r="U5743" s="26" t="str">
        <f>HYPERLINK("https://ictv.global/ictv/proposals/2021.044B.R.Korravirus_new_species.zip","2021.044B.R.Korravirus_new_species.zip")</f>
        <v>2021.044B.R.Korravirus_new_species.zip</v>
      </c>
    </row>
    <row r="5744" spans="1:21">
      <c r="A5744">
        <v>5743</v>
      </c>
      <c r="B5744" s="27" t="s">
        <v>1449</v>
      </c>
      <c r="D5744" s="27" t="s">
        <v>1450</v>
      </c>
      <c r="F5744" s="27" t="s">
        <v>1453</v>
      </c>
      <c r="H5744" s="27" t="s">
        <v>1454</v>
      </c>
      <c r="N5744" s="27" t="s">
        <v>782</v>
      </c>
      <c r="P5744" s="27" t="s">
        <v>7241</v>
      </c>
      <c r="Q5744" s="26" t="str">
        <f>HYPERLINK("https://ictv.global/taxonomy/taxondetails?taxnode_id=202501004&amp;ictv_id=ICTV20165006","ICTV20165006")</f>
        <v>ICTV20165006</v>
      </c>
      <c r="R5744" t="s">
        <v>579</v>
      </c>
      <c r="S5744" t="s">
        <v>824</v>
      </c>
      <c r="T5744">
        <v>37</v>
      </c>
      <c r="U5744" s="26" t="str">
        <f>HYPERLINK("https://ictv.global/ictv/proposals/2021.010B.R.Binomial_names.zip","2021.010B.R.Binomial_names.zip")</f>
        <v>2021.010B.R.Binomial_names.zip</v>
      </c>
    </row>
    <row r="5745" spans="1:21">
      <c r="A5745">
        <v>5744</v>
      </c>
      <c r="B5745" s="27" t="s">
        <v>1449</v>
      </c>
      <c r="D5745" s="27" t="s">
        <v>1450</v>
      </c>
      <c r="F5745" s="27" t="s">
        <v>1453</v>
      </c>
      <c r="H5745" s="27" t="s">
        <v>1454</v>
      </c>
      <c r="N5745" s="27" t="s">
        <v>782</v>
      </c>
      <c r="P5745" s="27" t="s">
        <v>7242</v>
      </c>
      <c r="Q5745" s="26" t="str">
        <f>HYPERLINK("https://ictv.global/taxonomy/taxondetails?taxnode_id=202512374&amp;ictv_id=ICTV202112374","ICTV202112374")</f>
        <v>ICTV202112374</v>
      </c>
      <c r="R5745" t="s">
        <v>579</v>
      </c>
      <c r="S5745" t="s">
        <v>823</v>
      </c>
      <c r="T5745">
        <v>37</v>
      </c>
      <c r="U5745" s="26" t="str">
        <f>HYPERLINK("https://ictv.global/ictv/proposals/2021.044B.R.Korravirus_new_species.zip","2021.044B.R.Korravirus_new_species.zip")</f>
        <v>2021.044B.R.Korravirus_new_species.zip</v>
      </c>
    </row>
    <row r="5746" spans="1:21">
      <c r="A5746">
        <v>5745</v>
      </c>
      <c r="B5746" s="27" t="s">
        <v>1449</v>
      </c>
      <c r="D5746" s="27" t="s">
        <v>1450</v>
      </c>
      <c r="F5746" s="27" t="s">
        <v>1453</v>
      </c>
      <c r="H5746" s="27" t="s">
        <v>1454</v>
      </c>
      <c r="N5746" s="27" t="s">
        <v>782</v>
      </c>
      <c r="P5746" s="27" t="s">
        <v>7243</v>
      </c>
      <c r="Q5746" s="26" t="str">
        <f>HYPERLINK("https://ictv.global/taxonomy/taxondetails?taxnode_id=202512375&amp;ictv_id=ICTV202112375","ICTV202112375")</f>
        <v>ICTV202112375</v>
      </c>
      <c r="R5746" t="s">
        <v>579</v>
      </c>
      <c r="S5746" t="s">
        <v>823</v>
      </c>
      <c r="T5746">
        <v>37</v>
      </c>
      <c r="U5746" s="26" t="str">
        <f>HYPERLINK("https://ictv.global/ictv/proposals/2021.044B.R.Korravirus_new_species.zip","2021.044B.R.Korravirus_new_species.zip")</f>
        <v>2021.044B.R.Korravirus_new_species.zip</v>
      </c>
    </row>
    <row r="5747" spans="1:21">
      <c r="A5747">
        <v>5746</v>
      </c>
      <c r="B5747" s="27" t="s">
        <v>1449</v>
      </c>
      <c r="D5747" s="27" t="s">
        <v>1450</v>
      </c>
      <c r="F5747" s="27" t="s">
        <v>1453</v>
      </c>
      <c r="H5747" s="27" t="s">
        <v>1454</v>
      </c>
      <c r="N5747" s="27" t="s">
        <v>782</v>
      </c>
      <c r="P5747" s="27" t="s">
        <v>7244</v>
      </c>
      <c r="Q5747" s="26" t="str">
        <f>HYPERLINK("https://ictv.global/taxonomy/taxondetails?taxnode_id=202512376&amp;ictv_id=ICTV202112376","ICTV202112376")</f>
        <v>ICTV202112376</v>
      </c>
      <c r="R5747" t="s">
        <v>579</v>
      </c>
      <c r="S5747" t="s">
        <v>823</v>
      </c>
      <c r="T5747">
        <v>37</v>
      </c>
      <c r="U5747" s="26" t="str">
        <f>HYPERLINK("https://ictv.global/ictv/proposals/2021.044B.R.Korravirus_new_species.zip","2021.044B.R.Korravirus_new_species.zip")</f>
        <v>2021.044B.R.Korravirus_new_species.zip</v>
      </c>
    </row>
    <row r="5748" spans="1:21">
      <c r="A5748">
        <v>5747</v>
      </c>
      <c r="B5748" s="27" t="s">
        <v>1449</v>
      </c>
      <c r="D5748" s="27" t="s">
        <v>1450</v>
      </c>
      <c r="F5748" s="27" t="s">
        <v>1453</v>
      </c>
      <c r="H5748" s="27" t="s">
        <v>1454</v>
      </c>
      <c r="N5748" s="27" t="s">
        <v>782</v>
      </c>
      <c r="P5748" s="27" t="s">
        <v>7245</v>
      </c>
      <c r="Q5748" s="26" t="str">
        <f>HYPERLINK("https://ictv.global/taxonomy/taxondetails?taxnode_id=202512377&amp;ictv_id=ICTV202112377","ICTV202112377")</f>
        <v>ICTV202112377</v>
      </c>
      <c r="R5748" t="s">
        <v>579</v>
      </c>
      <c r="S5748" t="s">
        <v>823</v>
      </c>
      <c r="T5748">
        <v>37</v>
      </c>
      <c r="U5748" s="26" t="str">
        <f>HYPERLINK("https://ictv.global/ictv/proposals/2021.044B.R.Korravirus_new_species.zip","2021.044B.R.Korravirus_new_species.zip")</f>
        <v>2021.044B.R.Korravirus_new_species.zip</v>
      </c>
    </row>
    <row r="5749" spans="1:21">
      <c r="A5749">
        <v>5748</v>
      </c>
      <c r="B5749" s="27" t="s">
        <v>1449</v>
      </c>
      <c r="D5749" s="27" t="s">
        <v>1450</v>
      </c>
      <c r="F5749" s="27" t="s">
        <v>1453</v>
      </c>
      <c r="H5749" s="27" t="s">
        <v>1454</v>
      </c>
      <c r="N5749" s="27" t="s">
        <v>782</v>
      </c>
      <c r="P5749" s="27" t="s">
        <v>7246</v>
      </c>
      <c r="Q5749" s="26" t="str">
        <f>HYPERLINK("https://ictv.global/taxonomy/taxondetails?taxnode_id=202501005&amp;ictv_id=ICTV20165007","ICTV20165007")</f>
        <v>ICTV20165007</v>
      </c>
      <c r="R5749" t="s">
        <v>579</v>
      </c>
      <c r="S5749" t="s">
        <v>824</v>
      </c>
      <c r="T5749">
        <v>37</v>
      </c>
      <c r="U5749" s="26" t="str">
        <f>HYPERLINK("https://ictv.global/ictv/proposals/2021.010B.R.Binomial_names.zip","2021.010B.R.Binomial_names.zip")</f>
        <v>2021.010B.R.Binomial_names.zip</v>
      </c>
    </row>
    <row r="5750" spans="1:21">
      <c r="A5750">
        <v>5749</v>
      </c>
      <c r="B5750" s="27" t="s">
        <v>1449</v>
      </c>
      <c r="D5750" s="27" t="s">
        <v>1450</v>
      </c>
      <c r="F5750" s="27" t="s">
        <v>1453</v>
      </c>
      <c r="H5750" s="27" t="s">
        <v>1454</v>
      </c>
      <c r="N5750" s="27" t="s">
        <v>782</v>
      </c>
      <c r="P5750" s="27" t="s">
        <v>7247</v>
      </c>
      <c r="Q5750" s="26" t="str">
        <f>HYPERLINK("https://ictv.global/taxonomy/taxondetails?taxnode_id=202501006&amp;ictv_id=ICTV20165008","ICTV20165008")</f>
        <v>ICTV20165008</v>
      </c>
      <c r="R5750" t="s">
        <v>579</v>
      </c>
      <c r="S5750" t="s">
        <v>824</v>
      </c>
      <c r="T5750">
        <v>37</v>
      </c>
      <c r="U5750" s="26" t="str">
        <f>HYPERLINK("https://ictv.global/ictv/proposals/2021.010B.R.Binomial_names.zip","2021.010B.R.Binomial_names.zip")</f>
        <v>2021.010B.R.Binomial_names.zip</v>
      </c>
    </row>
    <row r="5751" spans="1:21">
      <c r="A5751">
        <v>5750</v>
      </c>
      <c r="B5751" s="27" t="s">
        <v>1449</v>
      </c>
      <c r="D5751" s="27" t="s">
        <v>1450</v>
      </c>
      <c r="F5751" s="27" t="s">
        <v>1453</v>
      </c>
      <c r="H5751" s="27" t="s">
        <v>1454</v>
      </c>
      <c r="N5751" s="27" t="s">
        <v>782</v>
      </c>
      <c r="P5751" s="27" t="s">
        <v>7248</v>
      </c>
      <c r="Q5751" s="26" t="str">
        <f>HYPERLINK("https://ictv.global/taxonomy/taxondetails?taxnode_id=202512378&amp;ictv_id=ICTV202112378","ICTV202112378")</f>
        <v>ICTV202112378</v>
      </c>
      <c r="R5751" t="s">
        <v>579</v>
      </c>
      <c r="S5751" t="s">
        <v>823</v>
      </c>
      <c r="T5751">
        <v>37</v>
      </c>
      <c r="U5751" s="26" t="str">
        <f>HYPERLINK("https://ictv.global/ictv/proposals/2021.044B.R.Korravirus_new_species.zip","2021.044B.R.Korravirus_new_species.zip")</f>
        <v>2021.044B.R.Korravirus_new_species.zip</v>
      </c>
    </row>
    <row r="5752" spans="1:21">
      <c r="A5752">
        <v>5751</v>
      </c>
      <c r="B5752" s="27" t="s">
        <v>1449</v>
      </c>
      <c r="D5752" s="27" t="s">
        <v>1450</v>
      </c>
      <c r="F5752" s="27" t="s">
        <v>1453</v>
      </c>
      <c r="H5752" s="27" t="s">
        <v>1454</v>
      </c>
      <c r="N5752" s="27" t="s">
        <v>782</v>
      </c>
      <c r="P5752" s="27" t="s">
        <v>7249</v>
      </c>
      <c r="Q5752" s="26" t="str">
        <f>HYPERLINK("https://ictv.global/taxonomy/taxondetails?taxnode_id=202512379&amp;ictv_id=ICTV202112379","ICTV202112379")</f>
        <v>ICTV202112379</v>
      </c>
      <c r="R5752" t="s">
        <v>579</v>
      </c>
      <c r="S5752" t="s">
        <v>823</v>
      </c>
      <c r="T5752">
        <v>37</v>
      </c>
      <c r="U5752" s="26" t="str">
        <f>HYPERLINK("https://ictv.global/ictv/proposals/2021.044B.R.Korravirus_new_species.zip","2021.044B.R.Korravirus_new_species.zip")</f>
        <v>2021.044B.R.Korravirus_new_species.zip</v>
      </c>
    </row>
    <row r="5753" spans="1:21">
      <c r="A5753">
        <v>5752</v>
      </c>
      <c r="B5753" s="27" t="s">
        <v>1449</v>
      </c>
      <c r="D5753" s="27" t="s">
        <v>1450</v>
      </c>
      <c r="F5753" s="27" t="s">
        <v>1453</v>
      </c>
      <c r="H5753" s="27" t="s">
        <v>1454</v>
      </c>
      <c r="N5753" s="27" t="s">
        <v>782</v>
      </c>
      <c r="P5753" s="27" t="s">
        <v>7250</v>
      </c>
      <c r="Q5753" s="26" t="str">
        <f>HYPERLINK("https://ictv.global/taxonomy/taxondetails?taxnode_id=202512380&amp;ictv_id=ICTV202112380","ICTV202112380")</f>
        <v>ICTV202112380</v>
      </c>
      <c r="R5753" t="s">
        <v>579</v>
      </c>
      <c r="S5753" t="s">
        <v>823</v>
      </c>
      <c r="T5753">
        <v>37</v>
      </c>
      <c r="U5753" s="26" t="str">
        <f>HYPERLINK("https://ictv.global/ictv/proposals/2021.044B.R.Korravirus_new_species.zip","2021.044B.R.Korravirus_new_species.zip")</f>
        <v>2021.044B.R.Korravirus_new_species.zip</v>
      </c>
    </row>
    <row r="5754" spans="1:21">
      <c r="A5754">
        <v>5753</v>
      </c>
      <c r="B5754" s="27" t="s">
        <v>1449</v>
      </c>
      <c r="D5754" s="27" t="s">
        <v>1450</v>
      </c>
      <c r="F5754" s="27" t="s">
        <v>1453</v>
      </c>
      <c r="H5754" s="27" t="s">
        <v>1454</v>
      </c>
      <c r="N5754" s="27" t="s">
        <v>782</v>
      </c>
      <c r="P5754" s="27" t="s">
        <v>7251</v>
      </c>
      <c r="Q5754" s="26" t="str">
        <f>HYPERLINK("https://ictv.global/taxonomy/taxondetails?taxnode_id=202501007&amp;ictv_id=ICTV20165009","ICTV20165009")</f>
        <v>ICTV20165009</v>
      </c>
      <c r="R5754" t="s">
        <v>579</v>
      </c>
      <c r="S5754" t="s">
        <v>824</v>
      </c>
      <c r="T5754">
        <v>37</v>
      </c>
      <c r="U5754" s="26" t="str">
        <f t="shared" ref="U5754:U5764" si="228">HYPERLINK("https://ictv.global/ictv/proposals/2021.010B.R.Binomial_names.zip","2021.010B.R.Binomial_names.zip")</f>
        <v>2021.010B.R.Binomial_names.zip</v>
      </c>
    </row>
    <row r="5755" spans="1:21">
      <c r="A5755">
        <v>5754</v>
      </c>
      <c r="B5755" s="27" t="s">
        <v>1449</v>
      </c>
      <c r="D5755" s="27" t="s">
        <v>1450</v>
      </c>
      <c r="F5755" s="27" t="s">
        <v>1453</v>
      </c>
      <c r="H5755" s="27" t="s">
        <v>1454</v>
      </c>
      <c r="N5755" s="27" t="s">
        <v>1379</v>
      </c>
      <c r="P5755" s="27" t="s">
        <v>7252</v>
      </c>
      <c r="Q5755" s="26" t="str">
        <f>HYPERLINK("https://ictv.global/taxonomy/taxondetails?taxnode_id=202500931&amp;ictv_id=ICTV20140314","ICTV20140314")</f>
        <v>ICTV20140314</v>
      </c>
      <c r="R5755" t="s">
        <v>579</v>
      </c>
      <c r="S5755" t="s">
        <v>824</v>
      </c>
      <c r="T5755">
        <v>37</v>
      </c>
      <c r="U5755" s="26" t="str">
        <f t="shared" si="228"/>
        <v>2021.010B.R.Binomial_names.zip</v>
      </c>
    </row>
    <row r="5756" spans="1:21">
      <c r="A5756">
        <v>5755</v>
      </c>
      <c r="B5756" s="27" t="s">
        <v>1449</v>
      </c>
      <c r="D5756" s="27" t="s">
        <v>1450</v>
      </c>
      <c r="F5756" s="27" t="s">
        <v>1453</v>
      </c>
      <c r="H5756" s="27" t="s">
        <v>1454</v>
      </c>
      <c r="N5756" s="27" t="s">
        <v>1379</v>
      </c>
      <c r="P5756" s="27" t="s">
        <v>7253</v>
      </c>
      <c r="Q5756" s="26" t="str">
        <f>HYPERLINK("https://ictv.global/taxonomy/taxondetails?taxnode_id=202500932&amp;ictv_id=ICTV20140310","ICTV20140310")</f>
        <v>ICTV20140310</v>
      </c>
      <c r="R5756" t="s">
        <v>579</v>
      </c>
      <c r="S5756" t="s">
        <v>824</v>
      </c>
      <c r="T5756">
        <v>37</v>
      </c>
      <c r="U5756" s="26" t="str">
        <f t="shared" si="228"/>
        <v>2021.010B.R.Binomial_names.zip</v>
      </c>
    </row>
    <row r="5757" spans="1:21">
      <c r="A5757">
        <v>5756</v>
      </c>
      <c r="B5757" s="27" t="s">
        <v>1449</v>
      </c>
      <c r="D5757" s="27" t="s">
        <v>1450</v>
      </c>
      <c r="F5757" s="27" t="s">
        <v>1453</v>
      </c>
      <c r="H5757" s="27" t="s">
        <v>1454</v>
      </c>
      <c r="N5757" s="27" t="s">
        <v>1379</v>
      </c>
      <c r="P5757" s="27" t="s">
        <v>7254</v>
      </c>
      <c r="Q5757" s="26" t="str">
        <f>HYPERLINK("https://ictv.global/taxonomy/taxondetails?taxnode_id=202500933&amp;ictv_id=ICTV20140316","ICTV20140316")</f>
        <v>ICTV20140316</v>
      </c>
      <c r="R5757" t="s">
        <v>579</v>
      </c>
      <c r="S5757" t="s">
        <v>824</v>
      </c>
      <c r="T5757">
        <v>37</v>
      </c>
      <c r="U5757" s="26" t="str">
        <f t="shared" si="228"/>
        <v>2021.010B.R.Binomial_names.zip</v>
      </c>
    </row>
    <row r="5758" spans="1:21">
      <c r="A5758">
        <v>5757</v>
      </c>
      <c r="B5758" s="27" t="s">
        <v>1449</v>
      </c>
      <c r="D5758" s="27" t="s">
        <v>1450</v>
      </c>
      <c r="F5758" s="27" t="s">
        <v>1453</v>
      </c>
      <c r="H5758" s="27" t="s">
        <v>1454</v>
      </c>
      <c r="N5758" s="27" t="s">
        <v>1379</v>
      </c>
      <c r="P5758" s="27" t="s">
        <v>7255</v>
      </c>
      <c r="Q5758" s="26" t="str">
        <f>HYPERLINK("https://ictv.global/taxonomy/taxondetails?taxnode_id=202500934&amp;ictv_id=ICTV20140317","ICTV20140317")</f>
        <v>ICTV20140317</v>
      </c>
      <c r="R5758" t="s">
        <v>579</v>
      </c>
      <c r="S5758" t="s">
        <v>824</v>
      </c>
      <c r="T5758">
        <v>37</v>
      </c>
      <c r="U5758" s="26" t="str">
        <f t="shared" si="228"/>
        <v>2021.010B.R.Binomial_names.zip</v>
      </c>
    </row>
    <row r="5759" spans="1:21">
      <c r="A5759">
        <v>5758</v>
      </c>
      <c r="B5759" s="27" t="s">
        <v>1449</v>
      </c>
      <c r="D5759" s="27" t="s">
        <v>1450</v>
      </c>
      <c r="F5759" s="27" t="s">
        <v>1453</v>
      </c>
      <c r="H5759" s="27" t="s">
        <v>1454</v>
      </c>
      <c r="N5759" s="27" t="s">
        <v>1379</v>
      </c>
      <c r="P5759" s="27" t="s">
        <v>7256</v>
      </c>
      <c r="Q5759" s="26" t="str">
        <f>HYPERLINK("https://ictv.global/taxonomy/taxondetails?taxnode_id=202500930&amp;ictv_id=ICTV20140312","ICTV20140312")</f>
        <v>ICTV20140312</v>
      </c>
      <c r="R5759" t="s">
        <v>579</v>
      </c>
      <c r="S5759" t="s">
        <v>824</v>
      </c>
      <c r="T5759">
        <v>37</v>
      </c>
      <c r="U5759" s="26" t="str">
        <f t="shared" si="228"/>
        <v>2021.010B.R.Binomial_names.zip</v>
      </c>
    </row>
    <row r="5760" spans="1:21">
      <c r="A5760">
        <v>5759</v>
      </c>
      <c r="B5760" s="27" t="s">
        <v>1449</v>
      </c>
      <c r="D5760" s="27" t="s">
        <v>1450</v>
      </c>
      <c r="F5760" s="27" t="s">
        <v>1453</v>
      </c>
      <c r="H5760" s="27" t="s">
        <v>1454</v>
      </c>
      <c r="N5760" s="27" t="s">
        <v>1379</v>
      </c>
      <c r="P5760" s="27" t="s">
        <v>7257</v>
      </c>
      <c r="Q5760" s="26" t="str">
        <f>HYPERLINK("https://ictv.global/taxonomy/taxondetails?taxnode_id=202500935&amp;ictv_id=ICTV20140313","ICTV20140313")</f>
        <v>ICTV20140313</v>
      </c>
      <c r="R5760" t="s">
        <v>579</v>
      </c>
      <c r="S5760" t="s">
        <v>824</v>
      </c>
      <c r="T5760">
        <v>37</v>
      </c>
      <c r="U5760" s="26" t="str">
        <f t="shared" si="228"/>
        <v>2021.010B.R.Binomial_names.zip</v>
      </c>
    </row>
    <row r="5761" spans="1:21">
      <c r="A5761">
        <v>5760</v>
      </c>
      <c r="B5761" s="27" t="s">
        <v>1449</v>
      </c>
      <c r="D5761" s="27" t="s">
        <v>1450</v>
      </c>
      <c r="F5761" s="27" t="s">
        <v>1453</v>
      </c>
      <c r="H5761" s="27" t="s">
        <v>1454</v>
      </c>
      <c r="N5761" s="27" t="s">
        <v>1379</v>
      </c>
      <c r="P5761" s="27" t="s">
        <v>7258</v>
      </c>
      <c r="Q5761" s="26" t="str">
        <f>HYPERLINK("https://ictv.global/taxonomy/taxondetails?taxnode_id=202500936&amp;ictv_id=ICTV20140311","ICTV20140311")</f>
        <v>ICTV20140311</v>
      </c>
      <c r="R5761" t="s">
        <v>579</v>
      </c>
      <c r="S5761" t="s">
        <v>824</v>
      </c>
      <c r="T5761">
        <v>37</v>
      </c>
      <c r="U5761" s="26" t="str">
        <f t="shared" si="228"/>
        <v>2021.010B.R.Binomial_names.zip</v>
      </c>
    </row>
    <row r="5762" spans="1:21">
      <c r="A5762">
        <v>5761</v>
      </c>
      <c r="B5762" s="27" t="s">
        <v>1449</v>
      </c>
      <c r="D5762" s="27" t="s">
        <v>1450</v>
      </c>
      <c r="F5762" s="27" t="s">
        <v>1453</v>
      </c>
      <c r="H5762" s="27" t="s">
        <v>1454</v>
      </c>
      <c r="N5762" s="27" t="s">
        <v>1379</v>
      </c>
      <c r="P5762" s="27" t="s">
        <v>7259</v>
      </c>
      <c r="Q5762" s="26" t="str">
        <f>HYPERLINK("https://ictv.global/taxonomy/taxondetails?taxnode_id=202500937&amp;ictv_id=ICTV20140315","ICTV20140315")</f>
        <v>ICTV20140315</v>
      </c>
      <c r="R5762" t="s">
        <v>579</v>
      </c>
      <c r="S5762" t="s">
        <v>824</v>
      </c>
      <c r="T5762">
        <v>37</v>
      </c>
      <c r="U5762" s="26" t="str">
        <f t="shared" si="228"/>
        <v>2021.010B.R.Binomial_names.zip</v>
      </c>
    </row>
    <row r="5763" spans="1:21">
      <c r="A5763">
        <v>5762</v>
      </c>
      <c r="B5763" s="27" t="s">
        <v>1449</v>
      </c>
      <c r="D5763" s="27" t="s">
        <v>1450</v>
      </c>
      <c r="F5763" s="27" t="s">
        <v>1453</v>
      </c>
      <c r="H5763" s="27" t="s">
        <v>1454</v>
      </c>
      <c r="N5763" s="27" t="s">
        <v>1379</v>
      </c>
      <c r="P5763" s="27" t="s">
        <v>7260</v>
      </c>
      <c r="Q5763" s="26" t="str">
        <f>HYPERLINK("https://ictv.global/taxonomy/taxondetails?taxnode_id=202500938&amp;ictv_id=ICTV20140318","ICTV20140318")</f>
        <v>ICTV20140318</v>
      </c>
      <c r="R5763" t="s">
        <v>579</v>
      </c>
      <c r="S5763" t="s">
        <v>824</v>
      </c>
      <c r="T5763">
        <v>37</v>
      </c>
      <c r="U5763" s="26" t="str">
        <f t="shared" si="228"/>
        <v>2021.010B.R.Binomial_names.zip</v>
      </c>
    </row>
    <row r="5764" spans="1:21">
      <c r="A5764">
        <v>5763</v>
      </c>
      <c r="B5764" s="27" t="s">
        <v>1449</v>
      </c>
      <c r="D5764" s="27" t="s">
        <v>1450</v>
      </c>
      <c r="F5764" s="27" t="s">
        <v>1453</v>
      </c>
      <c r="H5764" s="27" t="s">
        <v>1454</v>
      </c>
      <c r="N5764" s="27" t="s">
        <v>1761</v>
      </c>
      <c r="P5764" s="27" t="s">
        <v>7262</v>
      </c>
      <c r="Q5764" s="26" t="str">
        <f>HYPERLINK("https://ictv.global/taxonomy/taxondetails?taxnode_id=202507430&amp;ictv_id=ICTV201907430","ICTV201907430")</f>
        <v>ICTV201907430</v>
      </c>
      <c r="R5764" t="s">
        <v>579</v>
      </c>
      <c r="S5764" t="s">
        <v>824</v>
      </c>
      <c r="T5764">
        <v>37</v>
      </c>
      <c r="U5764" s="26" t="str">
        <f t="shared" si="228"/>
        <v>2021.010B.R.Binomial_names.zip</v>
      </c>
    </row>
    <row r="5765" spans="1:21">
      <c r="A5765">
        <v>5764</v>
      </c>
      <c r="B5765" s="27" t="s">
        <v>1449</v>
      </c>
      <c r="D5765" s="27" t="s">
        <v>1450</v>
      </c>
      <c r="F5765" s="27" t="s">
        <v>1453</v>
      </c>
      <c r="H5765" s="27" t="s">
        <v>1454</v>
      </c>
      <c r="N5765" s="27" t="s">
        <v>12168</v>
      </c>
      <c r="P5765" s="27" t="s">
        <v>12169</v>
      </c>
      <c r="Q5765" s="26" t="str">
        <f>HYPERLINK("https://ictv.global/taxonomy/taxondetails?taxnode_id=202517760&amp;ictv_id=ICTV202317760","ICTV202317760")</f>
        <v>ICTV202317760</v>
      </c>
      <c r="R5765" t="s">
        <v>579</v>
      </c>
      <c r="S5765" t="s">
        <v>823</v>
      </c>
      <c r="T5765">
        <v>39</v>
      </c>
      <c r="U5765" s="26" t="str">
        <f>HYPERLINK("https://ictv.global/ictv/proposals/2023.003B.Actinobacteriophage_singletons_25ng.zip","2023.003B.Actinobacteriophage_singletons_25ng.zip")</f>
        <v>2023.003B.Actinobacteriophage_singletons_25ng.zip</v>
      </c>
    </row>
    <row r="5766" spans="1:21">
      <c r="A5766">
        <v>5765</v>
      </c>
      <c r="B5766" s="27" t="s">
        <v>1449</v>
      </c>
      <c r="D5766" s="27" t="s">
        <v>1450</v>
      </c>
      <c r="F5766" s="27" t="s">
        <v>1453</v>
      </c>
      <c r="H5766" s="27" t="s">
        <v>1454</v>
      </c>
      <c r="N5766" s="27" t="s">
        <v>19838</v>
      </c>
      <c r="P5766" s="27" t="s">
        <v>19839</v>
      </c>
      <c r="Q5766" s="26" t="str">
        <f>HYPERLINK("https://ictv.global/taxonomy/taxondetails?taxnode_id=202520760&amp;ictv_id=ICTV202420760","ICTV202420760")</f>
        <v>ICTV202420760</v>
      </c>
      <c r="R5766" t="s">
        <v>579</v>
      </c>
      <c r="S5766" t="s">
        <v>823</v>
      </c>
      <c r="T5766">
        <v>40</v>
      </c>
      <c r="U5766" s="26" t="str">
        <f>HYPERLINK("https://ictv.global/ictv/proposals/2024.018B.Kronosvirus_1ng_3ns.zip","2024.018B.Kronosvirus_1ng_3ns.zip")</f>
        <v>2024.018B.Kronosvirus_1ng_3ns.zip</v>
      </c>
    </row>
    <row r="5767" spans="1:21">
      <c r="A5767">
        <v>5766</v>
      </c>
      <c r="B5767" s="27" t="s">
        <v>1449</v>
      </c>
      <c r="D5767" s="27" t="s">
        <v>1450</v>
      </c>
      <c r="F5767" s="27" t="s">
        <v>1453</v>
      </c>
      <c r="H5767" s="27" t="s">
        <v>1454</v>
      </c>
      <c r="N5767" s="27" t="s">
        <v>19838</v>
      </c>
      <c r="P5767" s="27" t="s">
        <v>19840</v>
      </c>
      <c r="Q5767" s="26" t="str">
        <f>HYPERLINK("https://ictv.global/taxonomy/taxondetails?taxnode_id=202520758&amp;ictv_id=ICTV202420758","ICTV202420758")</f>
        <v>ICTV202420758</v>
      </c>
      <c r="R5767" t="s">
        <v>579</v>
      </c>
      <c r="S5767" t="s">
        <v>823</v>
      </c>
      <c r="T5767">
        <v>40</v>
      </c>
      <c r="U5767" s="26" t="str">
        <f>HYPERLINK("https://ictv.global/ictv/proposals/2024.018B.Kronosvirus_1ng_3ns.zip","2024.018B.Kronosvirus_1ng_3ns.zip")</f>
        <v>2024.018B.Kronosvirus_1ng_3ns.zip</v>
      </c>
    </row>
    <row r="5768" spans="1:21">
      <c r="A5768">
        <v>5767</v>
      </c>
      <c r="B5768" s="27" t="s">
        <v>1449</v>
      </c>
      <c r="D5768" s="27" t="s">
        <v>1450</v>
      </c>
      <c r="F5768" s="27" t="s">
        <v>1453</v>
      </c>
      <c r="H5768" s="27" t="s">
        <v>1454</v>
      </c>
      <c r="N5768" s="27" t="s">
        <v>19838</v>
      </c>
      <c r="P5768" s="27" t="s">
        <v>19841</v>
      </c>
      <c r="Q5768" s="26" t="str">
        <f>HYPERLINK("https://ictv.global/taxonomy/taxondetails?taxnode_id=202520759&amp;ictv_id=ICTV202420759","ICTV202420759")</f>
        <v>ICTV202420759</v>
      </c>
      <c r="R5768" t="s">
        <v>579</v>
      </c>
      <c r="S5768" t="s">
        <v>823</v>
      </c>
      <c r="T5768">
        <v>40</v>
      </c>
      <c r="U5768" s="26" t="str">
        <f>HYPERLINK("https://ictv.global/ictv/proposals/2024.018B.Kronosvirus_1ng_3ns.zip","2024.018B.Kronosvirus_1ng_3ns.zip")</f>
        <v>2024.018B.Kronosvirus_1ng_3ns.zip</v>
      </c>
    </row>
    <row r="5769" spans="1:21">
      <c r="A5769">
        <v>5768</v>
      </c>
      <c r="B5769" s="27" t="s">
        <v>1449</v>
      </c>
      <c r="D5769" s="27" t="s">
        <v>1450</v>
      </c>
      <c r="F5769" s="27" t="s">
        <v>1453</v>
      </c>
      <c r="H5769" s="27" t="s">
        <v>1454</v>
      </c>
      <c r="N5769" s="27" t="s">
        <v>1300</v>
      </c>
      <c r="P5769" s="27" t="s">
        <v>7272</v>
      </c>
      <c r="Q5769" s="26" t="str">
        <f>HYPERLINK("https://ictv.global/taxonomy/taxondetails?taxnode_id=202506843&amp;ictv_id=ICTV201856843","ICTV201856843")</f>
        <v>ICTV201856843</v>
      </c>
      <c r="R5769" t="s">
        <v>579</v>
      </c>
      <c r="S5769" t="s">
        <v>824</v>
      </c>
      <c r="T5769">
        <v>37</v>
      </c>
      <c r="U5769" s="26" t="str">
        <f>HYPERLINK("https://ictv.global/ictv/proposals/2021.010B.R.Binomial_names.zip","2021.010B.R.Binomial_names.zip")</f>
        <v>2021.010B.R.Binomial_names.zip</v>
      </c>
    </row>
    <row r="5770" spans="1:21">
      <c r="A5770">
        <v>5769</v>
      </c>
      <c r="B5770" s="27" t="s">
        <v>1449</v>
      </c>
      <c r="D5770" s="27" t="s">
        <v>1450</v>
      </c>
      <c r="F5770" s="27" t="s">
        <v>1453</v>
      </c>
      <c r="H5770" s="27" t="s">
        <v>1454</v>
      </c>
      <c r="N5770" s="27" t="s">
        <v>1380</v>
      </c>
      <c r="P5770" s="27" t="s">
        <v>7273</v>
      </c>
      <c r="Q5770" s="26" t="str">
        <f>HYPERLINK("https://ictv.global/taxonomy/taxondetails?taxnode_id=202506845&amp;ictv_id=ICTV201856845","ICTV201856845")</f>
        <v>ICTV201856845</v>
      </c>
      <c r="R5770" t="s">
        <v>579</v>
      </c>
      <c r="S5770" t="s">
        <v>824</v>
      </c>
      <c r="T5770">
        <v>37</v>
      </c>
      <c r="U5770" s="26" t="str">
        <f>HYPERLINK("https://ictv.global/ictv/proposals/2021.010B.R.Binomial_names.zip","2021.010B.R.Binomial_names.zip")</f>
        <v>2021.010B.R.Binomial_names.zip</v>
      </c>
    </row>
    <row r="5771" spans="1:21">
      <c r="A5771">
        <v>5770</v>
      </c>
      <c r="B5771" s="27" t="s">
        <v>1449</v>
      </c>
      <c r="D5771" s="27" t="s">
        <v>1450</v>
      </c>
      <c r="F5771" s="27" t="s">
        <v>1453</v>
      </c>
      <c r="H5771" s="27" t="s">
        <v>1454</v>
      </c>
      <c r="N5771" s="27" t="s">
        <v>1380</v>
      </c>
      <c r="P5771" s="27" t="s">
        <v>7274</v>
      </c>
      <c r="Q5771" s="26" t="str">
        <f>HYPERLINK("https://ictv.global/taxonomy/taxondetails?taxnode_id=202506846&amp;ictv_id=ICTV201856846","ICTV201856846")</f>
        <v>ICTV201856846</v>
      </c>
      <c r="R5771" t="s">
        <v>579</v>
      </c>
      <c r="S5771" t="s">
        <v>824</v>
      </c>
      <c r="T5771">
        <v>37</v>
      </c>
      <c r="U5771" s="26" t="str">
        <f>HYPERLINK("https://ictv.global/ictv/proposals/2021.010B.R.Binomial_names.zip","2021.010B.R.Binomial_names.zip")</f>
        <v>2021.010B.R.Binomial_names.zip</v>
      </c>
    </row>
    <row r="5772" spans="1:21">
      <c r="A5772">
        <v>5771</v>
      </c>
      <c r="B5772" s="27" t="s">
        <v>1449</v>
      </c>
      <c r="D5772" s="27" t="s">
        <v>1450</v>
      </c>
      <c r="F5772" s="27" t="s">
        <v>1453</v>
      </c>
      <c r="H5772" s="27" t="s">
        <v>1454</v>
      </c>
      <c r="N5772" s="27" t="s">
        <v>2279</v>
      </c>
      <c r="P5772" s="27" t="s">
        <v>7275</v>
      </c>
      <c r="Q5772" s="26" t="str">
        <f>HYPERLINK("https://ictv.global/taxonomy/taxondetails?taxnode_id=202510155&amp;ictv_id=ICTV202010155","ICTV202010155")</f>
        <v>ICTV202010155</v>
      </c>
      <c r="R5772" t="s">
        <v>579</v>
      </c>
      <c r="S5772" t="s">
        <v>824</v>
      </c>
      <c r="T5772">
        <v>37</v>
      </c>
      <c r="U5772" s="26" t="str">
        <f>HYPERLINK("https://ictv.global/ictv/proposals/2021.010B.R.Binomial_names.zip","2021.010B.R.Binomial_names.zip")</f>
        <v>2021.010B.R.Binomial_names.zip</v>
      </c>
    </row>
    <row r="5773" spans="1:21">
      <c r="A5773">
        <v>5772</v>
      </c>
      <c r="B5773" s="27" t="s">
        <v>1449</v>
      </c>
      <c r="D5773" s="27" t="s">
        <v>1450</v>
      </c>
      <c r="F5773" s="27" t="s">
        <v>1453</v>
      </c>
      <c r="H5773" s="27" t="s">
        <v>1454</v>
      </c>
      <c r="N5773" s="27" t="s">
        <v>7276</v>
      </c>
      <c r="P5773" s="27" t="s">
        <v>7277</v>
      </c>
      <c r="Q5773" s="26" t="str">
        <f>HYPERLINK("https://ictv.global/taxonomy/taxondetails?taxnode_id=202514956&amp;ictv_id=ICTV202214956","ICTV202214956")</f>
        <v>ICTV202214956</v>
      </c>
      <c r="R5773" t="s">
        <v>579</v>
      </c>
      <c r="S5773" t="s">
        <v>823</v>
      </c>
      <c r="T5773">
        <v>38</v>
      </c>
      <c r="U5773" s="26" t="str">
        <f>HYPERLINK("https://ictv.global/ictv/proposals/2022.090B.Caudoviricetes_3ng_arthrobacter.zip","2022.090B.Caudoviricetes_3ng_arthrobacter.zip")</f>
        <v>2022.090B.Caudoviricetes_3ng_arthrobacter.zip</v>
      </c>
    </row>
    <row r="5774" spans="1:21">
      <c r="A5774">
        <v>5773</v>
      </c>
      <c r="B5774" s="27" t="s">
        <v>1449</v>
      </c>
      <c r="D5774" s="27" t="s">
        <v>1450</v>
      </c>
      <c r="F5774" s="27" t="s">
        <v>1453</v>
      </c>
      <c r="H5774" s="27" t="s">
        <v>1454</v>
      </c>
      <c r="N5774" s="27" t="s">
        <v>7276</v>
      </c>
      <c r="P5774" s="27" t="s">
        <v>7278</v>
      </c>
      <c r="Q5774" s="26" t="str">
        <f>HYPERLINK("https://ictv.global/taxonomy/taxondetails?taxnode_id=202514957&amp;ictv_id=ICTV202214957","ICTV202214957")</f>
        <v>ICTV202214957</v>
      </c>
      <c r="R5774" t="s">
        <v>579</v>
      </c>
      <c r="S5774" t="s">
        <v>823</v>
      </c>
      <c r="T5774">
        <v>38</v>
      </c>
      <c r="U5774" s="26" t="str">
        <f>HYPERLINK("https://ictv.global/ictv/proposals/2022.090B.Caudoviricetes_3ng_arthrobacter.zip","2022.090B.Caudoviricetes_3ng_arthrobacter.zip")</f>
        <v>2022.090B.Caudoviricetes_3ng_arthrobacter.zip</v>
      </c>
    </row>
    <row r="5775" spans="1:21">
      <c r="A5775">
        <v>5774</v>
      </c>
      <c r="B5775" s="27" t="s">
        <v>1449</v>
      </c>
      <c r="D5775" s="27" t="s">
        <v>1450</v>
      </c>
      <c r="F5775" s="27" t="s">
        <v>1453</v>
      </c>
      <c r="H5775" s="27" t="s">
        <v>1454</v>
      </c>
      <c r="N5775" s="27" t="s">
        <v>2104</v>
      </c>
      <c r="P5775" s="27" t="s">
        <v>7279</v>
      </c>
      <c r="Q5775" s="26" t="str">
        <f>HYPERLINK("https://ictv.global/taxonomy/taxondetails?taxnode_id=202510157&amp;ictv_id=ICTV202010157","ICTV202010157")</f>
        <v>ICTV202010157</v>
      </c>
      <c r="R5775" t="s">
        <v>579</v>
      </c>
      <c r="S5775" t="s">
        <v>824</v>
      </c>
      <c r="T5775">
        <v>37</v>
      </c>
      <c r="U5775" s="26" t="str">
        <f>HYPERLINK("https://ictv.global/ictv/proposals/2021.010B.R.Binomial_names.zip","2021.010B.R.Binomial_names.zip")</f>
        <v>2021.010B.R.Binomial_names.zip</v>
      </c>
    </row>
    <row r="5776" spans="1:21">
      <c r="A5776">
        <v>5775</v>
      </c>
      <c r="B5776" s="27" t="s">
        <v>1449</v>
      </c>
      <c r="D5776" s="27" t="s">
        <v>1450</v>
      </c>
      <c r="F5776" s="27" t="s">
        <v>1453</v>
      </c>
      <c r="H5776" s="27" t="s">
        <v>1454</v>
      </c>
      <c r="N5776" s="27" t="s">
        <v>7280</v>
      </c>
      <c r="P5776" s="27" t="s">
        <v>7281</v>
      </c>
      <c r="Q5776" s="26" t="str">
        <f>HYPERLINK("https://ictv.global/taxonomy/taxondetails?taxnode_id=202512392&amp;ictv_id=ICTV202112392","ICTV202112392")</f>
        <v>ICTV202112392</v>
      </c>
      <c r="R5776" t="s">
        <v>579</v>
      </c>
      <c r="S5776" t="s">
        <v>823</v>
      </c>
      <c r="T5776">
        <v>37</v>
      </c>
      <c r="U5776" s="26" t="str">
        <f>HYPERLINK("https://ictv.global/ictv/proposals/2021.046B.R.Kunmingvirus.zip","2021.046B.R.Kunmingvirus.zip")</f>
        <v>2021.046B.R.Kunmingvirus.zip</v>
      </c>
    </row>
    <row r="5777" spans="1:21">
      <c r="A5777">
        <v>5776</v>
      </c>
      <c r="B5777" s="27" t="s">
        <v>1449</v>
      </c>
      <c r="D5777" s="27" t="s">
        <v>1450</v>
      </c>
      <c r="F5777" s="27" t="s">
        <v>1453</v>
      </c>
      <c r="H5777" s="27" t="s">
        <v>1454</v>
      </c>
      <c r="N5777" s="27" t="s">
        <v>7280</v>
      </c>
      <c r="P5777" s="27" t="s">
        <v>7282</v>
      </c>
      <c r="Q5777" s="26" t="str">
        <f>HYPERLINK("https://ictv.global/taxonomy/taxondetails?taxnode_id=202512393&amp;ictv_id=ICTV202112393","ICTV202112393")</f>
        <v>ICTV202112393</v>
      </c>
      <c r="R5777" t="s">
        <v>579</v>
      </c>
      <c r="S5777" t="s">
        <v>823</v>
      </c>
      <c r="T5777">
        <v>37</v>
      </c>
      <c r="U5777" s="26" t="str">
        <f>HYPERLINK("https://ictv.global/ictv/proposals/2021.046B.R.Kunmingvirus.zip","2021.046B.R.Kunmingvirus.zip")</f>
        <v>2021.046B.R.Kunmingvirus.zip</v>
      </c>
    </row>
    <row r="5778" spans="1:21">
      <c r="A5778">
        <v>5777</v>
      </c>
      <c r="B5778" s="27" t="s">
        <v>1449</v>
      </c>
      <c r="D5778" s="27" t="s">
        <v>1450</v>
      </c>
      <c r="F5778" s="27" t="s">
        <v>1453</v>
      </c>
      <c r="H5778" s="27" t="s">
        <v>1454</v>
      </c>
      <c r="N5778" s="27" t="s">
        <v>19842</v>
      </c>
      <c r="P5778" s="27" t="s">
        <v>19843</v>
      </c>
      <c r="Q5778" s="26" t="str">
        <f>HYPERLINK("https://ictv.global/taxonomy/taxondetails?taxnode_id=202520877&amp;ictv_id=ICTV202420877","ICTV202420877")</f>
        <v>ICTV202420877</v>
      </c>
      <c r="R5778" t="s">
        <v>579</v>
      </c>
      <c r="S5778" t="s">
        <v>823</v>
      </c>
      <c r="T5778">
        <v>40</v>
      </c>
      <c r="U5778" s="26" t="str">
        <f>HYPERLINK("https://ictv.global/ictv/proposals/2024.042B.Lacfervirus_1ng_1ns.zip","2024.042B.Lacfervirus_1ng_1ns.zip")</f>
        <v>2024.042B.Lacfervirus_1ng_1ns.zip</v>
      </c>
    </row>
    <row r="5779" spans="1:21">
      <c r="A5779">
        <v>5778</v>
      </c>
      <c r="B5779" s="27" t="s">
        <v>1449</v>
      </c>
      <c r="D5779" s="27" t="s">
        <v>1450</v>
      </c>
      <c r="F5779" s="27" t="s">
        <v>1453</v>
      </c>
      <c r="H5779" s="27" t="s">
        <v>1454</v>
      </c>
      <c r="N5779" s="27" t="s">
        <v>2281</v>
      </c>
      <c r="P5779" s="27" t="s">
        <v>7284</v>
      </c>
      <c r="Q5779" s="26" t="str">
        <f>HYPERLINK("https://ictv.global/taxonomy/taxondetails?taxnode_id=202510172&amp;ictv_id=ICTV202010172","ICTV202010172")</f>
        <v>ICTV202010172</v>
      </c>
      <c r="R5779" t="s">
        <v>579</v>
      </c>
      <c r="S5779" t="s">
        <v>824</v>
      </c>
      <c r="T5779">
        <v>37</v>
      </c>
      <c r="U5779" s="26" t="str">
        <f t="shared" ref="U5779:U5814" si="229">HYPERLINK("https://ictv.global/ictv/proposals/2021.010B.R.Binomial_names.zip","2021.010B.R.Binomial_names.zip")</f>
        <v>2021.010B.R.Binomial_names.zip</v>
      </c>
    </row>
    <row r="5780" spans="1:21">
      <c r="A5780">
        <v>5779</v>
      </c>
      <c r="B5780" s="27" t="s">
        <v>1449</v>
      </c>
      <c r="D5780" s="27" t="s">
        <v>1450</v>
      </c>
      <c r="F5780" s="27" t="s">
        <v>1453</v>
      </c>
      <c r="H5780" s="27" t="s">
        <v>1454</v>
      </c>
      <c r="N5780" s="27" t="s">
        <v>1381</v>
      </c>
      <c r="P5780" s="27" t="s">
        <v>7285</v>
      </c>
      <c r="Q5780" s="26" t="str">
        <f>HYPERLINK("https://ictv.global/taxonomy/taxondetails?taxnode_id=202506848&amp;ictv_id=ICTV201856848","ICTV201856848")</f>
        <v>ICTV201856848</v>
      </c>
      <c r="R5780" t="s">
        <v>579</v>
      </c>
      <c r="S5780" t="s">
        <v>824</v>
      </c>
      <c r="T5780">
        <v>37</v>
      </c>
      <c r="U5780" s="26" t="str">
        <f t="shared" si="229"/>
        <v>2021.010B.R.Binomial_names.zip</v>
      </c>
    </row>
    <row r="5781" spans="1:21">
      <c r="A5781">
        <v>5780</v>
      </c>
      <c r="B5781" s="27" t="s">
        <v>1449</v>
      </c>
      <c r="D5781" s="27" t="s">
        <v>1450</v>
      </c>
      <c r="F5781" s="27" t="s">
        <v>1453</v>
      </c>
      <c r="H5781" s="27" t="s">
        <v>1454</v>
      </c>
      <c r="N5781" s="27" t="s">
        <v>2282</v>
      </c>
      <c r="P5781" s="27" t="s">
        <v>7286</v>
      </c>
      <c r="Q5781" s="26" t="str">
        <f>HYPERLINK("https://ictv.global/taxonomy/taxondetails?taxnode_id=202510178&amp;ictv_id=ICTV202010178","ICTV202010178")</f>
        <v>ICTV202010178</v>
      </c>
      <c r="R5781" t="s">
        <v>579</v>
      </c>
      <c r="S5781" t="s">
        <v>824</v>
      </c>
      <c r="T5781">
        <v>37</v>
      </c>
      <c r="U5781" s="26" t="str">
        <f t="shared" si="229"/>
        <v>2021.010B.R.Binomial_names.zip</v>
      </c>
    </row>
    <row r="5782" spans="1:21">
      <c r="A5782">
        <v>5781</v>
      </c>
      <c r="B5782" s="27" t="s">
        <v>1449</v>
      </c>
      <c r="D5782" s="27" t="s">
        <v>1450</v>
      </c>
      <c r="F5782" s="27" t="s">
        <v>1453</v>
      </c>
      <c r="H5782" s="27" t="s">
        <v>1454</v>
      </c>
      <c r="N5782" s="27" t="s">
        <v>1682</v>
      </c>
      <c r="P5782" s="27" t="s">
        <v>7287</v>
      </c>
      <c r="Q5782" s="26" t="str">
        <f>HYPERLINK("https://ictv.global/taxonomy/taxondetails?taxnode_id=202508044&amp;ictv_id=ICTV201908044","ICTV201908044")</f>
        <v>ICTV201908044</v>
      </c>
      <c r="R5782" t="s">
        <v>579</v>
      </c>
      <c r="S5782" t="s">
        <v>824</v>
      </c>
      <c r="T5782">
        <v>37</v>
      </c>
      <c r="U5782" s="26" t="str">
        <f t="shared" si="229"/>
        <v>2021.010B.R.Binomial_names.zip</v>
      </c>
    </row>
    <row r="5783" spans="1:21">
      <c r="A5783">
        <v>5782</v>
      </c>
      <c r="B5783" s="27" t="s">
        <v>1449</v>
      </c>
      <c r="D5783" s="27" t="s">
        <v>1450</v>
      </c>
      <c r="F5783" s="27" t="s">
        <v>1453</v>
      </c>
      <c r="H5783" s="27" t="s">
        <v>1454</v>
      </c>
      <c r="N5783" s="27" t="s">
        <v>1762</v>
      </c>
      <c r="P5783" s="27" t="s">
        <v>7301</v>
      </c>
      <c r="Q5783" s="26" t="str">
        <f>HYPERLINK("https://ictv.global/taxonomy/taxondetails?taxnode_id=202507878&amp;ictv_id=ICTV201907878","ICTV201907878")</f>
        <v>ICTV201907878</v>
      </c>
      <c r="R5783" t="s">
        <v>579</v>
      </c>
      <c r="S5783" t="s">
        <v>824</v>
      </c>
      <c r="T5783">
        <v>37</v>
      </c>
      <c r="U5783" s="26" t="str">
        <f t="shared" si="229"/>
        <v>2021.010B.R.Binomial_names.zip</v>
      </c>
    </row>
    <row r="5784" spans="1:21">
      <c r="A5784">
        <v>5783</v>
      </c>
      <c r="B5784" s="27" t="s">
        <v>1449</v>
      </c>
      <c r="D5784" s="27" t="s">
        <v>1450</v>
      </c>
      <c r="F5784" s="27" t="s">
        <v>1453</v>
      </c>
      <c r="H5784" s="27" t="s">
        <v>1454</v>
      </c>
      <c r="N5784" s="27" t="s">
        <v>2284</v>
      </c>
      <c r="P5784" s="27" t="s">
        <v>7302</v>
      </c>
      <c r="Q5784" s="26" t="str">
        <f>HYPERLINK("https://ictv.global/taxonomy/taxondetails?taxnode_id=202510195&amp;ictv_id=ICTV202010195","ICTV202010195")</f>
        <v>ICTV202010195</v>
      </c>
      <c r="R5784" t="s">
        <v>579</v>
      </c>
      <c r="S5784" t="s">
        <v>824</v>
      </c>
      <c r="T5784">
        <v>37</v>
      </c>
      <c r="U5784" s="26" t="str">
        <f t="shared" si="229"/>
        <v>2021.010B.R.Binomial_names.zip</v>
      </c>
    </row>
    <row r="5785" spans="1:21">
      <c r="A5785">
        <v>5784</v>
      </c>
      <c r="B5785" s="27" t="s">
        <v>1449</v>
      </c>
      <c r="D5785" s="27" t="s">
        <v>1450</v>
      </c>
      <c r="F5785" s="27" t="s">
        <v>1453</v>
      </c>
      <c r="H5785" s="27" t="s">
        <v>1454</v>
      </c>
      <c r="N5785" s="27" t="s">
        <v>783</v>
      </c>
      <c r="P5785" s="27" t="s">
        <v>7303</v>
      </c>
      <c r="Q5785" s="26" t="str">
        <f>HYPERLINK("https://ictv.global/taxonomy/taxondetails?taxnode_id=202501074&amp;ictv_id=ICTV20165010","ICTV20165010")</f>
        <v>ICTV20165010</v>
      </c>
      <c r="R5785" t="s">
        <v>579</v>
      </c>
      <c r="S5785" t="s">
        <v>824</v>
      </c>
      <c r="T5785">
        <v>37</v>
      </c>
      <c r="U5785" s="26" t="str">
        <f t="shared" si="229"/>
        <v>2021.010B.R.Binomial_names.zip</v>
      </c>
    </row>
    <row r="5786" spans="1:21">
      <c r="A5786">
        <v>5785</v>
      </c>
      <c r="B5786" s="27" t="s">
        <v>1449</v>
      </c>
      <c r="D5786" s="27" t="s">
        <v>1450</v>
      </c>
      <c r="F5786" s="27" t="s">
        <v>1453</v>
      </c>
      <c r="H5786" s="27" t="s">
        <v>1454</v>
      </c>
      <c r="N5786" s="27" t="s">
        <v>783</v>
      </c>
      <c r="P5786" s="27" t="s">
        <v>7304</v>
      </c>
      <c r="Q5786" s="26" t="str">
        <f>HYPERLINK("https://ictv.global/taxonomy/taxondetails?taxnode_id=202510201&amp;ictv_id=ICTV202010201","ICTV202010201")</f>
        <v>ICTV202010201</v>
      </c>
      <c r="R5786" t="s">
        <v>579</v>
      </c>
      <c r="S5786" t="s">
        <v>824</v>
      </c>
      <c r="T5786">
        <v>37</v>
      </c>
      <c r="U5786" s="26" t="str">
        <f t="shared" si="229"/>
        <v>2021.010B.R.Binomial_names.zip</v>
      </c>
    </row>
    <row r="5787" spans="1:21">
      <c r="A5787">
        <v>5786</v>
      </c>
      <c r="B5787" s="27" t="s">
        <v>1449</v>
      </c>
      <c r="D5787" s="27" t="s">
        <v>1450</v>
      </c>
      <c r="F5787" s="27" t="s">
        <v>1453</v>
      </c>
      <c r="H5787" s="27" t="s">
        <v>1454</v>
      </c>
      <c r="N5787" s="27" t="s">
        <v>783</v>
      </c>
      <c r="P5787" s="27" t="s">
        <v>7305</v>
      </c>
      <c r="Q5787" s="26" t="str">
        <f>HYPERLINK("https://ictv.global/taxonomy/taxondetails?taxnode_id=202510202&amp;ictv_id=ICTV202010202","ICTV202010202")</f>
        <v>ICTV202010202</v>
      </c>
      <c r="R5787" t="s">
        <v>579</v>
      </c>
      <c r="S5787" t="s">
        <v>824</v>
      </c>
      <c r="T5787">
        <v>37</v>
      </c>
      <c r="U5787" s="26" t="str">
        <f t="shared" si="229"/>
        <v>2021.010B.R.Binomial_names.zip</v>
      </c>
    </row>
    <row r="5788" spans="1:21">
      <c r="A5788">
        <v>5787</v>
      </c>
      <c r="B5788" s="27" t="s">
        <v>1449</v>
      </c>
      <c r="D5788" s="27" t="s">
        <v>1450</v>
      </c>
      <c r="F5788" s="27" t="s">
        <v>1453</v>
      </c>
      <c r="H5788" s="27" t="s">
        <v>1454</v>
      </c>
      <c r="N5788" s="27" t="s">
        <v>783</v>
      </c>
      <c r="P5788" s="27" t="s">
        <v>7306</v>
      </c>
      <c r="Q5788" s="26" t="str">
        <f>HYPERLINK("https://ictv.global/taxonomy/taxondetails?taxnode_id=202510200&amp;ictv_id=ICTV202010200","ICTV202010200")</f>
        <v>ICTV202010200</v>
      </c>
      <c r="R5788" t="s">
        <v>579</v>
      </c>
      <c r="S5788" t="s">
        <v>824</v>
      </c>
      <c r="T5788">
        <v>37</v>
      </c>
      <c r="U5788" s="26" t="str">
        <f t="shared" si="229"/>
        <v>2021.010B.R.Binomial_names.zip</v>
      </c>
    </row>
    <row r="5789" spans="1:21">
      <c r="A5789">
        <v>5788</v>
      </c>
      <c r="B5789" s="27" t="s">
        <v>1449</v>
      </c>
      <c r="D5789" s="27" t="s">
        <v>1450</v>
      </c>
      <c r="F5789" s="27" t="s">
        <v>1453</v>
      </c>
      <c r="H5789" s="27" t="s">
        <v>1454</v>
      </c>
      <c r="N5789" s="27" t="s">
        <v>2147</v>
      </c>
      <c r="P5789" s="27" t="s">
        <v>7307</v>
      </c>
      <c r="Q5789" s="26" t="str">
        <f>HYPERLINK("https://ictv.global/taxonomy/taxondetails?taxnode_id=202510204&amp;ictv_id=ICTV202010204","ICTV202010204")</f>
        <v>ICTV202010204</v>
      </c>
      <c r="R5789" t="s">
        <v>579</v>
      </c>
      <c r="S5789" t="s">
        <v>824</v>
      </c>
      <c r="T5789">
        <v>37</v>
      </c>
      <c r="U5789" s="26" t="str">
        <f t="shared" si="229"/>
        <v>2021.010B.R.Binomial_names.zip</v>
      </c>
    </row>
    <row r="5790" spans="1:21">
      <c r="A5790">
        <v>5789</v>
      </c>
      <c r="B5790" s="27" t="s">
        <v>1449</v>
      </c>
      <c r="D5790" s="27" t="s">
        <v>1450</v>
      </c>
      <c r="F5790" s="27" t="s">
        <v>1453</v>
      </c>
      <c r="H5790" s="27" t="s">
        <v>1454</v>
      </c>
      <c r="N5790" s="27" t="s">
        <v>2147</v>
      </c>
      <c r="P5790" s="27" t="s">
        <v>7308</v>
      </c>
      <c r="Q5790" s="26" t="str">
        <f>HYPERLINK("https://ictv.global/taxonomy/taxondetails?taxnode_id=202510205&amp;ictv_id=ICTV202010205","ICTV202010205")</f>
        <v>ICTV202010205</v>
      </c>
      <c r="R5790" t="s">
        <v>579</v>
      </c>
      <c r="S5790" t="s">
        <v>824</v>
      </c>
      <c r="T5790">
        <v>37</v>
      </c>
      <c r="U5790" s="26" t="str">
        <f t="shared" si="229"/>
        <v>2021.010B.R.Binomial_names.zip</v>
      </c>
    </row>
    <row r="5791" spans="1:21">
      <c r="A5791">
        <v>5790</v>
      </c>
      <c r="B5791" s="27" t="s">
        <v>1449</v>
      </c>
      <c r="D5791" s="27" t="s">
        <v>1450</v>
      </c>
      <c r="F5791" s="27" t="s">
        <v>1453</v>
      </c>
      <c r="H5791" s="27" t="s">
        <v>1454</v>
      </c>
      <c r="N5791" s="27" t="s">
        <v>2285</v>
      </c>
      <c r="P5791" s="27" t="s">
        <v>7309</v>
      </c>
      <c r="Q5791" s="26" t="str">
        <f>HYPERLINK("https://ictv.global/taxonomy/taxondetails?taxnode_id=202510207&amp;ictv_id=ICTV202010207","ICTV202010207")</f>
        <v>ICTV202010207</v>
      </c>
      <c r="R5791" t="s">
        <v>579</v>
      </c>
      <c r="S5791" t="s">
        <v>824</v>
      </c>
      <c r="T5791">
        <v>37</v>
      </c>
      <c r="U5791" s="26" t="str">
        <f t="shared" si="229"/>
        <v>2021.010B.R.Binomial_names.zip</v>
      </c>
    </row>
    <row r="5792" spans="1:21">
      <c r="A5792">
        <v>5791</v>
      </c>
      <c r="B5792" s="27" t="s">
        <v>1449</v>
      </c>
      <c r="D5792" s="27" t="s">
        <v>1450</v>
      </c>
      <c r="F5792" s="27" t="s">
        <v>1453</v>
      </c>
      <c r="H5792" s="27" t="s">
        <v>1454</v>
      </c>
      <c r="N5792" s="27" t="s">
        <v>1302</v>
      </c>
      <c r="P5792" s="27" t="s">
        <v>7310</v>
      </c>
      <c r="Q5792" s="26" t="str">
        <f>HYPERLINK("https://ictv.global/taxonomy/taxondetails?taxnode_id=202505493&amp;ictv_id=ICTV20175493","ICTV20175493")</f>
        <v>ICTV20175493</v>
      </c>
      <c r="R5792" t="s">
        <v>579</v>
      </c>
      <c r="S5792" t="s">
        <v>824</v>
      </c>
      <c r="T5792">
        <v>37</v>
      </c>
      <c r="U5792" s="26" t="str">
        <f t="shared" si="229"/>
        <v>2021.010B.R.Binomial_names.zip</v>
      </c>
    </row>
    <row r="5793" spans="1:21">
      <c r="A5793">
        <v>5792</v>
      </c>
      <c r="B5793" s="27" t="s">
        <v>1449</v>
      </c>
      <c r="D5793" s="27" t="s">
        <v>1450</v>
      </c>
      <c r="F5793" s="27" t="s">
        <v>1453</v>
      </c>
      <c r="H5793" s="27" t="s">
        <v>1454</v>
      </c>
      <c r="N5793" s="27" t="s">
        <v>1302</v>
      </c>
      <c r="P5793" s="27" t="s">
        <v>7311</v>
      </c>
      <c r="Q5793" s="26" t="str">
        <f>HYPERLINK("https://ictv.global/taxonomy/taxondetails?taxnode_id=202500677&amp;ictv_id=ICTV20094379","ICTV20094379")</f>
        <v>ICTV20094379</v>
      </c>
      <c r="R5793" t="s">
        <v>579</v>
      </c>
      <c r="S5793" t="s">
        <v>824</v>
      </c>
      <c r="T5793">
        <v>37</v>
      </c>
      <c r="U5793" s="26" t="str">
        <f t="shared" si="229"/>
        <v>2021.010B.R.Binomial_names.zip</v>
      </c>
    </row>
    <row r="5794" spans="1:21">
      <c r="A5794">
        <v>5793</v>
      </c>
      <c r="B5794" s="27" t="s">
        <v>1449</v>
      </c>
      <c r="D5794" s="27" t="s">
        <v>1450</v>
      </c>
      <c r="F5794" s="27" t="s">
        <v>1453</v>
      </c>
      <c r="H5794" s="27" t="s">
        <v>1454</v>
      </c>
      <c r="N5794" s="27" t="s">
        <v>1302</v>
      </c>
      <c r="P5794" s="27" t="s">
        <v>7312</v>
      </c>
      <c r="Q5794" s="26" t="str">
        <f>HYPERLINK("https://ictv.global/taxonomy/taxondetails?taxnode_id=202500678&amp;ictv_id=ICTV19951776","ICTV19951776")</f>
        <v>ICTV19951776</v>
      </c>
      <c r="R5794" t="s">
        <v>579</v>
      </c>
      <c r="S5794" t="s">
        <v>824</v>
      </c>
      <c r="T5794">
        <v>37</v>
      </c>
      <c r="U5794" s="26" t="str">
        <f t="shared" si="229"/>
        <v>2021.010B.R.Binomial_names.zip</v>
      </c>
    </row>
    <row r="5795" spans="1:21">
      <c r="A5795">
        <v>5794</v>
      </c>
      <c r="B5795" s="27" t="s">
        <v>1449</v>
      </c>
      <c r="D5795" s="27" t="s">
        <v>1450</v>
      </c>
      <c r="F5795" s="27" t="s">
        <v>1453</v>
      </c>
      <c r="H5795" s="27" t="s">
        <v>1454</v>
      </c>
      <c r="N5795" s="27" t="s">
        <v>1302</v>
      </c>
      <c r="P5795" s="27" t="s">
        <v>7313</v>
      </c>
      <c r="Q5795" s="26" t="str">
        <f>HYPERLINK("https://ictv.global/taxonomy/taxondetails?taxnode_id=202507078&amp;ictv_id=ICTV201857078","ICTV201857078")</f>
        <v>ICTV201857078</v>
      </c>
      <c r="R5795" t="s">
        <v>579</v>
      </c>
      <c r="S5795" t="s">
        <v>824</v>
      </c>
      <c r="T5795">
        <v>37</v>
      </c>
      <c r="U5795" s="26" t="str">
        <f t="shared" si="229"/>
        <v>2021.010B.R.Binomial_names.zip</v>
      </c>
    </row>
    <row r="5796" spans="1:21">
      <c r="A5796">
        <v>5795</v>
      </c>
      <c r="B5796" s="27" t="s">
        <v>1449</v>
      </c>
      <c r="D5796" s="27" t="s">
        <v>1450</v>
      </c>
      <c r="F5796" s="27" t="s">
        <v>1453</v>
      </c>
      <c r="H5796" s="27" t="s">
        <v>1454</v>
      </c>
      <c r="N5796" s="27" t="s">
        <v>1302</v>
      </c>
      <c r="P5796" s="27" t="s">
        <v>7314</v>
      </c>
      <c r="Q5796" s="26" t="str">
        <f>HYPERLINK("https://ictv.global/taxonomy/taxondetails?taxnode_id=202500680&amp;ictv_id=ICTV20094381","ICTV20094381")</f>
        <v>ICTV20094381</v>
      </c>
      <c r="R5796" t="s">
        <v>579</v>
      </c>
      <c r="S5796" t="s">
        <v>824</v>
      </c>
      <c r="T5796">
        <v>37</v>
      </c>
      <c r="U5796" s="26" t="str">
        <f t="shared" si="229"/>
        <v>2021.010B.R.Binomial_names.zip</v>
      </c>
    </row>
    <row r="5797" spans="1:21">
      <c r="A5797">
        <v>5796</v>
      </c>
      <c r="B5797" s="27" t="s">
        <v>1449</v>
      </c>
      <c r="D5797" s="27" t="s">
        <v>1450</v>
      </c>
      <c r="F5797" s="27" t="s">
        <v>1453</v>
      </c>
      <c r="H5797" s="27" t="s">
        <v>1454</v>
      </c>
      <c r="N5797" s="27" t="s">
        <v>1302</v>
      </c>
      <c r="P5797" s="27" t="s">
        <v>7315</v>
      </c>
      <c r="Q5797" s="26" t="str">
        <f>HYPERLINK("https://ictv.global/taxonomy/taxondetails?taxnode_id=202500679&amp;ictv_id=ICTV20094380","ICTV20094380")</f>
        <v>ICTV20094380</v>
      </c>
      <c r="R5797" t="s">
        <v>579</v>
      </c>
      <c r="S5797" t="s">
        <v>824</v>
      </c>
      <c r="T5797">
        <v>37</v>
      </c>
      <c r="U5797" s="26" t="str">
        <f t="shared" si="229"/>
        <v>2021.010B.R.Binomial_names.zip</v>
      </c>
    </row>
    <row r="5798" spans="1:21">
      <c r="A5798">
        <v>5797</v>
      </c>
      <c r="B5798" s="27" t="s">
        <v>1449</v>
      </c>
      <c r="D5798" s="27" t="s">
        <v>1450</v>
      </c>
      <c r="F5798" s="27" t="s">
        <v>1453</v>
      </c>
      <c r="H5798" s="27" t="s">
        <v>1454</v>
      </c>
      <c r="N5798" s="27" t="s">
        <v>2286</v>
      </c>
      <c r="P5798" s="27" t="s">
        <v>7316</v>
      </c>
      <c r="Q5798" s="26" t="str">
        <f>HYPERLINK("https://ictv.global/taxonomy/taxondetails?taxnode_id=202510210&amp;ictv_id=ICTV202010210","ICTV202010210")</f>
        <v>ICTV202010210</v>
      </c>
      <c r="R5798" t="s">
        <v>579</v>
      </c>
      <c r="S5798" t="s">
        <v>824</v>
      </c>
      <c r="T5798">
        <v>37</v>
      </c>
      <c r="U5798" s="26" t="str">
        <f t="shared" si="229"/>
        <v>2021.010B.R.Binomial_names.zip</v>
      </c>
    </row>
    <row r="5799" spans="1:21">
      <c r="A5799">
        <v>5798</v>
      </c>
      <c r="B5799" s="27" t="s">
        <v>1449</v>
      </c>
      <c r="D5799" s="27" t="s">
        <v>1450</v>
      </c>
      <c r="F5799" s="27" t="s">
        <v>1453</v>
      </c>
      <c r="H5799" s="27" t="s">
        <v>1454</v>
      </c>
      <c r="N5799" s="27" t="s">
        <v>2286</v>
      </c>
      <c r="P5799" s="27" t="s">
        <v>7317</v>
      </c>
      <c r="Q5799" s="26" t="str">
        <f>HYPERLINK("https://ictv.global/taxonomy/taxondetails?taxnode_id=202510211&amp;ictv_id=ICTV202010211","ICTV202010211")</f>
        <v>ICTV202010211</v>
      </c>
      <c r="R5799" t="s">
        <v>579</v>
      </c>
      <c r="S5799" t="s">
        <v>824</v>
      </c>
      <c r="T5799">
        <v>37</v>
      </c>
      <c r="U5799" s="26" t="str">
        <f t="shared" si="229"/>
        <v>2021.010B.R.Binomial_names.zip</v>
      </c>
    </row>
    <row r="5800" spans="1:21">
      <c r="A5800">
        <v>5799</v>
      </c>
      <c r="B5800" s="27" t="s">
        <v>1449</v>
      </c>
      <c r="D5800" s="27" t="s">
        <v>1450</v>
      </c>
      <c r="F5800" s="27" t="s">
        <v>1453</v>
      </c>
      <c r="H5800" s="27" t="s">
        <v>1454</v>
      </c>
      <c r="N5800" s="27" t="s">
        <v>2286</v>
      </c>
      <c r="P5800" s="27" t="s">
        <v>7318</v>
      </c>
      <c r="Q5800" s="26" t="str">
        <f>HYPERLINK("https://ictv.global/taxonomy/taxondetails?taxnode_id=202510209&amp;ictv_id=ICTV202010209","ICTV202010209")</f>
        <v>ICTV202010209</v>
      </c>
      <c r="R5800" t="s">
        <v>579</v>
      </c>
      <c r="S5800" t="s">
        <v>824</v>
      </c>
      <c r="T5800">
        <v>37</v>
      </c>
      <c r="U5800" s="26" t="str">
        <f t="shared" si="229"/>
        <v>2021.010B.R.Binomial_names.zip</v>
      </c>
    </row>
    <row r="5801" spans="1:21">
      <c r="A5801">
        <v>5800</v>
      </c>
      <c r="B5801" s="27" t="s">
        <v>1449</v>
      </c>
      <c r="D5801" s="27" t="s">
        <v>1450</v>
      </c>
      <c r="F5801" s="27" t="s">
        <v>1453</v>
      </c>
      <c r="H5801" s="27" t="s">
        <v>1454</v>
      </c>
      <c r="N5801" s="27" t="s">
        <v>1763</v>
      </c>
      <c r="P5801" s="27" t="s">
        <v>7319</v>
      </c>
      <c r="Q5801" s="26" t="str">
        <f>HYPERLINK("https://ictv.global/taxonomy/taxondetails?taxnode_id=202507890&amp;ictv_id=ICTV201907890","ICTV201907890")</f>
        <v>ICTV201907890</v>
      </c>
      <c r="R5801" t="s">
        <v>579</v>
      </c>
      <c r="S5801" t="s">
        <v>824</v>
      </c>
      <c r="T5801">
        <v>37</v>
      </c>
      <c r="U5801" s="26" t="str">
        <f t="shared" si="229"/>
        <v>2021.010B.R.Binomial_names.zip</v>
      </c>
    </row>
    <row r="5802" spans="1:21">
      <c r="A5802">
        <v>5801</v>
      </c>
      <c r="B5802" s="27" t="s">
        <v>1449</v>
      </c>
      <c r="D5802" s="27" t="s">
        <v>1450</v>
      </c>
      <c r="F5802" s="27" t="s">
        <v>1453</v>
      </c>
      <c r="H5802" s="27" t="s">
        <v>1454</v>
      </c>
      <c r="N5802" s="27" t="s">
        <v>1303</v>
      </c>
      <c r="P5802" s="27" t="s">
        <v>7325</v>
      </c>
      <c r="Q5802" s="26" t="str">
        <f>HYPERLINK("https://ictv.global/taxonomy/taxondetails?taxnode_id=202500622&amp;ictv_id=ICTV20140187","ICTV20140187")</f>
        <v>ICTV20140187</v>
      </c>
      <c r="R5802" t="s">
        <v>579</v>
      </c>
      <c r="S5802" t="s">
        <v>824</v>
      </c>
      <c r="T5802">
        <v>37</v>
      </c>
      <c r="U5802" s="26" t="str">
        <f t="shared" si="229"/>
        <v>2021.010B.R.Binomial_names.zip</v>
      </c>
    </row>
    <row r="5803" spans="1:21">
      <c r="A5803">
        <v>5802</v>
      </c>
      <c r="B5803" s="27" t="s">
        <v>1449</v>
      </c>
      <c r="D5803" s="27" t="s">
        <v>1450</v>
      </c>
      <c r="F5803" s="27" t="s">
        <v>1453</v>
      </c>
      <c r="H5803" s="27" t="s">
        <v>1454</v>
      </c>
      <c r="N5803" s="27" t="s">
        <v>1303</v>
      </c>
      <c r="P5803" s="27" t="s">
        <v>7326</v>
      </c>
      <c r="Q5803" s="26" t="str">
        <f>HYPERLINK("https://ictv.global/taxonomy/taxondetails?taxnode_id=202500623&amp;ictv_id=ICTV20140188","ICTV20140188")</f>
        <v>ICTV20140188</v>
      </c>
      <c r="R5803" t="s">
        <v>579</v>
      </c>
      <c r="S5803" t="s">
        <v>824</v>
      </c>
      <c r="T5803">
        <v>37</v>
      </c>
      <c r="U5803" s="26" t="str">
        <f t="shared" si="229"/>
        <v>2021.010B.R.Binomial_names.zip</v>
      </c>
    </row>
    <row r="5804" spans="1:21">
      <c r="A5804">
        <v>5803</v>
      </c>
      <c r="B5804" s="27" t="s">
        <v>1449</v>
      </c>
      <c r="D5804" s="27" t="s">
        <v>1450</v>
      </c>
      <c r="F5804" s="27" t="s">
        <v>1453</v>
      </c>
      <c r="H5804" s="27" t="s">
        <v>1454</v>
      </c>
      <c r="N5804" s="27" t="s">
        <v>1303</v>
      </c>
      <c r="P5804" s="27" t="s">
        <v>7327</v>
      </c>
      <c r="Q5804" s="26" t="str">
        <f>HYPERLINK("https://ictv.global/taxonomy/taxondetails?taxnode_id=202500624&amp;ictv_id=ICTV20140190","ICTV20140190")</f>
        <v>ICTV20140190</v>
      </c>
      <c r="R5804" t="s">
        <v>579</v>
      </c>
      <c r="S5804" t="s">
        <v>824</v>
      </c>
      <c r="T5804">
        <v>37</v>
      </c>
      <c r="U5804" s="26" t="str">
        <f t="shared" si="229"/>
        <v>2021.010B.R.Binomial_names.zip</v>
      </c>
    </row>
    <row r="5805" spans="1:21">
      <c r="A5805">
        <v>5804</v>
      </c>
      <c r="B5805" s="27" t="s">
        <v>1449</v>
      </c>
      <c r="D5805" s="27" t="s">
        <v>1450</v>
      </c>
      <c r="F5805" s="27" t="s">
        <v>1453</v>
      </c>
      <c r="H5805" s="27" t="s">
        <v>1454</v>
      </c>
      <c r="N5805" s="27" t="s">
        <v>1303</v>
      </c>
      <c r="P5805" s="27" t="s">
        <v>7328</v>
      </c>
      <c r="Q5805" s="26" t="str">
        <f>HYPERLINK("https://ictv.global/taxonomy/taxondetails?taxnode_id=202500625&amp;ictv_id=ICTV20140189","ICTV20140189")</f>
        <v>ICTV20140189</v>
      </c>
      <c r="R5805" t="s">
        <v>579</v>
      </c>
      <c r="S5805" t="s">
        <v>824</v>
      </c>
      <c r="T5805">
        <v>37</v>
      </c>
      <c r="U5805" s="26" t="str">
        <f t="shared" si="229"/>
        <v>2021.010B.R.Binomial_names.zip</v>
      </c>
    </row>
    <row r="5806" spans="1:21">
      <c r="A5806">
        <v>5805</v>
      </c>
      <c r="B5806" s="27" t="s">
        <v>1449</v>
      </c>
      <c r="D5806" s="27" t="s">
        <v>1450</v>
      </c>
      <c r="F5806" s="27" t="s">
        <v>1453</v>
      </c>
      <c r="H5806" s="27" t="s">
        <v>1454</v>
      </c>
      <c r="N5806" s="27" t="s">
        <v>2106</v>
      </c>
      <c r="P5806" s="27" t="s">
        <v>7329</v>
      </c>
      <c r="Q5806" s="26" t="str">
        <f>HYPERLINK("https://ictv.global/taxonomy/taxondetails?taxnode_id=202511528&amp;ictv_id=ICTV202011528","ICTV202011528")</f>
        <v>ICTV202011528</v>
      </c>
      <c r="R5806" t="s">
        <v>579</v>
      </c>
      <c r="S5806" t="s">
        <v>824</v>
      </c>
      <c r="T5806">
        <v>37</v>
      </c>
      <c r="U5806" s="26" t="str">
        <f t="shared" si="229"/>
        <v>2021.010B.R.Binomial_names.zip</v>
      </c>
    </row>
    <row r="5807" spans="1:21">
      <c r="A5807">
        <v>5806</v>
      </c>
      <c r="B5807" s="27" t="s">
        <v>1449</v>
      </c>
      <c r="D5807" s="27" t="s">
        <v>1450</v>
      </c>
      <c r="F5807" s="27" t="s">
        <v>1453</v>
      </c>
      <c r="H5807" s="27" t="s">
        <v>1454</v>
      </c>
      <c r="N5807" s="27" t="s">
        <v>1304</v>
      </c>
      <c r="P5807" s="27" t="s">
        <v>7330</v>
      </c>
      <c r="Q5807" s="26" t="str">
        <f>HYPERLINK("https://ictv.global/taxonomy/taxondetails?taxnode_id=202500630&amp;ictv_id=ICTV20150361","ICTV20150361")</f>
        <v>ICTV20150361</v>
      </c>
      <c r="R5807" t="s">
        <v>579</v>
      </c>
      <c r="S5807" t="s">
        <v>824</v>
      </c>
      <c r="T5807">
        <v>37</v>
      </c>
      <c r="U5807" s="26" t="str">
        <f t="shared" si="229"/>
        <v>2021.010B.R.Binomial_names.zip</v>
      </c>
    </row>
    <row r="5808" spans="1:21">
      <c r="A5808">
        <v>5807</v>
      </c>
      <c r="B5808" s="27" t="s">
        <v>1449</v>
      </c>
      <c r="D5808" s="27" t="s">
        <v>1450</v>
      </c>
      <c r="F5808" s="27" t="s">
        <v>1453</v>
      </c>
      <c r="H5808" s="27" t="s">
        <v>1454</v>
      </c>
      <c r="N5808" s="27" t="s">
        <v>1304</v>
      </c>
      <c r="P5808" s="27" t="s">
        <v>7331</v>
      </c>
      <c r="Q5808" s="26" t="str">
        <f>HYPERLINK("https://ictv.global/taxonomy/taxondetails?taxnode_id=202500631&amp;ictv_id=ICTV20150362","ICTV20150362")</f>
        <v>ICTV20150362</v>
      </c>
      <c r="R5808" t="s">
        <v>579</v>
      </c>
      <c r="S5808" t="s">
        <v>824</v>
      </c>
      <c r="T5808">
        <v>37</v>
      </c>
      <c r="U5808" s="26" t="str">
        <f t="shared" si="229"/>
        <v>2021.010B.R.Binomial_names.zip</v>
      </c>
    </row>
    <row r="5809" spans="1:21">
      <c r="A5809">
        <v>5808</v>
      </c>
      <c r="B5809" s="27" t="s">
        <v>1449</v>
      </c>
      <c r="D5809" s="27" t="s">
        <v>1450</v>
      </c>
      <c r="F5809" s="27" t="s">
        <v>1453</v>
      </c>
      <c r="H5809" s="27" t="s">
        <v>1454</v>
      </c>
      <c r="N5809" s="27" t="s">
        <v>2287</v>
      </c>
      <c r="P5809" s="27" t="s">
        <v>7334</v>
      </c>
      <c r="Q5809" s="26" t="str">
        <f>HYPERLINK("https://ictv.global/taxonomy/taxondetails?taxnode_id=202510029&amp;ictv_id=ICTV202010029","ICTV202010029")</f>
        <v>ICTV202010029</v>
      </c>
      <c r="R5809" t="s">
        <v>579</v>
      </c>
      <c r="S5809" t="s">
        <v>824</v>
      </c>
      <c r="T5809">
        <v>37</v>
      </c>
      <c r="U5809" s="26" t="str">
        <f t="shared" si="229"/>
        <v>2021.010B.R.Binomial_names.zip</v>
      </c>
    </row>
    <row r="5810" spans="1:21">
      <c r="A5810">
        <v>5809</v>
      </c>
      <c r="B5810" s="27" t="s">
        <v>1449</v>
      </c>
      <c r="D5810" s="27" t="s">
        <v>1450</v>
      </c>
      <c r="F5810" s="27" t="s">
        <v>1453</v>
      </c>
      <c r="H5810" s="27" t="s">
        <v>1454</v>
      </c>
      <c r="N5810" s="27" t="s">
        <v>2287</v>
      </c>
      <c r="P5810" s="27" t="s">
        <v>7335</v>
      </c>
      <c r="Q5810" s="26" t="str">
        <f>HYPERLINK("https://ictv.global/taxonomy/taxondetails?taxnode_id=202510027&amp;ictv_id=ICTV202010027","ICTV202010027")</f>
        <v>ICTV202010027</v>
      </c>
      <c r="R5810" t="s">
        <v>579</v>
      </c>
      <c r="S5810" t="s">
        <v>824</v>
      </c>
      <c r="T5810">
        <v>37</v>
      </c>
      <c r="U5810" s="26" t="str">
        <f t="shared" si="229"/>
        <v>2021.010B.R.Binomial_names.zip</v>
      </c>
    </row>
    <row r="5811" spans="1:21">
      <c r="A5811">
        <v>5810</v>
      </c>
      <c r="B5811" s="27" t="s">
        <v>1449</v>
      </c>
      <c r="D5811" s="27" t="s">
        <v>1450</v>
      </c>
      <c r="F5811" s="27" t="s">
        <v>1453</v>
      </c>
      <c r="H5811" s="27" t="s">
        <v>1454</v>
      </c>
      <c r="N5811" s="27" t="s">
        <v>2287</v>
      </c>
      <c r="P5811" s="27" t="s">
        <v>7336</v>
      </c>
      <c r="Q5811" s="26" t="str">
        <f>HYPERLINK("https://ictv.global/taxonomy/taxondetails?taxnode_id=202510028&amp;ictv_id=ICTV202010028","ICTV202010028")</f>
        <v>ICTV202010028</v>
      </c>
      <c r="R5811" t="s">
        <v>579</v>
      </c>
      <c r="S5811" t="s">
        <v>824</v>
      </c>
      <c r="T5811">
        <v>37</v>
      </c>
      <c r="U5811" s="26" t="str">
        <f t="shared" si="229"/>
        <v>2021.010B.R.Binomial_names.zip</v>
      </c>
    </row>
    <row r="5812" spans="1:21">
      <c r="A5812">
        <v>5811</v>
      </c>
      <c r="B5812" s="27" t="s">
        <v>1449</v>
      </c>
      <c r="D5812" s="27" t="s">
        <v>1450</v>
      </c>
      <c r="F5812" s="27" t="s">
        <v>1453</v>
      </c>
      <c r="H5812" s="27" t="s">
        <v>1454</v>
      </c>
      <c r="N5812" s="27" t="s">
        <v>2287</v>
      </c>
      <c r="P5812" s="27" t="s">
        <v>7337</v>
      </c>
      <c r="Q5812" s="26" t="str">
        <f>HYPERLINK("https://ictv.global/taxonomy/taxondetails?taxnode_id=202510031&amp;ictv_id=ICTV202010031","ICTV202010031")</f>
        <v>ICTV202010031</v>
      </c>
      <c r="R5812" t="s">
        <v>579</v>
      </c>
      <c r="S5812" t="s">
        <v>824</v>
      </c>
      <c r="T5812">
        <v>37</v>
      </c>
      <c r="U5812" s="26" t="str">
        <f t="shared" si="229"/>
        <v>2021.010B.R.Binomial_names.zip</v>
      </c>
    </row>
    <row r="5813" spans="1:21">
      <c r="A5813">
        <v>5812</v>
      </c>
      <c r="B5813" s="27" t="s">
        <v>1449</v>
      </c>
      <c r="D5813" s="27" t="s">
        <v>1450</v>
      </c>
      <c r="F5813" s="27" t="s">
        <v>1453</v>
      </c>
      <c r="H5813" s="27" t="s">
        <v>1454</v>
      </c>
      <c r="N5813" s="27" t="s">
        <v>2287</v>
      </c>
      <c r="P5813" s="27" t="s">
        <v>7338</v>
      </c>
      <c r="Q5813" s="26" t="str">
        <f>HYPERLINK("https://ictv.global/taxonomy/taxondetails?taxnode_id=202510032&amp;ictv_id=ICTV202010032","ICTV202010032")</f>
        <v>ICTV202010032</v>
      </c>
      <c r="R5813" t="s">
        <v>579</v>
      </c>
      <c r="S5813" t="s">
        <v>824</v>
      </c>
      <c r="T5813">
        <v>37</v>
      </c>
      <c r="U5813" s="26" t="str">
        <f t="shared" si="229"/>
        <v>2021.010B.R.Binomial_names.zip</v>
      </c>
    </row>
    <row r="5814" spans="1:21">
      <c r="A5814">
        <v>5813</v>
      </c>
      <c r="B5814" s="27" t="s">
        <v>1449</v>
      </c>
      <c r="D5814" s="27" t="s">
        <v>1450</v>
      </c>
      <c r="F5814" s="27" t="s">
        <v>1453</v>
      </c>
      <c r="H5814" s="27" t="s">
        <v>1454</v>
      </c>
      <c r="N5814" s="27" t="s">
        <v>2287</v>
      </c>
      <c r="P5814" s="27" t="s">
        <v>7339</v>
      </c>
      <c r="Q5814" s="26" t="str">
        <f>HYPERLINK("https://ictv.global/taxonomy/taxondetails?taxnode_id=202510030&amp;ictv_id=ICTV202010030","ICTV202010030")</f>
        <v>ICTV202010030</v>
      </c>
      <c r="R5814" t="s">
        <v>579</v>
      </c>
      <c r="S5814" t="s">
        <v>824</v>
      </c>
      <c r="T5814">
        <v>37</v>
      </c>
      <c r="U5814" s="26" t="str">
        <f t="shared" si="229"/>
        <v>2021.010B.R.Binomial_names.zip</v>
      </c>
    </row>
    <row r="5815" spans="1:21">
      <c r="A5815">
        <v>5814</v>
      </c>
      <c r="B5815" s="27" t="s">
        <v>1449</v>
      </c>
      <c r="D5815" s="27" t="s">
        <v>1450</v>
      </c>
      <c r="F5815" s="27" t="s">
        <v>1453</v>
      </c>
      <c r="H5815" s="27" t="s">
        <v>1454</v>
      </c>
      <c r="N5815" s="27" t="s">
        <v>12170</v>
      </c>
      <c r="P5815" s="27" t="s">
        <v>12171</v>
      </c>
      <c r="Q5815" s="26" t="str">
        <f>HYPERLINK("https://ictv.global/taxonomy/taxondetails?taxnode_id=202517761&amp;ictv_id=ICTV202317761","ICTV202317761")</f>
        <v>ICTV202317761</v>
      </c>
      <c r="R5815" t="s">
        <v>579</v>
      </c>
      <c r="S5815" t="s">
        <v>823</v>
      </c>
      <c r="T5815">
        <v>39</v>
      </c>
      <c r="U5815" s="26" t="str">
        <f>HYPERLINK("https://ictv.global/ictv/proposals/2023.003B.Actinobacteriophage_singletons_25ng.zip","2023.003B.Actinobacteriophage_singletons_25ng.zip")</f>
        <v>2023.003B.Actinobacteriophage_singletons_25ng.zip</v>
      </c>
    </row>
    <row r="5816" spans="1:21">
      <c r="A5816">
        <v>5815</v>
      </c>
      <c r="B5816" s="27" t="s">
        <v>1449</v>
      </c>
      <c r="D5816" s="27" t="s">
        <v>1450</v>
      </c>
      <c r="F5816" s="27" t="s">
        <v>1453</v>
      </c>
      <c r="H5816" s="27" t="s">
        <v>1454</v>
      </c>
      <c r="N5816" s="27" t="s">
        <v>1382</v>
      </c>
      <c r="P5816" s="27" t="s">
        <v>7340</v>
      </c>
      <c r="Q5816" s="26" t="str">
        <f>HYPERLINK("https://ictv.global/taxonomy/taxondetails?taxnode_id=202506774&amp;ictv_id=ICTV201856774","ICTV201856774")</f>
        <v>ICTV201856774</v>
      </c>
      <c r="R5816" t="s">
        <v>579</v>
      </c>
      <c r="S5816" t="s">
        <v>824</v>
      </c>
      <c r="T5816">
        <v>37</v>
      </c>
      <c r="U5816" s="26" t="str">
        <f>HYPERLINK("https://ictv.global/ictv/proposals/2021.010B.R.Binomial_names.zip","2021.010B.R.Binomial_names.zip")</f>
        <v>2021.010B.R.Binomial_names.zip</v>
      </c>
    </row>
    <row r="5817" spans="1:21">
      <c r="A5817">
        <v>5816</v>
      </c>
      <c r="B5817" s="27" t="s">
        <v>1449</v>
      </c>
      <c r="D5817" s="27" t="s">
        <v>1450</v>
      </c>
      <c r="F5817" s="27" t="s">
        <v>1453</v>
      </c>
      <c r="H5817" s="27" t="s">
        <v>1454</v>
      </c>
      <c r="N5817" s="27" t="s">
        <v>22087</v>
      </c>
      <c r="P5817" s="27" t="s">
        <v>22095</v>
      </c>
      <c r="Q5817" s="26" t="str">
        <f>HYPERLINK("https://ictv.global/taxonomy/taxondetails?taxnode_id=202522894&amp;ictv_id=ICTV202522894","ICTV202522894")</f>
        <v>ICTV202522894</v>
      </c>
      <c r="R5817" t="s">
        <v>579</v>
      </c>
      <c r="S5817" t="s">
        <v>823</v>
      </c>
      <c r="T5817">
        <v>41</v>
      </c>
      <c r="U5817" s="26" t="str">
        <f t="shared" ref="U5817:U5838" si="230">HYPERLINK("https://ictv.global/ictv/proposals/2025.037B.Lingdingyangvirus_1ng_22ns.zip","2025.037B.Lingdingyangvirus_1ng_22ns.zip")</f>
        <v>2025.037B.Lingdingyangvirus_1ng_22ns.zip</v>
      </c>
    </row>
    <row r="5818" spans="1:21">
      <c r="A5818">
        <v>5817</v>
      </c>
      <c r="B5818" s="27" t="s">
        <v>1449</v>
      </c>
      <c r="D5818" s="27" t="s">
        <v>1450</v>
      </c>
      <c r="F5818" s="27" t="s">
        <v>1453</v>
      </c>
      <c r="H5818" s="27" t="s">
        <v>1454</v>
      </c>
      <c r="N5818" s="27" t="s">
        <v>22087</v>
      </c>
      <c r="P5818" s="27" t="s">
        <v>22098</v>
      </c>
      <c r="Q5818" s="26" t="str">
        <f>HYPERLINK("https://ictv.global/taxonomy/taxondetails?taxnode_id=202522897&amp;ictv_id=ICTV202522897","ICTV202522897")</f>
        <v>ICTV202522897</v>
      </c>
      <c r="R5818" t="s">
        <v>579</v>
      </c>
      <c r="S5818" t="s">
        <v>823</v>
      </c>
      <c r="T5818">
        <v>41</v>
      </c>
      <c r="U5818" s="26" t="str">
        <f t="shared" si="230"/>
        <v>2025.037B.Lingdingyangvirus_1ng_22ns.zip</v>
      </c>
    </row>
    <row r="5819" spans="1:21">
      <c r="A5819">
        <v>5818</v>
      </c>
      <c r="B5819" s="27" t="s">
        <v>1449</v>
      </c>
      <c r="D5819" s="27" t="s">
        <v>1450</v>
      </c>
      <c r="F5819" s="27" t="s">
        <v>1453</v>
      </c>
      <c r="H5819" s="27" t="s">
        <v>1454</v>
      </c>
      <c r="N5819" s="27" t="s">
        <v>22087</v>
      </c>
      <c r="P5819" s="27" t="s">
        <v>22090</v>
      </c>
      <c r="Q5819" s="26" t="str">
        <f>HYPERLINK("https://ictv.global/taxonomy/taxondetails?taxnode_id=202522889&amp;ictv_id=ICTV202522889","ICTV202522889")</f>
        <v>ICTV202522889</v>
      </c>
      <c r="R5819" t="s">
        <v>579</v>
      </c>
      <c r="S5819" t="s">
        <v>823</v>
      </c>
      <c r="T5819">
        <v>41</v>
      </c>
      <c r="U5819" s="26" t="str">
        <f t="shared" si="230"/>
        <v>2025.037B.Lingdingyangvirus_1ng_22ns.zip</v>
      </c>
    </row>
    <row r="5820" spans="1:21">
      <c r="A5820">
        <v>5819</v>
      </c>
      <c r="B5820" s="27" t="s">
        <v>1449</v>
      </c>
      <c r="D5820" s="27" t="s">
        <v>1450</v>
      </c>
      <c r="F5820" s="27" t="s">
        <v>1453</v>
      </c>
      <c r="H5820" s="27" t="s">
        <v>1454</v>
      </c>
      <c r="N5820" s="27" t="s">
        <v>22087</v>
      </c>
      <c r="P5820" s="27" t="s">
        <v>22108</v>
      </c>
      <c r="Q5820" s="26" t="str">
        <f>HYPERLINK("https://ictv.global/taxonomy/taxondetails?taxnode_id=202522907&amp;ictv_id=ICTV202522907","ICTV202522907")</f>
        <v>ICTV202522907</v>
      </c>
      <c r="R5820" t="s">
        <v>579</v>
      </c>
      <c r="S5820" t="s">
        <v>823</v>
      </c>
      <c r="T5820">
        <v>41</v>
      </c>
      <c r="U5820" s="26" t="str">
        <f t="shared" si="230"/>
        <v>2025.037B.Lingdingyangvirus_1ng_22ns.zip</v>
      </c>
    </row>
    <row r="5821" spans="1:21">
      <c r="A5821">
        <v>5820</v>
      </c>
      <c r="B5821" s="27" t="s">
        <v>1449</v>
      </c>
      <c r="D5821" s="27" t="s">
        <v>1450</v>
      </c>
      <c r="F5821" s="27" t="s">
        <v>1453</v>
      </c>
      <c r="H5821" s="27" t="s">
        <v>1454</v>
      </c>
      <c r="N5821" s="27" t="s">
        <v>22087</v>
      </c>
      <c r="P5821" s="27" t="s">
        <v>22109</v>
      </c>
      <c r="Q5821" s="26" t="str">
        <f>HYPERLINK("https://ictv.global/taxonomy/taxondetails?taxnode_id=202522908&amp;ictv_id=ICTV202522908","ICTV202522908")</f>
        <v>ICTV202522908</v>
      </c>
      <c r="R5821" t="s">
        <v>579</v>
      </c>
      <c r="S5821" t="s">
        <v>823</v>
      </c>
      <c r="T5821">
        <v>41</v>
      </c>
      <c r="U5821" s="26" t="str">
        <f t="shared" si="230"/>
        <v>2025.037B.Lingdingyangvirus_1ng_22ns.zip</v>
      </c>
    </row>
    <row r="5822" spans="1:21">
      <c r="A5822">
        <v>5821</v>
      </c>
      <c r="B5822" s="27" t="s">
        <v>1449</v>
      </c>
      <c r="D5822" s="27" t="s">
        <v>1450</v>
      </c>
      <c r="F5822" s="27" t="s">
        <v>1453</v>
      </c>
      <c r="H5822" s="27" t="s">
        <v>1454</v>
      </c>
      <c r="N5822" s="27" t="s">
        <v>22087</v>
      </c>
      <c r="P5822" s="27" t="s">
        <v>22088</v>
      </c>
      <c r="Q5822" s="26" t="str">
        <f>HYPERLINK("https://ictv.global/taxonomy/taxondetails?taxnode_id=202522887&amp;ictv_id=ICTV202522887","ICTV202522887")</f>
        <v>ICTV202522887</v>
      </c>
      <c r="R5822" t="s">
        <v>579</v>
      </c>
      <c r="S5822" t="s">
        <v>823</v>
      </c>
      <c r="T5822">
        <v>41</v>
      </c>
      <c r="U5822" s="26" t="str">
        <f t="shared" si="230"/>
        <v>2025.037B.Lingdingyangvirus_1ng_22ns.zip</v>
      </c>
    </row>
    <row r="5823" spans="1:21">
      <c r="A5823">
        <v>5822</v>
      </c>
      <c r="B5823" s="27" t="s">
        <v>1449</v>
      </c>
      <c r="D5823" s="27" t="s">
        <v>1450</v>
      </c>
      <c r="F5823" s="27" t="s">
        <v>1453</v>
      </c>
      <c r="H5823" s="27" t="s">
        <v>1454</v>
      </c>
      <c r="N5823" s="27" t="s">
        <v>22087</v>
      </c>
      <c r="P5823" s="27" t="s">
        <v>22101</v>
      </c>
      <c r="Q5823" s="26" t="str">
        <f>HYPERLINK("https://ictv.global/taxonomy/taxondetails?taxnode_id=202522900&amp;ictv_id=ICTV202522900","ICTV202522900")</f>
        <v>ICTV202522900</v>
      </c>
      <c r="R5823" t="s">
        <v>579</v>
      </c>
      <c r="S5823" t="s">
        <v>823</v>
      </c>
      <c r="T5823">
        <v>41</v>
      </c>
      <c r="U5823" s="26" t="str">
        <f t="shared" si="230"/>
        <v>2025.037B.Lingdingyangvirus_1ng_22ns.zip</v>
      </c>
    </row>
    <row r="5824" spans="1:21">
      <c r="A5824">
        <v>5823</v>
      </c>
      <c r="B5824" s="27" t="s">
        <v>1449</v>
      </c>
      <c r="D5824" s="27" t="s">
        <v>1450</v>
      </c>
      <c r="F5824" s="27" t="s">
        <v>1453</v>
      </c>
      <c r="H5824" s="27" t="s">
        <v>1454</v>
      </c>
      <c r="N5824" s="27" t="s">
        <v>22087</v>
      </c>
      <c r="P5824" s="27" t="s">
        <v>22102</v>
      </c>
      <c r="Q5824" s="26" t="str">
        <f>HYPERLINK("https://ictv.global/taxonomy/taxondetails?taxnode_id=202522901&amp;ictv_id=ICTV202522901","ICTV202522901")</f>
        <v>ICTV202522901</v>
      </c>
      <c r="R5824" t="s">
        <v>579</v>
      </c>
      <c r="S5824" t="s">
        <v>823</v>
      </c>
      <c r="T5824">
        <v>41</v>
      </c>
      <c r="U5824" s="26" t="str">
        <f t="shared" si="230"/>
        <v>2025.037B.Lingdingyangvirus_1ng_22ns.zip</v>
      </c>
    </row>
    <row r="5825" spans="1:21">
      <c r="A5825">
        <v>5824</v>
      </c>
      <c r="B5825" s="27" t="s">
        <v>1449</v>
      </c>
      <c r="D5825" s="27" t="s">
        <v>1450</v>
      </c>
      <c r="F5825" s="27" t="s">
        <v>1453</v>
      </c>
      <c r="H5825" s="27" t="s">
        <v>1454</v>
      </c>
      <c r="N5825" s="27" t="s">
        <v>22087</v>
      </c>
      <c r="P5825" s="27" t="s">
        <v>22105</v>
      </c>
      <c r="Q5825" s="26" t="str">
        <f>HYPERLINK("https://ictv.global/taxonomy/taxondetails?taxnode_id=202522904&amp;ictv_id=ICTV202522904","ICTV202522904")</f>
        <v>ICTV202522904</v>
      </c>
      <c r="R5825" t="s">
        <v>579</v>
      </c>
      <c r="S5825" t="s">
        <v>823</v>
      </c>
      <c r="T5825">
        <v>41</v>
      </c>
      <c r="U5825" s="26" t="str">
        <f t="shared" si="230"/>
        <v>2025.037B.Lingdingyangvirus_1ng_22ns.zip</v>
      </c>
    </row>
    <row r="5826" spans="1:21">
      <c r="A5826">
        <v>5825</v>
      </c>
      <c r="B5826" s="27" t="s">
        <v>1449</v>
      </c>
      <c r="D5826" s="27" t="s">
        <v>1450</v>
      </c>
      <c r="F5826" s="27" t="s">
        <v>1453</v>
      </c>
      <c r="H5826" s="27" t="s">
        <v>1454</v>
      </c>
      <c r="N5826" s="27" t="s">
        <v>22087</v>
      </c>
      <c r="P5826" s="27" t="s">
        <v>22091</v>
      </c>
      <c r="Q5826" s="26" t="str">
        <f>HYPERLINK("https://ictv.global/taxonomy/taxondetails?taxnode_id=202522890&amp;ictv_id=ICTV202522890","ICTV202522890")</f>
        <v>ICTV202522890</v>
      </c>
      <c r="R5826" t="s">
        <v>579</v>
      </c>
      <c r="S5826" t="s">
        <v>823</v>
      </c>
      <c r="T5826">
        <v>41</v>
      </c>
      <c r="U5826" s="26" t="str">
        <f t="shared" si="230"/>
        <v>2025.037B.Lingdingyangvirus_1ng_22ns.zip</v>
      </c>
    </row>
    <row r="5827" spans="1:21">
      <c r="A5827">
        <v>5826</v>
      </c>
      <c r="B5827" s="27" t="s">
        <v>1449</v>
      </c>
      <c r="D5827" s="27" t="s">
        <v>1450</v>
      </c>
      <c r="F5827" s="27" t="s">
        <v>1453</v>
      </c>
      <c r="H5827" s="27" t="s">
        <v>1454</v>
      </c>
      <c r="N5827" s="27" t="s">
        <v>22087</v>
      </c>
      <c r="P5827" s="27" t="s">
        <v>22104</v>
      </c>
      <c r="Q5827" s="26" t="str">
        <f>HYPERLINK("https://ictv.global/taxonomy/taxondetails?taxnode_id=202522903&amp;ictv_id=ICTV202522903","ICTV202522903")</f>
        <v>ICTV202522903</v>
      </c>
      <c r="R5827" t="s">
        <v>579</v>
      </c>
      <c r="S5827" t="s">
        <v>823</v>
      </c>
      <c r="T5827">
        <v>41</v>
      </c>
      <c r="U5827" s="26" t="str">
        <f t="shared" si="230"/>
        <v>2025.037B.Lingdingyangvirus_1ng_22ns.zip</v>
      </c>
    </row>
    <row r="5828" spans="1:21">
      <c r="A5828">
        <v>5827</v>
      </c>
      <c r="B5828" s="27" t="s">
        <v>1449</v>
      </c>
      <c r="D5828" s="27" t="s">
        <v>1450</v>
      </c>
      <c r="F5828" s="27" t="s">
        <v>1453</v>
      </c>
      <c r="H5828" s="27" t="s">
        <v>1454</v>
      </c>
      <c r="N5828" s="27" t="s">
        <v>22087</v>
      </c>
      <c r="P5828" s="27" t="s">
        <v>22100</v>
      </c>
      <c r="Q5828" s="26" t="str">
        <f>HYPERLINK("https://ictv.global/taxonomy/taxondetails?taxnode_id=202522899&amp;ictv_id=ICTV202522899","ICTV202522899")</f>
        <v>ICTV202522899</v>
      </c>
      <c r="R5828" t="s">
        <v>579</v>
      </c>
      <c r="S5828" t="s">
        <v>823</v>
      </c>
      <c r="T5828">
        <v>41</v>
      </c>
      <c r="U5828" s="26" t="str">
        <f t="shared" si="230"/>
        <v>2025.037B.Lingdingyangvirus_1ng_22ns.zip</v>
      </c>
    </row>
    <row r="5829" spans="1:21">
      <c r="A5829">
        <v>5828</v>
      </c>
      <c r="B5829" s="27" t="s">
        <v>1449</v>
      </c>
      <c r="D5829" s="27" t="s">
        <v>1450</v>
      </c>
      <c r="F5829" s="27" t="s">
        <v>1453</v>
      </c>
      <c r="H5829" s="27" t="s">
        <v>1454</v>
      </c>
      <c r="N5829" s="27" t="s">
        <v>22087</v>
      </c>
      <c r="P5829" s="27" t="s">
        <v>22103</v>
      </c>
      <c r="Q5829" s="26" t="str">
        <f>HYPERLINK("https://ictv.global/taxonomy/taxondetails?taxnode_id=202522902&amp;ictv_id=ICTV202522902","ICTV202522902")</f>
        <v>ICTV202522902</v>
      </c>
      <c r="R5829" t="s">
        <v>579</v>
      </c>
      <c r="S5829" t="s">
        <v>823</v>
      </c>
      <c r="T5829">
        <v>41</v>
      </c>
      <c r="U5829" s="26" t="str">
        <f t="shared" si="230"/>
        <v>2025.037B.Lingdingyangvirus_1ng_22ns.zip</v>
      </c>
    </row>
    <row r="5830" spans="1:21">
      <c r="A5830">
        <v>5829</v>
      </c>
      <c r="B5830" s="27" t="s">
        <v>1449</v>
      </c>
      <c r="D5830" s="27" t="s">
        <v>1450</v>
      </c>
      <c r="F5830" s="27" t="s">
        <v>1453</v>
      </c>
      <c r="H5830" s="27" t="s">
        <v>1454</v>
      </c>
      <c r="N5830" s="27" t="s">
        <v>22087</v>
      </c>
      <c r="P5830" s="27" t="s">
        <v>22106</v>
      </c>
      <c r="Q5830" s="26" t="str">
        <f>HYPERLINK("https://ictv.global/taxonomy/taxondetails?taxnode_id=202522905&amp;ictv_id=ICTV202522905","ICTV202522905")</f>
        <v>ICTV202522905</v>
      </c>
      <c r="R5830" t="s">
        <v>579</v>
      </c>
      <c r="S5830" t="s">
        <v>823</v>
      </c>
      <c r="T5830">
        <v>41</v>
      </c>
      <c r="U5830" s="26" t="str">
        <f t="shared" si="230"/>
        <v>2025.037B.Lingdingyangvirus_1ng_22ns.zip</v>
      </c>
    </row>
    <row r="5831" spans="1:21">
      <c r="A5831">
        <v>5830</v>
      </c>
      <c r="B5831" s="27" t="s">
        <v>1449</v>
      </c>
      <c r="D5831" s="27" t="s">
        <v>1450</v>
      </c>
      <c r="F5831" s="27" t="s">
        <v>1453</v>
      </c>
      <c r="H5831" s="27" t="s">
        <v>1454</v>
      </c>
      <c r="N5831" s="27" t="s">
        <v>22087</v>
      </c>
      <c r="P5831" s="27" t="s">
        <v>22107</v>
      </c>
      <c r="Q5831" s="26" t="str">
        <f>HYPERLINK("https://ictv.global/taxonomy/taxondetails?taxnode_id=202522906&amp;ictv_id=ICTV202522906","ICTV202522906")</f>
        <v>ICTV202522906</v>
      </c>
      <c r="R5831" t="s">
        <v>579</v>
      </c>
      <c r="S5831" t="s">
        <v>823</v>
      </c>
      <c r="T5831">
        <v>41</v>
      </c>
      <c r="U5831" s="26" t="str">
        <f t="shared" si="230"/>
        <v>2025.037B.Lingdingyangvirus_1ng_22ns.zip</v>
      </c>
    </row>
    <row r="5832" spans="1:21">
      <c r="A5832">
        <v>5831</v>
      </c>
      <c r="B5832" s="27" t="s">
        <v>1449</v>
      </c>
      <c r="D5832" s="27" t="s">
        <v>1450</v>
      </c>
      <c r="F5832" s="27" t="s">
        <v>1453</v>
      </c>
      <c r="H5832" s="27" t="s">
        <v>1454</v>
      </c>
      <c r="N5832" s="27" t="s">
        <v>22087</v>
      </c>
      <c r="P5832" s="27" t="s">
        <v>22099</v>
      </c>
      <c r="Q5832" s="26" t="str">
        <f>HYPERLINK("https://ictv.global/taxonomy/taxondetails?taxnode_id=202522898&amp;ictv_id=ICTV202522898","ICTV202522898")</f>
        <v>ICTV202522898</v>
      </c>
      <c r="R5832" t="s">
        <v>579</v>
      </c>
      <c r="S5832" t="s">
        <v>823</v>
      </c>
      <c r="T5832">
        <v>41</v>
      </c>
      <c r="U5832" s="26" t="str">
        <f t="shared" si="230"/>
        <v>2025.037B.Lingdingyangvirus_1ng_22ns.zip</v>
      </c>
    </row>
    <row r="5833" spans="1:21">
      <c r="A5833">
        <v>5832</v>
      </c>
      <c r="B5833" s="27" t="s">
        <v>1449</v>
      </c>
      <c r="D5833" s="27" t="s">
        <v>1450</v>
      </c>
      <c r="F5833" s="27" t="s">
        <v>1453</v>
      </c>
      <c r="H5833" s="27" t="s">
        <v>1454</v>
      </c>
      <c r="N5833" s="27" t="s">
        <v>22087</v>
      </c>
      <c r="P5833" s="27" t="s">
        <v>22089</v>
      </c>
      <c r="Q5833" s="26" t="str">
        <f>HYPERLINK("https://ictv.global/taxonomy/taxondetails?taxnode_id=202522888&amp;ictv_id=ICTV202522888","ICTV202522888")</f>
        <v>ICTV202522888</v>
      </c>
      <c r="R5833" t="s">
        <v>579</v>
      </c>
      <c r="S5833" t="s">
        <v>823</v>
      </c>
      <c r="T5833">
        <v>41</v>
      </c>
      <c r="U5833" s="26" t="str">
        <f t="shared" si="230"/>
        <v>2025.037B.Lingdingyangvirus_1ng_22ns.zip</v>
      </c>
    </row>
    <row r="5834" spans="1:21">
      <c r="A5834">
        <v>5833</v>
      </c>
      <c r="B5834" s="27" t="s">
        <v>1449</v>
      </c>
      <c r="D5834" s="27" t="s">
        <v>1450</v>
      </c>
      <c r="F5834" s="27" t="s">
        <v>1453</v>
      </c>
      <c r="H5834" s="27" t="s">
        <v>1454</v>
      </c>
      <c r="N5834" s="27" t="s">
        <v>22087</v>
      </c>
      <c r="P5834" s="27" t="s">
        <v>22096</v>
      </c>
      <c r="Q5834" s="26" t="str">
        <f>HYPERLINK("https://ictv.global/taxonomy/taxondetails?taxnode_id=202522895&amp;ictv_id=ICTV202522895","ICTV202522895")</f>
        <v>ICTV202522895</v>
      </c>
      <c r="R5834" t="s">
        <v>579</v>
      </c>
      <c r="S5834" t="s">
        <v>823</v>
      </c>
      <c r="T5834">
        <v>41</v>
      </c>
      <c r="U5834" s="26" t="str">
        <f t="shared" si="230"/>
        <v>2025.037B.Lingdingyangvirus_1ng_22ns.zip</v>
      </c>
    </row>
    <row r="5835" spans="1:21">
      <c r="A5835">
        <v>5834</v>
      </c>
      <c r="B5835" s="27" t="s">
        <v>1449</v>
      </c>
      <c r="D5835" s="27" t="s">
        <v>1450</v>
      </c>
      <c r="F5835" s="27" t="s">
        <v>1453</v>
      </c>
      <c r="H5835" s="27" t="s">
        <v>1454</v>
      </c>
      <c r="N5835" s="27" t="s">
        <v>22087</v>
      </c>
      <c r="P5835" s="27" t="s">
        <v>22094</v>
      </c>
      <c r="Q5835" s="26" t="str">
        <f>HYPERLINK("https://ictv.global/taxonomy/taxondetails?taxnode_id=202522893&amp;ictv_id=ICTV202522893","ICTV202522893")</f>
        <v>ICTV202522893</v>
      </c>
      <c r="R5835" t="s">
        <v>579</v>
      </c>
      <c r="S5835" t="s">
        <v>823</v>
      </c>
      <c r="T5835">
        <v>41</v>
      </c>
      <c r="U5835" s="26" t="str">
        <f t="shared" si="230"/>
        <v>2025.037B.Lingdingyangvirus_1ng_22ns.zip</v>
      </c>
    </row>
    <row r="5836" spans="1:21">
      <c r="A5836">
        <v>5835</v>
      </c>
      <c r="B5836" s="27" t="s">
        <v>1449</v>
      </c>
      <c r="D5836" s="27" t="s">
        <v>1450</v>
      </c>
      <c r="F5836" s="27" t="s">
        <v>1453</v>
      </c>
      <c r="H5836" s="27" t="s">
        <v>1454</v>
      </c>
      <c r="N5836" s="27" t="s">
        <v>22087</v>
      </c>
      <c r="P5836" s="27" t="s">
        <v>22093</v>
      </c>
      <c r="Q5836" s="26" t="str">
        <f>HYPERLINK("https://ictv.global/taxonomy/taxondetails?taxnode_id=202522892&amp;ictv_id=ICTV202522892","ICTV202522892")</f>
        <v>ICTV202522892</v>
      </c>
      <c r="R5836" t="s">
        <v>579</v>
      </c>
      <c r="S5836" t="s">
        <v>823</v>
      </c>
      <c r="T5836">
        <v>41</v>
      </c>
      <c r="U5836" s="26" t="str">
        <f t="shared" si="230"/>
        <v>2025.037B.Lingdingyangvirus_1ng_22ns.zip</v>
      </c>
    </row>
    <row r="5837" spans="1:21">
      <c r="A5837">
        <v>5836</v>
      </c>
      <c r="B5837" s="27" t="s">
        <v>1449</v>
      </c>
      <c r="D5837" s="27" t="s">
        <v>1450</v>
      </c>
      <c r="F5837" s="27" t="s">
        <v>1453</v>
      </c>
      <c r="H5837" s="27" t="s">
        <v>1454</v>
      </c>
      <c r="N5837" s="27" t="s">
        <v>22087</v>
      </c>
      <c r="P5837" s="27" t="s">
        <v>22092</v>
      </c>
      <c r="Q5837" s="26" t="str">
        <f>HYPERLINK("https://ictv.global/taxonomy/taxondetails?taxnode_id=202522891&amp;ictv_id=ICTV202522891","ICTV202522891")</f>
        <v>ICTV202522891</v>
      </c>
      <c r="R5837" t="s">
        <v>579</v>
      </c>
      <c r="S5837" t="s">
        <v>823</v>
      </c>
      <c r="T5837">
        <v>41</v>
      </c>
      <c r="U5837" s="26" t="str">
        <f t="shared" si="230"/>
        <v>2025.037B.Lingdingyangvirus_1ng_22ns.zip</v>
      </c>
    </row>
    <row r="5838" spans="1:21">
      <c r="A5838">
        <v>5837</v>
      </c>
      <c r="B5838" s="27" t="s">
        <v>1449</v>
      </c>
      <c r="D5838" s="27" t="s">
        <v>1450</v>
      </c>
      <c r="F5838" s="27" t="s">
        <v>1453</v>
      </c>
      <c r="H5838" s="27" t="s">
        <v>1454</v>
      </c>
      <c r="N5838" s="27" t="s">
        <v>22087</v>
      </c>
      <c r="P5838" s="27" t="s">
        <v>22097</v>
      </c>
      <c r="Q5838" s="26" t="str">
        <f>HYPERLINK("https://ictv.global/taxonomy/taxondetails?taxnode_id=202522896&amp;ictv_id=ICTV202522896","ICTV202522896")</f>
        <v>ICTV202522896</v>
      </c>
      <c r="R5838" t="s">
        <v>579</v>
      </c>
      <c r="S5838" t="s">
        <v>823</v>
      </c>
      <c r="T5838">
        <v>41</v>
      </c>
      <c r="U5838" s="26" t="str">
        <f t="shared" si="230"/>
        <v>2025.037B.Lingdingyangvirus_1ng_22ns.zip</v>
      </c>
    </row>
    <row r="5839" spans="1:21">
      <c r="A5839">
        <v>5838</v>
      </c>
      <c r="B5839" s="27" t="s">
        <v>1449</v>
      </c>
      <c r="D5839" s="27" t="s">
        <v>1450</v>
      </c>
      <c r="F5839" s="27" t="s">
        <v>1453</v>
      </c>
      <c r="H5839" s="27" t="s">
        <v>1454</v>
      </c>
      <c r="N5839" s="27" t="s">
        <v>12172</v>
      </c>
      <c r="P5839" s="27" t="s">
        <v>12173</v>
      </c>
      <c r="Q5839" s="26" t="str">
        <f>HYPERLINK("https://ictv.global/taxonomy/taxondetails?taxnode_id=202518574&amp;ictv_id=ICTV202318574","ICTV202318574")</f>
        <v>ICTV202318574</v>
      </c>
      <c r="R5839" t="s">
        <v>579</v>
      </c>
      <c r="S5839" t="s">
        <v>823</v>
      </c>
      <c r="T5839">
        <v>39</v>
      </c>
      <c r="U5839" s="26" t="str">
        <f>HYPERLINK("https://ictv.global/ictv/proposals/2023.022B.Caudoviricetes_Pseudomonas_7ng.zip","2023.022B.Caudoviricetes_Pseudomonas_7ng.zip")</f>
        <v>2023.022B.Caudoviricetes_Pseudomonas_7ng.zip</v>
      </c>
    </row>
    <row r="5840" spans="1:21">
      <c r="A5840">
        <v>5839</v>
      </c>
      <c r="B5840" s="27" t="s">
        <v>1449</v>
      </c>
      <c r="D5840" s="27" t="s">
        <v>1450</v>
      </c>
      <c r="F5840" s="27" t="s">
        <v>1453</v>
      </c>
      <c r="H5840" s="27" t="s">
        <v>1454</v>
      </c>
      <c r="N5840" s="27" t="s">
        <v>1685</v>
      </c>
      <c r="P5840" s="27" t="s">
        <v>7341</v>
      </c>
      <c r="Q5840" s="26" t="str">
        <f>HYPERLINK("https://ictv.global/taxonomy/taxondetails?taxnode_id=202507758&amp;ictv_id=ICTV201907758","ICTV201907758")</f>
        <v>ICTV201907758</v>
      </c>
      <c r="R5840" t="s">
        <v>579</v>
      </c>
      <c r="S5840" t="s">
        <v>824</v>
      </c>
      <c r="T5840">
        <v>37</v>
      </c>
      <c r="U5840" s="26" t="str">
        <f>HYPERLINK("https://ictv.global/ictv/proposals/2021.010B.R.Binomial_names.zip","2021.010B.R.Binomial_names.zip")</f>
        <v>2021.010B.R.Binomial_names.zip</v>
      </c>
    </row>
    <row r="5841" spans="1:21">
      <c r="A5841">
        <v>5840</v>
      </c>
      <c r="B5841" s="27" t="s">
        <v>1449</v>
      </c>
      <c r="D5841" s="27" t="s">
        <v>1450</v>
      </c>
      <c r="F5841" s="27" t="s">
        <v>1453</v>
      </c>
      <c r="H5841" s="27" t="s">
        <v>1454</v>
      </c>
      <c r="N5841" s="27" t="s">
        <v>1383</v>
      </c>
      <c r="P5841" s="27" t="s">
        <v>7342</v>
      </c>
      <c r="Q5841" s="26" t="str">
        <f>HYPERLINK("https://ictv.global/taxonomy/taxondetails?taxnode_id=202506916&amp;ictv_id=ICTV201856916","ICTV201856916")</f>
        <v>ICTV201856916</v>
      </c>
      <c r="R5841" t="s">
        <v>579</v>
      </c>
      <c r="S5841" t="s">
        <v>824</v>
      </c>
      <c r="T5841">
        <v>37</v>
      </c>
      <c r="U5841" s="26" t="str">
        <f>HYPERLINK("https://ictv.global/ictv/proposals/2021.010B.R.Binomial_names.zip","2021.010B.R.Binomial_names.zip")</f>
        <v>2021.010B.R.Binomial_names.zip</v>
      </c>
    </row>
    <row r="5842" spans="1:21">
      <c r="A5842">
        <v>5841</v>
      </c>
      <c r="B5842" s="27" t="s">
        <v>1449</v>
      </c>
      <c r="D5842" s="27" t="s">
        <v>1450</v>
      </c>
      <c r="F5842" s="27" t="s">
        <v>1453</v>
      </c>
      <c r="H5842" s="27" t="s">
        <v>1454</v>
      </c>
      <c r="N5842" s="27" t="s">
        <v>1383</v>
      </c>
      <c r="P5842" s="27" t="s">
        <v>7343</v>
      </c>
      <c r="Q5842" s="26" t="str">
        <f>HYPERLINK("https://ictv.global/taxonomy/taxondetails?taxnode_id=202506915&amp;ictv_id=ICTV201856915","ICTV201856915")</f>
        <v>ICTV201856915</v>
      </c>
      <c r="R5842" t="s">
        <v>579</v>
      </c>
      <c r="S5842" t="s">
        <v>824</v>
      </c>
      <c r="T5842">
        <v>37</v>
      </c>
      <c r="U5842" s="26" t="str">
        <f>HYPERLINK("https://ictv.global/ictv/proposals/2021.010B.R.Binomial_names.zip","2021.010B.R.Binomial_names.zip")</f>
        <v>2021.010B.R.Binomial_names.zip</v>
      </c>
    </row>
    <row r="5843" spans="1:21">
      <c r="A5843">
        <v>5842</v>
      </c>
      <c r="B5843" s="27" t="s">
        <v>1449</v>
      </c>
      <c r="D5843" s="27" t="s">
        <v>1450</v>
      </c>
      <c r="F5843" s="27" t="s">
        <v>1453</v>
      </c>
      <c r="H5843" s="27" t="s">
        <v>1454</v>
      </c>
      <c r="N5843" s="27" t="s">
        <v>1686</v>
      </c>
      <c r="P5843" s="27" t="s">
        <v>19845</v>
      </c>
      <c r="Q5843" s="26" t="str">
        <f>HYPERLINK("https://ictv.global/taxonomy/taxondetails?taxnode_id=202507914&amp;ictv_id=ICTV201907914","ICTV201907914")</f>
        <v>ICTV201907914</v>
      </c>
      <c r="R5843" t="s">
        <v>579</v>
      </c>
      <c r="S5843" t="s">
        <v>824</v>
      </c>
      <c r="T5843">
        <v>40</v>
      </c>
      <c r="U5843" s="26" t="str">
        <f>HYPERLINK("https://ictv.global/ictv/proposals/2024.036B.Caudoviricetes_Faserviricetes_Name_Corrections.zip","2024.036B.Caudoviricetes_Faserviricetes_Name_Corrections.zip")</f>
        <v>2024.036B.Caudoviricetes_Faserviricetes_Name_Corrections.zip</v>
      </c>
    </row>
    <row r="5844" spans="1:21">
      <c r="A5844">
        <v>5843</v>
      </c>
      <c r="B5844" s="27" t="s">
        <v>1449</v>
      </c>
      <c r="D5844" s="27" t="s">
        <v>1450</v>
      </c>
      <c r="F5844" s="27" t="s">
        <v>1453</v>
      </c>
      <c r="H5844" s="27" t="s">
        <v>1454</v>
      </c>
      <c r="N5844" s="27" t="s">
        <v>22110</v>
      </c>
      <c r="P5844" s="27" t="s">
        <v>22111</v>
      </c>
      <c r="Q5844" s="26" t="str">
        <f>HYPERLINK("https://ictv.global/taxonomy/taxondetails?taxnode_id=202522909&amp;ictv_id=ICTV202522909","ICTV202522909")</f>
        <v>ICTV202522909</v>
      </c>
      <c r="R5844" t="s">
        <v>579</v>
      </c>
      <c r="S5844" t="s">
        <v>823</v>
      </c>
      <c r="T5844">
        <v>41</v>
      </c>
      <c r="U5844" s="26" t="str">
        <f t="shared" ref="U5844:U5849" si="231">HYPERLINK("https://ictv.global/ictv/proposals/2025.038B.Lowersilesiavirus_1ng_6ns.zip","2025.038B.Lowersilesiavirus_1ng_6ns.zip")</f>
        <v>2025.038B.Lowersilesiavirus_1ng_6ns.zip</v>
      </c>
    </row>
    <row r="5845" spans="1:21">
      <c r="A5845">
        <v>5844</v>
      </c>
      <c r="B5845" s="27" t="s">
        <v>1449</v>
      </c>
      <c r="D5845" s="27" t="s">
        <v>1450</v>
      </c>
      <c r="F5845" s="27" t="s">
        <v>1453</v>
      </c>
      <c r="H5845" s="27" t="s">
        <v>1454</v>
      </c>
      <c r="N5845" s="27" t="s">
        <v>22110</v>
      </c>
      <c r="P5845" s="27" t="s">
        <v>22112</v>
      </c>
      <c r="Q5845" s="26" t="str">
        <f>HYPERLINK("https://ictv.global/taxonomy/taxondetails?taxnode_id=202522910&amp;ictv_id=ICTV202522910","ICTV202522910")</f>
        <v>ICTV202522910</v>
      </c>
      <c r="R5845" t="s">
        <v>579</v>
      </c>
      <c r="S5845" t="s">
        <v>823</v>
      </c>
      <c r="T5845">
        <v>41</v>
      </c>
      <c r="U5845" s="26" t="str">
        <f t="shared" si="231"/>
        <v>2025.038B.Lowersilesiavirus_1ng_6ns.zip</v>
      </c>
    </row>
    <row r="5846" spans="1:21">
      <c r="A5846">
        <v>5845</v>
      </c>
      <c r="B5846" s="27" t="s">
        <v>1449</v>
      </c>
      <c r="D5846" s="27" t="s">
        <v>1450</v>
      </c>
      <c r="F5846" s="27" t="s">
        <v>1453</v>
      </c>
      <c r="H5846" s="27" t="s">
        <v>1454</v>
      </c>
      <c r="N5846" s="27" t="s">
        <v>22110</v>
      </c>
      <c r="P5846" s="27" t="s">
        <v>22113</v>
      </c>
      <c r="Q5846" s="26" t="str">
        <f>HYPERLINK("https://ictv.global/taxonomy/taxondetails?taxnode_id=202522911&amp;ictv_id=ICTV202522911","ICTV202522911")</f>
        <v>ICTV202522911</v>
      </c>
      <c r="R5846" t="s">
        <v>579</v>
      </c>
      <c r="S5846" t="s">
        <v>823</v>
      </c>
      <c r="T5846">
        <v>41</v>
      </c>
      <c r="U5846" s="26" t="str">
        <f t="shared" si="231"/>
        <v>2025.038B.Lowersilesiavirus_1ng_6ns.zip</v>
      </c>
    </row>
    <row r="5847" spans="1:21">
      <c r="A5847">
        <v>5846</v>
      </c>
      <c r="B5847" s="27" t="s">
        <v>1449</v>
      </c>
      <c r="D5847" s="27" t="s">
        <v>1450</v>
      </c>
      <c r="F5847" s="27" t="s">
        <v>1453</v>
      </c>
      <c r="H5847" s="27" t="s">
        <v>1454</v>
      </c>
      <c r="N5847" s="27" t="s">
        <v>22110</v>
      </c>
      <c r="P5847" s="27" t="s">
        <v>22114</v>
      </c>
      <c r="Q5847" s="26" t="str">
        <f>HYPERLINK("https://ictv.global/taxonomy/taxondetails?taxnode_id=202522912&amp;ictv_id=ICTV202522912","ICTV202522912")</f>
        <v>ICTV202522912</v>
      </c>
      <c r="R5847" t="s">
        <v>579</v>
      </c>
      <c r="S5847" t="s">
        <v>823</v>
      </c>
      <c r="T5847">
        <v>41</v>
      </c>
      <c r="U5847" s="26" t="str">
        <f t="shared" si="231"/>
        <v>2025.038B.Lowersilesiavirus_1ng_6ns.zip</v>
      </c>
    </row>
    <row r="5848" spans="1:21">
      <c r="A5848">
        <v>5847</v>
      </c>
      <c r="B5848" s="27" t="s">
        <v>1449</v>
      </c>
      <c r="D5848" s="27" t="s">
        <v>1450</v>
      </c>
      <c r="F5848" s="27" t="s">
        <v>1453</v>
      </c>
      <c r="H5848" s="27" t="s">
        <v>1454</v>
      </c>
      <c r="N5848" s="27" t="s">
        <v>22110</v>
      </c>
      <c r="P5848" s="27" t="s">
        <v>22115</v>
      </c>
      <c r="Q5848" s="26" t="str">
        <f>HYPERLINK("https://ictv.global/taxonomy/taxondetails?taxnode_id=202522913&amp;ictv_id=ICTV202522913","ICTV202522913")</f>
        <v>ICTV202522913</v>
      </c>
      <c r="R5848" t="s">
        <v>579</v>
      </c>
      <c r="S5848" t="s">
        <v>823</v>
      </c>
      <c r="T5848">
        <v>41</v>
      </c>
      <c r="U5848" s="26" t="str">
        <f t="shared" si="231"/>
        <v>2025.038B.Lowersilesiavirus_1ng_6ns.zip</v>
      </c>
    </row>
    <row r="5849" spans="1:21">
      <c r="A5849">
        <v>5848</v>
      </c>
      <c r="B5849" s="27" t="s">
        <v>1449</v>
      </c>
      <c r="D5849" s="27" t="s">
        <v>1450</v>
      </c>
      <c r="F5849" s="27" t="s">
        <v>1453</v>
      </c>
      <c r="H5849" s="27" t="s">
        <v>1454</v>
      </c>
      <c r="N5849" s="27" t="s">
        <v>22110</v>
      </c>
      <c r="P5849" s="27" t="s">
        <v>22116</v>
      </c>
      <c r="Q5849" s="26" t="str">
        <f>HYPERLINK("https://ictv.global/taxonomy/taxondetails?taxnode_id=202522914&amp;ictv_id=ICTV202522914","ICTV202522914")</f>
        <v>ICTV202522914</v>
      </c>
      <c r="R5849" t="s">
        <v>579</v>
      </c>
      <c r="S5849" t="s">
        <v>823</v>
      </c>
      <c r="T5849">
        <v>41</v>
      </c>
      <c r="U5849" s="26" t="str">
        <f t="shared" si="231"/>
        <v>2025.038B.Lowersilesiavirus_1ng_6ns.zip</v>
      </c>
    </row>
    <row r="5850" spans="1:21">
      <c r="A5850">
        <v>5849</v>
      </c>
      <c r="B5850" s="27" t="s">
        <v>1449</v>
      </c>
      <c r="D5850" s="27" t="s">
        <v>1450</v>
      </c>
      <c r="F5850" s="27" t="s">
        <v>1453</v>
      </c>
      <c r="H5850" s="27" t="s">
        <v>1454</v>
      </c>
      <c r="N5850" s="27" t="s">
        <v>1242</v>
      </c>
      <c r="P5850" s="27" t="s">
        <v>7346</v>
      </c>
      <c r="Q5850" s="26" t="str">
        <f>HYPERLINK("https://ictv.global/taxonomy/taxondetails?taxnode_id=202500423&amp;ictv_id=ICTV20115468","ICTV20115468")</f>
        <v>ICTV20115468</v>
      </c>
      <c r="R5850" t="s">
        <v>579</v>
      </c>
      <c r="S5850" t="s">
        <v>824</v>
      </c>
      <c r="T5850">
        <v>37</v>
      </c>
      <c r="U5850" s="26" t="str">
        <f>HYPERLINK("https://ictv.global/ictv/proposals/2021.010B.R.Binomial_names.zip","2021.010B.R.Binomial_names.zip")</f>
        <v>2021.010B.R.Binomial_names.zip</v>
      </c>
    </row>
    <row r="5851" spans="1:21">
      <c r="A5851">
        <v>5850</v>
      </c>
      <c r="B5851" s="27" t="s">
        <v>1449</v>
      </c>
      <c r="D5851" s="27" t="s">
        <v>1450</v>
      </c>
      <c r="F5851" s="27" t="s">
        <v>1453</v>
      </c>
      <c r="H5851" s="27" t="s">
        <v>1454</v>
      </c>
      <c r="N5851" s="27" t="s">
        <v>1242</v>
      </c>
      <c r="P5851" s="27" t="s">
        <v>7347</v>
      </c>
      <c r="Q5851" s="26" t="str">
        <f>HYPERLINK("https://ictv.global/taxonomy/taxondetails?taxnode_id=202509889&amp;ictv_id=ICTV202009889","ICTV202009889")</f>
        <v>ICTV202009889</v>
      </c>
      <c r="R5851" t="s">
        <v>579</v>
      </c>
      <c r="S5851" t="s">
        <v>824</v>
      </c>
      <c r="T5851">
        <v>37</v>
      </c>
      <c r="U5851" s="26" t="str">
        <f>HYPERLINK("https://ictv.global/ictv/proposals/2021.010B.R.Binomial_names.zip","2021.010B.R.Binomial_names.zip")</f>
        <v>2021.010B.R.Binomial_names.zip</v>
      </c>
    </row>
    <row r="5852" spans="1:21">
      <c r="A5852">
        <v>5851</v>
      </c>
      <c r="B5852" s="27" t="s">
        <v>1449</v>
      </c>
      <c r="D5852" s="27" t="s">
        <v>1450</v>
      </c>
      <c r="F5852" s="27" t="s">
        <v>1453</v>
      </c>
      <c r="H5852" s="27" t="s">
        <v>1454</v>
      </c>
      <c r="N5852" s="27" t="s">
        <v>7348</v>
      </c>
      <c r="P5852" s="27" t="s">
        <v>19846</v>
      </c>
      <c r="Q5852" s="26" t="str">
        <f>HYPERLINK("https://ictv.global/taxonomy/taxondetails?taxnode_id=202512404&amp;ictv_id=ICTV202112404","ICTV202112404")</f>
        <v>ICTV202112404</v>
      </c>
      <c r="R5852" t="s">
        <v>579</v>
      </c>
      <c r="S5852" t="s">
        <v>824</v>
      </c>
      <c r="T5852">
        <v>40</v>
      </c>
      <c r="U5852" s="26" t="str">
        <f>HYPERLINK("https://ictv.global/ictv/proposals/2024.036B.Caudoviricetes_Faserviricetes_Name_Corrections.zip","2024.036B.Caudoviricetes_Faserviricetes_Name_Corrections.zip")</f>
        <v>2024.036B.Caudoviricetes_Faserviricetes_Name_Corrections.zip</v>
      </c>
    </row>
    <row r="5853" spans="1:21">
      <c r="A5853">
        <v>5852</v>
      </c>
      <c r="B5853" s="27" t="s">
        <v>1449</v>
      </c>
      <c r="D5853" s="27" t="s">
        <v>1450</v>
      </c>
      <c r="F5853" s="27" t="s">
        <v>1453</v>
      </c>
      <c r="H5853" s="27" t="s">
        <v>1454</v>
      </c>
      <c r="N5853" s="27" t="s">
        <v>7348</v>
      </c>
      <c r="P5853" s="27" t="s">
        <v>19847</v>
      </c>
      <c r="Q5853" s="26" t="str">
        <f>HYPERLINK("https://ictv.global/taxonomy/taxondetails?taxnode_id=202512403&amp;ictv_id=ICTV202112403","ICTV202112403")</f>
        <v>ICTV202112403</v>
      </c>
      <c r="R5853" t="s">
        <v>579</v>
      </c>
      <c r="S5853" t="s">
        <v>824</v>
      </c>
      <c r="T5853">
        <v>40</v>
      </c>
      <c r="U5853" s="26" t="str">
        <f>HYPERLINK("https://ictv.global/ictv/proposals/2024.036B.Caudoviricetes_Faserviricetes_Name_Corrections.zip","2024.036B.Caudoviricetes_Faserviricetes_Name_Corrections.zip")</f>
        <v>2024.036B.Caudoviricetes_Faserviricetes_Name_Corrections.zip</v>
      </c>
    </row>
    <row r="5854" spans="1:21">
      <c r="A5854">
        <v>5853</v>
      </c>
      <c r="B5854" s="27" t="s">
        <v>1449</v>
      </c>
      <c r="D5854" s="27" t="s">
        <v>1450</v>
      </c>
      <c r="F5854" s="27" t="s">
        <v>1453</v>
      </c>
      <c r="H5854" s="27" t="s">
        <v>1454</v>
      </c>
      <c r="N5854" s="27" t="s">
        <v>7348</v>
      </c>
      <c r="P5854" s="27" t="s">
        <v>19848</v>
      </c>
      <c r="Q5854" s="26" t="str">
        <f>HYPERLINK("https://ictv.global/taxonomy/taxondetails?taxnode_id=202512402&amp;ictv_id=ICTV202112402","ICTV202112402")</f>
        <v>ICTV202112402</v>
      </c>
      <c r="R5854" t="s">
        <v>579</v>
      </c>
      <c r="S5854" t="s">
        <v>824</v>
      </c>
      <c r="T5854">
        <v>40</v>
      </c>
      <c r="U5854" s="26" t="str">
        <f>HYPERLINK("https://ictv.global/ictv/proposals/2024.036B.Caudoviricetes_Faserviricetes_Name_Corrections.zip","2024.036B.Caudoviricetes_Faserviricetes_Name_Corrections.zip")</f>
        <v>2024.036B.Caudoviricetes_Faserviricetes_Name_Corrections.zip</v>
      </c>
    </row>
    <row r="5855" spans="1:21">
      <c r="A5855">
        <v>5854</v>
      </c>
      <c r="B5855" s="27" t="s">
        <v>1449</v>
      </c>
      <c r="D5855" s="27" t="s">
        <v>1450</v>
      </c>
      <c r="F5855" s="27" t="s">
        <v>1453</v>
      </c>
      <c r="H5855" s="27" t="s">
        <v>1454</v>
      </c>
      <c r="N5855" s="27" t="s">
        <v>1765</v>
      </c>
      <c r="P5855" s="27" t="s">
        <v>7349</v>
      </c>
      <c r="Q5855" s="26" t="str">
        <f>HYPERLINK("https://ictv.global/taxonomy/taxondetails?taxnode_id=202507441&amp;ictv_id=ICTV201907441","ICTV201907441")</f>
        <v>ICTV201907441</v>
      </c>
      <c r="R5855" t="s">
        <v>579</v>
      </c>
      <c r="S5855" t="s">
        <v>824</v>
      </c>
      <c r="T5855">
        <v>37</v>
      </c>
      <c r="U5855" s="26" t="str">
        <f>HYPERLINK("https://ictv.global/ictv/proposals/2021.010B.R.Binomial_names.zip","2021.010B.R.Binomial_names.zip")</f>
        <v>2021.010B.R.Binomial_names.zip</v>
      </c>
    </row>
    <row r="5856" spans="1:21">
      <c r="A5856">
        <v>5855</v>
      </c>
      <c r="B5856" s="27" t="s">
        <v>1449</v>
      </c>
      <c r="D5856" s="27" t="s">
        <v>1450</v>
      </c>
      <c r="F5856" s="27" t="s">
        <v>1453</v>
      </c>
      <c r="H5856" s="27" t="s">
        <v>1454</v>
      </c>
      <c r="N5856" s="27" t="s">
        <v>1766</v>
      </c>
      <c r="P5856" s="27" t="s">
        <v>7350</v>
      </c>
      <c r="Q5856" s="26" t="str">
        <f>HYPERLINK("https://ictv.global/taxonomy/taxondetails?taxnode_id=202507448&amp;ictv_id=ICTV201907448","ICTV201907448")</f>
        <v>ICTV201907448</v>
      </c>
      <c r="R5856" t="s">
        <v>579</v>
      </c>
      <c r="S5856" t="s">
        <v>824</v>
      </c>
      <c r="T5856">
        <v>37</v>
      </c>
      <c r="U5856" s="26" t="str">
        <f>HYPERLINK("https://ictv.global/ictv/proposals/2021.010B.R.Binomial_names.zip","2021.010B.R.Binomial_names.zip")</f>
        <v>2021.010B.R.Binomial_names.zip</v>
      </c>
    </row>
    <row r="5857" spans="1:21">
      <c r="A5857">
        <v>5856</v>
      </c>
      <c r="B5857" s="27" t="s">
        <v>1449</v>
      </c>
      <c r="D5857" s="27" t="s">
        <v>1450</v>
      </c>
      <c r="F5857" s="27" t="s">
        <v>1453</v>
      </c>
      <c r="H5857" s="27" t="s">
        <v>1454</v>
      </c>
      <c r="N5857" s="27" t="s">
        <v>1767</v>
      </c>
      <c r="P5857" s="27" t="s">
        <v>7355</v>
      </c>
      <c r="Q5857" s="26" t="str">
        <f>HYPERLINK("https://ictv.global/taxonomy/taxondetails?taxnode_id=202508054&amp;ictv_id=ICTV201908054","ICTV201908054")</f>
        <v>ICTV201908054</v>
      </c>
      <c r="R5857" t="s">
        <v>579</v>
      </c>
      <c r="S5857" t="s">
        <v>824</v>
      </c>
      <c r="T5857">
        <v>37</v>
      </c>
      <c r="U5857" s="26" t="str">
        <f>HYPERLINK("https://ictv.global/ictv/proposals/2021.010B.R.Binomial_names.zip","2021.010B.R.Binomial_names.zip")</f>
        <v>2021.010B.R.Binomial_names.zip</v>
      </c>
    </row>
    <row r="5858" spans="1:21">
      <c r="A5858">
        <v>5857</v>
      </c>
      <c r="B5858" s="27" t="s">
        <v>1449</v>
      </c>
      <c r="D5858" s="27" t="s">
        <v>1450</v>
      </c>
      <c r="F5858" s="27" t="s">
        <v>1453</v>
      </c>
      <c r="H5858" s="27" t="s">
        <v>1454</v>
      </c>
      <c r="N5858" s="27" t="s">
        <v>22117</v>
      </c>
      <c r="P5858" s="27" t="s">
        <v>22119</v>
      </c>
      <c r="Q5858" s="26" t="str">
        <f>HYPERLINK("https://ictv.global/taxonomy/taxondetails?taxnode_id=202522916&amp;ictv_id=ICTV202522916","ICTV202522916")</f>
        <v>ICTV202522916</v>
      </c>
      <c r="R5858" t="s">
        <v>579</v>
      </c>
      <c r="S5858" t="s">
        <v>823</v>
      </c>
      <c r="T5858">
        <v>41</v>
      </c>
      <c r="U5858" s="26" t="str">
        <f>HYPERLINK("https://ictv.global/ictv/proposals/2025.039B.Luojiashanvirus_1ng_2ns.zip","2025.039B.Luojiashanvirus_1ng_2ns.zip")</f>
        <v>2025.039B.Luojiashanvirus_1ng_2ns.zip</v>
      </c>
    </row>
    <row r="5859" spans="1:21">
      <c r="A5859">
        <v>5858</v>
      </c>
      <c r="B5859" s="27" t="s">
        <v>1449</v>
      </c>
      <c r="D5859" s="27" t="s">
        <v>1450</v>
      </c>
      <c r="F5859" s="27" t="s">
        <v>1453</v>
      </c>
      <c r="H5859" s="27" t="s">
        <v>1454</v>
      </c>
      <c r="N5859" s="27" t="s">
        <v>22117</v>
      </c>
      <c r="P5859" s="27" t="s">
        <v>22118</v>
      </c>
      <c r="Q5859" s="26" t="str">
        <f>HYPERLINK("https://ictv.global/taxonomy/taxondetails?taxnode_id=202522915&amp;ictv_id=ICTV202522915","ICTV202522915")</f>
        <v>ICTV202522915</v>
      </c>
      <c r="R5859" t="s">
        <v>579</v>
      </c>
      <c r="S5859" t="s">
        <v>823</v>
      </c>
      <c r="T5859">
        <v>41</v>
      </c>
      <c r="U5859" s="26" t="str">
        <f>HYPERLINK("https://ictv.global/ictv/proposals/2025.039B.Luojiashanvirus_1ng_2ns.zip","2025.039B.Luojiashanvirus_1ng_2ns.zip")</f>
        <v>2025.039B.Luojiashanvirus_1ng_2ns.zip</v>
      </c>
    </row>
    <row r="5860" spans="1:21">
      <c r="A5860">
        <v>5859</v>
      </c>
      <c r="B5860" s="27" t="s">
        <v>1449</v>
      </c>
      <c r="D5860" s="27" t="s">
        <v>1450</v>
      </c>
      <c r="F5860" s="27" t="s">
        <v>1453</v>
      </c>
      <c r="H5860" s="27" t="s">
        <v>1454</v>
      </c>
      <c r="N5860" s="27" t="s">
        <v>1385</v>
      </c>
      <c r="P5860" s="27" t="s">
        <v>7356</v>
      </c>
      <c r="Q5860" s="26" t="str">
        <f>HYPERLINK("https://ictv.global/taxonomy/taxondetails?taxnode_id=202501353&amp;ictv_id=ICTV20140442","ICTV20140442")</f>
        <v>ICTV20140442</v>
      </c>
      <c r="R5860" t="s">
        <v>579</v>
      </c>
      <c r="S5860" t="s">
        <v>824</v>
      </c>
      <c r="T5860">
        <v>37</v>
      </c>
      <c r="U5860" s="26" t="str">
        <f>HYPERLINK("https://ictv.global/ictv/proposals/2021.010B.R.Binomial_names.zip","2021.010B.R.Binomial_names.zip")</f>
        <v>2021.010B.R.Binomial_names.zip</v>
      </c>
    </row>
    <row r="5861" spans="1:21">
      <c r="A5861">
        <v>5860</v>
      </c>
      <c r="B5861" s="27" t="s">
        <v>1449</v>
      </c>
      <c r="D5861" s="27" t="s">
        <v>1450</v>
      </c>
      <c r="F5861" s="27" t="s">
        <v>1453</v>
      </c>
      <c r="H5861" s="27" t="s">
        <v>1454</v>
      </c>
      <c r="N5861" s="27" t="s">
        <v>1385</v>
      </c>
      <c r="P5861" s="27" t="s">
        <v>7357</v>
      </c>
      <c r="Q5861" s="26" t="str">
        <f>HYPERLINK("https://ictv.global/taxonomy/taxondetails?taxnode_id=202501354&amp;ictv_id=ICTV20140441","ICTV20140441")</f>
        <v>ICTV20140441</v>
      </c>
      <c r="R5861" t="s">
        <v>579</v>
      </c>
      <c r="S5861" t="s">
        <v>824</v>
      </c>
      <c r="T5861">
        <v>37</v>
      </c>
      <c r="U5861" s="26" t="str">
        <f>HYPERLINK("https://ictv.global/ictv/proposals/2021.010B.R.Binomial_names.zip","2021.010B.R.Binomial_names.zip")</f>
        <v>2021.010B.R.Binomial_names.zip</v>
      </c>
    </row>
    <row r="5862" spans="1:21">
      <c r="A5862">
        <v>5861</v>
      </c>
      <c r="B5862" s="27" t="s">
        <v>1449</v>
      </c>
      <c r="D5862" s="27" t="s">
        <v>1450</v>
      </c>
      <c r="F5862" s="27" t="s">
        <v>1453</v>
      </c>
      <c r="H5862" s="27" t="s">
        <v>1454</v>
      </c>
      <c r="N5862" s="27" t="s">
        <v>7360</v>
      </c>
      <c r="P5862" s="27" t="s">
        <v>7361</v>
      </c>
      <c r="Q5862" s="26" t="str">
        <f>HYPERLINK("https://ictv.global/taxonomy/taxondetails?taxnode_id=202513620&amp;ictv_id=ICTV202113620","ICTV202113620")</f>
        <v>ICTV202113620</v>
      </c>
      <c r="R5862" t="s">
        <v>579</v>
      </c>
      <c r="S5862" t="s">
        <v>823</v>
      </c>
      <c r="T5862">
        <v>37</v>
      </c>
      <c r="U5862" s="26" t="str">
        <f>HYPERLINK("https://ictv.global/ictv/proposals/2021.078B.R.Siphoviridae_new_genera.zip","2021.078B.R.Siphoviridae_new_genera.zip")</f>
        <v>2021.078B.R.Siphoviridae_new_genera.zip</v>
      </c>
    </row>
    <row r="5863" spans="1:21">
      <c r="A5863">
        <v>5862</v>
      </c>
      <c r="B5863" s="27" t="s">
        <v>1449</v>
      </c>
      <c r="D5863" s="27" t="s">
        <v>1450</v>
      </c>
      <c r="F5863" s="27" t="s">
        <v>1453</v>
      </c>
      <c r="H5863" s="27" t="s">
        <v>1454</v>
      </c>
      <c r="N5863" s="27" t="s">
        <v>7360</v>
      </c>
      <c r="P5863" s="27" t="s">
        <v>7362</v>
      </c>
      <c r="Q5863" s="26" t="str">
        <f>HYPERLINK("https://ictv.global/taxonomy/taxondetails?taxnode_id=202513621&amp;ictv_id=ICTV202113621","ICTV202113621")</f>
        <v>ICTV202113621</v>
      </c>
      <c r="R5863" t="s">
        <v>579</v>
      </c>
      <c r="S5863" t="s">
        <v>823</v>
      </c>
      <c r="T5863">
        <v>37</v>
      </c>
      <c r="U5863" s="26" t="str">
        <f>HYPERLINK("https://ictv.global/ictv/proposals/2021.078B.R.Siphoviridae_new_genera.zip","2021.078B.R.Siphoviridae_new_genera.zip")</f>
        <v>2021.078B.R.Siphoviridae_new_genera.zip</v>
      </c>
    </row>
    <row r="5864" spans="1:21">
      <c r="A5864">
        <v>5863</v>
      </c>
      <c r="B5864" s="27" t="s">
        <v>1449</v>
      </c>
      <c r="D5864" s="27" t="s">
        <v>1450</v>
      </c>
      <c r="F5864" s="27" t="s">
        <v>1453</v>
      </c>
      <c r="H5864" s="27" t="s">
        <v>1454</v>
      </c>
      <c r="N5864" s="27" t="s">
        <v>1386</v>
      </c>
      <c r="P5864" s="27" t="s">
        <v>7364</v>
      </c>
      <c r="Q5864" s="26" t="str">
        <f>HYPERLINK("https://ictv.global/taxonomy/taxondetails?taxnode_id=202506987&amp;ictv_id=ICTV201856987","ICTV201856987")</f>
        <v>ICTV201856987</v>
      </c>
      <c r="R5864" t="s">
        <v>579</v>
      </c>
      <c r="S5864" t="s">
        <v>824</v>
      </c>
      <c r="T5864">
        <v>37</v>
      </c>
      <c r="U5864" s="26" t="str">
        <f>HYPERLINK("https://ictv.global/ictv/proposals/2021.010B.R.Binomial_names.zip","2021.010B.R.Binomial_names.zip")</f>
        <v>2021.010B.R.Binomial_names.zip</v>
      </c>
    </row>
    <row r="5865" spans="1:21">
      <c r="A5865">
        <v>5864</v>
      </c>
      <c r="B5865" s="27" t="s">
        <v>1449</v>
      </c>
      <c r="D5865" s="27" t="s">
        <v>1450</v>
      </c>
      <c r="F5865" s="27" t="s">
        <v>1453</v>
      </c>
      <c r="H5865" s="27" t="s">
        <v>1454</v>
      </c>
      <c r="N5865" s="27" t="s">
        <v>7365</v>
      </c>
      <c r="P5865" s="27" t="s">
        <v>7366</v>
      </c>
      <c r="Q5865" s="26" t="str">
        <f>HYPERLINK("https://ictv.global/taxonomy/taxondetails?taxnode_id=202514666&amp;ictv_id=ICTV202214666","ICTV202214666")</f>
        <v>ICTV202214666</v>
      </c>
      <c r="R5865" t="s">
        <v>579</v>
      </c>
      <c r="S5865" t="s">
        <v>823</v>
      </c>
      <c r="T5865">
        <v>38</v>
      </c>
      <c r="U5865" s="26" t="str">
        <f>HYPERLINK("https://ictv.global/ictv/proposals/2022.046B.Caudoviricetes_2ng.zip","2022.046B.Caudoviricetes_2ng.zip")</f>
        <v>2022.046B.Caudoviricetes_2ng.zip</v>
      </c>
    </row>
    <row r="5866" spans="1:21">
      <c r="A5866">
        <v>5865</v>
      </c>
      <c r="B5866" s="27" t="s">
        <v>1449</v>
      </c>
      <c r="D5866" s="27" t="s">
        <v>1450</v>
      </c>
      <c r="F5866" s="27" t="s">
        <v>1453</v>
      </c>
      <c r="H5866" s="27" t="s">
        <v>1454</v>
      </c>
      <c r="N5866" s="27" t="s">
        <v>1768</v>
      </c>
      <c r="P5866" s="27" t="s">
        <v>7367</v>
      </c>
      <c r="Q5866" s="26" t="str">
        <f>HYPERLINK("https://ictv.global/taxonomy/taxondetails?taxnode_id=202507892&amp;ictv_id=ICTV201907892","ICTV201907892")</f>
        <v>ICTV201907892</v>
      </c>
      <c r="R5866" t="s">
        <v>579</v>
      </c>
      <c r="S5866" t="s">
        <v>824</v>
      </c>
      <c r="T5866">
        <v>37</v>
      </c>
      <c r="U5866" s="26" t="str">
        <f>HYPERLINK("https://ictv.global/ictv/proposals/2021.010B.R.Binomial_names.zip","2021.010B.R.Binomial_names.zip")</f>
        <v>2021.010B.R.Binomial_names.zip</v>
      </c>
    </row>
    <row r="5867" spans="1:21">
      <c r="A5867">
        <v>5866</v>
      </c>
      <c r="B5867" s="27" t="s">
        <v>1449</v>
      </c>
      <c r="D5867" s="27" t="s">
        <v>1450</v>
      </c>
      <c r="F5867" s="27" t="s">
        <v>1453</v>
      </c>
      <c r="H5867" s="27" t="s">
        <v>1454</v>
      </c>
      <c r="N5867" s="27" t="s">
        <v>12174</v>
      </c>
      <c r="P5867" s="27" t="s">
        <v>12175</v>
      </c>
      <c r="Q5867" s="26" t="str">
        <f>HYPERLINK("https://ictv.global/taxonomy/taxondetails?taxnode_id=202517762&amp;ictv_id=ICTV202317762","ICTV202317762")</f>
        <v>ICTV202317762</v>
      </c>
      <c r="R5867" t="s">
        <v>579</v>
      </c>
      <c r="S5867" t="s">
        <v>823</v>
      </c>
      <c r="T5867">
        <v>39</v>
      </c>
      <c r="U5867" s="26" t="str">
        <f>HYPERLINK("https://ictv.global/ictv/proposals/2023.003B.Actinobacteriophage_singletons_25ng.zip","2023.003B.Actinobacteriophage_singletons_25ng.zip")</f>
        <v>2023.003B.Actinobacteriophage_singletons_25ng.zip</v>
      </c>
    </row>
    <row r="5868" spans="1:21">
      <c r="A5868">
        <v>5867</v>
      </c>
      <c r="B5868" s="27" t="s">
        <v>1449</v>
      </c>
      <c r="D5868" s="27" t="s">
        <v>1450</v>
      </c>
      <c r="F5868" s="27" t="s">
        <v>1453</v>
      </c>
      <c r="H5868" s="27" t="s">
        <v>1454</v>
      </c>
      <c r="N5868" s="27" t="s">
        <v>19849</v>
      </c>
      <c r="P5868" s="27" t="s">
        <v>19850</v>
      </c>
      <c r="Q5868" s="26" t="str">
        <f>HYPERLINK("https://ictv.global/taxonomy/taxondetails?taxnode_id=202520788&amp;ictv_id=ICTV202420788","ICTV202420788")</f>
        <v>ICTV202420788</v>
      </c>
      <c r="R5868" t="s">
        <v>579</v>
      </c>
      <c r="S5868" t="s">
        <v>823</v>
      </c>
      <c r="T5868">
        <v>40</v>
      </c>
      <c r="U5868" s="26" t="str">
        <f>HYPERLINK("https://ictv.global/ictv/proposals/2024.021B.Malkevirus_1ng_5ns.zip","2024.021B.Malkevirus_1ng_5ns.zip")</f>
        <v>2024.021B.Malkevirus_1ng_5ns.zip</v>
      </c>
    </row>
    <row r="5869" spans="1:21">
      <c r="A5869">
        <v>5868</v>
      </c>
      <c r="B5869" s="27" t="s">
        <v>1449</v>
      </c>
      <c r="D5869" s="27" t="s">
        <v>1450</v>
      </c>
      <c r="F5869" s="27" t="s">
        <v>1453</v>
      </c>
      <c r="H5869" s="27" t="s">
        <v>1454</v>
      </c>
      <c r="N5869" s="27" t="s">
        <v>19849</v>
      </c>
      <c r="P5869" s="27" t="s">
        <v>19851</v>
      </c>
      <c r="Q5869" s="26" t="str">
        <f>HYPERLINK("https://ictv.global/taxonomy/taxondetails?taxnode_id=202520790&amp;ictv_id=ICTV202420790","ICTV202420790")</f>
        <v>ICTV202420790</v>
      </c>
      <c r="R5869" t="s">
        <v>579</v>
      </c>
      <c r="S5869" t="s">
        <v>823</v>
      </c>
      <c r="T5869">
        <v>40</v>
      </c>
      <c r="U5869" s="26" t="str">
        <f>HYPERLINK("https://ictv.global/ictv/proposals/2024.021B.Malkevirus_1ng_5ns.zip","2024.021B.Malkevirus_1ng_5ns.zip")</f>
        <v>2024.021B.Malkevirus_1ng_5ns.zip</v>
      </c>
    </row>
    <row r="5870" spans="1:21">
      <c r="A5870">
        <v>5869</v>
      </c>
      <c r="B5870" s="27" t="s">
        <v>1449</v>
      </c>
      <c r="D5870" s="27" t="s">
        <v>1450</v>
      </c>
      <c r="F5870" s="27" t="s">
        <v>1453</v>
      </c>
      <c r="H5870" s="27" t="s">
        <v>1454</v>
      </c>
      <c r="N5870" s="27" t="s">
        <v>19849</v>
      </c>
      <c r="P5870" s="27" t="s">
        <v>19852</v>
      </c>
      <c r="Q5870" s="26" t="str">
        <f>HYPERLINK("https://ictv.global/taxonomy/taxondetails?taxnode_id=202520789&amp;ictv_id=ICTV202420789","ICTV202420789")</f>
        <v>ICTV202420789</v>
      </c>
      <c r="R5870" t="s">
        <v>579</v>
      </c>
      <c r="S5870" t="s">
        <v>823</v>
      </c>
      <c r="T5870">
        <v>40</v>
      </c>
      <c r="U5870" s="26" t="str">
        <f>HYPERLINK("https://ictv.global/ictv/proposals/2024.021B.Malkevirus_1ng_5ns.zip","2024.021B.Malkevirus_1ng_5ns.zip")</f>
        <v>2024.021B.Malkevirus_1ng_5ns.zip</v>
      </c>
    </row>
    <row r="5871" spans="1:21">
      <c r="A5871">
        <v>5870</v>
      </c>
      <c r="B5871" s="27" t="s">
        <v>1449</v>
      </c>
      <c r="D5871" s="27" t="s">
        <v>1450</v>
      </c>
      <c r="F5871" s="27" t="s">
        <v>1453</v>
      </c>
      <c r="H5871" s="27" t="s">
        <v>1454</v>
      </c>
      <c r="N5871" s="27" t="s">
        <v>19849</v>
      </c>
      <c r="P5871" s="27" t="s">
        <v>19853</v>
      </c>
      <c r="Q5871" s="26" t="str">
        <f>HYPERLINK("https://ictv.global/taxonomy/taxondetails?taxnode_id=202520792&amp;ictv_id=ICTV202420792","ICTV202420792")</f>
        <v>ICTV202420792</v>
      </c>
      <c r="R5871" t="s">
        <v>579</v>
      </c>
      <c r="S5871" t="s">
        <v>823</v>
      </c>
      <c r="T5871">
        <v>40</v>
      </c>
      <c r="U5871" s="26" t="str">
        <f>HYPERLINK("https://ictv.global/ictv/proposals/2024.021B.Malkevirus_1ng_5ns.zip","2024.021B.Malkevirus_1ng_5ns.zip")</f>
        <v>2024.021B.Malkevirus_1ng_5ns.zip</v>
      </c>
    </row>
    <row r="5872" spans="1:21">
      <c r="A5872">
        <v>5871</v>
      </c>
      <c r="B5872" s="27" t="s">
        <v>1449</v>
      </c>
      <c r="D5872" s="27" t="s">
        <v>1450</v>
      </c>
      <c r="F5872" s="27" t="s">
        <v>1453</v>
      </c>
      <c r="H5872" s="27" t="s">
        <v>1454</v>
      </c>
      <c r="N5872" s="27" t="s">
        <v>19849</v>
      </c>
      <c r="P5872" s="27" t="s">
        <v>19854</v>
      </c>
      <c r="Q5872" s="26" t="str">
        <f>HYPERLINK("https://ictv.global/taxonomy/taxondetails?taxnode_id=202520791&amp;ictv_id=ICTV202420791","ICTV202420791")</f>
        <v>ICTV202420791</v>
      </c>
      <c r="R5872" t="s">
        <v>579</v>
      </c>
      <c r="S5872" t="s">
        <v>823</v>
      </c>
      <c r="T5872">
        <v>40</v>
      </c>
      <c r="U5872" s="26" t="str">
        <f>HYPERLINK("https://ictv.global/ictv/proposals/2024.021B.Malkevirus_1ng_5ns.zip","2024.021B.Malkevirus_1ng_5ns.zip")</f>
        <v>2024.021B.Malkevirus_1ng_5ns.zip</v>
      </c>
    </row>
    <row r="5873" spans="1:21">
      <c r="A5873">
        <v>5872</v>
      </c>
      <c r="B5873" s="27" t="s">
        <v>1449</v>
      </c>
      <c r="D5873" s="27" t="s">
        <v>1450</v>
      </c>
      <c r="F5873" s="27" t="s">
        <v>1453</v>
      </c>
      <c r="H5873" s="27" t="s">
        <v>1454</v>
      </c>
      <c r="N5873" s="27" t="s">
        <v>7368</v>
      </c>
      <c r="P5873" s="27" t="s">
        <v>7369</v>
      </c>
      <c r="Q5873" s="26" t="str">
        <f>HYPERLINK("https://ictv.global/taxonomy/taxondetails?taxnode_id=202512406&amp;ictv_id=ICTV202112406","ICTV202112406")</f>
        <v>ICTV202112406</v>
      </c>
      <c r="R5873" t="s">
        <v>579</v>
      </c>
      <c r="S5873" t="s">
        <v>823</v>
      </c>
      <c r="T5873">
        <v>37</v>
      </c>
      <c r="U5873" s="26" t="str">
        <f>HYPERLINK("https://ictv.global/ictv/proposals/2021.050B.R.Manovirus.zip","2021.050B.R.Manovirus.zip")</f>
        <v>2021.050B.R.Manovirus.zip</v>
      </c>
    </row>
    <row r="5874" spans="1:21">
      <c r="A5874">
        <v>5873</v>
      </c>
      <c r="B5874" s="27" t="s">
        <v>1449</v>
      </c>
      <c r="D5874" s="27" t="s">
        <v>1450</v>
      </c>
      <c r="F5874" s="27" t="s">
        <v>1453</v>
      </c>
      <c r="H5874" s="27" t="s">
        <v>1454</v>
      </c>
      <c r="N5874" s="27" t="s">
        <v>22484</v>
      </c>
      <c r="P5874" s="27" t="s">
        <v>22485</v>
      </c>
      <c r="Q5874" s="26" t="str">
        <f>HYPERLINK("https://ictv.global/taxonomy/taxondetails?taxnode_id=202523112&amp;ictv_id=ICTV202523112","ICTV202523112")</f>
        <v>ICTV202523112</v>
      </c>
      <c r="R5874" t="s">
        <v>579</v>
      </c>
      <c r="S5874" t="s">
        <v>823</v>
      </c>
      <c r="T5874">
        <v>41</v>
      </c>
      <c r="U5874" s="26" t="str">
        <f>HYPERLINK("https://ictv.global/ictv/proposals/2025.058B.Pectobacterium_phages_3ng_6ns.zip","2025.058B.Pectobacterium_phages_3ng_6ns.zip")</f>
        <v>2025.058B.Pectobacterium_phages_3ng_6ns.zip</v>
      </c>
    </row>
    <row r="5875" spans="1:21">
      <c r="A5875">
        <v>5874</v>
      </c>
      <c r="B5875" s="27" t="s">
        <v>1449</v>
      </c>
      <c r="D5875" s="27" t="s">
        <v>1450</v>
      </c>
      <c r="F5875" s="27" t="s">
        <v>1453</v>
      </c>
      <c r="H5875" s="27" t="s">
        <v>1454</v>
      </c>
      <c r="N5875" s="27" t="s">
        <v>1388</v>
      </c>
      <c r="P5875" s="27" t="s">
        <v>7372</v>
      </c>
      <c r="Q5875" s="26" t="str">
        <f>HYPERLINK("https://ictv.global/taxonomy/taxondetails?taxnode_id=202501318&amp;ictv_id=ICTV20150764","ICTV20150764")</f>
        <v>ICTV20150764</v>
      </c>
      <c r="R5875" t="s">
        <v>579</v>
      </c>
      <c r="S5875" t="s">
        <v>824</v>
      </c>
      <c r="T5875">
        <v>37</v>
      </c>
      <c r="U5875" s="26" t="str">
        <f>HYPERLINK("https://ictv.global/ictv/proposals/2021.010B.R.Binomial_names.zip","2021.010B.R.Binomial_names.zip")</f>
        <v>2021.010B.R.Binomial_names.zip</v>
      </c>
    </row>
    <row r="5876" spans="1:21">
      <c r="A5876">
        <v>5875</v>
      </c>
      <c r="B5876" s="27" t="s">
        <v>1449</v>
      </c>
      <c r="D5876" s="27" t="s">
        <v>1450</v>
      </c>
      <c r="F5876" s="27" t="s">
        <v>1453</v>
      </c>
      <c r="H5876" s="27" t="s">
        <v>1454</v>
      </c>
      <c r="N5876" s="27" t="s">
        <v>1388</v>
      </c>
      <c r="P5876" s="27" t="s">
        <v>7373</v>
      </c>
      <c r="Q5876" s="26" t="str">
        <f>HYPERLINK("https://ictv.global/taxonomy/taxondetails?taxnode_id=202501319&amp;ictv_id=ICTV20150763","ICTV20150763")</f>
        <v>ICTV20150763</v>
      </c>
      <c r="R5876" t="s">
        <v>579</v>
      </c>
      <c r="S5876" t="s">
        <v>824</v>
      </c>
      <c r="T5876">
        <v>37</v>
      </c>
      <c r="U5876" s="26" t="str">
        <f>HYPERLINK("https://ictv.global/ictv/proposals/2021.010B.R.Binomial_names.zip","2021.010B.R.Binomial_names.zip")</f>
        <v>2021.010B.R.Binomial_names.zip</v>
      </c>
    </row>
    <row r="5877" spans="1:21">
      <c r="A5877">
        <v>5876</v>
      </c>
      <c r="B5877" s="27" t="s">
        <v>1449</v>
      </c>
      <c r="D5877" s="27" t="s">
        <v>1450</v>
      </c>
      <c r="F5877" s="27" t="s">
        <v>1453</v>
      </c>
      <c r="H5877" s="27" t="s">
        <v>1454</v>
      </c>
      <c r="N5877" s="27" t="s">
        <v>7374</v>
      </c>
      <c r="P5877" s="27" t="s">
        <v>7375</v>
      </c>
      <c r="Q5877" s="26" t="str">
        <f>HYPERLINK("https://ictv.global/taxonomy/taxondetails?taxnode_id=202514669&amp;ictv_id=ICTV202214669","ICTV202214669")</f>
        <v>ICTV202214669</v>
      </c>
      <c r="R5877" t="s">
        <v>579</v>
      </c>
      <c r="S5877" t="s">
        <v>823</v>
      </c>
      <c r="T5877">
        <v>38</v>
      </c>
      <c r="U5877" s="26" t="str">
        <f>HYPERLINK("https://ictv.global/ictv/proposals/2022.047B.Mareflavirus_ng.zip","2022.047B.Mareflavirus_ng.zip")</f>
        <v>2022.047B.Mareflavirus_ng.zip</v>
      </c>
    </row>
    <row r="5878" spans="1:21">
      <c r="A5878">
        <v>5877</v>
      </c>
      <c r="B5878" s="27" t="s">
        <v>1449</v>
      </c>
      <c r="D5878" s="27" t="s">
        <v>1450</v>
      </c>
      <c r="F5878" s="27" t="s">
        <v>1453</v>
      </c>
      <c r="H5878" s="27" t="s">
        <v>1454</v>
      </c>
      <c r="N5878" s="27" t="s">
        <v>2107</v>
      </c>
      <c r="P5878" s="27" t="s">
        <v>7376</v>
      </c>
      <c r="Q5878" s="26" t="str">
        <f>HYPERLINK("https://ictv.global/taxonomy/taxondetails?taxnode_id=202511531&amp;ictv_id=ICTV202011531","ICTV202011531")</f>
        <v>ICTV202011531</v>
      </c>
      <c r="R5878" t="s">
        <v>579</v>
      </c>
      <c r="S5878" t="s">
        <v>824</v>
      </c>
      <c r="T5878">
        <v>37</v>
      </c>
      <c r="U5878" s="26" t="str">
        <f>HYPERLINK("https://ictv.global/ictv/proposals/2021.010B.R.Binomial_names.zip","2021.010B.R.Binomial_names.zip")</f>
        <v>2021.010B.R.Binomial_names.zip</v>
      </c>
    </row>
    <row r="5879" spans="1:21">
      <c r="A5879">
        <v>5878</v>
      </c>
      <c r="B5879" s="27" t="s">
        <v>1449</v>
      </c>
      <c r="D5879" s="27" t="s">
        <v>1450</v>
      </c>
      <c r="F5879" s="27" t="s">
        <v>1453</v>
      </c>
      <c r="H5879" s="27" t="s">
        <v>1454</v>
      </c>
      <c r="N5879" s="27" t="s">
        <v>2107</v>
      </c>
      <c r="P5879" s="27" t="s">
        <v>7377</v>
      </c>
      <c r="Q5879" s="26" t="str">
        <f>HYPERLINK("https://ictv.global/taxonomy/taxondetails?taxnode_id=202511530&amp;ictv_id=ICTV202011530","ICTV202011530")</f>
        <v>ICTV202011530</v>
      </c>
      <c r="R5879" t="s">
        <v>579</v>
      </c>
      <c r="S5879" t="s">
        <v>824</v>
      </c>
      <c r="T5879">
        <v>37</v>
      </c>
      <c r="U5879" s="26" t="str">
        <f>HYPERLINK("https://ictv.global/ictv/proposals/2021.010B.R.Binomial_names.zip","2021.010B.R.Binomial_names.zip")</f>
        <v>2021.010B.R.Binomial_names.zip</v>
      </c>
    </row>
    <row r="5880" spans="1:21">
      <c r="A5880">
        <v>5879</v>
      </c>
      <c r="B5880" s="27" t="s">
        <v>1449</v>
      </c>
      <c r="D5880" s="27" t="s">
        <v>1450</v>
      </c>
      <c r="F5880" s="27" t="s">
        <v>1453</v>
      </c>
      <c r="H5880" s="27" t="s">
        <v>1454</v>
      </c>
      <c r="N5880" s="27" t="s">
        <v>22123</v>
      </c>
      <c r="P5880" s="27" t="s">
        <v>22124</v>
      </c>
      <c r="Q5880" s="26" t="str">
        <f>HYPERLINK("https://ictv.global/taxonomy/taxondetails?taxnode_id=202522918&amp;ictv_id=ICTV202522918","ICTV202522918")</f>
        <v>ICTV202522918</v>
      </c>
      <c r="R5880" t="s">
        <v>579</v>
      </c>
      <c r="S5880" t="s">
        <v>823</v>
      </c>
      <c r="T5880">
        <v>41</v>
      </c>
      <c r="U5880" s="26" t="str">
        <f>HYPERLINK("https://ictv.global/ictv/proposals/2025.041B.Mariborvirus_1ng_1ns.zip","2025.041B.Mariborvirus_1ng_1ns.zip")</f>
        <v>2025.041B.Mariborvirus_1ng_1ns.zip</v>
      </c>
    </row>
    <row r="5881" spans="1:21">
      <c r="A5881">
        <v>5880</v>
      </c>
      <c r="B5881" s="27" t="s">
        <v>1449</v>
      </c>
      <c r="D5881" s="27" t="s">
        <v>1450</v>
      </c>
      <c r="F5881" s="27" t="s">
        <v>1453</v>
      </c>
      <c r="H5881" s="27" t="s">
        <v>1454</v>
      </c>
      <c r="N5881" s="27" t="s">
        <v>2288</v>
      </c>
      <c r="P5881" s="27" t="s">
        <v>7378</v>
      </c>
      <c r="Q5881" s="26" t="str">
        <f>HYPERLINK("https://ictv.global/taxonomy/taxondetails?taxnode_id=202509335&amp;ictv_id=ICTV202009335","ICTV202009335")</f>
        <v>ICTV202009335</v>
      </c>
      <c r="R5881" t="s">
        <v>579</v>
      </c>
      <c r="S5881" t="s">
        <v>824</v>
      </c>
      <c r="T5881">
        <v>37</v>
      </c>
      <c r="U5881" s="26" t="str">
        <f>HYPERLINK("https://ictv.global/ictv/proposals/2021.010B.R.Binomial_names.zip","2021.010B.R.Binomial_names.zip")</f>
        <v>2021.010B.R.Binomial_names.zip</v>
      </c>
    </row>
    <row r="5882" spans="1:21">
      <c r="A5882">
        <v>5881</v>
      </c>
      <c r="B5882" s="27" t="s">
        <v>1449</v>
      </c>
      <c r="D5882" s="27" t="s">
        <v>1450</v>
      </c>
      <c r="F5882" s="27" t="s">
        <v>1453</v>
      </c>
      <c r="H5882" s="27" t="s">
        <v>1454</v>
      </c>
      <c r="N5882" s="27" t="s">
        <v>2288</v>
      </c>
      <c r="P5882" s="27" t="s">
        <v>7379</v>
      </c>
      <c r="Q5882" s="26" t="str">
        <f>HYPERLINK("https://ictv.global/taxonomy/taxondetails?taxnode_id=202509336&amp;ictv_id=ICTV202009336","ICTV202009336")</f>
        <v>ICTV202009336</v>
      </c>
      <c r="R5882" t="s">
        <v>579</v>
      </c>
      <c r="S5882" t="s">
        <v>824</v>
      </c>
      <c r="T5882">
        <v>37</v>
      </c>
      <c r="U5882" s="26" t="str">
        <f>HYPERLINK("https://ictv.global/ictv/proposals/2021.010B.R.Binomial_names.zip","2021.010B.R.Binomial_names.zip")</f>
        <v>2021.010B.R.Binomial_names.zip</v>
      </c>
    </row>
    <row r="5883" spans="1:21">
      <c r="A5883">
        <v>5882</v>
      </c>
      <c r="B5883" s="27" t="s">
        <v>1449</v>
      </c>
      <c r="D5883" s="27" t="s">
        <v>1450</v>
      </c>
      <c r="F5883" s="27" t="s">
        <v>1453</v>
      </c>
      <c r="H5883" s="27" t="s">
        <v>1454</v>
      </c>
      <c r="N5883" s="27" t="s">
        <v>784</v>
      </c>
      <c r="P5883" s="27" t="s">
        <v>7384</v>
      </c>
      <c r="Q5883" s="26" t="str">
        <f>HYPERLINK("https://ictv.global/taxonomy/taxondetails?taxnode_id=202501079&amp;ictv_id=ICTV20165011","ICTV20165011")</f>
        <v>ICTV20165011</v>
      </c>
      <c r="R5883" t="s">
        <v>579</v>
      </c>
      <c r="S5883" t="s">
        <v>824</v>
      </c>
      <c r="T5883">
        <v>37</v>
      </c>
      <c r="U5883" s="26" t="str">
        <f>HYPERLINK("https://ictv.global/ictv/proposals/2021.010B.R.Binomial_names.zip","2021.010B.R.Binomial_names.zip")</f>
        <v>2021.010B.R.Binomial_names.zip</v>
      </c>
    </row>
    <row r="5884" spans="1:21">
      <c r="A5884">
        <v>5883</v>
      </c>
      <c r="B5884" s="27" t="s">
        <v>1449</v>
      </c>
      <c r="D5884" s="27" t="s">
        <v>1450</v>
      </c>
      <c r="F5884" s="27" t="s">
        <v>1453</v>
      </c>
      <c r="H5884" s="27" t="s">
        <v>1454</v>
      </c>
      <c r="N5884" s="27" t="s">
        <v>784</v>
      </c>
      <c r="P5884" s="27" t="s">
        <v>7385</v>
      </c>
      <c r="Q5884" s="26" t="str">
        <f>HYPERLINK("https://ictv.global/taxonomy/taxondetails?taxnode_id=202501080&amp;ictv_id=ICTV20165012","ICTV20165012")</f>
        <v>ICTV20165012</v>
      </c>
      <c r="R5884" t="s">
        <v>579</v>
      </c>
      <c r="S5884" t="s">
        <v>824</v>
      </c>
      <c r="T5884">
        <v>37</v>
      </c>
      <c r="U5884" s="26" t="str">
        <f>HYPERLINK("https://ictv.global/ictv/proposals/2021.010B.R.Binomial_names.zip","2021.010B.R.Binomial_names.zip")</f>
        <v>2021.010B.R.Binomial_names.zip</v>
      </c>
    </row>
    <row r="5885" spans="1:21">
      <c r="A5885">
        <v>5884</v>
      </c>
      <c r="B5885" s="27" t="s">
        <v>1449</v>
      </c>
      <c r="D5885" s="27" t="s">
        <v>1450</v>
      </c>
      <c r="F5885" s="27" t="s">
        <v>1453</v>
      </c>
      <c r="H5885" s="27" t="s">
        <v>1454</v>
      </c>
      <c r="N5885" s="27" t="s">
        <v>1770</v>
      </c>
      <c r="P5885" s="27" t="s">
        <v>7386</v>
      </c>
      <c r="Q5885" s="26" t="str">
        <f>HYPERLINK("https://ictv.global/taxonomy/taxondetails?taxnode_id=202507894&amp;ictv_id=ICTV201907894","ICTV201907894")</f>
        <v>ICTV201907894</v>
      </c>
      <c r="R5885" t="s">
        <v>579</v>
      </c>
      <c r="S5885" t="s">
        <v>824</v>
      </c>
      <c r="T5885">
        <v>37</v>
      </c>
      <c r="U5885" s="26" t="str">
        <f>HYPERLINK("https://ictv.global/ictv/proposals/2021.010B.R.Binomial_names.zip","2021.010B.R.Binomial_names.zip")</f>
        <v>2021.010B.R.Binomial_names.zip</v>
      </c>
    </row>
    <row r="5886" spans="1:21">
      <c r="A5886">
        <v>5885</v>
      </c>
      <c r="B5886" s="27" t="s">
        <v>1449</v>
      </c>
      <c r="D5886" s="27" t="s">
        <v>1450</v>
      </c>
      <c r="F5886" s="27" t="s">
        <v>1453</v>
      </c>
      <c r="H5886" s="27" t="s">
        <v>1454</v>
      </c>
      <c r="N5886" s="27" t="s">
        <v>19855</v>
      </c>
      <c r="P5886" s="27" t="s">
        <v>19856</v>
      </c>
      <c r="Q5886" s="26" t="str">
        <f>HYPERLINK("https://ictv.global/taxonomy/taxondetails?taxnode_id=202520838&amp;ictv_id=ICTV202420838","ICTV202420838")</f>
        <v>ICTV202420838</v>
      </c>
      <c r="R5886" t="s">
        <v>579</v>
      </c>
      <c r="S5886" t="s">
        <v>823</v>
      </c>
      <c r="T5886">
        <v>40</v>
      </c>
      <c r="U5886" s="26" t="str">
        <f>HYPERLINK("https://ictv.global/ictv/proposals/2024.029B.Rhodococcus_siphoviruses_7ng_7ns.zip","2024.029B.Rhodococcus_siphoviruses_7ng_7ns.zip")</f>
        <v>2024.029B.Rhodococcus_siphoviruses_7ng_7ns.zip</v>
      </c>
    </row>
    <row r="5887" spans="1:21">
      <c r="A5887">
        <v>5886</v>
      </c>
      <c r="B5887" s="27" t="s">
        <v>1449</v>
      </c>
      <c r="D5887" s="27" t="s">
        <v>1450</v>
      </c>
      <c r="F5887" s="27" t="s">
        <v>1453</v>
      </c>
      <c r="H5887" s="27" t="s">
        <v>1454</v>
      </c>
      <c r="N5887" s="27" t="s">
        <v>12176</v>
      </c>
      <c r="P5887" s="27" t="s">
        <v>12177</v>
      </c>
      <c r="Q5887" s="26" t="str">
        <f>HYPERLINK("https://ictv.global/taxonomy/taxondetails?taxnode_id=202517775&amp;ictv_id=ICTV202317775","ICTV202317775")</f>
        <v>ICTV202317775</v>
      </c>
      <c r="R5887" t="s">
        <v>579</v>
      </c>
      <c r="S5887" t="s">
        <v>823</v>
      </c>
      <c r="T5887">
        <v>39</v>
      </c>
      <c r="U5887" s="26" t="str">
        <f>HYPERLINK("https://ictv.global/ictv/proposals/2023.003B.Actinobacteriophage_singletons_25ng.zip","2023.003B.Actinobacteriophage_singletons_25ng.zip")</f>
        <v>2023.003B.Actinobacteriophage_singletons_25ng.zip</v>
      </c>
    </row>
    <row r="5888" spans="1:21">
      <c r="A5888">
        <v>5887</v>
      </c>
      <c r="B5888" s="27" t="s">
        <v>1449</v>
      </c>
      <c r="D5888" s="27" t="s">
        <v>1450</v>
      </c>
      <c r="F5888" s="27" t="s">
        <v>1453</v>
      </c>
      <c r="H5888" s="27" t="s">
        <v>1454</v>
      </c>
      <c r="N5888" s="27" t="s">
        <v>7387</v>
      </c>
      <c r="P5888" s="27" t="s">
        <v>7388</v>
      </c>
      <c r="Q5888" s="26" t="str">
        <f>HYPERLINK("https://ictv.global/taxonomy/taxondetails?taxnode_id=202514594&amp;ictv_id=ICTV202214594","ICTV202214594")</f>
        <v>ICTV202214594</v>
      </c>
      <c r="R5888" t="s">
        <v>579</v>
      </c>
      <c r="S5888" t="s">
        <v>823</v>
      </c>
      <c r="T5888">
        <v>38</v>
      </c>
      <c r="U5888" s="26" t="str">
        <f>HYPERLINK("https://ictv.global/ictv/proposals/2022.032B.Caudoviricetes_5ng.zip","2022.032B.Caudoviricetes_5ng.zip")</f>
        <v>2022.032B.Caudoviricetes_5ng.zip</v>
      </c>
    </row>
    <row r="5889" spans="1:21">
      <c r="A5889">
        <v>5888</v>
      </c>
      <c r="B5889" s="27" t="s">
        <v>1449</v>
      </c>
      <c r="D5889" s="27" t="s">
        <v>1450</v>
      </c>
      <c r="F5889" s="27" t="s">
        <v>1453</v>
      </c>
      <c r="H5889" s="27" t="s">
        <v>1454</v>
      </c>
      <c r="N5889" s="27" t="s">
        <v>12178</v>
      </c>
      <c r="P5889" s="27" t="s">
        <v>12179</v>
      </c>
      <c r="Q5889" s="26" t="str">
        <f>HYPERLINK("https://ictv.global/taxonomy/taxondetails?taxnode_id=202518566&amp;ictv_id=ICTV202318566","ICTV202318566")</f>
        <v>ICTV202318566</v>
      </c>
      <c r="R5889" t="s">
        <v>579</v>
      </c>
      <c r="S5889" t="s">
        <v>823</v>
      </c>
      <c r="T5889">
        <v>39</v>
      </c>
      <c r="U5889" s="26" t="str">
        <f>HYPERLINK("https://ictv.global/ictv/proposals/2023.022B.Caudoviricetes_Pseudomonas_7ng.zip","2023.022B.Caudoviricetes_Pseudomonas_7ng.zip")</f>
        <v>2023.022B.Caudoviricetes_Pseudomonas_7ng.zip</v>
      </c>
    </row>
    <row r="5890" spans="1:21">
      <c r="A5890">
        <v>5889</v>
      </c>
      <c r="B5890" s="27" t="s">
        <v>1449</v>
      </c>
      <c r="D5890" s="27" t="s">
        <v>1450</v>
      </c>
      <c r="F5890" s="27" t="s">
        <v>1453</v>
      </c>
      <c r="H5890" s="27" t="s">
        <v>1454</v>
      </c>
      <c r="N5890" s="27" t="s">
        <v>19857</v>
      </c>
      <c r="P5890" s="27" t="s">
        <v>19858</v>
      </c>
      <c r="Q5890" s="26" t="str">
        <f>HYPERLINK("https://ictv.global/taxonomy/taxondetails?taxnode_id=202520836&amp;ictv_id=ICTV202420836","ICTV202420836")</f>
        <v>ICTV202420836</v>
      </c>
      <c r="R5890" t="s">
        <v>579</v>
      </c>
      <c r="S5890" t="s">
        <v>823</v>
      </c>
      <c r="T5890">
        <v>40</v>
      </c>
      <c r="U5890" s="26" t="str">
        <f>HYPERLINK("https://ictv.global/ictv/proposals/2024.029B.Rhodococcus_siphoviruses_7ng_7ns.zip","2024.029B.Rhodococcus_siphoviruses_7ng_7ns.zip")</f>
        <v>2024.029B.Rhodococcus_siphoviruses_7ng_7ns.zip</v>
      </c>
    </row>
    <row r="5891" spans="1:21">
      <c r="A5891">
        <v>5890</v>
      </c>
      <c r="B5891" s="27" t="s">
        <v>1449</v>
      </c>
      <c r="D5891" s="27" t="s">
        <v>1450</v>
      </c>
      <c r="F5891" s="27" t="s">
        <v>1453</v>
      </c>
      <c r="H5891" s="27" t="s">
        <v>1454</v>
      </c>
      <c r="N5891" s="27" t="s">
        <v>2108</v>
      </c>
      <c r="P5891" s="27" t="s">
        <v>7392</v>
      </c>
      <c r="Q5891" s="26" t="str">
        <f>HYPERLINK("https://ictv.global/taxonomy/taxondetails?taxnode_id=202511537&amp;ictv_id=ICTV202011537","ICTV202011537")</f>
        <v>ICTV202011537</v>
      </c>
      <c r="R5891" t="s">
        <v>579</v>
      </c>
      <c r="S5891" t="s">
        <v>824</v>
      </c>
      <c r="T5891">
        <v>37</v>
      </c>
      <c r="U5891" s="26" t="str">
        <f>HYPERLINK("https://ictv.global/ictv/proposals/2021.010B.R.Binomial_names.zip","2021.010B.R.Binomial_names.zip")</f>
        <v>2021.010B.R.Binomial_names.zip</v>
      </c>
    </row>
    <row r="5892" spans="1:21">
      <c r="A5892">
        <v>5891</v>
      </c>
      <c r="B5892" s="27" t="s">
        <v>1449</v>
      </c>
      <c r="D5892" s="27" t="s">
        <v>1450</v>
      </c>
      <c r="F5892" s="27" t="s">
        <v>1453</v>
      </c>
      <c r="H5892" s="27" t="s">
        <v>1454</v>
      </c>
      <c r="N5892" s="27" t="s">
        <v>2108</v>
      </c>
      <c r="P5892" s="27" t="s">
        <v>7393</v>
      </c>
      <c r="Q5892" s="26" t="str">
        <f>HYPERLINK("https://ictv.global/taxonomy/taxondetails?taxnode_id=202511535&amp;ictv_id=ICTV202011535","ICTV202011535")</f>
        <v>ICTV202011535</v>
      </c>
      <c r="R5892" t="s">
        <v>579</v>
      </c>
      <c r="S5892" t="s">
        <v>824</v>
      </c>
      <c r="T5892">
        <v>37</v>
      </c>
      <c r="U5892" s="26" t="str">
        <f>HYPERLINK("https://ictv.global/ictv/proposals/2021.010B.R.Binomial_names.zip","2021.010B.R.Binomial_names.zip")</f>
        <v>2021.010B.R.Binomial_names.zip</v>
      </c>
    </row>
    <row r="5893" spans="1:21">
      <c r="A5893">
        <v>5892</v>
      </c>
      <c r="B5893" s="27" t="s">
        <v>1449</v>
      </c>
      <c r="D5893" s="27" t="s">
        <v>1450</v>
      </c>
      <c r="F5893" s="27" t="s">
        <v>1453</v>
      </c>
      <c r="H5893" s="27" t="s">
        <v>1454</v>
      </c>
      <c r="N5893" s="27" t="s">
        <v>2108</v>
      </c>
      <c r="P5893" s="27" t="s">
        <v>7394</v>
      </c>
      <c r="Q5893" s="26" t="str">
        <f>HYPERLINK("https://ictv.global/taxonomy/taxondetails?taxnode_id=202511536&amp;ictv_id=ICTV202011536","ICTV202011536")</f>
        <v>ICTV202011536</v>
      </c>
      <c r="R5893" t="s">
        <v>579</v>
      </c>
      <c r="S5893" t="s">
        <v>824</v>
      </c>
      <c r="T5893">
        <v>37</v>
      </c>
      <c r="U5893" s="26" t="str">
        <f>HYPERLINK("https://ictv.global/ictv/proposals/2021.010B.R.Binomial_names.zip","2021.010B.R.Binomial_names.zip")</f>
        <v>2021.010B.R.Binomial_names.zip</v>
      </c>
    </row>
    <row r="5894" spans="1:21">
      <c r="A5894">
        <v>5893</v>
      </c>
      <c r="B5894" s="27" t="s">
        <v>1449</v>
      </c>
      <c r="D5894" s="27" t="s">
        <v>1450</v>
      </c>
      <c r="F5894" s="27" t="s">
        <v>1453</v>
      </c>
      <c r="H5894" s="27" t="s">
        <v>1454</v>
      </c>
      <c r="N5894" s="27" t="s">
        <v>2108</v>
      </c>
      <c r="P5894" s="27" t="s">
        <v>7395</v>
      </c>
      <c r="Q5894" s="26" t="str">
        <f>HYPERLINK("https://ictv.global/taxonomy/taxondetails?taxnode_id=202514672&amp;ictv_id=ICTV202214672","ICTV202214672")</f>
        <v>ICTV202214672</v>
      </c>
      <c r="R5894" t="s">
        <v>579</v>
      </c>
      <c r="S5894" t="s">
        <v>823</v>
      </c>
      <c r="T5894">
        <v>38</v>
      </c>
      <c r="U5894" s="26" t="str">
        <f>HYPERLINK("https://ictv.global/ictv/proposals/2022.049B.Menderavirus_1nsp.zip","2022.049B.Menderavirus_1nsp.zip")</f>
        <v>2022.049B.Menderavirus_1nsp.zip</v>
      </c>
    </row>
    <row r="5895" spans="1:21">
      <c r="A5895">
        <v>5894</v>
      </c>
      <c r="B5895" s="27" t="s">
        <v>1449</v>
      </c>
      <c r="D5895" s="27" t="s">
        <v>1450</v>
      </c>
      <c r="F5895" s="27" t="s">
        <v>1453</v>
      </c>
      <c r="H5895" s="27" t="s">
        <v>1454</v>
      </c>
      <c r="N5895" s="27" t="s">
        <v>1243</v>
      </c>
      <c r="P5895" s="27" t="s">
        <v>7399</v>
      </c>
      <c r="Q5895" s="26" t="str">
        <f>HYPERLINK("https://ictv.global/taxonomy/taxondetails?taxnode_id=202506918&amp;ictv_id=ICTV201856918","ICTV201856918")</f>
        <v>ICTV201856918</v>
      </c>
      <c r="R5895" t="s">
        <v>579</v>
      </c>
      <c r="S5895" t="s">
        <v>824</v>
      </c>
      <c r="T5895">
        <v>37</v>
      </c>
      <c r="U5895" s="26" t="str">
        <f>HYPERLINK("https://ictv.global/ictv/proposals/2021.010B.R.Binomial_names.zip","2021.010B.R.Binomial_names.zip")</f>
        <v>2021.010B.R.Binomial_names.zip</v>
      </c>
    </row>
    <row r="5896" spans="1:21">
      <c r="A5896">
        <v>5895</v>
      </c>
      <c r="B5896" s="27" t="s">
        <v>1449</v>
      </c>
      <c r="D5896" s="27" t="s">
        <v>1450</v>
      </c>
      <c r="F5896" s="27" t="s">
        <v>1453</v>
      </c>
      <c r="H5896" s="27" t="s">
        <v>1454</v>
      </c>
      <c r="N5896" s="27" t="s">
        <v>7402</v>
      </c>
      <c r="P5896" s="27" t="s">
        <v>7403</v>
      </c>
      <c r="Q5896" s="26" t="str">
        <f>HYPERLINK("https://ictv.global/taxonomy/taxondetails?taxnode_id=202512419&amp;ictv_id=ICTV202112419","ICTV202112419")</f>
        <v>ICTV202112419</v>
      </c>
      <c r="R5896" t="s">
        <v>579</v>
      </c>
      <c r="S5896" t="s">
        <v>823</v>
      </c>
      <c r="T5896">
        <v>37</v>
      </c>
      <c r="U5896" s="26" t="str">
        <f>HYPERLINK("https://ictv.global/ictv/proposals/2021.052B.R.Micavirus.zip","2021.052B.R.Micavirus.zip")</f>
        <v>2021.052B.R.Micavirus.zip</v>
      </c>
    </row>
    <row r="5897" spans="1:21">
      <c r="A5897">
        <v>5896</v>
      </c>
      <c r="B5897" s="27" t="s">
        <v>1449</v>
      </c>
      <c r="D5897" s="27" t="s">
        <v>1450</v>
      </c>
      <c r="F5897" s="27" t="s">
        <v>1453</v>
      </c>
      <c r="H5897" s="27" t="s">
        <v>1454</v>
      </c>
      <c r="N5897" s="27" t="s">
        <v>7404</v>
      </c>
      <c r="P5897" s="27" t="s">
        <v>7405</v>
      </c>
      <c r="Q5897" s="26" t="str">
        <f>HYPERLINK("https://ictv.global/taxonomy/taxondetails?taxnode_id=202501019&amp;ictv_id=ICTV20140358","ICTV20140358")</f>
        <v>ICTV20140358</v>
      </c>
      <c r="R5897" t="s">
        <v>579</v>
      </c>
      <c r="S5897" t="s">
        <v>22764</v>
      </c>
      <c r="T5897">
        <v>37</v>
      </c>
      <c r="U5897" s="26" t="str">
        <f t="shared" ref="U5897:U5903" si="232">HYPERLINK("https://ictv.global/ictv/proposals/2021.053B.R.Microwolfvirus.zip","2021.053B.R.Microwolfvirus.zip")</f>
        <v>2021.053B.R.Microwolfvirus.zip</v>
      </c>
    </row>
    <row r="5898" spans="1:21">
      <c r="A5898">
        <v>5897</v>
      </c>
      <c r="B5898" s="27" t="s">
        <v>1449</v>
      </c>
      <c r="D5898" s="27" t="s">
        <v>1450</v>
      </c>
      <c r="F5898" s="27" t="s">
        <v>1453</v>
      </c>
      <c r="H5898" s="27" t="s">
        <v>1454</v>
      </c>
      <c r="N5898" s="27" t="s">
        <v>7404</v>
      </c>
      <c r="P5898" s="27" t="s">
        <v>7406</v>
      </c>
      <c r="Q5898" s="26" t="str">
        <f>HYPERLINK("https://ictv.global/taxonomy/taxondetails?taxnode_id=202501034&amp;ictv_id=ICTV20140359","ICTV20140359")</f>
        <v>ICTV20140359</v>
      </c>
      <c r="R5898" t="s">
        <v>579</v>
      </c>
      <c r="S5898" t="s">
        <v>22764</v>
      </c>
      <c r="T5898">
        <v>37</v>
      </c>
      <c r="U5898" s="26" t="str">
        <f t="shared" si="232"/>
        <v>2021.053B.R.Microwolfvirus.zip</v>
      </c>
    </row>
    <row r="5899" spans="1:21">
      <c r="A5899">
        <v>5898</v>
      </c>
      <c r="B5899" s="27" t="s">
        <v>1449</v>
      </c>
      <c r="D5899" s="27" t="s">
        <v>1450</v>
      </c>
      <c r="F5899" s="27" t="s">
        <v>1453</v>
      </c>
      <c r="H5899" s="27" t="s">
        <v>1454</v>
      </c>
      <c r="N5899" s="27" t="s">
        <v>7404</v>
      </c>
      <c r="P5899" s="27" t="s">
        <v>7407</v>
      </c>
      <c r="Q5899" s="26" t="str">
        <f>HYPERLINK("https://ictv.global/taxonomy/taxondetails?taxnode_id=202501043&amp;ictv_id=ICTV20140360","ICTV20140360")</f>
        <v>ICTV20140360</v>
      </c>
      <c r="R5899" t="s">
        <v>579</v>
      </c>
      <c r="S5899" t="s">
        <v>22764</v>
      </c>
      <c r="T5899">
        <v>37</v>
      </c>
      <c r="U5899" s="26" t="str">
        <f t="shared" si="232"/>
        <v>2021.053B.R.Microwolfvirus.zip</v>
      </c>
    </row>
    <row r="5900" spans="1:21">
      <c r="A5900">
        <v>5899</v>
      </c>
      <c r="B5900" s="27" t="s">
        <v>1449</v>
      </c>
      <c r="D5900" s="27" t="s">
        <v>1450</v>
      </c>
      <c r="F5900" s="27" t="s">
        <v>1453</v>
      </c>
      <c r="H5900" s="27" t="s">
        <v>1454</v>
      </c>
      <c r="N5900" s="27" t="s">
        <v>7404</v>
      </c>
      <c r="P5900" s="27" t="s">
        <v>7408</v>
      </c>
      <c r="Q5900" s="26" t="str">
        <f>HYPERLINK("https://ictv.global/taxonomy/taxondetails?taxnode_id=202512421&amp;ictv_id=ICTV202112421","ICTV202112421")</f>
        <v>ICTV202112421</v>
      </c>
      <c r="R5900" t="s">
        <v>579</v>
      </c>
      <c r="S5900" t="s">
        <v>823</v>
      </c>
      <c r="T5900">
        <v>37</v>
      </c>
      <c r="U5900" s="26" t="str">
        <f t="shared" si="232"/>
        <v>2021.053B.R.Microwolfvirus.zip</v>
      </c>
    </row>
    <row r="5901" spans="1:21">
      <c r="A5901">
        <v>5900</v>
      </c>
      <c r="B5901" s="27" t="s">
        <v>1449</v>
      </c>
      <c r="D5901" s="27" t="s">
        <v>1450</v>
      </c>
      <c r="F5901" s="27" t="s">
        <v>1453</v>
      </c>
      <c r="H5901" s="27" t="s">
        <v>1454</v>
      </c>
      <c r="N5901" s="27" t="s">
        <v>7404</v>
      </c>
      <c r="P5901" s="27" t="s">
        <v>7409</v>
      </c>
      <c r="Q5901" s="26" t="str">
        <f>HYPERLINK("https://ictv.global/taxonomy/taxondetails?taxnode_id=202512422&amp;ictv_id=ICTV202112422","ICTV202112422")</f>
        <v>ICTV202112422</v>
      </c>
      <c r="R5901" t="s">
        <v>579</v>
      </c>
      <c r="S5901" t="s">
        <v>823</v>
      </c>
      <c r="T5901">
        <v>37</v>
      </c>
      <c r="U5901" s="26" t="str">
        <f t="shared" si="232"/>
        <v>2021.053B.R.Microwolfvirus.zip</v>
      </c>
    </row>
    <row r="5902" spans="1:21">
      <c r="A5902">
        <v>5901</v>
      </c>
      <c r="B5902" s="27" t="s">
        <v>1449</v>
      </c>
      <c r="D5902" s="27" t="s">
        <v>1450</v>
      </c>
      <c r="F5902" s="27" t="s">
        <v>1453</v>
      </c>
      <c r="H5902" s="27" t="s">
        <v>1454</v>
      </c>
      <c r="N5902" s="27" t="s">
        <v>7404</v>
      </c>
      <c r="P5902" s="27" t="s">
        <v>7410</v>
      </c>
      <c r="Q5902" s="26" t="str">
        <f>HYPERLINK("https://ictv.global/taxonomy/taxondetails?taxnode_id=202501068&amp;ictv_id=ICTV20140361","ICTV20140361")</f>
        <v>ICTV20140361</v>
      </c>
      <c r="R5902" t="s">
        <v>579</v>
      </c>
      <c r="S5902" t="s">
        <v>22764</v>
      </c>
      <c r="T5902">
        <v>37</v>
      </c>
      <c r="U5902" s="26" t="str">
        <f t="shared" si="232"/>
        <v>2021.053B.R.Microwolfvirus.zip</v>
      </c>
    </row>
    <row r="5903" spans="1:21">
      <c r="A5903">
        <v>5902</v>
      </c>
      <c r="B5903" s="27" t="s">
        <v>1449</v>
      </c>
      <c r="D5903" s="27" t="s">
        <v>1450</v>
      </c>
      <c r="F5903" s="27" t="s">
        <v>1453</v>
      </c>
      <c r="H5903" s="27" t="s">
        <v>1454</v>
      </c>
      <c r="N5903" s="27" t="s">
        <v>7404</v>
      </c>
      <c r="P5903" s="27" t="s">
        <v>7411</v>
      </c>
      <c r="Q5903" s="26" t="str">
        <f>HYPERLINK("https://ictv.global/taxonomy/taxondetails?taxnode_id=202512423&amp;ictv_id=ICTV202112423","ICTV202112423")</f>
        <v>ICTV202112423</v>
      </c>
      <c r="R5903" t="s">
        <v>579</v>
      </c>
      <c r="S5903" t="s">
        <v>823</v>
      </c>
      <c r="T5903">
        <v>37</v>
      </c>
      <c r="U5903" s="26" t="str">
        <f t="shared" si="232"/>
        <v>2021.053B.R.Microwolfvirus.zip</v>
      </c>
    </row>
    <row r="5904" spans="1:21">
      <c r="A5904">
        <v>5903</v>
      </c>
      <c r="B5904" s="27" t="s">
        <v>1449</v>
      </c>
      <c r="D5904" s="27" t="s">
        <v>1450</v>
      </c>
      <c r="F5904" s="27" t="s">
        <v>1453</v>
      </c>
      <c r="H5904" s="27" t="s">
        <v>1454</v>
      </c>
      <c r="N5904" s="27" t="s">
        <v>7412</v>
      </c>
      <c r="P5904" s="27" t="s">
        <v>7413</v>
      </c>
      <c r="Q5904" s="26" t="str">
        <f>HYPERLINK("https://ictv.global/taxonomy/taxondetails?taxnode_id=202514676&amp;ictv_id=ICTV202214676","ICTV202214676")</f>
        <v>ICTV202214676</v>
      </c>
      <c r="R5904" t="s">
        <v>579</v>
      </c>
      <c r="S5904" t="s">
        <v>823</v>
      </c>
      <c r="T5904">
        <v>38</v>
      </c>
      <c r="U5904" s="26" t="str">
        <f>HYPERLINK("https://ictv.global/ictv/proposals/2022.051B.Midgardsormrvirus_ng.zip","2022.051B.Midgardsormrvirus_ng.zip")</f>
        <v>2022.051B.Midgardsormrvirus_ng.zip</v>
      </c>
    </row>
    <row r="5905" spans="1:21">
      <c r="A5905">
        <v>5904</v>
      </c>
      <c r="B5905" s="27" t="s">
        <v>1449</v>
      </c>
      <c r="D5905" s="27" t="s">
        <v>1450</v>
      </c>
      <c r="F5905" s="27" t="s">
        <v>1453</v>
      </c>
      <c r="H5905" s="27" t="s">
        <v>1454</v>
      </c>
      <c r="N5905" s="27" t="s">
        <v>12180</v>
      </c>
      <c r="P5905" s="27" t="s">
        <v>12181</v>
      </c>
      <c r="Q5905" s="26" t="str">
        <f>HYPERLINK("https://ictv.global/taxonomy/taxondetails?taxnode_id=202518567&amp;ictv_id=ICTV202318567","ICTV202318567")</f>
        <v>ICTV202318567</v>
      </c>
      <c r="R5905" t="s">
        <v>579</v>
      </c>
      <c r="S5905" t="s">
        <v>823</v>
      </c>
      <c r="T5905">
        <v>39</v>
      </c>
      <c r="U5905" s="26" t="str">
        <f>HYPERLINK("https://ictv.global/ictv/proposals/2023.022B.Caudoviricetes_Pseudomonas_7ng.zip","2023.022B.Caudoviricetes_Pseudomonas_7ng.zip")</f>
        <v>2023.022B.Caudoviricetes_Pseudomonas_7ng.zip</v>
      </c>
    </row>
    <row r="5906" spans="1:21">
      <c r="A5906">
        <v>5905</v>
      </c>
      <c r="B5906" s="27" t="s">
        <v>1449</v>
      </c>
      <c r="D5906" s="27" t="s">
        <v>1450</v>
      </c>
      <c r="F5906" s="27" t="s">
        <v>1453</v>
      </c>
      <c r="H5906" s="27" t="s">
        <v>1454</v>
      </c>
      <c r="N5906" s="27" t="s">
        <v>1244</v>
      </c>
      <c r="P5906" s="27" t="s">
        <v>7414</v>
      </c>
      <c r="Q5906" s="26" t="str">
        <f>HYPERLINK("https://ictv.global/taxonomy/taxondetails?taxnode_id=202500496&amp;ictv_id=ICTV20164879","ICTV20164879")</f>
        <v>ICTV20164879</v>
      </c>
      <c r="R5906" t="s">
        <v>579</v>
      </c>
      <c r="S5906" t="s">
        <v>824</v>
      </c>
      <c r="T5906">
        <v>37</v>
      </c>
      <c r="U5906" s="26" t="str">
        <f>HYPERLINK("https://ictv.global/ictv/proposals/2021.010B.R.Binomial_names.zip","2021.010B.R.Binomial_names.zip")</f>
        <v>2021.010B.R.Binomial_names.zip</v>
      </c>
    </row>
    <row r="5907" spans="1:21">
      <c r="A5907">
        <v>5906</v>
      </c>
      <c r="B5907" s="27" t="s">
        <v>1449</v>
      </c>
      <c r="D5907" s="27" t="s">
        <v>1450</v>
      </c>
      <c r="F5907" s="27" t="s">
        <v>1453</v>
      </c>
      <c r="H5907" s="27" t="s">
        <v>1454</v>
      </c>
      <c r="N5907" s="27" t="s">
        <v>1245</v>
      </c>
      <c r="P5907" s="27" t="s">
        <v>7417</v>
      </c>
      <c r="Q5907" s="26" t="str">
        <f>HYPERLINK("https://ictv.global/taxonomy/taxondetails?taxnode_id=202506680&amp;ictv_id=ICTV201856680","ICTV201856680")</f>
        <v>ICTV201856680</v>
      </c>
      <c r="R5907" t="s">
        <v>579</v>
      </c>
      <c r="S5907" t="s">
        <v>824</v>
      </c>
      <c r="T5907">
        <v>37</v>
      </c>
      <c r="U5907" s="26" t="str">
        <f>HYPERLINK("https://ictv.global/ictv/proposals/2021.010B.R.Binomial_names.zip","2021.010B.R.Binomial_names.zip")</f>
        <v>2021.010B.R.Binomial_names.zip</v>
      </c>
    </row>
    <row r="5908" spans="1:21">
      <c r="A5908">
        <v>5907</v>
      </c>
      <c r="B5908" s="27" t="s">
        <v>1449</v>
      </c>
      <c r="D5908" s="27" t="s">
        <v>1450</v>
      </c>
      <c r="F5908" s="27" t="s">
        <v>1453</v>
      </c>
      <c r="H5908" s="27" t="s">
        <v>1454</v>
      </c>
      <c r="N5908" s="27" t="s">
        <v>1245</v>
      </c>
      <c r="P5908" s="27" t="s">
        <v>7418</v>
      </c>
      <c r="Q5908" s="26" t="str">
        <f>HYPERLINK("https://ictv.global/taxonomy/taxondetails?taxnode_id=202506679&amp;ictv_id=ICTV201856679","ICTV201856679")</f>
        <v>ICTV201856679</v>
      </c>
      <c r="R5908" t="s">
        <v>579</v>
      </c>
      <c r="S5908" t="s">
        <v>824</v>
      </c>
      <c r="T5908">
        <v>37</v>
      </c>
      <c r="U5908" s="26" t="str">
        <f>HYPERLINK("https://ictv.global/ictv/proposals/2021.010B.R.Binomial_names.zip","2021.010B.R.Binomial_names.zip")</f>
        <v>2021.010B.R.Binomial_names.zip</v>
      </c>
    </row>
    <row r="5909" spans="1:21">
      <c r="A5909">
        <v>5908</v>
      </c>
      <c r="B5909" s="27" t="s">
        <v>1449</v>
      </c>
      <c r="D5909" s="27" t="s">
        <v>1450</v>
      </c>
      <c r="F5909" s="27" t="s">
        <v>1453</v>
      </c>
      <c r="H5909" s="27" t="s">
        <v>1454</v>
      </c>
      <c r="N5909" s="27" t="s">
        <v>1389</v>
      </c>
      <c r="P5909" s="27" t="s">
        <v>7419</v>
      </c>
      <c r="Q5909" s="26" t="str">
        <f>HYPERLINK("https://ictv.global/taxonomy/taxondetails?taxnode_id=202506747&amp;ictv_id=ICTV201856747","ICTV201856747")</f>
        <v>ICTV201856747</v>
      </c>
      <c r="R5909" t="s">
        <v>579</v>
      </c>
      <c r="S5909" t="s">
        <v>824</v>
      </c>
      <c r="T5909">
        <v>37</v>
      </c>
      <c r="U5909" s="26" t="str">
        <f>HYPERLINK("https://ictv.global/ictv/proposals/2021.010B.R.Binomial_names.zip","2021.010B.R.Binomial_names.zip")</f>
        <v>2021.010B.R.Binomial_names.zip</v>
      </c>
    </row>
    <row r="5910" spans="1:21">
      <c r="A5910">
        <v>5909</v>
      </c>
      <c r="B5910" s="27" t="s">
        <v>1449</v>
      </c>
      <c r="D5910" s="27" t="s">
        <v>1450</v>
      </c>
      <c r="F5910" s="27" t="s">
        <v>1453</v>
      </c>
      <c r="H5910" s="27" t="s">
        <v>1454</v>
      </c>
      <c r="N5910" s="27" t="s">
        <v>22486</v>
      </c>
      <c r="P5910" s="27" t="s">
        <v>22487</v>
      </c>
      <c r="Q5910" s="26" t="str">
        <f>HYPERLINK("https://ictv.global/taxonomy/taxondetails?taxnode_id=202523113&amp;ictv_id=ICTV202523113","ICTV202523113")</f>
        <v>ICTV202523113</v>
      </c>
      <c r="R5910" t="s">
        <v>579</v>
      </c>
      <c r="S5910" t="s">
        <v>823</v>
      </c>
      <c r="T5910">
        <v>41</v>
      </c>
      <c r="U5910" s="26" t="str">
        <f>HYPERLINK("https://ictv.global/ictv/proposals/2025.058B.Pectobacterium_phages_3ng_6ns.zip","2025.058B.Pectobacterium_phages_3ng_6ns.zip")</f>
        <v>2025.058B.Pectobacterium_phages_3ng_6ns.zip</v>
      </c>
    </row>
    <row r="5911" spans="1:21">
      <c r="A5911">
        <v>5910</v>
      </c>
      <c r="B5911" s="27" t="s">
        <v>1449</v>
      </c>
      <c r="D5911" s="27" t="s">
        <v>1450</v>
      </c>
      <c r="F5911" s="27" t="s">
        <v>1453</v>
      </c>
      <c r="H5911" s="27" t="s">
        <v>1454</v>
      </c>
      <c r="N5911" s="27" t="s">
        <v>22368</v>
      </c>
      <c r="P5911" s="27" t="s">
        <v>22369</v>
      </c>
      <c r="Q5911" s="26" t="str">
        <f>HYPERLINK("https://ictv.global/taxonomy/taxondetails?taxnode_id=202523030&amp;ictv_id=ICTV202523030","ICTV202523030")</f>
        <v>ICTV202523030</v>
      </c>
      <c r="R5911" t="s">
        <v>579</v>
      </c>
      <c r="S5911" t="s">
        <v>823</v>
      </c>
      <c r="T5911">
        <v>41</v>
      </c>
      <c r="U5911" s="26" t="str">
        <f>HYPERLINK("https://ictv.global/ictv/proposals/2025.044B.Miyazakivirus_1ng_1ns.zip","2025.044B.Miyazakivirus_1ng_1ns.zip")</f>
        <v>2025.044B.Miyazakivirus_1ng_1ns.zip</v>
      </c>
    </row>
    <row r="5912" spans="1:21">
      <c r="A5912">
        <v>5911</v>
      </c>
      <c r="B5912" s="27" t="s">
        <v>1449</v>
      </c>
      <c r="D5912" s="27" t="s">
        <v>1450</v>
      </c>
      <c r="F5912" s="27" t="s">
        <v>1453</v>
      </c>
      <c r="H5912" s="27" t="s">
        <v>1454</v>
      </c>
      <c r="N5912" s="27" t="s">
        <v>7422</v>
      </c>
      <c r="P5912" s="27" t="s">
        <v>7423</v>
      </c>
      <c r="Q5912" s="26" t="str">
        <f>HYPERLINK("https://ictv.global/taxonomy/taxondetails?taxnode_id=202514678&amp;ictv_id=ICTV202214678","ICTV202214678")</f>
        <v>ICTV202214678</v>
      </c>
      <c r="R5912" t="s">
        <v>579</v>
      </c>
      <c r="S5912" t="s">
        <v>823</v>
      </c>
      <c r="T5912">
        <v>38</v>
      </c>
      <c r="U5912" s="26" t="str">
        <f>HYPERLINK("https://ictv.global/ictv/proposals/2022.052B.Mohonavirus_ng.zip","2022.052B.Mohonavirus_ng.zip")</f>
        <v>2022.052B.Mohonavirus_ng.zip</v>
      </c>
    </row>
    <row r="5913" spans="1:21">
      <c r="A5913">
        <v>5912</v>
      </c>
      <c r="B5913" s="27" t="s">
        <v>1449</v>
      </c>
      <c r="D5913" s="27" t="s">
        <v>1450</v>
      </c>
      <c r="F5913" s="27" t="s">
        <v>1453</v>
      </c>
      <c r="H5913" s="27" t="s">
        <v>1454</v>
      </c>
      <c r="N5913" s="27" t="s">
        <v>7424</v>
      </c>
      <c r="P5913" s="27" t="s">
        <v>7425</v>
      </c>
      <c r="Q5913" s="26" t="str">
        <f>HYPERLINK("https://ictv.global/taxonomy/taxondetails?taxnode_id=202514680&amp;ictv_id=ICTV202214680","ICTV202214680")</f>
        <v>ICTV202214680</v>
      </c>
      <c r="R5913" t="s">
        <v>579</v>
      </c>
      <c r="S5913" t="s">
        <v>823</v>
      </c>
      <c r="T5913">
        <v>38</v>
      </c>
      <c r="U5913" s="26" t="str">
        <f>HYPERLINK("https://ictv.global/ictv/proposals/2022.053B.Mollymurvirus_ng.zip","2022.053B.Mollymurvirus_ng.zip")</f>
        <v>2022.053B.Mollymurvirus_ng.zip</v>
      </c>
    </row>
    <row r="5914" spans="1:21">
      <c r="A5914">
        <v>5913</v>
      </c>
      <c r="B5914" s="27" t="s">
        <v>1449</v>
      </c>
      <c r="D5914" s="27" t="s">
        <v>1450</v>
      </c>
      <c r="F5914" s="27" t="s">
        <v>1453</v>
      </c>
      <c r="H5914" s="27" t="s">
        <v>1454</v>
      </c>
      <c r="N5914" s="27" t="s">
        <v>1773</v>
      </c>
      <c r="P5914" s="27" t="s">
        <v>7426</v>
      </c>
      <c r="Q5914" s="26" t="str">
        <f>HYPERLINK("https://ictv.global/taxonomy/taxondetails?taxnode_id=202509112&amp;ictv_id=ICTV202009112","ICTV202009112")</f>
        <v>ICTV202009112</v>
      </c>
      <c r="R5914" t="s">
        <v>579</v>
      </c>
      <c r="S5914" t="s">
        <v>824</v>
      </c>
      <c r="T5914">
        <v>37</v>
      </c>
      <c r="U5914" s="26" t="str">
        <f t="shared" ref="U5914:U5923" si="233">HYPERLINK("https://ictv.global/ictv/proposals/2021.010B.R.Binomial_names.zip","2021.010B.R.Binomial_names.zip")</f>
        <v>2021.010B.R.Binomial_names.zip</v>
      </c>
    </row>
    <row r="5915" spans="1:21">
      <c r="A5915">
        <v>5914</v>
      </c>
      <c r="B5915" s="27" t="s">
        <v>1449</v>
      </c>
      <c r="D5915" s="27" t="s">
        <v>1450</v>
      </c>
      <c r="F5915" s="27" t="s">
        <v>1453</v>
      </c>
      <c r="H5915" s="27" t="s">
        <v>1454</v>
      </c>
      <c r="N5915" s="27" t="s">
        <v>1773</v>
      </c>
      <c r="P5915" s="27" t="s">
        <v>7427</v>
      </c>
      <c r="Q5915" s="26" t="str">
        <f>HYPERLINK("https://ictv.global/taxonomy/taxondetails?taxnode_id=202509110&amp;ictv_id=ICTV202009110","ICTV202009110")</f>
        <v>ICTV202009110</v>
      </c>
      <c r="R5915" t="s">
        <v>579</v>
      </c>
      <c r="S5915" t="s">
        <v>824</v>
      </c>
      <c r="T5915">
        <v>37</v>
      </c>
      <c r="U5915" s="26" t="str">
        <f t="shared" si="233"/>
        <v>2021.010B.R.Binomial_names.zip</v>
      </c>
    </row>
    <row r="5916" spans="1:21">
      <c r="A5916">
        <v>5915</v>
      </c>
      <c r="B5916" s="27" t="s">
        <v>1449</v>
      </c>
      <c r="D5916" s="27" t="s">
        <v>1450</v>
      </c>
      <c r="F5916" s="27" t="s">
        <v>1453</v>
      </c>
      <c r="H5916" s="27" t="s">
        <v>1454</v>
      </c>
      <c r="N5916" s="27" t="s">
        <v>1773</v>
      </c>
      <c r="P5916" s="27" t="s">
        <v>7428</v>
      </c>
      <c r="Q5916" s="26" t="str">
        <f>HYPERLINK("https://ictv.global/taxonomy/taxondetails?taxnode_id=202508659&amp;ictv_id=ICTV201908659","ICTV201908659")</f>
        <v>ICTV201908659</v>
      </c>
      <c r="R5916" t="s">
        <v>579</v>
      </c>
      <c r="S5916" t="s">
        <v>824</v>
      </c>
      <c r="T5916">
        <v>37</v>
      </c>
      <c r="U5916" s="26" t="str">
        <f t="shared" si="233"/>
        <v>2021.010B.R.Binomial_names.zip</v>
      </c>
    </row>
    <row r="5917" spans="1:21">
      <c r="A5917">
        <v>5916</v>
      </c>
      <c r="B5917" s="27" t="s">
        <v>1449</v>
      </c>
      <c r="D5917" s="27" t="s">
        <v>1450</v>
      </c>
      <c r="F5917" s="27" t="s">
        <v>1453</v>
      </c>
      <c r="H5917" s="27" t="s">
        <v>1454</v>
      </c>
      <c r="N5917" s="27" t="s">
        <v>1773</v>
      </c>
      <c r="P5917" s="27" t="s">
        <v>7429</v>
      </c>
      <c r="Q5917" s="26" t="str">
        <f>HYPERLINK("https://ictv.global/taxonomy/taxondetails?taxnode_id=202509114&amp;ictv_id=ICTV202009114","ICTV202009114")</f>
        <v>ICTV202009114</v>
      </c>
      <c r="R5917" t="s">
        <v>579</v>
      </c>
      <c r="S5917" t="s">
        <v>824</v>
      </c>
      <c r="T5917">
        <v>37</v>
      </c>
      <c r="U5917" s="26" t="str">
        <f t="shared" si="233"/>
        <v>2021.010B.R.Binomial_names.zip</v>
      </c>
    </row>
    <row r="5918" spans="1:21">
      <c r="A5918">
        <v>5917</v>
      </c>
      <c r="B5918" s="27" t="s">
        <v>1449</v>
      </c>
      <c r="D5918" s="27" t="s">
        <v>1450</v>
      </c>
      <c r="F5918" s="27" t="s">
        <v>1453</v>
      </c>
      <c r="H5918" s="27" t="s">
        <v>1454</v>
      </c>
      <c r="N5918" s="27" t="s">
        <v>1773</v>
      </c>
      <c r="P5918" s="27" t="s">
        <v>7430</v>
      </c>
      <c r="Q5918" s="26" t="str">
        <f>HYPERLINK("https://ictv.global/taxonomy/taxondetails?taxnode_id=202508658&amp;ictv_id=ICTV201908658","ICTV201908658")</f>
        <v>ICTV201908658</v>
      </c>
      <c r="R5918" t="s">
        <v>579</v>
      </c>
      <c r="S5918" t="s">
        <v>824</v>
      </c>
      <c r="T5918">
        <v>37</v>
      </c>
      <c r="U5918" s="26" t="str">
        <f t="shared" si="233"/>
        <v>2021.010B.R.Binomial_names.zip</v>
      </c>
    </row>
    <row r="5919" spans="1:21">
      <c r="A5919">
        <v>5918</v>
      </c>
      <c r="B5919" s="27" t="s">
        <v>1449</v>
      </c>
      <c r="D5919" s="27" t="s">
        <v>1450</v>
      </c>
      <c r="F5919" s="27" t="s">
        <v>1453</v>
      </c>
      <c r="H5919" s="27" t="s">
        <v>1454</v>
      </c>
      <c r="N5919" s="27" t="s">
        <v>1773</v>
      </c>
      <c r="P5919" s="27" t="s">
        <v>7431</v>
      </c>
      <c r="Q5919" s="26" t="str">
        <f>HYPERLINK("https://ictv.global/taxonomy/taxondetails?taxnode_id=202509109&amp;ictv_id=ICTV202009109","ICTV202009109")</f>
        <v>ICTV202009109</v>
      </c>
      <c r="R5919" t="s">
        <v>579</v>
      </c>
      <c r="S5919" t="s">
        <v>824</v>
      </c>
      <c r="T5919">
        <v>37</v>
      </c>
      <c r="U5919" s="26" t="str">
        <f t="shared" si="233"/>
        <v>2021.010B.R.Binomial_names.zip</v>
      </c>
    </row>
    <row r="5920" spans="1:21">
      <c r="A5920">
        <v>5919</v>
      </c>
      <c r="B5920" s="27" t="s">
        <v>1449</v>
      </c>
      <c r="D5920" s="27" t="s">
        <v>1450</v>
      </c>
      <c r="F5920" s="27" t="s">
        <v>1453</v>
      </c>
      <c r="H5920" s="27" t="s">
        <v>1454</v>
      </c>
      <c r="N5920" s="27" t="s">
        <v>1773</v>
      </c>
      <c r="P5920" s="27" t="s">
        <v>7432</v>
      </c>
      <c r="Q5920" s="26" t="str">
        <f>HYPERLINK("https://ictv.global/taxonomy/taxondetails?taxnode_id=202509111&amp;ictv_id=ICTV202009111","ICTV202009111")</f>
        <v>ICTV202009111</v>
      </c>
      <c r="R5920" t="s">
        <v>579</v>
      </c>
      <c r="S5920" t="s">
        <v>824</v>
      </c>
      <c r="T5920">
        <v>37</v>
      </c>
      <c r="U5920" s="26" t="str">
        <f t="shared" si="233"/>
        <v>2021.010B.R.Binomial_names.zip</v>
      </c>
    </row>
    <row r="5921" spans="1:21">
      <c r="A5921">
        <v>5920</v>
      </c>
      <c r="B5921" s="27" t="s">
        <v>1449</v>
      </c>
      <c r="D5921" s="27" t="s">
        <v>1450</v>
      </c>
      <c r="F5921" s="27" t="s">
        <v>1453</v>
      </c>
      <c r="H5921" s="27" t="s">
        <v>1454</v>
      </c>
      <c r="N5921" s="27" t="s">
        <v>1773</v>
      </c>
      <c r="P5921" s="27" t="s">
        <v>7433</v>
      </c>
      <c r="Q5921" s="26" t="str">
        <f>HYPERLINK("https://ictv.global/taxonomy/taxondetails?taxnode_id=202501374&amp;ictv_id=ICTV20165105","ICTV20165105")</f>
        <v>ICTV20165105</v>
      </c>
      <c r="R5921" t="s">
        <v>579</v>
      </c>
      <c r="S5921" t="s">
        <v>824</v>
      </c>
      <c r="T5921">
        <v>37</v>
      </c>
      <c r="U5921" s="26" t="str">
        <f t="shared" si="233"/>
        <v>2021.010B.R.Binomial_names.zip</v>
      </c>
    </row>
    <row r="5922" spans="1:21">
      <c r="A5922">
        <v>5921</v>
      </c>
      <c r="B5922" s="27" t="s">
        <v>1449</v>
      </c>
      <c r="D5922" s="27" t="s">
        <v>1450</v>
      </c>
      <c r="F5922" s="27" t="s">
        <v>1453</v>
      </c>
      <c r="H5922" s="27" t="s">
        <v>1454</v>
      </c>
      <c r="N5922" s="27" t="s">
        <v>1773</v>
      </c>
      <c r="P5922" s="27" t="s">
        <v>7434</v>
      </c>
      <c r="Q5922" s="26" t="str">
        <f>HYPERLINK("https://ictv.global/taxonomy/taxondetails?taxnode_id=202509113&amp;ictv_id=ICTV202009113","ICTV202009113")</f>
        <v>ICTV202009113</v>
      </c>
      <c r="R5922" t="s">
        <v>579</v>
      </c>
      <c r="S5922" t="s">
        <v>824</v>
      </c>
      <c r="T5922">
        <v>37</v>
      </c>
      <c r="U5922" s="26" t="str">
        <f t="shared" si="233"/>
        <v>2021.010B.R.Binomial_names.zip</v>
      </c>
    </row>
    <row r="5923" spans="1:21">
      <c r="A5923">
        <v>5922</v>
      </c>
      <c r="B5923" s="27" t="s">
        <v>1449</v>
      </c>
      <c r="D5923" s="27" t="s">
        <v>1450</v>
      </c>
      <c r="F5923" s="27" t="s">
        <v>1453</v>
      </c>
      <c r="H5923" s="27" t="s">
        <v>1454</v>
      </c>
      <c r="N5923" s="27" t="s">
        <v>1773</v>
      </c>
      <c r="P5923" s="27" t="s">
        <v>7435</v>
      </c>
      <c r="Q5923" s="26" t="str">
        <f>HYPERLINK("https://ictv.global/taxonomy/taxondetails?taxnode_id=202508660&amp;ictv_id=ICTV201908660","ICTV201908660")</f>
        <v>ICTV201908660</v>
      </c>
      <c r="R5923" t="s">
        <v>579</v>
      </c>
      <c r="S5923" t="s">
        <v>824</v>
      </c>
      <c r="T5923">
        <v>37</v>
      </c>
      <c r="U5923" s="26" t="str">
        <f t="shared" si="233"/>
        <v>2021.010B.R.Binomial_names.zip</v>
      </c>
    </row>
    <row r="5924" spans="1:21">
      <c r="A5924">
        <v>5923</v>
      </c>
      <c r="B5924" s="27" t="s">
        <v>1449</v>
      </c>
      <c r="D5924" s="27" t="s">
        <v>1450</v>
      </c>
      <c r="F5924" s="27" t="s">
        <v>1453</v>
      </c>
      <c r="H5924" s="27" t="s">
        <v>1454</v>
      </c>
      <c r="N5924" s="27" t="s">
        <v>22371</v>
      </c>
      <c r="P5924" s="27" t="s">
        <v>22372</v>
      </c>
      <c r="Q5924" s="26" t="str">
        <f>HYPERLINK("https://ictv.global/taxonomy/taxondetails?taxnode_id=202523032&amp;ictv_id=ICTV202523032","ICTV202523032")</f>
        <v>ICTV202523032</v>
      </c>
      <c r="R5924" t="s">
        <v>579</v>
      </c>
      <c r="S5924" t="s">
        <v>823</v>
      </c>
      <c r="T5924">
        <v>41</v>
      </c>
      <c r="U5924" s="26" t="str">
        <f>HYPERLINK("https://ictv.global/ictv/proposals/2025.046B.Motookavirus_1ng_2ns.zip","2025.046B.Motookavirus_1ng_2ns.zip")</f>
        <v>2025.046B.Motookavirus_1ng_2ns.zip</v>
      </c>
    </row>
    <row r="5925" spans="1:21">
      <c r="A5925">
        <v>5924</v>
      </c>
      <c r="B5925" s="27" t="s">
        <v>1449</v>
      </c>
      <c r="D5925" s="27" t="s">
        <v>1450</v>
      </c>
      <c r="F5925" s="27" t="s">
        <v>1453</v>
      </c>
      <c r="H5925" s="27" t="s">
        <v>1454</v>
      </c>
      <c r="N5925" s="27" t="s">
        <v>22371</v>
      </c>
      <c r="P5925" s="27" t="s">
        <v>22373</v>
      </c>
      <c r="Q5925" s="26" t="str">
        <f>HYPERLINK("https://ictv.global/taxonomy/taxondetails?taxnode_id=202523033&amp;ictv_id=ICTV202523033","ICTV202523033")</f>
        <v>ICTV202523033</v>
      </c>
      <c r="R5925" t="s">
        <v>579</v>
      </c>
      <c r="S5925" t="s">
        <v>823</v>
      </c>
      <c r="T5925">
        <v>41</v>
      </c>
      <c r="U5925" s="26" t="str">
        <f>HYPERLINK("https://ictv.global/ictv/proposals/2025.046B.Motookavirus_1ng_2ns.zip","2025.046B.Motookavirus_1ng_2ns.zip")</f>
        <v>2025.046B.Motookavirus_1ng_2ns.zip</v>
      </c>
    </row>
    <row r="5926" spans="1:21">
      <c r="A5926">
        <v>5925</v>
      </c>
      <c r="B5926" s="27" t="s">
        <v>1449</v>
      </c>
      <c r="D5926" s="27" t="s">
        <v>1450</v>
      </c>
      <c r="F5926" s="27" t="s">
        <v>1453</v>
      </c>
      <c r="H5926" s="27" t="s">
        <v>1454</v>
      </c>
      <c r="N5926" s="27" t="s">
        <v>2110</v>
      </c>
      <c r="P5926" s="27" t="s">
        <v>7436</v>
      </c>
      <c r="Q5926" s="26" t="str">
        <f>HYPERLINK("https://ictv.global/taxonomy/taxondetails?taxnode_id=202511542&amp;ictv_id=ICTV202011542","ICTV202011542")</f>
        <v>ICTV202011542</v>
      </c>
      <c r="R5926" t="s">
        <v>579</v>
      </c>
      <c r="S5926" t="s">
        <v>824</v>
      </c>
      <c r="T5926">
        <v>37</v>
      </c>
      <c r="U5926" s="26" t="str">
        <f>HYPERLINK("https://ictv.global/ictv/proposals/2021.010B.R.Binomial_names.zip","2021.010B.R.Binomial_names.zip")</f>
        <v>2021.010B.R.Binomial_names.zip</v>
      </c>
    </row>
    <row r="5927" spans="1:21">
      <c r="A5927">
        <v>5926</v>
      </c>
      <c r="B5927" s="27" t="s">
        <v>1449</v>
      </c>
      <c r="D5927" s="27" t="s">
        <v>1450</v>
      </c>
      <c r="F5927" s="27" t="s">
        <v>1453</v>
      </c>
      <c r="H5927" s="27" t="s">
        <v>1454</v>
      </c>
      <c r="N5927" s="27" t="s">
        <v>785</v>
      </c>
      <c r="P5927" s="27" t="s">
        <v>7437</v>
      </c>
      <c r="Q5927" s="26" t="str">
        <f>HYPERLINK("https://ictv.global/taxonomy/taxondetails?taxnode_id=202514681&amp;ictv_id=ICTV202214681","ICTV202214681")</f>
        <v>ICTV202214681</v>
      </c>
      <c r="R5927" t="s">
        <v>579</v>
      </c>
      <c r="S5927" t="s">
        <v>823</v>
      </c>
      <c r="T5927">
        <v>38</v>
      </c>
      <c r="U5927" s="26" t="str">
        <f>HYPERLINK("https://ictv.global/ictv/proposals/2022.054B.Mudcatvirus_10nsp.zip","2022.054B.Mudcatvirus_10nsp.zip")</f>
        <v>2022.054B.Mudcatvirus_10nsp.zip</v>
      </c>
    </row>
    <row r="5928" spans="1:21">
      <c r="A5928">
        <v>5927</v>
      </c>
      <c r="B5928" s="27" t="s">
        <v>1449</v>
      </c>
      <c r="D5928" s="27" t="s">
        <v>1450</v>
      </c>
      <c r="F5928" s="27" t="s">
        <v>1453</v>
      </c>
      <c r="H5928" s="27" t="s">
        <v>1454</v>
      </c>
      <c r="N5928" s="27" t="s">
        <v>785</v>
      </c>
      <c r="P5928" s="27" t="s">
        <v>7438</v>
      </c>
      <c r="Q5928" s="26" t="str">
        <f>HYPERLINK("https://ictv.global/taxonomy/taxondetails?taxnode_id=202514683&amp;ictv_id=ICTV202214683","ICTV202214683")</f>
        <v>ICTV202214683</v>
      </c>
      <c r="R5928" t="s">
        <v>579</v>
      </c>
      <c r="S5928" t="s">
        <v>823</v>
      </c>
      <c r="T5928">
        <v>38</v>
      </c>
      <c r="U5928" s="26" t="str">
        <f>HYPERLINK("https://ictv.global/ictv/proposals/2022.054B.Mudcatvirus_10nsp.zip","2022.054B.Mudcatvirus_10nsp.zip")</f>
        <v>2022.054B.Mudcatvirus_10nsp.zip</v>
      </c>
    </row>
    <row r="5929" spans="1:21">
      <c r="A5929">
        <v>5928</v>
      </c>
      <c r="B5929" s="27" t="s">
        <v>1449</v>
      </c>
      <c r="D5929" s="27" t="s">
        <v>1450</v>
      </c>
      <c r="F5929" s="27" t="s">
        <v>1453</v>
      </c>
      <c r="H5929" s="27" t="s">
        <v>1454</v>
      </c>
      <c r="N5929" s="27" t="s">
        <v>785</v>
      </c>
      <c r="P5929" s="27" t="s">
        <v>7439</v>
      </c>
      <c r="Q5929" s="26" t="str">
        <f>HYPERLINK("https://ictv.global/taxonomy/taxondetails?taxnode_id=202501082&amp;ictv_id=ICTV20165013","ICTV20165013")</f>
        <v>ICTV20165013</v>
      </c>
      <c r="R5929" t="s">
        <v>579</v>
      </c>
      <c r="S5929" t="s">
        <v>824</v>
      </c>
      <c r="T5929">
        <v>37</v>
      </c>
      <c r="U5929" s="26" t="str">
        <f>HYPERLINK("https://ictv.global/ictv/proposals/2021.010B.R.Binomial_names.zip","2021.010B.R.Binomial_names.zip")</f>
        <v>2021.010B.R.Binomial_names.zip</v>
      </c>
    </row>
    <row r="5930" spans="1:21">
      <c r="A5930">
        <v>5929</v>
      </c>
      <c r="B5930" s="27" t="s">
        <v>1449</v>
      </c>
      <c r="D5930" s="27" t="s">
        <v>1450</v>
      </c>
      <c r="F5930" s="27" t="s">
        <v>1453</v>
      </c>
      <c r="H5930" s="27" t="s">
        <v>1454</v>
      </c>
      <c r="N5930" s="27" t="s">
        <v>785</v>
      </c>
      <c r="P5930" s="27" t="s">
        <v>7440</v>
      </c>
      <c r="Q5930" s="26" t="str">
        <f>HYPERLINK("https://ictv.global/taxonomy/taxondetails?taxnode_id=202514684&amp;ictv_id=ICTV202214684","ICTV202214684")</f>
        <v>ICTV202214684</v>
      </c>
      <c r="R5930" t="s">
        <v>579</v>
      </c>
      <c r="S5930" t="s">
        <v>823</v>
      </c>
      <c r="T5930">
        <v>38</v>
      </c>
      <c r="U5930" s="26" t="str">
        <f t="shared" ref="U5930:U5935" si="234">HYPERLINK("https://ictv.global/ictv/proposals/2022.054B.Mudcatvirus_10nsp.zip","2022.054B.Mudcatvirus_10nsp.zip")</f>
        <v>2022.054B.Mudcatvirus_10nsp.zip</v>
      </c>
    </row>
    <row r="5931" spans="1:21">
      <c r="A5931">
        <v>5930</v>
      </c>
      <c r="B5931" s="27" t="s">
        <v>1449</v>
      </c>
      <c r="D5931" s="27" t="s">
        <v>1450</v>
      </c>
      <c r="F5931" s="27" t="s">
        <v>1453</v>
      </c>
      <c r="H5931" s="27" t="s">
        <v>1454</v>
      </c>
      <c r="N5931" s="27" t="s">
        <v>785</v>
      </c>
      <c r="P5931" s="27" t="s">
        <v>7441</v>
      </c>
      <c r="Q5931" s="26" t="str">
        <f>HYPERLINK("https://ictv.global/taxonomy/taxondetails?taxnode_id=202514689&amp;ictv_id=ICTV202214689","ICTV202214689")</f>
        <v>ICTV202214689</v>
      </c>
      <c r="R5931" t="s">
        <v>579</v>
      </c>
      <c r="S5931" t="s">
        <v>823</v>
      </c>
      <c r="T5931">
        <v>38</v>
      </c>
      <c r="U5931" s="26" t="str">
        <f t="shared" si="234"/>
        <v>2022.054B.Mudcatvirus_10nsp.zip</v>
      </c>
    </row>
    <row r="5932" spans="1:21">
      <c r="A5932">
        <v>5931</v>
      </c>
      <c r="B5932" s="27" t="s">
        <v>1449</v>
      </c>
      <c r="D5932" s="27" t="s">
        <v>1450</v>
      </c>
      <c r="F5932" s="27" t="s">
        <v>1453</v>
      </c>
      <c r="H5932" s="27" t="s">
        <v>1454</v>
      </c>
      <c r="N5932" s="27" t="s">
        <v>785</v>
      </c>
      <c r="P5932" s="27" t="s">
        <v>7442</v>
      </c>
      <c r="Q5932" s="26" t="str">
        <f>HYPERLINK("https://ictv.global/taxonomy/taxondetails?taxnode_id=202514686&amp;ictv_id=ICTV202214686","ICTV202214686")</f>
        <v>ICTV202214686</v>
      </c>
      <c r="R5932" t="s">
        <v>579</v>
      </c>
      <c r="S5932" t="s">
        <v>823</v>
      </c>
      <c r="T5932">
        <v>38</v>
      </c>
      <c r="U5932" s="26" t="str">
        <f t="shared" si="234"/>
        <v>2022.054B.Mudcatvirus_10nsp.zip</v>
      </c>
    </row>
    <row r="5933" spans="1:21">
      <c r="A5933">
        <v>5932</v>
      </c>
      <c r="B5933" s="27" t="s">
        <v>1449</v>
      </c>
      <c r="D5933" s="27" t="s">
        <v>1450</v>
      </c>
      <c r="F5933" s="27" t="s">
        <v>1453</v>
      </c>
      <c r="H5933" s="27" t="s">
        <v>1454</v>
      </c>
      <c r="N5933" s="27" t="s">
        <v>785</v>
      </c>
      <c r="P5933" s="27" t="s">
        <v>7443</v>
      </c>
      <c r="Q5933" s="26" t="str">
        <f>HYPERLINK("https://ictv.global/taxonomy/taxondetails?taxnode_id=202514687&amp;ictv_id=ICTV202214687","ICTV202214687")</f>
        <v>ICTV202214687</v>
      </c>
      <c r="R5933" t="s">
        <v>579</v>
      </c>
      <c r="S5933" t="s">
        <v>823</v>
      </c>
      <c r="T5933">
        <v>38</v>
      </c>
      <c r="U5933" s="26" t="str">
        <f t="shared" si="234"/>
        <v>2022.054B.Mudcatvirus_10nsp.zip</v>
      </c>
    </row>
    <row r="5934" spans="1:21">
      <c r="A5934">
        <v>5933</v>
      </c>
      <c r="B5934" s="27" t="s">
        <v>1449</v>
      </c>
      <c r="D5934" s="27" t="s">
        <v>1450</v>
      </c>
      <c r="F5934" s="27" t="s">
        <v>1453</v>
      </c>
      <c r="H5934" s="27" t="s">
        <v>1454</v>
      </c>
      <c r="N5934" s="27" t="s">
        <v>785</v>
      </c>
      <c r="P5934" s="27" t="s">
        <v>7444</v>
      </c>
      <c r="Q5934" s="26" t="str">
        <f>HYPERLINK("https://ictv.global/taxonomy/taxondetails?taxnode_id=202514688&amp;ictv_id=ICTV202214688","ICTV202214688")</f>
        <v>ICTV202214688</v>
      </c>
      <c r="R5934" t="s">
        <v>579</v>
      </c>
      <c r="S5934" t="s">
        <v>823</v>
      </c>
      <c r="T5934">
        <v>38</v>
      </c>
      <c r="U5934" s="26" t="str">
        <f t="shared" si="234"/>
        <v>2022.054B.Mudcatvirus_10nsp.zip</v>
      </c>
    </row>
    <row r="5935" spans="1:21">
      <c r="A5935">
        <v>5934</v>
      </c>
      <c r="B5935" s="27" t="s">
        <v>1449</v>
      </c>
      <c r="D5935" s="27" t="s">
        <v>1450</v>
      </c>
      <c r="F5935" s="27" t="s">
        <v>1453</v>
      </c>
      <c r="H5935" s="27" t="s">
        <v>1454</v>
      </c>
      <c r="N5935" s="27" t="s">
        <v>785</v>
      </c>
      <c r="P5935" s="27" t="s">
        <v>7445</v>
      </c>
      <c r="Q5935" s="26" t="str">
        <f>HYPERLINK("https://ictv.global/taxonomy/taxondetails?taxnode_id=202514690&amp;ictv_id=ICTV202214690","ICTV202214690")</f>
        <v>ICTV202214690</v>
      </c>
      <c r="R5935" t="s">
        <v>579</v>
      </c>
      <c r="S5935" t="s">
        <v>823</v>
      </c>
      <c r="T5935">
        <v>38</v>
      </c>
      <c r="U5935" s="26" t="str">
        <f t="shared" si="234"/>
        <v>2022.054B.Mudcatvirus_10nsp.zip</v>
      </c>
    </row>
    <row r="5936" spans="1:21">
      <c r="A5936">
        <v>5935</v>
      </c>
      <c r="B5936" s="27" t="s">
        <v>1449</v>
      </c>
      <c r="D5936" s="27" t="s">
        <v>1450</v>
      </c>
      <c r="F5936" s="27" t="s">
        <v>1453</v>
      </c>
      <c r="H5936" s="27" t="s">
        <v>1454</v>
      </c>
      <c r="N5936" s="27" t="s">
        <v>785</v>
      </c>
      <c r="P5936" s="27" t="s">
        <v>7446</v>
      </c>
      <c r="Q5936" s="26" t="str">
        <f>HYPERLINK("https://ictv.global/taxonomy/taxondetails?taxnode_id=202501083&amp;ictv_id=ICTV20165014","ICTV20165014")</f>
        <v>ICTV20165014</v>
      </c>
      <c r="R5936" t="s">
        <v>579</v>
      </c>
      <c r="S5936" t="s">
        <v>824</v>
      </c>
      <c r="T5936">
        <v>37</v>
      </c>
      <c r="U5936" s="26" t="str">
        <f>HYPERLINK("https://ictv.global/ictv/proposals/2021.010B.R.Binomial_names.zip","2021.010B.R.Binomial_names.zip")</f>
        <v>2021.010B.R.Binomial_names.zip</v>
      </c>
    </row>
    <row r="5937" spans="1:21">
      <c r="A5937">
        <v>5936</v>
      </c>
      <c r="B5937" s="27" t="s">
        <v>1449</v>
      </c>
      <c r="D5937" s="27" t="s">
        <v>1450</v>
      </c>
      <c r="F5937" s="27" t="s">
        <v>1453</v>
      </c>
      <c r="H5937" s="27" t="s">
        <v>1454</v>
      </c>
      <c r="N5937" s="27" t="s">
        <v>785</v>
      </c>
      <c r="P5937" s="27" t="s">
        <v>7447</v>
      </c>
      <c r="Q5937" s="26" t="str">
        <f>HYPERLINK("https://ictv.global/taxonomy/taxondetails?taxnode_id=202514682&amp;ictv_id=ICTV202214682","ICTV202214682")</f>
        <v>ICTV202214682</v>
      </c>
      <c r="R5937" t="s">
        <v>579</v>
      </c>
      <c r="S5937" t="s">
        <v>823</v>
      </c>
      <c r="T5937">
        <v>38</v>
      </c>
      <c r="U5937" s="26" t="str">
        <f>HYPERLINK("https://ictv.global/ictv/proposals/2022.054B.Mudcatvirus_10nsp.zip","2022.054B.Mudcatvirus_10nsp.zip")</f>
        <v>2022.054B.Mudcatvirus_10nsp.zip</v>
      </c>
    </row>
    <row r="5938" spans="1:21">
      <c r="A5938">
        <v>5937</v>
      </c>
      <c r="B5938" s="27" t="s">
        <v>1449</v>
      </c>
      <c r="D5938" s="27" t="s">
        <v>1450</v>
      </c>
      <c r="F5938" s="27" t="s">
        <v>1453</v>
      </c>
      <c r="H5938" s="27" t="s">
        <v>1454</v>
      </c>
      <c r="N5938" s="27" t="s">
        <v>785</v>
      </c>
      <c r="P5938" s="27" t="s">
        <v>7448</v>
      </c>
      <c r="Q5938" s="26" t="str">
        <f>HYPERLINK("https://ictv.global/taxonomy/taxondetails?taxnode_id=202514685&amp;ictv_id=ICTV202214685","ICTV202214685")</f>
        <v>ICTV202214685</v>
      </c>
      <c r="R5938" t="s">
        <v>579</v>
      </c>
      <c r="S5938" t="s">
        <v>823</v>
      </c>
      <c r="T5938">
        <v>38</v>
      </c>
      <c r="U5938" s="26" t="str">
        <f>HYPERLINK("https://ictv.global/ictv/proposals/2022.054B.Mudcatvirus_10nsp.zip","2022.054B.Mudcatvirus_10nsp.zip")</f>
        <v>2022.054B.Mudcatvirus_10nsp.zip</v>
      </c>
    </row>
    <row r="5939" spans="1:21">
      <c r="A5939">
        <v>5938</v>
      </c>
      <c r="B5939" s="27" t="s">
        <v>1449</v>
      </c>
      <c r="D5939" s="27" t="s">
        <v>1450</v>
      </c>
      <c r="F5939" s="27" t="s">
        <v>1453</v>
      </c>
      <c r="H5939" s="27" t="s">
        <v>1454</v>
      </c>
      <c r="N5939" s="27" t="s">
        <v>2289</v>
      </c>
      <c r="P5939" s="27" t="s">
        <v>7449</v>
      </c>
      <c r="Q5939" s="26" t="str">
        <f>HYPERLINK("https://ictv.global/taxonomy/taxondetails?taxnode_id=202511544&amp;ictv_id=ICTV202011544","ICTV202011544")</f>
        <v>ICTV202011544</v>
      </c>
      <c r="R5939" t="s">
        <v>579</v>
      </c>
      <c r="S5939" t="s">
        <v>824</v>
      </c>
      <c r="T5939">
        <v>37</v>
      </c>
      <c r="U5939" s="26" t="str">
        <f t="shared" ref="U5939:U5951" si="235">HYPERLINK("https://ictv.global/ictv/proposals/2021.010B.R.Binomial_names.zip","2021.010B.R.Binomial_names.zip")</f>
        <v>2021.010B.R.Binomial_names.zip</v>
      </c>
    </row>
    <row r="5940" spans="1:21">
      <c r="A5940">
        <v>5939</v>
      </c>
      <c r="B5940" s="27" t="s">
        <v>1449</v>
      </c>
      <c r="D5940" s="27" t="s">
        <v>1450</v>
      </c>
      <c r="F5940" s="27" t="s">
        <v>1453</v>
      </c>
      <c r="H5940" s="27" t="s">
        <v>1454</v>
      </c>
      <c r="N5940" s="27" t="s">
        <v>2111</v>
      </c>
      <c r="P5940" s="27" t="s">
        <v>7450</v>
      </c>
      <c r="Q5940" s="26" t="str">
        <f>HYPERLINK("https://ictv.global/taxonomy/taxondetails?taxnode_id=202511546&amp;ictv_id=ICTV202011546","ICTV202011546")</f>
        <v>ICTV202011546</v>
      </c>
      <c r="R5940" t="s">
        <v>579</v>
      </c>
      <c r="S5940" t="s">
        <v>824</v>
      </c>
      <c r="T5940">
        <v>37</v>
      </c>
      <c r="U5940" s="26" t="str">
        <f t="shared" si="235"/>
        <v>2021.010B.R.Binomial_names.zip</v>
      </c>
    </row>
    <row r="5941" spans="1:21">
      <c r="A5941">
        <v>5940</v>
      </c>
      <c r="B5941" s="27" t="s">
        <v>1449</v>
      </c>
      <c r="D5941" s="27" t="s">
        <v>1450</v>
      </c>
      <c r="F5941" s="27" t="s">
        <v>1453</v>
      </c>
      <c r="H5941" s="27" t="s">
        <v>1454</v>
      </c>
      <c r="N5941" s="27" t="s">
        <v>2111</v>
      </c>
      <c r="P5941" s="27" t="s">
        <v>7451</v>
      </c>
      <c r="Q5941" s="26" t="str">
        <f>HYPERLINK("https://ictv.global/taxonomy/taxondetails?taxnode_id=202511547&amp;ictv_id=ICTV202011547","ICTV202011547")</f>
        <v>ICTV202011547</v>
      </c>
      <c r="R5941" t="s">
        <v>579</v>
      </c>
      <c r="S5941" t="s">
        <v>824</v>
      </c>
      <c r="T5941">
        <v>37</v>
      </c>
      <c r="U5941" s="26" t="str">
        <f t="shared" si="235"/>
        <v>2021.010B.R.Binomial_names.zip</v>
      </c>
    </row>
    <row r="5942" spans="1:21">
      <c r="A5942">
        <v>5941</v>
      </c>
      <c r="B5942" s="27" t="s">
        <v>1449</v>
      </c>
      <c r="D5942" s="27" t="s">
        <v>1450</v>
      </c>
      <c r="F5942" s="27" t="s">
        <v>1453</v>
      </c>
      <c r="H5942" s="27" t="s">
        <v>1454</v>
      </c>
      <c r="N5942" s="27" t="s">
        <v>2290</v>
      </c>
      <c r="P5942" s="27" t="s">
        <v>7452</v>
      </c>
      <c r="Q5942" s="26" t="str">
        <f>HYPERLINK("https://ictv.global/taxonomy/taxondetails?taxnode_id=202510022&amp;ictv_id=ICTV202010022","ICTV202010022")</f>
        <v>ICTV202010022</v>
      </c>
      <c r="R5942" t="s">
        <v>579</v>
      </c>
      <c r="S5942" t="s">
        <v>824</v>
      </c>
      <c r="T5942">
        <v>37</v>
      </c>
      <c r="U5942" s="26" t="str">
        <f t="shared" si="235"/>
        <v>2021.010B.R.Binomial_names.zip</v>
      </c>
    </row>
    <row r="5943" spans="1:21">
      <c r="A5943">
        <v>5942</v>
      </c>
      <c r="B5943" s="27" t="s">
        <v>1449</v>
      </c>
      <c r="D5943" s="27" t="s">
        <v>1450</v>
      </c>
      <c r="F5943" s="27" t="s">
        <v>1453</v>
      </c>
      <c r="H5943" s="27" t="s">
        <v>1454</v>
      </c>
      <c r="N5943" s="27" t="s">
        <v>2290</v>
      </c>
      <c r="P5943" s="27" t="s">
        <v>7453</v>
      </c>
      <c r="Q5943" s="26" t="str">
        <f>HYPERLINK("https://ictv.global/taxonomy/taxondetails?taxnode_id=202510019&amp;ictv_id=ICTV202010019","ICTV202010019")</f>
        <v>ICTV202010019</v>
      </c>
      <c r="R5943" t="s">
        <v>579</v>
      </c>
      <c r="S5943" t="s">
        <v>824</v>
      </c>
      <c r="T5943">
        <v>37</v>
      </c>
      <c r="U5943" s="26" t="str">
        <f t="shared" si="235"/>
        <v>2021.010B.R.Binomial_names.zip</v>
      </c>
    </row>
    <row r="5944" spans="1:21">
      <c r="A5944">
        <v>5943</v>
      </c>
      <c r="B5944" s="27" t="s">
        <v>1449</v>
      </c>
      <c r="D5944" s="27" t="s">
        <v>1450</v>
      </c>
      <c r="F5944" s="27" t="s">
        <v>1453</v>
      </c>
      <c r="H5944" s="27" t="s">
        <v>1454</v>
      </c>
      <c r="N5944" s="27" t="s">
        <v>2290</v>
      </c>
      <c r="P5944" s="27" t="s">
        <v>7454</v>
      </c>
      <c r="Q5944" s="26" t="str">
        <f>HYPERLINK("https://ictv.global/taxonomy/taxondetails?taxnode_id=202510020&amp;ictv_id=ICTV202010020","ICTV202010020")</f>
        <v>ICTV202010020</v>
      </c>
      <c r="R5944" t="s">
        <v>579</v>
      </c>
      <c r="S5944" t="s">
        <v>824</v>
      </c>
      <c r="T5944">
        <v>37</v>
      </c>
      <c r="U5944" s="26" t="str">
        <f t="shared" si="235"/>
        <v>2021.010B.R.Binomial_names.zip</v>
      </c>
    </row>
    <row r="5945" spans="1:21">
      <c r="A5945">
        <v>5944</v>
      </c>
      <c r="B5945" s="27" t="s">
        <v>1449</v>
      </c>
      <c r="D5945" s="27" t="s">
        <v>1450</v>
      </c>
      <c r="F5945" s="27" t="s">
        <v>1453</v>
      </c>
      <c r="H5945" s="27" t="s">
        <v>1454</v>
      </c>
      <c r="N5945" s="27" t="s">
        <v>2290</v>
      </c>
      <c r="P5945" s="27" t="s">
        <v>7455</v>
      </c>
      <c r="Q5945" s="26" t="str">
        <f>HYPERLINK("https://ictv.global/taxonomy/taxondetails?taxnode_id=202510023&amp;ictv_id=ICTV202010023","ICTV202010023")</f>
        <v>ICTV202010023</v>
      </c>
      <c r="R5945" t="s">
        <v>579</v>
      </c>
      <c r="S5945" t="s">
        <v>824</v>
      </c>
      <c r="T5945">
        <v>37</v>
      </c>
      <c r="U5945" s="26" t="str">
        <f t="shared" si="235"/>
        <v>2021.010B.R.Binomial_names.zip</v>
      </c>
    </row>
    <row r="5946" spans="1:21">
      <c r="A5946">
        <v>5945</v>
      </c>
      <c r="B5946" s="27" t="s">
        <v>1449</v>
      </c>
      <c r="D5946" s="27" t="s">
        <v>1450</v>
      </c>
      <c r="F5946" s="27" t="s">
        <v>1453</v>
      </c>
      <c r="H5946" s="27" t="s">
        <v>1454</v>
      </c>
      <c r="N5946" s="27" t="s">
        <v>2290</v>
      </c>
      <c r="P5946" s="27" t="s">
        <v>7456</v>
      </c>
      <c r="Q5946" s="26" t="str">
        <f>HYPERLINK("https://ictv.global/taxonomy/taxondetails?taxnode_id=202510021&amp;ictv_id=ICTV202010021","ICTV202010021")</f>
        <v>ICTV202010021</v>
      </c>
      <c r="R5946" t="s">
        <v>579</v>
      </c>
      <c r="S5946" t="s">
        <v>824</v>
      </c>
      <c r="T5946">
        <v>37</v>
      </c>
      <c r="U5946" s="26" t="str">
        <f t="shared" si="235"/>
        <v>2021.010B.R.Binomial_names.zip</v>
      </c>
    </row>
    <row r="5947" spans="1:21">
      <c r="A5947">
        <v>5946</v>
      </c>
      <c r="B5947" s="27" t="s">
        <v>1449</v>
      </c>
      <c r="D5947" s="27" t="s">
        <v>1450</v>
      </c>
      <c r="F5947" s="27" t="s">
        <v>1453</v>
      </c>
      <c r="H5947" s="27" t="s">
        <v>1454</v>
      </c>
      <c r="N5947" s="27" t="s">
        <v>1774</v>
      </c>
      <c r="P5947" s="27" t="s">
        <v>7457</v>
      </c>
      <c r="Q5947" s="26" t="str">
        <f>HYPERLINK("https://ictv.global/taxonomy/taxondetails?taxnode_id=202507905&amp;ictv_id=ICTV201907905","ICTV201907905")</f>
        <v>ICTV201907905</v>
      </c>
      <c r="R5947" t="s">
        <v>579</v>
      </c>
      <c r="S5947" t="s">
        <v>824</v>
      </c>
      <c r="T5947">
        <v>37</v>
      </c>
      <c r="U5947" s="26" t="str">
        <f t="shared" si="235"/>
        <v>2021.010B.R.Binomial_names.zip</v>
      </c>
    </row>
    <row r="5948" spans="1:21">
      <c r="A5948">
        <v>5947</v>
      </c>
      <c r="B5948" s="27" t="s">
        <v>1449</v>
      </c>
      <c r="D5948" s="27" t="s">
        <v>1450</v>
      </c>
      <c r="F5948" s="27" t="s">
        <v>1453</v>
      </c>
      <c r="H5948" s="27" t="s">
        <v>1454</v>
      </c>
      <c r="N5948" s="27" t="s">
        <v>1774</v>
      </c>
      <c r="P5948" s="27" t="s">
        <v>7458</v>
      </c>
      <c r="Q5948" s="26" t="str">
        <f>HYPERLINK("https://ictv.global/taxonomy/taxondetails?taxnode_id=202507906&amp;ictv_id=ICTV201907906","ICTV201907906")</f>
        <v>ICTV201907906</v>
      </c>
      <c r="R5948" t="s">
        <v>579</v>
      </c>
      <c r="S5948" t="s">
        <v>824</v>
      </c>
      <c r="T5948">
        <v>37</v>
      </c>
      <c r="U5948" s="26" t="str">
        <f t="shared" si="235"/>
        <v>2021.010B.R.Binomial_names.zip</v>
      </c>
    </row>
    <row r="5949" spans="1:21">
      <c r="A5949">
        <v>5948</v>
      </c>
      <c r="B5949" s="27" t="s">
        <v>1449</v>
      </c>
      <c r="D5949" s="27" t="s">
        <v>1450</v>
      </c>
      <c r="F5949" s="27" t="s">
        <v>1453</v>
      </c>
      <c r="H5949" s="27" t="s">
        <v>1454</v>
      </c>
      <c r="N5949" s="27" t="s">
        <v>1688</v>
      </c>
      <c r="P5949" s="27" t="s">
        <v>7459</v>
      </c>
      <c r="Q5949" s="26" t="str">
        <f>HYPERLINK("https://ictv.global/taxonomy/taxondetails?taxnode_id=202508042&amp;ictv_id=ICTV201908042","ICTV201908042")</f>
        <v>ICTV201908042</v>
      </c>
      <c r="R5949" t="s">
        <v>579</v>
      </c>
      <c r="S5949" t="s">
        <v>824</v>
      </c>
      <c r="T5949">
        <v>37</v>
      </c>
      <c r="U5949" s="26" t="str">
        <f t="shared" si="235"/>
        <v>2021.010B.R.Binomial_names.zip</v>
      </c>
    </row>
    <row r="5950" spans="1:21">
      <c r="A5950">
        <v>5949</v>
      </c>
      <c r="B5950" s="27" t="s">
        <v>1449</v>
      </c>
      <c r="D5950" s="27" t="s">
        <v>1450</v>
      </c>
      <c r="F5950" s="27" t="s">
        <v>1453</v>
      </c>
      <c r="H5950" s="27" t="s">
        <v>1454</v>
      </c>
      <c r="N5950" s="27" t="s">
        <v>595</v>
      </c>
      <c r="P5950" s="27" t="s">
        <v>7460</v>
      </c>
      <c r="Q5950" s="26" t="str">
        <f>HYPERLINK("https://ictv.global/taxonomy/taxondetails?taxnode_id=202500456&amp;ictv_id=ICTV19951337","ICTV19951337")</f>
        <v>ICTV19951337</v>
      </c>
      <c r="R5950" t="s">
        <v>579</v>
      </c>
      <c r="S5950" t="s">
        <v>824</v>
      </c>
      <c r="T5950">
        <v>37</v>
      </c>
      <c r="U5950" s="26" t="str">
        <f t="shared" si="235"/>
        <v>2021.010B.R.Binomial_names.zip</v>
      </c>
    </row>
    <row r="5951" spans="1:21">
      <c r="A5951">
        <v>5950</v>
      </c>
      <c r="B5951" s="27" t="s">
        <v>1449</v>
      </c>
      <c r="D5951" s="27" t="s">
        <v>1450</v>
      </c>
      <c r="F5951" s="27" t="s">
        <v>1453</v>
      </c>
      <c r="H5951" s="27" t="s">
        <v>1454</v>
      </c>
      <c r="N5951" s="27" t="s">
        <v>595</v>
      </c>
      <c r="P5951" s="27" t="s">
        <v>7461</v>
      </c>
      <c r="Q5951" s="26" t="str">
        <f>HYPERLINK("https://ictv.global/taxonomy/taxondetails?taxnode_id=202500457&amp;ictv_id=ICTV20164875","ICTV20164875")</f>
        <v>ICTV20164875</v>
      </c>
      <c r="R5951" t="s">
        <v>579</v>
      </c>
      <c r="S5951" t="s">
        <v>824</v>
      </c>
      <c r="T5951">
        <v>37</v>
      </c>
      <c r="U5951" s="26" t="str">
        <f t="shared" si="235"/>
        <v>2021.010B.R.Binomial_names.zip</v>
      </c>
    </row>
    <row r="5952" spans="1:21">
      <c r="A5952">
        <v>5951</v>
      </c>
      <c r="B5952" s="27" t="s">
        <v>1449</v>
      </c>
      <c r="D5952" s="27" t="s">
        <v>1450</v>
      </c>
      <c r="F5952" s="27" t="s">
        <v>1453</v>
      </c>
      <c r="H5952" s="27" t="s">
        <v>1454</v>
      </c>
      <c r="N5952" s="27" t="s">
        <v>22374</v>
      </c>
      <c r="P5952" s="27" t="s">
        <v>22375</v>
      </c>
      <c r="Q5952" s="26" t="str">
        <f>HYPERLINK("https://ictv.global/taxonomy/taxondetails?taxnode_id=202523034&amp;ictv_id=ICTV202523034","ICTV202523034")</f>
        <v>ICTV202523034</v>
      </c>
      <c r="R5952" t="s">
        <v>579</v>
      </c>
      <c r="S5952" t="s">
        <v>823</v>
      </c>
      <c r="T5952">
        <v>41</v>
      </c>
      <c r="U5952" s="26" t="str">
        <f>HYPERLINK("https://ictv.global/ictv/proposals/2025.047B.Mweyongvirus_1ng_1ns.zip","2025.047B.Mweyongvirus_1ng_1ns.zip")</f>
        <v>2025.047B.Mweyongvirus_1ng_1ns.zip</v>
      </c>
    </row>
    <row r="5953" spans="1:21">
      <c r="A5953">
        <v>5952</v>
      </c>
      <c r="B5953" s="27" t="s">
        <v>1449</v>
      </c>
      <c r="D5953" s="27" t="s">
        <v>1450</v>
      </c>
      <c r="F5953" s="27" t="s">
        <v>1453</v>
      </c>
      <c r="H5953" s="27" t="s">
        <v>1454</v>
      </c>
      <c r="N5953" s="27" t="s">
        <v>7462</v>
      </c>
      <c r="P5953" s="27" t="s">
        <v>7463</v>
      </c>
      <c r="Q5953" s="26" t="str">
        <f>HYPERLINK("https://ictv.global/taxonomy/taxondetails?taxnode_id=202512425&amp;ictv_id=ICTV202112425","ICTV202112425")</f>
        <v>ICTV202112425</v>
      </c>
      <c r="R5953" t="s">
        <v>579</v>
      </c>
      <c r="S5953" t="s">
        <v>823</v>
      </c>
      <c r="T5953">
        <v>37</v>
      </c>
      <c r="U5953" s="26" t="str">
        <f>HYPERLINK("https://ictv.global/ictv/proposals/2021.054B.R.Mycoabscvirus.zip","2021.054B.R.Mycoabscvirus.zip")</f>
        <v>2021.054B.R.Mycoabscvirus.zip</v>
      </c>
    </row>
    <row r="5954" spans="1:21">
      <c r="A5954">
        <v>5953</v>
      </c>
      <c r="B5954" s="27" t="s">
        <v>1449</v>
      </c>
      <c r="D5954" s="27" t="s">
        <v>1450</v>
      </c>
      <c r="F5954" s="27" t="s">
        <v>1453</v>
      </c>
      <c r="H5954" s="27" t="s">
        <v>1454</v>
      </c>
      <c r="N5954" s="27" t="s">
        <v>2112</v>
      </c>
      <c r="P5954" s="27" t="s">
        <v>7464</v>
      </c>
      <c r="Q5954" s="26" t="str">
        <f>HYPERLINK("https://ictv.global/taxonomy/taxondetails?taxnode_id=202511556&amp;ictv_id=ICTV202011556","ICTV202011556")</f>
        <v>ICTV202011556</v>
      </c>
      <c r="R5954" t="s">
        <v>579</v>
      </c>
      <c r="S5954" t="s">
        <v>824</v>
      </c>
      <c r="T5954">
        <v>37</v>
      </c>
      <c r="U5954" s="26" t="str">
        <f>HYPERLINK("https://ictv.global/ictv/proposals/2021.010B.R.Binomial_names.zip","2021.010B.R.Binomial_names.zip")</f>
        <v>2021.010B.R.Binomial_names.zip</v>
      </c>
    </row>
    <row r="5955" spans="1:21">
      <c r="A5955">
        <v>5954</v>
      </c>
      <c r="B5955" s="27" t="s">
        <v>1449</v>
      </c>
      <c r="D5955" s="27" t="s">
        <v>1450</v>
      </c>
      <c r="F5955" s="27" t="s">
        <v>1453</v>
      </c>
      <c r="H5955" s="27" t="s">
        <v>1454</v>
      </c>
      <c r="N5955" s="27" t="s">
        <v>7467</v>
      </c>
      <c r="P5955" s="27" t="s">
        <v>7468</v>
      </c>
      <c r="Q5955" s="26" t="str">
        <f>HYPERLINK("https://ictv.global/taxonomy/taxondetails?taxnode_id=202512770&amp;ictv_id=ICTV202112770","ICTV202112770")</f>
        <v>ICTV202112770</v>
      </c>
      <c r="R5955" t="s">
        <v>579</v>
      </c>
      <c r="S5955" t="s">
        <v>823</v>
      </c>
      <c r="T5955">
        <v>37</v>
      </c>
      <c r="U5955" s="26" t="str">
        <f>HYPERLINK("https://ictv.global/ictv/proposals/2021.055B.R.Myradeevirus.zip","2021.055B.R.Myradeevirus.zip")</f>
        <v>2021.055B.R.Myradeevirus.zip</v>
      </c>
    </row>
    <row r="5956" spans="1:21">
      <c r="A5956">
        <v>5955</v>
      </c>
      <c r="B5956" s="27" t="s">
        <v>1449</v>
      </c>
      <c r="D5956" s="27" t="s">
        <v>1450</v>
      </c>
      <c r="F5956" s="27" t="s">
        <v>1453</v>
      </c>
      <c r="H5956" s="27" t="s">
        <v>1454</v>
      </c>
      <c r="N5956" s="27" t="s">
        <v>1307</v>
      </c>
      <c r="P5956" s="27" t="s">
        <v>7469</v>
      </c>
      <c r="Q5956" s="26" t="str">
        <f>HYPERLINK("https://ictv.global/taxonomy/taxondetails?taxnode_id=202506850&amp;ictv_id=ICTV201856850","ICTV201856850")</f>
        <v>ICTV201856850</v>
      </c>
      <c r="R5956" t="s">
        <v>579</v>
      </c>
      <c r="S5956" t="s">
        <v>824</v>
      </c>
      <c r="T5956">
        <v>37</v>
      </c>
      <c r="U5956" s="26" t="str">
        <f>HYPERLINK("https://ictv.global/ictv/proposals/2021.010B.R.Binomial_names.zip","2021.010B.R.Binomial_names.zip")</f>
        <v>2021.010B.R.Binomial_names.zip</v>
      </c>
    </row>
    <row r="5957" spans="1:21">
      <c r="A5957">
        <v>5956</v>
      </c>
      <c r="B5957" s="27" t="s">
        <v>1449</v>
      </c>
      <c r="D5957" s="27" t="s">
        <v>1450</v>
      </c>
      <c r="F5957" s="27" t="s">
        <v>1453</v>
      </c>
      <c r="H5957" s="27" t="s">
        <v>1454</v>
      </c>
      <c r="N5957" s="27" t="s">
        <v>7474</v>
      </c>
      <c r="P5957" s="27" t="s">
        <v>7475</v>
      </c>
      <c r="Q5957" s="26" t="str">
        <f>HYPERLINK("https://ictv.global/taxonomy/taxondetails?taxnode_id=202514702&amp;ictv_id=ICTV202214702","ICTV202214702")</f>
        <v>ICTV202214702</v>
      </c>
      <c r="R5957" t="s">
        <v>579</v>
      </c>
      <c r="S5957" t="s">
        <v>823</v>
      </c>
      <c r="T5957">
        <v>38</v>
      </c>
      <c r="U5957" s="26" t="str">
        <f>HYPERLINK("https://ictv.global/ictv/proposals/2022.058B.Caudoviricetes_3ng.zip","2022.058B.Caudoviricetes_3ng.zip")</f>
        <v>2022.058B.Caudoviricetes_3ng.zip</v>
      </c>
    </row>
    <row r="5958" spans="1:21">
      <c r="A5958">
        <v>5957</v>
      </c>
      <c r="B5958" s="27" t="s">
        <v>1449</v>
      </c>
      <c r="D5958" s="27" t="s">
        <v>1450</v>
      </c>
      <c r="F5958" s="27" t="s">
        <v>1453</v>
      </c>
      <c r="H5958" s="27" t="s">
        <v>1454</v>
      </c>
      <c r="N5958" s="27" t="s">
        <v>22386</v>
      </c>
      <c r="P5958" s="27" t="s">
        <v>22387</v>
      </c>
      <c r="Q5958" s="26" t="str">
        <f>HYPERLINK("https://ictv.global/taxonomy/taxondetails?taxnode_id=202523044&amp;ictv_id=ICTV202523044","ICTV202523044")</f>
        <v>ICTV202523044</v>
      </c>
      <c r="R5958" t="s">
        <v>579</v>
      </c>
      <c r="S5958" t="s">
        <v>823</v>
      </c>
      <c r="T5958">
        <v>41</v>
      </c>
      <c r="U5958" s="26" t="str">
        <f>HYPERLINK("https://ictv.global/ictv/proposals/2025.050B.Nanchangvirus_1ng_1ns.zip","2025.050B.Nanchangvirus_1ng_1ns.zip")</f>
        <v>2025.050B.Nanchangvirus_1ng_1ns.zip</v>
      </c>
    </row>
    <row r="5959" spans="1:21">
      <c r="A5959">
        <v>5958</v>
      </c>
      <c r="B5959" s="27" t="s">
        <v>1449</v>
      </c>
      <c r="D5959" s="27" t="s">
        <v>1450</v>
      </c>
      <c r="F5959" s="27" t="s">
        <v>1453</v>
      </c>
      <c r="H5959" s="27" t="s">
        <v>1454</v>
      </c>
      <c r="N5959" s="27" t="s">
        <v>1392</v>
      </c>
      <c r="P5959" s="27" t="s">
        <v>7476</v>
      </c>
      <c r="Q5959" s="26" t="str">
        <f>HYPERLINK("https://ictv.global/taxonomy/taxondetails?taxnode_id=202506879&amp;ictv_id=ICTV201856879","ICTV201856879")</f>
        <v>ICTV201856879</v>
      </c>
      <c r="R5959" t="s">
        <v>579</v>
      </c>
      <c r="S5959" t="s">
        <v>824</v>
      </c>
      <c r="T5959">
        <v>37</v>
      </c>
      <c r="U5959" s="26" t="str">
        <f t="shared" ref="U5959:U5965" si="236">HYPERLINK("https://ictv.global/ictv/proposals/2021.010B.R.Binomial_names.zip","2021.010B.R.Binomial_names.zip")</f>
        <v>2021.010B.R.Binomial_names.zip</v>
      </c>
    </row>
    <row r="5960" spans="1:21">
      <c r="A5960">
        <v>5959</v>
      </c>
      <c r="B5960" s="27" t="s">
        <v>1449</v>
      </c>
      <c r="D5960" s="27" t="s">
        <v>1450</v>
      </c>
      <c r="F5960" s="27" t="s">
        <v>1453</v>
      </c>
      <c r="H5960" s="27" t="s">
        <v>1454</v>
      </c>
      <c r="N5960" s="27" t="s">
        <v>1775</v>
      </c>
      <c r="P5960" s="27" t="s">
        <v>7482</v>
      </c>
      <c r="Q5960" s="26" t="str">
        <f>HYPERLINK("https://ictv.global/taxonomy/taxondetails?taxnode_id=202507931&amp;ictv_id=ICTV201907931","ICTV201907931")</f>
        <v>ICTV201907931</v>
      </c>
      <c r="R5960" t="s">
        <v>579</v>
      </c>
      <c r="S5960" t="s">
        <v>824</v>
      </c>
      <c r="T5960">
        <v>37</v>
      </c>
      <c r="U5960" s="26" t="str">
        <f t="shared" si="236"/>
        <v>2021.010B.R.Binomial_names.zip</v>
      </c>
    </row>
    <row r="5961" spans="1:21">
      <c r="A5961">
        <v>5960</v>
      </c>
      <c r="B5961" s="27" t="s">
        <v>1449</v>
      </c>
      <c r="D5961" s="27" t="s">
        <v>1450</v>
      </c>
      <c r="F5961" s="27" t="s">
        <v>1453</v>
      </c>
      <c r="H5961" s="27" t="s">
        <v>1454</v>
      </c>
      <c r="N5961" s="27" t="s">
        <v>2292</v>
      </c>
      <c r="P5961" s="27" t="s">
        <v>7485</v>
      </c>
      <c r="Q5961" s="26" t="str">
        <f>HYPERLINK("https://ictv.global/taxonomy/taxondetails?taxnode_id=202511561&amp;ictv_id=ICTV202011561","ICTV202011561")</f>
        <v>ICTV202011561</v>
      </c>
      <c r="R5961" t="s">
        <v>579</v>
      </c>
      <c r="S5961" t="s">
        <v>824</v>
      </c>
      <c r="T5961">
        <v>37</v>
      </c>
      <c r="U5961" s="26" t="str">
        <f t="shared" si="236"/>
        <v>2021.010B.R.Binomial_names.zip</v>
      </c>
    </row>
    <row r="5962" spans="1:21">
      <c r="A5962">
        <v>5961</v>
      </c>
      <c r="B5962" s="27" t="s">
        <v>1449</v>
      </c>
      <c r="D5962" s="27" t="s">
        <v>1450</v>
      </c>
      <c r="F5962" s="27" t="s">
        <v>1453</v>
      </c>
      <c r="H5962" s="27" t="s">
        <v>1454</v>
      </c>
      <c r="N5962" s="27" t="s">
        <v>2292</v>
      </c>
      <c r="P5962" s="27" t="s">
        <v>7486</v>
      </c>
      <c r="Q5962" s="26" t="str">
        <f>HYPERLINK("https://ictv.global/taxonomy/taxondetails?taxnode_id=202511563&amp;ictv_id=ICTV202011563","ICTV202011563")</f>
        <v>ICTV202011563</v>
      </c>
      <c r="R5962" t="s">
        <v>579</v>
      </c>
      <c r="S5962" t="s">
        <v>824</v>
      </c>
      <c r="T5962">
        <v>37</v>
      </c>
      <c r="U5962" s="26" t="str">
        <f t="shared" si="236"/>
        <v>2021.010B.R.Binomial_names.zip</v>
      </c>
    </row>
    <row r="5963" spans="1:21">
      <c r="A5963">
        <v>5962</v>
      </c>
      <c r="B5963" s="27" t="s">
        <v>1449</v>
      </c>
      <c r="D5963" s="27" t="s">
        <v>1450</v>
      </c>
      <c r="F5963" s="27" t="s">
        <v>1453</v>
      </c>
      <c r="H5963" s="27" t="s">
        <v>1454</v>
      </c>
      <c r="N5963" s="27" t="s">
        <v>2292</v>
      </c>
      <c r="P5963" s="27" t="s">
        <v>7487</v>
      </c>
      <c r="Q5963" s="26" t="str">
        <f>HYPERLINK("https://ictv.global/taxonomy/taxondetails?taxnode_id=202511564&amp;ictv_id=ICTV202011564","ICTV202011564")</f>
        <v>ICTV202011564</v>
      </c>
      <c r="R5963" t="s">
        <v>579</v>
      </c>
      <c r="S5963" t="s">
        <v>824</v>
      </c>
      <c r="T5963">
        <v>37</v>
      </c>
      <c r="U5963" s="26" t="str">
        <f t="shared" si="236"/>
        <v>2021.010B.R.Binomial_names.zip</v>
      </c>
    </row>
    <row r="5964" spans="1:21">
      <c r="A5964">
        <v>5963</v>
      </c>
      <c r="B5964" s="27" t="s">
        <v>1449</v>
      </c>
      <c r="D5964" s="27" t="s">
        <v>1450</v>
      </c>
      <c r="F5964" s="27" t="s">
        <v>1453</v>
      </c>
      <c r="H5964" s="27" t="s">
        <v>1454</v>
      </c>
      <c r="N5964" s="27" t="s">
        <v>2292</v>
      </c>
      <c r="P5964" s="27" t="s">
        <v>7488</v>
      </c>
      <c r="Q5964" s="26" t="str">
        <f>HYPERLINK("https://ictv.global/taxonomy/taxondetails?taxnode_id=202511562&amp;ictv_id=ICTV202011562","ICTV202011562")</f>
        <v>ICTV202011562</v>
      </c>
      <c r="R5964" t="s">
        <v>579</v>
      </c>
      <c r="S5964" t="s">
        <v>824</v>
      </c>
      <c r="T5964">
        <v>37</v>
      </c>
      <c r="U5964" s="26" t="str">
        <f t="shared" si="236"/>
        <v>2021.010B.R.Binomial_names.zip</v>
      </c>
    </row>
    <row r="5965" spans="1:21">
      <c r="A5965">
        <v>5964</v>
      </c>
      <c r="B5965" s="27" t="s">
        <v>1449</v>
      </c>
      <c r="D5965" s="27" t="s">
        <v>1450</v>
      </c>
      <c r="F5965" s="27" t="s">
        <v>1453</v>
      </c>
      <c r="H5965" s="27" t="s">
        <v>1454</v>
      </c>
      <c r="N5965" s="27" t="s">
        <v>1393</v>
      </c>
      <c r="P5965" s="27" t="s">
        <v>7489</v>
      </c>
      <c r="Q5965" s="26" t="str">
        <f>HYPERLINK("https://ictv.global/taxonomy/taxondetails?taxnode_id=202506852&amp;ictv_id=ICTV201856852","ICTV201856852")</f>
        <v>ICTV201856852</v>
      </c>
      <c r="R5965" t="s">
        <v>579</v>
      </c>
      <c r="S5965" t="s">
        <v>824</v>
      </c>
      <c r="T5965">
        <v>37</v>
      </c>
      <c r="U5965" s="26" t="str">
        <f t="shared" si="236"/>
        <v>2021.010B.R.Binomial_names.zip</v>
      </c>
    </row>
    <row r="5966" spans="1:21">
      <c r="A5966">
        <v>5965</v>
      </c>
      <c r="B5966" s="27" t="s">
        <v>1449</v>
      </c>
      <c r="D5966" s="27" t="s">
        <v>1450</v>
      </c>
      <c r="F5966" s="27" t="s">
        <v>1453</v>
      </c>
      <c r="H5966" s="27" t="s">
        <v>1454</v>
      </c>
      <c r="N5966" s="27" t="s">
        <v>22390</v>
      </c>
      <c r="P5966" s="27" t="s">
        <v>22391</v>
      </c>
      <c r="Q5966" s="26" t="str">
        <f>HYPERLINK("https://ictv.global/taxonomy/taxondetails?taxnode_id=202523046&amp;ictv_id=ICTV202523046","ICTV202523046")</f>
        <v>ICTV202523046</v>
      </c>
      <c r="R5966" t="s">
        <v>579</v>
      </c>
      <c r="S5966" t="s">
        <v>823</v>
      </c>
      <c r="T5966">
        <v>41</v>
      </c>
      <c r="U5966" s="26" t="str">
        <f>HYPERLINK("https://ictv.global/ictv/proposals/2025.052B.Nitrunavirus_1ng_1ns.zip","2025.052B.Nitrunavirus_1ng_1ns.zip")</f>
        <v>2025.052B.Nitrunavirus_1ng_1ns.zip</v>
      </c>
    </row>
    <row r="5967" spans="1:21">
      <c r="A5967">
        <v>5966</v>
      </c>
      <c r="B5967" s="27" t="s">
        <v>1449</v>
      </c>
      <c r="D5967" s="27" t="s">
        <v>1450</v>
      </c>
      <c r="F5967" s="27" t="s">
        <v>1453</v>
      </c>
      <c r="H5967" s="27" t="s">
        <v>1454</v>
      </c>
      <c r="N5967" s="27" t="s">
        <v>602</v>
      </c>
      <c r="P5967" s="27" t="s">
        <v>7492</v>
      </c>
      <c r="Q5967" s="26" t="str">
        <f>HYPERLINK("https://ictv.global/taxonomy/taxondetails?taxnode_id=202500674&amp;ictv_id=ICTV20150373","ICTV20150373")</f>
        <v>ICTV20150373</v>
      </c>
      <c r="R5967" t="s">
        <v>579</v>
      </c>
      <c r="S5967" t="s">
        <v>824</v>
      </c>
      <c r="T5967">
        <v>37</v>
      </c>
      <c r="U5967" s="26" t="str">
        <f>HYPERLINK("https://ictv.global/ictv/proposals/2021.010B.R.Binomial_names.zip","2021.010B.R.Binomial_names.zip")</f>
        <v>2021.010B.R.Binomial_names.zip</v>
      </c>
    </row>
    <row r="5968" spans="1:21">
      <c r="A5968">
        <v>5967</v>
      </c>
      <c r="B5968" s="27" t="s">
        <v>1449</v>
      </c>
      <c r="D5968" s="27" t="s">
        <v>1450</v>
      </c>
      <c r="F5968" s="27" t="s">
        <v>1453</v>
      </c>
      <c r="H5968" s="27" t="s">
        <v>1454</v>
      </c>
      <c r="N5968" s="27" t="s">
        <v>602</v>
      </c>
      <c r="P5968" s="27" t="s">
        <v>7493</v>
      </c>
      <c r="Q5968" s="26" t="str">
        <f>HYPERLINK("https://ictv.global/taxonomy/taxondetails?taxnode_id=202500675&amp;ictv_id=ICTV20150374","ICTV20150374")</f>
        <v>ICTV20150374</v>
      </c>
      <c r="R5968" t="s">
        <v>579</v>
      </c>
      <c r="S5968" t="s">
        <v>824</v>
      </c>
      <c r="T5968">
        <v>37</v>
      </c>
      <c r="U5968" s="26" t="str">
        <f>HYPERLINK("https://ictv.global/ictv/proposals/2021.010B.R.Binomial_names.zip","2021.010B.R.Binomial_names.zip")</f>
        <v>2021.010B.R.Binomial_names.zip</v>
      </c>
    </row>
    <row r="5969" spans="1:21">
      <c r="A5969">
        <v>5968</v>
      </c>
      <c r="B5969" s="27" t="s">
        <v>1449</v>
      </c>
      <c r="D5969" s="27" t="s">
        <v>1450</v>
      </c>
      <c r="F5969" s="27" t="s">
        <v>1453</v>
      </c>
      <c r="H5969" s="27" t="s">
        <v>1454</v>
      </c>
      <c r="N5969" s="27" t="s">
        <v>7494</v>
      </c>
      <c r="P5969" s="27" t="s">
        <v>7495</v>
      </c>
      <c r="Q5969" s="26" t="str">
        <f>HYPERLINK("https://ictv.global/taxonomy/taxondetails?taxnode_id=202514696&amp;ictv_id=ICTV202214696","ICTV202214696")</f>
        <v>ICTV202214696</v>
      </c>
      <c r="R5969" t="s">
        <v>579</v>
      </c>
      <c r="S5969" t="s">
        <v>823</v>
      </c>
      <c r="T5969">
        <v>38</v>
      </c>
      <c r="U5969" s="26" t="str">
        <f>HYPERLINK("https://ictv.global/ictv/proposals/2022.057B.Northamptonvirus_ng.zip","2022.057B.Northamptonvirus_ng.zip")</f>
        <v>2022.057B.Northamptonvirus_ng.zip</v>
      </c>
    </row>
    <row r="5970" spans="1:21">
      <c r="A5970">
        <v>5969</v>
      </c>
      <c r="B5970" s="27" t="s">
        <v>1449</v>
      </c>
      <c r="D5970" s="27" t="s">
        <v>1450</v>
      </c>
      <c r="F5970" s="27" t="s">
        <v>1453</v>
      </c>
      <c r="H5970" s="27" t="s">
        <v>1454</v>
      </c>
      <c r="N5970" s="27" t="s">
        <v>7494</v>
      </c>
      <c r="P5970" s="27" t="s">
        <v>7496</v>
      </c>
      <c r="Q5970" s="26" t="str">
        <f>HYPERLINK("https://ictv.global/taxonomy/taxondetails?taxnode_id=202514697&amp;ictv_id=ICTV202214697","ICTV202214697")</f>
        <v>ICTV202214697</v>
      </c>
      <c r="R5970" t="s">
        <v>579</v>
      </c>
      <c r="S5970" t="s">
        <v>823</v>
      </c>
      <c r="T5970">
        <v>38</v>
      </c>
      <c r="U5970" s="26" t="str">
        <f>HYPERLINK("https://ictv.global/ictv/proposals/2022.057B.Northamptonvirus_ng.zip","2022.057B.Northamptonvirus_ng.zip")</f>
        <v>2022.057B.Northamptonvirus_ng.zip</v>
      </c>
    </row>
    <row r="5971" spans="1:21">
      <c r="A5971">
        <v>5970</v>
      </c>
      <c r="B5971" s="27" t="s">
        <v>1449</v>
      </c>
      <c r="D5971" s="27" t="s">
        <v>1450</v>
      </c>
      <c r="F5971" s="27" t="s">
        <v>1453</v>
      </c>
      <c r="H5971" s="27" t="s">
        <v>1454</v>
      </c>
      <c r="N5971" s="27" t="s">
        <v>22392</v>
      </c>
      <c r="P5971" s="27" t="s">
        <v>22394</v>
      </c>
      <c r="Q5971" s="26" t="str">
        <f>HYPERLINK("https://ictv.global/taxonomy/taxondetails?taxnode_id=202523048&amp;ictv_id=ICTV202523048","ICTV202523048")</f>
        <v>ICTV202523048</v>
      </c>
      <c r="R5971" t="s">
        <v>579</v>
      </c>
      <c r="S5971" t="s">
        <v>823</v>
      </c>
      <c r="T5971">
        <v>41</v>
      </c>
      <c r="U5971" s="26" t="str">
        <f>HYPERLINK("https://ictv.global/ictv/proposals/2025.053B.Nubrunavirus_1ng_2ns.zip","2025.053B.Nubrunavirus_1ng_2ns.zip")</f>
        <v>2025.053B.Nubrunavirus_1ng_2ns.zip</v>
      </c>
    </row>
    <row r="5972" spans="1:21">
      <c r="A5972">
        <v>5971</v>
      </c>
      <c r="B5972" s="27" t="s">
        <v>1449</v>
      </c>
      <c r="D5972" s="27" t="s">
        <v>1450</v>
      </c>
      <c r="F5972" s="27" t="s">
        <v>1453</v>
      </c>
      <c r="H5972" s="27" t="s">
        <v>1454</v>
      </c>
      <c r="N5972" s="27" t="s">
        <v>22392</v>
      </c>
      <c r="P5972" s="27" t="s">
        <v>22393</v>
      </c>
      <c r="Q5972" s="26" t="str">
        <f>HYPERLINK("https://ictv.global/taxonomy/taxondetails?taxnode_id=202523047&amp;ictv_id=ICTV202523047","ICTV202523047")</f>
        <v>ICTV202523047</v>
      </c>
      <c r="R5972" t="s">
        <v>579</v>
      </c>
      <c r="S5972" t="s">
        <v>823</v>
      </c>
      <c r="T5972">
        <v>41</v>
      </c>
      <c r="U5972" s="26" t="str">
        <f>HYPERLINK("https://ictv.global/ictv/proposals/2025.053B.Nubrunavirus_1ng_2ns.zip","2025.053B.Nubrunavirus_1ng_2ns.zip")</f>
        <v>2025.053B.Nubrunavirus_1ng_2ns.zip</v>
      </c>
    </row>
    <row r="5973" spans="1:21">
      <c r="A5973">
        <v>5972</v>
      </c>
      <c r="B5973" s="27" t="s">
        <v>1449</v>
      </c>
      <c r="D5973" s="27" t="s">
        <v>1450</v>
      </c>
      <c r="F5973" s="27" t="s">
        <v>1453</v>
      </c>
      <c r="H5973" s="27" t="s">
        <v>1454</v>
      </c>
      <c r="N5973" s="27" t="s">
        <v>1396</v>
      </c>
      <c r="P5973" s="27" t="s">
        <v>7498</v>
      </c>
      <c r="Q5973" s="26" t="str">
        <f>HYPERLINK("https://ictv.global/taxonomy/taxondetails?taxnode_id=202506692&amp;ictv_id=ICTV201856692","ICTV201856692")</f>
        <v>ICTV201856692</v>
      </c>
      <c r="R5973" t="s">
        <v>579</v>
      </c>
      <c r="S5973" t="s">
        <v>824</v>
      </c>
      <c r="T5973">
        <v>37</v>
      </c>
      <c r="U5973" s="26" t="str">
        <f>HYPERLINK("https://ictv.global/ictv/proposals/2021.010B.R.Binomial_names.zip","2021.010B.R.Binomial_names.zip")</f>
        <v>2021.010B.R.Binomial_names.zip</v>
      </c>
    </row>
    <row r="5974" spans="1:21">
      <c r="A5974">
        <v>5973</v>
      </c>
      <c r="B5974" s="27" t="s">
        <v>1449</v>
      </c>
      <c r="D5974" s="27" t="s">
        <v>1450</v>
      </c>
      <c r="F5974" s="27" t="s">
        <v>1453</v>
      </c>
      <c r="H5974" s="27" t="s">
        <v>1454</v>
      </c>
      <c r="N5974" s="27" t="s">
        <v>2114</v>
      </c>
      <c r="P5974" s="27" t="s">
        <v>7499</v>
      </c>
      <c r="Q5974" s="26" t="str">
        <f>HYPERLINK("https://ictv.global/taxonomy/taxondetails?taxnode_id=202511566&amp;ictv_id=ICTV202011566","ICTV202011566")</f>
        <v>ICTV202011566</v>
      </c>
      <c r="R5974" t="s">
        <v>579</v>
      </c>
      <c r="S5974" t="s">
        <v>824</v>
      </c>
      <c r="T5974">
        <v>37</v>
      </c>
      <c r="U5974" s="26" t="str">
        <f>HYPERLINK("https://ictv.global/ictv/proposals/2021.010B.R.Binomial_names.zip","2021.010B.R.Binomial_names.zip")</f>
        <v>2021.010B.R.Binomial_names.zip</v>
      </c>
    </row>
    <row r="5975" spans="1:21">
      <c r="A5975">
        <v>5974</v>
      </c>
      <c r="B5975" s="27" t="s">
        <v>1449</v>
      </c>
      <c r="D5975" s="27" t="s">
        <v>1450</v>
      </c>
      <c r="F5975" s="27" t="s">
        <v>1453</v>
      </c>
      <c r="H5975" s="27" t="s">
        <v>1454</v>
      </c>
      <c r="N5975" s="27" t="s">
        <v>2114</v>
      </c>
      <c r="P5975" s="27" t="s">
        <v>7500</v>
      </c>
      <c r="Q5975" s="26" t="str">
        <f>HYPERLINK("https://ictv.global/taxonomy/taxondetails?taxnode_id=202511567&amp;ictv_id=ICTV202011567","ICTV202011567")</f>
        <v>ICTV202011567</v>
      </c>
      <c r="R5975" t="s">
        <v>579</v>
      </c>
      <c r="S5975" t="s">
        <v>824</v>
      </c>
      <c r="T5975">
        <v>37</v>
      </c>
      <c r="U5975" s="26" t="str">
        <f>HYPERLINK("https://ictv.global/ictv/proposals/2021.010B.R.Binomial_names.zip","2021.010B.R.Binomial_names.zip")</f>
        <v>2021.010B.R.Binomial_names.zip</v>
      </c>
    </row>
    <row r="5976" spans="1:21">
      <c r="A5976">
        <v>5975</v>
      </c>
      <c r="B5976" s="27" t="s">
        <v>1449</v>
      </c>
      <c r="D5976" s="27" t="s">
        <v>1450</v>
      </c>
      <c r="F5976" s="27" t="s">
        <v>1453</v>
      </c>
      <c r="H5976" s="27" t="s">
        <v>1454</v>
      </c>
      <c r="N5976" s="27" t="s">
        <v>22734</v>
      </c>
      <c r="P5976" s="27" t="s">
        <v>22735</v>
      </c>
      <c r="Q5976" s="26" t="str">
        <f>HYPERLINK("https://ictv.global/taxonomy/taxondetails?taxnode_id=202523308&amp;ictv_id=ICTV202523308","ICTV202523308")</f>
        <v>ICTV202523308</v>
      </c>
      <c r="R5976" t="s">
        <v>579</v>
      </c>
      <c r="S5976" t="s">
        <v>823</v>
      </c>
      <c r="T5976">
        <v>41</v>
      </c>
      <c r="U5976" s="26" t="str">
        <f>HYPERLINK("https://ictv.global/ictv/proposals/2025.088B.Caudoviricetes_2ng_2ns.zip","2025.088B.Caudoviricetes_2ng_2ns.zip")</f>
        <v>2025.088B.Caudoviricetes_2ng_2ns.zip</v>
      </c>
    </row>
    <row r="5977" spans="1:21">
      <c r="A5977">
        <v>5976</v>
      </c>
      <c r="B5977" s="27" t="s">
        <v>1449</v>
      </c>
      <c r="D5977" s="27" t="s">
        <v>1450</v>
      </c>
      <c r="F5977" s="27" t="s">
        <v>1453</v>
      </c>
      <c r="H5977" s="27" t="s">
        <v>1454</v>
      </c>
      <c r="N5977" s="27" t="s">
        <v>1776</v>
      </c>
      <c r="P5977" s="27" t="s">
        <v>7504</v>
      </c>
      <c r="Q5977" s="26" t="str">
        <f>HYPERLINK("https://ictv.global/taxonomy/taxondetails?taxnode_id=202508056&amp;ictv_id=ICTV201908056","ICTV201908056")</f>
        <v>ICTV201908056</v>
      </c>
      <c r="R5977" t="s">
        <v>579</v>
      </c>
      <c r="S5977" t="s">
        <v>824</v>
      </c>
      <c r="T5977">
        <v>37</v>
      </c>
      <c r="U5977" s="26" t="str">
        <f t="shared" ref="U5977:U5985" si="237">HYPERLINK("https://ictv.global/ictv/proposals/2021.010B.R.Binomial_names.zip","2021.010B.R.Binomial_names.zip")</f>
        <v>2021.010B.R.Binomial_names.zip</v>
      </c>
    </row>
    <row r="5978" spans="1:21">
      <c r="A5978">
        <v>5977</v>
      </c>
      <c r="B5978" s="27" t="s">
        <v>1449</v>
      </c>
      <c r="D5978" s="27" t="s">
        <v>1450</v>
      </c>
      <c r="F5978" s="27" t="s">
        <v>1453</v>
      </c>
      <c r="H5978" s="27" t="s">
        <v>1454</v>
      </c>
      <c r="N5978" s="27" t="s">
        <v>622</v>
      </c>
      <c r="P5978" s="27" t="s">
        <v>7505</v>
      </c>
      <c r="Q5978" s="26" t="str">
        <f>HYPERLINK("https://ictv.global/taxonomy/taxondetails?taxnode_id=202501095&amp;ictv_id=ICTV20140392","ICTV20140392")</f>
        <v>ICTV20140392</v>
      </c>
      <c r="R5978" t="s">
        <v>579</v>
      </c>
      <c r="S5978" t="s">
        <v>824</v>
      </c>
      <c r="T5978">
        <v>37</v>
      </c>
      <c r="U5978" s="26" t="str">
        <f t="shared" si="237"/>
        <v>2021.010B.R.Binomial_names.zip</v>
      </c>
    </row>
    <row r="5979" spans="1:21">
      <c r="A5979">
        <v>5978</v>
      </c>
      <c r="B5979" s="27" t="s">
        <v>1449</v>
      </c>
      <c r="D5979" s="27" t="s">
        <v>1450</v>
      </c>
      <c r="F5979" s="27" t="s">
        <v>1453</v>
      </c>
      <c r="H5979" s="27" t="s">
        <v>1454</v>
      </c>
      <c r="N5979" s="27" t="s">
        <v>622</v>
      </c>
      <c r="P5979" s="27" t="s">
        <v>7506</v>
      </c>
      <c r="Q5979" s="26" t="str">
        <f>HYPERLINK("https://ictv.global/taxonomy/taxondetails?taxnode_id=202501096&amp;ictv_id=ICTV20140390","ICTV20140390")</f>
        <v>ICTV20140390</v>
      </c>
      <c r="R5979" t="s">
        <v>579</v>
      </c>
      <c r="S5979" t="s">
        <v>824</v>
      </c>
      <c r="T5979">
        <v>37</v>
      </c>
      <c r="U5979" s="26" t="str">
        <f t="shared" si="237"/>
        <v>2021.010B.R.Binomial_names.zip</v>
      </c>
    </row>
    <row r="5980" spans="1:21">
      <c r="A5980">
        <v>5979</v>
      </c>
      <c r="B5980" s="27" t="s">
        <v>1449</v>
      </c>
      <c r="D5980" s="27" t="s">
        <v>1450</v>
      </c>
      <c r="F5980" s="27" t="s">
        <v>1453</v>
      </c>
      <c r="H5980" s="27" t="s">
        <v>1454</v>
      </c>
      <c r="N5980" s="27" t="s">
        <v>622</v>
      </c>
      <c r="P5980" s="27" t="s">
        <v>7507</v>
      </c>
      <c r="Q5980" s="26" t="str">
        <f>HYPERLINK("https://ictv.global/taxonomy/taxondetails?taxnode_id=202501097&amp;ictv_id=ICTV20140389","ICTV20140389")</f>
        <v>ICTV20140389</v>
      </c>
      <c r="R5980" t="s">
        <v>579</v>
      </c>
      <c r="S5980" t="s">
        <v>824</v>
      </c>
      <c r="T5980">
        <v>37</v>
      </c>
      <c r="U5980" s="26" t="str">
        <f t="shared" si="237"/>
        <v>2021.010B.R.Binomial_names.zip</v>
      </c>
    </row>
    <row r="5981" spans="1:21">
      <c r="A5981">
        <v>5980</v>
      </c>
      <c r="B5981" s="27" t="s">
        <v>1449</v>
      </c>
      <c r="D5981" s="27" t="s">
        <v>1450</v>
      </c>
      <c r="F5981" s="27" t="s">
        <v>1453</v>
      </c>
      <c r="H5981" s="27" t="s">
        <v>1454</v>
      </c>
      <c r="N5981" s="27" t="s">
        <v>622</v>
      </c>
      <c r="P5981" s="27" t="s">
        <v>7508</v>
      </c>
      <c r="Q5981" s="26" t="str">
        <f>HYPERLINK("https://ictv.global/taxonomy/taxondetails?taxnode_id=202501098&amp;ictv_id=ICTV20140388","ICTV20140388")</f>
        <v>ICTV20140388</v>
      </c>
      <c r="R5981" t="s">
        <v>579</v>
      </c>
      <c r="S5981" t="s">
        <v>824</v>
      </c>
      <c r="T5981">
        <v>37</v>
      </c>
      <c r="U5981" s="26" t="str">
        <f t="shared" si="237"/>
        <v>2021.010B.R.Binomial_names.zip</v>
      </c>
    </row>
    <row r="5982" spans="1:21">
      <c r="A5982">
        <v>5981</v>
      </c>
      <c r="B5982" s="27" t="s">
        <v>1449</v>
      </c>
      <c r="D5982" s="27" t="s">
        <v>1450</v>
      </c>
      <c r="F5982" s="27" t="s">
        <v>1453</v>
      </c>
      <c r="H5982" s="27" t="s">
        <v>1454</v>
      </c>
      <c r="N5982" s="27" t="s">
        <v>622</v>
      </c>
      <c r="P5982" s="27" t="s">
        <v>7509</v>
      </c>
      <c r="Q5982" s="26" t="str">
        <f>HYPERLINK("https://ictv.global/taxonomy/taxondetails?taxnode_id=202501099&amp;ictv_id=ICTV20140391","ICTV20140391")</f>
        <v>ICTV20140391</v>
      </c>
      <c r="R5982" t="s">
        <v>579</v>
      </c>
      <c r="S5982" t="s">
        <v>824</v>
      </c>
      <c r="T5982">
        <v>37</v>
      </c>
      <c r="U5982" s="26" t="str">
        <f t="shared" si="237"/>
        <v>2021.010B.R.Binomial_names.zip</v>
      </c>
    </row>
    <row r="5983" spans="1:21">
      <c r="A5983">
        <v>5982</v>
      </c>
      <c r="B5983" s="27" t="s">
        <v>1449</v>
      </c>
      <c r="D5983" s="27" t="s">
        <v>1450</v>
      </c>
      <c r="F5983" s="27" t="s">
        <v>1453</v>
      </c>
      <c r="H5983" s="27" t="s">
        <v>1454</v>
      </c>
      <c r="N5983" s="27" t="s">
        <v>622</v>
      </c>
      <c r="P5983" s="27" t="s">
        <v>7510</v>
      </c>
      <c r="Q5983" s="26" t="str">
        <f>HYPERLINK("https://ictv.global/taxonomy/taxondetails?taxnode_id=202501100&amp;ictv_id=ICTV20140393","ICTV20140393")</f>
        <v>ICTV20140393</v>
      </c>
      <c r="R5983" t="s">
        <v>579</v>
      </c>
      <c r="S5983" t="s">
        <v>824</v>
      </c>
      <c r="T5983">
        <v>37</v>
      </c>
      <c r="U5983" s="26" t="str">
        <f t="shared" si="237"/>
        <v>2021.010B.R.Binomial_names.zip</v>
      </c>
    </row>
    <row r="5984" spans="1:21">
      <c r="A5984">
        <v>5983</v>
      </c>
      <c r="B5984" s="27" t="s">
        <v>1449</v>
      </c>
      <c r="D5984" s="27" t="s">
        <v>1450</v>
      </c>
      <c r="F5984" s="27" t="s">
        <v>1453</v>
      </c>
      <c r="H5984" s="27" t="s">
        <v>1454</v>
      </c>
      <c r="N5984" s="27" t="s">
        <v>1777</v>
      </c>
      <c r="P5984" s="27" t="s">
        <v>7511</v>
      </c>
      <c r="Q5984" s="26" t="str">
        <f>HYPERLINK("https://ictv.global/taxonomy/taxondetails?taxnode_id=202507460&amp;ictv_id=ICTV201907460","ICTV201907460")</f>
        <v>ICTV201907460</v>
      </c>
      <c r="R5984" t="s">
        <v>579</v>
      </c>
      <c r="S5984" t="s">
        <v>824</v>
      </c>
      <c r="T5984">
        <v>37</v>
      </c>
      <c r="U5984" s="26" t="str">
        <f t="shared" si="237"/>
        <v>2021.010B.R.Binomial_names.zip</v>
      </c>
    </row>
    <row r="5985" spans="1:21">
      <c r="A5985">
        <v>5984</v>
      </c>
      <c r="B5985" s="27" t="s">
        <v>1449</v>
      </c>
      <c r="D5985" s="27" t="s">
        <v>1450</v>
      </c>
      <c r="F5985" s="27" t="s">
        <v>1453</v>
      </c>
      <c r="H5985" s="27" t="s">
        <v>1454</v>
      </c>
      <c r="N5985" s="27" t="s">
        <v>1777</v>
      </c>
      <c r="P5985" s="27" t="s">
        <v>7512</v>
      </c>
      <c r="Q5985" s="26" t="str">
        <f>HYPERLINK("https://ictv.global/taxonomy/taxondetails?taxnode_id=202501311&amp;ictv_id=ICTV20165090","ICTV20165090")</f>
        <v>ICTV20165090</v>
      </c>
      <c r="R5985" t="s">
        <v>579</v>
      </c>
      <c r="S5985" t="s">
        <v>824</v>
      </c>
      <c r="T5985">
        <v>37</v>
      </c>
      <c r="U5985" s="26" t="str">
        <f t="shared" si="237"/>
        <v>2021.010B.R.Binomial_names.zip</v>
      </c>
    </row>
    <row r="5986" spans="1:21">
      <c r="A5986">
        <v>5985</v>
      </c>
      <c r="B5986" s="27" t="s">
        <v>1449</v>
      </c>
      <c r="D5986" s="27" t="s">
        <v>1450</v>
      </c>
      <c r="F5986" s="27" t="s">
        <v>1453</v>
      </c>
      <c r="H5986" s="27" t="s">
        <v>1454</v>
      </c>
      <c r="N5986" s="27" t="s">
        <v>7513</v>
      </c>
      <c r="P5986" s="27" t="s">
        <v>7514</v>
      </c>
      <c r="Q5986" s="26" t="str">
        <f>HYPERLINK("https://ictv.global/taxonomy/taxondetails?taxnode_id=202514963&amp;ictv_id=ICTV202214963","ICTV202214963")</f>
        <v>ICTV202214963</v>
      </c>
      <c r="R5986" t="s">
        <v>579</v>
      </c>
      <c r="S5986" t="s">
        <v>823</v>
      </c>
      <c r="T5986">
        <v>38</v>
      </c>
      <c r="U5986" s="26" t="str">
        <f>HYPERLINK("https://ictv.global/ictv/proposals/2022.091B.Caudoviricetes_3ng_actinophages.zip","2022.091B.Caudoviricetes_3ng_actinophages.zip")</f>
        <v>2022.091B.Caudoviricetes_3ng_actinophages.zip</v>
      </c>
    </row>
    <row r="5987" spans="1:21">
      <c r="A5987">
        <v>5986</v>
      </c>
      <c r="B5987" s="27" t="s">
        <v>1449</v>
      </c>
      <c r="D5987" s="27" t="s">
        <v>1450</v>
      </c>
      <c r="F5987" s="27" t="s">
        <v>1453</v>
      </c>
      <c r="H5987" s="27" t="s">
        <v>1454</v>
      </c>
      <c r="N5987" s="27" t="s">
        <v>20766</v>
      </c>
      <c r="P5987" s="27" t="s">
        <v>20767</v>
      </c>
      <c r="Q5987" s="26" t="str">
        <f>HYPERLINK("https://ictv.global/taxonomy/taxondetails?taxnode_id=202500517&amp;ictv_id=ICTV20150252","ICTV20150252")</f>
        <v>ICTV20150252</v>
      </c>
      <c r="R5987" t="s">
        <v>579</v>
      </c>
      <c r="S5987" t="s">
        <v>824</v>
      </c>
      <c r="T5987">
        <v>41</v>
      </c>
      <c r="U5987" s="26" t="str">
        <f>HYPERLINK("https://ictv.global/ictv/proposals/2025.066B.Rename_taxa.zip","2025.066B.Rename_taxa.zip")</f>
        <v>2025.066B.Rename_taxa.zip</v>
      </c>
    </row>
    <row r="5988" spans="1:21">
      <c r="A5988">
        <v>5987</v>
      </c>
      <c r="B5988" s="27" t="s">
        <v>1449</v>
      </c>
      <c r="D5988" s="27" t="s">
        <v>1450</v>
      </c>
      <c r="F5988" s="27" t="s">
        <v>1453</v>
      </c>
      <c r="H5988" s="27" t="s">
        <v>1454</v>
      </c>
      <c r="N5988" s="27" t="s">
        <v>20766</v>
      </c>
      <c r="P5988" s="27" t="s">
        <v>20768</v>
      </c>
      <c r="Q5988" s="26" t="str">
        <f>HYPERLINK("https://ictv.global/taxonomy/taxondetails?taxnode_id=202500518&amp;ictv_id=ICTV20150251","ICTV20150251")</f>
        <v>ICTV20150251</v>
      </c>
      <c r="R5988" t="s">
        <v>579</v>
      </c>
      <c r="S5988" t="s">
        <v>824</v>
      </c>
      <c r="T5988">
        <v>41</v>
      </c>
      <c r="U5988" s="26" t="str">
        <f>HYPERLINK("https://ictv.global/ictv/proposals/2025.066B.Rename_taxa.zip","2025.066B.Rename_taxa.zip")</f>
        <v>2025.066B.Rename_taxa.zip</v>
      </c>
    </row>
    <row r="5989" spans="1:21">
      <c r="A5989">
        <v>5988</v>
      </c>
      <c r="B5989" s="27" t="s">
        <v>1449</v>
      </c>
      <c r="D5989" s="27" t="s">
        <v>1450</v>
      </c>
      <c r="F5989" s="27" t="s">
        <v>1453</v>
      </c>
      <c r="H5989" s="27" t="s">
        <v>1454</v>
      </c>
      <c r="N5989" s="27" t="s">
        <v>20766</v>
      </c>
      <c r="P5989" s="27" t="s">
        <v>20769</v>
      </c>
      <c r="Q5989" s="26" t="str">
        <f>HYPERLINK("https://ictv.global/taxonomy/taxondetails?taxnode_id=202500519&amp;ictv_id=ICTV20150253","ICTV20150253")</f>
        <v>ICTV20150253</v>
      </c>
      <c r="R5989" t="s">
        <v>579</v>
      </c>
      <c r="S5989" t="s">
        <v>824</v>
      </c>
      <c r="T5989">
        <v>41</v>
      </c>
      <c r="U5989" s="26" t="str">
        <f>HYPERLINK("https://ictv.global/ictv/proposals/2025.066B.Rename_taxa.zip","2025.066B.Rename_taxa.zip")</f>
        <v>2025.066B.Rename_taxa.zip</v>
      </c>
    </row>
    <row r="5990" spans="1:21">
      <c r="A5990">
        <v>5989</v>
      </c>
      <c r="B5990" s="27" t="s">
        <v>1449</v>
      </c>
      <c r="D5990" s="27" t="s">
        <v>1450</v>
      </c>
      <c r="F5990" s="27" t="s">
        <v>1453</v>
      </c>
      <c r="H5990" s="27" t="s">
        <v>1454</v>
      </c>
      <c r="N5990" s="27" t="s">
        <v>12182</v>
      </c>
      <c r="P5990" s="27" t="s">
        <v>12183</v>
      </c>
      <c r="Q5990" s="26" t="str">
        <f>HYPERLINK("https://ictv.global/taxonomy/taxondetails?taxnode_id=202517763&amp;ictv_id=ICTV202317763","ICTV202317763")</f>
        <v>ICTV202317763</v>
      </c>
      <c r="R5990" t="s">
        <v>579</v>
      </c>
      <c r="S5990" t="s">
        <v>823</v>
      </c>
      <c r="T5990">
        <v>39</v>
      </c>
      <c r="U5990" s="26" t="str">
        <f>HYPERLINK("https://ictv.global/ictv/proposals/2023.003B.Actinobacteriophage_singletons_25ng.zip","2023.003B.Actinobacteriophage_singletons_25ng.zip")</f>
        <v>2023.003B.Actinobacteriophage_singletons_25ng.zip</v>
      </c>
    </row>
    <row r="5991" spans="1:21">
      <c r="A5991">
        <v>5990</v>
      </c>
      <c r="B5991" s="27" t="s">
        <v>1449</v>
      </c>
      <c r="D5991" s="27" t="s">
        <v>1450</v>
      </c>
      <c r="F5991" s="27" t="s">
        <v>1453</v>
      </c>
      <c r="H5991" s="27" t="s">
        <v>1454</v>
      </c>
      <c r="N5991" s="27" t="s">
        <v>1397</v>
      </c>
      <c r="P5991" s="27" t="s">
        <v>7515</v>
      </c>
      <c r="Q5991" s="26" t="str">
        <f>HYPERLINK("https://ictv.global/taxonomy/taxondetails?taxnode_id=202501108&amp;ictv_id=ICTV20140426","ICTV20140426")</f>
        <v>ICTV20140426</v>
      </c>
      <c r="R5991" t="s">
        <v>579</v>
      </c>
      <c r="S5991" t="s">
        <v>824</v>
      </c>
      <c r="T5991">
        <v>37</v>
      </c>
      <c r="U5991" s="26" t="str">
        <f>HYPERLINK("https://ictv.global/ictv/proposals/2021.010B.R.Binomial_names.zip","2021.010B.R.Binomial_names.zip")</f>
        <v>2021.010B.R.Binomial_names.zip</v>
      </c>
    </row>
    <row r="5992" spans="1:21">
      <c r="A5992">
        <v>5991</v>
      </c>
      <c r="B5992" s="27" t="s">
        <v>1449</v>
      </c>
      <c r="D5992" s="27" t="s">
        <v>1450</v>
      </c>
      <c r="F5992" s="27" t="s">
        <v>1453</v>
      </c>
      <c r="H5992" s="27" t="s">
        <v>1454</v>
      </c>
      <c r="N5992" s="27" t="s">
        <v>1397</v>
      </c>
      <c r="P5992" s="27" t="s">
        <v>7516</v>
      </c>
      <c r="Q5992" s="26" t="str">
        <f>HYPERLINK("https://ictv.global/taxonomy/taxondetails?taxnode_id=202501109&amp;ictv_id=ICTV20140427","ICTV20140427")</f>
        <v>ICTV20140427</v>
      </c>
      <c r="R5992" t="s">
        <v>579</v>
      </c>
      <c r="S5992" t="s">
        <v>824</v>
      </c>
      <c r="T5992">
        <v>37</v>
      </c>
      <c r="U5992" s="26" t="str">
        <f>HYPERLINK("https://ictv.global/ictv/proposals/2021.010B.R.Binomial_names.zip","2021.010B.R.Binomial_names.zip")</f>
        <v>2021.010B.R.Binomial_names.zip</v>
      </c>
    </row>
    <row r="5993" spans="1:21">
      <c r="A5993">
        <v>5992</v>
      </c>
      <c r="B5993" s="27" t="s">
        <v>1449</v>
      </c>
      <c r="D5993" s="27" t="s">
        <v>1450</v>
      </c>
      <c r="F5993" s="27" t="s">
        <v>1453</v>
      </c>
      <c r="H5993" s="27" t="s">
        <v>1454</v>
      </c>
      <c r="N5993" s="27" t="s">
        <v>7518</v>
      </c>
      <c r="P5993" s="27" t="s">
        <v>7519</v>
      </c>
      <c r="Q5993" s="26" t="str">
        <f>HYPERLINK("https://ictv.global/taxonomy/taxondetails?taxnode_id=202514714&amp;ictv_id=ICTV202214714","ICTV202214714")</f>
        <v>ICTV202214714</v>
      </c>
      <c r="R5993" t="s">
        <v>579</v>
      </c>
      <c r="S5993" t="s">
        <v>823</v>
      </c>
      <c r="T5993">
        <v>38</v>
      </c>
      <c r="U5993" s="26" t="str">
        <f t="shared" ref="U5993:U6004" si="238">HYPERLINK("https://ictv.global/ictv/proposals/2022.060B.Packlarkvirus_ng.zip","2022.060B.Packlarkvirus_ng.zip")</f>
        <v>2022.060B.Packlarkvirus_ng.zip</v>
      </c>
    </row>
    <row r="5994" spans="1:21">
      <c r="A5994">
        <v>5993</v>
      </c>
      <c r="B5994" s="27" t="s">
        <v>1449</v>
      </c>
      <c r="D5994" s="27" t="s">
        <v>1450</v>
      </c>
      <c r="F5994" s="27" t="s">
        <v>1453</v>
      </c>
      <c r="H5994" s="27" t="s">
        <v>1454</v>
      </c>
      <c r="N5994" s="27" t="s">
        <v>7518</v>
      </c>
      <c r="P5994" s="27" t="s">
        <v>7520</v>
      </c>
      <c r="Q5994" s="26" t="str">
        <f>HYPERLINK("https://ictv.global/taxonomy/taxondetails?taxnode_id=202514711&amp;ictv_id=ICTV202214711","ICTV202214711")</f>
        <v>ICTV202214711</v>
      </c>
      <c r="R5994" t="s">
        <v>579</v>
      </c>
      <c r="S5994" t="s">
        <v>823</v>
      </c>
      <c r="T5994">
        <v>38</v>
      </c>
      <c r="U5994" s="26" t="str">
        <f t="shared" si="238"/>
        <v>2022.060B.Packlarkvirus_ng.zip</v>
      </c>
    </row>
    <row r="5995" spans="1:21">
      <c r="A5995">
        <v>5994</v>
      </c>
      <c r="B5995" s="27" t="s">
        <v>1449</v>
      </c>
      <c r="D5995" s="27" t="s">
        <v>1450</v>
      </c>
      <c r="F5995" s="27" t="s">
        <v>1453</v>
      </c>
      <c r="H5995" s="27" t="s">
        <v>1454</v>
      </c>
      <c r="N5995" s="27" t="s">
        <v>7518</v>
      </c>
      <c r="P5995" s="27" t="s">
        <v>7521</v>
      </c>
      <c r="Q5995" s="26" t="str">
        <f>HYPERLINK("https://ictv.global/taxonomy/taxondetails?taxnode_id=202514709&amp;ictv_id=ICTV202214709","ICTV202214709")</f>
        <v>ICTV202214709</v>
      </c>
      <c r="R5995" t="s">
        <v>579</v>
      </c>
      <c r="S5995" t="s">
        <v>823</v>
      </c>
      <c r="T5995">
        <v>38</v>
      </c>
      <c r="U5995" s="26" t="str">
        <f t="shared" si="238"/>
        <v>2022.060B.Packlarkvirus_ng.zip</v>
      </c>
    </row>
    <row r="5996" spans="1:21">
      <c r="A5996">
        <v>5995</v>
      </c>
      <c r="B5996" s="27" t="s">
        <v>1449</v>
      </c>
      <c r="D5996" s="27" t="s">
        <v>1450</v>
      </c>
      <c r="F5996" s="27" t="s">
        <v>1453</v>
      </c>
      <c r="H5996" s="27" t="s">
        <v>1454</v>
      </c>
      <c r="N5996" s="27" t="s">
        <v>7518</v>
      </c>
      <c r="P5996" s="27" t="s">
        <v>7522</v>
      </c>
      <c r="Q5996" s="26" t="str">
        <f>HYPERLINK("https://ictv.global/taxonomy/taxondetails?taxnode_id=202514710&amp;ictv_id=ICTV202214710","ICTV202214710")</f>
        <v>ICTV202214710</v>
      </c>
      <c r="R5996" t="s">
        <v>579</v>
      </c>
      <c r="S5996" t="s">
        <v>823</v>
      </c>
      <c r="T5996">
        <v>38</v>
      </c>
      <c r="U5996" s="26" t="str">
        <f t="shared" si="238"/>
        <v>2022.060B.Packlarkvirus_ng.zip</v>
      </c>
    </row>
    <row r="5997" spans="1:21">
      <c r="A5997">
        <v>5996</v>
      </c>
      <c r="B5997" s="27" t="s">
        <v>1449</v>
      </c>
      <c r="D5997" s="27" t="s">
        <v>1450</v>
      </c>
      <c r="F5997" s="27" t="s">
        <v>1453</v>
      </c>
      <c r="H5997" s="27" t="s">
        <v>1454</v>
      </c>
      <c r="N5997" s="27" t="s">
        <v>7518</v>
      </c>
      <c r="P5997" s="27" t="s">
        <v>7523</v>
      </c>
      <c r="Q5997" s="26" t="str">
        <f>HYPERLINK("https://ictv.global/taxonomy/taxondetails?taxnode_id=202514713&amp;ictv_id=ICTV202214713","ICTV202214713")</f>
        <v>ICTV202214713</v>
      </c>
      <c r="R5997" t="s">
        <v>579</v>
      </c>
      <c r="S5997" t="s">
        <v>823</v>
      </c>
      <c r="T5997">
        <v>38</v>
      </c>
      <c r="U5997" s="26" t="str">
        <f t="shared" si="238"/>
        <v>2022.060B.Packlarkvirus_ng.zip</v>
      </c>
    </row>
    <row r="5998" spans="1:21">
      <c r="A5998">
        <v>5997</v>
      </c>
      <c r="B5998" s="27" t="s">
        <v>1449</v>
      </c>
      <c r="D5998" s="27" t="s">
        <v>1450</v>
      </c>
      <c r="F5998" s="27" t="s">
        <v>1453</v>
      </c>
      <c r="H5998" s="27" t="s">
        <v>1454</v>
      </c>
      <c r="N5998" s="27" t="s">
        <v>7518</v>
      </c>
      <c r="P5998" s="27" t="s">
        <v>7524</v>
      </c>
      <c r="Q5998" s="26" t="str">
        <f>HYPERLINK("https://ictv.global/taxonomy/taxondetails?taxnode_id=202514715&amp;ictv_id=ICTV202214715","ICTV202214715")</f>
        <v>ICTV202214715</v>
      </c>
      <c r="R5998" t="s">
        <v>579</v>
      </c>
      <c r="S5998" t="s">
        <v>823</v>
      </c>
      <c r="T5998">
        <v>38</v>
      </c>
      <c r="U5998" s="26" t="str">
        <f t="shared" si="238"/>
        <v>2022.060B.Packlarkvirus_ng.zip</v>
      </c>
    </row>
    <row r="5999" spans="1:21">
      <c r="A5999">
        <v>5998</v>
      </c>
      <c r="B5999" s="27" t="s">
        <v>1449</v>
      </c>
      <c r="D5999" s="27" t="s">
        <v>1450</v>
      </c>
      <c r="F5999" s="27" t="s">
        <v>1453</v>
      </c>
      <c r="H5999" s="27" t="s">
        <v>1454</v>
      </c>
      <c r="N5999" s="27" t="s">
        <v>7518</v>
      </c>
      <c r="P5999" s="27" t="s">
        <v>7525</v>
      </c>
      <c r="Q5999" s="26" t="str">
        <f>HYPERLINK("https://ictv.global/taxonomy/taxondetails?taxnode_id=202514707&amp;ictv_id=ICTV202214707","ICTV202214707")</f>
        <v>ICTV202214707</v>
      </c>
      <c r="R5999" t="s">
        <v>579</v>
      </c>
      <c r="S5999" t="s">
        <v>823</v>
      </c>
      <c r="T5999">
        <v>38</v>
      </c>
      <c r="U5999" s="26" t="str">
        <f t="shared" si="238"/>
        <v>2022.060B.Packlarkvirus_ng.zip</v>
      </c>
    </row>
    <row r="6000" spans="1:21">
      <c r="A6000">
        <v>5999</v>
      </c>
      <c r="B6000" s="27" t="s">
        <v>1449</v>
      </c>
      <c r="D6000" s="27" t="s">
        <v>1450</v>
      </c>
      <c r="F6000" s="27" t="s">
        <v>1453</v>
      </c>
      <c r="H6000" s="27" t="s">
        <v>1454</v>
      </c>
      <c r="N6000" s="27" t="s">
        <v>7518</v>
      </c>
      <c r="P6000" s="27" t="s">
        <v>7526</v>
      </c>
      <c r="Q6000" s="26" t="str">
        <f>HYPERLINK("https://ictv.global/taxonomy/taxondetails?taxnode_id=202514708&amp;ictv_id=ICTV202214708","ICTV202214708")</f>
        <v>ICTV202214708</v>
      </c>
      <c r="R6000" t="s">
        <v>579</v>
      </c>
      <c r="S6000" t="s">
        <v>823</v>
      </c>
      <c r="T6000">
        <v>38</v>
      </c>
      <c r="U6000" s="26" t="str">
        <f t="shared" si="238"/>
        <v>2022.060B.Packlarkvirus_ng.zip</v>
      </c>
    </row>
    <row r="6001" spans="1:21">
      <c r="A6001">
        <v>6000</v>
      </c>
      <c r="B6001" s="27" t="s">
        <v>1449</v>
      </c>
      <c r="D6001" s="27" t="s">
        <v>1450</v>
      </c>
      <c r="F6001" s="27" t="s">
        <v>1453</v>
      </c>
      <c r="H6001" s="27" t="s">
        <v>1454</v>
      </c>
      <c r="N6001" s="27" t="s">
        <v>7518</v>
      </c>
      <c r="P6001" s="27" t="s">
        <v>7527</v>
      </c>
      <c r="Q6001" s="26" t="str">
        <f>HYPERLINK("https://ictv.global/taxonomy/taxondetails?taxnode_id=202514706&amp;ictv_id=ICTV202214706","ICTV202214706")</f>
        <v>ICTV202214706</v>
      </c>
      <c r="R6001" t="s">
        <v>579</v>
      </c>
      <c r="S6001" t="s">
        <v>823</v>
      </c>
      <c r="T6001">
        <v>38</v>
      </c>
      <c r="U6001" s="26" t="str">
        <f t="shared" si="238"/>
        <v>2022.060B.Packlarkvirus_ng.zip</v>
      </c>
    </row>
    <row r="6002" spans="1:21">
      <c r="A6002">
        <v>6001</v>
      </c>
      <c r="B6002" s="27" t="s">
        <v>1449</v>
      </c>
      <c r="D6002" s="27" t="s">
        <v>1450</v>
      </c>
      <c r="F6002" s="27" t="s">
        <v>1453</v>
      </c>
      <c r="H6002" s="27" t="s">
        <v>1454</v>
      </c>
      <c r="N6002" s="27" t="s">
        <v>7518</v>
      </c>
      <c r="P6002" s="27" t="s">
        <v>7528</v>
      </c>
      <c r="Q6002" s="26" t="str">
        <f>HYPERLINK("https://ictv.global/taxonomy/taxondetails?taxnode_id=202514716&amp;ictv_id=ICTV202214716","ICTV202214716")</f>
        <v>ICTV202214716</v>
      </c>
      <c r="R6002" t="s">
        <v>579</v>
      </c>
      <c r="S6002" t="s">
        <v>823</v>
      </c>
      <c r="T6002">
        <v>38</v>
      </c>
      <c r="U6002" s="26" t="str">
        <f t="shared" si="238"/>
        <v>2022.060B.Packlarkvirus_ng.zip</v>
      </c>
    </row>
    <row r="6003" spans="1:21">
      <c r="A6003">
        <v>6002</v>
      </c>
      <c r="B6003" s="27" t="s">
        <v>1449</v>
      </c>
      <c r="D6003" s="27" t="s">
        <v>1450</v>
      </c>
      <c r="F6003" s="27" t="s">
        <v>1453</v>
      </c>
      <c r="H6003" s="27" t="s">
        <v>1454</v>
      </c>
      <c r="N6003" s="27" t="s">
        <v>7518</v>
      </c>
      <c r="P6003" s="27" t="s">
        <v>7529</v>
      </c>
      <c r="Q6003" s="26" t="str">
        <f>HYPERLINK("https://ictv.global/taxonomy/taxondetails?taxnode_id=202514705&amp;ictv_id=ICTV202214705","ICTV202214705")</f>
        <v>ICTV202214705</v>
      </c>
      <c r="R6003" t="s">
        <v>579</v>
      </c>
      <c r="S6003" t="s">
        <v>823</v>
      </c>
      <c r="T6003">
        <v>38</v>
      </c>
      <c r="U6003" s="26" t="str">
        <f t="shared" si="238"/>
        <v>2022.060B.Packlarkvirus_ng.zip</v>
      </c>
    </row>
    <row r="6004" spans="1:21">
      <c r="A6004">
        <v>6003</v>
      </c>
      <c r="B6004" s="27" t="s">
        <v>1449</v>
      </c>
      <c r="D6004" s="27" t="s">
        <v>1450</v>
      </c>
      <c r="F6004" s="27" t="s">
        <v>1453</v>
      </c>
      <c r="H6004" s="27" t="s">
        <v>1454</v>
      </c>
      <c r="N6004" s="27" t="s">
        <v>7518</v>
      </c>
      <c r="P6004" s="27" t="s">
        <v>7530</v>
      </c>
      <c r="Q6004" s="26" t="str">
        <f>HYPERLINK("https://ictv.global/taxonomy/taxondetails?taxnode_id=202514712&amp;ictv_id=ICTV202214712","ICTV202214712")</f>
        <v>ICTV202214712</v>
      </c>
      <c r="R6004" t="s">
        <v>579</v>
      </c>
      <c r="S6004" t="s">
        <v>823</v>
      </c>
      <c r="T6004">
        <v>38</v>
      </c>
      <c r="U6004" s="26" t="str">
        <f t="shared" si="238"/>
        <v>2022.060B.Packlarkvirus_ng.zip</v>
      </c>
    </row>
    <row r="6005" spans="1:21">
      <c r="A6005">
        <v>6004</v>
      </c>
      <c r="B6005" s="27" t="s">
        <v>1449</v>
      </c>
      <c r="D6005" s="27" t="s">
        <v>1450</v>
      </c>
      <c r="F6005" s="27" t="s">
        <v>1453</v>
      </c>
      <c r="H6005" s="27" t="s">
        <v>1454</v>
      </c>
      <c r="N6005" s="27" t="s">
        <v>603</v>
      </c>
      <c r="P6005" s="27" t="s">
        <v>7531</v>
      </c>
      <c r="Q6005" s="26" t="str">
        <f>HYPERLINK("https://ictv.global/taxonomy/taxondetails?taxnode_id=202500682&amp;ictv_id=ICTV20150355","ICTV20150355")</f>
        <v>ICTV20150355</v>
      </c>
      <c r="R6005" t="s">
        <v>579</v>
      </c>
      <c r="S6005" t="s">
        <v>824</v>
      </c>
      <c r="T6005">
        <v>37</v>
      </c>
      <c r="U6005" s="26" t="str">
        <f t="shared" ref="U6005:U6036" si="239">HYPERLINK("https://ictv.global/ictv/proposals/2021.010B.R.Binomial_names.zip","2021.010B.R.Binomial_names.zip")</f>
        <v>2021.010B.R.Binomial_names.zip</v>
      </c>
    </row>
    <row r="6006" spans="1:21">
      <c r="A6006">
        <v>6005</v>
      </c>
      <c r="B6006" s="27" t="s">
        <v>1449</v>
      </c>
      <c r="D6006" s="27" t="s">
        <v>1450</v>
      </c>
      <c r="F6006" s="27" t="s">
        <v>1453</v>
      </c>
      <c r="H6006" s="27" t="s">
        <v>1454</v>
      </c>
      <c r="N6006" s="27" t="s">
        <v>603</v>
      </c>
      <c r="P6006" s="27" t="s">
        <v>7532</v>
      </c>
      <c r="Q6006" s="26" t="str">
        <f>HYPERLINK("https://ictv.global/taxonomy/taxondetails?taxnode_id=202500683&amp;ictv_id=ICTV20150358","ICTV20150358")</f>
        <v>ICTV20150358</v>
      </c>
      <c r="R6006" t="s">
        <v>579</v>
      </c>
      <c r="S6006" t="s">
        <v>824</v>
      </c>
      <c r="T6006">
        <v>37</v>
      </c>
      <c r="U6006" s="26" t="str">
        <f t="shared" si="239"/>
        <v>2021.010B.R.Binomial_names.zip</v>
      </c>
    </row>
    <row r="6007" spans="1:21">
      <c r="A6007">
        <v>6006</v>
      </c>
      <c r="B6007" s="27" t="s">
        <v>1449</v>
      </c>
      <c r="D6007" s="27" t="s">
        <v>1450</v>
      </c>
      <c r="F6007" s="27" t="s">
        <v>1453</v>
      </c>
      <c r="H6007" s="27" t="s">
        <v>1454</v>
      </c>
      <c r="N6007" s="27" t="s">
        <v>603</v>
      </c>
      <c r="P6007" s="27" t="s">
        <v>7533</v>
      </c>
      <c r="Q6007" s="26" t="str">
        <f>HYPERLINK("https://ictv.global/taxonomy/taxondetails?taxnode_id=202500684&amp;ictv_id=ICTV20150359","ICTV20150359")</f>
        <v>ICTV20150359</v>
      </c>
      <c r="R6007" t="s">
        <v>579</v>
      </c>
      <c r="S6007" t="s">
        <v>824</v>
      </c>
      <c r="T6007">
        <v>37</v>
      </c>
      <c r="U6007" s="26" t="str">
        <f t="shared" si="239"/>
        <v>2021.010B.R.Binomial_names.zip</v>
      </c>
    </row>
    <row r="6008" spans="1:21">
      <c r="A6008">
        <v>6007</v>
      </c>
      <c r="B6008" s="27" t="s">
        <v>1449</v>
      </c>
      <c r="D6008" s="27" t="s">
        <v>1450</v>
      </c>
      <c r="F6008" s="27" t="s">
        <v>1453</v>
      </c>
      <c r="H6008" s="27" t="s">
        <v>1454</v>
      </c>
      <c r="N6008" s="27" t="s">
        <v>603</v>
      </c>
      <c r="P6008" s="27" t="s">
        <v>7534</v>
      </c>
      <c r="Q6008" s="26" t="str">
        <f>HYPERLINK("https://ictv.global/taxonomy/taxondetails?taxnode_id=202500685&amp;ictv_id=ICTV20150356","ICTV20150356")</f>
        <v>ICTV20150356</v>
      </c>
      <c r="R6008" t="s">
        <v>579</v>
      </c>
      <c r="S6008" t="s">
        <v>824</v>
      </c>
      <c r="T6008">
        <v>37</v>
      </c>
      <c r="U6008" s="26" t="str">
        <f t="shared" si="239"/>
        <v>2021.010B.R.Binomial_names.zip</v>
      </c>
    </row>
    <row r="6009" spans="1:21">
      <c r="A6009">
        <v>6008</v>
      </c>
      <c r="B6009" s="27" t="s">
        <v>1449</v>
      </c>
      <c r="D6009" s="27" t="s">
        <v>1450</v>
      </c>
      <c r="F6009" s="27" t="s">
        <v>1453</v>
      </c>
      <c r="H6009" s="27" t="s">
        <v>1454</v>
      </c>
      <c r="N6009" s="27" t="s">
        <v>603</v>
      </c>
      <c r="P6009" s="27" t="s">
        <v>7535</v>
      </c>
      <c r="Q6009" s="26" t="str">
        <f>HYPERLINK("https://ictv.global/taxonomy/taxondetails?taxnode_id=202500686&amp;ictv_id=ICTV20150357","ICTV20150357")</f>
        <v>ICTV20150357</v>
      </c>
      <c r="R6009" t="s">
        <v>579</v>
      </c>
      <c r="S6009" t="s">
        <v>824</v>
      </c>
      <c r="T6009">
        <v>37</v>
      </c>
      <c r="U6009" s="26" t="str">
        <f t="shared" si="239"/>
        <v>2021.010B.R.Binomial_names.zip</v>
      </c>
    </row>
    <row r="6010" spans="1:21">
      <c r="A6010">
        <v>6009</v>
      </c>
      <c r="B6010" s="27" t="s">
        <v>1449</v>
      </c>
      <c r="D6010" s="27" t="s">
        <v>1450</v>
      </c>
      <c r="F6010" s="27" t="s">
        <v>1453</v>
      </c>
      <c r="H6010" s="27" t="s">
        <v>1454</v>
      </c>
      <c r="N6010" s="27" t="s">
        <v>1398</v>
      </c>
      <c r="P6010" s="27" t="s">
        <v>7536</v>
      </c>
      <c r="Q6010" s="26" t="str">
        <f>HYPERLINK("https://ictv.global/taxonomy/taxondetails?taxnode_id=202501117&amp;ictv_id=ICTV20165021","ICTV20165021")</f>
        <v>ICTV20165021</v>
      </c>
      <c r="R6010" t="s">
        <v>579</v>
      </c>
      <c r="S6010" t="s">
        <v>824</v>
      </c>
      <c r="T6010">
        <v>37</v>
      </c>
      <c r="U6010" s="26" t="str">
        <f t="shared" si="239"/>
        <v>2021.010B.R.Binomial_names.zip</v>
      </c>
    </row>
    <row r="6011" spans="1:21">
      <c r="A6011">
        <v>6010</v>
      </c>
      <c r="B6011" s="27" t="s">
        <v>1449</v>
      </c>
      <c r="D6011" s="27" t="s">
        <v>1450</v>
      </c>
      <c r="F6011" s="27" t="s">
        <v>1453</v>
      </c>
      <c r="H6011" s="27" t="s">
        <v>1454</v>
      </c>
      <c r="N6011" s="27" t="s">
        <v>1398</v>
      </c>
      <c r="P6011" s="27" t="s">
        <v>7537</v>
      </c>
      <c r="Q6011" s="26" t="str">
        <f>HYPERLINK("https://ictv.global/taxonomy/taxondetails?taxnode_id=202501118&amp;ictv_id=ICTV20165022","ICTV20165022")</f>
        <v>ICTV20165022</v>
      </c>
      <c r="R6011" t="s">
        <v>579</v>
      </c>
      <c r="S6011" t="s">
        <v>824</v>
      </c>
      <c r="T6011">
        <v>37</v>
      </c>
      <c r="U6011" s="26" t="str">
        <f t="shared" si="239"/>
        <v>2021.010B.R.Binomial_names.zip</v>
      </c>
    </row>
    <row r="6012" spans="1:21">
      <c r="A6012">
        <v>6011</v>
      </c>
      <c r="B6012" s="27" t="s">
        <v>1449</v>
      </c>
      <c r="D6012" s="27" t="s">
        <v>1450</v>
      </c>
      <c r="F6012" s="27" t="s">
        <v>1453</v>
      </c>
      <c r="H6012" s="27" t="s">
        <v>1454</v>
      </c>
      <c r="N6012" s="27" t="s">
        <v>1398</v>
      </c>
      <c r="P6012" s="27" t="s">
        <v>7538</v>
      </c>
      <c r="Q6012" s="26" t="str">
        <f>HYPERLINK("https://ictv.global/taxonomy/taxondetails?taxnode_id=202501119&amp;ictv_id=ICTV20165023","ICTV20165023")</f>
        <v>ICTV20165023</v>
      </c>
      <c r="R6012" t="s">
        <v>579</v>
      </c>
      <c r="S6012" t="s">
        <v>824</v>
      </c>
      <c r="T6012">
        <v>37</v>
      </c>
      <c r="U6012" s="26" t="str">
        <f t="shared" si="239"/>
        <v>2021.010B.R.Binomial_names.zip</v>
      </c>
    </row>
    <row r="6013" spans="1:21">
      <c r="A6013">
        <v>6012</v>
      </c>
      <c r="B6013" s="27" t="s">
        <v>1449</v>
      </c>
      <c r="D6013" s="27" t="s">
        <v>1450</v>
      </c>
      <c r="F6013" s="27" t="s">
        <v>1453</v>
      </c>
      <c r="H6013" s="27" t="s">
        <v>1454</v>
      </c>
      <c r="N6013" s="27" t="s">
        <v>1398</v>
      </c>
      <c r="P6013" s="27" t="s">
        <v>7539</v>
      </c>
      <c r="Q6013" s="26" t="str">
        <f>HYPERLINK("https://ictv.global/taxonomy/taxondetails?taxnode_id=202501120&amp;ictv_id=ICTV20165024","ICTV20165024")</f>
        <v>ICTV20165024</v>
      </c>
      <c r="R6013" t="s">
        <v>579</v>
      </c>
      <c r="S6013" t="s">
        <v>824</v>
      </c>
      <c r="T6013">
        <v>37</v>
      </c>
      <c r="U6013" s="26" t="str">
        <f t="shared" si="239"/>
        <v>2021.010B.R.Binomial_names.zip</v>
      </c>
    </row>
    <row r="6014" spans="1:21">
      <c r="A6014">
        <v>6013</v>
      </c>
      <c r="B6014" s="27" t="s">
        <v>1449</v>
      </c>
      <c r="D6014" s="27" t="s">
        <v>1450</v>
      </c>
      <c r="F6014" s="27" t="s">
        <v>1453</v>
      </c>
      <c r="H6014" s="27" t="s">
        <v>1454</v>
      </c>
      <c r="N6014" s="27" t="s">
        <v>1398</v>
      </c>
      <c r="P6014" s="27" t="s">
        <v>7540</v>
      </c>
      <c r="Q6014" s="26" t="str">
        <f>HYPERLINK("https://ictv.global/taxonomy/taxondetails?taxnode_id=202501121&amp;ictv_id=ICTV20165025","ICTV20165025")</f>
        <v>ICTV20165025</v>
      </c>
      <c r="R6014" t="s">
        <v>579</v>
      </c>
      <c r="S6014" t="s">
        <v>824</v>
      </c>
      <c r="T6014">
        <v>37</v>
      </c>
      <c r="U6014" s="26" t="str">
        <f t="shared" si="239"/>
        <v>2021.010B.R.Binomial_names.zip</v>
      </c>
    </row>
    <row r="6015" spans="1:21">
      <c r="A6015">
        <v>6014</v>
      </c>
      <c r="B6015" s="27" t="s">
        <v>1449</v>
      </c>
      <c r="D6015" s="27" t="s">
        <v>1450</v>
      </c>
      <c r="F6015" s="27" t="s">
        <v>1453</v>
      </c>
      <c r="H6015" s="27" t="s">
        <v>1454</v>
      </c>
      <c r="N6015" s="27" t="s">
        <v>1398</v>
      </c>
      <c r="P6015" s="27" t="s">
        <v>7541</v>
      </c>
      <c r="Q6015" s="26" t="str">
        <f>HYPERLINK("https://ictv.global/taxonomy/taxondetails?taxnode_id=202501122&amp;ictv_id=ICTV20165026","ICTV20165026")</f>
        <v>ICTV20165026</v>
      </c>
      <c r="R6015" t="s">
        <v>579</v>
      </c>
      <c r="S6015" t="s">
        <v>824</v>
      </c>
      <c r="T6015">
        <v>37</v>
      </c>
      <c r="U6015" s="26" t="str">
        <f t="shared" si="239"/>
        <v>2021.010B.R.Binomial_names.zip</v>
      </c>
    </row>
    <row r="6016" spans="1:21">
      <c r="A6016">
        <v>6015</v>
      </c>
      <c r="B6016" s="27" t="s">
        <v>1449</v>
      </c>
      <c r="D6016" s="27" t="s">
        <v>1450</v>
      </c>
      <c r="F6016" s="27" t="s">
        <v>1453</v>
      </c>
      <c r="H6016" s="27" t="s">
        <v>1454</v>
      </c>
      <c r="N6016" s="27" t="s">
        <v>1398</v>
      </c>
      <c r="P6016" s="27" t="s">
        <v>7542</v>
      </c>
      <c r="Q6016" s="26" t="str">
        <f>HYPERLINK("https://ictv.global/taxonomy/taxondetails?taxnode_id=202501123&amp;ictv_id=ICTV20165027","ICTV20165027")</f>
        <v>ICTV20165027</v>
      </c>
      <c r="R6016" t="s">
        <v>579</v>
      </c>
      <c r="S6016" t="s">
        <v>824</v>
      </c>
      <c r="T6016">
        <v>37</v>
      </c>
      <c r="U6016" s="26" t="str">
        <f t="shared" si="239"/>
        <v>2021.010B.R.Binomial_names.zip</v>
      </c>
    </row>
    <row r="6017" spans="1:21">
      <c r="A6017">
        <v>6016</v>
      </c>
      <c r="B6017" s="27" t="s">
        <v>1449</v>
      </c>
      <c r="D6017" s="27" t="s">
        <v>1450</v>
      </c>
      <c r="F6017" s="27" t="s">
        <v>1453</v>
      </c>
      <c r="H6017" s="27" t="s">
        <v>1454</v>
      </c>
      <c r="N6017" s="27" t="s">
        <v>1398</v>
      </c>
      <c r="P6017" s="27" t="s">
        <v>7543</v>
      </c>
      <c r="Q6017" s="26" t="str">
        <f>HYPERLINK("https://ictv.global/taxonomy/taxondetails?taxnode_id=202501124&amp;ictv_id=ICTV20165028","ICTV20165028")</f>
        <v>ICTV20165028</v>
      </c>
      <c r="R6017" t="s">
        <v>579</v>
      </c>
      <c r="S6017" t="s">
        <v>824</v>
      </c>
      <c r="T6017">
        <v>37</v>
      </c>
      <c r="U6017" s="26" t="str">
        <f t="shared" si="239"/>
        <v>2021.010B.R.Binomial_names.zip</v>
      </c>
    </row>
    <row r="6018" spans="1:21">
      <c r="A6018">
        <v>6017</v>
      </c>
      <c r="B6018" s="27" t="s">
        <v>1449</v>
      </c>
      <c r="D6018" s="27" t="s">
        <v>1450</v>
      </c>
      <c r="F6018" s="27" t="s">
        <v>1453</v>
      </c>
      <c r="H6018" s="27" t="s">
        <v>1454</v>
      </c>
      <c r="N6018" s="27" t="s">
        <v>1398</v>
      </c>
      <c r="P6018" s="27" t="s">
        <v>7544</v>
      </c>
      <c r="Q6018" s="26" t="str">
        <f>HYPERLINK("https://ictv.global/taxonomy/taxondetails?taxnode_id=202501129&amp;ictv_id=ICTV20165029","ICTV20165029")</f>
        <v>ICTV20165029</v>
      </c>
      <c r="R6018" t="s">
        <v>579</v>
      </c>
      <c r="S6018" t="s">
        <v>824</v>
      </c>
      <c r="T6018">
        <v>37</v>
      </c>
      <c r="U6018" s="26" t="str">
        <f t="shared" si="239"/>
        <v>2021.010B.R.Binomial_names.zip</v>
      </c>
    </row>
    <row r="6019" spans="1:21">
      <c r="A6019">
        <v>6018</v>
      </c>
      <c r="B6019" s="27" t="s">
        <v>1449</v>
      </c>
      <c r="D6019" s="27" t="s">
        <v>1450</v>
      </c>
      <c r="F6019" s="27" t="s">
        <v>1453</v>
      </c>
      <c r="H6019" s="27" t="s">
        <v>1454</v>
      </c>
      <c r="N6019" s="27" t="s">
        <v>1398</v>
      </c>
      <c r="P6019" s="27" t="s">
        <v>7545</v>
      </c>
      <c r="Q6019" s="26" t="str">
        <f>HYPERLINK("https://ictv.global/taxonomy/taxondetails?taxnode_id=202501125&amp;ictv_id=ICTV20165037","ICTV20165037")</f>
        <v>ICTV20165037</v>
      </c>
      <c r="R6019" t="s">
        <v>579</v>
      </c>
      <c r="S6019" t="s">
        <v>824</v>
      </c>
      <c r="T6019">
        <v>37</v>
      </c>
      <c r="U6019" s="26" t="str">
        <f t="shared" si="239"/>
        <v>2021.010B.R.Binomial_names.zip</v>
      </c>
    </row>
    <row r="6020" spans="1:21">
      <c r="A6020">
        <v>6019</v>
      </c>
      <c r="B6020" s="27" t="s">
        <v>1449</v>
      </c>
      <c r="D6020" s="27" t="s">
        <v>1450</v>
      </c>
      <c r="F6020" s="27" t="s">
        <v>1453</v>
      </c>
      <c r="H6020" s="27" t="s">
        <v>1454</v>
      </c>
      <c r="N6020" s="27" t="s">
        <v>1398</v>
      </c>
      <c r="P6020" s="27" t="s">
        <v>7546</v>
      </c>
      <c r="Q6020" s="26" t="str">
        <f>HYPERLINK("https://ictv.global/taxonomy/taxondetails?taxnode_id=202501126&amp;ictv_id=ICTV20165035","ICTV20165035")</f>
        <v>ICTV20165035</v>
      </c>
      <c r="R6020" t="s">
        <v>579</v>
      </c>
      <c r="S6020" t="s">
        <v>824</v>
      </c>
      <c r="T6020">
        <v>37</v>
      </c>
      <c r="U6020" s="26" t="str">
        <f t="shared" si="239"/>
        <v>2021.010B.R.Binomial_names.zip</v>
      </c>
    </row>
    <row r="6021" spans="1:21">
      <c r="A6021">
        <v>6020</v>
      </c>
      <c r="B6021" s="27" t="s">
        <v>1449</v>
      </c>
      <c r="D6021" s="27" t="s">
        <v>1450</v>
      </c>
      <c r="F6021" s="27" t="s">
        <v>1453</v>
      </c>
      <c r="H6021" s="27" t="s">
        <v>1454</v>
      </c>
      <c r="N6021" s="27" t="s">
        <v>1398</v>
      </c>
      <c r="P6021" s="27" t="s">
        <v>7547</v>
      </c>
      <c r="Q6021" s="26" t="str">
        <f>HYPERLINK("https://ictv.global/taxonomy/taxondetails?taxnode_id=202501127&amp;ictv_id=ICTV20165036","ICTV20165036")</f>
        <v>ICTV20165036</v>
      </c>
      <c r="R6021" t="s">
        <v>579</v>
      </c>
      <c r="S6021" t="s">
        <v>824</v>
      </c>
      <c r="T6021">
        <v>37</v>
      </c>
      <c r="U6021" s="26" t="str">
        <f t="shared" si="239"/>
        <v>2021.010B.R.Binomial_names.zip</v>
      </c>
    </row>
    <row r="6022" spans="1:21">
      <c r="A6022">
        <v>6021</v>
      </c>
      <c r="B6022" s="27" t="s">
        <v>1449</v>
      </c>
      <c r="D6022" s="27" t="s">
        <v>1450</v>
      </c>
      <c r="F6022" s="27" t="s">
        <v>1453</v>
      </c>
      <c r="H6022" s="27" t="s">
        <v>1454</v>
      </c>
      <c r="N6022" s="27" t="s">
        <v>1398</v>
      </c>
      <c r="P6022" s="27" t="s">
        <v>7548</v>
      </c>
      <c r="Q6022" s="26" t="str">
        <f>HYPERLINK("https://ictv.global/taxonomy/taxondetails?taxnode_id=202501128&amp;ictv_id=ICTV20165030","ICTV20165030")</f>
        <v>ICTV20165030</v>
      </c>
      <c r="R6022" t="s">
        <v>579</v>
      </c>
      <c r="S6022" t="s">
        <v>824</v>
      </c>
      <c r="T6022">
        <v>37</v>
      </c>
      <c r="U6022" s="26" t="str">
        <f t="shared" si="239"/>
        <v>2021.010B.R.Binomial_names.zip</v>
      </c>
    </row>
    <row r="6023" spans="1:21">
      <c r="A6023">
        <v>6022</v>
      </c>
      <c r="B6023" s="27" t="s">
        <v>1449</v>
      </c>
      <c r="D6023" s="27" t="s">
        <v>1450</v>
      </c>
      <c r="F6023" s="27" t="s">
        <v>1453</v>
      </c>
      <c r="H6023" s="27" t="s">
        <v>1454</v>
      </c>
      <c r="N6023" s="27" t="s">
        <v>1398</v>
      </c>
      <c r="P6023" s="27" t="s">
        <v>7549</v>
      </c>
      <c r="Q6023" s="26" t="str">
        <f>HYPERLINK("https://ictv.global/taxonomy/taxondetails?taxnode_id=202501130&amp;ictv_id=ICTV20165031","ICTV20165031")</f>
        <v>ICTV20165031</v>
      </c>
      <c r="R6023" t="s">
        <v>579</v>
      </c>
      <c r="S6023" t="s">
        <v>824</v>
      </c>
      <c r="T6023">
        <v>37</v>
      </c>
      <c r="U6023" s="26" t="str">
        <f t="shared" si="239"/>
        <v>2021.010B.R.Binomial_names.zip</v>
      </c>
    </row>
    <row r="6024" spans="1:21">
      <c r="A6024">
        <v>6023</v>
      </c>
      <c r="B6024" s="27" t="s">
        <v>1449</v>
      </c>
      <c r="D6024" s="27" t="s">
        <v>1450</v>
      </c>
      <c r="F6024" s="27" t="s">
        <v>1453</v>
      </c>
      <c r="H6024" s="27" t="s">
        <v>1454</v>
      </c>
      <c r="N6024" s="27" t="s">
        <v>1398</v>
      </c>
      <c r="P6024" s="27" t="s">
        <v>7550</v>
      </c>
      <c r="Q6024" s="26" t="str">
        <f>HYPERLINK("https://ictv.global/taxonomy/taxondetails?taxnode_id=202501131&amp;ictv_id=ICTV20165032","ICTV20165032")</f>
        <v>ICTV20165032</v>
      </c>
      <c r="R6024" t="s">
        <v>579</v>
      </c>
      <c r="S6024" t="s">
        <v>824</v>
      </c>
      <c r="T6024">
        <v>37</v>
      </c>
      <c r="U6024" s="26" t="str">
        <f t="shared" si="239"/>
        <v>2021.010B.R.Binomial_names.zip</v>
      </c>
    </row>
    <row r="6025" spans="1:21">
      <c r="A6025">
        <v>6024</v>
      </c>
      <c r="B6025" s="27" t="s">
        <v>1449</v>
      </c>
      <c r="D6025" s="27" t="s">
        <v>1450</v>
      </c>
      <c r="F6025" s="27" t="s">
        <v>1453</v>
      </c>
      <c r="H6025" s="27" t="s">
        <v>1454</v>
      </c>
      <c r="N6025" s="27" t="s">
        <v>1398</v>
      </c>
      <c r="P6025" s="27" t="s">
        <v>7551</v>
      </c>
      <c r="Q6025" s="26" t="str">
        <f>HYPERLINK("https://ictv.global/taxonomy/taxondetails?taxnode_id=202501132&amp;ictv_id=ICTV20165033","ICTV20165033")</f>
        <v>ICTV20165033</v>
      </c>
      <c r="R6025" t="s">
        <v>579</v>
      </c>
      <c r="S6025" t="s">
        <v>824</v>
      </c>
      <c r="T6025">
        <v>37</v>
      </c>
      <c r="U6025" s="26" t="str">
        <f t="shared" si="239"/>
        <v>2021.010B.R.Binomial_names.zip</v>
      </c>
    </row>
    <row r="6026" spans="1:21">
      <c r="A6026">
        <v>6025</v>
      </c>
      <c r="B6026" s="27" t="s">
        <v>1449</v>
      </c>
      <c r="D6026" s="27" t="s">
        <v>1450</v>
      </c>
      <c r="F6026" s="27" t="s">
        <v>1453</v>
      </c>
      <c r="H6026" s="27" t="s">
        <v>1454</v>
      </c>
      <c r="N6026" s="27" t="s">
        <v>1398</v>
      </c>
      <c r="P6026" s="27" t="s">
        <v>7552</v>
      </c>
      <c r="Q6026" s="26" t="str">
        <f>HYPERLINK("https://ictv.global/taxonomy/taxondetails?taxnode_id=202501133&amp;ictv_id=ICTV20165034","ICTV20165034")</f>
        <v>ICTV20165034</v>
      </c>
      <c r="R6026" t="s">
        <v>579</v>
      </c>
      <c r="S6026" t="s">
        <v>824</v>
      </c>
      <c r="T6026">
        <v>37</v>
      </c>
      <c r="U6026" s="26" t="str">
        <f t="shared" si="239"/>
        <v>2021.010B.R.Binomial_names.zip</v>
      </c>
    </row>
    <row r="6027" spans="1:21">
      <c r="A6027">
        <v>6026</v>
      </c>
      <c r="B6027" s="27" t="s">
        <v>1449</v>
      </c>
      <c r="D6027" s="27" t="s">
        <v>1450</v>
      </c>
      <c r="F6027" s="27" t="s">
        <v>1453</v>
      </c>
      <c r="H6027" s="27" t="s">
        <v>1454</v>
      </c>
      <c r="N6027" s="27" t="s">
        <v>1398</v>
      </c>
      <c r="P6027" s="27" t="s">
        <v>7553</v>
      </c>
      <c r="Q6027" s="26" t="str">
        <f>HYPERLINK("https://ictv.global/taxonomy/taxondetails?taxnode_id=202501134&amp;ictv_id=ICTV20165038","ICTV20165038")</f>
        <v>ICTV20165038</v>
      </c>
      <c r="R6027" t="s">
        <v>579</v>
      </c>
      <c r="S6027" t="s">
        <v>824</v>
      </c>
      <c r="T6027">
        <v>37</v>
      </c>
      <c r="U6027" s="26" t="str">
        <f t="shared" si="239"/>
        <v>2021.010B.R.Binomial_names.zip</v>
      </c>
    </row>
    <row r="6028" spans="1:21">
      <c r="A6028">
        <v>6027</v>
      </c>
      <c r="B6028" s="27" t="s">
        <v>1449</v>
      </c>
      <c r="D6028" s="27" t="s">
        <v>1450</v>
      </c>
      <c r="F6028" s="27" t="s">
        <v>1453</v>
      </c>
      <c r="H6028" s="27" t="s">
        <v>1454</v>
      </c>
      <c r="N6028" s="27" t="s">
        <v>1398</v>
      </c>
      <c r="P6028" s="27" t="s">
        <v>7554</v>
      </c>
      <c r="Q6028" s="26" t="str">
        <f>HYPERLINK("https://ictv.global/taxonomy/taxondetails?taxnode_id=202501135&amp;ictv_id=ICTV20165039","ICTV20165039")</f>
        <v>ICTV20165039</v>
      </c>
      <c r="R6028" t="s">
        <v>579</v>
      </c>
      <c r="S6028" t="s">
        <v>824</v>
      </c>
      <c r="T6028">
        <v>37</v>
      </c>
      <c r="U6028" s="26" t="str">
        <f t="shared" si="239"/>
        <v>2021.010B.R.Binomial_names.zip</v>
      </c>
    </row>
    <row r="6029" spans="1:21">
      <c r="A6029">
        <v>6028</v>
      </c>
      <c r="B6029" s="27" t="s">
        <v>1449</v>
      </c>
      <c r="D6029" s="27" t="s">
        <v>1450</v>
      </c>
      <c r="F6029" s="27" t="s">
        <v>1453</v>
      </c>
      <c r="H6029" s="27" t="s">
        <v>1454</v>
      </c>
      <c r="N6029" s="27" t="s">
        <v>1398</v>
      </c>
      <c r="P6029" s="27" t="s">
        <v>7555</v>
      </c>
      <c r="Q6029" s="26" t="str">
        <f>HYPERLINK("https://ictv.global/taxonomy/taxondetails?taxnode_id=202501136&amp;ictv_id=ICTV20165040","ICTV20165040")</f>
        <v>ICTV20165040</v>
      </c>
      <c r="R6029" t="s">
        <v>579</v>
      </c>
      <c r="S6029" t="s">
        <v>824</v>
      </c>
      <c r="T6029">
        <v>37</v>
      </c>
      <c r="U6029" s="26" t="str">
        <f t="shared" si="239"/>
        <v>2021.010B.R.Binomial_names.zip</v>
      </c>
    </row>
    <row r="6030" spans="1:21">
      <c r="A6030">
        <v>6029</v>
      </c>
      <c r="B6030" s="27" t="s">
        <v>1449</v>
      </c>
      <c r="D6030" s="27" t="s">
        <v>1450</v>
      </c>
      <c r="F6030" s="27" t="s">
        <v>1453</v>
      </c>
      <c r="H6030" s="27" t="s">
        <v>1454</v>
      </c>
      <c r="N6030" s="27" t="s">
        <v>1398</v>
      </c>
      <c r="P6030" s="27" t="s">
        <v>7556</v>
      </c>
      <c r="Q6030" s="26" t="str">
        <f>HYPERLINK("https://ictv.global/taxonomy/taxondetails?taxnode_id=202501137&amp;ictv_id=ICTV20165041","ICTV20165041")</f>
        <v>ICTV20165041</v>
      </c>
      <c r="R6030" t="s">
        <v>579</v>
      </c>
      <c r="S6030" t="s">
        <v>824</v>
      </c>
      <c r="T6030">
        <v>37</v>
      </c>
      <c r="U6030" s="26" t="str">
        <f t="shared" si="239"/>
        <v>2021.010B.R.Binomial_names.zip</v>
      </c>
    </row>
    <row r="6031" spans="1:21">
      <c r="A6031">
        <v>6030</v>
      </c>
      <c r="B6031" s="27" t="s">
        <v>1449</v>
      </c>
      <c r="D6031" s="27" t="s">
        <v>1450</v>
      </c>
      <c r="F6031" s="27" t="s">
        <v>1453</v>
      </c>
      <c r="H6031" s="27" t="s">
        <v>1454</v>
      </c>
      <c r="N6031" s="27" t="s">
        <v>1398</v>
      </c>
      <c r="P6031" s="27" t="s">
        <v>7557</v>
      </c>
      <c r="Q6031" s="26" t="str">
        <f>HYPERLINK("https://ictv.global/taxonomy/taxondetails?taxnode_id=202501138&amp;ictv_id=ICTV20165042","ICTV20165042")</f>
        <v>ICTV20165042</v>
      </c>
      <c r="R6031" t="s">
        <v>579</v>
      </c>
      <c r="S6031" t="s">
        <v>824</v>
      </c>
      <c r="T6031">
        <v>37</v>
      </c>
      <c r="U6031" s="26" t="str">
        <f t="shared" si="239"/>
        <v>2021.010B.R.Binomial_names.zip</v>
      </c>
    </row>
    <row r="6032" spans="1:21">
      <c r="A6032">
        <v>6031</v>
      </c>
      <c r="B6032" s="27" t="s">
        <v>1449</v>
      </c>
      <c r="D6032" s="27" t="s">
        <v>1450</v>
      </c>
      <c r="F6032" s="27" t="s">
        <v>1453</v>
      </c>
      <c r="H6032" s="27" t="s">
        <v>1454</v>
      </c>
      <c r="N6032" s="27" t="s">
        <v>1398</v>
      </c>
      <c r="P6032" s="27" t="s">
        <v>7558</v>
      </c>
      <c r="Q6032" s="26" t="str">
        <f>HYPERLINK("https://ictv.global/taxonomy/taxondetails?taxnode_id=202501139&amp;ictv_id=ICTV20165043","ICTV20165043")</f>
        <v>ICTV20165043</v>
      </c>
      <c r="R6032" t="s">
        <v>579</v>
      </c>
      <c r="S6032" t="s">
        <v>824</v>
      </c>
      <c r="T6032">
        <v>37</v>
      </c>
      <c r="U6032" s="26" t="str">
        <f t="shared" si="239"/>
        <v>2021.010B.R.Binomial_names.zip</v>
      </c>
    </row>
    <row r="6033" spans="1:21">
      <c r="A6033">
        <v>6032</v>
      </c>
      <c r="B6033" s="27" t="s">
        <v>1449</v>
      </c>
      <c r="D6033" s="27" t="s">
        <v>1450</v>
      </c>
      <c r="F6033" s="27" t="s">
        <v>1453</v>
      </c>
      <c r="H6033" s="27" t="s">
        <v>1454</v>
      </c>
      <c r="N6033" s="27" t="s">
        <v>1398</v>
      </c>
      <c r="P6033" s="27" t="s">
        <v>7559</v>
      </c>
      <c r="Q6033" s="26" t="str">
        <f>HYPERLINK("https://ictv.global/taxonomy/taxondetails?taxnode_id=202501140&amp;ictv_id=ICTV20165044","ICTV20165044")</f>
        <v>ICTV20165044</v>
      </c>
      <c r="R6033" t="s">
        <v>579</v>
      </c>
      <c r="S6033" t="s">
        <v>824</v>
      </c>
      <c r="T6033">
        <v>37</v>
      </c>
      <c r="U6033" s="26" t="str">
        <f t="shared" si="239"/>
        <v>2021.010B.R.Binomial_names.zip</v>
      </c>
    </row>
    <row r="6034" spans="1:21">
      <c r="A6034">
        <v>6033</v>
      </c>
      <c r="B6034" s="27" t="s">
        <v>1449</v>
      </c>
      <c r="D6034" s="27" t="s">
        <v>1450</v>
      </c>
      <c r="F6034" s="27" t="s">
        <v>1453</v>
      </c>
      <c r="H6034" s="27" t="s">
        <v>1454</v>
      </c>
      <c r="N6034" s="27" t="s">
        <v>1398</v>
      </c>
      <c r="P6034" s="27" t="s">
        <v>7560</v>
      </c>
      <c r="Q6034" s="26" t="str">
        <f>HYPERLINK("https://ictv.global/taxonomy/taxondetails?taxnode_id=202501141&amp;ictv_id=ICTV20165045","ICTV20165045")</f>
        <v>ICTV20165045</v>
      </c>
      <c r="R6034" t="s">
        <v>579</v>
      </c>
      <c r="S6034" t="s">
        <v>824</v>
      </c>
      <c r="T6034">
        <v>37</v>
      </c>
      <c r="U6034" s="26" t="str">
        <f t="shared" si="239"/>
        <v>2021.010B.R.Binomial_names.zip</v>
      </c>
    </row>
    <row r="6035" spans="1:21">
      <c r="A6035">
        <v>6034</v>
      </c>
      <c r="B6035" s="27" t="s">
        <v>1449</v>
      </c>
      <c r="D6035" s="27" t="s">
        <v>1450</v>
      </c>
      <c r="F6035" s="27" t="s">
        <v>1453</v>
      </c>
      <c r="H6035" s="27" t="s">
        <v>1454</v>
      </c>
      <c r="N6035" s="27" t="s">
        <v>1398</v>
      </c>
      <c r="P6035" s="27" t="s">
        <v>7561</v>
      </c>
      <c r="Q6035" s="26" t="str">
        <f>HYPERLINK("https://ictv.global/taxonomy/taxondetails?taxnode_id=202501142&amp;ictv_id=ICTV20165046","ICTV20165046")</f>
        <v>ICTV20165046</v>
      </c>
      <c r="R6035" t="s">
        <v>579</v>
      </c>
      <c r="S6035" t="s">
        <v>824</v>
      </c>
      <c r="T6035">
        <v>37</v>
      </c>
      <c r="U6035" s="26" t="str">
        <f t="shared" si="239"/>
        <v>2021.010B.R.Binomial_names.zip</v>
      </c>
    </row>
    <row r="6036" spans="1:21">
      <c r="A6036">
        <v>6035</v>
      </c>
      <c r="B6036" s="27" t="s">
        <v>1449</v>
      </c>
      <c r="D6036" s="27" t="s">
        <v>1450</v>
      </c>
      <c r="F6036" s="27" t="s">
        <v>1453</v>
      </c>
      <c r="H6036" s="27" t="s">
        <v>1454</v>
      </c>
      <c r="N6036" s="27" t="s">
        <v>1398</v>
      </c>
      <c r="P6036" s="27" t="s">
        <v>7562</v>
      </c>
      <c r="Q6036" s="26" t="str">
        <f>HYPERLINK("https://ictv.global/taxonomy/taxondetails?taxnode_id=202501143&amp;ictv_id=ICTV20165047","ICTV20165047")</f>
        <v>ICTV20165047</v>
      </c>
      <c r="R6036" t="s">
        <v>579</v>
      </c>
      <c r="S6036" t="s">
        <v>824</v>
      </c>
      <c r="T6036">
        <v>37</v>
      </c>
      <c r="U6036" s="26" t="str">
        <f t="shared" si="239"/>
        <v>2021.010B.R.Binomial_names.zip</v>
      </c>
    </row>
    <row r="6037" spans="1:21">
      <c r="A6037">
        <v>6036</v>
      </c>
      <c r="B6037" s="27" t="s">
        <v>1449</v>
      </c>
      <c r="D6037" s="27" t="s">
        <v>1450</v>
      </c>
      <c r="F6037" s="27" t="s">
        <v>1453</v>
      </c>
      <c r="H6037" s="27" t="s">
        <v>1454</v>
      </c>
      <c r="N6037" s="27" t="s">
        <v>1398</v>
      </c>
      <c r="P6037" s="27" t="s">
        <v>7563</v>
      </c>
      <c r="Q6037" s="26" t="str">
        <f>HYPERLINK("https://ictv.global/taxonomy/taxondetails?taxnode_id=202501144&amp;ictv_id=ICTV20165048","ICTV20165048")</f>
        <v>ICTV20165048</v>
      </c>
      <c r="R6037" t="s">
        <v>579</v>
      </c>
      <c r="S6037" t="s">
        <v>824</v>
      </c>
      <c r="T6037">
        <v>37</v>
      </c>
      <c r="U6037" s="26" t="str">
        <f t="shared" ref="U6037:U6068" si="240">HYPERLINK("https://ictv.global/ictv/proposals/2021.010B.R.Binomial_names.zip","2021.010B.R.Binomial_names.zip")</f>
        <v>2021.010B.R.Binomial_names.zip</v>
      </c>
    </row>
    <row r="6038" spans="1:21">
      <c r="A6038">
        <v>6037</v>
      </c>
      <c r="B6038" s="27" t="s">
        <v>1449</v>
      </c>
      <c r="D6038" s="27" t="s">
        <v>1450</v>
      </c>
      <c r="F6038" s="27" t="s">
        <v>1453</v>
      </c>
      <c r="H6038" s="27" t="s">
        <v>1454</v>
      </c>
      <c r="N6038" s="27" t="s">
        <v>1398</v>
      </c>
      <c r="P6038" s="27" t="s">
        <v>7564</v>
      </c>
      <c r="Q6038" s="26" t="str">
        <f>HYPERLINK("https://ictv.global/taxonomy/taxondetails?taxnode_id=202501145&amp;ictv_id=ICTV20165049","ICTV20165049")</f>
        <v>ICTV20165049</v>
      </c>
      <c r="R6038" t="s">
        <v>579</v>
      </c>
      <c r="S6038" t="s">
        <v>824</v>
      </c>
      <c r="T6038">
        <v>37</v>
      </c>
      <c r="U6038" s="26" t="str">
        <f t="shared" si="240"/>
        <v>2021.010B.R.Binomial_names.zip</v>
      </c>
    </row>
    <row r="6039" spans="1:21">
      <c r="A6039">
        <v>6038</v>
      </c>
      <c r="B6039" s="27" t="s">
        <v>1449</v>
      </c>
      <c r="D6039" s="27" t="s">
        <v>1450</v>
      </c>
      <c r="F6039" s="27" t="s">
        <v>1453</v>
      </c>
      <c r="H6039" s="27" t="s">
        <v>1454</v>
      </c>
      <c r="N6039" s="27" t="s">
        <v>1398</v>
      </c>
      <c r="P6039" s="27" t="s">
        <v>7565</v>
      </c>
      <c r="Q6039" s="26" t="str">
        <f>HYPERLINK("https://ictv.global/taxonomy/taxondetails?taxnode_id=202501146&amp;ictv_id=ICTV20165050","ICTV20165050")</f>
        <v>ICTV20165050</v>
      </c>
      <c r="R6039" t="s">
        <v>579</v>
      </c>
      <c r="S6039" t="s">
        <v>824</v>
      </c>
      <c r="T6039">
        <v>37</v>
      </c>
      <c r="U6039" s="26" t="str">
        <f t="shared" si="240"/>
        <v>2021.010B.R.Binomial_names.zip</v>
      </c>
    </row>
    <row r="6040" spans="1:21">
      <c r="A6040">
        <v>6039</v>
      </c>
      <c r="B6040" s="27" t="s">
        <v>1449</v>
      </c>
      <c r="D6040" s="27" t="s">
        <v>1450</v>
      </c>
      <c r="F6040" s="27" t="s">
        <v>1453</v>
      </c>
      <c r="H6040" s="27" t="s">
        <v>1454</v>
      </c>
      <c r="N6040" s="27" t="s">
        <v>1398</v>
      </c>
      <c r="P6040" s="27" t="s">
        <v>7566</v>
      </c>
      <c r="Q6040" s="26" t="str">
        <f>HYPERLINK("https://ictv.global/taxonomy/taxondetails?taxnode_id=202501147&amp;ictv_id=ICTV20165051","ICTV20165051")</f>
        <v>ICTV20165051</v>
      </c>
      <c r="R6040" t="s">
        <v>579</v>
      </c>
      <c r="S6040" t="s">
        <v>824</v>
      </c>
      <c r="T6040">
        <v>37</v>
      </c>
      <c r="U6040" s="26" t="str">
        <f t="shared" si="240"/>
        <v>2021.010B.R.Binomial_names.zip</v>
      </c>
    </row>
    <row r="6041" spans="1:21">
      <c r="A6041">
        <v>6040</v>
      </c>
      <c r="B6041" s="27" t="s">
        <v>1449</v>
      </c>
      <c r="D6041" s="27" t="s">
        <v>1450</v>
      </c>
      <c r="F6041" s="27" t="s">
        <v>1453</v>
      </c>
      <c r="H6041" s="27" t="s">
        <v>1454</v>
      </c>
      <c r="N6041" s="27" t="s">
        <v>1398</v>
      </c>
      <c r="P6041" s="27" t="s">
        <v>7567</v>
      </c>
      <c r="Q6041" s="26" t="str">
        <f>HYPERLINK("https://ictv.global/taxonomy/taxondetails?taxnode_id=202501148&amp;ictv_id=ICTV20165052","ICTV20165052")</f>
        <v>ICTV20165052</v>
      </c>
      <c r="R6041" t="s">
        <v>579</v>
      </c>
      <c r="S6041" t="s">
        <v>824</v>
      </c>
      <c r="T6041">
        <v>37</v>
      </c>
      <c r="U6041" s="26" t="str">
        <f t="shared" si="240"/>
        <v>2021.010B.R.Binomial_names.zip</v>
      </c>
    </row>
    <row r="6042" spans="1:21">
      <c r="A6042">
        <v>6041</v>
      </c>
      <c r="B6042" s="27" t="s">
        <v>1449</v>
      </c>
      <c r="D6042" s="27" t="s">
        <v>1450</v>
      </c>
      <c r="F6042" s="27" t="s">
        <v>1453</v>
      </c>
      <c r="H6042" s="27" t="s">
        <v>1454</v>
      </c>
      <c r="N6042" s="27" t="s">
        <v>1398</v>
      </c>
      <c r="P6042" s="27" t="s">
        <v>7568</v>
      </c>
      <c r="Q6042" s="26" t="str">
        <f>HYPERLINK("https://ictv.global/taxonomy/taxondetails?taxnode_id=202501149&amp;ictv_id=ICTV20165053","ICTV20165053")</f>
        <v>ICTV20165053</v>
      </c>
      <c r="R6042" t="s">
        <v>579</v>
      </c>
      <c r="S6042" t="s">
        <v>824</v>
      </c>
      <c r="T6042">
        <v>37</v>
      </c>
      <c r="U6042" s="26" t="str">
        <f t="shared" si="240"/>
        <v>2021.010B.R.Binomial_names.zip</v>
      </c>
    </row>
    <row r="6043" spans="1:21">
      <c r="A6043">
        <v>6042</v>
      </c>
      <c r="B6043" s="27" t="s">
        <v>1449</v>
      </c>
      <c r="D6043" s="27" t="s">
        <v>1450</v>
      </c>
      <c r="F6043" s="27" t="s">
        <v>1453</v>
      </c>
      <c r="H6043" s="27" t="s">
        <v>1454</v>
      </c>
      <c r="N6043" s="27" t="s">
        <v>1398</v>
      </c>
      <c r="P6043" s="27" t="s">
        <v>7569</v>
      </c>
      <c r="Q6043" s="26" t="str">
        <f>HYPERLINK("https://ictv.global/taxonomy/taxondetails?taxnode_id=202501150&amp;ictv_id=ICTV20165054","ICTV20165054")</f>
        <v>ICTV20165054</v>
      </c>
      <c r="R6043" t="s">
        <v>579</v>
      </c>
      <c r="S6043" t="s">
        <v>824</v>
      </c>
      <c r="T6043">
        <v>37</v>
      </c>
      <c r="U6043" s="26" t="str">
        <f t="shared" si="240"/>
        <v>2021.010B.R.Binomial_names.zip</v>
      </c>
    </row>
    <row r="6044" spans="1:21">
      <c r="A6044">
        <v>6043</v>
      </c>
      <c r="B6044" s="27" t="s">
        <v>1449</v>
      </c>
      <c r="D6044" s="27" t="s">
        <v>1450</v>
      </c>
      <c r="F6044" s="27" t="s">
        <v>1453</v>
      </c>
      <c r="H6044" s="27" t="s">
        <v>1454</v>
      </c>
      <c r="N6044" s="27" t="s">
        <v>1398</v>
      </c>
      <c r="P6044" s="27" t="s">
        <v>7570</v>
      </c>
      <c r="Q6044" s="26" t="str">
        <f>HYPERLINK("https://ictv.global/taxonomy/taxondetails?taxnode_id=202501151&amp;ictv_id=ICTV20165055","ICTV20165055")</f>
        <v>ICTV20165055</v>
      </c>
      <c r="R6044" t="s">
        <v>579</v>
      </c>
      <c r="S6044" t="s">
        <v>824</v>
      </c>
      <c r="T6044">
        <v>37</v>
      </c>
      <c r="U6044" s="26" t="str">
        <f t="shared" si="240"/>
        <v>2021.010B.R.Binomial_names.zip</v>
      </c>
    </row>
    <row r="6045" spans="1:21">
      <c r="A6045">
        <v>6044</v>
      </c>
      <c r="B6045" s="27" t="s">
        <v>1449</v>
      </c>
      <c r="D6045" s="27" t="s">
        <v>1450</v>
      </c>
      <c r="F6045" s="27" t="s">
        <v>1453</v>
      </c>
      <c r="H6045" s="27" t="s">
        <v>1454</v>
      </c>
      <c r="N6045" s="27" t="s">
        <v>1398</v>
      </c>
      <c r="P6045" s="27" t="s">
        <v>7571</v>
      </c>
      <c r="Q6045" s="26" t="str">
        <f>HYPERLINK("https://ictv.global/taxonomy/taxondetails?taxnode_id=202501152&amp;ictv_id=ICTV20165056","ICTV20165056")</f>
        <v>ICTV20165056</v>
      </c>
      <c r="R6045" t="s">
        <v>579</v>
      </c>
      <c r="S6045" t="s">
        <v>824</v>
      </c>
      <c r="T6045">
        <v>37</v>
      </c>
      <c r="U6045" s="26" t="str">
        <f t="shared" si="240"/>
        <v>2021.010B.R.Binomial_names.zip</v>
      </c>
    </row>
    <row r="6046" spans="1:21">
      <c r="A6046">
        <v>6045</v>
      </c>
      <c r="B6046" s="27" t="s">
        <v>1449</v>
      </c>
      <c r="D6046" s="27" t="s">
        <v>1450</v>
      </c>
      <c r="F6046" s="27" t="s">
        <v>1453</v>
      </c>
      <c r="H6046" s="27" t="s">
        <v>1454</v>
      </c>
      <c r="N6046" s="27" t="s">
        <v>1398</v>
      </c>
      <c r="P6046" s="27" t="s">
        <v>7572</v>
      </c>
      <c r="Q6046" s="26" t="str">
        <f>HYPERLINK("https://ictv.global/taxonomy/taxondetails?taxnode_id=202501153&amp;ictv_id=ICTV20165057","ICTV20165057")</f>
        <v>ICTV20165057</v>
      </c>
      <c r="R6046" t="s">
        <v>579</v>
      </c>
      <c r="S6046" t="s">
        <v>824</v>
      </c>
      <c r="T6046">
        <v>37</v>
      </c>
      <c r="U6046" s="26" t="str">
        <f t="shared" si="240"/>
        <v>2021.010B.R.Binomial_names.zip</v>
      </c>
    </row>
    <row r="6047" spans="1:21">
      <c r="A6047">
        <v>6046</v>
      </c>
      <c r="B6047" s="27" t="s">
        <v>1449</v>
      </c>
      <c r="D6047" s="27" t="s">
        <v>1450</v>
      </c>
      <c r="F6047" s="27" t="s">
        <v>1453</v>
      </c>
      <c r="H6047" s="27" t="s">
        <v>1454</v>
      </c>
      <c r="N6047" s="27" t="s">
        <v>1398</v>
      </c>
      <c r="P6047" s="27" t="s">
        <v>7573</v>
      </c>
      <c r="Q6047" s="26" t="str">
        <f>HYPERLINK("https://ictv.global/taxonomy/taxondetails?taxnode_id=202501154&amp;ictv_id=ICTV20165058","ICTV20165058")</f>
        <v>ICTV20165058</v>
      </c>
      <c r="R6047" t="s">
        <v>579</v>
      </c>
      <c r="S6047" t="s">
        <v>824</v>
      </c>
      <c r="T6047">
        <v>37</v>
      </c>
      <c r="U6047" s="26" t="str">
        <f t="shared" si="240"/>
        <v>2021.010B.R.Binomial_names.zip</v>
      </c>
    </row>
    <row r="6048" spans="1:21">
      <c r="A6048">
        <v>6047</v>
      </c>
      <c r="B6048" s="27" t="s">
        <v>1449</v>
      </c>
      <c r="D6048" s="27" t="s">
        <v>1450</v>
      </c>
      <c r="F6048" s="27" t="s">
        <v>1453</v>
      </c>
      <c r="H6048" s="27" t="s">
        <v>1454</v>
      </c>
      <c r="N6048" s="27" t="s">
        <v>1398</v>
      </c>
      <c r="P6048" s="27" t="s">
        <v>7574</v>
      </c>
      <c r="Q6048" s="26" t="str">
        <f>HYPERLINK("https://ictv.global/taxonomy/taxondetails?taxnode_id=202501155&amp;ictv_id=ICTV20165059","ICTV20165059")</f>
        <v>ICTV20165059</v>
      </c>
      <c r="R6048" t="s">
        <v>579</v>
      </c>
      <c r="S6048" t="s">
        <v>824</v>
      </c>
      <c r="T6048">
        <v>37</v>
      </c>
      <c r="U6048" s="26" t="str">
        <f t="shared" si="240"/>
        <v>2021.010B.R.Binomial_names.zip</v>
      </c>
    </row>
    <row r="6049" spans="1:21">
      <c r="A6049">
        <v>6048</v>
      </c>
      <c r="B6049" s="27" t="s">
        <v>1449</v>
      </c>
      <c r="D6049" s="27" t="s">
        <v>1450</v>
      </c>
      <c r="F6049" s="27" t="s">
        <v>1453</v>
      </c>
      <c r="H6049" s="27" t="s">
        <v>1454</v>
      </c>
      <c r="N6049" s="27" t="s">
        <v>1398</v>
      </c>
      <c r="P6049" s="27" t="s">
        <v>7575</v>
      </c>
      <c r="Q6049" s="26" t="str">
        <f>HYPERLINK("https://ictv.global/taxonomy/taxondetails?taxnode_id=202501156&amp;ictv_id=ICTV20165060","ICTV20165060")</f>
        <v>ICTV20165060</v>
      </c>
      <c r="R6049" t="s">
        <v>579</v>
      </c>
      <c r="S6049" t="s">
        <v>824</v>
      </c>
      <c r="T6049">
        <v>37</v>
      </c>
      <c r="U6049" s="26" t="str">
        <f t="shared" si="240"/>
        <v>2021.010B.R.Binomial_names.zip</v>
      </c>
    </row>
    <row r="6050" spans="1:21">
      <c r="A6050">
        <v>6049</v>
      </c>
      <c r="B6050" s="27" t="s">
        <v>1449</v>
      </c>
      <c r="D6050" s="27" t="s">
        <v>1450</v>
      </c>
      <c r="F6050" s="27" t="s">
        <v>1453</v>
      </c>
      <c r="H6050" s="27" t="s">
        <v>1454</v>
      </c>
      <c r="N6050" s="27" t="s">
        <v>1398</v>
      </c>
      <c r="P6050" s="27" t="s">
        <v>7576</v>
      </c>
      <c r="Q6050" s="26" t="str">
        <f>HYPERLINK("https://ictv.global/taxonomy/taxondetails?taxnode_id=202501157&amp;ictv_id=ICTV20165061","ICTV20165061")</f>
        <v>ICTV20165061</v>
      </c>
      <c r="R6050" t="s">
        <v>579</v>
      </c>
      <c r="S6050" t="s">
        <v>824</v>
      </c>
      <c r="T6050">
        <v>37</v>
      </c>
      <c r="U6050" s="26" t="str">
        <f t="shared" si="240"/>
        <v>2021.010B.R.Binomial_names.zip</v>
      </c>
    </row>
    <row r="6051" spans="1:21">
      <c r="A6051">
        <v>6050</v>
      </c>
      <c r="B6051" s="27" t="s">
        <v>1449</v>
      </c>
      <c r="D6051" s="27" t="s">
        <v>1450</v>
      </c>
      <c r="F6051" s="27" t="s">
        <v>1453</v>
      </c>
      <c r="H6051" s="27" t="s">
        <v>1454</v>
      </c>
      <c r="N6051" s="27" t="s">
        <v>1398</v>
      </c>
      <c r="P6051" s="27" t="s">
        <v>7577</v>
      </c>
      <c r="Q6051" s="26" t="str">
        <f>HYPERLINK("https://ictv.global/taxonomy/taxondetails?taxnode_id=202501158&amp;ictv_id=ICTV20165062","ICTV20165062")</f>
        <v>ICTV20165062</v>
      </c>
      <c r="R6051" t="s">
        <v>579</v>
      </c>
      <c r="S6051" t="s">
        <v>824</v>
      </c>
      <c r="T6051">
        <v>37</v>
      </c>
      <c r="U6051" s="26" t="str">
        <f t="shared" si="240"/>
        <v>2021.010B.R.Binomial_names.zip</v>
      </c>
    </row>
    <row r="6052" spans="1:21">
      <c r="A6052">
        <v>6051</v>
      </c>
      <c r="B6052" s="27" t="s">
        <v>1449</v>
      </c>
      <c r="D6052" s="27" t="s">
        <v>1450</v>
      </c>
      <c r="F6052" s="27" t="s">
        <v>1453</v>
      </c>
      <c r="H6052" s="27" t="s">
        <v>1454</v>
      </c>
      <c r="N6052" s="27" t="s">
        <v>1398</v>
      </c>
      <c r="P6052" s="27" t="s">
        <v>7578</v>
      </c>
      <c r="Q6052" s="26" t="str">
        <f>HYPERLINK("https://ictv.global/taxonomy/taxondetails?taxnode_id=202501159&amp;ictv_id=ICTV20165063","ICTV20165063")</f>
        <v>ICTV20165063</v>
      </c>
      <c r="R6052" t="s">
        <v>579</v>
      </c>
      <c r="S6052" t="s">
        <v>824</v>
      </c>
      <c r="T6052">
        <v>37</v>
      </c>
      <c r="U6052" s="26" t="str">
        <f t="shared" si="240"/>
        <v>2021.010B.R.Binomial_names.zip</v>
      </c>
    </row>
    <row r="6053" spans="1:21">
      <c r="A6053">
        <v>6052</v>
      </c>
      <c r="B6053" s="27" t="s">
        <v>1449</v>
      </c>
      <c r="D6053" s="27" t="s">
        <v>1450</v>
      </c>
      <c r="F6053" s="27" t="s">
        <v>1453</v>
      </c>
      <c r="H6053" s="27" t="s">
        <v>1454</v>
      </c>
      <c r="N6053" s="27" t="s">
        <v>1398</v>
      </c>
      <c r="P6053" s="27" t="s">
        <v>7579</v>
      </c>
      <c r="Q6053" s="26" t="str">
        <f>HYPERLINK("https://ictv.global/taxonomy/taxondetails?taxnode_id=202501160&amp;ictv_id=ICTV20165064","ICTV20165064")</f>
        <v>ICTV20165064</v>
      </c>
      <c r="R6053" t="s">
        <v>579</v>
      </c>
      <c r="S6053" t="s">
        <v>824</v>
      </c>
      <c r="T6053">
        <v>37</v>
      </c>
      <c r="U6053" s="26" t="str">
        <f t="shared" si="240"/>
        <v>2021.010B.R.Binomial_names.zip</v>
      </c>
    </row>
    <row r="6054" spans="1:21">
      <c r="A6054">
        <v>6053</v>
      </c>
      <c r="B6054" s="27" t="s">
        <v>1449</v>
      </c>
      <c r="D6054" s="27" t="s">
        <v>1450</v>
      </c>
      <c r="F6054" s="27" t="s">
        <v>1453</v>
      </c>
      <c r="H6054" s="27" t="s">
        <v>1454</v>
      </c>
      <c r="N6054" s="27" t="s">
        <v>1398</v>
      </c>
      <c r="P6054" s="27" t="s">
        <v>7580</v>
      </c>
      <c r="Q6054" s="26" t="str">
        <f>HYPERLINK("https://ictv.global/taxonomy/taxondetails?taxnode_id=202501161&amp;ictv_id=ICTV20165065","ICTV20165065")</f>
        <v>ICTV20165065</v>
      </c>
      <c r="R6054" t="s">
        <v>579</v>
      </c>
      <c r="S6054" t="s">
        <v>824</v>
      </c>
      <c r="T6054">
        <v>37</v>
      </c>
      <c r="U6054" s="26" t="str">
        <f t="shared" si="240"/>
        <v>2021.010B.R.Binomial_names.zip</v>
      </c>
    </row>
    <row r="6055" spans="1:21">
      <c r="A6055">
        <v>6054</v>
      </c>
      <c r="B6055" s="27" t="s">
        <v>1449</v>
      </c>
      <c r="D6055" s="27" t="s">
        <v>1450</v>
      </c>
      <c r="F6055" s="27" t="s">
        <v>1453</v>
      </c>
      <c r="H6055" s="27" t="s">
        <v>1454</v>
      </c>
      <c r="N6055" s="27" t="s">
        <v>1398</v>
      </c>
      <c r="P6055" s="27" t="s">
        <v>7581</v>
      </c>
      <c r="Q6055" s="26" t="str">
        <f>HYPERLINK("https://ictv.global/taxonomy/taxondetails?taxnode_id=202501162&amp;ictv_id=ICTV20165066","ICTV20165066")</f>
        <v>ICTV20165066</v>
      </c>
      <c r="R6055" t="s">
        <v>579</v>
      </c>
      <c r="S6055" t="s">
        <v>824</v>
      </c>
      <c r="T6055">
        <v>37</v>
      </c>
      <c r="U6055" s="26" t="str">
        <f t="shared" si="240"/>
        <v>2021.010B.R.Binomial_names.zip</v>
      </c>
    </row>
    <row r="6056" spans="1:21">
      <c r="A6056">
        <v>6055</v>
      </c>
      <c r="B6056" s="27" t="s">
        <v>1449</v>
      </c>
      <c r="D6056" s="27" t="s">
        <v>1450</v>
      </c>
      <c r="F6056" s="27" t="s">
        <v>1453</v>
      </c>
      <c r="H6056" s="27" t="s">
        <v>1454</v>
      </c>
      <c r="N6056" s="27" t="s">
        <v>1398</v>
      </c>
      <c r="P6056" s="27" t="s">
        <v>7582</v>
      </c>
      <c r="Q6056" s="26" t="str">
        <f>HYPERLINK("https://ictv.global/taxonomy/taxondetails?taxnode_id=202501163&amp;ictv_id=ICTV20165067","ICTV20165067")</f>
        <v>ICTV20165067</v>
      </c>
      <c r="R6056" t="s">
        <v>579</v>
      </c>
      <c r="S6056" t="s">
        <v>824</v>
      </c>
      <c r="T6056">
        <v>37</v>
      </c>
      <c r="U6056" s="26" t="str">
        <f t="shared" si="240"/>
        <v>2021.010B.R.Binomial_names.zip</v>
      </c>
    </row>
    <row r="6057" spans="1:21">
      <c r="A6057">
        <v>6056</v>
      </c>
      <c r="B6057" s="27" t="s">
        <v>1449</v>
      </c>
      <c r="D6057" s="27" t="s">
        <v>1450</v>
      </c>
      <c r="F6057" s="27" t="s">
        <v>1453</v>
      </c>
      <c r="H6057" s="27" t="s">
        <v>1454</v>
      </c>
      <c r="N6057" s="27" t="s">
        <v>1398</v>
      </c>
      <c r="P6057" s="27" t="s">
        <v>7583</v>
      </c>
      <c r="Q6057" s="26" t="str">
        <f>HYPERLINK("https://ictv.global/taxonomy/taxondetails?taxnode_id=202501164&amp;ictv_id=ICTV20165068","ICTV20165068")</f>
        <v>ICTV20165068</v>
      </c>
      <c r="R6057" t="s">
        <v>579</v>
      </c>
      <c r="S6057" t="s">
        <v>824</v>
      </c>
      <c r="T6057">
        <v>37</v>
      </c>
      <c r="U6057" s="26" t="str">
        <f t="shared" si="240"/>
        <v>2021.010B.R.Binomial_names.zip</v>
      </c>
    </row>
    <row r="6058" spans="1:21">
      <c r="A6058">
        <v>6057</v>
      </c>
      <c r="B6058" s="27" t="s">
        <v>1449</v>
      </c>
      <c r="D6058" s="27" t="s">
        <v>1450</v>
      </c>
      <c r="F6058" s="27" t="s">
        <v>1453</v>
      </c>
      <c r="H6058" s="27" t="s">
        <v>1454</v>
      </c>
      <c r="N6058" s="27" t="s">
        <v>1398</v>
      </c>
      <c r="P6058" s="27" t="s">
        <v>7584</v>
      </c>
      <c r="Q6058" s="26" t="str">
        <f>HYPERLINK("https://ictv.global/taxonomy/taxondetails?taxnode_id=202501165&amp;ictv_id=ICTV20165069","ICTV20165069")</f>
        <v>ICTV20165069</v>
      </c>
      <c r="R6058" t="s">
        <v>579</v>
      </c>
      <c r="S6058" t="s">
        <v>824</v>
      </c>
      <c r="T6058">
        <v>37</v>
      </c>
      <c r="U6058" s="26" t="str">
        <f t="shared" si="240"/>
        <v>2021.010B.R.Binomial_names.zip</v>
      </c>
    </row>
    <row r="6059" spans="1:21">
      <c r="A6059">
        <v>6058</v>
      </c>
      <c r="B6059" s="27" t="s">
        <v>1449</v>
      </c>
      <c r="D6059" s="27" t="s">
        <v>1450</v>
      </c>
      <c r="F6059" s="27" t="s">
        <v>1453</v>
      </c>
      <c r="H6059" s="27" t="s">
        <v>1454</v>
      </c>
      <c r="N6059" s="27" t="s">
        <v>1398</v>
      </c>
      <c r="P6059" s="27" t="s">
        <v>7585</v>
      </c>
      <c r="Q6059" s="26" t="str">
        <f>HYPERLINK("https://ictv.global/taxonomy/taxondetails?taxnode_id=202501166&amp;ictv_id=ICTV20165070","ICTV20165070")</f>
        <v>ICTV20165070</v>
      </c>
      <c r="R6059" t="s">
        <v>579</v>
      </c>
      <c r="S6059" t="s">
        <v>824</v>
      </c>
      <c r="T6059">
        <v>37</v>
      </c>
      <c r="U6059" s="26" t="str">
        <f t="shared" si="240"/>
        <v>2021.010B.R.Binomial_names.zip</v>
      </c>
    </row>
    <row r="6060" spans="1:21">
      <c r="A6060">
        <v>6059</v>
      </c>
      <c r="B6060" s="27" t="s">
        <v>1449</v>
      </c>
      <c r="D6060" s="27" t="s">
        <v>1450</v>
      </c>
      <c r="F6060" s="27" t="s">
        <v>1453</v>
      </c>
      <c r="H6060" s="27" t="s">
        <v>1454</v>
      </c>
      <c r="N6060" s="27" t="s">
        <v>1398</v>
      </c>
      <c r="P6060" s="27" t="s">
        <v>7586</v>
      </c>
      <c r="Q6060" s="26" t="str">
        <f>HYPERLINK("https://ictv.global/taxonomy/taxondetails?taxnode_id=202501167&amp;ictv_id=ICTV20165071","ICTV20165071")</f>
        <v>ICTV20165071</v>
      </c>
      <c r="R6060" t="s">
        <v>579</v>
      </c>
      <c r="S6060" t="s">
        <v>824</v>
      </c>
      <c r="T6060">
        <v>37</v>
      </c>
      <c r="U6060" s="26" t="str">
        <f t="shared" si="240"/>
        <v>2021.010B.R.Binomial_names.zip</v>
      </c>
    </row>
    <row r="6061" spans="1:21">
      <c r="A6061">
        <v>6060</v>
      </c>
      <c r="B6061" s="27" t="s">
        <v>1449</v>
      </c>
      <c r="D6061" s="27" t="s">
        <v>1450</v>
      </c>
      <c r="F6061" s="27" t="s">
        <v>1453</v>
      </c>
      <c r="H6061" s="27" t="s">
        <v>1454</v>
      </c>
      <c r="N6061" s="27" t="s">
        <v>1398</v>
      </c>
      <c r="P6061" s="27" t="s">
        <v>7587</v>
      </c>
      <c r="Q6061" s="26" t="str">
        <f>HYPERLINK("https://ictv.global/taxonomy/taxondetails?taxnode_id=202501168&amp;ictv_id=ICTV20165072","ICTV20165072")</f>
        <v>ICTV20165072</v>
      </c>
      <c r="R6061" t="s">
        <v>579</v>
      </c>
      <c r="S6061" t="s">
        <v>824</v>
      </c>
      <c r="T6061">
        <v>37</v>
      </c>
      <c r="U6061" s="26" t="str">
        <f t="shared" si="240"/>
        <v>2021.010B.R.Binomial_names.zip</v>
      </c>
    </row>
    <row r="6062" spans="1:21">
      <c r="A6062">
        <v>6061</v>
      </c>
      <c r="B6062" s="27" t="s">
        <v>1449</v>
      </c>
      <c r="D6062" s="27" t="s">
        <v>1450</v>
      </c>
      <c r="F6062" s="27" t="s">
        <v>1453</v>
      </c>
      <c r="H6062" s="27" t="s">
        <v>1454</v>
      </c>
      <c r="N6062" s="27" t="s">
        <v>1398</v>
      </c>
      <c r="P6062" s="27" t="s">
        <v>7588</v>
      </c>
      <c r="Q6062" s="26" t="str">
        <f>HYPERLINK("https://ictv.global/taxonomy/taxondetails?taxnode_id=202501169&amp;ictv_id=ICTV20165073","ICTV20165073")</f>
        <v>ICTV20165073</v>
      </c>
      <c r="R6062" t="s">
        <v>579</v>
      </c>
      <c r="S6062" t="s">
        <v>824</v>
      </c>
      <c r="T6062">
        <v>37</v>
      </c>
      <c r="U6062" s="26" t="str">
        <f t="shared" si="240"/>
        <v>2021.010B.R.Binomial_names.zip</v>
      </c>
    </row>
    <row r="6063" spans="1:21">
      <c r="A6063">
        <v>6062</v>
      </c>
      <c r="B6063" s="27" t="s">
        <v>1449</v>
      </c>
      <c r="D6063" s="27" t="s">
        <v>1450</v>
      </c>
      <c r="F6063" s="27" t="s">
        <v>1453</v>
      </c>
      <c r="H6063" s="27" t="s">
        <v>1454</v>
      </c>
      <c r="N6063" s="27" t="s">
        <v>1398</v>
      </c>
      <c r="P6063" s="27" t="s">
        <v>7589</v>
      </c>
      <c r="Q6063" s="26" t="str">
        <f>HYPERLINK("https://ictv.global/taxonomy/taxondetails?taxnode_id=202501170&amp;ictv_id=ICTV20165074","ICTV20165074")</f>
        <v>ICTV20165074</v>
      </c>
      <c r="R6063" t="s">
        <v>579</v>
      </c>
      <c r="S6063" t="s">
        <v>824</v>
      </c>
      <c r="T6063">
        <v>37</v>
      </c>
      <c r="U6063" s="26" t="str">
        <f t="shared" si="240"/>
        <v>2021.010B.R.Binomial_names.zip</v>
      </c>
    </row>
    <row r="6064" spans="1:21">
      <c r="A6064">
        <v>6063</v>
      </c>
      <c r="B6064" s="27" t="s">
        <v>1449</v>
      </c>
      <c r="D6064" s="27" t="s">
        <v>1450</v>
      </c>
      <c r="F6064" s="27" t="s">
        <v>1453</v>
      </c>
      <c r="H6064" s="27" t="s">
        <v>1454</v>
      </c>
      <c r="N6064" s="27" t="s">
        <v>1398</v>
      </c>
      <c r="P6064" s="27" t="s">
        <v>7590</v>
      </c>
      <c r="Q6064" s="26" t="str">
        <f>HYPERLINK("https://ictv.global/taxonomy/taxondetails?taxnode_id=202501171&amp;ictv_id=ICTV20165075","ICTV20165075")</f>
        <v>ICTV20165075</v>
      </c>
      <c r="R6064" t="s">
        <v>579</v>
      </c>
      <c r="S6064" t="s">
        <v>824</v>
      </c>
      <c r="T6064">
        <v>37</v>
      </c>
      <c r="U6064" s="26" t="str">
        <f t="shared" si="240"/>
        <v>2021.010B.R.Binomial_names.zip</v>
      </c>
    </row>
    <row r="6065" spans="1:21">
      <c r="A6065">
        <v>6064</v>
      </c>
      <c r="B6065" s="27" t="s">
        <v>1449</v>
      </c>
      <c r="D6065" s="27" t="s">
        <v>1450</v>
      </c>
      <c r="F6065" s="27" t="s">
        <v>1453</v>
      </c>
      <c r="H6065" s="27" t="s">
        <v>1454</v>
      </c>
      <c r="N6065" s="27" t="s">
        <v>1398</v>
      </c>
      <c r="P6065" s="27" t="s">
        <v>7591</v>
      </c>
      <c r="Q6065" s="26" t="str">
        <f>HYPERLINK("https://ictv.global/taxonomy/taxondetails?taxnode_id=202501172&amp;ictv_id=ICTV20165076","ICTV20165076")</f>
        <v>ICTV20165076</v>
      </c>
      <c r="R6065" t="s">
        <v>579</v>
      </c>
      <c r="S6065" t="s">
        <v>824</v>
      </c>
      <c r="T6065">
        <v>37</v>
      </c>
      <c r="U6065" s="26" t="str">
        <f t="shared" si="240"/>
        <v>2021.010B.R.Binomial_names.zip</v>
      </c>
    </row>
    <row r="6066" spans="1:21">
      <c r="A6066">
        <v>6065</v>
      </c>
      <c r="B6066" s="27" t="s">
        <v>1449</v>
      </c>
      <c r="D6066" s="27" t="s">
        <v>1450</v>
      </c>
      <c r="F6066" s="27" t="s">
        <v>1453</v>
      </c>
      <c r="H6066" s="27" t="s">
        <v>1454</v>
      </c>
      <c r="N6066" s="27" t="s">
        <v>1398</v>
      </c>
      <c r="P6066" s="27" t="s">
        <v>7592</v>
      </c>
      <c r="Q6066" s="26" t="str">
        <f>HYPERLINK("https://ictv.global/taxonomy/taxondetails?taxnode_id=202501173&amp;ictv_id=ICTV20165077","ICTV20165077")</f>
        <v>ICTV20165077</v>
      </c>
      <c r="R6066" t="s">
        <v>579</v>
      </c>
      <c r="S6066" t="s">
        <v>824</v>
      </c>
      <c r="T6066">
        <v>37</v>
      </c>
      <c r="U6066" s="26" t="str">
        <f t="shared" si="240"/>
        <v>2021.010B.R.Binomial_names.zip</v>
      </c>
    </row>
    <row r="6067" spans="1:21">
      <c r="A6067">
        <v>6066</v>
      </c>
      <c r="B6067" s="27" t="s">
        <v>1449</v>
      </c>
      <c r="D6067" s="27" t="s">
        <v>1450</v>
      </c>
      <c r="F6067" s="27" t="s">
        <v>1453</v>
      </c>
      <c r="H6067" s="27" t="s">
        <v>1454</v>
      </c>
      <c r="N6067" s="27" t="s">
        <v>2293</v>
      </c>
      <c r="P6067" s="27" t="s">
        <v>7605</v>
      </c>
      <c r="Q6067" s="26" t="str">
        <f>HYPERLINK("https://ictv.global/taxonomy/taxondetails?taxnode_id=202509342&amp;ictv_id=ICTV202009342","ICTV202009342")</f>
        <v>ICTV202009342</v>
      </c>
      <c r="R6067" t="s">
        <v>579</v>
      </c>
      <c r="S6067" t="s">
        <v>824</v>
      </c>
      <c r="T6067">
        <v>37</v>
      </c>
      <c r="U6067" s="26" t="str">
        <f t="shared" si="240"/>
        <v>2021.010B.R.Binomial_names.zip</v>
      </c>
    </row>
    <row r="6068" spans="1:21">
      <c r="A6068">
        <v>6067</v>
      </c>
      <c r="B6068" s="27" t="s">
        <v>1449</v>
      </c>
      <c r="D6068" s="27" t="s">
        <v>1450</v>
      </c>
      <c r="F6068" s="27" t="s">
        <v>1453</v>
      </c>
      <c r="H6068" s="27" t="s">
        <v>1454</v>
      </c>
      <c r="N6068" s="27" t="s">
        <v>2293</v>
      </c>
      <c r="P6068" s="27" t="s">
        <v>7606</v>
      </c>
      <c r="Q6068" s="26" t="str">
        <f>HYPERLINK("https://ictv.global/taxonomy/taxondetails?taxnode_id=202509338&amp;ictv_id=ICTV202009338","ICTV202009338")</f>
        <v>ICTV202009338</v>
      </c>
      <c r="R6068" t="s">
        <v>579</v>
      </c>
      <c r="S6068" t="s">
        <v>824</v>
      </c>
      <c r="T6068">
        <v>37</v>
      </c>
      <c r="U6068" s="26" t="str">
        <f t="shared" si="240"/>
        <v>2021.010B.R.Binomial_names.zip</v>
      </c>
    </row>
    <row r="6069" spans="1:21">
      <c r="A6069">
        <v>6068</v>
      </c>
      <c r="B6069" s="27" t="s">
        <v>1449</v>
      </c>
      <c r="D6069" s="27" t="s">
        <v>1450</v>
      </c>
      <c r="F6069" s="27" t="s">
        <v>1453</v>
      </c>
      <c r="H6069" s="27" t="s">
        <v>1454</v>
      </c>
      <c r="N6069" s="27" t="s">
        <v>2293</v>
      </c>
      <c r="P6069" s="27" t="s">
        <v>7607</v>
      </c>
      <c r="Q6069" s="26" t="str">
        <f>HYPERLINK("https://ictv.global/taxonomy/taxondetails?taxnode_id=202509341&amp;ictv_id=ICTV202009341","ICTV202009341")</f>
        <v>ICTV202009341</v>
      </c>
      <c r="R6069" t="s">
        <v>579</v>
      </c>
      <c r="S6069" t="s">
        <v>824</v>
      </c>
      <c r="T6069">
        <v>37</v>
      </c>
      <c r="U6069" s="26" t="str">
        <f t="shared" ref="U6069:U6075" si="241">HYPERLINK("https://ictv.global/ictv/proposals/2021.010B.R.Binomial_names.zip","2021.010B.R.Binomial_names.zip")</f>
        <v>2021.010B.R.Binomial_names.zip</v>
      </c>
    </row>
    <row r="6070" spans="1:21">
      <c r="A6070">
        <v>6069</v>
      </c>
      <c r="B6070" s="27" t="s">
        <v>1449</v>
      </c>
      <c r="D6070" s="27" t="s">
        <v>1450</v>
      </c>
      <c r="F6070" s="27" t="s">
        <v>1453</v>
      </c>
      <c r="H6070" s="27" t="s">
        <v>1454</v>
      </c>
      <c r="N6070" s="27" t="s">
        <v>2293</v>
      </c>
      <c r="P6070" s="27" t="s">
        <v>7608</v>
      </c>
      <c r="Q6070" s="26" t="str">
        <f>HYPERLINK("https://ictv.global/taxonomy/taxondetails?taxnode_id=202509340&amp;ictv_id=ICTV202009340","ICTV202009340")</f>
        <v>ICTV202009340</v>
      </c>
      <c r="R6070" t="s">
        <v>579</v>
      </c>
      <c r="S6070" t="s">
        <v>824</v>
      </c>
      <c r="T6070">
        <v>37</v>
      </c>
      <c r="U6070" s="26" t="str">
        <f t="shared" si="241"/>
        <v>2021.010B.R.Binomial_names.zip</v>
      </c>
    </row>
    <row r="6071" spans="1:21">
      <c r="A6071">
        <v>6070</v>
      </c>
      <c r="B6071" s="27" t="s">
        <v>1449</v>
      </c>
      <c r="D6071" s="27" t="s">
        <v>1450</v>
      </c>
      <c r="F6071" s="27" t="s">
        <v>1453</v>
      </c>
      <c r="H6071" s="27" t="s">
        <v>1454</v>
      </c>
      <c r="N6071" s="27" t="s">
        <v>2293</v>
      </c>
      <c r="P6071" s="27" t="s">
        <v>7609</v>
      </c>
      <c r="Q6071" s="26" t="str">
        <f>HYPERLINK("https://ictv.global/taxonomy/taxondetails?taxnode_id=202509339&amp;ictv_id=ICTV202009339","ICTV202009339")</f>
        <v>ICTV202009339</v>
      </c>
      <c r="R6071" t="s">
        <v>579</v>
      </c>
      <c r="S6071" t="s">
        <v>824</v>
      </c>
      <c r="T6071">
        <v>37</v>
      </c>
      <c r="U6071" s="26" t="str">
        <f t="shared" si="241"/>
        <v>2021.010B.R.Binomial_names.zip</v>
      </c>
    </row>
    <row r="6072" spans="1:21">
      <c r="A6072">
        <v>6071</v>
      </c>
      <c r="B6072" s="27" t="s">
        <v>1449</v>
      </c>
      <c r="D6072" s="27" t="s">
        <v>1450</v>
      </c>
      <c r="F6072" s="27" t="s">
        <v>1453</v>
      </c>
      <c r="H6072" s="27" t="s">
        <v>1454</v>
      </c>
      <c r="N6072" s="27" t="s">
        <v>1400</v>
      </c>
      <c r="P6072" s="27" t="s">
        <v>7610</v>
      </c>
      <c r="Q6072" s="26" t="str">
        <f>HYPERLINK("https://ictv.global/taxonomy/taxondetails?taxnode_id=202501253&amp;ictv_id=ICTV20165085","ICTV20165085")</f>
        <v>ICTV20165085</v>
      </c>
      <c r="R6072" t="s">
        <v>579</v>
      </c>
      <c r="S6072" t="s">
        <v>824</v>
      </c>
      <c r="T6072">
        <v>37</v>
      </c>
      <c r="U6072" s="26" t="str">
        <f t="shared" si="241"/>
        <v>2021.010B.R.Binomial_names.zip</v>
      </c>
    </row>
    <row r="6073" spans="1:21">
      <c r="A6073">
        <v>6072</v>
      </c>
      <c r="B6073" s="27" t="s">
        <v>1449</v>
      </c>
      <c r="D6073" s="27" t="s">
        <v>1450</v>
      </c>
      <c r="F6073" s="27" t="s">
        <v>1453</v>
      </c>
      <c r="H6073" s="27" t="s">
        <v>1454</v>
      </c>
      <c r="N6073" s="27" t="s">
        <v>1400</v>
      </c>
      <c r="P6073" s="27" t="s">
        <v>7611</v>
      </c>
      <c r="Q6073" s="26" t="str">
        <f>HYPERLINK("https://ictv.global/taxonomy/taxondetails?taxnode_id=202501254&amp;ictv_id=ICTV20165086","ICTV20165086")</f>
        <v>ICTV20165086</v>
      </c>
      <c r="R6073" t="s">
        <v>579</v>
      </c>
      <c r="S6073" t="s">
        <v>824</v>
      </c>
      <c r="T6073">
        <v>37</v>
      </c>
      <c r="U6073" s="26" t="str">
        <f t="shared" si="241"/>
        <v>2021.010B.R.Binomial_names.zip</v>
      </c>
    </row>
    <row r="6074" spans="1:21">
      <c r="A6074">
        <v>6073</v>
      </c>
      <c r="B6074" s="27" t="s">
        <v>1449</v>
      </c>
      <c r="D6074" s="27" t="s">
        <v>1450</v>
      </c>
      <c r="F6074" s="27" t="s">
        <v>1453</v>
      </c>
      <c r="H6074" s="27" t="s">
        <v>1454</v>
      </c>
      <c r="N6074" s="27" t="s">
        <v>2148</v>
      </c>
      <c r="P6074" s="27" t="s">
        <v>7612</v>
      </c>
      <c r="Q6074" s="26" t="str">
        <f>HYPERLINK("https://ictv.global/taxonomy/taxondetails?taxnode_id=202511569&amp;ictv_id=ICTV202011569","ICTV202011569")</f>
        <v>ICTV202011569</v>
      </c>
      <c r="R6074" t="s">
        <v>579</v>
      </c>
      <c r="S6074" t="s">
        <v>824</v>
      </c>
      <c r="T6074">
        <v>37</v>
      </c>
      <c r="U6074" s="26" t="str">
        <f t="shared" si="241"/>
        <v>2021.010B.R.Binomial_names.zip</v>
      </c>
    </row>
    <row r="6075" spans="1:21">
      <c r="A6075">
        <v>6074</v>
      </c>
      <c r="B6075" s="27" t="s">
        <v>1449</v>
      </c>
      <c r="D6075" s="27" t="s">
        <v>1450</v>
      </c>
      <c r="F6075" s="27" t="s">
        <v>1453</v>
      </c>
      <c r="H6075" s="27" t="s">
        <v>1454</v>
      </c>
      <c r="N6075" s="27" t="s">
        <v>742</v>
      </c>
      <c r="P6075" s="27" t="s">
        <v>7613</v>
      </c>
      <c r="Q6075" s="26" t="str">
        <f>HYPERLINK("https://ictv.global/taxonomy/taxondetails?taxnode_id=202501178&amp;ictv_id=ICTV20140301","ICTV20140301")</f>
        <v>ICTV20140301</v>
      </c>
      <c r="R6075" t="s">
        <v>579</v>
      </c>
      <c r="S6075" t="s">
        <v>824</v>
      </c>
      <c r="T6075">
        <v>37</v>
      </c>
      <c r="U6075" s="26" t="str">
        <f t="shared" si="241"/>
        <v>2021.010B.R.Binomial_names.zip</v>
      </c>
    </row>
    <row r="6076" spans="1:21">
      <c r="A6076">
        <v>6075</v>
      </c>
      <c r="B6076" s="27" t="s">
        <v>1449</v>
      </c>
      <c r="D6076" s="27" t="s">
        <v>1450</v>
      </c>
      <c r="F6076" s="27" t="s">
        <v>1453</v>
      </c>
      <c r="H6076" s="27" t="s">
        <v>1454</v>
      </c>
      <c r="N6076" s="27" t="s">
        <v>7614</v>
      </c>
      <c r="P6076" s="27" t="s">
        <v>7615</v>
      </c>
      <c r="Q6076" s="26" t="str">
        <f>HYPERLINK("https://ictv.global/taxonomy/taxondetails?taxnode_id=202514718&amp;ictv_id=ICTV202214718","ICTV202214718")</f>
        <v>ICTV202214718</v>
      </c>
      <c r="R6076" t="s">
        <v>579</v>
      </c>
      <c r="S6076" t="s">
        <v>823</v>
      </c>
      <c r="T6076">
        <v>38</v>
      </c>
      <c r="U6076" s="26" t="str">
        <f>HYPERLINK("https://ictv.global/ictv/proposals/2022.061B.Pavtokvirus_ng.zip","2022.061B.Pavtokvirus_ng.zip")</f>
        <v>2022.061B.Pavtokvirus_ng.zip</v>
      </c>
    </row>
    <row r="6077" spans="1:21">
      <c r="A6077">
        <v>6076</v>
      </c>
      <c r="B6077" s="27" t="s">
        <v>1449</v>
      </c>
      <c r="D6077" s="27" t="s">
        <v>1450</v>
      </c>
      <c r="F6077" s="27" t="s">
        <v>1453</v>
      </c>
      <c r="H6077" s="27" t="s">
        <v>1454</v>
      </c>
      <c r="N6077" s="27" t="s">
        <v>7614</v>
      </c>
      <c r="P6077" s="27" t="s">
        <v>7616</v>
      </c>
      <c r="Q6077" s="26" t="str">
        <f>HYPERLINK("https://ictv.global/taxonomy/taxondetails?taxnode_id=202514719&amp;ictv_id=ICTV202214719","ICTV202214719")</f>
        <v>ICTV202214719</v>
      </c>
      <c r="R6077" t="s">
        <v>579</v>
      </c>
      <c r="S6077" t="s">
        <v>823</v>
      </c>
      <c r="T6077">
        <v>38</v>
      </c>
      <c r="U6077" s="26" t="str">
        <f>HYPERLINK("https://ictv.global/ictv/proposals/2022.061B.Pavtokvirus_ng.zip","2022.061B.Pavtokvirus_ng.zip")</f>
        <v>2022.061B.Pavtokvirus_ng.zip</v>
      </c>
    </row>
    <row r="6078" spans="1:21">
      <c r="A6078">
        <v>6077</v>
      </c>
      <c r="B6078" s="27" t="s">
        <v>1449</v>
      </c>
      <c r="D6078" s="27" t="s">
        <v>1450</v>
      </c>
      <c r="F6078" s="27" t="s">
        <v>1453</v>
      </c>
      <c r="H6078" s="27" t="s">
        <v>1454</v>
      </c>
      <c r="N6078" s="27" t="s">
        <v>22457</v>
      </c>
      <c r="P6078" s="27" t="s">
        <v>22458</v>
      </c>
      <c r="Q6078" s="26" t="str">
        <f>HYPERLINK("https://ictv.global/taxonomy/taxondetails?taxnode_id=202523092&amp;ictv_id=ICTV202523092","ICTV202523092")</f>
        <v>ICTV202523092</v>
      </c>
      <c r="R6078" t="s">
        <v>579</v>
      </c>
      <c r="S6078" t="s">
        <v>823</v>
      </c>
      <c r="T6078">
        <v>41</v>
      </c>
      <c r="U6078" s="26" t="str">
        <f>HYPERLINK("https://ictv.global/ictv/proposals/2025.056B.Paracoccus_phages_7ng_7ns.zip","2025.056B.Paracoccus_phages_7ng_7ns.zip")</f>
        <v>2025.056B.Paracoccus_phages_7ng_7ns.zip</v>
      </c>
    </row>
    <row r="6079" spans="1:21">
      <c r="A6079">
        <v>6078</v>
      </c>
      <c r="B6079" s="27" t="s">
        <v>1449</v>
      </c>
      <c r="D6079" s="27" t="s">
        <v>1450</v>
      </c>
      <c r="F6079" s="27" t="s">
        <v>1453</v>
      </c>
      <c r="H6079" s="27" t="s">
        <v>1454</v>
      </c>
      <c r="N6079" s="27" t="s">
        <v>22461</v>
      </c>
      <c r="P6079" s="27" t="s">
        <v>22462</v>
      </c>
      <c r="Q6079" s="26" t="str">
        <f>HYPERLINK("https://ictv.global/taxonomy/taxondetails?taxnode_id=202523094&amp;ictv_id=ICTV202523094","ICTV202523094")</f>
        <v>ICTV202523094</v>
      </c>
      <c r="R6079" t="s">
        <v>579</v>
      </c>
      <c r="S6079" t="s">
        <v>823</v>
      </c>
      <c r="T6079">
        <v>41</v>
      </c>
      <c r="U6079" s="26" t="str">
        <f>HYPERLINK("https://ictv.global/ictv/proposals/2025.056B.Paracoccus_phages_7ng_7ns.zip","2025.056B.Paracoccus_phages_7ng_7ns.zip")</f>
        <v>2025.056B.Paracoccus_phages_7ng_7ns.zip</v>
      </c>
    </row>
    <row r="6080" spans="1:21">
      <c r="A6080">
        <v>6079</v>
      </c>
      <c r="B6080" s="27" t="s">
        <v>1449</v>
      </c>
      <c r="D6080" s="27" t="s">
        <v>1450</v>
      </c>
      <c r="F6080" s="27" t="s">
        <v>1453</v>
      </c>
      <c r="H6080" s="27" t="s">
        <v>1454</v>
      </c>
      <c r="N6080" s="27" t="s">
        <v>22459</v>
      </c>
      <c r="P6080" s="27" t="s">
        <v>22460</v>
      </c>
      <c r="Q6080" s="26" t="str">
        <f>HYPERLINK("https://ictv.global/taxonomy/taxondetails?taxnode_id=202523093&amp;ictv_id=ICTV202523093","ICTV202523093")</f>
        <v>ICTV202523093</v>
      </c>
      <c r="R6080" t="s">
        <v>579</v>
      </c>
      <c r="S6080" t="s">
        <v>823</v>
      </c>
      <c r="T6080">
        <v>41</v>
      </c>
      <c r="U6080" s="26" t="str">
        <f>HYPERLINK("https://ictv.global/ictv/proposals/2025.056B.Paracoccus_phages_7ng_7ns.zip","2025.056B.Paracoccus_phages_7ng_7ns.zip")</f>
        <v>2025.056B.Paracoccus_phages_7ng_7ns.zip</v>
      </c>
    </row>
    <row r="6081" spans="1:21">
      <c r="A6081">
        <v>6080</v>
      </c>
      <c r="B6081" s="27" t="s">
        <v>1449</v>
      </c>
      <c r="D6081" s="27" t="s">
        <v>1450</v>
      </c>
      <c r="F6081" s="27" t="s">
        <v>1453</v>
      </c>
      <c r="H6081" s="27" t="s">
        <v>1454</v>
      </c>
      <c r="N6081" s="27" t="s">
        <v>22455</v>
      </c>
      <c r="P6081" s="27" t="s">
        <v>22456</v>
      </c>
      <c r="Q6081" s="26" t="str">
        <f>HYPERLINK("https://ictv.global/taxonomy/taxondetails?taxnode_id=202523091&amp;ictv_id=ICTV202523091","ICTV202523091")</f>
        <v>ICTV202523091</v>
      </c>
      <c r="R6081" t="s">
        <v>579</v>
      </c>
      <c r="S6081" t="s">
        <v>823</v>
      </c>
      <c r="T6081">
        <v>41</v>
      </c>
      <c r="U6081" s="26" t="str">
        <f>HYPERLINK("https://ictv.global/ictv/proposals/2025.056B.Paracoccus_phages_7ng_7ns.zip","2025.056B.Paracoccus_phages_7ng_7ns.zip")</f>
        <v>2025.056B.Paracoccus_phages_7ng_7ns.zip</v>
      </c>
    </row>
    <row r="6082" spans="1:21">
      <c r="A6082">
        <v>6081</v>
      </c>
      <c r="B6082" s="27" t="s">
        <v>1449</v>
      </c>
      <c r="D6082" s="27" t="s">
        <v>1450</v>
      </c>
      <c r="F6082" s="27" t="s">
        <v>1453</v>
      </c>
      <c r="H6082" s="27" t="s">
        <v>1454</v>
      </c>
      <c r="N6082" s="27" t="s">
        <v>22376</v>
      </c>
      <c r="P6082" s="27" t="s">
        <v>22377</v>
      </c>
      <c r="Q6082" s="26" t="str">
        <f>HYPERLINK("https://ictv.global/taxonomy/taxondetails?taxnode_id=202523035&amp;ictv_id=ICTV202523035","ICTV202523035")</f>
        <v>ICTV202523035</v>
      </c>
      <c r="R6082" t="s">
        <v>579</v>
      </c>
      <c r="S6082" t="s">
        <v>823</v>
      </c>
      <c r="T6082">
        <v>41</v>
      </c>
      <c r="U6082" s="26" t="str">
        <f t="shared" ref="U6082:U6089" si="242">HYPERLINK("https://ictv.global/ictv/proposals/2025.048B.V3.Mycobacterium_phages_1ng_8ns.zip","2025.048B.V3.Mycobacterium_phages_1ng_8ns.zip")</f>
        <v>2025.048B.V3.Mycobacterium_phages_1ng_8ns.zip</v>
      </c>
    </row>
    <row r="6083" spans="1:21">
      <c r="A6083">
        <v>6082</v>
      </c>
      <c r="B6083" s="27" t="s">
        <v>1449</v>
      </c>
      <c r="D6083" s="27" t="s">
        <v>1450</v>
      </c>
      <c r="F6083" s="27" t="s">
        <v>1453</v>
      </c>
      <c r="H6083" s="27" t="s">
        <v>1454</v>
      </c>
      <c r="N6083" s="27" t="s">
        <v>22376</v>
      </c>
      <c r="P6083" s="27" t="s">
        <v>22379</v>
      </c>
      <c r="Q6083" s="26" t="str">
        <f>HYPERLINK("https://ictv.global/taxonomy/taxondetails?taxnode_id=202523037&amp;ictv_id=ICTV202523037","ICTV202523037")</f>
        <v>ICTV202523037</v>
      </c>
      <c r="R6083" t="s">
        <v>579</v>
      </c>
      <c r="S6083" t="s">
        <v>823</v>
      </c>
      <c r="T6083">
        <v>41</v>
      </c>
      <c r="U6083" s="26" t="str">
        <f t="shared" si="242"/>
        <v>2025.048B.V3.Mycobacterium_phages_1ng_8ns.zip</v>
      </c>
    </row>
    <row r="6084" spans="1:21">
      <c r="A6084">
        <v>6083</v>
      </c>
      <c r="B6084" s="27" t="s">
        <v>1449</v>
      </c>
      <c r="D6084" s="27" t="s">
        <v>1450</v>
      </c>
      <c r="F6084" s="27" t="s">
        <v>1453</v>
      </c>
      <c r="H6084" s="27" t="s">
        <v>1454</v>
      </c>
      <c r="N6084" s="27" t="s">
        <v>22376</v>
      </c>
      <c r="P6084" s="27" t="s">
        <v>22384</v>
      </c>
      <c r="Q6084" s="26" t="str">
        <f>HYPERLINK("https://ictv.global/taxonomy/taxondetails?taxnode_id=202523042&amp;ictv_id=ICTV202523042","ICTV202523042")</f>
        <v>ICTV202523042</v>
      </c>
      <c r="R6084" t="s">
        <v>579</v>
      </c>
      <c r="S6084" t="s">
        <v>823</v>
      </c>
      <c r="T6084">
        <v>41</v>
      </c>
      <c r="U6084" s="26" t="str">
        <f t="shared" si="242"/>
        <v>2025.048B.V3.Mycobacterium_phages_1ng_8ns.zip</v>
      </c>
    </row>
    <row r="6085" spans="1:21">
      <c r="A6085">
        <v>6084</v>
      </c>
      <c r="B6085" s="27" t="s">
        <v>1449</v>
      </c>
      <c r="D6085" s="27" t="s">
        <v>1450</v>
      </c>
      <c r="F6085" s="27" t="s">
        <v>1453</v>
      </c>
      <c r="H6085" s="27" t="s">
        <v>1454</v>
      </c>
      <c r="N6085" s="27" t="s">
        <v>22376</v>
      </c>
      <c r="P6085" s="27" t="s">
        <v>22378</v>
      </c>
      <c r="Q6085" s="26" t="str">
        <f>HYPERLINK("https://ictv.global/taxonomy/taxondetails?taxnode_id=202523036&amp;ictv_id=ICTV202523036","ICTV202523036")</f>
        <v>ICTV202523036</v>
      </c>
      <c r="R6085" t="s">
        <v>579</v>
      </c>
      <c r="S6085" t="s">
        <v>823</v>
      </c>
      <c r="T6085">
        <v>41</v>
      </c>
      <c r="U6085" s="26" t="str">
        <f t="shared" si="242"/>
        <v>2025.048B.V3.Mycobacterium_phages_1ng_8ns.zip</v>
      </c>
    </row>
    <row r="6086" spans="1:21">
      <c r="A6086">
        <v>6085</v>
      </c>
      <c r="B6086" s="27" t="s">
        <v>1449</v>
      </c>
      <c r="D6086" s="27" t="s">
        <v>1450</v>
      </c>
      <c r="F6086" s="27" t="s">
        <v>1453</v>
      </c>
      <c r="H6086" s="27" t="s">
        <v>1454</v>
      </c>
      <c r="N6086" s="27" t="s">
        <v>22376</v>
      </c>
      <c r="P6086" s="27" t="s">
        <v>22381</v>
      </c>
      <c r="Q6086" s="26" t="str">
        <f>HYPERLINK("https://ictv.global/taxonomy/taxondetails?taxnode_id=202523039&amp;ictv_id=ICTV202523039","ICTV202523039")</f>
        <v>ICTV202523039</v>
      </c>
      <c r="R6086" t="s">
        <v>579</v>
      </c>
      <c r="S6086" t="s">
        <v>823</v>
      </c>
      <c r="T6086">
        <v>41</v>
      </c>
      <c r="U6086" s="26" t="str">
        <f t="shared" si="242"/>
        <v>2025.048B.V3.Mycobacterium_phages_1ng_8ns.zip</v>
      </c>
    </row>
    <row r="6087" spans="1:21">
      <c r="A6087">
        <v>6086</v>
      </c>
      <c r="B6087" s="27" t="s">
        <v>1449</v>
      </c>
      <c r="D6087" s="27" t="s">
        <v>1450</v>
      </c>
      <c r="F6087" s="27" t="s">
        <v>1453</v>
      </c>
      <c r="H6087" s="27" t="s">
        <v>1454</v>
      </c>
      <c r="N6087" s="27" t="s">
        <v>22376</v>
      </c>
      <c r="P6087" s="27" t="s">
        <v>22382</v>
      </c>
      <c r="Q6087" s="26" t="str">
        <f>HYPERLINK("https://ictv.global/taxonomy/taxondetails?taxnode_id=202523040&amp;ictv_id=ICTV202523040","ICTV202523040")</f>
        <v>ICTV202523040</v>
      </c>
      <c r="R6087" t="s">
        <v>579</v>
      </c>
      <c r="S6087" t="s">
        <v>823</v>
      </c>
      <c r="T6087">
        <v>41</v>
      </c>
      <c r="U6087" s="26" t="str">
        <f t="shared" si="242"/>
        <v>2025.048B.V3.Mycobacterium_phages_1ng_8ns.zip</v>
      </c>
    </row>
    <row r="6088" spans="1:21">
      <c r="A6088">
        <v>6087</v>
      </c>
      <c r="B6088" s="27" t="s">
        <v>1449</v>
      </c>
      <c r="D6088" s="27" t="s">
        <v>1450</v>
      </c>
      <c r="F6088" s="27" t="s">
        <v>1453</v>
      </c>
      <c r="H6088" s="27" t="s">
        <v>1454</v>
      </c>
      <c r="N6088" s="27" t="s">
        <v>22376</v>
      </c>
      <c r="P6088" s="27" t="s">
        <v>22380</v>
      </c>
      <c r="Q6088" s="26" t="str">
        <f>HYPERLINK("https://ictv.global/taxonomy/taxondetails?taxnode_id=202523038&amp;ictv_id=ICTV202523038","ICTV202523038")</f>
        <v>ICTV202523038</v>
      </c>
      <c r="R6088" t="s">
        <v>579</v>
      </c>
      <c r="S6088" t="s">
        <v>823</v>
      </c>
      <c r="T6088">
        <v>41</v>
      </c>
      <c r="U6088" s="26" t="str">
        <f t="shared" si="242"/>
        <v>2025.048B.V3.Mycobacterium_phages_1ng_8ns.zip</v>
      </c>
    </row>
    <row r="6089" spans="1:21">
      <c r="A6089">
        <v>6088</v>
      </c>
      <c r="B6089" s="27" t="s">
        <v>1449</v>
      </c>
      <c r="D6089" s="27" t="s">
        <v>1450</v>
      </c>
      <c r="F6089" s="27" t="s">
        <v>1453</v>
      </c>
      <c r="H6089" s="27" t="s">
        <v>1454</v>
      </c>
      <c r="N6089" s="27" t="s">
        <v>22376</v>
      </c>
      <c r="P6089" s="27" t="s">
        <v>22383</v>
      </c>
      <c r="Q6089" s="26" t="str">
        <f>HYPERLINK("https://ictv.global/taxonomy/taxondetails?taxnode_id=202523041&amp;ictv_id=ICTV202523041","ICTV202523041")</f>
        <v>ICTV202523041</v>
      </c>
      <c r="R6089" t="s">
        <v>579</v>
      </c>
      <c r="S6089" t="s">
        <v>823</v>
      </c>
      <c r="T6089">
        <v>41</v>
      </c>
      <c r="U6089" s="26" t="str">
        <f t="shared" si="242"/>
        <v>2025.048B.V3.Mycobacterium_phages_1ng_8ns.zip</v>
      </c>
    </row>
    <row r="6090" spans="1:21">
      <c r="A6090">
        <v>6089</v>
      </c>
      <c r="B6090" s="27" t="s">
        <v>1449</v>
      </c>
      <c r="D6090" s="27" t="s">
        <v>1450</v>
      </c>
      <c r="F6090" s="27" t="s">
        <v>1453</v>
      </c>
      <c r="H6090" s="27" t="s">
        <v>1454</v>
      </c>
      <c r="N6090" s="27" t="s">
        <v>22453</v>
      </c>
      <c r="P6090" s="27" t="s">
        <v>22454</v>
      </c>
      <c r="Q6090" s="26" t="str">
        <f>HYPERLINK("https://ictv.global/taxonomy/taxondetails?taxnode_id=202523090&amp;ictv_id=ICTV202523090","ICTV202523090")</f>
        <v>ICTV202523090</v>
      </c>
      <c r="R6090" t="s">
        <v>579</v>
      </c>
      <c r="S6090" t="s">
        <v>823</v>
      </c>
      <c r="T6090">
        <v>41</v>
      </c>
      <c r="U6090" s="26" t="str">
        <f>HYPERLINK("https://ictv.global/ictv/proposals/2025.056B.Paracoccus_phages_7ng_7ns.zip","2025.056B.Paracoccus_phages_7ng_7ns.zip")</f>
        <v>2025.056B.Paracoccus_phages_7ng_7ns.zip</v>
      </c>
    </row>
    <row r="6091" spans="1:21">
      <c r="A6091">
        <v>6090</v>
      </c>
      <c r="B6091" s="27" t="s">
        <v>1449</v>
      </c>
      <c r="D6091" s="27" t="s">
        <v>1450</v>
      </c>
      <c r="F6091" s="27" t="s">
        <v>1453</v>
      </c>
      <c r="H6091" s="27" t="s">
        <v>1454</v>
      </c>
      <c r="N6091" s="27" t="s">
        <v>2115</v>
      </c>
      <c r="P6091" s="27" t="s">
        <v>7651</v>
      </c>
      <c r="Q6091" s="26" t="str">
        <f>HYPERLINK("https://ictv.global/taxonomy/taxondetails?taxnode_id=202511617&amp;ictv_id=ICTV202011617","ICTV202011617")</f>
        <v>ICTV202011617</v>
      </c>
      <c r="R6091" t="s">
        <v>579</v>
      </c>
      <c r="S6091" t="s">
        <v>824</v>
      </c>
      <c r="T6091">
        <v>37</v>
      </c>
      <c r="U6091" s="26" t="str">
        <f>HYPERLINK("https://ictv.global/ictv/proposals/2021.010B.R.Binomial_names.zip","2021.010B.R.Binomial_names.zip")</f>
        <v>2021.010B.R.Binomial_names.zip</v>
      </c>
    </row>
    <row r="6092" spans="1:21">
      <c r="A6092">
        <v>6091</v>
      </c>
      <c r="B6092" s="27" t="s">
        <v>1449</v>
      </c>
      <c r="D6092" s="27" t="s">
        <v>1450</v>
      </c>
      <c r="F6092" s="27" t="s">
        <v>1453</v>
      </c>
      <c r="H6092" s="27" t="s">
        <v>1454</v>
      </c>
      <c r="N6092" s="27" t="s">
        <v>1401</v>
      </c>
      <c r="P6092" s="27" t="s">
        <v>7652</v>
      </c>
      <c r="Q6092" s="26" t="str">
        <f>HYPERLINK("https://ictv.global/taxonomy/taxondetails?taxnode_id=202501182&amp;ictv_id=ICTV20165080","ICTV20165080")</f>
        <v>ICTV20165080</v>
      </c>
      <c r="R6092" t="s">
        <v>579</v>
      </c>
      <c r="S6092" t="s">
        <v>824</v>
      </c>
      <c r="T6092">
        <v>37</v>
      </c>
      <c r="U6092" s="26" t="str">
        <f>HYPERLINK("https://ictv.global/ictv/proposals/2021.010B.R.Binomial_names.zip","2021.010B.R.Binomial_names.zip")</f>
        <v>2021.010B.R.Binomial_names.zip</v>
      </c>
    </row>
    <row r="6093" spans="1:21">
      <c r="A6093">
        <v>6092</v>
      </c>
      <c r="B6093" s="27" t="s">
        <v>1449</v>
      </c>
      <c r="D6093" s="27" t="s">
        <v>1450</v>
      </c>
      <c r="F6093" s="27" t="s">
        <v>1453</v>
      </c>
      <c r="H6093" s="27" t="s">
        <v>1454</v>
      </c>
      <c r="N6093" s="27" t="s">
        <v>1401</v>
      </c>
      <c r="P6093" s="27" t="s">
        <v>7653</v>
      </c>
      <c r="Q6093" s="26" t="str">
        <f>HYPERLINK("https://ictv.global/taxonomy/taxondetails?taxnode_id=202501183&amp;ictv_id=ICTV20165081","ICTV20165081")</f>
        <v>ICTV20165081</v>
      </c>
      <c r="R6093" t="s">
        <v>579</v>
      </c>
      <c r="S6093" t="s">
        <v>824</v>
      </c>
      <c r="T6093">
        <v>37</v>
      </c>
      <c r="U6093" s="26" t="str">
        <f>HYPERLINK("https://ictv.global/ictv/proposals/2021.010B.R.Binomial_names.zip","2021.010B.R.Binomial_names.zip")</f>
        <v>2021.010B.R.Binomial_names.zip</v>
      </c>
    </row>
    <row r="6094" spans="1:21">
      <c r="A6094">
        <v>6093</v>
      </c>
      <c r="B6094" s="27" t="s">
        <v>1449</v>
      </c>
      <c r="D6094" s="27" t="s">
        <v>1450</v>
      </c>
      <c r="F6094" s="27" t="s">
        <v>1453</v>
      </c>
      <c r="H6094" s="27" t="s">
        <v>1454</v>
      </c>
      <c r="N6094" s="27" t="s">
        <v>1308</v>
      </c>
      <c r="P6094" s="27" t="s">
        <v>7654</v>
      </c>
      <c r="Q6094" s="26" t="str">
        <f>HYPERLINK("https://ictv.global/taxonomy/taxondetails?taxnode_id=202500695&amp;ictv_id=ICTV20164929","ICTV20164929")</f>
        <v>ICTV20164929</v>
      </c>
      <c r="R6094" t="s">
        <v>579</v>
      </c>
      <c r="S6094" t="s">
        <v>824</v>
      </c>
      <c r="T6094">
        <v>37</v>
      </c>
      <c r="U6094" s="26" t="str">
        <f>HYPERLINK("https://ictv.global/ictv/proposals/2021.010B.R.Binomial_names.zip","2021.010B.R.Binomial_names.zip")</f>
        <v>2021.010B.R.Binomial_names.zip</v>
      </c>
    </row>
    <row r="6095" spans="1:21">
      <c r="A6095">
        <v>6094</v>
      </c>
      <c r="B6095" s="27" t="s">
        <v>1449</v>
      </c>
      <c r="D6095" s="27" t="s">
        <v>1450</v>
      </c>
      <c r="F6095" s="27" t="s">
        <v>1453</v>
      </c>
      <c r="H6095" s="27" t="s">
        <v>1454</v>
      </c>
      <c r="N6095" s="27" t="s">
        <v>1308</v>
      </c>
      <c r="P6095" s="27" t="s">
        <v>7655</v>
      </c>
      <c r="Q6095" s="26" t="str">
        <f>HYPERLINK("https://ictv.global/taxonomy/taxondetails?taxnode_id=202500696&amp;ictv_id=ICTV20164930","ICTV20164930")</f>
        <v>ICTV20164930</v>
      </c>
      <c r="R6095" t="s">
        <v>579</v>
      </c>
      <c r="S6095" t="s">
        <v>824</v>
      </c>
      <c r="T6095">
        <v>37</v>
      </c>
      <c r="U6095" s="26" t="str">
        <f>HYPERLINK("https://ictv.global/ictv/proposals/2021.010B.R.Binomial_names.zip","2021.010B.R.Binomial_names.zip")</f>
        <v>2021.010B.R.Binomial_names.zip</v>
      </c>
    </row>
    <row r="6096" spans="1:21">
      <c r="A6096">
        <v>6095</v>
      </c>
      <c r="B6096" s="27" t="s">
        <v>1449</v>
      </c>
      <c r="D6096" s="27" t="s">
        <v>1450</v>
      </c>
      <c r="F6096" s="27" t="s">
        <v>1453</v>
      </c>
      <c r="H6096" s="27" t="s">
        <v>1454</v>
      </c>
      <c r="N6096" s="27" t="s">
        <v>7656</v>
      </c>
      <c r="P6096" s="27" t="s">
        <v>7657</v>
      </c>
      <c r="Q6096" s="26" t="str">
        <f>HYPERLINK("https://ictv.global/taxonomy/taxondetails?taxnode_id=202514866&amp;ictv_id=ICTV202214866","ICTV202214866")</f>
        <v>ICTV202214866</v>
      </c>
      <c r="R6096" t="s">
        <v>579</v>
      </c>
      <c r="S6096" t="s">
        <v>823</v>
      </c>
      <c r="T6096">
        <v>38</v>
      </c>
      <c r="U6096" s="26" t="str">
        <f>HYPERLINK("https://ictv.global/ictv/proposals/2022.080B.Caudoviricetes_6ng.zip","2022.080B.Caudoviricetes_6ng.zip")</f>
        <v>2022.080B.Caudoviricetes_6ng.zip</v>
      </c>
    </row>
    <row r="6097" spans="1:21">
      <c r="A6097">
        <v>6096</v>
      </c>
      <c r="B6097" s="27" t="s">
        <v>1449</v>
      </c>
      <c r="D6097" s="27" t="s">
        <v>1450</v>
      </c>
      <c r="F6097" s="27" t="s">
        <v>1453</v>
      </c>
      <c r="H6097" s="27" t="s">
        <v>1454</v>
      </c>
      <c r="N6097" s="27" t="s">
        <v>1697</v>
      </c>
      <c r="P6097" s="27" t="s">
        <v>7661</v>
      </c>
      <c r="Q6097" s="26" t="str">
        <f>HYPERLINK("https://ictv.global/taxonomy/taxondetails?taxnode_id=202508188&amp;ictv_id=ICTV201908188","ICTV201908188")</f>
        <v>ICTV201908188</v>
      </c>
      <c r="R6097" t="s">
        <v>579</v>
      </c>
      <c r="S6097" t="s">
        <v>824</v>
      </c>
      <c r="T6097">
        <v>37</v>
      </c>
      <c r="U6097" s="26" t="str">
        <f>HYPERLINK("https://ictv.global/ictv/proposals/2021.010B.R.Binomial_names.zip","2021.010B.R.Binomial_names.zip")</f>
        <v>2021.010B.R.Binomial_names.zip</v>
      </c>
    </row>
    <row r="6098" spans="1:21">
      <c r="A6098">
        <v>6097</v>
      </c>
      <c r="B6098" s="27" t="s">
        <v>1449</v>
      </c>
      <c r="D6098" s="27" t="s">
        <v>1450</v>
      </c>
      <c r="F6098" s="27" t="s">
        <v>1453</v>
      </c>
      <c r="H6098" s="27" t="s">
        <v>1454</v>
      </c>
      <c r="N6098" s="27" t="s">
        <v>7662</v>
      </c>
      <c r="P6098" s="27" t="s">
        <v>7663</v>
      </c>
      <c r="Q6098" s="26" t="str">
        <f>HYPERLINK("https://ictv.global/taxonomy/taxondetails?taxnode_id=202512878&amp;ictv_id=ICTV202112878","ICTV202112878")</f>
        <v>ICTV202112878</v>
      </c>
      <c r="R6098" t="s">
        <v>579</v>
      </c>
      <c r="S6098" t="s">
        <v>823</v>
      </c>
      <c r="T6098">
        <v>37</v>
      </c>
      <c r="U6098" s="26" t="str">
        <f>HYPERLINK("https://ictv.global/ictv/proposals/2021.064B.R.Pharaohvirus_Refugevirus.zip","2021.064B.R.Pharaohvirus_Refugevirus.zip")</f>
        <v>2021.064B.R.Pharaohvirus_Refugevirus.zip</v>
      </c>
    </row>
    <row r="6099" spans="1:21">
      <c r="A6099">
        <v>6098</v>
      </c>
      <c r="B6099" s="27" t="s">
        <v>1449</v>
      </c>
      <c r="D6099" s="27" t="s">
        <v>1450</v>
      </c>
      <c r="F6099" s="27" t="s">
        <v>1453</v>
      </c>
      <c r="H6099" s="27" t="s">
        <v>1454</v>
      </c>
      <c r="N6099" s="27" t="s">
        <v>7662</v>
      </c>
      <c r="P6099" s="27" t="s">
        <v>7664</v>
      </c>
      <c r="Q6099" s="26" t="str">
        <f>HYPERLINK("https://ictv.global/taxonomy/taxondetails?taxnode_id=202512879&amp;ictv_id=ICTV202112879","ICTV202112879")</f>
        <v>ICTV202112879</v>
      </c>
      <c r="R6099" t="s">
        <v>579</v>
      </c>
      <c r="S6099" t="s">
        <v>823</v>
      </c>
      <c r="T6099">
        <v>37</v>
      </c>
      <c r="U6099" s="26" t="str">
        <f>HYPERLINK("https://ictv.global/ictv/proposals/2021.064B.R.Pharaohvirus_Refugevirus.zip","2021.064B.R.Pharaohvirus_Refugevirus.zip")</f>
        <v>2021.064B.R.Pharaohvirus_Refugevirus.zip</v>
      </c>
    </row>
    <row r="6100" spans="1:21">
      <c r="A6100">
        <v>6099</v>
      </c>
      <c r="B6100" s="27" t="s">
        <v>1449</v>
      </c>
      <c r="D6100" s="27" t="s">
        <v>1450</v>
      </c>
      <c r="F6100" s="27" t="s">
        <v>1453</v>
      </c>
      <c r="H6100" s="27" t="s">
        <v>1454</v>
      </c>
      <c r="N6100" s="27" t="s">
        <v>624</v>
      </c>
      <c r="P6100" s="27" t="s">
        <v>7665</v>
      </c>
      <c r="Q6100" s="26" t="str">
        <f>HYPERLINK("https://ictv.global/taxonomy/taxondetails?taxnode_id=202501227&amp;ictv_id=ICTV20140252","ICTV20140252")</f>
        <v>ICTV20140252</v>
      </c>
      <c r="R6100" t="s">
        <v>579</v>
      </c>
      <c r="S6100" t="s">
        <v>824</v>
      </c>
      <c r="T6100">
        <v>37</v>
      </c>
      <c r="U6100" s="26" t="str">
        <f>HYPERLINK("https://ictv.global/ictv/proposals/2021.010B.R.Binomial_names.zip","2021.010B.R.Binomial_names.zip")</f>
        <v>2021.010B.R.Binomial_names.zip</v>
      </c>
    </row>
    <row r="6101" spans="1:21">
      <c r="A6101">
        <v>6100</v>
      </c>
      <c r="B6101" s="27" t="s">
        <v>1449</v>
      </c>
      <c r="D6101" s="27" t="s">
        <v>1450</v>
      </c>
      <c r="F6101" s="27" t="s">
        <v>1453</v>
      </c>
      <c r="H6101" s="27" t="s">
        <v>1454</v>
      </c>
      <c r="N6101" s="27" t="s">
        <v>624</v>
      </c>
      <c r="P6101" s="27" t="s">
        <v>7666</v>
      </c>
      <c r="Q6101" s="26" t="str">
        <f>HYPERLINK("https://ictv.global/taxonomy/taxondetails?taxnode_id=202501228&amp;ictv_id=ICTV20140253","ICTV20140253")</f>
        <v>ICTV20140253</v>
      </c>
      <c r="R6101" t="s">
        <v>579</v>
      </c>
      <c r="S6101" t="s">
        <v>824</v>
      </c>
      <c r="T6101">
        <v>37</v>
      </c>
      <c r="U6101" s="26" t="str">
        <f>HYPERLINK("https://ictv.global/ictv/proposals/2021.010B.R.Binomial_names.zip","2021.010B.R.Binomial_names.zip")</f>
        <v>2021.010B.R.Binomial_names.zip</v>
      </c>
    </row>
    <row r="6102" spans="1:21">
      <c r="A6102">
        <v>6101</v>
      </c>
      <c r="B6102" s="27" t="s">
        <v>1449</v>
      </c>
      <c r="D6102" s="27" t="s">
        <v>1450</v>
      </c>
      <c r="F6102" s="27" t="s">
        <v>1453</v>
      </c>
      <c r="H6102" s="27" t="s">
        <v>1454</v>
      </c>
      <c r="N6102" s="27" t="s">
        <v>624</v>
      </c>
      <c r="P6102" s="27" t="s">
        <v>7667</v>
      </c>
      <c r="Q6102" s="26" t="str">
        <f>HYPERLINK("https://ictv.global/taxonomy/taxondetails?taxnode_id=202501229&amp;ictv_id=ICTV20140254","ICTV20140254")</f>
        <v>ICTV20140254</v>
      </c>
      <c r="R6102" t="s">
        <v>579</v>
      </c>
      <c r="S6102" t="s">
        <v>824</v>
      </c>
      <c r="T6102">
        <v>37</v>
      </c>
      <c r="U6102" s="26" t="str">
        <f>HYPERLINK("https://ictv.global/ictv/proposals/2021.010B.R.Binomial_names.zip","2021.010B.R.Binomial_names.zip")</f>
        <v>2021.010B.R.Binomial_names.zip</v>
      </c>
    </row>
    <row r="6103" spans="1:21">
      <c r="A6103">
        <v>6102</v>
      </c>
      <c r="B6103" s="27" t="s">
        <v>1449</v>
      </c>
      <c r="D6103" s="27" t="s">
        <v>1450</v>
      </c>
      <c r="F6103" s="27" t="s">
        <v>1453</v>
      </c>
      <c r="H6103" s="27" t="s">
        <v>1454</v>
      </c>
      <c r="N6103" s="27" t="s">
        <v>7671</v>
      </c>
      <c r="P6103" s="27" t="s">
        <v>7672</v>
      </c>
      <c r="Q6103" s="26" t="str">
        <f>HYPERLINK("https://ictv.global/taxonomy/taxondetails?taxnode_id=202512884&amp;ictv_id=ICTV202112884","ICTV202112884")</f>
        <v>ICTV202112884</v>
      </c>
      <c r="R6103" t="s">
        <v>579</v>
      </c>
      <c r="S6103" t="s">
        <v>823</v>
      </c>
      <c r="T6103">
        <v>37</v>
      </c>
      <c r="U6103" s="26" t="str">
        <f>HYPERLINK("https://ictv.global/ictv/proposals/2021.065B.R.Phleivirus.zip","2021.065B.R.Phleivirus.zip")</f>
        <v>2021.065B.R.Phleivirus.zip</v>
      </c>
    </row>
    <row r="6104" spans="1:21">
      <c r="A6104">
        <v>6103</v>
      </c>
      <c r="B6104" s="27" t="s">
        <v>1449</v>
      </c>
      <c r="D6104" s="27" t="s">
        <v>1450</v>
      </c>
      <c r="F6104" s="27" t="s">
        <v>1453</v>
      </c>
      <c r="H6104" s="27" t="s">
        <v>1454</v>
      </c>
      <c r="N6104" s="27" t="s">
        <v>7673</v>
      </c>
      <c r="P6104" s="27" t="s">
        <v>19859</v>
      </c>
      <c r="Q6104" s="26" t="str">
        <f>HYPERLINK("https://ictv.global/taxonomy/taxondetails?taxnode_id=202512886&amp;ictv_id=ICTV202112886","ICTV202112886")</f>
        <v>ICTV202112886</v>
      </c>
      <c r="R6104" t="s">
        <v>579</v>
      </c>
      <c r="S6104" t="s">
        <v>824</v>
      </c>
      <c r="T6104">
        <v>40</v>
      </c>
      <c r="U6104" s="26" t="str">
        <f>HYPERLINK("https://ictv.global/ictv/proposals/2024.036B.Caudoviricetes_Faserviricetes_Name_Corrections.zip","2024.036B.Caudoviricetes_Faserviricetes_Name_Corrections.zip")</f>
        <v>2024.036B.Caudoviricetes_Faserviricetes_Name_Corrections.zip</v>
      </c>
    </row>
    <row r="6105" spans="1:21">
      <c r="A6105">
        <v>6104</v>
      </c>
      <c r="B6105" s="27" t="s">
        <v>1449</v>
      </c>
      <c r="D6105" s="27" t="s">
        <v>1450</v>
      </c>
      <c r="F6105" s="27" t="s">
        <v>1453</v>
      </c>
      <c r="H6105" s="27" t="s">
        <v>1454</v>
      </c>
      <c r="N6105" s="27" t="s">
        <v>1778</v>
      </c>
      <c r="P6105" s="27" t="s">
        <v>7674</v>
      </c>
      <c r="Q6105" s="26" t="str">
        <f>HYPERLINK("https://ictv.global/taxonomy/taxondetails?taxnode_id=202507512&amp;ictv_id=ICTV201907512","ICTV201907512")</f>
        <v>ICTV201907512</v>
      </c>
      <c r="R6105" t="s">
        <v>579</v>
      </c>
      <c r="S6105" t="s">
        <v>824</v>
      </c>
      <c r="T6105">
        <v>37</v>
      </c>
      <c r="U6105" s="26" t="str">
        <f>HYPERLINK("https://ictv.global/ictv/proposals/2021.010B.R.Binomial_names.zip","2021.010B.R.Binomial_names.zip")</f>
        <v>2021.010B.R.Binomial_names.zip</v>
      </c>
    </row>
    <row r="6106" spans="1:21">
      <c r="A6106">
        <v>6105</v>
      </c>
      <c r="B6106" s="27" t="s">
        <v>1449</v>
      </c>
      <c r="D6106" s="27" t="s">
        <v>1450</v>
      </c>
      <c r="F6106" s="27" t="s">
        <v>1453</v>
      </c>
      <c r="H6106" s="27" t="s">
        <v>1454</v>
      </c>
      <c r="N6106" s="27" t="s">
        <v>1402</v>
      </c>
      <c r="P6106" s="27" t="s">
        <v>7675</v>
      </c>
      <c r="Q6106" s="26" t="str">
        <f>HYPERLINK("https://ictv.global/taxonomy/taxondetails?taxnode_id=202506749&amp;ictv_id=ICTV201856749","ICTV201856749")</f>
        <v>ICTV201856749</v>
      </c>
      <c r="R6106" t="s">
        <v>579</v>
      </c>
      <c r="S6106" t="s">
        <v>824</v>
      </c>
      <c r="T6106">
        <v>37</v>
      </c>
      <c r="U6106" s="26" t="str">
        <f>HYPERLINK("https://ictv.global/ictv/proposals/2021.010B.R.Binomial_names.zip","2021.010B.R.Binomial_names.zip")</f>
        <v>2021.010B.R.Binomial_names.zip</v>
      </c>
    </row>
    <row r="6107" spans="1:21">
      <c r="A6107">
        <v>6106</v>
      </c>
      <c r="B6107" s="27" t="s">
        <v>1449</v>
      </c>
      <c r="D6107" s="27" t="s">
        <v>1450</v>
      </c>
      <c r="F6107" s="27" t="s">
        <v>1453</v>
      </c>
      <c r="H6107" s="27" t="s">
        <v>1454</v>
      </c>
      <c r="N6107" s="27" t="s">
        <v>7676</v>
      </c>
      <c r="P6107" s="27" t="s">
        <v>7677</v>
      </c>
      <c r="Q6107" s="26" t="str">
        <f>HYPERLINK("https://ictv.global/taxonomy/taxondetails?taxnode_id=202514751&amp;ictv_id=ICTV202214751","ICTV202214751")</f>
        <v>ICTV202214751</v>
      </c>
      <c r="R6107" t="s">
        <v>579</v>
      </c>
      <c r="S6107" t="s">
        <v>823</v>
      </c>
      <c r="T6107">
        <v>38</v>
      </c>
      <c r="U6107" s="26" t="str">
        <f t="shared" ref="U6107:U6113" si="243">HYPERLINK("https://ictv.global/ictv/proposals/2022.063B.Piorkowskivirus_ng.zip","2022.063B.Piorkowskivirus_ng.zip")</f>
        <v>2022.063B.Piorkowskivirus_ng.zip</v>
      </c>
    </row>
    <row r="6108" spans="1:21">
      <c r="A6108">
        <v>6107</v>
      </c>
      <c r="B6108" s="27" t="s">
        <v>1449</v>
      </c>
      <c r="D6108" s="27" t="s">
        <v>1450</v>
      </c>
      <c r="F6108" s="27" t="s">
        <v>1453</v>
      </c>
      <c r="H6108" s="27" t="s">
        <v>1454</v>
      </c>
      <c r="N6108" s="27" t="s">
        <v>7676</v>
      </c>
      <c r="P6108" s="27" t="s">
        <v>7678</v>
      </c>
      <c r="Q6108" s="26" t="str">
        <f>HYPERLINK("https://ictv.global/taxonomy/taxondetails?taxnode_id=202514750&amp;ictv_id=ICTV202214750","ICTV202214750")</f>
        <v>ICTV202214750</v>
      </c>
      <c r="R6108" t="s">
        <v>579</v>
      </c>
      <c r="S6108" t="s">
        <v>823</v>
      </c>
      <c r="T6108">
        <v>38</v>
      </c>
      <c r="U6108" s="26" t="str">
        <f t="shared" si="243"/>
        <v>2022.063B.Piorkowskivirus_ng.zip</v>
      </c>
    </row>
    <row r="6109" spans="1:21">
      <c r="A6109">
        <v>6108</v>
      </c>
      <c r="B6109" s="27" t="s">
        <v>1449</v>
      </c>
      <c r="D6109" s="27" t="s">
        <v>1450</v>
      </c>
      <c r="F6109" s="27" t="s">
        <v>1453</v>
      </c>
      <c r="H6109" s="27" t="s">
        <v>1454</v>
      </c>
      <c r="N6109" s="27" t="s">
        <v>7676</v>
      </c>
      <c r="P6109" s="27" t="s">
        <v>7679</v>
      </c>
      <c r="Q6109" s="26" t="str">
        <f>HYPERLINK("https://ictv.global/taxonomy/taxondetails?taxnode_id=202514746&amp;ictv_id=ICTV202214746","ICTV202214746")</f>
        <v>ICTV202214746</v>
      </c>
      <c r="R6109" t="s">
        <v>579</v>
      </c>
      <c r="S6109" t="s">
        <v>823</v>
      </c>
      <c r="T6109">
        <v>38</v>
      </c>
      <c r="U6109" s="26" t="str">
        <f t="shared" si="243"/>
        <v>2022.063B.Piorkowskivirus_ng.zip</v>
      </c>
    </row>
    <row r="6110" spans="1:21">
      <c r="A6110">
        <v>6109</v>
      </c>
      <c r="B6110" s="27" t="s">
        <v>1449</v>
      </c>
      <c r="D6110" s="27" t="s">
        <v>1450</v>
      </c>
      <c r="F6110" s="27" t="s">
        <v>1453</v>
      </c>
      <c r="H6110" s="27" t="s">
        <v>1454</v>
      </c>
      <c r="N6110" s="27" t="s">
        <v>7676</v>
      </c>
      <c r="P6110" s="27" t="s">
        <v>7680</v>
      </c>
      <c r="Q6110" s="26" t="str">
        <f>HYPERLINK("https://ictv.global/taxonomy/taxondetails?taxnode_id=202514747&amp;ictv_id=ICTV202214747","ICTV202214747")</f>
        <v>ICTV202214747</v>
      </c>
      <c r="R6110" t="s">
        <v>579</v>
      </c>
      <c r="S6110" t="s">
        <v>823</v>
      </c>
      <c r="T6110">
        <v>38</v>
      </c>
      <c r="U6110" s="26" t="str">
        <f t="shared" si="243"/>
        <v>2022.063B.Piorkowskivirus_ng.zip</v>
      </c>
    </row>
    <row r="6111" spans="1:21">
      <c r="A6111">
        <v>6110</v>
      </c>
      <c r="B6111" s="27" t="s">
        <v>1449</v>
      </c>
      <c r="D6111" s="27" t="s">
        <v>1450</v>
      </c>
      <c r="F6111" s="27" t="s">
        <v>1453</v>
      </c>
      <c r="H6111" s="27" t="s">
        <v>1454</v>
      </c>
      <c r="N6111" s="27" t="s">
        <v>7676</v>
      </c>
      <c r="P6111" s="27" t="s">
        <v>7681</v>
      </c>
      <c r="Q6111" s="26" t="str">
        <f>HYPERLINK("https://ictv.global/taxonomy/taxondetails?taxnode_id=202514752&amp;ictv_id=ICTV202214752","ICTV202214752")</f>
        <v>ICTV202214752</v>
      </c>
      <c r="R6111" t="s">
        <v>579</v>
      </c>
      <c r="S6111" t="s">
        <v>823</v>
      </c>
      <c r="T6111">
        <v>38</v>
      </c>
      <c r="U6111" s="26" t="str">
        <f t="shared" si="243"/>
        <v>2022.063B.Piorkowskivirus_ng.zip</v>
      </c>
    </row>
    <row r="6112" spans="1:21">
      <c r="A6112">
        <v>6111</v>
      </c>
      <c r="B6112" s="27" t="s">
        <v>1449</v>
      </c>
      <c r="D6112" s="27" t="s">
        <v>1450</v>
      </c>
      <c r="F6112" s="27" t="s">
        <v>1453</v>
      </c>
      <c r="H6112" s="27" t="s">
        <v>1454</v>
      </c>
      <c r="N6112" s="27" t="s">
        <v>7676</v>
      </c>
      <c r="P6112" s="27" t="s">
        <v>7682</v>
      </c>
      <c r="Q6112" s="26" t="str">
        <f>HYPERLINK("https://ictv.global/taxonomy/taxondetails?taxnode_id=202514749&amp;ictv_id=ICTV202214749","ICTV202214749")</f>
        <v>ICTV202214749</v>
      </c>
      <c r="R6112" t="s">
        <v>579</v>
      </c>
      <c r="S6112" t="s">
        <v>823</v>
      </c>
      <c r="T6112">
        <v>38</v>
      </c>
      <c r="U6112" s="26" t="str">
        <f t="shared" si="243"/>
        <v>2022.063B.Piorkowskivirus_ng.zip</v>
      </c>
    </row>
    <row r="6113" spans="1:21">
      <c r="A6113">
        <v>6112</v>
      </c>
      <c r="B6113" s="27" t="s">
        <v>1449</v>
      </c>
      <c r="D6113" s="27" t="s">
        <v>1450</v>
      </c>
      <c r="F6113" s="27" t="s">
        <v>1453</v>
      </c>
      <c r="H6113" s="27" t="s">
        <v>1454</v>
      </c>
      <c r="N6113" s="27" t="s">
        <v>7676</v>
      </c>
      <c r="P6113" s="27" t="s">
        <v>7683</v>
      </c>
      <c r="Q6113" s="26" t="str">
        <f>HYPERLINK("https://ictv.global/taxonomy/taxondetails?taxnode_id=202514748&amp;ictv_id=ICTV202214748","ICTV202214748")</f>
        <v>ICTV202214748</v>
      </c>
      <c r="R6113" t="s">
        <v>579</v>
      </c>
      <c r="S6113" t="s">
        <v>823</v>
      </c>
      <c r="T6113">
        <v>38</v>
      </c>
      <c r="U6113" s="26" t="str">
        <f t="shared" si="243"/>
        <v>2022.063B.Piorkowskivirus_ng.zip</v>
      </c>
    </row>
    <row r="6114" spans="1:21">
      <c r="A6114">
        <v>6113</v>
      </c>
      <c r="B6114" s="27" t="s">
        <v>1449</v>
      </c>
      <c r="D6114" s="27" t="s">
        <v>1450</v>
      </c>
      <c r="F6114" s="27" t="s">
        <v>1453</v>
      </c>
      <c r="H6114" s="27" t="s">
        <v>1454</v>
      </c>
      <c r="N6114" s="27" t="s">
        <v>1253</v>
      </c>
      <c r="P6114" s="27" t="s">
        <v>7684</v>
      </c>
      <c r="Q6114" s="26" t="str">
        <f>HYPERLINK("https://ictv.global/taxonomy/taxondetails?taxnode_id=202506859&amp;ictv_id=ICTV201856859","ICTV201856859")</f>
        <v>ICTV201856859</v>
      </c>
      <c r="R6114" t="s">
        <v>579</v>
      </c>
      <c r="S6114" t="s">
        <v>824</v>
      </c>
      <c r="T6114">
        <v>37</v>
      </c>
      <c r="U6114" s="26" t="str">
        <f t="shared" ref="U6114:U6123" si="244">HYPERLINK("https://ictv.global/ictv/proposals/2021.010B.R.Binomial_names.zip","2021.010B.R.Binomial_names.zip")</f>
        <v>2021.010B.R.Binomial_names.zip</v>
      </c>
    </row>
    <row r="6115" spans="1:21">
      <c r="A6115">
        <v>6114</v>
      </c>
      <c r="B6115" s="27" t="s">
        <v>1449</v>
      </c>
      <c r="D6115" s="27" t="s">
        <v>1450</v>
      </c>
      <c r="F6115" s="27" t="s">
        <v>1453</v>
      </c>
      <c r="H6115" s="27" t="s">
        <v>1454</v>
      </c>
      <c r="N6115" s="27" t="s">
        <v>2117</v>
      </c>
      <c r="P6115" s="27" t="s">
        <v>7685</v>
      </c>
      <c r="Q6115" s="26" t="str">
        <f>HYPERLINK("https://ictv.global/taxonomy/taxondetails?taxnode_id=202511619&amp;ictv_id=ICTV202011619","ICTV202011619")</f>
        <v>ICTV202011619</v>
      </c>
      <c r="R6115" t="s">
        <v>579</v>
      </c>
      <c r="S6115" t="s">
        <v>824</v>
      </c>
      <c r="T6115">
        <v>37</v>
      </c>
      <c r="U6115" s="26" t="str">
        <f t="shared" si="244"/>
        <v>2021.010B.R.Binomial_names.zip</v>
      </c>
    </row>
    <row r="6116" spans="1:21">
      <c r="A6116">
        <v>6115</v>
      </c>
      <c r="B6116" s="27" t="s">
        <v>1449</v>
      </c>
      <c r="D6116" s="27" t="s">
        <v>1450</v>
      </c>
      <c r="F6116" s="27" t="s">
        <v>1453</v>
      </c>
      <c r="H6116" s="27" t="s">
        <v>1454</v>
      </c>
      <c r="N6116" s="27" t="s">
        <v>2117</v>
      </c>
      <c r="P6116" s="27" t="s">
        <v>7686</v>
      </c>
      <c r="Q6116" s="26" t="str">
        <f>HYPERLINK("https://ictv.global/taxonomy/taxondetails?taxnode_id=202511621&amp;ictv_id=ICTV202011621","ICTV202011621")</f>
        <v>ICTV202011621</v>
      </c>
      <c r="R6116" t="s">
        <v>579</v>
      </c>
      <c r="S6116" t="s">
        <v>824</v>
      </c>
      <c r="T6116">
        <v>37</v>
      </c>
      <c r="U6116" s="26" t="str">
        <f t="shared" si="244"/>
        <v>2021.010B.R.Binomial_names.zip</v>
      </c>
    </row>
    <row r="6117" spans="1:21">
      <c r="A6117">
        <v>6116</v>
      </c>
      <c r="B6117" s="27" t="s">
        <v>1449</v>
      </c>
      <c r="D6117" s="27" t="s">
        <v>1450</v>
      </c>
      <c r="F6117" s="27" t="s">
        <v>1453</v>
      </c>
      <c r="H6117" s="27" t="s">
        <v>1454</v>
      </c>
      <c r="N6117" s="27" t="s">
        <v>2117</v>
      </c>
      <c r="P6117" s="27" t="s">
        <v>7687</v>
      </c>
      <c r="Q6117" s="26" t="str">
        <f>HYPERLINK("https://ictv.global/taxonomy/taxondetails?taxnode_id=202511620&amp;ictv_id=ICTV202011620","ICTV202011620")</f>
        <v>ICTV202011620</v>
      </c>
      <c r="R6117" t="s">
        <v>579</v>
      </c>
      <c r="S6117" t="s">
        <v>824</v>
      </c>
      <c r="T6117">
        <v>37</v>
      </c>
      <c r="U6117" s="26" t="str">
        <f t="shared" si="244"/>
        <v>2021.010B.R.Binomial_names.zip</v>
      </c>
    </row>
    <row r="6118" spans="1:21">
      <c r="A6118">
        <v>6117</v>
      </c>
      <c r="B6118" s="27" t="s">
        <v>1449</v>
      </c>
      <c r="D6118" s="27" t="s">
        <v>1450</v>
      </c>
      <c r="F6118" s="27" t="s">
        <v>1453</v>
      </c>
      <c r="H6118" s="27" t="s">
        <v>1454</v>
      </c>
      <c r="N6118" s="27" t="s">
        <v>2117</v>
      </c>
      <c r="P6118" s="27" t="s">
        <v>7688</v>
      </c>
      <c r="Q6118" s="26" t="str">
        <f>HYPERLINK("https://ictv.global/taxonomy/taxondetails?taxnode_id=202511622&amp;ictv_id=ICTV202011622","ICTV202011622")</f>
        <v>ICTV202011622</v>
      </c>
      <c r="R6118" t="s">
        <v>579</v>
      </c>
      <c r="S6118" t="s">
        <v>824</v>
      </c>
      <c r="T6118">
        <v>37</v>
      </c>
      <c r="U6118" s="26" t="str">
        <f t="shared" si="244"/>
        <v>2021.010B.R.Binomial_names.zip</v>
      </c>
    </row>
    <row r="6119" spans="1:21">
      <c r="A6119">
        <v>6118</v>
      </c>
      <c r="B6119" s="27" t="s">
        <v>1449</v>
      </c>
      <c r="D6119" s="27" t="s">
        <v>1450</v>
      </c>
      <c r="F6119" s="27" t="s">
        <v>1453</v>
      </c>
      <c r="H6119" s="27" t="s">
        <v>1454</v>
      </c>
      <c r="N6119" s="27" t="s">
        <v>2294</v>
      </c>
      <c r="P6119" s="27" t="s">
        <v>7689</v>
      </c>
      <c r="Q6119" s="26" t="str">
        <f>HYPERLINK("https://ictv.global/taxonomy/taxondetails?taxnode_id=202510187&amp;ictv_id=ICTV202010187","ICTV202010187")</f>
        <v>ICTV202010187</v>
      </c>
      <c r="R6119" t="s">
        <v>579</v>
      </c>
      <c r="S6119" t="s">
        <v>824</v>
      </c>
      <c r="T6119">
        <v>37</v>
      </c>
      <c r="U6119" s="26" t="str">
        <f t="shared" si="244"/>
        <v>2021.010B.R.Binomial_names.zip</v>
      </c>
    </row>
    <row r="6120" spans="1:21">
      <c r="A6120">
        <v>6119</v>
      </c>
      <c r="B6120" s="27" t="s">
        <v>1449</v>
      </c>
      <c r="D6120" s="27" t="s">
        <v>1450</v>
      </c>
      <c r="F6120" s="27" t="s">
        <v>1453</v>
      </c>
      <c r="H6120" s="27" t="s">
        <v>1454</v>
      </c>
      <c r="N6120" s="27" t="s">
        <v>2295</v>
      </c>
      <c r="P6120" s="27" t="s">
        <v>7690</v>
      </c>
      <c r="Q6120" s="26" t="str">
        <f>HYPERLINK("https://ictv.global/taxonomy/taxondetails?taxnode_id=202510185&amp;ictv_id=ICTV202010185","ICTV202010185")</f>
        <v>ICTV202010185</v>
      </c>
      <c r="R6120" t="s">
        <v>579</v>
      </c>
      <c r="S6120" t="s">
        <v>824</v>
      </c>
      <c r="T6120">
        <v>37</v>
      </c>
      <c r="U6120" s="26" t="str">
        <f t="shared" si="244"/>
        <v>2021.010B.R.Binomial_names.zip</v>
      </c>
    </row>
    <row r="6121" spans="1:21">
      <c r="A6121">
        <v>6120</v>
      </c>
      <c r="B6121" s="27" t="s">
        <v>1449</v>
      </c>
      <c r="D6121" s="27" t="s">
        <v>1450</v>
      </c>
      <c r="F6121" s="27" t="s">
        <v>1453</v>
      </c>
      <c r="H6121" s="27" t="s">
        <v>1454</v>
      </c>
      <c r="N6121" s="27" t="s">
        <v>2295</v>
      </c>
      <c r="P6121" s="27" t="s">
        <v>7691</v>
      </c>
      <c r="Q6121" s="26" t="str">
        <f>HYPERLINK("https://ictv.global/taxonomy/taxondetails?taxnode_id=202510184&amp;ictv_id=ICTV202010184","ICTV202010184")</f>
        <v>ICTV202010184</v>
      </c>
      <c r="R6121" t="s">
        <v>579</v>
      </c>
      <c r="S6121" t="s">
        <v>824</v>
      </c>
      <c r="T6121">
        <v>37</v>
      </c>
      <c r="U6121" s="26" t="str">
        <f t="shared" si="244"/>
        <v>2021.010B.R.Binomial_names.zip</v>
      </c>
    </row>
    <row r="6122" spans="1:21">
      <c r="A6122">
        <v>6121</v>
      </c>
      <c r="B6122" s="27" t="s">
        <v>1449</v>
      </c>
      <c r="D6122" s="27" t="s">
        <v>1450</v>
      </c>
      <c r="F6122" s="27" t="s">
        <v>1453</v>
      </c>
      <c r="H6122" s="27" t="s">
        <v>1454</v>
      </c>
      <c r="N6122" s="27" t="s">
        <v>1254</v>
      </c>
      <c r="P6122" s="27" t="s">
        <v>7692</v>
      </c>
      <c r="Q6122" s="26" t="str">
        <f>HYPERLINK("https://ictv.global/taxonomy/taxondetails?taxnode_id=202506720&amp;ictv_id=ICTV201856720","ICTV201856720")</f>
        <v>ICTV201856720</v>
      </c>
      <c r="R6122" t="s">
        <v>579</v>
      </c>
      <c r="S6122" t="s">
        <v>824</v>
      </c>
      <c r="T6122">
        <v>37</v>
      </c>
      <c r="U6122" s="26" t="str">
        <f t="shared" si="244"/>
        <v>2021.010B.R.Binomial_names.zip</v>
      </c>
    </row>
    <row r="6123" spans="1:21">
      <c r="A6123">
        <v>6122</v>
      </c>
      <c r="B6123" s="27" t="s">
        <v>1449</v>
      </c>
      <c r="D6123" s="27" t="s">
        <v>1450</v>
      </c>
      <c r="F6123" s="27" t="s">
        <v>1453</v>
      </c>
      <c r="H6123" s="27" t="s">
        <v>1454</v>
      </c>
      <c r="N6123" s="27" t="s">
        <v>1255</v>
      </c>
      <c r="P6123" s="27" t="s">
        <v>7701</v>
      </c>
      <c r="Q6123" s="26" t="str">
        <f>HYPERLINK("https://ictv.global/taxonomy/taxondetails?taxnode_id=202506778&amp;ictv_id=ICTV201856778","ICTV201856778")</f>
        <v>ICTV201856778</v>
      </c>
      <c r="R6123" t="s">
        <v>579</v>
      </c>
      <c r="S6123" t="s">
        <v>824</v>
      </c>
      <c r="T6123">
        <v>37</v>
      </c>
      <c r="U6123" s="26" t="str">
        <f t="shared" si="244"/>
        <v>2021.010B.R.Binomial_names.zip</v>
      </c>
    </row>
    <row r="6124" spans="1:21">
      <c r="A6124">
        <v>6123</v>
      </c>
      <c r="B6124" s="27" t="s">
        <v>1449</v>
      </c>
      <c r="D6124" s="27" t="s">
        <v>1450</v>
      </c>
      <c r="F6124" s="27" t="s">
        <v>1453</v>
      </c>
      <c r="H6124" s="27" t="s">
        <v>1454</v>
      </c>
      <c r="N6124" s="27" t="s">
        <v>12187</v>
      </c>
      <c r="P6124" s="27" t="s">
        <v>12188</v>
      </c>
      <c r="Q6124" s="26" t="str">
        <f>HYPERLINK("https://ictv.global/taxonomy/taxondetails?taxnode_id=202519236&amp;ictv_id=ICTV202319236","ICTV202319236")</f>
        <v>ICTV202319236</v>
      </c>
      <c r="R6124" t="s">
        <v>579</v>
      </c>
      <c r="S6124" t="s">
        <v>823</v>
      </c>
      <c r="T6124">
        <v>39</v>
      </c>
      <c r="U6124" s="26" t="str">
        <f>HYPERLINK("https://ictv.global/ictv/proposals/2023.052B.Porunavirus_ng.zip","2023.052B.Porunavirus_ng.zip")</f>
        <v>2023.052B.Porunavirus_ng.zip</v>
      </c>
    </row>
    <row r="6125" spans="1:21">
      <c r="A6125">
        <v>6124</v>
      </c>
      <c r="B6125" s="27" t="s">
        <v>1449</v>
      </c>
      <c r="D6125" s="27" t="s">
        <v>1450</v>
      </c>
      <c r="F6125" s="27" t="s">
        <v>1453</v>
      </c>
      <c r="H6125" s="27" t="s">
        <v>1454</v>
      </c>
      <c r="N6125" s="27" t="s">
        <v>1403</v>
      </c>
      <c r="P6125" s="27" t="s">
        <v>7702</v>
      </c>
      <c r="Q6125" s="26" t="str">
        <f>HYPERLINK("https://ictv.global/taxonomy/taxondetails?taxnode_id=202506592&amp;ictv_id=ICTV201856592","ICTV201856592")</f>
        <v>ICTV201856592</v>
      </c>
      <c r="R6125" t="s">
        <v>579</v>
      </c>
      <c r="S6125" t="s">
        <v>824</v>
      </c>
      <c r="T6125">
        <v>37</v>
      </c>
      <c r="U6125" s="26" t="str">
        <f>HYPERLINK("https://ictv.global/ictv/proposals/2021.010B.R.Binomial_names.zip","2021.010B.R.Binomial_names.zip")</f>
        <v>2021.010B.R.Binomial_names.zip</v>
      </c>
    </row>
    <row r="6126" spans="1:21">
      <c r="A6126">
        <v>6125</v>
      </c>
      <c r="B6126" s="27" t="s">
        <v>1449</v>
      </c>
      <c r="D6126" s="27" t="s">
        <v>1450</v>
      </c>
      <c r="F6126" s="27" t="s">
        <v>1453</v>
      </c>
      <c r="H6126" s="27" t="s">
        <v>1454</v>
      </c>
      <c r="N6126" s="27" t="s">
        <v>7703</v>
      </c>
      <c r="P6126" s="27" t="s">
        <v>7704</v>
      </c>
      <c r="Q6126" s="26" t="str">
        <f>HYPERLINK("https://ictv.global/taxonomy/taxondetails?taxnode_id=202514910&amp;ictv_id=ICTV202214910","ICTV202214910")</f>
        <v>ICTV202214910</v>
      </c>
      <c r="R6126" t="s">
        <v>579</v>
      </c>
      <c r="S6126" t="s">
        <v>823</v>
      </c>
      <c r="T6126">
        <v>38</v>
      </c>
      <c r="U6126" s="26" t="str">
        <f>HYPERLINK("https://ictv.global/ictv/proposals/2022.084B.Caudoviricetes_6ng_33nsp.zip","2022.084B.Caudoviricetes_6ng_33nsp.zip")</f>
        <v>2022.084B.Caudoviricetes_6ng_33nsp.zip</v>
      </c>
    </row>
    <row r="6127" spans="1:21">
      <c r="A6127">
        <v>6126</v>
      </c>
      <c r="B6127" s="27" t="s">
        <v>1449</v>
      </c>
      <c r="D6127" s="27" t="s">
        <v>1450</v>
      </c>
      <c r="F6127" s="27" t="s">
        <v>1453</v>
      </c>
      <c r="H6127" s="27" t="s">
        <v>1454</v>
      </c>
      <c r="N6127" s="27" t="s">
        <v>2296</v>
      </c>
      <c r="P6127" s="27" t="s">
        <v>7705</v>
      </c>
      <c r="Q6127" s="26" t="str">
        <f>HYPERLINK("https://ictv.global/taxonomy/taxondetails?taxnode_id=202500856&amp;ictv_id=ICTV20140299","ICTV20140299")</f>
        <v>ICTV20140299</v>
      </c>
      <c r="R6127" t="s">
        <v>579</v>
      </c>
      <c r="S6127" t="s">
        <v>824</v>
      </c>
      <c r="T6127">
        <v>37</v>
      </c>
      <c r="U6127" s="26" t="str">
        <f>HYPERLINK("https://ictv.global/ictv/proposals/2021.010B.R.Binomial_names.zip","2021.010B.R.Binomial_names.zip")</f>
        <v>2021.010B.R.Binomial_names.zip</v>
      </c>
    </row>
    <row r="6128" spans="1:21">
      <c r="A6128">
        <v>6127</v>
      </c>
      <c r="B6128" s="27" t="s">
        <v>1449</v>
      </c>
      <c r="D6128" s="27" t="s">
        <v>1450</v>
      </c>
      <c r="F6128" s="27" t="s">
        <v>1453</v>
      </c>
      <c r="H6128" s="27" t="s">
        <v>1454</v>
      </c>
      <c r="N6128" s="27" t="s">
        <v>625</v>
      </c>
      <c r="P6128" s="27" t="s">
        <v>7706</v>
      </c>
      <c r="Q6128" s="26" t="str">
        <f>HYPERLINK("https://ictv.global/taxonomy/taxondetails?taxnode_id=202501237&amp;ictv_id=ICTV20150795","ICTV20150795")</f>
        <v>ICTV20150795</v>
      </c>
      <c r="R6128" t="s">
        <v>579</v>
      </c>
      <c r="S6128" t="s">
        <v>824</v>
      </c>
      <c r="T6128">
        <v>37</v>
      </c>
      <c r="U6128" s="26" t="str">
        <f>HYPERLINK("https://ictv.global/ictv/proposals/2021.010B.R.Binomial_names.zip","2021.010B.R.Binomial_names.zip")</f>
        <v>2021.010B.R.Binomial_names.zip</v>
      </c>
    </row>
    <row r="6129" spans="1:21">
      <c r="A6129">
        <v>6128</v>
      </c>
      <c r="B6129" s="27" t="s">
        <v>1449</v>
      </c>
      <c r="D6129" s="27" t="s">
        <v>1450</v>
      </c>
      <c r="F6129" s="27" t="s">
        <v>1453</v>
      </c>
      <c r="H6129" s="27" t="s">
        <v>1454</v>
      </c>
      <c r="N6129" s="27" t="s">
        <v>625</v>
      </c>
      <c r="P6129" s="27" t="s">
        <v>7707</v>
      </c>
      <c r="Q6129" s="26" t="str">
        <f>HYPERLINK("https://ictv.global/taxonomy/taxondetails?taxnode_id=202501238&amp;ictv_id=ICTV20150794","ICTV20150794")</f>
        <v>ICTV20150794</v>
      </c>
      <c r="R6129" t="s">
        <v>579</v>
      </c>
      <c r="S6129" t="s">
        <v>824</v>
      </c>
      <c r="T6129">
        <v>37</v>
      </c>
      <c r="U6129" s="26" t="str">
        <f>HYPERLINK("https://ictv.global/ictv/proposals/2021.010B.R.Binomial_names.zip","2021.010B.R.Binomial_names.zip")</f>
        <v>2021.010B.R.Binomial_names.zip</v>
      </c>
    </row>
    <row r="6130" spans="1:21">
      <c r="A6130">
        <v>6129</v>
      </c>
      <c r="B6130" s="27" t="s">
        <v>1449</v>
      </c>
      <c r="D6130" s="27" t="s">
        <v>1450</v>
      </c>
      <c r="F6130" s="27" t="s">
        <v>1453</v>
      </c>
      <c r="H6130" s="27" t="s">
        <v>1454</v>
      </c>
      <c r="N6130" s="27" t="s">
        <v>7708</v>
      </c>
      <c r="P6130" s="27" t="s">
        <v>7709</v>
      </c>
      <c r="Q6130" s="26" t="str">
        <f>HYPERLINK("https://ictv.global/taxonomy/taxondetails?taxnode_id=202512889&amp;ictv_id=ICTV202112889","ICTV202112889")</f>
        <v>ICTV202112889</v>
      </c>
      <c r="R6130" t="s">
        <v>579</v>
      </c>
      <c r="S6130" t="s">
        <v>823</v>
      </c>
      <c r="T6130">
        <v>37</v>
      </c>
      <c r="U6130" s="26" t="str">
        <f>HYPERLINK("https://ictv.global/ictv/proposals/2021.067B.R.Pukovnikvirus.zip","2021.067B.R.Pukovnikvirus.zip")</f>
        <v>2021.067B.R.Pukovnikvirus.zip</v>
      </c>
    </row>
    <row r="6131" spans="1:21">
      <c r="A6131">
        <v>6130</v>
      </c>
      <c r="B6131" s="27" t="s">
        <v>1449</v>
      </c>
      <c r="D6131" s="27" t="s">
        <v>1450</v>
      </c>
      <c r="F6131" s="27" t="s">
        <v>1453</v>
      </c>
      <c r="H6131" s="27" t="s">
        <v>1454</v>
      </c>
      <c r="N6131" s="27" t="s">
        <v>7708</v>
      </c>
      <c r="P6131" s="27" t="s">
        <v>7710</v>
      </c>
      <c r="Q6131" s="26" t="str">
        <f>HYPERLINK("https://ictv.global/taxonomy/taxondetails?taxnode_id=202512888&amp;ictv_id=ICTV202112888","ICTV202112888")</f>
        <v>ICTV202112888</v>
      </c>
      <c r="R6131" t="s">
        <v>579</v>
      </c>
      <c r="S6131" t="s">
        <v>823</v>
      </c>
      <c r="T6131">
        <v>37</v>
      </c>
      <c r="U6131" s="26" t="str">
        <f>HYPERLINK("https://ictv.global/ictv/proposals/2021.067B.R.Pukovnikvirus.zip","2021.067B.R.Pukovnikvirus.zip")</f>
        <v>2021.067B.R.Pukovnikvirus.zip</v>
      </c>
    </row>
    <row r="6132" spans="1:21">
      <c r="A6132">
        <v>6131</v>
      </c>
      <c r="B6132" s="27" t="s">
        <v>1449</v>
      </c>
      <c r="D6132" s="27" t="s">
        <v>1450</v>
      </c>
      <c r="F6132" s="27" t="s">
        <v>1453</v>
      </c>
      <c r="H6132" s="27" t="s">
        <v>1454</v>
      </c>
      <c r="N6132" s="27" t="s">
        <v>7708</v>
      </c>
      <c r="P6132" s="27" t="s">
        <v>7711</v>
      </c>
      <c r="Q6132" s="26" t="str">
        <f>HYPERLINK("https://ictv.global/taxonomy/taxondetails?taxnode_id=202512890&amp;ictv_id=ICTV202112890","ICTV202112890")</f>
        <v>ICTV202112890</v>
      </c>
      <c r="R6132" t="s">
        <v>579</v>
      </c>
      <c r="S6132" t="s">
        <v>823</v>
      </c>
      <c r="T6132">
        <v>37</v>
      </c>
      <c r="U6132" s="26" t="str">
        <f>HYPERLINK("https://ictv.global/ictv/proposals/2021.067B.R.Pukovnikvirus.zip","2021.067B.R.Pukovnikvirus.zip")</f>
        <v>2021.067B.R.Pukovnikvirus.zip</v>
      </c>
    </row>
    <row r="6133" spans="1:21">
      <c r="A6133">
        <v>6132</v>
      </c>
      <c r="B6133" s="27" t="s">
        <v>1449</v>
      </c>
      <c r="D6133" s="27" t="s">
        <v>1450</v>
      </c>
      <c r="F6133" s="27" t="s">
        <v>1453</v>
      </c>
      <c r="H6133" s="27" t="s">
        <v>1454</v>
      </c>
      <c r="N6133" s="27" t="s">
        <v>7708</v>
      </c>
      <c r="P6133" s="27" t="s">
        <v>7712</v>
      </c>
      <c r="Q6133" s="26" t="str">
        <f>HYPERLINK("https://ictv.global/taxonomy/taxondetails?taxnode_id=202501050&amp;ictv_id=ICTV20140328","ICTV20140328")</f>
        <v>ICTV20140328</v>
      </c>
      <c r="R6133" t="s">
        <v>579</v>
      </c>
      <c r="S6133" t="s">
        <v>22764</v>
      </c>
      <c r="T6133">
        <v>37</v>
      </c>
      <c r="U6133" s="26" t="str">
        <f>HYPERLINK("https://ictv.global/ictv/proposals/2021.067B.R.Pukovnikvirus.zip","2021.067B.R.Pukovnikvirus.zip")</f>
        <v>2021.067B.R.Pukovnikvirus.zip</v>
      </c>
    </row>
    <row r="6134" spans="1:21">
      <c r="A6134">
        <v>6133</v>
      </c>
      <c r="B6134" s="27" t="s">
        <v>1449</v>
      </c>
      <c r="D6134" s="27" t="s">
        <v>1450</v>
      </c>
      <c r="F6134" s="27" t="s">
        <v>1453</v>
      </c>
      <c r="H6134" s="27" t="s">
        <v>1454</v>
      </c>
      <c r="N6134" s="27" t="s">
        <v>1405</v>
      </c>
      <c r="P6134" s="27" t="s">
        <v>7713</v>
      </c>
      <c r="Q6134" s="26" t="str">
        <f>HYPERLINK("https://ictv.global/taxonomy/taxondetails?taxnode_id=202505561&amp;ictv_id=ICTV20175561","ICTV20175561")</f>
        <v>ICTV20175561</v>
      </c>
      <c r="R6134" t="s">
        <v>579</v>
      </c>
      <c r="S6134" t="s">
        <v>824</v>
      </c>
      <c r="T6134">
        <v>37</v>
      </c>
      <c r="U6134" s="26" t="str">
        <f>HYPERLINK("https://ictv.global/ictv/proposals/2021.010B.R.Binomial_names.zip","2021.010B.R.Binomial_names.zip")</f>
        <v>2021.010B.R.Binomial_names.zip</v>
      </c>
    </row>
    <row r="6135" spans="1:21">
      <c r="A6135">
        <v>6134</v>
      </c>
      <c r="B6135" s="27" t="s">
        <v>1449</v>
      </c>
      <c r="D6135" s="27" t="s">
        <v>1450</v>
      </c>
      <c r="F6135" s="27" t="s">
        <v>1453</v>
      </c>
      <c r="H6135" s="27" t="s">
        <v>1454</v>
      </c>
      <c r="N6135" s="27" t="s">
        <v>12189</v>
      </c>
      <c r="P6135" s="27" t="s">
        <v>12190</v>
      </c>
      <c r="Q6135" s="26" t="str">
        <f>HYPERLINK("https://ictv.global/taxonomy/taxondetails?taxnode_id=202517766&amp;ictv_id=ICTV202317766","ICTV202317766")</f>
        <v>ICTV202317766</v>
      </c>
      <c r="R6135" t="s">
        <v>579</v>
      </c>
      <c r="S6135" t="s">
        <v>823</v>
      </c>
      <c r="T6135">
        <v>39</v>
      </c>
      <c r="U6135" s="26" t="str">
        <f>HYPERLINK("https://ictv.global/ictv/proposals/2023.003B.Actinobacteriophage_singletons_25ng.zip","2023.003B.Actinobacteriophage_singletons_25ng.zip")</f>
        <v>2023.003B.Actinobacteriophage_singletons_25ng.zip</v>
      </c>
    </row>
    <row r="6136" spans="1:21">
      <c r="A6136">
        <v>6135</v>
      </c>
      <c r="B6136" s="27" t="s">
        <v>1449</v>
      </c>
      <c r="D6136" s="27" t="s">
        <v>1450</v>
      </c>
      <c r="F6136" s="27" t="s">
        <v>1453</v>
      </c>
      <c r="H6136" s="27" t="s">
        <v>1454</v>
      </c>
      <c r="N6136" s="27" t="s">
        <v>1256</v>
      </c>
      <c r="P6136" s="27" t="s">
        <v>7714</v>
      </c>
      <c r="Q6136" s="26" t="str">
        <f>HYPERLINK("https://ictv.global/taxonomy/taxondetails?taxnode_id=202500466&amp;ictv_id=ICTV20073002","ICTV20073002")</f>
        <v>ICTV20073002</v>
      </c>
      <c r="R6136" t="s">
        <v>579</v>
      </c>
      <c r="S6136" t="s">
        <v>824</v>
      </c>
      <c r="T6136">
        <v>37</v>
      </c>
      <c r="U6136" s="26" t="str">
        <f>HYPERLINK("https://ictv.global/ictv/proposals/2021.010B.R.Binomial_names.zip","2021.010B.R.Binomial_names.zip")</f>
        <v>2021.010B.R.Binomial_names.zip</v>
      </c>
    </row>
    <row r="6137" spans="1:21">
      <c r="A6137">
        <v>6136</v>
      </c>
      <c r="B6137" s="27" t="s">
        <v>1449</v>
      </c>
      <c r="D6137" s="27" t="s">
        <v>1450</v>
      </c>
      <c r="F6137" s="27" t="s">
        <v>1453</v>
      </c>
      <c r="H6137" s="27" t="s">
        <v>1454</v>
      </c>
      <c r="N6137" s="27" t="s">
        <v>1256</v>
      </c>
      <c r="P6137" s="27" t="s">
        <v>19860</v>
      </c>
      <c r="Q6137" s="26" t="str">
        <f>HYPERLINK("https://ictv.global/taxonomy/taxondetails?taxnode_id=202500465&amp;ictv_id=ICTV19951308","ICTV19951308")</f>
        <v>ICTV19951308</v>
      </c>
      <c r="R6137" t="s">
        <v>579</v>
      </c>
      <c r="S6137" t="s">
        <v>824</v>
      </c>
      <c r="T6137">
        <v>40</v>
      </c>
      <c r="U6137" s="26" t="str">
        <f>HYPERLINK("https://ictv.global/ictv/proposals/2024.036B.Caudoviricetes_Faserviricetes_Name_Corrections.zip","2024.036B.Caudoviricetes_Faserviricetes_Name_Corrections.zip")</f>
        <v>2024.036B.Caudoviricetes_Faserviricetes_Name_Corrections.zip</v>
      </c>
    </row>
    <row r="6138" spans="1:21">
      <c r="A6138">
        <v>6137</v>
      </c>
      <c r="B6138" s="27" t="s">
        <v>1449</v>
      </c>
      <c r="D6138" s="27" t="s">
        <v>1450</v>
      </c>
      <c r="F6138" s="27" t="s">
        <v>1453</v>
      </c>
      <c r="H6138" s="27" t="s">
        <v>1454</v>
      </c>
      <c r="N6138" s="27" t="s">
        <v>1256</v>
      </c>
      <c r="P6138" s="27" t="s">
        <v>7715</v>
      </c>
      <c r="Q6138" s="26" t="str">
        <f>HYPERLINK("https://ictv.global/taxonomy/taxondetails?taxnode_id=202507014&amp;ictv_id=ICTV201857014","ICTV201857014")</f>
        <v>ICTV201857014</v>
      </c>
      <c r="R6138" t="s">
        <v>579</v>
      </c>
      <c r="S6138" t="s">
        <v>824</v>
      </c>
      <c r="T6138">
        <v>37</v>
      </c>
      <c r="U6138" s="26" t="str">
        <f>HYPERLINK("https://ictv.global/ictv/proposals/2021.010B.R.Binomial_names.zip","2021.010B.R.Binomial_names.zip")</f>
        <v>2021.010B.R.Binomial_names.zip</v>
      </c>
    </row>
    <row r="6139" spans="1:21">
      <c r="A6139">
        <v>6138</v>
      </c>
      <c r="B6139" s="27" t="s">
        <v>1449</v>
      </c>
      <c r="D6139" s="27" t="s">
        <v>1450</v>
      </c>
      <c r="F6139" s="27" t="s">
        <v>1453</v>
      </c>
      <c r="H6139" s="27" t="s">
        <v>1454</v>
      </c>
      <c r="N6139" s="27" t="s">
        <v>1256</v>
      </c>
      <c r="P6139" s="27" t="s">
        <v>7716</v>
      </c>
      <c r="Q6139" s="26" t="str">
        <f>HYPERLINK("https://ictv.global/taxonomy/taxondetails?taxnode_id=202507015&amp;ictv_id=ICTV201857015","ICTV201857015")</f>
        <v>ICTV201857015</v>
      </c>
      <c r="R6139" t="s">
        <v>579</v>
      </c>
      <c r="S6139" t="s">
        <v>824</v>
      </c>
      <c r="T6139">
        <v>37</v>
      </c>
      <c r="U6139" s="26" t="str">
        <f>HYPERLINK("https://ictv.global/ictv/proposals/2021.010B.R.Binomial_names.zip","2021.010B.R.Binomial_names.zip")</f>
        <v>2021.010B.R.Binomial_names.zip</v>
      </c>
    </row>
    <row r="6140" spans="1:21">
      <c r="A6140">
        <v>6139</v>
      </c>
      <c r="B6140" s="27" t="s">
        <v>1449</v>
      </c>
      <c r="D6140" s="27" t="s">
        <v>1450</v>
      </c>
      <c r="F6140" s="27" t="s">
        <v>1453</v>
      </c>
      <c r="H6140" s="27" t="s">
        <v>1454</v>
      </c>
      <c r="N6140" s="27" t="s">
        <v>7717</v>
      </c>
      <c r="P6140" s="27" t="s">
        <v>7718</v>
      </c>
      <c r="Q6140" s="26" t="str">
        <f>HYPERLINK("https://ictv.global/taxonomy/taxondetails?taxnode_id=202512892&amp;ictv_id=ICTV202112892","ICTV202112892")</f>
        <v>ICTV202112892</v>
      </c>
      <c r="R6140" t="s">
        <v>579</v>
      </c>
      <c r="S6140" t="s">
        <v>823</v>
      </c>
      <c r="T6140">
        <v>37</v>
      </c>
      <c r="U6140" s="26" t="str">
        <f>HYPERLINK("https://ictv.global/ictv/proposals/2021.068B.R.Puppervirus.zip","2021.068B.R.Puppervirus.zip")</f>
        <v>2021.068B.R.Puppervirus.zip</v>
      </c>
    </row>
    <row r="6141" spans="1:21">
      <c r="A6141">
        <v>6140</v>
      </c>
      <c r="B6141" s="27" t="s">
        <v>1449</v>
      </c>
      <c r="D6141" s="27" t="s">
        <v>1450</v>
      </c>
      <c r="F6141" s="27" t="s">
        <v>1453</v>
      </c>
      <c r="H6141" s="27" t="s">
        <v>1454</v>
      </c>
      <c r="N6141" s="27" t="s">
        <v>7719</v>
      </c>
      <c r="P6141" s="27" t="s">
        <v>7720</v>
      </c>
      <c r="Q6141" s="26" t="str">
        <f>HYPERLINK("https://ictv.global/taxonomy/taxondetails?taxnode_id=202514788&amp;ictv_id=ICTV202214788","ICTV202214788")</f>
        <v>ICTV202214788</v>
      </c>
      <c r="R6141" t="s">
        <v>579</v>
      </c>
      <c r="S6141" t="s">
        <v>823</v>
      </c>
      <c r="T6141">
        <v>38</v>
      </c>
      <c r="U6141" s="26" t="str">
        <f>HYPERLINK("https://ictv.global/ictv/proposals/2022.067B.Purivirus_ng.zip","2022.067B.Purivirus_ng.zip")</f>
        <v>2022.067B.Purivirus_ng.zip</v>
      </c>
    </row>
    <row r="6142" spans="1:21">
      <c r="A6142">
        <v>6141</v>
      </c>
      <c r="B6142" s="27" t="s">
        <v>1449</v>
      </c>
      <c r="D6142" s="27" t="s">
        <v>1450</v>
      </c>
      <c r="F6142" s="27" t="s">
        <v>1453</v>
      </c>
      <c r="H6142" s="27" t="s">
        <v>1454</v>
      </c>
      <c r="N6142" s="27" t="s">
        <v>1700</v>
      </c>
      <c r="P6142" s="27" t="s">
        <v>7721</v>
      </c>
      <c r="Q6142" s="26" t="str">
        <f>HYPERLINK("https://ictv.global/taxonomy/taxondetails?taxnode_id=202507516&amp;ictv_id=ICTV201907516","ICTV201907516")</f>
        <v>ICTV201907516</v>
      </c>
      <c r="R6142" t="s">
        <v>579</v>
      </c>
      <c r="S6142" t="s">
        <v>824</v>
      </c>
      <c r="T6142">
        <v>37</v>
      </c>
      <c r="U6142" s="26" t="str">
        <f>HYPERLINK("https://ictv.global/ictv/proposals/2021.010B.R.Binomial_names.zip","2021.010B.R.Binomial_names.zip")</f>
        <v>2021.010B.R.Binomial_names.zip</v>
      </c>
    </row>
    <row r="6143" spans="1:21">
      <c r="A6143">
        <v>6142</v>
      </c>
      <c r="B6143" s="27" t="s">
        <v>1449</v>
      </c>
      <c r="D6143" s="27" t="s">
        <v>1450</v>
      </c>
      <c r="F6143" s="27" t="s">
        <v>1453</v>
      </c>
      <c r="H6143" s="27" t="s">
        <v>1454</v>
      </c>
      <c r="N6143" s="27" t="s">
        <v>2297</v>
      </c>
      <c r="P6143" s="27" t="s">
        <v>7722</v>
      </c>
      <c r="Q6143" s="26" t="str">
        <f>HYPERLINK("https://ictv.global/taxonomy/taxondetails?taxnode_id=202511639&amp;ictv_id=ICTV202011639","ICTV202011639")</f>
        <v>ICTV202011639</v>
      </c>
      <c r="R6143" t="s">
        <v>579</v>
      </c>
      <c r="S6143" t="s">
        <v>824</v>
      </c>
      <c r="T6143">
        <v>37</v>
      </c>
      <c r="U6143" s="26" t="str">
        <f>HYPERLINK("https://ictv.global/ictv/proposals/2021.010B.R.Binomial_names.zip","2021.010B.R.Binomial_names.zip")</f>
        <v>2021.010B.R.Binomial_names.zip</v>
      </c>
    </row>
    <row r="6144" spans="1:21">
      <c r="A6144">
        <v>6143</v>
      </c>
      <c r="B6144" s="27" t="s">
        <v>1449</v>
      </c>
      <c r="D6144" s="27" t="s">
        <v>1450</v>
      </c>
      <c r="F6144" s="27" t="s">
        <v>1453</v>
      </c>
      <c r="H6144" s="27" t="s">
        <v>1454</v>
      </c>
      <c r="N6144" s="27" t="s">
        <v>7725</v>
      </c>
      <c r="P6144" s="27" t="s">
        <v>7726</v>
      </c>
      <c r="Q6144" s="26" t="str">
        <f>HYPERLINK("https://ictv.global/taxonomy/taxondetails?taxnode_id=202514793&amp;ictv_id=ICTV202214793","ICTV202214793")</f>
        <v>ICTV202214793</v>
      </c>
      <c r="R6144" t="s">
        <v>579</v>
      </c>
      <c r="S6144" t="s">
        <v>823</v>
      </c>
      <c r="T6144">
        <v>38</v>
      </c>
      <c r="U6144" s="26" t="str">
        <f>HYPERLINK("https://ictv.global/ictv/proposals/2022.069B.Quivirus_ng.zip","2022.069B.Quivirus_ng.zip")</f>
        <v>2022.069B.Quivirus_ng.zip</v>
      </c>
    </row>
    <row r="6145" spans="1:21">
      <c r="A6145">
        <v>6144</v>
      </c>
      <c r="B6145" s="27" t="s">
        <v>1449</v>
      </c>
      <c r="D6145" s="27" t="s">
        <v>1450</v>
      </c>
      <c r="F6145" s="27" t="s">
        <v>1453</v>
      </c>
      <c r="H6145" s="27" t="s">
        <v>1454</v>
      </c>
      <c r="N6145" s="27" t="s">
        <v>2118</v>
      </c>
      <c r="P6145" s="27" t="s">
        <v>7728</v>
      </c>
      <c r="Q6145" s="26" t="str">
        <f>HYPERLINK("https://ictv.global/taxonomy/taxondetails?taxnode_id=202511667&amp;ictv_id=ICTV202011667","ICTV202011667")</f>
        <v>ICTV202011667</v>
      </c>
      <c r="R6145" t="s">
        <v>579</v>
      </c>
      <c r="S6145" t="s">
        <v>824</v>
      </c>
      <c r="T6145">
        <v>37</v>
      </c>
      <c r="U6145" s="26" t="str">
        <f t="shared" ref="U6145:U6152" si="245">HYPERLINK("https://ictv.global/ictv/proposals/2021.010B.R.Binomial_names.zip","2021.010B.R.Binomial_names.zip")</f>
        <v>2021.010B.R.Binomial_names.zip</v>
      </c>
    </row>
    <row r="6146" spans="1:21">
      <c r="A6146">
        <v>6145</v>
      </c>
      <c r="B6146" s="27" t="s">
        <v>1449</v>
      </c>
      <c r="D6146" s="27" t="s">
        <v>1450</v>
      </c>
      <c r="F6146" s="27" t="s">
        <v>1453</v>
      </c>
      <c r="H6146" s="27" t="s">
        <v>1454</v>
      </c>
      <c r="N6146" s="27" t="s">
        <v>1780</v>
      </c>
      <c r="P6146" s="27" t="s">
        <v>7729</v>
      </c>
      <c r="Q6146" s="26" t="str">
        <f>HYPERLINK("https://ictv.global/taxonomy/taxondetails?taxnode_id=202508018&amp;ictv_id=ICTV201908018","ICTV201908018")</f>
        <v>ICTV201908018</v>
      </c>
      <c r="R6146" t="s">
        <v>579</v>
      </c>
      <c r="S6146" t="s">
        <v>824</v>
      </c>
      <c r="T6146">
        <v>37</v>
      </c>
      <c r="U6146" s="26" t="str">
        <f t="shared" si="245"/>
        <v>2021.010B.R.Binomial_names.zip</v>
      </c>
    </row>
    <row r="6147" spans="1:21">
      <c r="A6147">
        <v>6146</v>
      </c>
      <c r="B6147" s="27" t="s">
        <v>1449</v>
      </c>
      <c r="D6147" s="27" t="s">
        <v>1450</v>
      </c>
      <c r="F6147" s="27" t="s">
        <v>1453</v>
      </c>
      <c r="H6147" s="27" t="s">
        <v>1454</v>
      </c>
      <c r="N6147" s="27" t="s">
        <v>1780</v>
      </c>
      <c r="P6147" s="27" t="s">
        <v>7730</v>
      </c>
      <c r="Q6147" s="26" t="str">
        <f>HYPERLINK("https://ictv.global/taxonomy/taxondetails?taxnode_id=202508017&amp;ictv_id=ICTV201908017","ICTV201908017")</f>
        <v>ICTV201908017</v>
      </c>
      <c r="R6147" t="s">
        <v>579</v>
      </c>
      <c r="S6147" t="s">
        <v>824</v>
      </c>
      <c r="T6147">
        <v>37</v>
      </c>
      <c r="U6147" s="26" t="str">
        <f t="shared" si="245"/>
        <v>2021.010B.R.Binomial_names.zip</v>
      </c>
    </row>
    <row r="6148" spans="1:21">
      <c r="A6148">
        <v>6147</v>
      </c>
      <c r="B6148" s="27" t="s">
        <v>1449</v>
      </c>
      <c r="D6148" s="27" t="s">
        <v>1450</v>
      </c>
      <c r="F6148" s="27" t="s">
        <v>1453</v>
      </c>
      <c r="H6148" s="27" t="s">
        <v>1454</v>
      </c>
      <c r="N6148" s="27" t="s">
        <v>1309</v>
      </c>
      <c r="P6148" s="27" t="s">
        <v>7731</v>
      </c>
      <c r="Q6148" s="26" t="str">
        <f>HYPERLINK("https://ictv.global/taxonomy/taxondetails?taxnode_id=202500627&amp;ictv_id=ICTV20095347","ICTV20095347")</f>
        <v>ICTV20095347</v>
      </c>
      <c r="R6148" t="s">
        <v>579</v>
      </c>
      <c r="S6148" t="s">
        <v>824</v>
      </c>
      <c r="T6148">
        <v>37</v>
      </c>
      <c r="U6148" s="26" t="str">
        <f t="shared" si="245"/>
        <v>2021.010B.R.Binomial_names.zip</v>
      </c>
    </row>
    <row r="6149" spans="1:21">
      <c r="A6149">
        <v>6148</v>
      </c>
      <c r="B6149" s="27" t="s">
        <v>1449</v>
      </c>
      <c r="D6149" s="27" t="s">
        <v>1450</v>
      </c>
      <c r="F6149" s="27" t="s">
        <v>1453</v>
      </c>
      <c r="H6149" s="27" t="s">
        <v>1454</v>
      </c>
      <c r="N6149" s="27" t="s">
        <v>2299</v>
      </c>
      <c r="P6149" s="27" t="s">
        <v>7732</v>
      </c>
      <c r="Q6149" s="26" t="str">
        <f>HYPERLINK("https://ictv.global/taxonomy/taxondetails?taxnode_id=202511670&amp;ictv_id=ICTV202011670","ICTV202011670")</f>
        <v>ICTV202011670</v>
      </c>
      <c r="R6149" t="s">
        <v>579</v>
      </c>
      <c r="S6149" t="s">
        <v>824</v>
      </c>
      <c r="T6149">
        <v>37</v>
      </c>
      <c r="U6149" s="26" t="str">
        <f t="shared" si="245"/>
        <v>2021.010B.R.Binomial_names.zip</v>
      </c>
    </row>
    <row r="6150" spans="1:21">
      <c r="A6150">
        <v>6149</v>
      </c>
      <c r="B6150" s="27" t="s">
        <v>1449</v>
      </c>
      <c r="D6150" s="27" t="s">
        <v>1450</v>
      </c>
      <c r="F6150" s="27" t="s">
        <v>1453</v>
      </c>
      <c r="H6150" s="27" t="s">
        <v>1454</v>
      </c>
      <c r="N6150" s="27" t="s">
        <v>2299</v>
      </c>
      <c r="P6150" s="27" t="s">
        <v>7733</v>
      </c>
      <c r="Q6150" s="26" t="str">
        <f>HYPERLINK("https://ictv.global/taxonomy/taxondetails?taxnode_id=202511671&amp;ictv_id=ICTV202011671","ICTV202011671")</f>
        <v>ICTV202011671</v>
      </c>
      <c r="R6150" t="s">
        <v>579</v>
      </c>
      <c r="S6150" t="s">
        <v>824</v>
      </c>
      <c r="T6150">
        <v>37</v>
      </c>
      <c r="U6150" s="26" t="str">
        <f t="shared" si="245"/>
        <v>2021.010B.R.Binomial_names.zip</v>
      </c>
    </row>
    <row r="6151" spans="1:21">
      <c r="A6151">
        <v>6150</v>
      </c>
      <c r="B6151" s="27" t="s">
        <v>1449</v>
      </c>
      <c r="D6151" s="27" t="s">
        <v>1450</v>
      </c>
      <c r="F6151" s="27" t="s">
        <v>1453</v>
      </c>
      <c r="H6151" s="27" t="s">
        <v>1454</v>
      </c>
      <c r="N6151" s="27" t="s">
        <v>2299</v>
      </c>
      <c r="P6151" s="27" t="s">
        <v>7734</v>
      </c>
      <c r="Q6151" s="26" t="str">
        <f>HYPERLINK("https://ictv.global/taxonomy/taxondetails?taxnode_id=202511669&amp;ictv_id=ICTV202011669","ICTV202011669")</f>
        <v>ICTV202011669</v>
      </c>
      <c r="R6151" t="s">
        <v>579</v>
      </c>
      <c r="S6151" t="s">
        <v>824</v>
      </c>
      <c r="T6151">
        <v>37</v>
      </c>
      <c r="U6151" s="26" t="str">
        <f t="shared" si="245"/>
        <v>2021.010B.R.Binomial_names.zip</v>
      </c>
    </row>
    <row r="6152" spans="1:21">
      <c r="A6152">
        <v>6151</v>
      </c>
      <c r="B6152" s="27" t="s">
        <v>1449</v>
      </c>
      <c r="D6152" s="27" t="s">
        <v>1450</v>
      </c>
      <c r="F6152" s="27" t="s">
        <v>1453</v>
      </c>
      <c r="H6152" s="27" t="s">
        <v>1454</v>
      </c>
      <c r="N6152" s="27" t="s">
        <v>1406</v>
      </c>
      <c r="P6152" s="27" t="s">
        <v>7735</v>
      </c>
      <c r="Q6152" s="26" t="str">
        <f>HYPERLINK("https://ictv.global/taxonomy/taxondetails?taxnode_id=202501085&amp;ictv_id=ICTV20040491","ICTV20040491")</f>
        <v>ICTV20040491</v>
      </c>
      <c r="R6152" t="s">
        <v>579</v>
      </c>
      <c r="S6152" t="s">
        <v>824</v>
      </c>
      <c r="T6152">
        <v>37</v>
      </c>
      <c r="U6152" s="26" t="str">
        <f t="shared" si="245"/>
        <v>2021.010B.R.Binomial_names.zip</v>
      </c>
    </row>
    <row r="6153" spans="1:21">
      <c r="A6153">
        <v>6152</v>
      </c>
      <c r="B6153" s="27" t="s">
        <v>1449</v>
      </c>
      <c r="D6153" s="27" t="s">
        <v>1450</v>
      </c>
      <c r="F6153" s="27" t="s">
        <v>1453</v>
      </c>
      <c r="H6153" s="27" t="s">
        <v>1454</v>
      </c>
      <c r="N6153" s="27" t="s">
        <v>22512</v>
      </c>
      <c r="P6153" s="27" t="s">
        <v>22513</v>
      </c>
      <c r="Q6153" s="26" t="str">
        <f>HYPERLINK("https://ictv.global/taxonomy/taxondetails?taxnode_id=202523128&amp;ictv_id=ICTV202523128","ICTV202523128")</f>
        <v>ICTV202523128</v>
      </c>
      <c r="R6153" t="s">
        <v>579</v>
      </c>
      <c r="S6153" t="s">
        <v>823</v>
      </c>
      <c r="T6153">
        <v>41</v>
      </c>
      <c r="U6153" s="26" t="str">
        <f>HYPERLINK("https://ictv.global/ictv/proposals/2025.065B.Rcapmuvirus_1ng_2ns.zip","2025.065B.Rcapmuvirus_1ng_2ns.zip")</f>
        <v>2025.065B.Rcapmuvirus_1ng_2ns.zip</v>
      </c>
    </row>
    <row r="6154" spans="1:21">
      <c r="A6154">
        <v>6153</v>
      </c>
      <c r="B6154" s="27" t="s">
        <v>1449</v>
      </c>
      <c r="D6154" s="27" t="s">
        <v>1450</v>
      </c>
      <c r="F6154" s="27" t="s">
        <v>1453</v>
      </c>
      <c r="H6154" s="27" t="s">
        <v>1454</v>
      </c>
      <c r="N6154" s="27" t="s">
        <v>22512</v>
      </c>
      <c r="P6154" s="27" t="s">
        <v>22514</v>
      </c>
      <c r="Q6154" s="26" t="str">
        <f>HYPERLINK("https://ictv.global/taxonomy/taxondetails?taxnode_id=202523129&amp;ictv_id=ICTV202523129","ICTV202523129")</f>
        <v>ICTV202523129</v>
      </c>
      <c r="R6154" t="s">
        <v>579</v>
      </c>
      <c r="S6154" t="s">
        <v>823</v>
      </c>
      <c r="T6154">
        <v>41</v>
      </c>
      <c r="U6154" s="26" t="str">
        <f>HYPERLINK("https://ictv.global/ictv/proposals/2025.065B.Rcapmuvirus_1ng_2ns.zip","2025.065B.Rcapmuvirus_1ng_2ns.zip")</f>
        <v>2025.065B.Rcapmuvirus_1ng_2ns.zip</v>
      </c>
    </row>
    <row r="6155" spans="1:21">
      <c r="A6155">
        <v>6154</v>
      </c>
      <c r="B6155" s="27" t="s">
        <v>1449</v>
      </c>
      <c r="D6155" s="27" t="s">
        <v>1450</v>
      </c>
      <c r="F6155" s="27" t="s">
        <v>1453</v>
      </c>
      <c r="H6155" s="27" t="s">
        <v>1454</v>
      </c>
      <c r="N6155" s="27" t="s">
        <v>12191</v>
      </c>
      <c r="P6155" s="27" t="s">
        <v>12192</v>
      </c>
      <c r="Q6155" s="26" t="str">
        <f>HYPERLINK("https://ictv.global/taxonomy/taxondetails?taxnode_id=202518569&amp;ictv_id=ICTV202318569","ICTV202318569")</f>
        <v>ICTV202318569</v>
      </c>
      <c r="R6155" t="s">
        <v>579</v>
      </c>
      <c r="S6155" t="s">
        <v>823</v>
      </c>
      <c r="T6155">
        <v>39</v>
      </c>
      <c r="U6155" s="26" t="str">
        <f>HYPERLINK("https://ictv.global/ictv/proposals/2023.022B.Caudoviricetes_Pseudomonas_7ng.zip","2023.022B.Caudoviricetes_Pseudomonas_7ng.zip")</f>
        <v>2023.022B.Caudoviricetes_Pseudomonas_7ng.zip</v>
      </c>
    </row>
    <row r="6156" spans="1:21">
      <c r="A6156">
        <v>6155</v>
      </c>
      <c r="B6156" s="27" t="s">
        <v>1449</v>
      </c>
      <c r="D6156" s="27" t="s">
        <v>1450</v>
      </c>
      <c r="F6156" s="27" t="s">
        <v>1453</v>
      </c>
      <c r="H6156" s="27" t="s">
        <v>1454</v>
      </c>
      <c r="N6156" s="27" t="s">
        <v>12191</v>
      </c>
      <c r="P6156" s="27" t="s">
        <v>12193</v>
      </c>
      <c r="Q6156" s="26" t="str">
        <f>HYPERLINK("https://ictv.global/taxonomy/taxondetails?taxnode_id=202518568&amp;ictv_id=ICTV202318568","ICTV202318568")</f>
        <v>ICTV202318568</v>
      </c>
      <c r="R6156" t="s">
        <v>579</v>
      </c>
      <c r="S6156" t="s">
        <v>823</v>
      </c>
      <c r="T6156">
        <v>39</v>
      </c>
      <c r="U6156" s="26" t="str">
        <f>HYPERLINK("https://ictv.global/ictv/proposals/2023.022B.Caudoviricetes_Pseudomonas_7ng.zip","2023.022B.Caudoviricetes_Pseudomonas_7ng.zip")</f>
        <v>2023.022B.Caudoviricetes_Pseudomonas_7ng.zip</v>
      </c>
    </row>
    <row r="6157" spans="1:21">
      <c r="A6157">
        <v>6156</v>
      </c>
      <c r="B6157" s="27" t="s">
        <v>1449</v>
      </c>
      <c r="D6157" s="27" t="s">
        <v>1450</v>
      </c>
      <c r="F6157" s="27" t="s">
        <v>1453</v>
      </c>
      <c r="H6157" s="27" t="s">
        <v>1454</v>
      </c>
      <c r="N6157" s="27" t="s">
        <v>12191</v>
      </c>
      <c r="P6157" s="27" t="s">
        <v>12194</v>
      </c>
      <c r="Q6157" s="26" t="str">
        <f>HYPERLINK("https://ictv.global/taxonomy/taxondetails?taxnode_id=202518570&amp;ictv_id=ICTV202318570","ICTV202318570")</f>
        <v>ICTV202318570</v>
      </c>
      <c r="R6157" t="s">
        <v>579</v>
      </c>
      <c r="S6157" t="s">
        <v>823</v>
      </c>
      <c r="T6157">
        <v>39</v>
      </c>
      <c r="U6157" s="26" t="str">
        <f>HYPERLINK("https://ictv.global/ictv/proposals/2023.022B.Caudoviricetes_Pseudomonas_7ng.zip","2023.022B.Caudoviricetes_Pseudomonas_7ng.zip")</f>
        <v>2023.022B.Caudoviricetes_Pseudomonas_7ng.zip</v>
      </c>
    </row>
    <row r="6158" spans="1:21">
      <c r="A6158">
        <v>6157</v>
      </c>
      <c r="B6158" s="27" t="s">
        <v>1449</v>
      </c>
      <c r="D6158" s="27" t="s">
        <v>1450</v>
      </c>
      <c r="F6158" s="27" t="s">
        <v>1453</v>
      </c>
      <c r="H6158" s="27" t="s">
        <v>1454</v>
      </c>
      <c r="N6158" s="27" t="s">
        <v>7736</v>
      </c>
      <c r="P6158" s="27" t="s">
        <v>7737</v>
      </c>
      <c r="Q6158" s="26" t="str">
        <f>HYPERLINK("https://ictv.global/taxonomy/taxondetails?taxnode_id=202512882&amp;ictv_id=ICTV202112882","ICTV202112882")</f>
        <v>ICTV202112882</v>
      </c>
      <c r="R6158" t="s">
        <v>579</v>
      </c>
      <c r="S6158" t="s">
        <v>823</v>
      </c>
      <c r="T6158">
        <v>37</v>
      </c>
      <c r="U6158" s="26" t="str">
        <f>HYPERLINK("https://ictv.global/ictv/proposals/2021.064B.R.Pharaohvirus_Refugevirus.zip","2021.064B.R.Pharaohvirus_Refugevirus.zip")</f>
        <v>2021.064B.R.Pharaohvirus_Refugevirus.zip</v>
      </c>
    </row>
    <row r="6159" spans="1:21">
      <c r="A6159">
        <v>6158</v>
      </c>
      <c r="B6159" s="27" t="s">
        <v>1449</v>
      </c>
      <c r="D6159" s="27" t="s">
        <v>1450</v>
      </c>
      <c r="F6159" s="27" t="s">
        <v>1453</v>
      </c>
      <c r="H6159" s="27" t="s">
        <v>1454</v>
      </c>
      <c r="N6159" s="27" t="s">
        <v>7736</v>
      </c>
      <c r="P6159" s="27" t="s">
        <v>7738</v>
      </c>
      <c r="Q6159" s="26" t="str">
        <f>HYPERLINK("https://ictv.global/taxonomy/taxondetails?taxnode_id=202512881&amp;ictv_id=ICTV202112881","ICTV202112881")</f>
        <v>ICTV202112881</v>
      </c>
      <c r="R6159" t="s">
        <v>579</v>
      </c>
      <c r="S6159" t="s">
        <v>823</v>
      </c>
      <c r="T6159">
        <v>37</v>
      </c>
      <c r="U6159" s="26" t="str">
        <f>HYPERLINK("https://ictv.global/ictv/proposals/2021.064B.R.Pharaohvirus_Refugevirus.zip","2021.064B.R.Pharaohvirus_Refugevirus.zip")</f>
        <v>2021.064B.R.Pharaohvirus_Refugevirus.zip</v>
      </c>
    </row>
    <row r="6160" spans="1:21">
      <c r="A6160">
        <v>6159</v>
      </c>
      <c r="B6160" s="27" t="s">
        <v>1449</v>
      </c>
      <c r="D6160" s="27" t="s">
        <v>1450</v>
      </c>
      <c r="F6160" s="27" t="s">
        <v>1453</v>
      </c>
      <c r="H6160" s="27" t="s">
        <v>1454</v>
      </c>
      <c r="N6160" s="27" t="s">
        <v>19861</v>
      </c>
      <c r="P6160" s="27" t="s">
        <v>19862</v>
      </c>
      <c r="Q6160" s="26" t="str">
        <f>HYPERLINK("https://ictv.global/taxonomy/taxondetails?taxnode_id=202520835&amp;ictv_id=ICTV202420835","ICTV202420835")</f>
        <v>ICTV202420835</v>
      </c>
      <c r="R6160" t="s">
        <v>579</v>
      </c>
      <c r="S6160" t="s">
        <v>823</v>
      </c>
      <c r="T6160">
        <v>40</v>
      </c>
      <c r="U6160" s="26" t="str">
        <f>HYPERLINK("https://ictv.global/ictv/proposals/2024.029B.Rhodococcus_siphoviruses_7ng_7ns.zip","2024.029B.Rhodococcus_siphoviruses_7ng_7ns.zip")</f>
        <v>2024.029B.Rhodococcus_siphoviruses_7ng_7ns.zip</v>
      </c>
    </row>
    <row r="6161" spans="1:21">
      <c r="A6161">
        <v>6160</v>
      </c>
      <c r="B6161" s="27" t="s">
        <v>1449</v>
      </c>
      <c r="D6161" s="27" t="s">
        <v>1450</v>
      </c>
      <c r="F6161" s="27" t="s">
        <v>1453</v>
      </c>
      <c r="H6161" s="27" t="s">
        <v>1454</v>
      </c>
      <c r="N6161" s="27" t="s">
        <v>1407</v>
      </c>
      <c r="P6161" s="27" t="s">
        <v>7739</v>
      </c>
      <c r="Q6161" s="26" t="str">
        <f>HYPERLINK("https://ictv.global/taxonomy/taxondetails?taxnode_id=202512894&amp;ictv_id=ICTV202112894","ICTV202112894")</f>
        <v>ICTV202112894</v>
      </c>
      <c r="R6161" t="s">
        <v>579</v>
      </c>
      <c r="S6161" t="s">
        <v>823</v>
      </c>
      <c r="T6161">
        <v>37</v>
      </c>
      <c r="U6161" s="26" t="str">
        <f>HYPERLINK("https://ictv.global/ictv/proposals/2021.070B.R.Rerduovirus_new_species.zip","2021.070B.R.Rerduovirus_new_species.zip")</f>
        <v>2021.070B.R.Rerduovirus_new_species.zip</v>
      </c>
    </row>
    <row r="6162" spans="1:21">
      <c r="A6162">
        <v>6161</v>
      </c>
      <c r="B6162" s="27" t="s">
        <v>1449</v>
      </c>
      <c r="D6162" s="27" t="s">
        <v>1450</v>
      </c>
      <c r="F6162" s="27" t="s">
        <v>1453</v>
      </c>
      <c r="H6162" s="27" t="s">
        <v>1454</v>
      </c>
      <c r="N6162" s="27" t="s">
        <v>1407</v>
      </c>
      <c r="P6162" s="27" t="s">
        <v>7740</v>
      </c>
      <c r="Q6162" s="26" t="str">
        <f>HYPERLINK("https://ictv.global/taxonomy/taxondetails?taxnode_id=202512893&amp;ictv_id=ICTV202112893","ICTV202112893")</f>
        <v>ICTV202112893</v>
      </c>
      <c r="R6162" t="s">
        <v>579</v>
      </c>
      <c r="S6162" t="s">
        <v>823</v>
      </c>
      <c r="T6162">
        <v>37</v>
      </c>
      <c r="U6162" s="26" t="str">
        <f>HYPERLINK("https://ictv.global/ictv/proposals/2021.070B.R.Rerduovirus_new_species.zip","2021.070B.R.Rerduovirus_new_species.zip")</f>
        <v>2021.070B.R.Rerduovirus_new_species.zip</v>
      </c>
    </row>
    <row r="6163" spans="1:21">
      <c r="A6163">
        <v>6162</v>
      </c>
      <c r="B6163" s="27" t="s">
        <v>1449</v>
      </c>
      <c r="D6163" s="27" t="s">
        <v>1450</v>
      </c>
      <c r="F6163" s="27" t="s">
        <v>1453</v>
      </c>
      <c r="H6163" s="27" t="s">
        <v>1454</v>
      </c>
      <c r="N6163" s="27" t="s">
        <v>1407</v>
      </c>
      <c r="P6163" s="27" t="s">
        <v>7741</v>
      </c>
      <c r="Q6163" s="26" t="str">
        <f>HYPERLINK("https://ictv.global/taxonomy/taxondetails?taxnode_id=202501245&amp;ictv_id=ICTV20140381","ICTV20140381")</f>
        <v>ICTV20140381</v>
      </c>
      <c r="R6163" t="s">
        <v>579</v>
      </c>
      <c r="S6163" t="s">
        <v>824</v>
      </c>
      <c r="T6163">
        <v>37</v>
      </c>
      <c r="U6163" s="26" t="str">
        <f>HYPERLINK("https://ictv.global/ictv/proposals/2021.010B.R.Binomial_names.zip","2021.010B.R.Binomial_names.zip")</f>
        <v>2021.010B.R.Binomial_names.zip</v>
      </c>
    </row>
    <row r="6164" spans="1:21">
      <c r="A6164">
        <v>6163</v>
      </c>
      <c r="B6164" s="27" t="s">
        <v>1449</v>
      </c>
      <c r="D6164" s="27" t="s">
        <v>1450</v>
      </c>
      <c r="F6164" s="27" t="s">
        <v>1453</v>
      </c>
      <c r="H6164" s="27" t="s">
        <v>1454</v>
      </c>
      <c r="N6164" s="27" t="s">
        <v>1407</v>
      </c>
      <c r="P6164" s="27" t="s">
        <v>7742</v>
      </c>
      <c r="Q6164" s="26" t="str">
        <f>HYPERLINK("https://ictv.global/taxonomy/taxondetails?taxnode_id=202501363&amp;ictv_id=ICTV20140380","ICTV20140380")</f>
        <v>ICTV20140380</v>
      </c>
      <c r="R6164" t="s">
        <v>579</v>
      </c>
      <c r="S6164" t="s">
        <v>824</v>
      </c>
      <c r="T6164">
        <v>37</v>
      </c>
      <c r="U6164" s="26" t="str">
        <f>HYPERLINK("https://ictv.global/ictv/proposals/2021.010B.R.Binomial_names.zip","2021.010B.R.Binomial_names.zip")</f>
        <v>2021.010B.R.Binomial_names.zip</v>
      </c>
    </row>
    <row r="6165" spans="1:21">
      <c r="A6165">
        <v>6164</v>
      </c>
      <c r="B6165" s="27" t="s">
        <v>1449</v>
      </c>
      <c r="D6165" s="27" t="s">
        <v>1450</v>
      </c>
      <c r="F6165" s="27" t="s">
        <v>1453</v>
      </c>
      <c r="H6165" s="27" t="s">
        <v>1454</v>
      </c>
      <c r="N6165" s="27" t="s">
        <v>1407</v>
      </c>
      <c r="P6165" s="27" t="s">
        <v>7743</v>
      </c>
      <c r="Q6165" s="26" t="str">
        <f>HYPERLINK("https://ictv.global/taxonomy/taxondetails?taxnode_id=202512895&amp;ictv_id=ICTV202112895","ICTV202112895")</f>
        <v>ICTV202112895</v>
      </c>
      <c r="R6165" t="s">
        <v>579</v>
      </c>
      <c r="S6165" t="s">
        <v>823</v>
      </c>
      <c r="T6165">
        <v>37</v>
      </c>
      <c r="U6165" s="26" t="str">
        <f>HYPERLINK("https://ictv.global/ictv/proposals/2021.070B.R.Rerduovirus_new_species.zip","2021.070B.R.Rerduovirus_new_species.zip")</f>
        <v>2021.070B.R.Rerduovirus_new_species.zip</v>
      </c>
    </row>
    <row r="6166" spans="1:21">
      <c r="A6166">
        <v>6165</v>
      </c>
      <c r="B6166" s="27" t="s">
        <v>1449</v>
      </c>
      <c r="D6166" s="27" t="s">
        <v>1450</v>
      </c>
      <c r="F6166" s="27" t="s">
        <v>1453</v>
      </c>
      <c r="H6166" s="27" t="s">
        <v>1454</v>
      </c>
      <c r="N6166" s="27" t="s">
        <v>19863</v>
      </c>
      <c r="P6166" s="27" t="s">
        <v>19864</v>
      </c>
      <c r="Q6166" s="26" t="str">
        <f>HYPERLINK("https://ictv.global/taxonomy/taxondetails?taxnode_id=202520839&amp;ictv_id=ICTV202420839","ICTV202420839")</f>
        <v>ICTV202420839</v>
      </c>
      <c r="R6166" t="s">
        <v>579</v>
      </c>
      <c r="S6166" t="s">
        <v>823</v>
      </c>
      <c r="T6166">
        <v>40</v>
      </c>
      <c r="U6166" s="26" t="str">
        <f>HYPERLINK("https://ictv.global/ictv/proposals/2024.029B.Rhodococcus_siphoviruses_7ng_7ns.zip","2024.029B.Rhodococcus_siphoviruses_7ng_7ns.zip")</f>
        <v>2024.029B.Rhodococcus_siphoviruses_7ng_7ns.zip</v>
      </c>
    </row>
    <row r="6167" spans="1:21">
      <c r="A6167">
        <v>6166</v>
      </c>
      <c r="B6167" s="27" t="s">
        <v>1449</v>
      </c>
      <c r="D6167" s="27" t="s">
        <v>1450</v>
      </c>
      <c r="F6167" s="27" t="s">
        <v>1453</v>
      </c>
      <c r="H6167" s="27" t="s">
        <v>1454</v>
      </c>
      <c r="N6167" s="27" t="s">
        <v>22519</v>
      </c>
      <c r="P6167" s="27" t="s">
        <v>22520</v>
      </c>
      <c r="Q6167" s="26" t="str">
        <f>HYPERLINK("https://ictv.global/taxonomy/taxondetails?taxnode_id=202523132&amp;ictv_id=ICTV202523132","ICTV202523132")</f>
        <v>ICTV202523132</v>
      </c>
      <c r="R6167" t="s">
        <v>579</v>
      </c>
      <c r="S6167" t="s">
        <v>823</v>
      </c>
      <c r="T6167">
        <v>41</v>
      </c>
      <c r="U6167" s="26" t="str">
        <f>HYPERLINK("https://ictv.global/ictv/proposals/2025.068B.Ribunavirus_1ng_1ns.zip","2025.068B.Ribunavirus_1ng_1ns.zip")</f>
        <v>2025.068B.Ribunavirus_1ng_1ns.zip</v>
      </c>
    </row>
    <row r="6168" spans="1:21">
      <c r="A6168">
        <v>6167</v>
      </c>
      <c r="B6168" s="27" t="s">
        <v>1449</v>
      </c>
      <c r="D6168" s="27" t="s">
        <v>1450</v>
      </c>
      <c r="F6168" s="27" t="s">
        <v>1453</v>
      </c>
      <c r="H6168" s="27" t="s">
        <v>1454</v>
      </c>
      <c r="N6168" s="27" t="s">
        <v>7744</v>
      </c>
      <c r="P6168" s="27" t="s">
        <v>7745</v>
      </c>
      <c r="Q6168" s="26" t="str">
        <f>HYPERLINK("https://ictv.global/taxonomy/taxondetails?taxnode_id=202514864&amp;ictv_id=ICTV202214864","ICTV202214864")</f>
        <v>ICTV202214864</v>
      </c>
      <c r="R6168" t="s">
        <v>579</v>
      </c>
      <c r="S6168" t="s">
        <v>823</v>
      </c>
      <c r="T6168">
        <v>38</v>
      </c>
      <c r="U6168" s="26" t="str">
        <f>HYPERLINK("https://ictv.global/ictv/proposals/2022.080B.Caudoviricetes_6ng.zip","2022.080B.Caudoviricetes_6ng.zip")</f>
        <v>2022.080B.Caudoviricetes_6ng.zip</v>
      </c>
    </row>
    <row r="6169" spans="1:21">
      <c r="A6169">
        <v>6168</v>
      </c>
      <c r="B6169" s="27" t="s">
        <v>1449</v>
      </c>
      <c r="D6169" s="27" t="s">
        <v>1450</v>
      </c>
      <c r="F6169" s="27" t="s">
        <v>1453</v>
      </c>
      <c r="H6169" s="27" t="s">
        <v>1454</v>
      </c>
      <c r="N6169" s="27" t="s">
        <v>7744</v>
      </c>
      <c r="P6169" s="27" t="s">
        <v>7746</v>
      </c>
      <c r="Q6169" s="26" t="str">
        <f>HYPERLINK("https://ictv.global/taxonomy/taxondetails?taxnode_id=202514863&amp;ictv_id=ICTV202214863","ICTV202214863")</f>
        <v>ICTV202214863</v>
      </c>
      <c r="R6169" t="s">
        <v>579</v>
      </c>
      <c r="S6169" t="s">
        <v>823</v>
      </c>
      <c r="T6169">
        <v>38</v>
      </c>
      <c r="U6169" s="26" t="str">
        <f>HYPERLINK("https://ictv.global/ictv/proposals/2022.080B.Caudoviricetes_6ng.zip","2022.080B.Caudoviricetes_6ng.zip")</f>
        <v>2022.080B.Caudoviricetes_6ng.zip</v>
      </c>
    </row>
    <row r="6170" spans="1:21">
      <c r="A6170">
        <v>6169</v>
      </c>
      <c r="B6170" s="27" t="s">
        <v>1449</v>
      </c>
      <c r="D6170" s="27" t="s">
        <v>1450</v>
      </c>
      <c r="F6170" s="27" t="s">
        <v>1453</v>
      </c>
      <c r="H6170" s="27" t="s">
        <v>1454</v>
      </c>
      <c r="N6170" s="27" t="s">
        <v>22521</v>
      </c>
      <c r="P6170" s="27" t="s">
        <v>22522</v>
      </c>
      <c r="Q6170" s="26" t="str">
        <f>HYPERLINK("https://ictv.global/taxonomy/taxondetails?taxnode_id=202523133&amp;ictv_id=ICTV202523133","ICTV202523133")</f>
        <v>ICTV202523133</v>
      </c>
      <c r="R6170" t="s">
        <v>579</v>
      </c>
      <c r="S6170" t="s">
        <v>823</v>
      </c>
      <c r="T6170">
        <v>41</v>
      </c>
      <c r="U6170" s="26" t="str">
        <f>HYPERLINK("https://ictv.global/ictv/proposals/2025.069B.Ricunavirus_1ng_1ns.zip","2025.069B.Ricunavirus_1ng_1ns.zip")</f>
        <v>2025.069B.Ricunavirus_1ng_1ns.zip</v>
      </c>
    </row>
    <row r="6171" spans="1:21">
      <c r="A6171">
        <v>6170</v>
      </c>
      <c r="B6171" s="27" t="s">
        <v>1449</v>
      </c>
      <c r="D6171" s="27" t="s">
        <v>1450</v>
      </c>
      <c r="F6171" s="27" t="s">
        <v>1453</v>
      </c>
      <c r="H6171" s="27" t="s">
        <v>1454</v>
      </c>
      <c r="N6171" s="27" t="s">
        <v>1408</v>
      </c>
      <c r="P6171" s="27" t="s">
        <v>7747</v>
      </c>
      <c r="Q6171" s="26" t="str">
        <f>HYPERLINK("https://ictv.global/taxonomy/taxondetails?taxnode_id=202506863&amp;ictv_id=ICTV201856863","ICTV201856863")</f>
        <v>ICTV201856863</v>
      </c>
      <c r="R6171" t="s">
        <v>579</v>
      </c>
      <c r="S6171" t="s">
        <v>824</v>
      </c>
      <c r="T6171">
        <v>37</v>
      </c>
      <c r="U6171" s="26" t="str">
        <f>HYPERLINK("https://ictv.global/ictv/proposals/2021.010B.R.Binomial_names.zip","2021.010B.R.Binomial_names.zip")</f>
        <v>2021.010B.R.Binomial_names.zip</v>
      </c>
    </row>
    <row r="6172" spans="1:21">
      <c r="A6172">
        <v>6171</v>
      </c>
      <c r="B6172" s="27" t="s">
        <v>1449</v>
      </c>
      <c r="D6172" s="27" t="s">
        <v>1450</v>
      </c>
      <c r="F6172" s="27" t="s">
        <v>1453</v>
      </c>
      <c r="H6172" s="27" t="s">
        <v>1454</v>
      </c>
      <c r="N6172" s="27" t="s">
        <v>1409</v>
      </c>
      <c r="P6172" s="27" t="s">
        <v>7748</v>
      </c>
      <c r="Q6172" s="26" t="str">
        <f>HYPERLINK("https://ictv.global/taxonomy/taxondetails?taxnode_id=202506752&amp;ictv_id=ICTV201856752","ICTV201856752")</f>
        <v>ICTV201856752</v>
      </c>
      <c r="R6172" t="s">
        <v>579</v>
      </c>
      <c r="S6172" t="s">
        <v>824</v>
      </c>
      <c r="T6172">
        <v>37</v>
      </c>
      <c r="U6172" s="26" t="str">
        <f>HYPERLINK("https://ictv.global/ictv/proposals/2021.010B.R.Binomial_names.zip","2021.010B.R.Binomial_names.zip")</f>
        <v>2021.010B.R.Binomial_names.zip</v>
      </c>
    </row>
    <row r="6173" spans="1:21">
      <c r="A6173">
        <v>6172</v>
      </c>
      <c r="B6173" s="27" t="s">
        <v>1449</v>
      </c>
      <c r="D6173" s="27" t="s">
        <v>1450</v>
      </c>
      <c r="F6173" s="27" t="s">
        <v>1453</v>
      </c>
      <c r="H6173" s="27" t="s">
        <v>1454</v>
      </c>
      <c r="N6173" s="27" t="s">
        <v>1409</v>
      </c>
      <c r="P6173" s="27" t="s">
        <v>7749</v>
      </c>
      <c r="Q6173" s="26" t="str">
        <f>HYPERLINK("https://ictv.global/taxonomy/taxondetails?taxnode_id=202506751&amp;ictv_id=ICTV201856751","ICTV201856751")</f>
        <v>ICTV201856751</v>
      </c>
      <c r="R6173" t="s">
        <v>579</v>
      </c>
      <c r="S6173" t="s">
        <v>824</v>
      </c>
      <c r="T6173">
        <v>37</v>
      </c>
      <c r="U6173" s="26" t="str">
        <f>HYPERLINK("https://ictv.global/ictv/proposals/2021.010B.R.Binomial_names.zip","2021.010B.R.Binomial_names.zip")</f>
        <v>2021.010B.R.Binomial_names.zip</v>
      </c>
    </row>
    <row r="6174" spans="1:21">
      <c r="A6174">
        <v>6173</v>
      </c>
      <c r="B6174" s="27" t="s">
        <v>1449</v>
      </c>
      <c r="D6174" s="27" t="s">
        <v>1450</v>
      </c>
      <c r="F6174" s="27" t="s">
        <v>1453</v>
      </c>
      <c r="H6174" s="27" t="s">
        <v>1454</v>
      </c>
      <c r="N6174" s="27" t="s">
        <v>7752</v>
      </c>
      <c r="P6174" s="27" t="s">
        <v>7753</v>
      </c>
      <c r="Q6174" s="26" t="str">
        <f>HYPERLINK("https://ictv.global/taxonomy/taxondetails?taxnode_id=202514795&amp;ictv_id=ICTV202214795","ICTV202214795")</f>
        <v>ICTV202214795</v>
      </c>
      <c r="R6174" t="s">
        <v>579</v>
      </c>
      <c r="S6174" t="s">
        <v>823</v>
      </c>
      <c r="T6174">
        <v>38</v>
      </c>
      <c r="U6174" s="26" t="str">
        <f>HYPERLINK("https://ictv.global/ictv/proposals/2022.070B.Rivsvirus_ng.zip","2022.070B.Rivsvirus_ng.zip")</f>
        <v>2022.070B.Rivsvirus_ng.zip</v>
      </c>
    </row>
    <row r="6175" spans="1:21">
      <c r="A6175">
        <v>6174</v>
      </c>
      <c r="B6175" s="27" t="s">
        <v>1449</v>
      </c>
      <c r="D6175" s="27" t="s">
        <v>1450</v>
      </c>
      <c r="F6175" s="27" t="s">
        <v>1453</v>
      </c>
      <c r="H6175" s="27" t="s">
        <v>1454</v>
      </c>
      <c r="N6175" s="27" t="s">
        <v>2300</v>
      </c>
      <c r="P6175" s="27" t="s">
        <v>7754</v>
      </c>
      <c r="Q6175" s="26" t="str">
        <f>HYPERLINK("https://ictv.global/taxonomy/taxondetails?taxnode_id=202501210&amp;ictv_id=ICTV20140540","ICTV20140540")</f>
        <v>ICTV20140540</v>
      </c>
      <c r="R6175" t="s">
        <v>579</v>
      </c>
      <c r="S6175" t="s">
        <v>824</v>
      </c>
      <c r="T6175">
        <v>37</v>
      </c>
      <c r="U6175" s="26" t="str">
        <f t="shared" ref="U6175:U6184" si="246">HYPERLINK("https://ictv.global/ictv/proposals/2021.010B.R.Binomial_names.zip","2021.010B.R.Binomial_names.zip")</f>
        <v>2021.010B.R.Binomial_names.zip</v>
      </c>
    </row>
    <row r="6176" spans="1:21">
      <c r="A6176">
        <v>6175</v>
      </c>
      <c r="B6176" s="27" t="s">
        <v>1449</v>
      </c>
      <c r="D6176" s="27" t="s">
        <v>1450</v>
      </c>
      <c r="F6176" s="27" t="s">
        <v>1453</v>
      </c>
      <c r="H6176" s="27" t="s">
        <v>1454</v>
      </c>
      <c r="N6176" s="27" t="s">
        <v>2300</v>
      </c>
      <c r="P6176" s="27" t="s">
        <v>7755</v>
      </c>
      <c r="Q6176" s="26" t="str">
        <f>HYPERLINK("https://ictv.global/taxonomy/taxondetails?taxnode_id=202511676&amp;ictv_id=ICTV202011676","ICTV202011676")</f>
        <v>ICTV202011676</v>
      </c>
      <c r="R6176" t="s">
        <v>579</v>
      </c>
      <c r="S6176" t="s">
        <v>824</v>
      </c>
      <c r="T6176">
        <v>37</v>
      </c>
      <c r="U6176" s="26" t="str">
        <f t="shared" si="246"/>
        <v>2021.010B.R.Binomial_names.zip</v>
      </c>
    </row>
    <row r="6177" spans="1:21">
      <c r="A6177">
        <v>6176</v>
      </c>
      <c r="B6177" s="27" t="s">
        <v>1449</v>
      </c>
      <c r="D6177" s="27" t="s">
        <v>1450</v>
      </c>
      <c r="F6177" s="27" t="s">
        <v>1453</v>
      </c>
      <c r="H6177" s="27" t="s">
        <v>1454</v>
      </c>
      <c r="N6177" s="27" t="s">
        <v>2300</v>
      </c>
      <c r="P6177" s="27" t="s">
        <v>7756</v>
      </c>
      <c r="Q6177" s="26" t="str">
        <f>HYPERLINK("https://ictv.global/taxonomy/taxondetails?taxnode_id=202511675&amp;ictv_id=ICTV202011675","ICTV202011675")</f>
        <v>ICTV202011675</v>
      </c>
      <c r="R6177" t="s">
        <v>579</v>
      </c>
      <c r="S6177" t="s">
        <v>824</v>
      </c>
      <c r="T6177">
        <v>37</v>
      </c>
      <c r="U6177" s="26" t="str">
        <f t="shared" si="246"/>
        <v>2021.010B.R.Binomial_names.zip</v>
      </c>
    </row>
    <row r="6178" spans="1:21">
      <c r="A6178">
        <v>6177</v>
      </c>
      <c r="B6178" s="27" t="s">
        <v>1449</v>
      </c>
      <c r="D6178" s="27" t="s">
        <v>1450</v>
      </c>
      <c r="F6178" s="27" t="s">
        <v>1453</v>
      </c>
      <c r="H6178" s="27" t="s">
        <v>1454</v>
      </c>
      <c r="N6178" s="27" t="s">
        <v>2300</v>
      </c>
      <c r="P6178" s="27" t="s">
        <v>7757</v>
      </c>
      <c r="Q6178" s="26" t="str">
        <f>HYPERLINK("https://ictv.global/taxonomy/taxondetails?taxnode_id=202501212&amp;ictv_id=ICTV20140553","ICTV20140553")</f>
        <v>ICTV20140553</v>
      </c>
      <c r="R6178" t="s">
        <v>579</v>
      </c>
      <c r="S6178" t="s">
        <v>824</v>
      </c>
      <c r="T6178">
        <v>37</v>
      </c>
      <c r="U6178" s="26" t="str">
        <f t="shared" si="246"/>
        <v>2021.010B.R.Binomial_names.zip</v>
      </c>
    </row>
    <row r="6179" spans="1:21">
      <c r="A6179">
        <v>6178</v>
      </c>
      <c r="B6179" s="27" t="s">
        <v>1449</v>
      </c>
      <c r="D6179" s="27" t="s">
        <v>1450</v>
      </c>
      <c r="F6179" s="27" t="s">
        <v>1453</v>
      </c>
      <c r="H6179" s="27" t="s">
        <v>1454</v>
      </c>
      <c r="N6179" s="27" t="s">
        <v>2300</v>
      </c>
      <c r="P6179" s="27" t="s">
        <v>7758</v>
      </c>
      <c r="Q6179" s="26" t="str">
        <f>HYPERLINK("https://ictv.global/taxonomy/taxondetails?taxnode_id=202501213&amp;ictv_id=ICTV20140554","ICTV20140554")</f>
        <v>ICTV20140554</v>
      </c>
      <c r="R6179" t="s">
        <v>579</v>
      </c>
      <c r="S6179" t="s">
        <v>824</v>
      </c>
      <c r="T6179">
        <v>37</v>
      </c>
      <c r="U6179" s="26" t="str">
        <f t="shared" si="246"/>
        <v>2021.010B.R.Binomial_names.zip</v>
      </c>
    </row>
    <row r="6180" spans="1:21">
      <c r="A6180">
        <v>6179</v>
      </c>
      <c r="B6180" s="27" t="s">
        <v>1449</v>
      </c>
      <c r="D6180" s="27" t="s">
        <v>1450</v>
      </c>
      <c r="F6180" s="27" t="s">
        <v>1453</v>
      </c>
      <c r="H6180" s="27" t="s">
        <v>1454</v>
      </c>
      <c r="N6180" s="27" t="s">
        <v>2300</v>
      </c>
      <c r="P6180" s="27" t="s">
        <v>7759</v>
      </c>
      <c r="Q6180" s="26" t="str">
        <f>HYPERLINK("https://ictv.global/taxonomy/taxondetails?taxnode_id=202501215&amp;ictv_id=ICTV20140542","ICTV20140542")</f>
        <v>ICTV20140542</v>
      </c>
      <c r="R6180" t="s">
        <v>579</v>
      </c>
      <c r="S6180" t="s">
        <v>824</v>
      </c>
      <c r="T6180">
        <v>37</v>
      </c>
      <c r="U6180" s="26" t="str">
        <f t="shared" si="246"/>
        <v>2021.010B.R.Binomial_names.zip</v>
      </c>
    </row>
    <row r="6181" spans="1:21">
      <c r="A6181">
        <v>6180</v>
      </c>
      <c r="B6181" s="27" t="s">
        <v>1449</v>
      </c>
      <c r="D6181" s="27" t="s">
        <v>1450</v>
      </c>
      <c r="F6181" s="27" t="s">
        <v>1453</v>
      </c>
      <c r="H6181" s="27" t="s">
        <v>1454</v>
      </c>
      <c r="N6181" s="27" t="s">
        <v>2301</v>
      </c>
      <c r="P6181" s="27" t="s">
        <v>7760</v>
      </c>
      <c r="Q6181" s="26" t="str">
        <f>HYPERLINK("https://ictv.global/taxonomy/taxondetails?taxnode_id=202511678&amp;ictv_id=ICTV202011678","ICTV202011678")</f>
        <v>ICTV202011678</v>
      </c>
      <c r="R6181" t="s">
        <v>579</v>
      </c>
      <c r="S6181" t="s">
        <v>824</v>
      </c>
      <c r="T6181">
        <v>37</v>
      </c>
      <c r="U6181" s="26" t="str">
        <f t="shared" si="246"/>
        <v>2021.010B.R.Binomial_names.zip</v>
      </c>
    </row>
    <row r="6182" spans="1:21">
      <c r="A6182">
        <v>6181</v>
      </c>
      <c r="B6182" s="27" t="s">
        <v>1449</v>
      </c>
      <c r="D6182" s="27" t="s">
        <v>1450</v>
      </c>
      <c r="F6182" s="27" t="s">
        <v>1453</v>
      </c>
      <c r="H6182" s="27" t="s">
        <v>1454</v>
      </c>
      <c r="N6182" s="27" t="s">
        <v>1781</v>
      </c>
      <c r="P6182" s="27" t="s">
        <v>7761</v>
      </c>
      <c r="Q6182" s="26" t="str">
        <f>HYPERLINK("https://ictv.global/taxonomy/taxondetails?taxnode_id=202507546&amp;ictv_id=ICTV201907546","ICTV201907546")</f>
        <v>ICTV201907546</v>
      </c>
      <c r="R6182" t="s">
        <v>579</v>
      </c>
      <c r="S6182" t="s">
        <v>824</v>
      </c>
      <c r="T6182">
        <v>37</v>
      </c>
      <c r="U6182" s="26" t="str">
        <f t="shared" si="246"/>
        <v>2021.010B.R.Binomial_names.zip</v>
      </c>
    </row>
    <row r="6183" spans="1:21">
      <c r="A6183">
        <v>6182</v>
      </c>
      <c r="B6183" s="27" t="s">
        <v>1449</v>
      </c>
      <c r="D6183" s="27" t="s">
        <v>1450</v>
      </c>
      <c r="F6183" s="27" t="s">
        <v>1453</v>
      </c>
      <c r="H6183" s="27" t="s">
        <v>1454</v>
      </c>
      <c r="N6183" s="27" t="s">
        <v>1782</v>
      </c>
      <c r="P6183" s="27" t="s">
        <v>7762</v>
      </c>
      <c r="Q6183" s="26" t="str">
        <f>HYPERLINK("https://ictv.global/taxonomy/taxondetails?taxnode_id=202507556&amp;ictv_id=ICTV201907556","ICTV201907556")</f>
        <v>ICTV201907556</v>
      </c>
      <c r="R6183" t="s">
        <v>579</v>
      </c>
      <c r="S6183" t="s">
        <v>824</v>
      </c>
      <c r="T6183">
        <v>37</v>
      </c>
      <c r="U6183" s="26" t="str">
        <f t="shared" si="246"/>
        <v>2021.010B.R.Binomial_names.zip</v>
      </c>
    </row>
    <row r="6184" spans="1:21">
      <c r="A6184">
        <v>6183</v>
      </c>
      <c r="B6184" s="27" t="s">
        <v>1449</v>
      </c>
      <c r="D6184" s="27" t="s">
        <v>1450</v>
      </c>
      <c r="F6184" s="27" t="s">
        <v>1453</v>
      </c>
      <c r="H6184" s="27" t="s">
        <v>1454</v>
      </c>
      <c r="N6184" s="27" t="s">
        <v>1782</v>
      </c>
      <c r="P6184" s="27" t="s">
        <v>7763</v>
      </c>
      <c r="Q6184" s="26" t="str">
        <f>HYPERLINK("https://ictv.global/taxonomy/taxondetails?taxnode_id=202507555&amp;ictv_id=ICTV201907555","ICTV201907555")</f>
        <v>ICTV201907555</v>
      </c>
      <c r="R6184" t="s">
        <v>579</v>
      </c>
      <c r="S6184" t="s">
        <v>824</v>
      </c>
      <c r="T6184">
        <v>37</v>
      </c>
      <c r="U6184" s="26" t="str">
        <f t="shared" si="246"/>
        <v>2021.010B.R.Binomial_names.zip</v>
      </c>
    </row>
    <row r="6185" spans="1:21">
      <c r="A6185">
        <v>6184</v>
      </c>
      <c r="B6185" s="27" t="s">
        <v>1449</v>
      </c>
      <c r="D6185" s="27" t="s">
        <v>1450</v>
      </c>
      <c r="F6185" s="27" t="s">
        <v>1453</v>
      </c>
      <c r="H6185" s="27" t="s">
        <v>1454</v>
      </c>
      <c r="N6185" s="27" t="s">
        <v>7764</v>
      </c>
      <c r="P6185" s="27" t="s">
        <v>7765</v>
      </c>
      <c r="Q6185" s="26" t="str">
        <f>HYPERLINK("https://ictv.global/taxonomy/taxondetails?taxnode_id=202512897&amp;ictv_id=ICTV202112897","ICTV202112897")</f>
        <v>ICTV202112897</v>
      </c>
      <c r="R6185" t="s">
        <v>579</v>
      </c>
      <c r="S6185" t="s">
        <v>823</v>
      </c>
      <c r="T6185">
        <v>37</v>
      </c>
      <c r="U6185" s="26" t="str">
        <f>HYPERLINK("https://ictv.global/ictv/proposals/2021.071B.R.Rosariovirus.zip","2021.071B.R.Rosariovirus.zip")</f>
        <v>2021.071B.R.Rosariovirus.zip</v>
      </c>
    </row>
    <row r="6186" spans="1:21">
      <c r="A6186">
        <v>6185</v>
      </c>
      <c r="B6186" s="27" t="s">
        <v>1449</v>
      </c>
      <c r="D6186" s="27" t="s">
        <v>1450</v>
      </c>
      <c r="F6186" s="27" t="s">
        <v>1453</v>
      </c>
      <c r="H6186" s="27" t="s">
        <v>1454</v>
      </c>
      <c r="N6186" s="27" t="s">
        <v>1701</v>
      </c>
      <c r="P6186" s="27" t="s">
        <v>7766</v>
      </c>
      <c r="Q6186" s="26" t="str">
        <f>HYPERLINK("https://ictv.global/taxonomy/taxondetails?taxnode_id=202511684&amp;ictv_id=ICTV202011684","ICTV202011684")</f>
        <v>ICTV202011684</v>
      </c>
      <c r="R6186" t="s">
        <v>579</v>
      </c>
      <c r="S6186" t="s">
        <v>824</v>
      </c>
      <c r="T6186">
        <v>37</v>
      </c>
      <c r="U6186" s="26" t="str">
        <f>HYPERLINK("https://ictv.global/ictv/proposals/2021.010B.R.Binomial_names.zip","2021.010B.R.Binomial_names.zip")</f>
        <v>2021.010B.R.Binomial_names.zip</v>
      </c>
    </row>
    <row r="6187" spans="1:21">
      <c r="A6187">
        <v>6186</v>
      </c>
      <c r="B6187" s="27" t="s">
        <v>1449</v>
      </c>
      <c r="D6187" s="27" t="s">
        <v>1450</v>
      </c>
      <c r="F6187" s="27" t="s">
        <v>1453</v>
      </c>
      <c r="H6187" s="27" t="s">
        <v>1454</v>
      </c>
      <c r="N6187" s="27" t="s">
        <v>1701</v>
      </c>
      <c r="P6187" s="27" t="s">
        <v>7767</v>
      </c>
      <c r="Q6187" s="26" t="str">
        <f>HYPERLINK("https://ictv.global/taxonomy/taxondetails?taxnode_id=202507916&amp;ictv_id=ICTV201907916","ICTV201907916")</f>
        <v>ICTV201907916</v>
      </c>
      <c r="R6187" t="s">
        <v>579</v>
      </c>
      <c r="S6187" t="s">
        <v>824</v>
      </c>
      <c r="T6187">
        <v>37</v>
      </c>
      <c r="U6187" s="26" t="str">
        <f>HYPERLINK("https://ictv.global/ictv/proposals/2021.010B.R.Binomial_names.zip","2021.010B.R.Binomial_names.zip")</f>
        <v>2021.010B.R.Binomial_names.zip</v>
      </c>
    </row>
    <row r="6188" spans="1:21">
      <c r="A6188">
        <v>6187</v>
      </c>
      <c r="B6188" s="27" t="s">
        <v>1449</v>
      </c>
      <c r="D6188" s="27" t="s">
        <v>1450</v>
      </c>
      <c r="F6188" s="27" t="s">
        <v>1453</v>
      </c>
      <c r="H6188" s="27" t="s">
        <v>1454</v>
      </c>
      <c r="N6188" s="27" t="s">
        <v>1701</v>
      </c>
      <c r="P6188" s="27" t="s">
        <v>7768</v>
      </c>
      <c r="Q6188" s="26" t="str">
        <f>HYPERLINK("https://ictv.global/taxonomy/taxondetails?taxnode_id=202511682&amp;ictv_id=ICTV202011682","ICTV202011682")</f>
        <v>ICTV202011682</v>
      </c>
      <c r="R6188" t="s">
        <v>579</v>
      </c>
      <c r="S6188" t="s">
        <v>824</v>
      </c>
      <c r="T6188">
        <v>37</v>
      </c>
      <c r="U6188" s="26" t="str">
        <f>HYPERLINK("https://ictv.global/ictv/proposals/2021.010B.R.Binomial_names.zip","2021.010B.R.Binomial_names.zip")</f>
        <v>2021.010B.R.Binomial_names.zip</v>
      </c>
    </row>
    <row r="6189" spans="1:21">
      <c r="A6189">
        <v>6188</v>
      </c>
      <c r="B6189" s="27" t="s">
        <v>1449</v>
      </c>
      <c r="D6189" s="27" t="s">
        <v>1450</v>
      </c>
      <c r="F6189" s="27" t="s">
        <v>1453</v>
      </c>
      <c r="H6189" s="27" t="s">
        <v>1454</v>
      </c>
      <c r="N6189" s="27" t="s">
        <v>1701</v>
      </c>
      <c r="P6189" s="27" t="s">
        <v>7769</v>
      </c>
      <c r="Q6189" s="26" t="str">
        <f>HYPERLINK("https://ictv.global/taxonomy/taxondetails?taxnode_id=202511685&amp;ictv_id=ICTV202011685","ICTV202011685")</f>
        <v>ICTV202011685</v>
      </c>
      <c r="R6189" t="s">
        <v>579</v>
      </c>
      <c r="S6189" t="s">
        <v>824</v>
      </c>
      <c r="T6189">
        <v>37</v>
      </c>
      <c r="U6189" s="26" t="str">
        <f>HYPERLINK("https://ictv.global/ictv/proposals/2021.010B.R.Binomial_names.zip","2021.010B.R.Binomial_names.zip")</f>
        <v>2021.010B.R.Binomial_names.zip</v>
      </c>
    </row>
    <row r="6190" spans="1:21">
      <c r="A6190">
        <v>6189</v>
      </c>
      <c r="B6190" s="27" t="s">
        <v>1449</v>
      </c>
      <c r="D6190" s="27" t="s">
        <v>1450</v>
      </c>
      <c r="F6190" s="27" t="s">
        <v>1453</v>
      </c>
      <c r="H6190" s="27" t="s">
        <v>1454</v>
      </c>
      <c r="N6190" s="27" t="s">
        <v>1701</v>
      </c>
      <c r="P6190" s="27" t="s">
        <v>7770</v>
      </c>
      <c r="Q6190" s="26" t="str">
        <f>HYPERLINK("https://ictv.global/taxonomy/taxondetails?taxnode_id=202511683&amp;ictv_id=ICTV202011683","ICTV202011683")</f>
        <v>ICTV202011683</v>
      </c>
      <c r="R6190" t="s">
        <v>579</v>
      </c>
      <c r="S6190" t="s">
        <v>824</v>
      </c>
      <c r="T6190">
        <v>37</v>
      </c>
      <c r="U6190" s="26" t="str">
        <f>HYPERLINK("https://ictv.global/ictv/proposals/2021.010B.R.Binomial_names.zip","2021.010B.R.Binomial_names.zip")</f>
        <v>2021.010B.R.Binomial_names.zip</v>
      </c>
    </row>
    <row r="6191" spans="1:21">
      <c r="A6191">
        <v>6190</v>
      </c>
      <c r="B6191" s="27" t="s">
        <v>1449</v>
      </c>
      <c r="D6191" s="27" t="s">
        <v>1450</v>
      </c>
      <c r="F6191" s="27" t="s">
        <v>1453</v>
      </c>
      <c r="H6191" s="27" t="s">
        <v>1454</v>
      </c>
      <c r="N6191" s="27" t="s">
        <v>7771</v>
      </c>
      <c r="P6191" s="27" t="s">
        <v>7772</v>
      </c>
      <c r="Q6191" s="26" t="str">
        <f>HYPERLINK("https://ictv.global/taxonomy/taxondetails?taxnode_id=202514797&amp;ictv_id=ICTV202214797","ICTV202214797")</f>
        <v>ICTV202214797</v>
      </c>
      <c r="R6191" t="s">
        <v>579</v>
      </c>
      <c r="S6191" t="s">
        <v>823</v>
      </c>
      <c r="T6191">
        <v>38</v>
      </c>
      <c r="U6191" s="26" t="str">
        <f>HYPERLINK("https://ictv.global/ictv/proposals/2022.071B.Roslyckyvirus_ng.zip","2022.071B.Roslyckyvirus_ng.zip")</f>
        <v>2022.071B.Roslyckyvirus_ng.zip</v>
      </c>
    </row>
    <row r="6192" spans="1:21">
      <c r="A6192">
        <v>6191</v>
      </c>
      <c r="B6192" s="27" t="s">
        <v>1449</v>
      </c>
      <c r="D6192" s="27" t="s">
        <v>1450</v>
      </c>
      <c r="F6192" s="27" t="s">
        <v>1453</v>
      </c>
      <c r="H6192" s="27" t="s">
        <v>1454</v>
      </c>
      <c r="N6192" s="27" t="s">
        <v>1410</v>
      </c>
      <c r="P6192" s="27" t="s">
        <v>7773</v>
      </c>
      <c r="Q6192" s="26" t="str">
        <f>HYPERLINK("https://ictv.global/taxonomy/taxondetails?taxnode_id=202501235&amp;ictv_id=ICTV20165082","ICTV20165082")</f>
        <v>ICTV20165082</v>
      </c>
      <c r="R6192" t="s">
        <v>579</v>
      </c>
      <c r="S6192" t="s">
        <v>824</v>
      </c>
      <c r="T6192">
        <v>37</v>
      </c>
      <c r="U6192" s="26" t="str">
        <f>HYPERLINK("https://ictv.global/ictv/proposals/2021.010B.R.Binomial_names.zip","2021.010B.R.Binomial_names.zip")</f>
        <v>2021.010B.R.Binomial_names.zip</v>
      </c>
    </row>
    <row r="6193" spans="1:21">
      <c r="A6193">
        <v>6192</v>
      </c>
      <c r="B6193" s="27" t="s">
        <v>1449</v>
      </c>
      <c r="D6193" s="27" t="s">
        <v>1450</v>
      </c>
      <c r="F6193" s="27" t="s">
        <v>1453</v>
      </c>
      <c r="H6193" s="27" t="s">
        <v>1454</v>
      </c>
      <c r="N6193" s="27" t="s">
        <v>12195</v>
      </c>
      <c r="P6193" s="27" t="s">
        <v>12196</v>
      </c>
      <c r="Q6193" s="26" t="str">
        <f>HYPERLINK("https://ictv.global/taxonomy/taxondetails?taxnode_id=202519252&amp;ictv_id=ICTV202319252","ICTV202319252")</f>
        <v>ICTV202319252</v>
      </c>
      <c r="R6193" t="s">
        <v>579</v>
      </c>
      <c r="S6193" t="s">
        <v>823</v>
      </c>
      <c r="T6193">
        <v>39</v>
      </c>
      <c r="U6193" s="26" t="str">
        <f>HYPERLINK("https://ictv.global/ictv/proposals/2023.056B.Caudoviricetes_Serratia_2ng.zip","2023.056B.Caudoviricetes_Serratia_2ng.zip")</f>
        <v>2023.056B.Caudoviricetes_Serratia_2ng.zip</v>
      </c>
    </row>
    <row r="6194" spans="1:21">
      <c r="A6194">
        <v>6193</v>
      </c>
      <c r="B6194" s="27" t="s">
        <v>1449</v>
      </c>
      <c r="D6194" s="27" t="s">
        <v>1450</v>
      </c>
      <c r="F6194" s="27" t="s">
        <v>1453</v>
      </c>
      <c r="H6194" s="27" t="s">
        <v>1454</v>
      </c>
      <c r="N6194" s="27" t="s">
        <v>1783</v>
      </c>
      <c r="P6194" s="27" t="s">
        <v>7774</v>
      </c>
      <c r="Q6194" s="26" t="str">
        <f>HYPERLINK("https://ictv.global/taxonomy/taxondetails?taxnode_id=202508025&amp;ictv_id=ICTV201908025","ICTV201908025")</f>
        <v>ICTV201908025</v>
      </c>
      <c r="R6194" t="s">
        <v>579</v>
      </c>
      <c r="S6194" t="s">
        <v>824</v>
      </c>
      <c r="T6194">
        <v>37</v>
      </c>
      <c r="U6194" s="26" t="str">
        <f>HYPERLINK("https://ictv.global/ictv/proposals/2021.010B.R.Binomial_names.zip","2021.010B.R.Binomial_names.zip")</f>
        <v>2021.010B.R.Binomial_names.zip</v>
      </c>
    </row>
    <row r="6195" spans="1:21">
      <c r="A6195">
        <v>6194</v>
      </c>
      <c r="B6195" s="27" t="s">
        <v>1449</v>
      </c>
      <c r="D6195" s="27" t="s">
        <v>1450</v>
      </c>
      <c r="F6195" s="27" t="s">
        <v>1453</v>
      </c>
      <c r="H6195" s="27" t="s">
        <v>1454</v>
      </c>
      <c r="N6195" s="27" t="s">
        <v>1784</v>
      </c>
      <c r="P6195" s="27" t="s">
        <v>7775</v>
      </c>
      <c r="Q6195" s="26" t="str">
        <f>HYPERLINK("https://ictv.global/taxonomy/taxondetails?taxnode_id=202509982&amp;ictv_id=ICTV202009982","ICTV202009982")</f>
        <v>ICTV202009982</v>
      </c>
      <c r="R6195" t="s">
        <v>579</v>
      </c>
      <c r="S6195" t="s">
        <v>824</v>
      </c>
      <c r="T6195">
        <v>37</v>
      </c>
      <c r="U6195" s="26" t="str">
        <f>HYPERLINK("https://ictv.global/ictv/proposals/2021.010B.R.Binomial_names.zip","2021.010B.R.Binomial_names.zip")</f>
        <v>2021.010B.R.Binomial_names.zip</v>
      </c>
    </row>
    <row r="6196" spans="1:21">
      <c r="A6196">
        <v>6195</v>
      </c>
      <c r="B6196" s="27" t="s">
        <v>1449</v>
      </c>
      <c r="D6196" s="27" t="s">
        <v>1450</v>
      </c>
      <c r="F6196" s="27" t="s">
        <v>1453</v>
      </c>
      <c r="H6196" s="27" t="s">
        <v>1454</v>
      </c>
      <c r="N6196" s="27" t="s">
        <v>1784</v>
      </c>
      <c r="P6196" s="27" t="s">
        <v>7776</v>
      </c>
      <c r="Q6196" s="26" t="str">
        <f>HYPERLINK("https://ictv.global/taxonomy/taxondetails?taxnode_id=202507568&amp;ictv_id=ICTV201907568","ICTV201907568")</f>
        <v>ICTV201907568</v>
      </c>
      <c r="R6196" t="s">
        <v>579</v>
      </c>
      <c r="S6196" t="s">
        <v>824</v>
      </c>
      <c r="T6196">
        <v>37</v>
      </c>
      <c r="U6196" s="26" t="str">
        <f>HYPERLINK("https://ictv.global/ictv/proposals/2021.010B.R.Binomial_names.zip","2021.010B.R.Binomial_names.zip")</f>
        <v>2021.010B.R.Binomial_names.zip</v>
      </c>
    </row>
    <row r="6197" spans="1:21">
      <c r="A6197">
        <v>6196</v>
      </c>
      <c r="B6197" s="27" t="s">
        <v>1449</v>
      </c>
      <c r="D6197" s="27" t="s">
        <v>1450</v>
      </c>
      <c r="F6197" s="27" t="s">
        <v>1453</v>
      </c>
      <c r="H6197" s="27" t="s">
        <v>1454</v>
      </c>
      <c r="N6197" s="27" t="s">
        <v>1722</v>
      </c>
      <c r="P6197" s="27" t="s">
        <v>7777</v>
      </c>
      <c r="Q6197" s="26" t="str">
        <f>HYPERLINK("https://ictv.global/taxonomy/taxondetails?taxnode_id=202500628&amp;ictv_id=ICTV20094371","ICTV20094371")</f>
        <v>ICTV20094371</v>
      </c>
      <c r="R6197" t="s">
        <v>579</v>
      </c>
      <c r="S6197" t="s">
        <v>824</v>
      </c>
      <c r="T6197">
        <v>37</v>
      </c>
      <c r="U6197" s="26" t="str">
        <f>HYPERLINK("https://ictv.global/ictv/proposals/2021.010B.R.Binomial_names.zip","2021.010B.R.Binomial_names.zip")</f>
        <v>2021.010B.R.Binomial_names.zip</v>
      </c>
    </row>
    <row r="6198" spans="1:21">
      <c r="A6198">
        <v>6197</v>
      </c>
      <c r="B6198" s="27" t="s">
        <v>1449</v>
      </c>
      <c r="D6198" s="27" t="s">
        <v>1450</v>
      </c>
      <c r="F6198" s="27" t="s">
        <v>1453</v>
      </c>
      <c r="H6198" s="27" t="s">
        <v>1454</v>
      </c>
      <c r="N6198" s="27" t="s">
        <v>7781</v>
      </c>
      <c r="P6198" s="27" t="s">
        <v>7782</v>
      </c>
      <c r="Q6198" s="26" t="str">
        <f>HYPERLINK("https://ictv.global/taxonomy/taxondetails?taxnode_id=202512913&amp;ictv_id=ICTV202112913","ICTV202112913")</f>
        <v>ICTV202112913</v>
      </c>
      <c r="R6198" t="s">
        <v>579</v>
      </c>
      <c r="S6198" t="s">
        <v>823</v>
      </c>
      <c r="T6198">
        <v>37</v>
      </c>
      <c r="U6198" s="26" t="str">
        <f>HYPERLINK("https://ictv.global/ictv/proposals/2021.074B.R.Sagamiharavirus.zip","2021.074B.R.Sagamiharavirus.zip")</f>
        <v>2021.074B.R.Sagamiharavirus.zip</v>
      </c>
    </row>
    <row r="6199" spans="1:21">
      <c r="A6199">
        <v>6198</v>
      </c>
      <c r="B6199" s="27" t="s">
        <v>1449</v>
      </c>
      <c r="D6199" s="27" t="s">
        <v>1450</v>
      </c>
      <c r="F6199" s="27" t="s">
        <v>1453</v>
      </c>
      <c r="H6199" s="27" t="s">
        <v>1454</v>
      </c>
      <c r="N6199" s="27" t="s">
        <v>2120</v>
      </c>
      <c r="P6199" s="27" t="s">
        <v>7783</v>
      </c>
      <c r="Q6199" s="26" t="str">
        <f>HYPERLINK("https://ictv.global/taxonomy/taxondetails?taxnode_id=202511724&amp;ictv_id=ICTV202011724","ICTV202011724")</f>
        <v>ICTV202011724</v>
      </c>
      <c r="R6199" t="s">
        <v>579</v>
      </c>
      <c r="S6199" t="s">
        <v>824</v>
      </c>
      <c r="T6199">
        <v>37</v>
      </c>
      <c r="U6199" s="26" t="str">
        <f>HYPERLINK("https://ictv.global/ictv/proposals/2021.010B.R.Binomial_names.zip","2021.010B.R.Binomial_names.zip")</f>
        <v>2021.010B.R.Binomial_names.zip</v>
      </c>
    </row>
    <row r="6200" spans="1:21">
      <c r="A6200">
        <v>6199</v>
      </c>
      <c r="B6200" s="27" t="s">
        <v>1449</v>
      </c>
      <c r="D6200" s="27" t="s">
        <v>1450</v>
      </c>
      <c r="F6200" s="27" t="s">
        <v>1453</v>
      </c>
      <c r="H6200" s="27" t="s">
        <v>1454</v>
      </c>
      <c r="N6200" s="27" t="s">
        <v>1704</v>
      </c>
      <c r="P6200" s="27" t="s">
        <v>7784</v>
      </c>
      <c r="Q6200" s="26" t="str">
        <f>HYPERLINK("https://ictv.global/taxonomy/taxondetails?taxnode_id=202507925&amp;ictv_id=ICTV201907925","ICTV201907925")</f>
        <v>ICTV201907925</v>
      </c>
      <c r="R6200" t="s">
        <v>579</v>
      </c>
      <c r="S6200" t="s">
        <v>824</v>
      </c>
      <c r="T6200">
        <v>37</v>
      </c>
      <c r="U6200" s="26" t="str">
        <f>HYPERLINK("https://ictv.global/ictv/proposals/2021.010B.R.Binomial_names.zip","2021.010B.R.Binomial_names.zip")</f>
        <v>2021.010B.R.Binomial_names.zip</v>
      </c>
    </row>
    <row r="6201" spans="1:21">
      <c r="A6201">
        <v>6200</v>
      </c>
      <c r="B6201" s="27" t="s">
        <v>1449</v>
      </c>
      <c r="D6201" s="27" t="s">
        <v>1450</v>
      </c>
      <c r="F6201" s="27" t="s">
        <v>1453</v>
      </c>
      <c r="H6201" s="27" t="s">
        <v>1454</v>
      </c>
      <c r="N6201" s="27" t="s">
        <v>1704</v>
      </c>
      <c r="P6201" s="27" t="s">
        <v>7785</v>
      </c>
      <c r="Q6201" s="26" t="str">
        <f>HYPERLINK("https://ictv.global/taxonomy/taxondetails?taxnode_id=202507926&amp;ictv_id=ICTV201907926","ICTV201907926")</f>
        <v>ICTV201907926</v>
      </c>
      <c r="R6201" t="s">
        <v>579</v>
      </c>
      <c r="S6201" t="s">
        <v>824</v>
      </c>
      <c r="T6201">
        <v>37</v>
      </c>
      <c r="U6201" s="26" t="str">
        <f>HYPERLINK("https://ictv.global/ictv/proposals/2021.010B.R.Binomial_names.zip","2021.010B.R.Binomial_names.zip")</f>
        <v>2021.010B.R.Binomial_names.zip</v>
      </c>
    </row>
    <row r="6202" spans="1:21">
      <c r="A6202">
        <v>6201</v>
      </c>
      <c r="B6202" s="27" t="s">
        <v>1449</v>
      </c>
      <c r="D6202" s="27" t="s">
        <v>1450</v>
      </c>
      <c r="F6202" s="27" t="s">
        <v>1453</v>
      </c>
      <c r="H6202" s="27" t="s">
        <v>1454</v>
      </c>
      <c r="N6202" s="27" t="s">
        <v>7786</v>
      </c>
      <c r="P6202" s="27" t="s">
        <v>7787</v>
      </c>
      <c r="Q6202" s="26" t="str">
        <f>HYPERLINK("https://ictv.global/taxonomy/taxondetails?taxnode_id=202513642&amp;ictv_id=ICTV202113642","ICTV202113642")</f>
        <v>ICTV202113642</v>
      </c>
      <c r="R6202" t="s">
        <v>579</v>
      </c>
      <c r="S6202" t="s">
        <v>823</v>
      </c>
      <c r="T6202">
        <v>37</v>
      </c>
      <c r="U6202" s="26" t="str">
        <f>HYPERLINK("https://ictv.global/ictv/proposals/2021.078B.R.Siphoviridae_new_genera.zip","2021.078B.R.Siphoviridae_new_genera.zip")</f>
        <v>2021.078B.R.Siphoviridae_new_genera.zip</v>
      </c>
    </row>
    <row r="6203" spans="1:21">
      <c r="A6203">
        <v>6202</v>
      </c>
      <c r="B6203" s="27" t="s">
        <v>1449</v>
      </c>
      <c r="D6203" s="27" t="s">
        <v>1450</v>
      </c>
      <c r="F6203" s="27" t="s">
        <v>1453</v>
      </c>
      <c r="H6203" s="27" t="s">
        <v>1454</v>
      </c>
      <c r="N6203" s="27" t="s">
        <v>12197</v>
      </c>
      <c r="P6203" s="27" t="s">
        <v>12198</v>
      </c>
      <c r="Q6203" s="26" t="str">
        <f>HYPERLINK("https://ictv.global/taxonomy/taxondetails?taxnode_id=202519266&amp;ictv_id=ICTV202319266","ICTV202319266")</f>
        <v>ICTV202319266</v>
      </c>
      <c r="R6203" t="s">
        <v>579</v>
      </c>
      <c r="S6203" t="s">
        <v>823</v>
      </c>
      <c r="T6203">
        <v>39</v>
      </c>
      <c r="U6203" s="26" t="str">
        <f>HYPERLINK("https://ictv.global/ictv/proposals/2023.059B.Samaravirus_ng.zip","2023.059B.Samaravirus_ng.zip")</f>
        <v>2023.059B.Samaravirus_ng.zip</v>
      </c>
    </row>
    <row r="6204" spans="1:21">
      <c r="A6204">
        <v>6203</v>
      </c>
      <c r="B6204" s="27" t="s">
        <v>1449</v>
      </c>
      <c r="D6204" s="27" t="s">
        <v>1450</v>
      </c>
      <c r="F6204" s="27" t="s">
        <v>1453</v>
      </c>
      <c r="H6204" s="27" t="s">
        <v>1454</v>
      </c>
      <c r="N6204" s="27" t="s">
        <v>1412</v>
      </c>
      <c r="P6204" s="27" t="s">
        <v>7788</v>
      </c>
      <c r="Q6204" s="26" t="str">
        <f>HYPERLINK("https://ictv.global/taxonomy/taxondetails?taxnode_id=202506869&amp;ictv_id=ICTV201856869","ICTV201856869")</f>
        <v>ICTV201856869</v>
      </c>
      <c r="R6204" t="s">
        <v>579</v>
      </c>
      <c r="S6204" t="s">
        <v>824</v>
      </c>
      <c r="T6204">
        <v>37</v>
      </c>
      <c r="U6204" s="26" t="str">
        <f>HYPERLINK("https://ictv.global/ictv/proposals/2021.010B.R.Binomial_names.zip","2021.010B.R.Binomial_names.zip")</f>
        <v>2021.010B.R.Binomial_names.zip</v>
      </c>
    </row>
    <row r="6205" spans="1:21">
      <c r="A6205">
        <v>6204</v>
      </c>
      <c r="B6205" s="27" t="s">
        <v>1449</v>
      </c>
      <c r="D6205" s="27" t="s">
        <v>1450</v>
      </c>
      <c r="F6205" s="27" t="s">
        <v>1453</v>
      </c>
      <c r="H6205" s="27" t="s">
        <v>1454</v>
      </c>
      <c r="N6205" s="27" t="s">
        <v>2302</v>
      </c>
      <c r="P6205" s="27" t="s">
        <v>7794</v>
      </c>
      <c r="Q6205" s="26" t="str">
        <f>HYPERLINK("https://ictv.global/taxonomy/taxondetails?taxnode_id=202511764&amp;ictv_id=ICTV202011764","ICTV202011764")</f>
        <v>ICTV202011764</v>
      </c>
      <c r="R6205" t="s">
        <v>579</v>
      </c>
      <c r="S6205" t="s">
        <v>824</v>
      </c>
      <c r="T6205">
        <v>37</v>
      </c>
      <c r="U6205" s="26" t="str">
        <f>HYPERLINK("https://ictv.global/ictv/proposals/2021.010B.R.Binomial_names.zip","2021.010B.R.Binomial_names.zip")</f>
        <v>2021.010B.R.Binomial_names.zip</v>
      </c>
    </row>
    <row r="6206" spans="1:21">
      <c r="A6206">
        <v>6205</v>
      </c>
      <c r="B6206" s="27" t="s">
        <v>1449</v>
      </c>
      <c r="D6206" s="27" t="s">
        <v>1450</v>
      </c>
      <c r="F6206" s="27" t="s">
        <v>1453</v>
      </c>
      <c r="H6206" s="27" t="s">
        <v>1454</v>
      </c>
      <c r="N6206" s="27" t="s">
        <v>1786</v>
      </c>
      <c r="P6206" s="27" t="s">
        <v>19865</v>
      </c>
      <c r="Q6206" s="26" t="str">
        <f>HYPERLINK("https://ictv.global/taxonomy/taxondetails?taxnode_id=202507658&amp;ictv_id=ICTV201907658","ICTV201907658")</f>
        <v>ICTV201907658</v>
      </c>
      <c r="R6206" t="s">
        <v>579</v>
      </c>
      <c r="S6206" t="s">
        <v>824</v>
      </c>
      <c r="T6206">
        <v>40</v>
      </c>
      <c r="U6206" s="26" t="str">
        <f>HYPERLINK("https://ictv.global/ictv/proposals/2024.036B.Caudoviricetes_Faserviricetes_Name_Corrections.zip","2024.036B.Caudoviricetes_Faserviricetes_Name_Corrections.zip")</f>
        <v>2024.036B.Caudoviricetes_Faserviricetes_Name_Corrections.zip</v>
      </c>
    </row>
    <row r="6207" spans="1:21">
      <c r="A6207">
        <v>6206</v>
      </c>
      <c r="B6207" s="27" t="s">
        <v>1449</v>
      </c>
      <c r="D6207" s="27" t="s">
        <v>1450</v>
      </c>
      <c r="F6207" s="27" t="s">
        <v>1453</v>
      </c>
      <c r="H6207" s="27" t="s">
        <v>1454</v>
      </c>
      <c r="N6207" s="27" t="s">
        <v>7795</v>
      </c>
      <c r="P6207" s="27" t="s">
        <v>7796</v>
      </c>
      <c r="Q6207" s="26" t="str">
        <f>HYPERLINK("https://ictv.global/taxonomy/taxondetails?taxnode_id=202512915&amp;ictv_id=ICTV202112915","ICTV202112915")</f>
        <v>ICTV202112915</v>
      </c>
      <c r="R6207" t="s">
        <v>579</v>
      </c>
      <c r="S6207" t="s">
        <v>823</v>
      </c>
      <c r="T6207">
        <v>37</v>
      </c>
      <c r="U6207" s="26" t="str">
        <f>HYPERLINK("https://ictv.global/ictv/proposals/2021.075B.R.Santafevirus.zip","2021.075B.R.Santafevirus.zip")</f>
        <v>2021.075B.R.Santafevirus.zip</v>
      </c>
    </row>
    <row r="6208" spans="1:21">
      <c r="A6208">
        <v>6207</v>
      </c>
      <c r="B6208" s="27" t="s">
        <v>1449</v>
      </c>
      <c r="D6208" s="27" t="s">
        <v>1450</v>
      </c>
      <c r="F6208" s="27" t="s">
        <v>1453</v>
      </c>
      <c r="H6208" s="27" t="s">
        <v>1454</v>
      </c>
      <c r="N6208" s="27" t="s">
        <v>12199</v>
      </c>
      <c r="P6208" s="27" t="s">
        <v>12200</v>
      </c>
      <c r="Q6208" s="26" t="str">
        <f>HYPERLINK("https://ictv.global/taxonomy/taxondetails?taxnode_id=202518857&amp;ictv_id=ICTV202318857","ICTV202318857")</f>
        <v>ICTV202318857</v>
      </c>
      <c r="R6208" t="s">
        <v>579</v>
      </c>
      <c r="S6208" t="s">
        <v>823</v>
      </c>
      <c r="T6208">
        <v>39</v>
      </c>
      <c r="U6208" s="26" t="str">
        <f>HYPERLINK("https://ictv.global/ictv/proposals/2023.025B.Caudoviricetes_Gordonia_2ng.zip","2023.025B.Caudoviricetes_Gordonia_2ng.zip")</f>
        <v>2023.025B.Caudoviricetes_Gordonia_2ng.zip</v>
      </c>
    </row>
    <row r="6209" spans="1:21">
      <c r="A6209">
        <v>6208</v>
      </c>
      <c r="B6209" s="27" t="s">
        <v>1449</v>
      </c>
      <c r="D6209" s="27" t="s">
        <v>1450</v>
      </c>
      <c r="F6209" s="27" t="s">
        <v>1453</v>
      </c>
      <c r="H6209" s="27" t="s">
        <v>1454</v>
      </c>
      <c r="N6209" s="27" t="s">
        <v>12199</v>
      </c>
      <c r="P6209" s="27" t="s">
        <v>12201</v>
      </c>
      <c r="Q6209" s="26" t="str">
        <f>HYPERLINK("https://ictv.global/taxonomy/taxondetails?taxnode_id=202518856&amp;ictv_id=ICTV202318856","ICTV202318856")</f>
        <v>ICTV202318856</v>
      </c>
      <c r="R6209" t="s">
        <v>579</v>
      </c>
      <c r="S6209" t="s">
        <v>823</v>
      </c>
      <c r="T6209">
        <v>39</v>
      </c>
      <c r="U6209" s="26" t="str">
        <f>HYPERLINK("https://ictv.global/ictv/proposals/2023.025B.Caudoviricetes_Gordonia_2ng.zip","2023.025B.Caudoviricetes_Gordonia_2ng.zip")</f>
        <v>2023.025B.Caudoviricetes_Gordonia_2ng.zip</v>
      </c>
    </row>
    <row r="6210" spans="1:21">
      <c r="A6210">
        <v>6209</v>
      </c>
      <c r="B6210" s="27" t="s">
        <v>1449</v>
      </c>
      <c r="D6210" s="27" t="s">
        <v>1450</v>
      </c>
      <c r="F6210" s="27" t="s">
        <v>1453</v>
      </c>
      <c r="H6210" s="27" t="s">
        <v>1454</v>
      </c>
      <c r="N6210" s="27" t="s">
        <v>12199</v>
      </c>
      <c r="P6210" s="27" t="s">
        <v>12202</v>
      </c>
      <c r="Q6210" s="26" t="str">
        <f>HYPERLINK("https://ictv.global/taxonomy/taxondetails?taxnode_id=202518854&amp;ictv_id=ICTV202318854","ICTV202318854")</f>
        <v>ICTV202318854</v>
      </c>
      <c r="R6210" t="s">
        <v>579</v>
      </c>
      <c r="S6210" t="s">
        <v>823</v>
      </c>
      <c r="T6210">
        <v>39</v>
      </c>
      <c r="U6210" s="26" t="str">
        <f>HYPERLINK("https://ictv.global/ictv/proposals/2023.025B.Caudoviricetes_Gordonia_2ng.zip","2023.025B.Caudoviricetes_Gordonia_2ng.zip")</f>
        <v>2023.025B.Caudoviricetes_Gordonia_2ng.zip</v>
      </c>
    </row>
    <row r="6211" spans="1:21">
      <c r="A6211">
        <v>6210</v>
      </c>
      <c r="B6211" s="27" t="s">
        <v>1449</v>
      </c>
      <c r="D6211" s="27" t="s">
        <v>1450</v>
      </c>
      <c r="F6211" s="27" t="s">
        <v>1453</v>
      </c>
      <c r="H6211" s="27" t="s">
        <v>1454</v>
      </c>
      <c r="N6211" s="27" t="s">
        <v>12199</v>
      </c>
      <c r="P6211" s="27" t="s">
        <v>12203</v>
      </c>
      <c r="Q6211" s="26" t="str">
        <f>HYPERLINK("https://ictv.global/taxonomy/taxondetails?taxnode_id=202518855&amp;ictv_id=ICTV202318855","ICTV202318855")</f>
        <v>ICTV202318855</v>
      </c>
      <c r="R6211" t="s">
        <v>579</v>
      </c>
      <c r="S6211" t="s">
        <v>823</v>
      </c>
      <c r="T6211">
        <v>39</v>
      </c>
      <c r="U6211" s="26" t="str">
        <f>HYPERLINK("https://ictv.global/ictv/proposals/2023.025B.Caudoviricetes_Gordonia_2ng.zip","2023.025B.Caudoviricetes_Gordonia_2ng.zip")</f>
        <v>2023.025B.Caudoviricetes_Gordonia_2ng.zip</v>
      </c>
    </row>
    <row r="6212" spans="1:21">
      <c r="A6212">
        <v>6211</v>
      </c>
      <c r="B6212" s="27" t="s">
        <v>1449</v>
      </c>
      <c r="D6212" s="27" t="s">
        <v>1450</v>
      </c>
      <c r="F6212" s="27" t="s">
        <v>1453</v>
      </c>
      <c r="H6212" s="27" t="s">
        <v>1454</v>
      </c>
      <c r="N6212" s="27" t="s">
        <v>1414</v>
      </c>
      <c r="P6212" s="27" t="s">
        <v>7797</v>
      </c>
      <c r="Q6212" s="26" t="str">
        <f>HYPERLINK("https://ictv.global/taxonomy/taxondetails?taxnode_id=202501247&amp;ictv_id=ICTV20140436","ICTV20140436")</f>
        <v>ICTV20140436</v>
      </c>
      <c r="R6212" t="s">
        <v>579</v>
      </c>
      <c r="S6212" t="s">
        <v>824</v>
      </c>
      <c r="T6212">
        <v>37</v>
      </c>
      <c r="U6212" s="26" t="str">
        <f>HYPERLINK("https://ictv.global/ictv/proposals/2021.010B.R.Binomial_names.zip","2021.010B.R.Binomial_names.zip")</f>
        <v>2021.010B.R.Binomial_names.zip</v>
      </c>
    </row>
    <row r="6213" spans="1:21">
      <c r="A6213">
        <v>6212</v>
      </c>
      <c r="B6213" s="27" t="s">
        <v>1449</v>
      </c>
      <c r="D6213" s="27" t="s">
        <v>1450</v>
      </c>
      <c r="F6213" s="27" t="s">
        <v>1453</v>
      </c>
      <c r="H6213" s="27" t="s">
        <v>1454</v>
      </c>
      <c r="N6213" s="27" t="s">
        <v>1414</v>
      </c>
      <c r="P6213" s="27" t="s">
        <v>7798</v>
      </c>
      <c r="Q6213" s="26" t="str">
        <f>HYPERLINK("https://ictv.global/taxonomy/taxondetails?taxnode_id=202501248&amp;ictv_id=ICTV20140437","ICTV20140437")</f>
        <v>ICTV20140437</v>
      </c>
      <c r="R6213" t="s">
        <v>579</v>
      </c>
      <c r="S6213" t="s">
        <v>824</v>
      </c>
      <c r="T6213">
        <v>37</v>
      </c>
      <c r="U6213" s="26" t="str">
        <f>HYPERLINK("https://ictv.global/ictv/proposals/2021.010B.R.Binomial_names.zip","2021.010B.R.Binomial_names.zip")</f>
        <v>2021.010B.R.Binomial_names.zip</v>
      </c>
    </row>
    <row r="6214" spans="1:21">
      <c r="A6214">
        <v>6213</v>
      </c>
      <c r="B6214" s="27" t="s">
        <v>1449</v>
      </c>
      <c r="D6214" s="27" t="s">
        <v>1450</v>
      </c>
      <c r="F6214" s="27" t="s">
        <v>1453</v>
      </c>
      <c r="H6214" s="27" t="s">
        <v>1454</v>
      </c>
      <c r="N6214" s="27" t="s">
        <v>1414</v>
      </c>
      <c r="P6214" s="27" t="s">
        <v>7799</v>
      </c>
      <c r="Q6214" s="26" t="str">
        <f>HYPERLINK("https://ictv.global/taxonomy/taxondetails?taxnode_id=202501249&amp;ictv_id=ICTV20140435","ICTV20140435")</f>
        <v>ICTV20140435</v>
      </c>
      <c r="R6214" t="s">
        <v>579</v>
      </c>
      <c r="S6214" t="s">
        <v>824</v>
      </c>
      <c r="T6214">
        <v>37</v>
      </c>
      <c r="U6214" s="26" t="str">
        <f>HYPERLINK("https://ictv.global/ictv/proposals/2021.010B.R.Binomial_names.zip","2021.010B.R.Binomial_names.zip")</f>
        <v>2021.010B.R.Binomial_names.zip</v>
      </c>
    </row>
    <row r="6215" spans="1:21">
      <c r="A6215">
        <v>6214</v>
      </c>
      <c r="B6215" s="27" t="s">
        <v>1449</v>
      </c>
      <c r="D6215" s="27" t="s">
        <v>1450</v>
      </c>
      <c r="F6215" s="27" t="s">
        <v>1453</v>
      </c>
      <c r="H6215" s="27" t="s">
        <v>1454</v>
      </c>
      <c r="N6215" s="27" t="s">
        <v>1414</v>
      </c>
      <c r="P6215" s="27" t="s">
        <v>7800</v>
      </c>
      <c r="Q6215" s="26" t="str">
        <f>HYPERLINK("https://ictv.global/taxonomy/taxondetails?taxnode_id=202501251&amp;ictv_id=ICTV20140438","ICTV20140438")</f>
        <v>ICTV20140438</v>
      </c>
      <c r="R6215" t="s">
        <v>579</v>
      </c>
      <c r="S6215" t="s">
        <v>824</v>
      </c>
      <c r="T6215">
        <v>37</v>
      </c>
      <c r="U6215" s="26" t="str">
        <f>HYPERLINK("https://ictv.global/ictv/proposals/2021.010B.R.Binomial_names.zip","2021.010B.R.Binomial_names.zip")</f>
        <v>2021.010B.R.Binomial_names.zip</v>
      </c>
    </row>
    <row r="6216" spans="1:21">
      <c r="A6216">
        <v>6215</v>
      </c>
      <c r="B6216" s="27" t="s">
        <v>1449</v>
      </c>
      <c r="D6216" s="27" t="s">
        <v>1450</v>
      </c>
      <c r="F6216" s="27" t="s">
        <v>1453</v>
      </c>
      <c r="H6216" s="27" t="s">
        <v>1454</v>
      </c>
      <c r="N6216" s="27" t="s">
        <v>1414</v>
      </c>
      <c r="P6216" s="27" t="s">
        <v>12204</v>
      </c>
      <c r="Q6216" s="26" t="str">
        <f>HYPERLINK("https://ictv.global/taxonomy/taxondetails?taxnode_id=202519267&amp;ictv_id=ICTV202319267","ICTV202319267")</f>
        <v>ICTV202319267</v>
      </c>
      <c r="R6216" t="s">
        <v>579</v>
      </c>
      <c r="S6216" t="s">
        <v>823</v>
      </c>
      <c r="T6216">
        <v>39</v>
      </c>
      <c r="U6216" s="26" t="str">
        <f>HYPERLINK("https://ictv.global/ictv/proposals/2023.060B.Saphexavirus_1ns.zip","2023.060B.Saphexavirus_1ns.zip")</f>
        <v>2023.060B.Saphexavirus_1ns.zip</v>
      </c>
    </row>
    <row r="6217" spans="1:21">
      <c r="A6217">
        <v>6216</v>
      </c>
      <c r="B6217" s="27" t="s">
        <v>1449</v>
      </c>
      <c r="D6217" s="27" t="s">
        <v>1450</v>
      </c>
      <c r="F6217" s="27" t="s">
        <v>1453</v>
      </c>
      <c r="H6217" s="27" t="s">
        <v>1454</v>
      </c>
      <c r="N6217" s="27" t="s">
        <v>1414</v>
      </c>
      <c r="P6217" s="27" t="s">
        <v>7801</v>
      </c>
      <c r="Q6217" s="26" t="str">
        <f>HYPERLINK("https://ictv.global/taxonomy/taxondetails?taxnode_id=202501250&amp;ictv_id=ICTV20140439","ICTV20140439")</f>
        <v>ICTV20140439</v>
      </c>
      <c r="R6217" t="s">
        <v>579</v>
      </c>
      <c r="S6217" t="s">
        <v>824</v>
      </c>
      <c r="T6217">
        <v>37</v>
      </c>
      <c r="U6217" s="26" t="str">
        <f>HYPERLINK("https://ictv.global/ictv/proposals/2021.010B.R.Binomial_names.zip","2021.010B.R.Binomial_names.zip")</f>
        <v>2021.010B.R.Binomial_names.zip</v>
      </c>
    </row>
    <row r="6218" spans="1:21">
      <c r="A6218">
        <v>6217</v>
      </c>
      <c r="B6218" s="27" t="s">
        <v>1449</v>
      </c>
      <c r="D6218" s="27" t="s">
        <v>1450</v>
      </c>
      <c r="F6218" s="27" t="s">
        <v>1453</v>
      </c>
      <c r="H6218" s="27" t="s">
        <v>1454</v>
      </c>
      <c r="N6218" s="27" t="s">
        <v>7802</v>
      </c>
      <c r="P6218" s="27" t="s">
        <v>7803</v>
      </c>
      <c r="Q6218" s="26" t="str">
        <f>HYPERLINK("https://ictv.global/taxonomy/taxondetails?taxnode_id=202514958&amp;ictv_id=ICTV202214958","ICTV202214958")</f>
        <v>ICTV202214958</v>
      </c>
      <c r="R6218" t="s">
        <v>579</v>
      </c>
      <c r="S6218" t="s">
        <v>823</v>
      </c>
      <c r="T6218">
        <v>38</v>
      </c>
      <c r="U6218" s="26" t="str">
        <f>HYPERLINK("https://ictv.global/ictv/proposals/2022.090B.Caudoviricetes_3ng_arthrobacter.zip","2022.090B.Caudoviricetes_3ng_arthrobacter.zip")</f>
        <v>2022.090B.Caudoviricetes_3ng_arthrobacter.zip</v>
      </c>
    </row>
    <row r="6219" spans="1:21">
      <c r="A6219">
        <v>6218</v>
      </c>
      <c r="B6219" s="27" t="s">
        <v>1449</v>
      </c>
      <c r="D6219" s="27" t="s">
        <v>1450</v>
      </c>
      <c r="F6219" s="27" t="s">
        <v>1453</v>
      </c>
      <c r="H6219" s="27" t="s">
        <v>1454</v>
      </c>
      <c r="N6219" s="27" t="s">
        <v>2121</v>
      </c>
      <c r="P6219" s="27" t="s">
        <v>7804</v>
      </c>
      <c r="Q6219" s="26" t="str">
        <f>HYPERLINK("https://ictv.global/taxonomy/taxondetails?taxnode_id=202511766&amp;ictv_id=ICTV202011766","ICTV202011766")</f>
        <v>ICTV202011766</v>
      </c>
      <c r="R6219" t="s">
        <v>579</v>
      </c>
      <c r="S6219" t="s">
        <v>824</v>
      </c>
      <c r="T6219">
        <v>37</v>
      </c>
      <c r="U6219" s="26" t="str">
        <f>HYPERLINK("https://ictv.global/ictv/proposals/2021.010B.R.Binomial_names.zip","2021.010B.R.Binomial_names.zip")</f>
        <v>2021.010B.R.Binomial_names.zip</v>
      </c>
    </row>
    <row r="6220" spans="1:21">
      <c r="A6220">
        <v>6219</v>
      </c>
      <c r="B6220" s="27" t="s">
        <v>1449</v>
      </c>
      <c r="D6220" s="27" t="s">
        <v>1450</v>
      </c>
      <c r="F6220" s="27" t="s">
        <v>1453</v>
      </c>
      <c r="H6220" s="27" t="s">
        <v>1454</v>
      </c>
      <c r="N6220" s="27" t="s">
        <v>2121</v>
      </c>
      <c r="P6220" s="27" t="s">
        <v>7805</v>
      </c>
      <c r="Q6220" s="26" t="str">
        <f>HYPERLINK("https://ictv.global/taxonomy/taxondetails?taxnode_id=202511767&amp;ictv_id=ICTV202011767","ICTV202011767")</f>
        <v>ICTV202011767</v>
      </c>
      <c r="R6220" t="s">
        <v>579</v>
      </c>
      <c r="S6220" t="s">
        <v>824</v>
      </c>
      <c r="T6220">
        <v>37</v>
      </c>
      <c r="U6220" s="26" t="str">
        <f>HYPERLINK("https://ictv.global/ictv/proposals/2021.010B.R.Binomial_names.zip","2021.010B.R.Binomial_names.zip")</f>
        <v>2021.010B.R.Binomial_names.zip</v>
      </c>
    </row>
    <row r="6221" spans="1:21">
      <c r="A6221">
        <v>6220</v>
      </c>
      <c r="B6221" s="27" t="s">
        <v>1449</v>
      </c>
      <c r="D6221" s="27" t="s">
        <v>1450</v>
      </c>
      <c r="F6221" s="27" t="s">
        <v>1453</v>
      </c>
      <c r="H6221" s="27" t="s">
        <v>1454</v>
      </c>
      <c r="N6221" s="27" t="s">
        <v>7806</v>
      </c>
      <c r="P6221" s="27" t="s">
        <v>7807</v>
      </c>
      <c r="Q6221" s="26" t="str">
        <f>HYPERLINK("https://ictv.global/taxonomy/taxondetails?taxnode_id=202514876&amp;ictv_id=ICTV202214876","ICTV202214876")</f>
        <v>ICTV202214876</v>
      </c>
      <c r="R6221" t="s">
        <v>579</v>
      </c>
      <c r="S6221" t="s">
        <v>823</v>
      </c>
      <c r="T6221">
        <v>38</v>
      </c>
      <c r="U6221" s="26" t="str">
        <f>HYPERLINK("https://ictv.global/ictv/proposals/2022.081B.Caudoviricetes_6ng_streptomyces.zip","2022.081B.Caudoviricetes_6ng_streptomyces.zip")</f>
        <v>2022.081B.Caudoviricetes_6ng_streptomyces.zip</v>
      </c>
    </row>
    <row r="6222" spans="1:21">
      <c r="A6222">
        <v>6221</v>
      </c>
      <c r="B6222" s="27" t="s">
        <v>1449</v>
      </c>
      <c r="D6222" s="27" t="s">
        <v>1450</v>
      </c>
      <c r="F6222" s="27" t="s">
        <v>1453</v>
      </c>
      <c r="H6222" s="27" t="s">
        <v>1454</v>
      </c>
      <c r="N6222" s="27" t="s">
        <v>1787</v>
      </c>
      <c r="P6222" s="27" t="s">
        <v>7808</v>
      </c>
      <c r="Q6222" s="26" t="str">
        <f>HYPERLINK("https://ictv.global/taxonomy/taxondetails?taxnode_id=202508027&amp;ictv_id=ICTV201908027","ICTV201908027")</f>
        <v>ICTV201908027</v>
      </c>
      <c r="R6222" t="s">
        <v>579</v>
      </c>
      <c r="S6222" t="s">
        <v>824</v>
      </c>
      <c r="T6222">
        <v>37</v>
      </c>
      <c r="U6222" s="26" t="str">
        <f>HYPERLINK("https://ictv.global/ictv/proposals/2021.010B.R.Binomial_names.zip","2021.010B.R.Binomial_names.zip")</f>
        <v>2021.010B.R.Binomial_names.zip</v>
      </c>
    </row>
    <row r="6223" spans="1:21">
      <c r="A6223">
        <v>6222</v>
      </c>
      <c r="B6223" s="27" t="s">
        <v>1449</v>
      </c>
      <c r="D6223" s="27" t="s">
        <v>1450</v>
      </c>
      <c r="F6223" s="27" t="s">
        <v>1453</v>
      </c>
      <c r="H6223" s="27" t="s">
        <v>1454</v>
      </c>
      <c r="N6223" s="27" t="s">
        <v>1705</v>
      </c>
      <c r="P6223" s="27" t="s">
        <v>7809</v>
      </c>
      <c r="Q6223" s="26" t="str">
        <f>HYPERLINK("https://ictv.global/taxonomy/taxondetails?taxnode_id=202507923&amp;ictv_id=ICTV201907923","ICTV201907923")</f>
        <v>ICTV201907923</v>
      </c>
      <c r="R6223" t="s">
        <v>579</v>
      </c>
      <c r="S6223" t="s">
        <v>824</v>
      </c>
      <c r="T6223">
        <v>37</v>
      </c>
      <c r="U6223" s="26" t="str">
        <f>HYPERLINK("https://ictv.global/ictv/proposals/2021.010B.R.Binomial_names.zip","2021.010B.R.Binomial_names.zip")</f>
        <v>2021.010B.R.Binomial_names.zip</v>
      </c>
    </row>
    <row r="6224" spans="1:21">
      <c r="A6224">
        <v>6223</v>
      </c>
      <c r="B6224" s="27" t="s">
        <v>1449</v>
      </c>
      <c r="D6224" s="27" t="s">
        <v>1450</v>
      </c>
      <c r="F6224" s="27" t="s">
        <v>1453</v>
      </c>
      <c r="H6224" s="27" t="s">
        <v>1454</v>
      </c>
      <c r="N6224" s="27" t="s">
        <v>1415</v>
      </c>
      <c r="P6224" s="27" t="s">
        <v>7810</v>
      </c>
      <c r="Q6224" s="26" t="str">
        <f>HYPERLINK("https://ictv.global/taxonomy/taxondetails?taxnode_id=202506834&amp;ictv_id=ICTV201856834","ICTV201856834")</f>
        <v>ICTV201856834</v>
      </c>
      <c r="R6224" t="s">
        <v>579</v>
      </c>
      <c r="S6224" t="s">
        <v>824</v>
      </c>
      <c r="T6224">
        <v>37</v>
      </c>
      <c r="U6224" s="26" t="str">
        <f>HYPERLINK("https://ictv.global/ictv/proposals/2021.010B.R.Binomial_names.zip","2021.010B.R.Binomial_names.zip")</f>
        <v>2021.010B.R.Binomial_names.zip</v>
      </c>
    </row>
    <row r="6225" spans="1:21">
      <c r="A6225">
        <v>6224</v>
      </c>
      <c r="B6225" s="27" t="s">
        <v>1449</v>
      </c>
      <c r="D6225" s="27" t="s">
        <v>1450</v>
      </c>
      <c r="F6225" s="27" t="s">
        <v>1453</v>
      </c>
      <c r="H6225" s="27" t="s">
        <v>1454</v>
      </c>
      <c r="N6225" s="27" t="s">
        <v>1416</v>
      </c>
      <c r="P6225" s="27" t="s">
        <v>7811</v>
      </c>
      <c r="Q6225" s="26" t="str">
        <f>HYPERLINK("https://ictv.global/taxonomy/taxondetails?taxnode_id=202505563&amp;ictv_id=ICTV20175563","ICTV20175563")</f>
        <v>ICTV20175563</v>
      </c>
      <c r="R6225" t="s">
        <v>579</v>
      </c>
      <c r="S6225" t="s">
        <v>824</v>
      </c>
      <c r="T6225">
        <v>37</v>
      </c>
      <c r="U6225" s="26" t="str">
        <f>HYPERLINK("https://ictv.global/ictv/proposals/2021.010B.R.Binomial_names.zip","2021.010B.R.Binomial_names.zip")</f>
        <v>2021.010B.R.Binomial_names.zip</v>
      </c>
    </row>
    <row r="6226" spans="1:21">
      <c r="A6226">
        <v>6225</v>
      </c>
      <c r="B6226" s="27" t="s">
        <v>1449</v>
      </c>
      <c r="D6226" s="27" t="s">
        <v>1450</v>
      </c>
      <c r="F6226" s="27" t="s">
        <v>1453</v>
      </c>
      <c r="H6226" s="27" t="s">
        <v>1454</v>
      </c>
      <c r="N6226" s="27" t="s">
        <v>2303</v>
      </c>
      <c r="P6226" s="27" t="s">
        <v>7812</v>
      </c>
      <c r="Q6226" s="26" t="str">
        <f>HYPERLINK("https://ictv.global/taxonomy/taxondetails?taxnode_id=202509333&amp;ictv_id=ICTV202009333","ICTV202009333")</f>
        <v>ICTV202009333</v>
      </c>
      <c r="R6226" t="s">
        <v>579</v>
      </c>
      <c r="S6226" t="s">
        <v>824</v>
      </c>
      <c r="T6226">
        <v>37</v>
      </c>
      <c r="U6226" s="26" t="str">
        <f>HYPERLINK("https://ictv.global/ictv/proposals/2021.010B.R.Binomial_names.zip","2021.010B.R.Binomial_names.zip")</f>
        <v>2021.010B.R.Binomial_names.zip</v>
      </c>
    </row>
    <row r="6227" spans="1:21">
      <c r="A6227">
        <v>6226</v>
      </c>
      <c r="B6227" s="27" t="s">
        <v>1449</v>
      </c>
      <c r="D6227" s="27" t="s">
        <v>1450</v>
      </c>
      <c r="F6227" s="27" t="s">
        <v>1453</v>
      </c>
      <c r="H6227" s="27" t="s">
        <v>1454</v>
      </c>
      <c r="N6227" s="27" t="s">
        <v>7813</v>
      </c>
      <c r="P6227" s="27" t="s">
        <v>7814</v>
      </c>
      <c r="Q6227" s="26" t="str">
        <f>HYPERLINK("https://ictv.global/taxonomy/taxondetails?taxnode_id=202514799&amp;ictv_id=ICTV202214799","ICTV202214799")</f>
        <v>ICTV202214799</v>
      </c>
      <c r="R6227" t="s">
        <v>579</v>
      </c>
      <c r="S6227" t="s">
        <v>823</v>
      </c>
      <c r="T6227">
        <v>38</v>
      </c>
      <c r="U6227" s="26" t="str">
        <f>HYPERLINK("https://ictv.global/ictv/proposals/2022.072B.Scappvirus_ng.zip","2022.072B.Scappvirus_ng.zip")</f>
        <v>2022.072B.Scappvirus_ng.zip</v>
      </c>
    </row>
    <row r="6228" spans="1:21">
      <c r="A6228">
        <v>6227</v>
      </c>
      <c r="B6228" s="27" t="s">
        <v>1449</v>
      </c>
      <c r="D6228" s="27" t="s">
        <v>1450</v>
      </c>
      <c r="F6228" s="27" t="s">
        <v>1453</v>
      </c>
      <c r="H6228" s="27" t="s">
        <v>1454</v>
      </c>
      <c r="N6228" s="27" t="s">
        <v>1417</v>
      </c>
      <c r="P6228" s="27" t="s">
        <v>7815</v>
      </c>
      <c r="Q6228" s="26" t="str">
        <f>HYPERLINK("https://ictv.global/taxonomy/taxondetails?taxnode_id=202506754&amp;ictv_id=ICTV201856754","ICTV201856754")</f>
        <v>ICTV201856754</v>
      </c>
      <c r="R6228" t="s">
        <v>579</v>
      </c>
      <c r="S6228" t="s">
        <v>824</v>
      </c>
      <c r="T6228">
        <v>37</v>
      </c>
      <c r="U6228" s="26" t="str">
        <f t="shared" ref="U6228:U6234" si="247">HYPERLINK("https://ictv.global/ictv/proposals/2021.010B.R.Binomial_names.zip","2021.010B.R.Binomial_names.zip")</f>
        <v>2021.010B.R.Binomial_names.zip</v>
      </c>
    </row>
    <row r="6229" spans="1:21">
      <c r="A6229">
        <v>6228</v>
      </c>
      <c r="B6229" s="27" t="s">
        <v>1449</v>
      </c>
      <c r="D6229" s="27" t="s">
        <v>1450</v>
      </c>
      <c r="F6229" s="27" t="s">
        <v>1453</v>
      </c>
      <c r="H6229" s="27" t="s">
        <v>1454</v>
      </c>
      <c r="N6229" s="27" t="s">
        <v>1310</v>
      </c>
      <c r="P6229" s="27" t="s">
        <v>7816</v>
      </c>
      <c r="Q6229" s="26" t="str">
        <f>HYPERLINK("https://ictv.global/taxonomy/taxondetails?taxnode_id=202500699&amp;ictv_id=ICTV20164932","ICTV20164932")</f>
        <v>ICTV20164932</v>
      </c>
      <c r="R6229" t="s">
        <v>579</v>
      </c>
      <c r="S6229" t="s">
        <v>824</v>
      </c>
      <c r="T6229">
        <v>37</v>
      </c>
      <c r="U6229" s="26" t="str">
        <f t="shared" si="247"/>
        <v>2021.010B.R.Binomial_names.zip</v>
      </c>
    </row>
    <row r="6230" spans="1:21">
      <c r="A6230">
        <v>6229</v>
      </c>
      <c r="B6230" s="27" t="s">
        <v>1449</v>
      </c>
      <c r="D6230" s="27" t="s">
        <v>1450</v>
      </c>
      <c r="F6230" s="27" t="s">
        <v>1453</v>
      </c>
      <c r="H6230" s="27" t="s">
        <v>1454</v>
      </c>
      <c r="N6230" s="27" t="s">
        <v>1310</v>
      </c>
      <c r="P6230" s="27" t="s">
        <v>7817</v>
      </c>
      <c r="Q6230" s="26" t="str">
        <f>HYPERLINK("https://ictv.global/taxonomy/taxondetails?taxnode_id=202500700&amp;ictv_id=ICTV20164933","ICTV20164933")</f>
        <v>ICTV20164933</v>
      </c>
      <c r="R6230" t="s">
        <v>579</v>
      </c>
      <c r="S6230" t="s">
        <v>824</v>
      </c>
      <c r="T6230">
        <v>37</v>
      </c>
      <c r="U6230" s="26" t="str">
        <f t="shared" si="247"/>
        <v>2021.010B.R.Binomial_names.zip</v>
      </c>
    </row>
    <row r="6231" spans="1:21">
      <c r="A6231">
        <v>6230</v>
      </c>
      <c r="B6231" s="27" t="s">
        <v>1449</v>
      </c>
      <c r="D6231" s="27" t="s">
        <v>1450</v>
      </c>
      <c r="F6231" s="27" t="s">
        <v>1453</v>
      </c>
      <c r="H6231" s="27" t="s">
        <v>1454</v>
      </c>
      <c r="N6231" s="27" t="s">
        <v>1310</v>
      </c>
      <c r="P6231" s="27" t="s">
        <v>7818</v>
      </c>
      <c r="Q6231" s="26" t="str">
        <f>HYPERLINK("https://ictv.global/taxonomy/taxondetails?taxnode_id=202500698&amp;ictv_id=ICTV20164931","ICTV20164931")</f>
        <v>ICTV20164931</v>
      </c>
      <c r="R6231" t="s">
        <v>579</v>
      </c>
      <c r="S6231" t="s">
        <v>824</v>
      </c>
      <c r="T6231">
        <v>37</v>
      </c>
      <c r="U6231" s="26" t="str">
        <f t="shared" si="247"/>
        <v>2021.010B.R.Binomial_names.zip</v>
      </c>
    </row>
    <row r="6232" spans="1:21">
      <c r="A6232">
        <v>6231</v>
      </c>
      <c r="B6232" s="27" t="s">
        <v>1449</v>
      </c>
      <c r="D6232" s="27" t="s">
        <v>1450</v>
      </c>
      <c r="F6232" s="27" t="s">
        <v>1453</v>
      </c>
      <c r="H6232" s="27" t="s">
        <v>1454</v>
      </c>
      <c r="N6232" s="27" t="s">
        <v>1706</v>
      </c>
      <c r="P6232" s="27" t="s">
        <v>7819</v>
      </c>
      <c r="Q6232" s="26" t="str">
        <f>HYPERLINK("https://ictv.global/taxonomy/taxondetails?taxnode_id=202508029&amp;ictv_id=ICTV201908029","ICTV201908029")</f>
        <v>ICTV201908029</v>
      </c>
      <c r="R6232" t="s">
        <v>579</v>
      </c>
      <c r="S6232" t="s">
        <v>824</v>
      </c>
      <c r="T6232">
        <v>37</v>
      </c>
      <c r="U6232" s="26" t="str">
        <f t="shared" si="247"/>
        <v>2021.010B.R.Binomial_names.zip</v>
      </c>
    </row>
    <row r="6233" spans="1:21">
      <c r="A6233">
        <v>6232</v>
      </c>
      <c r="B6233" s="27" t="s">
        <v>1449</v>
      </c>
      <c r="D6233" s="27" t="s">
        <v>1450</v>
      </c>
      <c r="F6233" s="27" t="s">
        <v>1453</v>
      </c>
      <c r="H6233" s="27" t="s">
        <v>1454</v>
      </c>
      <c r="N6233" s="27" t="s">
        <v>1788</v>
      </c>
      <c r="P6233" s="27" t="s">
        <v>7820</v>
      </c>
      <c r="Q6233" s="26" t="str">
        <f>HYPERLINK("https://ictv.global/taxonomy/taxondetails?taxnode_id=202508031&amp;ictv_id=ICTV201908031","ICTV201908031")</f>
        <v>ICTV201908031</v>
      </c>
      <c r="R6233" t="s">
        <v>579</v>
      </c>
      <c r="S6233" t="s">
        <v>824</v>
      </c>
      <c r="T6233">
        <v>37</v>
      </c>
      <c r="U6233" s="26" t="str">
        <f t="shared" si="247"/>
        <v>2021.010B.R.Binomial_names.zip</v>
      </c>
    </row>
    <row r="6234" spans="1:21">
      <c r="A6234">
        <v>6233</v>
      </c>
      <c r="B6234" s="27" t="s">
        <v>1449</v>
      </c>
      <c r="D6234" s="27" t="s">
        <v>1450</v>
      </c>
      <c r="F6234" s="27" t="s">
        <v>1453</v>
      </c>
      <c r="H6234" s="27" t="s">
        <v>1454</v>
      </c>
      <c r="N6234" s="27" t="s">
        <v>1789</v>
      </c>
      <c r="P6234" s="27" t="s">
        <v>7821</v>
      </c>
      <c r="Q6234" s="26" t="str">
        <f>HYPERLINK("https://ictv.global/taxonomy/taxondetails?taxnode_id=202507665&amp;ictv_id=ICTV201907665","ICTV201907665")</f>
        <v>ICTV201907665</v>
      </c>
      <c r="R6234" t="s">
        <v>579</v>
      </c>
      <c r="S6234" t="s">
        <v>824</v>
      </c>
      <c r="T6234">
        <v>37</v>
      </c>
      <c r="U6234" s="26" t="str">
        <f t="shared" si="247"/>
        <v>2021.010B.R.Binomial_names.zip</v>
      </c>
    </row>
    <row r="6235" spans="1:21">
      <c r="A6235">
        <v>6234</v>
      </c>
      <c r="B6235" s="27" t="s">
        <v>1449</v>
      </c>
      <c r="D6235" s="27" t="s">
        <v>1450</v>
      </c>
      <c r="F6235" s="27" t="s">
        <v>1453</v>
      </c>
      <c r="H6235" s="27" t="s">
        <v>1454</v>
      </c>
      <c r="N6235" s="27" t="s">
        <v>7822</v>
      </c>
      <c r="P6235" s="27" t="s">
        <v>7823</v>
      </c>
      <c r="Q6235" s="26" t="str">
        <f>HYPERLINK("https://ictv.global/taxonomy/taxondetails?taxnode_id=202514950&amp;ictv_id=ICTV202214950","ICTV202214950")</f>
        <v>ICTV202214950</v>
      </c>
      <c r="R6235" t="s">
        <v>579</v>
      </c>
      <c r="S6235" t="s">
        <v>823</v>
      </c>
      <c r="T6235">
        <v>38</v>
      </c>
      <c r="U6235" s="26" t="str">
        <f>HYPERLINK("https://ictv.global/ictv/proposals/2022.089B.Caudoviricetes_3ng_vibrio.zip","2022.089B.Caudoviricetes_3ng_vibrio.zip")</f>
        <v>2022.089B.Caudoviricetes_3ng_vibrio.zip</v>
      </c>
    </row>
    <row r="6236" spans="1:21">
      <c r="A6236">
        <v>6235</v>
      </c>
      <c r="B6236" s="27" t="s">
        <v>1449</v>
      </c>
      <c r="D6236" s="27" t="s">
        <v>1450</v>
      </c>
      <c r="F6236" s="27" t="s">
        <v>1453</v>
      </c>
      <c r="H6236" s="27" t="s">
        <v>1454</v>
      </c>
      <c r="N6236" s="27" t="s">
        <v>11202</v>
      </c>
      <c r="P6236" s="27" t="s">
        <v>11203</v>
      </c>
      <c r="Q6236" s="26" t="str">
        <f>HYPERLINK("https://ictv.global/taxonomy/taxondetails?taxnode_id=202514868&amp;ictv_id=ICTV202214868","ICTV202214868")</f>
        <v>ICTV202214868</v>
      </c>
      <c r="R6236" t="s">
        <v>579</v>
      </c>
      <c r="S6236" t="s">
        <v>823</v>
      </c>
      <c r="T6236">
        <v>38</v>
      </c>
      <c r="U6236" s="26" t="str">
        <f>HYPERLINK("https://ictv.global/ictv/proposals/2022.080B.Caudoviricetes_6ng.zip","2022.080B.Caudoviricetes_6ng.zip")</f>
        <v>2022.080B.Caudoviricetes_6ng.zip</v>
      </c>
    </row>
    <row r="6237" spans="1:21">
      <c r="A6237">
        <v>6236</v>
      </c>
      <c r="B6237" s="27" t="s">
        <v>1449</v>
      </c>
      <c r="D6237" s="27" t="s">
        <v>1450</v>
      </c>
      <c r="F6237" s="27" t="s">
        <v>1453</v>
      </c>
      <c r="H6237" s="27" t="s">
        <v>1454</v>
      </c>
      <c r="N6237" s="27" t="s">
        <v>7824</v>
      </c>
      <c r="P6237" s="27" t="s">
        <v>7825</v>
      </c>
      <c r="Q6237" s="26" t="str">
        <f>HYPERLINK("https://ictv.global/taxonomy/taxondetails?taxnode_id=202514840&amp;ictv_id=ICTV202214840","ICTV202214840")</f>
        <v>ICTV202214840</v>
      </c>
      <c r="R6237" t="s">
        <v>579</v>
      </c>
      <c r="S6237" t="s">
        <v>823</v>
      </c>
      <c r="T6237">
        <v>38</v>
      </c>
      <c r="U6237" s="26" t="str">
        <f>HYPERLINK("https://ictv.global/ictv/proposals/2022.074B.Segzyvirus_1nsp.zip","2022.074B.Segzyvirus_1nsp.zip")</f>
        <v>2022.074B.Segzyvirus_1nsp.zip</v>
      </c>
    </row>
    <row r="6238" spans="1:21">
      <c r="A6238">
        <v>6237</v>
      </c>
      <c r="B6238" s="27" t="s">
        <v>1449</v>
      </c>
      <c r="D6238" s="27" t="s">
        <v>1450</v>
      </c>
      <c r="F6238" s="27" t="s">
        <v>1453</v>
      </c>
      <c r="H6238" s="27" t="s">
        <v>1454</v>
      </c>
      <c r="N6238" s="27" t="s">
        <v>7824</v>
      </c>
      <c r="P6238" s="27" t="s">
        <v>7826</v>
      </c>
      <c r="Q6238" s="26" t="str">
        <f>HYPERLINK("https://ictv.global/taxonomy/taxondetails?taxnode_id=202513644&amp;ictv_id=ICTV202113644","ICTV202113644")</f>
        <v>ICTV202113644</v>
      </c>
      <c r="R6238" t="s">
        <v>579</v>
      </c>
      <c r="S6238" t="s">
        <v>823</v>
      </c>
      <c r="T6238">
        <v>37</v>
      </c>
      <c r="U6238" s="26" t="str">
        <f>HYPERLINK("https://ictv.global/ictv/proposals/2021.078B.R.Siphoviridae_new_genera.zip","2021.078B.R.Siphoviridae_new_genera.zip")</f>
        <v>2021.078B.R.Siphoviridae_new_genera.zip</v>
      </c>
    </row>
    <row r="6239" spans="1:21">
      <c r="A6239">
        <v>6238</v>
      </c>
      <c r="B6239" s="27" t="s">
        <v>1449</v>
      </c>
      <c r="D6239" s="27" t="s">
        <v>1450</v>
      </c>
      <c r="F6239" s="27" t="s">
        <v>1453</v>
      </c>
      <c r="H6239" s="27" t="s">
        <v>1454</v>
      </c>
      <c r="N6239" s="27" t="s">
        <v>2150</v>
      </c>
      <c r="P6239" s="27" t="s">
        <v>7827</v>
      </c>
      <c r="Q6239" s="26" t="str">
        <f>HYPERLINK("https://ictv.global/taxonomy/taxondetails?taxnode_id=202500702&amp;ictv_id=ICTV20094383","ICTV20094383")</f>
        <v>ICTV20094383</v>
      </c>
      <c r="R6239" t="s">
        <v>579</v>
      </c>
      <c r="S6239" t="s">
        <v>824</v>
      </c>
      <c r="T6239">
        <v>37</v>
      </c>
      <c r="U6239" s="26" t="str">
        <f>HYPERLINK("https://ictv.global/ictv/proposals/2021.010B.R.Binomial_names.zip","2021.010B.R.Binomial_names.zip")</f>
        <v>2021.010B.R.Binomial_names.zip</v>
      </c>
    </row>
    <row r="6240" spans="1:21">
      <c r="A6240">
        <v>6239</v>
      </c>
      <c r="B6240" s="27" t="s">
        <v>1449</v>
      </c>
      <c r="D6240" s="27" t="s">
        <v>1450</v>
      </c>
      <c r="F6240" s="27" t="s">
        <v>1453</v>
      </c>
      <c r="H6240" s="27" t="s">
        <v>1454</v>
      </c>
      <c r="N6240" s="27" t="s">
        <v>2150</v>
      </c>
      <c r="P6240" s="27" t="s">
        <v>7828</v>
      </c>
      <c r="Q6240" s="26" t="str">
        <f>HYPERLINK("https://ictv.global/taxonomy/taxondetails?taxnode_id=202511844&amp;ictv_id=ICTV202011844","ICTV202011844")</f>
        <v>ICTV202011844</v>
      </c>
      <c r="R6240" t="s">
        <v>579</v>
      </c>
      <c r="S6240" t="s">
        <v>824</v>
      </c>
      <c r="T6240">
        <v>37</v>
      </c>
      <c r="U6240" s="26" t="str">
        <f>HYPERLINK("https://ictv.global/ictv/proposals/2021.010B.R.Binomial_names.zip","2021.010B.R.Binomial_names.zip")</f>
        <v>2021.010B.R.Binomial_names.zip</v>
      </c>
    </row>
    <row r="6241" spans="1:21">
      <c r="A6241">
        <v>6240</v>
      </c>
      <c r="B6241" s="27" t="s">
        <v>1449</v>
      </c>
      <c r="D6241" s="27" t="s">
        <v>1450</v>
      </c>
      <c r="F6241" s="27" t="s">
        <v>1453</v>
      </c>
      <c r="H6241" s="27" t="s">
        <v>1454</v>
      </c>
      <c r="N6241" s="27" t="s">
        <v>2304</v>
      </c>
      <c r="P6241" s="27" t="s">
        <v>7829</v>
      </c>
      <c r="Q6241" s="26" t="str">
        <f>HYPERLINK("https://ictv.global/taxonomy/taxondetails?taxnode_id=202510213&amp;ictv_id=ICTV202010213","ICTV202010213")</f>
        <v>ICTV202010213</v>
      </c>
      <c r="R6241" t="s">
        <v>579</v>
      </c>
      <c r="S6241" t="s">
        <v>824</v>
      </c>
      <c r="T6241">
        <v>37</v>
      </c>
      <c r="U6241" s="26" t="str">
        <f>HYPERLINK("https://ictv.global/ictv/proposals/2021.010B.R.Binomial_names.zip","2021.010B.R.Binomial_names.zip")</f>
        <v>2021.010B.R.Binomial_names.zip</v>
      </c>
    </row>
    <row r="6242" spans="1:21">
      <c r="A6242">
        <v>6241</v>
      </c>
      <c r="B6242" s="27" t="s">
        <v>1449</v>
      </c>
      <c r="D6242" s="27" t="s">
        <v>1450</v>
      </c>
      <c r="F6242" s="27" t="s">
        <v>1453</v>
      </c>
      <c r="H6242" s="27" t="s">
        <v>1454</v>
      </c>
      <c r="N6242" s="27" t="s">
        <v>19866</v>
      </c>
      <c r="P6242" s="27" t="s">
        <v>20753</v>
      </c>
      <c r="Q6242" s="26" t="str">
        <f>HYPERLINK("https://ictv.global/taxonomy/taxondetails?taxnode_id=202520846&amp;ictv_id=ICTV202420846","ICTV202420846")</f>
        <v>ICTV202420846</v>
      </c>
      <c r="R6242" t="s">
        <v>579</v>
      </c>
      <c r="S6242" t="s">
        <v>823</v>
      </c>
      <c r="T6242">
        <v>40</v>
      </c>
      <c r="U6242" s="26" t="str">
        <f>HYPERLINK("https://ictv.global/ictv/proposals/2024.032BX.Sepahanvirus_1ng_2ns_Error_Correction.zip","2024.032BX.Sepahanvirus_1ng_2ns_Error_Correction.zip")</f>
        <v>2024.032BX.Sepahanvirus_1ng_2ns_Error_Correction.zip</v>
      </c>
    </row>
    <row r="6243" spans="1:21">
      <c r="A6243">
        <v>6242</v>
      </c>
      <c r="B6243" s="27" t="s">
        <v>1449</v>
      </c>
      <c r="D6243" s="27" t="s">
        <v>1450</v>
      </c>
      <c r="F6243" s="27" t="s">
        <v>1453</v>
      </c>
      <c r="H6243" s="27" t="s">
        <v>1454</v>
      </c>
      <c r="N6243" s="27" t="s">
        <v>19866</v>
      </c>
      <c r="P6243" s="27" t="s">
        <v>20751</v>
      </c>
      <c r="Q6243" s="26" t="str">
        <f>HYPERLINK("https://ictv.global/taxonomy/taxondetails?taxnode_id=202520847&amp;ictv_id=ICTV202420847","ICTV202420847")</f>
        <v>ICTV202420847</v>
      </c>
      <c r="R6243" t="s">
        <v>579</v>
      </c>
      <c r="S6243" t="s">
        <v>823</v>
      </c>
      <c r="T6243">
        <v>40</v>
      </c>
      <c r="U6243" s="26" t="str">
        <f>HYPERLINK("https://ictv.global/ictv/proposals/2024.032BX.Sepahanvirus_1ng_2ns_Error_Correction.zip","2024.032BX.Sepahanvirus_1ng_2ns_Error_Correction.zip")</f>
        <v>2024.032BX.Sepahanvirus_1ng_2ns_Error_Correction.zip</v>
      </c>
    </row>
    <row r="6244" spans="1:21">
      <c r="A6244">
        <v>6243</v>
      </c>
      <c r="B6244" s="27" t="s">
        <v>1449</v>
      </c>
      <c r="D6244" s="27" t="s">
        <v>1450</v>
      </c>
      <c r="F6244" s="27" t="s">
        <v>1453</v>
      </c>
      <c r="H6244" s="27" t="s">
        <v>1454</v>
      </c>
      <c r="N6244" s="27" t="s">
        <v>12205</v>
      </c>
      <c r="P6244" s="27" t="s">
        <v>12206</v>
      </c>
      <c r="Q6244" s="26" t="str">
        <f>HYPERLINK("https://ictv.global/taxonomy/taxondetails?taxnode_id=202519384&amp;ictv_id=ICTV202319384","ICTV202319384")</f>
        <v>ICTV202319384</v>
      </c>
      <c r="R6244" t="s">
        <v>579</v>
      </c>
      <c r="S6244" t="s">
        <v>823</v>
      </c>
      <c r="T6244">
        <v>39</v>
      </c>
      <c r="U6244" s="26" t="str">
        <f>HYPERLINK("https://ictv.global/ictv/proposals/2023.068B.Caudoviricetes_Serratia_3ng.zip","2023.068B.Caudoviricetes_Serratia_3ng.zip")</f>
        <v>2023.068B.Caudoviricetes_Serratia_3ng.zip</v>
      </c>
    </row>
    <row r="6245" spans="1:21">
      <c r="A6245">
        <v>6244</v>
      </c>
      <c r="B6245" s="27" t="s">
        <v>1449</v>
      </c>
      <c r="D6245" s="27" t="s">
        <v>1450</v>
      </c>
      <c r="F6245" s="27" t="s">
        <v>1453</v>
      </c>
      <c r="H6245" s="27" t="s">
        <v>1454</v>
      </c>
      <c r="N6245" s="27" t="s">
        <v>12205</v>
      </c>
      <c r="P6245" s="27" t="s">
        <v>12207</v>
      </c>
      <c r="Q6245" s="26" t="str">
        <f>HYPERLINK("https://ictv.global/taxonomy/taxondetails?taxnode_id=202519382&amp;ictv_id=ICTV202319382","ICTV202319382")</f>
        <v>ICTV202319382</v>
      </c>
      <c r="R6245" t="s">
        <v>579</v>
      </c>
      <c r="S6245" t="s">
        <v>823</v>
      </c>
      <c r="T6245">
        <v>39</v>
      </c>
      <c r="U6245" s="26" t="str">
        <f>HYPERLINK("https://ictv.global/ictv/proposals/2023.068B.Caudoviricetes_Serratia_3ng.zip","2023.068B.Caudoviricetes_Serratia_3ng.zip")</f>
        <v>2023.068B.Caudoviricetes_Serratia_3ng.zip</v>
      </c>
    </row>
    <row r="6246" spans="1:21">
      <c r="A6246">
        <v>6245</v>
      </c>
      <c r="B6246" s="27" t="s">
        <v>1449</v>
      </c>
      <c r="D6246" s="27" t="s">
        <v>1450</v>
      </c>
      <c r="F6246" s="27" t="s">
        <v>1453</v>
      </c>
      <c r="H6246" s="27" t="s">
        <v>1454</v>
      </c>
      <c r="N6246" s="27" t="s">
        <v>12205</v>
      </c>
      <c r="P6246" s="27" t="s">
        <v>12208</v>
      </c>
      <c r="Q6246" s="26" t="str">
        <f>HYPERLINK("https://ictv.global/taxonomy/taxondetails?taxnode_id=202519383&amp;ictv_id=ICTV202319383","ICTV202319383")</f>
        <v>ICTV202319383</v>
      </c>
      <c r="R6246" t="s">
        <v>579</v>
      </c>
      <c r="S6246" t="s">
        <v>823</v>
      </c>
      <c r="T6246">
        <v>39</v>
      </c>
      <c r="U6246" s="26" t="str">
        <f>HYPERLINK("https://ictv.global/ictv/proposals/2023.068B.Caudoviricetes_Serratia_3ng.zip","2023.068B.Caudoviricetes_Serratia_3ng.zip")</f>
        <v>2023.068B.Caudoviricetes_Serratia_3ng.zip</v>
      </c>
    </row>
    <row r="6247" spans="1:21">
      <c r="A6247">
        <v>6246</v>
      </c>
      <c r="B6247" s="27" t="s">
        <v>1449</v>
      </c>
      <c r="D6247" s="27" t="s">
        <v>1450</v>
      </c>
      <c r="F6247" s="27" t="s">
        <v>1453</v>
      </c>
      <c r="H6247" s="27" t="s">
        <v>1454</v>
      </c>
      <c r="N6247" s="27" t="s">
        <v>1790</v>
      </c>
      <c r="P6247" s="27" t="s">
        <v>7836</v>
      </c>
      <c r="Q6247" s="26" t="str">
        <f>HYPERLINK("https://ictv.global/taxonomy/taxondetails?taxnode_id=202508035&amp;ictv_id=ICTV201908035","ICTV201908035")</f>
        <v>ICTV201908035</v>
      </c>
      <c r="R6247" t="s">
        <v>579</v>
      </c>
      <c r="S6247" t="s">
        <v>824</v>
      </c>
      <c r="T6247">
        <v>37</v>
      </c>
      <c r="U6247" s="26" t="str">
        <f>HYPERLINK("https://ictv.global/ictv/proposals/2021.010B.R.Binomial_names.zip","2021.010B.R.Binomial_names.zip")</f>
        <v>2021.010B.R.Binomial_names.zip</v>
      </c>
    </row>
    <row r="6248" spans="1:21">
      <c r="A6248">
        <v>6247</v>
      </c>
      <c r="B6248" s="27" t="s">
        <v>1449</v>
      </c>
      <c r="D6248" s="27" t="s">
        <v>1450</v>
      </c>
      <c r="F6248" s="27" t="s">
        <v>1453</v>
      </c>
      <c r="H6248" s="27" t="s">
        <v>1454</v>
      </c>
      <c r="N6248" s="27" t="s">
        <v>629</v>
      </c>
      <c r="P6248" s="27" t="s">
        <v>7837</v>
      </c>
      <c r="Q6248" s="26" t="str">
        <f>HYPERLINK("https://ictv.global/taxonomy/taxondetails?taxnode_id=202501264&amp;ictv_id=ICTV20150792","ICTV20150792")</f>
        <v>ICTV20150792</v>
      </c>
      <c r="R6248" t="s">
        <v>579</v>
      </c>
      <c r="S6248" t="s">
        <v>824</v>
      </c>
      <c r="T6248">
        <v>37</v>
      </c>
      <c r="U6248" s="26" t="str">
        <f>HYPERLINK("https://ictv.global/ictv/proposals/2021.010B.R.Binomial_names.zip","2021.010B.R.Binomial_names.zip")</f>
        <v>2021.010B.R.Binomial_names.zip</v>
      </c>
    </row>
    <row r="6249" spans="1:21">
      <c r="A6249">
        <v>6248</v>
      </c>
      <c r="B6249" s="27" t="s">
        <v>1449</v>
      </c>
      <c r="D6249" s="27" t="s">
        <v>1450</v>
      </c>
      <c r="F6249" s="27" t="s">
        <v>1453</v>
      </c>
      <c r="H6249" s="27" t="s">
        <v>1454</v>
      </c>
      <c r="N6249" s="27" t="s">
        <v>629</v>
      </c>
      <c r="P6249" s="27" t="s">
        <v>7838</v>
      </c>
      <c r="Q6249" s="26" t="str">
        <f>HYPERLINK("https://ictv.global/taxonomy/taxondetails?taxnode_id=202501265&amp;ictv_id=ICTV20150791","ICTV20150791")</f>
        <v>ICTV20150791</v>
      </c>
      <c r="R6249" t="s">
        <v>579</v>
      </c>
      <c r="S6249" t="s">
        <v>824</v>
      </c>
      <c r="T6249">
        <v>37</v>
      </c>
      <c r="U6249" s="26" t="str">
        <f>HYPERLINK("https://ictv.global/ictv/proposals/2021.010B.R.Binomial_names.zip","2021.010B.R.Binomial_names.zip")</f>
        <v>2021.010B.R.Binomial_names.zip</v>
      </c>
    </row>
    <row r="6250" spans="1:21">
      <c r="A6250">
        <v>6249</v>
      </c>
      <c r="B6250" s="27" t="s">
        <v>1449</v>
      </c>
      <c r="D6250" s="27" t="s">
        <v>1450</v>
      </c>
      <c r="F6250" s="27" t="s">
        <v>1453</v>
      </c>
      <c r="H6250" s="27" t="s">
        <v>1454</v>
      </c>
      <c r="N6250" s="27" t="s">
        <v>7839</v>
      </c>
      <c r="P6250" s="27" t="s">
        <v>7840</v>
      </c>
      <c r="Q6250" s="26" t="str">
        <f>HYPERLINK("https://ictv.global/taxonomy/taxondetails?taxnode_id=202514881&amp;ictv_id=ICTV202214881","ICTV202214881")</f>
        <v>ICTV202214881</v>
      </c>
      <c r="R6250" t="s">
        <v>579</v>
      </c>
      <c r="S6250" t="s">
        <v>823</v>
      </c>
      <c r="T6250">
        <v>38</v>
      </c>
      <c r="U6250" s="26" t="str">
        <f>HYPERLINK("https://ictv.global/ictv/proposals/2022.081B.Caudoviricetes_6ng_streptomyces.zip","2022.081B.Caudoviricetes_6ng_streptomyces.zip")</f>
        <v>2022.081B.Caudoviricetes_6ng_streptomyces.zip</v>
      </c>
    </row>
    <row r="6251" spans="1:21">
      <c r="A6251">
        <v>6250</v>
      </c>
      <c r="B6251" s="27" t="s">
        <v>1449</v>
      </c>
      <c r="D6251" s="27" t="s">
        <v>1450</v>
      </c>
      <c r="F6251" s="27" t="s">
        <v>1453</v>
      </c>
      <c r="H6251" s="27" t="s">
        <v>1454</v>
      </c>
      <c r="N6251" s="27" t="s">
        <v>2122</v>
      </c>
      <c r="P6251" s="27" t="s">
        <v>7841</v>
      </c>
      <c r="Q6251" s="26" t="str">
        <f>HYPERLINK("https://ictv.global/taxonomy/taxondetails?taxnode_id=202511856&amp;ictv_id=ICTV202011856","ICTV202011856")</f>
        <v>ICTV202011856</v>
      </c>
      <c r="R6251" t="s">
        <v>579</v>
      </c>
      <c r="S6251" t="s">
        <v>824</v>
      </c>
      <c r="T6251">
        <v>37</v>
      </c>
      <c r="U6251" s="26" t="str">
        <f>HYPERLINK("https://ictv.global/ictv/proposals/2021.010B.R.Binomial_names.zip","2021.010B.R.Binomial_names.zip")</f>
        <v>2021.010B.R.Binomial_names.zip</v>
      </c>
    </row>
    <row r="6252" spans="1:21">
      <c r="A6252">
        <v>6251</v>
      </c>
      <c r="B6252" s="27" t="s">
        <v>1449</v>
      </c>
      <c r="D6252" s="27" t="s">
        <v>1450</v>
      </c>
      <c r="F6252" s="27" t="s">
        <v>1453</v>
      </c>
      <c r="H6252" s="27" t="s">
        <v>1454</v>
      </c>
      <c r="N6252" s="27" t="s">
        <v>7842</v>
      </c>
      <c r="P6252" s="27" t="s">
        <v>7843</v>
      </c>
      <c r="Q6252" s="26" t="str">
        <f>HYPERLINK("https://ictv.global/taxonomy/taxondetails?taxnode_id=202513614&amp;ictv_id=ICTV202113614","ICTV202113614")</f>
        <v>ICTV202113614</v>
      </c>
      <c r="R6252" t="s">
        <v>579</v>
      </c>
      <c r="S6252" t="s">
        <v>823</v>
      </c>
      <c r="T6252">
        <v>37</v>
      </c>
      <c r="U6252" s="26" t="str">
        <f>HYPERLINK("https://ictv.global/ictv/proposals/2021.077B.R.Sheenvirus.zip","2021.077B.R.Sheenvirus.zip")</f>
        <v>2021.077B.R.Sheenvirus.zip</v>
      </c>
    </row>
    <row r="6253" spans="1:21">
      <c r="A6253">
        <v>6252</v>
      </c>
      <c r="B6253" s="27" t="s">
        <v>1449</v>
      </c>
      <c r="D6253" s="27" t="s">
        <v>1450</v>
      </c>
      <c r="F6253" s="27" t="s">
        <v>1453</v>
      </c>
      <c r="H6253" s="27" t="s">
        <v>1454</v>
      </c>
      <c r="N6253" s="27" t="s">
        <v>2123</v>
      </c>
      <c r="P6253" s="27" t="s">
        <v>7844</v>
      </c>
      <c r="Q6253" s="26" t="str">
        <f>HYPERLINK("https://ictv.global/taxonomy/taxondetails?taxnode_id=202509896&amp;ictv_id=ICTV202009896","ICTV202009896")</f>
        <v>ICTV202009896</v>
      </c>
      <c r="R6253" t="s">
        <v>579</v>
      </c>
      <c r="S6253" t="s">
        <v>824</v>
      </c>
      <c r="T6253">
        <v>37</v>
      </c>
      <c r="U6253" s="26" t="str">
        <f t="shared" ref="U6253:U6259" si="248">HYPERLINK("https://ictv.global/ictv/proposals/2021.010B.R.Binomial_names.zip","2021.010B.R.Binomial_names.zip")</f>
        <v>2021.010B.R.Binomial_names.zip</v>
      </c>
    </row>
    <row r="6254" spans="1:21">
      <c r="A6254">
        <v>6253</v>
      </c>
      <c r="B6254" s="27" t="s">
        <v>1449</v>
      </c>
      <c r="D6254" s="27" t="s">
        <v>1450</v>
      </c>
      <c r="F6254" s="27" t="s">
        <v>1453</v>
      </c>
      <c r="H6254" s="27" t="s">
        <v>1454</v>
      </c>
      <c r="N6254" s="27" t="s">
        <v>2123</v>
      </c>
      <c r="P6254" s="27" t="s">
        <v>7845</v>
      </c>
      <c r="Q6254" s="26" t="str">
        <f>HYPERLINK("https://ictv.global/taxonomy/taxondetails?taxnode_id=202509893&amp;ictv_id=ICTV202009893","ICTV202009893")</f>
        <v>ICTV202009893</v>
      </c>
      <c r="R6254" t="s">
        <v>579</v>
      </c>
      <c r="S6254" t="s">
        <v>824</v>
      </c>
      <c r="T6254">
        <v>37</v>
      </c>
      <c r="U6254" s="26" t="str">
        <f t="shared" si="248"/>
        <v>2021.010B.R.Binomial_names.zip</v>
      </c>
    </row>
    <row r="6255" spans="1:21">
      <c r="A6255">
        <v>6254</v>
      </c>
      <c r="B6255" s="27" t="s">
        <v>1449</v>
      </c>
      <c r="D6255" s="27" t="s">
        <v>1450</v>
      </c>
      <c r="F6255" s="27" t="s">
        <v>1453</v>
      </c>
      <c r="H6255" s="27" t="s">
        <v>1454</v>
      </c>
      <c r="N6255" s="27" t="s">
        <v>2123</v>
      </c>
      <c r="P6255" s="27" t="s">
        <v>7846</v>
      </c>
      <c r="Q6255" s="26" t="str">
        <f>HYPERLINK("https://ictv.global/taxonomy/taxondetails?taxnode_id=202509895&amp;ictv_id=ICTV202009895","ICTV202009895")</f>
        <v>ICTV202009895</v>
      </c>
      <c r="R6255" t="s">
        <v>579</v>
      </c>
      <c r="S6255" t="s">
        <v>824</v>
      </c>
      <c r="T6255">
        <v>37</v>
      </c>
      <c r="U6255" s="26" t="str">
        <f t="shared" si="248"/>
        <v>2021.010B.R.Binomial_names.zip</v>
      </c>
    </row>
    <row r="6256" spans="1:21">
      <c r="A6256">
        <v>6255</v>
      </c>
      <c r="B6256" s="27" t="s">
        <v>1449</v>
      </c>
      <c r="D6256" s="27" t="s">
        <v>1450</v>
      </c>
      <c r="F6256" s="27" t="s">
        <v>1453</v>
      </c>
      <c r="H6256" s="27" t="s">
        <v>1454</v>
      </c>
      <c r="N6256" s="27" t="s">
        <v>2123</v>
      </c>
      <c r="P6256" s="27" t="s">
        <v>7847</v>
      </c>
      <c r="Q6256" s="26" t="str">
        <f>HYPERLINK("https://ictv.global/taxonomy/taxondetails?taxnode_id=202509892&amp;ictv_id=ICTV202009892","ICTV202009892")</f>
        <v>ICTV202009892</v>
      </c>
      <c r="R6256" t="s">
        <v>579</v>
      </c>
      <c r="S6256" t="s">
        <v>824</v>
      </c>
      <c r="T6256">
        <v>37</v>
      </c>
      <c r="U6256" s="26" t="str">
        <f t="shared" si="248"/>
        <v>2021.010B.R.Binomial_names.zip</v>
      </c>
    </row>
    <row r="6257" spans="1:21">
      <c r="A6257">
        <v>6256</v>
      </c>
      <c r="B6257" s="27" t="s">
        <v>1449</v>
      </c>
      <c r="D6257" s="27" t="s">
        <v>1450</v>
      </c>
      <c r="F6257" s="27" t="s">
        <v>1453</v>
      </c>
      <c r="H6257" s="27" t="s">
        <v>1454</v>
      </c>
      <c r="N6257" s="27" t="s">
        <v>2123</v>
      </c>
      <c r="P6257" s="27" t="s">
        <v>7848</v>
      </c>
      <c r="Q6257" s="26" t="str">
        <f>HYPERLINK("https://ictv.global/taxonomy/taxondetails?taxnode_id=202509894&amp;ictv_id=ICTV202009894","ICTV202009894")</f>
        <v>ICTV202009894</v>
      </c>
      <c r="R6257" t="s">
        <v>579</v>
      </c>
      <c r="S6257" t="s">
        <v>824</v>
      </c>
      <c r="T6257">
        <v>37</v>
      </c>
      <c r="U6257" s="26" t="str">
        <f t="shared" si="248"/>
        <v>2021.010B.R.Binomial_names.zip</v>
      </c>
    </row>
    <row r="6258" spans="1:21">
      <c r="A6258">
        <v>6257</v>
      </c>
      <c r="B6258" s="27" t="s">
        <v>1449</v>
      </c>
      <c r="D6258" s="27" t="s">
        <v>1450</v>
      </c>
      <c r="F6258" s="27" t="s">
        <v>1453</v>
      </c>
      <c r="H6258" s="27" t="s">
        <v>1454</v>
      </c>
      <c r="N6258" s="27" t="s">
        <v>2123</v>
      </c>
      <c r="P6258" s="27" t="s">
        <v>7849</v>
      </c>
      <c r="Q6258" s="26" t="str">
        <f>HYPERLINK("https://ictv.global/taxonomy/taxondetails?taxnode_id=202509891&amp;ictv_id=ICTV202009891","ICTV202009891")</f>
        <v>ICTV202009891</v>
      </c>
      <c r="R6258" t="s">
        <v>579</v>
      </c>
      <c r="S6258" t="s">
        <v>824</v>
      </c>
      <c r="T6258">
        <v>37</v>
      </c>
      <c r="U6258" s="26" t="str">
        <f t="shared" si="248"/>
        <v>2021.010B.R.Binomial_names.zip</v>
      </c>
    </row>
    <row r="6259" spans="1:21">
      <c r="A6259">
        <v>6258</v>
      </c>
      <c r="B6259" s="27" t="s">
        <v>1449</v>
      </c>
      <c r="D6259" s="27" t="s">
        <v>1450</v>
      </c>
      <c r="F6259" s="27" t="s">
        <v>1453</v>
      </c>
      <c r="H6259" s="27" t="s">
        <v>1454</v>
      </c>
      <c r="N6259" s="27" t="s">
        <v>2124</v>
      </c>
      <c r="P6259" s="27" t="s">
        <v>7850</v>
      </c>
      <c r="Q6259" s="26" t="str">
        <f>HYPERLINK("https://ictv.global/taxonomy/taxondetails?taxnode_id=202511858&amp;ictv_id=ICTV202011858","ICTV202011858")</f>
        <v>ICTV202011858</v>
      </c>
      <c r="R6259" t="s">
        <v>579</v>
      </c>
      <c r="S6259" t="s">
        <v>824</v>
      </c>
      <c r="T6259">
        <v>37</v>
      </c>
      <c r="U6259" s="26" t="str">
        <f t="shared" si="248"/>
        <v>2021.010B.R.Binomial_names.zip</v>
      </c>
    </row>
    <row r="6260" spans="1:21">
      <c r="A6260">
        <v>6259</v>
      </c>
      <c r="B6260" s="27" t="s">
        <v>1449</v>
      </c>
      <c r="D6260" s="27" t="s">
        <v>1450</v>
      </c>
      <c r="F6260" s="27" t="s">
        <v>1453</v>
      </c>
      <c r="H6260" s="27" t="s">
        <v>1454</v>
      </c>
      <c r="N6260" s="27" t="s">
        <v>12211</v>
      </c>
      <c r="P6260" s="27" t="s">
        <v>12212</v>
      </c>
      <c r="Q6260" s="26" t="str">
        <f>HYPERLINK("https://ictv.global/taxonomy/taxondetails?taxnode_id=202517769&amp;ictv_id=ICTV202317769","ICTV202317769")</f>
        <v>ICTV202317769</v>
      </c>
      <c r="R6260" t="s">
        <v>579</v>
      </c>
      <c r="S6260" t="s">
        <v>823</v>
      </c>
      <c r="T6260">
        <v>39</v>
      </c>
      <c r="U6260" s="26" t="str">
        <f>HYPERLINK("https://ictv.global/ictv/proposals/2023.003B.Actinobacteriophage_singletons_25ng.zip","2023.003B.Actinobacteriophage_singletons_25ng.zip")</f>
        <v>2023.003B.Actinobacteriophage_singletons_25ng.zip</v>
      </c>
    </row>
    <row r="6261" spans="1:21">
      <c r="A6261">
        <v>6260</v>
      </c>
      <c r="B6261" s="27" t="s">
        <v>1449</v>
      </c>
      <c r="D6261" s="27" t="s">
        <v>1450</v>
      </c>
      <c r="F6261" s="27" t="s">
        <v>1453</v>
      </c>
      <c r="H6261" s="27" t="s">
        <v>1454</v>
      </c>
      <c r="N6261" s="27" t="s">
        <v>7851</v>
      </c>
      <c r="P6261" s="27" t="s">
        <v>7852</v>
      </c>
      <c r="Q6261" s="26" t="str">
        <f>HYPERLINK("https://ictv.global/taxonomy/taxondetails?taxnode_id=202514959&amp;ictv_id=ICTV202214959","ICTV202214959")</f>
        <v>ICTV202214959</v>
      </c>
      <c r="R6261" t="s">
        <v>579</v>
      </c>
      <c r="S6261" t="s">
        <v>823</v>
      </c>
      <c r="T6261">
        <v>38</v>
      </c>
      <c r="U6261" s="26" t="str">
        <f>HYPERLINK("https://ictv.global/ictv/proposals/2022.090B.Caudoviricetes_3ng_arthrobacter.zip","2022.090B.Caudoviricetes_3ng_arthrobacter.zip")</f>
        <v>2022.090B.Caudoviricetes_3ng_arthrobacter.zip</v>
      </c>
    </row>
    <row r="6262" spans="1:21">
      <c r="A6262">
        <v>6261</v>
      </c>
      <c r="B6262" s="27" t="s">
        <v>1449</v>
      </c>
      <c r="D6262" s="27" t="s">
        <v>1450</v>
      </c>
      <c r="F6262" s="27" t="s">
        <v>1453</v>
      </c>
      <c r="H6262" s="27" t="s">
        <v>1454</v>
      </c>
      <c r="N6262" s="27" t="s">
        <v>7853</v>
      </c>
      <c r="P6262" s="27" t="s">
        <v>7854</v>
      </c>
      <c r="Q6262" s="26" t="str">
        <f>HYPERLINK("https://ictv.global/taxonomy/taxondetails?taxnode_id=202513637&amp;ictv_id=ICTV202113637","ICTV202113637")</f>
        <v>ICTV202113637</v>
      </c>
      <c r="R6262" t="s">
        <v>579</v>
      </c>
      <c r="S6262" t="s">
        <v>823</v>
      </c>
      <c r="T6262">
        <v>37</v>
      </c>
      <c r="U6262" s="26" t="str">
        <f>HYPERLINK("https://ictv.global/ictv/proposals/2021.078B.R.Siphoviridae_new_genera.zip","2021.078B.R.Siphoviridae_new_genera.zip")</f>
        <v>2021.078B.R.Siphoviridae_new_genera.zip</v>
      </c>
    </row>
    <row r="6263" spans="1:21">
      <c r="A6263">
        <v>6262</v>
      </c>
      <c r="B6263" s="27" t="s">
        <v>1449</v>
      </c>
      <c r="D6263" s="27" t="s">
        <v>1450</v>
      </c>
      <c r="F6263" s="27" t="s">
        <v>1453</v>
      </c>
      <c r="H6263" s="27" t="s">
        <v>1454</v>
      </c>
      <c r="N6263" s="27" t="s">
        <v>7857</v>
      </c>
      <c r="P6263" s="27" t="s">
        <v>7858</v>
      </c>
      <c r="Q6263" s="26" t="str">
        <f>HYPERLINK("https://ictv.global/taxonomy/taxondetails?taxnode_id=202514924&amp;ictv_id=ICTV202214924","ICTV202214924")</f>
        <v>ICTV202214924</v>
      </c>
      <c r="R6263" t="s">
        <v>579</v>
      </c>
      <c r="S6263" t="s">
        <v>823</v>
      </c>
      <c r="T6263">
        <v>38</v>
      </c>
      <c r="U6263" s="26" t="str">
        <f>HYPERLINK("https://ictv.global/ictv/proposals/2022.084B.Caudoviricetes_6ng_33nsp.zip","2022.084B.Caudoviricetes_6ng_33nsp.zip")</f>
        <v>2022.084B.Caudoviricetes_6ng_33nsp.zip</v>
      </c>
    </row>
    <row r="6264" spans="1:21">
      <c r="A6264">
        <v>6263</v>
      </c>
      <c r="B6264" s="27" t="s">
        <v>1449</v>
      </c>
      <c r="D6264" s="27" t="s">
        <v>1450</v>
      </c>
      <c r="F6264" s="27" t="s">
        <v>1453</v>
      </c>
      <c r="H6264" s="27" t="s">
        <v>1454</v>
      </c>
      <c r="N6264" s="27" t="s">
        <v>7859</v>
      </c>
      <c r="P6264" s="27" t="s">
        <v>7860</v>
      </c>
      <c r="Q6264" s="26" t="str">
        <f>HYPERLINK("https://ictv.global/taxonomy/taxondetails?taxnode_id=202514882&amp;ictv_id=ICTV202214882","ICTV202214882")</f>
        <v>ICTV202214882</v>
      </c>
      <c r="R6264" t="s">
        <v>579</v>
      </c>
      <c r="S6264" t="s">
        <v>823</v>
      </c>
      <c r="T6264">
        <v>38</v>
      </c>
      <c r="U6264" s="26" t="str">
        <f>HYPERLINK("https://ictv.global/ictv/proposals/2022.081B.Caudoviricetes_6ng_streptomyces.zip","2022.081B.Caudoviricetes_6ng_streptomyces.zip")</f>
        <v>2022.081B.Caudoviricetes_6ng_streptomyces.zip</v>
      </c>
    </row>
    <row r="6265" spans="1:21">
      <c r="A6265">
        <v>6264</v>
      </c>
      <c r="B6265" s="27" t="s">
        <v>1449</v>
      </c>
      <c r="D6265" s="27" t="s">
        <v>1450</v>
      </c>
      <c r="F6265" s="27" t="s">
        <v>1453</v>
      </c>
      <c r="H6265" s="27" t="s">
        <v>1454</v>
      </c>
      <c r="N6265" s="27" t="s">
        <v>7861</v>
      </c>
      <c r="P6265" s="27" t="s">
        <v>7862</v>
      </c>
      <c r="Q6265" s="26" t="str">
        <f>HYPERLINK("https://ictv.global/taxonomy/taxondetails?taxnode_id=202514856&amp;ictv_id=ICTV202214856","ICTV202214856")</f>
        <v>ICTV202214856</v>
      </c>
      <c r="R6265" t="s">
        <v>579</v>
      </c>
      <c r="S6265" t="s">
        <v>823</v>
      </c>
      <c r="T6265">
        <v>38</v>
      </c>
      <c r="U6265" s="26" t="str">
        <f>HYPERLINK("https://ictv.global/ictv/proposals/2022.079B.Silentrexvirus_ng.zip","2022.079B.Silentrexvirus_ng.zip")</f>
        <v>2022.079B.Silentrexvirus_ng.zip</v>
      </c>
    </row>
    <row r="6266" spans="1:21">
      <c r="A6266">
        <v>6265</v>
      </c>
      <c r="B6266" s="27" t="s">
        <v>1449</v>
      </c>
      <c r="D6266" s="27" t="s">
        <v>1450</v>
      </c>
      <c r="F6266" s="27" t="s">
        <v>1453</v>
      </c>
      <c r="H6266" s="27" t="s">
        <v>1454</v>
      </c>
      <c r="N6266" s="27" t="s">
        <v>7863</v>
      </c>
      <c r="P6266" s="27" t="s">
        <v>7864</v>
      </c>
      <c r="Q6266" s="26" t="str">
        <f>HYPERLINK("https://ictv.global/taxonomy/taxondetails?taxnode_id=202514971&amp;ictv_id=ICTV202214971","ICTV202214971")</f>
        <v>ICTV202214971</v>
      </c>
      <c r="R6266" t="s">
        <v>579</v>
      </c>
      <c r="S6266" t="s">
        <v>823</v>
      </c>
      <c r="T6266">
        <v>38</v>
      </c>
      <c r="U6266" s="26" t="str">
        <f>HYPERLINK("https://ictv.global/ictv/proposals/2022.092B.Caudoviricetes_3ng_gordonia.zip","2022.092B.Caudoviricetes_3ng_gordonia.zip")</f>
        <v>2022.092B.Caudoviricetes_3ng_gordonia.zip</v>
      </c>
    </row>
    <row r="6267" spans="1:21">
      <c r="A6267">
        <v>6266</v>
      </c>
      <c r="B6267" s="27" t="s">
        <v>1449</v>
      </c>
      <c r="D6267" s="27" t="s">
        <v>1450</v>
      </c>
      <c r="F6267" s="27" t="s">
        <v>1453</v>
      </c>
      <c r="H6267" s="27" t="s">
        <v>1454</v>
      </c>
      <c r="N6267" s="27" t="s">
        <v>1724</v>
      </c>
      <c r="P6267" s="27" t="s">
        <v>7865</v>
      </c>
      <c r="Q6267" s="26" t="str">
        <f>HYPERLINK("https://ictv.global/taxonomy/taxondetails?taxnode_id=202507993&amp;ictv_id=ICTV201907993","ICTV201907993")</f>
        <v>ICTV201907993</v>
      </c>
      <c r="R6267" t="s">
        <v>579</v>
      </c>
      <c r="S6267" t="s">
        <v>824</v>
      </c>
      <c r="T6267">
        <v>37</v>
      </c>
      <c r="U6267" s="26" t="str">
        <f>HYPERLINK("https://ictv.global/ictv/proposals/2021.010B.R.Binomial_names.zip","2021.010B.R.Binomial_names.zip")</f>
        <v>2021.010B.R.Binomial_names.zip</v>
      </c>
    </row>
    <row r="6268" spans="1:21">
      <c r="A6268">
        <v>6267</v>
      </c>
      <c r="B6268" s="27" t="s">
        <v>1449</v>
      </c>
      <c r="D6268" s="27" t="s">
        <v>1450</v>
      </c>
      <c r="F6268" s="27" t="s">
        <v>1453</v>
      </c>
      <c r="H6268" s="27" t="s">
        <v>1454</v>
      </c>
      <c r="N6268" s="27" t="s">
        <v>7866</v>
      </c>
      <c r="P6268" s="27" t="s">
        <v>7867</v>
      </c>
      <c r="Q6268" s="26" t="str">
        <f>HYPERLINK("https://ictv.global/taxonomy/taxondetails?taxnode_id=202513629&amp;ictv_id=ICTV202113629","ICTV202113629")</f>
        <v>ICTV202113629</v>
      </c>
      <c r="R6268" t="s">
        <v>579</v>
      </c>
      <c r="S6268" t="s">
        <v>823</v>
      </c>
      <c r="T6268">
        <v>37</v>
      </c>
      <c r="U6268" s="26" t="str">
        <f t="shared" ref="U6268:U6274" si="249">HYPERLINK("https://ictv.global/ictv/proposals/2021.078B.R.Siphoviridae_new_genera.zip","2021.078B.R.Siphoviridae_new_genera.zip")</f>
        <v>2021.078B.R.Siphoviridae_new_genera.zip</v>
      </c>
    </row>
    <row r="6269" spans="1:21">
      <c r="A6269">
        <v>6268</v>
      </c>
      <c r="B6269" s="27" t="s">
        <v>1449</v>
      </c>
      <c r="D6269" s="27" t="s">
        <v>1450</v>
      </c>
      <c r="F6269" s="27" t="s">
        <v>1453</v>
      </c>
      <c r="H6269" s="27" t="s">
        <v>1454</v>
      </c>
      <c r="N6269" s="27" t="s">
        <v>7866</v>
      </c>
      <c r="P6269" s="27" t="s">
        <v>7868</v>
      </c>
      <c r="Q6269" s="26" t="str">
        <f>HYPERLINK("https://ictv.global/taxonomy/taxondetails?taxnode_id=202513624&amp;ictv_id=ICTV202113624","ICTV202113624")</f>
        <v>ICTV202113624</v>
      </c>
      <c r="R6269" t="s">
        <v>579</v>
      </c>
      <c r="S6269" t="s">
        <v>823</v>
      </c>
      <c r="T6269">
        <v>37</v>
      </c>
      <c r="U6269" s="26" t="str">
        <f t="shared" si="249"/>
        <v>2021.078B.R.Siphoviridae_new_genera.zip</v>
      </c>
    </row>
    <row r="6270" spans="1:21">
      <c r="A6270">
        <v>6269</v>
      </c>
      <c r="B6270" s="27" t="s">
        <v>1449</v>
      </c>
      <c r="D6270" s="27" t="s">
        <v>1450</v>
      </c>
      <c r="F6270" s="27" t="s">
        <v>1453</v>
      </c>
      <c r="H6270" s="27" t="s">
        <v>1454</v>
      </c>
      <c r="N6270" s="27" t="s">
        <v>7866</v>
      </c>
      <c r="P6270" s="27" t="s">
        <v>7869</v>
      </c>
      <c r="Q6270" s="26" t="str">
        <f>HYPERLINK("https://ictv.global/taxonomy/taxondetails?taxnode_id=202513628&amp;ictv_id=ICTV202113628","ICTV202113628")</f>
        <v>ICTV202113628</v>
      </c>
      <c r="R6270" t="s">
        <v>579</v>
      </c>
      <c r="S6270" t="s">
        <v>823</v>
      </c>
      <c r="T6270">
        <v>37</v>
      </c>
      <c r="U6270" s="26" t="str">
        <f t="shared" si="249"/>
        <v>2021.078B.R.Siphoviridae_new_genera.zip</v>
      </c>
    </row>
    <row r="6271" spans="1:21">
      <c r="A6271">
        <v>6270</v>
      </c>
      <c r="B6271" s="27" t="s">
        <v>1449</v>
      </c>
      <c r="D6271" s="27" t="s">
        <v>1450</v>
      </c>
      <c r="F6271" s="27" t="s">
        <v>1453</v>
      </c>
      <c r="H6271" s="27" t="s">
        <v>1454</v>
      </c>
      <c r="N6271" s="27" t="s">
        <v>7866</v>
      </c>
      <c r="P6271" s="27" t="s">
        <v>7870</v>
      </c>
      <c r="Q6271" s="26" t="str">
        <f>HYPERLINK("https://ictv.global/taxonomy/taxondetails?taxnode_id=202513626&amp;ictv_id=ICTV202113626","ICTV202113626")</f>
        <v>ICTV202113626</v>
      </c>
      <c r="R6271" t="s">
        <v>579</v>
      </c>
      <c r="S6271" t="s">
        <v>823</v>
      </c>
      <c r="T6271">
        <v>37</v>
      </c>
      <c r="U6271" s="26" t="str">
        <f t="shared" si="249"/>
        <v>2021.078B.R.Siphoviridae_new_genera.zip</v>
      </c>
    </row>
    <row r="6272" spans="1:21">
      <c r="A6272">
        <v>6271</v>
      </c>
      <c r="B6272" s="27" t="s">
        <v>1449</v>
      </c>
      <c r="D6272" s="27" t="s">
        <v>1450</v>
      </c>
      <c r="F6272" s="27" t="s">
        <v>1453</v>
      </c>
      <c r="H6272" s="27" t="s">
        <v>1454</v>
      </c>
      <c r="N6272" s="27" t="s">
        <v>7866</v>
      </c>
      <c r="P6272" s="27" t="s">
        <v>7871</v>
      </c>
      <c r="Q6272" s="26" t="str">
        <f>HYPERLINK("https://ictv.global/taxonomy/taxondetails?taxnode_id=202513625&amp;ictv_id=ICTV202113625","ICTV202113625")</f>
        <v>ICTV202113625</v>
      </c>
      <c r="R6272" t="s">
        <v>579</v>
      </c>
      <c r="S6272" t="s">
        <v>823</v>
      </c>
      <c r="T6272">
        <v>37</v>
      </c>
      <c r="U6272" s="26" t="str">
        <f t="shared" si="249"/>
        <v>2021.078B.R.Siphoviridae_new_genera.zip</v>
      </c>
    </row>
    <row r="6273" spans="1:21">
      <c r="A6273">
        <v>6272</v>
      </c>
      <c r="B6273" s="27" t="s">
        <v>1449</v>
      </c>
      <c r="D6273" s="27" t="s">
        <v>1450</v>
      </c>
      <c r="F6273" s="27" t="s">
        <v>1453</v>
      </c>
      <c r="H6273" s="27" t="s">
        <v>1454</v>
      </c>
      <c r="N6273" s="27" t="s">
        <v>7866</v>
      </c>
      <c r="P6273" s="27" t="s">
        <v>7872</v>
      </c>
      <c r="Q6273" s="26" t="str">
        <f>HYPERLINK("https://ictv.global/taxonomy/taxondetails?taxnode_id=202513623&amp;ictv_id=ICTV202113623","ICTV202113623")</f>
        <v>ICTV202113623</v>
      </c>
      <c r="R6273" t="s">
        <v>579</v>
      </c>
      <c r="S6273" t="s">
        <v>823</v>
      </c>
      <c r="T6273">
        <v>37</v>
      </c>
      <c r="U6273" s="26" t="str">
        <f t="shared" si="249"/>
        <v>2021.078B.R.Siphoviridae_new_genera.zip</v>
      </c>
    </row>
    <row r="6274" spans="1:21">
      <c r="A6274">
        <v>6273</v>
      </c>
      <c r="B6274" s="27" t="s">
        <v>1449</v>
      </c>
      <c r="D6274" s="27" t="s">
        <v>1450</v>
      </c>
      <c r="F6274" s="27" t="s">
        <v>1453</v>
      </c>
      <c r="H6274" s="27" t="s">
        <v>1454</v>
      </c>
      <c r="N6274" s="27" t="s">
        <v>7866</v>
      </c>
      <c r="P6274" s="27" t="s">
        <v>7873</v>
      </c>
      <c r="Q6274" s="26" t="str">
        <f>HYPERLINK("https://ictv.global/taxonomy/taxondetails?taxnode_id=202513627&amp;ictv_id=ICTV202113627","ICTV202113627")</f>
        <v>ICTV202113627</v>
      </c>
      <c r="R6274" t="s">
        <v>579</v>
      </c>
      <c r="S6274" t="s">
        <v>823</v>
      </c>
      <c r="T6274">
        <v>37</v>
      </c>
      <c r="U6274" s="26" t="str">
        <f t="shared" si="249"/>
        <v>2021.078B.R.Siphoviridae_new_genera.zip</v>
      </c>
    </row>
    <row r="6275" spans="1:21">
      <c r="A6275">
        <v>6274</v>
      </c>
      <c r="B6275" s="27" t="s">
        <v>1449</v>
      </c>
      <c r="D6275" s="27" t="s">
        <v>1450</v>
      </c>
      <c r="F6275" s="27" t="s">
        <v>1453</v>
      </c>
      <c r="H6275" s="27" t="s">
        <v>1454</v>
      </c>
      <c r="N6275" s="27" t="s">
        <v>7874</v>
      </c>
      <c r="P6275" s="27" t="s">
        <v>7875</v>
      </c>
      <c r="Q6275" s="26" t="str">
        <f>HYPERLINK("https://ictv.global/taxonomy/taxondetails?taxnode_id=202513646&amp;ictv_id=ICTV202113646","ICTV202113646")</f>
        <v>ICTV202113646</v>
      </c>
      <c r="R6275" t="s">
        <v>579</v>
      </c>
      <c r="S6275" t="s">
        <v>823</v>
      </c>
      <c r="T6275">
        <v>37</v>
      </c>
      <c r="U6275" s="26" t="str">
        <f>HYPERLINK("https://ictv.global/ictv/proposals/2021.079B.R.Skogvirus.zip","2021.079B.R.Skogvirus.zip")</f>
        <v>2021.079B.R.Skogvirus.zip</v>
      </c>
    </row>
    <row r="6276" spans="1:21">
      <c r="A6276">
        <v>6275</v>
      </c>
      <c r="B6276" s="27" t="s">
        <v>1449</v>
      </c>
      <c r="D6276" s="27" t="s">
        <v>1450</v>
      </c>
      <c r="F6276" s="27" t="s">
        <v>1453</v>
      </c>
      <c r="H6276" s="27" t="s">
        <v>1454</v>
      </c>
      <c r="N6276" s="27" t="s">
        <v>7876</v>
      </c>
      <c r="P6276" s="27" t="s">
        <v>7877</v>
      </c>
      <c r="Q6276" s="26" t="str">
        <f>HYPERLINK("https://ictv.global/taxonomy/taxondetails?taxnode_id=202514884&amp;ictv_id=ICTV202214884","ICTV202214884")</f>
        <v>ICTV202214884</v>
      </c>
      <c r="R6276" t="s">
        <v>579</v>
      </c>
      <c r="S6276" t="s">
        <v>823</v>
      </c>
      <c r="T6276">
        <v>38</v>
      </c>
      <c r="U6276" s="26" t="str">
        <f>HYPERLINK("https://ictv.global/ictv/proposals/2022.082B.Skulduggeryvirus_ng.zip","2022.082B.Skulduggeryvirus_ng.zip")</f>
        <v>2022.082B.Skulduggeryvirus_ng.zip</v>
      </c>
    </row>
    <row r="6277" spans="1:21">
      <c r="A6277">
        <v>6276</v>
      </c>
      <c r="B6277" s="27" t="s">
        <v>1449</v>
      </c>
      <c r="D6277" s="27" t="s">
        <v>1450</v>
      </c>
      <c r="F6277" s="27" t="s">
        <v>1453</v>
      </c>
      <c r="H6277" s="27" t="s">
        <v>1454</v>
      </c>
      <c r="N6277" s="27" t="s">
        <v>1419</v>
      </c>
      <c r="P6277" s="27" t="s">
        <v>7878</v>
      </c>
      <c r="Q6277" s="26" t="str">
        <f>HYPERLINK("https://ictv.global/taxonomy/taxondetails?taxnode_id=202511879&amp;ictv_id=ICTV202011879","ICTV202011879")</f>
        <v>ICTV202011879</v>
      </c>
      <c r="R6277" t="s">
        <v>579</v>
      </c>
      <c r="S6277" t="s">
        <v>824</v>
      </c>
      <c r="T6277">
        <v>37</v>
      </c>
      <c r="U6277" s="26" t="str">
        <f t="shared" ref="U6277:U6308" si="250">HYPERLINK("https://ictv.global/ictv/proposals/2021.010B.R.Binomial_names.zip","2021.010B.R.Binomial_names.zip")</f>
        <v>2021.010B.R.Binomial_names.zip</v>
      </c>
    </row>
    <row r="6278" spans="1:21">
      <c r="A6278">
        <v>6277</v>
      </c>
      <c r="B6278" s="27" t="s">
        <v>1449</v>
      </c>
      <c r="D6278" s="27" t="s">
        <v>1450</v>
      </c>
      <c r="F6278" s="27" t="s">
        <v>1453</v>
      </c>
      <c r="H6278" s="27" t="s">
        <v>1454</v>
      </c>
      <c r="N6278" s="27" t="s">
        <v>1419</v>
      </c>
      <c r="P6278" s="27" t="s">
        <v>7879</v>
      </c>
      <c r="Q6278" s="26" t="str">
        <f>HYPERLINK("https://ictv.global/taxonomy/taxondetails?taxnode_id=202501287&amp;ictv_id=ICTV20140488","ICTV20140488")</f>
        <v>ICTV20140488</v>
      </c>
      <c r="R6278" t="s">
        <v>579</v>
      </c>
      <c r="S6278" t="s">
        <v>824</v>
      </c>
      <c r="T6278">
        <v>37</v>
      </c>
      <c r="U6278" s="26" t="str">
        <f t="shared" si="250"/>
        <v>2021.010B.R.Binomial_names.zip</v>
      </c>
    </row>
    <row r="6279" spans="1:21">
      <c r="A6279">
        <v>6278</v>
      </c>
      <c r="B6279" s="27" t="s">
        <v>1449</v>
      </c>
      <c r="D6279" s="27" t="s">
        <v>1450</v>
      </c>
      <c r="F6279" s="27" t="s">
        <v>1453</v>
      </c>
      <c r="H6279" s="27" t="s">
        <v>1454</v>
      </c>
      <c r="N6279" s="27" t="s">
        <v>1419</v>
      </c>
      <c r="P6279" s="27" t="s">
        <v>7880</v>
      </c>
      <c r="Q6279" s="26" t="str">
        <f>HYPERLINK("https://ictv.global/taxonomy/taxondetails?taxnode_id=202501288&amp;ictv_id=ICTV20140487","ICTV20140487")</f>
        <v>ICTV20140487</v>
      </c>
      <c r="R6279" t="s">
        <v>579</v>
      </c>
      <c r="S6279" t="s">
        <v>824</v>
      </c>
      <c r="T6279">
        <v>37</v>
      </c>
      <c r="U6279" s="26" t="str">
        <f t="shared" si="250"/>
        <v>2021.010B.R.Binomial_names.zip</v>
      </c>
    </row>
    <row r="6280" spans="1:21">
      <c r="A6280">
        <v>6279</v>
      </c>
      <c r="B6280" s="27" t="s">
        <v>1449</v>
      </c>
      <c r="D6280" s="27" t="s">
        <v>1450</v>
      </c>
      <c r="F6280" s="27" t="s">
        <v>1453</v>
      </c>
      <c r="H6280" s="27" t="s">
        <v>1454</v>
      </c>
      <c r="N6280" s="27" t="s">
        <v>1419</v>
      </c>
      <c r="P6280" s="27" t="s">
        <v>7881</v>
      </c>
      <c r="Q6280" s="26" t="str">
        <f>HYPERLINK("https://ictv.global/taxonomy/taxondetails?taxnode_id=202501289&amp;ictv_id=ICTV20140489","ICTV20140489")</f>
        <v>ICTV20140489</v>
      </c>
      <c r="R6280" t="s">
        <v>579</v>
      </c>
      <c r="S6280" t="s">
        <v>824</v>
      </c>
      <c r="T6280">
        <v>37</v>
      </c>
      <c r="U6280" s="26" t="str">
        <f t="shared" si="250"/>
        <v>2021.010B.R.Binomial_names.zip</v>
      </c>
    </row>
    <row r="6281" spans="1:21">
      <c r="A6281">
        <v>6280</v>
      </c>
      <c r="B6281" s="27" t="s">
        <v>1449</v>
      </c>
      <c r="D6281" s="27" t="s">
        <v>1450</v>
      </c>
      <c r="F6281" s="27" t="s">
        <v>1453</v>
      </c>
      <c r="H6281" s="27" t="s">
        <v>1454</v>
      </c>
      <c r="N6281" s="27" t="s">
        <v>1419</v>
      </c>
      <c r="P6281" s="27" t="s">
        <v>7882</v>
      </c>
      <c r="Q6281" s="26" t="str">
        <f>HYPERLINK("https://ictv.global/taxonomy/taxondetails?taxnode_id=202501290&amp;ictv_id=ICTV20140491","ICTV20140491")</f>
        <v>ICTV20140491</v>
      </c>
      <c r="R6281" t="s">
        <v>579</v>
      </c>
      <c r="S6281" t="s">
        <v>824</v>
      </c>
      <c r="T6281">
        <v>37</v>
      </c>
      <c r="U6281" s="26" t="str">
        <f t="shared" si="250"/>
        <v>2021.010B.R.Binomial_names.zip</v>
      </c>
    </row>
    <row r="6282" spans="1:21">
      <c r="A6282">
        <v>6281</v>
      </c>
      <c r="B6282" s="27" t="s">
        <v>1449</v>
      </c>
      <c r="D6282" s="27" t="s">
        <v>1450</v>
      </c>
      <c r="F6282" s="27" t="s">
        <v>1453</v>
      </c>
      <c r="H6282" s="27" t="s">
        <v>1454</v>
      </c>
      <c r="N6282" s="27" t="s">
        <v>1419</v>
      </c>
      <c r="P6282" s="27" t="s">
        <v>7883</v>
      </c>
      <c r="Q6282" s="26" t="str">
        <f>HYPERLINK("https://ictv.global/taxonomy/taxondetails?taxnode_id=202501291&amp;ictv_id=ICTV20140490","ICTV20140490")</f>
        <v>ICTV20140490</v>
      </c>
      <c r="R6282" t="s">
        <v>579</v>
      </c>
      <c r="S6282" t="s">
        <v>824</v>
      </c>
      <c r="T6282">
        <v>37</v>
      </c>
      <c r="U6282" s="26" t="str">
        <f t="shared" si="250"/>
        <v>2021.010B.R.Binomial_names.zip</v>
      </c>
    </row>
    <row r="6283" spans="1:21">
      <c r="A6283">
        <v>6282</v>
      </c>
      <c r="B6283" s="27" t="s">
        <v>1449</v>
      </c>
      <c r="D6283" s="27" t="s">
        <v>1450</v>
      </c>
      <c r="F6283" s="27" t="s">
        <v>1453</v>
      </c>
      <c r="H6283" s="27" t="s">
        <v>1454</v>
      </c>
      <c r="N6283" s="27" t="s">
        <v>1419</v>
      </c>
      <c r="P6283" s="27" t="s">
        <v>7884</v>
      </c>
      <c r="Q6283" s="26" t="str">
        <f>HYPERLINK("https://ictv.global/taxonomy/taxondetails?taxnode_id=202511880&amp;ictv_id=ICTV202011880","ICTV202011880")</f>
        <v>ICTV202011880</v>
      </c>
      <c r="R6283" t="s">
        <v>579</v>
      </c>
      <c r="S6283" t="s">
        <v>824</v>
      </c>
      <c r="T6283">
        <v>37</v>
      </c>
      <c r="U6283" s="26" t="str">
        <f t="shared" si="250"/>
        <v>2021.010B.R.Binomial_names.zip</v>
      </c>
    </row>
    <row r="6284" spans="1:21">
      <c r="A6284">
        <v>6283</v>
      </c>
      <c r="B6284" s="27" t="s">
        <v>1449</v>
      </c>
      <c r="D6284" s="27" t="s">
        <v>1450</v>
      </c>
      <c r="F6284" s="27" t="s">
        <v>1453</v>
      </c>
      <c r="H6284" s="27" t="s">
        <v>1454</v>
      </c>
      <c r="N6284" s="27" t="s">
        <v>1419</v>
      </c>
      <c r="P6284" s="27" t="s">
        <v>7885</v>
      </c>
      <c r="Q6284" s="26" t="str">
        <f>HYPERLINK("https://ictv.global/taxonomy/taxondetails?taxnode_id=202501292&amp;ictv_id=ICTV20140485","ICTV20140485")</f>
        <v>ICTV20140485</v>
      </c>
      <c r="R6284" t="s">
        <v>579</v>
      </c>
      <c r="S6284" t="s">
        <v>824</v>
      </c>
      <c r="T6284">
        <v>37</v>
      </c>
      <c r="U6284" s="26" t="str">
        <f t="shared" si="250"/>
        <v>2021.010B.R.Binomial_names.zip</v>
      </c>
    </row>
    <row r="6285" spans="1:21">
      <c r="A6285">
        <v>6284</v>
      </c>
      <c r="B6285" s="27" t="s">
        <v>1449</v>
      </c>
      <c r="D6285" s="27" t="s">
        <v>1450</v>
      </c>
      <c r="F6285" s="27" t="s">
        <v>1453</v>
      </c>
      <c r="H6285" s="27" t="s">
        <v>1454</v>
      </c>
      <c r="N6285" s="27" t="s">
        <v>1419</v>
      </c>
      <c r="P6285" s="27" t="s">
        <v>7886</v>
      </c>
      <c r="Q6285" s="26" t="str">
        <f>HYPERLINK("https://ictv.global/taxonomy/taxondetails?taxnode_id=202511942&amp;ictv_id=ICTV202011942","ICTV202011942")</f>
        <v>ICTV202011942</v>
      </c>
      <c r="R6285" t="s">
        <v>579</v>
      </c>
      <c r="S6285" t="s">
        <v>824</v>
      </c>
      <c r="T6285">
        <v>37</v>
      </c>
      <c r="U6285" s="26" t="str">
        <f t="shared" si="250"/>
        <v>2021.010B.R.Binomial_names.zip</v>
      </c>
    </row>
    <row r="6286" spans="1:21">
      <c r="A6286">
        <v>6285</v>
      </c>
      <c r="B6286" s="27" t="s">
        <v>1449</v>
      </c>
      <c r="D6286" s="27" t="s">
        <v>1450</v>
      </c>
      <c r="F6286" s="27" t="s">
        <v>1453</v>
      </c>
      <c r="H6286" s="27" t="s">
        <v>1454</v>
      </c>
      <c r="N6286" s="27" t="s">
        <v>1419</v>
      </c>
      <c r="P6286" s="27" t="s">
        <v>7887</v>
      </c>
      <c r="Q6286" s="26" t="str">
        <f>HYPERLINK("https://ictv.global/taxonomy/taxondetails?taxnode_id=202511926&amp;ictv_id=ICTV202011926","ICTV202011926")</f>
        <v>ICTV202011926</v>
      </c>
      <c r="R6286" t="s">
        <v>579</v>
      </c>
      <c r="S6286" t="s">
        <v>824</v>
      </c>
      <c r="T6286">
        <v>37</v>
      </c>
      <c r="U6286" s="26" t="str">
        <f t="shared" si="250"/>
        <v>2021.010B.R.Binomial_names.zip</v>
      </c>
    </row>
    <row r="6287" spans="1:21">
      <c r="A6287">
        <v>6286</v>
      </c>
      <c r="B6287" s="27" t="s">
        <v>1449</v>
      </c>
      <c r="D6287" s="27" t="s">
        <v>1450</v>
      </c>
      <c r="F6287" s="27" t="s">
        <v>1453</v>
      </c>
      <c r="H6287" s="27" t="s">
        <v>1454</v>
      </c>
      <c r="N6287" s="27" t="s">
        <v>1419</v>
      </c>
      <c r="P6287" s="27" t="s">
        <v>7888</v>
      </c>
      <c r="Q6287" s="26" t="str">
        <f>HYPERLINK("https://ictv.global/taxonomy/taxondetails?taxnode_id=202501293&amp;ictv_id=ICTV20140476","ICTV20140476")</f>
        <v>ICTV20140476</v>
      </c>
      <c r="R6287" t="s">
        <v>579</v>
      </c>
      <c r="S6287" t="s">
        <v>824</v>
      </c>
      <c r="T6287">
        <v>37</v>
      </c>
      <c r="U6287" s="26" t="str">
        <f t="shared" si="250"/>
        <v>2021.010B.R.Binomial_names.zip</v>
      </c>
    </row>
    <row r="6288" spans="1:21">
      <c r="A6288">
        <v>6287</v>
      </c>
      <c r="B6288" s="27" t="s">
        <v>1449</v>
      </c>
      <c r="D6288" s="27" t="s">
        <v>1450</v>
      </c>
      <c r="F6288" s="27" t="s">
        <v>1453</v>
      </c>
      <c r="H6288" s="27" t="s">
        <v>1454</v>
      </c>
      <c r="N6288" s="27" t="s">
        <v>1419</v>
      </c>
      <c r="P6288" s="27" t="s">
        <v>7889</v>
      </c>
      <c r="Q6288" s="26" t="str">
        <f>HYPERLINK("https://ictv.global/taxonomy/taxondetails?taxnode_id=202511876&amp;ictv_id=ICTV202011876","ICTV202011876")</f>
        <v>ICTV202011876</v>
      </c>
      <c r="R6288" t="s">
        <v>579</v>
      </c>
      <c r="S6288" t="s">
        <v>824</v>
      </c>
      <c r="T6288">
        <v>37</v>
      </c>
      <c r="U6288" s="26" t="str">
        <f t="shared" si="250"/>
        <v>2021.010B.R.Binomial_names.zip</v>
      </c>
    </row>
    <row r="6289" spans="1:21">
      <c r="A6289">
        <v>6288</v>
      </c>
      <c r="B6289" s="27" t="s">
        <v>1449</v>
      </c>
      <c r="D6289" s="27" t="s">
        <v>1450</v>
      </c>
      <c r="F6289" s="27" t="s">
        <v>1453</v>
      </c>
      <c r="H6289" s="27" t="s">
        <v>1454</v>
      </c>
      <c r="N6289" s="27" t="s">
        <v>1419</v>
      </c>
      <c r="P6289" s="27" t="s">
        <v>7890</v>
      </c>
      <c r="Q6289" s="26" t="str">
        <f>HYPERLINK("https://ictv.global/taxonomy/taxondetails?taxnode_id=202501294&amp;ictv_id=ICTV20140481","ICTV20140481")</f>
        <v>ICTV20140481</v>
      </c>
      <c r="R6289" t="s">
        <v>579</v>
      </c>
      <c r="S6289" t="s">
        <v>824</v>
      </c>
      <c r="T6289">
        <v>37</v>
      </c>
      <c r="U6289" s="26" t="str">
        <f t="shared" si="250"/>
        <v>2021.010B.R.Binomial_names.zip</v>
      </c>
    </row>
    <row r="6290" spans="1:21">
      <c r="A6290">
        <v>6289</v>
      </c>
      <c r="B6290" s="27" t="s">
        <v>1449</v>
      </c>
      <c r="D6290" s="27" t="s">
        <v>1450</v>
      </c>
      <c r="F6290" s="27" t="s">
        <v>1453</v>
      </c>
      <c r="H6290" s="27" t="s">
        <v>1454</v>
      </c>
      <c r="N6290" s="27" t="s">
        <v>1419</v>
      </c>
      <c r="P6290" s="27" t="s">
        <v>7891</v>
      </c>
      <c r="Q6290" s="26" t="str">
        <f>HYPERLINK("https://ictv.global/taxonomy/taxondetails?taxnode_id=202501295&amp;ictv_id=ICTV20140482","ICTV20140482")</f>
        <v>ICTV20140482</v>
      </c>
      <c r="R6290" t="s">
        <v>579</v>
      </c>
      <c r="S6290" t="s">
        <v>824</v>
      </c>
      <c r="T6290">
        <v>37</v>
      </c>
      <c r="U6290" s="26" t="str">
        <f t="shared" si="250"/>
        <v>2021.010B.R.Binomial_names.zip</v>
      </c>
    </row>
    <row r="6291" spans="1:21">
      <c r="A6291">
        <v>6290</v>
      </c>
      <c r="B6291" s="27" t="s">
        <v>1449</v>
      </c>
      <c r="D6291" s="27" t="s">
        <v>1450</v>
      </c>
      <c r="F6291" s="27" t="s">
        <v>1453</v>
      </c>
      <c r="H6291" s="27" t="s">
        <v>1454</v>
      </c>
      <c r="N6291" s="27" t="s">
        <v>1419</v>
      </c>
      <c r="P6291" s="27" t="s">
        <v>7892</v>
      </c>
      <c r="Q6291" s="26" t="str">
        <f>HYPERLINK("https://ictv.global/taxonomy/taxondetails?taxnode_id=202501296&amp;ictv_id=ICTV20140483","ICTV20140483")</f>
        <v>ICTV20140483</v>
      </c>
      <c r="R6291" t="s">
        <v>579</v>
      </c>
      <c r="S6291" t="s">
        <v>824</v>
      </c>
      <c r="T6291">
        <v>37</v>
      </c>
      <c r="U6291" s="26" t="str">
        <f t="shared" si="250"/>
        <v>2021.010B.R.Binomial_names.zip</v>
      </c>
    </row>
    <row r="6292" spans="1:21">
      <c r="A6292">
        <v>6291</v>
      </c>
      <c r="B6292" s="27" t="s">
        <v>1449</v>
      </c>
      <c r="D6292" s="27" t="s">
        <v>1450</v>
      </c>
      <c r="F6292" s="27" t="s">
        <v>1453</v>
      </c>
      <c r="H6292" s="27" t="s">
        <v>1454</v>
      </c>
      <c r="N6292" s="27" t="s">
        <v>1419</v>
      </c>
      <c r="P6292" s="27" t="s">
        <v>7893</v>
      </c>
      <c r="Q6292" s="26" t="str">
        <f>HYPERLINK("https://ictv.global/taxonomy/taxondetails?taxnode_id=202511936&amp;ictv_id=ICTV202011936","ICTV202011936")</f>
        <v>ICTV202011936</v>
      </c>
      <c r="R6292" t="s">
        <v>579</v>
      </c>
      <c r="S6292" t="s">
        <v>824</v>
      </c>
      <c r="T6292">
        <v>37</v>
      </c>
      <c r="U6292" s="26" t="str">
        <f t="shared" si="250"/>
        <v>2021.010B.R.Binomial_names.zip</v>
      </c>
    </row>
    <row r="6293" spans="1:21">
      <c r="A6293">
        <v>6292</v>
      </c>
      <c r="B6293" s="27" t="s">
        <v>1449</v>
      </c>
      <c r="D6293" s="27" t="s">
        <v>1450</v>
      </c>
      <c r="F6293" s="27" t="s">
        <v>1453</v>
      </c>
      <c r="H6293" s="27" t="s">
        <v>1454</v>
      </c>
      <c r="N6293" s="27" t="s">
        <v>1419</v>
      </c>
      <c r="P6293" s="27" t="s">
        <v>7894</v>
      </c>
      <c r="Q6293" s="26" t="str">
        <f>HYPERLINK("https://ictv.global/taxonomy/taxondetails?taxnode_id=202511933&amp;ictv_id=ICTV202011933","ICTV202011933")</f>
        <v>ICTV202011933</v>
      </c>
      <c r="R6293" t="s">
        <v>579</v>
      </c>
      <c r="S6293" t="s">
        <v>824</v>
      </c>
      <c r="T6293">
        <v>37</v>
      </c>
      <c r="U6293" s="26" t="str">
        <f t="shared" si="250"/>
        <v>2021.010B.R.Binomial_names.zip</v>
      </c>
    </row>
    <row r="6294" spans="1:21">
      <c r="A6294">
        <v>6293</v>
      </c>
      <c r="B6294" s="27" t="s">
        <v>1449</v>
      </c>
      <c r="D6294" s="27" t="s">
        <v>1450</v>
      </c>
      <c r="F6294" s="27" t="s">
        <v>1453</v>
      </c>
      <c r="H6294" s="27" t="s">
        <v>1454</v>
      </c>
      <c r="N6294" s="27" t="s">
        <v>1419</v>
      </c>
      <c r="P6294" s="27" t="s">
        <v>7895</v>
      </c>
      <c r="Q6294" s="26" t="str">
        <f>HYPERLINK("https://ictv.global/taxonomy/taxondetails?taxnode_id=202511934&amp;ictv_id=ICTV202011934","ICTV202011934")</f>
        <v>ICTV202011934</v>
      </c>
      <c r="R6294" t="s">
        <v>579</v>
      </c>
      <c r="S6294" t="s">
        <v>824</v>
      </c>
      <c r="T6294">
        <v>37</v>
      </c>
      <c r="U6294" s="26" t="str">
        <f t="shared" si="250"/>
        <v>2021.010B.R.Binomial_names.zip</v>
      </c>
    </row>
    <row r="6295" spans="1:21">
      <c r="A6295">
        <v>6294</v>
      </c>
      <c r="B6295" s="27" t="s">
        <v>1449</v>
      </c>
      <c r="D6295" s="27" t="s">
        <v>1450</v>
      </c>
      <c r="F6295" s="27" t="s">
        <v>1453</v>
      </c>
      <c r="H6295" s="27" t="s">
        <v>1454</v>
      </c>
      <c r="N6295" s="27" t="s">
        <v>1419</v>
      </c>
      <c r="P6295" s="27" t="s">
        <v>7896</v>
      </c>
      <c r="Q6295" s="26" t="str">
        <f>HYPERLINK("https://ictv.global/taxonomy/taxondetails?taxnode_id=202511935&amp;ictv_id=ICTV202011935","ICTV202011935")</f>
        <v>ICTV202011935</v>
      </c>
      <c r="R6295" t="s">
        <v>579</v>
      </c>
      <c r="S6295" t="s">
        <v>824</v>
      </c>
      <c r="T6295">
        <v>37</v>
      </c>
      <c r="U6295" s="26" t="str">
        <f t="shared" si="250"/>
        <v>2021.010B.R.Binomial_names.zip</v>
      </c>
    </row>
    <row r="6296" spans="1:21">
      <c r="A6296">
        <v>6295</v>
      </c>
      <c r="B6296" s="27" t="s">
        <v>1449</v>
      </c>
      <c r="D6296" s="27" t="s">
        <v>1450</v>
      </c>
      <c r="F6296" s="27" t="s">
        <v>1453</v>
      </c>
      <c r="H6296" s="27" t="s">
        <v>1454</v>
      </c>
      <c r="N6296" s="27" t="s">
        <v>1419</v>
      </c>
      <c r="P6296" s="27" t="s">
        <v>7897</v>
      </c>
      <c r="Q6296" s="26" t="str">
        <f>HYPERLINK("https://ictv.global/taxonomy/taxondetails?taxnode_id=202511937&amp;ictv_id=ICTV202011937","ICTV202011937")</f>
        <v>ICTV202011937</v>
      </c>
      <c r="R6296" t="s">
        <v>579</v>
      </c>
      <c r="S6296" t="s">
        <v>824</v>
      </c>
      <c r="T6296">
        <v>37</v>
      </c>
      <c r="U6296" s="26" t="str">
        <f t="shared" si="250"/>
        <v>2021.010B.R.Binomial_names.zip</v>
      </c>
    </row>
    <row r="6297" spans="1:21">
      <c r="A6297">
        <v>6296</v>
      </c>
      <c r="B6297" s="27" t="s">
        <v>1449</v>
      </c>
      <c r="D6297" s="27" t="s">
        <v>1450</v>
      </c>
      <c r="F6297" s="27" t="s">
        <v>1453</v>
      </c>
      <c r="H6297" s="27" t="s">
        <v>1454</v>
      </c>
      <c r="N6297" s="27" t="s">
        <v>1419</v>
      </c>
      <c r="P6297" s="27" t="s">
        <v>7898</v>
      </c>
      <c r="Q6297" s="26" t="str">
        <f>HYPERLINK("https://ictv.global/taxonomy/taxondetails?taxnode_id=202511938&amp;ictv_id=ICTV202011938","ICTV202011938")</f>
        <v>ICTV202011938</v>
      </c>
      <c r="R6297" t="s">
        <v>579</v>
      </c>
      <c r="S6297" t="s">
        <v>824</v>
      </c>
      <c r="T6297">
        <v>37</v>
      </c>
      <c r="U6297" s="26" t="str">
        <f t="shared" si="250"/>
        <v>2021.010B.R.Binomial_names.zip</v>
      </c>
    </row>
    <row r="6298" spans="1:21">
      <c r="A6298">
        <v>6297</v>
      </c>
      <c r="B6298" s="27" t="s">
        <v>1449</v>
      </c>
      <c r="D6298" s="27" t="s">
        <v>1450</v>
      </c>
      <c r="F6298" s="27" t="s">
        <v>1453</v>
      </c>
      <c r="H6298" s="27" t="s">
        <v>1454</v>
      </c>
      <c r="N6298" s="27" t="s">
        <v>1419</v>
      </c>
      <c r="P6298" s="27" t="s">
        <v>7899</v>
      </c>
      <c r="Q6298" s="26" t="str">
        <f>HYPERLINK("https://ictv.global/taxonomy/taxondetails?taxnode_id=202511939&amp;ictv_id=ICTV202011939","ICTV202011939")</f>
        <v>ICTV202011939</v>
      </c>
      <c r="R6298" t="s">
        <v>579</v>
      </c>
      <c r="S6298" t="s">
        <v>824</v>
      </c>
      <c r="T6298">
        <v>37</v>
      </c>
      <c r="U6298" s="26" t="str">
        <f t="shared" si="250"/>
        <v>2021.010B.R.Binomial_names.zip</v>
      </c>
    </row>
    <row r="6299" spans="1:21">
      <c r="A6299">
        <v>6298</v>
      </c>
      <c r="B6299" s="27" t="s">
        <v>1449</v>
      </c>
      <c r="D6299" s="27" t="s">
        <v>1450</v>
      </c>
      <c r="F6299" s="27" t="s">
        <v>1453</v>
      </c>
      <c r="H6299" s="27" t="s">
        <v>1454</v>
      </c>
      <c r="N6299" s="27" t="s">
        <v>1419</v>
      </c>
      <c r="P6299" s="27" t="s">
        <v>7900</v>
      </c>
      <c r="Q6299" s="26" t="str">
        <f>HYPERLINK("https://ictv.global/taxonomy/taxondetails?taxnode_id=202511940&amp;ictv_id=ICTV202011940","ICTV202011940")</f>
        <v>ICTV202011940</v>
      </c>
      <c r="R6299" t="s">
        <v>579</v>
      </c>
      <c r="S6299" t="s">
        <v>824</v>
      </c>
      <c r="T6299">
        <v>37</v>
      </c>
      <c r="U6299" s="26" t="str">
        <f t="shared" si="250"/>
        <v>2021.010B.R.Binomial_names.zip</v>
      </c>
    </row>
    <row r="6300" spans="1:21">
      <c r="A6300">
        <v>6299</v>
      </c>
      <c r="B6300" s="27" t="s">
        <v>1449</v>
      </c>
      <c r="D6300" s="27" t="s">
        <v>1450</v>
      </c>
      <c r="F6300" s="27" t="s">
        <v>1453</v>
      </c>
      <c r="H6300" s="27" t="s">
        <v>1454</v>
      </c>
      <c r="N6300" s="27" t="s">
        <v>1419</v>
      </c>
      <c r="P6300" s="27" t="s">
        <v>7901</v>
      </c>
      <c r="Q6300" s="26" t="str">
        <f>HYPERLINK("https://ictv.global/taxonomy/taxondetails?taxnode_id=202511941&amp;ictv_id=ICTV202011941","ICTV202011941")</f>
        <v>ICTV202011941</v>
      </c>
      <c r="R6300" t="s">
        <v>579</v>
      </c>
      <c r="S6300" t="s">
        <v>824</v>
      </c>
      <c r="T6300">
        <v>37</v>
      </c>
      <c r="U6300" s="26" t="str">
        <f t="shared" si="250"/>
        <v>2021.010B.R.Binomial_names.zip</v>
      </c>
    </row>
    <row r="6301" spans="1:21">
      <c r="A6301">
        <v>6300</v>
      </c>
      <c r="B6301" s="27" t="s">
        <v>1449</v>
      </c>
      <c r="D6301" s="27" t="s">
        <v>1450</v>
      </c>
      <c r="F6301" s="27" t="s">
        <v>1453</v>
      </c>
      <c r="H6301" s="27" t="s">
        <v>1454</v>
      </c>
      <c r="N6301" s="27" t="s">
        <v>1419</v>
      </c>
      <c r="P6301" s="27" t="s">
        <v>7902</v>
      </c>
      <c r="Q6301" s="26" t="str">
        <f>HYPERLINK("https://ictv.global/taxonomy/taxondetails?taxnode_id=202511891&amp;ictv_id=ICTV202011891","ICTV202011891")</f>
        <v>ICTV202011891</v>
      </c>
      <c r="R6301" t="s">
        <v>579</v>
      </c>
      <c r="S6301" t="s">
        <v>824</v>
      </c>
      <c r="T6301">
        <v>37</v>
      </c>
      <c r="U6301" s="26" t="str">
        <f t="shared" si="250"/>
        <v>2021.010B.R.Binomial_names.zip</v>
      </c>
    </row>
    <row r="6302" spans="1:21">
      <c r="A6302">
        <v>6301</v>
      </c>
      <c r="B6302" s="27" t="s">
        <v>1449</v>
      </c>
      <c r="D6302" s="27" t="s">
        <v>1450</v>
      </c>
      <c r="F6302" s="27" t="s">
        <v>1453</v>
      </c>
      <c r="H6302" s="27" t="s">
        <v>1454</v>
      </c>
      <c r="N6302" s="27" t="s">
        <v>1419</v>
      </c>
      <c r="P6302" s="27" t="s">
        <v>7903</v>
      </c>
      <c r="Q6302" s="26" t="str">
        <f>HYPERLINK("https://ictv.global/taxonomy/taxondetails?taxnode_id=202511883&amp;ictv_id=ICTV202011883","ICTV202011883")</f>
        <v>ICTV202011883</v>
      </c>
      <c r="R6302" t="s">
        <v>579</v>
      </c>
      <c r="S6302" t="s">
        <v>824</v>
      </c>
      <c r="T6302">
        <v>37</v>
      </c>
      <c r="U6302" s="26" t="str">
        <f t="shared" si="250"/>
        <v>2021.010B.R.Binomial_names.zip</v>
      </c>
    </row>
    <row r="6303" spans="1:21">
      <c r="A6303">
        <v>6302</v>
      </c>
      <c r="B6303" s="27" t="s">
        <v>1449</v>
      </c>
      <c r="D6303" s="27" t="s">
        <v>1450</v>
      </c>
      <c r="F6303" s="27" t="s">
        <v>1453</v>
      </c>
      <c r="H6303" s="27" t="s">
        <v>1454</v>
      </c>
      <c r="N6303" s="27" t="s">
        <v>1419</v>
      </c>
      <c r="P6303" s="27" t="s">
        <v>7904</v>
      </c>
      <c r="Q6303" s="26" t="str">
        <f>HYPERLINK("https://ictv.global/taxonomy/taxondetails?taxnode_id=202511869&amp;ictv_id=ICTV202011869","ICTV202011869")</f>
        <v>ICTV202011869</v>
      </c>
      <c r="R6303" t="s">
        <v>579</v>
      </c>
      <c r="S6303" t="s">
        <v>824</v>
      </c>
      <c r="T6303">
        <v>37</v>
      </c>
      <c r="U6303" s="26" t="str">
        <f t="shared" si="250"/>
        <v>2021.010B.R.Binomial_names.zip</v>
      </c>
    </row>
    <row r="6304" spans="1:21">
      <c r="A6304">
        <v>6303</v>
      </c>
      <c r="B6304" s="27" t="s">
        <v>1449</v>
      </c>
      <c r="D6304" s="27" t="s">
        <v>1450</v>
      </c>
      <c r="F6304" s="27" t="s">
        <v>1453</v>
      </c>
      <c r="H6304" s="27" t="s">
        <v>1454</v>
      </c>
      <c r="N6304" s="27" t="s">
        <v>1419</v>
      </c>
      <c r="P6304" s="27" t="s">
        <v>7905</v>
      </c>
      <c r="Q6304" s="26" t="str">
        <f>HYPERLINK("https://ictv.global/taxonomy/taxondetails?taxnode_id=202511896&amp;ictv_id=ICTV202011896","ICTV202011896")</f>
        <v>ICTV202011896</v>
      </c>
      <c r="R6304" t="s">
        <v>579</v>
      </c>
      <c r="S6304" t="s">
        <v>824</v>
      </c>
      <c r="T6304">
        <v>37</v>
      </c>
      <c r="U6304" s="26" t="str">
        <f t="shared" si="250"/>
        <v>2021.010B.R.Binomial_names.zip</v>
      </c>
    </row>
    <row r="6305" spans="1:21">
      <c r="A6305">
        <v>6304</v>
      </c>
      <c r="B6305" s="27" t="s">
        <v>1449</v>
      </c>
      <c r="D6305" s="27" t="s">
        <v>1450</v>
      </c>
      <c r="F6305" s="27" t="s">
        <v>1453</v>
      </c>
      <c r="H6305" s="27" t="s">
        <v>1454</v>
      </c>
      <c r="N6305" s="27" t="s">
        <v>1419</v>
      </c>
      <c r="P6305" s="27" t="s">
        <v>7906</v>
      </c>
      <c r="Q6305" s="26" t="str">
        <f>HYPERLINK("https://ictv.global/taxonomy/taxondetails?taxnode_id=202511889&amp;ictv_id=ICTV202011889","ICTV202011889")</f>
        <v>ICTV202011889</v>
      </c>
      <c r="R6305" t="s">
        <v>579</v>
      </c>
      <c r="S6305" t="s">
        <v>824</v>
      </c>
      <c r="T6305">
        <v>37</v>
      </c>
      <c r="U6305" s="26" t="str">
        <f t="shared" si="250"/>
        <v>2021.010B.R.Binomial_names.zip</v>
      </c>
    </row>
    <row r="6306" spans="1:21">
      <c r="A6306">
        <v>6305</v>
      </c>
      <c r="B6306" s="27" t="s">
        <v>1449</v>
      </c>
      <c r="D6306" s="27" t="s">
        <v>1450</v>
      </c>
      <c r="F6306" s="27" t="s">
        <v>1453</v>
      </c>
      <c r="H6306" s="27" t="s">
        <v>1454</v>
      </c>
      <c r="N6306" s="27" t="s">
        <v>1419</v>
      </c>
      <c r="P6306" s="27" t="s">
        <v>7907</v>
      </c>
      <c r="Q6306" s="26" t="str">
        <f>HYPERLINK("https://ictv.global/taxonomy/taxondetails?taxnode_id=202511870&amp;ictv_id=ICTV202011870","ICTV202011870")</f>
        <v>ICTV202011870</v>
      </c>
      <c r="R6306" t="s">
        <v>579</v>
      </c>
      <c r="S6306" t="s">
        <v>824</v>
      </c>
      <c r="T6306">
        <v>37</v>
      </c>
      <c r="U6306" s="26" t="str">
        <f t="shared" si="250"/>
        <v>2021.010B.R.Binomial_names.zip</v>
      </c>
    </row>
    <row r="6307" spans="1:21">
      <c r="A6307">
        <v>6306</v>
      </c>
      <c r="B6307" s="27" t="s">
        <v>1449</v>
      </c>
      <c r="D6307" s="27" t="s">
        <v>1450</v>
      </c>
      <c r="F6307" s="27" t="s">
        <v>1453</v>
      </c>
      <c r="H6307" s="27" t="s">
        <v>1454</v>
      </c>
      <c r="N6307" s="27" t="s">
        <v>1419</v>
      </c>
      <c r="P6307" s="27" t="s">
        <v>7908</v>
      </c>
      <c r="Q6307" s="26" t="str">
        <f>HYPERLINK("https://ictv.global/taxonomy/taxondetails?taxnode_id=202511871&amp;ictv_id=ICTV202011871","ICTV202011871")</f>
        <v>ICTV202011871</v>
      </c>
      <c r="R6307" t="s">
        <v>579</v>
      </c>
      <c r="S6307" t="s">
        <v>824</v>
      </c>
      <c r="T6307">
        <v>37</v>
      </c>
      <c r="U6307" s="26" t="str">
        <f t="shared" si="250"/>
        <v>2021.010B.R.Binomial_names.zip</v>
      </c>
    </row>
    <row r="6308" spans="1:21">
      <c r="A6308">
        <v>6307</v>
      </c>
      <c r="B6308" s="27" t="s">
        <v>1449</v>
      </c>
      <c r="D6308" s="27" t="s">
        <v>1450</v>
      </c>
      <c r="F6308" s="27" t="s">
        <v>1453</v>
      </c>
      <c r="H6308" s="27" t="s">
        <v>1454</v>
      </c>
      <c r="N6308" s="27" t="s">
        <v>1419</v>
      </c>
      <c r="P6308" s="27" t="s">
        <v>7909</v>
      </c>
      <c r="Q6308" s="26" t="str">
        <f>HYPERLINK("https://ictv.global/taxonomy/taxondetails?taxnode_id=202511886&amp;ictv_id=ICTV202011886","ICTV202011886")</f>
        <v>ICTV202011886</v>
      </c>
      <c r="R6308" t="s">
        <v>579</v>
      </c>
      <c r="S6308" t="s">
        <v>824</v>
      </c>
      <c r="T6308">
        <v>37</v>
      </c>
      <c r="U6308" s="26" t="str">
        <f t="shared" si="250"/>
        <v>2021.010B.R.Binomial_names.zip</v>
      </c>
    </row>
    <row r="6309" spans="1:21">
      <c r="A6309">
        <v>6308</v>
      </c>
      <c r="B6309" s="27" t="s">
        <v>1449</v>
      </c>
      <c r="D6309" s="27" t="s">
        <v>1450</v>
      </c>
      <c r="F6309" s="27" t="s">
        <v>1453</v>
      </c>
      <c r="H6309" s="27" t="s">
        <v>1454</v>
      </c>
      <c r="N6309" s="27" t="s">
        <v>1419</v>
      </c>
      <c r="P6309" s="27" t="s">
        <v>7910</v>
      </c>
      <c r="Q6309" s="26" t="str">
        <f>HYPERLINK("https://ictv.global/taxonomy/taxondetails?taxnode_id=202511884&amp;ictv_id=ICTV202011884","ICTV202011884")</f>
        <v>ICTV202011884</v>
      </c>
      <c r="R6309" t="s">
        <v>579</v>
      </c>
      <c r="S6309" t="s">
        <v>824</v>
      </c>
      <c r="T6309">
        <v>37</v>
      </c>
      <c r="U6309" s="26" t="str">
        <f t="shared" ref="U6309:U6340" si="251">HYPERLINK("https://ictv.global/ictv/proposals/2021.010B.R.Binomial_names.zip","2021.010B.R.Binomial_names.zip")</f>
        <v>2021.010B.R.Binomial_names.zip</v>
      </c>
    </row>
    <row r="6310" spans="1:21">
      <c r="A6310">
        <v>6309</v>
      </c>
      <c r="B6310" s="27" t="s">
        <v>1449</v>
      </c>
      <c r="D6310" s="27" t="s">
        <v>1450</v>
      </c>
      <c r="F6310" s="27" t="s">
        <v>1453</v>
      </c>
      <c r="H6310" s="27" t="s">
        <v>1454</v>
      </c>
      <c r="N6310" s="27" t="s">
        <v>1419</v>
      </c>
      <c r="P6310" s="27" t="s">
        <v>7911</v>
      </c>
      <c r="Q6310" s="26" t="str">
        <f>HYPERLINK("https://ictv.global/taxonomy/taxondetails?taxnode_id=202511893&amp;ictv_id=ICTV202011893","ICTV202011893")</f>
        <v>ICTV202011893</v>
      </c>
      <c r="R6310" t="s">
        <v>579</v>
      </c>
      <c r="S6310" t="s">
        <v>824</v>
      </c>
      <c r="T6310">
        <v>37</v>
      </c>
      <c r="U6310" s="26" t="str">
        <f t="shared" si="251"/>
        <v>2021.010B.R.Binomial_names.zip</v>
      </c>
    </row>
    <row r="6311" spans="1:21">
      <c r="A6311">
        <v>6310</v>
      </c>
      <c r="B6311" s="27" t="s">
        <v>1449</v>
      </c>
      <c r="D6311" s="27" t="s">
        <v>1450</v>
      </c>
      <c r="F6311" s="27" t="s">
        <v>1453</v>
      </c>
      <c r="H6311" s="27" t="s">
        <v>1454</v>
      </c>
      <c r="N6311" s="27" t="s">
        <v>1419</v>
      </c>
      <c r="P6311" s="27" t="s">
        <v>7912</v>
      </c>
      <c r="Q6311" s="26" t="str">
        <f>HYPERLINK("https://ictv.global/taxonomy/taxondetails?taxnode_id=202511923&amp;ictv_id=ICTV202011923","ICTV202011923")</f>
        <v>ICTV202011923</v>
      </c>
      <c r="R6311" t="s">
        <v>579</v>
      </c>
      <c r="S6311" t="s">
        <v>824</v>
      </c>
      <c r="T6311">
        <v>37</v>
      </c>
      <c r="U6311" s="26" t="str">
        <f t="shared" si="251"/>
        <v>2021.010B.R.Binomial_names.zip</v>
      </c>
    </row>
    <row r="6312" spans="1:21">
      <c r="A6312">
        <v>6311</v>
      </c>
      <c r="B6312" s="27" t="s">
        <v>1449</v>
      </c>
      <c r="D6312" s="27" t="s">
        <v>1450</v>
      </c>
      <c r="F6312" s="27" t="s">
        <v>1453</v>
      </c>
      <c r="H6312" s="27" t="s">
        <v>1454</v>
      </c>
      <c r="N6312" s="27" t="s">
        <v>1419</v>
      </c>
      <c r="P6312" s="27" t="s">
        <v>7913</v>
      </c>
      <c r="Q6312" s="26" t="str">
        <f>HYPERLINK("https://ictv.global/taxonomy/taxondetails?taxnode_id=202511924&amp;ictv_id=ICTV202011924","ICTV202011924")</f>
        <v>ICTV202011924</v>
      </c>
      <c r="R6312" t="s">
        <v>579</v>
      </c>
      <c r="S6312" t="s">
        <v>824</v>
      </c>
      <c r="T6312">
        <v>37</v>
      </c>
      <c r="U6312" s="26" t="str">
        <f t="shared" si="251"/>
        <v>2021.010B.R.Binomial_names.zip</v>
      </c>
    </row>
    <row r="6313" spans="1:21">
      <c r="A6313">
        <v>6312</v>
      </c>
      <c r="B6313" s="27" t="s">
        <v>1449</v>
      </c>
      <c r="D6313" s="27" t="s">
        <v>1450</v>
      </c>
      <c r="F6313" s="27" t="s">
        <v>1453</v>
      </c>
      <c r="H6313" s="27" t="s">
        <v>1454</v>
      </c>
      <c r="N6313" s="27" t="s">
        <v>1419</v>
      </c>
      <c r="P6313" s="27" t="s">
        <v>7914</v>
      </c>
      <c r="Q6313" s="26" t="str">
        <f>HYPERLINK("https://ictv.global/taxonomy/taxondetails?taxnode_id=202511918&amp;ictv_id=ICTV202011918","ICTV202011918")</f>
        <v>ICTV202011918</v>
      </c>
      <c r="R6313" t="s">
        <v>579</v>
      </c>
      <c r="S6313" t="s">
        <v>824</v>
      </c>
      <c r="T6313">
        <v>37</v>
      </c>
      <c r="U6313" s="26" t="str">
        <f t="shared" si="251"/>
        <v>2021.010B.R.Binomial_names.zip</v>
      </c>
    </row>
    <row r="6314" spans="1:21">
      <c r="A6314">
        <v>6313</v>
      </c>
      <c r="B6314" s="27" t="s">
        <v>1449</v>
      </c>
      <c r="D6314" s="27" t="s">
        <v>1450</v>
      </c>
      <c r="F6314" s="27" t="s">
        <v>1453</v>
      </c>
      <c r="H6314" s="27" t="s">
        <v>1454</v>
      </c>
      <c r="N6314" s="27" t="s">
        <v>1419</v>
      </c>
      <c r="P6314" s="27" t="s">
        <v>7915</v>
      </c>
      <c r="Q6314" s="26" t="str">
        <f>HYPERLINK("https://ictv.global/taxonomy/taxondetails?taxnode_id=202511919&amp;ictv_id=ICTV202011919","ICTV202011919")</f>
        <v>ICTV202011919</v>
      </c>
      <c r="R6314" t="s">
        <v>579</v>
      </c>
      <c r="S6314" t="s">
        <v>824</v>
      </c>
      <c r="T6314">
        <v>37</v>
      </c>
      <c r="U6314" s="26" t="str">
        <f t="shared" si="251"/>
        <v>2021.010B.R.Binomial_names.zip</v>
      </c>
    </row>
    <row r="6315" spans="1:21">
      <c r="A6315">
        <v>6314</v>
      </c>
      <c r="B6315" s="27" t="s">
        <v>1449</v>
      </c>
      <c r="D6315" s="27" t="s">
        <v>1450</v>
      </c>
      <c r="F6315" s="27" t="s">
        <v>1453</v>
      </c>
      <c r="H6315" s="27" t="s">
        <v>1454</v>
      </c>
      <c r="N6315" s="27" t="s">
        <v>1419</v>
      </c>
      <c r="P6315" s="27" t="s">
        <v>7916</v>
      </c>
      <c r="Q6315" s="26" t="str">
        <f>HYPERLINK("https://ictv.global/taxonomy/taxondetails?taxnode_id=202511920&amp;ictv_id=ICTV202011920","ICTV202011920")</f>
        <v>ICTV202011920</v>
      </c>
      <c r="R6315" t="s">
        <v>579</v>
      </c>
      <c r="S6315" t="s">
        <v>824</v>
      </c>
      <c r="T6315">
        <v>37</v>
      </c>
      <c r="U6315" s="26" t="str">
        <f t="shared" si="251"/>
        <v>2021.010B.R.Binomial_names.zip</v>
      </c>
    </row>
    <row r="6316" spans="1:21">
      <c r="A6316">
        <v>6315</v>
      </c>
      <c r="B6316" s="27" t="s">
        <v>1449</v>
      </c>
      <c r="D6316" s="27" t="s">
        <v>1450</v>
      </c>
      <c r="F6316" s="27" t="s">
        <v>1453</v>
      </c>
      <c r="H6316" s="27" t="s">
        <v>1454</v>
      </c>
      <c r="N6316" s="27" t="s">
        <v>1419</v>
      </c>
      <c r="P6316" s="27" t="s">
        <v>7917</v>
      </c>
      <c r="Q6316" s="26" t="str">
        <f>HYPERLINK("https://ictv.global/taxonomy/taxondetails?taxnode_id=202511921&amp;ictv_id=ICTV202011921","ICTV202011921")</f>
        <v>ICTV202011921</v>
      </c>
      <c r="R6316" t="s">
        <v>579</v>
      </c>
      <c r="S6316" t="s">
        <v>824</v>
      </c>
      <c r="T6316">
        <v>37</v>
      </c>
      <c r="U6316" s="26" t="str">
        <f t="shared" si="251"/>
        <v>2021.010B.R.Binomial_names.zip</v>
      </c>
    </row>
    <row r="6317" spans="1:21">
      <c r="A6317">
        <v>6316</v>
      </c>
      <c r="B6317" s="27" t="s">
        <v>1449</v>
      </c>
      <c r="D6317" s="27" t="s">
        <v>1450</v>
      </c>
      <c r="F6317" s="27" t="s">
        <v>1453</v>
      </c>
      <c r="H6317" s="27" t="s">
        <v>1454</v>
      </c>
      <c r="N6317" s="27" t="s">
        <v>1419</v>
      </c>
      <c r="P6317" s="27" t="s">
        <v>7918</v>
      </c>
      <c r="Q6317" s="26" t="str">
        <f>HYPERLINK("https://ictv.global/taxonomy/taxondetails?taxnode_id=202511943&amp;ictv_id=ICTV202011943","ICTV202011943")</f>
        <v>ICTV202011943</v>
      </c>
      <c r="R6317" t="s">
        <v>579</v>
      </c>
      <c r="S6317" t="s">
        <v>824</v>
      </c>
      <c r="T6317">
        <v>37</v>
      </c>
      <c r="U6317" s="26" t="str">
        <f t="shared" si="251"/>
        <v>2021.010B.R.Binomial_names.zip</v>
      </c>
    </row>
    <row r="6318" spans="1:21">
      <c r="A6318">
        <v>6317</v>
      </c>
      <c r="B6318" s="27" t="s">
        <v>1449</v>
      </c>
      <c r="D6318" s="27" t="s">
        <v>1450</v>
      </c>
      <c r="F6318" s="27" t="s">
        <v>1453</v>
      </c>
      <c r="H6318" s="27" t="s">
        <v>1454</v>
      </c>
      <c r="N6318" s="27" t="s">
        <v>1419</v>
      </c>
      <c r="P6318" s="27" t="s">
        <v>7919</v>
      </c>
      <c r="Q6318" s="26" t="str">
        <f>HYPERLINK("https://ictv.global/taxonomy/taxondetails?taxnode_id=202511922&amp;ictv_id=ICTV202011922","ICTV202011922")</f>
        <v>ICTV202011922</v>
      </c>
      <c r="R6318" t="s">
        <v>579</v>
      </c>
      <c r="S6318" t="s">
        <v>824</v>
      </c>
      <c r="T6318">
        <v>37</v>
      </c>
      <c r="U6318" s="26" t="str">
        <f t="shared" si="251"/>
        <v>2021.010B.R.Binomial_names.zip</v>
      </c>
    </row>
    <row r="6319" spans="1:21">
      <c r="A6319">
        <v>6318</v>
      </c>
      <c r="B6319" s="27" t="s">
        <v>1449</v>
      </c>
      <c r="D6319" s="27" t="s">
        <v>1450</v>
      </c>
      <c r="F6319" s="27" t="s">
        <v>1453</v>
      </c>
      <c r="H6319" s="27" t="s">
        <v>1454</v>
      </c>
      <c r="N6319" s="27" t="s">
        <v>1419</v>
      </c>
      <c r="P6319" s="27" t="s">
        <v>7920</v>
      </c>
      <c r="Q6319" s="26" t="str">
        <f>HYPERLINK("https://ictv.global/taxonomy/taxondetails?taxnode_id=202511925&amp;ictv_id=ICTV202011925","ICTV202011925")</f>
        <v>ICTV202011925</v>
      </c>
      <c r="R6319" t="s">
        <v>579</v>
      </c>
      <c r="S6319" t="s">
        <v>824</v>
      </c>
      <c r="T6319">
        <v>37</v>
      </c>
      <c r="U6319" s="26" t="str">
        <f t="shared" si="251"/>
        <v>2021.010B.R.Binomial_names.zip</v>
      </c>
    </row>
    <row r="6320" spans="1:21">
      <c r="A6320">
        <v>6319</v>
      </c>
      <c r="B6320" s="27" t="s">
        <v>1449</v>
      </c>
      <c r="D6320" s="27" t="s">
        <v>1450</v>
      </c>
      <c r="F6320" s="27" t="s">
        <v>1453</v>
      </c>
      <c r="H6320" s="27" t="s">
        <v>1454</v>
      </c>
      <c r="N6320" s="27" t="s">
        <v>1419</v>
      </c>
      <c r="P6320" s="27" t="s">
        <v>7921</v>
      </c>
      <c r="Q6320" s="26" t="str">
        <f>HYPERLINK("https://ictv.global/taxonomy/taxondetails?taxnode_id=202511892&amp;ictv_id=ICTV202011892","ICTV202011892")</f>
        <v>ICTV202011892</v>
      </c>
      <c r="R6320" t="s">
        <v>579</v>
      </c>
      <c r="S6320" t="s">
        <v>824</v>
      </c>
      <c r="T6320">
        <v>37</v>
      </c>
      <c r="U6320" s="26" t="str">
        <f t="shared" si="251"/>
        <v>2021.010B.R.Binomial_names.zip</v>
      </c>
    </row>
    <row r="6321" spans="1:21">
      <c r="A6321">
        <v>6320</v>
      </c>
      <c r="B6321" s="27" t="s">
        <v>1449</v>
      </c>
      <c r="D6321" s="27" t="s">
        <v>1450</v>
      </c>
      <c r="F6321" s="27" t="s">
        <v>1453</v>
      </c>
      <c r="H6321" s="27" t="s">
        <v>1454</v>
      </c>
      <c r="N6321" s="27" t="s">
        <v>1419</v>
      </c>
      <c r="P6321" s="27" t="s">
        <v>7922</v>
      </c>
      <c r="Q6321" s="26" t="str">
        <f>HYPERLINK("https://ictv.global/taxonomy/taxondetails?taxnode_id=202511927&amp;ictv_id=ICTV202011927","ICTV202011927")</f>
        <v>ICTV202011927</v>
      </c>
      <c r="R6321" t="s">
        <v>579</v>
      </c>
      <c r="S6321" t="s">
        <v>824</v>
      </c>
      <c r="T6321">
        <v>37</v>
      </c>
      <c r="U6321" s="26" t="str">
        <f t="shared" si="251"/>
        <v>2021.010B.R.Binomial_names.zip</v>
      </c>
    </row>
    <row r="6322" spans="1:21">
      <c r="A6322">
        <v>6321</v>
      </c>
      <c r="B6322" s="27" t="s">
        <v>1449</v>
      </c>
      <c r="D6322" s="27" t="s">
        <v>1450</v>
      </c>
      <c r="F6322" s="27" t="s">
        <v>1453</v>
      </c>
      <c r="H6322" s="27" t="s">
        <v>1454</v>
      </c>
      <c r="N6322" s="27" t="s">
        <v>1419</v>
      </c>
      <c r="P6322" s="27" t="s">
        <v>7923</v>
      </c>
      <c r="Q6322" s="26" t="str">
        <f>HYPERLINK("https://ictv.global/taxonomy/taxondetails?taxnode_id=202511929&amp;ictv_id=ICTV202011929","ICTV202011929")</f>
        <v>ICTV202011929</v>
      </c>
      <c r="R6322" t="s">
        <v>579</v>
      </c>
      <c r="S6322" t="s">
        <v>824</v>
      </c>
      <c r="T6322">
        <v>37</v>
      </c>
      <c r="U6322" s="26" t="str">
        <f t="shared" si="251"/>
        <v>2021.010B.R.Binomial_names.zip</v>
      </c>
    </row>
    <row r="6323" spans="1:21">
      <c r="A6323">
        <v>6322</v>
      </c>
      <c r="B6323" s="27" t="s">
        <v>1449</v>
      </c>
      <c r="D6323" s="27" t="s">
        <v>1450</v>
      </c>
      <c r="F6323" s="27" t="s">
        <v>1453</v>
      </c>
      <c r="H6323" s="27" t="s">
        <v>1454</v>
      </c>
      <c r="N6323" s="27" t="s">
        <v>1419</v>
      </c>
      <c r="P6323" s="27" t="s">
        <v>7924</v>
      </c>
      <c r="Q6323" s="26" t="str">
        <f>HYPERLINK("https://ictv.global/taxonomy/taxondetails?taxnode_id=202501300&amp;ictv_id=ICTV20140479","ICTV20140479")</f>
        <v>ICTV20140479</v>
      </c>
      <c r="R6323" t="s">
        <v>579</v>
      </c>
      <c r="S6323" t="s">
        <v>824</v>
      </c>
      <c r="T6323">
        <v>37</v>
      </c>
      <c r="U6323" s="26" t="str">
        <f t="shared" si="251"/>
        <v>2021.010B.R.Binomial_names.zip</v>
      </c>
    </row>
    <row r="6324" spans="1:21">
      <c r="A6324">
        <v>6323</v>
      </c>
      <c r="B6324" s="27" t="s">
        <v>1449</v>
      </c>
      <c r="D6324" s="27" t="s">
        <v>1450</v>
      </c>
      <c r="F6324" s="27" t="s">
        <v>1453</v>
      </c>
      <c r="H6324" s="27" t="s">
        <v>1454</v>
      </c>
      <c r="N6324" s="27" t="s">
        <v>1419</v>
      </c>
      <c r="P6324" s="27" t="s">
        <v>7925</v>
      </c>
      <c r="Q6324" s="26" t="str">
        <f>HYPERLINK("https://ictv.global/taxonomy/taxondetails?taxnode_id=202511872&amp;ictv_id=ICTV202011872","ICTV202011872")</f>
        <v>ICTV202011872</v>
      </c>
      <c r="R6324" t="s">
        <v>579</v>
      </c>
      <c r="S6324" t="s">
        <v>824</v>
      </c>
      <c r="T6324">
        <v>37</v>
      </c>
      <c r="U6324" s="26" t="str">
        <f t="shared" si="251"/>
        <v>2021.010B.R.Binomial_names.zip</v>
      </c>
    </row>
    <row r="6325" spans="1:21">
      <c r="A6325">
        <v>6324</v>
      </c>
      <c r="B6325" s="27" t="s">
        <v>1449</v>
      </c>
      <c r="D6325" s="27" t="s">
        <v>1450</v>
      </c>
      <c r="F6325" s="27" t="s">
        <v>1453</v>
      </c>
      <c r="H6325" s="27" t="s">
        <v>1454</v>
      </c>
      <c r="N6325" s="27" t="s">
        <v>1419</v>
      </c>
      <c r="P6325" s="27" t="s">
        <v>7926</v>
      </c>
      <c r="Q6325" s="26" t="str">
        <f>HYPERLINK("https://ictv.global/taxonomy/taxondetails?taxnode_id=202511873&amp;ictv_id=ICTV202011873","ICTV202011873")</f>
        <v>ICTV202011873</v>
      </c>
      <c r="R6325" t="s">
        <v>579</v>
      </c>
      <c r="S6325" t="s">
        <v>824</v>
      </c>
      <c r="T6325">
        <v>37</v>
      </c>
      <c r="U6325" s="26" t="str">
        <f t="shared" si="251"/>
        <v>2021.010B.R.Binomial_names.zip</v>
      </c>
    </row>
    <row r="6326" spans="1:21">
      <c r="A6326">
        <v>6325</v>
      </c>
      <c r="B6326" s="27" t="s">
        <v>1449</v>
      </c>
      <c r="D6326" s="27" t="s">
        <v>1450</v>
      </c>
      <c r="F6326" s="27" t="s">
        <v>1453</v>
      </c>
      <c r="H6326" s="27" t="s">
        <v>1454</v>
      </c>
      <c r="N6326" s="27" t="s">
        <v>1419</v>
      </c>
      <c r="P6326" s="27" t="s">
        <v>7927</v>
      </c>
      <c r="Q6326" s="26" t="str">
        <f>HYPERLINK("https://ictv.global/taxonomy/taxondetails?taxnode_id=202511931&amp;ictv_id=ICTV202011931","ICTV202011931")</f>
        <v>ICTV202011931</v>
      </c>
      <c r="R6326" t="s">
        <v>579</v>
      </c>
      <c r="S6326" t="s">
        <v>824</v>
      </c>
      <c r="T6326">
        <v>37</v>
      </c>
      <c r="U6326" s="26" t="str">
        <f t="shared" si="251"/>
        <v>2021.010B.R.Binomial_names.zip</v>
      </c>
    </row>
    <row r="6327" spans="1:21">
      <c r="A6327">
        <v>6326</v>
      </c>
      <c r="B6327" s="27" t="s">
        <v>1449</v>
      </c>
      <c r="D6327" s="27" t="s">
        <v>1450</v>
      </c>
      <c r="F6327" s="27" t="s">
        <v>1453</v>
      </c>
      <c r="H6327" s="27" t="s">
        <v>1454</v>
      </c>
      <c r="N6327" s="27" t="s">
        <v>1419</v>
      </c>
      <c r="P6327" s="27" t="s">
        <v>7928</v>
      </c>
      <c r="Q6327" s="26" t="str">
        <f>HYPERLINK("https://ictv.global/taxonomy/taxondetails?taxnode_id=202511874&amp;ictv_id=ICTV202011874","ICTV202011874")</f>
        <v>ICTV202011874</v>
      </c>
      <c r="R6327" t="s">
        <v>579</v>
      </c>
      <c r="S6327" t="s">
        <v>824</v>
      </c>
      <c r="T6327">
        <v>37</v>
      </c>
      <c r="U6327" s="26" t="str">
        <f t="shared" si="251"/>
        <v>2021.010B.R.Binomial_names.zip</v>
      </c>
    </row>
    <row r="6328" spans="1:21">
      <c r="A6328">
        <v>6327</v>
      </c>
      <c r="B6328" s="27" t="s">
        <v>1449</v>
      </c>
      <c r="D6328" s="27" t="s">
        <v>1450</v>
      </c>
      <c r="F6328" s="27" t="s">
        <v>1453</v>
      </c>
      <c r="H6328" s="27" t="s">
        <v>1454</v>
      </c>
      <c r="N6328" s="27" t="s">
        <v>1419</v>
      </c>
      <c r="P6328" s="27" t="s">
        <v>7929</v>
      </c>
      <c r="Q6328" s="26" t="str">
        <f>HYPERLINK("https://ictv.global/taxonomy/taxondetails?taxnode_id=202511930&amp;ictv_id=ICTV202011930","ICTV202011930")</f>
        <v>ICTV202011930</v>
      </c>
      <c r="R6328" t="s">
        <v>579</v>
      </c>
      <c r="S6328" t="s">
        <v>824</v>
      </c>
      <c r="T6328">
        <v>37</v>
      </c>
      <c r="U6328" s="26" t="str">
        <f t="shared" si="251"/>
        <v>2021.010B.R.Binomial_names.zip</v>
      </c>
    </row>
    <row r="6329" spans="1:21">
      <c r="A6329">
        <v>6328</v>
      </c>
      <c r="B6329" s="27" t="s">
        <v>1449</v>
      </c>
      <c r="D6329" s="27" t="s">
        <v>1450</v>
      </c>
      <c r="F6329" s="27" t="s">
        <v>1453</v>
      </c>
      <c r="H6329" s="27" t="s">
        <v>1454</v>
      </c>
      <c r="N6329" s="27" t="s">
        <v>1419</v>
      </c>
      <c r="P6329" s="27" t="s">
        <v>7930</v>
      </c>
      <c r="Q6329" s="26" t="str">
        <f>HYPERLINK("https://ictv.global/taxonomy/taxondetails?taxnode_id=202511932&amp;ictv_id=ICTV202011932","ICTV202011932")</f>
        <v>ICTV202011932</v>
      </c>
      <c r="R6329" t="s">
        <v>579</v>
      </c>
      <c r="S6329" t="s">
        <v>824</v>
      </c>
      <c r="T6329">
        <v>37</v>
      </c>
      <c r="U6329" s="26" t="str">
        <f t="shared" si="251"/>
        <v>2021.010B.R.Binomial_names.zip</v>
      </c>
    </row>
    <row r="6330" spans="1:21">
      <c r="A6330">
        <v>6329</v>
      </c>
      <c r="B6330" s="27" t="s">
        <v>1449</v>
      </c>
      <c r="D6330" s="27" t="s">
        <v>1450</v>
      </c>
      <c r="F6330" s="27" t="s">
        <v>1453</v>
      </c>
      <c r="H6330" s="27" t="s">
        <v>1454</v>
      </c>
      <c r="N6330" s="27" t="s">
        <v>1419</v>
      </c>
      <c r="P6330" s="27" t="s">
        <v>7931</v>
      </c>
      <c r="Q6330" s="26" t="str">
        <f>HYPERLINK("https://ictv.global/taxonomy/taxondetails?taxnode_id=202511898&amp;ictv_id=ICTV202011898","ICTV202011898")</f>
        <v>ICTV202011898</v>
      </c>
      <c r="R6330" t="s">
        <v>579</v>
      </c>
      <c r="S6330" t="s">
        <v>824</v>
      </c>
      <c r="T6330">
        <v>37</v>
      </c>
      <c r="U6330" s="26" t="str">
        <f t="shared" si="251"/>
        <v>2021.010B.R.Binomial_names.zip</v>
      </c>
    </row>
    <row r="6331" spans="1:21">
      <c r="A6331">
        <v>6330</v>
      </c>
      <c r="B6331" s="27" t="s">
        <v>1449</v>
      </c>
      <c r="D6331" s="27" t="s">
        <v>1450</v>
      </c>
      <c r="F6331" s="27" t="s">
        <v>1453</v>
      </c>
      <c r="H6331" s="27" t="s">
        <v>1454</v>
      </c>
      <c r="N6331" s="27" t="s">
        <v>1419</v>
      </c>
      <c r="P6331" s="27" t="s">
        <v>7932</v>
      </c>
      <c r="Q6331" s="26" t="str">
        <f>HYPERLINK("https://ictv.global/taxonomy/taxondetails?taxnode_id=202511894&amp;ictv_id=ICTV202011894","ICTV202011894")</f>
        <v>ICTV202011894</v>
      </c>
      <c r="R6331" t="s">
        <v>579</v>
      </c>
      <c r="S6331" t="s">
        <v>824</v>
      </c>
      <c r="T6331">
        <v>37</v>
      </c>
      <c r="U6331" s="26" t="str">
        <f t="shared" si="251"/>
        <v>2021.010B.R.Binomial_names.zip</v>
      </c>
    </row>
    <row r="6332" spans="1:21">
      <c r="A6332">
        <v>6331</v>
      </c>
      <c r="B6332" s="27" t="s">
        <v>1449</v>
      </c>
      <c r="D6332" s="27" t="s">
        <v>1450</v>
      </c>
      <c r="F6332" s="27" t="s">
        <v>1453</v>
      </c>
      <c r="H6332" s="27" t="s">
        <v>1454</v>
      </c>
      <c r="N6332" s="27" t="s">
        <v>1419</v>
      </c>
      <c r="P6332" s="27" t="s">
        <v>7933</v>
      </c>
      <c r="Q6332" s="26" t="str">
        <f>HYPERLINK("https://ictv.global/taxonomy/taxondetails?taxnode_id=202501301&amp;ictv_id=ICTV20140475","ICTV20140475")</f>
        <v>ICTV20140475</v>
      </c>
      <c r="R6332" t="s">
        <v>579</v>
      </c>
      <c r="S6332" t="s">
        <v>824</v>
      </c>
      <c r="T6332">
        <v>37</v>
      </c>
      <c r="U6332" s="26" t="str">
        <f t="shared" si="251"/>
        <v>2021.010B.R.Binomial_names.zip</v>
      </c>
    </row>
    <row r="6333" spans="1:21">
      <c r="A6333">
        <v>6332</v>
      </c>
      <c r="B6333" s="27" t="s">
        <v>1449</v>
      </c>
      <c r="D6333" s="27" t="s">
        <v>1450</v>
      </c>
      <c r="F6333" s="27" t="s">
        <v>1453</v>
      </c>
      <c r="H6333" s="27" t="s">
        <v>1454</v>
      </c>
      <c r="N6333" s="27" t="s">
        <v>1419</v>
      </c>
      <c r="P6333" s="27" t="s">
        <v>7934</v>
      </c>
      <c r="Q6333" s="26" t="str">
        <f>HYPERLINK("https://ictv.global/taxonomy/taxondetails?taxnode_id=202501302&amp;ictv_id=ICTV20140480","ICTV20140480")</f>
        <v>ICTV20140480</v>
      </c>
      <c r="R6333" t="s">
        <v>579</v>
      </c>
      <c r="S6333" t="s">
        <v>824</v>
      </c>
      <c r="T6333">
        <v>37</v>
      </c>
      <c r="U6333" s="26" t="str">
        <f t="shared" si="251"/>
        <v>2021.010B.R.Binomial_names.zip</v>
      </c>
    </row>
    <row r="6334" spans="1:21">
      <c r="A6334">
        <v>6333</v>
      </c>
      <c r="B6334" s="27" t="s">
        <v>1449</v>
      </c>
      <c r="D6334" s="27" t="s">
        <v>1450</v>
      </c>
      <c r="F6334" s="27" t="s">
        <v>1453</v>
      </c>
      <c r="H6334" s="27" t="s">
        <v>1454</v>
      </c>
      <c r="N6334" s="27" t="s">
        <v>1419</v>
      </c>
      <c r="P6334" s="27" t="s">
        <v>7935</v>
      </c>
      <c r="Q6334" s="26" t="str">
        <f>HYPERLINK("https://ictv.global/taxonomy/taxondetails?taxnode_id=202511875&amp;ictv_id=ICTV202011875","ICTV202011875")</f>
        <v>ICTV202011875</v>
      </c>
      <c r="R6334" t="s">
        <v>579</v>
      </c>
      <c r="S6334" t="s">
        <v>824</v>
      </c>
      <c r="T6334">
        <v>37</v>
      </c>
      <c r="U6334" s="26" t="str">
        <f t="shared" si="251"/>
        <v>2021.010B.R.Binomial_names.zip</v>
      </c>
    </row>
    <row r="6335" spans="1:21">
      <c r="A6335">
        <v>6334</v>
      </c>
      <c r="B6335" s="27" t="s">
        <v>1449</v>
      </c>
      <c r="D6335" s="27" t="s">
        <v>1450</v>
      </c>
      <c r="F6335" s="27" t="s">
        <v>1453</v>
      </c>
      <c r="H6335" s="27" t="s">
        <v>1454</v>
      </c>
      <c r="N6335" s="27" t="s">
        <v>1419</v>
      </c>
      <c r="P6335" s="27" t="s">
        <v>7936</v>
      </c>
      <c r="Q6335" s="26" t="str">
        <f>HYPERLINK("https://ictv.global/taxonomy/taxondetails?taxnode_id=202511877&amp;ictv_id=ICTV202011877","ICTV202011877")</f>
        <v>ICTV202011877</v>
      </c>
      <c r="R6335" t="s">
        <v>579</v>
      </c>
      <c r="S6335" t="s">
        <v>824</v>
      </c>
      <c r="T6335">
        <v>37</v>
      </c>
      <c r="U6335" s="26" t="str">
        <f t="shared" si="251"/>
        <v>2021.010B.R.Binomial_names.zip</v>
      </c>
    </row>
    <row r="6336" spans="1:21">
      <c r="A6336">
        <v>6335</v>
      </c>
      <c r="B6336" s="27" t="s">
        <v>1449</v>
      </c>
      <c r="D6336" s="27" t="s">
        <v>1450</v>
      </c>
      <c r="F6336" s="27" t="s">
        <v>1453</v>
      </c>
      <c r="H6336" s="27" t="s">
        <v>1454</v>
      </c>
      <c r="N6336" s="27" t="s">
        <v>1419</v>
      </c>
      <c r="P6336" s="27" t="s">
        <v>7937</v>
      </c>
      <c r="Q6336" s="26" t="str">
        <f>HYPERLINK("https://ictv.global/taxonomy/taxondetails?taxnode_id=202511887&amp;ictv_id=ICTV202011887","ICTV202011887")</f>
        <v>ICTV202011887</v>
      </c>
      <c r="R6336" t="s">
        <v>579</v>
      </c>
      <c r="S6336" t="s">
        <v>824</v>
      </c>
      <c r="T6336">
        <v>37</v>
      </c>
      <c r="U6336" s="26" t="str">
        <f t="shared" si="251"/>
        <v>2021.010B.R.Binomial_names.zip</v>
      </c>
    </row>
    <row r="6337" spans="1:21">
      <c r="A6337">
        <v>6336</v>
      </c>
      <c r="B6337" s="27" t="s">
        <v>1449</v>
      </c>
      <c r="D6337" s="27" t="s">
        <v>1450</v>
      </c>
      <c r="F6337" s="27" t="s">
        <v>1453</v>
      </c>
      <c r="H6337" s="27" t="s">
        <v>1454</v>
      </c>
      <c r="N6337" s="27" t="s">
        <v>1419</v>
      </c>
      <c r="P6337" s="27" t="s">
        <v>7938</v>
      </c>
      <c r="Q6337" s="26" t="str">
        <f>HYPERLINK("https://ictv.global/taxonomy/taxondetails?taxnode_id=202511946&amp;ictv_id=ICTV202011946","ICTV202011946")</f>
        <v>ICTV202011946</v>
      </c>
      <c r="R6337" t="s">
        <v>579</v>
      </c>
      <c r="S6337" t="s">
        <v>824</v>
      </c>
      <c r="T6337">
        <v>37</v>
      </c>
      <c r="U6337" s="26" t="str">
        <f t="shared" si="251"/>
        <v>2021.010B.R.Binomial_names.zip</v>
      </c>
    </row>
    <row r="6338" spans="1:21">
      <c r="A6338">
        <v>6337</v>
      </c>
      <c r="B6338" s="27" t="s">
        <v>1449</v>
      </c>
      <c r="D6338" s="27" t="s">
        <v>1450</v>
      </c>
      <c r="F6338" s="27" t="s">
        <v>1453</v>
      </c>
      <c r="H6338" s="27" t="s">
        <v>1454</v>
      </c>
      <c r="N6338" s="27" t="s">
        <v>1419</v>
      </c>
      <c r="P6338" s="27" t="s">
        <v>7939</v>
      </c>
      <c r="Q6338" s="26" t="str">
        <f>HYPERLINK("https://ictv.global/taxonomy/taxondetails?taxnode_id=202511885&amp;ictv_id=ICTV202011885","ICTV202011885")</f>
        <v>ICTV202011885</v>
      </c>
      <c r="R6338" t="s">
        <v>579</v>
      </c>
      <c r="S6338" t="s">
        <v>824</v>
      </c>
      <c r="T6338">
        <v>37</v>
      </c>
      <c r="U6338" s="26" t="str">
        <f t="shared" si="251"/>
        <v>2021.010B.R.Binomial_names.zip</v>
      </c>
    </row>
    <row r="6339" spans="1:21">
      <c r="A6339">
        <v>6338</v>
      </c>
      <c r="B6339" s="27" t="s">
        <v>1449</v>
      </c>
      <c r="D6339" s="27" t="s">
        <v>1450</v>
      </c>
      <c r="F6339" s="27" t="s">
        <v>1453</v>
      </c>
      <c r="H6339" s="27" t="s">
        <v>1454</v>
      </c>
      <c r="N6339" s="27" t="s">
        <v>1419</v>
      </c>
      <c r="P6339" s="27" t="s">
        <v>7940</v>
      </c>
      <c r="Q6339" s="26" t="str">
        <f>HYPERLINK("https://ictv.global/taxonomy/taxondetails?taxnode_id=202511878&amp;ictv_id=ICTV202011878","ICTV202011878")</f>
        <v>ICTV202011878</v>
      </c>
      <c r="R6339" t="s">
        <v>579</v>
      </c>
      <c r="S6339" t="s">
        <v>824</v>
      </c>
      <c r="T6339">
        <v>37</v>
      </c>
      <c r="U6339" s="26" t="str">
        <f t="shared" si="251"/>
        <v>2021.010B.R.Binomial_names.zip</v>
      </c>
    </row>
    <row r="6340" spans="1:21">
      <c r="A6340">
        <v>6339</v>
      </c>
      <c r="B6340" s="27" t="s">
        <v>1449</v>
      </c>
      <c r="D6340" s="27" t="s">
        <v>1450</v>
      </c>
      <c r="F6340" s="27" t="s">
        <v>1453</v>
      </c>
      <c r="H6340" s="27" t="s">
        <v>1454</v>
      </c>
      <c r="N6340" s="27" t="s">
        <v>1419</v>
      </c>
      <c r="P6340" s="27" t="s">
        <v>7941</v>
      </c>
      <c r="Q6340" s="26" t="str">
        <f>HYPERLINK("https://ictv.global/taxonomy/taxondetails?taxnode_id=202511890&amp;ictv_id=ICTV202011890","ICTV202011890")</f>
        <v>ICTV202011890</v>
      </c>
      <c r="R6340" t="s">
        <v>579</v>
      </c>
      <c r="S6340" t="s">
        <v>824</v>
      </c>
      <c r="T6340">
        <v>37</v>
      </c>
      <c r="U6340" s="26" t="str">
        <f t="shared" si="251"/>
        <v>2021.010B.R.Binomial_names.zip</v>
      </c>
    </row>
    <row r="6341" spans="1:21">
      <c r="A6341">
        <v>6340</v>
      </c>
      <c r="B6341" s="27" t="s">
        <v>1449</v>
      </c>
      <c r="D6341" s="27" t="s">
        <v>1450</v>
      </c>
      <c r="F6341" s="27" t="s">
        <v>1453</v>
      </c>
      <c r="H6341" s="27" t="s">
        <v>1454</v>
      </c>
      <c r="N6341" s="27" t="s">
        <v>1419</v>
      </c>
      <c r="P6341" s="27" t="s">
        <v>7942</v>
      </c>
      <c r="Q6341" s="26" t="str">
        <f>HYPERLINK("https://ictv.global/taxonomy/taxondetails?taxnode_id=202511881&amp;ictv_id=ICTV202011881","ICTV202011881")</f>
        <v>ICTV202011881</v>
      </c>
      <c r="R6341" t="s">
        <v>579</v>
      </c>
      <c r="S6341" t="s">
        <v>824</v>
      </c>
      <c r="T6341">
        <v>37</v>
      </c>
      <c r="U6341" s="26" t="str">
        <f t="shared" ref="U6341:U6372" si="252">HYPERLINK("https://ictv.global/ictv/proposals/2021.010B.R.Binomial_names.zip","2021.010B.R.Binomial_names.zip")</f>
        <v>2021.010B.R.Binomial_names.zip</v>
      </c>
    </row>
    <row r="6342" spans="1:21">
      <c r="A6342">
        <v>6341</v>
      </c>
      <c r="B6342" s="27" t="s">
        <v>1449</v>
      </c>
      <c r="D6342" s="27" t="s">
        <v>1450</v>
      </c>
      <c r="F6342" s="27" t="s">
        <v>1453</v>
      </c>
      <c r="H6342" s="27" t="s">
        <v>1454</v>
      </c>
      <c r="N6342" s="27" t="s">
        <v>1419</v>
      </c>
      <c r="P6342" s="27" t="s">
        <v>7943</v>
      </c>
      <c r="Q6342" s="26" t="str">
        <f>HYPERLINK("https://ictv.global/taxonomy/taxondetails?taxnode_id=202511867&amp;ictv_id=ICTV202011867","ICTV202011867")</f>
        <v>ICTV202011867</v>
      </c>
      <c r="R6342" t="s">
        <v>579</v>
      </c>
      <c r="S6342" t="s">
        <v>824</v>
      </c>
      <c r="T6342">
        <v>37</v>
      </c>
      <c r="U6342" s="26" t="str">
        <f t="shared" si="252"/>
        <v>2021.010B.R.Binomial_names.zip</v>
      </c>
    </row>
    <row r="6343" spans="1:21">
      <c r="A6343">
        <v>6342</v>
      </c>
      <c r="B6343" s="27" t="s">
        <v>1449</v>
      </c>
      <c r="D6343" s="27" t="s">
        <v>1450</v>
      </c>
      <c r="F6343" s="27" t="s">
        <v>1453</v>
      </c>
      <c r="H6343" s="27" t="s">
        <v>1454</v>
      </c>
      <c r="N6343" s="27" t="s">
        <v>1419</v>
      </c>
      <c r="P6343" s="27" t="s">
        <v>7944</v>
      </c>
      <c r="Q6343" s="26" t="str">
        <f>HYPERLINK("https://ictv.global/taxonomy/taxondetails?taxnode_id=202511882&amp;ictv_id=ICTV202011882","ICTV202011882")</f>
        <v>ICTV202011882</v>
      </c>
      <c r="R6343" t="s">
        <v>579</v>
      </c>
      <c r="S6343" t="s">
        <v>824</v>
      </c>
      <c r="T6343">
        <v>37</v>
      </c>
      <c r="U6343" s="26" t="str">
        <f t="shared" si="252"/>
        <v>2021.010B.R.Binomial_names.zip</v>
      </c>
    </row>
    <row r="6344" spans="1:21">
      <c r="A6344">
        <v>6343</v>
      </c>
      <c r="B6344" s="27" t="s">
        <v>1449</v>
      </c>
      <c r="D6344" s="27" t="s">
        <v>1450</v>
      </c>
      <c r="F6344" s="27" t="s">
        <v>1453</v>
      </c>
      <c r="H6344" s="27" t="s">
        <v>1454</v>
      </c>
      <c r="N6344" s="27" t="s">
        <v>1419</v>
      </c>
      <c r="P6344" s="27" t="s">
        <v>7945</v>
      </c>
      <c r="Q6344" s="26" t="str">
        <f>HYPERLINK("https://ictv.global/taxonomy/taxondetails?taxnode_id=202501286&amp;ictv_id=ICTV20140478","ICTV20140478")</f>
        <v>ICTV20140478</v>
      </c>
      <c r="R6344" t="s">
        <v>579</v>
      </c>
      <c r="S6344" t="s">
        <v>824</v>
      </c>
      <c r="T6344">
        <v>37</v>
      </c>
      <c r="U6344" s="26" t="str">
        <f t="shared" si="252"/>
        <v>2021.010B.R.Binomial_names.zip</v>
      </c>
    </row>
    <row r="6345" spans="1:21">
      <c r="A6345">
        <v>6344</v>
      </c>
      <c r="B6345" s="27" t="s">
        <v>1449</v>
      </c>
      <c r="D6345" s="27" t="s">
        <v>1450</v>
      </c>
      <c r="F6345" s="27" t="s">
        <v>1453</v>
      </c>
      <c r="H6345" s="27" t="s">
        <v>1454</v>
      </c>
      <c r="N6345" s="27" t="s">
        <v>1419</v>
      </c>
      <c r="P6345" s="27" t="s">
        <v>7946</v>
      </c>
      <c r="Q6345" s="26" t="str">
        <f>HYPERLINK("https://ictv.global/taxonomy/taxondetails?taxnode_id=202511868&amp;ictv_id=ICTV202011868","ICTV202011868")</f>
        <v>ICTV202011868</v>
      </c>
      <c r="R6345" t="s">
        <v>579</v>
      </c>
      <c r="S6345" t="s">
        <v>824</v>
      </c>
      <c r="T6345">
        <v>37</v>
      </c>
      <c r="U6345" s="26" t="str">
        <f t="shared" si="252"/>
        <v>2021.010B.R.Binomial_names.zip</v>
      </c>
    </row>
    <row r="6346" spans="1:21">
      <c r="A6346">
        <v>6345</v>
      </c>
      <c r="B6346" s="27" t="s">
        <v>1449</v>
      </c>
      <c r="D6346" s="27" t="s">
        <v>1450</v>
      </c>
      <c r="F6346" s="27" t="s">
        <v>1453</v>
      </c>
      <c r="H6346" s="27" t="s">
        <v>1454</v>
      </c>
      <c r="N6346" s="27" t="s">
        <v>1419</v>
      </c>
      <c r="P6346" s="27" t="s">
        <v>7947</v>
      </c>
      <c r="Q6346" s="26" t="str">
        <f>HYPERLINK("https://ictv.global/taxonomy/taxondetails?taxnode_id=202511899&amp;ictv_id=ICTV202011899","ICTV202011899")</f>
        <v>ICTV202011899</v>
      </c>
      <c r="R6346" t="s">
        <v>579</v>
      </c>
      <c r="S6346" t="s">
        <v>824</v>
      </c>
      <c r="T6346">
        <v>37</v>
      </c>
      <c r="U6346" s="26" t="str">
        <f t="shared" si="252"/>
        <v>2021.010B.R.Binomial_names.zip</v>
      </c>
    </row>
    <row r="6347" spans="1:21">
      <c r="A6347">
        <v>6346</v>
      </c>
      <c r="B6347" s="27" t="s">
        <v>1449</v>
      </c>
      <c r="D6347" s="27" t="s">
        <v>1450</v>
      </c>
      <c r="F6347" s="27" t="s">
        <v>1453</v>
      </c>
      <c r="H6347" s="27" t="s">
        <v>1454</v>
      </c>
      <c r="N6347" s="27" t="s">
        <v>1419</v>
      </c>
      <c r="P6347" s="27" t="s">
        <v>7948</v>
      </c>
      <c r="Q6347" s="26" t="str">
        <f>HYPERLINK("https://ictv.global/taxonomy/taxondetails?taxnode_id=202511900&amp;ictv_id=ICTV202011900","ICTV202011900")</f>
        <v>ICTV202011900</v>
      </c>
      <c r="R6347" t="s">
        <v>579</v>
      </c>
      <c r="S6347" t="s">
        <v>824</v>
      </c>
      <c r="T6347">
        <v>37</v>
      </c>
      <c r="U6347" s="26" t="str">
        <f t="shared" si="252"/>
        <v>2021.010B.R.Binomial_names.zip</v>
      </c>
    </row>
    <row r="6348" spans="1:21">
      <c r="A6348">
        <v>6347</v>
      </c>
      <c r="B6348" s="27" t="s">
        <v>1449</v>
      </c>
      <c r="D6348" s="27" t="s">
        <v>1450</v>
      </c>
      <c r="F6348" s="27" t="s">
        <v>1453</v>
      </c>
      <c r="H6348" s="27" t="s">
        <v>1454</v>
      </c>
      <c r="N6348" s="27" t="s">
        <v>1419</v>
      </c>
      <c r="P6348" s="27" t="s">
        <v>7949</v>
      </c>
      <c r="Q6348" s="26" t="str">
        <f>HYPERLINK("https://ictv.global/taxonomy/taxondetails?taxnode_id=202511895&amp;ictv_id=ICTV202011895","ICTV202011895")</f>
        <v>ICTV202011895</v>
      </c>
      <c r="R6348" t="s">
        <v>579</v>
      </c>
      <c r="S6348" t="s">
        <v>824</v>
      </c>
      <c r="T6348">
        <v>37</v>
      </c>
      <c r="U6348" s="26" t="str">
        <f t="shared" si="252"/>
        <v>2021.010B.R.Binomial_names.zip</v>
      </c>
    </row>
    <row r="6349" spans="1:21">
      <c r="A6349">
        <v>6348</v>
      </c>
      <c r="B6349" s="27" t="s">
        <v>1449</v>
      </c>
      <c r="D6349" s="27" t="s">
        <v>1450</v>
      </c>
      <c r="F6349" s="27" t="s">
        <v>1453</v>
      </c>
      <c r="H6349" s="27" t="s">
        <v>1454</v>
      </c>
      <c r="N6349" s="27" t="s">
        <v>1419</v>
      </c>
      <c r="P6349" s="27" t="s">
        <v>7950</v>
      </c>
      <c r="Q6349" s="26" t="str">
        <f>HYPERLINK("https://ictv.global/taxonomy/taxondetails?taxnode_id=202511945&amp;ictv_id=ICTV202011945","ICTV202011945")</f>
        <v>ICTV202011945</v>
      </c>
      <c r="R6349" t="s">
        <v>579</v>
      </c>
      <c r="S6349" t="s">
        <v>824</v>
      </c>
      <c r="T6349">
        <v>37</v>
      </c>
      <c r="U6349" s="26" t="str">
        <f t="shared" si="252"/>
        <v>2021.010B.R.Binomial_names.zip</v>
      </c>
    </row>
    <row r="6350" spans="1:21">
      <c r="A6350">
        <v>6349</v>
      </c>
      <c r="B6350" s="27" t="s">
        <v>1449</v>
      </c>
      <c r="D6350" s="27" t="s">
        <v>1450</v>
      </c>
      <c r="F6350" s="27" t="s">
        <v>1453</v>
      </c>
      <c r="H6350" s="27" t="s">
        <v>1454</v>
      </c>
      <c r="N6350" s="27" t="s">
        <v>1419</v>
      </c>
      <c r="P6350" s="27" t="s">
        <v>7951</v>
      </c>
      <c r="Q6350" s="26" t="str">
        <f>HYPERLINK("https://ictv.global/taxonomy/taxondetails?taxnode_id=202511944&amp;ictv_id=ICTV202011944","ICTV202011944")</f>
        <v>ICTV202011944</v>
      </c>
      <c r="R6350" t="s">
        <v>579</v>
      </c>
      <c r="S6350" t="s">
        <v>824</v>
      </c>
      <c r="T6350">
        <v>37</v>
      </c>
      <c r="U6350" s="26" t="str">
        <f t="shared" si="252"/>
        <v>2021.010B.R.Binomial_names.zip</v>
      </c>
    </row>
    <row r="6351" spans="1:21">
      <c r="A6351">
        <v>6350</v>
      </c>
      <c r="B6351" s="27" t="s">
        <v>1449</v>
      </c>
      <c r="D6351" s="27" t="s">
        <v>1450</v>
      </c>
      <c r="F6351" s="27" t="s">
        <v>1453</v>
      </c>
      <c r="H6351" s="27" t="s">
        <v>1454</v>
      </c>
      <c r="N6351" s="27" t="s">
        <v>1419</v>
      </c>
      <c r="P6351" s="27" t="s">
        <v>7952</v>
      </c>
      <c r="Q6351" s="26" t="str">
        <f>HYPERLINK("https://ictv.global/taxonomy/taxondetails?taxnode_id=202511901&amp;ictv_id=ICTV202011901","ICTV202011901")</f>
        <v>ICTV202011901</v>
      </c>
      <c r="R6351" t="s">
        <v>579</v>
      </c>
      <c r="S6351" t="s">
        <v>824</v>
      </c>
      <c r="T6351">
        <v>37</v>
      </c>
      <c r="U6351" s="26" t="str">
        <f t="shared" si="252"/>
        <v>2021.010B.R.Binomial_names.zip</v>
      </c>
    </row>
    <row r="6352" spans="1:21">
      <c r="A6352">
        <v>6351</v>
      </c>
      <c r="B6352" s="27" t="s">
        <v>1449</v>
      </c>
      <c r="D6352" s="27" t="s">
        <v>1450</v>
      </c>
      <c r="F6352" s="27" t="s">
        <v>1453</v>
      </c>
      <c r="H6352" s="27" t="s">
        <v>1454</v>
      </c>
      <c r="N6352" s="27" t="s">
        <v>1419</v>
      </c>
      <c r="P6352" s="27" t="s">
        <v>7953</v>
      </c>
      <c r="Q6352" s="26" t="str">
        <f>HYPERLINK("https://ictv.global/taxonomy/taxondetails?taxnode_id=202511902&amp;ictv_id=ICTV202011902","ICTV202011902")</f>
        <v>ICTV202011902</v>
      </c>
      <c r="R6352" t="s">
        <v>579</v>
      </c>
      <c r="S6352" t="s">
        <v>824</v>
      </c>
      <c r="T6352">
        <v>37</v>
      </c>
      <c r="U6352" s="26" t="str">
        <f t="shared" si="252"/>
        <v>2021.010B.R.Binomial_names.zip</v>
      </c>
    </row>
    <row r="6353" spans="1:21">
      <c r="A6353">
        <v>6352</v>
      </c>
      <c r="B6353" s="27" t="s">
        <v>1449</v>
      </c>
      <c r="D6353" s="27" t="s">
        <v>1450</v>
      </c>
      <c r="F6353" s="27" t="s">
        <v>1453</v>
      </c>
      <c r="H6353" s="27" t="s">
        <v>1454</v>
      </c>
      <c r="N6353" s="27" t="s">
        <v>1419</v>
      </c>
      <c r="P6353" s="27" t="s">
        <v>7954</v>
      </c>
      <c r="Q6353" s="26" t="str">
        <f>HYPERLINK("https://ictv.global/taxonomy/taxondetails?taxnode_id=202511903&amp;ictv_id=ICTV202011903","ICTV202011903")</f>
        <v>ICTV202011903</v>
      </c>
      <c r="R6353" t="s">
        <v>579</v>
      </c>
      <c r="S6353" t="s">
        <v>824</v>
      </c>
      <c r="T6353">
        <v>37</v>
      </c>
      <c r="U6353" s="26" t="str">
        <f t="shared" si="252"/>
        <v>2021.010B.R.Binomial_names.zip</v>
      </c>
    </row>
    <row r="6354" spans="1:21">
      <c r="A6354">
        <v>6353</v>
      </c>
      <c r="B6354" s="27" t="s">
        <v>1449</v>
      </c>
      <c r="D6354" s="27" t="s">
        <v>1450</v>
      </c>
      <c r="F6354" s="27" t="s">
        <v>1453</v>
      </c>
      <c r="H6354" s="27" t="s">
        <v>1454</v>
      </c>
      <c r="N6354" s="27" t="s">
        <v>1419</v>
      </c>
      <c r="P6354" s="27" t="s">
        <v>7955</v>
      </c>
      <c r="Q6354" s="26" t="str">
        <f>HYPERLINK("https://ictv.global/taxonomy/taxondetails?taxnode_id=202511904&amp;ictv_id=ICTV202011904","ICTV202011904")</f>
        <v>ICTV202011904</v>
      </c>
      <c r="R6354" t="s">
        <v>579</v>
      </c>
      <c r="S6354" t="s">
        <v>824</v>
      </c>
      <c r="T6354">
        <v>37</v>
      </c>
      <c r="U6354" s="26" t="str">
        <f t="shared" si="252"/>
        <v>2021.010B.R.Binomial_names.zip</v>
      </c>
    </row>
    <row r="6355" spans="1:21">
      <c r="A6355">
        <v>6354</v>
      </c>
      <c r="B6355" s="27" t="s">
        <v>1449</v>
      </c>
      <c r="D6355" s="27" t="s">
        <v>1450</v>
      </c>
      <c r="F6355" s="27" t="s">
        <v>1453</v>
      </c>
      <c r="H6355" s="27" t="s">
        <v>1454</v>
      </c>
      <c r="N6355" s="27" t="s">
        <v>1419</v>
      </c>
      <c r="P6355" s="27" t="s">
        <v>7956</v>
      </c>
      <c r="Q6355" s="26" t="str">
        <f>HYPERLINK("https://ictv.global/taxonomy/taxondetails?taxnode_id=202511897&amp;ictv_id=ICTV202011897","ICTV202011897")</f>
        <v>ICTV202011897</v>
      </c>
      <c r="R6355" t="s">
        <v>579</v>
      </c>
      <c r="S6355" t="s">
        <v>824</v>
      </c>
      <c r="T6355">
        <v>37</v>
      </c>
      <c r="U6355" s="26" t="str">
        <f t="shared" si="252"/>
        <v>2021.010B.R.Binomial_names.zip</v>
      </c>
    </row>
    <row r="6356" spans="1:21">
      <c r="A6356">
        <v>6355</v>
      </c>
      <c r="B6356" s="27" t="s">
        <v>1449</v>
      </c>
      <c r="D6356" s="27" t="s">
        <v>1450</v>
      </c>
      <c r="F6356" s="27" t="s">
        <v>1453</v>
      </c>
      <c r="H6356" s="27" t="s">
        <v>1454</v>
      </c>
      <c r="N6356" s="27" t="s">
        <v>1419</v>
      </c>
      <c r="P6356" s="27" t="s">
        <v>7957</v>
      </c>
      <c r="Q6356" s="26" t="str">
        <f>HYPERLINK("https://ictv.global/taxonomy/taxondetails?taxnode_id=202511905&amp;ictv_id=ICTV202011905","ICTV202011905")</f>
        <v>ICTV202011905</v>
      </c>
      <c r="R6356" t="s">
        <v>579</v>
      </c>
      <c r="S6356" t="s">
        <v>824</v>
      </c>
      <c r="T6356">
        <v>37</v>
      </c>
      <c r="U6356" s="26" t="str">
        <f t="shared" si="252"/>
        <v>2021.010B.R.Binomial_names.zip</v>
      </c>
    </row>
    <row r="6357" spans="1:21">
      <c r="A6357">
        <v>6356</v>
      </c>
      <c r="B6357" s="27" t="s">
        <v>1449</v>
      </c>
      <c r="D6357" s="27" t="s">
        <v>1450</v>
      </c>
      <c r="F6357" s="27" t="s">
        <v>1453</v>
      </c>
      <c r="H6357" s="27" t="s">
        <v>1454</v>
      </c>
      <c r="N6357" s="27" t="s">
        <v>1419</v>
      </c>
      <c r="P6357" s="27" t="s">
        <v>7958</v>
      </c>
      <c r="Q6357" s="26" t="str">
        <f>HYPERLINK("https://ictv.global/taxonomy/taxondetails?taxnode_id=202511906&amp;ictv_id=ICTV202011906","ICTV202011906")</f>
        <v>ICTV202011906</v>
      </c>
      <c r="R6357" t="s">
        <v>579</v>
      </c>
      <c r="S6357" t="s">
        <v>824</v>
      </c>
      <c r="T6357">
        <v>37</v>
      </c>
      <c r="U6357" s="26" t="str">
        <f t="shared" si="252"/>
        <v>2021.010B.R.Binomial_names.zip</v>
      </c>
    </row>
    <row r="6358" spans="1:21">
      <c r="A6358">
        <v>6357</v>
      </c>
      <c r="B6358" s="27" t="s">
        <v>1449</v>
      </c>
      <c r="D6358" s="27" t="s">
        <v>1450</v>
      </c>
      <c r="F6358" s="27" t="s">
        <v>1453</v>
      </c>
      <c r="H6358" s="27" t="s">
        <v>1454</v>
      </c>
      <c r="N6358" s="27" t="s">
        <v>1419</v>
      </c>
      <c r="P6358" s="27" t="s">
        <v>7959</v>
      </c>
      <c r="Q6358" s="26" t="str">
        <f>HYPERLINK("https://ictv.global/taxonomy/taxondetails?taxnode_id=202511907&amp;ictv_id=ICTV202011907","ICTV202011907")</f>
        <v>ICTV202011907</v>
      </c>
      <c r="R6358" t="s">
        <v>579</v>
      </c>
      <c r="S6358" t="s">
        <v>824</v>
      </c>
      <c r="T6358">
        <v>37</v>
      </c>
      <c r="U6358" s="26" t="str">
        <f t="shared" si="252"/>
        <v>2021.010B.R.Binomial_names.zip</v>
      </c>
    </row>
    <row r="6359" spans="1:21">
      <c r="A6359">
        <v>6358</v>
      </c>
      <c r="B6359" s="27" t="s">
        <v>1449</v>
      </c>
      <c r="D6359" s="27" t="s">
        <v>1450</v>
      </c>
      <c r="F6359" s="27" t="s">
        <v>1453</v>
      </c>
      <c r="H6359" s="27" t="s">
        <v>1454</v>
      </c>
      <c r="N6359" s="27" t="s">
        <v>1419</v>
      </c>
      <c r="P6359" s="27" t="s">
        <v>7960</v>
      </c>
      <c r="Q6359" s="26" t="str">
        <f>HYPERLINK("https://ictv.global/taxonomy/taxondetails?taxnode_id=202511908&amp;ictv_id=ICTV202011908","ICTV202011908")</f>
        <v>ICTV202011908</v>
      </c>
      <c r="R6359" t="s">
        <v>579</v>
      </c>
      <c r="S6359" t="s">
        <v>824</v>
      </c>
      <c r="T6359">
        <v>37</v>
      </c>
      <c r="U6359" s="26" t="str">
        <f t="shared" si="252"/>
        <v>2021.010B.R.Binomial_names.zip</v>
      </c>
    </row>
    <row r="6360" spans="1:21">
      <c r="A6360">
        <v>6359</v>
      </c>
      <c r="B6360" s="27" t="s">
        <v>1449</v>
      </c>
      <c r="D6360" s="27" t="s">
        <v>1450</v>
      </c>
      <c r="F6360" s="27" t="s">
        <v>1453</v>
      </c>
      <c r="H6360" s="27" t="s">
        <v>1454</v>
      </c>
      <c r="N6360" s="27" t="s">
        <v>1419</v>
      </c>
      <c r="P6360" s="27" t="s">
        <v>7961</v>
      </c>
      <c r="Q6360" s="26" t="str">
        <f>HYPERLINK("https://ictv.global/taxonomy/taxondetails?taxnode_id=202511909&amp;ictv_id=ICTV202011909","ICTV202011909")</f>
        <v>ICTV202011909</v>
      </c>
      <c r="R6360" t="s">
        <v>579</v>
      </c>
      <c r="S6360" t="s">
        <v>824</v>
      </c>
      <c r="T6360">
        <v>37</v>
      </c>
      <c r="U6360" s="26" t="str">
        <f t="shared" si="252"/>
        <v>2021.010B.R.Binomial_names.zip</v>
      </c>
    </row>
    <row r="6361" spans="1:21">
      <c r="A6361">
        <v>6360</v>
      </c>
      <c r="B6361" s="27" t="s">
        <v>1449</v>
      </c>
      <c r="D6361" s="27" t="s">
        <v>1450</v>
      </c>
      <c r="F6361" s="27" t="s">
        <v>1453</v>
      </c>
      <c r="H6361" s="27" t="s">
        <v>1454</v>
      </c>
      <c r="N6361" s="27" t="s">
        <v>1419</v>
      </c>
      <c r="P6361" s="27" t="s">
        <v>7962</v>
      </c>
      <c r="Q6361" s="26" t="str">
        <f>HYPERLINK("https://ictv.global/taxonomy/taxondetails?taxnode_id=202511910&amp;ictv_id=ICTV202011910","ICTV202011910")</f>
        <v>ICTV202011910</v>
      </c>
      <c r="R6361" t="s">
        <v>579</v>
      </c>
      <c r="S6361" t="s">
        <v>824</v>
      </c>
      <c r="T6361">
        <v>37</v>
      </c>
      <c r="U6361" s="26" t="str">
        <f t="shared" si="252"/>
        <v>2021.010B.R.Binomial_names.zip</v>
      </c>
    </row>
    <row r="6362" spans="1:21">
      <c r="A6362">
        <v>6361</v>
      </c>
      <c r="B6362" s="27" t="s">
        <v>1449</v>
      </c>
      <c r="D6362" s="27" t="s">
        <v>1450</v>
      </c>
      <c r="F6362" s="27" t="s">
        <v>1453</v>
      </c>
      <c r="H6362" s="27" t="s">
        <v>1454</v>
      </c>
      <c r="N6362" s="27" t="s">
        <v>1419</v>
      </c>
      <c r="P6362" s="27" t="s">
        <v>7963</v>
      </c>
      <c r="Q6362" s="26" t="str">
        <f>HYPERLINK("https://ictv.global/taxonomy/taxondetails?taxnode_id=202511911&amp;ictv_id=ICTV202011911","ICTV202011911")</f>
        <v>ICTV202011911</v>
      </c>
      <c r="R6362" t="s">
        <v>579</v>
      </c>
      <c r="S6362" t="s">
        <v>824</v>
      </c>
      <c r="T6362">
        <v>37</v>
      </c>
      <c r="U6362" s="26" t="str">
        <f t="shared" si="252"/>
        <v>2021.010B.R.Binomial_names.zip</v>
      </c>
    </row>
    <row r="6363" spans="1:21">
      <c r="A6363">
        <v>6362</v>
      </c>
      <c r="B6363" s="27" t="s">
        <v>1449</v>
      </c>
      <c r="D6363" s="27" t="s">
        <v>1450</v>
      </c>
      <c r="F6363" s="27" t="s">
        <v>1453</v>
      </c>
      <c r="H6363" s="27" t="s">
        <v>1454</v>
      </c>
      <c r="N6363" s="27" t="s">
        <v>1419</v>
      </c>
      <c r="P6363" s="27" t="s">
        <v>7964</v>
      </c>
      <c r="Q6363" s="26" t="str">
        <f>HYPERLINK("https://ictv.global/taxonomy/taxondetails?taxnode_id=202511912&amp;ictv_id=ICTV202011912","ICTV202011912")</f>
        <v>ICTV202011912</v>
      </c>
      <c r="R6363" t="s">
        <v>579</v>
      </c>
      <c r="S6363" t="s">
        <v>824</v>
      </c>
      <c r="T6363">
        <v>37</v>
      </c>
      <c r="U6363" s="26" t="str">
        <f t="shared" si="252"/>
        <v>2021.010B.R.Binomial_names.zip</v>
      </c>
    </row>
    <row r="6364" spans="1:21">
      <c r="A6364">
        <v>6363</v>
      </c>
      <c r="B6364" s="27" t="s">
        <v>1449</v>
      </c>
      <c r="D6364" s="27" t="s">
        <v>1450</v>
      </c>
      <c r="F6364" s="27" t="s">
        <v>1453</v>
      </c>
      <c r="H6364" s="27" t="s">
        <v>1454</v>
      </c>
      <c r="N6364" s="27" t="s">
        <v>1419</v>
      </c>
      <c r="P6364" s="27" t="s">
        <v>7965</v>
      </c>
      <c r="Q6364" s="26" t="str">
        <f>HYPERLINK("https://ictv.global/taxonomy/taxondetails?taxnode_id=202511913&amp;ictv_id=ICTV202011913","ICTV202011913")</f>
        <v>ICTV202011913</v>
      </c>
      <c r="R6364" t="s">
        <v>579</v>
      </c>
      <c r="S6364" t="s">
        <v>824</v>
      </c>
      <c r="T6364">
        <v>37</v>
      </c>
      <c r="U6364" s="26" t="str">
        <f t="shared" si="252"/>
        <v>2021.010B.R.Binomial_names.zip</v>
      </c>
    </row>
    <row r="6365" spans="1:21">
      <c r="A6365">
        <v>6364</v>
      </c>
      <c r="B6365" s="27" t="s">
        <v>1449</v>
      </c>
      <c r="D6365" s="27" t="s">
        <v>1450</v>
      </c>
      <c r="F6365" s="27" t="s">
        <v>1453</v>
      </c>
      <c r="H6365" s="27" t="s">
        <v>1454</v>
      </c>
      <c r="N6365" s="27" t="s">
        <v>1419</v>
      </c>
      <c r="P6365" s="27" t="s">
        <v>7966</v>
      </c>
      <c r="Q6365" s="26" t="str">
        <f>HYPERLINK("https://ictv.global/taxonomy/taxondetails?taxnode_id=202511914&amp;ictv_id=ICTV202011914","ICTV202011914")</f>
        <v>ICTV202011914</v>
      </c>
      <c r="R6365" t="s">
        <v>579</v>
      </c>
      <c r="S6365" t="s">
        <v>824</v>
      </c>
      <c r="T6365">
        <v>37</v>
      </c>
      <c r="U6365" s="26" t="str">
        <f t="shared" si="252"/>
        <v>2021.010B.R.Binomial_names.zip</v>
      </c>
    </row>
    <row r="6366" spans="1:21">
      <c r="A6366">
        <v>6365</v>
      </c>
      <c r="B6366" s="27" t="s">
        <v>1449</v>
      </c>
      <c r="D6366" s="27" t="s">
        <v>1450</v>
      </c>
      <c r="F6366" s="27" t="s">
        <v>1453</v>
      </c>
      <c r="H6366" s="27" t="s">
        <v>1454</v>
      </c>
      <c r="N6366" s="27" t="s">
        <v>1419</v>
      </c>
      <c r="P6366" s="27" t="s">
        <v>7967</v>
      </c>
      <c r="Q6366" s="26" t="str">
        <f>HYPERLINK("https://ictv.global/taxonomy/taxondetails?taxnode_id=202511928&amp;ictv_id=ICTV202011928","ICTV202011928")</f>
        <v>ICTV202011928</v>
      </c>
      <c r="R6366" t="s">
        <v>579</v>
      </c>
      <c r="S6366" t="s">
        <v>824</v>
      </c>
      <c r="T6366">
        <v>37</v>
      </c>
      <c r="U6366" s="26" t="str">
        <f t="shared" si="252"/>
        <v>2021.010B.R.Binomial_names.zip</v>
      </c>
    </row>
    <row r="6367" spans="1:21">
      <c r="A6367">
        <v>6366</v>
      </c>
      <c r="B6367" s="27" t="s">
        <v>1449</v>
      </c>
      <c r="D6367" s="27" t="s">
        <v>1450</v>
      </c>
      <c r="F6367" s="27" t="s">
        <v>1453</v>
      </c>
      <c r="H6367" s="27" t="s">
        <v>1454</v>
      </c>
      <c r="N6367" s="27" t="s">
        <v>1419</v>
      </c>
      <c r="P6367" s="27" t="s">
        <v>7968</v>
      </c>
      <c r="Q6367" s="26" t="str">
        <f>HYPERLINK("https://ictv.global/taxonomy/taxondetails?taxnode_id=202511888&amp;ictv_id=ICTV202011888","ICTV202011888")</f>
        <v>ICTV202011888</v>
      </c>
      <c r="R6367" t="s">
        <v>579</v>
      </c>
      <c r="S6367" t="s">
        <v>824</v>
      </c>
      <c r="T6367">
        <v>37</v>
      </c>
      <c r="U6367" s="26" t="str">
        <f t="shared" si="252"/>
        <v>2021.010B.R.Binomial_names.zip</v>
      </c>
    </row>
    <row r="6368" spans="1:21">
      <c r="A6368">
        <v>6367</v>
      </c>
      <c r="B6368" s="27" t="s">
        <v>1449</v>
      </c>
      <c r="D6368" s="27" t="s">
        <v>1450</v>
      </c>
      <c r="F6368" s="27" t="s">
        <v>1453</v>
      </c>
      <c r="H6368" s="27" t="s">
        <v>1454</v>
      </c>
      <c r="N6368" s="27" t="s">
        <v>1419</v>
      </c>
      <c r="P6368" s="27" t="s">
        <v>7969</v>
      </c>
      <c r="Q6368" s="26" t="str">
        <f>HYPERLINK("https://ictv.global/taxonomy/taxondetails?taxnode_id=202511915&amp;ictv_id=ICTV202011915","ICTV202011915")</f>
        <v>ICTV202011915</v>
      </c>
      <c r="R6368" t="s">
        <v>579</v>
      </c>
      <c r="S6368" t="s">
        <v>824</v>
      </c>
      <c r="T6368">
        <v>37</v>
      </c>
      <c r="U6368" s="26" t="str">
        <f t="shared" si="252"/>
        <v>2021.010B.R.Binomial_names.zip</v>
      </c>
    </row>
    <row r="6369" spans="1:21">
      <c r="A6369">
        <v>6368</v>
      </c>
      <c r="B6369" s="27" t="s">
        <v>1449</v>
      </c>
      <c r="D6369" s="27" t="s">
        <v>1450</v>
      </c>
      <c r="F6369" s="27" t="s">
        <v>1453</v>
      </c>
      <c r="H6369" s="27" t="s">
        <v>1454</v>
      </c>
      <c r="N6369" s="27" t="s">
        <v>1419</v>
      </c>
      <c r="P6369" s="27" t="s">
        <v>7970</v>
      </c>
      <c r="Q6369" s="26" t="str">
        <f>HYPERLINK("https://ictv.global/taxonomy/taxondetails?taxnode_id=202511916&amp;ictv_id=ICTV202011916","ICTV202011916")</f>
        <v>ICTV202011916</v>
      </c>
      <c r="R6369" t="s">
        <v>579</v>
      </c>
      <c r="S6369" t="s">
        <v>824</v>
      </c>
      <c r="T6369">
        <v>37</v>
      </c>
      <c r="U6369" s="26" t="str">
        <f t="shared" si="252"/>
        <v>2021.010B.R.Binomial_names.zip</v>
      </c>
    </row>
    <row r="6370" spans="1:21">
      <c r="A6370">
        <v>6369</v>
      </c>
      <c r="B6370" s="27" t="s">
        <v>1449</v>
      </c>
      <c r="D6370" s="27" t="s">
        <v>1450</v>
      </c>
      <c r="F6370" s="27" t="s">
        <v>1453</v>
      </c>
      <c r="H6370" s="27" t="s">
        <v>1454</v>
      </c>
      <c r="N6370" s="27" t="s">
        <v>1419</v>
      </c>
      <c r="P6370" s="27" t="s">
        <v>7971</v>
      </c>
      <c r="Q6370" s="26" t="str">
        <f>HYPERLINK("https://ictv.global/taxonomy/taxondetails?taxnode_id=202511917&amp;ictv_id=ICTV202011917","ICTV202011917")</f>
        <v>ICTV202011917</v>
      </c>
      <c r="R6370" t="s">
        <v>579</v>
      </c>
      <c r="S6370" t="s">
        <v>824</v>
      </c>
      <c r="T6370">
        <v>37</v>
      </c>
      <c r="U6370" s="26" t="str">
        <f t="shared" si="252"/>
        <v>2021.010B.R.Binomial_names.zip</v>
      </c>
    </row>
    <row r="6371" spans="1:21">
      <c r="A6371">
        <v>6370</v>
      </c>
      <c r="B6371" s="27" t="s">
        <v>1449</v>
      </c>
      <c r="D6371" s="27" t="s">
        <v>1450</v>
      </c>
      <c r="F6371" s="27" t="s">
        <v>1453</v>
      </c>
      <c r="H6371" s="27" t="s">
        <v>1454</v>
      </c>
      <c r="N6371" s="27" t="s">
        <v>630</v>
      </c>
      <c r="P6371" s="27" t="s">
        <v>7972</v>
      </c>
      <c r="Q6371" s="26" t="str">
        <f>HYPERLINK("https://ictv.global/taxonomy/taxondetails?taxnode_id=202501304&amp;ictv_id=ICTV20150780","ICTV20150780")</f>
        <v>ICTV20150780</v>
      </c>
      <c r="R6371" t="s">
        <v>579</v>
      </c>
      <c r="S6371" t="s">
        <v>824</v>
      </c>
      <c r="T6371">
        <v>37</v>
      </c>
      <c r="U6371" s="26" t="str">
        <f t="shared" si="252"/>
        <v>2021.010B.R.Binomial_names.zip</v>
      </c>
    </row>
    <row r="6372" spans="1:21">
      <c r="A6372">
        <v>6371</v>
      </c>
      <c r="B6372" s="27" t="s">
        <v>1449</v>
      </c>
      <c r="D6372" s="27" t="s">
        <v>1450</v>
      </c>
      <c r="F6372" s="27" t="s">
        <v>1453</v>
      </c>
      <c r="H6372" s="27" t="s">
        <v>1454</v>
      </c>
      <c r="N6372" s="27" t="s">
        <v>630</v>
      </c>
      <c r="P6372" s="27" t="s">
        <v>7973</v>
      </c>
      <c r="Q6372" s="26" t="str">
        <f>HYPERLINK("https://ictv.global/taxonomy/taxondetails?taxnode_id=202501305&amp;ictv_id=ICTV20150782","ICTV20150782")</f>
        <v>ICTV20150782</v>
      </c>
      <c r="R6372" t="s">
        <v>579</v>
      </c>
      <c r="S6372" t="s">
        <v>824</v>
      </c>
      <c r="T6372">
        <v>37</v>
      </c>
      <c r="U6372" s="26" t="str">
        <f t="shared" si="252"/>
        <v>2021.010B.R.Binomial_names.zip</v>
      </c>
    </row>
    <row r="6373" spans="1:21">
      <c r="A6373">
        <v>6372</v>
      </c>
      <c r="B6373" s="27" t="s">
        <v>1449</v>
      </c>
      <c r="D6373" s="27" t="s">
        <v>1450</v>
      </c>
      <c r="F6373" s="27" t="s">
        <v>1453</v>
      </c>
      <c r="H6373" s="27" t="s">
        <v>1454</v>
      </c>
      <c r="N6373" s="27" t="s">
        <v>630</v>
      </c>
      <c r="P6373" s="27" t="s">
        <v>7974</v>
      </c>
      <c r="Q6373" s="26" t="str">
        <f>HYPERLINK("https://ictv.global/taxonomy/taxondetails?taxnode_id=202501306&amp;ictv_id=ICTV20150781","ICTV20150781")</f>
        <v>ICTV20150781</v>
      </c>
      <c r="R6373" t="s">
        <v>579</v>
      </c>
      <c r="S6373" t="s">
        <v>824</v>
      </c>
      <c r="T6373">
        <v>37</v>
      </c>
      <c r="U6373" s="26" t="str">
        <f t="shared" ref="U6373:U6378" si="253">HYPERLINK("https://ictv.global/ictv/proposals/2021.010B.R.Binomial_names.zip","2021.010B.R.Binomial_names.zip")</f>
        <v>2021.010B.R.Binomial_names.zip</v>
      </c>
    </row>
    <row r="6374" spans="1:21">
      <c r="A6374">
        <v>6373</v>
      </c>
      <c r="B6374" s="27" t="s">
        <v>1449</v>
      </c>
      <c r="D6374" s="27" t="s">
        <v>1450</v>
      </c>
      <c r="F6374" s="27" t="s">
        <v>1453</v>
      </c>
      <c r="H6374" s="27" t="s">
        <v>1454</v>
      </c>
      <c r="N6374" s="27" t="s">
        <v>630</v>
      </c>
      <c r="P6374" s="27" t="s">
        <v>7975</v>
      </c>
      <c r="Q6374" s="26" t="str">
        <f>HYPERLINK("https://ictv.global/taxonomy/taxondetails?taxnode_id=202501307&amp;ictv_id=ICTV20150783","ICTV20150783")</f>
        <v>ICTV20150783</v>
      </c>
      <c r="R6374" t="s">
        <v>579</v>
      </c>
      <c r="S6374" t="s">
        <v>824</v>
      </c>
      <c r="T6374">
        <v>37</v>
      </c>
      <c r="U6374" s="26" t="str">
        <f t="shared" si="253"/>
        <v>2021.010B.R.Binomial_names.zip</v>
      </c>
    </row>
    <row r="6375" spans="1:21">
      <c r="A6375">
        <v>6374</v>
      </c>
      <c r="B6375" s="27" t="s">
        <v>1449</v>
      </c>
      <c r="D6375" s="27" t="s">
        <v>1450</v>
      </c>
      <c r="F6375" s="27" t="s">
        <v>1453</v>
      </c>
      <c r="H6375" s="27" t="s">
        <v>1454</v>
      </c>
      <c r="N6375" s="27" t="s">
        <v>2305</v>
      </c>
      <c r="P6375" s="27" t="s">
        <v>7976</v>
      </c>
      <c r="Q6375" s="26" t="str">
        <f>HYPERLINK("https://ictv.global/taxonomy/taxondetails?taxnode_id=202511948&amp;ictv_id=ICTV202011948","ICTV202011948")</f>
        <v>ICTV202011948</v>
      </c>
      <c r="R6375" t="s">
        <v>579</v>
      </c>
      <c r="S6375" t="s">
        <v>824</v>
      </c>
      <c r="T6375">
        <v>37</v>
      </c>
      <c r="U6375" s="26" t="str">
        <f t="shared" si="253"/>
        <v>2021.010B.R.Binomial_names.zip</v>
      </c>
    </row>
    <row r="6376" spans="1:21">
      <c r="A6376">
        <v>6375</v>
      </c>
      <c r="B6376" s="27" t="s">
        <v>1449</v>
      </c>
      <c r="D6376" s="27" t="s">
        <v>1450</v>
      </c>
      <c r="F6376" s="27" t="s">
        <v>1453</v>
      </c>
      <c r="H6376" s="27" t="s">
        <v>1454</v>
      </c>
      <c r="N6376" s="27" t="s">
        <v>786</v>
      </c>
      <c r="P6376" s="27" t="s">
        <v>7977</v>
      </c>
      <c r="Q6376" s="26" t="str">
        <f>HYPERLINK("https://ictv.global/taxonomy/taxondetails?taxnode_id=202501309&amp;ictv_id=ICTV20165088","ICTV20165088")</f>
        <v>ICTV20165088</v>
      </c>
      <c r="R6376" t="s">
        <v>579</v>
      </c>
      <c r="S6376" t="s">
        <v>824</v>
      </c>
      <c r="T6376">
        <v>37</v>
      </c>
      <c r="U6376" s="26" t="str">
        <f t="shared" si="253"/>
        <v>2021.010B.R.Binomial_names.zip</v>
      </c>
    </row>
    <row r="6377" spans="1:21">
      <c r="A6377">
        <v>6376</v>
      </c>
      <c r="B6377" s="27" t="s">
        <v>1449</v>
      </c>
      <c r="D6377" s="27" t="s">
        <v>1450</v>
      </c>
      <c r="F6377" s="27" t="s">
        <v>1453</v>
      </c>
      <c r="H6377" s="27" t="s">
        <v>1454</v>
      </c>
      <c r="N6377" s="27" t="s">
        <v>786</v>
      </c>
      <c r="P6377" s="27" t="s">
        <v>7978</v>
      </c>
      <c r="Q6377" s="26" t="str">
        <f>HYPERLINK("https://ictv.global/taxonomy/taxondetails?taxnode_id=202501310&amp;ictv_id=ICTV20165089","ICTV20165089")</f>
        <v>ICTV20165089</v>
      </c>
      <c r="R6377" t="s">
        <v>579</v>
      </c>
      <c r="S6377" t="s">
        <v>824</v>
      </c>
      <c r="T6377">
        <v>37</v>
      </c>
      <c r="U6377" s="26" t="str">
        <f t="shared" si="253"/>
        <v>2021.010B.R.Binomial_names.zip</v>
      </c>
    </row>
    <row r="6378" spans="1:21">
      <c r="A6378">
        <v>6377</v>
      </c>
      <c r="B6378" s="27" t="s">
        <v>1449</v>
      </c>
      <c r="D6378" s="27" t="s">
        <v>1450</v>
      </c>
      <c r="F6378" s="27" t="s">
        <v>1453</v>
      </c>
      <c r="H6378" s="27" t="s">
        <v>1454</v>
      </c>
      <c r="N6378" s="27" t="s">
        <v>786</v>
      </c>
      <c r="P6378" s="27" t="s">
        <v>7979</v>
      </c>
      <c r="Q6378" s="26" t="str">
        <f>HYPERLINK("https://ictv.global/taxonomy/taxondetails?taxnode_id=202501312&amp;ictv_id=ICTV20165091","ICTV20165091")</f>
        <v>ICTV20165091</v>
      </c>
      <c r="R6378" t="s">
        <v>579</v>
      </c>
      <c r="S6378" t="s">
        <v>824</v>
      </c>
      <c r="T6378">
        <v>37</v>
      </c>
      <c r="U6378" s="26" t="str">
        <f t="shared" si="253"/>
        <v>2021.010B.R.Binomial_names.zip</v>
      </c>
    </row>
    <row r="6379" spans="1:21">
      <c r="A6379">
        <v>6378</v>
      </c>
      <c r="B6379" s="27" t="s">
        <v>1449</v>
      </c>
      <c r="D6379" s="27" t="s">
        <v>1450</v>
      </c>
      <c r="F6379" s="27" t="s">
        <v>1453</v>
      </c>
      <c r="H6379" s="27" t="s">
        <v>1454</v>
      </c>
      <c r="N6379" s="27" t="s">
        <v>7980</v>
      </c>
      <c r="P6379" s="27" t="s">
        <v>7981</v>
      </c>
      <c r="Q6379" s="26" t="str">
        <f>HYPERLINK("https://ictv.global/taxonomy/taxondetails?taxnode_id=202514886&amp;ictv_id=ICTV202214886","ICTV202214886")</f>
        <v>ICTV202214886</v>
      </c>
      <c r="R6379" t="s">
        <v>579</v>
      </c>
      <c r="S6379" t="s">
        <v>823</v>
      </c>
      <c r="T6379">
        <v>38</v>
      </c>
      <c r="U6379" s="26" t="str">
        <f>HYPERLINK("https://ictv.global/ictv/proposals/2022.083B.Snuvirus_ng.zip","2022.083B.Snuvirus_ng.zip")</f>
        <v>2022.083B.Snuvirus_ng.zip</v>
      </c>
    </row>
    <row r="6380" spans="1:21">
      <c r="A6380">
        <v>6379</v>
      </c>
      <c r="B6380" s="27" t="s">
        <v>1449</v>
      </c>
      <c r="D6380" s="27" t="s">
        <v>1450</v>
      </c>
      <c r="F6380" s="27" t="s">
        <v>1453</v>
      </c>
      <c r="H6380" s="27" t="s">
        <v>1454</v>
      </c>
      <c r="N6380" s="27" t="s">
        <v>22736</v>
      </c>
      <c r="P6380" s="27" t="s">
        <v>22737</v>
      </c>
      <c r="Q6380" s="26" t="str">
        <f>HYPERLINK("https://ictv.global/taxonomy/taxondetails?taxnode_id=202523309&amp;ictv_id=ICTV202523309","ICTV202523309")</f>
        <v>ICTV202523309</v>
      </c>
      <c r="R6380" t="s">
        <v>579</v>
      </c>
      <c r="S6380" t="s">
        <v>823</v>
      </c>
      <c r="T6380">
        <v>41</v>
      </c>
      <c r="U6380" s="26" t="str">
        <f>HYPERLINK("https://ictv.global/ictv/proposals/2025.088B.Caudoviricetes_2ng_2ns.zip","2025.088B.Caudoviricetes_2ng_2ns.zip")</f>
        <v>2025.088B.Caudoviricetes_2ng_2ns.zip</v>
      </c>
    </row>
    <row r="6381" spans="1:21">
      <c r="A6381">
        <v>6380</v>
      </c>
      <c r="B6381" s="27" t="s">
        <v>1449</v>
      </c>
      <c r="D6381" s="27" t="s">
        <v>1450</v>
      </c>
      <c r="F6381" s="27" t="s">
        <v>1453</v>
      </c>
      <c r="H6381" s="27" t="s">
        <v>1454</v>
      </c>
      <c r="N6381" s="27" t="s">
        <v>1791</v>
      </c>
      <c r="P6381" s="27" t="s">
        <v>7982</v>
      </c>
      <c r="Q6381" s="26" t="str">
        <f>HYPERLINK("https://ictv.global/taxonomy/taxondetails?taxnode_id=202507699&amp;ictv_id=ICTV201907699","ICTV201907699")</f>
        <v>ICTV201907699</v>
      </c>
      <c r="R6381" t="s">
        <v>579</v>
      </c>
      <c r="S6381" t="s">
        <v>824</v>
      </c>
      <c r="T6381">
        <v>37</v>
      </c>
      <c r="U6381" s="26" t="str">
        <f t="shared" ref="U6381:U6390" si="254">HYPERLINK("https://ictv.global/ictv/proposals/2021.010B.R.Binomial_names.zip","2021.010B.R.Binomial_names.zip")</f>
        <v>2021.010B.R.Binomial_names.zip</v>
      </c>
    </row>
    <row r="6382" spans="1:21">
      <c r="A6382">
        <v>6381</v>
      </c>
      <c r="B6382" s="27" t="s">
        <v>1449</v>
      </c>
      <c r="D6382" s="27" t="s">
        <v>1450</v>
      </c>
      <c r="F6382" s="27" t="s">
        <v>1453</v>
      </c>
      <c r="H6382" s="27" t="s">
        <v>1454</v>
      </c>
      <c r="N6382" s="27" t="s">
        <v>1725</v>
      </c>
      <c r="P6382" s="27" t="s">
        <v>7983</v>
      </c>
      <c r="Q6382" s="26" t="str">
        <f>HYPERLINK("https://ictv.global/taxonomy/taxondetails?taxnode_id=202507998&amp;ictv_id=ICTV201907998","ICTV201907998")</f>
        <v>ICTV201907998</v>
      </c>
      <c r="R6382" t="s">
        <v>579</v>
      </c>
      <c r="S6382" t="s">
        <v>824</v>
      </c>
      <c r="T6382">
        <v>37</v>
      </c>
      <c r="U6382" s="26" t="str">
        <f t="shared" si="254"/>
        <v>2021.010B.R.Binomial_names.zip</v>
      </c>
    </row>
    <row r="6383" spans="1:21">
      <c r="A6383">
        <v>6382</v>
      </c>
      <c r="B6383" s="27" t="s">
        <v>1449</v>
      </c>
      <c r="D6383" s="27" t="s">
        <v>1450</v>
      </c>
      <c r="F6383" s="27" t="s">
        <v>1453</v>
      </c>
      <c r="H6383" s="27" t="s">
        <v>1454</v>
      </c>
      <c r="N6383" s="27" t="s">
        <v>1725</v>
      </c>
      <c r="P6383" s="27" t="s">
        <v>7984</v>
      </c>
      <c r="Q6383" s="26" t="str">
        <f>HYPERLINK("https://ictv.global/taxonomy/taxondetails?taxnode_id=202507997&amp;ictv_id=ICTV201907997","ICTV201907997")</f>
        <v>ICTV201907997</v>
      </c>
      <c r="R6383" t="s">
        <v>579</v>
      </c>
      <c r="S6383" t="s">
        <v>824</v>
      </c>
      <c r="T6383">
        <v>37</v>
      </c>
      <c r="U6383" s="26" t="str">
        <f t="shared" si="254"/>
        <v>2021.010B.R.Binomial_names.zip</v>
      </c>
    </row>
    <row r="6384" spans="1:21">
      <c r="A6384">
        <v>6383</v>
      </c>
      <c r="B6384" s="27" t="s">
        <v>1449</v>
      </c>
      <c r="D6384" s="27" t="s">
        <v>1450</v>
      </c>
      <c r="F6384" s="27" t="s">
        <v>1453</v>
      </c>
      <c r="H6384" s="27" t="s">
        <v>1454</v>
      </c>
      <c r="N6384" s="27" t="s">
        <v>787</v>
      </c>
      <c r="P6384" s="27" t="s">
        <v>7985</v>
      </c>
      <c r="Q6384" s="26" t="str">
        <f>HYPERLINK("https://ictv.global/taxonomy/taxondetails?taxnode_id=202501314&amp;ictv_id=ICTV20165092","ICTV20165092")</f>
        <v>ICTV20165092</v>
      </c>
      <c r="R6384" t="s">
        <v>579</v>
      </c>
      <c r="S6384" t="s">
        <v>824</v>
      </c>
      <c r="T6384">
        <v>37</v>
      </c>
      <c r="U6384" s="26" t="str">
        <f t="shared" si="254"/>
        <v>2021.010B.R.Binomial_names.zip</v>
      </c>
    </row>
    <row r="6385" spans="1:21">
      <c r="A6385">
        <v>6384</v>
      </c>
      <c r="B6385" s="27" t="s">
        <v>1449</v>
      </c>
      <c r="D6385" s="27" t="s">
        <v>1450</v>
      </c>
      <c r="F6385" s="27" t="s">
        <v>1453</v>
      </c>
      <c r="H6385" s="27" t="s">
        <v>1454</v>
      </c>
      <c r="N6385" s="27" t="s">
        <v>787</v>
      </c>
      <c r="P6385" s="27" t="s">
        <v>7986</v>
      </c>
      <c r="Q6385" s="26" t="str">
        <f>HYPERLINK("https://ictv.global/taxonomy/taxondetails?taxnode_id=202506886&amp;ictv_id=ICTV201856886","ICTV201856886")</f>
        <v>ICTV201856886</v>
      </c>
      <c r="R6385" t="s">
        <v>579</v>
      </c>
      <c r="S6385" t="s">
        <v>824</v>
      </c>
      <c r="T6385">
        <v>37</v>
      </c>
      <c r="U6385" s="26" t="str">
        <f t="shared" si="254"/>
        <v>2021.010B.R.Binomial_names.zip</v>
      </c>
    </row>
    <row r="6386" spans="1:21">
      <c r="A6386">
        <v>6385</v>
      </c>
      <c r="B6386" s="27" t="s">
        <v>1449</v>
      </c>
      <c r="D6386" s="27" t="s">
        <v>1450</v>
      </c>
      <c r="F6386" s="27" t="s">
        <v>1453</v>
      </c>
      <c r="H6386" s="27" t="s">
        <v>1454</v>
      </c>
      <c r="N6386" s="27" t="s">
        <v>787</v>
      </c>
      <c r="P6386" s="27" t="s">
        <v>7987</v>
      </c>
      <c r="Q6386" s="26" t="str">
        <f>HYPERLINK("https://ictv.global/taxonomy/taxondetails?taxnode_id=202506885&amp;ictv_id=ICTV201856885","ICTV201856885")</f>
        <v>ICTV201856885</v>
      </c>
      <c r="R6386" t="s">
        <v>579</v>
      </c>
      <c r="S6386" t="s">
        <v>824</v>
      </c>
      <c r="T6386">
        <v>37</v>
      </c>
      <c r="U6386" s="26" t="str">
        <f t="shared" si="254"/>
        <v>2021.010B.R.Binomial_names.zip</v>
      </c>
    </row>
    <row r="6387" spans="1:21">
      <c r="A6387">
        <v>6386</v>
      </c>
      <c r="B6387" s="27" t="s">
        <v>1449</v>
      </c>
      <c r="D6387" s="27" t="s">
        <v>1450</v>
      </c>
      <c r="F6387" s="27" t="s">
        <v>1453</v>
      </c>
      <c r="H6387" s="27" t="s">
        <v>1454</v>
      </c>
      <c r="N6387" s="27" t="s">
        <v>2306</v>
      </c>
      <c r="P6387" s="27" t="s">
        <v>7988</v>
      </c>
      <c r="Q6387" s="26" t="str">
        <f>HYPERLINK("https://ictv.global/taxonomy/taxondetails?taxnode_id=202511950&amp;ictv_id=ICTV202011950","ICTV202011950")</f>
        <v>ICTV202011950</v>
      </c>
      <c r="R6387" t="s">
        <v>579</v>
      </c>
      <c r="S6387" t="s">
        <v>824</v>
      </c>
      <c r="T6387">
        <v>37</v>
      </c>
      <c r="U6387" s="26" t="str">
        <f t="shared" si="254"/>
        <v>2021.010B.R.Binomial_names.zip</v>
      </c>
    </row>
    <row r="6388" spans="1:21">
      <c r="A6388">
        <v>6387</v>
      </c>
      <c r="B6388" s="27" t="s">
        <v>1449</v>
      </c>
      <c r="D6388" s="27" t="s">
        <v>1450</v>
      </c>
      <c r="F6388" s="27" t="s">
        <v>1453</v>
      </c>
      <c r="H6388" s="27" t="s">
        <v>1454</v>
      </c>
      <c r="N6388" s="27" t="s">
        <v>2306</v>
      </c>
      <c r="P6388" s="27" t="s">
        <v>7989</v>
      </c>
      <c r="Q6388" s="26" t="str">
        <f>HYPERLINK("https://ictv.global/taxonomy/taxondetails?taxnode_id=202511951&amp;ictv_id=ICTV202011951","ICTV202011951")</f>
        <v>ICTV202011951</v>
      </c>
      <c r="R6388" t="s">
        <v>579</v>
      </c>
      <c r="S6388" t="s">
        <v>824</v>
      </c>
      <c r="T6388">
        <v>37</v>
      </c>
      <c r="U6388" s="26" t="str">
        <f t="shared" si="254"/>
        <v>2021.010B.R.Binomial_names.zip</v>
      </c>
    </row>
    <row r="6389" spans="1:21">
      <c r="A6389">
        <v>6388</v>
      </c>
      <c r="B6389" s="27" t="s">
        <v>1449</v>
      </c>
      <c r="D6389" s="27" t="s">
        <v>1450</v>
      </c>
      <c r="F6389" s="27" t="s">
        <v>1453</v>
      </c>
      <c r="H6389" s="27" t="s">
        <v>1454</v>
      </c>
      <c r="N6389" s="27" t="s">
        <v>2306</v>
      </c>
      <c r="P6389" s="27" t="s">
        <v>7990</v>
      </c>
      <c r="Q6389" s="26" t="str">
        <f>HYPERLINK("https://ictv.global/taxonomy/taxondetails?taxnode_id=202511952&amp;ictv_id=ICTV202011952","ICTV202011952")</f>
        <v>ICTV202011952</v>
      </c>
      <c r="R6389" t="s">
        <v>579</v>
      </c>
      <c r="S6389" t="s">
        <v>824</v>
      </c>
      <c r="T6389">
        <v>37</v>
      </c>
      <c r="U6389" s="26" t="str">
        <f t="shared" si="254"/>
        <v>2021.010B.R.Binomial_names.zip</v>
      </c>
    </row>
    <row r="6390" spans="1:21">
      <c r="A6390">
        <v>6389</v>
      </c>
      <c r="B6390" s="27" t="s">
        <v>1449</v>
      </c>
      <c r="D6390" s="27" t="s">
        <v>1450</v>
      </c>
      <c r="F6390" s="27" t="s">
        <v>1453</v>
      </c>
      <c r="H6390" s="27" t="s">
        <v>1454</v>
      </c>
      <c r="N6390" s="27" t="s">
        <v>2307</v>
      </c>
      <c r="P6390" s="27" t="s">
        <v>7991</v>
      </c>
      <c r="Q6390" s="26" t="str">
        <f>HYPERLINK("https://ictv.global/taxonomy/taxondetails?taxnode_id=202511954&amp;ictv_id=ICTV202011954","ICTV202011954")</f>
        <v>ICTV202011954</v>
      </c>
      <c r="R6390" t="s">
        <v>579</v>
      </c>
      <c r="S6390" t="s">
        <v>824</v>
      </c>
      <c r="T6390">
        <v>37</v>
      </c>
      <c r="U6390" s="26" t="str">
        <f t="shared" si="254"/>
        <v>2021.010B.R.Binomial_names.zip</v>
      </c>
    </row>
    <row r="6391" spans="1:21">
      <c r="A6391">
        <v>6390</v>
      </c>
      <c r="B6391" s="27" t="s">
        <v>1449</v>
      </c>
      <c r="D6391" s="27" t="s">
        <v>1450</v>
      </c>
      <c r="F6391" s="27" t="s">
        <v>1453</v>
      </c>
      <c r="H6391" s="27" t="s">
        <v>1454</v>
      </c>
      <c r="N6391" s="27" t="s">
        <v>12213</v>
      </c>
      <c r="P6391" s="27" t="s">
        <v>12214</v>
      </c>
      <c r="Q6391" s="26" t="str">
        <f>HYPERLINK("https://ictv.global/taxonomy/taxondetails?taxnode_id=202517770&amp;ictv_id=ICTV202317770","ICTV202317770")</f>
        <v>ICTV202317770</v>
      </c>
      <c r="R6391" t="s">
        <v>579</v>
      </c>
      <c r="S6391" t="s">
        <v>823</v>
      </c>
      <c r="T6391">
        <v>39</v>
      </c>
      <c r="U6391" s="26" t="str">
        <f>HYPERLINK("https://ictv.global/ictv/proposals/2023.003B.Actinobacteriophage_singletons_25ng.zip","2023.003B.Actinobacteriophage_singletons_25ng.zip")</f>
        <v>2023.003B.Actinobacteriophage_singletons_25ng.zip</v>
      </c>
    </row>
    <row r="6392" spans="1:21">
      <c r="A6392">
        <v>6391</v>
      </c>
      <c r="B6392" s="27" t="s">
        <v>1449</v>
      </c>
      <c r="D6392" s="27" t="s">
        <v>1450</v>
      </c>
      <c r="F6392" s="27" t="s">
        <v>1453</v>
      </c>
      <c r="H6392" s="27" t="s">
        <v>1454</v>
      </c>
      <c r="N6392" s="27" t="s">
        <v>631</v>
      </c>
      <c r="P6392" s="27" t="s">
        <v>7992</v>
      </c>
      <c r="Q6392" s="26" t="str">
        <f>HYPERLINK("https://ictv.global/taxonomy/taxondetails?taxnode_id=202501316&amp;ictv_id=ICTV20095044","ICTV20095044")</f>
        <v>ICTV20095044</v>
      </c>
      <c r="R6392" t="s">
        <v>579</v>
      </c>
      <c r="S6392" t="s">
        <v>824</v>
      </c>
      <c r="T6392">
        <v>37</v>
      </c>
      <c r="U6392" s="26" t="str">
        <f t="shared" ref="U6392:U6398" si="255">HYPERLINK("https://ictv.global/ictv/proposals/2021.010B.R.Binomial_names.zip","2021.010B.R.Binomial_names.zip")</f>
        <v>2021.010B.R.Binomial_names.zip</v>
      </c>
    </row>
    <row r="6393" spans="1:21">
      <c r="A6393">
        <v>6392</v>
      </c>
      <c r="B6393" s="27" t="s">
        <v>1449</v>
      </c>
      <c r="D6393" s="27" t="s">
        <v>1450</v>
      </c>
      <c r="F6393" s="27" t="s">
        <v>1453</v>
      </c>
      <c r="H6393" s="27" t="s">
        <v>1454</v>
      </c>
      <c r="N6393" s="27" t="s">
        <v>2308</v>
      </c>
      <c r="P6393" s="27" t="s">
        <v>7993</v>
      </c>
      <c r="Q6393" s="26" t="str">
        <f>HYPERLINK("https://ictv.global/taxonomy/taxondetails?taxnode_id=202511956&amp;ictv_id=ICTV202011956","ICTV202011956")</f>
        <v>ICTV202011956</v>
      </c>
      <c r="R6393" t="s">
        <v>579</v>
      </c>
      <c r="S6393" t="s">
        <v>824</v>
      </c>
      <c r="T6393">
        <v>37</v>
      </c>
      <c r="U6393" s="26" t="str">
        <f t="shared" si="255"/>
        <v>2021.010B.R.Binomial_names.zip</v>
      </c>
    </row>
    <row r="6394" spans="1:21">
      <c r="A6394">
        <v>6393</v>
      </c>
      <c r="B6394" s="27" t="s">
        <v>1449</v>
      </c>
      <c r="D6394" s="27" t="s">
        <v>1450</v>
      </c>
      <c r="F6394" s="27" t="s">
        <v>1453</v>
      </c>
      <c r="H6394" s="27" t="s">
        <v>1454</v>
      </c>
      <c r="N6394" s="27" t="s">
        <v>1792</v>
      </c>
      <c r="P6394" s="27" t="s">
        <v>7994</v>
      </c>
      <c r="Q6394" s="26" t="str">
        <f>HYPERLINK("https://ictv.global/taxonomy/taxondetails?taxnode_id=202507703&amp;ictv_id=ICTV201907703","ICTV201907703")</f>
        <v>ICTV201907703</v>
      </c>
      <c r="R6394" t="s">
        <v>579</v>
      </c>
      <c r="S6394" t="s">
        <v>824</v>
      </c>
      <c r="T6394">
        <v>37</v>
      </c>
      <c r="U6394" s="26" t="str">
        <f t="shared" si="255"/>
        <v>2021.010B.R.Binomial_names.zip</v>
      </c>
    </row>
    <row r="6395" spans="1:21">
      <c r="A6395">
        <v>6394</v>
      </c>
      <c r="B6395" s="27" t="s">
        <v>1449</v>
      </c>
      <c r="D6395" s="27" t="s">
        <v>1450</v>
      </c>
      <c r="F6395" s="27" t="s">
        <v>1453</v>
      </c>
      <c r="H6395" s="27" t="s">
        <v>1454</v>
      </c>
      <c r="N6395" s="27" t="s">
        <v>1792</v>
      </c>
      <c r="P6395" s="27" t="s">
        <v>7995</v>
      </c>
      <c r="Q6395" s="26" t="str">
        <f>HYPERLINK("https://ictv.global/taxonomy/taxondetails?taxnode_id=202507702&amp;ictv_id=ICTV201907702","ICTV201907702")</f>
        <v>ICTV201907702</v>
      </c>
      <c r="R6395" t="s">
        <v>579</v>
      </c>
      <c r="S6395" t="s">
        <v>824</v>
      </c>
      <c r="T6395">
        <v>37</v>
      </c>
      <c r="U6395" s="26" t="str">
        <f t="shared" si="255"/>
        <v>2021.010B.R.Binomial_names.zip</v>
      </c>
    </row>
    <row r="6396" spans="1:21">
      <c r="A6396">
        <v>6395</v>
      </c>
      <c r="B6396" s="27" t="s">
        <v>1449</v>
      </c>
      <c r="D6396" s="27" t="s">
        <v>1450</v>
      </c>
      <c r="F6396" s="27" t="s">
        <v>1453</v>
      </c>
      <c r="H6396" s="27" t="s">
        <v>1454</v>
      </c>
      <c r="N6396" s="27" t="s">
        <v>1420</v>
      </c>
      <c r="P6396" s="27" t="s">
        <v>7996</v>
      </c>
      <c r="Q6396" s="26" t="str">
        <f>HYPERLINK("https://ictv.global/taxonomy/taxondetails?taxnode_id=202500965&amp;ictv_id=ICTV20140463","ICTV20140463")</f>
        <v>ICTV20140463</v>
      </c>
      <c r="R6396" t="s">
        <v>579</v>
      </c>
      <c r="S6396" t="s">
        <v>824</v>
      </c>
      <c r="T6396">
        <v>37</v>
      </c>
      <c r="U6396" s="26" t="str">
        <f t="shared" si="255"/>
        <v>2021.010B.R.Binomial_names.zip</v>
      </c>
    </row>
    <row r="6397" spans="1:21">
      <c r="A6397">
        <v>6396</v>
      </c>
      <c r="B6397" s="27" t="s">
        <v>1449</v>
      </c>
      <c r="D6397" s="27" t="s">
        <v>1450</v>
      </c>
      <c r="F6397" s="27" t="s">
        <v>1453</v>
      </c>
      <c r="H6397" s="27" t="s">
        <v>1454</v>
      </c>
      <c r="N6397" s="27" t="s">
        <v>1420</v>
      </c>
      <c r="P6397" s="27" t="s">
        <v>7997</v>
      </c>
      <c r="Q6397" s="26" t="str">
        <f>HYPERLINK("https://ictv.global/taxonomy/taxondetails?taxnode_id=202500963&amp;ictv_id=ICTV20140465","ICTV20140465")</f>
        <v>ICTV20140465</v>
      </c>
      <c r="R6397" t="s">
        <v>579</v>
      </c>
      <c r="S6397" t="s">
        <v>824</v>
      </c>
      <c r="T6397">
        <v>37</v>
      </c>
      <c r="U6397" s="26" t="str">
        <f t="shared" si="255"/>
        <v>2021.010B.R.Binomial_names.zip</v>
      </c>
    </row>
    <row r="6398" spans="1:21">
      <c r="A6398">
        <v>6397</v>
      </c>
      <c r="B6398" s="27" t="s">
        <v>1449</v>
      </c>
      <c r="D6398" s="27" t="s">
        <v>1450</v>
      </c>
      <c r="F6398" s="27" t="s">
        <v>1453</v>
      </c>
      <c r="H6398" s="27" t="s">
        <v>1454</v>
      </c>
      <c r="N6398" s="27" t="s">
        <v>1420</v>
      </c>
      <c r="P6398" s="27" t="s">
        <v>7998</v>
      </c>
      <c r="Q6398" s="26" t="str">
        <f>HYPERLINK("https://ictv.global/taxonomy/taxondetails?taxnode_id=202500964&amp;ictv_id=ICTV20140464","ICTV20140464")</f>
        <v>ICTV20140464</v>
      </c>
      <c r="R6398" t="s">
        <v>579</v>
      </c>
      <c r="S6398" t="s">
        <v>824</v>
      </c>
      <c r="T6398">
        <v>37</v>
      </c>
      <c r="U6398" s="26" t="str">
        <f t="shared" si="255"/>
        <v>2021.010B.R.Binomial_names.zip</v>
      </c>
    </row>
    <row r="6399" spans="1:21">
      <c r="A6399">
        <v>6398</v>
      </c>
      <c r="B6399" s="27" t="s">
        <v>1449</v>
      </c>
      <c r="D6399" s="27" t="s">
        <v>1450</v>
      </c>
      <c r="F6399" s="27" t="s">
        <v>1453</v>
      </c>
      <c r="H6399" s="27" t="s">
        <v>1454</v>
      </c>
      <c r="N6399" s="27" t="s">
        <v>8000</v>
      </c>
      <c r="P6399" s="27" t="s">
        <v>8001</v>
      </c>
      <c r="Q6399" s="26" t="str">
        <f>HYPERLINK("https://ictv.global/taxonomy/taxondetails?taxnode_id=202514938&amp;ictv_id=ICTV202214938","ICTV202214938")</f>
        <v>ICTV202214938</v>
      </c>
      <c r="R6399" t="s">
        <v>579</v>
      </c>
      <c r="S6399" t="s">
        <v>823</v>
      </c>
      <c r="T6399">
        <v>38</v>
      </c>
      <c r="U6399" s="26" t="str">
        <f>HYPERLINK("https://ictv.global/ictv/proposals/2022.086B.Stonewallvirus_ng.zip","2022.086B.Stonewallvirus_ng.zip")</f>
        <v>2022.086B.Stonewallvirus_ng.zip</v>
      </c>
    </row>
    <row r="6400" spans="1:21">
      <c r="A6400">
        <v>6399</v>
      </c>
      <c r="B6400" s="27" t="s">
        <v>1449</v>
      </c>
      <c r="D6400" s="27" t="s">
        <v>1450</v>
      </c>
      <c r="F6400" s="27" t="s">
        <v>1453</v>
      </c>
      <c r="H6400" s="27" t="s">
        <v>1454</v>
      </c>
      <c r="N6400" s="27" t="s">
        <v>8002</v>
      </c>
      <c r="P6400" s="27" t="s">
        <v>8003</v>
      </c>
      <c r="Q6400" s="26" t="str">
        <f>HYPERLINK("https://ictv.global/taxonomy/taxondetails?taxnode_id=202513664&amp;ictv_id=ICTV202113664","ICTV202113664")</f>
        <v>ICTV202113664</v>
      </c>
      <c r="R6400" t="s">
        <v>579</v>
      </c>
      <c r="S6400" t="s">
        <v>823</v>
      </c>
      <c r="T6400">
        <v>37</v>
      </c>
      <c r="U6400" s="26" t="str">
        <f>HYPERLINK("https://ictv.global/ictv/proposals/2021.081B.R.Stormageddonvirus.zip","2021.081B.R.Stormageddonvirus.zip")</f>
        <v>2021.081B.R.Stormageddonvirus.zip</v>
      </c>
    </row>
    <row r="6401" spans="1:21">
      <c r="A6401">
        <v>6400</v>
      </c>
      <c r="B6401" s="27" t="s">
        <v>1449</v>
      </c>
      <c r="D6401" s="27" t="s">
        <v>1450</v>
      </c>
      <c r="F6401" s="27" t="s">
        <v>1453</v>
      </c>
      <c r="H6401" s="27" t="s">
        <v>1454</v>
      </c>
      <c r="N6401" s="27" t="s">
        <v>22636</v>
      </c>
      <c r="P6401" s="27" t="s">
        <v>22637</v>
      </c>
      <c r="Q6401" s="26" t="str">
        <f>HYPERLINK("https://ictv.global/taxonomy/taxondetails?taxnode_id=202523227&amp;ictv_id=ICTV202523227","ICTV202523227")</f>
        <v>ICTV202523227</v>
      </c>
      <c r="R6401" t="s">
        <v>579</v>
      </c>
      <c r="S6401" t="s">
        <v>823</v>
      </c>
      <c r="T6401">
        <v>41</v>
      </c>
      <c r="U6401" s="26" t="str">
        <f>HYPERLINK("https://ictv.global/ictv/proposals/2025.078B.Vibrio_phages_2ng_3ns.zip","2025.078B.Vibrio_phages_2ng_3ns.zip")</f>
        <v>2025.078B.Vibrio_phages_2ng_3ns.zip</v>
      </c>
    </row>
    <row r="6402" spans="1:21">
      <c r="A6402">
        <v>6401</v>
      </c>
      <c r="B6402" s="27" t="s">
        <v>1449</v>
      </c>
      <c r="D6402" s="27" t="s">
        <v>1450</v>
      </c>
      <c r="F6402" s="27" t="s">
        <v>1453</v>
      </c>
      <c r="H6402" s="27" t="s">
        <v>1454</v>
      </c>
      <c r="N6402" s="27" t="s">
        <v>22636</v>
      </c>
      <c r="P6402" s="27" t="s">
        <v>22638</v>
      </c>
      <c r="Q6402" s="26" t="str">
        <f>HYPERLINK("https://ictv.global/taxonomy/taxondetails?taxnode_id=202523228&amp;ictv_id=ICTV202523228","ICTV202523228")</f>
        <v>ICTV202523228</v>
      </c>
      <c r="R6402" t="s">
        <v>579</v>
      </c>
      <c r="S6402" t="s">
        <v>823</v>
      </c>
      <c r="T6402">
        <v>41</v>
      </c>
      <c r="U6402" s="26" t="str">
        <f>HYPERLINK("https://ictv.global/ictv/proposals/2025.078B.Vibrio_phages_2ng_3ns.zip","2025.078B.Vibrio_phages_2ng_3ns.zip")</f>
        <v>2025.078B.Vibrio_phages_2ng_3ns.zip</v>
      </c>
    </row>
    <row r="6403" spans="1:21">
      <c r="A6403">
        <v>6402</v>
      </c>
      <c r="B6403" s="27" t="s">
        <v>1449</v>
      </c>
      <c r="D6403" s="27" t="s">
        <v>1450</v>
      </c>
      <c r="F6403" s="27" t="s">
        <v>1453</v>
      </c>
      <c r="H6403" s="27" t="s">
        <v>1454</v>
      </c>
      <c r="N6403" s="27" t="s">
        <v>12215</v>
      </c>
      <c r="P6403" s="27" t="s">
        <v>12216</v>
      </c>
      <c r="Q6403" s="26" t="str">
        <f>HYPERLINK("https://ictv.global/taxonomy/taxondetails?taxnode_id=202517771&amp;ictv_id=ICTV202317771","ICTV202317771")</f>
        <v>ICTV202317771</v>
      </c>
      <c r="R6403" t="s">
        <v>579</v>
      </c>
      <c r="S6403" t="s">
        <v>823</v>
      </c>
      <c r="T6403">
        <v>39</v>
      </c>
      <c r="U6403" s="26" t="str">
        <f>HYPERLINK("https://ictv.global/ictv/proposals/2023.003B.Actinobacteriophage_singletons_25ng.zip","2023.003B.Actinobacteriophage_singletons_25ng.zip")</f>
        <v>2023.003B.Actinobacteriophage_singletons_25ng.zip</v>
      </c>
    </row>
    <row r="6404" spans="1:21">
      <c r="A6404">
        <v>6403</v>
      </c>
      <c r="B6404" s="27" t="s">
        <v>1449</v>
      </c>
      <c r="D6404" s="27" t="s">
        <v>1450</v>
      </c>
      <c r="F6404" s="27" t="s">
        <v>1453</v>
      </c>
      <c r="H6404" s="27" t="s">
        <v>1454</v>
      </c>
      <c r="N6404" s="27" t="s">
        <v>2310</v>
      </c>
      <c r="P6404" s="27" t="s">
        <v>8004</v>
      </c>
      <c r="Q6404" s="26" t="str">
        <f>HYPERLINK("https://ictv.global/taxonomy/taxondetails?taxnode_id=202510176&amp;ictv_id=ICTV202010176","ICTV202010176")</f>
        <v>ICTV202010176</v>
      </c>
      <c r="R6404" t="s">
        <v>579</v>
      </c>
      <c r="S6404" t="s">
        <v>824</v>
      </c>
      <c r="T6404">
        <v>37</v>
      </c>
      <c r="U6404" s="26" t="str">
        <f>HYPERLINK("https://ictv.global/ictv/proposals/2021.010B.R.Binomial_names.zip","2021.010B.R.Binomial_names.zip")</f>
        <v>2021.010B.R.Binomial_names.zip</v>
      </c>
    </row>
    <row r="6405" spans="1:21">
      <c r="A6405">
        <v>6404</v>
      </c>
      <c r="B6405" s="27" t="s">
        <v>1449</v>
      </c>
      <c r="D6405" s="27" t="s">
        <v>1450</v>
      </c>
      <c r="F6405" s="27" t="s">
        <v>1453</v>
      </c>
      <c r="H6405" s="27" t="s">
        <v>1454</v>
      </c>
      <c r="N6405" s="27" t="s">
        <v>830</v>
      </c>
      <c r="P6405" s="27" t="s">
        <v>8005</v>
      </c>
      <c r="Q6405" s="26" t="str">
        <f>HYPERLINK("https://ictv.global/taxonomy/taxondetails?taxnode_id=202505486&amp;ictv_id=ICTV20175486","ICTV20175486")</f>
        <v>ICTV20175486</v>
      </c>
      <c r="R6405" t="s">
        <v>579</v>
      </c>
      <c r="S6405" t="s">
        <v>824</v>
      </c>
      <c r="T6405">
        <v>37</v>
      </c>
      <c r="U6405" s="26" t="str">
        <f>HYPERLINK("https://ictv.global/ictv/proposals/2021.010B.R.Binomial_names.zip","2021.010B.R.Binomial_names.zip")</f>
        <v>2021.010B.R.Binomial_names.zip</v>
      </c>
    </row>
    <row r="6406" spans="1:21">
      <c r="A6406">
        <v>6405</v>
      </c>
      <c r="B6406" s="27" t="s">
        <v>1449</v>
      </c>
      <c r="D6406" s="27" t="s">
        <v>1450</v>
      </c>
      <c r="F6406" s="27" t="s">
        <v>1453</v>
      </c>
      <c r="H6406" s="27" t="s">
        <v>1454</v>
      </c>
      <c r="N6406" s="27" t="s">
        <v>830</v>
      </c>
      <c r="P6406" s="27" t="s">
        <v>8006</v>
      </c>
      <c r="Q6406" s="26" t="str">
        <f>HYPERLINK("https://ictv.global/taxonomy/taxondetails?taxnode_id=202505485&amp;ictv_id=ICTV20175485","ICTV20175485")</f>
        <v>ICTV20175485</v>
      </c>
      <c r="R6406" t="s">
        <v>579</v>
      </c>
      <c r="S6406" t="s">
        <v>824</v>
      </c>
      <c r="T6406">
        <v>37</v>
      </c>
      <c r="U6406" s="26" t="str">
        <f>HYPERLINK("https://ictv.global/ictv/proposals/2021.010B.R.Binomial_names.zip","2021.010B.R.Binomial_names.zip")</f>
        <v>2021.010B.R.Binomial_names.zip</v>
      </c>
    </row>
    <row r="6407" spans="1:21">
      <c r="A6407">
        <v>6406</v>
      </c>
      <c r="B6407" s="27" t="s">
        <v>1449</v>
      </c>
      <c r="D6407" s="27" t="s">
        <v>1450</v>
      </c>
      <c r="F6407" s="27" t="s">
        <v>1453</v>
      </c>
      <c r="H6407" s="27" t="s">
        <v>1454</v>
      </c>
      <c r="N6407" s="27" t="s">
        <v>8007</v>
      </c>
      <c r="P6407" s="27" t="s">
        <v>8008</v>
      </c>
      <c r="Q6407" s="26" t="str">
        <f>HYPERLINK("https://ictv.global/taxonomy/taxondetails?taxnode_id=202513635&amp;ictv_id=ICTV202113635","ICTV202113635")</f>
        <v>ICTV202113635</v>
      </c>
      <c r="R6407" t="s">
        <v>579</v>
      </c>
      <c r="S6407" t="s">
        <v>823</v>
      </c>
      <c r="T6407">
        <v>37</v>
      </c>
      <c r="U6407" s="26" t="str">
        <f>HYPERLINK("https://ictv.global/ictv/proposals/2021.078B.R.Siphoviridae_new_genera.zip","2021.078B.R.Siphoviridae_new_genera.zip")</f>
        <v>2021.078B.R.Siphoviridae_new_genera.zip</v>
      </c>
    </row>
    <row r="6408" spans="1:21">
      <c r="A6408">
        <v>6407</v>
      </c>
      <c r="B6408" s="27" t="s">
        <v>1449</v>
      </c>
      <c r="D6408" s="27" t="s">
        <v>1450</v>
      </c>
      <c r="F6408" s="27" t="s">
        <v>1453</v>
      </c>
      <c r="H6408" s="27" t="s">
        <v>1454</v>
      </c>
      <c r="N6408" s="27" t="s">
        <v>8009</v>
      </c>
      <c r="P6408" s="27" t="s">
        <v>8010</v>
      </c>
      <c r="Q6408" s="26" t="str">
        <f>HYPERLINK("https://ictv.global/taxonomy/taxondetails?taxnode_id=202514946&amp;ictv_id=ICTV202214946","ICTV202214946")</f>
        <v>ICTV202214946</v>
      </c>
      <c r="R6408" t="s">
        <v>579</v>
      </c>
      <c r="S6408" t="s">
        <v>823</v>
      </c>
      <c r="T6408">
        <v>38</v>
      </c>
      <c r="U6408" s="26" t="str">
        <f>HYPERLINK("https://ictv.global/ictv/proposals/2022.088B.Syrbvirus_ng.zip","2022.088B.Syrbvirus_ng.zip")</f>
        <v>2022.088B.Syrbvirus_ng.zip</v>
      </c>
    </row>
    <row r="6409" spans="1:21">
      <c r="A6409">
        <v>6408</v>
      </c>
      <c r="B6409" s="27" t="s">
        <v>1449</v>
      </c>
      <c r="D6409" s="27" t="s">
        <v>1450</v>
      </c>
      <c r="F6409" s="27" t="s">
        <v>1453</v>
      </c>
      <c r="H6409" s="27" t="s">
        <v>1454</v>
      </c>
      <c r="N6409" s="27" t="s">
        <v>22626</v>
      </c>
      <c r="P6409" s="27" t="s">
        <v>22630</v>
      </c>
      <c r="Q6409" s="26" t="str">
        <f>HYPERLINK("https://ictv.global/taxonomy/taxondetails?taxnode_id=202523221&amp;ictv_id=ICTV202523221","ICTV202523221")</f>
        <v>ICTV202523221</v>
      </c>
      <c r="R6409" t="s">
        <v>579</v>
      </c>
      <c r="S6409" t="s">
        <v>823</v>
      </c>
      <c r="T6409">
        <v>41</v>
      </c>
      <c r="U6409" s="26" t="str">
        <f t="shared" ref="U6409:U6416" si="256">HYPERLINK("https://ictv.global/ictv/proposals/2025.075B.Tabiovirus_1ng_8ns.zip","2025.075B.Tabiovirus_1ng_8ns.zip")</f>
        <v>2025.075B.Tabiovirus_1ng_8ns.zip</v>
      </c>
    </row>
    <row r="6410" spans="1:21">
      <c r="A6410">
        <v>6409</v>
      </c>
      <c r="B6410" s="27" t="s">
        <v>1449</v>
      </c>
      <c r="D6410" s="27" t="s">
        <v>1450</v>
      </c>
      <c r="F6410" s="27" t="s">
        <v>1453</v>
      </c>
      <c r="H6410" s="27" t="s">
        <v>1454</v>
      </c>
      <c r="N6410" s="27" t="s">
        <v>22626</v>
      </c>
      <c r="P6410" s="27" t="s">
        <v>22633</v>
      </c>
      <c r="Q6410" s="26" t="str">
        <f>HYPERLINK("https://ictv.global/taxonomy/taxondetails?taxnode_id=202523224&amp;ictv_id=ICTV202523224","ICTV202523224")</f>
        <v>ICTV202523224</v>
      </c>
      <c r="R6410" t="s">
        <v>579</v>
      </c>
      <c r="S6410" t="s">
        <v>823</v>
      </c>
      <c r="T6410">
        <v>41</v>
      </c>
      <c r="U6410" s="26" t="str">
        <f t="shared" si="256"/>
        <v>2025.075B.Tabiovirus_1ng_8ns.zip</v>
      </c>
    </row>
    <row r="6411" spans="1:21">
      <c r="A6411">
        <v>6410</v>
      </c>
      <c r="B6411" s="27" t="s">
        <v>1449</v>
      </c>
      <c r="D6411" s="27" t="s">
        <v>1450</v>
      </c>
      <c r="F6411" s="27" t="s">
        <v>1453</v>
      </c>
      <c r="H6411" s="27" t="s">
        <v>1454</v>
      </c>
      <c r="N6411" s="27" t="s">
        <v>22626</v>
      </c>
      <c r="P6411" s="27" t="s">
        <v>22627</v>
      </c>
      <c r="Q6411" s="26" t="str">
        <f>HYPERLINK("https://ictv.global/taxonomy/taxondetails?taxnode_id=202523218&amp;ictv_id=ICTV202523218","ICTV202523218")</f>
        <v>ICTV202523218</v>
      </c>
      <c r="R6411" t="s">
        <v>579</v>
      </c>
      <c r="S6411" t="s">
        <v>823</v>
      </c>
      <c r="T6411">
        <v>41</v>
      </c>
      <c r="U6411" s="26" t="str">
        <f t="shared" si="256"/>
        <v>2025.075B.Tabiovirus_1ng_8ns.zip</v>
      </c>
    </row>
    <row r="6412" spans="1:21">
      <c r="A6412">
        <v>6411</v>
      </c>
      <c r="B6412" s="27" t="s">
        <v>1449</v>
      </c>
      <c r="D6412" s="27" t="s">
        <v>1450</v>
      </c>
      <c r="F6412" s="27" t="s">
        <v>1453</v>
      </c>
      <c r="H6412" s="27" t="s">
        <v>1454</v>
      </c>
      <c r="N6412" s="27" t="s">
        <v>22626</v>
      </c>
      <c r="P6412" s="27" t="s">
        <v>22631</v>
      </c>
      <c r="Q6412" s="26" t="str">
        <f>HYPERLINK("https://ictv.global/taxonomy/taxondetails?taxnode_id=202523222&amp;ictv_id=ICTV202523222","ICTV202523222")</f>
        <v>ICTV202523222</v>
      </c>
      <c r="R6412" t="s">
        <v>579</v>
      </c>
      <c r="S6412" t="s">
        <v>823</v>
      </c>
      <c r="T6412">
        <v>41</v>
      </c>
      <c r="U6412" s="26" t="str">
        <f t="shared" si="256"/>
        <v>2025.075B.Tabiovirus_1ng_8ns.zip</v>
      </c>
    </row>
    <row r="6413" spans="1:21">
      <c r="A6413">
        <v>6412</v>
      </c>
      <c r="B6413" s="27" t="s">
        <v>1449</v>
      </c>
      <c r="D6413" s="27" t="s">
        <v>1450</v>
      </c>
      <c r="F6413" s="27" t="s">
        <v>1453</v>
      </c>
      <c r="H6413" s="27" t="s">
        <v>1454</v>
      </c>
      <c r="N6413" s="27" t="s">
        <v>22626</v>
      </c>
      <c r="P6413" s="27" t="s">
        <v>22632</v>
      </c>
      <c r="Q6413" s="26" t="str">
        <f>HYPERLINK("https://ictv.global/taxonomy/taxondetails?taxnode_id=202523223&amp;ictv_id=ICTV202523223","ICTV202523223")</f>
        <v>ICTV202523223</v>
      </c>
      <c r="R6413" t="s">
        <v>579</v>
      </c>
      <c r="S6413" t="s">
        <v>823</v>
      </c>
      <c r="T6413">
        <v>41</v>
      </c>
      <c r="U6413" s="26" t="str">
        <f t="shared" si="256"/>
        <v>2025.075B.Tabiovirus_1ng_8ns.zip</v>
      </c>
    </row>
    <row r="6414" spans="1:21">
      <c r="A6414">
        <v>6413</v>
      </c>
      <c r="B6414" s="27" t="s">
        <v>1449</v>
      </c>
      <c r="D6414" s="27" t="s">
        <v>1450</v>
      </c>
      <c r="F6414" s="27" t="s">
        <v>1453</v>
      </c>
      <c r="H6414" s="27" t="s">
        <v>1454</v>
      </c>
      <c r="N6414" s="27" t="s">
        <v>22626</v>
      </c>
      <c r="P6414" s="27" t="s">
        <v>22634</v>
      </c>
      <c r="Q6414" s="26" t="str">
        <f>HYPERLINK("https://ictv.global/taxonomy/taxondetails?taxnode_id=202523225&amp;ictv_id=ICTV202523225","ICTV202523225")</f>
        <v>ICTV202523225</v>
      </c>
      <c r="R6414" t="s">
        <v>579</v>
      </c>
      <c r="S6414" t="s">
        <v>823</v>
      </c>
      <c r="T6414">
        <v>41</v>
      </c>
      <c r="U6414" s="26" t="str">
        <f t="shared" si="256"/>
        <v>2025.075B.Tabiovirus_1ng_8ns.zip</v>
      </c>
    </row>
    <row r="6415" spans="1:21">
      <c r="A6415">
        <v>6414</v>
      </c>
      <c r="B6415" s="27" t="s">
        <v>1449</v>
      </c>
      <c r="D6415" s="27" t="s">
        <v>1450</v>
      </c>
      <c r="F6415" s="27" t="s">
        <v>1453</v>
      </c>
      <c r="H6415" s="27" t="s">
        <v>1454</v>
      </c>
      <c r="N6415" s="27" t="s">
        <v>22626</v>
      </c>
      <c r="P6415" s="27" t="s">
        <v>22629</v>
      </c>
      <c r="Q6415" s="26" t="str">
        <f>HYPERLINK("https://ictv.global/taxonomy/taxondetails?taxnode_id=202523220&amp;ictv_id=ICTV202523220","ICTV202523220")</f>
        <v>ICTV202523220</v>
      </c>
      <c r="R6415" t="s">
        <v>579</v>
      </c>
      <c r="S6415" t="s">
        <v>823</v>
      </c>
      <c r="T6415">
        <v>41</v>
      </c>
      <c r="U6415" s="26" t="str">
        <f t="shared" si="256"/>
        <v>2025.075B.Tabiovirus_1ng_8ns.zip</v>
      </c>
    </row>
    <row r="6416" spans="1:21">
      <c r="A6416">
        <v>6415</v>
      </c>
      <c r="B6416" s="27" t="s">
        <v>1449</v>
      </c>
      <c r="D6416" s="27" t="s">
        <v>1450</v>
      </c>
      <c r="F6416" s="27" t="s">
        <v>1453</v>
      </c>
      <c r="H6416" s="27" t="s">
        <v>1454</v>
      </c>
      <c r="N6416" s="27" t="s">
        <v>22626</v>
      </c>
      <c r="P6416" s="27" t="s">
        <v>22628</v>
      </c>
      <c r="Q6416" s="26" t="str">
        <f>HYPERLINK("https://ictv.global/taxonomy/taxondetails?taxnode_id=202523219&amp;ictv_id=ICTV202523219","ICTV202523219")</f>
        <v>ICTV202523219</v>
      </c>
      <c r="R6416" t="s">
        <v>579</v>
      </c>
      <c r="S6416" t="s">
        <v>823</v>
      </c>
      <c r="T6416">
        <v>41</v>
      </c>
      <c r="U6416" s="26" t="str">
        <f t="shared" si="256"/>
        <v>2025.075B.Tabiovirus_1ng_8ns.zip</v>
      </c>
    </row>
    <row r="6417" spans="1:21">
      <c r="A6417">
        <v>6416</v>
      </c>
      <c r="B6417" s="27" t="s">
        <v>1449</v>
      </c>
      <c r="D6417" s="27" t="s">
        <v>1450</v>
      </c>
      <c r="F6417" s="27" t="s">
        <v>1453</v>
      </c>
      <c r="H6417" s="27" t="s">
        <v>1454</v>
      </c>
      <c r="N6417" s="27" t="s">
        <v>2125</v>
      </c>
      <c r="P6417" s="27" t="s">
        <v>8012</v>
      </c>
      <c r="Q6417" s="26" t="str">
        <f>HYPERLINK("https://ictv.global/taxonomy/taxondetails?taxnode_id=202500514&amp;ictv_id=ICTV20094110","ICTV20094110")</f>
        <v>ICTV20094110</v>
      </c>
      <c r="R6417" t="s">
        <v>579</v>
      </c>
      <c r="S6417" t="s">
        <v>22763</v>
      </c>
      <c r="T6417">
        <v>40</v>
      </c>
      <c r="U6417" s="26" t="str">
        <f>HYPERLINK("https://ictv.global/ictv/proposals/2024.007B.Chimalliviridae_16mg.zip","2024.007B.Chimalliviridae_16mg.zip")</f>
        <v>2024.007B.Chimalliviridae_16mg.zip</v>
      </c>
    </row>
    <row r="6418" spans="1:21">
      <c r="A6418">
        <v>6417</v>
      </c>
      <c r="B6418" s="27" t="s">
        <v>1449</v>
      </c>
      <c r="D6418" s="27" t="s">
        <v>1450</v>
      </c>
      <c r="F6418" s="27" t="s">
        <v>1453</v>
      </c>
      <c r="H6418" s="27" t="s">
        <v>1454</v>
      </c>
      <c r="N6418" s="27" t="s">
        <v>2311</v>
      </c>
      <c r="P6418" s="27" t="s">
        <v>8013</v>
      </c>
      <c r="Q6418" s="26" t="str">
        <f>HYPERLINK("https://ictv.global/taxonomy/taxondetails?taxnode_id=202511965&amp;ictv_id=ICTV202011965","ICTV202011965")</f>
        <v>ICTV202011965</v>
      </c>
      <c r="R6418" t="s">
        <v>579</v>
      </c>
      <c r="S6418" t="s">
        <v>824</v>
      </c>
      <c r="T6418">
        <v>37</v>
      </c>
      <c r="U6418" s="26" t="str">
        <f t="shared" ref="U6418:U6428" si="257">HYPERLINK("https://ictv.global/ictv/proposals/2021.010B.R.Binomial_names.zip","2021.010B.R.Binomial_names.zip")</f>
        <v>2021.010B.R.Binomial_names.zip</v>
      </c>
    </row>
    <row r="6419" spans="1:21">
      <c r="A6419">
        <v>6418</v>
      </c>
      <c r="B6419" s="27" t="s">
        <v>1449</v>
      </c>
      <c r="D6419" s="27" t="s">
        <v>1450</v>
      </c>
      <c r="F6419" s="27" t="s">
        <v>1453</v>
      </c>
      <c r="H6419" s="27" t="s">
        <v>1454</v>
      </c>
      <c r="N6419" s="27" t="s">
        <v>788</v>
      </c>
      <c r="P6419" s="27" t="s">
        <v>8014</v>
      </c>
      <c r="Q6419" s="26" t="str">
        <f>HYPERLINK("https://ictv.global/taxonomy/taxondetails?taxnode_id=202501334&amp;ictv_id=ICTV20165095","ICTV20165095")</f>
        <v>ICTV20165095</v>
      </c>
      <c r="R6419" t="s">
        <v>579</v>
      </c>
      <c r="S6419" t="s">
        <v>824</v>
      </c>
      <c r="T6419">
        <v>37</v>
      </c>
      <c r="U6419" s="26" t="str">
        <f t="shared" si="257"/>
        <v>2021.010B.R.Binomial_names.zip</v>
      </c>
    </row>
    <row r="6420" spans="1:21">
      <c r="A6420">
        <v>6419</v>
      </c>
      <c r="B6420" s="27" t="s">
        <v>1449</v>
      </c>
      <c r="D6420" s="27" t="s">
        <v>1450</v>
      </c>
      <c r="F6420" s="27" t="s">
        <v>1453</v>
      </c>
      <c r="H6420" s="27" t="s">
        <v>1454</v>
      </c>
      <c r="N6420" s="27" t="s">
        <v>2312</v>
      </c>
      <c r="P6420" s="27" t="s">
        <v>8015</v>
      </c>
      <c r="Q6420" s="26" t="str">
        <f>HYPERLINK("https://ictv.global/taxonomy/taxondetails?taxnode_id=202510017&amp;ictv_id=ICTV202010017","ICTV202010017")</f>
        <v>ICTV202010017</v>
      </c>
      <c r="R6420" t="s">
        <v>579</v>
      </c>
      <c r="S6420" t="s">
        <v>824</v>
      </c>
      <c r="T6420">
        <v>37</v>
      </c>
      <c r="U6420" s="26" t="str">
        <f t="shared" si="257"/>
        <v>2021.010B.R.Binomial_names.zip</v>
      </c>
    </row>
    <row r="6421" spans="1:21">
      <c r="A6421">
        <v>6420</v>
      </c>
      <c r="B6421" s="27" t="s">
        <v>1449</v>
      </c>
      <c r="D6421" s="27" t="s">
        <v>1450</v>
      </c>
      <c r="F6421" s="27" t="s">
        <v>1453</v>
      </c>
      <c r="H6421" s="27" t="s">
        <v>1454</v>
      </c>
      <c r="N6421" s="27" t="s">
        <v>1708</v>
      </c>
      <c r="P6421" s="27" t="s">
        <v>8016</v>
      </c>
      <c r="Q6421" s="26" t="str">
        <f>HYPERLINK("https://ictv.global/taxonomy/taxondetails?taxnode_id=202508046&amp;ictv_id=ICTV201908046","ICTV201908046")</f>
        <v>ICTV201908046</v>
      </c>
      <c r="R6421" t="s">
        <v>579</v>
      </c>
      <c r="S6421" t="s">
        <v>824</v>
      </c>
      <c r="T6421">
        <v>37</v>
      </c>
      <c r="U6421" s="26" t="str">
        <f t="shared" si="257"/>
        <v>2021.010B.R.Binomial_names.zip</v>
      </c>
    </row>
    <row r="6422" spans="1:21">
      <c r="A6422">
        <v>6421</v>
      </c>
      <c r="B6422" s="27" t="s">
        <v>1449</v>
      </c>
      <c r="D6422" s="27" t="s">
        <v>1450</v>
      </c>
      <c r="F6422" s="27" t="s">
        <v>1453</v>
      </c>
      <c r="H6422" s="27" t="s">
        <v>1454</v>
      </c>
      <c r="N6422" s="27" t="s">
        <v>1793</v>
      </c>
      <c r="P6422" s="27" t="s">
        <v>8019</v>
      </c>
      <c r="Q6422" s="26" t="str">
        <f>HYPERLINK("https://ictv.global/taxonomy/taxondetails?taxnode_id=202507706&amp;ictv_id=ICTV201907706","ICTV201907706")</f>
        <v>ICTV201907706</v>
      </c>
      <c r="R6422" t="s">
        <v>579</v>
      </c>
      <c r="S6422" t="s">
        <v>824</v>
      </c>
      <c r="T6422">
        <v>37</v>
      </c>
      <c r="U6422" s="26" t="str">
        <f t="shared" si="257"/>
        <v>2021.010B.R.Binomial_names.zip</v>
      </c>
    </row>
    <row r="6423" spans="1:21">
      <c r="A6423">
        <v>6422</v>
      </c>
      <c r="B6423" s="27" t="s">
        <v>1449</v>
      </c>
      <c r="D6423" s="27" t="s">
        <v>1450</v>
      </c>
      <c r="F6423" s="27" t="s">
        <v>1453</v>
      </c>
      <c r="H6423" s="27" t="s">
        <v>1454</v>
      </c>
      <c r="N6423" s="27" t="s">
        <v>1793</v>
      </c>
      <c r="P6423" s="27" t="s">
        <v>8020</v>
      </c>
      <c r="Q6423" s="26" t="str">
        <f>HYPERLINK("https://ictv.global/taxonomy/taxondetails?taxnode_id=202507705&amp;ictv_id=ICTV201907705","ICTV201907705")</f>
        <v>ICTV201907705</v>
      </c>
      <c r="R6423" t="s">
        <v>579</v>
      </c>
      <c r="S6423" t="s">
        <v>824</v>
      </c>
      <c r="T6423">
        <v>37</v>
      </c>
      <c r="U6423" s="26" t="str">
        <f t="shared" si="257"/>
        <v>2021.010B.R.Binomial_names.zip</v>
      </c>
    </row>
    <row r="6424" spans="1:21">
      <c r="A6424">
        <v>6423</v>
      </c>
      <c r="B6424" s="27" t="s">
        <v>1449</v>
      </c>
      <c r="D6424" s="27" t="s">
        <v>1450</v>
      </c>
      <c r="F6424" s="27" t="s">
        <v>1453</v>
      </c>
      <c r="H6424" s="27" t="s">
        <v>1454</v>
      </c>
      <c r="N6424" s="27" t="s">
        <v>2313</v>
      </c>
      <c r="P6424" s="27" t="s">
        <v>8021</v>
      </c>
      <c r="Q6424" s="26" t="str">
        <f>HYPERLINK("https://ictv.global/taxonomy/taxondetails?taxnode_id=202512022&amp;ictv_id=ICTV202012022","ICTV202012022")</f>
        <v>ICTV202012022</v>
      </c>
      <c r="R6424" t="s">
        <v>579</v>
      </c>
      <c r="S6424" t="s">
        <v>824</v>
      </c>
      <c r="T6424">
        <v>37</v>
      </c>
      <c r="U6424" s="26" t="str">
        <f t="shared" si="257"/>
        <v>2021.010B.R.Binomial_names.zip</v>
      </c>
    </row>
    <row r="6425" spans="1:21">
      <c r="A6425">
        <v>6424</v>
      </c>
      <c r="B6425" s="27" t="s">
        <v>1449</v>
      </c>
      <c r="D6425" s="27" t="s">
        <v>1450</v>
      </c>
      <c r="F6425" s="27" t="s">
        <v>1453</v>
      </c>
      <c r="H6425" s="27" t="s">
        <v>1454</v>
      </c>
      <c r="N6425" s="27" t="s">
        <v>2313</v>
      </c>
      <c r="P6425" s="27" t="s">
        <v>8022</v>
      </c>
      <c r="Q6425" s="26" t="str">
        <f>HYPERLINK("https://ictv.global/taxonomy/taxondetails?taxnode_id=202512021&amp;ictv_id=ICTV202012021","ICTV202012021")</f>
        <v>ICTV202012021</v>
      </c>
      <c r="R6425" t="s">
        <v>579</v>
      </c>
      <c r="S6425" t="s">
        <v>824</v>
      </c>
      <c r="T6425">
        <v>37</v>
      </c>
      <c r="U6425" s="26" t="str">
        <f t="shared" si="257"/>
        <v>2021.010B.R.Binomial_names.zip</v>
      </c>
    </row>
    <row r="6426" spans="1:21">
      <c r="A6426">
        <v>6425</v>
      </c>
      <c r="B6426" s="27" t="s">
        <v>1449</v>
      </c>
      <c r="D6426" s="27" t="s">
        <v>1450</v>
      </c>
      <c r="F6426" s="27" t="s">
        <v>1453</v>
      </c>
      <c r="H6426" s="27" t="s">
        <v>1454</v>
      </c>
      <c r="N6426" s="27" t="s">
        <v>2313</v>
      </c>
      <c r="P6426" s="27" t="s">
        <v>8023</v>
      </c>
      <c r="Q6426" s="26" t="str">
        <f>HYPERLINK("https://ictv.global/taxonomy/taxondetails?taxnode_id=202512023&amp;ictv_id=ICTV202012023","ICTV202012023")</f>
        <v>ICTV202012023</v>
      </c>
      <c r="R6426" t="s">
        <v>579</v>
      </c>
      <c r="S6426" t="s">
        <v>824</v>
      </c>
      <c r="T6426">
        <v>37</v>
      </c>
      <c r="U6426" s="26" t="str">
        <f t="shared" si="257"/>
        <v>2021.010B.R.Binomial_names.zip</v>
      </c>
    </row>
    <row r="6427" spans="1:21">
      <c r="A6427">
        <v>6426</v>
      </c>
      <c r="B6427" s="27" t="s">
        <v>1449</v>
      </c>
      <c r="D6427" s="27" t="s">
        <v>1450</v>
      </c>
      <c r="F6427" s="27" t="s">
        <v>1453</v>
      </c>
      <c r="H6427" s="27" t="s">
        <v>1454</v>
      </c>
      <c r="N6427" s="27" t="s">
        <v>2313</v>
      </c>
      <c r="P6427" s="27" t="s">
        <v>8024</v>
      </c>
      <c r="Q6427" s="26" t="str">
        <f>HYPERLINK("https://ictv.global/taxonomy/taxondetails?taxnode_id=202512024&amp;ictv_id=ICTV202012024","ICTV202012024")</f>
        <v>ICTV202012024</v>
      </c>
      <c r="R6427" t="s">
        <v>579</v>
      </c>
      <c r="S6427" t="s">
        <v>824</v>
      </c>
      <c r="T6427">
        <v>37</v>
      </c>
      <c r="U6427" s="26" t="str">
        <f t="shared" si="257"/>
        <v>2021.010B.R.Binomial_names.zip</v>
      </c>
    </row>
    <row r="6428" spans="1:21">
      <c r="A6428">
        <v>6427</v>
      </c>
      <c r="B6428" s="27" t="s">
        <v>1449</v>
      </c>
      <c r="D6428" s="27" t="s">
        <v>1450</v>
      </c>
      <c r="F6428" s="27" t="s">
        <v>1453</v>
      </c>
      <c r="H6428" s="27" t="s">
        <v>1454</v>
      </c>
      <c r="N6428" s="27" t="s">
        <v>2313</v>
      </c>
      <c r="P6428" s="27" t="s">
        <v>8025</v>
      </c>
      <c r="Q6428" s="26" t="str">
        <f>HYPERLINK("https://ictv.global/taxonomy/taxondetails?taxnode_id=202512020&amp;ictv_id=ICTV202012020","ICTV202012020")</f>
        <v>ICTV202012020</v>
      </c>
      <c r="R6428" t="s">
        <v>579</v>
      </c>
      <c r="S6428" t="s">
        <v>824</v>
      </c>
      <c r="T6428">
        <v>37</v>
      </c>
      <c r="U6428" s="26" t="str">
        <f t="shared" si="257"/>
        <v>2021.010B.R.Binomial_names.zip</v>
      </c>
    </row>
    <row r="6429" spans="1:21">
      <c r="A6429">
        <v>6428</v>
      </c>
      <c r="B6429" s="27" t="s">
        <v>1449</v>
      </c>
      <c r="D6429" s="27" t="s">
        <v>1450</v>
      </c>
      <c r="F6429" s="27" t="s">
        <v>1453</v>
      </c>
      <c r="H6429" s="27" t="s">
        <v>1454</v>
      </c>
      <c r="N6429" s="27" t="s">
        <v>12217</v>
      </c>
      <c r="P6429" s="27" t="s">
        <v>12218</v>
      </c>
      <c r="Q6429" s="26" t="str">
        <f>HYPERLINK("https://ictv.global/taxonomy/taxondetails?taxnode_id=202517872&amp;ictv_id=ICTV202317872","ICTV202317872")</f>
        <v>ICTV202317872</v>
      </c>
      <c r="R6429" t="s">
        <v>579</v>
      </c>
      <c r="S6429" t="s">
        <v>823</v>
      </c>
      <c r="T6429">
        <v>39</v>
      </c>
      <c r="U6429" s="26" t="str">
        <f>HYPERLINK("https://ictv.global/ictv/proposals/2023.008B.Athenavirus_Theosmithvirus_2ng.zip","2023.008B.Athenavirus_Theosmithvirus_2ng.zip")</f>
        <v>2023.008B.Athenavirus_Theosmithvirus_2ng.zip</v>
      </c>
    </row>
    <row r="6430" spans="1:21">
      <c r="A6430">
        <v>6429</v>
      </c>
      <c r="B6430" s="27" t="s">
        <v>1449</v>
      </c>
      <c r="D6430" s="27" t="s">
        <v>1450</v>
      </c>
      <c r="F6430" s="27" t="s">
        <v>1453</v>
      </c>
      <c r="H6430" s="27" t="s">
        <v>1454</v>
      </c>
      <c r="N6430" s="27" t="s">
        <v>12219</v>
      </c>
      <c r="P6430" s="27" t="s">
        <v>12220</v>
      </c>
      <c r="Q6430" s="26" t="str">
        <f>HYPERLINK("https://ictv.global/taxonomy/taxondetails?taxnode_id=202519215&amp;ictv_id=ICTV202319215","ICTV202319215")</f>
        <v>ICTV202319215</v>
      </c>
      <c r="R6430" t="s">
        <v>579</v>
      </c>
      <c r="S6430" t="s">
        <v>823</v>
      </c>
      <c r="T6430">
        <v>39</v>
      </c>
      <c r="U6430" s="26" t="str">
        <f>HYPERLINK("https://ictv.global/ictv/proposals/2023.049B.Caudoviricetes_Enterococcus_6ng.zip","2023.049B.Caudoviricetes_Enterococcus_6ng.zip")</f>
        <v>2023.049B.Caudoviricetes_Enterococcus_6ng.zip</v>
      </c>
    </row>
    <row r="6431" spans="1:21">
      <c r="A6431">
        <v>6430</v>
      </c>
      <c r="B6431" s="27" t="s">
        <v>1449</v>
      </c>
      <c r="D6431" s="27" t="s">
        <v>1450</v>
      </c>
      <c r="F6431" s="27" t="s">
        <v>1453</v>
      </c>
      <c r="H6431" s="27" t="s">
        <v>1454</v>
      </c>
      <c r="N6431" s="27" t="s">
        <v>1264</v>
      </c>
      <c r="P6431" s="27" t="s">
        <v>8026</v>
      </c>
      <c r="Q6431" s="26" t="str">
        <f>HYPERLINK("https://ictv.global/taxonomy/taxondetails?taxnode_id=202506890&amp;ictv_id=ICTV201856890","ICTV201856890")</f>
        <v>ICTV201856890</v>
      </c>
      <c r="R6431" t="s">
        <v>579</v>
      </c>
      <c r="S6431" t="s">
        <v>824</v>
      </c>
      <c r="T6431">
        <v>37</v>
      </c>
      <c r="U6431" s="26" t="str">
        <f>HYPERLINK("https://ictv.global/ictv/proposals/2021.010B.R.Binomial_names.zip","2021.010B.R.Binomial_names.zip")</f>
        <v>2021.010B.R.Binomial_names.zip</v>
      </c>
    </row>
    <row r="6432" spans="1:21">
      <c r="A6432">
        <v>6431</v>
      </c>
      <c r="B6432" s="27" t="s">
        <v>1449</v>
      </c>
      <c r="D6432" s="27" t="s">
        <v>1450</v>
      </c>
      <c r="F6432" s="27" t="s">
        <v>1453</v>
      </c>
      <c r="H6432" s="27" t="s">
        <v>1454</v>
      </c>
      <c r="N6432" s="27" t="s">
        <v>8027</v>
      </c>
      <c r="P6432" s="27" t="s">
        <v>8028</v>
      </c>
      <c r="Q6432" s="26" t="str">
        <f>HYPERLINK("https://ictv.global/taxonomy/taxondetails?taxnode_id=202514952&amp;ictv_id=ICTV202214952","ICTV202214952")</f>
        <v>ICTV202214952</v>
      </c>
      <c r="R6432" t="s">
        <v>579</v>
      </c>
      <c r="S6432" t="s">
        <v>823</v>
      </c>
      <c r="T6432">
        <v>38</v>
      </c>
      <c r="U6432" s="26" t="str">
        <f>HYPERLINK("https://ictv.global/ictv/proposals/2022.089B.Caudoviricetes_3ng_vibrio.zip","2022.089B.Caudoviricetes_3ng_vibrio.zip")</f>
        <v>2022.089B.Caudoviricetes_3ng_vibrio.zip</v>
      </c>
    </row>
    <row r="6433" spans="1:21">
      <c r="A6433">
        <v>6432</v>
      </c>
      <c r="B6433" s="27" t="s">
        <v>1449</v>
      </c>
      <c r="D6433" s="27" t="s">
        <v>1450</v>
      </c>
      <c r="F6433" s="27" t="s">
        <v>1453</v>
      </c>
      <c r="H6433" s="27" t="s">
        <v>1454</v>
      </c>
      <c r="N6433" s="27" t="s">
        <v>1266</v>
      </c>
      <c r="P6433" s="27" t="s">
        <v>8030</v>
      </c>
      <c r="Q6433" s="26" t="str">
        <f>HYPERLINK("https://ictv.global/taxonomy/taxondetails?taxnode_id=202506787&amp;ictv_id=ICTV201856787","ICTV201856787")</f>
        <v>ICTV201856787</v>
      </c>
      <c r="R6433" t="s">
        <v>579</v>
      </c>
      <c r="S6433" t="s">
        <v>824</v>
      </c>
      <c r="T6433">
        <v>37</v>
      </c>
      <c r="U6433" s="26" t="str">
        <f>HYPERLINK("https://ictv.global/ictv/proposals/2021.010B.R.Binomial_names.zip","2021.010B.R.Binomial_names.zip")</f>
        <v>2021.010B.R.Binomial_names.zip</v>
      </c>
    </row>
    <row r="6434" spans="1:21">
      <c r="A6434">
        <v>6433</v>
      </c>
      <c r="B6434" s="27" t="s">
        <v>1449</v>
      </c>
      <c r="D6434" s="27" t="s">
        <v>1450</v>
      </c>
      <c r="F6434" s="27" t="s">
        <v>1453</v>
      </c>
      <c r="H6434" s="27" t="s">
        <v>1454</v>
      </c>
      <c r="N6434" s="27" t="s">
        <v>8031</v>
      </c>
      <c r="P6434" s="27" t="s">
        <v>8032</v>
      </c>
      <c r="Q6434" s="26" t="str">
        <f>HYPERLINK("https://ictv.global/taxonomy/taxondetails?taxnode_id=202512612&amp;ictv_id=ICTV202112612","ICTV202112612")</f>
        <v>ICTV202112612</v>
      </c>
      <c r="R6434" t="s">
        <v>579</v>
      </c>
      <c r="S6434" t="s">
        <v>823</v>
      </c>
      <c r="T6434">
        <v>37</v>
      </c>
      <c r="U6434" s="26" t="str">
        <f>HYPERLINK("https://ictv.global/ictv/proposals/2021.083B.R.Timshelvirus.zip","2021.083B.R.Timshelvirus.zip")</f>
        <v>2021.083B.R.Timshelvirus.zip</v>
      </c>
    </row>
    <row r="6435" spans="1:21">
      <c r="A6435">
        <v>6434</v>
      </c>
      <c r="B6435" s="27" t="s">
        <v>1449</v>
      </c>
      <c r="D6435" s="27" t="s">
        <v>1450</v>
      </c>
      <c r="F6435" s="27" t="s">
        <v>1453</v>
      </c>
      <c r="H6435" s="27" t="s">
        <v>1454</v>
      </c>
      <c r="N6435" s="27" t="s">
        <v>8031</v>
      </c>
      <c r="P6435" s="27" t="s">
        <v>8033</v>
      </c>
      <c r="Q6435" s="26" t="str">
        <f>HYPERLINK("https://ictv.global/taxonomy/taxondetails?taxnode_id=202512611&amp;ictv_id=ICTV202112611","ICTV202112611")</f>
        <v>ICTV202112611</v>
      </c>
      <c r="R6435" t="s">
        <v>579</v>
      </c>
      <c r="S6435" t="s">
        <v>823</v>
      </c>
      <c r="T6435">
        <v>37</v>
      </c>
      <c r="U6435" s="26" t="str">
        <f>HYPERLINK("https://ictv.global/ictv/proposals/2021.083B.R.Timshelvirus.zip","2021.083B.R.Timshelvirus.zip")</f>
        <v>2021.083B.R.Timshelvirus.zip</v>
      </c>
    </row>
    <row r="6436" spans="1:21">
      <c r="A6436">
        <v>6435</v>
      </c>
      <c r="B6436" s="27" t="s">
        <v>1449</v>
      </c>
      <c r="D6436" s="27" t="s">
        <v>1450</v>
      </c>
      <c r="F6436" s="27" t="s">
        <v>1453</v>
      </c>
      <c r="H6436" s="27" t="s">
        <v>1454</v>
      </c>
      <c r="N6436" s="27" t="s">
        <v>8031</v>
      </c>
      <c r="P6436" s="27" t="s">
        <v>8034</v>
      </c>
      <c r="Q6436" s="26" t="str">
        <f>HYPERLINK("https://ictv.global/taxonomy/taxondetails?taxnode_id=202512610&amp;ictv_id=ICTV202112610","ICTV202112610")</f>
        <v>ICTV202112610</v>
      </c>
      <c r="R6436" t="s">
        <v>579</v>
      </c>
      <c r="S6436" t="s">
        <v>823</v>
      </c>
      <c r="T6436">
        <v>37</v>
      </c>
      <c r="U6436" s="26" t="str">
        <f>HYPERLINK("https://ictv.global/ictv/proposals/2021.083B.R.Timshelvirus.zip","2021.083B.R.Timshelvirus.zip")</f>
        <v>2021.083B.R.Timshelvirus.zip</v>
      </c>
    </row>
    <row r="6437" spans="1:21">
      <c r="A6437">
        <v>6436</v>
      </c>
      <c r="B6437" s="27" t="s">
        <v>1449</v>
      </c>
      <c r="D6437" s="27" t="s">
        <v>1450</v>
      </c>
      <c r="F6437" s="27" t="s">
        <v>1453</v>
      </c>
      <c r="H6437" s="27" t="s">
        <v>1454</v>
      </c>
      <c r="N6437" s="27" t="s">
        <v>8031</v>
      </c>
      <c r="P6437" s="27" t="s">
        <v>8035</v>
      </c>
      <c r="Q6437" s="26" t="str">
        <f>HYPERLINK("https://ictv.global/taxonomy/taxondetails?taxnode_id=202501062&amp;ictv_id=ICTV20140372","ICTV20140372")</f>
        <v>ICTV20140372</v>
      </c>
      <c r="R6437" t="s">
        <v>579</v>
      </c>
      <c r="S6437" t="s">
        <v>22764</v>
      </c>
      <c r="T6437">
        <v>37</v>
      </c>
      <c r="U6437" s="26" t="str">
        <f>HYPERLINK("https://ictv.global/ictv/proposals/2021.083B.R.Timshelvirus.zip","2021.083B.R.Timshelvirus.zip")</f>
        <v>2021.083B.R.Timshelvirus.zip</v>
      </c>
    </row>
    <row r="6438" spans="1:21">
      <c r="A6438">
        <v>6437</v>
      </c>
      <c r="B6438" s="27" t="s">
        <v>1449</v>
      </c>
      <c r="D6438" s="27" t="s">
        <v>1450</v>
      </c>
      <c r="F6438" s="27" t="s">
        <v>1453</v>
      </c>
      <c r="H6438" s="27" t="s">
        <v>1454</v>
      </c>
      <c r="N6438" s="27" t="s">
        <v>1425</v>
      </c>
      <c r="P6438" s="27" t="s">
        <v>8036</v>
      </c>
      <c r="Q6438" s="26" t="str">
        <f>HYPERLINK("https://ictv.global/taxonomy/taxondetails?taxnode_id=202501336&amp;ictv_id=ICTV20165096","ICTV20165096")</f>
        <v>ICTV20165096</v>
      </c>
      <c r="R6438" t="s">
        <v>579</v>
      </c>
      <c r="S6438" t="s">
        <v>824</v>
      </c>
      <c r="T6438">
        <v>37</v>
      </c>
      <c r="U6438" s="26" t="str">
        <f t="shared" ref="U6438:U6465" si="258">HYPERLINK("https://ictv.global/ictv/proposals/2021.010B.R.Binomial_names.zip","2021.010B.R.Binomial_names.zip")</f>
        <v>2021.010B.R.Binomial_names.zip</v>
      </c>
    </row>
    <row r="6439" spans="1:21">
      <c r="A6439">
        <v>6438</v>
      </c>
      <c r="B6439" s="27" t="s">
        <v>1449</v>
      </c>
      <c r="D6439" s="27" t="s">
        <v>1450</v>
      </c>
      <c r="F6439" s="27" t="s">
        <v>1453</v>
      </c>
      <c r="H6439" s="27" t="s">
        <v>1454</v>
      </c>
      <c r="N6439" s="27" t="s">
        <v>1425</v>
      </c>
      <c r="P6439" s="27" t="s">
        <v>8037</v>
      </c>
      <c r="Q6439" s="26" t="str">
        <f>HYPERLINK("https://ictv.global/taxonomy/taxondetails?taxnode_id=202501337&amp;ictv_id=ICTV20165097","ICTV20165097")</f>
        <v>ICTV20165097</v>
      </c>
      <c r="R6439" t="s">
        <v>579</v>
      </c>
      <c r="S6439" t="s">
        <v>824</v>
      </c>
      <c r="T6439">
        <v>37</v>
      </c>
      <c r="U6439" s="26" t="str">
        <f t="shared" si="258"/>
        <v>2021.010B.R.Binomial_names.zip</v>
      </c>
    </row>
    <row r="6440" spans="1:21">
      <c r="A6440">
        <v>6439</v>
      </c>
      <c r="B6440" s="27" t="s">
        <v>1449</v>
      </c>
      <c r="D6440" s="27" t="s">
        <v>1450</v>
      </c>
      <c r="F6440" s="27" t="s">
        <v>1453</v>
      </c>
      <c r="H6440" s="27" t="s">
        <v>1454</v>
      </c>
      <c r="N6440" s="27" t="s">
        <v>789</v>
      </c>
      <c r="P6440" s="27" t="s">
        <v>8038</v>
      </c>
      <c r="Q6440" s="26" t="str">
        <f>HYPERLINK("https://ictv.global/taxonomy/taxondetails?taxnode_id=202501340&amp;ictv_id=ICTV20165099","ICTV20165099")</f>
        <v>ICTV20165099</v>
      </c>
      <c r="R6440" t="s">
        <v>579</v>
      </c>
      <c r="S6440" t="s">
        <v>824</v>
      </c>
      <c r="T6440">
        <v>37</v>
      </c>
      <c r="U6440" s="26" t="str">
        <f t="shared" si="258"/>
        <v>2021.010B.R.Binomial_names.zip</v>
      </c>
    </row>
    <row r="6441" spans="1:21">
      <c r="A6441">
        <v>6440</v>
      </c>
      <c r="B6441" s="27" t="s">
        <v>1449</v>
      </c>
      <c r="D6441" s="27" t="s">
        <v>1450</v>
      </c>
      <c r="F6441" s="27" t="s">
        <v>1453</v>
      </c>
      <c r="H6441" s="27" t="s">
        <v>1454</v>
      </c>
      <c r="N6441" s="27" t="s">
        <v>789</v>
      </c>
      <c r="P6441" s="27" t="s">
        <v>8039</v>
      </c>
      <c r="Q6441" s="26" t="str">
        <f>HYPERLINK("https://ictv.global/taxonomy/taxondetails?taxnode_id=202501341&amp;ictv_id=ICTV20165100","ICTV20165100")</f>
        <v>ICTV20165100</v>
      </c>
      <c r="R6441" t="s">
        <v>579</v>
      </c>
      <c r="S6441" t="s">
        <v>824</v>
      </c>
      <c r="T6441">
        <v>37</v>
      </c>
      <c r="U6441" s="26" t="str">
        <f t="shared" si="258"/>
        <v>2021.010B.R.Binomial_names.zip</v>
      </c>
    </row>
    <row r="6442" spans="1:21">
      <c r="A6442">
        <v>6441</v>
      </c>
      <c r="B6442" s="27" t="s">
        <v>1449</v>
      </c>
      <c r="D6442" s="27" t="s">
        <v>1450</v>
      </c>
      <c r="F6442" s="27" t="s">
        <v>1453</v>
      </c>
      <c r="H6442" s="27" t="s">
        <v>1454</v>
      </c>
      <c r="N6442" s="27" t="s">
        <v>1712</v>
      </c>
      <c r="P6442" s="27" t="s">
        <v>8040</v>
      </c>
      <c r="Q6442" s="26" t="str">
        <f>HYPERLINK("https://ictv.global/taxonomy/taxondetails?taxnode_id=202508050&amp;ictv_id=ICTV201908050","ICTV201908050")</f>
        <v>ICTV201908050</v>
      </c>
      <c r="R6442" t="s">
        <v>579</v>
      </c>
      <c r="S6442" t="s">
        <v>824</v>
      </c>
      <c r="T6442">
        <v>37</v>
      </c>
      <c r="U6442" s="26" t="str">
        <f t="shared" si="258"/>
        <v>2021.010B.R.Binomial_names.zip</v>
      </c>
    </row>
    <row r="6443" spans="1:21">
      <c r="A6443">
        <v>6442</v>
      </c>
      <c r="B6443" s="27" t="s">
        <v>1449</v>
      </c>
      <c r="D6443" s="27" t="s">
        <v>1450</v>
      </c>
      <c r="F6443" s="27" t="s">
        <v>1453</v>
      </c>
      <c r="H6443" s="27" t="s">
        <v>1454</v>
      </c>
      <c r="N6443" s="27" t="s">
        <v>632</v>
      </c>
      <c r="P6443" s="27" t="s">
        <v>8041</v>
      </c>
      <c r="Q6443" s="26" t="str">
        <f>HYPERLINK("https://ictv.global/taxonomy/taxondetails?taxnode_id=202512050&amp;ictv_id=ICTV202012050","ICTV202012050")</f>
        <v>ICTV202012050</v>
      </c>
      <c r="R6443" t="s">
        <v>579</v>
      </c>
      <c r="S6443" t="s">
        <v>824</v>
      </c>
      <c r="T6443">
        <v>37</v>
      </c>
      <c r="U6443" s="26" t="str">
        <f t="shared" si="258"/>
        <v>2021.010B.R.Binomial_names.zip</v>
      </c>
    </row>
    <row r="6444" spans="1:21">
      <c r="A6444">
        <v>6443</v>
      </c>
      <c r="B6444" s="27" t="s">
        <v>1449</v>
      </c>
      <c r="D6444" s="27" t="s">
        <v>1450</v>
      </c>
      <c r="F6444" s="27" t="s">
        <v>1453</v>
      </c>
      <c r="H6444" s="27" t="s">
        <v>1454</v>
      </c>
      <c r="N6444" s="27" t="s">
        <v>632</v>
      </c>
      <c r="P6444" s="27" t="s">
        <v>8042</v>
      </c>
      <c r="Q6444" s="26" t="str">
        <f>HYPERLINK("https://ictv.global/taxonomy/taxondetails?taxnode_id=202501359&amp;ictv_id=ICTV20140517","ICTV20140517")</f>
        <v>ICTV20140517</v>
      </c>
      <c r="R6444" t="s">
        <v>579</v>
      </c>
      <c r="S6444" t="s">
        <v>824</v>
      </c>
      <c r="T6444">
        <v>37</v>
      </c>
      <c r="U6444" s="26" t="str">
        <f t="shared" si="258"/>
        <v>2021.010B.R.Binomial_names.zip</v>
      </c>
    </row>
    <row r="6445" spans="1:21">
      <c r="A6445">
        <v>6444</v>
      </c>
      <c r="B6445" s="27" t="s">
        <v>1449</v>
      </c>
      <c r="D6445" s="27" t="s">
        <v>1450</v>
      </c>
      <c r="F6445" s="27" t="s">
        <v>1453</v>
      </c>
      <c r="H6445" s="27" t="s">
        <v>1454</v>
      </c>
      <c r="N6445" s="27" t="s">
        <v>632</v>
      </c>
      <c r="P6445" s="27" t="s">
        <v>8043</v>
      </c>
      <c r="Q6445" s="26" t="str">
        <f>HYPERLINK("https://ictv.global/taxonomy/taxondetails?taxnode_id=202512040&amp;ictv_id=ICTV202012040","ICTV202012040")</f>
        <v>ICTV202012040</v>
      </c>
      <c r="R6445" t="s">
        <v>579</v>
      </c>
      <c r="S6445" t="s">
        <v>824</v>
      </c>
      <c r="T6445">
        <v>37</v>
      </c>
      <c r="U6445" s="26" t="str">
        <f t="shared" si="258"/>
        <v>2021.010B.R.Binomial_names.zip</v>
      </c>
    </row>
    <row r="6446" spans="1:21">
      <c r="A6446">
        <v>6445</v>
      </c>
      <c r="B6446" s="27" t="s">
        <v>1449</v>
      </c>
      <c r="D6446" s="27" t="s">
        <v>1450</v>
      </c>
      <c r="F6446" s="27" t="s">
        <v>1453</v>
      </c>
      <c r="H6446" s="27" t="s">
        <v>1454</v>
      </c>
      <c r="N6446" s="27" t="s">
        <v>632</v>
      </c>
      <c r="P6446" s="27" t="s">
        <v>8044</v>
      </c>
      <c r="Q6446" s="26" t="str">
        <f>HYPERLINK("https://ictv.global/taxonomy/taxondetails?taxnode_id=202512044&amp;ictv_id=ICTV202012044","ICTV202012044")</f>
        <v>ICTV202012044</v>
      </c>
      <c r="R6446" t="s">
        <v>579</v>
      </c>
      <c r="S6446" t="s">
        <v>824</v>
      </c>
      <c r="T6446">
        <v>37</v>
      </c>
      <c r="U6446" s="26" t="str">
        <f t="shared" si="258"/>
        <v>2021.010B.R.Binomial_names.zip</v>
      </c>
    </row>
    <row r="6447" spans="1:21">
      <c r="A6447">
        <v>6446</v>
      </c>
      <c r="B6447" s="27" t="s">
        <v>1449</v>
      </c>
      <c r="D6447" s="27" t="s">
        <v>1450</v>
      </c>
      <c r="F6447" s="27" t="s">
        <v>1453</v>
      </c>
      <c r="H6447" s="27" t="s">
        <v>1454</v>
      </c>
      <c r="N6447" s="27" t="s">
        <v>632</v>
      </c>
      <c r="P6447" s="27" t="s">
        <v>8045</v>
      </c>
      <c r="Q6447" s="26" t="str">
        <f>HYPERLINK("https://ictv.global/taxonomy/taxondetails?taxnode_id=202512037&amp;ictv_id=ICTV202012037","ICTV202012037")</f>
        <v>ICTV202012037</v>
      </c>
      <c r="R6447" t="s">
        <v>579</v>
      </c>
      <c r="S6447" t="s">
        <v>824</v>
      </c>
      <c r="T6447">
        <v>37</v>
      </c>
      <c r="U6447" s="26" t="str">
        <f t="shared" si="258"/>
        <v>2021.010B.R.Binomial_names.zip</v>
      </c>
    </row>
    <row r="6448" spans="1:21">
      <c r="A6448">
        <v>6447</v>
      </c>
      <c r="B6448" s="27" t="s">
        <v>1449</v>
      </c>
      <c r="D6448" s="27" t="s">
        <v>1450</v>
      </c>
      <c r="F6448" s="27" t="s">
        <v>1453</v>
      </c>
      <c r="H6448" s="27" t="s">
        <v>1454</v>
      </c>
      <c r="N6448" s="27" t="s">
        <v>632</v>
      </c>
      <c r="P6448" s="27" t="s">
        <v>8046</v>
      </c>
      <c r="Q6448" s="26" t="str">
        <f>HYPERLINK("https://ictv.global/taxonomy/taxondetails?taxnode_id=202512047&amp;ictv_id=ICTV202012047","ICTV202012047")</f>
        <v>ICTV202012047</v>
      </c>
      <c r="R6448" t="s">
        <v>579</v>
      </c>
      <c r="S6448" t="s">
        <v>824</v>
      </c>
      <c r="T6448">
        <v>37</v>
      </c>
      <c r="U6448" s="26" t="str">
        <f t="shared" si="258"/>
        <v>2021.010B.R.Binomial_names.zip</v>
      </c>
    </row>
    <row r="6449" spans="1:21">
      <c r="A6449">
        <v>6448</v>
      </c>
      <c r="B6449" s="27" t="s">
        <v>1449</v>
      </c>
      <c r="D6449" s="27" t="s">
        <v>1450</v>
      </c>
      <c r="F6449" s="27" t="s">
        <v>1453</v>
      </c>
      <c r="H6449" s="27" t="s">
        <v>1454</v>
      </c>
      <c r="N6449" s="27" t="s">
        <v>632</v>
      </c>
      <c r="P6449" s="27" t="s">
        <v>8047</v>
      </c>
      <c r="Q6449" s="26" t="str">
        <f>HYPERLINK("https://ictv.global/taxonomy/taxondetails?taxnode_id=202512046&amp;ictv_id=ICTV202012046","ICTV202012046")</f>
        <v>ICTV202012046</v>
      </c>
      <c r="R6449" t="s">
        <v>579</v>
      </c>
      <c r="S6449" t="s">
        <v>824</v>
      </c>
      <c r="T6449">
        <v>37</v>
      </c>
      <c r="U6449" s="26" t="str">
        <f t="shared" si="258"/>
        <v>2021.010B.R.Binomial_names.zip</v>
      </c>
    </row>
    <row r="6450" spans="1:21">
      <c r="A6450">
        <v>6449</v>
      </c>
      <c r="B6450" s="27" t="s">
        <v>1449</v>
      </c>
      <c r="D6450" s="27" t="s">
        <v>1450</v>
      </c>
      <c r="F6450" s="27" t="s">
        <v>1453</v>
      </c>
      <c r="H6450" s="27" t="s">
        <v>1454</v>
      </c>
      <c r="N6450" s="27" t="s">
        <v>632</v>
      </c>
      <c r="P6450" s="27" t="s">
        <v>8048</v>
      </c>
      <c r="Q6450" s="26" t="str">
        <f>HYPERLINK("https://ictv.global/taxonomy/taxondetails?taxnode_id=202512038&amp;ictv_id=ICTV202012038","ICTV202012038")</f>
        <v>ICTV202012038</v>
      </c>
      <c r="R6450" t="s">
        <v>579</v>
      </c>
      <c r="S6450" t="s">
        <v>824</v>
      </c>
      <c r="T6450">
        <v>37</v>
      </c>
      <c r="U6450" s="26" t="str">
        <f t="shared" si="258"/>
        <v>2021.010B.R.Binomial_names.zip</v>
      </c>
    </row>
    <row r="6451" spans="1:21">
      <c r="A6451">
        <v>6450</v>
      </c>
      <c r="B6451" s="27" t="s">
        <v>1449</v>
      </c>
      <c r="D6451" s="27" t="s">
        <v>1450</v>
      </c>
      <c r="F6451" s="27" t="s">
        <v>1453</v>
      </c>
      <c r="H6451" s="27" t="s">
        <v>1454</v>
      </c>
      <c r="N6451" s="27" t="s">
        <v>632</v>
      </c>
      <c r="P6451" s="27" t="s">
        <v>8049</v>
      </c>
      <c r="Q6451" s="26" t="str">
        <f>HYPERLINK("https://ictv.global/taxonomy/taxondetails?taxnode_id=202501361&amp;ictv_id=ICTV20140518","ICTV20140518")</f>
        <v>ICTV20140518</v>
      </c>
      <c r="R6451" t="s">
        <v>579</v>
      </c>
      <c r="S6451" t="s">
        <v>824</v>
      </c>
      <c r="T6451">
        <v>37</v>
      </c>
      <c r="U6451" s="26" t="str">
        <f t="shared" si="258"/>
        <v>2021.010B.R.Binomial_names.zip</v>
      </c>
    </row>
    <row r="6452" spans="1:21">
      <c r="A6452">
        <v>6451</v>
      </c>
      <c r="B6452" s="27" t="s">
        <v>1449</v>
      </c>
      <c r="D6452" s="27" t="s">
        <v>1450</v>
      </c>
      <c r="F6452" s="27" t="s">
        <v>1453</v>
      </c>
      <c r="H6452" s="27" t="s">
        <v>1454</v>
      </c>
      <c r="N6452" s="27" t="s">
        <v>632</v>
      </c>
      <c r="P6452" s="27" t="s">
        <v>8050</v>
      </c>
      <c r="Q6452" s="26" t="str">
        <f>HYPERLINK("https://ictv.global/taxonomy/taxondetails?taxnode_id=202512041&amp;ictv_id=ICTV202012041","ICTV202012041")</f>
        <v>ICTV202012041</v>
      </c>
      <c r="R6452" t="s">
        <v>579</v>
      </c>
      <c r="S6452" t="s">
        <v>824</v>
      </c>
      <c r="T6452">
        <v>37</v>
      </c>
      <c r="U6452" s="26" t="str">
        <f t="shared" si="258"/>
        <v>2021.010B.R.Binomial_names.zip</v>
      </c>
    </row>
    <row r="6453" spans="1:21">
      <c r="A6453">
        <v>6452</v>
      </c>
      <c r="B6453" s="27" t="s">
        <v>1449</v>
      </c>
      <c r="D6453" s="27" t="s">
        <v>1450</v>
      </c>
      <c r="F6453" s="27" t="s">
        <v>1453</v>
      </c>
      <c r="H6453" s="27" t="s">
        <v>1454</v>
      </c>
      <c r="N6453" s="27" t="s">
        <v>632</v>
      </c>
      <c r="P6453" s="27" t="s">
        <v>8051</v>
      </c>
      <c r="Q6453" s="26" t="str">
        <f>HYPERLINK("https://ictv.global/taxonomy/taxondetails?taxnode_id=202512051&amp;ictv_id=ICTV202012051","ICTV202012051")</f>
        <v>ICTV202012051</v>
      </c>
      <c r="R6453" t="s">
        <v>579</v>
      </c>
      <c r="S6453" t="s">
        <v>824</v>
      </c>
      <c r="T6453">
        <v>37</v>
      </c>
      <c r="U6453" s="26" t="str">
        <f t="shared" si="258"/>
        <v>2021.010B.R.Binomial_names.zip</v>
      </c>
    </row>
    <row r="6454" spans="1:21">
      <c r="A6454">
        <v>6453</v>
      </c>
      <c r="B6454" s="27" t="s">
        <v>1449</v>
      </c>
      <c r="D6454" s="27" t="s">
        <v>1450</v>
      </c>
      <c r="F6454" s="27" t="s">
        <v>1453</v>
      </c>
      <c r="H6454" s="27" t="s">
        <v>1454</v>
      </c>
      <c r="N6454" s="27" t="s">
        <v>632</v>
      </c>
      <c r="P6454" s="27" t="s">
        <v>8052</v>
      </c>
      <c r="Q6454" s="26" t="str">
        <f>HYPERLINK("https://ictv.global/taxonomy/taxondetails?taxnode_id=202512045&amp;ictv_id=ICTV202012045","ICTV202012045")</f>
        <v>ICTV202012045</v>
      </c>
      <c r="R6454" t="s">
        <v>579</v>
      </c>
      <c r="S6454" t="s">
        <v>824</v>
      </c>
      <c r="T6454">
        <v>37</v>
      </c>
      <c r="U6454" s="26" t="str">
        <f t="shared" si="258"/>
        <v>2021.010B.R.Binomial_names.zip</v>
      </c>
    </row>
    <row r="6455" spans="1:21">
      <c r="A6455">
        <v>6454</v>
      </c>
      <c r="B6455" s="27" t="s">
        <v>1449</v>
      </c>
      <c r="D6455" s="27" t="s">
        <v>1450</v>
      </c>
      <c r="F6455" s="27" t="s">
        <v>1453</v>
      </c>
      <c r="H6455" s="27" t="s">
        <v>1454</v>
      </c>
      <c r="N6455" s="27" t="s">
        <v>632</v>
      </c>
      <c r="P6455" s="27" t="s">
        <v>8053</v>
      </c>
      <c r="Q6455" s="26" t="str">
        <f>HYPERLINK("https://ictv.global/taxonomy/taxondetails?taxnode_id=202512042&amp;ictv_id=ICTV202012042","ICTV202012042")</f>
        <v>ICTV202012042</v>
      </c>
      <c r="R6455" t="s">
        <v>579</v>
      </c>
      <c r="S6455" t="s">
        <v>824</v>
      </c>
      <c r="T6455">
        <v>37</v>
      </c>
      <c r="U6455" s="26" t="str">
        <f t="shared" si="258"/>
        <v>2021.010B.R.Binomial_names.zip</v>
      </c>
    </row>
    <row r="6456" spans="1:21">
      <c r="A6456">
        <v>6455</v>
      </c>
      <c r="B6456" s="27" t="s">
        <v>1449</v>
      </c>
      <c r="D6456" s="27" t="s">
        <v>1450</v>
      </c>
      <c r="F6456" s="27" t="s">
        <v>1453</v>
      </c>
      <c r="H6456" s="27" t="s">
        <v>1454</v>
      </c>
      <c r="N6456" s="27" t="s">
        <v>632</v>
      </c>
      <c r="P6456" s="27" t="s">
        <v>8054</v>
      </c>
      <c r="Q6456" s="26" t="str">
        <f>HYPERLINK("https://ictv.global/taxonomy/taxondetails?taxnode_id=202512039&amp;ictv_id=ICTV202012039","ICTV202012039")</f>
        <v>ICTV202012039</v>
      </c>
      <c r="R6456" t="s">
        <v>579</v>
      </c>
      <c r="S6456" t="s">
        <v>824</v>
      </c>
      <c r="T6456">
        <v>37</v>
      </c>
      <c r="U6456" s="26" t="str">
        <f t="shared" si="258"/>
        <v>2021.010B.R.Binomial_names.zip</v>
      </c>
    </row>
    <row r="6457" spans="1:21">
      <c r="A6457">
        <v>6456</v>
      </c>
      <c r="B6457" s="27" t="s">
        <v>1449</v>
      </c>
      <c r="D6457" s="27" t="s">
        <v>1450</v>
      </c>
      <c r="F6457" s="27" t="s">
        <v>1453</v>
      </c>
      <c r="H6457" s="27" t="s">
        <v>1454</v>
      </c>
      <c r="N6457" s="27" t="s">
        <v>632</v>
      </c>
      <c r="P6457" s="27" t="s">
        <v>8055</v>
      </c>
      <c r="Q6457" s="26" t="str">
        <f>HYPERLINK("https://ictv.global/taxonomy/taxondetails?taxnode_id=202512035&amp;ictv_id=ICTV202012035","ICTV202012035")</f>
        <v>ICTV202012035</v>
      </c>
      <c r="R6457" t="s">
        <v>579</v>
      </c>
      <c r="S6457" t="s">
        <v>824</v>
      </c>
      <c r="T6457">
        <v>37</v>
      </c>
      <c r="U6457" s="26" t="str">
        <f t="shared" si="258"/>
        <v>2021.010B.R.Binomial_names.zip</v>
      </c>
    </row>
    <row r="6458" spans="1:21">
      <c r="A6458">
        <v>6457</v>
      </c>
      <c r="B6458" s="27" t="s">
        <v>1449</v>
      </c>
      <c r="D6458" s="27" t="s">
        <v>1450</v>
      </c>
      <c r="F6458" s="27" t="s">
        <v>1453</v>
      </c>
      <c r="H6458" s="27" t="s">
        <v>1454</v>
      </c>
      <c r="N6458" s="27" t="s">
        <v>632</v>
      </c>
      <c r="P6458" s="27" t="s">
        <v>8056</v>
      </c>
      <c r="Q6458" s="26" t="str">
        <f>HYPERLINK("https://ictv.global/taxonomy/taxondetails?taxnode_id=202512049&amp;ictv_id=ICTV202012049","ICTV202012049")</f>
        <v>ICTV202012049</v>
      </c>
      <c r="R6458" t="s">
        <v>579</v>
      </c>
      <c r="S6458" t="s">
        <v>824</v>
      </c>
      <c r="T6458">
        <v>37</v>
      </c>
      <c r="U6458" s="26" t="str">
        <f t="shared" si="258"/>
        <v>2021.010B.R.Binomial_names.zip</v>
      </c>
    </row>
    <row r="6459" spans="1:21">
      <c r="A6459">
        <v>6458</v>
      </c>
      <c r="B6459" s="27" t="s">
        <v>1449</v>
      </c>
      <c r="D6459" s="27" t="s">
        <v>1450</v>
      </c>
      <c r="F6459" s="27" t="s">
        <v>1453</v>
      </c>
      <c r="H6459" s="27" t="s">
        <v>1454</v>
      </c>
      <c r="N6459" s="27" t="s">
        <v>632</v>
      </c>
      <c r="P6459" s="27" t="s">
        <v>8057</v>
      </c>
      <c r="Q6459" s="26" t="str">
        <f>HYPERLINK("https://ictv.global/taxonomy/taxondetails?taxnode_id=202512036&amp;ictv_id=ICTV202012036","ICTV202012036")</f>
        <v>ICTV202012036</v>
      </c>
      <c r="R6459" t="s">
        <v>579</v>
      </c>
      <c r="S6459" t="s">
        <v>824</v>
      </c>
      <c r="T6459">
        <v>37</v>
      </c>
      <c r="U6459" s="26" t="str">
        <f t="shared" si="258"/>
        <v>2021.010B.R.Binomial_names.zip</v>
      </c>
    </row>
    <row r="6460" spans="1:21">
      <c r="A6460">
        <v>6459</v>
      </c>
      <c r="B6460" s="27" t="s">
        <v>1449</v>
      </c>
      <c r="D6460" s="27" t="s">
        <v>1450</v>
      </c>
      <c r="F6460" s="27" t="s">
        <v>1453</v>
      </c>
      <c r="H6460" s="27" t="s">
        <v>1454</v>
      </c>
      <c r="N6460" s="27" t="s">
        <v>632</v>
      </c>
      <c r="P6460" s="27" t="s">
        <v>8058</v>
      </c>
      <c r="Q6460" s="26" t="str">
        <f>HYPERLINK("https://ictv.global/taxonomy/taxondetails?taxnode_id=202501360&amp;ictv_id=ICTV20140519","ICTV20140519")</f>
        <v>ICTV20140519</v>
      </c>
      <c r="R6460" t="s">
        <v>579</v>
      </c>
      <c r="S6460" t="s">
        <v>824</v>
      </c>
      <c r="T6460">
        <v>37</v>
      </c>
      <c r="U6460" s="26" t="str">
        <f t="shared" si="258"/>
        <v>2021.010B.R.Binomial_names.zip</v>
      </c>
    </row>
    <row r="6461" spans="1:21">
      <c r="A6461">
        <v>6460</v>
      </c>
      <c r="B6461" s="27" t="s">
        <v>1449</v>
      </c>
      <c r="D6461" s="27" t="s">
        <v>1450</v>
      </c>
      <c r="F6461" s="27" t="s">
        <v>1453</v>
      </c>
      <c r="H6461" s="27" t="s">
        <v>1454</v>
      </c>
      <c r="N6461" s="27" t="s">
        <v>632</v>
      </c>
      <c r="P6461" s="27" t="s">
        <v>8059</v>
      </c>
      <c r="Q6461" s="26" t="str">
        <f>HYPERLINK("https://ictv.global/taxonomy/taxondetails?taxnode_id=202501356&amp;ictv_id=ICTV20140516","ICTV20140516")</f>
        <v>ICTV20140516</v>
      </c>
      <c r="R6461" t="s">
        <v>579</v>
      </c>
      <c r="S6461" t="s">
        <v>824</v>
      </c>
      <c r="T6461">
        <v>37</v>
      </c>
      <c r="U6461" s="26" t="str">
        <f t="shared" si="258"/>
        <v>2021.010B.R.Binomial_names.zip</v>
      </c>
    </row>
    <row r="6462" spans="1:21">
      <c r="A6462">
        <v>6461</v>
      </c>
      <c r="B6462" s="27" t="s">
        <v>1449</v>
      </c>
      <c r="D6462" s="27" t="s">
        <v>1450</v>
      </c>
      <c r="F6462" s="27" t="s">
        <v>1453</v>
      </c>
      <c r="H6462" s="27" t="s">
        <v>1454</v>
      </c>
      <c r="N6462" s="27" t="s">
        <v>632</v>
      </c>
      <c r="P6462" s="27" t="s">
        <v>8060</v>
      </c>
      <c r="Q6462" s="26" t="str">
        <f>HYPERLINK("https://ictv.global/taxonomy/taxondetails?taxnode_id=202512048&amp;ictv_id=ICTV202012048","ICTV202012048")</f>
        <v>ICTV202012048</v>
      </c>
      <c r="R6462" t="s">
        <v>579</v>
      </c>
      <c r="S6462" t="s">
        <v>824</v>
      </c>
      <c r="T6462">
        <v>37</v>
      </c>
      <c r="U6462" s="26" t="str">
        <f t="shared" si="258"/>
        <v>2021.010B.R.Binomial_names.zip</v>
      </c>
    </row>
    <row r="6463" spans="1:21">
      <c r="A6463">
        <v>6462</v>
      </c>
      <c r="B6463" s="27" t="s">
        <v>1449</v>
      </c>
      <c r="D6463" s="27" t="s">
        <v>1450</v>
      </c>
      <c r="F6463" s="27" t="s">
        <v>1453</v>
      </c>
      <c r="H6463" s="27" t="s">
        <v>1454</v>
      </c>
      <c r="N6463" s="27" t="s">
        <v>632</v>
      </c>
      <c r="P6463" s="27" t="s">
        <v>8061</v>
      </c>
      <c r="Q6463" s="26" t="str">
        <f>HYPERLINK("https://ictv.global/taxonomy/taxondetails?taxnode_id=202512043&amp;ictv_id=ICTV202012043","ICTV202012043")</f>
        <v>ICTV202012043</v>
      </c>
      <c r="R6463" t="s">
        <v>579</v>
      </c>
      <c r="S6463" t="s">
        <v>824</v>
      </c>
      <c r="T6463">
        <v>37</v>
      </c>
      <c r="U6463" s="26" t="str">
        <f t="shared" si="258"/>
        <v>2021.010B.R.Binomial_names.zip</v>
      </c>
    </row>
    <row r="6464" spans="1:21">
      <c r="A6464">
        <v>6463</v>
      </c>
      <c r="B6464" s="27" t="s">
        <v>1449</v>
      </c>
      <c r="D6464" s="27" t="s">
        <v>1450</v>
      </c>
      <c r="F6464" s="27" t="s">
        <v>1453</v>
      </c>
      <c r="H6464" s="27" t="s">
        <v>1454</v>
      </c>
      <c r="N6464" s="27" t="s">
        <v>632</v>
      </c>
      <c r="P6464" s="27" t="s">
        <v>8062</v>
      </c>
      <c r="Q6464" s="26" t="str">
        <f>HYPERLINK("https://ictv.global/taxonomy/taxondetails?taxnode_id=202501357&amp;ictv_id=ICTV20140514","ICTV20140514")</f>
        <v>ICTV20140514</v>
      </c>
      <c r="R6464" t="s">
        <v>579</v>
      </c>
      <c r="S6464" t="s">
        <v>824</v>
      </c>
      <c r="T6464">
        <v>37</v>
      </c>
      <c r="U6464" s="26" t="str">
        <f t="shared" si="258"/>
        <v>2021.010B.R.Binomial_names.zip</v>
      </c>
    </row>
    <row r="6465" spans="1:21">
      <c r="A6465">
        <v>6464</v>
      </c>
      <c r="B6465" s="27" t="s">
        <v>1449</v>
      </c>
      <c r="D6465" s="27" t="s">
        <v>1450</v>
      </c>
      <c r="F6465" s="27" t="s">
        <v>1453</v>
      </c>
      <c r="H6465" s="27" t="s">
        <v>1454</v>
      </c>
      <c r="N6465" s="27" t="s">
        <v>632</v>
      </c>
      <c r="P6465" s="27" t="s">
        <v>8063</v>
      </c>
      <c r="Q6465" s="26" t="str">
        <f>HYPERLINK("https://ictv.global/taxonomy/taxondetails?taxnode_id=202501358&amp;ictv_id=ICTV20140515","ICTV20140515")</f>
        <v>ICTV20140515</v>
      </c>
      <c r="R6465" t="s">
        <v>579</v>
      </c>
      <c r="S6465" t="s">
        <v>824</v>
      </c>
      <c r="T6465">
        <v>37</v>
      </c>
      <c r="U6465" s="26" t="str">
        <f t="shared" si="258"/>
        <v>2021.010B.R.Binomial_names.zip</v>
      </c>
    </row>
    <row r="6466" spans="1:21">
      <c r="A6466">
        <v>6465</v>
      </c>
      <c r="B6466" s="27" t="s">
        <v>1449</v>
      </c>
      <c r="D6466" s="27" t="s">
        <v>1450</v>
      </c>
      <c r="F6466" s="27" t="s">
        <v>1453</v>
      </c>
      <c r="H6466" s="27" t="s">
        <v>1454</v>
      </c>
      <c r="N6466" s="27" t="s">
        <v>844</v>
      </c>
      <c r="P6466" s="27" t="s">
        <v>8064</v>
      </c>
      <c r="Q6466" s="26" t="str">
        <f>HYPERLINK("https://ictv.global/taxonomy/taxondetails?taxnode_id=202505565&amp;ictv_id=ICTV20175565","ICTV20175565")</f>
        <v>ICTV20175565</v>
      </c>
      <c r="R6466" t="s">
        <v>579</v>
      </c>
      <c r="S6466" t="s">
        <v>824</v>
      </c>
      <c r="T6466">
        <v>37</v>
      </c>
      <c r="U6466" s="26" t="str">
        <f>HYPERLINK("https://ictv.global/ictv/proposals/2021.084B.R.Trigintaduovirus_new_species.zip","2021.084B.R.Trigintaduovirus_new_species.zip")</f>
        <v>2021.084B.R.Trigintaduovirus_new_species.zip</v>
      </c>
    </row>
    <row r="6467" spans="1:21">
      <c r="A6467">
        <v>6466</v>
      </c>
      <c r="B6467" s="27" t="s">
        <v>1449</v>
      </c>
      <c r="D6467" s="27" t="s">
        <v>1450</v>
      </c>
      <c r="F6467" s="27" t="s">
        <v>1453</v>
      </c>
      <c r="H6467" s="27" t="s">
        <v>1454</v>
      </c>
      <c r="N6467" s="27" t="s">
        <v>844</v>
      </c>
      <c r="P6467" s="27" t="s">
        <v>8065</v>
      </c>
      <c r="Q6467" s="26" t="str">
        <f>HYPERLINK("https://ictv.global/taxonomy/taxondetails?taxnode_id=202512613&amp;ictv_id=ICTV202112613","ICTV202112613")</f>
        <v>ICTV202112613</v>
      </c>
      <c r="R6467" t="s">
        <v>579</v>
      </c>
      <c r="S6467" t="s">
        <v>823</v>
      </c>
      <c r="T6467">
        <v>37</v>
      </c>
      <c r="U6467" s="26" t="str">
        <f>HYPERLINK("https://ictv.global/ictv/proposals/2021.084B.A.v1.Trigintaduovirus_new_species.zip","2021.084B.A.v1.Trigintaduovirus_new_species.zip")</f>
        <v>2021.084B.A.v1.Trigintaduovirus_new_species.zip</v>
      </c>
    </row>
    <row r="6468" spans="1:21">
      <c r="A6468">
        <v>6467</v>
      </c>
      <c r="B6468" s="27" t="s">
        <v>1449</v>
      </c>
      <c r="D6468" s="27" t="s">
        <v>1450</v>
      </c>
      <c r="F6468" s="27" t="s">
        <v>1453</v>
      </c>
      <c r="H6468" s="27" t="s">
        <v>1454</v>
      </c>
      <c r="N6468" s="27" t="s">
        <v>1427</v>
      </c>
      <c r="P6468" s="27" t="s">
        <v>8066</v>
      </c>
      <c r="Q6468" s="26" t="str">
        <f>HYPERLINK("https://ictv.global/taxonomy/taxondetails?taxnode_id=202506789&amp;ictv_id=ICTV201856789","ICTV201856789")</f>
        <v>ICTV201856789</v>
      </c>
      <c r="R6468" t="s">
        <v>579</v>
      </c>
      <c r="S6468" t="s">
        <v>824</v>
      </c>
      <c r="T6468">
        <v>37</v>
      </c>
      <c r="U6468" s="26" t="str">
        <f>HYPERLINK("https://ictv.global/ictv/proposals/2021.010B.R.Binomial_names.zip","2021.010B.R.Binomial_names.zip")</f>
        <v>2021.010B.R.Binomial_names.zip</v>
      </c>
    </row>
    <row r="6469" spans="1:21">
      <c r="A6469">
        <v>6468</v>
      </c>
      <c r="B6469" s="27" t="s">
        <v>1449</v>
      </c>
      <c r="D6469" s="27" t="s">
        <v>1450</v>
      </c>
      <c r="F6469" s="27" t="s">
        <v>1453</v>
      </c>
      <c r="H6469" s="27" t="s">
        <v>1454</v>
      </c>
      <c r="N6469" s="27" t="s">
        <v>1795</v>
      </c>
      <c r="P6469" s="27" t="s">
        <v>8067</v>
      </c>
      <c r="Q6469" s="26" t="str">
        <f>HYPERLINK("https://ictv.global/taxonomy/taxondetails?taxnode_id=202507708&amp;ictv_id=ICTV201907708","ICTV201907708")</f>
        <v>ICTV201907708</v>
      </c>
      <c r="R6469" t="s">
        <v>579</v>
      </c>
      <c r="S6469" t="s">
        <v>824</v>
      </c>
      <c r="T6469">
        <v>37</v>
      </c>
      <c r="U6469" s="26" t="str">
        <f>HYPERLINK("https://ictv.global/ictv/proposals/2021.010B.R.Binomial_names.zip","2021.010B.R.Binomial_names.zip")</f>
        <v>2021.010B.R.Binomial_names.zip</v>
      </c>
    </row>
    <row r="6470" spans="1:21">
      <c r="A6470">
        <v>6469</v>
      </c>
      <c r="B6470" s="27" t="s">
        <v>1449</v>
      </c>
      <c r="D6470" s="27" t="s">
        <v>1450</v>
      </c>
      <c r="F6470" s="27" t="s">
        <v>1453</v>
      </c>
      <c r="H6470" s="27" t="s">
        <v>1454</v>
      </c>
      <c r="N6470" s="27" t="s">
        <v>2315</v>
      </c>
      <c r="P6470" s="27" t="s">
        <v>8068</v>
      </c>
      <c r="Q6470" s="26" t="str">
        <f>HYPERLINK("https://ictv.global/taxonomy/taxondetails?taxnode_id=202512053&amp;ictv_id=ICTV202012053","ICTV202012053")</f>
        <v>ICTV202012053</v>
      </c>
      <c r="R6470" t="s">
        <v>579</v>
      </c>
      <c r="S6470" t="s">
        <v>824</v>
      </c>
      <c r="T6470">
        <v>37</v>
      </c>
      <c r="U6470" s="26" t="str">
        <f>HYPERLINK("https://ictv.global/ictv/proposals/2021.010B.R.Binomial_names.zip","2021.010B.R.Binomial_names.zip")</f>
        <v>2021.010B.R.Binomial_names.zip</v>
      </c>
    </row>
    <row r="6471" spans="1:21">
      <c r="A6471">
        <v>6470</v>
      </c>
      <c r="B6471" s="27" t="s">
        <v>1449</v>
      </c>
      <c r="D6471" s="27" t="s">
        <v>1450</v>
      </c>
      <c r="F6471" s="27" t="s">
        <v>1453</v>
      </c>
      <c r="H6471" s="27" t="s">
        <v>1454</v>
      </c>
      <c r="N6471" s="27" t="s">
        <v>19867</v>
      </c>
      <c r="P6471" s="27" t="s">
        <v>19868</v>
      </c>
      <c r="Q6471" s="26" t="str">
        <f>HYPERLINK("https://ictv.global/taxonomy/taxondetails?taxnode_id=202520837&amp;ictv_id=ICTV202420837","ICTV202420837")</f>
        <v>ICTV202420837</v>
      </c>
      <c r="R6471" t="s">
        <v>579</v>
      </c>
      <c r="S6471" t="s">
        <v>823</v>
      </c>
      <c r="T6471">
        <v>40</v>
      </c>
      <c r="U6471" s="26" t="str">
        <f>HYPERLINK("https://ictv.global/ictv/proposals/2024.029B.Rhodococcus_siphoviruses_7ng_7ns.zip","2024.029B.Rhodococcus_siphoviruses_7ng_7ns.zip")</f>
        <v>2024.029B.Rhodococcus_siphoviruses_7ng_7ns.zip</v>
      </c>
    </row>
    <row r="6472" spans="1:21">
      <c r="A6472">
        <v>6471</v>
      </c>
      <c r="B6472" s="27" t="s">
        <v>1449</v>
      </c>
      <c r="D6472" s="27" t="s">
        <v>1450</v>
      </c>
      <c r="F6472" s="27" t="s">
        <v>1453</v>
      </c>
      <c r="H6472" s="27" t="s">
        <v>1454</v>
      </c>
      <c r="N6472" s="27" t="s">
        <v>8069</v>
      </c>
      <c r="P6472" s="27" t="s">
        <v>8070</v>
      </c>
      <c r="Q6472" s="26" t="str">
        <f>HYPERLINK("https://ictv.global/taxonomy/taxondetails?taxnode_id=202512637&amp;ictv_id=ICTV202112637","ICTV202112637")</f>
        <v>ICTV202112637</v>
      </c>
      <c r="R6472" t="s">
        <v>579</v>
      </c>
      <c r="S6472" t="s">
        <v>823</v>
      </c>
      <c r="T6472">
        <v>37</v>
      </c>
      <c r="U6472" s="26" t="str">
        <f t="shared" ref="U6472:U6484" si="259">HYPERLINK("https://ictv.global/ictv/proposals/2021.086B.R.Turbidovirus.zip","2021.086B.R.Turbidovirus.zip")</f>
        <v>2021.086B.R.Turbidovirus.zip</v>
      </c>
    </row>
    <row r="6473" spans="1:21">
      <c r="A6473">
        <v>6472</v>
      </c>
      <c r="B6473" s="27" t="s">
        <v>1449</v>
      </c>
      <c r="D6473" s="27" t="s">
        <v>1450</v>
      </c>
      <c r="F6473" s="27" t="s">
        <v>1453</v>
      </c>
      <c r="H6473" s="27" t="s">
        <v>1454</v>
      </c>
      <c r="N6473" s="27" t="s">
        <v>8069</v>
      </c>
      <c r="P6473" s="27" t="s">
        <v>8071</v>
      </c>
      <c r="Q6473" s="26" t="str">
        <f>HYPERLINK("https://ictv.global/taxonomy/taxondetails?taxnode_id=202512638&amp;ictv_id=ICTV202112638","ICTV202112638")</f>
        <v>ICTV202112638</v>
      </c>
      <c r="R6473" t="s">
        <v>579</v>
      </c>
      <c r="S6473" t="s">
        <v>823</v>
      </c>
      <c r="T6473">
        <v>37</v>
      </c>
      <c r="U6473" s="26" t="str">
        <f t="shared" si="259"/>
        <v>2021.086B.R.Turbidovirus.zip</v>
      </c>
    </row>
    <row r="6474" spans="1:21">
      <c r="A6474">
        <v>6473</v>
      </c>
      <c r="B6474" s="27" t="s">
        <v>1449</v>
      </c>
      <c r="D6474" s="27" t="s">
        <v>1450</v>
      </c>
      <c r="F6474" s="27" t="s">
        <v>1453</v>
      </c>
      <c r="H6474" s="27" t="s">
        <v>1454</v>
      </c>
      <c r="N6474" s="27" t="s">
        <v>8069</v>
      </c>
      <c r="P6474" s="27" t="s">
        <v>8072</v>
      </c>
      <c r="Q6474" s="26" t="str">
        <f>HYPERLINK("https://ictv.global/taxonomy/taxondetails?taxnode_id=202512639&amp;ictv_id=ICTV202112639","ICTV202112639")</f>
        <v>ICTV202112639</v>
      </c>
      <c r="R6474" t="s">
        <v>579</v>
      </c>
      <c r="S6474" t="s">
        <v>823</v>
      </c>
      <c r="T6474">
        <v>37</v>
      </c>
      <c r="U6474" s="26" t="str">
        <f t="shared" si="259"/>
        <v>2021.086B.R.Turbidovirus.zip</v>
      </c>
    </row>
    <row r="6475" spans="1:21">
      <c r="A6475">
        <v>6474</v>
      </c>
      <c r="B6475" s="27" t="s">
        <v>1449</v>
      </c>
      <c r="D6475" s="27" t="s">
        <v>1450</v>
      </c>
      <c r="F6475" s="27" t="s">
        <v>1453</v>
      </c>
      <c r="H6475" s="27" t="s">
        <v>1454</v>
      </c>
      <c r="N6475" s="27" t="s">
        <v>8069</v>
      </c>
      <c r="P6475" s="27" t="s">
        <v>8073</v>
      </c>
      <c r="Q6475" s="26" t="str">
        <f>HYPERLINK("https://ictv.global/taxonomy/taxondetails?taxnode_id=202512640&amp;ictv_id=ICTV202112640","ICTV202112640")</f>
        <v>ICTV202112640</v>
      </c>
      <c r="R6475" t="s">
        <v>579</v>
      </c>
      <c r="S6475" t="s">
        <v>823</v>
      </c>
      <c r="T6475">
        <v>37</v>
      </c>
      <c r="U6475" s="26" t="str">
        <f t="shared" si="259"/>
        <v>2021.086B.R.Turbidovirus.zip</v>
      </c>
    </row>
    <row r="6476" spans="1:21">
      <c r="A6476">
        <v>6475</v>
      </c>
      <c r="B6476" s="27" t="s">
        <v>1449</v>
      </c>
      <c r="D6476" s="27" t="s">
        <v>1450</v>
      </c>
      <c r="F6476" s="27" t="s">
        <v>1453</v>
      </c>
      <c r="H6476" s="27" t="s">
        <v>1454</v>
      </c>
      <c r="N6476" s="27" t="s">
        <v>8069</v>
      </c>
      <c r="P6476" s="27" t="s">
        <v>8074</v>
      </c>
      <c r="Q6476" s="26" t="str">
        <f>HYPERLINK("https://ictv.global/taxonomy/taxondetails?taxnode_id=202512641&amp;ictv_id=ICTV202112641","ICTV202112641")</f>
        <v>ICTV202112641</v>
      </c>
      <c r="R6476" t="s">
        <v>579</v>
      </c>
      <c r="S6476" t="s">
        <v>823</v>
      </c>
      <c r="T6476">
        <v>37</v>
      </c>
      <c r="U6476" s="26" t="str">
        <f t="shared" si="259"/>
        <v>2021.086B.R.Turbidovirus.zip</v>
      </c>
    </row>
    <row r="6477" spans="1:21">
      <c r="A6477">
        <v>6476</v>
      </c>
      <c r="B6477" s="27" t="s">
        <v>1449</v>
      </c>
      <c r="D6477" s="27" t="s">
        <v>1450</v>
      </c>
      <c r="F6477" s="27" t="s">
        <v>1453</v>
      </c>
      <c r="H6477" s="27" t="s">
        <v>1454</v>
      </c>
      <c r="N6477" s="27" t="s">
        <v>8069</v>
      </c>
      <c r="P6477" s="27" t="s">
        <v>8075</v>
      </c>
      <c r="Q6477" s="26" t="str">
        <f>HYPERLINK("https://ictv.global/taxonomy/taxondetails?taxnode_id=202512642&amp;ictv_id=ICTV202112642","ICTV202112642")</f>
        <v>ICTV202112642</v>
      </c>
      <c r="R6477" t="s">
        <v>579</v>
      </c>
      <c r="S6477" t="s">
        <v>823</v>
      </c>
      <c r="T6477">
        <v>37</v>
      </c>
      <c r="U6477" s="26" t="str">
        <f t="shared" si="259"/>
        <v>2021.086B.R.Turbidovirus.zip</v>
      </c>
    </row>
    <row r="6478" spans="1:21">
      <c r="A6478">
        <v>6477</v>
      </c>
      <c r="B6478" s="27" t="s">
        <v>1449</v>
      </c>
      <c r="D6478" s="27" t="s">
        <v>1450</v>
      </c>
      <c r="F6478" s="27" t="s">
        <v>1453</v>
      </c>
      <c r="H6478" s="27" t="s">
        <v>1454</v>
      </c>
      <c r="N6478" s="27" t="s">
        <v>8069</v>
      </c>
      <c r="P6478" s="27" t="s">
        <v>8076</v>
      </c>
      <c r="Q6478" s="26" t="str">
        <f>HYPERLINK("https://ictv.global/taxonomy/taxondetails?taxnode_id=202512643&amp;ictv_id=ICTV202112643","ICTV202112643")</f>
        <v>ICTV202112643</v>
      </c>
      <c r="R6478" t="s">
        <v>579</v>
      </c>
      <c r="S6478" t="s">
        <v>823</v>
      </c>
      <c r="T6478">
        <v>37</v>
      </c>
      <c r="U6478" s="26" t="str">
        <f t="shared" si="259"/>
        <v>2021.086B.R.Turbidovirus.zip</v>
      </c>
    </row>
    <row r="6479" spans="1:21">
      <c r="A6479">
        <v>6478</v>
      </c>
      <c r="B6479" s="27" t="s">
        <v>1449</v>
      </c>
      <c r="D6479" s="27" t="s">
        <v>1450</v>
      </c>
      <c r="F6479" s="27" t="s">
        <v>1453</v>
      </c>
      <c r="H6479" s="27" t="s">
        <v>1454</v>
      </c>
      <c r="N6479" s="27" t="s">
        <v>8069</v>
      </c>
      <c r="P6479" s="27" t="s">
        <v>8077</v>
      </c>
      <c r="Q6479" s="26" t="str">
        <f>HYPERLINK("https://ictv.global/taxonomy/taxondetails?taxnode_id=202512644&amp;ictv_id=ICTV202112644","ICTV202112644")</f>
        <v>ICTV202112644</v>
      </c>
      <c r="R6479" t="s">
        <v>579</v>
      </c>
      <c r="S6479" t="s">
        <v>823</v>
      </c>
      <c r="T6479">
        <v>37</v>
      </c>
      <c r="U6479" s="26" t="str">
        <f t="shared" si="259"/>
        <v>2021.086B.R.Turbidovirus.zip</v>
      </c>
    </row>
    <row r="6480" spans="1:21">
      <c r="A6480">
        <v>6479</v>
      </c>
      <c r="B6480" s="27" t="s">
        <v>1449</v>
      </c>
      <c r="D6480" s="27" t="s">
        <v>1450</v>
      </c>
      <c r="F6480" s="27" t="s">
        <v>1453</v>
      </c>
      <c r="H6480" s="27" t="s">
        <v>1454</v>
      </c>
      <c r="N6480" s="27" t="s">
        <v>8069</v>
      </c>
      <c r="P6480" s="27" t="s">
        <v>8078</v>
      </c>
      <c r="Q6480" s="26" t="str">
        <f>HYPERLINK("https://ictv.global/taxonomy/taxondetails?taxnode_id=202512645&amp;ictv_id=ICTV202112645","ICTV202112645")</f>
        <v>ICTV202112645</v>
      </c>
      <c r="R6480" t="s">
        <v>579</v>
      </c>
      <c r="S6480" t="s">
        <v>823</v>
      </c>
      <c r="T6480">
        <v>37</v>
      </c>
      <c r="U6480" s="26" t="str">
        <f t="shared" si="259"/>
        <v>2021.086B.R.Turbidovirus.zip</v>
      </c>
    </row>
    <row r="6481" spans="1:21">
      <c r="A6481">
        <v>6480</v>
      </c>
      <c r="B6481" s="27" t="s">
        <v>1449</v>
      </c>
      <c r="D6481" s="27" t="s">
        <v>1450</v>
      </c>
      <c r="F6481" s="27" t="s">
        <v>1453</v>
      </c>
      <c r="H6481" s="27" t="s">
        <v>1454</v>
      </c>
      <c r="N6481" s="27" t="s">
        <v>8069</v>
      </c>
      <c r="P6481" s="27" t="s">
        <v>8079</v>
      </c>
      <c r="Q6481" s="26" t="str">
        <f>HYPERLINK("https://ictv.global/taxonomy/taxondetails?taxnode_id=202512646&amp;ictv_id=ICTV202112646","ICTV202112646")</f>
        <v>ICTV202112646</v>
      </c>
      <c r="R6481" t="s">
        <v>579</v>
      </c>
      <c r="S6481" t="s">
        <v>823</v>
      </c>
      <c r="T6481">
        <v>37</v>
      </c>
      <c r="U6481" s="26" t="str">
        <f t="shared" si="259"/>
        <v>2021.086B.R.Turbidovirus.zip</v>
      </c>
    </row>
    <row r="6482" spans="1:21">
      <c r="A6482">
        <v>6481</v>
      </c>
      <c r="B6482" s="27" t="s">
        <v>1449</v>
      </c>
      <c r="D6482" s="27" t="s">
        <v>1450</v>
      </c>
      <c r="F6482" s="27" t="s">
        <v>1453</v>
      </c>
      <c r="H6482" s="27" t="s">
        <v>1454</v>
      </c>
      <c r="N6482" s="27" t="s">
        <v>8069</v>
      </c>
      <c r="P6482" s="27" t="s">
        <v>8080</v>
      </c>
      <c r="Q6482" s="26" t="str">
        <f>HYPERLINK("https://ictv.global/taxonomy/taxondetails?taxnode_id=202512647&amp;ictv_id=ICTV202112647","ICTV202112647")</f>
        <v>ICTV202112647</v>
      </c>
      <c r="R6482" t="s">
        <v>579</v>
      </c>
      <c r="S6482" t="s">
        <v>823</v>
      </c>
      <c r="T6482">
        <v>37</v>
      </c>
      <c r="U6482" s="26" t="str">
        <f t="shared" si="259"/>
        <v>2021.086B.R.Turbidovirus.zip</v>
      </c>
    </row>
    <row r="6483" spans="1:21">
      <c r="A6483">
        <v>6482</v>
      </c>
      <c r="B6483" s="27" t="s">
        <v>1449</v>
      </c>
      <c r="D6483" s="27" t="s">
        <v>1450</v>
      </c>
      <c r="F6483" s="27" t="s">
        <v>1453</v>
      </c>
      <c r="H6483" s="27" t="s">
        <v>1454</v>
      </c>
      <c r="N6483" s="27" t="s">
        <v>8069</v>
      </c>
      <c r="P6483" s="27" t="s">
        <v>8081</v>
      </c>
      <c r="Q6483" s="26" t="str">
        <f>HYPERLINK("https://ictv.global/taxonomy/taxondetails?taxnode_id=202512648&amp;ictv_id=ICTV202112648","ICTV202112648")</f>
        <v>ICTV202112648</v>
      </c>
      <c r="R6483" t="s">
        <v>579</v>
      </c>
      <c r="S6483" t="s">
        <v>823</v>
      </c>
      <c r="T6483">
        <v>37</v>
      </c>
      <c r="U6483" s="26" t="str">
        <f t="shared" si="259"/>
        <v>2021.086B.R.Turbidovirus.zip</v>
      </c>
    </row>
    <row r="6484" spans="1:21">
      <c r="A6484">
        <v>6483</v>
      </c>
      <c r="B6484" s="27" t="s">
        <v>1449</v>
      </c>
      <c r="D6484" s="27" t="s">
        <v>1450</v>
      </c>
      <c r="F6484" s="27" t="s">
        <v>1453</v>
      </c>
      <c r="H6484" s="27" t="s">
        <v>1454</v>
      </c>
      <c r="N6484" s="27" t="s">
        <v>8069</v>
      </c>
      <c r="P6484" s="27" t="s">
        <v>8082</v>
      </c>
      <c r="Q6484" s="26" t="str">
        <f>HYPERLINK("https://ictv.global/taxonomy/taxondetails?taxnode_id=202501064&amp;ictv_id=ICTV20140325","ICTV20140325")</f>
        <v>ICTV20140325</v>
      </c>
      <c r="R6484" t="s">
        <v>579</v>
      </c>
      <c r="S6484" t="s">
        <v>22764</v>
      </c>
      <c r="T6484">
        <v>37</v>
      </c>
      <c r="U6484" s="26" t="str">
        <f t="shared" si="259"/>
        <v>2021.086B.R.Turbidovirus.zip</v>
      </c>
    </row>
    <row r="6485" spans="1:21">
      <c r="A6485">
        <v>6484</v>
      </c>
      <c r="B6485" s="27" t="s">
        <v>1449</v>
      </c>
      <c r="D6485" s="27" t="s">
        <v>1450</v>
      </c>
      <c r="F6485" s="27" t="s">
        <v>1453</v>
      </c>
      <c r="H6485" s="27" t="s">
        <v>1454</v>
      </c>
      <c r="N6485" s="27" t="s">
        <v>8083</v>
      </c>
      <c r="P6485" s="27" t="s">
        <v>8084</v>
      </c>
      <c r="Q6485" s="26" t="str">
        <f>HYPERLINK("https://ictv.global/taxonomy/taxondetails?taxnode_id=202512650&amp;ictv_id=ICTV202112650","ICTV202112650")</f>
        <v>ICTV202112650</v>
      </c>
      <c r="R6485" t="s">
        <v>579</v>
      </c>
      <c r="S6485" t="s">
        <v>823</v>
      </c>
      <c r="T6485">
        <v>37</v>
      </c>
      <c r="U6485" s="26" t="str">
        <f>HYPERLINK("https://ictv.global/ictv/proposals/2021.087B.R.Typhavirus.zip","2021.087B.R.Typhavirus.zip")</f>
        <v>2021.087B.R.Typhavirus.zip</v>
      </c>
    </row>
    <row r="6486" spans="1:21">
      <c r="A6486">
        <v>6485</v>
      </c>
      <c r="B6486" s="27" t="s">
        <v>1449</v>
      </c>
      <c r="D6486" s="27" t="s">
        <v>1450</v>
      </c>
      <c r="F6486" s="27" t="s">
        <v>1453</v>
      </c>
      <c r="H6486" s="27" t="s">
        <v>1454</v>
      </c>
      <c r="N6486" s="27" t="s">
        <v>1312</v>
      </c>
      <c r="P6486" s="27" t="s">
        <v>8085</v>
      </c>
      <c r="Q6486" s="26" t="str">
        <f>HYPERLINK("https://ictv.global/taxonomy/taxondetails?taxnode_id=202500637&amp;ictv_id=ICTV20094374","ICTV20094374")</f>
        <v>ICTV20094374</v>
      </c>
      <c r="R6486" t="s">
        <v>579</v>
      </c>
      <c r="S6486" t="s">
        <v>824</v>
      </c>
      <c r="T6486">
        <v>37</v>
      </c>
      <c r="U6486" s="26" t="str">
        <f>HYPERLINK("https://ictv.global/ictv/proposals/2021.010B.R.Binomial_names.zip","2021.010B.R.Binomial_names.zip")</f>
        <v>2021.010B.R.Binomial_names.zip</v>
      </c>
    </row>
    <row r="6487" spans="1:21">
      <c r="A6487">
        <v>6486</v>
      </c>
      <c r="B6487" s="27" t="s">
        <v>1449</v>
      </c>
      <c r="D6487" s="27" t="s">
        <v>1450</v>
      </c>
      <c r="F6487" s="27" t="s">
        <v>1453</v>
      </c>
      <c r="H6487" s="27" t="s">
        <v>1454</v>
      </c>
      <c r="N6487" s="27" t="s">
        <v>1312</v>
      </c>
      <c r="P6487" s="27" t="s">
        <v>19869</v>
      </c>
      <c r="Q6487" s="26" t="str">
        <f>HYPERLINK("https://ictv.global/taxonomy/taxondetails?taxnode_id=202520225&amp;ictv_id=ICTV202420225","ICTV202420225")</f>
        <v>ICTV202420225</v>
      </c>
      <c r="R6487" t="s">
        <v>579</v>
      </c>
      <c r="S6487" t="s">
        <v>823</v>
      </c>
      <c r="T6487">
        <v>40</v>
      </c>
      <c r="U6487" s="26" t="str">
        <f>HYPERLINK("https://ictv.global/ictv/proposals/2024.006B.Cepavirus_Suseptimavirus_Uetakevirus_1ng_3ns.zip","2024.006B.Cepavirus_Suseptimavirus_Uetakevirus_1ng_3ns.zip")</f>
        <v>2024.006B.Cepavirus_Suseptimavirus_Uetakevirus_1ng_3ns.zip</v>
      </c>
    </row>
    <row r="6488" spans="1:21">
      <c r="A6488">
        <v>6487</v>
      </c>
      <c r="B6488" s="27" t="s">
        <v>1449</v>
      </c>
      <c r="D6488" s="27" t="s">
        <v>1450</v>
      </c>
      <c r="F6488" s="27" t="s">
        <v>1453</v>
      </c>
      <c r="H6488" s="27" t="s">
        <v>1454</v>
      </c>
      <c r="N6488" s="27" t="s">
        <v>1312</v>
      </c>
      <c r="P6488" s="27" t="s">
        <v>8086</v>
      </c>
      <c r="Q6488" s="26" t="str">
        <f>HYPERLINK("https://ictv.global/taxonomy/taxondetails?taxnode_id=202500636&amp;ictv_id=ICTV20094373","ICTV20094373")</f>
        <v>ICTV20094373</v>
      </c>
      <c r="R6488" t="s">
        <v>579</v>
      </c>
      <c r="S6488" t="s">
        <v>824</v>
      </c>
      <c r="T6488">
        <v>37</v>
      </c>
      <c r="U6488" s="26" t="str">
        <f>HYPERLINK("https://ictv.global/ictv/proposals/2021.010B.R.Binomial_names.zip","2021.010B.R.Binomial_names.zip")</f>
        <v>2021.010B.R.Binomial_names.zip</v>
      </c>
    </row>
    <row r="6489" spans="1:21">
      <c r="A6489">
        <v>6488</v>
      </c>
      <c r="B6489" s="27" t="s">
        <v>1449</v>
      </c>
      <c r="D6489" s="27" t="s">
        <v>1450</v>
      </c>
      <c r="F6489" s="27" t="s">
        <v>1453</v>
      </c>
      <c r="H6489" s="27" t="s">
        <v>1454</v>
      </c>
      <c r="N6489" s="27" t="s">
        <v>1312</v>
      </c>
      <c r="P6489" s="27" t="s">
        <v>8087</v>
      </c>
      <c r="Q6489" s="26" t="str">
        <f>HYPERLINK("https://ictv.global/taxonomy/taxondetails?taxnode_id=202500638&amp;ictv_id=ICTV20164922","ICTV20164922")</f>
        <v>ICTV20164922</v>
      </c>
      <c r="R6489" t="s">
        <v>579</v>
      </c>
      <c r="S6489" t="s">
        <v>824</v>
      </c>
      <c r="T6489">
        <v>37</v>
      </c>
      <c r="U6489" s="26" t="str">
        <f>HYPERLINK("https://ictv.global/ictv/proposals/2021.010B.R.Binomial_names.zip","2021.010B.R.Binomial_names.zip")</f>
        <v>2021.010B.R.Binomial_names.zip</v>
      </c>
    </row>
    <row r="6490" spans="1:21">
      <c r="A6490">
        <v>6489</v>
      </c>
      <c r="B6490" s="27" t="s">
        <v>1449</v>
      </c>
      <c r="D6490" s="27" t="s">
        <v>1450</v>
      </c>
      <c r="F6490" s="27" t="s">
        <v>1453</v>
      </c>
      <c r="H6490" s="27" t="s">
        <v>1454</v>
      </c>
      <c r="N6490" s="27" t="s">
        <v>2316</v>
      </c>
      <c r="P6490" s="27" t="s">
        <v>8088</v>
      </c>
      <c r="Q6490" s="26" t="str">
        <f>HYPERLINK("https://ictv.global/taxonomy/taxondetails?taxnode_id=202512078&amp;ictv_id=ICTV202012078","ICTV202012078")</f>
        <v>ICTV202012078</v>
      </c>
      <c r="R6490" t="s">
        <v>579</v>
      </c>
      <c r="S6490" t="s">
        <v>824</v>
      </c>
      <c r="T6490">
        <v>37</v>
      </c>
      <c r="U6490" s="26" t="str">
        <f>HYPERLINK("https://ictv.global/ictv/proposals/2021.010B.R.Binomial_names.zip","2021.010B.R.Binomial_names.zip")</f>
        <v>2021.010B.R.Binomial_names.zip</v>
      </c>
    </row>
    <row r="6491" spans="1:21">
      <c r="A6491">
        <v>6490</v>
      </c>
      <c r="B6491" s="27" t="s">
        <v>1449</v>
      </c>
      <c r="D6491" s="27" t="s">
        <v>1450</v>
      </c>
      <c r="F6491" s="27" t="s">
        <v>1453</v>
      </c>
      <c r="H6491" s="27" t="s">
        <v>1454</v>
      </c>
      <c r="N6491" s="27" t="s">
        <v>12221</v>
      </c>
      <c r="P6491" s="27" t="s">
        <v>12222</v>
      </c>
      <c r="Q6491" s="26" t="str">
        <f>HYPERLINK("https://ictv.global/taxonomy/taxondetails?taxnode_id=202517773&amp;ictv_id=ICTV202317773","ICTV202317773")</f>
        <v>ICTV202317773</v>
      </c>
      <c r="R6491" t="s">
        <v>579</v>
      </c>
      <c r="S6491" t="s">
        <v>823</v>
      </c>
      <c r="T6491">
        <v>39</v>
      </c>
      <c r="U6491" s="26" t="str">
        <f>HYPERLINK("https://ictv.global/ictv/proposals/2023.003B.Actinobacteriophage_singletons_25ng.zip","2023.003B.Actinobacteriophage_singletons_25ng.zip")</f>
        <v>2023.003B.Actinobacteriophage_singletons_25ng.zip</v>
      </c>
    </row>
    <row r="6492" spans="1:21">
      <c r="A6492">
        <v>6491</v>
      </c>
      <c r="B6492" s="27" t="s">
        <v>1449</v>
      </c>
      <c r="D6492" s="27" t="s">
        <v>1450</v>
      </c>
      <c r="F6492" s="27" t="s">
        <v>1453</v>
      </c>
      <c r="H6492" s="27" t="s">
        <v>1454</v>
      </c>
      <c r="N6492" s="27" t="s">
        <v>2317</v>
      </c>
      <c r="P6492" s="27" t="s">
        <v>8091</v>
      </c>
      <c r="Q6492" s="26" t="str">
        <f>HYPERLINK("https://ictv.global/taxonomy/taxondetails?taxnode_id=202512082&amp;ictv_id=ICTV202012082","ICTV202012082")</f>
        <v>ICTV202012082</v>
      </c>
      <c r="R6492" t="s">
        <v>579</v>
      </c>
      <c r="S6492" t="s">
        <v>824</v>
      </c>
      <c r="T6492">
        <v>37</v>
      </c>
      <c r="U6492" s="26" t="str">
        <f>HYPERLINK("https://ictv.global/ictv/proposals/2021.010B.R.Binomial_names.zip","2021.010B.R.Binomial_names.zip")</f>
        <v>2021.010B.R.Binomial_names.zip</v>
      </c>
    </row>
    <row r="6493" spans="1:21">
      <c r="A6493">
        <v>6492</v>
      </c>
      <c r="B6493" s="27" t="s">
        <v>1449</v>
      </c>
      <c r="D6493" s="27" t="s">
        <v>1450</v>
      </c>
      <c r="F6493" s="27" t="s">
        <v>1453</v>
      </c>
      <c r="H6493" s="27" t="s">
        <v>1454</v>
      </c>
      <c r="N6493" s="27" t="s">
        <v>2317</v>
      </c>
      <c r="P6493" s="27" t="s">
        <v>8092</v>
      </c>
      <c r="Q6493" s="26" t="str">
        <f>HYPERLINK("https://ictv.global/taxonomy/taxondetails?taxnode_id=202512084&amp;ictv_id=ICTV202012084","ICTV202012084")</f>
        <v>ICTV202012084</v>
      </c>
      <c r="R6493" t="s">
        <v>579</v>
      </c>
      <c r="S6493" t="s">
        <v>824</v>
      </c>
      <c r="T6493">
        <v>37</v>
      </c>
      <c r="U6493" s="26" t="str">
        <f>HYPERLINK("https://ictv.global/ictv/proposals/2021.010B.R.Binomial_names.zip","2021.010B.R.Binomial_names.zip")</f>
        <v>2021.010B.R.Binomial_names.zip</v>
      </c>
    </row>
    <row r="6494" spans="1:21">
      <c r="A6494">
        <v>6493</v>
      </c>
      <c r="B6494" s="27" t="s">
        <v>1449</v>
      </c>
      <c r="D6494" s="27" t="s">
        <v>1450</v>
      </c>
      <c r="F6494" s="27" t="s">
        <v>1453</v>
      </c>
      <c r="H6494" s="27" t="s">
        <v>1454</v>
      </c>
      <c r="N6494" s="27" t="s">
        <v>2317</v>
      </c>
      <c r="P6494" s="27" t="s">
        <v>8093</v>
      </c>
      <c r="Q6494" s="26" t="str">
        <f>HYPERLINK("https://ictv.global/taxonomy/taxondetails?taxnode_id=202512080&amp;ictv_id=ICTV202012080","ICTV202012080")</f>
        <v>ICTV202012080</v>
      </c>
      <c r="R6494" t="s">
        <v>579</v>
      </c>
      <c r="S6494" t="s">
        <v>824</v>
      </c>
      <c r="T6494">
        <v>37</v>
      </c>
      <c r="U6494" s="26" t="str">
        <f>HYPERLINK("https://ictv.global/ictv/proposals/2021.010B.R.Binomial_names.zip","2021.010B.R.Binomial_names.zip")</f>
        <v>2021.010B.R.Binomial_names.zip</v>
      </c>
    </row>
    <row r="6495" spans="1:21">
      <c r="A6495">
        <v>6494</v>
      </c>
      <c r="B6495" s="27" t="s">
        <v>1449</v>
      </c>
      <c r="D6495" s="27" t="s">
        <v>1450</v>
      </c>
      <c r="F6495" s="27" t="s">
        <v>1453</v>
      </c>
      <c r="H6495" s="27" t="s">
        <v>1454</v>
      </c>
      <c r="N6495" s="27" t="s">
        <v>2317</v>
      </c>
      <c r="P6495" s="27" t="s">
        <v>8094</v>
      </c>
      <c r="Q6495" s="26" t="str">
        <f>HYPERLINK("https://ictv.global/taxonomy/taxondetails?taxnode_id=202512081&amp;ictv_id=ICTV202012081","ICTV202012081")</f>
        <v>ICTV202012081</v>
      </c>
      <c r="R6495" t="s">
        <v>579</v>
      </c>
      <c r="S6495" t="s">
        <v>824</v>
      </c>
      <c r="T6495">
        <v>37</v>
      </c>
      <c r="U6495" s="26" t="str">
        <f>HYPERLINK("https://ictv.global/ictv/proposals/2021.010B.R.Binomial_names.zip","2021.010B.R.Binomial_names.zip")</f>
        <v>2021.010B.R.Binomial_names.zip</v>
      </c>
    </row>
    <row r="6496" spans="1:21">
      <c r="A6496">
        <v>6495</v>
      </c>
      <c r="B6496" s="27" t="s">
        <v>1449</v>
      </c>
      <c r="D6496" s="27" t="s">
        <v>1450</v>
      </c>
      <c r="F6496" s="27" t="s">
        <v>1453</v>
      </c>
      <c r="H6496" s="27" t="s">
        <v>1454</v>
      </c>
      <c r="N6496" s="27" t="s">
        <v>2317</v>
      </c>
      <c r="P6496" s="27" t="s">
        <v>8095</v>
      </c>
      <c r="Q6496" s="26" t="str">
        <f>HYPERLINK("https://ictv.global/taxonomy/taxondetails?taxnode_id=202512083&amp;ictv_id=ICTV202012083","ICTV202012083")</f>
        <v>ICTV202012083</v>
      </c>
      <c r="R6496" t="s">
        <v>579</v>
      </c>
      <c r="S6496" t="s">
        <v>824</v>
      </c>
      <c r="T6496">
        <v>37</v>
      </c>
      <c r="U6496" s="26" t="str">
        <f>HYPERLINK("https://ictv.global/ictv/proposals/2021.010B.R.Binomial_names.zip","2021.010B.R.Binomial_names.zip")</f>
        <v>2021.010B.R.Binomial_names.zip</v>
      </c>
    </row>
    <row r="6497" spans="1:21">
      <c r="A6497">
        <v>6496</v>
      </c>
      <c r="B6497" s="27" t="s">
        <v>1449</v>
      </c>
      <c r="D6497" s="27" t="s">
        <v>1450</v>
      </c>
      <c r="F6497" s="27" t="s">
        <v>1453</v>
      </c>
      <c r="H6497" s="27" t="s">
        <v>1454</v>
      </c>
      <c r="N6497" s="27" t="s">
        <v>8096</v>
      </c>
      <c r="P6497" s="27" t="s">
        <v>8097</v>
      </c>
      <c r="Q6497" s="26" t="str">
        <f>HYPERLINK("https://ictv.global/taxonomy/taxondetails?taxnode_id=202514878&amp;ictv_id=ICTV202214878","ICTV202214878")</f>
        <v>ICTV202214878</v>
      </c>
      <c r="R6497" t="s">
        <v>579</v>
      </c>
      <c r="S6497" t="s">
        <v>823</v>
      </c>
      <c r="T6497">
        <v>38</v>
      </c>
      <c r="U6497" s="26" t="str">
        <f>HYPERLINK("https://ictv.global/ictv/proposals/2022.081B.Caudoviricetes_6ng_streptomyces.zip","2022.081B.Caudoviricetes_6ng_streptomyces.zip")</f>
        <v>2022.081B.Caudoviricetes_6ng_streptomyces.zip</v>
      </c>
    </row>
    <row r="6498" spans="1:21">
      <c r="A6498">
        <v>6497</v>
      </c>
      <c r="B6498" s="27" t="s">
        <v>1449</v>
      </c>
      <c r="D6498" s="27" t="s">
        <v>1450</v>
      </c>
      <c r="F6498" s="27" t="s">
        <v>1453</v>
      </c>
      <c r="H6498" s="27" t="s">
        <v>1454</v>
      </c>
      <c r="N6498" s="27" t="s">
        <v>8098</v>
      </c>
      <c r="P6498" s="27" t="s">
        <v>8099</v>
      </c>
      <c r="Q6498" s="26" t="str">
        <f>HYPERLINK("https://ictv.global/taxonomy/taxondetails?taxnode_id=202512656&amp;ictv_id=ICTV202112656","ICTV202112656")</f>
        <v>ICTV202112656</v>
      </c>
      <c r="R6498" t="s">
        <v>579</v>
      </c>
      <c r="S6498" t="s">
        <v>823</v>
      </c>
      <c r="T6498">
        <v>37</v>
      </c>
      <c r="U6498" s="26" t="str">
        <f t="shared" ref="U6498:U6505" si="260">HYPERLINK("https://ictv.global/ictv/proposals/2021.088B.R.Veracruzvirus.zip","2021.088B.R.Veracruzvirus.zip")</f>
        <v>2021.088B.R.Veracruzvirus.zip</v>
      </c>
    </row>
    <row r="6499" spans="1:21">
      <c r="A6499">
        <v>6498</v>
      </c>
      <c r="B6499" s="27" t="s">
        <v>1449</v>
      </c>
      <c r="D6499" s="27" t="s">
        <v>1450</v>
      </c>
      <c r="F6499" s="27" t="s">
        <v>1453</v>
      </c>
      <c r="H6499" s="27" t="s">
        <v>1454</v>
      </c>
      <c r="N6499" s="27" t="s">
        <v>8098</v>
      </c>
      <c r="P6499" s="27" t="s">
        <v>8100</v>
      </c>
      <c r="Q6499" s="26" t="str">
        <f>HYPERLINK("https://ictv.global/taxonomy/taxondetails?taxnode_id=202512654&amp;ictv_id=ICTV202112654","ICTV202112654")</f>
        <v>ICTV202112654</v>
      </c>
      <c r="R6499" t="s">
        <v>579</v>
      </c>
      <c r="S6499" t="s">
        <v>823</v>
      </c>
      <c r="T6499">
        <v>37</v>
      </c>
      <c r="U6499" s="26" t="str">
        <f t="shared" si="260"/>
        <v>2021.088B.R.Veracruzvirus.zip</v>
      </c>
    </row>
    <row r="6500" spans="1:21">
      <c r="A6500">
        <v>6499</v>
      </c>
      <c r="B6500" s="27" t="s">
        <v>1449</v>
      </c>
      <c r="D6500" s="27" t="s">
        <v>1450</v>
      </c>
      <c r="F6500" s="27" t="s">
        <v>1453</v>
      </c>
      <c r="H6500" s="27" t="s">
        <v>1454</v>
      </c>
      <c r="N6500" s="27" t="s">
        <v>8098</v>
      </c>
      <c r="P6500" s="27" t="s">
        <v>8101</v>
      </c>
      <c r="Q6500" s="26" t="str">
        <f>HYPERLINK("https://ictv.global/taxonomy/taxondetails?taxnode_id=202501030&amp;ictv_id=ICTV20140362","ICTV20140362")</f>
        <v>ICTV20140362</v>
      </c>
      <c r="R6500" t="s">
        <v>579</v>
      </c>
      <c r="S6500" t="s">
        <v>22764</v>
      </c>
      <c r="T6500">
        <v>37</v>
      </c>
      <c r="U6500" s="26" t="str">
        <f t="shared" si="260"/>
        <v>2021.088B.R.Veracruzvirus.zip</v>
      </c>
    </row>
    <row r="6501" spans="1:21">
      <c r="A6501">
        <v>6500</v>
      </c>
      <c r="B6501" s="27" t="s">
        <v>1449</v>
      </c>
      <c r="D6501" s="27" t="s">
        <v>1450</v>
      </c>
      <c r="F6501" s="27" t="s">
        <v>1453</v>
      </c>
      <c r="H6501" s="27" t="s">
        <v>1454</v>
      </c>
      <c r="N6501" s="27" t="s">
        <v>8098</v>
      </c>
      <c r="P6501" s="27" t="s">
        <v>8102</v>
      </c>
      <c r="Q6501" s="26" t="str">
        <f>HYPERLINK("https://ictv.global/taxonomy/taxondetails?taxnode_id=202512655&amp;ictv_id=ICTV202112655","ICTV202112655")</f>
        <v>ICTV202112655</v>
      </c>
      <c r="R6501" t="s">
        <v>579</v>
      </c>
      <c r="S6501" t="s">
        <v>823</v>
      </c>
      <c r="T6501">
        <v>37</v>
      </c>
      <c r="U6501" s="26" t="str">
        <f t="shared" si="260"/>
        <v>2021.088B.R.Veracruzvirus.zip</v>
      </c>
    </row>
    <row r="6502" spans="1:21">
      <c r="A6502">
        <v>6501</v>
      </c>
      <c r="B6502" s="27" t="s">
        <v>1449</v>
      </c>
      <c r="D6502" s="27" t="s">
        <v>1450</v>
      </c>
      <c r="F6502" s="27" t="s">
        <v>1453</v>
      </c>
      <c r="H6502" s="27" t="s">
        <v>1454</v>
      </c>
      <c r="N6502" s="27" t="s">
        <v>8098</v>
      </c>
      <c r="P6502" s="27" t="s">
        <v>8103</v>
      </c>
      <c r="Q6502" s="26" t="str">
        <f>HYPERLINK("https://ictv.global/taxonomy/taxondetails?taxnode_id=202512653&amp;ictv_id=ICTV202112653","ICTV202112653")</f>
        <v>ICTV202112653</v>
      </c>
      <c r="R6502" t="s">
        <v>579</v>
      </c>
      <c r="S6502" t="s">
        <v>823</v>
      </c>
      <c r="T6502">
        <v>37</v>
      </c>
      <c r="U6502" s="26" t="str">
        <f t="shared" si="260"/>
        <v>2021.088B.R.Veracruzvirus.zip</v>
      </c>
    </row>
    <row r="6503" spans="1:21">
      <c r="A6503">
        <v>6502</v>
      </c>
      <c r="B6503" s="27" t="s">
        <v>1449</v>
      </c>
      <c r="D6503" s="27" t="s">
        <v>1450</v>
      </c>
      <c r="F6503" s="27" t="s">
        <v>1453</v>
      </c>
      <c r="H6503" s="27" t="s">
        <v>1454</v>
      </c>
      <c r="N6503" s="27" t="s">
        <v>8098</v>
      </c>
      <c r="P6503" s="27" t="s">
        <v>8104</v>
      </c>
      <c r="Q6503" s="26" t="str">
        <f>HYPERLINK("https://ictv.global/taxonomy/taxondetails?taxnode_id=202512657&amp;ictv_id=ICTV202112657","ICTV202112657")</f>
        <v>ICTV202112657</v>
      </c>
      <c r="R6503" t="s">
        <v>579</v>
      </c>
      <c r="S6503" t="s">
        <v>823</v>
      </c>
      <c r="T6503">
        <v>37</v>
      </c>
      <c r="U6503" s="26" t="str">
        <f t="shared" si="260"/>
        <v>2021.088B.R.Veracruzvirus.zip</v>
      </c>
    </row>
    <row r="6504" spans="1:21">
      <c r="A6504">
        <v>6503</v>
      </c>
      <c r="B6504" s="27" t="s">
        <v>1449</v>
      </c>
      <c r="D6504" s="27" t="s">
        <v>1450</v>
      </c>
      <c r="F6504" s="27" t="s">
        <v>1453</v>
      </c>
      <c r="H6504" s="27" t="s">
        <v>1454</v>
      </c>
      <c r="N6504" s="27" t="s">
        <v>8098</v>
      </c>
      <c r="P6504" s="27" t="s">
        <v>8105</v>
      </c>
      <c r="Q6504" s="26" t="str">
        <f>HYPERLINK("https://ictv.global/taxonomy/taxondetails?taxnode_id=202501054&amp;ictv_id=ICTV20140363","ICTV20140363")</f>
        <v>ICTV20140363</v>
      </c>
      <c r="R6504" t="s">
        <v>579</v>
      </c>
      <c r="S6504" t="s">
        <v>22764</v>
      </c>
      <c r="T6504">
        <v>37</v>
      </c>
      <c r="U6504" s="26" t="str">
        <f t="shared" si="260"/>
        <v>2021.088B.R.Veracruzvirus.zip</v>
      </c>
    </row>
    <row r="6505" spans="1:21">
      <c r="A6505">
        <v>6504</v>
      </c>
      <c r="B6505" s="27" t="s">
        <v>1449</v>
      </c>
      <c r="D6505" s="27" t="s">
        <v>1450</v>
      </c>
      <c r="F6505" s="27" t="s">
        <v>1453</v>
      </c>
      <c r="H6505" s="27" t="s">
        <v>1454</v>
      </c>
      <c r="N6505" s="27" t="s">
        <v>8098</v>
      </c>
      <c r="P6505" s="27" t="s">
        <v>8106</v>
      </c>
      <c r="Q6505" s="26" t="str">
        <f>HYPERLINK("https://ictv.global/taxonomy/taxondetails?taxnode_id=202512652&amp;ictv_id=ICTV202112652","ICTV202112652")</f>
        <v>ICTV202112652</v>
      </c>
      <c r="R6505" t="s">
        <v>579</v>
      </c>
      <c r="S6505" t="s">
        <v>823</v>
      </c>
      <c r="T6505">
        <v>37</v>
      </c>
      <c r="U6505" s="26" t="str">
        <f t="shared" si="260"/>
        <v>2021.088B.R.Veracruzvirus.zip</v>
      </c>
    </row>
    <row r="6506" spans="1:21">
      <c r="A6506">
        <v>6505</v>
      </c>
      <c r="B6506" s="27" t="s">
        <v>1449</v>
      </c>
      <c r="D6506" s="27" t="s">
        <v>1450</v>
      </c>
      <c r="F6506" s="27" t="s">
        <v>1453</v>
      </c>
      <c r="H6506" s="27" t="s">
        <v>1454</v>
      </c>
      <c r="N6506" s="27" t="s">
        <v>12225</v>
      </c>
      <c r="P6506" s="27" t="s">
        <v>12226</v>
      </c>
      <c r="Q6506" s="26" t="str">
        <f>HYPERLINK("https://ictv.global/taxonomy/taxondetails?taxnode_id=202519492&amp;ictv_id=ICTV202319492","ICTV202319492")</f>
        <v>ICTV202319492</v>
      </c>
      <c r="R6506" t="s">
        <v>579</v>
      </c>
      <c r="S6506" t="s">
        <v>823</v>
      </c>
      <c r="T6506">
        <v>39</v>
      </c>
      <c r="U6506" s="26" t="str">
        <f>HYPERLINK("https://ictv.global/ictv/proposals/2023.074B.Vespunovirus_ng.zip","2023.074B.Vespunovirus_ng.zip")</f>
        <v>2023.074B.Vespunovirus_ng.zip</v>
      </c>
    </row>
    <row r="6507" spans="1:21">
      <c r="A6507">
        <v>6506</v>
      </c>
      <c r="B6507" s="27" t="s">
        <v>1449</v>
      </c>
      <c r="D6507" s="27" t="s">
        <v>1450</v>
      </c>
      <c r="F6507" s="27" t="s">
        <v>1453</v>
      </c>
      <c r="H6507" s="27" t="s">
        <v>1454</v>
      </c>
      <c r="N6507" s="27" t="s">
        <v>1429</v>
      </c>
      <c r="P6507" s="27" t="s">
        <v>8107</v>
      </c>
      <c r="Q6507" s="26" t="str">
        <f>HYPERLINK("https://ictv.global/taxonomy/taxondetails?taxnode_id=202506994&amp;ictv_id=ICTV201856994","ICTV201856994")</f>
        <v>ICTV201856994</v>
      </c>
      <c r="R6507" t="s">
        <v>579</v>
      </c>
      <c r="S6507" t="s">
        <v>824</v>
      </c>
      <c r="T6507">
        <v>37</v>
      </c>
      <c r="U6507" s="26" t="str">
        <f t="shared" ref="U6507:U6512" si="261">HYPERLINK("https://ictv.global/ictv/proposals/2021.010B.R.Binomial_names.zip","2021.010B.R.Binomial_names.zip")</f>
        <v>2021.010B.R.Binomial_names.zip</v>
      </c>
    </row>
    <row r="6508" spans="1:21">
      <c r="A6508">
        <v>6507</v>
      </c>
      <c r="B6508" s="27" t="s">
        <v>1449</v>
      </c>
      <c r="D6508" s="27" t="s">
        <v>1450</v>
      </c>
      <c r="F6508" s="27" t="s">
        <v>1453</v>
      </c>
      <c r="H6508" s="27" t="s">
        <v>1454</v>
      </c>
      <c r="N6508" s="27" t="s">
        <v>1313</v>
      </c>
      <c r="P6508" s="27" t="s">
        <v>8109</v>
      </c>
      <c r="Q6508" s="26" t="str">
        <f>HYPERLINK("https://ictv.global/taxonomy/taxondetails?taxnode_id=202506898&amp;ictv_id=ICTV201856898","ICTV201856898")</f>
        <v>ICTV201856898</v>
      </c>
      <c r="R6508" t="s">
        <v>579</v>
      </c>
      <c r="S6508" t="s">
        <v>824</v>
      </c>
      <c r="T6508">
        <v>37</v>
      </c>
      <c r="U6508" s="26" t="str">
        <f t="shared" si="261"/>
        <v>2021.010B.R.Binomial_names.zip</v>
      </c>
    </row>
    <row r="6509" spans="1:21">
      <c r="A6509">
        <v>6508</v>
      </c>
      <c r="B6509" s="27" t="s">
        <v>1449</v>
      </c>
      <c r="D6509" s="27" t="s">
        <v>1450</v>
      </c>
      <c r="F6509" s="27" t="s">
        <v>1453</v>
      </c>
      <c r="H6509" s="27" t="s">
        <v>1454</v>
      </c>
      <c r="N6509" s="27" t="s">
        <v>1313</v>
      </c>
      <c r="P6509" s="27" t="s">
        <v>8110</v>
      </c>
      <c r="Q6509" s="26" t="str">
        <f>HYPERLINK("https://ictv.global/taxonomy/taxondetails?taxnode_id=202506897&amp;ictv_id=ICTV201856897","ICTV201856897")</f>
        <v>ICTV201856897</v>
      </c>
      <c r="R6509" t="s">
        <v>579</v>
      </c>
      <c r="S6509" t="s">
        <v>824</v>
      </c>
      <c r="T6509">
        <v>37</v>
      </c>
      <c r="U6509" s="26" t="str">
        <f t="shared" si="261"/>
        <v>2021.010B.R.Binomial_names.zip</v>
      </c>
    </row>
    <row r="6510" spans="1:21">
      <c r="A6510">
        <v>6509</v>
      </c>
      <c r="B6510" s="27" t="s">
        <v>1449</v>
      </c>
      <c r="D6510" s="27" t="s">
        <v>1450</v>
      </c>
      <c r="F6510" s="27" t="s">
        <v>1453</v>
      </c>
      <c r="H6510" s="27" t="s">
        <v>1454</v>
      </c>
      <c r="N6510" s="27" t="s">
        <v>1430</v>
      </c>
      <c r="P6510" s="27" t="s">
        <v>8111</v>
      </c>
      <c r="Q6510" s="26" t="str">
        <f>HYPERLINK("https://ictv.global/taxonomy/taxondetails?taxnode_id=202506756&amp;ictv_id=ICTV201856756","ICTV201856756")</f>
        <v>ICTV201856756</v>
      </c>
      <c r="R6510" t="s">
        <v>579</v>
      </c>
      <c r="S6510" t="s">
        <v>824</v>
      </c>
      <c r="T6510">
        <v>37</v>
      </c>
      <c r="U6510" s="26" t="str">
        <f t="shared" si="261"/>
        <v>2021.010B.R.Binomial_names.zip</v>
      </c>
    </row>
    <row r="6511" spans="1:21">
      <c r="A6511">
        <v>6510</v>
      </c>
      <c r="B6511" s="27" t="s">
        <v>1449</v>
      </c>
      <c r="D6511" s="27" t="s">
        <v>1450</v>
      </c>
      <c r="F6511" s="27" t="s">
        <v>1453</v>
      </c>
      <c r="H6511" s="27" t="s">
        <v>1454</v>
      </c>
      <c r="N6511" s="27" t="s">
        <v>2318</v>
      </c>
      <c r="P6511" s="27" t="s">
        <v>8131</v>
      </c>
      <c r="Q6511" s="26" t="str">
        <f>HYPERLINK("https://ictv.global/taxonomy/taxondetails?taxnode_id=202512101&amp;ictv_id=ICTV202012101","ICTV202012101")</f>
        <v>ICTV202012101</v>
      </c>
      <c r="R6511" t="s">
        <v>579</v>
      </c>
      <c r="S6511" t="s">
        <v>824</v>
      </c>
      <c r="T6511">
        <v>37</v>
      </c>
      <c r="U6511" s="26" t="str">
        <f t="shared" si="261"/>
        <v>2021.010B.R.Binomial_names.zip</v>
      </c>
    </row>
    <row r="6512" spans="1:21">
      <c r="A6512">
        <v>6511</v>
      </c>
      <c r="B6512" s="27" t="s">
        <v>1449</v>
      </c>
      <c r="D6512" s="27" t="s">
        <v>1450</v>
      </c>
      <c r="F6512" s="27" t="s">
        <v>1453</v>
      </c>
      <c r="H6512" s="27" t="s">
        <v>1454</v>
      </c>
      <c r="N6512" s="27" t="s">
        <v>2318</v>
      </c>
      <c r="P6512" s="27" t="s">
        <v>8132</v>
      </c>
      <c r="Q6512" s="26" t="str">
        <f>HYPERLINK("https://ictv.global/taxonomy/taxondetails?taxnode_id=202512100&amp;ictv_id=ICTV202012100","ICTV202012100")</f>
        <v>ICTV202012100</v>
      </c>
      <c r="R6512" t="s">
        <v>579</v>
      </c>
      <c r="S6512" t="s">
        <v>824</v>
      </c>
      <c r="T6512">
        <v>37</v>
      </c>
      <c r="U6512" s="26" t="str">
        <f t="shared" si="261"/>
        <v>2021.010B.R.Binomial_names.zip</v>
      </c>
    </row>
    <row r="6513" spans="1:21">
      <c r="A6513">
        <v>6512</v>
      </c>
      <c r="B6513" s="27" t="s">
        <v>1449</v>
      </c>
      <c r="D6513" s="27" t="s">
        <v>1450</v>
      </c>
      <c r="F6513" s="27" t="s">
        <v>1453</v>
      </c>
      <c r="H6513" s="27" t="s">
        <v>1454</v>
      </c>
      <c r="N6513" s="27" t="s">
        <v>633</v>
      </c>
      <c r="P6513" s="27" t="s">
        <v>12227</v>
      </c>
      <c r="Q6513" s="26" t="str">
        <f>HYPERLINK("https://ictv.global/taxonomy/taxondetails?taxnode_id=202519493&amp;ictv_id=ICTV202319493","ICTV202319493")</f>
        <v>ICTV202319493</v>
      </c>
      <c r="R6513" t="s">
        <v>579</v>
      </c>
      <c r="S6513" t="s">
        <v>823</v>
      </c>
      <c r="T6513">
        <v>39</v>
      </c>
      <c r="U6513" s="26" t="str">
        <f t="shared" ref="U6513:U6522" si="262">HYPERLINK("https://ictv.global/ictv/proposals/2023.076B.Wbetavirus_11ns.zip","2023.076B.Wbetavirus_11ns.zip")</f>
        <v>2023.076B.Wbetavirus_11ns.zip</v>
      </c>
    </row>
    <row r="6514" spans="1:21">
      <c r="A6514">
        <v>6513</v>
      </c>
      <c r="B6514" s="27" t="s">
        <v>1449</v>
      </c>
      <c r="D6514" s="27" t="s">
        <v>1450</v>
      </c>
      <c r="F6514" s="27" t="s">
        <v>1453</v>
      </c>
      <c r="H6514" s="27" t="s">
        <v>1454</v>
      </c>
      <c r="N6514" s="27" t="s">
        <v>633</v>
      </c>
      <c r="P6514" s="27" t="s">
        <v>12228</v>
      </c>
      <c r="Q6514" s="26" t="str">
        <f>HYPERLINK("https://ictv.global/taxonomy/taxondetails?taxnode_id=202519500&amp;ictv_id=ICTV202319500","ICTV202319500")</f>
        <v>ICTV202319500</v>
      </c>
      <c r="R6514" t="s">
        <v>579</v>
      </c>
      <c r="S6514" t="s">
        <v>823</v>
      </c>
      <c r="T6514">
        <v>39</v>
      </c>
      <c r="U6514" s="26" t="str">
        <f t="shared" si="262"/>
        <v>2023.076B.Wbetavirus_11ns.zip</v>
      </c>
    </row>
    <row r="6515" spans="1:21">
      <c r="A6515">
        <v>6514</v>
      </c>
      <c r="B6515" s="27" t="s">
        <v>1449</v>
      </c>
      <c r="D6515" s="27" t="s">
        <v>1450</v>
      </c>
      <c r="F6515" s="27" t="s">
        <v>1453</v>
      </c>
      <c r="H6515" s="27" t="s">
        <v>1454</v>
      </c>
      <c r="N6515" s="27" t="s">
        <v>633</v>
      </c>
      <c r="P6515" s="27" t="s">
        <v>12229</v>
      </c>
      <c r="Q6515" s="26" t="str">
        <f>HYPERLINK("https://ictv.global/taxonomy/taxondetails?taxnode_id=202519496&amp;ictv_id=ICTV202319496","ICTV202319496")</f>
        <v>ICTV202319496</v>
      </c>
      <c r="R6515" t="s">
        <v>579</v>
      </c>
      <c r="S6515" t="s">
        <v>823</v>
      </c>
      <c r="T6515">
        <v>39</v>
      </c>
      <c r="U6515" s="26" t="str">
        <f t="shared" si="262"/>
        <v>2023.076B.Wbetavirus_11ns.zip</v>
      </c>
    </row>
    <row r="6516" spans="1:21">
      <c r="A6516">
        <v>6515</v>
      </c>
      <c r="B6516" s="27" t="s">
        <v>1449</v>
      </c>
      <c r="D6516" s="27" t="s">
        <v>1450</v>
      </c>
      <c r="F6516" s="27" t="s">
        <v>1453</v>
      </c>
      <c r="H6516" s="27" t="s">
        <v>1454</v>
      </c>
      <c r="N6516" s="27" t="s">
        <v>633</v>
      </c>
      <c r="P6516" s="27" t="s">
        <v>12230</v>
      </c>
      <c r="Q6516" s="26" t="str">
        <f>HYPERLINK("https://ictv.global/taxonomy/taxondetails?taxnode_id=202519497&amp;ictv_id=ICTV202319497","ICTV202319497")</f>
        <v>ICTV202319497</v>
      </c>
      <c r="R6516" t="s">
        <v>579</v>
      </c>
      <c r="S6516" t="s">
        <v>823</v>
      </c>
      <c r="T6516">
        <v>39</v>
      </c>
      <c r="U6516" s="26" t="str">
        <f t="shared" si="262"/>
        <v>2023.076B.Wbetavirus_11ns.zip</v>
      </c>
    </row>
    <row r="6517" spans="1:21">
      <c r="A6517">
        <v>6516</v>
      </c>
      <c r="B6517" s="27" t="s">
        <v>1449</v>
      </c>
      <c r="D6517" s="27" t="s">
        <v>1450</v>
      </c>
      <c r="F6517" s="27" t="s">
        <v>1453</v>
      </c>
      <c r="H6517" s="27" t="s">
        <v>1454</v>
      </c>
      <c r="N6517" s="27" t="s">
        <v>633</v>
      </c>
      <c r="P6517" s="27" t="s">
        <v>12231</v>
      </c>
      <c r="Q6517" s="26" t="str">
        <f>HYPERLINK("https://ictv.global/taxonomy/taxondetails?taxnode_id=202519494&amp;ictv_id=ICTV202319494","ICTV202319494")</f>
        <v>ICTV202319494</v>
      </c>
      <c r="R6517" t="s">
        <v>579</v>
      </c>
      <c r="S6517" t="s">
        <v>823</v>
      </c>
      <c r="T6517">
        <v>39</v>
      </c>
      <c r="U6517" s="26" t="str">
        <f t="shared" si="262"/>
        <v>2023.076B.Wbetavirus_11ns.zip</v>
      </c>
    </row>
    <row r="6518" spans="1:21">
      <c r="A6518">
        <v>6517</v>
      </c>
      <c r="B6518" s="27" t="s">
        <v>1449</v>
      </c>
      <c r="D6518" s="27" t="s">
        <v>1450</v>
      </c>
      <c r="F6518" s="27" t="s">
        <v>1453</v>
      </c>
      <c r="H6518" s="27" t="s">
        <v>1454</v>
      </c>
      <c r="N6518" s="27" t="s">
        <v>633</v>
      </c>
      <c r="P6518" s="27" t="s">
        <v>12232</v>
      </c>
      <c r="Q6518" s="26" t="str">
        <f>HYPERLINK("https://ictv.global/taxonomy/taxondetails?taxnode_id=202519495&amp;ictv_id=ICTV202319495","ICTV202319495")</f>
        <v>ICTV202319495</v>
      </c>
      <c r="R6518" t="s">
        <v>579</v>
      </c>
      <c r="S6518" t="s">
        <v>823</v>
      </c>
      <c r="T6518">
        <v>39</v>
      </c>
      <c r="U6518" s="26" t="str">
        <f t="shared" si="262"/>
        <v>2023.076B.Wbetavirus_11ns.zip</v>
      </c>
    </row>
    <row r="6519" spans="1:21">
      <c r="A6519">
        <v>6518</v>
      </c>
      <c r="B6519" s="27" t="s">
        <v>1449</v>
      </c>
      <c r="D6519" s="27" t="s">
        <v>1450</v>
      </c>
      <c r="F6519" s="27" t="s">
        <v>1453</v>
      </c>
      <c r="H6519" s="27" t="s">
        <v>1454</v>
      </c>
      <c r="N6519" s="27" t="s">
        <v>633</v>
      </c>
      <c r="P6519" s="27" t="s">
        <v>12233</v>
      </c>
      <c r="Q6519" s="26" t="str">
        <f>HYPERLINK("https://ictv.global/taxonomy/taxondetails?taxnode_id=202519502&amp;ictv_id=ICTV202319502","ICTV202319502")</f>
        <v>ICTV202319502</v>
      </c>
      <c r="R6519" t="s">
        <v>579</v>
      </c>
      <c r="S6519" t="s">
        <v>823</v>
      </c>
      <c r="T6519">
        <v>39</v>
      </c>
      <c r="U6519" s="26" t="str">
        <f t="shared" si="262"/>
        <v>2023.076B.Wbetavirus_11ns.zip</v>
      </c>
    </row>
    <row r="6520" spans="1:21">
      <c r="A6520">
        <v>6519</v>
      </c>
      <c r="B6520" s="27" t="s">
        <v>1449</v>
      </c>
      <c r="D6520" s="27" t="s">
        <v>1450</v>
      </c>
      <c r="F6520" s="27" t="s">
        <v>1453</v>
      </c>
      <c r="H6520" s="27" t="s">
        <v>1454</v>
      </c>
      <c r="N6520" s="27" t="s">
        <v>633</v>
      </c>
      <c r="P6520" s="27" t="s">
        <v>12234</v>
      </c>
      <c r="Q6520" s="26" t="str">
        <f>HYPERLINK("https://ictv.global/taxonomy/taxondetails?taxnode_id=202519499&amp;ictv_id=ICTV202319499","ICTV202319499")</f>
        <v>ICTV202319499</v>
      </c>
      <c r="R6520" t="s">
        <v>579</v>
      </c>
      <c r="S6520" t="s">
        <v>823</v>
      </c>
      <c r="T6520">
        <v>39</v>
      </c>
      <c r="U6520" s="26" t="str">
        <f t="shared" si="262"/>
        <v>2023.076B.Wbetavirus_11ns.zip</v>
      </c>
    </row>
    <row r="6521" spans="1:21">
      <c r="A6521">
        <v>6520</v>
      </c>
      <c r="B6521" s="27" t="s">
        <v>1449</v>
      </c>
      <c r="D6521" s="27" t="s">
        <v>1450</v>
      </c>
      <c r="F6521" s="27" t="s">
        <v>1453</v>
      </c>
      <c r="H6521" s="27" t="s">
        <v>1454</v>
      </c>
      <c r="N6521" s="27" t="s">
        <v>633</v>
      </c>
      <c r="P6521" s="27" t="s">
        <v>12235</v>
      </c>
      <c r="Q6521" s="26" t="str">
        <f>HYPERLINK("https://ictv.global/taxonomy/taxondetails?taxnode_id=202519498&amp;ictv_id=ICTV202319498","ICTV202319498")</f>
        <v>ICTV202319498</v>
      </c>
      <c r="R6521" t="s">
        <v>579</v>
      </c>
      <c r="S6521" t="s">
        <v>823</v>
      </c>
      <c r="T6521">
        <v>39</v>
      </c>
      <c r="U6521" s="26" t="str">
        <f t="shared" si="262"/>
        <v>2023.076B.Wbetavirus_11ns.zip</v>
      </c>
    </row>
    <row r="6522" spans="1:21">
      <c r="A6522">
        <v>6521</v>
      </c>
      <c r="B6522" s="27" t="s">
        <v>1449</v>
      </c>
      <c r="D6522" s="27" t="s">
        <v>1450</v>
      </c>
      <c r="F6522" s="27" t="s">
        <v>1453</v>
      </c>
      <c r="H6522" s="27" t="s">
        <v>1454</v>
      </c>
      <c r="N6522" s="27" t="s">
        <v>633</v>
      </c>
      <c r="P6522" s="27" t="s">
        <v>12236</v>
      </c>
      <c r="Q6522" s="26" t="str">
        <f>HYPERLINK("https://ictv.global/taxonomy/taxondetails?taxnode_id=202519501&amp;ictv_id=ICTV202319501","ICTV202319501")</f>
        <v>ICTV202319501</v>
      </c>
      <c r="R6522" t="s">
        <v>579</v>
      </c>
      <c r="S6522" t="s">
        <v>823</v>
      </c>
      <c r="T6522">
        <v>39</v>
      </c>
      <c r="U6522" s="26" t="str">
        <f t="shared" si="262"/>
        <v>2023.076B.Wbetavirus_11ns.zip</v>
      </c>
    </row>
    <row r="6523" spans="1:21">
      <c r="A6523">
        <v>6522</v>
      </c>
      <c r="B6523" s="27" t="s">
        <v>1449</v>
      </c>
      <c r="D6523" s="27" t="s">
        <v>1450</v>
      </c>
      <c r="F6523" s="27" t="s">
        <v>1453</v>
      </c>
      <c r="H6523" s="27" t="s">
        <v>1454</v>
      </c>
      <c r="N6523" s="27" t="s">
        <v>633</v>
      </c>
      <c r="P6523" s="27" t="s">
        <v>8133</v>
      </c>
      <c r="Q6523" s="26" t="str">
        <f>HYPERLINK("https://ictv.global/taxonomy/taxondetails?taxnode_id=202501369&amp;ictv_id=ICTV20140467","ICTV20140467")</f>
        <v>ICTV20140467</v>
      </c>
      <c r="R6523" t="s">
        <v>579</v>
      </c>
      <c r="S6523" t="s">
        <v>824</v>
      </c>
      <c r="T6523">
        <v>37</v>
      </c>
      <c r="U6523" s="26" t="str">
        <f>HYPERLINK("https://ictv.global/ictv/proposals/2021.010B.R.Binomial_names.zip","2021.010B.R.Binomial_names.zip")</f>
        <v>2021.010B.R.Binomial_names.zip</v>
      </c>
    </row>
    <row r="6524" spans="1:21">
      <c r="A6524">
        <v>6523</v>
      </c>
      <c r="B6524" s="27" t="s">
        <v>1449</v>
      </c>
      <c r="D6524" s="27" t="s">
        <v>1450</v>
      </c>
      <c r="F6524" s="27" t="s">
        <v>1453</v>
      </c>
      <c r="H6524" s="27" t="s">
        <v>1454</v>
      </c>
      <c r="N6524" s="27" t="s">
        <v>633</v>
      </c>
      <c r="P6524" s="27" t="s">
        <v>12237</v>
      </c>
      <c r="Q6524" s="26" t="str">
        <f>HYPERLINK("https://ictv.global/taxonomy/taxondetails?taxnode_id=202519503&amp;ictv_id=ICTV202319503","ICTV202319503")</f>
        <v>ICTV202319503</v>
      </c>
      <c r="R6524" t="s">
        <v>579</v>
      </c>
      <c r="S6524" t="s">
        <v>823</v>
      </c>
      <c r="T6524">
        <v>39</v>
      </c>
      <c r="U6524" s="26" t="str">
        <f>HYPERLINK("https://ictv.global/ictv/proposals/2023.076B.Wbetavirus_11ns.zip","2023.076B.Wbetavirus_11ns.zip")</f>
        <v>2023.076B.Wbetavirus_11ns.zip</v>
      </c>
    </row>
    <row r="6525" spans="1:21">
      <c r="A6525">
        <v>6524</v>
      </c>
      <c r="B6525" s="27" t="s">
        <v>1449</v>
      </c>
      <c r="D6525" s="27" t="s">
        <v>1450</v>
      </c>
      <c r="F6525" s="27" t="s">
        <v>1453</v>
      </c>
      <c r="H6525" s="27" t="s">
        <v>1454</v>
      </c>
      <c r="N6525" s="27" t="s">
        <v>1433</v>
      </c>
      <c r="P6525" s="27" t="s">
        <v>8134</v>
      </c>
      <c r="Q6525" s="26" t="str">
        <f>HYPERLINK("https://ictv.global/taxonomy/taxondetails?taxnode_id=202506795&amp;ictv_id=ICTV201856795","ICTV201856795")</f>
        <v>ICTV201856795</v>
      </c>
      <c r="R6525" t="s">
        <v>579</v>
      </c>
      <c r="S6525" t="s">
        <v>824</v>
      </c>
      <c r="T6525">
        <v>37</v>
      </c>
      <c r="U6525" s="26" t="str">
        <f>HYPERLINK("https://ictv.global/ictv/proposals/2021.010B.R.Binomial_names.zip","2021.010B.R.Binomial_names.zip")</f>
        <v>2021.010B.R.Binomial_names.zip</v>
      </c>
    </row>
    <row r="6526" spans="1:21">
      <c r="A6526">
        <v>6525</v>
      </c>
      <c r="B6526" s="27" t="s">
        <v>1449</v>
      </c>
      <c r="D6526" s="27" t="s">
        <v>1450</v>
      </c>
      <c r="F6526" s="27" t="s">
        <v>1453</v>
      </c>
      <c r="H6526" s="27" t="s">
        <v>1454</v>
      </c>
      <c r="N6526" s="27" t="s">
        <v>2319</v>
      </c>
      <c r="P6526" s="27" t="s">
        <v>8136</v>
      </c>
      <c r="Q6526" s="26" t="str">
        <f>HYPERLINK("https://ictv.global/taxonomy/taxondetails?taxnode_id=202512119&amp;ictv_id=ICTV202012119","ICTV202012119")</f>
        <v>ICTV202012119</v>
      </c>
      <c r="R6526" t="s">
        <v>579</v>
      </c>
      <c r="S6526" t="s">
        <v>824</v>
      </c>
      <c r="T6526">
        <v>37</v>
      </c>
      <c r="U6526" s="26" t="str">
        <f>HYPERLINK("https://ictv.global/ictv/proposals/2021.010B.R.Binomial_names.zip","2021.010B.R.Binomial_names.zip")</f>
        <v>2021.010B.R.Binomial_names.zip</v>
      </c>
    </row>
    <row r="6527" spans="1:21">
      <c r="A6527">
        <v>6526</v>
      </c>
      <c r="B6527" s="27" t="s">
        <v>1449</v>
      </c>
      <c r="D6527" s="27" t="s">
        <v>1450</v>
      </c>
      <c r="F6527" s="27" t="s">
        <v>1453</v>
      </c>
      <c r="H6527" s="27" t="s">
        <v>1454</v>
      </c>
      <c r="N6527" s="27" t="s">
        <v>2320</v>
      </c>
      <c r="P6527" s="27" t="s">
        <v>8137</v>
      </c>
      <c r="Q6527" s="26" t="str">
        <f>HYPERLINK("https://ictv.global/taxonomy/taxondetails?taxnode_id=202512121&amp;ictv_id=ICTV202012121","ICTV202012121")</f>
        <v>ICTV202012121</v>
      </c>
      <c r="R6527" t="s">
        <v>579</v>
      </c>
      <c r="S6527" t="s">
        <v>824</v>
      </c>
      <c r="T6527">
        <v>37</v>
      </c>
      <c r="U6527" s="26" t="str">
        <f>HYPERLINK("https://ictv.global/ictv/proposals/2021.010B.R.Binomial_names.zip","2021.010B.R.Binomial_names.zip")</f>
        <v>2021.010B.R.Binomial_names.zip</v>
      </c>
    </row>
    <row r="6528" spans="1:21">
      <c r="A6528">
        <v>6527</v>
      </c>
      <c r="B6528" s="27" t="s">
        <v>1449</v>
      </c>
      <c r="D6528" s="27" t="s">
        <v>1450</v>
      </c>
      <c r="F6528" s="27" t="s">
        <v>1453</v>
      </c>
      <c r="H6528" s="27" t="s">
        <v>1454</v>
      </c>
      <c r="N6528" s="27" t="s">
        <v>12238</v>
      </c>
      <c r="P6528" s="27" t="s">
        <v>12239</v>
      </c>
      <c r="Q6528" s="26" t="str">
        <f>HYPERLINK("https://ictv.global/taxonomy/taxondetails?taxnode_id=202517744&amp;ictv_id=ICTV202317744","ICTV202317744")</f>
        <v>ICTV202317744</v>
      </c>
      <c r="R6528" t="s">
        <v>579</v>
      </c>
      <c r="S6528" t="s">
        <v>823</v>
      </c>
      <c r="T6528">
        <v>39</v>
      </c>
      <c r="U6528" s="26" t="str">
        <f>HYPERLINK("https://ictv.global/ictv/proposals/2023.002B.Actinobacteriophage_Database_Cluster_FE_1nsf_5ng.zip","2023.002B.Actinobacteriophage_Database_Cluster_FE_1nsf_5ng.zip")</f>
        <v>2023.002B.Actinobacteriophage_Database_Cluster_FE_1nsf_5ng.zip</v>
      </c>
    </row>
    <row r="6529" spans="1:21">
      <c r="A6529">
        <v>6528</v>
      </c>
      <c r="B6529" s="27" t="s">
        <v>1449</v>
      </c>
      <c r="D6529" s="27" t="s">
        <v>1450</v>
      </c>
      <c r="F6529" s="27" t="s">
        <v>1453</v>
      </c>
      <c r="H6529" s="27" t="s">
        <v>1454</v>
      </c>
      <c r="N6529" s="27" t="s">
        <v>12238</v>
      </c>
      <c r="P6529" s="27" t="s">
        <v>12240</v>
      </c>
      <c r="Q6529" s="26" t="str">
        <f>HYPERLINK("https://ictv.global/taxonomy/taxondetails?taxnode_id=202517745&amp;ictv_id=ICTV202317745","ICTV202317745")</f>
        <v>ICTV202317745</v>
      </c>
      <c r="R6529" t="s">
        <v>579</v>
      </c>
      <c r="S6529" t="s">
        <v>823</v>
      </c>
      <c r="T6529">
        <v>39</v>
      </c>
      <c r="U6529" s="26" t="str">
        <f>HYPERLINK("https://ictv.global/ictv/proposals/2023.002B.Actinobacteriophage_Database_Cluster_FE_1nsf_5ng.zip","2023.002B.Actinobacteriophage_Database_Cluster_FE_1nsf_5ng.zip")</f>
        <v>2023.002B.Actinobacteriophage_Database_Cluster_FE_1nsf_5ng.zip</v>
      </c>
    </row>
    <row r="6530" spans="1:21">
      <c r="A6530">
        <v>6529</v>
      </c>
      <c r="B6530" s="27" t="s">
        <v>1449</v>
      </c>
      <c r="D6530" s="27" t="s">
        <v>1450</v>
      </c>
      <c r="F6530" s="27" t="s">
        <v>1453</v>
      </c>
      <c r="H6530" s="27" t="s">
        <v>1454</v>
      </c>
      <c r="N6530" s="27" t="s">
        <v>19870</v>
      </c>
      <c r="P6530" s="27" t="s">
        <v>19871</v>
      </c>
      <c r="Q6530" s="26" t="str">
        <f>HYPERLINK("https://ictv.global/taxonomy/taxondetails?taxnode_id=202520834&amp;ictv_id=ICTV202420834","ICTV202420834")</f>
        <v>ICTV202420834</v>
      </c>
      <c r="R6530" t="s">
        <v>579</v>
      </c>
      <c r="S6530" t="s">
        <v>823</v>
      </c>
      <c r="T6530">
        <v>40</v>
      </c>
      <c r="U6530" s="26" t="str">
        <f>HYPERLINK("https://ictv.global/ictv/proposals/2024.029B.Rhodococcus_siphoviruses_7ng_7ns.zip","2024.029B.Rhodococcus_siphoviruses_7ng_7ns.zip")</f>
        <v>2024.029B.Rhodococcus_siphoviruses_7ng_7ns.zip</v>
      </c>
    </row>
    <row r="6531" spans="1:21">
      <c r="A6531">
        <v>6530</v>
      </c>
      <c r="B6531" s="27" t="s">
        <v>1449</v>
      </c>
      <c r="D6531" s="27" t="s">
        <v>1450</v>
      </c>
      <c r="F6531" s="27" t="s">
        <v>1453</v>
      </c>
      <c r="H6531" s="27" t="s">
        <v>1454</v>
      </c>
      <c r="N6531" s="27" t="s">
        <v>793</v>
      </c>
      <c r="P6531" s="27" t="s">
        <v>8161</v>
      </c>
      <c r="Q6531" s="26" t="str">
        <f>HYPERLINK("https://ictv.global/taxonomy/taxondetails?taxnode_id=202501375&amp;ictv_id=ICTV20165106","ICTV20165106")</f>
        <v>ICTV20165106</v>
      </c>
      <c r="R6531" t="s">
        <v>579</v>
      </c>
      <c r="S6531" t="s">
        <v>824</v>
      </c>
      <c r="T6531">
        <v>37</v>
      </c>
      <c r="U6531" s="26" t="str">
        <f>HYPERLINK("https://ictv.global/ictv/proposals/2021.010B.R.Binomial_names.zip","2021.010B.R.Binomial_names.zip")</f>
        <v>2021.010B.R.Binomial_names.zip</v>
      </c>
    </row>
    <row r="6532" spans="1:21">
      <c r="A6532">
        <v>6531</v>
      </c>
      <c r="B6532" s="27" t="s">
        <v>1449</v>
      </c>
      <c r="D6532" s="27" t="s">
        <v>1450</v>
      </c>
      <c r="F6532" s="27" t="s">
        <v>1453</v>
      </c>
      <c r="H6532" s="27" t="s">
        <v>1454</v>
      </c>
      <c r="N6532" s="27" t="s">
        <v>8162</v>
      </c>
      <c r="P6532" s="27" t="s">
        <v>8163</v>
      </c>
      <c r="Q6532" s="26" t="str">
        <f>HYPERLINK("https://ictv.global/taxonomy/taxondetails?taxnode_id=202514974&amp;ictv_id=ICTV202214974","ICTV202214974")</f>
        <v>ICTV202214974</v>
      </c>
      <c r="R6532" t="s">
        <v>579</v>
      </c>
      <c r="S6532" t="s">
        <v>823</v>
      </c>
      <c r="T6532">
        <v>38</v>
      </c>
      <c r="U6532" s="26" t="str">
        <f>HYPERLINK("https://ictv.global/ictv/proposals/2022.093B.Wollypogvirus_ng.zip","2022.093B.Wollypogvirus_ng.zip")</f>
        <v>2022.093B.Wollypogvirus_ng.zip</v>
      </c>
    </row>
    <row r="6533" spans="1:21">
      <c r="A6533">
        <v>6532</v>
      </c>
      <c r="B6533" s="27" t="s">
        <v>1449</v>
      </c>
      <c r="D6533" s="27" t="s">
        <v>1450</v>
      </c>
      <c r="F6533" s="27" t="s">
        <v>1453</v>
      </c>
      <c r="H6533" s="27" t="s">
        <v>1454</v>
      </c>
      <c r="N6533" s="27" t="s">
        <v>8164</v>
      </c>
      <c r="P6533" s="27" t="s">
        <v>8165</v>
      </c>
      <c r="Q6533" s="26" t="str">
        <f>HYPERLINK("https://ictv.global/taxonomy/taxondetails?taxnode_id=202514703&amp;ictv_id=ICTV202214703","ICTV202214703")</f>
        <v>ICTV202214703</v>
      </c>
      <c r="R6533" t="s">
        <v>579</v>
      </c>
      <c r="S6533" t="s">
        <v>823</v>
      </c>
      <c r="T6533">
        <v>38</v>
      </c>
      <c r="U6533" s="26" t="str">
        <f>HYPERLINK("https://ictv.global/ictv/proposals/2022.058B.Caudoviricetes_3ng.zip","2022.058B.Caudoviricetes_3ng.zip")</f>
        <v>2022.058B.Caudoviricetes_3ng.zip</v>
      </c>
    </row>
    <row r="6534" spans="1:21">
      <c r="A6534">
        <v>6533</v>
      </c>
      <c r="B6534" s="27" t="s">
        <v>1449</v>
      </c>
      <c r="D6534" s="27" t="s">
        <v>1450</v>
      </c>
      <c r="F6534" s="27" t="s">
        <v>1453</v>
      </c>
      <c r="H6534" s="27" t="s">
        <v>1454</v>
      </c>
      <c r="N6534" s="27" t="s">
        <v>1435</v>
      </c>
      <c r="P6534" s="27" t="s">
        <v>8166</v>
      </c>
      <c r="Q6534" s="26" t="str">
        <f>HYPERLINK("https://ictv.global/taxonomy/taxondetails?taxnode_id=202501383&amp;ictv_id=ICTV20165107","ICTV20165107")</f>
        <v>ICTV20165107</v>
      </c>
      <c r="R6534" t="s">
        <v>579</v>
      </c>
      <c r="S6534" t="s">
        <v>824</v>
      </c>
      <c r="T6534">
        <v>37</v>
      </c>
      <c r="U6534" s="26" t="str">
        <f>HYPERLINK("https://ictv.global/ictv/proposals/2021.010B.R.Binomial_names.zip","2021.010B.R.Binomial_names.zip")</f>
        <v>2021.010B.R.Binomial_names.zip</v>
      </c>
    </row>
    <row r="6535" spans="1:21">
      <c r="A6535">
        <v>6534</v>
      </c>
      <c r="B6535" s="27" t="s">
        <v>1449</v>
      </c>
      <c r="D6535" s="27" t="s">
        <v>1450</v>
      </c>
      <c r="F6535" s="27" t="s">
        <v>1453</v>
      </c>
      <c r="H6535" s="27" t="s">
        <v>1454</v>
      </c>
      <c r="N6535" s="27" t="s">
        <v>1435</v>
      </c>
      <c r="P6535" s="27" t="s">
        <v>8167</v>
      </c>
      <c r="Q6535" s="26" t="str">
        <f>HYPERLINK("https://ictv.global/taxonomy/taxondetails?taxnode_id=202501384&amp;ictv_id=ICTV20165108","ICTV20165108")</f>
        <v>ICTV20165108</v>
      </c>
      <c r="R6535" t="s">
        <v>579</v>
      </c>
      <c r="S6535" t="s">
        <v>824</v>
      </c>
      <c r="T6535">
        <v>37</v>
      </c>
      <c r="U6535" s="26" t="str">
        <f>HYPERLINK("https://ictv.global/ictv/proposals/2021.010B.R.Binomial_names.zip","2021.010B.R.Binomial_names.zip")</f>
        <v>2021.010B.R.Binomial_names.zip</v>
      </c>
    </row>
    <row r="6536" spans="1:21">
      <c r="A6536">
        <v>6535</v>
      </c>
      <c r="B6536" s="27" t="s">
        <v>1449</v>
      </c>
      <c r="D6536" s="27" t="s">
        <v>1450</v>
      </c>
      <c r="F6536" s="27" t="s">
        <v>1453</v>
      </c>
      <c r="H6536" s="27" t="s">
        <v>1454</v>
      </c>
      <c r="N6536" s="27" t="s">
        <v>12241</v>
      </c>
      <c r="P6536" s="27" t="s">
        <v>12242</v>
      </c>
      <c r="Q6536" s="26" t="str">
        <f>HYPERLINK("https://ictv.global/taxonomy/taxondetails?taxnode_id=202519572&amp;ictv_id=ICTV202319572","ICTV202319572")</f>
        <v>ICTV202319572</v>
      </c>
      <c r="R6536" t="s">
        <v>579</v>
      </c>
      <c r="S6536" t="s">
        <v>823</v>
      </c>
      <c r="T6536">
        <v>39</v>
      </c>
      <c r="U6536" s="26" t="str">
        <f>HYPERLINK("https://ictv.global/ictv/proposals/2023.078B.Xajduovirus_ng.zip","2023.078B.Xajduovirus_ng.zip")</f>
        <v>2023.078B.Xajduovirus_ng.zip</v>
      </c>
    </row>
    <row r="6537" spans="1:21">
      <c r="A6537">
        <v>6536</v>
      </c>
      <c r="B6537" s="27" t="s">
        <v>1449</v>
      </c>
      <c r="D6537" s="27" t="s">
        <v>1450</v>
      </c>
      <c r="F6537" s="27" t="s">
        <v>1453</v>
      </c>
      <c r="H6537" s="27" t="s">
        <v>1454</v>
      </c>
      <c r="N6537" s="27" t="s">
        <v>1436</v>
      </c>
      <c r="P6537" s="27" t="s">
        <v>8171</v>
      </c>
      <c r="Q6537" s="26" t="str">
        <f>HYPERLINK("https://ictv.global/taxonomy/taxondetails?taxnode_id=202501242&amp;ictv_id=ICTV20165083","ICTV20165083")</f>
        <v>ICTV20165083</v>
      </c>
      <c r="R6537" t="s">
        <v>579</v>
      </c>
      <c r="S6537" t="s">
        <v>824</v>
      </c>
      <c r="T6537">
        <v>37</v>
      </c>
      <c r="U6537" s="26" t="str">
        <f t="shared" ref="U6537:U6542" si="263">HYPERLINK("https://ictv.global/ictv/proposals/2021.010B.R.Binomial_names.zip","2021.010B.R.Binomial_names.zip")</f>
        <v>2021.010B.R.Binomial_names.zip</v>
      </c>
    </row>
    <row r="6538" spans="1:21">
      <c r="A6538">
        <v>6537</v>
      </c>
      <c r="B6538" s="27" t="s">
        <v>1449</v>
      </c>
      <c r="D6538" s="27" t="s">
        <v>1450</v>
      </c>
      <c r="F6538" s="27" t="s">
        <v>1453</v>
      </c>
      <c r="H6538" s="27" t="s">
        <v>1454</v>
      </c>
      <c r="N6538" s="27" t="s">
        <v>1436</v>
      </c>
      <c r="P6538" s="27" t="s">
        <v>8172</v>
      </c>
      <c r="Q6538" s="26" t="str">
        <f>HYPERLINK("https://ictv.global/taxonomy/taxondetails?taxnode_id=202501243&amp;ictv_id=ICTV20165084","ICTV20165084")</f>
        <v>ICTV20165084</v>
      </c>
      <c r="R6538" t="s">
        <v>579</v>
      </c>
      <c r="S6538" t="s">
        <v>824</v>
      </c>
      <c r="T6538">
        <v>37</v>
      </c>
      <c r="U6538" s="26" t="str">
        <f t="shared" si="263"/>
        <v>2021.010B.R.Binomial_names.zip</v>
      </c>
    </row>
    <row r="6539" spans="1:21">
      <c r="A6539">
        <v>6538</v>
      </c>
      <c r="B6539" s="27" t="s">
        <v>1449</v>
      </c>
      <c r="D6539" s="27" t="s">
        <v>1450</v>
      </c>
      <c r="F6539" s="27" t="s">
        <v>1453</v>
      </c>
      <c r="H6539" s="27" t="s">
        <v>1454</v>
      </c>
      <c r="N6539" s="27" t="s">
        <v>1437</v>
      </c>
      <c r="P6539" s="27" t="s">
        <v>8173</v>
      </c>
      <c r="Q6539" s="26" t="str">
        <f>HYPERLINK("https://ictv.global/taxonomy/taxondetails?taxnode_id=202501378&amp;ictv_id=ICTV20140445","ICTV20140445")</f>
        <v>ICTV20140445</v>
      </c>
      <c r="R6539" t="s">
        <v>579</v>
      </c>
      <c r="S6539" t="s">
        <v>824</v>
      </c>
      <c r="T6539">
        <v>37</v>
      </c>
      <c r="U6539" s="26" t="str">
        <f t="shared" si="263"/>
        <v>2021.010B.R.Binomial_names.zip</v>
      </c>
    </row>
    <row r="6540" spans="1:21">
      <c r="A6540">
        <v>6539</v>
      </c>
      <c r="B6540" s="27" t="s">
        <v>1449</v>
      </c>
      <c r="D6540" s="27" t="s">
        <v>1450</v>
      </c>
      <c r="F6540" s="27" t="s">
        <v>1453</v>
      </c>
      <c r="H6540" s="27" t="s">
        <v>1454</v>
      </c>
      <c r="N6540" s="27" t="s">
        <v>1437</v>
      </c>
      <c r="P6540" s="27" t="s">
        <v>8174</v>
      </c>
      <c r="Q6540" s="26" t="str">
        <f>HYPERLINK("https://ictv.global/taxonomy/taxondetails?taxnode_id=202501380&amp;ictv_id=ICTV20140446","ICTV20140446")</f>
        <v>ICTV20140446</v>
      </c>
      <c r="R6540" t="s">
        <v>579</v>
      </c>
      <c r="S6540" t="s">
        <v>824</v>
      </c>
      <c r="T6540">
        <v>37</v>
      </c>
      <c r="U6540" s="26" t="str">
        <f t="shared" si="263"/>
        <v>2021.010B.R.Binomial_names.zip</v>
      </c>
    </row>
    <row r="6541" spans="1:21">
      <c r="A6541">
        <v>6540</v>
      </c>
      <c r="B6541" s="27" t="s">
        <v>1449</v>
      </c>
      <c r="D6541" s="27" t="s">
        <v>1450</v>
      </c>
      <c r="F6541" s="27" t="s">
        <v>1453</v>
      </c>
      <c r="H6541" s="27" t="s">
        <v>1454</v>
      </c>
      <c r="N6541" s="27" t="s">
        <v>1437</v>
      </c>
      <c r="P6541" s="27" t="s">
        <v>8175</v>
      </c>
      <c r="Q6541" s="26" t="str">
        <f>HYPERLINK("https://ictv.global/taxonomy/taxondetails?taxnode_id=202501381&amp;ictv_id=ICTV20140444","ICTV20140444")</f>
        <v>ICTV20140444</v>
      </c>
      <c r="R6541" t="s">
        <v>579</v>
      </c>
      <c r="S6541" t="s">
        <v>824</v>
      </c>
      <c r="T6541">
        <v>37</v>
      </c>
      <c r="U6541" s="26" t="str">
        <f t="shared" si="263"/>
        <v>2021.010B.R.Binomial_names.zip</v>
      </c>
    </row>
    <row r="6542" spans="1:21">
      <c r="A6542">
        <v>6541</v>
      </c>
      <c r="B6542" s="27" t="s">
        <v>1449</v>
      </c>
      <c r="D6542" s="27" t="s">
        <v>1450</v>
      </c>
      <c r="F6542" s="27" t="s">
        <v>1453</v>
      </c>
      <c r="H6542" s="27" t="s">
        <v>1454</v>
      </c>
      <c r="N6542" s="27" t="s">
        <v>1726</v>
      </c>
      <c r="P6542" s="27" t="s">
        <v>8176</v>
      </c>
      <c r="Q6542" s="26" t="str">
        <f>HYPERLINK("https://ictv.global/taxonomy/taxondetails?taxnode_id=202507710&amp;ictv_id=ICTV201907710","ICTV201907710")</f>
        <v>ICTV201907710</v>
      </c>
      <c r="R6542" t="s">
        <v>579</v>
      </c>
      <c r="S6542" t="s">
        <v>824</v>
      </c>
      <c r="T6542">
        <v>37</v>
      </c>
      <c r="U6542" s="26" t="str">
        <f t="shared" si="263"/>
        <v>2021.010B.R.Binomial_names.zip</v>
      </c>
    </row>
    <row r="6543" spans="1:21">
      <c r="A6543">
        <v>6542</v>
      </c>
      <c r="B6543" s="27" t="s">
        <v>1449</v>
      </c>
      <c r="D6543" s="27" t="s">
        <v>1450</v>
      </c>
      <c r="F6543" s="27" t="s">
        <v>1453</v>
      </c>
      <c r="H6543" s="27" t="s">
        <v>1454</v>
      </c>
      <c r="N6543" s="27" t="s">
        <v>8177</v>
      </c>
      <c r="P6543" s="27" t="s">
        <v>8178</v>
      </c>
      <c r="Q6543" s="26" t="str">
        <f>HYPERLINK("https://ictv.global/taxonomy/taxondetails?taxnode_id=202514976&amp;ictv_id=ICTV202214976","ICTV202214976")</f>
        <v>ICTV202214976</v>
      </c>
      <c r="R6543" t="s">
        <v>579</v>
      </c>
      <c r="S6543" t="s">
        <v>823</v>
      </c>
      <c r="T6543">
        <v>38</v>
      </c>
      <c r="U6543" s="26" t="str">
        <f>HYPERLINK("https://ictv.global/ictv/proposals/2022.094B.Yanchengvirus_ng.zip","2022.094B.Yanchengvirus_ng.zip")</f>
        <v>2022.094B.Yanchengvirus_ng.zip</v>
      </c>
    </row>
    <row r="6544" spans="1:21">
      <c r="A6544">
        <v>6543</v>
      </c>
      <c r="B6544" s="27" t="s">
        <v>1449</v>
      </c>
      <c r="D6544" s="27" t="s">
        <v>1450</v>
      </c>
      <c r="F6544" s="27" t="s">
        <v>1453</v>
      </c>
      <c r="H6544" s="27" t="s">
        <v>1454</v>
      </c>
      <c r="N6544" s="27" t="s">
        <v>8179</v>
      </c>
      <c r="P6544" s="27" t="s">
        <v>8180</v>
      </c>
      <c r="Q6544" s="26" t="str">
        <f>HYPERLINK("https://ictv.global/taxonomy/taxondetails?taxnode_id=202513387&amp;ictv_id=ICTV202113387","ICTV202113387")</f>
        <v>ICTV202113387</v>
      </c>
      <c r="R6544" t="s">
        <v>579</v>
      </c>
      <c r="S6544" t="s">
        <v>823</v>
      </c>
      <c r="T6544">
        <v>37</v>
      </c>
      <c r="U6544" s="26" t="str">
        <f>HYPERLINK("https://ictv.global/ictv/proposals/2021.093B.R.Yeceytrevirus.zip","2021.093B.R.Yeceytrevirus.zip")</f>
        <v>2021.093B.R.Yeceytrevirus.zip</v>
      </c>
    </row>
    <row r="6545" spans="1:21">
      <c r="A6545">
        <v>6544</v>
      </c>
      <c r="B6545" s="27" t="s">
        <v>1449</v>
      </c>
      <c r="D6545" s="27" t="s">
        <v>1450</v>
      </c>
      <c r="F6545" s="27" t="s">
        <v>1453</v>
      </c>
      <c r="H6545" s="27" t="s">
        <v>1454</v>
      </c>
      <c r="N6545" s="27" t="s">
        <v>1269</v>
      </c>
      <c r="P6545" s="27" t="s">
        <v>8181</v>
      </c>
      <c r="Q6545" s="26" t="str">
        <f>HYPERLINK("https://ictv.global/taxonomy/taxondetails?taxnode_id=202500453&amp;ictv_id=ICTV20164873","ICTV20164873")</f>
        <v>ICTV20164873</v>
      </c>
      <c r="R6545" t="s">
        <v>579</v>
      </c>
      <c r="S6545" t="s">
        <v>824</v>
      </c>
      <c r="T6545">
        <v>37</v>
      </c>
      <c r="U6545" s="26" t="str">
        <f t="shared" ref="U6545:U6551" si="264">HYPERLINK("https://ictv.global/ictv/proposals/2021.010B.R.Binomial_names.zip","2021.010B.R.Binomial_names.zip")</f>
        <v>2021.010B.R.Binomial_names.zip</v>
      </c>
    </row>
    <row r="6546" spans="1:21">
      <c r="A6546">
        <v>6545</v>
      </c>
      <c r="B6546" s="27" t="s">
        <v>1449</v>
      </c>
      <c r="D6546" s="27" t="s">
        <v>1450</v>
      </c>
      <c r="F6546" s="27" t="s">
        <v>1453</v>
      </c>
      <c r="H6546" s="27" t="s">
        <v>1454</v>
      </c>
      <c r="N6546" s="27" t="s">
        <v>1269</v>
      </c>
      <c r="P6546" s="27" t="s">
        <v>8182</v>
      </c>
      <c r="Q6546" s="26" t="str">
        <f>HYPERLINK("https://ictv.global/taxonomy/taxondetails?taxnode_id=202500454&amp;ictv_id=ICTV20164874","ICTV20164874")</f>
        <v>ICTV20164874</v>
      </c>
      <c r="R6546" t="s">
        <v>579</v>
      </c>
      <c r="S6546" t="s">
        <v>824</v>
      </c>
      <c r="T6546">
        <v>37</v>
      </c>
      <c r="U6546" s="26" t="str">
        <f t="shared" si="264"/>
        <v>2021.010B.R.Binomial_names.zip</v>
      </c>
    </row>
    <row r="6547" spans="1:21">
      <c r="A6547">
        <v>6546</v>
      </c>
      <c r="B6547" s="27" t="s">
        <v>1449</v>
      </c>
      <c r="D6547" s="27" t="s">
        <v>1450</v>
      </c>
      <c r="F6547" s="27" t="s">
        <v>1453</v>
      </c>
      <c r="H6547" s="27" t="s">
        <v>1454</v>
      </c>
      <c r="N6547" s="27" t="s">
        <v>1716</v>
      </c>
      <c r="P6547" s="27" t="s">
        <v>8183</v>
      </c>
      <c r="Q6547" s="26" t="str">
        <f>HYPERLINK("https://ictv.global/taxonomy/taxondetails?taxnode_id=202507918&amp;ictv_id=ICTV201907918","ICTV201907918")</f>
        <v>ICTV201907918</v>
      </c>
      <c r="R6547" t="s">
        <v>579</v>
      </c>
      <c r="S6547" t="s">
        <v>824</v>
      </c>
      <c r="T6547">
        <v>37</v>
      </c>
      <c r="U6547" s="26" t="str">
        <f t="shared" si="264"/>
        <v>2021.010B.R.Binomial_names.zip</v>
      </c>
    </row>
    <row r="6548" spans="1:21">
      <c r="A6548">
        <v>6547</v>
      </c>
      <c r="B6548" s="27" t="s">
        <v>1449</v>
      </c>
      <c r="D6548" s="27" t="s">
        <v>1450</v>
      </c>
      <c r="F6548" s="27" t="s">
        <v>1453</v>
      </c>
      <c r="H6548" s="27" t="s">
        <v>1454</v>
      </c>
      <c r="N6548" s="27" t="s">
        <v>2127</v>
      </c>
      <c r="P6548" s="27" t="s">
        <v>8184</v>
      </c>
      <c r="Q6548" s="26" t="str">
        <f>HYPERLINK("https://ictv.global/taxonomy/taxondetails?taxnode_id=202500421&amp;ictv_id=ICTV20115469","ICTV20115469")</f>
        <v>ICTV20115469</v>
      </c>
      <c r="R6548" t="s">
        <v>579</v>
      </c>
      <c r="S6548" t="s">
        <v>824</v>
      </c>
      <c r="T6548">
        <v>37</v>
      </c>
      <c r="U6548" s="26" t="str">
        <f t="shared" si="264"/>
        <v>2021.010B.R.Binomial_names.zip</v>
      </c>
    </row>
    <row r="6549" spans="1:21">
      <c r="A6549">
        <v>6548</v>
      </c>
      <c r="B6549" s="27" t="s">
        <v>1449</v>
      </c>
      <c r="D6549" s="27" t="s">
        <v>1450</v>
      </c>
      <c r="F6549" s="27" t="s">
        <v>1453</v>
      </c>
      <c r="H6549" s="27" t="s">
        <v>1454</v>
      </c>
      <c r="N6549" s="27" t="s">
        <v>2127</v>
      </c>
      <c r="P6549" s="27" t="s">
        <v>8185</v>
      </c>
      <c r="Q6549" s="26" t="str">
        <f>HYPERLINK("https://ictv.global/taxonomy/taxondetails?taxnode_id=202509883&amp;ictv_id=ICTV202009883","ICTV202009883")</f>
        <v>ICTV202009883</v>
      </c>
      <c r="R6549" t="s">
        <v>579</v>
      </c>
      <c r="S6549" t="s">
        <v>824</v>
      </c>
      <c r="T6549">
        <v>37</v>
      </c>
      <c r="U6549" s="26" t="str">
        <f t="shared" si="264"/>
        <v>2021.010B.R.Binomial_names.zip</v>
      </c>
    </row>
    <row r="6550" spans="1:21">
      <c r="A6550">
        <v>6549</v>
      </c>
      <c r="B6550" s="27" t="s">
        <v>1449</v>
      </c>
      <c r="D6550" s="27" t="s">
        <v>1450</v>
      </c>
      <c r="F6550" s="27" t="s">
        <v>1453</v>
      </c>
      <c r="H6550" s="27" t="s">
        <v>1454</v>
      </c>
      <c r="N6550" s="27" t="s">
        <v>2127</v>
      </c>
      <c r="P6550" s="27" t="s">
        <v>8186</v>
      </c>
      <c r="Q6550" s="26" t="str">
        <f>HYPERLINK("https://ictv.global/taxonomy/taxondetails?taxnode_id=202509882&amp;ictv_id=ICTV202009882","ICTV202009882")</f>
        <v>ICTV202009882</v>
      </c>
      <c r="R6550" t="s">
        <v>579</v>
      </c>
      <c r="S6550" t="s">
        <v>824</v>
      </c>
      <c r="T6550">
        <v>37</v>
      </c>
      <c r="U6550" s="26" t="str">
        <f t="shared" si="264"/>
        <v>2021.010B.R.Binomial_names.zip</v>
      </c>
    </row>
    <row r="6551" spans="1:21">
      <c r="A6551">
        <v>6550</v>
      </c>
      <c r="B6551" s="27" t="s">
        <v>1449</v>
      </c>
      <c r="D6551" s="27" t="s">
        <v>1450</v>
      </c>
      <c r="F6551" s="27" t="s">
        <v>1453</v>
      </c>
      <c r="H6551" s="27" t="s">
        <v>1454</v>
      </c>
      <c r="N6551" s="27" t="s">
        <v>2127</v>
      </c>
      <c r="P6551" s="27" t="s">
        <v>8187</v>
      </c>
      <c r="Q6551" s="26" t="str">
        <f>HYPERLINK("https://ictv.global/taxonomy/taxondetails?taxnode_id=202509881&amp;ictv_id=ICTV202009881","ICTV202009881")</f>
        <v>ICTV202009881</v>
      </c>
      <c r="R6551" t="s">
        <v>579</v>
      </c>
      <c r="S6551" t="s">
        <v>824</v>
      </c>
      <c r="T6551">
        <v>37</v>
      </c>
      <c r="U6551" s="26" t="str">
        <f t="shared" si="264"/>
        <v>2021.010B.R.Binomial_names.zip</v>
      </c>
    </row>
    <row r="6552" spans="1:21">
      <c r="A6552">
        <v>6551</v>
      </c>
      <c r="B6552" s="27" t="s">
        <v>1449</v>
      </c>
      <c r="D6552" s="27" t="s">
        <v>1450</v>
      </c>
      <c r="F6552" s="27" t="s">
        <v>1453</v>
      </c>
      <c r="H6552" s="27" t="s">
        <v>1454</v>
      </c>
      <c r="N6552" s="27" t="s">
        <v>1438</v>
      </c>
      <c r="P6552" s="27" t="s">
        <v>19872</v>
      </c>
      <c r="Q6552" s="26" t="str">
        <f>HYPERLINK("https://ictv.global/taxonomy/taxondetails?taxnode_id=202506617&amp;ictv_id=ICTV201856617","ICTV201856617")</f>
        <v>ICTV201856617</v>
      </c>
      <c r="R6552" t="s">
        <v>579</v>
      </c>
      <c r="S6552" t="s">
        <v>824</v>
      </c>
      <c r="T6552">
        <v>40</v>
      </c>
      <c r="U6552" s="26" t="str">
        <f>HYPERLINK("https://ictv.global/ictv/proposals/2024.036B.Caudoviricetes_Faserviricetes_Name_Corrections.zip","2024.036B.Caudoviricetes_Faserviricetes_Name_Corrections.zip")</f>
        <v>2024.036B.Caudoviricetes_Faserviricetes_Name_Corrections.zip</v>
      </c>
    </row>
    <row r="6553" spans="1:21">
      <c r="A6553">
        <v>6552</v>
      </c>
      <c r="B6553" s="27" t="s">
        <v>1449</v>
      </c>
      <c r="D6553" s="27" t="s">
        <v>1450</v>
      </c>
      <c r="F6553" s="27" t="s">
        <v>1453</v>
      </c>
      <c r="H6553" s="27" t="s">
        <v>1454</v>
      </c>
      <c r="N6553" s="27" t="s">
        <v>8191</v>
      </c>
      <c r="P6553" s="27" t="s">
        <v>8192</v>
      </c>
      <c r="Q6553" s="26" t="str">
        <f>HYPERLINK("https://ictv.global/taxonomy/taxondetails?taxnode_id=202514980&amp;ictv_id=ICTV202214980","ICTV202214980")</f>
        <v>ICTV202214980</v>
      </c>
      <c r="R6553" t="s">
        <v>579</v>
      </c>
      <c r="S6553" t="s">
        <v>823</v>
      </c>
      <c r="T6553">
        <v>38</v>
      </c>
      <c r="U6553" s="26" t="str">
        <f>HYPERLINK("https://ictv.global/ictv/proposals/2022.096B.Zhangqianvirus_ng.zip","2022.096B.Zhangqianvirus_ng.zip")</f>
        <v>2022.096B.Zhangqianvirus_ng.zip</v>
      </c>
    </row>
    <row r="6554" spans="1:21">
      <c r="A6554">
        <v>6553</v>
      </c>
      <c r="B6554" s="27" t="s">
        <v>1449</v>
      </c>
      <c r="D6554" s="27" t="s">
        <v>1450</v>
      </c>
      <c r="F6554" s="27" t="s">
        <v>1453</v>
      </c>
      <c r="H6554" s="27" t="s">
        <v>1454</v>
      </c>
      <c r="N6554" s="27" t="s">
        <v>12243</v>
      </c>
      <c r="P6554" s="27" t="s">
        <v>12244</v>
      </c>
      <c r="Q6554" s="26" t="str">
        <f>HYPERLINK("https://ictv.global/taxonomy/taxondetails?taxnode_id=202519573&amp;ictv_id=ICTV202319573","ICTV202319573")</f>
        <v>ICTV202319573</v>
      </c>
      <c r="R6554" t="s">
        <v>579</v>
      </c>
      <c r="S6554" t="s">
        <v>823</v>
      </c>
      <c r="T6554">
        <v>39</v>
      </c>
      <c r="U6554" s="26" t="str">
        <f>HYPERLINK("https://ictv.global/ictv/proposals/2023.079B.Zhuquevirus_ng.zip","2023.079B.Zhuquevirus_ng.zip")</f>
        <v>2023.079B.Zhuquevirus_ng.zip</v>
      </c>
    </row>
    <row r="6555" spans="1:21">
      <c r="A6555">
        <v>6554</v>
      </c>
      <c r="B6555" s="27" t="s">
        <v>1449</v>
      </c>
      <c r="D6555" s="27" t="s">
        <v>1450</v>
      </c>
      <c r="F6555" s="27" t="s">
        <v>1453</v>
      </c>
      <c r="H6555" s="27" t="s">
        <v>1454</v>
      </c>
      <c r="N6555" s="27" t="s">
        <v>22687</v>
      </c>
      <c r="P6555" s="27" t="s">
        <v>22688</v>
      </c>
      <c r="Q6555" s="26" t="str">
        <f>HYPERLINK("https://ictv.global/taxonomy/taxondetails?taxnode_id=202523265&amp;ictv_id=ICTV202523265","ICTV202523265")</f>
        <v>ICTV202523265</v>
      </c>
      <c r="R6555" t="s">
        <v>579</v>
      </c>
      <c r="S6555" t="s">
        <v>823</v>
      </c>
      <c r="T6555">
        <v>41</v>
      </c>
      <c r="U6555" s="26" t="str">
        <f>HYPERLINK("https://ictv.global/ictv/proposals/2025.084B.Zizhuyuanvirus_1ng_1ns.zip","2025.084B.Zizhuyuanvirus_1ng_1ns.zip")</f>
        <v>2025.084B.Zizhuyuanvirus_1ng_1ns.zip</v>
      </c>
    </row>
    <row r="6556" spans="1:21">
      <c r="A6556">
        <v>6555</v>
      </c>
      <c r="B6556" s="27" t="s">
        <v>1449</v>
      </c>
      <c r="D6556" s="27" t="s">
        <v>1450</v>
      </c>
      <c r="F6556" s="27" t="s">
        <v>1453</v>
      </c>
      <c r="H6556" s="27" t="s">
        <v>1454</v>
      </c>
      <c r="N6556" s="27" t="s">
        <v>8197</v>
      </c>
      <c r="P6556" s="27" t="s">
        <v>8198</v>
      </c>
      <c r="Q6556" s="26" t="str">
        <f>HYPERLINK("https://ictv.global/taxonomy/taxondetails?taxnode_id=202514880&amp;ictv_id=ICTV202214880","ICTV202214880")</f>
        <v>ICTV202214880</v>
      </c>
      <c r="R6556" t="s">
        <v>579</v>
      </c>
      <c r="S6556" t="s">
        <v>823</v>
      </c>
      <c r="T6556">
        <v>38</v>
      </c>
      <c r="U6556" s="26" t="str">
        <f>HYPERLINK("https://ictv.global/ictv/proposals/2022.081B.Caudoviricetes_6ng_streptomyces.zip","2022.081B.Caudoviricetes_6ng_streptomyces.zip")</f>
        <v>2022.081B.Caudoviricetes_6ng_streptomyces.zip</v>
      </c>
    </row>
    <row r="6557" spans="1:21">
      <c r="A6557">
        <v>6556</v>
      </c>
      <c r="B6557" s="27" t="s">
        <v>1449</v>
      </c>
      <c r="D6557" s="27" t="s">
        <v>1450</v>
      </c>
      <c r="F6557" s="27" t="s">
        <v>1453</v>
      </c>
      <c r="H6557" s="27" t="s">
        <v>1454</v>
      </c>
      <c r="N6557" s="27" t="s">
        <v>8197</v>
      </c>
      <c r="P6557" s="27" t="s">
        <v>8199</v>
      </c>
      <c r="Q6557" s="26" t="str">
        <f>HYPERLINK("https://ictv.global/taxonomy/taxondetails?taxnode_id=202514879&amp;ictv_id=ICTV202214879","ICTV202214879")</f>
        <v>ICTV202214879</v>
      </c>
      <c r="R6557" t="s">
        <v>579</v>
      </c>
      <c r="S6557" t="s">
        <v>823</v>
      </c>
      <c r="T6557">
        <v>38</v>
      </c>
      <c r="U6557" s="26" t="str">
        <f>HYPERLINK("https://ictv.global/ictv/proposals/2022.081B.Caudoviricetes_6ng_streptomyces.zip","2022.081B.Caudoviricetes_6ng_streptomyces.zip")</f>
        <v>2022.081B.Caudoviricetes_6ng_streptomyces.zip</v>
      </c>
    </row>
    <row r="6558" spans="1:21">
      <c r="A6558">
        <v>6557</v>
      </c>
      <c r="B6558" s="27" t="s">
        <v>20808</v>
      </c>
      <c r="D6558" s="27" t="s">
        <v>1800</v>
      </c>
      <c r="F6558" s="27" t="s">
        <v>1801</v>
      </c>
      <c r="H6558" s="27" t="s">
        <v>1802</v>
      </c>
      <c r="J6558" s="27" t="s">
        <v>1803</v>
      </c>
      <c r="L6558" s="27" t="s">
        <v>373</v>
      </c>
      <c r="N6558" s="27" t="s">
        <v>21063</v>
      </c>
      <c r="P6558" s="27" t="s">
        <v>21064</v>
      </c>
      <c r="Q6558" s="26" t="str">
        <f>HYPERLINK("https://ictv.global/taxonomy/taxondetails?taxnode_id=202522018&amp;ictv_id=ICTV202522018","ICTV202522018")</f>
        <v>ICTV202522018</v>
      </c>
      <c r="R6558" t="s">
        <v>664</v>
      </c>
      <c r="S6558" t="s">
        <v>823</v>
      </c>
      <c r="T6558">
        <v>41</v>
      </c>
      <c r="U6558" s="26" t="str">
        <f t="shared" ref="U6558:U6563" si="265">HYPERLINK("https://ictv.global/ictv/proposals/2024.035B.Tubulavirales_34ng_49ns.zip","2024.035B.Tubulavirales_34ng_49ns.zip")</f>
        <v>2024.035B.Tubulavirales_34ng_49ns.zip</v>
      </c>
    </row>
    <row r="6559" spans="1:21">
      <c r="A6559">
        <v>6558</v>
      </c>
      <c r="B6559" s="27" t="s">
        <v>20808</v>
      </c>
      <c r="D6559" s="27" t="s">
        <v>1800</v>
      </c>
      <c r="F6559" s="27" t="s">
        <v>1801</v>
      </c>
      <c r="H6559" s="27" t="s">
        <v>1802</v>
      </c>
      <c r="J6559" s="27" t="s">
        <v>1803</v>
      </c>
      <c r="L6559" s="27" t="s">
        <v>373</v>
      </c>
      <c r="N6559" s="27" t="s">
        <v>21025</v>
      </c>
      <c r="P6559" s="27" t="s">
        <v>21026</v>
      </c>
      <c r="Q6559" s="26" t="str">
        <f>HYPERLINK("https://ictv.global/taxonomy/taxondetails?taxnode_id=202521995&amp;ictv_id=ICTV202521995","ICTV202521995")</f>
        <v>ICTV202521995</v>
      </c>
      <c r="R6559" t="s">
        <v>664</v>
      </c>
      <c r="S6559" t="s">
        <v>823</v>
      </c>
      <c r="T6559">
        <v>41</v>
      </c>
      <c r="U6559" s="26" t="str">
        <f t="shared" si="265"/>
        <v>2024.035B.Tubulavirales_34ng_49ns.zip</v>
      </c>
    </row>
    <row r="6560" spans="1:21">
      <c r="A6560">
        <v>6559</v>
      </c>
      <c r="B6560" s="27" t="s">
        <v>20808</v>
      </c>
      <c r="D6560" s="27" t="s">
        <v>1800</v>
      </c>
      <c r="F6560" s="27" t="s">
        <v>1801</v>
      </c>
      <c r="H6560" s="27" t="s">
        <v>1802</v>
      </c>
      <c r="J6560" s="27" t="s">
        <v>1803</v>
      </c>
      <c r="L6560" s="27" t="s">
        <v>373</v>
      </c>
      <c r="N6560" s="27" t="s">
        <v>21061</v>
      </c>
      <c r="P6560" s="27" t="s">
        <v>21062</v>
      </c>
      <c r="Q6560" s="26" t="str">
        <f>HYPERLINK("https://ictv.global/taxonomy/taxondetails?taxnode_id=202522017&amp;ictv_id=ICTV202522017","ICTV202522017")</f>
        <v>ICTV202522017</v>
      </c>
      <c r="R6560" t="s">
        <v>664</v>
      </c>
      <c r="S6560" t="s">
        <v>823</v>
      </c>
      <c r="T6560">
        <v>41</v>
      </c>
      <c r="U6560" s="26" t="str">
        <f t="shared" si="265"/>
        <v>2024.035B.Tubulavirales_34ng_49ns.zip</v>
      </c>
    </row>
    <row r="6561" spans="1:21">
      <c r="A6561">
        <v>6560</v>
      </c>
      <c r="B6561" s="27" t="s">
        <v>20808</v>
      </c>
      <c r="D6561" s="27" t="s">
        <v>1800</v>
      </c>
      <c r="F6561" s="27" t="s">
        <v>1801</v>
      </c>
      <c r="H6561" s="27" t="s">
        <v>1802</v>
      </c>
      <c r="J6561" s="27" t="s">
        <v>1803</v>
      </c>
      <c r="L6561" s="27" t="s">
        <v>373</v>
      </c>
      <c r="N6561" s="27" t="s">
        <v>21041</v>
      </c>
      <c r="P6561" s="27" t="s">
        <v>21043</v>
      </c>
      <c r="Q6561" s="26" t="str">
        <f>HYPERLINK("https://ictv.global/taxonomy/taxondetails?taxnode_id=202522007&amp;ictv_id=ICTV202522007","ICTV202522007")</f>
        <v>ICTV202522007</v>
      </c>
      <c r="R6561" t="s">
        <v>664</v>
      </c>
      <c r="S6561" t="s">
        <v>823</v>
      </c>
      <c r="T6561">
        <v>41</v>
      </c>
      <c r="U6561" s="26" t="str">
        <f t="shared" si="265"/>
        <v>2024.035B.Tubulavirales_34ng_49ns.zip</v>
      </c>
    </row>
    <row r="6562" spans="1:21">
      <c r="A6562">
        <v>6561</v>
      </c>
      <c r="B6562" s="27" t="s">
        <v>20808</v>
      </c>
      <c r="D6562" s="27" t="s">
        <v>1800</v>
      </c>
      <c r="F6562" s="27" t="s">
        <v>1801</v>
      </c>
      <c r="H6562" s="27" t="s">
        <v>1802</v>
      </c>
      <c r="J6562" s="27" t="s">
        <v>1803</v>
      </c>
      <c r="L6562" s="27" t="s">
        <v>373</v>
      </c>
      <c r="N6562" s="27" t="s">
        <v>21041</v>
      </c>
      <c r="P6562" s="27" t="s">
        <v>21042</v>
      </c>
      <c r="Q6562" s="26" t="str">
        <f>HYPERLINK("https://ictv.global/taxonomy/taxondetails?taxnode_id=202522006&amp;ictv_id=ICTV202522006","ICTV202522006")</f>
        <v>ICTV202522006</v>
      </c>
      <c r="R6562" t="s">
        <v>664</v>
      </c>
      <c r="S6562" t="s">
        <v>823</v>
      </c>
      <c r="T6562">
        <v>41</v>
      </c>
      <c r="U6562" s="26" t="str">
        <f t="shared" si="265"/>
        <v>2024.035B.Tubulavirales_34ng_49ns.zip</v>
      </c>
    </row>
    <row r="6563" spans="1:21">
      <c r="A6563">
        <v>6562</v>
      </c>
      <c r="B6563" s="27" t="s">
        <v>20808</v>
      </c>
      <c r="D6563" s="27" t="s">
        <v>1800</v>
      </c>
      <c r="F6563" s="27" t="s">
        <v>1801</v>
      </c>
      <c r="H6563" s="27" t="s">
        <v>1802</v>
      </c>
      <c r="J6563" s="27" t="s">
        <v>1803</v>
      </c>
      <c r="L6563" s="27" t="s">
        <v>373</v>
      </c>
      <c r="N6563" s="27" t="s">
        <v>21021</v>
      </c>
      <c r="P6563" s="27" t="s">
        <v>21022</v>
      </c>
      <c r="Q6563" s="26" t="str">
        <f>HYPERLINK("https://ictv.global/taxonomy/taxondetails?taxnode_id=202521993&amp;ictv_id=ICTV202521993","ICTV202521993")</f>
        <v>ICTV202521993</v>
      </c>
      <c r="R6563" t="s">
        <v>664</v>
      </c>
      <c r="S6563" t="s">
        <v>823</v>
      </c>
      <c r="T6563">
        <v>41</v>
      </c>
      <c r="U6563" s="26" t="str">
        <f t="shared" si="265"/>
        <v>2024.035B.Tubulavirales_34ng_49ns.zip</v>
      </c>
    </row>
    <row r="6564" spans="1:21">
      <c r="A6564">
        <v>6563</v>
      </c>
      <c r="B6564" s="27" t="s">
        <v>20808</v>
      </c>
      <c r="D6564" s="27" t="s">
        <v>1800</v>
      </c>
      <c r="F6564" s="27" t="s">
        <v>1801</v>
      </c>
      <c r="H6564" s="27" t="s">
        <v>1802</v>
      </c>
      <c r="J6564" s="27" t="s">
        <v>1803</v>
      </c>
      <c r="L6564" s="27" t="s">
        <v>373</v>
      </c>
      <c r="N6564" s="27" t="s">
        <v>1804</v>
      </c>
      <c r="P6564" s="27" t="s">
        <v>8200</v>
      </c>
      <c r="Q6564" s="26" t="str">
        <f>HYPERLINK("https://ictv.global/taxonomy/taxondetails?taxnode_id=202503715&amp;ictv_id=ICTV19991040","ICTV19991040")</f>
        <v>ICTV19991040</v>
      </c>
      <c r="R6564" t="s">
        <v>660</v>
      </c>
      <c r="S6564" t="s">
        <v>22763</v>
      </c>
      <c r="T6564">
        <v>41</v>
      </c>
      <c r="U6564" s="26" t="str">
        <f>HYPERLINK("https://ictv.global/ictv/proposals/2025.002G.Monodnaviria_reorg_4nr.zip","2025.002G.Monodnaviria_reorg_4nr.zip")</f>
        <v>2025.002G.Monodnaviria_reorg_4nr.zip</v>
      </c>
    </row>
    <row r="6565" spans="1:21">
      <c r="A6565">
        <v>6564</v>
      </c>
      <c r="B6565" s="27" t="s">
        <v>20808</v>
      </c>
      <c r="D6565" s="27" t="s">
        <v>1800</v>
      </c>
      <c r="F6565" s="27" t="s">
        <v>1801</v>
      </c>
      <c r="H6565" s="27" t="s">
        <v>1802</v>
      </c>
      <c r="J6565" s="27" t="s">
        <v>1803</v>
      </c>
      <c r="L6565" s="27" t="s">
        <v>373</v>
      </c>
      <c r="N6565" s="27" t="s">
        <v>1804</v>
      </c>
      <c r="P6565" s="27" t="s">
        <v>8201</v>
      </c>
      <c r="Q6565" s="26" t="str">
        <f>HYPERLINK("https://ictv.global/taxonomy/taxondetails?taxnode_id=202512621&amp;ictv_id=ICTV202112621","ICTV202112621")</f>
        <v>ICTV202112621</v>
      </c>
      <c r="R6565" t="s">
        <v>660</v>
      </c>
      <c r="S6565" t="s">
        <v>22763</v>
      </c>
      <c r="T6565">
        <v>41</v>
      </c>
      <c r="U6565" s="26" t="str">
        <f>HYPERLINK("https://ictv.global/ictv/proposals/2025.002G.Monodnaviria_reorg_4nr.zip","2025.002G.Monodnaviria_reorg_4nr.zip")</f>
        <v>2025.002G.Monodnaviria_reorg_4nr.zip</v>
      </c>
    </row>
    <row r="6566" spans="1:21">
      <c r="A6566">
        <v>6565</v>
      </c>
      <c r="B6566" s="27" t="s">
        <v>20808</v>
      </c>
      <c r="D6566" s="27" t="s">
        <v>1800</v>
      </c>
      <c r="F6566" s="27" t="s">
        <v>1801</v>
      </c>
      <c r="H6566" s="27" t="s">
        <v>1802</v>
      </c>
      <c r="J6566" s="27" t="s">
        <v>1803</v>
      </c>
      <c r="L6566" s="27" t="s">
        <v>373</v>
      </c>
      <c r="N6566" s="27" t="s">
        <v>1804</v>
      </c>
      <c r="P6566" s="27" t="s">
        <v>8202</v>
      </c>
      <c r="Q6566" s="26" t="str">
        <f>HYPERLINK("https://ictv.global/taxonomy/taxondetails?taxnode_id=202512622&amp;ictv_id=ICTV202112622","ICTV202112622")</f>
        <v>ICTV202112622</v>
      </c>
      <c r="R6566" t="s">
        <v>660</v>
      </c>
      <c r="S6566" t="s">
        <v>22763</v>
      </c>
      <c r="T6566">
        <v>41</v>
      </c>
      <c r="U6566" s="26" t="str">
        <f>HYPERLINK("https://ictv.global/ictv/proposals/2025.002G.Monodnaviria_reorg_4nr.zip","2025.002G.Monodnaviria_reorg_4nr.zip")</f>
        <v>2025.002G.Monodnaviria_reorg_4nr.zip</v>
      </c>
    </row>
    <row r="6567" spans="1:21">
      <c r="A6567">
        <v>6566</v>
      </c>
      <c r="B6567" s="27" t="s">
        <v>20808</v>
      </c>
      <c r="D6567" s="27" t="s">
        <v>1800</v>
      </c>
      <c r="F6567" s="27" t="s">
        <v>1801</v>
      </c>
      <c r="H6567" s="27" t="s">
        <v>1802</v>
      </c>
      <c r="J6567" s="27" t="s">
        <v>1803</v>
      </c>
      <c r="L6567" s="27" t="s">
        <v>373</v>
      </c>
      <c r="N6567" s="27" t="s">
        <v>21013</v>
      </c>
      <c r="P6567" s="27" t="s">
        <v>21014</v>
      </c>
      <c r="Q6567" s="26" t="str">
        <f>HYPERLINK("https://ictv.global/taxonomy/taxondetails?taxnode_id=202521987&amp;ictv_id=ICTV202521987","ICTV202521987")</f>
        <v>ICTV202521987</v>
      </c>
      <c r="R6567" t="s">
        <v>664</v>
      </c>
      <c r="S6567" t="s">
        <v>823</v>
      </c>
      <c r="T6567">
        <v>41</v>
      </c>
      <c r="U6567" s="26" t="str">
        <f>HYPERLINK("https://ictv.global/ictv/proposals/2024.035B.Tubulavirales_34ng_49ns.zip","2024.035B.Tubulavirales_34ng_49ns.zip")</f>
        <v>2024.035B.Tubulavirales_34ng_49ns.zip</v>
      </c>
    </row>
    <row r="6568" spans="1:21">
      <c r="A6568">
        <v>6567</v>
      </c>
      <c r="B6568" s="27" t="s">
        <v>20808</v>
      </c>
      <c r="D6568" s="27" t="s">
        <v>1800</v>
      </c>
      <c r="F6568" s="27" t="s">
        <v>1801</v>
      </c>
      <c r="H6568" s="27" t="s">
        <v>1802</v>
      </c>
      <c r="J6568" s="27" t="s">
        <v>1803</v>
      </c>
      <c r="L6568" s="27" t="s">
        <v>373</v>
      </c>
      <c r="N6568" s="27" t="s">
        <v>21013</v>
      </c>
      <c r="P6568" s="27" t="s">
        <v>21015</v>
      </c>
      <c r="Q6568" s="26" t="str">
        <f>HYPERLINK("https://ictv.global/taxonomy/taxondetails?taxnode_id=202521988&amp;ictv_id=ICTV202521988","ICTV202521988")</f>
        <v>ICTV202521988</v>
      </c>
      <c r="R6568" t="s">
        <v>664</v>
      </c>
      <c r="S6568" t="s">
        <v>823</v>
      </c>
      <c r="T6568">
        <v>41</v>
      </c>
      <c r="U6568" s="26" t="str">
        <f>HYPERLINK("https://ictv.global/ictv/proposals/2024.035B.Tubulavirales_34ng_49ns.zip","2024.035B.Tubulavirales_34ng_49ns.zip")</f>
        <v>2024.035B.Tubulavirales_34ng_49ns.zip</v>
      </c>
    </row>
    <row r="6569" spans="1:21">
      <c r="A6569">
        <v>6568</v>
      </c>
      <c r="B6569" s="27" t="s">
        <v>20808</v>
      </c>
      <c r="D6569" s="27" t="s">
        <v>1800</v>
      </c>
      <c r="F6569" s="27" t="s">
        <v>1801</v>
      </c>
      <c r="H6569" s="27" t="s">
        <v>1802</v>
      </c>
      <c r="J6569" s="27" t="s">
        <v>1803</v>
      </c>
      <c r="L6569" s="27" t="s">
        <v>373</v>
      </c>
      <c r="N6569" s="27" t="s">
        <v>21013</v>
      </c>
      <c r="P6569" s="27" t="s">
        <v>21016</v>
      </c>
      <c r="Q6569" s="26" t="str">
        <f>HYPERLINK("https://ictv.global/taxonomy/taxondetails?taxnode_id=202521989&amp;ictv_id=ICTV202521989","ICTV202521989")</f>
        <v>ICTV202521989</v>
      </c>
      <c r="R6569" t="s">
        <v>664</v>
      </c>
      <c r="S6569" t="s">
        <v>823</v>
      </c>
      <c r="T6569">
        <v>41</v>
      </c>
      <c r="U6569" s="26" t="str">
        <f>HYPERLINK("https://ictv.global/ictv/proposals/2024.035B.Tubulavirales_34ng_49ns.zip","2024.035B.Tubulavirales_34ng_49ns.zip")</f>
        <v>2024.035B.Tubulavirales_34ng_49ns.zip</v>
      </c>
    </row>
    <row r="6570" spans="1:21">
      <c r="A6570">
        <v>6569</v>
      </c>
      <c r="B6570" s="27" t="s">
        <v>20808</v>
      </c>
      <c r="D6570" s="27" t="s">
        <v>1800</v>
      </c>
      <c r="F6570" s="27" t="s">
        <v>1801</v>
      </c>
      <c r="H6570" s="27" t="s">
        <v>1802</v>
      </c>
      <c r="J6570" s="27" t="s">
        <v>1803</v>
      </c>
      <c r="L6570" s="27" t="s">
        <v>373</v>
      </c>
      <c r="N6570" s="27" t="s">
        <v>12245</v>
      </c>
      <c r="P6570" s="27" t="s">
        <v>12246</v>
      </c>
      <c r="Q6570" s="26" t="str">
        <f>HYPERLINK("https://ictv.global/taxonomy/taxondetails?taxnode_id=202519390&amp;ictv_id=ICTV202319390","ICTV202319390")</f>
        <v>ICTV202319390</v>
      </c>
      <c r="R6570" t="s">
        <v>664</v>
      </c>
      <c r="S6570" t="s">
        <v>22763</v>
      </c>
      <c r="T6570">
        <v>41</v>
      </c>
      <c r="U6570" s="26" t="str">
        <f>HYPERLINK("https://ictv.global/ictv/proposals/2025.002G.Monodnaviria_reorg_4nr.zip","2025.002G.Monodnaviria_reorg_4nr.zip")</f>
        <v>2025.002G.Monodnaviria_reorg_4nr.zip</v>
      </c>
    </row>
    <row r="6571" spans="1:21">
      <c r="A6571">
        <v>6570</v>
      </c>
      <c r="B6571" s="27" t="s">
        <v>20808</v>
      </c>
      <c r="D6571" s="27" t="s">
        <v>1800</v>
      </c>
      <c r="F6571" s="27" t="s">
        <v>1801</v>
      </c>
      <c r="H6571" s="27" t="s">
        <v>1802</v>
      </c>
      <c r="J6571" s="27" t="s">
        <v>1803</v>
      </c>
      <c r="L6571" s="27" t="s">
        <v>373</v>
      </c>
      <c r="N6571" s="27" t="s">
        <v>21023</v>
      </c>
      <c r="P6571" s="27" t="s">
        <v>21024</v>
      </c>
      <c r="Q6571" s="26" t="str">
        <f>HYPERLINK("https://ictv.global/taxonomy/taxondetails?taxnode_id=202521994&amp;ictv_id=ICTV202521994","ICTV202521994")</f>
        <v>ICTV202521994</v>
      </c>
      <c r="R6571" t="s">
        <v>664</v>
      </c>
      <c r="S6571" t="s">
        <v>823</v>
      </c>
      <c r="T6571">
        <v>41</v>
      </c>
      <c r="U6571" s="26" t="str">
        <f>HYPERLINK("https://ictv.global/ictv/proposals/2024.035B.Tubulavirales_34ng_49ns.zip","2024.035B.Tubulavirales_34ng_49ns.zip")</f>
        <v>2024.035B.Tubulavirales_34ng_49ns.zip</v>
      </c>
    </row>
    <row r="6572" spans="1:21">
      <c r="A6572">
        <v>6571</v>
      </c>
      <c r="B6572" s="27" t="s">
        <v>20808</v>
      </c>
      <c r="D6572" s="27" t="s">
        <v>1800</v>
      </c>
      <c r="F6572" s="27" t="s">
        <v>1801</v>
      </c>
      <c r="H6572" s="27" t="s">
        <v>1802</v>
      </c>
      <c r="J6572" s="27" t="s">
        <v>1803</v>
      </c>
      <c r="L6572" s="27" t="s">
        <v>373</v>
      </c>
      <c r="N6572" s="27" t="s">
        <v>21044</v>
      </c>
      <c r="P6572" s="27" t="s">
        <v>21045</v>
      </c>
      <c r="Q6572" s="26" t="str">
        <f>HYPERLINK("https://ictv.global/taxonomy/taxondetails?taxnode_id=202522008&amp;ictv_id=ICTV202522008","ICTV202522008")</f>
        <v>ICTV202522008</v>
      </c>
      <c r="R6572" t="s">
        <v>664</v>
      </c>
      <c r="S6572" t="s">
        <v>823</v>
      </c>
      <c r="T6572">
        <v>41</v>
      </c>
      <c r="U6572" s="26" t="str">
        <f>HYPERLINK("https://ictv.global/ictv/proposals/2024.035B.Tubulavirales_34ng_49ns.zip","2024.035B.Tubulavirales_34ng_49ns.zip")</f>
        <v>2024.035B.Tubulavirales_34ng_49ns.zip</v>
      </c>
    </row>
    <row r="6573" spans="1:21">
      <c r="A6573">
        <v>6572</v>
      </c>
      <c r="B6573" s="27" t="s">
        <v>20808</v>
      </c>
      <c r="D6573" s="27" t="s">
        <v>1800</v>
      </c>
      <c r="F6573" s="27" t="s">
        <v>1801</v>
      </c>
      <c r="H6573" s="27" t="s">
        <v>1802</v>
      </c>
      <c r="J6573" s="27" t="s">
        <v>1803</v>
      </c>
      <c r="L6573" s="27" t="s">
        <v>373</v>
      </c>
      <c r="N6573" s="27" t="s">
        <v>21044</v>
      </c>
      <c r="P6573" s="27" t="s">
        <v>21046</v>
      </c>
      <c r="Q6573" s="26" t="str">
        <f>HYPERLINK("https://ictv.global/taxonomy/taxondetails?taxnode_id=202522009&amp;ictv_id=ICTV202522009","ICTV202522009")</f>
        <v>ICTV202522009</v>
      </c>
      <c r="R6573" t="s">
        <v>664</v>
      </c>
      <c r="S6573" t="s">
        <v>823</v>
      </c>
      <c r="T6573">
        <v>41</v>
      </c>
      <c r="U6573" s="26" t="str">
        <f>HYPERLINK("https://ictv.global/ictv/proposals/2024.035B.Tubulavirales_34ng_49ns.zip","2024.035B.Tubulavirales_34ng_49ns.zip")</f>
        <v>2024.035B.Tubulavirales_34ng_49ns.zip</v>
      </c>
    </row>
    <row r="6574" spans="1:21">
      <c r="A6574">
        <v>6573</v>
      </c>
      <c r="B6574" s="27" t="s">
        <v>20808</v>
      </c>
      <c r="D6574" s="27" t="s">
        <v>1800</v>
      </c>
      <c r="F6574" s="27" t="s">
        <v>1801</v>
      </c>
      <c r="H6574" s="27" t="s">
        <v>1802</v>
      </c>
      <c r="J6574" s="27" t="s">
        <v>1803</v>
      </c>
      <c r="L6574" s="27" t="s">
        <v>373</v>
      </c>
      <c r="N6574" s="27" t="s">
        <v>1806</v>
      </c>
      <c r="P6574" s="27" t="s">
        <v>8203</v>
      </c>
      <c r="Q6574" s="26" t="str">
        <f>HYPERLINK("https://ictv.global/taxonomy/taxondetails?taxnode_id=202503716&amp;ictv_id=ICTV20165400","ICTV20165400")</f>
        <v>ICTV20165400</v>
      </c>
      <c r="R6574" t="s">
        <v>664</v>
      </c>
      <c r="S6574" t="s">
        <v>22763</v>
      </c>
      <c r="T6574">
        <v>41</v>
      </c>
      <c r="U6574" s="26" t="str">
        <f>HYPERLINK("https://ictv.global/ictv/proposals/2025.002G.Monodnaviria_reorg_4nr.zip","2025.002G.Monodnaviria_reorg_4nr.zip")</f>
        <v>2025.002G.Monodnaviria_reorg_4nr.zip</v>
      </c>
    </row>
    <row r="6575" spans="1:21">
      <c r="A6575">
        <v>6574</v>
      </c>
      <c r="B6575" s="27" t="s">
        <v>20808</v>
      </c>
      <c r="D6575" s="27" t="s">
        <v>1800</v>
      </c>
      <c r="F6575" s="27" t="s">
        <v>1801</v>
      </c>
      <c r="H6575" s="27" t="s">
        <v>1802</v>
      </c>
      <c r="J6575" s="27" t="s">
        <v>1803</v>
      </c>
      <c r="L6575" s="27" t="s">
        <v>373</v>
      </c>
      <c r="N6575" s="27" t="s">
        <v>21067</v>
      </c>
      <c r="P6575" s="27" t="s">
        <v>21068</v>
      </c>
      <c r="Q6575" s="26" t="str">
        <f>HYPERLINK("https://ictv.global/taxonomy/taxondetails?taxnode_id=202522020&amp;ictv_id=ICTV202522020","ICTV202522020")</f>
        <v>ICTV202522020</v>
      </c>
      <c r="R6575" t="s">
        <v>664</v>
      </c>
      <c r="S6575" t="s">
        <v>823</v>
      </c>
      <c r="T6575">
        <v>41</v>
      </c>
      <c r="U6575" s="26" t="str">
        <f>HYPERLINK("https://ictv.global/ictv/proposals/2024.035B.Tubulavirales_34ng_49ns.zip","2024.035B.Tubulavirales_34ng_49ns.zip")</f>
        <v>2024.035B.Tubulavirales_34ng_49ns.zip</v>
      </c>
    </row>
    <row r="6576" spans="1:21">
      <c r="A6576">
        <v>6575</v>
      </c>
      <c r="B6576" s="27" t="s">
        <v>20808</v>
      </c>
      <c r="D6576" s="27" t="s">
        <v>1800</v>
      </c>
      <c r="F6576" s="27" t="s">
        <v>1801</v>
      </c>
      <c r="H6576" s="27" t="s">
        <v>1802</v>
      </c>
      <c r="J6576" s="27" t="s">
        <v>1803</v>
      </c>
      <c r="L6576" s="27" t="s">
        <v>373</v>
      </c>
      <c r="N6576" s="27" t="s">
        <v>21070</v>
      </c>
      <c r="P6576" s="27" t="s">
        <v>21071</v>
      </c>
      <c r="Q6576" s="26" t="str">
        <f>HYPERLINK("https://ictv.global/taxonomy/taxondetails?taxnode_id=202522022&amp;ictv_id=ICTV202522022","ICTV202522022")</f>
        <v>ICTV202522022</v>
      </c>
      <c r="R6576" t="s">
        <v>664</v>
      </c>
      <c r="S6576" t="s">
        <v>823</v>
      </c>
      <c r="T6576">
        <v>41</v>
      </c>
      <c r="U6576" s="26" t="str">
        <f>HYPERLINK("https://ictv.global/ictv/proposals/2024.035B.Tubulavirales_34ng_49ns.zip","2024.035B.Tubulavirales_34ng_49ns.zip")</f>
        <v>2024.035B.Tubulavirales_34ng_49ns.zip</v>
      </c>
    </row>
    <row r="6577" spans="1:21">
      <c r="A6577">
        <v>6576</v>
      </c>
      <c r="B6577" s="27" t="s">
        <v>20808</v>
      </c>
      <c r="D6577" s="27" t="s">
        <v>1800</v>
      </c>
      <c r="F6577" s="27" t="s">
        <v>1801</v>
      </c>
      <c r="H6577" s="27" t="s">
        <v>1802</v>
      </c>
      <c r="J6577" s="27" t="s">
        <v>1803</v>
      </c>
      <c r="L6577" s="27" t="s">
        <v>373</v>
      </c>
      <c r="N6577" s="27" t="s">
        <v>1807</v>
      </c>
      <c r="P6577" s="27" t="s">
        <v>8204</v>
      </c>
      <c r="Q6577" s="26" t="str">
        <f>HYPERLINK("https://ictv.global/taxonomy/taxondetails?taxnode_id=202503720&amp;ictv_id=ICTV19991048","ICTV19991048")</f>
        <v>ICTV19991048</v>
      </c>
      <c r="R6577" t="s">
        <v>660</v>
      </c>
      <c r="S6577" t="s">
        <v>22763</v>
      </c>
      <c r="T6577">
        <v>41</v>
      </c>
      <c r="U6577" s="26" t="str">
        <f>HYPERLINK("https://ictv.global/ictv/proposals/2025.002G.Monodnaviria_reorg_4nr.zip","2025.002G.Monodnaviria_reorg_4nr.zip")</f>
        <v>2025.002G.Monodnaviria_reorg_4nr.zip</v>
      </c>
    </row>
    <row r="6578" spans="1:21">
      <c r="A6578">
        <v>6577</v>
      </c>
      <c r="B6578" s="27" t="s">
        <v>20808</v>
      </c>
      <c r="D6578" s="27" t="s">
        <v>1800</v>
      </c>
      <c r="F6578" s="27" t="s">
        <v>1801</v>
      </c>
      <c r="H6578" s="27" t="s">
        <v>1802</v>
      </c>
      <c r="J6578" s="27" t="s">
        <v>1803</v>
      </c>
      <c r="L6578" s="27" t="s">
        <v>373</v>
      </c>
      <c r="N6578" s="27" t="s">
        <v>21017</v>
      </c>
      <c r="P6578" s="27" t="s">
        <v>21018</v>
      </c>
      <c r="Q6578" s="26" t="str">
        <f>HYPERLINK("https://ictv.global/taxonomy/taxondetails?taxnode_id=202521990&amp;ictv_id=ICTV202521990","ICTV202521990")</f>
        <v>ICTV202521990</v>
      </c>
      <c r="R6578" t="s">
        <v>664</v>
      </c>
      <c r="S6578" t="s">
        <v>823</v>
      </c>
      <c r="T6578">
        <v>41</v>
      </c>
      <c r="U6578" s="26" t="str">
        <f>HYPERLINK("https://ictv.global/ictv/proposals/2024.035B.Tubulavirales_34ng_49ns.zip","2024.035B.Tubulavirales_34ng_49ns.zip")</f>
        <v>2024.035B.Tubulavirales_34ng_49ns.zip</v>
      </c>
    </row>
    <row r="6579" spans="1:21">
      <c r="A6579">
        <v>6578</v>
      </c>
      <c r="B6579" s="27" t="s">
        <v>20808</v>
      </c>
      <c r="D6579" s="27" t="s">
        <v>1800</v>
      </c>
      <c r="F6579" s="27" t="s">
        <v>1801</v>
      </c>
      <c r="H6579" s="27" t="s">
        <v>1802</v>
      </c>
      <c r="J6579" s="27" t="s">
        <v>1803</v>
      </c>
      <c r="L6579" s="27" t="s">
        <v>373</v>
      </c>
      <c r="N6579" s="27" t="s">
        <v>21017</v>
      </c>
      <c r="P6579" s="27" t="s">
        <v>21019</v>
      </c>
      <c r="Q6579" s="26" t="str">
        <f>HYPERLINK("https://ictv.global/taxonomy/taxondetails?taxnode_id=202521991&amp;ictv_id=ICTV202521991","ICTV202521991")</f>
        <v>ICTV202521991</v>
      </c>
      <c r="R6579" t="s">
        <v>664</v>
      </c>
      <c r="S6579" t="s">
        <v>823</v>
      </c>
      <c r="T6579">
        <v>41</v>
      </c>
      <c r="U6579" s="26" t="str">
        <f>HYPERLINK("https://ictv.global/ictv/proposals/2024.035B.Tubulavirales_34ng_49ns.zip","2024.035B.Tubulavirales_34ng_49ns.zip")</f>
        <v>2024.035B.Tubulavirales_34ng_49ns.zip</v>
      </c>
    </row>
    <row r="6580" spans="1:21">
      <c r="A6580">
        <v>6579</v>
      </c>
      <c r="B6580" s="27" t="s">
        <v>20808</v>
      </c>
      <c r="D6580" s="27" t="s">
        <v>1800</v>
      </c>
      <c r="F6580" s="27" t="s">
        <v>1801</v>
      </c>
      <c r="H6580" s="27" t="s">
        <v>1802</v>
      </c>
      <c r="J6580" s="27" t="s">
        <v>1803</v>
      </c>
      <c r="L6580" s="27" t="s">
        <v>373</v>
      </c>
      <c r="N6580" s="27" t="s">
        <v>21017</v>
      </c>
      <c r="P6580" s="27" t="s">
        <v>21020</v>
      </c>
      <c r="Q6580" s="26" t="str">
        <f>HYPERLINK("https://ictv.global/taxonomy/taxondetails?taxnode_id=202521992&amp;ictv_id=ICTV202521992","ICTV202521992")</f>
        <v>ICTV202521992</v>
      </c>
      <c r="R6580" t="s">
        <v>664</v>
      </c>
      <c r="S6580" t="s">
        <v>823</v>
      </c>
      <c r="T6580">
        <v>41</v>
      </c>
      <c r="U6580" s="26" t="str">
        <f>HYPERLINK("https://ictv.global/ictv/proposals/2024.035B.Tubulavirales_34ng_49ns.zip","2024.035B.Tubulavirales_34ng_49ns.zip")</f>
        <v>2024.035B.Tubulavirales_34ng_49ns.zip</v>
      </c>
    </row>
    <row r="6581" spans="1:21">
      <c r="A6581">
        <v>6580</v>
      </c>
      <c r="B6581" s="27" t="s">
        <v>20808</v>
      </c>
      <c r="D6581" s="27" t="s">
        <v>1800</v>
      </c>
      <c r="F6581" s="27" t="s">
        <v>1801</v>
      </c>
      <c r="H6581" s="27" t="s">
        <v>1802</v>
      </c>
      <c r="J6581" s="27" t="s">
        <v>1803</v>
      </c>
      <c r="L6581" s="27" t="s">
        <v>373</v>
      </c>
      <c r="N6581" s="27" t="s">
        <v>21008</v>
      </c>
      <c r="P6581" s="27" t="s">
        <v>21009</v>
      </c>
      <c r="Q6581" s="26" t="str">
        <f>HYPERLINK("https://ictv.global/taxonomy/taxondetails?taxnode_id=202521984&amp;ictv_id=ICTV202521984","ICTV202521984")</f>
        <v>ICTV202521984</v>
      </c>
      <c r="R6581" t="s">
        <v>664</v>
      </c>
      <c r="S6581" t="s">
        <v>823</v>
      </c>
      <c r="T6581">
        <v>41</v>
      </c>
      <c r="U6581" s="26" t="str">
        <f>HYPERLINK("https://ictv.global/ictv/proposals/2024.035B.Tubulavirales_34ng_49ns.zip","2024.035B.Tubulavirales_34ng_49ns.zip")</f>
        <v>2024.035B.Tubulavirales_34ng_49ns.zip</v>
      </c>
    </row>
    <row r="6582" spans="1:21">
      <c r="A6582">
        <v>6581</v>
      </c>
      <c r="B6582" s="27" t="s">
        <v>20808</v>
      </c>
      <c r="D6582" s="27" t="s">
        <v>1800</v>
      </c>
      <c r="F6582" s="27" t="s">
        <v>1801</v>
      </c>
      <c r="H6582" s="27" t="s">
        <v>1802</v>
      </c>
      <c r="J6582" s="27" t="s">
        <v>1803</v>
      </c>
      <c r="L6582" s="27" t="s">
        <v>373</v>
      </c>
      <c r="N6582" s="27" t="s">
        <v>21008</v>
      </c>
      <c r="P6582" s="27" t="s">
        <v>21010</v>
      </c>
      <c r="Q6582" s="26" t="str">
        <f>HYPERLINK("https://ictv.global/taxonomy/taxondetails?taxnode_id=202521985&amp;ictv_id=ICTV202521985","ICTV202521985")</f>
        <v>ICTV202521985</v>
      </c>
      <c r="R6582" t="s">
        <v>664</v>
      </c>
      <c r="S6582" t="s">
        <v>823</v>
      </c>
      <c r="T6582">
        <v>41</v>
      </c>
      <c r="U6582" s="26" t="str">
        <f>HYPERLINK("https://ictv.global/ictv/proposals/2024.035B.Tubulavirales_34ng_49ns.zip","2024.035B.Tubulavirales_34ng_49ns.zip")</f>
        <v>2024.035B.Tubulavirales_34ng_49ns.zip</v>
      </c>
    </row>
    <row r="6583" spans="1:21">
      <c r="A6583">
        <v>6582</v>
      </c>
      <c r="B6583" s="27" t="s">
        <v>20808</v>
      </c>
      <c r="D6583" s="27" t="s">
        <v>1800</v>
      </c>
      <c r="F6583" s="27" t="s">
        <v>1801</v>
      </c>
      <c r="H6583" s="27" t="s">
        <v>1802</v>
      </c>
      <c r="J6583" s="27" t="s">
        <v>1803</v>
      </c>
      <c r="L6583" s="27" t="s">
        <v>373</v>
      </c>
      <c r="N6583" s="27" t="s">
        <v>745</v>
      </c>
      <c r="P6583" s="27" t="s">
        <v>8205</v>
      </c>
      <c r="Q6583" s="26" t="str">
        <f>HYPERLINK("https://ictv.global/taxonomy/taxondetails?taxnode_id=202503687&amp;ictv_id=ICTV19991041","ICTV19991041")</f>
        <v>ICTV19991041</v>
      </c>
      <c r="R6583" t="s">
        <v>582</v>
      </c>
      <c r="S6583" t="s">
        <v>22763</v>
      </c>
      <c r="T6583">
        <v>41</v>
      </c>
      <c r="U6583" s="26" t="str">
        <f>HYPERLINK("https://ictv.global/ictv/proposals/2025.002G.Monodnaviria_reorg_4nr.zip","2025.002G.Monodnaviria_reorg_4nr.zip")</f>
        <v>2025.002G.Monodnaviria_reorg_4nr.zip</v>
      </c>
    </row>
    <row r="6584" spans="1:21">
      <c r="A6584">
        <v>6583</v>
      </c>
      <c r="B6584" s="27" t="s">
        <v>20808</v>
      </c>
      <c r="D6584" s="27" t="s">
        <v>1800</v>
      </c>
      <c r="F6584" s="27" t="s">
        <v>1801</v>
      </c>
      <c r="H6584" s="27" t="s">
        <v>1802</v>
      </c>
      <c r="J6584" s="27" t="s">
        <v>1803</v>
      </c>
      <c r="L6584" s="27" t="s">
        <v>373</v>
      </c>
      <c r="N6584" s="27" t="s">
        <v>745</v>
      </c>
      <c r="P6584" s="27" t="s">
        <v>8206</v>
      </c>
      <c r="Q6584" s="26" t="str">
        <f>HYPERLINK("https://ictv.global/taxonomy/taxondetails?taxnode_id=202503688&amp;ictv_id=ICTV20165387","ICTV20165387")</f>
        <v>ICTV20165387</v>
      </c>
      <c r="R6584" t="s">
        <v>660</v>
      </c>
      <c r="S6584" t="s">
        <v>22763</v>
      </c>
      <c r="T6584">
        <v>41</v>
      </c>
      <c r="U6584" s="26" t="str">
        <f>HYPERLINK("https://ictv.global/ictv/proposals/2025.002G.Monodnaviria_reorg_4nr.zip","2025.002G.Monodnaviria_reorg_4nr.zip")</f>
        <v>2025.002G.Monodnaviria_reorg_4nr.zip</v>
      </c>
    </row>
    <row r="6585" spans="1:21">
      <c r="A6585">
        <v>6584</v>
      </c>
      <c r="B6585" s="27" t="s">
        <v>20808</v>
      </c>
      <c r="D6585" s="27" t="s">
        <v>1800</v>
      </c>
      <c r="F6585" s="27" t="s">
        <v>1801</v>
      </c>
      <c r="H6585" s="27" t="s">
        <v>1802</v>
      </c>
      <c r="J6585" s="27" t="s">
        <v>1803</v>
      </c>
      <c r="L6585" s="27" t="s">
        <v>373</v>
      </c>
      <c r="N6585" s="27" t="s">
        <v>745</v>
      </c>
      <c r="P6585" s="27" t="s">
        <v>19873</v>
      </c>
      <c r="Q6585" s="26" t="str">
        <f>HYPERLINK("https://ictv.global/taxonomy/taxondetails?taxnode_id=202512614&amp;ictv_id=ICTV202112614","ICTV202112614")</f>
        <v>ICTV202112614</v>
      </c>
      <c r="R6585" t="s">
        <v>660</v>
      </c>
      <c r="S6585" t="s">
        <v>22763</v>
      </c>
      <c r="T6585">
        <v>41</v>
      </c>
      <c r="U6585" s="26" t="str">
        <f>HYPERLINK("https://ictv.global/ictv/proposals/2025.002G.Monodnaviria_reorg_4nr.zip","2025.002G.Monodnaviria_reorg_4nr.zip")</f>
        <v>2025.002G.Monodnaviria_reorg_4nr.zip</v>
      </c>
    </row>
    <row r="6586" spans="1:21">
      <c r="A6586">
        <v>6585</v>
      </c>
      <c r="B6586" s="27" t="s">
        <v>20808</v>
      </c>
      <c r="D6586" s="27" t="s">
        <v>1800</v>
      </c>
      <c r="F6586" s="27" t="s">
        <v>1801</v>
      </c>
      <c r="H6586" s="27" t="s">
        <v>1802</v>
      </c>
      <c r="J6586" s="27" t="s">
        <v>1803</v>
      </c>
      <c r="L6586" s="27" t="s">
        <v>373</v>
      </c>
      <c r="N6586" s="27" t="s">
        <v>21047</v>
      </c>
      <c r="P6586" s="27" t="s">
        <v>21048</v>
      </c>
      <c r="Q6586" s="26" t="str">
        <f>HYPERLINK("https://ictv.global/taxonomy/taxondetails?taxnode_id=202522010&amp;ictv_id=ICTV202522010","ICTV202522010")</f>
        <v>ICTV202522010</v>
      </c>
      <c r="R6586" t="s">
        <v>664</v>
      </c>
      <c r="S6586" t="s">
        <v>823</v>
      </c>
      <c r="T6586">
        <v>41</v>
      </c>
      <c r="U6586" s="26" t="str">
        <f>HYPERLINK("https://ictv.global/ictv/proposals/2024.035B.Tubulavirales_34ng_49ns.zip","2024.035B.Tubulavirales_34ng_49ns.zip")</f>
        <v>2024.035B.Tubulavirales_34ng_49ns.zip</v>
      </c>
    </row>
    <row r="6587" spans="1:21">
      <c r="A6587">
        <v>6586</v>
      </c>
      <c r="B6587" s="27" t="s">
        <v>20808</v>
      </c>
      <c r="D6587" s="27" t="s">
        <v>1800</v>
      </c>
      <c r="F6587" s="27" t="s">
        <v>1801</v>
      </c>
      <c r="H6587" s="27" t="s">
        <v>1802</v>
      </c>
      <c r="J6587" s="27" t="s">
        <v>1803</v>
      </c>
      <c r="L6587" s="27" t="s">
        <v>373</v>
      </c>
      <c r="N6587" s="27" t="s">
        <v>813</v>
      </c>
      <c r="P6587" s="27" t="s">
        <v>8207</v>
      </c>
      <c r="Q6587" s="26" t="str">
        <f>HYPERLINK("https://ictv.global/taxonomy/taxondetails?taxnode_id=202507856&amp;ictv_id=ICTV201907856","ICTV201907856")</f>
        <v>ICTV201907856</v>
      </c>
      <c r="R6587" t="s">
        <v>660</v>
      </c>
      <c r="S6587" t="s">
        <v>22763</v>
      </c>
      <c r="T6587">
        <v>41</v>
      </c>
      <c r="U6587" s="26" t="str">
        <f t="shared" ref="U6587:U6592" si="266">HYPERLINK("https://ictv.global/ictv/proposals/2025.002G.Monodnaviria_reorg_4nr.zip","2025.002G.Monodnaviria_reorg_4nr.zip")</f>
        <v>2025.002G.Monodnaviria_reorg_4nr.zip</v>
      </c>
    </row>
    <row r="6588" spans="1:21">
      <c r="A6588">
        <v>6587</v>
      </c>
      <c r="B6588" s="27" t="s">
        <v>20808</v>
      </c>
      <c r="D6588" s="27" t="s">
        <v>1800</v>
      </c>
      <c r="F6588" s="27" t="s">
        <v>1801</v>
      </c>
      <c r="H6588" s="27" t="s">
        <v>1802</v>
      </c>
      <c r="J6588" s="27" t="s">
        <v>1803</v>
      </c>
      <c r="L6588" s="27" t="s">
        <v>373</v>
      </c>
      <c r="N6588" s="27" t="s">
        <v>813</v>
      </c>
      <c r="P6588" s="27" t="s">
        <v>8208</v>
      </c>
      <c r="Q6588" s="26" t="str">
        <f>HYPERLINK("https://ictv.global/taxonomy/taxondetails?taxnode_id=202503690&amp;ictv_id=ICTV20165388","ICTV20165388")</f>
        <v>ICTV20165388</v>
      </c>
      <c r="R6588" t="s">
        <v>660</v>
      </c>
      <c r="S6588" t="s">
        <v>22763</v>
      </c>
      <c r="T6588">
        <v>41</v>
      </c>
      <c r="U6588" s="26" t="str">
        <f t="shared" si="266"/>
        <v>2025.002G.Monodnaviria_reorg_4nr.zip</v>
      </c>
    </row>
    <row r="6589" spans="1:21">
      <c r="A6589">
        <v>6588</v>
      </c>
      <c r="B6589" s="27" t="s">
        <v>20808</v>
      </c>
      <c r="D6589" s="27" t="s">
        <v>1800</v>
      </c>
      <c r="F6589" s="27" t="s">
        <v>1801</v>
      </c>
      <c r="H6589" s="27" t="s">
        <v>1802</v>
      </c>
      <c r="J6589" s="27" t="s">
        <v>1803</v>
      </c>
      <c r="L6589" s="27" t="s">
        <v>373</v>
      </c>
      <c r="N6589" s="27" t="s">
        <v>813</v>
      </c>
      <c r="P6589" s="27" t="s">
        <v>8209</v>
      </c>
      <c r="Q6589" s="26" t="str">
        <f>HYPERLINK("https://ictv.global/taxonomy/taxondetails?taxnode_id=202503691&amp;ictv_id=ICTV20165389","ICTV20165389")</f>
        <v>ICTV20165389</v>
      </c>
      <c r="R6589" t="s">
        <v>660</v>
      </c>
      <c r="S6589" t="s">
        <v>22763</v>
      </c>
      <c r="T6589">
        <v>41</v>
      </c>
      <c r="U6589" s="26" t="str">
        <f t="shared" si="266"/>
        <v>2025.002G.Monodnaviria_reorg_4nr.zip</v>
      </c>
    </row>
    <row r="6590" spans="1:21">
      <c r="A6590">
        <v>6589</v>
      </c>
      <c r="B6590" s="27" t="s">
        <v>20808</v>
      </c>
      <c r="D6590" s="27" t="s">
        <v>1800</v>
      </c>
      <c r="F6590" s="27" t="s">
        <v>1801</v>
      </c>
      <c r="H6590" s="27" t="s">
        <v>1802</v>
      </c>
      <c r="J6590" s="27" t="s">
        <v>1803</v>
      </c>
      <c r="L6590" s="27" t="s">
        <v>373</v>
      </c>
      <c r="N6590" s="27" t="s">
        <v>813</v>
      </c>
      <c r="P6590" s="27" t="s">
        <v>8210</v>
      </c>
      <c r="Q6590" s="26" t="str">
        <f>HYPERLINK("https://ictv.global/taxonomy/taxondetails?taxnode_id=202503692&amp;ictv_id=ICTV20165390","ICTV20165390")</f>
        <v>ICTV20165390</v>
      </c>
      <c r="R6590" t="s">
        <v>660</v>
      </c>
      <c r="S6590" t="s">
        <v>22763</v>
      </c>
      <c r="T6590">
        <v>41</v>
      </c>
      <c r="U6590" s="26" t="str">
        <f t="shared" si="266"/>
        <v>2025.002G.Monodnaviria_reorg_4nr.zip</v>
      </c>
    </row>
    <row r="6591" spans="1:21">
      <c r="A6591">
        <v>6590</v>
      </c>
      <c r="B6591" s="27" t="s">
        <v>20808</v>
      </c>
      <c r="D6591" s="27" t="s">
        <v>1800</v>
      </c>
      <c r="F6591" s="27" t="s">
        <v>1801</v>
      </c>
      <c r="H6591" s="27" t="s">
        <v>1802</v>
      </c>
      <c r="J6591" s="27" t="s">
        <v>1803</v>
      </c>
      <c r="L6591" s="27" t="s">
        <v>373</v>
      </c>
      <c r="N6591" s="27" t="s">
        <v>1808</v>
      </c>
      <c r="P6591" s="27" t="s">
        <v>8211</v>
      </c>
      <c r="Q6591" s="26" t="str">
        <f>HYPERLINK("https://ictv.global/taxonomy/taxondetails?taxnode_id=202503704&amp;ictv_id=ICTV19910809","ICTV19910809")</f>
        <v>ICTV19910809</v>
      </c>
      <c r="R6591" t="s">
        <v>664</v>
      </c>
      <c r="S6591" t="s">
        <v>22763</v>
      </c>
      <c r="T6591">
        <v>41</v>
      </c>
      <c r="U6591" s="26" t="str">
        <f t="shared" si="266"/>
        <v>2025.002G.Monodnaviria_reorg_4nr.zip</v>
      </c>
    </row>
    <row r="6592" spans="1:21">
      <c r="A6592">
        <v>6591</v>
      </c>
      <c r="B6592" s="27" t="s">
        <v>20808</v>
      </c>
      <c r="D6592" s="27" t="s">
        <v>1800</v>
      </c>
      <c r="F6592" s="27" t="s">
        <v>1801</v>
      </c>
      <c r="H6592" s="27" t="s">
        <v>1802</v>
      </c>
      <c r="J6592" s="27" t="s">
        <v>1803</v>
      </c>
      <c r="L6592" s="27" t="s">
        <v>373</v>
      </c>
      <c r="N6592" s="27" t="s">
        <v>374</v>
      </c>
      <c r="P6592" s="27" t="s">
        <v>8212</v>
      </c>
      <c r="Q6592" s="26" t="str">
        <f>HYPERLINK("https://ictv.global/taxonomy/taxondetails?taxnode_id=202503694&amp;ictv_id=ICTV19991030","ICTV19991030")</f>
        <v>ICTV19991030</v>
      </c>
      <c r="R6592" t="s">
        <v>664</v>
      </c>
      <c r="S6592" t="s">
        <v>22763</v>
      </c>
      <c r="T6592">
        <v>41</v>
      </c>
      <c r="U6592" s="26" t="str">
        <f t="shared" si="266"/>
        <v>2025.002G.Monodnaviria_reorg_4nr.zip</v>
      </c>
    </row>
    <row r="6593" spans="1:21">
      <c r="A6593">
        <v>6592</v>
      </c>
      <c r="B6593" s="27" t="s">
        <v>20808</v>
      </c>
      <c r="D6593" s="27" t="s">
        <v>1800</v>
      </c>
      <c r="F6593" s="27" t="s">
        <v>1801</v>
      </c>
      <c r="H6593" s="27" t="s">
        <v>1802</v>
      </c>
      <c r="J6593" s="27" t="s">
        <v>1803</v>
      </c>
      <c r="L6593" s="27" t="s">
        <v>373</v>
      </c>
      <c r="N6593" s="27" t="s">
        <v>21039</v>
      </c>
      <c r="P6593" s="27" t="s">
        <v>21040</v>
      </c>
      <c r="Q6593" s="26" t="str">
        <f>HYPERLINK("https://ictv.global/taxonomy/taxondetails?taxnode_id=202522005&amp;ictv_id=ICTV202522005","ICTV202522005")</f>
        <v>ICTV202522005</v>
      </c>
      <c r="R6593" t="s">
        <v>664</v>
      </c>
      <c r="S6593" t="s">
        <v>823</v>
      </c>
      <c r="T6593">
        <v>41</v>
      </c>
      <c r="U6593" s="26" t="str">
        <f>HYPERLINK("https://ictv.global/ictv/proposals/2024.035B.Tubulavirales_34ng_49ns.zip","2024.035B.Tubulavirales_34ng_49ns.zip")</f>
        <v>2024.035B.Tubulavirales_34ng_49ns.zip</v>
      </c>
    </row>
    <row r="6594" spans="1:21">
      <c r="A6594">
        <v>6593</v>
      </c>
      <c r="B6594" s="27" t="s">
        <v>20808</v>
      </c>
      <c r="D6594" s="27" t="s">
        <v>1800</v>
      </c>
      <c r="F6594" s="27" t="s">
        <v>1801</v>
      </c>
      <c r="H6594" s="27" t="s">
        <v>1802</v>
      </c>
      <c r="J6594" s="27" t="s">
        <v>1803</v>
      </c>
      <c r="L6594" s="27" t="s">
        <v>373</v>
      </c>
      <c r="N6594" s="27" t="s">
        <v>746</v>
      </c>
      <c r="P6594" s="27" t="s">
        <v>8213</v>
      </c>
      <c r="Q6594" s="26" t="str">
        <f>HYPERLINK("https://ictv.global/taxonomy/taxondetails?taxnode_id=202503696&amp;ictv_id=ICTV19910808","ICTV19910808")</f>
        <v>ICTV19910808</v>
      </c>
      <c r="R6594" t="s">
        <v>664</v>
      </c>
      <c r="S6594" t="s">
        <v>22763</v>
      </c>
      <c r="T6594">
        <v>41</v>
      </c>
      <c r="U6594" s="26" t="str">
        <f t="shared" ref="U6594:U6600" si="267">HYPERLINK("https://ictv.global/ictv/proposals/2025.002G.Monodnaviria_reorg_4nr.zip","2025.002G.Monodnaviria_reorg_4nr.zip")</f>
        <v>2025.002G.Monodnaviria_reorg_4nr.zip</v>
      </c>
    </row>
    <row r="6595" spans="1:21">
      <c r="A6595">
        <v>6594</v>
      </c>
      <c r="B6595" s="27" t="s">
        <v>20808</v>
      </c>
      <c r="D6595" s="27" t="s">
        <v>1800</v>
      </c>
      <c r="F6595" s="27" t="s">
        <v>1801</v>
      </c>
      <c r="H6595" s="27" t="s">
        <v>1802</v>
      </c>
      <c r="J6595" s="27" t="s">
        <v>1803</v>
      </c>
      <c r="L6595" s="27" t="s">
        <v>373</v>
      </c>
      <c r="N6595" s="27" t="s">
        <v>746</v>
      </c>
      <c r="P6595" s="27" t="s">
        <v>8214</v>
      </c>
      <c r="Q6595" s="26" t="str">
        <f>HYPERLINK("https://ictv.global/taxonomy/taxondetails?taxnode_id=202503697&amp;ictv_id=ICTV19910811","ICTV19910811")</f>
        <v>ICTV19910811</v>
      </c>
      <c r="R6595" t="s">
        <v>664</v>
      </c>
      <c r="S6595" t="s">
        <v>22763</v>
      </c>
      <c r="T6595">
        <v>41</v>
      </c>
      <c r="U6595" s="26" t="str">
        <f t="shared" si="267"/>
        <v>2025.002G.Monodnaviria_reorg_4nr.zip</v>
      </c>
    </row>
    <row r="6596" spans="1:21">
      <c r="A6596">
        <v>6595</v>
      </c>
      <c r="B6596" s="27" t="s">
        <v>20808</v>
      </c>
      <c r="D6596" s="27" t="s">
        <v>1800</v>
      </c>
      <c r="F6596" s="27" t="s">
        <v>1801</v>
      </c>
      <c r="H6596" s="27" t="s">
        <v>1802</v>
      </c>
      <c r="J6596" s="27" t="s">
        <v>1803</v>
      </c>
      <c r="L6596" s="27" t="s">
        <v>373</v>
      </c>
      <c r="N6596" s="27" t="s">
        <v>746</v>
      </c>
      <c r="P6596" s="27" t="s">
        <v>8215</v>
      </c>
      <c r="Q6596" s="26" t="str">
        <f>HYPERLINK("https://ictv.global/taxonomy/taxondetails?taxnode_id=202512619&amp;ictv_id=ICTV202112619","ICTV202112619")</f>
        <v>ICTV202112619</v>
      </c>
      <c r="R6596" t="s">
        <v>664</v>
      </c>
      <c r="S6596" t="s">
        <v>22763</v>
      </c>
      <c r="T6596">
        <v>41</v>
      </c>
      <c r="U6596" s="26" t="str">
        <f t="shared" si="267"/>
        <v>2025.002G.Monodnaviria_reorg_4nr.zip</v>
      </c>
    </row>
    <row r="6597" spans="1:21">
      <c r="A6597">
        <v>6596</v>
      </c>
      <c r="B6597" s="27" t="s">
        <v>20808</v>
      </c>
      <c r="D6597" s="27" t="s">
        <v>1800</v>
      </c>
      <c r="F6597" s="27" t="s">
        <v>1801</v>
      </c>
      <c r="H6597" s="27" t="s">
        <v>1802</v>
      </c>
      <c r="J6597" s="27" t="s">
        <v>1803</v>
      </c>
      <c r="L6597" s="27" t="s">
        <v>373</v>
      </c>
      <c r="N6597" s="27" t="s">
        <v>8216</v>
      </c>
      <c r="P6597" s="27" t="s">
        <v>8217</v>
      </c>
      <c r="Q6597" s="26" t="str">
        <f>HYPERLINK("https://ictv.global/taxonomy/taxondetails?taxnode_id=202512629&amp;ictv_id=ICTV202112629","ICTV202112629")</f>
        <v>ICTV202112629</v>
      </c>
      <c r="R6597" t="s">
        <v>660</v>
      </c>
      <c r="S6597" t="s">
        <v>22763</v>
      </c>
      <c r="T6597">
        <v>41</v>
      </c>
      <c r="U6597" s="26" t="str">
        <f t="shared" si="267"/>
        <v>2025.002G.Monodnaviria_reorg_4nr.zip</v>
      </c>
    </row>
    <row r="6598" spans="1:21">
      <c r="A6598">
        <v>6597</v>
      </c>
      <c r="B6598" s="27" t="s">
        <v>20808</v>
      </c>
      <c r="D6598" s="27" t="s">
        <v>1800</v>
      </c>
      <c r="F6598" s="27" t="s">
        <v>1801</v>
      </c>
      <c r="H6598" s="27" t="s">
        <v>1802</v>
      </c>
      <c r="J6598" s="27" t="s">
        <v>1803</v>
      </c>
      <c r="L6598" s="27" t="s">
        <v>373</v>
      </c>
      <c r="N6598" s="27" t="s">
        <v>8216</v>
      </c>
      <c r="P6598" s="27" t="s">
        <v>8218</v>
      </c>
      <c r="Q6598" s="26" t="str">
        <f>HYPERLINK("https://ictv.global/taxonomy/taxondetails?taxnode_id=202512628&amp;ictv_id=ICTV202112628","ICTV202112628")</f>
        <v>ICTV202112628</v>
      </c>
      <c r="R6598" t="s">
        <v>660</v>
      </c>
      <c r="S6598" t="s">
        <v>22763</v>
      </c>
      <c r="T6598">
        <v>41</v>
      </c>
      <c r="U6598" s="26" t="str">
        <f t="shared" si="267"/>
        <v>2025.002G.Monodnaviria_reorg_4nr.zip</v>
      </c>
    </row>
    <row r="6599" spans="1:21">
      <c r="A6599">
        <v>6598</v>
      </c>
      <c r="B6599" s="27" t="s">
        <v>20808</v>
      </c>
      <c r="D6599" s="27" t="s">
        <v>1800</v>
      </c>
      <c r="F6599" s="27" t="s">
        <v>1801</v>
      </c>
      <c r="H6599" s="27" t="s">
        <v>1802</v>
      </c>
      <c r="J6599" s="27" t="s">
        <v>1803</v>
      </c>
      <c r="L6599" s="27" t="s">
        <v>373</v>
      </c>
      <c r="N6599" s="27" t="s">
        <v>8216</v>
      </c>
      <c r="P6599" s="27" t="s">
        <v>8219</v>
      </c>
      <c r="Q6599" s="26" t="str">
        <f>HYPERLINK("https://ictv.global/taxonomy/taxondetails?taxnode_id=202512626&amp;ictv_id=ICTV202112626","ICTV202112626")</f>
        <v>ICTV202112626</v>
      </c>
      <c r="R6599" t="s">
        <v>660</v>
      </c>
      <c r="S6599" t="s">
        <v>22763</v>
      </c>
      <c r="T6599">
        <v>41</v>
      </c>
      <c r="U6599" s="26" t="str">
        <f t="shared" si="267"/>
        <v>2025.002G.Monodnaviria_reorg_4nr.zip</v>
      </c>
    </row>
    <row r="6600" spans="1:21">
      <c r="A6600">
        <v>6599</v>
      </c>
      <c r="B6600" s="27" t="s">
        <v>20808</v>
      </c>
      <c r="D6600" s="27" t="s">
        <v>1800</v>
      </c>
      <c r="F6600" s="27" t="s">
        <v>1801</v>
      </c>
      <c r="H6600" s="27" t="s">
        <v>1802</v>
      </c>
      <c r="J6600" s="27" t="s">
        <v>1803</v>
      </c>
      <c r="L6600" s="27" t="s">
        <v>373</v>
      </c>
      <c r="N6600" s="27" t="s">
        <v>8216</v>
      </c>
      <c r="P6600" s="27" t="s">
        <v>8220</v>
      </c>
      <c r="Q6600" s="26" t="str">
        <f>HYPERLINK("https://ictv.global/taxonomy/taxondetails?taxnode_id=202512627&amp;ictv_id=ICTV202112627","ICTV202112627")</f>
        <v>ICTV202112627</v>
      </c>
      <c r="R6600" t="s">
        <v>660</v>
      </c>
      <c r="S6600" t="s">
        <v>22763</v>
      </c>
      <c r="T6600">
        <v>41</v>
      </c>
      <c r="U6600" s="26" t="str">
        <f t="shared" si="267"/>
        <v>2025.002G.Monodnaviria_reorg_4nr.zip</v>
      </c>
    </row>
    <row r="6601" spans="1:21">
      <c r="A6601">
        <v>6600</v>
      </c>
      <c r="B6601" s="27" t="s">
        <v>20808</v>
      </c>
      <c r="D6601" s="27" t="s">
        <v>1800</v>
      </c>
      <c r="F6601" s="27" t="s">
        <v>1801</v>
      </c>
      <c r="H6601" s="27" t="s">
        <v>1802</v>
      </c>
      <c r="J6601" s="27" t="s">
        <v>1803</v>
      </c>
      <c r="L6601" s="27" t="s">
        <v>373</v>
      </c>
      <c r="N6601" s="27" t="s">
        <v>21034</v>
      </c>
      <c r="P6601" s="27" t="s">
        <v>21036</v>
      </c>
      <c r="Q6601" s="26" t="str">
        <f>HYPERLINK("https://ictv.global/taxonomy/taxondetails?taxnode_id=202522003&amp;ictv_id=ICTV202522003","ICTV202522003")</f>
        <v>ICTV202522003</v>
      </c>
      <c r="R6601" t="s">
        <v>664</v>
      </c>
      <c r="S6601" t="s">
        <v>823</v>
      </c>
      <c r="T6601">
        <v>41</v>
      </c>
      <c r="U6601" s="26" t="str">
        <f>HYPERLINK("https://ictv.global/ictv/proposals/2024.035B.Tubulavirales_34ng_49ns.zip","2024.035B.Tubulavirales_34ng_49ns.zip")</f>
        <v>2024.035B.Tubulavirales_34ng_49ns.zip</v>
      </c>
    </row>
    <row r="6602" spans="1:21">
      <c r="A6602">
        <v>6601</v>
      </c>
      <c r="B6602" s="27" t="s">
        <v>20808</v>
      </c>
      <c r="D6602" s="27" t="s">
        <v>1800</v>
      </c>
      <c r="F6602" s="27" t="s">
        <v>1801</v>
      </c>
      <c r="H6602" s="27" t="s">
        <v>1802</v>
      </c>
      <c r="J6602" s="27" t="s">
        <v>1803</v>
      </c>
      <c r="L6602" s="27" t="s">
        <v>373</v>
      </c>
      <c r="N6602" s="27" t="s">
        <v>21034</v>
      </c>
      <c r="P6602" s="27" t="s">
        <v>21035</v>
      </c>
      <c r="Q6602" s="26" t="str">
        <f>HYPERLINK("https://ictv.global/taxonomy/taxondetails?taxnode_id=202522002&amp;ictv_id=ICTV202522002","ICTV202522002")</f>
        <v>ICTV202522002</v>
      </c>
      <c r="R6602" t="s">
        <v>664</v>
      </c>
      <c r="S6602" t="s">
        <v>823</v>
      </c>
      <c r="T6602">
        <v>41</v>
      </c>
      <c r="U6602" s="26" t="str">
        <f>HYPERLINK("https://ictv.global/ictv/proposals/2024.035B.Tubulavirales_34ng_49ns.zip","2024.035B.Tubulavirales_34ng_49ns.zip")</f>
        <v>2024.035B.Tubulavirales_34ng_49ns.zip</v>
      </c>
    </row>
    <row r="6603" spans="1:21">
      <c r="A6603">
        <v>6602</v>
      </c>
      <c r="B6603" s="27" t="s">
        <v>20808</v>
      </c>
      <c r="D6603" s="27" t="s">
        <v>1800</v>
      </c>
      <c r="F6603" s="27" t="s">
        <v>1801</v>
      </c>
      <c r="H6603" s="27" t="s">
        <v>1802</v>
      </c>
      <c r="J6603" s="27" t="s">
        <v>1803</v>
      </c>
      <c r="L6603" s="27" t="s">
        <v>373</v>
      </c>
      <c r="N6603" s="27" t="s">
        <v>20992</v>
      </c>
      <c r="P6603" s="27" t="s">
        <v>20993</v>
      </c>
      <c r="Q6603" s="26" t="str">
        <f>HYPERLINK("https://ictv.global/taxonomy/taxondetails?taxnode_id=202521976&amp;ictv_id=ICTV202521976","ICTV202521976")</f>
        <v>ICTV202521976</v>
      </c>
      <c r="R6603" t="s">
        <v>664</v>
      </c>
      <c r="S6603" t="s">
        <v>823</v>
      </c>
      <c r="T6603">
        <v>41</v>
      </c>
      <c r="U6603" s="26" t="str">
        <f>HYPERLINK("https://ictv.global/ictv/proposals/2024.035B.Tubulavirales_34ng_49ns.zip","2024.035B.Tubulavirales_34ng_49ns.zip")</f>
        <v>2024.035B.Tubulavirales_34ng_49ns.zip</v>
      </c>
    </row>
    <row r="6604" spans="1:21">
      <c r="A6604">
        <v>6603</v>
      </c>
      <c r="B6604" s="27" t="s">
        <v>20808</v>
      </c>
      <c r="D6604" s="27" t="s">
        <v>1800</v>
      </c>
      <c r="F6604" s="27" t="s">
        <v>1801</v>
      </c>
      <c r="H6604" s="27" t="s">
        <v>1802</v>
      </c>
      <c r="J6604" s="27" t="s">
        <v>1803</v>
      </c>
      <c r="L6604" s="27" t="s">
        <v>373</v>
      </c>
      <c r="N6604" s="27" t="s">
        <v>1809</v>
      </c>
      <c r="P6604" s="27" t="s">
        <v>8221</v>
      </c>
      <c r="Q6604" s="26" t="str">
        <f>HYPERLINK("https://ictv.global/taxonomy/taxondetails?taxnode_id=202503708&amp;ictv_id=ICTV20165393","ICTV20165393")</f>
        <v>ICTV20165393</v>
      </c>
      <c r="R6604" t="s">
        <v>664</v>
      </c>
      <c r="S6604" t="s">
        <v>22763</v>
      </c>
      <c r="T6604">
        <v>41</v>
      </c>
      <c r="U6604" s="26" t="str">
        <f>HYPERLINK("https://ictv.global/ictv/proposals/2025.002G.Monodnaviria_reorg_4nr.zip","2025.002G.Monodnaviria_reorg_4nr.zip")</f>
        <v>2025.002G.Monodnaviria_reorg_4nr.zip</v>
      </c>
    </row>
    <row r="6605" spans="1:21">
      <c r="A6605">
        <v>6604</v>
      </c>
      <c r="B6605" s="27" t="s">
        <v>20808</v>
      </c>
      <c r="D6605" s="27" t="s">
        <v>1800</v>
      </c>
      <c r="F6605" s="27" t="s">
        <v>1801</v>
      </c>
      <c r="H6605" s="27" t="s">
        <v>1802</v>
      </c>
      <c r="J6605" s="27" t="s">
        <v>1803</v>
      </c>
      <c r="L6605" s="27" t="s">
        <v>373</v>
      </c>
      <c r="N6605" s="27" t="s">
        <v>20994</v>
      </c>
      <c r="P6605" s="27" t="s">
        <v>20995</v>
      </c>
      <c r="Q6605" s="26" t="str">
        <f>HYPERLINK("https://ictv.global/taxonomy/taxondetails?taxnode_id=202521977&amp;ictv_id=ICTV202521977","ICTV202521977")</f>
        <v>ICTV202521977</v>
      </c>
      <c r="R6605" t="s">
        <v>664</v>
      </c>
      <c r="S6605" t="s">
        <v>823</v>
      </c>
      <c r="T6605">
        <v>41</v>
      </c>
      <c r="U6605" s="26" t="str">
        <f>HYPERLINK("https://ictv.global/ictv/proposals/2024.035B.Tubulavirales_34ng_49ns.zip","2024.035B.Tubulavirales_34ng_49ns.zip")</f>
        <v>2024.035B.Tubulavirales_34ng_49ns.zip</v>
      </c>
    </row>
    <row r="6606" spans="1:21">
      <c r="A6606">
        <v>6605</v>
      </c>
      <c r="B6606" s="27" t="s">
        <v>20808</v>
      </c>
      <c r="D6606" s="27" t="s">
        <v>1800</v>
      </c>
      <c r="F6606" s="27" t="s">
        <v>1801</v>
      </c>
      <c r="H6606" s="27" t="s">
        <v>1802</v>
      </c>
      <c r="J6606" s="27" t="s">
        <v>1803</v>
      </c>
      <c r="L6606" s="27" t="s">
        <v>373</v>
      </c>
      <c r="N6606" s="27" t="s">
        <v>20998</v>
      </c>
      <c r="P6606" s="27" t="s">
        <v>20999</v>
      </c>
      <c r="Q6606" s="26" t="str">
        <f>HYPERLINK("https://ictv.global/taxonomy/taxondetails?taxnode_id=202521979&amp;ictv_id=ICTV202521979","ICTV202521979")</f>
        <v>ICTV202521979</v>
      </c>
      <c r="R6606" t="s">
        <v>664</v>
      </c>
      <c r="S6606" t="s">
        <v>823</v>
      </c>
      <c r="T6606">
        <v>41</v>
      </c>
      <c r="U6606" s="26" t="str">
        <f>HYPERLINK("https://ictv.global/ictv/proposals/2024.035B.Tubulavirales_34ng_49ns.zip","2024.035B.Tubulavirales_34ng_49ns.zip")</f>
        <v>2024.035B.Tubulavirales_34ng_49ns.zip</v>
      </c>
    </row>
    <row r="6607" spans="1:21">
      <c r="A6607">
        <v>6606</v>
      </c>
      <c r="B6607" s="27" t="s">
        <v>20808</v>
      </c>
      <c r="D6607" s="27" t="s">
        <v>1800</v>
      </c>
      <c r="F6607" s="27" t="s">
        <v>1801</v>
      </c>
      <c r="H6607" s="27" t="s">
        <v>1802</v>
      </c>
      <c r="J6607" s="27" t="s">
        <v>1803</v>
      </c>
      <c r="L6607" s="27" t="s">
        <v>373</v>
      </c>
      <c r="N6607" s="27" t="s">
        <v>21055</v>
      </c>
      <c r="P6607" s="27" t="s">
        <v>21056</v>
      </c>
      <c r="Q6607" s="26" t="str">
        <f>HYPERLINK("https://ictv.global/taxonomy/taxondetails?taxnode_id=202522014&amp;ictv_id=ICTV202522014","ICTV202522014")</f>
        <v>ICTV202522014</v>
      </c>
      <c r="R6607" t="s">
        <v>664</v>
      </c>
      <c r="S6607" t="s">
        <v>823</v>
      </c>
      <c r="T6607">
        <v>41</v>
      </c>
      <c r="U6607" s="26" t="str">
        <f>HYPERLINK("https://ictv.global/ictv/proposals/2024.035B.Tubulavirales_34ng_49ns.zip","2024.035B.Tubulavirales_34ng_49ns.zip")</f>
        <v>2024.035B.Tubulavirales_34ng_49ns.zip</v>
      </c>
    </row>
    <row r="6608" spans="1:21">
      <c r="A6608">
        <v>6607</v>
      </c>
      <c r="B6608" s="27" t="s">
        <v>20808</v>
      </c>
      <c r="D6608" s="27" t="s">
        <v>1800</v>
      </c>
      <c r="F6608" s="27" t="s">
        <v>1801</v>
      </c>
      <c r="H6608" s="27" t="s">
        <v>1802</v>
      </c>
      <c r="J6608" s="27" t="s">
        <v>1803</v>
      </c>
      <c r="L6608" s="27" t="s">
        <v>373</v>
      </c>
      <c r="N6608" s="27" t="s">
        <v>8222</v>
      </c>
      <c r="P6608" s="27" t="s">
        <v>8223</v>
      </c>
      <c r="Q6608" s="26" t="str">
        <f>HYPERLINK("https://ictv.global/taxonomy/taxondetails?taxnode_id=202512631&amp;ictv_id=ICTV202112631","ICTV202112631")</f>
        <v>ICTV202112631</v>
      </c>
      <c r="R6608" t="s">
        <v>664</v>
      </c>
      <c r="S6608" t="s">
        <v>22763</v>
      </c>
      <c r="T6608">
        <v>41</v>
      </c>
      <c r="U6608" s="26" t="str">
        <f>HYPERLINK("https://ictv.global/ictv/proposals/2025.002G.Monodnaviria_reorg_4nr.zip","2025.002G.Monodnaviria_reorg_4nr.zip")</f>
        <v>2025.002G.Monodnaviria_reorg_4nr.zip</v>
      </c>
    </row>
    <row r="6609" spans="1:21">
      <c r="A6609">
        <v>6608</v>
      </c>
      <c r="B6609" s="27" t="s">
        <v>20808</v>
      </c>
      <c r="D6609" s="27" t="s">
        <v>1800</v>
      </c>
      <c r="F6609" s="27" t="s">
        <v>1801</v>
      </c>
      <c r="H6609" s="27" t="s">
        <v>1802</v>
      </c>
      <c r="J6609" s="27" t="s">
        <v>1803</v>
      </c>
      <c r="L6609" s="27" t="s">
        <v>373</v>
      </c>
      <c r="N6609" s="27" t="s">
        <v>1810</v>
      </c>
      <c r="P6609" s="27" t="s">
        <v>8224</v>
      </c>
      <c r="Q6609" s="26" t="str">
        <f>HYPERLINK("https://ictv.global/taxonomy/taxondetails?taxnode_id=202503706&amp;ictv_id=ICTV19910816","ICTV19910816")</f>
        <v>ICTV19910816</v>
      </c>
      <c r="R6609" t="s">
        <v>664</v>
      </c>
      <c r="S6609" t="s">
        <v>22763</v>
      </c>
      <c r="T6609">
        <v>41</v>
      </c>
      <c r="U6609" s="26" t="str">
        <f>HYPERLINK("https://ictv.global/ictv/proposals/2025.002G.Monodnaviria_reorg_4nr.zip","2025.002G.Monodnaviria_reorg_4nr.zip")</f>
        <v>2025.002G.Monodnaviria_reorg_4nr.zip</v>
      </c>
    </row>
    <row r="6610" spans="1:21">
      <c r="A6610">
        <v>6609</v>
      </c>
      <c r="B6610" s="27" t="s">
        <v>20808</v>
      </c>
      <c r="D6610" s="27" t="s">
        <v>1800</v>
      </c>
      <c r="F6610" s="27" t="s">
        <v>1801</v>
      </c>
      <c r="H6610" s="27" t="s">
        <v>1802</v>
      </c>
      <c r="J6610" s="27" t="s">
        <v>1803</v>
      </c>
      <c r="L6610" s="27" t="s">
        <v>373</v>
      </c>
      <c r="N6610" s="27" t="s">
        <v>1810</v>
      </c>
      <c r="P6610" s="27" t="s">
        <v>8225</v>
      </c>
      <c r="Q6610" s="26" t="str">
        <f>HYPERLINK("https://ictv.global/taxonomy/taxondetails?taxnode_id=202512620&amp;ictv_id=ICTV202112620","ICTV202112620")</f>
        <v>ICTV202112620</v>
      </c>
      <c r="R6610" t="s">
        <v>660</v>
      </c>
      <c r="S6610" t="s">
        <v>22763</v>
      </c>
      <c r="T6610">
        <v>41</v>
      </c>
      <c r="U6610" s="26" t="str">
        <f>HYPERLINK("https://ictv.global/ictv/proposals/2025.002G.Monodnaviria_reorg_4nr.zip","2025.002G.Monodnaviria_reorg_4nr.zip")</f>
        <v>2025.002G.Monodnaviria_reorg_4nr.zip</v>
      </c>
    </row>
    <row r="6611" spans="1:21">
      <c r="A6611">
        <v>6610</v>
      </c>
      <c r="B6611" s="27" t="s">
        <v>20808</v>
      </c>
      <c r="D6611" s="27" t="s">
        <v>1800</v>
      </c>
      <c r="F6611" s="27" t="s">
        <v>1801</v>
      </c>
      <c r="H6611" s="27" t="s">
        <v>1802</v>
      </c>
      <c r="J6611" s="27" t="s">
        <v>1803</v>
      </c>
      <c r="L6611" s="27" t="s">
        <v>373</v>
      </c>
      <c r="N6611" s="27" t="s">
        <v>21053</v>
      </c>
      <c r="P6611" s="27" t="s">
        <v>21054</v>
      </c>
      <c r="Q6611" s="26" t="str">
        <f>HYPERLINK("https://ictv.global/taxonomy/taxondetails?taxnode_id=202522013&amp;ictv_id=ICTV202522013","ICTV202522013")</f>
        <v>ICTV202522013</v>
      </c>
      <c r="R6611" t="s">
        <v>664</v>
      </c>
      <c r="S6611" t="s">
        <v>823</v>
      </c>
      <c r="T6611">
        <v>41</v>
      </c>
      <c r="U6611" s="26" t="str">
        <f>HYPERLINK("https://ictv.global/ictv/proposals/2024.035B.Tubulavirales_34ng_49ns.zip","2024.035B.Tubulavirales_34ng_49ns.zip")</f>
        <v>2024.035B.Tubulavirales_34ng_49ns.zip</v>
      </c>
    </row>
    <row r="6612" spans="1:21">
      <c r="A6612">
        <v>6611</v>
      </c>
      <c r="B6612" s="27" t="s">
        <v>20808</v>
      </c>
      <c r="D6612" s="27" t="s">
        <v>1800</v>
      </c>
      <c r="F6612" s="27" t="s">
        <v>1801</v>
      </c>
      <c r="H6612" s="27" t="s">
        <v>1802</v>
      </c>
      <c r="J6612" s="27" t="s">
        <v>1803</v>
      </c>
      <c r="L6612" s="27" t="s">
        <v>373</v>
      </c>
      <c r="N6612" s="27" t="s">
        <v>21057</v>
      </c>
      <c r="P6612" s="27" t="s">
        <v>21058</v>
      </c>
      <c r="Q6612" s="26" t="str">
        <f>HYPERLINK("https://ictv.global/taxonomy/taxondetails?taxnode_id=202522015&amp;ictv_id=ICTV202522015","ICTV202522015")</f>
        <v>ICTV202522015</v>
      </c>
      <c r="R6612" t="s">
        <v>664</v>
      </c>
      <c r="S6612" t="s">
        <v>823</v>
      </c>
      <c r="T6612">
        <v>41</v>
      </c>
      <c r="U6612" s="26" t="str">
        <f>HYPERLINK("https://ictv.global/ictv/proposals/2024.035B.Tubulavirales_34ng_49ns.zip","2024.035B.Tubulavirales_34ng_49ns.zip")</f>
        <v>2024.035B.Tubulavirales_34ng_49ns.zip</v>
      </c>
    </row>
    <row r="6613" spans="1:21">
      <c r="A6613">
        <v>6612</v>
      </c>
      <c r="B6613" s="27" t="s">
        <v>20808</v>
      </c>
      <c r="D6613" s="27" t="s">
        <v>1800</v>
      </c>
      <c r="F6613" s="27" t="s">
        <v>1801</v>
      </c>
      <c r="H6613" s="27" t="s">
        <v>1802</v>
      </c>
      <c r="J6613" s="27" t="s">
        <v>1803</v>
      </c>
      <c r="L6613" s="27" t="s">
        <v>373</v>
      </c>
      <c r="N6613" s="27" t="s">
        <v>1811</v>
      </c>
      <c r="P6613" s="27" t="s">
        <v>8226</v>
      </c>
      <c r="Q6613" s="26" t="str">
        <f>HYPERLINK("https://ictv.global/taxonomy/taxondetails?taxnode_id=202503711&amp;ictv_id=ICTV20165396","ICTV20165396")</f>
        <v>ICTV20165396</v>
      </c>
      <c r="R6613" t="s">
        <v>660</v>
      </c>
      <c r="S6613" t="s">
        <v>22763</v>
      </c>
      <c r="T6613">
        <v>41</v>
      </c>
      <c r="U6613" s="26" t="str">
        <f>HYPERLINK("https://ictv.global/ictv/proposals/2025.002G.Monodnaviria_reorg_4nr.zip","2025.002G.Monodnaviria_reorg_4nr.zip")</f>
        <v>2025.002G.Monodnaviria_reorg_4nr.zip</v>
      </c>
    </row>
    <row r="6614" spans="1:21">
      <c r="A6614">
        <v>6613</v>
      </c>
      <c r="B6614" s="27" t="s">
        <v>20808</v>
      </c>
      <c r="D6614" s="27" t="s">
        <v>1800</v>
      </c>
      <c r="F6614" s="27" t="s">
        <v>1801</v>
      </c>
      <c r="H6614" s="27" t="s">
        <v>1802</v>
      </c>
      <c r="J6614" s="27" t="s">
        <v>1803</v>
      </c>
      <c r="L6614" s="27" t="s">
        <v>373</v>
      </c>
      <c r="N6614" s="27" t="s">
        <v>21051</v>
      </c>
      <c r="P6614" s="27" t="s">
        <v>21052</v>
      </c>
      <c r="Q6614" s="26" t="str">
        <f>HYPERLINK("https://ictv.global/taxonomy/taxondetails?taxnode_id=202522012&amp;ictv_id=ICTV202522012","ICTV202522012")</f>
        <v>ICTV202522012</v>
      </c>
      <c r="R6614" t="s">
        <v>664</v>
      </c>
      <c r="S6614" t="s">
        <v>823</v>
      </c>
      <c r="T6614">
        <v>41</v>
      </c>
      <c r="U6614" s="26" t="str">
        <f>HYPERLINK("https://ictv.global/ictv/proposals/2024.035B.Tubulavirales_34ng_49ns.zip","2024.035B.Tubulavirales_34ng_49ns.zip")</f>
        <v>2024.035B.Tubulavirales_34ng_49ns.zip</v>
      </c>
    </row>
    <row r="6615" spans="1:21">
      <c r="A6615">
        <v>6614</v>
      </c>
      <c r="B6615" s="27" t="s">
        <v>20808</v>
      </c>
      <c r="D6615" s="27" t="s">
        <v>1800</v>
      </c>
      <c r="F6615" s="27" t="s">
        <v>1801</v>
      </c>
      <c r="H6615" s="27" t="s">
        <v>1802</v>
      </c>
      <c r="J6615" s="27" t="s">
        <v>1803</v>
      </c>
      <c r="L6615" s="27" t="s">
        <v>373</v>
      </c>
      <c r="N6615" s="27" t="s">
        <v>21000</v>
      </c>
      <c r="P6615" s="27" t="s">
        <v>21001</v>
      </c>
      <c r="Q6615" s="26" t="str">
        <f>HYPERLINK("https://ictv.global/taxonomy/taxondetails?taxnode_id=202521980&amp;ictv_id=ICTV202521980","ICTV202521980")</f>
        <v>ICTV202521980</v>
      </c>
      <c r="R6615" t="s">
        <v>664</v>
      </c>
      <c r="S6615" t="s">
        <v>823</v>
      </c>
      <c r="T6615">
        <v>41</v>
      </c>
      <c r="U6615" s="26" t="str">
        <f>HYPERLINK("https://ictv.global/ictv/proposals/2024.035B.Tubulavirales_34ng_49ns.zip","2024.035B.Tubulavirales_34ng_49ns.zip")</f>
        <v>2024.035B.Tubulavirales_34ng_49ns.zip</v>
      </c>
    </row>
    <row r="6616" spans="1:21">
      <c r="A6616">
        <v>6615</v>
      </c>
      <c r="B6616" s="27" t="s">
        <v>20808</v>
      </c>
      <c r="D6616" s="27" t="s">
        <v>1800</v>
      </c>
      <c r="F6616" s="27" t="s">
        <v>1801</v>
      </c>
      <c r="H6616" s="27" t="s">
        <v>1802</v>
      </c>
      <c r="J6616" s="27" t="s">
        <v>1803</v>
      </c>
      <c r="L6616" s="27" t="s">
        <v>373</v>
      </c>
      <c r="N6616" s="27" t="s">
        <v>20996</v>
      </c>
      <c r="P6616" s="27" t="s">
        <v>20997</v>
      </c>
      <c r="Q6616" s="26" t="str">
        <f>HYPERLINK("https://ictv.global/taxonomy/taxondetails?taxnode_id=202521978&amp;ictv_id=ICTV202521978","ICTV202521978")</f>
        <v>ICTV202521978</v>
      </c>
      <c r="R6616" t="s">
        <v>664</v>
      </c>
      <c r="S6616" t="s">
        <v>823</v>
      </c>
      <c r="T6616">
        <v>41</v>
      </c>
      <c r="U6616" s="26" t="str">
        <f>HYPERLINK("https://ictv.global/ictv/proposals/2024.035B.Tubulavirales_34ng_49ns.zip","2024.035B.Tubulavirales_34ng_49ns.zip")</f>
        <v>2024.035B.Tubulavirales_34ng_49ns.zip</v>
      </c>
    </row>
    <row r="6617" spans="1:21">
      <c r="A6617">
        <v>6616</v>
      </c>
      <c r="B6617" s="27" t="s">
        <v>20808</v>
      </c>
      <c r="D6617" s="27" t="s">
        <v>1800</v>
      </c>
      <c r="F6617" s="27" t="s">
        <v>1801</v>
      </c>
      <c r="H6617" s="27" t="s">
        <v>1802</v>
      </c>
      <c r="J6617" s="27" t="s">
        <v>1803</v>
      </c>
      <c r="L6617" s="27" t="s">
        <v>373</v>
      </c>
      <c r="N6617" s="27" t="s">
        <v>1812</v>
      </c>
      <c r="P6617" s="27" t="s">
        <v>8227</v>
      </c>
      <c r="Q6617" s="26" t="str">
        <f>HYPERLINK("https://ictv.global/taxonomy/taxondetails?taxnode_id=202512618&amp;ictv_id=ICTV202112618","ICTV202112618")</f>
        <v>ICTV202112618</v>
      </c>
      <c r="R6617" t="s">
        <v>660</v>
      </c>
      <c r="S6617" t="s">
        <v>22763</v>
      </c>
      <c r="T6617">
        <v>41</v>
      </c>
      <c r="U6617" s="26" t="str">
        <f>HYPERLINK("https://ictv.global/ictv/proposals/2025.002G.Monodnaviria_reorg_4nr.zip","2025.002G.Monodnaviria_reorg_4nr.zip")</f>
        <v>2025.002G.Monodnaviria_reorg_4nr.zip</v>
      </c>
    </row>
    <row r="6618" spans="1:21">
      <c r="A6618">
        <v>6617</v>
      </c>
      <c r="B6618" s="27" t="s">
        <v>20808</v>
      </c>
      <c r="D6618" s="27" t="s">
        <v>1800</v>
      </c>
      <c r="F6618" s="27" t="s">
        <v>1801</v>
      </c>
      <c r="H6618" s="27" t="s">
        <v>1802</v>
      </c>
      <c r="J6618" s="27" t="s">
        <v>1803</v>
      </c>
      <c r="L6618" s="27" t="s">
        <v>373</v>
      </c>
      <c r="N6618" s="27" t="s">
        <v>1812</v>
      </c>
      <c r="P6618" s="27" t="s">
        <v>8228</v>
      </c>
      <c r="Q6618" s="26" t="str">
        <f>HYPERLINK("https://ictv.global/taxonomy/taxondetails?taxnode_id=202503709&amp;ictv_id=ICTV20165394","ICTV20165394")</f>
        <v>ICTV20165394</v>
      </c>
      <c r="R6618" t="s">
        <v>660</v>
      </c>
      <c r="S6618" t="s">
        <v>22763</v>
      </c>
      <c r="T6618">
        <v>41</v>
      </c>
      <c r="U6618" s="26" t="str">
        <f>HYPERLINK("https://ictv.global/ictv/proposals/2025.002G.Monodnaviria_reorg_4nr.zip","2025.002G.Monodnaviria_reorg_4nr.zip")</f>
        <v>2025.002G.Monodnaviria_reorg_4nr.zip</v>
      </c>
    </row>
    <row r="6619" spans="1:21">
      <c r="A6619">
        <v>6618</v>
      </c>
      <c r="B6619" s="27" t="s">
        <v>20808</v>
      </c>
      <c r="D6619" s="27" t="s">
        <v>1800</v>
      </c>
      <c r="F6619" s="27" t="s">
        <v>1801</v>
      </c>
      <c r="H6619" s="27" t="s">
        <v>1802</v>
      </c>
      <c r="J6619" s="27" t="s">
        <v>1803</v>
      </c>
      <c r="L6619" s="27" t="s">
        <v>373</v>
      </c>
      <c r="N6619" s="27" t="s">
        <v>21049</v>
      </c>
      <c r="P6619" s="27" t="s">
        <v>21050</v>
      </c>
      <c r="Q6619" s="26" t="str">
        <f>HYPERLINK("https://ictv.global/taxonomy/taxondetails?taxnode_id=202522011&amp;ictv_id=ICTV202522011","ICTV202522011")</f>
        <v>ICTV202522011</v>
      </c>
      <c r="R6619" t="s">
        <v>664</v>
      </c>
      <c r="S6619" t="s">
        <v>823</v>
      </c>
      <c r="T6619">
        <v>41</v>
      </c>
      <c r="U6619" s="26" t="str">
        <f>HYPERLINK("https://ictv.global/ictv/proposals/2024.035B.Tubulavirales_34ng_49ns.zip","2024.035B.Tubulavirales_34ng_49ns.zip")</f>
        <v>2024.035B.Tubulavirales_34ng_49ns.zip</v>
      </c>
    </row>
    <row r="6620" spans="1:21">
      <c r="A6620">
        <v>6619</v>
      </c>
      <c r="B6620" s="27" t="s">
        <v>20808</v>
      </c>
      <c r="D6620" s="27" t="s">
        <v>1800</v>
      </c>
      <c r="F6620" s="27" t="s">
        <v>1801</v>
      </c>
      <c r="H6620" s="27" t="s">
        <v>1802</v>
      </c>
      <c r="J6620" s="27" t="s">
        <v>1803</v>
      </c>
      <c r="L6620" s="27" t="s">
        <v>373</v>
      </c>
      <c r="N6620" s="27" t="s">
        <v>747</v>
      </c>
      <c r="P6620" s="27" t="s">
        <v>8229</v>
      </c>
      <c r="Q6620" s="26" t="str">
        <f>HYPERLINK("https://ictv.global/taxonomy/taxondetails?taxnode_id=202503701&amp;ictv_id=ICTV19991042","ICTV19991042")</f>
        <v>ICTV19991042</v>
      </c>
      <c r="R6620" t="s">
        <v>664</v>
      </c>
      <c r="S6620" t="s">
        <v>22763</v>
      </c>
      <c r="T6620">
        <v>41</v>
      </c>
      <c r="U6620" s="26" t="str">
        <f>HYPERLINK("https://ictv.global/ictv/proposals/2025.002G.Monodnaviria_reorg_4nr.zip","2025.002G.Monodnaviria_reorg_4nr.zip")</f>
        <v>2025.002G.Monodnaviria_reorg_4nr.zip</v>
      </c>
    </row>
    <row r="6621" spans="1:21">
      <c r="A6621">
        <v>6620</v>
      </c>
      <c r="B6621" s="27" t="s">
        <v>20808</v>
      </c>
      <c r="D6621" s="27" t="s">
        <v>1800</v>
      </c>
      <c r="F6621" s="27" t="s">
        <v>1801</v>
      </c>
      <c r="H6621" s="27" t="s">
        <v>1802</v>
      </c>
      <c r="J6621" s="27" t="s">
        <v>1803</v>
      </c>
      <c r="L6621" s="27" t="s">
        <v>373</v>
      </c>
      <c r="N6621" s="27" t="s">
        <v>747</v>
      </c>
      <c r="P6621" s="27" t="s">
        <v>8230</v>
      </c>
      <c r="Q6621" s="26" t="str">
        <f>HYPERLINK("https://ictv.global/taxonomy/taxondetails?taxnode_id=202503702&amp;ictv_id=ICTV20165391","ICTV20165391")</f>
        <v>ICTV20165391</v>
      </c>
      <c r="R6621" t="s">
        <v>660</v>
      </c>
      <c r="S6621" t="s">
        <v>22763</v>
      </c>
      <c r="T6621">
        <v>41</v>
      </c>
      <c r="U6621" s="26" t="str">
        <f>HYPERLINK("https://ictv.global/ictv/proposals/2025.002G.Monodnaviria_reorg_4nr.zip","2025.002G.Monodnaviria_reorg_4nr.zip")</f>
        <v>2025.002G.Monodnaviria_reorg_4nr.zip</v>
      </c>
    </row>
    <row r="6622" spans="1:21">
      <c r="A6622">
        <v>6621</v>
      </c>
      <c r="B6622" s="27" t="s">
        <v>20808</v>
      </c>
      <c r="D6622" s="27" t="s">
        <v>1800</v>
      </c>
      <c r="F6622" s="27" t="s">
        <v>1801</v>
      </c>
      <c r="H6622" s="27" t="s">
        <v>1802</v>
      </c>
      <c r="J6622" s="27" t="s">
        <v>1803</v>
      </c>
      <c r="L6622" s="27" t="s">
        <v>373</v>
      </c>
      <c r="N6622" s="27" t="s">
        <v>21059</v>
      </c>
      <c r="P6622" s="27" t="s">
        <v>21060</v>
      </c>
      <c r="Q6622" s="26" t="str">
        <f>HYPERLINK("https://ictv.global/taxonomy/taxondetails?taxnode_id=202522016&amp;ictv_id=ICTV202522016","ICTV202522016")</f>
        <v>ICTV202522016</v>
      </c>
      <c r="R6622" t="s">
        <v>664</v>
      </c>
      <c r="S6622" t="s">
        <v>823</v>
      </c>
      <c r="T6622">
        <v>41</v>
      </c>
      <c r="U6622" s="26" t="str">
        <f>HYPERLINK("https://ictv.global/ictv/proposals/2024.035B.Tubulavirales_34ng_49ns.zip","2024.035B.Tubulavirales_34ng_49ns.zip")</f>
        <v>2024.035B.Tubulavirales_34ng_49ns.zip</v>
      </c>
    </row>
    <row r="6623" spans="1:21">
      <c r="A6623">
        <v>6622</v>
      </c>
      <c r="B6623" s="27" t="s">
        <v>20808</v>
      </c>
      <c r="D6623" s="27" t="s">
        <v>1800</v>
      </c>
      <c r="F6623" s="27" t="s">
        <v>1801</v>
      </c>
      <c r="H6623" s="27" t="s">
        <v>1802</v>
      </c>
      <c r="J6623" s="27" t="s">
        <v>1803</v>
      </c>
      <c r="L6623" s="27" t="s">
        <v>373</v>
      </c>
      <c r="N6623" s="27" t="s">
        <v>1813</v>
      </c>
      <c r="P6623" s="27" t="s">
        <v>8231</v>
      </c>
      <c r="Q6623" s="26" t="str">
        <f>HYPERLINK("https://ictv.global/taxonomy/taxondetails?taxnode_id=202503712&amp;ictv_id=ICTV20165397","ICTV20165397")</f>
        <v>ICTV20165397</v>
      </c>
      <c r="R6623" t="s">
        <v>660</v>
      </c>
      <c r="S6623" t="s">
        <v>22763</v>
      </c>
      <c r="T6623">
        <v>41</v>
      </c>
      <c r="U6623" s="26" t="str">
        <f>HYPERLINK("https://ictv.global/ictv/proposals/2025.002G.Monodnaviria_reorg_4nr.zip","2025.002G.Monodnaviria_reorg_4nr.zip")</f>
        <v>2025.002G.Monodnaviria_reorg_4nr.zip</v>
      </c>
    </row>
    <row r="6624" spans="1:21">
      <c r="A6624">
        <v>6623</v>
      </c>
      <c r="B6624" s="27" t="s">
        <v>20808</v>
      </c>
      <c r="D6624" s="27" t="s">
        <v>1800</v>
      </c>
      <c r="F6624" s="27" t="s">
        <v>1801</v>
      </c>
      <c r="H6624" s="27" t="s">
        <v>1802</v>
      </c>
      <c r="J6624" s="27" t="s">
        <v>1803</v>
      </c>
      <c r="L6624" s="27" t="s">
        <v>373</v>
      </c>
      <c r="N6624" s="27" t="s">
        <v>21004</v>
      </c>
      <c r="P6624" s="27" t="s">
        <v>21005</v>
      </c>
      <c r="Q6624" s="26" t="str">
        <f>HYPERLINK("https://ictv.global/taxonomy/taxondetails?taxnode_id=202521982&amp;ictv_id=ICTV202521982","ICTV202521982")</f>
        <v>ICTV202521982</v>
      </c>
      <c r="R6624" t="s">
        <v>664</v>
      </c>
      <c r="S6624" t="s">
        <v>823</v>
      </c>
      <c r="T6624">
        <v>41</v>
      </c>
      <c r="U6624" s="26" t="str">
        <f>HYPERLINK("https://ictv.global/ictv/proposals/2024.035B.Tubulavirales_34ng_49ns.zip","2024.035B.Tubulavirales_34ng_49ns.zip")</f>
        <v>2024.035B.Tubulavirales_34ng_49ns.zip</v>
      </c>
    </row>
    <row r="6625" spans="1:21">
      <c r="A6625">
        <v>6624</v>
      </c>
      <c r="B6625" s="27" t="s">
        <v>20808</v>
      </c>
      <c r="D6625" s="27" t="s">
        <v>1800</v>
      </c>
      <c r="F6625" s="27" t="s">
        <v>1801</v>
      </c>
      <c r="H6625" s="27" t="s">
        <v>1802</v>
      </c>
      <c r="J6625" s="27" t="s">
        <v>1803</v>
      </c>
      <c r="L6625" s="27" t="s">
        <v>373</v>
      </c>
      <c r="N6625" s="27" t="s">
        <v>21037</v>
      </c>
      <c r="P6625" s="27" t="s">
        <v>21038</v>
      </c>
      <c r="Q6625" s="26" t="str">
        <f>HYPERLINK("https://ictv.global/taxonomy/taxondetails?taxnode_id=202522004&amp;ictv_id=ICTV202522004","ICTV202522004")</f>
        <v>ICTV202522004</v>
      </c>
      <c r="R6625" t="s">
        <v>664</v>
      </c>
      <c r="S6625" t="s">
        <v>823</v>
      </c>
      <c r="T6625">
        <v>41</v>
      </c>
      <c r="U6625" s="26" t="str">
        <f>HYPERLINK("https://ictv.global/ictv/proposals/2024.035B.Tubulavirales_34ng_49ns.zip","2024.035B.Tubulavirales_34ng_49ns.zip")</f>
        <v>2024.035B.Tubulavirales_34ng_49ns.zip</v>
      </c>
    </row>
    <row r="6626" spans="1:21">
      <c r="A6626">
        <v>6625</v>
      </c>
      <c r="B6626" s="27" t="s">
        <v>20808</v>
      </c>
      <c r="D6626" s="27" t="s">
        <v>1800</v>
      </c>
      <c r="F6626" s="27" t="s">
        <v>1801</v>
      </c>
      <c r="H6626" s="27" t="s">
        <v>1802</v>
      </c>
      <c r="J6626" s="27" t="s">
        <v>1803</v>
      </c>
      <c r="L6626" s="27" t="s">
        <v>373</v>
      </c>
      <c r="N6626" s="27" t="s">
        <v>21006</v>
      </c>
      <c r="P6626" s="27" t="s">
        <v>21007</v>
      </c>
      <c r="Q6626" s="26" t="str">
        <f>HYPERLINK("https://ictv.global/taxonomy/taxondetails?taxnode_id=202521983&amp;ictv_id=ICTV202521983","ICTV202521983")</f>
        <v>ICTV202521983</v>
      </c>
      <c r="R6626" t="s">
        <v>664</v>
      </c>
      <c r="S6626" t="s">
        <v>823</v>
      </c>
      <c r="T6626">
        <v>41</v>
      </c>
      <c r="U6626" s="26" t="str">
        <f>HYPERLINK("https://ictv.global/ictv/proposals/2024.035B.Tubulavirales_34ng_49ns.zip","2024.035B.Tubulavirales_34ng_49ns.zip")</f>
        <v>2024.035B.Tubulavirales_34ng_49ns.zip</v>
      </c>
    </row>
    <row r="6627" spans="1:21">
      <c r="A6627">
        <v>6626</v>
      </c>
      <c r="B6627" s="27" t="s">
        <v>20808</v>
      </c>
      <c r="D6627" s="27" t="s">
        <v>1800</v>
      </c>
      <c r="F6627" s="27" t="s">
        <v>1801</v>
      </c>
      <c r="H6627" s="27" t="s">
        <v>1802</v>
      </c>
      <c r="J6627" s="27" t="s">
        <v>1803</v>
      </c>
      <c r="L6627" s="27" t="s">
        <v>373</v>
      </c>
      <c r="N6627" s="27" t="s">
        <v>21002</v>
      </c>
      <c r="P6627" s="27" t="s">
        <v>21003</v>
      </c>
      <c r="Q6627" s="26" t="str">
        <f>HYPERLINK("https://ictv.global/taxonomy/taxondetails?taxnode_id=202521981&amp;ictv_id=ICTV202521981","ICTV202521981")</f>
        <v>ICTV202521981</v>
      </c>
      <c r="R6627" t="s">
        <v>664</v>
      </c>
      <c r="S6627" t="s">
        <v>823</v>
      </c>
      <c r="T6627">
        <v>41</v>
      </c>
      <c r="U6627" s="26" t="str">
        <f>HYPERLINK("https://ictv.global/ictv/proposals/2024.035B.Tubulavirales_34ng_49ns.zip","2024.035B.Tubulavirales_34ng_49ns.zip")</f>
        <v>2024.035B.Tubulavirales_34ng_49ns.zip</v>
      </c>
    </row>
    <row r="6628" spans="1:21">
      <c r="A6628">
        <v>6627</v>
      </c>
      <c r="B6628" s="27" t="s">
        <v>20808</v>
      </c>
      <c r="D6628" s="27" t="s">
        <v>1800</v>
      </c>
      <c r="F6628" s="27" t="s">
        <v>1801</v>
      </c>
      <c r="H6628" s="27" t="s">
        <v>1802</v>
      </c>
      <c r="J6628" s="27" t="s">
        <v>1803</v>
      </c>
      <c r="L6628" s="27" t="s">
        <v>373</v>
      </c>
      <c r="N6628" s="27" t="s">
        <v>8232</v>
      </c>
      <c r="P6628" s="27" t="s">
        <v>8233</v>
      </c>
      <c r="Q6628" s="26" t="str">
        <f>HYPERLINK("https://ictv.global/taxonomy/taxondetails?taxnode_id=202512633&amp;ictv_id=ICTV202112633","ICTV202112633")</f>
        <v>ICTV202112633</v>
      </c>
      <c r="R6628" t="s">
        <v>660</v>
      </c>
      <c r="S6628" t="s">
        <v>22763</v>
      </c>
      <c r="T6628">
        <v>41</v>
      </c>
      <c r="U6628" s="26" t="str">
        <f>HYPERLINK("https://ictv.global/ictv/proposals/2025.002G.Monodnaviria_reorg_4nr.zip","2025.002G.Monodnaviria_reorg_4nr.zip")</f>
        <v>2025.002G.Monodnaviria_reorg_4nr.zip</v>
      </c>
    </row>
    <row r="6629" spans="1:21">
      <c r="A6629">
        <v>6628</v>
      </c>
      <c r="B6629" s="27" t="s">
        <v>20808</v>
      </c>
      <c r="D6629" s="27" t="s">
        <v>1800</v>
      </c>
      <c r="F6629" s="27" t="s">
        <v>1801</v>
      </c>
      <c r="H6629" s="27" t="s">
        <v>1802</v>
      </c>
      <c r="J6629" s="27" t="s">
        <v>1803</v>
      </c>
      <c r="L6629" s="27" t="s">
        <v>373</v>
      </c>
      <c r="N6629" s="27" t="s">
        <v>1814</v>
      </c>
      <c r="P6629" s="27" t="s">
        <v>21069</v>
      </c>
      <c r="Q6629" s="26" t="str">
        <f>HYPERLINK("https://ictv.global/taxonomy/taxondetails?taxnode_id=202522021&amp;ictv_id=ICTV202522021","ICTV202522021")</f>
        <v>ICTV202522021</v>
      </c>
      <c r="R6629" t="s">
        <v>664</v>
      </c>
      <c r="S6629" t="s">
        <v>823</v>
      </c>
      <c r="T6629">
        <v>41</v>
      </c>
      <c r="U6629" s="26" t="str">
        <f>HYPERLINK("https://ictv.global/ictv/proposals/2024.035B.Tubulavirales_34ng_49ns.zip","2024.035B.Tubulavirales_34ng_49ns.zip")</f>
        <v>2024.035B.Tubulavirales_34ng_49ns.zip</v>
      </c>
    </row>
    <row r="6630" spans="1:21">
      <c r="A6630">
        <v>6629</v>
      </c>
      <c r="B6630" s="27" t="s">
        <v>20808</v>
      </c>
      <c r="D6630" s="27" t="s">
        <v>1800</v>
      </c>
      <c r="F6630" s="27" t="s">
        <v>1801</v>
      </c>
      <c r="H6630" s="27" t="s">
        <v>1802</v>
      </c>
      <c r="J6630" s="27" t="s">
        <v>1803</v>
      </c>
      <c r="L6630" s="27" t="s">
        <v>373</v>
      </c>
      <c r="N6630" s="27" t="s">
        <v>1814</v>
      </c>
      <c r="P6630" s="27" t="s">
        <v>8234</v>
      </c>
      <c r="Q6630" s="26" t="str">
        <f>HYPERLINK("https://ictv.global/taxonomy/taxondetails?taxnode_id=202503714&amp;ictv_id=ICTV20165399","ICTV20165399")</f>
        <v>ICTV20165399</v>
      </c>
      <c r="R6630" t="s">
        <v>660</v>
      </c>
      <c r="S6630" t="s">
        <v>22763</v>
      </c>
      <c r="T6630">
        <v>41</v>
      </c>
      <c r="U6630" s="26" t="str">
        <f>HYPERLINK("https://ictv.global/ictv/proposals/2025.002G.Monodnaviria_reorg_4nr.zip","2025.002G.Monodnaviria_reorg_4nr.zip")</f>
        <v>2025.002G.Monodnaviria_reorg_4nr.zip</v>
      </c>
    </row>
    <row r="6631" spans="1:21">
      <c r="A6631">
        <v>6630</v>
      </c>
      <c r="B6631" s="27" t="s">
        <v>20808</v>
      </c>
      <c r="D6631" s="27" t="s">
        <v>1800</v>
      </c>
      <c r="F6631" s="27" t="s">
        <v>1801</v>
      </c>
      <c r="H6631" s="27" t="s">
        <v>1802</v>
      </c>
      <c r="J6631" s="27" t="s">
        <v>1803</v>
      </c>
      <c r="L6631" s="27" t="s">
        <v>373</v>
      </c>
      <c r="N6631" s="27" t="s">
        <v>21027</v>
      </c>
      <c r="P6631" s="27" t="s">
        <v>21029</v>
      </c>
      <c r="Q6631" s="26" t="str">
        <f>HYPERLINK("https://ictv.global/taxonomy/taxondetails?taxnode_id=202521997&amp;ictv_id=ICTV202521997","ICTV202521997")</f>
        <v>ICTV202521997</v>
      </c>
      <c r="R6631" t="s">
        <v>664</v>
      </c>
      <c r="S6631" t="s">
        <v>823</v>
      </c>
      <c r="T6631">
        <v>41</v>
      </c>
      <c r="U6631" s="26" t="str">
        <f t="shared" ref="U6631:U6636" si="268">HYPERLINK("https://ictv.global/ictv/proposals/2024.035B.Tubulavirales_34ng_49ns.zip","2024.035B.Tubulavirales_34ng_49ns.zip")</f>
        <v>2024.035B.Tubulavirales_34ng_49ns.zip</v>
      </c>
    </row>
    <row r="6632" spans="1:21">
      <c r="A6632">
        <v>6631</v>
      </c>
      <c r="B6632" s="27" t="s">
        <v>20808</v>
      </c>
      <c r="D6632" s="27" t="s">
        <v>1800</v>
      </c>
      <c r="F6632" s="27" t="s">
        <v>1801</v>
      </c>
      <c r="H6632" s="27" t="s">
        <v>1802</v>
      </c>
      <c r="J6632" s="27" t="s">
        <v>1803</v>
      </c>
      <c r="L6632" s="27" t="s">
        <v>373</v>
      </c>
      <c r="N6632" s="27" t="s">
        <v>21027</v>
      </c>
      <c r="P6632" s="27" t="s">
        <v>21030</v>
      </c>
      <c r="Q6632" s="26" t="str">
        <f>HYPERLINK("https://ictv.global/taxonomy/taxondetails?taxnode_id=202521998&amp;ictv_id=ICTV202521998","ICTV202521998")</f>
        <v>ICTV202521998</v>
      </c>
      <c r="R6632" t="s">
        <v>664</v>
      </c>
      <c r="S6632" t="s">
        <v>823</v>
      </c>
      <c r="T6632">
        <v>41</v>
      </c>
      <c r="U6632" s="26" t="str">
        <f t="shared" si="268"/>
        <v>2024.035B.Tubulavirales_34ng_49ns.zip</v>
      </c>
    </row>
    <row r="6633" spans="1:21">
      <c r="A6633">
        <v>6632</v>
      </c>
      <c r="B6633" s="27" t="s">
        <v>20808</v>
      </c>
      <c r="D6633" s="27" t="s">
        <v>1800</v>
      </c>
      <c r="F6633" s="27" t="s">
        <v>1801</v>
      </c>
      <c r="H6633" s="27" t="s">
        <v>1802</v>
      </c>
      <c r="J6633" s="27" t="s">
        <v>1803</v>
      </c>
      <c r="L6633" s="27" t="s">
        <v>373</v>
      </c>
      <c r="N6633" s="27" t="s">
        <v>21027</v>
      </c>
      <c r="P6633" s="27" t="s">
        <v>21028</v>
      </c>
      <c r="Q6633" s="26" t="str">
        <f>HYPERLINK("https://ictv.global/taxonomy/taxondetails?taxnode_id=202521996&amp;ictv_id=ICTV202521996","ICTV202521996")</f>
        <v>ICTV202521996</v>
      </c>
      <c r="R6633" t="s">
        <v>664</v>
      </c>
      <c r="S6633" t="s">
        <v>823</v>
      </c>
      <c r="T6633">
        <v>41</v>
      </c>
      <c r="U6633" s="26" t="str">
        <f t="shared" si="268"/>
        <v>2024.035B.Tubulavirales_34ng_49ns.zip</v>
      </c>
    </row>
    <row r="6634" spans="1:21">
      <c r="A6634">
        <v>6633</v>
      </c>
      <c r="B6634" s="27" t="s">
        <v>20808</v>
      </c>
      <c r="D6634" s="27" t="s">
        <v>1800</v>
      </c>
      <c r="F6634" s="27" t="s">
        <v>1801</v>
      </c>
      <c r="H6634" s="27" t="s">
        <v>1802</v>
      </c>
      <c r="J6634" s="27" t="s">
        <v>1803</v>
      </c>
      <c r="L6634" s="27" t="s">
        <v>373</v>
      </c>
      <c r="N6634" s="27" t="s">
        <v>21027</v>
      </c>
      <c r="P6634" s="27" t="s">
        <v>21033</v>
      </c>
      <c r="Q6634" s="26" t="str">
        <f>HYPERLINK("https://ictv.global/taxonomy/taxondetails?taxnode_id=202522001&amp;ictv_id=ICTV202522001","ICTV202522001")</f>
        <v>ICTV202522001</v>
      </c>
      <c r="R6634" t="s">
        <v>664</v>
      </c>
      <c r="S6634" t="s">
        <v>823</v>
      </c>
      <c r="T6634">
        <v>41</v>
      </c>
      <c r="U6634" s="26" t="str">
        <f t="shared" si="268"/>
        <v>2024.035B.Tubulavirales_34ng_49ns.zip</v>
      </c>
    </row>
    <row r="6635" spans="1:21">
      <c r="A6635">
        <v>6634</v>
      </c>
      <c r="B6635" s="27" t="s">
        <v>20808</v>
      </c>
      <c r="D6635" s="27" t="s">
        <v>1800</v>
      </c>
      <c r="F6635" s="27" t="s">
        <v>1801</v>
      </c>
      <c r="H6635" s="27" t="s">
        <v>1802</v>
      </c>
      <c r="J6635" s="27" t="s">
        <v>1803</v>
      </c>
      <c r="L6635" s="27" t="s">
        <v>373</v>
      </c>
      <c r="N6635" s="27" t="s">
        <v>21027</v>
      </c>
      <c r="P6635" s="27" t="s">
        <v>21031</v>
      </c>
      <c r="Q6635" s="26" t="str">
        <f>HYPERLINK("https://ictv.global/taxonomy/taxondetails?taxnode_id=202521999&amp;ictv_id=ICTV202521999","ICTV202521999")</f>
        <v>ICTV202521999</v>
      </c>
      <c r="R6635" t="s">
        <v>664</v>
      </c>
      <c r="S6635" t="s">
        <v>823</v>
      </c>
      <c r="T6635">
        <v>41</v>
      </c>
      <c r="U6635" s="26" t="str">
        <f t="shared" si="268"/>
        <v>2024.035B.Tubulavirales_34ng_49ns.zip</v>
      </c>
    </row>
    <row r="6636" spans="1:21">
      <c r="A6636">
        <v>6635</v>
      </c>
      <c r="B6636" s="27" t="s">
        <v>20808</v>
      </c>
      <c r="D6636" s="27" t="s">
        <v>1800</v>
      </c>
      <c r="F6636" s="27" t="s">
        <v>1801</v>
      </c>
      <c r="H6636" s="27" t="s">
        <v>1802</v>
      </c>
      <c r="J6636" s="27" t="s">
        <v>1803</v>
      </c>
      <c r="L6636" s="27" t="s">
        <v>373</v>
      </c>
      <c r="N6636" s="27" t="s">
        <v>21027</v>
      </c>
      <c r="P6636" s="27" t="s">
        <v>21032</v>
      </c>
      <c r="Q6636" s="26" t="str">
        <f>HYPERLINK("https://ictv.global/taxonomy/taxondetails?taxnode_id=202522000&amp;ictv_id=ICTV202522000","ICTV202522000")</f>
        <v>ICTV202522000</v>
      </c>
      <c r="R6636" t="s">
        <v>664</v>
      </c>
      <c r="S6636" t="s">
        <v>823</v>
      </c>
      <c r="T6636">
        <v>41</v>
      </c>
      <c r="U6636" s="26" t="str">
        <f t="shared" si="268"/>
        <v>2024.035B.Tubulavirales_34ng_49ns.zip</v>
      </c>
    </row>
    <row r="6637" spans="1:21">
      <c r="A6637">
        <v>6636</v>
      </c>
      <c r="B6637" s="27" t="s">
        <v>20808</v>
      </c>
      <c r="D6637" s="27" t="s">
        <v>1800</v>
      </c>
      <c r="F6637" s="27" t="s">
        <v>1801</v>
      </c>
      <c r="H6637" s="27" t="s">
        <v>1802</v>
      </c>
      <c r="J6637" s="27" t="s">
        <v>1803</v>
      </c>
      <c r="L6637" s="27" t="s">
        <v>373</v>
      </c>
      <c r="N6637" s="27" t="s">
        <v>1815</v>
      </c>
      <c r="P6637" s="27" t="s">
        <v>8235</v>
      </c>
      <c r="Q6637" s="26" t="str">
        <f>HYPERLINK("https://ictv.global/taxonomy/taxondetails?taxnode_id=202503713&amp;ictv_id=ICTV20165398","ICTV20165398")</f>
        <v>ICTV20165398</v>
      </c>
      <c r="R6637" t="s">
        <v>660</v>
      </c>
      <c r="S6637" t="s">
        <v>22763</v>
      </c>
      <c r="T6637">
        <v>41</v>
      </c>
      <c r="U6637" s="26" t="str">
        <f t="shared" ref="U6637:U6652" si="269">HYPERLINK("https://ictv.global/ictv/proposals/2025.002G.Monodnaviria_reorg_4nr.zip","2025.002G.Monodnaviria_reorg_4nr.zip")</f>
        <v>2025.002G.Monodnaviria_reorg_4nr.zip</v>
      </c>
    </row>
    <row r="6638" spans="1:21">
      <c r="A6638">
        <v>6637</v>
      </c>
      <c r="B6638" s="27" t="s">
        <v>20808</v>
      </c>
      <c r="D6638" s="27" t="s">
        <v>1800</v>
      </c>
      <c r="F6638" s="27" t="s">
        <v>1801</v>
      </c>
      <c r="H6638" s="27" t="s">
        <v>1802</v>
      </c>
      <c r="J6638" s="27" t="s">
        <v>1803</v>
      </c>
      <c r="L6638" s="27" t="s">
        <v>373</v>
      </c>
      <c r="N6638" s="27" t="s">
        <v>1816</v>
      </c>
      <c r="P6638" s="27" t="s">
        <v>8236</v>
      </c>
      <c r="Q6638" s="26" t="str">
        <f>HYPERLINK("https://ictv.global/taxonomy/taxondetails?taxnode_id=202503707&amp;ictv_id=ICTV19910818","ICTV19910818")</f>
        <v>ICTV19910818</v>
      </c>
      <c r="R6638" t="s">
        <v>664</v>
      </c>
      <c r="S6638" t="s">
        <v>22763</v>
      </c>
      <c r="T6638">
        <v>41</v>
      </c>
      <c r="U6638" s="26" t="str">
        <f t="shared" si="269"/>
        <v>2025.002G.Monodnaviria_reorg_4nr.zip</v>
      </c>
    </row>
    <row r="6639" spans="1:21">
      <c r="A6639">
        <v>6638</v>
      </c>
      <c r="B6639" s="27" t="s">
        <v>20808</v>
      </c>
      <c r="D6639" s="27" t="s">
        <v>1800</v>
      </c>
      <c r="F6639" s="27" t="s">
        <v>1801</v>
      </c>
      <c r="H6639" s="27" t="s">
        <v>1802</v>
      </c>
      <c r="J6639" s="27" t="s">
        <v>1803</v>
      </c>
      <c r="L6639" s="27" t="s">
        <v>373</v>
      </c>
      <c r="N6639" s="27" t="s">
        <v>8237</v>
      </c>
      <c r="P6639" s="27" t="s">
        <v>8238</v>
      </c>
      <c r="Q6639" s="26" t="str">
        <f>HYPERLINK("https://ictv.global/taxonomy/taxondetails?taxnode_id=202512624&amp;ictv_id=ICTV202112624","ICTV202112624")</f>
        <v>ICTV202112624</v>
      </c>
      <c r="R6639" t="s">
        <v>660</v>
      </c>
      <c r="S6639" t="s">
        <v>22763</v>
      </c>
      <c r="T6639">
        <v>41</v>
      </c>
      <c r="U6639" s="26" t="str">
        <f t="shared" si="269"/>
        <v>2025.002G.Monodnaviria_reorg_4nr.zip</v>
      </c>
    </row>
    <row r="6640" spans="1:21">
      <c r="A6640">
        <v>6639</v>
      </c>
      <c r="B6640" s="27" t="s">
        <v>20808</v>
      </c>
      <c r="D6640" s="27" t="s">
        <v>1800</v>
      </c>
      <c r="F6640" s="27" t="s">
        <v>1801</v>
      </c>
      <c r="H6640" s="27" t="s">
        <v>1802</v>
      </c>
      <c r="J6640" s="27" t="s">
        <v>1803</v>
      </c>
      <c r="L6640" s="27" t="s">
        <v>373</v>
      </c>
      <c r="N6640" s="27" t="s">
        <v>1818</v>
      </c>
      <c r="P6640" s="27" t="s">
        <v>8239</v>
      </c>
      <c r="Q6640" s="26" t="str">
        <f>HYPERLINK("https://ictv.global/taxonomy/taxondetails?taxnode_id=202512616&amp;ictv_id=ICTV202112616","ICTV202112616")</f>
        <v>ICTV202112616</v>
      </c>
      <c r="R6640" t="s">
        <v>660</v>
      </c>
      <c r="S6640" t="s">
        <v>22763</v>
      </c>
      <c r="T6640">
        <v>41</v>
      </c>
      <c r="U6640" s="26" t="str">
        <f t="shared" si="269"/>
        <v>2025.002G.Monodnaviria_reorg_4nr.zip</v>
      </c>
    </row>
    <row r="6641" spans="1:21">
      <c r="A6641">
        <v>6640</v>
      </c>
      <c r="B6641" s="27" t="s">
        <v>20808</v>
      </c>
      <c r="D6641" s="27" t="s">
        <v>1800</v>
      </c>
      <c r="F6641" s="27" t="s">
        <v>1801</v>
      </c>
      <c r="H6641" s="27" t="s">
        <v>1802</v>
      </c>
      <c r="J6641" s="27" t="s">
        <v>1803</v>
      </c>
      <c r="L6641" s="27" t="s">
        <v>373</v>
      </c>
      <c r="N6641" s="27" t="s">
        <v>1818</v>
      </c>
      <c r="P6641" s="27" t="s">
        <v>8240</v>
      </c>
      <c r="Q6641" s="26" t="str">
        <f>HYPERLINK("https://ictv.global/taxonomy/taxondetails?taxnode_id=202503719&amp;ictv_id=ICTV20165402","ICTV20165402")</f>
        <v>ICTV20165402</v>
      </c>
      <c r="R6641" t="s">
        <v>660</v>
      </c>
      <c r="S6641" t="s">
        <v>22763</v>
      </c>
      <c r="T6641">
        <v>41</v>
      </c>
      <c r="U6641" s="26" t="str">
        <f t="shared" si="269"/>
        <v>2025.002G.Monodnaviria_reorg_4nr.zip</v>
      </c>
    </row>
    <row r="6642" spans="1:21">
      <c r="A6642">
        <v>6641</v>
      </c>
      <c r="B6642" s="27" t="s">
        <v>20808</v>
      </c>
      <c r="D6642" s="27" t="s">
        <v>1800</v>
      </c>
      <c r="F6642" s="27" t="s">
        <v>1801</v>
      </c>
      <c r="H6642" s="27" t="s">
        <v>1802</v>
      </c>
      <c r="J6642" s="27" t="s">
        <v>1803</v>
      </c>
      <c r="L6642" s="27" t="s">
        <v>373</v>
      </c>
      <c r="N6642" s="27" t="s">
        <v>1818</v>
      </c>
      <c r="P6642" s="27" t="s">
        <v>12247</v>
      </c>
      <c r="Q6642" s="26" t="str">
        <f>HYPERLINK("https://ictv.global/taxonomy/taxondetails?taxnode_id=202519397&amp;ictv_id=ICTV202319397","ICTV202319397")</f>
        <v>ICTV202319397</v>
      </c>
      <c r="R6642" t="s">
        <v>660</v>
      </c>
      <c r="S6642" t="s">
        <v>22763</v>
      </c>
      <c r="T6642">
        <v>41</v>
      </c>
      <c r="U6642" s="26" t="str">
        <f t="shared" si="269"/>
        <v>2025.002G.Monodnaviria_reorg_4nr.zip</v>
      </c>
    </row>
    <row r="6643" spans="1:21">
      <c r="A6643">
        <v>6642</v>
      </c>
      <c r="B6643" s="27" t="s">
        <v>20808</v>
      </c>
      <c r="D6643" s="27" t="s">
        <v>1800</v>
      </c>
      <c r="F6643" s="27" t="s">
        <v>1801</v>
      </c>
      <c r="H6643" s="27" t="s">
        <v>1802</v>
      </c>
      <c r="J6643" s="27" t="s">
        <v>1803</v>
      </c>
      <c r="L6643" s="27" t="s">
        <v>373</v>
      </c>
      <c r="N6643" s="27" t="s">
        <v>1818</v>
      </c>
      <c r="P6643" s="27" t="s">
        <v>12248</v>
      </c>
      <c r="Q6643" s="26" t="str">
        <f>HYPERLINK("https://ictv.global/taxonomy/taxondetails?taxnode_id=202519395&amp;ictv_id=ICTV202319395","ICTV202319395")</f>
        <v>ICTV202319395</v>
      </c>
      <c r="R6643" t="s">
        <v>660</v>
      </c>
      <c r="S6643" t="s">
        <v>22763</v>
      </c>
      <c r="T6643">
        <v>41</v>
      </c>
      <c r="U6643" s="26" t="str">
        <f t="shared" si="269"/>
        <v>2025.002G.Monodnaviria_reorg_4nr.zip</v>
      </c>
    </row>
    <row r="6644" spans="1:21">
      <c r="A6644">
        <v>6643</v>
      </c>
      <c r="B6644" s="27" t="s">
        <v>20808</v>
      </c>
      <c r="D6644" s="27" t="s">
        <v>1800</v>
      </c>
      <c r="F6644" s="27" t="s">
        <v>1801</v>
      </c>
      <c r="H6644" s="27" t="s">
        <v>1802</v>
      </c>
      <c r="J6644" s="27" t="s">
        <v>1803</v>
      </c>
      <c r="L6644" s="27" t="s">
        <v>373</v>
      </c>
      <c r="N6644" s="27" t="s">
        <v>1818</v>
      </c>
      <c r="P6644" s="27" t="s">
        <v>12249</v>
      </c>
      <c r="Q6644" s="26" t="str">
        <f>HYPERLINK("https://ictv.global/taxonomy/taxondetails?taxnode_id=202519396&amp;ictv_id=ICTV202319396","ICTV202319396")</f>
        <v>ICTV202319396</v>
      </c>
      <c r="R6644" t="s">
        <v>660</v>
      </c>
      <c r="S6644" t="s">
        <v>22763</v>
      </c>
      <c r="T6644">
        <v>41</v>
      </c>
      <c r="U6644" s="26" t="str">
        <f t="shared" si="269"/>
        <v>2025.002G.Monodnaviria_reorg_4nr.zip</v>
      </c>
    </row>
    <row r="6645" spans="1:21">
      <c r="A6645">
        <v>6644</v>
      </c>
      <c r="B6645" s="27" t="s">
        <v>20808</v>
      </c>
      <c r="D6645" s="27" t="s">
        <v>1800</v>
      </c>
      <c r="F6645" s="27" t="s">
        <v>1801</v>
      </c>
      <c r="H6645" s="27" t="s">
        <v>1802</v>
      </c>
      <c r="J6645" s="27" t="s">
        <v>1803</v>
      </c>
      <c r="L6645" s="27" t="s">
        <v>373</v>
      </c>
      <c r="N6645" s="27" t="s">
        <v>1818</v>
      </c>
      <c r="P6645" s="27" t="s">
        <v>12250</v>
      </c>
      <c r="Q6645" s="26" t="str">
        <f>HYPERLINK("https://ictv.global/taxonomy/taxondetails?taxnode_id=202519398&amp;ictv_id=ICTV202319398","ICTV202319398")</f>
        <v>ICTV202319398</v>
      </c>
      <c r="R6645" t="s">
        <v>660</v>
      </c>
      <c r="S6645" t="s">
        <v>22763</v>
      </c>
      <c r="T6645">
        <v>41</v>
      </c>
      <c r="U6645" s="26" t="str">
        <f t="shared" si="269"/>
        <v>2025.002G.Monodnaviria_reorg_4nr.zip</v>
      </c>
    </row>
    <row r="6646" spans="1:21">
      <c r="A6646">
        <v>6645</v>
      </c>
      <c r="B6646" s="27" t="s">
        <v>20808</v>
      </c>
      <c r="D6646" s="27" t="s">
        <v>1800</v>
      </c>
      <c r="F6646" s="27" t="s">
        <v>1801</v>
      </c>
      <c r="H6646" s="27" t="s">
        <v>1802</v>
      </c>
      <c r="J6646" s="27" t="s">
        <v>1803</v>
      </c>
      <c r="L6646" s="27" t="s">
        <v>373</v>
      </c>
      <c r="N6646" s="27" t="s">
        <v>1818</v>
      </c>
      <c r="P6646" s="27" t="s">
        <v>12251</v>
      </c>
      <c r="Q6646" s="26" t="str">
        <f>HYPERLINK("https://ictv.global/taxonomy/taxondetails?taxnode_id=202519394&amp;ictv_id=ICTV202319394","ICTV202319394")</f>
        <v>ICTV202319394</v>
      </c>
      <c r="R6646" t="s">
        <v>660</v>
      </c>
      <c r="S6646" t="s">
        <v>22763</v>
      </c>
      <c r="T6646">
        <v>41</v>
      </c>
      <c r="U6646" s="26" t="str">
        <f t="shared" si="269"/>
        <v>2025.002G.Monodnaviria_reorg_4nr.zip</v>
      </c>
    </row>
    <row r="6647" spans="1:21">
      <c r="A6647">
        <v>6646</v>
      </c>
      <c r="B6647" s="27" t="s">
        <v>20808</v>
      </c>
      <c r="D6647" s="27" t="s">
        <v>1800</v>
      </c>
      <c r="F6647" s="27" t="s">
        <v>1801</v>
      </c>
      <c r="H6647" s="27" t="s">
        <v>1802</v>
      </c>
      <c r="J6647" s="27" t="s">
        <v>1803</v>
      </c>
      <c r="L6647" s="27" t="s">
        <v>373</v>
      </c>
      <c r="N6647" s="27" t="s">
        <v>1818</v>
      </c>
      <c r="P6647" s="27" t="s">
        <v>12252</v>
      </c>
      <c r="Q6647" s="26" t="str">
        <f>HYPERLINK("https://ictv.global/taxonomy/taxondetails?taxnode_id=202519393&amp;ictv_id=ICTV202319393","ICTV202319393")</f>
        <v>ICTV202319393</v>
      </c>
      <c r="R6647" t="s">
        <v>660</v>
      </c>
      <c r="S6647" t="s">
        <v>22763</v>
      </c>
      <c r="T6647">
        <v>41</v>
      </c>
      <c r="U6647" s="26" t="str">
        <f t="shared" si="269"/>
        <v>2025.002G.Monodnaviria_reorg_4nr.zip</v>
      </c>
    </row>
    <row r="6648" spans="1:21">
      <c r="A6648">
        <v>6647</v>
      </c>
      <c r="B6648" s="27" t="s">
        <v>20808</v>
      </c>
      <c r="D6648" s="27" t="s">
        <v>1800</v>
      </c>
      <c r="F6648" s="27" t="s">
        <v>1801</v>
      </c>
      <c r="H6648" s="27" t="s">
        <v>1802</v>
      </c>
      <c r="J6648" s="27" t="s">
        <v>1803</v>
      </c>
      <c r="L6648" s="27" t="s">
        <v>373</v>
      </c>
      <c r="N6648" s="27" t="s">
        <v>1819</v>
      </c>
      <c r="P6648" s="27" t="s">
        <v>8241</v>
      </c>
      <c r="Q6648" s="26" t="str">
        <f>HYPERLINK("https://ictv.global/taxonomy/taxondetails?taxnode_id=202503717&amp;ictv_id=ICTV20165401","ICTV20165401")</f>
        <v>ICTV20165401</v>
      </c>
      <c r="R6648" t="s">
        <v>660</v>
      </c>
      <c r="S6648" t="s">
        <v>22763</v>
      </c>
      <c r="T6648">
        <v>41</v>
      </c>
      <c r="U6648" s="26" t="str">
        <f t="shared" si="269"/>
        <v>2025.002G.Monodnaviria_reorg_4nr.zip</v>
      </c>
    </row>
    <row r="6649" spans="1:21">
      <c r="A6649">
        <v>6648</v>
      </c>
      <c r="B6649" s="27" t="s">
        <v>20808</v>
      </c>
      <c r="D6649" s="27" t="s">
        <v>1800</v>
      </c>
      <c r="F6649" s="27" t="s">
        <v>1801</v>
      </c>
      <c r="H6649" s="27" t="s">
        <v>1802</v>
      </c>
      <c r="J6649" s="27" t="s">
        <v>1803</v>
      </c>
      <c r="L6649" s="27" t="s">
        <v>373</v>
      </c>
      <c r="N6649" s="27" t="s">
        <v>1820</v>
      </c>
      <c r="P6649" s="27" t="s">
        <v>12253</v>
      </c>
      <c r="Q6649" s="26" t="str">
        <f>HYPERLINK("https://ictv.global/taxonomy/taxondetails?taxnode_id=202519392&amp;ictv_id=ICTV202319392","ICTV202319392")</f>
        <v>ICTV202319392</v>
      </c>
      <c r="R6649" t="s">
        <v>660</v>
      </c>
      <c r="S6649" t="s">
        <v>22763</v>
      </c>
      <c r="T6649">
        <v>41</v>
      </c>
      <c r="U6649" s="26" t="str">
        <f t="shared" si="269"/>
        <v>2025.002G.Monodnaviria_reorg_4nr.zip</v>
      </c>
    </row>
    <row r="6650" spans="1:21">
      <c r="A6650">
        <v>6649</v>
      </c>
      <c r="B6650" s="27" t="s">
        <v>20808</v>
      </c>
      <c r="D6650" s="27" t="s">
        <v>1800</v>
      </c>
      <c r="F6650" s="27" t="s">
        <v>1801</v>
      </c>
      <c r="H6650" s="27" t="s">
        <v>1802</v>
      </c>
      <c r="J6650" s="27" t="s">
        <v>1803</v>
      </c>
      <c r="L6650" s="27" t="s">
        <v>373</v>
      </c>
      <c r="N6650" s="27" t="s">
        <v>1820</v>
      </c>
      <c r="P6650" s="27" t="s">
        <v>12254</v>
      </c>
      <c r="Q6650" s="26" t="str">
        <f>HYPERLINK("https://ictv.global/taxonomy/taxondetails?taxnode_id=202519391&amp;ictv_id=ICTV202319391","ICTV202319391")</f>
        <v>ICTV202319391</v>
      </c>
      <c r="R6650" t="s">
        <v>664</v>
      </c>
      <c r="S6650" t="s">
        <v>22763</v>
      </c>
      <c r="T6650">
        <v>41</v>
      </c>
      <c r="U6650" s="26" t="str">
        <f t="shared" si="269"/>
        <v>2025.002G.Monodnaviria_reorg_4nr.zip</v>
      </c>
    </row>
    <row r="6651" spans="1:21">
      <c r="A6651">
        <v>6650</v>
      </c>
      <c r="B6651" s="27" t="s">
        <v>20808</v>
      </c>
      <c r="D6651" s="27" t="s">
        <v>1800</v>
      </c>
      <c r="F6651" s="27" t="s">
        <v>1801</v>
      </c>
      <c r="H6651" s="27" t="s">
        <v>1802</v>
      </c>
      <c r="J6651" s="27" t="s">
        <v>1803</v>
      </c>
      <c r="L6651" s="27" t="s">
        <v>373</v>
      </c>
      <c r="N6651" s="27" t="s">
        <v>1820</v>
      </c>
      <c r="P6651" s="27" t="s">
        <v>8242</v>
      </c>
      <c r="Q6651" s="26" t="str">
        <f>HYPERLINK("https://ictv.global/taxonomy/taxondetails?taxnode_id=202512615&amp;ictv_id=ICTV202112615","ICTV202112615")</f>
        <v>ICTV202112615</v>
      </c>
      <c r="R6651" t="s">
        <v>660</v>
      </c>
      <c r="S6651" t="s">
        <v>22763</v>
      </c>
      <c r="T6651">
        <v>41</v>
      </c>
      <c r="U6651" s="26" t="str">
        <f t="shared" si="269"/>
        <v>2025.002G.Monodnaviria_reorg_4nr.zip</v>
      </c>
    </row>
    <row r="6652" spans="1:21">
      <c r="A6652">
        <v>6651</v>
      </c>
      <c r="B6652" s="27" t="s">
        <v>20808</v>
      </c>
      <c r="D6652" s="27" t="s">
        <v>1800</v>
      </c>
      <c r="F6652" s="27" t="s">
        <v>1801</v>
      </c>
      <c r="H6652" s="27" t="s">
        <v>1802</v>
      </c>
      <c r="J6652" s="27" t="s">
        <v>1803</v>
      </c>
      <c r="L6652" s="27" t="s">
        <v>373</v>
      </c>
      <c r="N6652" s="27" t="s">
        <v>1820</v>
      </c>
      <c r="P6652" s="27" t="s">
        <v>8243</v>
      </c>
      <c r="Q6652" s="26" t="str">
        <f>HYPERLINK("https://ictv.global/taxonomy/taxondetails?taxnode_id=202503718&amp;ictv_id=ICTV19910821","ICTV19910821")</f>
        <v>ICTV19910821</v>
      </c>
      <c r="R6652" t="s">
        <v>664</v>
      </c>
      <c r="S6652" t="s">
        <v>22763</v>
      </c>
      <c r="T6652">
        <v>41</v>
      </c>
      <c r="U6652" s="26" t="str">
        <f t="shared" si="269"/>
        <v>2025.002G.Monodnaviria_reorg_4nr.zip</v>
      </c>
    </row>
    <row r="6653" spans="1:21">
      <c r="A6653">
        <v>6652</v>
      </c>
      <c r="B6653" s="27" t="s">
        <v>20808</v>
      </c>
      <c r="D6653" s="27" t="s">
        <v>1800</v>
      </c>
      <c r="F6653" s="27" t="s">
        <v>1801</v>
      </c>
      <c r="H6653" s="27" t="s">
        <v>1802</v>
      </c>
      <c r="J6653" s="27" t="s">
        <v>1803</v>
      </c>
      <c r="L6653" s="27" t="s">
        <v>373</v>
      </c>
      <c r="N6653" s="27" t="s">
        <v>21072</v>
      </c>
      <c r="P6653" s="27" t="s">
        <v>21073</v>
      </c>
      <c r="Q6653" s="26" t="str">
        <f>HYPERLINK("https://ictv.global/taxonomy/taxondetails?taxnode_id=202522023&amp;ictv_id=ICTV202522023","ICTV202522023")</f>
        <v>ICTV202522023</v>
      </c>
      <c r="R6653" t="s">
        <v>664</v>
      </c>
      <c r="S6653" t="s">
        <v>823</v>
      </c>
      <c r="T6653">
        <v>41</v>
      </c>
      <c r="U6653" s="26" t="str">
        <f>HYPERLINK("https://ictv.global/ictv/proposals/2024.035B.Tubulavirales_34ng_49ns.zip","2024.035B.Tubulavirales_34ng_49ns.zip")</f>
        <v>2024.035B.Tubulavirales_34ng_49ns.zip</v>
      </c>
    </row>
    <row r="6654" spans="1:21">
      <c r="A6654">
        <v>6653</v>
      </c>
      <c r="B6654" s="27" t="s">
        <v>20808</v>
      </c>
      <c r="D6654" s="27" t="s">
        <v>1800</v>
      </c>
      <c r="F6654" s="27" t="s">
        <v>1801</v>
      </c>
      <c r="H6654" s="27" t="s">
        <v>1802</v>
      </c>
      <c r="J6654" s="27" t="s">
        <v>1803</v>
      </c>
      <c r="L6654" s="27" t="s">
        <v>373</v>
      </c>
      <c r="N6654" s="27" t="s">
        <v>21011</v>
      </c>
      <c r="P6654" s="27" t="s">
        <v>21012</v>
      </c>
      <c r="Q6654" s="26" t="str">
        <f>HYPERLINK("https://ictv.global/taxonomy/taxondetails?taxnode_id=202521986&amp;ictv_id=ICTV202521986","ICTV202521986")</f>
        <v>ICTV202521986</v>
      </c>
      <c r="R6654" t="s">
        <v>664</v>
      </c>
      <c r="S6654" t="s">
        <v>823</v>
      </c>
      <c r="T6654">
        <v>41</v>
      </c>
      <c r="U6654" s="26" t="str">
        <f>HYPERLINK("https://ictv.global/ictv/proposals/2024.035B.Tubulavirales_34ng_49ns.zip","2024.035B.Tubulavirales_34ng_49ns.zip")</f>
        <v>2024.035B.Tubulavirales_34ng_49ns.zip</v>
      </c>
    </row>
    <row r="6655" spans="1:21">
      <c r="A6655">
        <v>6654</v>
      </c>
      <c r="B6655" s="27" t="s">
        <v>20808</v>
      </c>
      <c r="D6655" s="27" t="s">
        <v>1800</v>
      </c>
      <c r="F6655" s="27" t="s">
        <v>1801</v>
      </c>
      <c r="H6655" s="27" t="s">
        <v>1802</v>
      </c>
      <c r="J6655" s="27" t="s">
        <v>1803</v>
      </c>
      <c r="L6655" s="27" t="s">
        <v>373</v>
      </c>
      <c r="N6655" s="27" t="s">
        <v>21065</v>
      </c>
      <c r="P6655" s="27" t="s">
        <v>21066</v>
      </c>
      <c r="Q6655" s="26" t="str">
        <f>HYPERLINK("https://ictv.global/taxonomy/taxondetails?taxnode_id=202522019&amp;ictv_id=ICTV202522019","ICTV202522019")</f>
        <v>ICTV202522019</v>
      </c>
      <c r="R6655" t="s">
        <v>664</v>
      </c>
      <c r="S6655" t="s">
        <v>823</v>
      </c>
      <c r="T6655">
        <v>41</v>
      </c>
      <c r="U6655" s="26" t="str">
        <f>HYPERLINK("https://ictv.global/ictv/proposals/2024.035B.Tubulavirales_34ng_49ns.zip","2024.035B.Tubulavirales_34ng_49ns.zip")</f>
        <v>2024.035B.Tubulavirales_34ng_49ns.zip</v>
      </c>
    </row>
    <row r="6656" spans="1:21">
      <c r="A6656">
        <v>6655</v>
      </c>
      <c r="B6656" s="27" t="s">
        <v>20808</v>
      </c>
      <c r="D6656" s="27" t="s">
        <v>1800</v>
      </c>
      <c r="F6656" s="27" t="s">
        <v>1801</v>
      </c>
      <c r="H6656" s="27" t="s">
        <v>1802</v>
      </c>
      <c r="J6656" s="27" t="s">
        <v>1803</v>
      </c>
      <c r="L6656" s="27" t="s">
        <v>373</v>
      </c>
      <c r="N6656" s="27" t="s">
        <v>1821</v>
      </c>
      <c r="P6656" s="27" t="s">
        <v>8244</v>
      </c>
      <c r="Q6656" s="26" t="str">
        <f>HYPERLINK("https://ictv.global/taxonomy/taxondetails?taxnode_id=202512617&amp;ictv_id=ICTV202112617","ICTV202112617")</f>
        <v>ICTV202112617</v>
      </c>
      <c r="R6656" t="s">
        <v>660</v>
      </c>
      <c r="S6656" t="s">
        <v>22763</v>
      </c>
      <c r="T6656">
        <v>41</v>
      </c>
      <c r="U6656" s="26" t="str">
        <f>HYPERLINK("https://ictv.global/ictv/proposals/2025.002G.Monodnaviria_reorg_4nr.zip","2025.002G.Monodnaviria_reorg_4nr.zip")</f>
        <v>2025.002G.Monodnaviria_reorg_4nr.zip</v>
      </c>
    </row>
    <row r="6657" spans="1:21">
      <c r="A6657">
        <v>6656</v>
      </c>
      <c r="B6657" s="27" t="s">
        <v>20808</v>
      </c>
      <c r="D6657" s="27" t="s">
        <v>1800</v>
      </c>
      <c r="F6657" s="27" t="s">
        <v>1801</v>
      </c>
      <c r="H6657" s="27" t="s">
        <v>1802</v>
      </c>
      <c r="J6657" s="27" t="s">
        <v>1803</v>
      </c>
      <c r="L6657" s="27" t="s">
        <v>373</v>
      </c>
      <c r="N6657" s="27" t="s">
        <v>1821</v>
      </c>
      <c r="P6657" s="27" t="s">
        <v>8245</v>
      </c>
      <c r="Q6657" s="26" t="str">
        <f>HYPERLINK("https://ictv.global/taxonomy/taxondetails?taxnode_id=202506876&amp;ictv_id=ICTV201856876","ICTV201856876")</f>
        <v>ICTV201856876</v>
      </c>
      <c r="R6657" t="s">
        <v>660</v>
      </c>
      <c r="S6657" t="s">
        <v>22763</v>
      </c>
      <c r="T6657">
        <v>41</v>
      </c>
      <c r="U6657" s="26" t="str">
        <f>HYPERLINK("https://ictv.global/ictv/proposals/2025.002G.Monodnaviria_reorg_4nr.zip","2025.002G.Monodnaviria_reorg_4nr.zip")</f>
        <v>2025.002G.Monodnaviria_reorg_4nr.zip</v>
      </c>
    </row>
    <row r="6658" spans="1:21">
      <c r="A6658">
        <v>6657</v>
      </c>
      <c r="B6658" s="27" t="s">
        <v>20808</v>
      </c>
      <c r="D6658" s="27" t="s">
        <v>1800</v>
      </c>
      <c r="F6658" s="27" t="s">
        <v>1801</v>
      </c>
      <c r="H6658" s="27" t="s">
        <v>1802</v>
      </c>
      <c r="J6658" s="27" t="s">
        <v>1803</v>
      </c>
      <c r="L6658" s="27" t="s">
        <v>2332</v>
      </c>
      <c r="N6658" s="27" t="s">
        <v>1805</v>
      </c>
      <c r="P6658" s="27" t="s">
        <v>8246</v>
      </c>
      <c r="Q6658" s="26" t="str">
        <f>HYPERLINK("https://ictv.global/taxonomy/taxondetails?taxnode_id=202503705&amp;ictv_id=ICTV20165392","ICTV20165392")</f>
        <v>ICTV20165392</v>
      </c>
      <c r="R6658" t="s">
        <v>664</v>
      </c>
      <c r="S6658" t="s">
        <v>22763</v>
      </c>
      <c r="T6658">
        <v>41</v>
      </c>
      <c r="U6658" s="26" t="str">
        <f>HYPERLINK("https://ictv.global/ictv/proposals/2025.002G.Monodnaviria_reorg_4nr.zip","2025.002G.Monodnaviria_reorg_4nr.zip")</f>
        <v>2025.002G.Monodnaviria_reorg_4nr.zip</v>
      </c>
    </row>
    <row r="6659" spans="1:21">
      <c r="A6659">
        <v>6658</v>
      </c>
      <c r="B6659" s="27" t="s">
        <v>20808</v>
      </c>
      <c r="D6659" s="27" t="s">
        <v>1800</v>
      </c>
      <c r="F6659" s="27" t="s">
        <v>1801</v>
      </c>
      <c r="H6659" s="27" t="s">
        <v>1802</v>
      </c>
      <c r="J6659" s="27" t="s">
        <v>1803</v>
      </c>
      <c r="L6659" s="27" t="s">
        <v>2332</v>
      </c>
      <c r="N6659" s="27" t="s">
        <v>1805</v>
      </c>
      <c r="P6659" s="27" t="s">
        <v>19874</v>
      </c>
      <c r="Q6659" s="26" t="str">
        <f>HYPERLINK("https://ictv.global/taxonomy/taxondetails?taxnode_id=202520832&amp;ictv_id=ICTV202420832","ICTV202420832")</f>
        <v>ICTV202420832</v>
      </c>
      <c r="R6659" t="s">
        <v>664</v>
      </c>
      <c r="S6659" t="s">
        <v>22763</v>
      </c>
      <c r="T6659">
        <v>41</v>
      </c>
      <c r="U6659" s="26" t="str">
        <f>HYPERLINK("https://ictv.global/ictv/proposals/2025.002G.Monodnaviria_reorg_4nr.zip","2025.002G.Monodnaviria_reorg_4nr.zip")</f>
        <v>2025.002G.Monodnaviria_reorg_4nr.zip</v>
      </c>
    </row>
    <row r="6660" spans="1:21">
      <c r="A6660">
        <v>6659</v>
      </c>
      <c r="B6660" s="27" t="s">
        <v>20808</v>
      </c>
      <c r="D6660" s="27" t="s">
        <v>1800</v>
      </c>
      <c r="F6660" s="27" t="s">
        <v>1801</v>
      </c>
      <c r="H6660" s="27" t="s">
        <v>1802</v>
      </c>
      <c r="J6660" s="27" t="s">
        <v>1803</v>
      </c>
      <c r="L6660" s="27" t="s">
        <v>2332</v>
      </c>
      <c r="N6660" s="27" t="s">
        <v>1817</v>
      </c>
      <c r="P6660" s="27" t="s">
        <v>8247</v>
      </c>
      <c r="Q6660" s="26" t="str">
        <f>HYPERLINK("https://ictv.global/taxonomy/taxondetails?taxnode_id=202506877&amp;ictv_id=ICTV201856877","ICTV201856877")</f>
        <v>ICTV201856877</v>
      </c>
      <c r="R6660" t="s">
        <v>664</v>
      </c>
      <c r="S6660" t="s">
        <v>22763</v>
      </c>
      <c r="T6660">
        <v>41</v>
      </c>
      <c r="U6660" s="26" t="str">
        <f>HYPERLINK("https://ictv.global/ictv/proposals/2025.002G.Monodnaviria_reorg_4nr.zip","2025.002G.Monodnaviria_reorg_4nr.zip")</f>
        <v>2025.002G.Monodnaviria_reorg_4nr.zip</v>
      </c>
    </row>
    <row r="6661" spans="1:21">
      <c r="A6661">
        <v>6660</v>
      </c>
      <c r="B6661" s="27" t="s">
        <v>20808</v>
      </c>
      <c r="D6661" s="27" t="s">
        <v>1800</v>
      </c>
      <c r="F6661" s="27" t="s">
        <v>1801</v>
      </c>
      <c r="H6661" s="27" t="s">
        <v>1802</v>
      </c>
      <c r="J6661" s="27" t="s">
        <v>1803</v>
      </c>
      <c r="L6661" s="27" t="s">
        <v>2332</v>
      </c>
      <c r="N6661" s="27" t="s">
        <v>1817</v>
      </c>
      <c r="P6661" s="27" t="s">
        <v>21074</v>
      </c>
      <c r="Q6661" s="26" t="str">
        <f>HYPERLINK("https://ictv.global/taxonomy/taxondetails?taxnode_id=202522024&amp;ictv_id=ICTV202522024","ICTV202522024")</f>
        <v>ICTV202522024</v>
      </c>
      <c r="R6661" t="s">
        <v>664</v>
      </c>
      <c r="S6661" t="s">
        <v>823</v>
      </c>
      <c r="T6661">
        <v>41</v>
      </c>
      <c r="U6661" s="26" t="str">
        <f>HYPERLINK("https://ictv.global/ictv/proposals/2024.035B.Tubulavirales_34ng_49ns.zip","2024.035B.Tubulavirales_34ng_49ns.zip")</f>
        <v>2024.035B.Tubulavirales_34ng_49ns.zip</v>
      </c>
    </row>
    <row r="6662" spans="1:21">
      <c r="A6662">
        <v>6661</v>
      </c>
      <c r="B6662" s="27" t="s">
        <v>20808</v>
      </c>
      <c r="D6662" s="27" t="s">
        <v>1800</v>
      </c>
      <c r="F6662" s="27" t="s">
        <v>1801</v>
      </c>
      <c r="H6662" s="27" t="s">
        <v>1802</v>
      </c>
      <c r="J6662" s="27" t="s">
        <v>1803</v>
      </c>
      <c r="L6662" s="27" t="s">
        <v>1822</v>
      </c>
      <c r="N6662" s="27" t="s">
        <v>242</v>
      </c>
      <c r="P6662" s="27" t="s">
        <v>8248</v>
      </c>
      <c r="Q6662" s="26" t="str">
        <f>HYPERLINK("https://ictv.global/taxonomy/taxondetails?taxnode_id=202503699&amp;ictv_id=ICTV19790340","ICTV19790340")</f>
        <v>ICTV19790340</v>
      </c>
      <c r="R6662" t="s">
        <v>664</v>
      </c>
      <c r="S6662" t="s">
        <v>22763</v>
      </c>
      <c r="T6662">
        <v>41</v>
      </c>
      <c r="U6662" s="26" t="str">
        <f t="shared" ref="U6662:U6725" si="270">HYPERLINK("https://ictv.global/ictv/proposals/2025.002G.Monodnaviria_reorg_4nr.zip","2025.002G.Monodnaviria_reorg_4nr.zip")</f>
        <v>2025.002G.Monodnaviria_reorg_4nr.zip</v>
      </c>
    </row>
    <row r="6663" spans="1:21">
      <c r="A6663">
        <v>6662</v>
      </c>
      <c r="B6663" s="27" t="s">
        <v>20808</v>
      </c>
      <c r="D6663" s="27" t="s">
        <v>1800</v>
      </c>
      <c r="F6663" s="27" t="s">
        <v>1801</v>
      </c>
      <c r="H6663" s="27" t="s">
        <v>1802</v>
      </c>
      <c r="J6663" s="27" t="s">
        <v>1803</v>
      </c>
      <c r="L6663" s="27" t="s">
        <v>1822</v>
      </c>
      <c r="N6663" s="27" t="s">
        <v>1823</v>
      </c>
      <c r="P6663" s="27" t="s">
        <v>8249</v>
      </c>
      <c r="Q6663" s="26" t="str">
        <f>HYPERLINK("https://ictv.global/taxonomy/taxondetails?taxnode_id=202503710&amp;ictv_id=ICTV20165395","ICTV20165395")</f>
        <v>ICTV20165395</v>
      </c>
      <c r="R6663" t="s">
        <v>664</v>
      </c>
      <c r="S6663" t="s">
        <v>22763</v>
      </c>
      <c r="T6663">
        <v>41</v>
      </c>
      <c r="U6663" s="26" t="str">
        <f t="shared" si="270"/>
        <v>2025.002G.Monodnaviria_reorg_4nr.zip</v>
      </c>
    </row>
    <row r="6664" spans="1:21">
      <c r="A6664">
        <v>6663</v>
      </c>
      <c r="B6664" s="27" t="s">
        <v>20808</v>
      </c>
      <c r="D6664" s="27" t="s">
        <v>1800</v>
      </c>
      <c r="F6664" s="27" t="s">
        <v>1801</v>
      </c>
      <c r="H6664" s="27" t="s">
        <v>1802</v>
      </c>
      <c r="J6664" s="27" t="s">
        <v>1803</v>
      </c>
      <c r="L6664" s="27" t="s">
        <v>1822</v>
      </c>
      <c r="N6664" s="27" t="s">
        <v>748</v>
      </c>
      <c r="P6664" s="27" t="s">
        <v>8250</v>
      </c>
      <c r="Q6664" s="26" t="str">
        <f>HYPERLINK("https://ictv.global/taxonomy/taxondetails?taxnode_id=202503722&amp;ictv_id=ICTV19991057","ICTV19991057")</f>
        <v>ICTV19991057</v>
      </c>
      <c r="R6664" t="s">
        <v>664</v>
      </c>
      <c r="S6664" t="s">
        <v>22763</v>
      </c>
      <c r="T6664">
        <v>41</v>
      </c>
      <c r="U6664" s="26" t="str">
        <f t="shared" si="270"/>
        <v>2025.002G.Monodnaviria_reorg_4nr.zip</v>
      </c>
    </row>
    <row r="6665" spans="1:21">
      <c r="A6665">
        <v>6664</v>
      </c>
      <c r="B6665" s="27" t="s">
        <v>20808</v>
      </c>
      <c r="D6665" s="27" t="s">
        <v>1800</v>
      </c>
      <c r="F6665" s="27" t="s">
        <v>1801</v>
      </c>
      <c r="H6665" s="27" t="s">
        <v>1802</v>
      </c>
      <c r="J6665" s="27" t="s">
        <v>1803</v>
      </c>
      <c r="L6665" s="27" t="s">
        <v>1822</v>
      </c>
      <c r="N6665" s="27" t="s">
        <v>748</v>
      </c>
      <c r="P6665" s="27" t="s">
        <v>8251</v>
      </c>
      <c r="Q6665" s="26" t="str">
        <f>HYPERLINK("https://ictv.global/taxonomy/taxondetails?taxnode_id=202503723&amp;ictv_id=ICTV19991059","ICTV19991059")</f>
        <v>ICTV19991059</v>
      </c>
      <c r="R6665" t="s">
        <v>664</v>
      </c>
      <c r="S6665" t="s">
        <v>22763</v>
      </c>
      <c r="T6665">
        <v>41</v>
      </c>
      <c r="U6665" s="26" t="str">
        <f t="shared" si="270"/>
        <v>2025.002G.Monodnaviria_reorg_4nr.zip</v>
      </c>
    </row>
    <row r="6666" spans="1:21">
      <c r="A6666">
        <v>6665</v>
      </c>
      <c r="B6666" s="27" t="s">
        <v>20808</v>
      </c>
      <c r="D6666" s="27" t="s">
        <v>1800</v>
      </c>
      <c r="F6666" s="27" t="s">
        <v>1801</v>
      </c>
      <c r="H6666" s="27" t="s">
        <v>1802</v>
      </c>
      <c r="J6666" s="27" t="s">
        <v>1803</v>
      </c>
      <c r="L6666" s="27" t="s">
        <v>1822</v>
      </c>
      <c r="N6666" s="27" t="s">
        <v>748</v>
      </c>
      <c r="P6666" s="27" t="s">
        <v>8252</v>
      </c>
      <c r="Q6666" s="26" t="str">
        <f>HYPERLINK("https://ictv.global/taxonomy/taxondetails?taxnode_id=202503724&amp;ictv_id=ICTV20165403","ICTV20165403")</f>
        <v>ICTV20165403</v>
      </c>
      <c r="R6666" t="s">
        <v>664</v>
      </c>
      <c r="S6666" t="s">
        <v>22763</v>
      </c>
      <c r="T6666">
        <v>41</v>
      </c>
      <c r="U6666" s="26" t="str">
        <f t="shared" si="270"/>
        <v>2025.002G.Monodnaviria_reorg_4nr.zip</v>
      </c>
    </row>
    <row r="6667" spans="1:21">
      <c r="A6667">
        <v>6666</v>
      </c>
      <c r="B6667" s="27" t="s">
        <v>20808</v>
      </c>
      <c r="D6667" s="27" t="s">
        <v>1800</v>
      </c>
      <c r="F6667" s="27" t="s">
        <v>1801</v>
      </c>
      <c r="H6667" s="27" t="s">
        <v>1802</v>
      </c>
      <c r="J6667" s="27" t="s">
        <v>1803</v>
      </c>
      <c r="L6667" s="27" t="s">
        <v>1822</v>
      </c>
      <c r="N6667" s="27" t="s">
        <v>8253</v>
      </c>
      <c r="P6667" s="27" t="s">
        <v>8254</v>
      </c>
      <c r="Q6667" s="26" t="str">
        <f>HYPERLINK("https://ictv.global/taxonomy/taxondetails?taxnode_id=202512635&amp;ictv_id=ICTV202112635","ICTV202112635")</f>
        <v>ICTV202112635</v>
      </c>
      <c r="R6667" t="s">
        <v>664</v>
      </c>
      <c r="S6667" t="s">
        <v>22763</v>
      </c>
      <c r="T6667">
        <v>41</v>
      </c>
      <c r="U6667" s="26" t="str">
        <f t="shared" si="270"/>
        <v>2025.002G.Monodnaviria_reorg_4nr.zip</v>
      </c>
    </row>
    <row r="6668" spans="1:21">
      <c r="A6668">
        <v>6667</v>
      </c>
      <c r="B6668" s="27" t="s">
        <v>20779</v>
      </c>
      <c r="D6668" s="27" t="s">
        <v>1826</v>
      </c>
      <c r="F6668" s="27" t="s">
        <v>19875</v>
      </c>
      <c r="H6668" s="27" t="s">
        <v>19876</v>
      </c>
      <c r="J6668" s="27" t="s">
        <v>19877</v>
      </c>
      <c r="L6668" s="27" t="s">
        <v>124</v>
      </c>
      <c r="N6668" s="27" t="s">
        <v>3660</v>
      </c>
      <c r="P6668" s="27" t="s">
        <v>10999</v>
      </c>
      <c r="Q6668" s="26" t="str">
        <f>HYPERLINK("https://ictv.global/taxonomy/taxondetails?taxnode_id=202509394&amp;ictv_id=ICTV202009394","ICTV202009394")</f>
        <v>ICTV202009394</v>
      </c>
      <c r="R6668" t="s">
        <v>656</v>
      </c>
      <c r="S6668" t="s">
        <v>824</v>
      </c>
      <c r="T6668">
        <v>41</v>
      </c>
      <c r="U6668" s="26" t="str">
        <f t="shared" si="270"/>
        <v>2025.002G.Monodnaviria_reorg_4nr.zip</v>
      </c>
    </row>
    <row r="6669" spans="1:21">
      <c r="A6669">
        <v>6668</v>
      </c>
      <c r="B6669" s="27" t="s">
        <v>20779</v>
      </c>
      <c r="D6669" s="27" t="s">
        <v>1826</v>
      </c>
      <c r="F6669" s="27" t="s">
        <v>19875</v>
      </c>
      <c r="H6669" s="27" t="s">
        <v>19876</v>
      </c>
      <c r="J6669" s="27" t="s">
        <v>19877</v>
      </c>
      <c r="L6669" s="27" t="s">
        <v>124</v>
      </c>
      <c r="N6669" s="27" t="s">
        <v>3660</v>
      </c>
      <c r="P6669" s="27" t="s">
        <v>11000</v>
      </c>
      <c r="Q6669" s="26" t="str">
        <f>HYPERLINK("https://ictv.global/taxonomy/taxondetails?taxnode_id=202509393&amp;ictv_id=ICTV202009393","ICTV202009393")</f>
        <v>ICTV202009393</v>
      </c>
      <c r="R6669" t="s">
        <v>656</v>
      </c>
      <c r="S6669" t="s">
        <v>824</v>
      </c>
      <c r="T6669">
        <v>41</v>
      </c>
      <c r="U6669" s="26" t="str">
        <f t="shared" si="270"/>
        <v>2025.002G.Monodnaviria_reorg_4nr.zip</v>
      </c>
    </row>
    <row r="6670" spans="1:21">
      <c r="A6670">
        <v>6669</v>
      </c>
      <c r="B6670" s="27" t="s">
        <v>20779</v>
      </c>
      <c r="D6670" s="27" t="s">
        <v>1826</v>
      </c>
      <c r="F6670" s="27" t="s">
        <v>19875</v>
      </c>
      <c r="H6670" s="27" t="s">
        <v>19876</v>
      </c>
      <c r="J6670" s="27" t="s">
        <v>19877</v>
      </c>
      <c r="L6670" s="27" t="s">
        <v>124</v>
      </c>
      <c r="N6670" s="27" t="s">
        <v>125</v>
      </c>
      <c r="P6670" s="27" t="s">
        <v>11001</v>
      </c>
      <c r="Q6670" s="26" t="str">
        <f>HYPERLINK("https://ictv.global/taxonomy/taxondetails?taxnode_id=202509395&amp;ictv_id=ICTV202009395","ICTV202009395")</f>
        <v>ICTV202009395</v>
      </c>
      <c r="R6670" t="s">
        <v>656</v>
      </c>
      <c r="S6670" t="s">
        <v>824</v>
      </c>
      <c r="T6670">
        <v>41</v>
      </c>
      <c r="U6670" s="26" t="str">
        <f t="shared" si="270"/>
        <v>2025.002G.Monodnaviria_reorg_4nr.zip</v>
      </c>
    </row>
    <row r="6671" spans="1:21">
      <c r="A6671">
        <v>6670</v>
      </c>
      <c r="B6671" s="27" t="s">
        <v>20779</v>
      </c>
      <c r="D6671" s="27" t="s">
        <v>1826</v>
      </c>
      <c r="F6671" s="27" t="s">
        <v>19875</v>
      </c>
      <c r="H6671" s="27" t="s">
        <v>19876</v>
      </c>
      <c r="J6671" s="27" t="s">
        <v>19877</v>
      </c>
      <c r="L6671" s="27" t="s">
        <v>124</v>
      </c>
      <c r="N6671" s="27" t="s">
        <v>125</v>
      </c>
      <c r="P6671" s="27" t="s">
        <v>11002</v>
      </c>
      <c r="Q6671" s="26" t="str">
        <f>HYPERLINK("https://ictv.global/taxonomy/taxondetails?taxnode_id=202509396&amp;ictv_id=ICTV202009396","ICTV202009396")</f>
        <v>ICTV202009396</v>
      </c>
      <c r="R6671" t="s">
        <v>656</v>
      </c>
      <c r="S6671" t="s">
        <v>824</v>
      </c>
      <c r="T6671">
        <v>41</v>
      </c>
      <c r="U6671" s="26" t="str">
        <f t="shared" si="270"/>
        <v>2025.002G.Monodnaviria_reorg_4nr.zip</v>
      </c>
    </row>
    <row r="6672" spans="1:21">
      <c r="A6672">
        <v>6671</v>
      </c>
      <c r="B6672" s="27" t="s">
        <v>20779</v>
      </c>
      <c r="D6672" s="27" t="s">
        <v>1826</v>
      </c>
      <c r="F6672" s="27" t="s">
        <v>19875</v>
      </c>
      <c r="H6672" s="27" t="s">
        <v>19876</v>
      </c>
      <c r="J6672" s="27" t="s">
        <v>19877</v>
      </c>
      <c r="L6672" s="27" t="s">
        <v>124</v>
      </c>
      <c r="N6672" s="27" t="s">
        <v>125</v>
      </c>
      <c r="P6672" s="27" t="s">
        <v>11003</v>
      </c>
      <c r="Q6672" s="26" t="str">
        <f>HYPERLINK("https://ictv.global/taxonomy/taxondetails?taxnode_id=202509397&amp;ictv_id=ICTV202009397","ICTV202009397")</f>
        <v>ICTV202009397</v>
      </c>
      <c r="R6672" t="s">
        <v>656</v>
      </c>
      <c r="S6672" t="s">
        <v>824</v>
      </c>
      <c r="T6672">
        <v>41</v>
      </c>
      <c r="U6672" s="26" t="str">
        <f t="shared" si="270"/>
        <v>2025.002G.Monodnaviria_reorg_4nr.zip</v>
      </c>
    </row>
    <row r="6673" spans="1:21">
      <c r="A6673">
        <v>6672</v>
      </c>
      <c r="B6673" s="27" t="s">
        <v>20779</v>
      </c>
      <c r="D6673" s="27" t="s">
        <v>1826</v>
      </c>
      <c r="F6673" s="27" t="s">
        <v>19875</v>
      </c>
      <c r="H6673" s="27" t="s">
        <v>19876</v>
      </c>
      <c r="J6673" s="27" t="s">
        <v>19877</v>
      </c>
      <c r="L6673" s="27" t="s">
        <v>124</v>
      </c>
      <c r="N6673" s="27" t="s">
        <v>125</v>
      </c>
      <c r="P6673" s="27" t="s">
        <v>11004</v>
      </c>
      <c r="Q6673" s="26" t="str">
        <f>HYPERLINK("https://ictv.global/taxonomy/taxondetails?taxnode_id=202509398&amp;ictv_id=ICTV202009398","ICTV202009398")</f>
        <v>ICTV202009398</v>
      </c>
      <c r="R6673" t="s">
        <v>656</v>
      </c>
      <c r="S6673" t="s">
        <v>824</v>
      </c>
      <c r="T6673">
        <v>41</v>
      </c>
      <c r="U6673" s="26" t="str">
        <f t="shared" si="270"/>
        <v>2025.002G.Monodnaviria_reorg_4nr.zip</v>
      </c>
    </row>
    <row r="6674" spans="1:21">
      <c r="A6674">
        <v>6673</v>
      </c>
      <c r="B6674" s="27" t="s">
        <v>20779</v>
      </c>
      <c r="D6674" s="27" t="s">
        <v>1826</v>
      </c>
      <c r="F6674" s="27" t="s">
        <v>19875</v>
      </c>
      <c r="H6674" s="27" t="s">
        <v>19876</v>
      </c>
      <c r="J6674" s="27" t="s">
        <v>19877</v>
      </c>
      <c r="L6674" s="27" t="s">
        <v>124</v>
      </c>
      <c r="N6674" s="27" t="s">
        <v>125</v>
      </c>
      <c r="P6674" s="27" t="s">
        <v>11005</v>
      </c>
      <c r="Q6674" s="26" t="str">
        <f>HYPERLINK("https://ictv.global/taxonomy/taxondetails?taxnode_id=202502513&amp;ictv_id=ICTV20093114","ICTV20093114")</f>
        <v>ICTV20093114</v>
      </c>
      <c r="R6674" t="s">
        <v>656</v>
      </c>
      <c r="S6674" t="s">
        <v>824</v>
      </c>
      <c r="T6674">
        <v>41</v>
      </c>
      <c r="U6674" s="26" t="str">
        <f t="shared" si="270"/>
        <v>2025.002G.Monodnaviria_reorg_4nr.zip</v>
      </c>
    </row>
    <row r="6675" spans="1:21">
      <c r="A6675">
        <v>6674</v>
      </c>
      <c r="B6675" s="27" t="s">
        <v>20779</v>
      </c>
      <c r="D6675" s="27" t="s">
        <v>1826</v>
      </c>
      <c r="F6675" s="27" t="s">
        <v>19875</v>
      </c>
      <c r="H6675" s="27" t="s">
        <v>19876</v>
      </c>
      <c r="J6675" s="27" t="s">
        <v>19877</v>
      </c>
      <c r="L6675" s="27" t="s">
        <v>124</v>
      </c>
      <c r="N6675" s="27" t="s">
        <v>125</v>
      </c>
      <c r="P6675" s="27" t="s">
        <v>11006</v>
      </c>
      <c r="Q6675" s="26" t="str">
        <f>HYPERLINK("https://ictv.global/taxonomy/taxondetails?taxnode_id=202502512&amp;ictv_id=ICTV20093113","ICTV20093113")</f>
        <v>ICTV20093113</v>
      </c>
      <c r="R6675" t="s">
        <v>656</v>
      </c>
      <c r="S6675" t="s">
        <v>824</v>
      </c>
      <c r="T6675">
        <v>41</v>
      </c>
      <c r="U6675" s="26" t="str">
        <f t="shared" si="270"/>
        <v>2025.002G.Monodnaviria_reorg_4nr.zip</v>
      </c>
    </row>
    <row r="6676" spans="1:21">
      <c r="A6676">
        <v>6675</v>
      </c>
      <c r="B6676" s="27" t="s">
        <v>20779</v>
      </c>
      <c r="D6676" s="27" t="s">
        <v>1826</v>
      </c>
      <c r="F6676" s="27" t="s">
        <v>19875</v>
      </c>
      <c r="H6676" s="27" t="s">
        <v>19876</v>
      </c>
      <c r="J6676" s="27" t="s">
        <v>19877</v>
      </c>
      <c r="L6676" s="27" t="s">
        <v>124</v>
      </c>
      <c r="N6676" s="27" t="s">
        <v>125</v>
      </c>
      <c r="P6676" s="27" t="s">
        <v>11007</v>
      </c>
      <c r="Q6676" s="26" t="str">
        <f>HYPERLINK("https://ictv.global/taxonomy/taxondetails?taxnode_id=202502488&amp;ictv_id=ICTV20093096","ICTV20093096")</f>
        <v>ICTV20093096</v>
      </c>
      <c r="R6676" t="s">
        <v>656</v>
      </c>
      <c r="S6676" t="s">
        <v>824</v>
      </c>
      <c r="T6676">
        <v>41</v>
      </c>
      <c r="U6676" s="26" t="str">
        <f t="shared" si="270"/>
        <v>2025.002G.Monodnaviria_reorg_4nr.zip</v>
      </c>
    </row>
    <row r="6677" spans="1:21">
      <c r="A6677">
        <v>6676</v>
      </c>
      <c r="B6677" s="27" t="s">
        <v>20779</v>
      </c>
      <c r="D6677" s="27" t="s">
        <v>1826</v>
      </c>
      <c r="F6677" s="27" t="s">
        <v>19875</v>
      </c>
      <c r="H6677" s="27" t="s">
        <v>19876</v>
      </c>
      <c r="J6677" s="27" t="s">
        <v>19877</v>
      </c>
      <c r="L6677" s="27" t="s">
        <v>124</v>
      </c>
      <c r="N6677" s="27" t="s">
        <v>125</v>
      </c>
      <c r="P6677" s="27" t="s">
        <v>11008</v>
      </c>
      <c r="Q6677" s="26" t="str">
        <f>HYPERLINK("https://ictv.global/taxonomy/taxondetails?taxnode_id=202502489&amp;ictv_id=ICTV20093107","ICTV20093107")</f>
        <v>ICTV20093107</v>
      </c>
      <c r="R6677" t="s">
        <v>656</v>
      </c>
      <c r="S6677" t="s">
        <v>824</v>
      </c>
      <c r="T6677">
        <v>41</v>
      </c>
      <c r="U6677" s="26" t="str">
        <f t="shared" si="270"/>
        <v>2025.002G.Monodnaviria_reorg_4nr.zip</v>
      </c>
    </row>
    <row r="6678" spans="1:21">
      <c r="A6678">
        <v>6677</v>
      </c>
      <c r="B6678" s="27" t="s">
        <v>20779</v>
      </c>
      <c r="D6678" s="27" t="s">
        <v>1826</v>
      </c>
      <c r="F6678" s="27" t="s">
        <v>19875</v>
      </c>
      <c r="H6678" s="27" t="s">
        <v>19876</v>
      </c>
      <c r="J6678" s="27" t="s">
        <v>19877</v>
      </c>
      <c r="L6678" s="27" t="s">
        <v>124</v>
      </c>
      <c r="N6678" s="27" t="s">
        <v>125</v>
      </c>
      <c r="P6678" s="27" t="s">
        <v>11009</v>
      </c>
      <c r="Q6678" s="26" t="str">
        <f>HYPERLINK("https://ictv.global/taxonomy/taxondetails?taxnode_id=202502490&amp;ictv_id=ICTV20093118","ICTV20093118")</f>
        <v>ICTV20093118</v>
      </c>
      <c r="R6678" t="s">
        <v>656</v>
      </c>
      <c r="S6678" t="s">
        <v>824</v>
      </c>
      <c r="T6678">
        <v>41</v>
      </c>
      <c r="U6678" s="26" t="str">
        <f t="shared" si="270"/>
        <v>2025.002G.Monodnaviria_reorg_4nr.zip</v>
      </c>
    </row>
    <row r="6679" spans="1:21">
      <c r="A6679">
        <v>6678</v>
      </c>
      <c r="B6679" s="27" t="s">
        <v>20779</v>
      </c>
      <c r="D6679" s="27" t="s">
        <v>1826</v>
      </c>
      <c r="F6679" s="27" t="s">
        <v>19875</v>
      </c>
      <c r="H6679" s="27" t="s">
        <v>19876</v>
      </c>
      <c r="J6679" s="27" t="s">
        <v>19877</v>
      </c>
      <c r="L6679" s="27" t="s">
        <v>124</v>
      </c>
      <c r="N6679" s="27" t="s">
        <v>125</v>
      </c>
      <c r="P6679" s="27" t="s">
        <v>11010</v>
      </c>
      <c r="Q6679" s="26" t="str">
        <f>HYPERLINK("https://ictv.global/taxonomy/taxondetails?taxnode_id=202502491&amp;ictv_id=ICTV20093119","ICTV20093119")</f>
        <v>ICTV20093119</v>
      </c>
      <c r="R6679" t="s">
        <v>656</v>
      </c>
      <c r="S6679" t="s">
        <v>824</v>
      </c>
      <c r="T6679">
        <v>41</v>
      </c>
      <c r="U6679" s="26" t="str">
        <f t="shared" si="270"/>
        <v>2025.002G.Monodnaviria_reorg_4nr.zip</v>
      </c>
    </row>
    <row r="6680" spans="1:21">
      <c r="A6680">
        <v>6679</v>
      </c>
      <c r="B6680" s="27" t="s">
        <v>20779</v>
      </c>
      <c r="D6680" s="27" t="s">
        <v>1826</v>
      </c>
      <c r="F6680" s="27" t="s">
        <v>19875</v>
      </c>
      <c r="H6680" s="27" t="s">
        <v>19876</v>
      </c>
      <c r="J6680" s="27" t="s">
        <v>19877</v>
      </c>
      <c r="L6680" s="27" t="s">
        <v>124</v>
      </c>
      <c r="N6680" s="27" t="s">
        <v>125</v>
      </c>
      <c r="P6680" s="27" t="s">
        <v>11011</v>
      </c>
      <c r="Q6680" s="26" t="str">
        <f>HYPERLINK("https://ictv.global/taxonomy/taxondetails?taxnode_id=202502492&amp;ictv_id=ICTV20093120","ICTV20093120")</f>
        <v>ICTV20093120</v>
      </c>
      <c r="R6680" t="s">
        <v>656</v>
      </c>
      <c r="S6680" t="s">
        <v>824</v>
      </c>
      <c r="T6680">
        <v>41</v>
      </c>
      <c r="U6680" s="26" t="str">
        <f t="shared" si="270"/>
        <v>2025.002G.Monodnaviria_reorg_4nr.zip</v>
      </c>
    </row>
    <row r="6681" spans="1:21">
      <c r="A6681">
        <v>6680</v>
      </c>
      <c r="B6681" s="27" t="s">
        <v>20779</v>
      </c>
      <c r="D6681" s="27" t="s">
        <v>1826</v>
      </c>
      <c r="F6681" s="27" t="s">
        <v>19875</v>
      </c>
      <c r="H6681" s="27" t="s">
        <v>19876</v>
      </c>
      <c r="J6681" s="27" t="s">
        <v>19877</v>
      </c>
      <c r="L6681" s="27" t="s">
        <v>124</v>
      </c>
      <c r="N6681" s="27" t="s">
        <v>125</v>
      </c>
      <c r="P6681" s="27" t="s">
        <v>11012</v>
      </c>
      <c r="Q6681" s="26" t="str">
        <f>HYPERLINK("https://ictv.global/taxonomy/taxondetails?taxnode_id=202502493&amp;ictv_id=ICTV20093121","ICTV20093121")</f>
        <v>ICTV20093121</v>
      </c>
      <c r="R6681" t="s">
        <v>656</v>
      </c>
      <c r="S6681" t="s">
        <v>824</v>
      </c>
      <c r="T6681">
        <v>41</v>
      </c>
      <c r="U6681" s="26" t="str">
        <f t="shared" si="270"/>
        <v>2025.002G.Monodnaviria_reorg_4nr.zip</v>
      </c>
    </row>
    <row r="6682" spans="1:21">
      <c r="A6682">
        <v>6681</v>
      </c>
      <c r="B6682" s="27" t="s">
        <v>20779</v>
      </c>
      <c r="D6682" s="27" t="s">
        <v>1826</v>
      </c>
      <c r="F6682" s="27" t="s">
        <v>19875</v>
      </c>
      <c r="H6682" s="27" t="s">
        <v>19876</v>
      </c>
      <c r="J6682" s="27" t="s">
        <v>19877</v>
      </c>
      <c r="L6682" s="27" t="s">
        <v>124</v>
      </c>
      <c r="N6682" s="27" t="s">
        <v>125</v>
      </c>
      <c r="P6682" s="27" t="s">
        <v>11013</v>
      </c>
      <c r="Q6682" s="26" t="str">
        <f>HYPERLINK("https://ictv.global/taxonomy/taxondetails?taxnode_id=202502494&amp;ictv_id=ICTV20093122","ICTV20093122")</f>
        <v>ICTV20093122</v>
      </c>
      <c r="R6682" t="s">
        <v>656</v>
      </c>
      <c r="S6682" t="s">
        <v>824</v>
      </c>
      <c r="T6682">
        <v>41</v>
      </c>
      <c r="U6682" s="26" t="str">
        <f t="shared" si="270"/>
        <v>2025.002G.Monodnaviria_reorg_4nr.zip</v>
      </c>
    </row>
    <row r="6683" spans="1:21">
      <c r="A6683">
        <v>6682</v>
      </c>
      <c r="B6683" s="27" t="s">
        <v>20779</v>
      </c>
      <c r="D6683" s="27" t="s">
        <v>1826</v>
      </c>
      <c r="F6683" s="27" t="s">
        <v>19875</v>
      </c>
      <c r="H6683" s="27" t="s">
        <v>19876</v>
      </c>
      <c r="J6683" s="27" t="s">
        <v>19877</v>
      </c>
      <c r="L6683" s="27" t="s">
        <v>124</v>
      </c>
      <c r="N6683" s="27" t="s">
        <v>125</v>
      </c>
      <c r="P6683" s="27" t="s">
        <v>11014</v>
      </c>
      <c r="Q6683" s="26" t="str">
        <f>HYPERLINK("https://ictv.global/taxonomy/taxondetails?taxnode_id=202502496&amp;ictv_id=ICTV20093124","ICTV20093124")</f>
        <v>ICTV20093124</v>
      </c>
      <c r="R6683" t="s">
        <v>656</v>
      </c>
      <c r="S6683" t="s">
        <v>824</v>
      </c>
      <c r="T6683">
        <v>41</v>
      </c>
      <c r="U6683" s="26" t="str">
        <f t="shared" si="270"/>
        <v>2025.002G.Monodnaviria_reorg_4nr.zip</v>
      </c>
    </row>
    <row r="6684" spans="1:21">
      <c r="A6684">
        <v>6683</v>
      </c>
      <c r="B6684" s="27" t="s">
        <v>20779</v>
      </c>
      <c r="D6684" s="27" t="s">
        <v>1826</v>
      </c>
      <c r="F6684" s="27" t="s">
        <v>19875</v>
      </c>
      <c r="H6684" s="27" t="s">
        <v>19876</v>
      </c>
      <c r="J6684" s="27" t="s">
        <v>19877</v>
      </c>
      <c r="L6684" s="27" t="s">
        <v>124</v>
      </c>
      <c r="N6684" s="27" t="s">
        <v>125</v>
      </c>
      <c r="P6684" s="27" t="s">
        <v>11015</v>
      </c>
      <c r="Q6684" s="26" t="str">
        <f>HYPERLINK("https://ictv.global/taxonomy/taxondetails?taxnode_id=202502497&amp;ictv_id=ICTV20093097","ICTV20093097")</f>
        <v>ICTV20093097</v>
      </c>
      <c r="R6684" t="s">
        <v>656</v>
      </c>
      <c r="S6684" t="s">
        <v>824</v>
      </c>
      <c r="T6684">
        <v>41</v>
      </c>
      <c r="U6684" s="26" t="str">
        <f t="shared" si="270"/>
        <v>2025.002G.Monodnaviria_reorg_4nr.zip</v>
      </c>
    </row>
    <row r="6685" spans="1:21">
      <c r="A6685">
        <v>6684</v>
      </c>
      <c r="B6685" s="27" t="s">
        <v>20779</v>
      </c>
      <c r="D6685" s="27" t="s">
        <v>1826</v>
      </c>
      <c r="F6685" s="27" t="s">
        <v>19875</v>
      </c>
      <c r="H6685" s="27" t="s">
        <v>19876</v>
      </c>
      <c r="J6685" s="27" t="s">
        <v>19877</v>
      </c>
      <c r="L6685" s="27" t="s">
        <v>124</v>
      </c>
      <c r="N6685" s="27" t="s">
        <v>125</v>
      </c>
      <c r="P6685" s="27" t="s">
        <v>11016</v>
      </c>
      <c r="Q6685" s="26" t="str">
        <f>HYPERLINK("https://ictv.global/taxonomy/taxondetails?taxnode_id=202502500&amp;ictv_id=ICTV20093100","ICTV20093100")</f>
        <v>ICTV20093100</v>
      </c>
      <c r="R6685" t="s">
        <v>656</v>
      </c>
      <c r="S6685" t="s">
        <v>824</v>
      </c>
      <c r="T6685">
        <v>41</v>
      </c>
      <c r="U6685" s="26" t="str">
        <f t="shared" si="270"/>
        <v>2025.002G.Monodnaviria_reorg_4nr.zip</v>
      </c>
    </row>
    <row r="6686" spans="1:21">
      <c r="A6686">
        <v>6685</v>
      </c>
      <c r="B6686" s="27" t="s">
        <v>20779</v>
      </c>
      <c r="D6686" s="27" t="s">
        <v>1826</v>
      </c>
      <c r="F6686" s="27" t="s">
        <v>19875</v>
      </c>
      <c r="H6686" s="27" t="s">
        <v>19876</v>
      </c>
      <c r="J6686" s="27" t="s">
        <v>19877</v>
      </c>
      <c r="L6686" s="27" t="s">
        <v>124</v>
      </c>
      <c r="N6686" s="27" t="s">
        <v>125</v>
      </c>
      <c r="P6686" s="27" t="s">
        <v>11017</v>
      </c>
      <c r="Q6686" s="26" t="str">
        <f>HYPERLINK("https://ictv.global/taxonomy/taxondetails?taxnode_id=202502501&amp;ictv_id=ICTV20093101","ICTV20093101")</f>
        <v>ICTV20093101</v>
      </c>
      <c r="R6686" t="s">
        <v>656</v>
      </c>
      <c r="S6686" t="s">
        <v>824</v>
      </c>
      <c r="T6686">
        <v>41</v>
      </c>
      <c r="U6686" s="26" t="str">
        <f t="shared" si="270"/>
        <v>2025.002G.Monodnaviria_reorg_4nr.zip</v>
      </c>
    </row>
    <row r="6687" spans="1:21">
      <c r="A6687">
        <v>6686</v>
      </c>
      <c r="B6687" s="27" t="s">
        <v>20779</v>
      </c>
      <c r="D6687" s="27" t="s">
        <v>1826</v>
      </c>
      <c r="F6687" s="27" t="s">
        <v>19875</v>
      </c>
      <c r="H6687" s="27" t="s">
        <v>19876</v>
      </c>
      <c r="J6687" s="27" t="s">
        <v>19877</v>
      </c>
      <c r="L6687" s="27" t="s">
        <v>124</v>
      </c>
      <c r="N6687" s="27" t="s">
        <v>125</v>
      </c>
      <c r="P6687" s="27" t="s">
        <v>11018</v>
      </c>
      <c r="Q6687" s="26" t="str">
        <f>HYPERLINK("https://ictv.global/taxonomy/taxondetails?taxnode_id=202502502&amp;ictv_id=ICTV20093102","ICTV20093102")</f>
        <v>ICTV20093102</v>
      </c>
      <c r="R6687" t="s">
        <v>656</v>
      </c>
      <c r="S6687" t="s">
        <v>824</v>
      </c>
      <c r="T6687">
        <v>41</v>
      </c>
      <c r="U6687" s="26" t="str">
        <f t="shared" si="270"/>
        <v>2025.002G.Monodnaviria_reorg_4nr.zip</v>
      </c>
    </row>
    <row r="6688" spans="1:21">
      <c r="A6688">
        <v>6687</v>
      </c>
      <c r="B6688" s="27" t="s">
        <v>20779</v>
      </c>
      <c r="D6688" s="27" t="s">
        <v>1826</v>
      </c>
      <c r="F6688" s="27" t="s">
        <v>19875</v>
      </c>
      <c r="H6688" s="27" t="s">
        <v>19876</v>
      </c>
      <c r="J6688" s="27" t="s">
        <v>19877</v>
      </c>
      <c r="L6688" s="27" t="s">
        <v>124</v>
      </c>
      <c r="N6688" s="27" t="s">
        <v>125</v>
      </c>
      <c r="P6688" s="27" t="s">
        <v>11019</v>
      </c>
      <c r="Q6688" s="26" t="str">
        <f>HYPERLINK("https://ictv.global/taxonomy/taxondetails?taxnode_id=202502504&amp;ictv_id=ICTV20093104","ICTV20093104")</f>
        <v>ICTV20093104</v>
      </c>
      <c r="R6688" t="s">
        <v>656</v>
      </c>
      <c r="S6688" t="s">
        <v>824</v>
      </c>
      <c r="T6688">
        <v>41</v>
      </c>
      <c r="U6688" s="26" t="str">
        <f t="shared" si="270"/>
        <v>2025.002G.Monodnaviria_reorg_4nr.zip</v>
      </c>
    </row>
    <row r="6689" spans="1:21">
      <c r="A6689">
        <v>6688</v>
      </c>
      <c r="B6689" s="27" t="s">
        <v>20779</v>
      </c>
      <c r="D6689" s="27" t="s">
        <v>1826</v>
      </c>
      <c r="F6689" s="27" t="s">
        <v>19875</v>
      </c>
      <c r="H6689" s="27" t="s">
        <v>19876</v>
      </c>
      <c r="J6689" s="27" t="s">
        <v>19877</v>
      </c>
      <c r="L6689" s="27" t="s">
        <v>124</v>
      </c>
      <c r="N6689" s="27" t="s">
        <v>125</v>
      </c>
      <c r="P6689" s="27" t="s">
        <v>11020</v>
      </c>
      <c r="Q6689" s="26" t="str">
        <f>HYPERLINK("https://ictv.global/taxonomy/taxondetails?taxnode_id=202502505&amp;ictv_id=ICTV20093105","ICTV20093105")</f>
        <v>ICTV20093105</v>
      </c>
      <c r="R6689" t="s">
        <v>656</v>
      </c>
      <c r="S6689" t="s">
        <v>824</v>
      </c>
      <c r="T6689">
        <v>41</v>
      </c>
      <c r="U6689" s="26" t="str">
        <f t="shared" si="270"/>
        <v>2025.002G.Monodnaviria_reorg_4nr.zip</v>
      </c>
    </row>
    <row r="6690" spans="1:21">
      <c r="A6690">
        <v>6689</v>
      </c>
      <c r="B6690" s="27" t="s">
        <v>20779</v>
      </c>
      <c r="D6690" s="27" t="s">
        <v>1826</v>
      </c>
      <c r="F6690" s="27" t="s">
        <v>19875</v>
      </c>
      <c r="H6690" s="27" t="s">
        <v>19876</v>
      </c>
      <c r="J6690" s="27" t="s">
        <v>19877</v>
      </c>
      <c r="L6690" s="27" t="s">
        <v>124</v>
      </c>
      <c r="N6690" s="27" t="s">
        <v>125</v>
      </c>
      <c r="P6690" s="27" t="s">
        <v>11021</v>
      </c>
      <c r="Q6690" s="26" t="str">
        <f>HYPERLINK("https://ictv.global/taxonomy/taxondetails?taxnode_id=202502506&amp;ictv_id=ICTV20093106","ICTV20093106")</f>
        <v>ICTV20093106</v>
      </c>
      <c r="R6690" t="s">
        <v>656</v>
      </c>
      <c r="S6690" t="s">
        <v>824</v>
      </c>
      <c r="T6690">
        <v>41</v>
      </c>
      <c r="U6690" s="26" t="str">
        <f t="shared" si="270"/>
        <v>2025.002G.Monodnaviria_reorg_4nr.zip</v>
      </c>
    </row>
    <row r="6691" spans="1:21">
      <c r="A6691">
        <v>6690</v>
      </c>
      <c r="B6691" s="27" t="s">
        <v>20779</v>
      </c>
      <c r="D6691" s="27" t="s">
        <v>1826</v>
      </c>
      <c r="F6691" s="27" t="s">
        <v>19875</v>
      </c>
      <c r="H6691" s="27" t="s">
        <v>19876</v>
      </c>
      <c r="J6691" s="27" t="s">
        <v>19877</v>
      </c>
      <c r="L6691" s="27" t="s">
        <v>124</v>
      </c>
      <c r="N6691" s="27" t="s">
        <v>125</v>
      </c>
      <c r="P6691" s="27" t="s">
        <v>11022</v>
      </c>
      <c r="Q6691" s="26" t="str">
        <f>HYPERLINK("https://ictv.global/taxonomy/taxondetails?taxnode_id=202502507&amp;ictv_id=ICTV20093108","ICTV20093108")</f>
        <v>ICTV20093108</v>
      </c>
      <c r="R6691" t="s">
        <v>656</v>
      </c>
      <c r="S6691" t="s">
        <v>824</v>
      </c>
      <c r="T6691">
        <v>41</v>
      </c>
      <c r="U6691" s="26" t="str">
        <f t="shared" si="270"/>
        <v>2025.002G.Monodnaviria_reorg_4nr.zip</v>
      </c>
    </row>
    <row r="6692" spans="1:21">
      <c r="A6692">
        <v>6691</v>
      </c>
      <c r="B6692" s="27" t="s">
        <v>20779</v>
      </c>
      <c r="D6692" s="27" t="s">
        <v>1826</v>
      </c>
      <c r="F6692" s="27" t="s">
        <v>19875</v>
      </c>
      <c r="H6692" s="27" t="s">
        <v>19876</v>
      </c>
      <c r="J6692" s="27" t="s">
        <v>19877</v>
      </c>
      <c r="L6692" s="27" t="s">
        <v>124</v>
      </c>
      <c r="N6692" s="27" t="s">
        <v>125</v>
      </c>
      <c r="P6692" s="27" t="s">
        <v>11023</v>
      </c>
      <c r="Q6692" s="26" t="str">
        <f>HYPERLINK("https://ictv.global/taxonomy/taxondetails?taxnode_id=202502508&amp;ictv_id=ICTV20093109","ICTV20093109")</f>
        <v>ICTV20093109</v>
      </c>
      <c r="R6692" t="s">
        <v>656</v>
      </c>
      <c r="S6692" t="s">
        <v>824</v>
      </c>
      <c r="T6692">
        <v>41</v>
      </c>
      <c r="U6692" s="26" t="str">
        <f t="shared" si="270"/>
        <v>2025.002G.Monodnaviria_reorg_4nr.zip</v>
      </c>
    </row>
    <row r="6693" spans="1:21">
      <c r="A6693">
        <v>6692</v>
      </c>
      <c r="B6693" s="27" t="s">
        <v>20779</v>
      </c>
      <c r="D6693" s="27" t="s">
        <v>1826</v>
      </c>
      <c r="F6693" s="27" t="s">
        <v>19875</v>
      </c>
      <c r="H6693" s="27" t="s">
        <v>19876</v>
      </c>
      <c r="J6693" s="27" t="s">
        <v>19877</v>
      </c>
      <c r="L6693" s="27" t="s">
        <v>124</v>
      </c>
      <c r="N6693" s="27" t="s">
        <v>125</v>
      </c>
      <c r="P6693" s="27" t="s">
        <v>11024</v>
      </c>
      <c r="Q6693" s="26" t="str">
        <f>HYPERLINK("https://ictv.global/taxonomy/taxondetails?taxnode_id=202502511&amp;ictv_id=ICTV20093112","ICTV20093112")</f>
        <v>ICTV20093112</v>
      </c>
      <c r="R6693" t="s">
        <v>656</v>
      </c>
      <c r="S6693" t="s">
        <v>824</v>
      </c>
      <c r="T6693">
        <v>41</v>
      </c>
      <c r="U6693" s="26" t="str">
        <f t="shared" si="270"/>
        <v>2025.002G.Monodnaviria_reorg_4nr.zip</v>
      </c>
    </row>
    <row r="6694" spans="1:21">
      <c r="A6694">
        <v>6693</v>
      </c>
      <c r="B6694" s="27" t="s">
        <v>20779</v>
      </c>
      <c r="D6694" s="27" t="s">
        <v>1826</v>
      </c>
      <c r="F6694" s="27" t="s">
        <v>19875</v>
      </c>
      <c r="H6694" s="27" t="s">
        <v>19876</v>
      </c>
      <c r="J6694" s="27" t="s">
        <v>19877</v>
      </c>
      <c r="L6694" s="27" t="s">
        <v>124</v>
      </c>
      <c r="N6694" s="27" t="s">
        <v>125</v>
      </c>
      <c r="P6694" s="27" t="s">
        <v>11025</v>
      </c>
      <c r="Q6694" s="26" t="str">
        <f>HYPERLINK("https://ictv.global/taxonomy/taxondetails?taxnode_id=202502516&amp;ictv_id=ICTV20093117","ICTV20093117")</f>
        <v>ICTV20093117</v>
      </c>
      <c r="R6694" t="s">
        <v>656</v>
      </c>
      <c r="S6694" t="s">
        <v>824</v>
      </c>
      <c r="T6694">
        <v>41</v>
      </c>
      <c r="U6694" s="26" t="str">
        <f t="shared" si="270"/>
        <v>2025.002G.Monodnaviria_reorg_4nr.zip</v>
      </c>
    </row>
    <row r="6695" spans="1:21">
      <c r="A6695">
        <v>6694</v>
      </c>
      <c r="B6695" s="27" t="s">
        <v>20779</v>
      </c>
      <c r="D6695" s="27" t="s">
        <v>1826</v>
      </c>
      <c r="F6695" s="27" t="s">
        <v>19875</v>
      </c>
      <c r="H6695" s="27" t="s">
        <v>19876</v>
      </c>
      <c r="J6695" s="27" t="s">
        <v>19877</v>
      </c>
      <c r="L6695" s="27" t="s">
        <v>124</v>
      </c>
      <c r="N6695" s="27" t="s">
        <v>125</v>
      </c>
      <c r="P6695" s="27" t="s">
        <v>11026</v>
      </c>
      <c r="Q6695" s="26" t="str">
        <f>HYPERLINK("https://ictv.global/taxonomy/taxondetails?taxnode_id=202509399&amp;ictv_id=ICTV202009399","ICTV202009399")</f>
        <v>ICTV202009399</v>
      </c>
      <c r="R6695" t="s">
        <v>656</v>
      </c>
      <c r="S6695" t="s">
        <v>824</v>
      </c>
      <c r="T6695">
        <v>41</v>
      </c>
      <c r="U6695" s="26" t="str">
        <f t="shared" si="270"/>
        <v>2025.002G.Monodnaviria_reorg_4nr.zip</v>
      </c>
    </row>
    <row r="6696" spans="1:21">
      <c r="A6696">
        <v>6695</v>
      </c>
      <c r="B6696" s="27" t="s">
        <v>20779</v>
      </c>
      <c r="D6696" s="27" t="s">
        <v>1826</v>
      </c>
      <c r="F6696" s="27" t="s">
        <v>19875</v>
      </c>
      <c r="H6696" s="27" t="s">
        <v>19876</v>
      </c>
      <c r="J6696" s="27" t="s">
        <v>19877</v>
      </c>
      <c r="L6696" s="27" t="s">
        <v>124</v>
      </c>
      <c r="N6696" s="27" t="s">
        <v>19878</v>
      </c>
      <c r="P6696" s="27" t="s">
        <v>19879</v>
      </c>
      <c r="Q6696" s="26" t="str">
        <f>HYPERLINK("https://ictv.global/taxonomy/taxondetails?taxnode_id=202520413&amp;ictv_id=ICTV202420413","ICTV202420413")</f>
        <v>ICTV202420413</v>
      </c>
      <c r="R6696" t="s">
        <v>660</v>
      </c>
      <c r="S6696" t="s">
        <v>824</v>
      </c>
      <c r="T6696">
        <v>41</v>
      </c>
      <c r="U6696" s="26" t="str">
        <f t="shared" si="270"/>
        <v>2025.002G.Monodnaviria_reorg_4nr.zip</v>
      </c>
    </row>
    <row r="6697" spans="1:21">
      <c r="A6697">
        <v>6696</v>
      </c>
      <c r="B6697" s="27" t="s">
        <v>20779</v>
      </c>
      <c r="D6697" s="27" t="s">
        <v>1826</v>
      </c>
      <c r="F6697" s="27" t="s">
        <v>19875</v>
      </c>
      <c r="H6697" s="27" t="s">
        <v>19876</v>
      </c>
      <c r="J6697" s="27" t="s">
        <v>19877</v>
      </c>
      <c r="L6697" s="27" t="s">
        <v>124</v>
      </c>
      <c r="N6697" s="27" t="s">
        <v>126</v>
      </c>
      <c r="P6697" s="27" t="s">
        <v>11027</v>
      </c>
      <c r="Q6697" s="26" t="str">
        <f>HYPERLINK("https://ictv.global/taxonomy/taxondetails?taxnode_id=202502518&amp;ictv_id=ICTV20093125","ICTV20093125")</f>
        <v>ICTV20093125</v>
      </c>
      <c r="R6697" t="s">
        <v>656</v>
      </c>
      <c r="S6697" t="s">
        <v>824</v>
      </c>
      <c r="T6697">
        <v>41</v>
      </c>
      <c r="U6697" s="26" t="str">
        <f t="shared" si="270"/>
        <v>2025.002G.Monodnaviria_reorg_4nr.zip</v>
      </c>
    </row>
    <row r="6698" spans="1:21">
      <c r="A6698">
        <v>6697</v>
      </c>
      <c r="B6698" s="27" t="s">
        <v>20779</v>
      </c>
      <c r="D6698" s="27" t="s">
        <v>1826</v>
      </c>
      <c r="F6698" s="27" t="s">
        <v>19875</v>
      </c>
      <c r="H6698" s="27" t="s">
        <v>19876</v>
      </c>
      <c r="J6698" s="27" t="s">
        <v>19877</v>
      </c>
      <c r="L6698" s="27" t="s">
        <v>124</v>
      </c>
      <c r="N6698" s="27" t="s">
        <v>126</v>
      </c>
      <c r="P6698" s="27" t="s">
        <v>11028</v>
      </c>
      <c r="Q6698" s="26" t="str">
        <f>HYPERLINK("https://ictv.global/taxonomy/taxondetails?taxnode_id=202502519&amp;ictv_id=ICTV20093126","ICTV20093126")</f>
        <v>ICTV20093126</v>
      </c>
      <c r="R6698" t="s">
        <v>656</v>
      </c>
      <c r="S6698" t="s">
        <v>824</v>
      </c>
      <c r="T6698">
        <v>41</v>
      </c>
      <c r="U6698" s="26" t="str">
        <f t="shared" si="270"/>
        <v>2025.002G.Monodnaviria_reorg_4nr.zip</v>
      </c>
    </row>
    <row r="6699" spans="1:21">
      <c r="A6699">
        <v>6698</v>
      </c>
      <c r="B6699" s="27" t="s">
        <v>20779</v>
      </c>
      <c r="D6699" s="27" t="s">
        <v>1826</v>
      </c>
      <c r="F6699" s="27" t="s">
        <v>19875</v>
      </c>
      <c r="H6699" s="27" t="s">
        <v>19876</v>
      </c>
      <c r="J6699" s="27" t="s">
        <v>19877</v>
      </c>
      <c r="L6699" s="27" t="s">
        <v>124</v>
      </c>
      <c r="N6699" s="27" t="s">
        <v>126</v>
      </c>
      <c r="P6699" s="27" t="s">
        <v>11029</v>
      </c>
      <c r="Q6699" s="26" t="str">
        <f>HYPERLINK("https://ictv.global/taxonomy/taxondetails?taxnode_id=202502520&amp;ictv_id=ICTV20093127","ICTV20093127")</f>
        <v>ICTV20093127</v>
      </c>
      <c r="R6699" t="s">
        <v>656</v>
      </c>
      <c r="S6699" t="s">
        <v>824</v>
      </c>
      <c r="T6699">
        <v>41</v>
      </c>
      <c r="U6699" s="26" t="str">
        <f t="shared" si="270"/>
        <v>2025.002G.Monodnaviria_reorg_4nr.zip</v>
      </c>
    </row>
    <row r="6700" spans="1:21">
      <c r="A6700">
        <v>6699</v>
      </c>
      <c r="B6700" s="27" t="s">
        <v>20779</v>
      </c>
      <c r="D6700" s="27" t="s">
        <v>1826</v>
      </c>
      <c r="F6700" s="27" t="s">
        <v>19875</v>
      </c>
      <c r="H6700" s="27" t="s">
        <v>19876</v>
      </c>
      <c r="J6700" s="27" t="s">
        <v>19877</v>
      </c>
      <c r="L6700" s="27" t="s">
        <v>124</v>
      </c>
      <c r="N6700" s="27" t="s">
        <v>126</v>
      </c>
      <c r="P6700" s="27" t="s">
        <v>11030</v>
      </c>
      <c r="Q6700" s="26" t="str">
        <f>HYPERLINK("https://ictv.global/taxonomy/taxondetails?taxnode_id=202502521&amp;ictv_id=ICTV20093128","ICTV20093128")</f>
        <v>ICTV20093128</v>
      </c>
      <c r="R6700" t="s">
        <v>656</v>
      </c>
      <c r="S6700" t="s">
        <v>824</v>
      </c>
      <c r="T6700">
        <v>41</v>
      </c>
      <c r="U6700" s="26" t="str">
        <f t="shared" si="270"/>
        <v>2025.002G.Monodnaviria_reorg_4nr.zip</v>
      </c>
    </row>
    <row r="6701" spans="1:21">
      <c r="A6701">
        <v>6700</v>
      </c>
      <c r="B6701" s="27" t="s">
        <v>20779</v>
      </c>
      <c r="D6701" s="27" t="s">
        <v>1826</v>
      </c>
      <c r="F6701" s="27" t="s">
        <v>19875</v>
      </c>
      <c r="H6701" s="27" t="s">
        <v>19876</v>
      </c>
      <c r="J6701" s="27" t="s">
        <v>19877</v>
      </c>
      <c r="L6701" s="27" t="s">
        <v>124</v>
      </c>
      <c r="N6701" s="27" t="s">
        <v>126</v>
      </c>
      <c r="P6701" s="27" t="s">
        <v>11031</v>
      </c>
      <c r="Q6701" s="26" t="str">
        <f>HYPERLINK("https://ictv.global/taxonomy/taxondetails?taxnode_id=202502522&amp;ictv_id=ICTV20093129","ICTV20093129")</f>
        <v>ICTV20093129</v>
      </c>
      <c r="R6701" t="s">
        <v>656</v>
      </c>
      <c r="S6701" t="s">
        <v>824</v>
      </c>
      <c r="T6701">
        <v>41</v>
      </c>
      <c r="U6701" s="26" t="str">
        <f t="shared" si="270"/>
        <v>2025.002G.Monodnaviria_reorg_4nr.zip</v>
      </c>
    </row>
    <row r="6702" spans="1:21">
      <c r="A6702">
        <v>6701</v>
      </c>
      <c r="B6702" s="27" t="s">
        <v>20779</v>
      </c>
      <c r="D6702" s="27" t="s">
        <v>1826</v>
      </c>
      <c r="F6702" s="27" t="s">
        <v>19875</v>
      </c>
      <c r="H6702" s="27" t="s">
        <v>19876</v>
      </c>
      <c r="J6702" s="27" t="s">
        <v>19877</v>
      </c>
      <c r="L6702" s="27" t="s">
        <v>124</v>
      </c>
      <c r="N6702" s="27" t="s">
        <v>126</v>
      </c>
      <c r="P6702" s="27" t="s">
        <v>11032</v>
      </c>
      <c r="Q6702" s="26" t="str">
        <f>HYPERLINK("https://ictv.global/taxonomy/taxondetails?taxnode_id=202502523&amp;ictv_id=ICTV20093130","ICTV20093130")</f>
        <v>ICTV20093130</v>
      </c>
      <c r="R6702" t="s">
        <v>656</v>
      </c>
      <c r="S6702" t="s">
        <v>824</v>
      </c>
      <c r="T6702">
        <v>41</v>
      </c>
      <c r="U6702" s="26" t="str">
        <f t="shared" si="270"/>
        <v>2025.002G.Monodnaviria_reorg_4nr.zip</v>
      </c>
    </row>
    <row r="6703" spans="1:21">
      <c r="A6703">
        <v>6702</v>
      </c>
      <c r="B6703" s="27" t="s">
        <v>20779</v>
      </c>
      <c r="D6703" s="27" t="s">
        <v>1826</v>
      </c>
      <c r="F6703" s="27" t="s">
        <v>19875</v>
      </c>
      <c r="H6703" s="27" t="s">
        <v>19876</v>
      </c>
      <c r="J6703" s="27" t="s">
        <v>19877</v>
      </c>
      <c r="L6703" s="27" t="s">
        <v>124</v>
      </c>
      <c r="N6703" s="27" t="s">
        <v>126</v>
      </c>
      <c r="P6703" s="27" t="s">
        <v>11033</v>
      </c>
      <c r="Q6703" s="26" t="str">
        <f>HYPERLINK("https://ictv.global/taxonomy/taxondetails?taxnode_id=202502524&amp;ictv_id=ICTV20093131","ICTV20093131")</f>
        <v>ICTV20093131</v>
      </c>
      <c r="R6703" t="s">
        <v>656</v>
      </c>
      <c r="S6703" t="s">
        <v>824</v>
      </c>
      <c r="T6703">
        <v>41</v>
      </c>
      <c r="U6703" s="26" t="str">
        <f t="shared" si="270"/>
        <v>2025.002G.Monodnaviria_reorg_4nr.zip</v>
      </c>
    </row>
    <row r="6704" spans="1:21">
      <c r="A6704">
        <v>6703</v>
      </c>
      <c r="B6704" s="27" t="s">
        <v>20779</v>
      </c>
      <c r="D6704" s="27" t="s">
        <v>1826</v>
      </c>
      <c r="F6704" s="27" t="s">
        <v>19875</v>
      </c>
      <c r="H6704" s="27" t="s">
        <v>19876</v>
      </c>
      <c r="J6704" s="27" t="s">
        <v>19877</v>
      </c>
      <c r="L6704" s="27" t="s">
        <v>124</v>
      </c>
      <c r="N6704" s="27" t="s">
        <v>126</v>
      </c>
      <c r="P6704" s="27" t="s">
        <v>11034</v>
      </c>
      <c r="Q6704" s="26" t="str">
        <f>HYPERLINK("https://ictv.global/taxonomy/taxondetails?taxnode_id=202502525&amp;ictv_id=ICTV20093132","ICTV20093132")</f>
        <v>ICTV20093132</v>
      </c>
      <c r="R6704" t="s">
        <v>656</v>
      </c>
      <c r="S6704" t="s">
        <v>824</v>
      </c>
      <c r="T6704">
        <v>41</v>
      </c>
      <c r="U6704" s="26" t="str">
        <f t="shared" si="270"/>
        <v>2025.002G.Monodnaviria_reorg_4nr.zip</v>
      </c>
    </row>
    <row r="6705" spans="1:21">
      <c r="A6705">
        <v>6704</v>
      </c>
      <c r="B6705" s="27" t="s">
        <v>20779</v>
      </c>
      <c r="D6705" s="27" t="s">
        <v>1826</v>
      </c>
      <c r="F6705" s="27" t="s">
        <v>19875</v>
      </c>
      <c r="H6705" s="27" t="s">
        <v>19876</v>
      </c>
      <c r="J6705" s="27" t="s">
        <v>19877</v>
      </c>
      <c r="L6705" s="27" t="s">
        <v>124</v>
      </c>
      <c r="N6705" s="27" t="s">
        <v>126</v>
      </c>
      <c r="P6705" s="27" t="s">
        <v>11035</v>
      </c>
      <c r="Q6705" s="26" t="str">
        <f>HYPERLINK("https://ictv.global/taxonomy/taxondetails?taxnode_id=202502526&amp;ictv_id=ICTV20093133","ICTV20093133")</f>
        <v>ICTV20093133</v>
      </c>
      <c r="R6705" t="s">
        <v>656</v>
      </c>
      <c r="S6705" t="s">
        <v>824</v>
      </c>
      <c r="T6705">
        <v>41</v>
      </c>
      <c r="U6705" s="26" t="str">
        <f t="shared" si="270"/>
        <v>2025.002G.Monodnaviria_reorg_4nr.zip</v>
      </c>
    </row>
    <row r="6706" spans="1:21">
      <c r="A6706">
        <v>6705</v>
      </c>
      <c r="B6706" s="27" t="s">
        <v>20779</v>
      </c>
      <c r="D6706" s="27" t="s">
        <v>1826</v>
      </c>
      <c r="F6706" s="27" t="s">
        <v>19875</v>
      </c>
      <c r="H6706" s="27" t="s">
        <v>19876</v>
      </c>
      <c r="J6706" s="27" t="s">
        <v>19877</v>
      </c>
      <c r="L6706" s="27" t="s">
        <v>124</v>
      </c>
      <c r="N6706" s="27" t="s">
        <v>126</v>
      </c>
      <c r="P6706" s="27" t="s">
        <v>11036</v>
      </c>
      <c r="Q6706" s="26" t="str">
        <f>HYPERLINK("https://ictv.global/taxonomy/taxondetails?taxnode_id=202502527&amp;ictv_id=ICTV20115626","ICTV20115626")</f>
        <v>ICTV20115626</v>
      </c>
      <c r="R6706" t="s">
        <v>656</v>
      </c>
      <c r="S6706" t="s">
        <v>824</v>
      </c>
      <c r="T6706">
        <v>41</v>
      </c>
      <c r="U6706" s="26" t="str">
        <f t="shared" si="270"/>
        <v>2025.002G.Monodnaviria_reorg_4nr.zip</v>
      </c>
    </row>
    <row r="6707" spans="1:21">
      <c r="A6707">
        <v>6706</v>
      </c>
      <c r="B6707" s="27" t="s">
        <v>20779</v>
      </c>
      <c r="D6707" s="27" t="s">
        <v>1826</v>
      </c>
      <c r="F6707" s="27" t="s">
        <v>19875</v>
      </c>
      <c r="H6707" s="27" t="s">
        <v>19876</v>
      </c>
      <c r="J6707" s="27" t="s">
        <v>19877</v>
      </c>
      <c r="L6707" s="27" t="s">
        <v>124</v>
      </c>
      <c r="N6707" s="27" t="s">
        <v>126</v>
      </c>
      <c r="P6707" s="27" t="s">
        <v>11037</v>
      </c>
      <c r="Q6707" s="26" t="str">
        <f>HYPERLINK("https://ictv.global/taxonomy/taxondetails?taxnode_id=202502528&amp;ictv_id=ICTV20115627","ICTV20115627")</f>
        <v>ICTV20115627</v>
      </c>
      <c r="R6707" t="s">
        <v>656</v>
      </c>
      <c r="S6707" t="s">
        <v>824</v>
      </c>
      <c r="T6707">
        <v>41</v>
      </c>
      <c r="U6707" s="26" t="str">
        <f t="shared" si="270"/>
        <v>2025.002G.Monodnaviria_reorg_4nr.zip</v>
      </c>
    </row>
    <row r="6708" spans="1:21">
      <c r="A6708">
        <v>6707</v>
      </c>
      <c r="B6708" s="27" t="s">
        <v>20779</v>
      </c>
      <c r="D6708" s="27" t="s">
        <v>1826</v>
      </c>
      <c r="F6708" s="27" t="s">
        <v>19875</v>
      </c>
      <c r="H6708" s="27" t="s">
        <v>19876</v>
      </c>
      <c r="J6708" s="27" t="s">
        <v>19877</v>
      </c>
      <c r="L6708" s="27" t="s">
        <v>124</v>
      </c>
      <c r="N6708" s="27" t="s">
        <v>126</v>
      </c>
      <c r="P6708" s="27" t="s">
        <v>11038</v>
      </c>
      <c r="Q6708" s="26" t="str">
        <f>HYPERLINK("https://ictv.global/taxonomy/taxondetails?taxnode_id=202502529&amp;ictv_id=ICTV20115628","ICTV20115628")</f>
        <v>ICTV20115628</v>
      </c>
      <c r="R6708" t="s">
        <v>656</v>
      </c>
      <c r="S6708" t="s">
        <v>824</v>
      </c>
      <c r="T6708">
        <v>41</v>
      </c>
      <c r="U6708" s="26" t="str">
        <f t="shared" si="270"/>
        <v>2025.002G.Monodnaviria_reorg_4nr.zip</v>
      </c>
    </row>
    <row r="6709" spans="1:21">
      <c r="A6709">
        <v>6708</v>
      </c>
      <c r="B6709" s="27" t="s">
        <v>20779</v>
      </c>
      <c r="D6709" s="27" t="s">
        <v>1826</v>
      </c>
      <c r="F6709" s="27" t="s">
        <v>19875</v>
      </c>
      <c r="H6709" s="27" t="s">
        <v>19876</v>
      </c>
      <c r="J6709" s="27" t="s">
        <v>19877</v>
      </c>
      <c r="L6709" s="27" t="s">
        <v>124</v>
      </c>
      <c r="N6709" s="27" t="s">
        <v>126</v>
      </c>
      <c r="P6709" s="27" t="s">
        <v>11039</v>
      </c>
      <c r="Q6709" s="26" t="str">
        <f>HYPERLINK("https://ictv.global/taxonomy/taxondetails?taxnode_id=202509400&amp;ictv_id=ICTV202009400","ICTV202009400")</f>
        <v>ICTV202009400</v>
      </c>
      <c r="R6709" t="s">
        <v>656</v>
      </c>
      <c r="S6709" t="s">
        <v>824</v>
      </c>
      <c r="T6709">
        <v>41</v>
      </c>
      <c r="U6709" s="26" t="str">
        <f t="shared" si="270"/>
        <v>2025.002G.Monodnaviria_reorg_4nr.zip</v>
      </c>
    </row>
    <row r="6710" spans="1:21">
      <c r="A6710">
        <v>6709</v>
      </c>
      <c r="B6710" s="27" t="s">
        <v>20779</v>
      </c>
      <c r="D6710" s="27" t="s">
        <v>1826</v>
      </c>
      <c r="F6710" s="27" t="s">
        <v>19875</v>
      </c>
      <c r="H6710" s="27" t="s">
        <v>19876</v>
      </c>
      <c r="J6710" s="27" t="s">
        <v>19877</v>
      </c>
      <c r="L6710" s="27" t="s">
        <v>124</v>
      </c>
      <c r="N6710" s="27" t="s">
        <v>126</v>
      </c>
      <c r="P6710" s="27" t="s">
        <v>11040</v>
      </c>
      <c r="Q6710" s="26" t="str">
        <f>HYPERLINK("https://ictv.global/taxonomy/taxondetails?taxnode_id=202509401&amp;ictv_id=ICTV202009401","ICTV202009401")</f>
        <v>ICTV202009401</v>
      </c>
      <c r="R6710" t="s">
        <v>656</v>
      </c>
      <c r="S6710" t="s">
        <v>824</v>
      </c>
      <c r="T6710">
        <v>41</v>
      </c>
      <c r="U6710" s="26" t="str">
        <f t="shared" si="270"/>
        <v>2025.002G.Monodnaviria_reorg_4nr.zip</v>
      </c>
    </row>
    <row r="6711" spans="1:21">
      <c r="A6711">
        <v>6710</v>
      </c>
      <c r="B6711" s="27" t="s">
        <v>20779</v>
      </c>
      <c r="D6711" s="27" t="s">
        <v>1826</v>
      </c>
      <c r="F6711" s="27" t="s">
        <v>19875</v>
      </c>
      <c r="H6711" s="27" t="s">
        <v>19876</v>
      </c>
      <c r="J6711" s="27" t="s">
        <v>19877</v>
      </c>
      <c r="L6711" s="27" t="s">
        <v>124</v>
      </c>
      <c r="N6711" s="27" t="s">
        <v>126</v>
      </c>
      <c r="P6711" s="27" t="s">
        <v>11041</v>
      </c>
      <c r="Q6711" s="26" t="str">
        <f>HYPERLINK("https://ictv.global/taxonomy/taxondetails?taxnode_id=202509402&amp;ictv_id=ICTV202009402","ICTV202009402")</f>
        <v>ICTV202009402</v>
      </c>
      <c r="R6711" t="s">
        <v>656</v>
      </c>
      <c r="S6711" t="s">
        <v>824</v>
      </c>
      <c r="T6711">
        <v>41</v>
      </c>
      <c r="U6711" s="26" t="str">
        <f t="shared" si="270"/>
        <v>2025.002G.Monodnaviria_reorg_4nr.zip</v>
      </c>
    </row>
    <row r="6712" spans="1:21">
      <c r="A6712">
        <v>6711</v>
      </c>
      <c r="B6712" s="27" t="s">
        <v>20779</v>
      </c>
      <c r="D6712" s="27" t="s">
        <v>1826</v>
      </c>
      <c r="F6712" s="27" t="s">
        <v>19875</v>
      </c>
      <c r="H6712" s="27" t="s">
        <v>19876</v>
      </c>
      <c r="J6712" s="27" t="s">
        <v>19877</v>
      </c>
      <c r="L6712" s="27" t="s">
        <v>124</v>
      </c>
      <c r="N6712" s="27" t="s">
        <v>126</v>
      </c>
      <c r="P6712" s="27" t="s">
        <v>11042</v>
      </c>
      <c r="Q6712" s="26" t="str">
        <f>HYPERLINK("https://ictv.global/taxonomy/taxondetails?taxnode_id=202509403&amp;ictv_id=ICTV202009403","ICTV202009403")</f>
        <v>ICTV202009403</v>
      </c>
      <c r="R6712" t="s">
        <v>656</v>
      </c>
      <c r="S6712" t="s">
        <v>824</v>
      </c>
      <c r="T6712">
        <v>41</v>
      </c>
      <c r="U6712" s="26" t="str">
        <f t="shared" si="270"/>
        <v>2025.002G.Monodnaviria_reorg_4nr.zip</v>
      </c>
    </row>
    <row r="6713" spans="1:21">
      <c r="A6713">
        <v>6712</v>
      </c>
      <c r="B6713" s="27" t="s">
        <v>20779</v>
      </c>
      <c r="D6713" s="27" t="s">
        <v>1826</v>
      </c>
      <c r="F6713" s="27" t="s">
        <v>19875</v>
      </c>
      <c r="H6713" s="27" t="s">
        <v>19876</v>
      </c>
      <c r="J6713" s="27" t="s">
        <v>19877</v>
      </c>
      <c r="L6713" s="27" t="s">
        <v>124</v>
      </c>
      <c r="N6713" s="27" t="s">
        <v>126</v>
      </c>
      <c r="P6713" s="27" t="s">
        <v>11043</v>
      </c>
      <c r="Q6713" s="26" t="str">
        <f>HYPERLINK("https://ictv.global/taxonomy/taxondetails?taxnode_id=202509404&amp;ictv_id=ICTV202009404","ICTV202009404")</f>
        <v>ICTV202009404</v>
      </c>
      <c r="R6713" t="s">
        <v>656</v>
      </c>
      <c r="S6713" t="s">
        <v>824</v>
      </c>
      <c r="T6713">
        <v>41</v>
      </c>
      <c r="U6713" s="26" t="str">
        <f t="shared" si="270"/>
        <v>2025.002G.Monodnaviria_reorg_4nr.zip</v>
      </c>
    </row>
    <row r="6714" spans="1:21">
      <c r="A6714">
        <v>6713</v>
      </c>
      <c r="B6714" s="27" t="s">
        <v>20779</v>
      </c>
      <c r="D6714" s="27" t="s">
        <v>1826</v>
      </c>
      <c r="F6714" s="27" t="s">
        <v>19875</v>
      </c>
      <c r="H6714" s="27" t="s">
        <v>19876</v>
      </c>
      <c r="J6714" s="27" t="s">
        <v>19877</v>
      </c>
      <c r="L6714" s="27" t="s">
        <v>124</v>
      </c>
      <c r="N6714" s="27" t="s">
        <v>126</v>
      </c>
      <c r="P6714" s="27" t="s">
        <v>11044</v>
      </c>
      <c r="Q6714" s="26" t="str">
        <f>HYPERLINK("https://ictv.global/taxonomy/taxondetails?taxnode_id=202509405&amp;ictv_id=ICTV202009405","ICTV202009405")</f>
        <v>ICTV202009405</v>
      </c>
      <c r="R6714" t="s">
        <v>656</v>
      </c>
      <c r="S6714" t="s">
        <v>824</v>
      </c>
      <c r="T6714">
        <v>41</v>
      </c>
      <c r="U6714" s="26" t="str">
        <f t="shared" si="270"/>
        <v>2025.002G.Monodnaviria_reorg_4nr.zip</v>
      </c>
    </row>
    <row r="6715" spans="1:21">
      <c r="A6715">
        <v>6714</v>
      </c>
      <c r="B6715" s="27" t="s">
        <v>20779</v>
      </c>
      <c r="D6715" s="27" t="s">
        <v>1826</v>
      </c>
      <c r="F6715" s="27" t="s">
        <v>19875</v>
      </c>
      <c r="H6715" s="27" t="s">
        <v>19876</v>
      </c>
      <c r="J6715" s="27" t="s">
        <v>19877</v>
      </c>
      <c r="L6715" s="27" t="s">
        <v>124</v>
      </c>
      <c r="N6715" s="27" t="s">
        <v>126</v>
      </c>
      <c r="P6715" s="27" t="s">
        <v>11045</v>
      </c>
      <c r="Q6715" s="26" t="str">
        <f>HYPERLINK("https://ictv.global/taxonomy/taxondetails?taxnode_id=202509406&amp;ictv_id=ICTV202009406","ICTV202009406")</f>
        <v>ICTV202009406</v>
      </c>
      <c r="R6715" t="s">
        <v>656</v>
      </c>
      <c r="S6715" t="s">
        <v>824</v>
      </c>
      <c r="T6715">
        <v>41</v>
      </c>
      <c r="U6715" s="26" t="str">
        <f t="shared" si="270"/>
        <v>2025.002G.Monodnaviria_reorg_4nr.zip</v>
      </c>
    </row>
    <row r="6716" spans="1:21">
      <c r="A6716">
        <v>6715</v>
      </c>
      <c r="B6716" s="27" t="s">
        <v>20779</v>
      </c>
      <c r="D6716" s="27" t="s">
        <v>1826</v>
      </c>
      <c r="F6716" s="27" t="s">
        <v>19875</v>
      </c>
      <c r="H6716" s="27" t="s">
        <v>19876</v>
      </c>
      <c r="J6716" s="27" t="s">
        <v>19877</v>
      </c>
      <c r="L6716" s="27" t="s">
        <v>124</v>
      </c>
      <c r="N6716" s="27" t="s">
        <v>126</v>
      </c>
      <c r="P6716" s="27" t="s">
        <v>11046</v>
      </c>
      <c r="Q6716" s="26" t="str">
        <f>HYPERLINK("https://ictv.global/taxonomy/taxondetails?taxnode_id=202509407&amp;ictv_id=ICTV202009407","ICTV202009407")</f>
        <v>ICTV202009407</v>
      </c>
      <c r="R6716" t="s">
        <v>656</v>
      </c>
      <c r="S6716" t="s">
        <v>824</v>
      </c>
      <c r="T6716">
        <v>41</v>
      </c>
      <c r="U6716" s="26" t="str">
        <f t="shared" si="270"/>
        <v>2025.002G.Monodnaviria_reorg_4nr.zip</v>
      </c>
    </row>
    <row r="6717" spans="1:21">
      <c r="A6717">
        <v>6716</v>
      </c>
      <c r="B6717" s="27" t="s">
        <v>20779</v>
      </c>
      <c r="D6717" s="27" t="s">
        <v>1826</v>
      </c>
      <c r="F6717" s="27" t="s">
        <v>19875</v>
      </c>
      <c r="H6717" s="27" t="s">
        <v>19876</v>
      </c>
      <c r="J6717" s="27" t="s">
        <v>19877</v>
      </c>
      <c r="L6717" s="27" t="s">
        <v>124</v>
      </c>
      <c r="N6717" s="27" t="s">
        <v>126</v>
      </c>
      <c r="P6717" s="27" t="s">
        <v>11047</v>
      </c>
      <c r="Q6717" s="26" t="str">
        <f>HYPERLINK("https://ictv.global/taxonomy/taxondetails?taxnode_id=202509408&amp;ictv_id=ICTV202009408","ICTV202009408")</f>
        <v>ICTV202009408</v>
      </c>
      <c r="R6717" t="s">
        <v>656</v>
      </c>
      <c r="S6717" t="s">
        <v>824</v>
      </c>
      <c r="T6717">
        <v>41</v>
      </c>
      <c r="U6717" s="26" t="str">
        <f t="shared" si="270"/>
        <v>2025.002G.Monodnaviria_reorg_4nr.zip</v>
      </c>
    </row>
    <row r="6718" spans="1:21">
      <c r="A6718">
        <v>6717</v>
      </c>
      <c r="B6718" s="27" t="s">
        <v>20779</v>
      </c>
      <c r="D6718" s="27" t="s">
        <v>1826</v>
      </c>
      <c r="F6718" s="27" t="s">
        <v>19875</v>
      </c>
      <c r="H6718" s="27" t="s">
        <v>19876</v>
      </c>
      <c r="J6718" s="27" t="s">
        <v>19877</v>
      </c>
      <c r="L6718" s="27" t="s">
        <v>124</v>
      </c>
      <c r="N6718" s="27" t="s">
        <v>126</v>
      </c>
      <c r="P6718" s="27" t="s">
        <v>11048</v>
      </c>
      <c r="Q6718" s="26" t="str">
        <f>HYPERLINK("https://ictv.global/taxonomy/taxondetails?taxnode_id=202509409&amp;ictv_id=ICTV202009409","ICTV202009409")</f>
        <v>ICTV202009409</v>
      </c>
      <c r="R6718" t="s">
        <v>656</v>
      </c>
      <c r="S6718" t="s">
        <v>824</v>
      </c>
      <c r="T6718">
        <v>41</v>
      </c>
      <c r="U6718" s="26" t="str">
        <f t="shared" si="270"/>
        <v>2025.002G.Monodnaviria_reorg_4nr.zip</v>
      </c>
    </row>
    <row r="6719" spans="1:21">
      <c r="A6719">
        <v>6718</v>
      </c>
      <c r="B6719" s="27" t="s">
        <v>20779</v>
      </c>
      <c r="D6719" s="27" t="s">
        <v>1826</v>
      </c>
      <c r="F6719" s="27" t="s">
        <v>19875</v>
      </c>
      <c r="H6719" s="27" t="s">
        <v>19876</v>
      </c>
      <c r="J6719" s="27" t="s">
        <v>19877</v>
      </c>
      <c r="L6719" s="27" t="s">
        <v>124</v>
      </c>
      <c r="N6719" s="27" t="s">
        <v>126</v>
      </c>
      <c r="P6719" s="27" t="s">
        <v>11049</v>
      </c>
      <c r="Q6719" s="26" t="str">
        <f>HYPERLINK("https://ictv.global/taxonomy/taxondetails?taxnode_id=202509410&amp;ictv_id=ICTV202009410","ICTV202009410")</f>
        <v>ICTV202009410</v>
      </c>
      <c r="R6719" t="s">
        <v>656</v>
      </c>
      <c r="S6719" t="s">
        <v>824</v>
      </c>
      <c r="T6719">
        <v>41</v>
      </c>
      <c r="U6719" s="26" t="str">
        <f t="shared" si="270"/>
        <v>2025.002G.Monodnaviria_reorg_4nr.zip</v>
      </c>
    </row>
    <row r="6720" spans="1:21">
      <c r="A6720">
        <v>6719</v>
      </c>
      <c r="B6720" s="27" t="s">
        <v>20779</v>
      </c>
      <c r="D6720" s="27" t="s">
        <v>1826</v>
      </c>
      <c r="F6720" s="27" t="s">
        <v>19875</v>
      </c>
      <c r="H6720" s="27" t="s">
        <v>19876</v>
      </c>
      <c r="J6720" s="27" t="s">
        <v>19877</v>
      </c>
      <c r="L6720" s="27" t="s">
        <v>124</v>
      </c>
      <c r="N6720" s="27" t="s">
        <v>126</v>
      </c>
      <c r="P6720" s="27" t="s">
        <v>11050</v>
      </c>
      <c r="Q6720" s="26" t="str">
        <f>HYPERLINK("https://ictv.global/taxonomy/taxondetails?taxnode_id=202509411&amp;ictv_id=ICTV202009411","ICTV202009411")</f>
        <v>ICTV202009411</v>
      </c>
      <c r="R6720" t="s">
        <v>656</v>
      </c>
      <c r="S6720" t="s">
        <v>824</v>
      </c>
      <c r="T6720">
        <v>41</v>
      </c>
      <c r="U6720" s="26" t="str">
        <f t="shared" si="270"/>
        <v>2025.002G.Monodnaviria_reorg_4nr.zip</v>
      </c>
    </row>
    <row r="6721" spans="1:21">
      <c r="A6721">
        <v>6720</v>
      </c>
      <c r="B6721" s="27" t="s">
        <v>20779</v>
      </c>
      <c r="D6721" s="27" t="s">
        <v>1826</v>
      </c>
      <c r="F6721" s="27" t="s">
        <v>19875</v>
      </c>
      <c r="H6721" s="27" t="s">
        <v>19876</v>
      </c>
      <c r="J6721" s="27" t="s">
        <v>19877</v>
      </c>
      <c r="L6721" s="27" t="s">
        <v>124</v>
      </c>
      <c r="N6721" s="27" t="s">
        <v>126</v>
      </c>
      <c r="P6721" s="27" t="s">
        <v>11051</v>
      </c>
      <c r="Q6721" s="26" t="str">
        <f>HYPERLINK("https://ictv.global/taxonomy/taxondetails?taxnode_id=202509412&amp;ictv_id=ICTV202009412","ICTV202009412")</f>
        <v>ICTV202009412</v>
      </c>
      <c r="R6721" t="s">
        <v>656</v>
      </c>
      <c r="S6721" t="s">
        <v>824</v>
      </c>
      <c r="T6721">
        <v>41</v>
      </c>
      <c r="U6721" s="26" t="str">
        <f t="shared" si="270"/>
        <v>2025.002G.Monodnaviria_reorg_4nr.zip</v>
      </c>
    </row>
    <row r="6722" spans="1:21">
      <c r="A6722">
        <v>6721</v>
      </c>
      <c r="B6722" s="27" t="s">
        <v>20779</v>
      </c>
      <c r="D6722" s="27" t="s">
        <v>1826</v>
      </c>
      <c r="F6722" s="27" t="s">
        <v>19875</v>
      </c>
      <c r="H6722" s="27" t="s">
        <v>19876</v>
      </c>
      <c r="J6722" s="27" t="s">
        <v>19877</v>
      </c>
      <c r="L6722" s="27" t="s">
        <v>124</v>
      </c>
      <c r="N6722" s="27" t="s">
        <v>126</v>
      </c>
      <c r="P6722" s="27" t="s">
        <v>11052</v>
      </c>
      <c r="Q6722" s="26" t="str">
        <f>HYPERLINK("https://ictv.global/taxonomy/taxondetails?taxnode_id=202509413&amp;ictv_id=ICTV202009413","ICTV202009413")</f>
        <v>ICTV202009413</v>
      </c>
      <c r="R6722" t="s">
        <v>656</v>
      </c>
      <c r="S6722" t="s">
        <v>824</v>
      </c>
      <c r="T6722">
        <v>41</v>
      </c>
      <c r="U6722" s="26" t="str">
        <f t="shared" si="270"/>
        <v>2025.002G.Monodnaviria_reorg_4nr.zip</v>
      </c>
    </row>
    <row r="6723" spans="1:21">
      <c r="A6723">
        <v>6722</v>
      </c>
      <c r="B6723" s="27" t="s">
        <v>20779</v>
      </c>
      <c r="D6723" s="27" t="s">
        <v>1826</v>
      </c>
      <c r="F6723" s="27" t="s">
        <v>19875</v>
      </c>
      <c r="H6723" s="27" t="s">
        <v>19876</v>
      </c>
      <c r="J6723" s="27" t="s">
        <v>19877</v>
      </c>
      <c r="L6723" s="27" t="s">
        <v>124</v>
      </c>
      <c r="N6723" s="27" t="s">
        <v>126</v>
      </c>
      <c r="P6723" s="27" t="s">
        <v>11053</v>
      </c>
      <c r="Q6723" s="26" t="str">
        <f>HYPERLINK("https://ictv.global/taxonomy/taxondetails?taxnode_id=202509414&amp;ictv_id=ICTV202009414","ICTV202009414")</f>
        <v>ICTV202009414</v>
      </c>
      <c r="R6723" t="s">
        <v>656</v>
      </c>
      <c r="S6723" t="s">
        <v>824</v>
      </c>
      <c r="T6723">
        <v>41</v>
      </c>
      <c r="U6723" s="26" t="str">
        <f t="shared" si="270"/>
        <v>2025.002G.Monodnaviria_reorg_4nr.zip</v>
      </c>
    </row>
    <row r="6724" spans="1:21">
      <c r="A6724">
        <v>6723</v>
      </c>
      <c r="B6724" s="27" t="s">
        <v>20779</v>
      </c>
      <c r="D6724" s="27" t="s">
        <v>1826</v>
      </c>
      <c r="F6724" s="27" t="s">
        <v>19875</v>
      </c>
      <c r="H6724" s="27" t="s">
        <v>19876</v>
      </c>
      <c r="J6724" s="27" t="s">
        <v>19877</v>
      </c>
      <c r="L6724" s="27" t="s">
        <v>124</v>
      </c>
      <c r="N6724" s="27" t="s">
        <v>126</v>
      </c>
      <c r="P6724" s="27" t="s">
        <v>11054</v>
      </c>
      <c r="Q6724" s="26" t="str">
        <f>HYPERLINK("https://ictv.global/taxonomy/taxondetails?taxnode_id=202509415&amp;ictv_id=ICTV202009415","ICTV202009415")</f>
        <v>ICTV202009415</v>
      </c>
      <c r="R6724" t="s">
        <v>656</v>
      </c>
      <c r="S6724" t="s">
        <v>824</v>
      </c>
      <c r="T6724">
        <v>41</v>
      </c>
      <c r="U6724" s="26" t="str">
        <f t="shared" si="270"/>
        <v>2025.002G.Monodnaviria_reorg_4nr.zip</v>
      </c>
    </row>
    <row r="6725" spans="1:21">
      <c r="A6725">
        <v>6724</v>
      </c>
      <c r="B6725" s="27" t="s">
        <v>20779</v>
      </c>
      <c r="D6725" s="27" t="s">
        <v>1826</v>
      </c>
      <c r="F6725" s="27" t="s">
        <v>19875</v>
      </c>
      <c r="H6725" s="27" t="s">
        <v>19876</v>
      </c>
      <c r="J6725" s="27" t="s">
        <v>19877</v>
      </c>
      <c r="L6725" s="27" t="s">
        <v>124</v>
      </c>
      <c r="N6725" s="27" t="s">
        <v>126</v>
      </c>
      <c r="P6725" s="27" t="s">
        <v>11055</v>
      </c>
      <c r="Q6725" s="26" t="str">
        <f>HYPERLINK("https://ictv.global/taxonomy/taxondetails?taxnode_id=202509416&amp;ictv_id=ICTV202009416","ICTV202009416")</f>
        <v>ICTV202009416</v>
      </c>
      <c r="R6725" t="s">
        <v>656</v>
      </c>
      <c r="S6725" t="s">
        <v>824</v>
      </c>
      <c r="T6725">
        <v>41</v>
      </c>
      <c r="U6725" s="26" t="str">
        <f t="shared" si="270"/>
        <v>2025.002G.Monodnaviria_reorg_4nr.zip</v>
      </c>
    </row>
    <row r="6726" spans="1:21">
      <c r="A6726">
        <v>6725</v>
      </c>
      <c r="B6726" s="27" t="s">
        <v>20779</v>
      </c>
      <c r="D6726" s="27" t="s">
        <v>1826</v>
      </c>
      <c r="F6726" s="27" t="s">
        <v>19875</v>
      </c>
      <c r="H6726" s="27" t="s">
        <v>19876</v>
      </c>
      <c r="J6726" s="27" t="s">
        <v>19877</v>
      </c>
      <c r="L6726" s="27" t="s">
        <v>124</v>
      </c>
      <c r="N6726" s="27" t="s">
        <v>126</v>
      </c>
      <c r="P6726" s="27" t="s">
        <v>11056</v>
      </c>
      <c r="Q6726" s="26" t="str">
        <f>HYPERLINK("https://ictv.global/taxonomy/taxondetails?taxnode_id=202509417&amp;ictv_id=ICTV202009417","ICTV202009417")</f>
        <v>ICTV202009417</v>
      </c>
      <c r="R6726" t="s">
        <v>656</v>
      </c>
      <c r="S6726" t="s">
        <v>824</v>
      </c>
      <c r="T6726">
        <v>41</v>
      </c>
      <c r="U6726" s="26" t="str">
        <f t="shared" ref="U6726:U6789" si="271">HYPERLINK("https://ictv.global/ictv/proposals/2025.002G.Monodnaviria_reorg_4nr.zip","2025.002G.Monodnaviria_reorg_4nr.zip")</f>
        <v>2025.002G.Monodnaviria_reorg_4nr.zip</v>
      </c>
    </row>
    <row r="6727" spans="1:21">
      <c r="A6727">
        <v>6726</v>
      </c>
      <c r="B6727" s="27" t="s">
        <v>20779</v>
      </c>
      <c r="D6727" s="27" t="s">
        <v>1826</v>
      </c>
      <c r="F6727" s="27" t="s">
        <v>19875</v>
      </c>
      <c r="H6727" s="27" t="s">
        <v>19876</v>
      </c>
      <c r="J6727" s="27" t="s">
        <v>19877</v>
      </c>
      <c r="L6727" s="27" t="s">
        <v>124</v>
      </c>
      <c r="N6727" s="27" t="s">
        <v>126</v>
      </c>
      <c r="P6727" s="27" t="s">
        <v>11057</v>
      </c>
      <c r="Q6727" s="26" t="str">
        <f>HYPERLINK("https://ictv.global/taxonomy/taxondetails?taxnode_id=202509418&amp;ictv_id=ICTV202009418","ICTV202009418")</f>
        <v>ICTV202009418</v>
      </c>
      <c r="R6727" t="s">
        <v>656</v>
      </c>
      <c r="S6727" t="s">
        <v>824</v>
      </c>
      <c r="T6727">
        <v>41</v>
      </c>
      <c r="U6727" s="26" t="str">
        <f t="shared" si="271"/>
        <v>2025.002G.Monodnaviria_reorg_4nr.zip</v>
      </c>
    </row>
    <row r="6728" spans="1:21">
      <c r="A6728">
        <v>6727</v>
      </c>
      <c r="B6728" s="27" t="s">
        <v>20779</v>
      </c>
      <c r="D6728" s="27" t="s">
        <v>1826</v>
      </c>
      <c r="F6728" s="27" t="s">
        <v>19875</v>
      </c>
      <c r="H6728" s="27" t="s">
        <v>19876</v>
      </c>
      <c r="J6728" s="27" t="s">
        <v>19877</v>
      </c>
      <c r="L6728" s="27" t="s">
        <v>124</v>
      </c>
      <c r="N6728" s="27" t="s">
        <v>126</v>
      </c>
      <c r="P6728" s="27" t="s">
        <v>11058</v>
      </c>
      <c r="Q6728" s="26" t="str">
        <f>HYPERLINK("https://ictv.global/taxonomy/taxondetails?taxnode_id=202509419&amp;ictv_id=ICTV202009419","ICTV202009419")</f>
        <v>ICTV202009419</v>
      </c>
      <c r="R6728" t="s">
        <v>656</v>
      </c>
      <c r="S6728" t="s">
        <v>824</v>
      </c>
      <c r="T6728">
        <v>41</v>
      </c>
      <c r="U6728" s="26" t="str">
        <f t="shared" si="271"/>
        <v>2025.002G.Monodnaviria_reorg_4nr.zip</v>
      </c>
    </row>
    <row r="6729" spans="1:21">
      <c r="A6729">
        <v>6728</v>
      </c>
      <c r="B6729" s="27" t="s">
        <v>20779</v>
      </c>
      <c r="D6729" s="27" t="s">
        <v>1826</v>
      </c>
      <c r="F6729" s="27" t="s">
        <v>19875</v>
      </c>
      <c r="H6729" s="27" t="s">
        <v>19876</v>
      </c>
      <c r="J6729" s="27" t="s">
        <v>19877</v>
      </c>
      <c r="L6729" s="27" t="s">
        <v>124</v>
      </c>
      <c r="N6729" s="27" t="s">
        <v>126</v>
      </c>
      <c r="P6729" s="27" t="s">
        <v>11059</v>
      </c>
      <c r="Q6729" s="26" t="str">
        <f>HYPERLINK("https://ictv.global/taxonomy/taxondetails?taxnode_id=202509420&amp;ictv_id=ICTV202009420","ICTV202009420")</f>
        <v>ICTV202009420</v>
      </c>
      <c r="R6729" t="s">
        <v>656</v>
      </c>
      <c r="S6729" t="s">
        <v>824</v>
      </c>
      <c r="T6729">
        <v>41</v>
      </c>
      <c r="U6729" s="26" t="str">
        <f t="shared" si="271"/>
        <v>2025.002G.Monodnaviria_reorg_4nr.zip</v>
      </c>
    </row>
    <row r="6730" spans="1:21">
      <c r="A6730">
        <v>6729</v>
      </c>
      <c r="B6730" s="27" t="s">
        <v>20779</v>
      </c>
      <c r="D6730" s="27" t="s">
        <v>1826</v>
      </c>
      <c r="F6730" s="27" t="s">
        <v>19875</v>
      </c>
      <c r="H6730" s="27" t="s">
        <v>19876</v>
      </c>
      <c r="J6730" s="27" t="s">
        <v>19877</v>
      </c>
      <c r="L6730" s="27" t="s">
        <v>124</v>
      </c>
      <c r="N6730" s="27" t="s">
        <v>126</v>
      </c>
      <c r="P6730" s="27" t="s">
        <v>11060</v>
      </c>
      <c r="Q6730" s="26" t="str">
        <f>HYPERLINK("https://ictv.global/taxonomy/taxondetails?taxnode_id=202509421&amp;ictv_id=ICTV202009421","ICTV202009421")</f>
        <v>ICTV202009421</v>
      </c>
      <c r="R6730" t="s">
        <v>656</v>
      </c>
      <c r="S6730" t="s">
        <v>824</v>
      </c>
      <c r="T6730">
        <v>41</v>
      </c>
      <c r="U6730" s="26" t="str">
        <f t="shared" si="271"/>
        <v>2025.002G.Monodnaviria_reorg_4nr.zip</v>
      </c>
    </row>
    <row r="6731" spans="1:21">
      <c r="A6731">
        <v>6730</v>
      </c>
      <c r="B6731" s="27" t="s">
        <v>20779</v>
      </c>
      <c r="D6731" s="27" t="s">
        <v>1826</v>
      </c>
      <c r="F6731" s="27" t="s">
        <v>19875</v>
      </c>
      <c r="H6731" s="27" t="s">
        <v>19876</v>
      </c>
      <c r="J6731" s="27" t="s">
        <v>19877</v>
      </c>
      <c r="L6731" s="27" t="s">
        <v>124</v>
      </c>
      <c r="N6731" s="27" t="s">
        <v>126</v>
      </c>
      <c r="P6731" s="27" t="s">
        <v>11061</v>
      </c>
      <c r="Q6731" s="26" t="str">
        <f>HYPERLINK("https://ictv.global/taxonomy/taxondetails?taxnode_id=202509422&amp;ictv_id=ICTV202009422","ICTV202009422")</f>
        <v>ICTV202009422</v>
      </c>
      <c r="R6731" t="s">
        <v>656</v>
      </c>
      <c r="S6731" t="s">
        <v>824</v>
      </c>
      <c r="T6731">
        <v>41</v>
      </c>
      <c r="U6731" s="26" t="str">
        <f t="shared" si="271"/>
        <v>2025.002G.Monodnaviria_reorg_4nr.zip</v>
      </c>
    </row>
    <row r="6732" spans="1:21">
      <c r="A6732">
        <v>6731</v>
      </c>
      <c r="B6732" s="27" t="s">
        <v>20779</v>
      </c>
      <c r="D6732" s="27" t="s">
        <v>1826</v>
      </c>
      <c r="F6732" s="27" t="s">
        <v>19875</v>
      </c>
      <c r="H6732" s="27" t="s">
        <v>19876</v>
      </c>
      <c r="J6732" s="27" t="s">
        <v>19877</v>
      </c>
      <c r="L6732" s="27" t="s">
        <v>124</v>
      </c>
      <c r="N6732" s="27" t="s">
        <v>126</v>
      </c>
      <c r="P6732" s="27" t="s">
        <v>11062</v>
      </c>
      <c r="Q6732" s="26" t="str">
        <f>HYPERLINK("https://ictv.global/taxonomy/taxondetails?taxnode_id=202509423&amp;ictv_id=ICTV202009423","ICTV202009423")</f>
        <v>ICTV202009423</v>
      </c>
      <c r="R6732" t="s">
        <v>656</v>
      </c>
      <c r="S6732" t="s">
        <v>824</v>
      </c>
      <c r="T6732">
        <v>41</v>
      </c>
      <c r="U6732" s="26" t="str">
        <f t="shared" si="271"/>
        <v>2025.002G.Monodnaviria_reorg_4nr.zip</v>
      </c>
    </row>
    <row r="6733" spans="1:21">
      <c r="A6733">
        <v>6732</v>
      </c>
      <c r="B6733" s="27" t="s">
        <v>20779</v>
      </c>
      <c r="D6733" s="27" t="s">
        <v>1826</v>
      </c>
      <c r="F6733" s="27" t="s">
        <v>19875</v>
      </c>
      <c r="H6733" s="27" t="s">
        <v>19876</v>
      </c>
      <c r="J6733" s="27" t="s">
        <v>19877</v>
      </c>
      <c r="L6733" s="27" t="s">
        <v>124</v>
      </c>
      <c r="N6733" s="27" t="s">
        <v>126</v>
      </c>
      <c r="P6733" s="27" t="s">
        <v>11063</v>
      </c>
      <c r="Q6733" s="26" t="str">
        <f>HYPERLINK("https://ictv.global/taxonomy/taxondetails?taxnode_id=202509424&amp;ictv_id=ICTV202009424","ICTV202009424")</f>
        <v>ICTV202009424</v>
      </c>
      <c r="R6733" t="s">
        <v>656</v>
      </c>
      <c r="S6733" t="s">
        <v>824</v>
      </c>
      <c r="T6733">
        <v>41</v>
      </c>
      <c r="U6733" s="26" t="str">
        <f t="shared" si="271"/>
        <v>2025.002G.Monodnaviria_reorg_4nr.zip</v>
      </c>
    </row>
    <row r="6734" spans="1:21">
      <c r="A6734">
        <v>6733</v>
      </c>
      <c r="B6734" s="27" t="s">
        <v>20779</v>
      </c>
      <c r="D6734" s="27" t="s">
        <v>1826</v>
      </c>
      <c r="F6734" s="27" t="s">
        <v>19875</v>
      </c>
      <c r="H6734" s="27" t="s">
        <v>19876</v>
      </c>
      <c r="J6734" s="27" t="s">
        <v>19877</v>
      </c>
      <c r="L6734" s="27" t="s">
        <v>124</v>
      </c>
      <c r="N6734" s="27" t="s">
        <v>126</v>
      </c>
      <c r="P6734" s="27" t="s">
        <v>11064</v>
      </c>
      <c r="Q6734" s="26" t="str">
        <f>HYPERLINK("https://ictv.global/taxonomy/taxondetails?taxnode_id=202509425&amp;ictv_id=ICTV202009425","ICTV202009425")</f>
        <v>ICTV202009425</v>
      </c>
      <c r="R6734" t="s">
        <v>656</v>
      </c>
      <c r="S6734" t="s">
        <v>824</v>
      </c>
      <c r="T6734">
        <v>41</v>
      </c>
      <c r="U6734" s="26" t="str">
        <f t="shared" si="271"/>
        <v>2025.002G.Monodnaviria_reorg_4nr.zip</v>
      </c>
    </row>
    <row r="6735" spans="1:21">
      <c r="A6735">
        <v>6734</v>
      </c>
      <c r="B6735" s="27" t="s">
        <v>20779</v>
      </c>
      <c r="D6735" s="27" t="s">
        <v>1826</v>
      </c>
      <c r="F6735" s="27" t="s">
        <v>19875</v>
      </c>
      <c r="H6735" s="27" t="s">
        <v>19876</v>
      </c>
      <c r="J6735" s="27" t="s">
        <v>19877</v>
      </c>
      <c r="L6735" s="27" t="s">
        <v>124</v>
      </c>
      <c r="N6735" s="27" t="s">
        <v>3661</v>
      </c>
      <c r="P6735" s="27" t="s">
        <v>11065</v>
      </c>
      <c r="Q6735" s="26" t="str">
        <f>HYPERLINK("https://ictv.global/taxonomy/taxondetails?taxnode_id=202509427&amp;ictv_id=ICTV202009427","ICTV202009427")</f>
        <v>ICTV202009427</v>
      </c>
      <c r="R6735" t="s">
        <v>656</v>
      </c>
      <c r="S6735" t="s">
        <v>824</v>
      </c>
      <c r="T6735">
        <v>41</v>
      </c>
      <c r="U6735" s="26" t="str">
        <f t="shared" si="271"/>
        <v>2025.002G.Monodnaviria_reorg_4nr.zip</v>
      </c>
    </row>
    <row r="6736" spans="1:21">
      <c r="A6736">
        <v>6735</v>
      </c>
      <c r="B6736" s="27" t="s">
        <v>20779</v>
      </c>
      <c r="D6736" s="27" t="s">
        <v>1826</v>
      </c>
      <c r="F6736" s="27" t="s">
        <v>19875</v>
      </c>
      <c r="H6736" s="27" t="s">
        <v>19876</v>
      </c>
      <c r="J6736" s="27" t="s">
        <v>19877</v>
      </c>
      <c r="L6736" s="27" t="s">
        <v>124</v>
      </c>
      <c r="N6736" s="27" t="s">
        <v>128</v>
      </c>
      <c r="P6736" s="27" t="s">
        <v>11066</v>
      </c>
      <c r="Q6736" s="26" t="str">
        <f>HYPERLINK("https://ictv.global/taxonomy/taxondetails?taxnode_id=202502531&amp;ictv_id=ICTV20093134","ICTV20093134")</f>
        <v>ICTV20093134</v>
      </c>
      <c r="R6736" t="s">
        <v>656</v>
      </c>
      <c r="S6736" t="s">
        <v>824</v>
      </c>
      <c r="T6736">
        <v>41</v>
      </c>
      <c r="U6736" s="26" t="str">
        <f t="shared" si="271"/>
        <v>2025.002G.Monodnaviria_reorg_4nr.zip</v>
      </c>
    </row>
    <row r="6737" spans="1:21">
      <c r="A6737">
        <v>6736</v>
      </c>
      <c r="B6737" s="27" t="s">
        <v>20779</v>
      </c>
      <c r="D6737" s="27" t="s">
        <v>1826</v>
      </c>
      <c r="F6737" s="27" t="s">
        <v>19875</v>
      </c>
      <c r="H6737" s="27" t="s">
        <v>19876</v>
      </c>
      <c r="J6737" s="27" t="s">
        <v>19877</v>
      </c>
      <c r="L6737" s="27" t="s">
        <v>124</v>
      </c>
      <c r="N6737" s="27" t="s">
        <v>377</v>
      </c>
      <c r="P6737" s="27" t="s">
        <v>11067</v>
      </c>
      <c r="Q6737" s="26" t="str">
        <f>HYPERLINK("https://ictv.global/taxonomy/taxondetails?taxnode_id=202502533&amp;ictv_id=ICTV20093135","ICTV20093135")</f>
        <v>ICTV20093135</v>
      </c>
      <c r="R6737" t="s">
        <v>656</v>
      </c>
      <c r="S6737" t="s">
        <v>824</v>
      </c>
      <c r="T6737">
        <v>41</v>
      </c>
      <c r="U6737" s="26" t="str">
        <f t="shared" si="271"/>
        <v>2025.002G.Monodnaviria_reorg_4nr.zip</v>
      </c>
    </row>
    <row r="6738" spans="1:21">
      <c r="A6738">
        <v>6737</v>
      </c>
      <c r="B6738" s="27" t="s">
        <v>20779</v>
      </c>
      <c r="D6738" s="27" t="s">
        <v>1826</v>
      </c>
      <c r="F6738" s="27" t="s">
        <v>19875</v>
      </c>
      <c r="H6738" s="27" t="s">
        <v>19876</v>
      </c>
      <c r="J6738" s="27" t="s">
        <v>19877</v>
      </c>
      <c r="L6738" s="27" t="s">
        <v>124</v>
      </c>
      <c r="N6738" s="27" t="s">
        <v>379</v>
      </c>
      <c r="P6738" s="27" t="s">
        <v>11068</v>
      </c>
      <c r="Q6738" s="26" t="str">
        <f>HYPERLINK("https://ictv.global/taxonomy/taxondetails?taxnode_id=202502535&amp;ictv_id=ICTV20093136","ICTV20093136")</f>
        <v>ICTV20093136</v>
      </c>
      <c r="R6738" t="s">
        <v>656</v>
      </c>
      <c r="S6738" t="s">
        <v>824</v>
      </c>
      <c r="T6738">
        <v>41</v>
      </c>
      <c r="U6738" s="26" t="str">
        <f t="shared" si="271"/>
        <v>2025.002G.Monodnaviria_reorg_4nr.zip</v>
      </c>
    </row>
    <row r="6739" spans="1:21">
      <c r="A6739">
        <v>6738</v>
      </c>
      <c r="B6739" s="27" t="s">
        <v>20779</v>
      </c>
      <c r="D6739" s="27" t="s">
        <v>1826</v>
      </c>
      <c r="F6739" s="27" t="s">
        <v>19875</v>
      </c>
      <c r="H6739" s="27" t="s">
        <v>19876</v>
      </c>
      <c r="J6739" s="27" t="s">
        <v>19877</v>
      </c>
      <c r="L6739" s="27" t="s">
        <v>124</v>
      </c>
      <c r="N6739" s="27" t="s">
        <v>379</v>
      </c>
      <c r="P6739" s="27" t="s">
        <v>11069</v>
      </c>
      <c r="Q6739" s="26" t="str">
        <f>HYPERLINK("https://ictv.global/taxonomy/taxondetails?taxnode_id=202502536&amp;ictv_id=ICTV20115625","ICTV20115625")</f>
        <v>ICTV20115625</v>
      </c>
      <c r="R6739" t="s">
        <v>656</v>
      </c>
      <c r="S6739" t="s">
        <v>824</v>
      </c>
      <c r="T6739">
        <v>41</v>
      </c>
      <c r="U6739" s="26" t="str">
        <f t="shared" si="271"/>
        <v>2025.002G.Monodnaviria_reorg_4nr.zip</v>
      </c>
    </row>
    <row r="6740" spans="1:21">
      <c r="A6740">
        <v>6739</v>
      </c>
      <c r="B6740" s="27" t="s">
        <v>20779</v>
      </c>
      <c r="D6740" s="27" t="s">
        <v>1826</v>
      </c>
      <c r="F6740" s="27" t="s">
        <v>19875</v>
      </c>
      <c r="H6740" s="27" t="s">
        <v>19876</v>
      </c>
      <c r="J6740" s="27" t="s">
        <v>19877</v>
      </c>
      <c r="L6740" s="27" t="s">
        <v>124</v>
      </c>
      <c r="N6740" s="27" t="s">
        <v>379</v>
      </c>
      <c r="P6740" s="27" t="s">
        <v>11070</v>
      </c>
      <c r="Q6740" s="26" t="str">
        <f>HYPERLINK("https://ictv.global/taxonomy/taxondetails?taxnode_id=202509430&amp;ictv_id=ICTV202009430","ICTV202009430")</f>
        <v>ICTV202009430</v>
      </c>
      <c r="R6740" t="s">
        <v>656</v>
      </c>
      <c r="S6740" t="s">
        <v>824</v>
      </c>
      <c r="T6740">
        <v>41</v>
      </c>
      <c r="U6740" s="26" t="str">
        <f t="shared" si="271"/>
        <v>2025.002G.Monodnaviria_reorg_4nr.zip</v>
      </c>
    </row>
    <row r="6741" spans="1:21">
      <c r="A6741">
        <v>6740</v>
      </c>
      <c r="B6741" s="27" t="s">
        <v>20779</v>
      </c>
      <c r="D6741" s="27" t="s">
        <v>1826</v>
      </c>
      <c r="F6741" s="27" t="s">
        <v>19875</v>
      </c>
      <c r="H6741" s="27" t="s">
        <v>19876</v>
      </c>
      <c r="J6741" s="27" t="s">
        <v>19877</v>
      </c>
      <c r="L6741" s="27" t="s">
        <v>124</v>
      </c>
      <c r="N6741" s="27" t="s">
        <v>379</v>
      </c>
      <c r="P6741" s="27" t="s">
        <v>11071</v>
      </c>
      <c r="Q6741" s="26" t="str">
        <f>HYPERLINK("https://ictv.global/taxonomy/taxondetails?taxnode_id=202509431&amp;ictv_id=ICTV202009431","ICTV202009431")</f>
        <v>ICTV202009431</v>
      </c>
      <c r="R6741" t="s">
        <v>656</v>
      </c>
      <c r="S6741" t="s">
        <v>824</v>
      </c>
      <c r="T6741">
        <v>41</v>
      </c>
      <c r="U6741" s="26" t="str">
        <f t="shared" si="271"/>
        <v>2025.002G.Monodnaviria_reorg_4nr.zip</v>
      </c>
    </row>
    <row r="6742" spans="1:21">
      <c r="A6742">
        <v>6741</v>
      </c>
      <c r="B6742" s="27" t="s">
        <v>20779</v>
      </c>
      <c r="D6742" s="27" t="s">
        <v>1826</v>
      </c>
      <c r="F6742" s="27" t="s">
        <v>19875</v>
      </c>
      <c r="H6742" s="27" t="s">
        <v>19876</v>
      </c>
      <c r="J6742" s="27" t="s">
        <v>19877</v>
      </c>
      <c r="L6742" s="27" t="s">
        <v>124</v>
      </c>
      <c r="N6742" s="27" t="s">
        <v>379</v>
      </c>
      <c r="P6742" s="27" t="s">
        <v>11072</v>
      </c>
      <c r="Q6742" s="26" t="str">
        <f>HYPERLINK("https://ictv.global/taxonomy/taxondetails?taxnode_id=202509456&amp;ictv_id=ICTV202009456","ICTV202009456")</f>
        <v>ICTV202009456</v>
      </c>
      <c r="R6742" t="s">
        <v>656</v>
      </c>
      <c r="S6742" t="s">
        <v>824</v>
      </c>
      <c r="T6742">
        <v>41</v>
      </c>
      <c r="U6742" s="26" t="str">
        <f t="shared" si="271"/>
        <v>2025.002G.Monodnaviria_reorg_4nr.zip</v>
      </c>
    </row>
    <row r="6743" spans="1:21">
      <c r="A6743">
        <v>6742</v>
      </c>
      <c r="B6743" s="27" t="s">
        <v>20779</v>
      </c>
      <c r="D6743" s="27" t="s">
        <v>1826</v>
      </c>
      <c r="F6743" s="27" t="s">
        <v>19875</v>
      </c>
      <c r="H6743" s="27" t="s">
        <v>19876</v>
      </c>
      <c r="J6743" s="27" t="s">
        <v>19877</v>
      </c>
      <c r="L6743" s="27" t="s">
        <v>124</v>
      </c>
      <c r="N6743" s="27" t="s">
        <v>379</v>
      </c>
      <c r="P6743" s="27" t="s">
        <v>19880</v>
      </c>
      <c r="Q6743" s="26" t="str">
        <f>HYPERLINK("https://ictv.global/taxonomy/taxondetails?taxnode_id=202520398&amp;ictv_id=ICTV202420398","ICTV202420398")</f>
        <v>ICTV202420398</v>
      </c>
      <c r="R6743" t="s">
        <v>660</v>
      </c>
      <c r="S6743" t="s">
        <v>824</v>
      </c>
      <c r="T6743">
        <v>41</v>
      </c>
      <c r="U6743" s="26" t="str">
        <f t="shared" si="271"/>
        <v>2025.002G.Monodnaviria_reorg_4nr.zip</v>
      </c>
    </row>
    <row r="6744" spans="1:21">
      <c r="A6744">
        <v>6743</v>
      </c>
      <c r="B6744" s="27" t="s">
        <v>20779</v>
      </c>
      <c r="D6744" s="27" t="s">
        <v>1826</v>
      </c>
      <c r="F6744" s="27" t="s">
        <v>19875</v>
      </c>
      <c r="H6744" s="27" t="s">
        <v>19876</v>
      </c>
      <c r="J6744" s="27" t="s">
        <v>19877</v>
      </c>
      <c r="L6744" s="27" t="s">
        <v>124</v>
      </c>
      <c r="N6744" s="27" t="s">
        <v>379</v>
      </c>
      <c r="P6744" s="27" t="s">
        <v>19881</v>
      </c>
      <c r="Q6744" s="26" t="str">
        <f>HYPERLINK("https://ictv.global/taxonomy/taxondetails?taxnode_id=202520402&amp;ictv_id=ICTV202420402","ICTV202420402")</f>
        <v>ICTV202420402</v>
      </c>
      <c r="R6744" t="s">
        <v>660</v>
      </c>
      <c r="S6744" t="s">
        <v>824</v>
      </c>
      <c r="T6744">
        <v>41</v>
      </c>
      <c r="U6744" s="26" t="str">
        <f t="shared" si="271"/>
        <v>2025.002G.Monodnaviria_reorg_4nr.zip</v>
      </c>
    </row>
    <row r="6745" spans="1:21">
      <c r="A6745">
        <v>6744</v>
      </c>
      <c r="B6745" s="27" t="s">
        <v>20779</v>
      </c>
      <c r="D6745" s="27" t="s">
        <v>1826</v>
      </c>
      <c r="F6745" s="27" t="s">
        <v>19875</v>
      </c>
      <c r="H6745" s="27" t="s">
        <v>19876</v>
      </c>
      <c r="J6745" s="27" t="s">
        <v>19877</v>
      </c>
      <c r="L6745" s="27" t="s">
        <v>124</v>
      </c>
      <c r="N6745" s="27" t="s">
        <v>379</v>
      </c>
      <c r="P6745" s="27" t="s">
        <v>19882</v>
      </c>
      <c r="Q6745" s="26" t="str">
        <f>HYPERLINK("https://ictv.global/taxonomy/taxondetails?taxnode_id=202520404&amp;ictv_id=ICTV202420404","ICTV202420404")</f>
        <v>ICTV202420404</v>
      </c>
      <c r="R6745" t="s">
        <v>660</v>
      </c>
      <c r="S6745" t="s">
        <v>824</v>
      </c>
      <c r="T6745">
        <v>41</v>
      </c>
      <c r="U6745" s="26" t="str">
        <f t="shared" si="271"/>
        <v>2025.002G.Monodnaviria_reorg_4nr.zip</v>
      </c>
    </row>
    <row r="6746" spans="1:21">
      <c r="A6746">
        <v>6745</v>
      </c>
      <c r="B6746" s="27" t="s">
        <v>20779</v>
      </c>
      <c r="D6746" s="27" t="s">
        <v>1826</v>
      </c>
      <c r="F6746" s="27" t="s">
        <v>19875</v>
      </c>
      <c r="H6746" s="27" t="s">
        <v>19876</v>
      </c>
      <c r="J6746" s="27" t="s">
        <v>19877</v>
      </c>
      <c r="L6746" s="27" t="s">
        <v>124</v>
      </c>
      <c r="N6746" s="27" t="s">
        <v>379</v>
      </c>
      <c r="P6746" s="27" t="s">
        <v>19883</v>
      </c>
      <c r="Q6746" s="26" t="str">
        <f>HYPERLINK("https://ictv.global/taxonomy/taxondetails?taxnode_id=202520405&amp;ictv_id=ICTV202420405","ICTV202420405")</f>
        <v>ICTV202420405</v>
      </c>
      <c r="R6746" t="s">
        <v>660</v>
      </c>
      <c r="S6746" t="s">
        <v>824</v>
      </c>
      <c r="T6746">
        <v>41</v>
      </c>
      <c r="U6746" s="26" t="str">
        <f t="shared" si="271"/>
        <v>2025.002G.Monodnaviria_reorg_4nr.zip</v>
      </c>
    </row>
    <row r="6747" spans="1:21">
      <c r="A6747">
        <v>6746</v>
      </c>
      <c r="B6747" s="27" t="s">
        <v>20779</v>
      </c>
      <c r="D6747" s="27" t="s">
        <v>1826</v>
      </c>
      <c r="F6747" s="27" t="s">
        <v>19875</v>
      </c>
      <c r="H6747" s="27" t="s">
        <v>19876</v>
      </c>
      <c r="J6747" s="27" t="s">
        <v>19877</v>
      </c>
      <c r="L6747" s="27" t="s">
        <v>124</v>
      </c>
      <c r="N6747" s="27" t="s">
        <v>379</v>
      </c>
      <c r="P6747" s="27" t="s">
        <v>19884</v>
      </c>
      <c r="Q6747" s="26" t="str">
        <f>HYPERLINK("https://ictv.global/taxonomy/taxondetails?taxnode_id=202520399&amp;ictv_id=ICTV202420399","ICTV202420399")</f>
        <v>ICTV202420399</v>
      </c>
      <c r="R6747" t="s">
        <v>660</v>
      </c>
      <c r="S6747" t="s">
        <v>824</v>
      </c>
      <c r="T6747">
        <v>41</v>
      </c>
      <c r="U6747" s="26" t="str">
        <f t="shared" si="271"/>
        <v>2025.002G.Monodnaviria_reorg_4nr.zip</v>
      </c>
    </row>
    <row r="6748" spans="1:21">
      <c r="A6748">
        <v>6747</v>
      </c>
      <c r="B6748" s="27" t="s">
        <v>20779</v>
      </c>
      <c r="D6748" s="27" t="s">
        <v>1826</v>
      </c>
      <c r="F6748" s="27" t="s">
        <v>19875</v>
      </c>
      <c r="H6748" s="27" t="s">
        <v>19876</v>
      </c>
      <c r="J6748" s="27" t="s">
        <v>19877</v>
      </c>
      <c r="L6748" s="27" t="s">
        <v>124</v>
      </c>
      <c r="N6748" s="27" t="s">
        <v>379</v>
      </c>
      <c r="P6748" s="27" t="s">
        <v>19885</v>
      </c>
      <c r="Q6748" s="26" t="str">
        <f>HYPERLINK("https://ictv.global/taxonomy/taxondetails?taxnode_id=202520403&amp;ictv_id=ICTV202420403","ICTV202420403")</f>
        <v>ICTV202420403</v>
      </c>
      <c r="R6748" t="s">
        <v>660</v>
      </c>
      <c r="S6748" t="s">
        <v>824</v>
      </c>
      <c r="T6748">
        <v>41</v>
      </c>
      <c r="U6748" s="26" t="str">
        <f t="shared" si="271"/>
        <v>2025.002G.Monodnaviria_reorg_4nr.zip</v>
      </c>
    </row>
    <row r="6749" spans="1:21">
      <c r="A6749">
        <v>6748</v>
      </c>
      <c r="B6749" s="27" t="s">
        <v>20779</v>
      </c>
      <c r="D6749" s="27" t="s">
        <v>1826</v>
      </c>
      <c r="F6749" s="27" t="s">
        <v>19875</v>
      </c>
      <c r="H6749" s="27" t="s">
        <v>19876</v>
      </c>
      <c r="J6749" s="27" t="s">
        <v>19877</v>
      </c>
      <c r="L6749" s="27" t="s">
        <v>124</v>
      </c>
      <c r="N6749" s="27" t="s">
        <v>379</v>
      </c>
      <c r="P6749" s="27" t="s">
        <v>19886</v>
      </c>
      <c r="Q6749" s="26" t="str">
        <f>HYPERLINK("https://ictv.global/taxonomy/taxondetails?taxnode_id=202520401&amp;ictv_id=ICTV202420401","ICTV202420401")</f>
        <v>ICTV202420401</v>
      </c>
      <c r="R6749" t="s">
        <v>660</v>
      </c>
      <c r="S6749" t="s">
        <v>824</v>
      </c>
      <c r="T6749">
        <v>41</v>
      </c>
      <c r="U6749" s="26" t="str">
        <f t="shared" si="271"/>
        <v>2025.002G.Monodnaviria_reorg_4nr.zip</v>
      </c>
    </row>
    <row r="6750" spans="1:21">
      <c r="A6750">
        <v>6749</v>
      </c>
      <c r="B6750" s="27" t="s">
        <v>20779</v>
      </c>
      <c r="D6750" s="27" t="s">
        <v>1826</v>
      </c>
      <c r="F6750" s="27" t="s">
        <v>19875</v>
      </c>
      <c r="H6750" s="27" t="s">
        <v>19876</v>
      </c>
      <c r="J6750" s="27" t="s">
        <v>19877</v>
      </c>
      <c r="L6750" s="27" t="s">
        <v>124</v>
      </c>
      <c r="N6750" s="27" t="s">
        <v>379</v>
      </c>
      <c r="P6750" s="27" t="s">
        <v>19887</v>
      </c>
      <c r="Q6750" s="26" t="str">
        <f>HYPERLINK("https://ictv.global/taxonomy/taxondetails?taxnode_id=202520396&amp;ictv_id=ICTV202420396","ICTV202420396")</f>
        <v>ICTV202420396</v>
      </c>
      <c r="R6750" t="s">
        <v>660</v>
      </c>
      <c r="S6750" t="s">
        <v>824</v>
      </c>
      <c r="T6750">
        <v>41</v>
      </c>
      <c r="U6750" s="26" t="str">
        <f t="shared" si="271"/>
        <v>2025.002G.Monodnaviria_reorg_4nr.zip</v>
      </c>
    </row>
    <row r="6751" spans="1:21">
      <c r="A6751">
        <v>6750</v>
      </c>
      <c r="B6751" s="27" t="s">
        <v>20779</v>
      </c>
      <c r="D6751" s="27" t="s">
        <v>1826</v>
      </c>
      <c r="F6751" s="27" t="s">
        <v>19875</v>
      </c>
      <c r="H6751" s="27" t="s">
        <v>19876</v>
      </c>
      <c r="J6751" s="27" t="s">
        <v>19877</v>
      </c>
      <c r="L6751" s="27" t="s">
        <v>124</v>
      </c>
      <c r="N6751" s="27" t="s">
        <v>379</v>
      </c>
      <c r="P6751" s="27" t="s">
        <v>19888</v>
      </c>
      <c r="Q6751" s="26" t="str">
        <f>HYPERLINK("https://ictv.global/taxonomy/taxondetails?taxnode_id=202520397&amp;ictv_id=ICTV202420397","ICTV202420397")</f>
        <v>ICTV202420397</v>
      </c>
      <c r="R6751" t="s">
        <v>660</v>
      </c>
      <c r="S6751" t="s">
        <v>824</v>
      </c>
      <c r="T6751">
        <v>41</v>
      </c>
      <c r="U6751" s="26" t="str">
        <f t="shared" si="271"/>
        <v>2025.002G.Monodnaviria_reorg_4nr.zip</v>
      </c>
    </row>
    <row r="6752" spans="1:21">
      <c r="A6752">
        <v>6751</v>
      </c>
      <c r="B6752" s="27" t="s">
        <v>20779</v>
      </c>
      <c r="D6752" s="27" t="s">
        <v>1826</v>
      </c>
      <c r="F6752" s="27" t="s">
        <v>19875</v>
      </c>
      <c r="H6752" s="27" t="s">
        <v>19876</v>
      </c>
      <c r="J6752" s="27" t="s">
        <v>19877</v>
      </c>
      <c r="L6752" s="27" t="s">
        <v>124</v>
      </c>
      <c r="N6752" s="27" t="s">
        <v>379</v>
      </c>
      <c r="P6752" s="27" t="s">
        <v>19889</v>
      </c>
      <c r="Q6752" s="26" t="str">
        <f>HYPERLINK("https://ictv.global/taxonomy/taxondetails?taxnode_id=202520400&amp;ictv_id=ICTV202420400","ICTV202420400")</f>
        <v>ICTV202420400</v>
      </c>
      <c r="R6752" t="s">
        <v>660</v>
      </c>
      <c r="S6752" t="s">
        <v>824</v>
      </c>
      <c r="T6752">
        <v>41</v>
      </c>
      <c r="U6752" s="26" t="str">
        <f t="shared" si="271"/>
        <v>2025.002G.Monodnaviria_reorg_4nr.zip</v>
      </c>
    </row>
    <row r="6753" spans="1:21">
      <c r="A6753">
        <v>6752</v>
      </c>
      <c r="B6753" s="27" t="s">
        <v>20779</v>
      </c>
      <c r="D6753" s="27" t="s">
        <v>1826</v>
      </c>
      <c r="F6753" s="27" t="s">
        <v>19875</v>
      </c>
      <c r="H6753" s="27" t="s">
        <v>19876</v>
      </c>
      <c r="J6753" s="27" t="s">
        <v>19877</v>
      </c>
      <c r="L6753" s="27" t="s">
        <v>124</v>
      </c>
      <c r="N6753" s="27" t="s">
        <v>379</v>
      </c>
      <c r="P6753" s="27" t="s">
        <v>19890</v>
      </c>
      <c r="Q6753" s="26" t="str">
        <f>HYPERLINK("https://ictv.global/taxonomy/taxondetails?taxnode_id=202520395&amp;ictv_id=ICTV202420395","ICTV202420395")</f>
        <v>ICTV202420395</v>
      </c>
      <c r="R6753" t="s">
        <v>660</v>
      </c>
      <c r="S6753" t="s">
        <v>824</v>
      </c>
      <c r="T6753">
        <v>41</v>
      </c>
      <c r="U6753" s="26" t="str">
        <f t="shared" si="271"/>
        <v>2025.002G.Monodnaviria_reorg_4nr.zip</v>
      </c>
    </row>
    <row r="6754" spans="1:21">
      <c r="A6754">
        <v>6753</v>
      </c>
      <c r="B6754" s="27" t="s">
        <v>20779</v>
      </c>
      <c r="D6754" s="27" t="s">
        <v>1826</v>
      </c>
      <c r="F6754" s="27" t="s">
        <v>19875</v>
      </c>
      <c r="H6754" s="27" t="s">
        <v>19876</v>
      </c>
      <c r="J6754" s="27" t="s">
        <v>19877</v>
      </c>
      <c r="L6754" s="27" t="s">
        <v>124</v>
      </c>
      <c r="N6754" s="27" t="s">
        <v>379</v>
      </c>
      <c r="P6754" s="27" t="s">
        <v>19891</v>
      </c>
      <c r="Q6754" s="26" t="str">
        <f>HYPERLINK("https://ictv.global/taxonomy/taxondetails?taxnode_id=202520406&amp;ictv_id=ICTV202420406","ICTV202420406")</f>
        <v>ICTV202420406</v>
      </c>
      <c r="R6754" t="s">
        <v>660</v>
      </c>
      <c r="S6754" t="s">
        <v>824</v>
      </c>
      <c r="T6754">
        <v>41</v>
      </c>
      <c r="U6754" s="26" t="str">
        <f t="shared" si="271"/>
        <v>2025.002G.Monodnaviria_reorg_4nr.zip</v>
      </c>
    </row>
    <row r="6755" spans="1:21">
      <c r="A6755">
        <v>6754</v>
      </c>
      <c r="B6755" s="27" t="s">
        <v>20779</v>
      </c>
      <c r="D6755" s="27" t="s">
        <v>1826</v>
      </c>
      <c r="F6755" s="27" t="s">
        <v>19875</v>
      </c>
      <c r="H6755" s="27" t="s">
        <v>19876</v>
      </c>
      <c r="J6755" s="27" t="s">
        <v>19877</v>
      </c>
      <c r="L6755" s="27" t="s">
        <v>124</v>
      </c>
      <c r="N6755" s="27" t="s">
        <v>379</v>
      </c>
      <c r="P6755" s="27" t="s">
        <v>11073</v>
      </c>
      <c r="Q6755" s="26" t="str">
        <f>HYPERLINK("https://ictv.global/taxonomy/taxondetails?taxnode_id=202509432&amp;ictv_id=ICTV202009432","ICTV202009432")</f>
        <v>ICTV202009432</v>
      </c>
      <c r="R6755" t="s">
        <v>656</v>
      </c>
      <c r="S6755" t="s">
        <v>824</v>
      </c>
      <c r="T6755">
        <v>41</v>
      </c>
      <c r="U6755" s="26" t="str">
        <f t="shared" si="271"/>
        <v>2025.002G.Monodnaviria_reorg_4nr.zip</v>
      </c>
    </row>
    <row r="6756" spans="1:21">
      <c r="A6756">
        <v>6755</v>
      </c>
      <c r="B6756" s="27" t="s">
        <v>20779</v>
      </c>
      <c r="D6756" s="27" t="s">
        <v>1826</v>
      </c>
      <c r="F6756" s="27" t="s">
        <v>19875</v>
      </c>
      <c r="H6756" s="27" t="s">
        <v>19876</v>
      </c>
      <c r="J6756" s="27" t="s">
        <v>19877</v>
      </c>
      <c r="L6756" s="27" t="s">
        <v>124</v>
      </c>
      <c r="N6756" s="27" t="s">
        <v>127</v>
      </c>
      <c r="P6756" s="27" t="s">
        <v>11074</v>
      </c>
      <c r="Q6756" s="26" t="str">
        <f>HYPERLINK("https://ictv.global/taxonomy/taxondetails?taxnode_id=202502538&amp;ictv_id=ICTV20093137","ICTV20093137")</f>
        <v>ICTV20093137</v>
      </c>
      <c r="R6756" t="s">
        <v>656</v>
      </c>
      <c r="S6756" t="s">
        <v>824</v>
      </c>
      <c r="T6756">
        <v>41</v>
      </c>
      <c r="U6756" s="26" t="str">
        <f t="shared" si="271"/>
        <v>2025.002G.Monodnaviria_reorg_4nr.zip</v>
      </c>
    </row>
    <row r="6757" spans="1:21">
      <c r="A6757">
        <v>6756</v>
      </c>
      <c r="B6757" s="27" t="s">
        <v>20779</v>
      </c>
      <c r="D6757" s="27" t="s">
        <v>1826</v>
      </c>
      <c r="F6757" s="27" t="s">
        <v>19875</v>
      </c>
      <c r="H6757" s="27" t="s">
        <v>19876</v>
      </c>
      <c r="J6757" s="27" t="s">
        <v>19877</v>
      </c>
      <c r="L6757" s="27" t="s">
        <v>124</v>
      </c>
      <c r="N6757" s="27" t="s">
        <v>127</v>
      </c>
      <c r="P6757" s="27" t="s">
        <v>11075</v>
      </c>
      <c r="Q6757" s="26" t="str">
        <f>HYPERLINK("https://ictv.global/taxonomy/taxondetails?taxnode_id=202502539&amp;ictv_id=ICTV20093138","ICTV20093138")</f>
        <v>ICTV20093138</v>
      </c>
      <c r="R6757" t="s">
        <v>656</v>
      </c>
      <c r="S6757" t="s">
        <v>824</v>
      </c>
      <c r="T6757">
        <v>41</v>
      </c>
      <c r="U6757" s="26" t="str">
        <f t="shared" si="271"/>
        <v>2025.002G.Monodnaviria_reorg_4nr.zip</v>
      </c>
    </row>
    <row r="6758" spans="1:21">
      <c r="A6758">
        <v>6757</v>
      </c>
      <c r="B6758" s="27" t="s">
        <v>20779</v>
      </c>
      <c r="D6758" s="27" t="s">
        <v>1826</v>
      </c>
      <c r="F6758" s="27" t="s">
        <v>19875</v>
      </c>
      <c r="H6758" s="27" t="s">
        <v>19876</v>
      </c>
      <c r="J6758" s="27" t="s">
        <v>19877</v>
      </c>
      <c r="L6758" s="27" t="s">
        <v>124</v>
      </c>
      <c r="N6758" s="27" t="s">
        <v>127</v>
      </c>
      <c r="P6758" s="27" t="s">
        <v>11076</v>
      </c>
      <c r="Q6758" s="26" t="str">
        <f>HYPERLINK("https://ictv.global/taxonomy/taxondetails?taxnode_id=202502540&amp;ictv_id=ICTV20115629","ICTV20115629")</f>
        <v>ICTV20115629</v>
      </c>
      <c r="R6758" t="s">
        <v>656</v>
      </c>
      <c r="S6758" t="s">
        <v>824</v>
      </c>
      <c r="T6758">
        <v>41</v>
      </c>
      <c r="U6758" s="26" t="str">
        <f t="shared" si="271"/>
        <v>2025.002G.Monodnaviria_reorg_4nr.zip</v>
      </c>
    </row>
    <row r="6759" spans="1:21">
      <c r="A6759">
        <v>6758</v>
      </c>
      <c r="B6759" s="27" t="s">
        <v>20779</v>
      </c>
      <c r="D6759" s="27" t="s">
        <v>1826</v>
      </c>
      <c r="F6759" s="27" t="s">
        <v>19875</v>
      </c>
      <c r="H6759" s="27" t="s">
        <v>19876</v>
      </c>
      <c r="J6759" s="27" t="s">
        <v>19877</v>
      </c>
      <c r="L6759" s="27" t="s">
        <v>124</v>
      </c>
      <c r="N6759" s="27" t="s">
        <v>127</v>
      </c>
      <c r="P6759" s="27" t="s">
        <v>11077</v>
      </c>
      <c r="Q6759" s="26" t="str">
        <f>HYPERLINK("https://ictv.global/taxonomy/taxondetails?taxnode_id=202502541&amp;ictv_id=ICTV20115630","ICTV20115630")</f>
        <v>ICTV20115630</v>
      </c>
      <c r="R6759" t="s">
        <v>656</v>
      </c>
      <c r="S6759" t="s">
        <v>824</v>
      </c>
      <c r="T6759">
        <v>41</v>
      </c>
      <c r="U6759" s="26" t="str">
        <f t="shared" si="271"/>
        <v>2025.002G.Monodnaviria_reorg_4nr.zip</v>
      </c>
    </row>
    <row r="6760" spans="1:21">
      <c r="A6760">
        <v>6759</v>
      </c>
      <c r="B6760" s="27" t="s">
        <v>20779</v>
      </c>
      <c r="D6760" s="27" t="s">
        <v>1826</v>
      </c>
      <c r="F6760" s="27" t="s">
        <v>19875</v>
      </c>
      <c r="H6760" s="27" t="s">
        <v>19876</v>
      </c>
      <c r="J6760" s="27" t="s">
        <v>19877</v>
      </c>
      <c r="L6760" s="27" t="s">
        <v>124</v>
      </c>
      <c r="N6760" s="27" t="s">
        <v>127</v>
      </c>
      <c r="P6760" s="27" t="s">
        <v>11078</v>
      </c>
      <c r="Q6760" s="26" t="str">
        <f>HYPERLINK("https://ictv.global/taxonomy/taxondetails?taxnode_id=202502542&amp;ictv_id=ICTV20115631","ICTV20115631")</f>
        <v>ICTV20115631</v>
      </c>
      <c r="R6760" t="s">
        <v>656</v>
      </c>
      <c r="S6760" t="s">
        <v>824</v>
      </c>
      <c r="T6760">
        <v>41</v>
      </c>
      <c r="U6760" s="26" t="str">
        <f t="shared" si="271"/>
        <v>2025.002G.Monodnaviria_reorg_4nr.zip</v>
      </c>
    </row>
    <row r="6761" spans="1:21">
      <c r="A6761">
        <v>6760</v>
      </c>
      <c r="B6761" s="27" t="s">
        <v>20779</v>
      </c>
      <c r="D6761" s="27" t="s">
        <v>1826</v>
      </c>
      <c r="F6761" s="27" t="s">
        <v>19875</v>
      </c>
      <c r="H6761" s="27" t="s">
        <v>19876</v>
      </c>
      <c r="J6761" s="27" t="s">
        <v>19877</v>
      </c>
      <c r="L6761" s="27" t="s">
        <v>124</v>
      </c>
      <c r="N6761" s="27" t="s">
        <v>127</v>
      </c>
      <c r="P6761" s="27" t="s">
        <v>11079</v>
      </c>
      <c r="Q6761" s="26" t="str">
        <f>HYPERLINK("https://ictv.global/taxonomy/taxondetails?taxnode_id=202502543&amp;ictv_id=ICTV20115632","ICTV20115632")</f>
        <v>ICTV20115632</v>
      </c>
      <c r="R6761" t="s">
        <v>656</v>
      </c>
      <c r="S6761" t="s">
        <v>824</v>
      </c>
      <c r="T6761">
        <v>41</v>
      </c>
      <c r="U6761" s="26" t="str">
        <f t="shared" si="271"/>
        <v>2025.002G.Monodnaviria_reorg_4nr.zip</v>
      </c>
    </row>
    <row r="6762" spans="1:21">
      <c r="A6762">
        <v>6761</v>
      </c>
      <c r="B6762" s="27" t="s">
        <v>20779</v>
      </c>
      <c r="D6762" s="27" t="s">
        <v>1826</v>
      </c>
      <c r="F6762" s="27" t="s">
        <v>19875</v>
      </c>
      <c r="H6762" s="27" t="s">
        <v>19876</v>
      </c>
      <c r="J6762" s="27" t="s">
        <v>19877</v>
      </c>
      <c r="L6762" s="27" t="s">
        <v>124</v>
      </c>
      <c r="N6762" s="27" t="s">
        <v>127</v>
      </c>
      <c r="P6762" s="27" t="s">
        <v>11080</v>
      </c>
      <c r="Q6762" s="26" t="str">
        <f>HYPERLINK("https://ictv.global/taxonomy/taxondetails?taxnode_id=202502544&amp;ictv_id=ICTV20115633","ICTV20115633")</f>
        <v>ICTV20115633</v>
      </c>
      <c r="R6762" t="s">
        <v>656</v>
      </c>
      <c r="S6762" t="s">
        <v>824</v>
      </c>
      <c r="T6762">
        <v>41</v>
      </c>
      <c r="U6762" s="26" t="str">
        <f t="shared" si="271"/>
        <v>2025.002G.Monodnaviria_reorg_4nr.zip</v>
      </c>
    </row>
    <row r="6763" spans="1:21">
      <c r="A6763">
        <v>6762</v>
      </c>
      <c r="B6763" s="27" t="s">
        <v>20779</v>
      </c>
      <c r="D6763" s="27" t="s">
        <v>1826</v>
      </c>
      <c r="F6763" s="27" t="s">
        <v>19875</v>
      </c>
      <c r="H6763" s="27" t="s">
        <v>19876</v>
      </c>
      <c r="J6763" s="27" t="s">
        <v>19877</v>
      </c>
      <c r="L6763" s="27" t="s">
        <v>124</v>
      </c>
      <c r="N6763" s="27" t="s">
        <v>127</v>
      </c>
      <c r="P6763" s="27" t="s">
        <v>11081</v>
      </c>
      <c r="Q6763" s="26" t="str">
        <f>HYPERLINK("https://ictv.global/taxonomy/taxondetails?taxnode_id=202502545&amp;ictv_id=ICTV20115634","ICTV20115634")</f>
        <v>ICTV20115634</v>
      </c>
      <c r="R6763" t="s">
        <v>656</v>
      </c>
      <c r="S6763" t="s">
        <v>824</v>
      </c>
      <c r="T6763">
        <v>41</v>
      </c>
      <c r="U6763" s="26" t="str">
        <f t="shared" si="271"/>
        <v>2025.002G.Monodnaviria_reorg_4nr.zip</v>
      </c>
    </row>
    <row r="6764" spans="1:21">
      <c r="A6764">
        <v>6763</v>
      </c>
      <c r="B6764" s="27" t="s">
        <v>20779</v>
      </c>
      <c r="D6764" s="27" t="s">
        <v>1826</v>
      </c>
      <c r="F6764" s="27" t="s">
        <v>19875</v>
      </c>
      <c r="H6764" s="27" t="s">
        <v>19876</v>
      </c>
      <c r="J6764" s="27" t="s">
        <v>19877</v>
      </c>
      <c r="L6764" s="27" t="s">
        <v>124</v>
      </c>
      <c r="N6764" s="27" t="s">
        <v>127</v>
      </c>
      <c r="P6764" s="27" t="s">
        <v>11082</v>
      </c>
      <c r="Q6764" s="26" t="str">
        <f>HYPERLINK("https://ictv.global/taxonomy/taxondetails?taxnode_id=202502546&amp;ictv_id=ICTV20115635","ICTV20115635")</f>
        <v>ICTV20115635</v>
      </c>
      <c r="R6764" t="s">
        <v>656</v>
      </c>
      <c r="S6764" t="s">
        <v>824</v>
      </c>
      <c r="T6764">
        <v>41</v>
      </c>
      <c r="U6764" s="26" t="str">
        <f t="shared" si="271"/>
        <v>2025.002G.Monodnaviria_reorg_4nr.zip</v>
      </c>
    </row>
    <row r="6765" spans="1:21">
      <c r="A6765">
        <v>6764</v>
      </c>
      <c r="B6765" s="27" t="s">
        <v>20779</v>
      </c>
      <c r="D6765" s="27" t="s">
        <v>1826</v>
      </c>
      <c r="F6765" s="27" t="s">
        <v>19875</v>
      </c>
      <c r="H6765" s="27" t="s">
        <v>19876</v>
      </c>
      <c r="J6765" s="27" t="s">
        <v>19877</v>
      </c>
      <c r="L6765" s="27" t="s">
        <v>124</v>
      </c>
      <c r="N6765" s="27" t="s">
        <v>127</v>
      </c>
      <c r="P6765" s="27" t="s">
        <v>11083</v>
      </c>
      <c r="Q6765" s="26" t="str">
        <f>HYPERLINK("https://ictv.global/taxonomy/taxondetails?taxnode_id=202502547&amp;ictv_id=ICTV20115636","ICTV20115636")</f>
        <v>ICTV20115636</v>
      </c>
      <c r="R6765" t="s">
        <v>656</v>
      </c>
      <c r="S6765" t="s">
        <v>824</v>
      </c>
      <c r="T6765">
        <v>41</v>
      </c>
      <c r="U6765" s="26" t="str">
        <f t="shared" si="271"/>
        <v>2025.002G.Monodnaviria_reorg_4nr.zip</v>
      </c>
    </row>
    <row r="6766" spans="1:21">
      <c r="A6766">
        <v>6765</v>
      </c>
      <c r="B6766" s="27" t="s">
        <v>20779</v>
      </c>
      <c r="D6766" s="27" t="s">
        <v>1826</v>
      </c>
      <c r="F6766" s="27" t="s">
        <v>19875</v>
      </c>
      <c r="H6766" s="27" t="s">
        <v>19876</v>
      </c>
      <c r="J6766" s="27" t="s">
        <v>19877</v>
      </c>
      <c r="L6766" s="27" t="s">
        <v>124</v>
      </c>
      <c r="N6766" s="27" t="s">
        <v>127</v>
      </c>
      <c r="P6766" s="27" t="s">
        <v>11084</v>
      </c>
      <c r="Q6766" s="26" t="str">
        <f>HYPERLINK("https://ictv.global/taxonomy/taxondetails?taxnode_id=202502548&amp;ictv_id=ICTV20115637","ICTV20115637")</f>
        <v>ICTV20115637</v>
      </c>
      <c r="R6766" t="s">
        <v>656</v>
      </c>
      <c r="S6766" t="s">
        <v>824</v>
      </c>
      <c r="T6766">
        <v>41</v>
      </c>
      <c r="U6766" s="26" t="str">
        <f t="shared" si="271"/>
        <v>2025.002G.Monodnaviria_reorg_4nr.zip</v>
      </c>
    </row>
    <row r="6767" spans="1:21">
      <c r="A6767">
        <v>6766</v>
      </c>
      <c r="B6767" s="27" t="s">
        <v>20779</v>
      </c>
      <c r="D6767" s="27" t="s">
        <v>1826</v>
      </c>
      <c r="F6767" s="27" t="s">
        <v>19875</v>
      </c>
      <c r="H6767" s="27" t="s">
        <v>19876</v>
      </c>
      <c r="J6767" s="27" t="s">
        <v>19877</v>
      </c>
      <c r="L6767" s="27" t="s">
        <v>124</v>
      </c>
      <c r="N6767" s="27" t="s">
        <v>127</v>
      </c>
      <c r="P6767" s="27" t="s">
        <v>11085</v>
      </c>
      <c r="Q6767" s="26" t="str">
        <f>HYPERLINK("https://ictv.global/taxonomy/taxondetails?taxnode_id=202502549&amp;ictv_id=ICTV20115638","ICTV20115638")</f>
        <v>ICTV20115638</v>
      </c>
      <c r="R6767" t="s">
        <v>656</v>
      </c>
      <c r="S6767" t="s">
        <v>824</v>
      </c>
      <c r="T6767">
        <v>41</v>
      </c>
      <c r="U6767" s="26" t="str">
        <f t="shared" si="271"/>
        <v>2025.002G.Monodnaviria_reorg_4nr.zip</v>
      </c>
    </row>
    <row r="6768" spans="1:21">
      <c r="A6768">
        <v>6767</v>
      </c>
      <c r="B6768" s="27" t="s">
        <v>20779</v>
      </c>
      <c r="D6768" s="27" t="s">
        <v>1826</v>
      </c>
      <c r="F6768" s="27" t="s">
        <v>19875</v>
      </c>
      <c r="H6768" s="27" t="s">
        <v>19876</v>
      </c>
      <c r="J6768" s="27" t="s">
        <v>19877</v>
      </c>
      <c r="L6768" s="27" t="s">
        <v>124</v>
      </c>
      <c r="N6768" s="27" t="s">
        <v>127</v>
      </c>
      <c r="P6768" s="27" t="s">
        <v>11086</v>
      </c>
      <c r="Q6768" s="26" t="str">
        <f>HYPERLINK("https://ictv.global/taxonomy/taxondetails?taxnode_id=202502550&amp;ictv_id=ICTV20115639","ICTV20115639")</f>
        <v>ICTV20115639</v>
      </c>
      <c r="R6768" t="s">
        <v>656</v>
      </c>
      <c r="S6768" t="s">
        <v>824</v>
      </c>
      <c r="T6768">
        <v>41</v>
      </c>
      <c r="U6768" s="26" t="str">
        <f t="shared" si="271"/>
        <v>2025.002G.Monodnaviria_reorg_4nr.zip</v>
      </c>
    </row>
    <row r="6769" spans="1:21">
      <c r="A6769">
        <v>6768</v>
      </c>
      <c r="B6769" s="27" t="s">
        <v>20779</v>
      </c>
      <c r="D6769" s="27" t="s">
        <v>1826</v>
      </c>
      <c r="F6769" s="27" t="s">
        <v>19875</v>
      </c>
      <c r="H6769" s="27" t="s">
        <v>19876</v>
      </c>
      <c r="J6769" s="27" t="s">
        <v>19877</v>
      </c>
      <c r="L6769" s="27" t="s">
        <v>124</v>
      </c>
      <c r="N6769" s="27" t="s">
        <v>127</v>
      </c>
      <c r="P6769" s="27" t="s">
        <v>11087</v>
      </c>
      <c r="Q6769" s="26" t="str">
        <f>HYPERLINK("https://ictv.global/taxonomy/taxondetails?taxnode_id=202502551&amp;ictv_id=ICTV20115640","ICTV20115640")</f>
        <v>ICTV20115640</v>
      </c>
      <c r="R6769" t="s">
        <v>656</v>
      </c>
      <c r="S6769" t="s">
        <v>824</v>
      </c>
      <c r="T6769">
        <v>41</v>
      </c>
      <c r="U6769" s="26" t="str">
        <f t="shared" si="271"/>
        <v>2025.002G.Monodnaviria_reorg_4nr.zip</v>
      </c>
    </row>
    <row r="6770" spans="1:21">
      <c r="A6770">
        <v>6769</v>
      </c>
      <c r="B6770" s="27" t="s">
        <v>20779</v>
      </c>
      <c r="D6770" s="27" t="s">
        <v>1826</v>
      </c>
      <c r="F6770" s="27" t="s">
        <v>19875</v>
      </c>
      <c r="H6770" s="27" t="s">
        <v>19876</v>
      </c>
      <c r="J6770" s="27" t="s">
        <v>19877</v>
      </c>
      <c r="L6770" s="27" t="s">
        <v>124</v>
      </c>
      <c r="N6770" s="27" t="s">
        <v>127</v>
      </c>
      <c r="P6770" s="27" t="s">
        <v>11088</v>
      </c>
      <c r="Q6770" s="26" t="str">
        <f>HYPERLINK("https://ictv.global/taxonomy/taxondetails?taxnode_id=202502552&amp;ictv_id=ICTV20115641","ICTV20115641")</f>
        <v>ICTV20115641</v>
      </c>
      <c r="R6770" t="s">
        <v>656</v>
      </c>
      <c r="S6770" t="s">
        <v>824</v>
      </c>
      <c r="T6770">
        <v>41</v>
      </c>
      <c r="U6770" s="26" t="str">
        <f t="shared" si="271"/>
        <v>2025.002G.Monodnaviria_reorg_4nr.zip</v>
      </c>
    </row>
    <row r="6771" spans="1:21">
      <c r="A6771">
        <v>6770</v>
      </c>
      <c r="B6771" s="27" t="s">
        <v>20779</v>
      </c>
      <c r="D6771" s="27" t="s">
        <v>1826</v>
      </c>
      <c r="F6771" s="27" t="s">
        <v>19875</v>
      </c>
      <c r="H6771" s="27" t="s">
        <v>19876</v>
      </c>
      <c r="J6771" s="27" t="s">
        <v>19877</v>
      </c>
      <c r="L6771" s="27" t="s">
        <v>124</v>
      </c>
      <c r="N6771" s="27" t="s">
        <v>3662</v>
      </c>
      <c r="P6771" s="27" t="s">
        <v>11089</v>
      </c>
      <c r="Q6771" s="26" t="str">
        <f>HYPERLINK("https://ictv.global/taxonomy/taxondetails?taxnode_id=202509434&amp;ictv_id=ICTV202009434","ICTV202009434")</f>
        <v>ICTV202009434</v>
      </c>
      <c r="R6771" t="s">
        <v>656</v>
      </c>
      <c r="S6771" t="s">
        <v>824</v>
      </c>
      <c r="T6771">
        <v>41</v>
      </c>
      <c r="U6771" s="26" t="str">
        <f t="shared" si="271"/>
        <v>2025.002G.Monodnaviria_reorg_4nr.zip</v>
      </c>
    </row>
    <row r="6772" spans="1:21">
      <c r="A6772">
        <v>6771</v>
      </c>
      <c r="B6772" s="27" t="s">
        <v>20779</v>
      </c>
      <c r="D6772" s="27" t="s">
        <v>1826</v>
      </c>
      <c r="F6772" s="27" t="s">
        <v>19875</v>
      </c>
      <c r="H6772" s="27" t="s">
        <v>19876</v>
      </c>
      <c r="J6772" s="27" t="s">
        <v>19877</v>
      </c>
      <c r="L6772" s="27" t="s">
        <v>124</v>
      </c>
      <c r="N6772" s="27" t="s">
        <v>3662</v>
      </c>
      <c r="P6772" s="27" t="s">
        <v>19892</v>
      </c>
      <c r="Q6772" s="26" t="str">
        <f>HYPERLINK("https://ictv.global/taxonomy/taxondetails?taxnode_id=202520407&amp;ictv_id=ICTV202420407","ICTV202420407")</f>
        <v>ICTV202420407</v>
      </c>
      <c r="R6772" t="s">
        <v>660</v>
      </c>
      <c r="S6772" t="s">
        <v>824</v>
      </c>
      <c r="T6772">
        <v>41</v>
      </c>
      <c r="U6772" s="26" t="str">
        <f t="shared" si="271"/>
        <v>2025.002G.Monodnaviria_reorg_4nr.zip</v>
      </c>
    </row>
    <row r="6773" spans="1:21">
      <c r="A6773">
        <v>6772</v>
      </c>
      <c r="B6773" s="27" t="s">
        <v>20779</v>
      </c>
      <c r="D6773" s="27" t="s">
        <v>1826</v>
      </c>
      <c r="F6773" s="27" t="s">
        <v>19875</v>
      </c>
      <c r="H6773" s="27" t="s">
        <v>19876</v>
      </c>
      <c r="J6773" s="27" t="s">
        <v>19877</v>
      </c>
      <c r="L6773" s="27" t="s">
        <v>124</v>
      </c>
      <c r="N6773" s="27" t="s">
        <v>3662</v>
      </c>
      <c r="P6773" s="27" t="s">
        <v>19893</v>
      </c>
      <c r="Q6773" s="26" t="str">
        <f>HYPERLINK("https://ictv.global/taxonomy/taxondetails?taxnode_id=202520408&amp;ictv_id=ICTV202420408","ICTV202420408")</f>
        <v>ICTV202420408</v>
      </c>
      <c r="R6773" t="s">
        <v>660</v>
      </c>
      <c r="S6773" t="s">
        <v>824</v>
      </c>
      <c r="T6773">
        <v>41</v>
      </c>
      <c r="U6773" s="26" t="str">
        <f t="shared" si="271"/>
        <v>2025.002G.Monodnaviria_reorg_4nr.zip</v>
      </c>
    </row>
    <row r="6774" spans="1:21">
      <c r="A6774">
        <v>6773</v>
      </c>
      <c r="B6774" s="27" t="s">
        <v>20779</v>
      </c>
      <c r="D6774" s="27" t="s">
        <v>1826</v>
      </c>
      <c r="F6774" s="27" t="s">
        <v>19875</v>
      </c>
      <c r="H6774" s="27" t="s">
        <v>19876</v>
      </c>
      <c r="J6774" s="27" t="s">
        <v>19877</v>
      </c>
      <c r="L6774" s="27" t="s">
        <v>124</v>
      </c>
      <c r="N6774" s="27" t="s">
        <v>427</v>
      </c>
      <c r="P6774" s="27" t="s">
        <v>19894</v>
      </c>
      <c r="Q6774" s="26" t="str">
        <f>HYPERLINK("https://ictv.global/taxonomy/taxondetails?taxnode_id=202520410&amp;ictv_id=ICTV202420410","ICTV202420410")</f>
        <v>ICTV202420410</v>
      </c>
      <c r="R6774" t="s">
        <v>660</v>
      </c>
      <c r="S6774" t="s">
        <v>824</v>
      </c>
      <c r="T6774">
        <v>41</v>
      </c>
      <c r="U6774" s="26" t="str">
        <f t="shared" si="271"/>
        <v>2025.002G.Monodnaviria_reorg_4nr.zip</v>
      </c>
    </row>
    <row r="6775" spans="1:21">
      <c r="A6775">
        <v>6774</v>
      </c>
      <c r="B6775" s="27" t="s">
        <v>20779</v>
      </c>
      <c r="D6775" s="27" t="s">
        <v>1826</v>
      </c>
      <c r="F6775" s="27" t="s">
        <v>19875</v>
      </c>
      <c r="H6775" s="27" t="s">
        <v>19876</v>
      </c>
      <c r="J6775" s="27" t="s">
        <v>19877</v>
      </c>
      <c r="L6775" s="27" t="s">
        <v>124</v>
      </c>
      <c r="N6775" s="27" t="s">
        <v>427</v>
      </c>
      <c r="P6775" s="27" t="s">
        <v>19895</v>
      </c>
      <c r="Q6775" s="26" t="str">
        <f>HYPERLINK("https://ictv.global/taxonomy/taxondetails?taxnode_id=202520411&amp;ictv_id=ICTV202420411","ICTV202420411")</f>
        <v>ICTV202420411</v>
      </c>
      <c r="R6775" t="s">
        <v>660</v>
      </c>
      <c r="S6775" t="s">
        <v>824</v>
      </c>
      <c r="T6775">
        <v>41</v>
      </c>
      <c r="U6775" s="26" t="str">
        <f t="shared" si="271"/>
        <v>2025.002G.Monodnaviria_reorg_4nr.zip</v>
      </c>
    </row>
    <row r="6776" spans="1:21">
      <c r="A6776">
        <v>6775</v>
      </c>
      <c r="B6776" s="27" t="s">
        <v>20779</v>
      </c>
      <c r="D6776" s="27" t="s">
        <v>1826</v>
      </c>
      <c r="F6776" s="27" t="s">
        <v>19875</v>
      </c>
      <c r="H6776" s="27" t="s">
        <v>19876</v>
      </c>
      <c r="J6776" s="27" t="s">
        <v>19877</v>
      </c>
      <c r="L6776" s="27" t="s">
        <v>124</v>
      </c>
      <c r="N6776" s="27" t="s">
        <v>427</v>
      </c>
      <c r="P6776" s="27" t="s">
        <v>19896</v>
      </c>
      <c r="Q6776" s="26" t="str">
        <f>HYPERLINK("https://ictv.global/taxonomy/taxondetails?taxnode_id=202520409&amp;ictv_id=ICTV202420409","ICTV202420409")</f>
        <v>ICTV202420409</v>
      </c>
      <c r="R6776" t="s">
        <v>660</v>
      </c>
      <c r="S6776" t="s">
        <v>824</v>
      </c>
      <c r="T6776">
        <v>41</v>
      </c>
      <c r="U6776" s="26" t="str">
        <f t="shared" si="271"/>
        <v>2025.002G.Monodnaviria_reorg_4nr.zip</v>
      </c>
    </row>
    <row r="6777" spans="1:21">
      <c r="A6777">
        <v>6776</v>
      </c>
      <c r="B6777" s="27" t="s">
        <v>20779</v>
      </c>
      <c r="D6777" s="27" t="s">
        <v>1826</v>
      </c>
      <c r="F6777" s="27" t="s">
        <v>19875</v>
      </c>
      <c r="H6777" s="27" t="s">
        <v>19876</v>
      </c>
      <c r="J6777" s="27" t="s">
        <v>19877</v>
      </c>
      <c r="L6777" s="27" t="s">
        <v>124</v>
      </c>
      <c r="N6777" s="27" t="s">
        <v>427</v>
      </c>
      <c r="P6777" s="27" t="s">
        <v>11090</v>
      </c>
      <c r="Q6777" s="26" t="str">
        <f>HYPERLINK("https://ictv.global/taxonomy/taxondetails?taxnode_id=202502554&amp;ictv_id=ICTV19930761","ICTV19930761")</f>
        <v>ICTV19930761</v>
      </c>
      <c r="R6777" t="s">
        <v>656</v>
      </c>
      <c r="S6777" t="s">
        <v>824</v>
      </c>
      <c r="T6777">
        <v>41</v>
      </c>
      <c r="U6777" s="26" t="str">
        <f t="shared" si="271"/>
        <v>2025.002G.Monodnaviria_reorg_4nr.zip</v>
      </c>
    </row>
    <row r="6778" spans="1:21">
      <c r="A6778">
        <v>6777</v>
      </c>
      <c r="B6778" s="27" t="s">
        <v>20779</v>
      </c>
      <c r="D6778" s="27" t="s">
        <v>1826</v>
      </c>
      <c r="F6778" s="27" t="s">
        <v>19875</v>
      </c>
      <c r="H6778" s="27" t="s">
        <v>19876</v>
      </c>
      <c r="J6778" s="27" t="s">
        <v>19877</v>
      </c>
      <c r="L6778" s="27" t="s">
        <v>124</v>
      </c>
      <c r="N6778" s="27" t="s">
        <v>427</v>
      </c>
      <c r="P6778" s="27" t="s">
        <v>3663</v>
      </c>
      <c r="Q6778" s="26" t="str">
        <f>HYPERLINK("https://ictv.global/taxonomy/taxondetails?taxnode_id=202509379&amp;ictv_id=ICTV202009379","ICTV202009379")</f>
        <v>ICTV202009379</v>
      </c>
      <c r="R6778" t="s">
        <v>656</v>
      </c>
      <c r="S6778" t="s">
        <v>824</v>
      </c>
      <c r="T6778">
        <v>41</v>
      </c>
      <c r="U6778" s="26" t="str">
        <f t="shared" si="271"/>
        <v>2025.002G.Monodnaviria_reorg_4nr.zip</v>
      </c>
    </row>
    <row r="6779" spans="1:21">
      <c r="A6779">
        <v>6778</v>
      </c>
      <c r="B6779" s="27" t="s">
        <v>20779</v>
      </c>
      <c r="D6779" s="27" t="s">
        <v>1826</v>
      </c>
      <c r="F6779" s="27" t="s">
        <v>19875</v>
      </c>
      <c r="H6779" s="27" t="s">
        <v>19876</v>
      </c>
      <c r="J6779" s="27" t="s">
        <v>19877</v>
      </c>
      <c r="L6779" s="27" t="s">
        <v>124</v>
      </c>
      <c r="N6779" s="27" t="s">
        <v>427</v>
      </c>
      <c r="P6779" s="27" t="s">
        <v>3664</v>
      </c>
      <c r="Q6779" s="26" t="str">
        <f>HYPERLINK("https://ictv.global/taxonomy/taxondetails?taxnode_id=202509375&amp;ictv_id=ICTV202009375","ICTV202009375")</f>
        <v>ICTV202009375</v>
      </c>
      <c r="R6779" t="s">
        <v>656</v>
      </c>
      <c r="S6779" t="s">
        <v>824</v>
      </c>
      <c r="T6779">
        <v>41</v>
      </c>
      <c r="U6779" s="26" t="str">
        <f t="shared" si="271"/>
        <v>2025.002G.Monodnaviria_reorg_4nr.zip</v>
      </c>
    </row>
    <row r="6780" spans="1:21">
      <c r="A6780">
        <v>6779</v>
      </c>
      <c r="B6780" s="27" t="s">
        <v>20779</v>
      </c>
      <c r="D6780" s="27" t="s">
        <v>1826</v>
      </c>
      <c r="F6780" s="27" t="s">
        <v>19875</v>
      </c>
      <c r="H6780" s="27" t="s">
        <v>19876</v>
      </c>
      <c r="J6780" s="27" t="s">
        <v>19877</v>
      </c>
      <c r="L6780" s="27" t="s">
        <v>124</v>
      </c>
      <c r="N6780" s="27" t="s">
        <v>427</v>
      </c>
      <c r="P6780" s="27" t="s">
        <v>3665</v>
      </c>
      <c r="Q6780" s="26" t="str">
        <f>HYPERLINK("https://ictv.global/taxonomy/taxondetails?taxnode_id=202509380&amp;ictv_id=ICTV202009380","ICTV202009380")</f>
        <v>ICTV202009380</v>
      </c>
      <c r="R6780" t="s">
        <v>656</v>
      </c>
      <c r="S6780" t="s">
        <v>824</v>
      </c>
      <c r="T6780">
        <v>41</v>
      </c>
      <c r="U6780" s="26" t="str">
        <f t="shared" si="271"/>
        <v>2025.002G.Monodnaviria_reorg_4nr.zip</v>
      </c>
    </row>
    <row r="6781" spans="1:21">
      <c r="A6781">
        <v>6780</v>
      </c>
      <c r="B6781" s="27" t="s">
        <v>20779</v>
      </c>
      <c r="D6781" s="27" t="s">
        <v>1826</v>
      </c>
      <c r="F6781" s="27" t="s">
        <v>19875</v>
      </c>
      <c r="H6781" s="27" t="s">
        <v>19876</v>
      </c>
      <c r="J6781" s="27" t="s">
        <v>19877</v>
      </c>
      <c r="L6781" s="27" t="s">
        <v>124</v>
      </c>
      <c r="N6781" s="27" t="s">
        <v>427</v>
      </c>
      <c r="P6781" s="27" t="s">
        <v>3666</v>
      </c>
      <c r="Q6781" s="26" t="str">
        <f>HYPERLINK("https://ictv.global/taxonomy/taxondetails?taxnode_id=202509374&amp;ictv_id=ICTV202009374","ICTV202009374")</f>
        <v>ICTV202009374</v>
      </c>
      <c r="R6781" t="s">
        <v>656</v>
      </c>
      <c r="S6781" t="s">
        <v>824</v>
      </c>
      <c r="T6781">
        <v>41</v>
      </c>
      <c r="U6781" s="26" t="str">
        <f t="shared" si="271"/>
        <v>2025.002G.Monodnaviria_reorg_4nr.zip</v>
      </c>
    </row>
    <row r="6782" spans="1:21">
      <c r="A6782">
        <v>6781</v>
      </c>
      <c r="B6782" s="27" t="s">
        <v>20779</v>
      </c>
      <c r="D6782" s="27" t="s">
        <v>1826</v>
      </c>
      <c r="F6782" s="27" t="s">
        <v>19875</v>
      </c>
      <c r="H6782" s="27" t="s">
        <v>19876</v>
      </c>
      <c r="J6782" s="27" t="s">
        <v>19877</v>
      </c>
      <c r="L6782" s="27" t="s">
        <v>124</v>
      </c>
      <c r="N6782" s="27" t="s">
        <v>427</v>
      </c>
      <c r="P6782" s="27" t="s">
        <v>3667</v>
      </c>
      <c r="Q6782" s="26" t="str">
        <f>HYPERLINK("https://ictv.global/taxonomy/taxondetails?taxnode_id=202509376&amp;ictv_id=ICTV202009376","ICTV202009376")</f>
        <v>ICTV202009376</v>
      </c>
      <c r="R6782" t="s">
        <v>656</v>
      </c>
      <c r="S6782" t="s">
        <v>824</v>
      </c>
      <c r="T6782">
        <v>41</v>
      </c>
      <c r="U6782" s="26" t="str">
        <f t="shared" si="271"/>
        <v>2025.002G.Monodnaviria_reorg_4nr.zip</v>
      </c>
    </row>
    <row r="6783" spans="1:21">
      <c r="A6783">
        <v>6782</v>
      </c>
      <c r="B6783" s="27" t="s">
        <v>20779</v>
      </c>
      <c r="D6783" s="27" t="s">
        <v>1826</v>
      </c>
      <c r="F6783" s="27" t="s">
        <v>19875</v>
      </c>
      <c r="H6783" s="27" t="s">
        <v>19876</v>
      </c>
      <c r="J6783" s="27" t="s">
        <v>19877</v>
      </c>
      <c r="L6783" s="27" t="s">
        <v>124</v>
      </c>
      <c r="N6783" s="27" t="s">
        <v>427</v>
      </c>
      <c r="P6783" s="27" t="s">
        <v>3668</v>
      </c>
      <c r="Q6783" s="26" t="str">
        <f>HYPERLINK("https://ictv.global/taxonomy/taxondetails?taxnode_id=202509377&amp;ictv_id=ICTV202009377","ICTV202009377")</f>
        <v>ICTV202009377</v>
      </c>
      <c r="R6783" t="s">
        <v>656</v>
      </c>
      <c r="S6783" t="s">
        <v>824</v>
      </c>
      <c r="T6783">
        <v>41</v>
      </c>
      <c r="U6783" s="26" t="str">
        <f t="shared" si="271"/>
        <v>2025.002G.Monodnaviria_reorg_4nr.zip</v>
      </c>
    </row>
    <row r="6784" spans="1:21">
      <c r="A6784">
        <v>6783</v>
      </c>
      <c r="B6784" s="27" t="s">
        <v>20779</v>
      </c>
      <c r="D6784" s="27" t="s">
        <v>1826</v>
      </c>
      <c r="F6784" s="27" t="s">
        <v>19875</v>
      </c>
      <c r="H6784" s="27" t="s">
        <v>19876</v>
      </c>
      <c r="J6784" s="27" t="s">
        <v>19877</v>
      </c>
      <c r="L6784" s="27" t="s">
        <v>124</v>
      </c>
      <c r="N6784" s="27" t="s">
        <v>427</v>
      </c>
      <c r="P6784" s="27" t="s">
        <v>3669</v>
      </c>
      <c r="Q6784" s="26" t="str">
        <f>HYPERLINK("https://ictv.global/taxonomy/taxondetails?taxnode_id=202509378&amp;ictv_id=ICTV202009378","ICTV202009378")</f>
        <v>ICTV202009378</v>
      </c>
      <c r="R6784" t="s">
        <v>656</v>
      </c>
      <c r="S6784" t="s">
        <v>824</v>
      </c>
      <c r="T6784">
        <v>41</v>
      </c>
      <c r="U6784" s="26" t="str">
        <f t="shared" si="271"/>
        <v>2025.002G.Monodnaviria_reorg_4nr.zip</v>
      </c>
    </row>
    <row r="6785" spans="1:21">
      <c r="A6785">
        <v>6784</v>
      </c>
      <c r="B6785" s="27" t="s">
        <v>20779</v>
      </c>
      <c r="D6785" s="27" t="s">
        <v>1826</v>
      </c>
      <c r="F6785" s="27" t="s">
        <v>19875</v>
      </c>
      <c r="H6785" s="27" t="s">
        <v>19876</v>
      </c>
      <c r="J6785" s="27" t="s">
        <v>19877</v>
      </c>
      <c r="L6785" s="27" t="s">
        <v>124</v>
      </c>
      <c r="N6785" s="27" t="s">
        <v>427</v>
      </c>
      <c r="P6785" s="27" t="s">
        <v>3670</v>
      </c>
      <c r="Q6785" s="26" t="str">
        <f>HYPERLINK("https://ictv.global/taxonomy/taxondetails?taxnode_id=202509381&amp;ictv_id=ICTV202009381","ICTV202009381")</f>
        <v>ICTV202009381</v>
      </c>
      <c r="R6785" t="s">
        <v>656</v>
      </c>
      <c r="S6785" t="s">
        <v>824</v>
      </c>
      <c r="T6785">
        <v>41</v>
      </c>
      <c r="U6785" s="26" t="str">
        <f t="shared" si="271"/>
        <v>2025.002G.Monodnaviria_reorg_4nr.zip</v>
      </c>
    </row>
    <row r="6786" spans="1:21">
      <c r="A6786">
        <v>6785</v>
      </c>
      <c r="B6786" s="27" t="s">
        <v>20779</v>
      </c>
      <c r="D6786" s="27" t="s">
        <v>1826</v>
      </c>
      <c r="F6786" s="27" t="s">
        <v>19875</v>
      </c>
      <c r="H6786" s="27" t="s">
        <v>19876</v>
      </c>
      <c r="J6786" s="27" t="s">
        <v>19877</v>
      </c>
      <c r="L6786" s="27" t="s">
        <v>124</v>
      </c>
      <c r="N6786" s="27" t="s">
        <v>427</v>
      </c>
      <c r="P6786" s="27" t="s">
        <v>3671</v>
      </c>
      <c r="Q6786" s="26" t="str">
        <f>HYPERLINK("https://ictv.global/taxonomy/taxondetails?taxnode_id=202509382&amp;ictv_id=ICTV202009382","ICTV202009382")</f>
        <v>ICTV202009382</v>
      </c>
      <c r="R6786" t="s">
        <v>656</v>
      </c>
      <c r="S6786" t="s">
        <v>824</v>
      </c>
      <c r="T6786">
        <v>41</v>
      </c>
      <c r="U6786" s="26" t="str">
        <f t="shared" si="271"/>
        <v>2025.002G.Monodnaviria_reorg_4nr.zip</v>
      </c>
    </row>
    <row r="6787" spans="1:21">
      <c r="A6787">
        <v>6786</v>
      </c>
      <c r="B6787" s="27" t="s">
        <v>20779</v>
      </c>
      <c r="D6787" s="27" t="s">
        <v>1826</v>
      </c>
      <c r="F6787" s="27" t="s">
        <v>19875</v>
      </c>
      <c r="H6787" s="27" t="s">
        <v>19876</v>
      </c>
      <c r="J6787" s="27" t="s">
        <v>19877</v>
      </c>
      <c r="L6787" s="27" t="s">
        <v>124</v>
      </c>
      <c r="N6787" s="27" t="s">
        <v>427</v>
      </c>
      <c r="P6787" s="27" t="s">
        <v>18293</v>
      </c>
      <c r="Q6787" s="26" t="str">
        <f>HYPERLINK("https://ictv.global/taxonomy/taxondetails?taxnode_id=202517787&amp;ictv_id=ICTV202317787","ICTV202317787")</f>
        <v>ICTV202317787</v>
      </c>
      <c r="R6787" t="s">
        <v>656</v>
      </c>
      <c r="S6787" t="s">
        <v>824</v>
      </c>
      <c r="T6787">
        <v>41</v>
      </c>
      <c r="U6787" s="26" t="str">
        <f t="shared" si="271"/>
        <v>2025.002G.Monodnaviria_reorg_4nr.zip</v>
      </c>
    </row>
    <row r="6788" spans="1:21">
      <c r="A6788">
        <v>6787</v>
      </c>
      <c r="B6788" s="27" t="s">
        <v>20779</v>
      </c>
      <c r="D6788" s="27" t="s">
        <v>1826</v>
      </c>
      <c r="F6788" s="27" t="s">
        <v>19875</v>
      </c>
      <c r="H6788" s="27" t="s">
        <v>19876</v>
      </c>
      <c r="J6788" s="27" t="s">
        <v>19877</v>
      </c>
      <c r="L6788" s="27" t="s">
        <v>124</v>
      </c>
      <c r="N6788" s="27" t="s">
        <v>3672</v>
      </c>
      <c r="P6788" s="27" t="s">
        <v>11091</v>
      </c>
      <c r="Q6788" s="26" t="str">
        <f>HYPERLINK("https://ictv.global/taxonomy/taxondetails?taxnode_id=202509436&amp;ictv_id=ICTV202009436","ICTV202009436")</f>
        <v>ICTV202009436</v>
      </c>
      <c r="R6788" t="s">
        <v>656</v>
      </c>
      <c r="S6788" t="s">
        <v>824</v>
      </c>
      <c r="T6788">
        <v>41</v>
      </c>
      <c r="U6788" s="26" t="str">
        <f t="shared" si="271"/>
        <v>2025.002G.Monodnaviria_reorg_4nr.zip</v>
      </c>
    </row>
    <row r="6789" spans="1:21">
      <c r="A6789">
        <v>6788</v>
      </c>
      <c r="B6789" s="27" t="s">
        <v>20779</v>
      </c>
      <c r="D6789" s="27" t="s">
        <v>1826</v>
      </c>
      <c r="F6789" s="27" t="s">
        <v>19875</v>
      </c>
      <c r="H6789" s="27" t="s">
        <v>19876</v>
      </c>
      <c r="J6789" s="27" t="s">
        <v>19877</v>
      </c>
      <c r="L6789" s="27" t="s">
        <v>124</v>
      </c>
      <c r="N6789" s="27" t="s">
        <v>3672</v>
      </c>
      <c r="P6789" s="27" t="s">
        <v>18294</v>
      </c>
      <c r="Q6789" s="26" t="str">
        <f>HYPERLINK("https://ictv.global/taxonomy/taxondetails?taxnode_id=202517799&amp;ictv_id=ICTV202317799","ICTV202317799")</f>
        <v>ICTV202317799</v>
      </c>
      <c r="R6789" t="s">
        <v>656</v>
      </c>
      <c r="S6789" t="s">
        <v>824</v>
      </c>
      <c r="T6789">
        <v>41</v>
      </c>
      <c r="U6789" s="26" t="str">
        <f t="shared" si="271"/>
        <v>2025.002G.Monodnaviria_reorg_4nr.zip</v>
      </c>
    </row>
    <row r="6790" spans="1:21">
      <c r="A6790">
        <v>6789</v>
      </c>
      <c r="B6790" s="27" t="s">
        <v>20779</v>
      </c>
      <c r="D6790" s="27" t="s">
        <v>1826</v>
      </c>
      <c r="F6790" s="27" t="s">
        <v>19875</v>
      </c>
      <c r="H6790" s="27" t="s">
        <v>19876</v>
      </c>
      <c r="J6790" s="27" t="s">
        <v>19877</v>
      </c>
      <c r="L6790" s="27" t="s">
        <v>124</v>
      </c>
      <c r="N6790" s="27" t="s">
        <v>3672</v>
      </c>
      <c r="P6790" s="27" t="s">
        <v>18295</v>
      </c>
      <c r="Q6790" s="26" t="str">
        <f>HYPERLINK("https://ictv.global/taxonomy/taxondetails?taxnode_id=202517800&amp;ictv_id=ICTV202317800","ICTV202317800")</f>
        <v>ICTV202317800</v>
      </c>
      <c r="R6790" t="s">
        <v>656</v>
      </c>
      <c r="S6790" t="s">
        <v>824</v>
      </c>
      <c r="T6790">
        <v>41</v>
      </c>
      <c r="U6790" s="26" t="str">
        <f t="shared" ref="U6790:U6853" si="272">HYPERLINK("https://ictv.global/ictv/proposals/2025.002G.Monodnaviria_reorg_4nr.zip","2025.002G.Monodnaviria_reorg_4nr.zip")</f>
        <v>2025.002G.Monodnaviria_reorg_4nr.zip</v>
      </c>
    </row>
    <row r="6791" spans="1:21">
      <c r="A6791">
        <v>6790</v>
      </c>
      <c r="B6791" s="27" t="s">
        <v>20779</v>
      </c>
      <c r="D6791" s="27" t="s">
        <v>1826</v>
      </c>
      <c r="F6791" s="27" t="s">
        <v>19875</v>
      </c>
      <c r="H6791" s="27" t="s">
        <v>19876</v>
      </c>
      <c r="J6791" s="27" t="s">
        <v>19877</v>
      </c>
      <c r="L6791" s="27" t="s">
        <v>124</v>
      </c>
      <c r="N6791" s="27" t="s">
        <v>3672</v>
      </c>
      <c r="P6791" s="27" t="s">
        <v>18296</v>
      </c>
      <c r="Q6791" s="26" t="str">
        <f>HYPERLINK("https://ictv.global/taxonomy/taxondetails?taxnode_id=202517801&amp;ictv_id=ICTV202317801","ICTV202317801")</f>
        <v>ICTV202317801</v>
      </c>
      <c r="R6791" t="s">
        <v>656</v>
      </c>
      <c r="S6791" t="s">
        <v>824</v>
      </c>
      <c r="T6791">
        <v>41</v>
      </c>
      <c r="U6791" s="26" t="str">
        <f t="shared" si="272"/>
        <v>2025.002G.Monodnaviria_reorg_4nr.zip</v>
      </c>
    </row>
    <row r="6792" spans="1:21">
      <c r="A6792">
        <v>6791</v>
      </c>
      <c r="B6792" s="27" t="s">
        <v>20779</v>
      </c>
      <c r="D6792" s="27" t="s">
        <v>1826</v>
      </c>
      <c r="F6792" s="27" t="s">
        <v>19875</v>
      </c>
      <c r="H6792" s="27" t="s">
        <v>19876</v>
      </c>
      <c r="J6792" s="27" t="s">
        <v>19877</v>
      </c>
      <c r="L6792" s="27" t="s">
        <v>124</v>
      </c>
      <c r="N6792" s="27" t="s">
        <v>3672</v>
      </c>
      <c r="P6792" s="27" t="s">
        <v>18297</v>
      </c>
      <c r="Q6792" s="26" t="str">
        <f>HYPERLINK("https://ictv.global/taxonomy/taxondetails?taxnode_id=202517802&amp;ictv_id=ICTV202317802","ICTV202317802")</f>
        <v>ICTV202317802</v>
      </c>
      <c r="R6792" t="s">
        <v>656</v>
      </c>
      <c r="S6792" t="s">
        <v>824</v>
      </c>
      <c r="T6792">
        <v>41</v>
      </c>
      <c r="U6792" s="26" t="str">
        <f t="shared" si="272"/>
        <v>2025.002G.Monodnaviria_reorg_4nr.zip</v>
      </c>
    </row>
    <row r="6793" spans="1:21">
      <c r="A6793">
        <v>6792</v>
      </c>
      <c r="B6793" s="27" t="s">
        <v>20779</v>
      </c>
      <c r="D6793" s="27" t="s">
        <v>1826</v>
      </c>
      <c r="F6793" s="27" t="s">
        <v>19875</v>
      </c>
      <c r="H6793" s="27" t="s">
        <v>19876</v>
      </c>
      <c r="J6793" s="27" t="s">
        <v>19877</v>
      </c>
      <c r="L6793" s="27" t="s">
        <v>124</v>
      </c>
      <c r="N6793" s="27" t="s">
        <v>381</v>
      </c>
      <c r="P6793" s="27" t="s">
        <v>11092</v>
      </c>
      <c r="Q6793" s="26" t="str">
        <f>HYPERLINK("https://ictv.global/taxonomy/taxondetails?taxnode_id=202502556&amp;ictv_id=ICTV20093139","ICTV20093139")</f>
        <v>ICTV20093139</v>
      </c>
      <c r="R6793" t="s">
        <v>656</v>
      </c>
      <c r="S6793" t="s">
        <v>824</v>
      </c>
      <c r="T6793">
        <v>41</v>
      </c>
      <c r="U6793" s="26" t="str">
        <f t="shared" si="272"/>
        <v>2025.002G.Monodnaviria_reorg_4nr.zip</v>
      </c>
    </row>
    <row r="6794" spans="1:21">
      <c r="A6794">
        <v>6793</v>
      </c>
      <c r="B6794" s="27" t="s">
        <v>20779</v>
      </c>
      <c r="D6794" s="27" t="s">
        <v>1826</v>
      </c>
      <c r="F6794" s="27" t="s">
        <v>19875</v>
      </c>
      <c r="H6794" s="27" t="s">
        <v>19876</v>
      </c>
      <c r="J6794" s="27" t="s">
        <v>19877</v>
      </c>
      <c r="L6794" s="27" t="s">
        <v>124</v>
      </c>
      <c r="N6794" s="27" t="s">
        <v>381</v>
      </c>
      <c r="P6794" s="27" t="s">
        <v>19897</v>
      </c>
      <c r="Q6794" s="26" t="str">
        <f>HYPERLINK("https://ictv.global/taxonomy/taxondetails?taxnode_id=202520412&amp;ictv_id=ICTV202420412","ICTV202420412")</f>
        <v>ICTV202420412</v>
      </c>
      <c r="R6794" t="s">
        <v>660</v>
      </c>
      <c r="S6794" t="s">
        <v>824</v>
      </c>
      <c r="T6794">
        <v>41</v>
      </c>
      <c r="U6794" s="26" t="str">
        <f t="shared" si="272"/>
        <v>2025.002G.Monodnaviria_reorg_4nr.zip</v>
      </c>
    </row>
    <row r="6795" spans="1:21">
      <c r="A6795">
        <v>6794</v>
      </c>
      <c r="B6795" s="27" t="s">
        <v>20779</v>
      </c>
      <c r="D6795" s="27" t="s">
        <v>1826</v>
      </c>
      <c r="F6795" s="27" t="s">
        <v>19875</v>
      </c>
      <c r="H6795" s="27" t="s">
        <v>19876</v>
      </c>
      <c r="J6795" s="27" t="s">
        <v>19877</v>
      </c>
      <c r="L6795" s="27" t="s">
        <v>124</v>
      </c>
      <c r="N6795" s="27" t="s">
        <v>7</v>
      </c>
      <c r="P6795" s="27" t="s">
        <v>11093</v>
      </c>
      <c r="Q6795" s="26" t="str">
        <f>HYPERLINK("https://ictv.global/taxonomy/taxondetails?taxnode_id=202502559&amp;ictv_id=ICTV20115624","ICTV20115624")</f>
        <v>ICTV20115624</v>
      </c>
      <c r="R6795" t="s">
        <v>656</v>
      </c>
      <c r="S6795" t="s">
        <v>824</v>
      </c>
      <c r="T6795">
        <v>41</v>
      </c>
      <c r="U6795" s="26" t="str">
        <f t="shared" si="272"/>
        <v>2025.002G.Monodnaviria_reorg_4nr.zip</v>
      </c>
    </row>
    <row r="6796" spans="1:21">
      <c r="A6796">
        <v>6795</v>
      </c>
      <c r="B6796" s="27" t="s">
        <v>20779</v>
      </c>
      <c r="D6796" s="27" t="s">
        <v>1826</v>
      </c>
      <c r="F6796" s="27" t="s">
        <v>19875</v>
      </c>
      <c r="H6796" s="27" t="s">
        <v>19876</v>
      </c>
      <c r="J6796" s="27" t="s">
        <v>19877</v>
      </c>
      <c r="L6796" s="27" t="s">
        <v>124</v>
      </c>
      <c r="N6796" s="27" t="s">
        <v>7</v>
      </c>
      <c r="P6796" s="27" t="s">
        <v>11094</v>
      </c>
      <c r="Q6796" s="26" t="str">
        <f>HYPERLINK("https://ictv.global/taxonomy/taxondetails?taxnode_id=202502560&amp;ictv_id=ICTV20151874","ICTV20151874")</f>
        <v>ICTV20151874</v>
      </c>
      <c r="R6796" t="s">
        <v>656</v>
      </c>
      <c r="S6796" t="s">
        <v>824</v>
      </c>
      <c r="T6796">
        <v>41</v>
      </c>
      <c r="U6796" s="26" t="str">
        <f t="shared" si="272"/>
        <v>2025.002G.Monodnaviria_reorg_4nr.zip</v>
      </c>
    </row>
    <row r="6797" spans="1:21">
      <c r="A6797">
        <v>6796</v>
      </c>
      <c r="B6797" s="27" t="s">
        <v>20779</v>
      </c>
      <c r="D6797" s="27" t="s">
        <v>1826</v>
      </c>
      <c r="F6797" s="27" t="s">
        <v>19875</v>
      </c>
      <c r="H6797" s="27" t="s">
        <v>19876</v>
      </c>
      <c r="J6797" s="27" t="s">
        <v>19877</v>
      </c>
      <c r="L6797" s="27" t="s">
        <v>124</v>
      </c>
      <c r="N6797" s="27" t="s">
        <v>8</v>
      </c>
      <c r="P6797" s="27" t="s">
        <v>11095</v>
      </c>
      <c r="Q6797" s="26" t="str">
        <f>HYPERLINK("https://ictv.global/taxonomy/taxondetails?taxnode_id=202506510&amp;ictv_id=ICTV201856510","ICTV201856510")</f>
        <v>ICTV201856510</v>
      </c>
      <c r="R6797" t="s">
        <v>656</v>
      </c>
      <c r="S6797" t="s">
        <v>824</v>
      </c>
      <c r="T6797">
        <v>41</v>
      </c>
      <c r="U6797" s="26" t="str">
        <f t="shared" si="272"/>
        <v>2025.002G.Monodnaviria_reorg_4nr.zip</v>
      </c>
    </row>
    <row r="6798" spans="1:21">
      <c r="A6798">
        <v>6797</v>
      </c>
      <c r="B6798" s="27" t="s">
        <v>20779</v>
      </c>
      <c r="D6798" s="27" t="s">
        <v>1826</v>
      </c>
      <c r="F6798" s="27" t="s">
        <v>19875</v>
      </c>
      <c r="H6798" s="27" t="s">
        <v>19876</v>
      </c>
      <c r="J6798" s="27" t="s">
        <v>19877</v>
      </c>
      <c r="L6798" s="27" t="s">
        <v>124</v>
      </c>
      <c r="N6798" s="27" t="s">
        <v>8</v>
      </c>
      <c r="P6798" s="27" t="s">
        <v>11096</v>
      </c>
      <c r="Q6798" s="26" t="str">
        <f>HYPERLINK("https://ictv.global/taxonomy/taxondetails?taxnode_id=202506511&amp;ictv_id=ICTV201856511","ICTV201856511")</f>
        <v>ICTV201856511</v>
      </c>
      <c r="R6798" t="s">
        <v>656</v>
      </c>
      <c r="S6798" t="s">
        <v>824</v>
      </c>
      <c r="T6798">
        <v>41</v>
      </c>
      <c r="U6798" s="26" t="str">
        <f t="shared" si="272"/>
        <v>2025.002G.Monodnaviria_reorg_4nr.zip</v>
      </c>
    </row>
    <row r="6799" spans="1:21">
      <c r="A6799">
        <v>6798</v>
      </c>
      <c r="B6799" s="27" t="s">
        <v>20779</v>
      </c>
      <c r="D6799" s="27" t="s">
        <v>1826</v>
      </c>
      <c r="F6799" s="27" t="s">
        <v>19875</v>
      </c>
      <c r="H6799" s="27" t="s">
        <v>19876</v>
      </c>
      <c r="J6799" s="27" t="s">
        <v>19877</v>
      </c>
      <c r="L6799" s="27" t="s">
        <v>124</v>
      </c>
      <c r="N6799" s="27" t="s">
        <v>8</v>
      </c>
      <c r="P6799" s="27" t="s">
        <v>11097</v>
      </c>
      <c r="Q6799" s="26" t="str">
        <f>HYPERLINK("https://ictv.global/taxonomy/taxondetails?taxnode_id=202506512&amp;ictv_id=ICTV201856512","ICTV201856512")</f>
        <v>ICTV201856512</v>
      </c>
      <c r="R6799" t="s">
        <v>656</v>
      </c>
      <c r="S6799" t="s">
        <v>824</v>
      </c>
      <c r="T6799">
        <v>41</v>
      </c>
      <c r="U6799" s="26" t="str">
        <f t="shared" si="272"/>
        <v>2025.002G.Monodnaviria_reorg_4nr.zip</v>
      </c>
    </row>
    <row r="6800" spans="1:21">
      <c r="A6800">
        <v>6799</v>
      </c>
      <c r="B6800" s="27" t="s">
        <v>20779</v>
      </c>
      <c r="D6800" s="27" t="s">
        <v>1826</v>
      </c>
      <c r="F6800" s="27" t="s">
        <v>19875</v>
      </c>
      <c r="H6800" s="27" t="s">
        <v>19876</v>
      </c>
      <c r="J6800" s="27" t="s">
        <v>19877</v>
      </c>
      <c r="L6800" s="27" t="s">
        <v>124</v>
      </c>
      <c r="N6800" s="27" t="s">
        <v>8</v>
      </c>
      <c r="P6800" s="27" t="s">
        <v>11098</v>
      </c>
      <c r="Q6800" s="26" t="str">
        <f>HYPERLINK("https://ictv.global/taxonomy/taxondetails?taxnode_id=202506513&amp;ictv_id=ICTV201856513","ICTV201856513")</f>
        <v>ICTV201856513</v>
      </c>
      <c r="R6800" t="s">
        <v>656</v>
      </c>
      <c r="S6800" t="s">
        <v>824</v>
      </c>
      <c r="T6800">
        <v>41</v>
      </c>
      <c r="U6800" s="26" t="str">
        <f t="shared" si="272"/>
        <v>2025.002G.Monodnaviria_reorg_4nr.zip</v>
      </c>
    </row>
    <row r="6801" spans="1:21">
      <c r="A6801">
        <v>6800</v>
      </c>
      <c r="B6801" s="27" t="s">
        <v>20779</v>
      </c>
      <c r="D6801" s="27" t="s">
        <v>1826</v>
      </c>
      <c r="F6801" s="27" t="s">
        <v>19875</v>
      </c>
      <c r="H6801" s="27" t="s">
        <v>19876</v>
      </c>
      <c r="J6801" s="27" t="s">
        <v>19877</v>
      </c>
      <c r="L6801" s="27" t="s">
        <v>124</v>
      </c>
      <c r="N6801" s="27" t="s">
        <v>8</v>
      </c>
      <c r="P6801" s="27" t="s">
        <v>11099</v>
      </c>
      <c r="Q6801" s="26" t="str">
        <f>HYPERLINK("https://ictv.global/taxonomy/taxondetails?taxnode_id=202506514&amp;ictv_id=ICTV201856514","ICTV201856514")</f>
        <v>ICTV201856514</v>
      </c>
      <c r="R6801" t="s">
        <v>656</v>
      </c>
      <c r="S6801" t="s">
        <v>824</v>
      </c>
      <c r="T6801">
        <v>41</v>
      </c>
      <c r="U6801" s="26" t="str">
        <f t="shared" si="272"/>
        <v>2025.002G.Monodnaviria_reorg_4nr.zip</v>
      </c>
    </row>
    <row r="6802" spans="1:21">
      <c r="A6802">
        <v>6801</v>
      </c>
      <c r="B6802" s="27" t="s">
        <v>20779</v>
      </c>
      <c r="D6802" s="27" t="s">
        <v>1826</v>
      </c>
      <c r="F6802" s="27" t="s">
        <v>19875</v>
      </c>
      <c r="H6802" s="27" t="s">
        <v>19876</v>
      </c>
      <c r="J6802" s="27" t="s">
        <v>19877</v>
      </c>
      <c r="L6802" s="27" t="s">
        <v>124</v>
      </c>
      <c r="N6802" s="27" t="s">
        <v>18298</v>
      </c>
      <c r="P6802" s="27" t="s">
        <v>18299</v>
      </c>
      <c r="Q6802" s="26" t="str">
        <f>HYPERLINK("https://ictv.global/taxonomy/taxondetails?taxnode_id=202517807&amp;ictv_id=ICTV202317807","ICTV202317807")</f>
        <v>ICTV202317807</v>
      </c>
      <c r="R6802" t="s">
        <v>656</v>
      </c>
      <c r="S6802" t="s">
        <v>824</v>
      </c>
      <c r="T6802">
        <v>41</v>
      </c>
      <c r="U6802" s="26" t="str">
        <f t="shared" si="272"/>
        <v>2025.002G.Monodnaviria_reorg_4nr.zip</v>
      </c>
    </row>
    <row r="6803" spans="1:21">
      <c r="A6803">
        <v>6802</v>
      </c>
      <c r="B6803" s="27" t="s">
        <v>20779</v>
      </c>
      <c r="D6803" s="27" t="s">
        <v>1826</v>
      </c>
      <c r="F6803" s="27" t="s">
        <v>19875</v>
      </c>
      <c r="H6803" s="27" t="s">
        <v>19876</v>
      </c>
      <c r="J6803" s="27" t="s">
        <v>19877</v>
      </c>
      <c r="L6803" s="27" t="s">
        <v>124</v>
      </c>
      <c r="N6803" s="27" t="s">
        <v>18300</v>
      </c>
      <c r="P6803" s="27" t="s">
        <v>18301</v>
      </c>
      <c r="Q6803" s="26" t="str">
        <f>HYPERLINK("https://ictv.global/taxonomy/taxondetails?taxnode_id=202517808&amp;ictv_id=ICTV202317808","ICTV202317808")</f>
        <v>ICTV202317808</v>
      </c>
      <c r="R6803" t="s">
        <v>656</v>
      </c>
      <c r="S6803" t="s">
        <v>824</v>
      </c>
      <c r="T6803">
        <v>41</v>
      </c>
      <c r="U6803" s="26" t="str">
        <f t="shared" si="272"/>
        <v>2025.002G.Monodnaviria_reorg_4nr.zip</v>
      </c>
    </row>
    <row r="6804" spans="1:21">
      <c r="A6804">
        <v>6803</v>
      </c>
      <c r="B6804" s="27" t="s">
        <v>20779</v>
      </c>
      <c r="D6804" s="27" t="s">
        <v>1826</v>
      </c>
      <c r="F6804" s="27" t="s">
        <v>19875</v>
      </c>
      <c r="H6804" s="27" t="s">
        <v>19876</v>
      </c>
      <c r="J6804" s="27" t="s">
        <v>19877</v>
      </c>
      <c r="L6804" s="27" t="s">
        <v>124</v>
      </c>
      <c r="N6804" s="27" t="s">
        <v>18300</v>
      </c>
      <c r="P6804" s="27" t="s">
        <v>18302</v>
      </c>
      <c r="Q6804" s="26" t="str">
        <f>HYPERLINK("https://ictv.global/taxonomy/taxondetails?taxnode_id=202517809&amp;ictv_id=ICTV202317809","ICTV202317809")</f>
        <v>ICTV202317809</v>
      </c>
      <c r="R6804" t="s">
        <v>656</v>
      </c>
      <c r="S6804" t="s">
        <v>824</v>
      </c>
      <c r="T6804">
        <v>41</v>
      </c>
      <c r="U6804" s="26" t="str">
        <f t="shared" si="272"/>
        <v>2025.002G.Monodnaviria_reorg_4nr.zip</v>
      </c>
    </row>
    <row r="6805" spans="1:21">
      <c r="A6805">
        <v>6804</v>
      </c>
      <c r="B6805" s="27" t="s">
        <v>20779</v>
      </c>
      <c r="D6805" s="27" t="s">
        <v>1826</v>
      </c>
      <c r="F6805" s="27" t="s">
        <v>19875</v>
      </c>
      <c r="H6805" s="27" t="s">
        <v>19876</v>
      </c>
      <c r="J6805" s="27" t="s">
        <v>19877</v>
      </c>
      <c r="L6805" s="27" t="s">
        <v>124</v>
      </c>
      <c r="N6805" s="27" t="s">
        <v>18300</v>
      </c>
      <c r="P6805" s="27" t="s">
        <v>18303</v>
      </c>
      <c r="Q6805" s="26" t="str">
        <f>HYPERLINK("https://ictv.global/taxonomy/taxondetails?taxnode_id=202517810&amp;ictv_id=ICTV202317810","ICTV202317810")</f>
        <v>ICTV202317810</v>
      </c>
      <c r="R6805" t="s">
        <v>656</v>
      </c>
      <c r="S6805" t="s">
        <v>824</v>
      </c>
      <c r="T6805">
        <v>41</v>
      </c>
      <c r="U6805" s="26" t="str">
        <f t="shared" si="272"/>
        <v>2025.002G.Monodnaviria_reorg_4nr.zip</v>
      </c>
    </row>
    <row r="6806" spans="1:21">
      <c r="A6806">
        <v>6805</v>
      </c>
      <c r="B6806" s="27" t="s">
        <v>20779</v>
      </c>
      <c r="D6806" s="27" t="s">
        <v>1826</v>
      </c>
      <c r="F6806" s="27" t="s">
        <v>19875</v>
      </c>
      <c r="H6806" s="27" t="s">
        <v>19876</v>
      </c>
      <c r="J6806" s="27" t="s">
        <v>19877</v>
      </c>
      <c r="L6806" s="27" t="s">
        <v>124</v>
      </c>
      <c r="N6806" s="27" t="s">
        <v>1439</v>
      </c>
      <c r="P6806" s="27" t="s">
        <v>11100</v>
      </c>
      <c r="Q6806" s="26" t="str">
        <f>HYPERLINK("https://ictv.global/taxonomy/taxondetails?taxnode_id=202506509&amp;ictv_id=ICTV201856509","ICTV201856509")</f>
        <v>ICTV201856509</v>
      </c>
      <c r="R6806" t="s">
        <v>656</v>
      </c>
      <c r="S6806" t="s">
        <v>824</v>
      </c>
      <c r="T6806">
        <v>41</v>
      </c>
      <c r="U6806" s="26" t="str">
        <f t="shared" si="272"/>
        <v>2025.002G.Monodnaviria_reorg_4nr.zip</v>
      </c>
    </row>
    <row r="6807" spans="1:21">
      <c r="A6807">
        <v>6806</v>
      </c>
      <c r="B6807" s="27" t="s">
        <v>20779</v>
      </c>
      <c r="D6807" s="27" t="s">
        <v>1826</v>
      </c>
      <c r="F6807" s="27" t="s">
        <v>19875</v>
      </c>
      <c r="H6807" s="27" t="s">
        <v>19876</v>
      </c>
      <c r="J6807" s="27" t="s">
        <v>19877</v>
      </c>
      <c r="L6807" s="27" t="s">
        <v>124</v>
      </c>
      <c r="N6807" s="27" t="s">
        <v>1439</v>
      </c>
      <c r="P6807" s="27" t="s">
        <v>11101</v>
      </c>
      <c r="Q6807" s="26" t="str">
        <f>HYPERLINK("https://ictv.global/taxonomy/taxondetails?taxnode_id=202513424&amp;ictv_id=ICTV202113424","ICTV202113424")</f>
        <v>ICTV202113424</v>
      </c>
      <c r="R6807" t="s">
        <v>656</v>
      </c>
      <c r="S6807" t="s">
        <v>824</v>
      </c>
      <c r="T6807">
        <v>41</v>
      </c>
      <c r="U6807" s="26" t="str">
        <f t="shared" si="272"/>
        <v>2025.002G.Monodnaviria_reorg_4nr.zip</v>
      </c>
    </row>
    <row r="6808" spans="1:21">
      <c r="A6808">
        <v>6807</v>
      </c>
      <c r="B6808" s="27" t="s">
        <v>20779</v>
      </c>
      <c r="D6808" s="27" t="s">
        <v>1826</v>
      </c>
      <c r="F6808" s="27" t="s">
        <v>19875</v>
      </c>
      <c r="H6808" s="27" t="s">
        <v>19876</v>
      </c>
      <c r="J6808" s="27" t="s">
        <v>19877</v>
      </c>
      <c r="L6808" s="27" t="s">
        <v>124</v>
      </c>
      <c r="N6808" s="27" t="s">
        <v>1440</v>
      </c>
      <c r="P6808" s="27" t="s">
        <v>11102</v>
      </c>
      <c r="Q6808" s="26" t="str">
        <f>HYPERLINK("https://ictv.global/taxonomy/taxondetails?taxnode_id=202506516&amp;ictv_id=ICTV201856516","ICTV201856516")</f>
        <v>ICTV201856516</v>
      </c>
      <c r="R6808" t="s">
        <v>656</v>
      </c>
      <c r="S6808" t="s">
        <v>824</v>
      </c>
      <c r="T6808">
        <v>41</v>
      </c>
      <c r="U6808" s="26" t="str">
        <f t="shared" si="272"/>
        <v>2025.002G.Monodnaviria_reorg_4nr.zip</v>
      </c>
    </row>
    <row r="6809" spans="1:21">
      <c r="A6809">
        <v>6808</v>
      </c>
      <c r="B6809" s="27" t="s">
        <v>20779</v>
      </c>
      <c r="D6809" s="27" t="s">
        <v>1826</v>
      </c>
      <c r="F6809" s="27" t="s">
        <v>19875</v>
      </c>
      <c r="H6809" s="27" t="s">
        <v>19876</v>
      </c>
      <c r="J6809" s="27" t="s">
        <v>19877</v>
      </c>
      <c r="L6809" s="27" t="s">
        <v>124</v>
      </c>
      <c r="N6809" s="27" t="s">
        <v>3673</v>
      </c>
      <c r="P6809" s="27" t="s">
        <v>11103</v>
      </c>
      <c r="Q6809" s="26" t="str">
        <f>HYPERLINK("https://ictv.global/taxonomy/taxondetails?taxnode_id=202509438&amp;ictv_id=ICTV202009438","ICTV202009438")</f>
        <v>ICTV202009438</v>
      </c>
      <c r="R6809" t="s">
        <v>656</v>
      </c>
      <c r="S6809" t="s">
        <v>824</v>
      </c>
      <c r="T6809">
        <v>41</v>
      </c>
      <c r="U6809" s="26" t="str">
        <f t="shared" si="272"/>
        <v>2025.002G.Monodnaviria_reorg_4nr.zip</v>
      </c>
    </row>
    <row r="6810" spans="1:21">
      <c r="A6810">
        <v>6809</v>
      </c>
      <c r="B6810" s="27" t="s">
        <v>20779</v>
      </c>
      <c r="D6810" s="27" t="s">
        <v>1826</v>
      </c>
      <c r="F6810" s="27" t="s">
        <v>19875</v>
      </c>
      <c r="H6810" s="27" t="s">
        <v>19876</v>
      </c>
      <c r="J6810" s="27" t="s">
        <v>19877</v>
      </c>
      <c r="L6810" s="27" t="s">
        <v>124</v>
      </c>
      <c r="N6810" s="27" t="s">
        <v>3674</v>
      </c>
      <c r="P6810" s="27" t="s">
        <v>11104</v>
      </c>
      <c r="Q6810" s="26" t="str">
        <f>HYPERLINK("https://ictv.global/taxonomy/taxondetails?taxnode_id=202509440&amp;ictv_id=ICTV202009440","ICTV202009440")</f>
        <v>ICTV202009440</v>
      </c>
      <c r="R6810" t="s">
        <v>656</v>
      </c>
      <c r="S6810" t="s">
        <v>824</v>
      </c>
      <c r="T6810">
        <v>41</v>
      </c>
      <c r="U6810" s="26" t="str">
        <f t="shared" si="272"/>
        <v>2025.002G.Monodnaviria_reorg_4nr.zip</v>
      </c>
    </row>
    <row r="6811" spans="1:21">
      <c r="A6811">
        <v>6810</v>
      </c>
      <c r="B6811" s="27" t="s">
        <v>20779</v>
      </c>
      <c r="D6811" s="27" t="s">
        <v>1826</v>
      </c>
      <c r="F6811" s="27" t="s">
        <v>19875</v>
      </c>
      <c r="H6811" s="27" t="s">
        <v>19876</v>
      </c>
      <c r="J6811" s="27" t="s">
        <v>19877</v>
      </c>
      <c r="L6811" s="27" t="s">
        <v>124</v>
      </c>
      <c r="N6811" s="27" t="s">
        <v>3674</v>
      </c>
      <c r="P6811" s="27" t="s">
        <v>19898</v>
      </c>
      <c r="Q6811" s="26" t="str">
        <f>HYPERLINK("https://ictv.global/taxonomy/taxondetails?taxnode_id=202520426&amp;ictv_id=ICTV202420426","ICTV202420426")</f>
        <v>ICTV202420426</v>
      </c>
      <c r="R6811" t="s">
        <v>660</v>
      </c>
      <c r="S6811" t="s">
        <v>824</v>
      </c>
      <c r="T6811">
        <v>41</v>
      </c>
      <c r="U6811" s="26" t="str">
        <f t="shared" si="272"/>
        <v>2025.002G.Monodnaviria_reorg_4nr.zip</v>
      </c>
    </row>
    <row r="6812" spans="1:21">
      <c r="A6812">
        <v>6811</v>
      </c>
      <c r="B6812" s="27" t="s">
        <v>20779</v>
      </c>
      <c r="D6812" s="27" t="s">
        <v>1826</v>
      </c>
      <c r="F6812" s="27" t="s">
        <v>19875</v>
      </c>
      <c r="H6812" s="27" t="s">
        <v>19876</v>
      </c>
      <c r="J6812" s="27" t="s">
        <v>19877</v>
      </c>
      <c r="L6812" s="27" t="s">
        <v>124</v>
      </c>
      <c r="N6812" s="27" t="s">
        <v>19899</v>
      </c>
      <c r="P6812" s="27" t="s">
        <v>19900</v>
      </c>
      <c r="Q6812" s="26" t="str">
        <f>HYPERLINK("https://ictv.global/taxonomy/taxondetails?taxnode_id=202502564&amp;ictv_id=ICTV20093141","ICTV20093141")</f>
        <v>ICTV20093141</v>
      </c>
      <c r="R6812" t="s">
        <v>660</v>
      </c>
      <c r="S6812" t="s">
        <v>824</v>
      </c>
      <c r="T6812">
        <v>41</v>
      </c>
      <c r="U6812" s="26" t="str">
        <f t="shared" si="272"/>
        <v>2025.002G.Monodnaviria_reorg_4nr.zip</v>
      </c>
    </row>
    <row r="6813" spans="1:21">
      <c r="A6813">
        <v>6812</v>
      </c>
      <c r="B6813" s="27" t="s">
        <v>20779</v>
      </c>
      <c r="D6813" s="27" t="s">
        <v>1826</v>
      </c>
      <c r="F6813" s="27" t="s">
        <v>19875</v>
      </c>
      <c r="H6813" s="27" t="s">
        <v>19876</v>
      </c>
      <c r="J6813" s="27" t="s">
        <v>19877</v>
      </c>
      <c r="L6813" s="27" t="s">
        <v>124</v>
      </c>
      <c r="N6813" s="27" t="s">
        <v>19899</v>
      </c>
      <c r="P6813" s="27" t="s">
        <v>19901</v>
      </c>
      <c r="Q6813" s="26" t="str">
        <f>HYPERLINK("https://ictv.global/taxonomy/taxondetails?taxnode_id=202509459&amp;ictv_id=ICTV202009459","ICTV202009459")</f>
        <v>ICTV202009459</v>
      </c>
      <c r="R6813" t="s">
        <v>660</v>
      </c>
      <c r="S6813" t="s">
        <v>824</v>
      </c>
      <c r="T6813">
        <v>41</v>
      </c>
      <c r="U6813" s="26" t="str">
        <f t="shared" si="272"/>
        <v>2025.002G.Monodnaviria_reorg_4nr.zip</v>
      </c>
    </row>
    <row r="6814" spans="1:21">
      <c r="A6814">
        <v>6813</v>
      </c>
      <c r="B6814" s="27" t="s">
        <v>20779</v>
      </c>
      <c r="D6814" s="27" t="s">
        <v>1826</v>
      </c>
      <c r="F6814" s="27" t="s">
        <v>19875</v>
      </c>
      <c r="H6814" s="27" t="s">
        <v>19876</v>
      </c>
      <c r="J6814" s="27" t="s">
        <v>19877</v>
      </c>
      <c r="L6814" s="27" t="s">
        <v>124</v>
      </c>
      <c r="N6814" s="27" t="s">
        <v>19899</v>
      </c>
      <c r="P6814" s="27" t="s">
        <v>19902</v>
      </c>
      <c r="Q6814" s="26" t="str">
        <f>HYPERLINK("https://ictv.global/taxonomy/taxondetails?taxnode_id=202509467&amp;ictv_id=ICTV202009467","ICTV202009467")</f>
        <v>ICTV202009467</v>
      </c>
      <c r="R6814" t="s">
        <v>660</v>
      </c>
      <c r="S6814" t="s">
        <v>824</v>
      </c>
      <c r="T6814">
        <v>41</v>
      </c>
      <c r="U6814" s="26" t="str">
        <f t="shared" si="272"/>
        <v>2025.002G.Monodnaviria_reorg_4nr.zip</v>
      </c>
    </row>
    <row r="6815" spans="1:21">
      <c r="A6815">
        <v>6814</v>
      </c>
      <c r="B6815" s="27" t="s">
        <v>20779</v>
      </c>
      <c r="D6815" s="27" t="s">
        <v>1826</v>
      </c>
      <c r="F6815" s="27" t="s">
        <v>19875</v>
      </c>
      <c r="H6815" s="27" t="s">
        <v>19876</v>
      </c>
      <c r="J6815" s="27" t="s">
        <v>19877</v>
      </c>
      <c r="L6815" s="27" t="s">
        <v>124</v>
      </c>
      <c r="N6815" s="27" t="s">
        <v>3675</v>
      </c>
      <c r="P6815" s="27" t="s">
        <v>11105</v>
      </c>
      <c r="Q6815" s="26" t="str">
        <f>HYPERLINK("https://ictv.global/taxonomy/taxondetails?taxnode_id=202509442&amp;ictv_id=ICTV202009442","ICTV202009442")</f>
        <v>ICTV202009442</v>
      </c>
      <c r="R6815" t="s">
        <v>656</v>
      </c>
      <c r="S6815" t="s">
        <v>824</v>
      </c>
      <c r="T6815">
        <v>41</v>
      </c>
      <c r="U6815" s="26" t="str">
        <f t="shared" si="272"/>
        <v>2025.002G.Monodnaviria_reorg_4nr.zip</v>
      </c>
    </row>
    <row r="6816" spans="1:21">
      <c r="A6816">
        <v>6815</v>
      </c>
      <c r="B6816" s="27" t="s">
        <v>20779</v>
      </c>
      <c r="D6816" s="27" t="s">
        <v>1826</v>
      </c>
      <c r="F6816" s="27" t="s">
        <v>19875</v>
      </c>
      <c r="H6816" s="27" t="s">
        <v>19876</v>
      </c>
      <c r="J6816" s="27" t="s">
        <v>19877</v>
      </c>
      <c r="L6816" s="27" t="s">
        <v>124</v>
      </c>
      <c r="N6816" s="27" t="s">
        <v>3675</v>
      </c>
      <c r="P6816" s="27" t="s">
        <v>11106</v>
      </c>
      <c r="Q6816" s="26" t="str">
        <f>HYPERLINK("https://ictv.global/taxonomy/taxondetails?taxnode_id=202509443&amp;ictv_id=ICTV202009443","ICTV202009443")</f>
        <v>ICTV202009443</v>
      </c>
      <c r="R6816" t="s">
        <v>656</v>
      </c>
      <c r="S6816" t="s">
        <v>824</v>
      </c>
      <c r="T6816">
        <v>41</v>
      </c>
      <c r="U6816" s="26" t="str">
        <f t="shared" si="272"/>
        <v>2025.002G.Monodnaviria_reorg_4nr.zip</v>
      </c>
    </row>
    <row r="6817" spans="1:21">
      <c r="A6817">
        <v>6816</v>
      </c>
      <c r="B6817" s="27" t="s">
        <v>20779</v>
      </c>
      <c r="D6817" s="27" t="s">
        <v>1826</v>
      </c>
      <c r="F6817" s="27" t="s">
        <v>19875</v>
      </c>
      <c r="H6817" s="27" t="s">
        <v>19876</v>
      </c>
      <c r="J6817" s="27" t="s">
        <v>19877</v>
      </c>
      <c r="L6817" s="27" t="s">
        <v>124</v>
      </c>
      <c r="N6817" s="27" t="s">
        <v>3675</v>
      </c>
      <c r="P6817" s="27" t="s">
        <v>11107</v>
      </c>
      <c r="Q6817" s="26" t="str">
        <f>HYPERLINK("https://ictv.global/taxonomy/taxondetails?taxnode_id=202509444&amp;ictv_id=ICTV202009444","ICTV202009444")</f>
        <v>ICTV202009444</v>
      </c>
      <c r="R6817" t="s">
        <v>656</v>
      </c>
      <c r="S6817" t="s">
        <v>824</v>
      </c>
      <c r="T6817">
        <v>41</v>
      </c>
      <c r="U6817" s="26" t="str">
        <f t="shared" si="272"/>
        <v>2025.002G.Monodnaviria_reorg_4nr.zip</v>
      </c>
    </row>
    <row r="6818" spans="1:21">
      <c r="A6818">
        <v>6817</v>
      </c>
      <c r="B6818" s="27" t="s">
        <v>20779</v>
      </c>
      <c r="D6818" s="27" t="s">
        <v>1826</v>
      </c>
      <c r="F6818" s="27" t="s">
        <v>19875</v>
      </c>
      <c r="H6818" s="27" t="s">
        <v>19876</v>
      </c>
      <c r="J6818" s="27" t="s">
        <v>19877</v>
      </c>
      <c r="L6818" s="27" t="s">
        <v>124</v>
      </c>
      <c r="N6818" s="27" t="s">
        <v>3675</v>
      </c>
      <c r="P6818" s="27" t="s">
        <v>11108</v>
      </c>
      <c r="Q6818" s="26" t="str">
        <f>HYPERLINK("https://ictv.global/taxonomy/taxondetails?taxnode_id=202509445&amp;ictv_id=ICTV202009445","ICTV202009445")</f>
        <v>ICTV202009445</v>
      </c>
      <c r="R6818" t="s">
        <v>656</v>
      </c>
      <c r="S6818" t="s">
        <v>824</v>
      </c>
      <c r="T6818">
        <v>41</v>
      </c>
      <c r="U6818" s="26" t="str">
        <f t="shared" si="272"/>
        <v>2025.002G.Monodnaviria_reorg_4nr.zip</v>
      </c>
    </row>
    <row r="6819" spans="1:21">
      <c r="A6819">
        <v>6818</v>
      </c>
      <c r="B6819" s="27" t="s">
        <v>20779</v>
      </c>
      <c r="D6819" s="27" t="s">
        <v>1826</v>
      </c>
      <c r="F6819" s="27" t="s">
        <v>19875</v>
      </c>
      <c r="H6819" s="27" t="s">
        <v>19876</v>
      </c>
      <c r="J6819" s="27" t="s">
        <v>19877</v>
      </c>
      <c r="L6819" s="27" t="s">
        <v>124</v>
      </c>
      <c r="N6819" s="27" t="s">
        <v>3675</v>
      </c>
      <c r="P6819" s="27" t="s">
        <v>11109</v>
      </c>
      <c r="Q6819" s="26" t="str">
        <f>HYPERLINK("https://ictv.global/taxonomy/taxondetails?taxnode_id=202509446&amp;ictv_id=ICTV202009446","ICTV202009446")</f>
        <v>ICTV202009446</v>
      </c>
      <c r="R6819" t="s">
        <v>656</v>
      </c>
      <c r="S6819" t="s">
        <v>824</v>
      </c>
      <c r="T6819">
        <v>41</v>
      </c>
      <c r="U6819" s="26" t="str">
        <f t="shared" si="272"/>
        <v>2025.002G.Monodnaviria_reorg_4nr.zip</v>
      </c>
    </row>
    <row r="6820" spans="1:21">
      <c r="A6820">
        <v>6819</v>
      </c>
      <c r="B6820" s="27" t="s">
        <v>20779</v>
      </c>
      <c r="D6820" s="27" t="s">
        <v>1826</v>
      </c>
      <c r="F6820" s="27" t="s">
        <v>19875</v>
      </c>
      <c r="H6820" s="27" t="s">
        <v>19876</v>
      </c>
      <c r="J6820" s="27" t="s">
        <v>19877</v>
      </c>
      <c r="L6820" s="27" t="s">
        <v>124</v>
      </c>
      <c r="N6820" s="27" t="s">
        <v>3675</v>
      </c>
      <c r="P6820" s="27" t="s">
        <v>11110</v>
      </c>
      <c r="Q6820" s="26" t="str">
        <f>HYPERLINK("https://ictv.global/taxonomy/taxondetails?taxnode_id=202509447&amp;ictv_id=ICTV202009447","ICTV202009447")</f>
        <v>ICTV202009447</v>
      </c>
      <c r="R6820" t="s">
        <v>656</v>
      </c>
      <c r="S6820" t="s">
        <v>824</v>
      </c>
      <c r="T6820">
        <v>41</v>
      </c>
      <c r="U6820" s="26" t="str">
        <f t="shared" si="272"/>
        <v>2025.002G.Monodnaviria_reorg_4nr.zip</v>
      </c>
    </row>
    <row r="6821" spans="1:21">
      <c r="A6821">
        <v>6820</v>
      </c>
      <c r="B6821" s="27" t="s">
        <v>20779</v>
      </c>
      <c r="D6821" s="27" t="s">
        <v>1826</v>
      </c>
      <c r="F6821" s="27" t="s">
        <v>19875</v>
      </c>
      <c r="H6821" s="27" t="s">
        <v>19876</v>
      </c>
      <c r="J6821" s="27" t="s">
        <v>19877</v>
      </c>
      <c r="L6821" s="27" t="s">
        <v>124</v>
      </c>
      <c r="N6821" s="27" t="s">
        <v>3675</v>
      </c>
      <c r="P6821" s="27" t="s">
        <v>19903</v>
      </c>
      <c r="Q6821" s="26" t="str">
        <f>HYPERLINK("https://ictv.global/taxonomy/taxondetails?taxnode_id=202520420&amp;ictv_id=ICTV202420420","ICTV202420420")</f>
        <v>ICTV202420420</v>
      </c>
      <c r="R6821" t="s">
        <v>660</v>
      </c>
      <c r="S6821" t="s">
        <v>824</v>
      </c>
      <c r="T6821">
        <v>41</v>
      </c>
      <c r="U6821" s="26" t="str">
        <f t="shared" si="272"/>
        <v>2025.002G.Monodnaviria_reorg_4nr.zip</v>
      </c>
    </row>
    <row r="6822" spans="1:21">
      <c r="A6822">
        <v>6821</v>
      </c>
      <c r="B6822" s="27" t="s">
        <v>20779</v>
      </c>
      <c r="D6822" s="27" t="s">
        <v>1826</v>
      </c>
      <c r="F6822" s="27" t="s">
        <v>19875</v>
      </c>
      <c r="H6822" s="27" t="s">
        <v>19876</v>
      </c>
      <c r="J6822" s="27" t="s">
        <v>19877</v>
      </c>
      <c r="L6822" s="27" t="s">
        <v>124</v>
      </c>
      <c r="N6822" s="27" t="s">
        <v>3675</v>
      </c>
      <c r="P6822" s="27" t="s">
        <v>19904</v>
      </c>
      <c r="Q6822" s="26" t="str">
        <f>HYPERLINK("https://ictv.global/taxonomy/taxondetails?taxnode_id=202520414&amp;ictv_id=ICTV202420414","ICTV202420414")</f>
        <v>ICTV202420414</v>
      </c>
      <c r="R6822" t="s">
        <v>660</v>
      </c>
      <c r="S6822" t="s">
        <v>824</v>
      </c>
      <c r="T6822">
        <v>41</v>
      </c>
      <c r="U6822" s="26" t="str">
        <f t="shared" si="272"/>
        <v>2025.002G.Monodnaviria_reorg_4nr.zip</v>
      </c>
    </row>
    <row r="6823" spans="1:21">
      <c r="A6823">
        <v>6822</v>
      </c>
      <c r="B6823" s="27" t="s">
        <v>20779</v>
      </c>
      <c r="D6823" s="27" t="s">
        <v>1826</v>
      </c>
      <c r="F6823" s="27" t="s">
        <v>19875</v>
      </c>
      <c r="H6823" s="27" t="s">
        <v>19876</v>
      </c>
      <c r="J6823" s="27" t="s">
        <v>19877</v>
      </c>
      <c r="L6823" s="27" t="s">
        <v>124</v>
      </c>
      <c r="N6823" s="27" t="s">
        <v>3675</v>
      </c>
      <c r="P6823" s="27" t="s">
        <v>19905</v>
      </c>
      <c r="Q6823" s="26" t="str">
        <f>HYPERLINK("https://ictv.global/taxonomy/taxondetails?taxnode_id=202520419&amp;ictv_id=ICTV202420419","ICTV202420419")</f>
        <v>ICTV202420419</v>
      </c>
      <c r="R6823" t="s">
        <v>660</v>
      </c>
      <c r="S6823" t="s">
        <v>824</v>
      </c>
      <c r="T6823">
        <v>41</v>
      </c>
      <c r="U6823" s="26" t="str">
        <f t="shared" si="272"/>
        <v>2025.002G.Monodnaviria_reorg_4nr.zip</v>
      </c>
    </row>
    <row r="6824" spans="1:21">
      <c r="A6824">
        <v>6823</v>
      </c>
      <c r="B6824" s="27" t="s">
        <v>20779</v>
      </c>
      <c r="D6824" s="27" t="s">
        <v>1826</v>
      </c>
      <c r="F6824" s="27" t="s">
        <v>19875</v>
      </c>
      <c r="H6824" s="27" t="s">
        <v>19876</v>
      </c>
      <c r="J6824" s="27" t="s">
        <v>19877</v>
      </c>
      <c r="L6824" s="27" t="s">
        <v>124</v>
      </c>
      <c r="N6824" s="27" t="s">
        <v>3675</v>
      </c>
      <c r="P6824" s="27" t="s">
        <v>19906</v>
      </c>
      <c r="Q6824" s="26" t="str">
        <f>HYPERLINK("https://ictv.global/taxonomy/taxondetails?taxnode_id=202520416&amp;ictv_id=ICTV202420416","ICTV202420416")</f>
        <v>ICTV202420416</v>
      </c>
      <c r="R6824" t="s">
        <v>660</v>
      </c>
      <c r="S6824" t="s">
        <v>824</v>
      </c>
      <c r="T6824">
        <v>41</v>
      </c>
      <c r="U6824" s="26" t="str">
        <f t="shared" si="272"/>
        <v>2025.002G.Monodnaviria_reorg_4nr.zip</v>
      </c>
    </row>
    <row r="6825" spans="1:21">
      <c r="A6825">
        <v>6824</v>
      </c>
      <c r="B6825" s="27" t="s">
        <v>20779</v>
      </c>
      <c r="D6825" s="27" t="s">
        <v>1826</v>
      </c>
      <c r="F6825" s="27" t="s">
        <v>19875</v>
      </c>
      <c r="H6825" s="27" t="s">
        <v>19876</v>
      </c>
      <c r="J6825" s="27" t="s">
        <v>19877</v>
      </c>
      <c r="L6825" s="27" t="s">
        <v>124</v>
      </c>
      <c r="N6825" s="27" t="s">
        <v>3675</v>
      </c>
      <c r="P6825" s="27" t="s">
        <v>19907</v>
      </c>
      <c r="Q6825" s="26" t="str">
        <f>HYPERLINK("https://ictv.global/taxonomy/taxondetails?taxnode_id=202520421&amp;ictv_id=ICTV202420421","ICTV202420421")</f>
        <v>ICTV202420421</v>
      </c>
      <c r="R6825" t="s">
        <v>660</v>
      </c>
      <c r="S6825" t="s">
        <v>824</v>
      </c>
      <c r="T6825">
        <v>41</v>
      </c>
      <c r="U6825" s="26" t="str">
        <f t="shared" si="272"/>
        <v>2025.002G.Monodnaviria_reorg_4nr.zip</v>
      </c>
    </row>
    <row r="6826" spans="1:21">
      <c r="A6826">
        <v>6825</v>
      </c>
      <c r="B6826" s="27" t="s">
        <v>20779</v>
      </c>
      <c r="D6826" s="27" t="s">
        <v>1826</v>
      </c>
      <c r="F6826" s="27" t="s">
        <v>19875</v>
      </c>
      <c r="H6826" s="27" t="s">
        <v>19876</v>
      </c>
      <c r="J6826" s="27" t="s">
        <v>19877</v>
      </c>
      <c r="L6826" s="27" t="s">
        <v>124</v>
      </c>
      <c r="N6826" s="27" t="s">
        <v>3675</v>
      </c>
      <c r="P6826" s="27" t="s">
        <v>19908</v>
      </c>
      <c r="Q6826" s="26" t="str">
        <f>HYPERLINK("https://ictv.global/taxonomy/taxondetails?taxnode_id=202520417&amp;ictv_id=ICTV202420417","ICTV202420417")</f>
        <v>ICTV202420417</v>
      </c>
      <c r="R6826" t="s">
        <v>660</v>
      </c>
      <c r="S6826" t="s">
        <v>824</v>
      </c>
      <c r="T6826">
        <v>41</v>
      </c>
      <c r="U6826" s="26" t="str">
        <f t="shared" si="272"/>
        <v>2025.002G.Monodnaviria_reorg_4nr.zip</v>
      </c>
    </row>
    <row r="6827" spans="1:21">
      <c r="A6827">
        <v>6826</v>
      </c>
      <c r="B6827" s="27" t="s">
        <v>20779</v>
      </c>
      <c r="D6827" s="27" t="s">
        <v>1826</v>
      </c>
      <c r="F6827" s="27" t="s">
        <v>19875</v>
      </c>
      <c r="H6827" s="27" t="s">
        <v>19876</v>
      </c>
      <c r="J6827" s="27" t="s">
        <v>19877</v>
      </c>
      <c r="L6827" s="27" t="s">
        <v>124</v>
      </c>
      <c r="N6827" s="27" t="s">
        <v>3675</v>
      </c>
      <c r="P6827" s="27" t="s">
        <v>19909</v>
      </c>
      <c r="Q6827" s="26" t="str">
        <f>HYPERLINK("https://ictv.global/taxonomy/taxondetails?taxnode_id=202520418&amp;ictv_id=ICTV202420418","ICTV202420418")</f>
        <v>ICTV202420418</v>
      </c>
      <c r="R6827" t="s">
        <v>660</v>
      </c>
      <c r="S6827" t="s">
        <v>824</v>
      </c>
      <c r="T6827">
        <v>41</v>
      </c>
      <c r="U6827" s="26" t="str">
        <f t="shared" si="272"/>
        <v>2025.002G.Monodnaviria_reorg_4nr.zip</v>
      </c>
    </row>
    <row r="6828" spans="1:21">
      <c r="A6828">
        <v>6827</v>
      </c>
      <c r="B6828" s="27" t="s">
        <v>20779</v>
      </c>
      <c r="D6828" s="27" t="s">
        <v>1826</v>
      </c>
      <c r="F6828" s="27" t="s">
        <v>19875</v>
      </c>
      <c r="H6828" s="27" t="s">
        <v>19876</v>
      </c>
      <c r="J6828" s="27" t="s">
        <v>19877</v>
      </c>
      <c r="L6828" s="27" t="s">
        <v>124</v>
      </c>
      <c r="N6828" s="27" t="s">
        <v>3675</v>
      </c>
      <c r="P6828" s="27" t="s">
        <v>19910</v>
      </c>
      <c r="Q6828" s="26" t="str">
        <f>HYPERLINK("https://ictv.global/taxonomy/taxondetails?taxnode_id=202520415&amp;ictv_id=ICTV202420415","ICTV202420415")</f>
        <v>ICTV202420415</v>
      </c>
      <c r="R6828" t="s">
        <v>660</v>
      </c>
      <c r="S6828" t="s">
        <v>824</v>
      </c>
      <c r="T6828">
        <v>41</v>
      </c>
      <c r="U6828" s="26" t="str">
        <f t="shared" si="272"/>
        <v>2025.002G.Monodnaviria_reorg_4nr.zip</v>
      </c>
    </row>
    <row r="6829" spans="1:21">
      <c r="A6829">
        <v>6828</v>
      </c>
      <c r="B6829" s="27" t="s">
        <v>20779</v>
      </c>
      <c r="D6829" s="27" t="s">
        <v>1826</v>
      </c>
      <c r="F6829" s="27" t="s">
        <v>19875</v>
      </c>
      <c r="H6829" s="27" t="s">
        <v>19876</v>
      </c>
      <c r="J6829" s="27" t="s">
        <v>19877</v>
      </c>
      <c r="L6829" s="27" t="s">
        <v>124</v>
      </c>
      <c r="N6829" s="27" t="s">
        <v>3675</v>
      </c>
      <c r="P6829" s="27" t="s">
        <v>19911</v>
      </c>
      <c r="Q6829" s="26" t="str">
        <f>HYPERLINK("https://ictv.global/taxonomy/taxondetails?taxnode_id=202520422&amp;ictv_id=ICTV202420422","ICTV202420422")</f>
        <v>ICTV202420422</v>
      </c>
      <c r="R6829" t="s">
        <v>660</v>
      </c>
      <c r="S6829" t="s">
        <v>824</v>
      </c>
      <c r="T6829">
        <v>41</v>
      </c>
      <c r="U6829" s="26" t="str">
        <f t="shared" si="272"/>
        <v>2025.002G.Monodnaviria_reorg_4nr.zip</v>
      </c>
    </row>
    <row r="6830" spans="1:21">
      <c r="A6830">
        <v>6829</v>
      </c>
      <c r="B6830" s="27" t="s">
        <v>20779</v>
      </c>
      <c r="D6830" s="27" t="s">
        <v>1826</v>
      </c>
      <c r="F6830" s="27" t="s">
        <v>19875</v>
      </c>
      <c r="H6830" s="27" t="s">
        <v>19876</v>
      </c>
      <c r="J6830" s="27" t="s">
        <v>19877</v>
      </c>
      <c r="L6830" s="27" t="s">
        <v>124</v>
      </c>
      <c r="N6830" s="27" t="s">
        <v>3676</v>
      </c>
      <c r="P6830" s="27" t="s">
        <v>11111</v>
      </c>
      <c r="Q6830" s="26" t="str">
        <f>HYPERLINK("https://ictv.global/taxonomy/taxondetails?taxnode_id=202509449&amp;ictv_id=ICTV202009449","ICTV202009449")</f>
        <v>ICTV202009449</v>
      </c>
      <c r="R6830" t="s">
        <v>656</v>
      </c>
      <c r="S6830" t="s">
        <v>824</v>
      </c>
      <c r="T6830">
        <v>41</v>
      </c>
      <c r="U6830" s="26" t="str">
        <f t="shared" si="272"/>
        <v>2025.002G.Monodnaviria_reorg_4nr.zip</v>
      </c>
    </row>
    <row r="6831" spans="1:21">
      <c r="A6831">
        <v>6830</v>
      </c>
      <c r="B6831" s="27" t="s">
        <v>20779</v>
      </c>
      <c r="D6831" s="27" t="s">
        <v>1826</v>
      </c>
      <c r="F6831" s="27" t="s">
        <v>19875</v>
      </c>
      <c r="H6831" s="27" t="s">
        <v>19876</v>
      </c>
      <c r="J6831" s="27" t="s">
        <v>19877</v>
      </c>
      <c r="L6831" s="27" t="s">
        <v>124</v>
      </c>
      <c r="N6831" s="27" t="s">
        <v>19912</v>
      </c>
      <c r="P6831" s="27" t="s">
        <v>19913</v>
      </c>
      <c r="Q6831" s="26" t="str">
        <f>HYPERLINK("https://ictv.global/taxonomy/taxondetails?taxnode_id=202520384&amp;ictv_id=ICTV202420384","ICTV202420384")</f>
        <v>ICTV202420384</v>
      </c>
      <c r="R6831" t="s">
        <v>660</v>
      </c>
      <c r="S6831" t="s">
        <v>824</v>
      </c>
      <c r="T6831">
        <v>41</v>
      </c>
      <c r="U6831" s="26" t="str">
        <f t="shared" si="272"/>
        <v>2025.002G.Monodnaviria_reorg_4nr.zip</v>
      </c>
    </row>
    <row r="6832" spans="1:21">
      <c r="A6832">
        <v>6831</v>
      </c>
      <c r="B6832" s="27" t="s">
        <v>20779</v>
      </c>
      <c r="D6832" s="27" t="s">
        <v>1826</v>
      </c>
      <c r="F6832" s="27" t="s">
        <v>19875</v>
      </c>
      <c r="H6832" s="27" t="s">
        <v>19876</v>
      </c>
      <c r="J6832" s="27" t="s">
        <v>19877</v>
      </c>
      <c r="L6832" s="27" t="s">
        <v>124</v>
      </c>
      <c r="N6832" s="27" t="s">
        <v>19912</v>
      </c>
      <c r="P6832" s="27" t="s">
        <v>19914</v>
      </c>
      <c r="Q6832" s="26" t="str">
        <f>HYPERLINK("https://ictv.global/taxonomy/taxondetails?taxnode_id=202520383&amp;ictv_id=ICTV202420383","ICTV202420383")</f>
        <v>ICTV202420383</v>
      </c>
      <c r="R6832" t="s">
        <v>660</v>
      </c>
      <c r="S6832" t="s">
        <v>824</v>
      </c>
      <c r="T6832">
        <v>41</v>
      </c>
      <c r="U6832" s="26" t="str">
        <f t="shared" si="272"/>
        <v>2025.002G.Monodnaviria_reorg_4nr.zip</v>
      </c>
    </row>
    <row r="6833" spans="1:21">
      <c r="A6833">
        <v>6832</v>
      </c>
      <c r="B6833" s="27" t="s">
        <v>20779</v>
      </c>
      <c r="D6833" s="27" t="s">
        <v>1826</v>
      </c>
      <c r="F6833" s="27" t="s">
        <v>19875</v>
      </c>
      <c r="H6833" s="27" t="s">
        <v>19876</v>
      </c>
      <c r="J6833" s="27" t="s">
        <v>19877</v>
      </c>
      <c r="L6833" s="27" t="s">
        <v>124</v>
      </c>
      <c r="N6833" s="27" t="s">
        <v>19912</v>
      </c>
      <c r="P6833" s="27" t="s">
        <v>19915</v>
      </c>
      <c r="Q6833" s="26" t="str">
        <f>HYPERLINK("https://ictv.global/taxonomy/taxondetails?taxnode_id=202520380&amp;ictv_id=ICTV202420380","ICTV202420380")</f>
        <v>ICTV202420380</v>
      </c>
      <c r="R6833" t="s">
        <v>660</v>
      </c>
      <c r="S6833" t="s">
        <v>824</v>
      </c>
      <c r="T6833">
        <v>41</v>
      </c>
      <c r="U6833" s="26" t="str">
        <f t="shared" si="272"/>
        <v>2025.002G.Monodnaviria_reorg_4nr.zip</v>
      </c>
    </row>
    <row r="6834" spans="1:21">
      <c r="A6834">
        <v>6833</v>
      </c>
      <c r="B6834" s="27" t="s">
        <v>20779</v>
      </c>
      <c r="D6834" s="27" t="s">
        <v>1826</v>
      </c>
      <c r="F6834" s="27" t="s">
        <v>19875</v>
      </c>
      <c r="H6834" s="27" t="s">
        <v>19876</v>
      </c>
      <c r="J6834" s="27" t="s">
        <v>19877</v>
      </c>
      <c r="L6834" s="27" t="s">
        <v>124</v>
      </c>
      <c r="N6834" s="27" t="s">
        <v>19912</v>
      </c>
      <c r="P6834" s="27" t="s">
        <v>19916</v>
      </c>
      <c r="Q6834" s="26" t="str">
        <f>HYPERLINK("https://ictv.global/taxonomy/taxondetails?taxnode_id=202520382&amp;ictv_id=ICTV202420382","ICTV202420382")</f>
        <v>ICTV202420382</v>
      </c>
      <c r="R6834" t="s">
        <v>660</v>
      </c>
      <c r="S6834" t="s">
        <v>824</v>
      </c>
      <c r="T6834">
        <v>41</v>
      </c>
      <c r="U6834" s="26" t="str">
        <f t="shared" si="272"/>
        <v>2025.002G.Monodnaviria_reorg_4nr.zip</v>
      </c>
    </row>
    <row r="6835" spans="1:21">
      <c r="A6835">
        <v>6834</v>
      </c>
      <c r="B6835" s="27" t="s">
        <v>20779</v>
      </c>
      <c r="D6835" s="27" t="s">
        <v>1826</v>
      </c>
      <c r="F6835" s="27" t="s">
        <v>19875</v>
      </c>
      <c r="H6835" s="27" t="s">
        <v>19876</v>
      </c>
      <c r="J6835" s="27" t="s">
        <v>19877</v>
      </c>
      <c r="L6835" s="27" t="s">
        <v>124</v>
      </c>
      <c r="N6835" s="27" t="s">
        <v>19912</v>
      </c>
      <c r="P6835" s="27" t="s">
        <v>19917</v>
      </c>
      <c r="Q6835" s="26" t="str">
        <f>HYPERLINK("https://ictv.global/taxonomy/taxondetails?taxnode_id=202520394&amp;ictv_id=ICTV202420394","ICTV202420394")</f>
        <v>ICTV202420394</v>
      </c>
      <c r="R6835" t="s">
        <v>660</v>
      </c>
      <c r="S6835" t="s">
        <v>824</v>
      </c>
      <c r="T6835">
        <v>41</v>
      </c>
      <c r="U6835" s="26" t="str">
        <f t="shared" si="272"/>
        <v>2025.002G.Monodnaviria_reorg_4nr.zip</v>
      </c>
    </row>
    <row r="6836" spans="1:21">
      <c r="A6836">
        <v>6835</v>
      </c>
      <c r="B6836" s="27" t="s">
        <v>20779</v>
      </c>
      <c r="D6836" s="27" t="s">
        <v>1826</v>
      </c>
      <c r="F6836" s="27" t="s">
        <v>19875</v>
      </c>
      <c r="H6836" s="27" t="s">
        <v>19876</v>
      </c>
      <c r="J6836" s="27" t="s">
        <v>19877</v>
      </c>
      <c r="L6836" s="27" t="s">
        <v>124</v>
      </c>
      <c r="N6836" s="27" t="s">
        <v>19912</v>
      </c>
      <c r="P6836" s="27" t="s">
        <v>19918</v>
      </c>
      <c r="Q6836" s="26" t="str">
        <f>HYPERLINK("https://ictv.global/taxonomy/taxondetails?taxnode_id=202520381&amp;ictv_id=ICTV202420381","ICTV202420381")</f>
        <v>ICTV202420381</v>
      </c>
      <c r="R6836" t="s">
        <v>660</v>
      </c>
      <c r="S6836" t="s">
        <v>824</v>
      </c>
      <c r="T6836">
        <v>41</v>
      </c>
      <c r="U6836" s="26" t="str">
        <f t="shared" si="272"/>
        <v>2025.002G.Monodnaviria_reorg_4nr.zip</v>
      </c>
    </row>
    <row r="6837" spans="1:21">
      <c r="A6837">
        <v>6836</v>
      </c>
      <c r="B6837" s="27" t="s">
        <v>20779</v>
      </c>
      <c r="D6837" s="27" t="s">
        <v>1826</v>
      </c>
      <c r="F6837" s="27" t="s">
        <v>19875</v>
      </c>
      <c r="H6837" s="27" t="s">
        <v>19876</v>
      </c>
      <c r="J6837" s="27" t="s">
        <v>19877</v>
      </c>
      <c r="L6837" s="27" t="s">
        <v>124</v>
      </c>
      <c r="N6837" s="27" t="s">
        <v>19912</v>
      </c>
      <c r="P6837" s="27" t="s">
        <v>19919</v>
      </c>
      <c r="Q6837" s="26" t="str">
        <f>HYPERLINK("https://ictv.global/taxonomy/taxondetails?taxnode_id=202520387&amp;ictv_id=ICTV202420387","ICTV202420387")</f>
        <v>ICTV202420387</v>
      </c>
      <c r="R6837" t="s">
        <v>660</v>
      </c>
      <c r="S6837" t="s">
        <v>824</v>
      </c>
      <c r="T6837">
        <v>41</v>
      </c>
      <c r="U6837" s="26" t="str">
        <f t="shared" si="272"/>
        <v>2025.002G.Monodnaviria_reorg_4nr.zip</v>
      </c>
    </row>
    <row r="6838" spans="1:21">
      <c r="A6838">
        <v>6837</v>
      </c>
      <c r="B6838" s="27" t="s">
        <v>20779</v>
      </c>
      <c r="D6838" s="27" t="s">
        <v>1826</v>
      </c>
      <c r="F6838" s="27" t="s">
        <v>19875</v>
      </c>
      <c r="H6838" s="27" t="s">
        <v>19876</v>
      </c>
      <c r="J6838" s="27" t="s">
        <v>19877</v>
      </c>
      <c r="L6838" s="27" t="s">
        <v>124</v>
      </c>
      <c r="N6838" s="27" t="s">
        <v>19912</v>
      </c>
      <c r="P6838" s="27" t="s">
        <v>19920</v>
      </c>
      <c r="Q6838" s="26" t="str">
        <f>HYPERLINK("https://ictv.global/taxonomy/taxondetails?taxnode_id=202520386&amp;ictv_id=ICTV202420386","ICTV202420386")</f>
        <v>ICTV202420386</v>
      </c>
      <c r="R6838" t="s">
        <v>660</v>
      </c>
      <c r="S6838" t="s">
        <v>824</v>
      </c>
      <c r="T6838">
        <v>41</v>
      </c>
      <c r="U6838" s="26" t="str">
        <f t="shared" si="272"/>
        <v>2025.002G.Monodnaviria_reorg_4nr.zip</v>
      </c>
    </row>
    <row r="6839" spans="1:21">
      <c r="A6839">
        <v>6838</v>
      </c>
      <c r="B6839" s="27" t="s">
        <v>20779</v>
      </c>
      <c r="D6839" s="27" t="s">
        <v>1826</v>
      </c>
      <c r="F6839" s="27" t="s">
        <v>19875</v>
      </c>
      <c r="H6839" s="27" t="s">
        <v>19876</v>
      </c>
      <c r="J6839" s="27" t="s">
        <v>19877</v>
      </c>
      <c r="L6839" s="27" t="s">
        <v>124</v>
      </c>
      <c r="N6839" s="27" t="s">
        <v>19912</v>
      </c>
      <c r="P6839" s="27" t="s">
        <v>19921</v>
      </c>
      <c r="Q6839" s="26" t="str">
        <f>HYPERLINK("https://ictv.global/taxonomy/taxondetails?taxnode_id=202520393&amp;ictv_id=ICTV202420393","ICTV202420393")</f>
        <v>ICTV202420393</v>
      </c>
      <c r="R6839" t="s">
        <v>660</v>
      </c>
      <c r="S6839" t="s">
        <v>824</v>
      </c>
      <c r="T6839">
        <v>41</v>
      </c>
      <c r="U6839" s="26" t="str">
        <f t="shared" si="272"/>
        <v>2025.002G.Monodnaviria_reorg_4nr.zip</v>
      </c>
    </row>
    <row r="6840" spans="1:21">
      <c r="A6840">
        <v>6839</v>
      </c>
      <c r="B6840" s="27" t="s">
        <v>20779</v>
      </c>
      <c r="D6840" s="27" t="s">
        <v>1826</v>
      </c>
      <c r="F6840" s="27" t="s">
        <v>19875</v>
      </c>
      <c r="H6840" s="27" t="s">
        <v>19876</v>
      </c>
      <c r="J6840" s="27" t="s">
        <v>19877</v>
      </c>
      <c r="L6840" s="27" t="s">
        <v>124</v>
      </c>
      <c r="N6840" s="27" t="s">
        <v>19912</v>
      </c>
      <c r="P6840" s="27" t="s">
        <v>19922</v>
      </c>
      <c r="Q6840" s="26" t="str">
        <f>HYPERLINK("https://ictv.global/taxonomy/taxondetails?taxnode_id=202520391&amp;ictv_id=ICTV202420391","ICTV202420391")</f>
        <v>ICTV202420391</v>
      </c>
      <c r="R6840" t="s">
        <v>660</v>
      </c>
      <c r="S6840" t="s">
        <v>824</v>
      </c>
      <c r="T6840">
        <v>41</v>
      </c>
      <c r="U6840" s="26" t="str">
        <f t="shared" si="272"/>
        <v>2025.002G.Monodnaviria_reorg_4nr.zip</v>
      </c>
    </row>
    <row r="6841" spans="1:21">
      <c r="A6841">
        <v>6840</v>
      </c>
      <c r="B6841" s="27" t="s">
        <v>20779</v>
      </c>
      <c r="D6841" s="27" t="s">
        <v>1826</v>
      </c>
      <c r="F6841" s="27" t="s">
        <v>19875</v>
      </c>
      <c r="H6841" s="27" t="s">
        <v>19876</v>
      </c>
      <c r="J6841" s="27" t="s">
        <v>19877</v>
      </c>
      <c r="L6841" s="27" t="s">
        <v>124</v>
      </c>
      <c r="N6841" s="27" t="s">
        <v>19912</v>
      </c>
      <c r="P6841" s="27" t="s">
        <v>19923</v>
      </c>
      <c r="Q6841" s="26" t="str">
        <f>HYPERLINK("https://ictv.global/taxonomy/taxondetails?taxnode_id=202520388&amp;ictv_id=ICTV202420388","ICTV202420388")</f>
        <v>ICTV202420388</v>
      </c>
      <c r="R6841" t="s">
        <v>660</v>
      </c>
      <c r="S6841" t="s">
        <v>824</v>
      </c>
      <c r="T6841">
        <v>41</v>
      </c>
      <c r="U6841" s="26" t="str">
        <f t="shared" si="272"/>
        <v>2025.002G.Monodnaviria_reorg_4nr.zip</v>
      </c>
    </row>
    <row r="6842" spans="1:21">
      <c r="A6842">
        <v>6841</v>
      </c>
      <c r="B6842" s="27" t="s">
        <v>20779</v>
      </c>
      <c r="D6842" s="27" t="s">
        <v>1826</v>
      </c>
      <c r="F6842" s="27" t="s">
        <v>19875</v>
      </c>
      <c r="H6842" s="27" t="s">
        <v>19876</v>
      </c>
      <c r="J6842" s="27" t="s">
        <v>19877</v>
      </c>
      <c r="L6842" s="27" t="s">
        <v>124</v>
      </c>
      <c r="N6842" s="27" t="s">
        <v>19912</v>
      </c>
      <c r="P6842" s="27" t="s">
        <v>19924</v>
      </c>
      <c r="Q6842" s="26" t="str">
        <f>HYPERLINK("https://ictv.global/taxonomy/taxondetails?taxnode_id=202520392&amp;ictv_id=ICTV202420392","ICTV202420392")</f>
        <v>ICTV202420392</v>
      </c>
      <c r="R6842" t="s">
        <v>660</v>
      </c>
      <c r="S6842" t="s">
        <v>824</v>
      </c>
      <c r="T6842">
        <v>41</v>
      </c>
      <c r="U6842" s="26" t="str">
        <f t="shared" si="272"/>
        <v>2025.002G.Monodnaviria_reorg_4nr.zip</v>
      </c>
    </row>
    <row r="6843" spans="1:21">
      <c r="A6843">
        <v>6842</v>
      </c>
      <c r="B6843" s="27" t="s">
        <v>20779</v>
      </c>
      <c r="D6843" s="27" t="s">
        <v>1826</v>
      </c>
      <c r="F6843" s="27" t="s">
        <v>19875</v>
      </c>
      <c r="H6843" s="27" t="s">
        <v>19876</v>
      </c>
      <c r="J6843" s="27" t="s">
        <v>19877</v>
      </c>
      <c r="L6843" s="27" t="s">
        <v>124</v>
      </c>
      <c r="N6843" s="27" t="s">
        <v>19912</v>
      </c>
      <c r="P6843" s="27" t="s">
        <v>19925</v>
      </c>
      <c r="Q6843" s="26" t="str">
        <f>HYPERLINK("https://ictv.global/taxonomy/taxondetails?taxnode_id=202520385&amp;ictv_id=ICTV202420385","ICTV202420385")</f>
        <v>ICTV202420385</v>
      </c>
      <c r="R6843" t="s">
        <v>660</v>
      </c>
      <c r="S6843" t="s">
        <v>824</v>
      </c>
      <c r="T6843">
        <v>41</v>
      </c>
      <c r="U6843" s="26" t="str">
        <f t="shared" si="272"/>
        <v>2025.002G.Monodnaviria_reorg_4nr.zip</v>
      </c>
    </row>
    <row r="6844" spans="1:21">
      <c r="A6844">
        <v>6843</v>
      </c>
      <c r="B6844" s="27" t="s">
        <v>20779</v>
      </c>
      <c r="D6844" s="27" t="s">
        <v>1826</v>
      </c>
      <c r="F6844" s="27" t="s">
        <v>19875</v>
      </c>
      <c r="H6844" s="27" t="s">
        <v>19876</v>
      </c>
      <c r="J6844" s="27" t="s">
        <v>19877</v>
      </c>
      <c r="L6844" s="27" t="s">
        <v>124</v>
      </c>
      <c r="N6844" s="27" t="s">
        <v>19912</v>
      </c>
      <c r="P6844" s="27" t="s">
        <v>19926</v>
      </c>
      <c r="Q6844" s="26" t="str">
        <f>HYPERLINK("https://ictv.global/taxonomy/taxondetails?taxnode_id=202520374&amp;ictv_id=ICTV202420374","ICTV202420374")</f>
        <v>ICTV202420374</v>
      </c>
      <c r="R6844" t="s">
        <v>660</v>
      </c>
      <c r="S6844" t="s">
        <v>824</v>
      </c>
      <c r="T6844">
        <v>41</v>
      </c>
      <c r="U6844" s="26" t="str">
        <f t="shared" si="272"/>
        <v>2025.002G.Monodnaviria_reorg_4nr.zip</v>
      </c>
    </row>
    <row r="6845" spans="1:21">
      <c r="A6845">
        <v>6844</v>
      </c>
      <c r="B6845" s="27" t="s">
        <v>20779</v>
      </c>
      <c r="D6845" s="27" t="s">
        <v>1826</v>
      </c>
      <c r="F6845" s="27" t="s">
        <v>19875</v>
      </c>
      <c r="H6845" s="27" t="s">
        <v>19876</v>
      </c>
      <c r="J6845" s="27" t="s">
        <v>19877</v>
      </c>
      <c r="L6845" s="27" t="s">
        <v>124</v>
      </c>
      <c r="N6845" s="27" t="s">
        <v>19912</v>
      </c>
      <c r="P6845" s="27" t="s">
        <v>19927</v>
      </c>
      <c r="Q6845" s="26" t="str">
        <f>HYPERLINK("https://ictv.global/taxonomy/taxondetails?taxnode_id=202520390&amp;ictv_id=ICTV202420390","ICTV202420390")</f>
        <v>ICTV202420390</v>
      </c>
      <c r="R6845" t="s">
        <v>660</v>
      </c>
      <c r="S6845" t="s">
        <v>824</v>
      </c>
      <c r="T6845">
        <v>41</v>
      </c>
      <c r="U6845" s="26" t="str">
        <f t="shared" si="272"/>
        <v>2025.002G.Monodnaviria_reorg_4nr.zip</v>
      </c>
    </row>
    <row r="6846" spans="1:21">
      <c r="A6846">
        <v>6845</v>
      </c>
      <c r="B6846" s="27" t="s">
        <v>20779</v>
      </c>
      <c r="D6846" s="27" t="s">
        <v>1826</v>
      </c>
      <c r="F6846" s="27" t="s">
        <v>19875</v>
      </c>
      <c r="H6846" s="27" t="s">
        <v>19876</v>
      </c>
      <c r="J6846" s="27" t="s">
        <v>19877</v>
      </c>
      <c r="L6846" s="27" t="s">
        <v>124</v>
      </c>
      <c r="N6846" s="27" t="s">
        <v>19912</v>
      </c>
      <c r="P6846" s="27" t="s">
        <v>19928</v>
      </c>
      <c r="Q6846" s="26" t="str">
        <f>HYPERLINK("https://ictv.global/taxonomy/taxondetails?taxnode_id=202520378&amp;ictv_id=ICTV202420378","ICTV202420378")</f>
        <v>ICTV202420378</v>
      </c>
      <c r="R6846" t="s">
        <v>660</v>
      </c>
      <c r="S6846" t="s">
        <v>824</v>
      </c>
      <c r="T6846">
        <v>41</v>
      </c>
      <c r="U6846" s="26" t="str">
        <f t="shared" si="272"/>
        <v>2025.002G.Monodnaviria_reorg_4nr.zip</v>
      </c>
    </row>
    <row r="6847" spans="1:21">
      <c r="A6847">
        <v>6846</v>
      </c>
      <c r="B6847" s="27" t="s">
        <v>20779</v>
      </c>
      <c r="D6847" s="27" t="s">
        <v>1826</v>
      </c>
      <c r="F6847" s="27" t="s">
        <v>19875</v>
      </c>
      <c r="H6847" s="27" t="s">
        <v>19876</v>
      </c>
      <c r="J6847" s="27" t="s">
        <v>19877</v>
      </c>
      <c r="L6847" s="27" t="s">
        <v>124</v>
      </c>
      <c r="N6847" s="27" t="s">
        <v>19912</v>
      </c>
      <c r="P6847" s="27" t="s">
        <v>19929</v>
      </c>
      <c r="Q6847" s="26" t="str">
        <f>HYPERLINK("https://ictv.global/taxonomy/taxondetails?taxnode_id=202520389&amp;ictv_id=ICTV202420389","ICTV202420389")</f>
        <v>ICTV202420389</v>
      </c>
      <c r="R6847" t="s">
        <v>660</v>
      </c>
      <c r="S6847" t="s">
        <v>824</v>
      </c>
      <c r="T6847">
        <v>41</v>
      </c>
      <c r="U6847" s="26" t="str">
        <f t="shared" si="272"/>
        <v>2025.002G.Monodnaviria_reorg_4nr.zip</v>
      </c>
    </row>
    <row r="6848" spans="1:21">
      <c r="A6848">
        <v>6847</v>
      </c>
      <c r="B6848" s="27" t="s">
        <v>20779</v>
      </c>
      <c r="D6848" s="27" t="s">
        <v>1826</v>
      </c>
      <c r="F6848" s="27" t="s">
        <v>19875</v>
      </c>
      <c r="H6848" s="27" t="s">
        <v>19876</v>
      </c>
      <c r="J6848" s="27" t="s">
        <v>19877</v>
      </c>
      <c r="L6848" s="27" t="s">
        <v>124</v>
      </c>
      <c r="N6848" s="27" t="s">
        <v>19912</v>
      </c>
      <c r="P6848" s="27" t="s">
        <v>19930</v>
      </c>
      <c r="Q6848" s="26" t="str">
        <f>HYPERLINK("https://ictv.global/taxonomy/taxondetails?taxnode_id=202520373&amp;ictv_id=ICTV202420373","ICTV202420373")</f>
        <v>ICTV202420373</v>
      </c>
      <c r="R6848" t="s">
        <v>660</v>
      </c>
      <c r="S6848" t="s">
        <v>824</v>
      </c>
      <c r="T6848">
        <v>41</v>
      </c>
      <c r="U6848" s="26" t="str">
        <f t="shared" si="272"/>
        <v>2025.002G.Monodnaviria_reorg_4nr.zip</v>
      </c>
    </row>
    <row r="6849" spans="1:21">
      <c r="A6849">
        <v>6848</v>
      </c>
      <c r="B6849" s="27" t="s">
        <v>20779</v>
      </c>
      <c r="D6849" s="27" t="s">
        <v>1826</v>
      </c>
      <c r="F6849" s="27" t="s">
        <v>19875</v>
      </c>
      <c r="H6849" s="27" t="s">
        <v>19876</v>
      </c>
      <c r="J6849" s="27" t="s">
        <v>19877</v>
      </c>
      <c r="L6849" s="27" t="s">
        <v>124</v>
      </c>
      <c r="N6849" s="27" t="s">
        <v>19912</v>
      </c>
      <c r="P6849" s="27" t="s">
        <v>19931</v>
      </c>
      <c r="Q6849" s="26" t="str">
        <f>HYPERLINK("https://ictv.global/taxonomy/taxondetails?taxnode_id=202520377&amp;ictv_id=ICTV202420377","ICTV202420377")</f>
        <v>ICTV202420377</v>
      </c>
      <c r="R6849" t="s">
        <v>660</v>
      </c>
      <c r="S6849" t="s">
        <v>824</v>
      </c>
      <c r="T6849">
        <v>41</v>
      </c>
      <c r="U6849" s="26" t="str">
        <f t="shared" si="272"/>
        <v>2025.002G.Monodnaviria_reorg_4nr.zip</v>
      </c>
    </row>
    <row r="6850" spans="1:21">
      <c r="A6850">
        <v>6849</v>
      </c>
      <c r="B6850" s="27" t="s">
        <v>20779</v>
      </c>
      <c r="D6850" s="27" t="s">
        <v>1826</v>
      </c>
      <c r="F6850" s="27" t="s">
        <v>19875</v>
      </c>
      <c r="H6850" s="27" t="s">
        <v>19876</v>
      </c>
      <c r="J6850" s="27" t="s">
        <v>19877</v>
      </c>
      <c r="L6850" s="27" t="s">
        <v>124</v>
      </c>
      <c r="N6850" s="27" t="s">
        <v>19912</v>
      </c>
      <c r="P6850" s="27" t="s">
        <v>19932</v>
      </c>
      <c r="Q6850" s="26" t="str">
        <f>HYPERLINK("https://ictv.global/taxonomy/taxondetails?taxnode_id=202520379&amp;ictv_id=ICTV202420379","ICTV202420379")</f>
        <v>ICTV202420379</v>
      </c>
      <c r="R6850" t="s">
        <v>660</v>
      </c>
      <c r="S6850" t="s">
        <v>824</v>
      </c>
      <c r="T6850">
        <v>41</v>
      </c>
      <c r="U6850" s="26" t="str">
        <f t="shared" si="272"/>
        <v>2025.002G.Monodnaviria_reorg_4nr.zip</v>
      </c>
    </row>
    <row r="6851" spans="1:21">
      <c r="A6851">
        <v>6850</v>
      </c>
      <c r="B6851" s="27" t="s">
        <v>20779</v>
      </c>
      <c r="D6851" s="27" t="s">
        <v>1826</v>
      </c>
      <c r="F6851" s="27" t="s">
        <v>19875</v>
      </c>
      <c r="H6851" s="27" t="s">
        <v>19876</v>
      </c>
      <c r="J6851" s="27" t="s">
        <v>19877</v>
      </c>
      <c r="L6851" s="27" t="s">
        <v>124</v>
      </c>
      <c r="N6851" s="27" t="s">
        <v>19912</v>
      </c>
      <c r="P6851" s="27" t="s">
        <v>19933</v>
      </c>
      <c r="Q6851" s="26" t="str">
        <f>HYPERLINK("https://ictv.global/taxonomy/taxondetails?taxnode_id=202520376&amp;ictv_id=ICTV202420376","ICTV202420376")</f>
        <v>ICTV202420376</v>
      </c>
      <c r="R6851" t="s">
        <v>660</v>
      </c>
      <c r="S6851" t="s">
        <v>824</v>
      </c>
      <c r="T6851">
        <v>41</v>
      </c>
      <c r="U6851" s="26" t="str">
        <f t="shared" si="272"/>
        <v>2025.002G.Monodnaviria_reorg_4nr.zip</v>
      </c>
    </row>
    <row r="6852" spans="1:21">
      <c r="A6852">
        <v>6851</v>
      </c>
      <c r="B6852" s="27" t="s">
        <v>20779</v>
      </c>
      <c r="D6852" s="27" t="s">
        <v>1826</v>
      </c>
      <c r="F6852" s="27" t="s">
        <v>19875</v>
      </c>
      <c r="H6852" s="27" t="s">
        <v>19876</v>
      </c>
      <c r="J6852" s="27" t="s">
        <v>19877</v>
      </c>
      <c r="L6852" s="27" t="s">
        <v>124</v>
      </c>
      <c r="N6852" s="27" t="s">
        <v>19912</v>
      </c>
      <c r="P6852" s="27" t="s">
        <v>19934</v>
      </c>
      <c r="Q6852" s="26" t="str">
        <f>HYPERLINK("https://ictv.global/taxonomy/taxondetails?taxnode_id=202520375&amp;ictv_id=ICTV202420375","ICTV202420375")</f>
        <v>ICTV202420375</v>
      </c>
      <c r="R6852" t="s">
        <v>660</v>
      </c>
      <c r="S6852" t="s">
        <v>824</v>
      </c>
      <c r="T6852">
        <v>41</v>
      </c>
      <c r="U6852" s="26" t="str">
        <f t="shared" si="272"/>
        <v>2025.002G.Monodnaviria_reorg_4nr.zip</v>
      </c>
    </row>
    <row r="6853" spans="1:21">
      <c r="A6853">
        <v>6852</v>
      </c>
      <c r="B6853" s="27" t="s">
        <v>20779</v>
      </c>
      <c r="D6853" s="27" t="s">
        <v>1826</v>
      </c>
      <c r="F6853" s="27" t="s">
        <v>19875</v>
      </c>
      <c r="H6853" s="27" t="s">
        <v>19876</v>
      </c>
      <c r="J6853" s="27" t="s">
        <v>19877</v>
      </c>
      <c r="L6853" s="27" t="s">
        <v>124</v>
      </c>
      <c r="N6853" s="27" t="s">
        <v>3677</v>
      </c>
      <c r="P6853" s="27" t="s">
        <v>11112</v>
      </c>
      <c r="Q6853" s="26" t="str">
        <f>HYPERLINK("https://ictv.global/taxonomy/taxondetails?taxnode_id=202509451&amp;ictv_id=ICTV202009451","ICTV202009451")</f>
        <v>ICTV202009451</v>
      </c>
      <c r="R6853" t="s">
        <v>656</v>
      </c>
      <c r="S6853" t="s">
        <v>824</v>
      </c>
      <c r="T6853">
        <v>41</v>
      </c>
      <c r="U6853" s="26" t="str">
        <f t="shared" si="272"/>
        <v>2025.002G.Monodnaviria_reorg_4nr.zip</v>
      </c>
    </row>
    <row r="6854" spans="1:21">
      <c r="A6854">
        <v>6853</v>
      </c>
      <c r="B6854" s="27" t="s">
        <v>20779</v>
      </c>
      <c r="D6854" s="27" t="s">
        <v>1826</v>
      </c>
      <c r="F6854" s="27" t="s">
        <v>19875</v>
      </c>
      <c r="H6854" s="27" t="s">
        <v>19876</v>
      </c>
      <c r="J6854" s="27" t="s">
        <v>19877</v>
      </c>
      <c r="L6854" s="27" t="s">
        <v>124</v>
      </c>
      <c r="N6854" s="27" t="s">
        <v>3677</v>
      </c>
      <c r="P6854" s="27" t="s">
        <v>19935</v>
      </c>
      <c r="Q6854" s="26" t="str">
        <f>HYPERLINK("https://ictv.global/taxonomy/taxondetails?taxnode_id=202520423&amp;ictv_id=ICTV202420423","ICTV202420423")</f>
        <v>ICTV202420423</v>
      </c>
      <c r="R6854" t="s">
        <v>660</v>
      </c>
      <c r="S6854" t="s">
        <v>824</v>
      </c>
      <c r="T6854">
        <v>41</v>
      </c>
      <c r="U6854" s="26" t="str">
        <f t="shared" ref="U6854:U6910" si="273">HYPERLINK("https://ictv.global/ictv/proposals/2025.002G.Monodnaviria_reorg_4nr.zip","2025.002G.Monodnaviria_reorg_4nr.zip")</f>
        <v>2025.002G.Monodnaviria_reorg_4nr.zip</v>
      </c>
    </row>
    <row r="6855" spans="1:21">
      <c r="A6855">
        <v>6854</v>
      </c>
      <c r="B6855" s="27" t="s">
        <v>20779</v>
      </c>
      <c r="D6855" s="27" t="s">
        <v>1826</v>
      </c>
      <c r="F6855" s="27" t="s">
        <v>19875</v>
      </c>
      <c r="H6855" s="27" t="s">
        <v>19876</v>
      </c>
      <c r="J6855" s="27" t="s">
        <v>19877</v>
      </c>
      <c r="L6855" s="27" t="s">
        <v>124</v>
      </c>
      <c r="N6855" s="27" t="s">
        <v>19936</v>
      </c>
      <c r="P6855" s="27" t="s">
        <v>19937</v>
      </c>
      <c r="Q6855" s="26" t="str">
        <f>HYPERLINK("https://ictv.global/taxonomy/taxondetails?taxnode_id=202517803&amp;ictv_id=ICTV202317803","ICTV202317803")</f>
        <v>ICTV202317803</v>
      </c>
      <c r="R6855" t="s">
        <v>660</v>
      </c>
      <c r="S6855" t="s">
        <v>824</v>
      </c>
      <c r="T6855">
        <v>41</v>
      </c>
      <c r="U6855" s="26" t="str">
        <f t="shared" si="273"/>
        <v>2025.002G.Monodnaviria_reorg_4nr.zip</v>
      </c>
    </row>
    <row r="6856" spans="1:21">
      <c r="A6856">
        <v>6855</v>
      </c>
      <c r="B6856" s="27" t="s">
        <v>20779</v>
      </c>
      <c r="D6856" s="27" t="s">
        <v>1826</v>
      </c>
      <c r="F6856" s="27" t="s">
        <v>19875</v>
      </c>
      <c r="H6856" s="27" t="s">
        <v>19876</v>
      </c>
      <c r="J6856" s="27" t="s">
        <v>19877</v>
      </c>
      <c r="L6856" s="27" t="s">
        <v>124</v>
      </c>
      <c r="N6856" s="27" t="s">
        <v>19936</v>
      </c>
      <c r="P6856" s="27" t="s">
        <v>19938</v>
      </c>
      <c r="Q6856" s="26" t="str">
        <f>HYPERLINK("https://ictv.global/taxonomy/taxondetails?taxnode_id=202517804&amp;ictv_id=ICTV202317804","ICTV202317804")</f>
        <v>ICTV202317804</v>
      </c>
      <c r="R6856" t="s">
        <v>660</v>
      </c>
      <c r="S6856" t="s">
        <v>824</v>
      </c>
      <c r="T6856">
        <v>41</v>
      </c>
      <c r="U6856" s="26" t="str">
        <f t="shared" si="273"/>
        <v>2025.002G.Monodnaviria_reorg_4nr.zip</v>
      </c>
    </row>
    <row r="6857" spans="1:21">
      <c r="A6857">
        <v>6856</v>
      </c>
      <c r="B6857" s="27" t="s">
        <v>20779</v>
      </c>
      <c r="D6857" s="27" t="s">
        <v>1826</v>
      </c>
      <c r="F6857" s="27" t="s">
        <v>19875</v>
      </c>
      <c r="H6857" s="27" t="s">
        <v>19876</v>
      </c>
      <c r="J6857" s="27" t="s">
        <v>19877</v>
      </c>
      <c r="L6857" s="27" t="s">
        <v>124</v>
      </c>
      <c r="N6857" s="27" t="s">
        <v>18304</v>
      </c>
      <c r="P6857" s="27" t="s">
        <v>18305</v>
      </c>
      <c r="Q6857" s="26" t="str">
        <f>HYPERLINK("https://ictv.global/taxonomy/taxondetails?taxnode_id=202517811&amp;ictv_id=ICTV202317811","ICTV202317811")</f>
        <v>ICTV202317811</v>
      </c>
      <c r="R6857" t="s">
        <v>656</v>
      </c>
      <c r="S6857" t="s">
        <v>824</v>
      </c>
      <c r="T6857">
        <v>41</v>
      </c>
      <c r="U6857" s="26" t="str">
        <f t="shared" si="273"/>
        <v>2025.002G.Monodnaviria_reorg_4nr.zip</v>
      </c>
    </row>
    <row r="6858" spans="1:21">
      <c r="A6858">
        <v>6857</v>
      </c>
      <c r="B6858" s="27" t="s">
        <v>20779</v>
      </c>
      <c r="D6858" s="27" t="s">
        <v>1826</v>
      </c>
      <c r="F6858" s="27" t="s">
        <v>19875</v>
      </c>
      <c r="H6858" s="27" t="s">
        <v>19876</v>
      </c>
      <c r="J6858" s="27" t="s">
        <v>19877</v>
      </c>
      <c r="L6858" s="27" t="s">
        <v>124</v>
      </c>
      <c r="N6858" s="27" t="s">
        <v>18304</v>
      </c>
      <c r="P6858" s="27" t="s">
        <v>18306</v>
      </c>
      <c r="Q6858" s="26" t="str">
        <f>HYPERLINK("https://ictv.global/taxonomy/taxondetails?taxnode_id=202517812&amp;ictv_id=ICTV202317812","ICTV202317812")</f>
        <v>ICTV202317812</v>
      </c>
      <c r="R6858" t="s">
        <v>656</v>
      </c>
      <c r="S6858" t="s">
        <v>824</v>
      </c>
      <c r="T6858">
        <v>41</v>
      </c>
      <c r="U6858" s="26" t="str">
        <f t="shared" si="273"/>
        <v>2025.002G.Monodnaviria_reorg_4nr.zip</v>
      </c>
    </row>
    <row r="6859" spans="1:21">
      <c r="A6859">
        <v>6858</v>
      </c>
      <c r="B6859" s="27" t="s">
        <v>20779</v>
      </c>
      <c r="D6859" s="27" t="s">
        <v>1826</v>
      </c>
      <c r="F6859" s="27" t="s">
        <v>19875</v>
      </c>
      <c r="H6859" s="27" t="s">
        <v>19876</v>
      </c>
      <c r="J6859" s="27" t="s">
        <v>19877</v>
      </c>
      <c r="L6859" s="27" t="s">
        <v>124</v>
      </c>
      <c r="N6859" s="27" t="s">
        <v>18304</v>
      </c>
      <c r="P6859" s="27" t="s">
        <v>18307</v>
      </c>
      <c r="Q6859" s="26" t="str">
        <f>HYPERLINK("https://ictv.global/taxonomy/taxondetails?taxnode_id=202517813&amp;ictv_id=ICTV202317813","ICTV202317813")</f>
        <v>ICTV202317813</v>
      </c>
      <c r="R6859" t="s">
        <v>656</v>
      </c>
      <c r="S6859" t="s">
        <v>824</v>
      </c>
      <c r="T6859">
        <v>41</v>
      </c>
      <c r="U6859" s="26" t="str">
        <f t="shared" si="273"/>
        <v>2025.002G.Monodnaviria_reorg_4nr.zip</v>
      </c>
    </row>
    <row r="6860" spans="1:21">
      <c r="A6860">
        <v>6859</v>
      </c>
      <c r="B6860" s="27" t="s">
        <v>20779</v>
      </c>
      <c r="D6860" s="27" t="s">
        <v>1826</v>
      </c>
      <c r="F6860" s="27" t="s">
        <v>19875</v>
      </c>
      <c r="H6860" s="27" t="s">
        <v>19876</v>
      </c>
      <c r="J6860" s="27" t="s">
        <v>19877</v>
      </c>
      <c r="L6860" s="27" t="s">
        <v>124</v>
      </c>
      <c r="N6860" s="27" t="s">
        <v>18304</v>
      </c>
      <c r="P6860" s="27" t="s">
        <v>18308</v>
      </c>
      <c r="Q6860" s="26" t="str">
        <f>HYPERLINK("https://ictv.global/taxonomy/taxondetails?taxnode_id=202517814&amp;ictv_id=ICTV202317814","ICTV202317814")</f>
        <v>ICTV202317814</v>
      </c>
      <c r="R6860" t="s">
        <v>656</v>
      </c>
      <c r="S6860" t="s">
        <v>824</v>
      </c>
      <c r="T6860">
        <v>41</v>
      </c>
      <c r="U6860" s="26" t="str">
        <f t="shared" si="273"/>
        <v>2025.002G.Monodnaviria_reorg_4nr.zip</v>
      </c>
    </row>
    <row r="6861" spans="1:21">
      <c r="A6861">
        <v>6860</v>
      </c>
      <c r="B6861" s="27" t="s">
        <v>20779</v>
      </c>
      <c r="D6861" s="27" t="s">
        <v>1826</v>
      </c>
      <c r="F6861" s="27" t="s">
        <v>19875</v>
      </c>
      <c r="H6861" s="27" t="s">
        <v>19876</v>
      </c>
      <c r="J6861" s="27" t="s">
        <v>19877</v>
      </c>
      <c r="L6861" s="27" t="s">
        <v>124</v>
      </c>
      <c r="N6861" s="27" t="s">
        <v>3678</v>
      </c>
      <c r="P6861" s="27" t="s">
        <v>11113</v>
      </c>
      <c r="Q6861" s="26" t="str">
        <f>HYPERLINK("https://ictv.global/taxonomy/taxondetails?taxnode_id=202502562&amp;ictv_id=ICTV20115611","ICTV20115611")</f>
        <v>ICTV20115611</v>
      </c>
      <c r="R6861" t="s">
        <v>656</v>
      </c>
      <c r="S6861" t="s">
        <v>824</v>
      </c>
      <c r="T6861">
        <v>41</v>
      </c>
      <c r="U6861" s="26" t="str">
        <f t="shared" si="273"/>
        <v>2025.002G.Monodnaviria_reorg_4nr.zip</v>
      </c>
    </row>
    <row r="6862" spans="1:21">
      <c r="A6862">
        <v>6861</v>
      </c>
      <c r="B6862" s="27" t="s">
        <v>20779</v>
      </c>
      <c r="D6862" s="27" t="s">
        <v>1826</v>
      </c>
      <c r="F6862" s="27" t="s">
        <v>19875</v>
      </c>
      <c r="H6862" s="27" t="s">
        <v>19876</v>
      </c>
      <c r="J6862" s="27" t="s">
        <v>19877</v>
      </c>
      <c r="L6862" s="27" t="s">
        <v>124</v>
      </c>
      <c r="N6862" s="27" t="s">
        <v>3678</v>
      </c>
      <c r="P6862" s="27" t="s">
        <v>11114</v>
      </c>
      <c r="Q6862" s="26" t="str">
        <f>HYPERLINK("https://ictv.global/taxonomy/taxondetails?taxnode_id=202509453&amp;ictv_id=ICTV202009453","ICTV202009453")</f>
        <v>ICTV202009453</v>
      </c>
      <c r="R6862" t="s">
        <v>656</v>
      </c>
      <c r="S6862" t="s">
        <v>824</v>
      </c>
      <c r="T6862">
        <v>41</v>
      </c>
      <c r="U6862" s="26" t="str">
        <f t="shared" si="273"/>
        <v>2025.002G.Monodnaviria_reorg_4nr.zip</v>
      </c>
    </row>
    <row r="6863" spans="1:21">
      <c r="A6863">
        <v>6862</v>
      </c>
      <c r="B6863" s="27" t="s">
        <v>20779</v>
      </c>
      <c r="D6863" s="27" t="s">
        <v>1826</v>
      </c>
      <c r="F6863" s="27" t="s">
        <v>19875</v>
      </c>
      <c r="H6863" s="27" t="s">
        <v>19876</v>
      </c>
      <c r="J6863" s="27" t="s">
        <v>19877</v>
      </c>
      <c r="L6863" s="27" t="s">
        <v>124</v>
      </c>
      <c r="N6863" s="27" t="s">
        <v>3678</v>
      </c>
      <c r="P6863" s="27" t="s">
        <v>11115</v>
      </c>
      <c r="Q6863" s="26" t="str">
        <f>HYPERLINK("https://ictv.global/taxonomy/taxondetails?taxnode_id=202509454&amp;ictv_id=ICTV202009454","ICTV202009454")</f>
        <v>ICTV202009454</v>
      </c>
      <c r="R6863" t="s">
        <v>656</v>
      </c>
      <c r="S6863" t="s">
        <v>824</v>
      </c>
      <c r="T6863">
        <v>41</v>
      </c>
      <c r="U6863" s="26" t="str">
        <f t="shared" si="273"/>
        <v>2025.002G.Monodnaviria_reorg_4nr.zip</v>
      </c>
    </row>
    <row r="6864" spans="1:21">
      <c r="A6864">
        <v>6863</v>
      </c>
      <c r="B6864" s="27" t="s">
        <v>20779</v>
      </c>
      <c r="D6864" s="27" t="s">
        <v>1826</v>
      </c>
      <c r="F6864" s="27" t="s">
        <v>19875</v>
      </c>
      <c r="H6864" s="27" t="s">
        <v>19876</v>
      </c>
      <c r="J6864" s="27" t="s">
        <v>19877</v>
      </c>
      <c r="L6864" s="27" t="s">
        <v>124</v>
      </c>
      <c r="N6864" s="27" t="s">
        <v>3679</v>
      </c>
      <c r="P6864" s="27" t="s">
        <v>11116</v>
      </c>
      <c r="Q6864" s="26" t="str">
        <f>HYPERLINK("https://ictv.global/taxonomy/taxondetails?taxnode_id=202509458&amp;ictv_id=ICTV202009458","ICTV202009458")</f>
        <v>ICTV202009458</v>
      </c>
      <c r="R6864" t="s">
        <v>656</v>
      </c>
      <c r="S6864" t="s">
        <v>824</v>
      </c>
      <c r="T6864">
        <v>41</v>
      </c>
      <c r="U6864" s="26" t="str">
        <f t="shared" si="273"/>
        <v>2025.002G.Monodnaviria_reorg_4nr.zip</v>
      </c>
    </row>
    <row r="6865" spans="1:21">
      <c r="A6865">
        <v>6864</v>
      </c>
      <c r="B6865" s="27" t="s">
        <v>20779</v>
      </c>
      <c r="D6865" s="27" t="s">
        <v>1826</v>
      </c>
      <c r="F6865" s="27" t="s">
        <v>19875</v>
      </c>
      <c r="H6865" s="27" t="s">
        <v>19876</v>
      </c>
      <c r="J6865" s="27" t="s">
        <v>19877</v>
      </c>
      <c r="L6865" s="27" t="s">
        <v>124</v>
      </c>
      <c r="N6865" s="27" t="s">
        <v>380</v>
      </c>
      <c r="P6865" s="27" t="s">
        <v>11117</v>
      </c>
      <c r="Q6865" s="26" t="str">
        <f>HYPERLINK("https://ictv.global/taxonomy/taxondetails?taxnode_id=202509460&amp;ictv_id=ICTV202009460","ICTV202009460")</f>
        <v>ICTV202009460</v>
      </c>
      <c r="R6865" t="s">
        <v>656</v>
      </c>
      <c r="S6865" t="s">
        <v>824</v>
      </c>
      <c r="T6865">
        <v>41</v>
      </c>
      <c r="U6865" s="26" t="str">
        <f t="shared" si="273"/>
        <v>2025.002G.Monodnaviria_reorg_4nr.zip</v>
      </c>
    </row>
    <row r="6866" spans="1:21">
      <c r="A6866">
        <v>6865</v>
      </c>
      <c r="B6866" s="27" t="s">
        <v>20779</v>
      </c>
      <c r="D6866" s="27" t="s">
        <v>1826</v>
      </c>
      <c r="F6866" s="27" t="s">
        <v>19875</v>
      </c>
      <c r="H6866" s="27" t="s">
        <v>19876</v>
      </c>
      <c r="J6866" s="27" t="s">
        <v>19877</v>
      </c>
      <c r="L6866" s="27" t="s">
        <v>124</v>
      </c>
      <c r="N6866" s="27" t="s">
        <v>380</v>
      </c>
      <c r="P6866" s="27" t="s">
        <v>11118</v>
      </c>
      <c r="Q6866" s="26" t="str">
        <f>HYPERLINK("https://ictv.global/taxonomy/taxondetails?taxnode_id=202509461&amp;ictv_id=ICTV202009461","ICTV202009461")</f>
        <v>ICTV202009461</v>
      </c>
      <c r="R6866" t="s">
        <v>656</v>
      </c>
      <c r="S6866" t="s">
        <v>824</v>
      </c>
      <c r="T6866">
        <v>41</v>
      </c>
      <c r="U6866" s="26" t="str">
        <f t="shared" si="273"/>
        <v>2025.002G.Monodnaviria_reorg_4nr.zip</v>
      </c>
    </row>
    <row r="6867" spans="1:21">
      <c r="A6867">
        <v>6866</v>
      </c>
      <c r="B6867" s="27" t="s">
        <v>20779</v>
      </c>
      <c r="D6867" s="27" t="s">
        <v>1826</v>
      </c>
      <c r="F6867" s="27" t="s">
        <v>19875</v>
      </c>
      <c r="H6867" s="27" t="s">
        <v>19876</v>
      </c>
      <c r="J6867" s="27" t="s">
        <v>19877</v>
      </c>
      <c r="L6867" s="27" t="s">
        <v>124</v>
      </c>
      <c r="N6867" s="27" t="s">
        <v>380</v>
      </c>
      <c r="P6867" s="27" t="s">
        <v>11119</v>
      </c>
      <c r="Q6867" s="26" t="str">
        <f>HYPERLINK("https://ictv.global/taxonomy/taxondetails?taxnode_id=202509462&amp;ictv_id=ICTV202009462","ICTV202009462")</f>
        <v>ICTV202009462</v>
      </c>
      <c r="R6867" t="s">
        <v>656</v>
      </c>
      <c r="S6867" t="s">
        <v>824</v>
      </c>
      <c r="T6867">
        <v>41</v>
      </c>
      <c r="U6867" s="26" t="str">
        <f t="shared" si="273"/>
        <v>2025.002G.Monodnaviria_reorg_4nr.zip</v>
      </c>
    </row>
    <row r="6868" spans="1:21">
      <c r="A6868">
        <v>6867</v>
      </c>
      <c r="B6868" s="27" t="s">
        <v>20779</v>
      </c>
      <c r="D6868" s="27" t="s">
        <v>1826</v>
      </c>
      <c r="F6868" s="27" t="s">
        <v>19875</v>
      </c>
      <c r="H6868" s="27" t="s">
        <v>19876</v>
      </c>
      <c r="J6868" s="27" t="s">
        <v>19877</v>
      </c>
      <c r="L6868" s="27" t="s">
        <v>124</v>
      </c>
      <c r="N6868" s="27" t="s">
        <v>380</v>
      </c>
      <c r="P6868" s="27" t="s">
        <v>11120</v>
      </c>
      <c r="Q6868" s="26" t="str">
        <f>HYPERLINK("https://ictv.global/taxonomy/taxondetails?taxnode_id=202509463&amp;ictv_id=ICTV202009463","ICTV202009463")</f>
        <v>ICTV202009463</v>
      </c>
      <c r="R6868" t="s">
        <v>656</v>
      </c>
      <c r="S6868" t="s">
        <v>824</v>
      </c>
      <c r="T6868">
        <v>41</v>
      </c>
      <c r="U6868" s="26" t="str">
        <f t="shared" si="273"/>
        <v>2025.002G.Monodnaviria_reorg_4nr.zip</v>
      </c>
    </row>
    <row r="6869" spans="1:21">
      <c r="A6869">
        <v>6868</v>
      </c>
      <c r="B6869" s="27" t="s">
        <v>20779</v>
      </c>
      <c r="D6869" s="27" t="s">
        <v>1826</v>
      </c>
      <c r="F6869" s="27" t="s">
        <v>19875</v>
      </c>
      <c r="H6869" s="27" t="s">
        <v>19876</v>
      </c>
      <c r="J6869" s="27" t="s">
        <v>19877</v>
      </c>
      <c r="L6869" s="27" t="s">
        <v>124</v>
      </c>
      <c r="N6869" s="27" t="s">
        <v>380</v>
      </c>
      <c r="P6869" s="27" t="s">
        <v>11121</v>
      </c>
      <c r="Q6869" s="26" t="str">
        <f>HYPERLINK("https://ictv.global/taxonomy/taxondetails?taxnode_id=202509464&amp;ictv_id=ICTV202009464","ICTV202009464")</f>
        <v>ICTV202009464</v>
      </c>
      <c r="R6869" t="s">
        <v>656</v>
      </c>
      <c r="S6869" t="s">
        <v>824</v>
      </c>
      <c r="T6869">
        <v>41</v>
      </c>
      <c r="U6869" s="26" t="str">
        <f t="shared" si="273"/>
        <v>2025.002G.Monodnaviria_reorg_4nr.zip</v>
      </c>
    </row>
    <row r="6870" spans="1:21">
      <c r="A6870">
        <v>6869</v>
      </c>
      <c r="B6870" s="27" t="s">
        <v>20779</v>
      </c>
      <c r="D6870" s="27" t="s">
        <v>1826</v>
      </c>
      <c r="F6870" s="27" t="s">
        <v>19875</v>
      </c>
      <c r="H6870" s="27" t="s">
        <v>19876</v>
      </c>
      <c r="J6870" s="27" t="s">
        <v>19877</v>
      </c>
      <c r="L6870" s="27" t="s">
        <v>124</v>
      </c>
      <c r="N6870" s="27" t="s">
        <v>380</v>
      </c>
      <c r="P6870" s="27" t="s">
        <v>11122</v>
      </c>
      <c r="Q6870" s="26" t="str">
        <f>HYPERLINK("https://ictv.global/taxonomy/taxondetails?taxnode_id=202509465&amp;ictv_id=ICTV202009465","ICTV202009465")</f>
        <v>ICTV202009465</v>
      </c>
      <c r="R6870" t="s">
        <v>656</v>
      </c>
      <c r="S6870" t="s">
        <v>824</v>
      </c>
      <c r="T6870">
        <v>41</v>
      </c>
      <c r="U6870" s="26" t="str">
        <f t="shared" si="273"/>
        <v>2025.002G.Monodnaviria_reorg_4nr.zip</v>
      </c>
    </row>
    <row r="6871" spans="1:21">
      <c r="A6871">
        <v>6870</v>
      </c>
      <c r="B6871" s="27" t="s">
        <v>20779</v>
      </c>
      <c r="D6871" s="27" t="s">
        <v>1826</v>
      </c>
      <c r="F6871" s="27" t="s">
        <v>19875</v>
      </c>
      <c r="H6871" s="27" t="s">
        <v>19876</v>
      </c>
      <c r="J6871" s="27" t="s">
        <v>19877</v>
      </c>
      <c r="L6871" s="27" t="s">
        <v>124</v>
      </c>
      <c r="N6871" s="27" t="s">
        <v>380</v>
      </c>
      <c r="P6871" s="27" t="s">
        <v>11123</v>
      </c>
      <c r="Q6871" s="26" t="str">
        <f>HYPERLINK("https://ictv.global/taxonomy/taxondetails?taxnode_id=202509466&amp;ictv_id=ICTV202009466","ICTV202009466")</f>
        <v>ICTV202009466</v>
      </c>
      <c r="R6871" t="s">
        <v>656</v>
      </c>
      <c r="S6871" t="s">
        <v>824</v>
      </c>
      <c r="T6871">
        <v>41</v>
      </c>
      <c r="U6871" s="26" t="str">
        <f t="shared" si="273"/>
        <v>2025.002G.Monodnaviria_reorg_4nr.zip</v>
      </c>
    </row>
    <row r="6872" spans="1:21">
      <c r="A6872">
        <v>6871</v>
      </c>
      <c r="B6872" s="27" t="s">
        <v>20779</v>
      </c>
      <c r="D6872" s="27" t="s">
        <v>1826</v>
      </c>
      <c r="F6872" s="27" t="s">
        <v>19875</v>
      </c>
      <c r="H6872" s="27" t="s">
        <v>19876</v>
      </c>
      <c r="J6872" s="27" t="s">
        <v>19877</v>
      </c>
      <c r="L6872" s="27" t="s">
        <v>124</v>
      </c>
      <c r="N6872" s="27" t="s">
        <v>380</v>
      </c>
      <c r="P6872" s="27" t="s">
        <v>19939</v>
      </c>
      <c r="Q6872" s="26" t="str">
        <f>HYPERLINK("https://ictv.global/taxonomy/taxondetails?taxnode_id=202520424&amp;ictv_id=ICTV202420424","ICTV202420424")</f>
        <v>ICTV202420424</v>
      </c>
      <c r="R6872" t="s">
        <v>660</v>
      </c>
      <c r="S6872" t="s">
        <v>824</v>
      </c>
      <c r="T6872">
        <v>41</v>
      </c>
      <c r="U6872" s="26" t="str">
        <f t="shared" si="273"/>
        <v>2025.002G.Monodnaviria_reorg_4nr.zip</v>
      </c>
    </row>
    <row r="6873" spans="1:21">
      <c r="A6873">
        <v>6872</v>
      </c>
      <c r="B6873" s="27" t="s">
        <v>20779</v>
      </c>
      <c r="D6873" s="27" t="s">
        <v>1826</v>
      </c>
      <c r="F6873" s="27" t="s">
        <v>19875</v>
      </c>
      <c r="H6873" s="27" t="s">
        <v>19876</v>
      </c>
      <c r="J6873" s="27" t="s">
        <v>19877</v>
      </c>
      <c r="L6873" s="27" t="s">
        <v>124</v>
      </c>
      <c r="N6873" s="27" t="s">
        <v>380</v>
      </c>
      <c r="P6873" s="27" t="s">
        <v>19940</v>
      </c>
      <c r="Q6873" s="26" t="str">
        <f>HYPERLINK("https://ictv.global/taxonomy/taxondetails?taxnode_id=202520425&amp;ictv_id=ICTV202420425","ICTV202420425")</f>
        <v>ICTV202420425</v>
      </c>
      <c r="R6873" t="s">
        <v>660</v>
      </c>
      <c r="S6873" t="s">
        <v>824</v>
      </c>
      <c r="T6873">
        <v>41</v>
      </c>
      <c r="U6873" s="26" t="str">
        <f t="shared" si="273"/>
        <v>2025.002G.Monodnaviria_reorg_4nr.zip</v>
      </c>
    </row>
    <row r="6874" spans="1:21">
      <c r="A6874">
        <v>6873</v>
      </c>
      <c r="B6874" s="27" t="s">
        <v>20779</v>
      </c>
      <c r="D6874" s="27" t="s">
        <v>1826</v>
      </c>
      <c r="F6874" s="27" t="s">
        <v>19875</v>
      </c>
      <c r="H6874" s="27" t="s">
        <v>19876</v>
      </c>
      <c r="J6874" s="27" t="s">
        <v>19877</v>
      </c>
      <c r="L6874" s="27" t="s">
        <v>124</v>
      </c>
      <c r="N6874" s="27" t="s">
        <v>3680</v>
      </c>
      <c r="P6874" s="27" t="s">
        <v>11124</v>
      </c>
      <c r="Q6874" s="26" t="str">
        <f>HYPERLINK("https://ictv.global/taxonomy/taxondetails?taxnode_id=202509469&amp;ictv_id=ICTV202009469","ICTV202009469")</f>
        <v>ICTV202009469</v>
      </c>
      <c r="R6874" t="s">
        <v>656</v>
      </c>
      <c r="S6874" t="s">
        <v>824</v>
      </c>
      <c r="T6874">
        <v>41</v>
      </c>
      <c r="U6874" s="26" t="str">
        <f t="shared" si="273"/>
        <v>2025.002G.Monodnaviria_reorg_4nr.zip</v>
      </c>
    </row>
    <row r="6875" spans="1:21">
      <c r="A6875">
        <v>6874</v>
      </c>
      <c r="B6875" s="27" t="s">
        <v>20779</v>
      </c>
      <c r="D6875" s="27" t="s">
        <v>1826</v>
      </c>
      <c r="F6875" s="27" t="s">
        <v>19875</v>
      </c>
      <c r="H6875" s="27" t="s">
        <v>19876</v>
      </c>
      <c r="J6875" s="27" t="s">
        <v>19877</v>
      </c>
      <c r="L6875" s="27" t="s">
        <v>124</v>
      </c>
      <c r="N6875" s="27" t="s">
        <v>3680</v>
      </c>
      <c r="P6875" s="27" t="s">
        <v>11125</v>
      </c>
      <c r="Q6875" s="26" t="str">
        <f>HYPERLINK("https://ictv.global/taxonomy/taxondetails?taxnode_id=202509470&amp;ictv_id=ICTV202009470","ICTV202009470")</f>
        <v>ICTV202009470</v>
      </c>
      <c r="R6875" t="s">
        <v>656</v>
      </c>
      <c r="S6875" t="s">
        <v>824</v>
      </c>
      <c r="T6875">
        <v>41</v>
      </c>
      <c r="U6875" s="26" t="str">
        <f t="shared" si="273"/>
        <v>2025.002G.Monodnaviria_reorg_4nr.zip</v>
      </c>
    </row>
    <row r="6876" spans="1:21">
      <c r="A6876">
        <v>6875</v>
      </c>
      <c r="B6876" s="27" t="s">
        <v>20779</v>
      </c>
      <c r="D6876" s="27" t="s">
        <v>1826</v>
      </c>
      <c r="F6876" s="27" t="s">
        <v>19875</v>
      </c>
      <c r="H6876" s="27" t="s">
        <v>19876</v>
      </c>
      <c r="J6876" s="27" t="s">
        <v>19877</v>
      </c>
      <c r="L6876" s="27" t="s">
        <v>124</v>
      </c>
      <c r="N6876" s="27" t="s">
        <v>3680</v>
      </c>
      <c r="P6876" s="27" t="s">
        <v>11126</v>
      </c>
      <c r="Q6876" s="26" t="str">
        <f>HYPERLINK("https://ictv.global/taxonomy/taxondetails?taxnode_id=202509471&amp;ictv_id=ICTV202009471","ICTV202009471")</f>
        <v>ICTV202009471</v>
      </c>
      <c r="R6876" t="s">
        <v>656</v>
      </c>
      <c r="S6876" t="s">
        <v>824</v>
      </c>
      <c r="T6876">
        <v>41</v>
      </c>
      <c r="U6876" s="26" t="str">
        <f t="shared" si="273"/>
        <v>2025.002G.Monodnaviria_reorg_4nr.zip</v>
      </c>
    </row>
    <row r="6877" spans="1:21">
      <c r="A6877">
        <v>6876</v>
      </c>
      <c r="B6877" s="27" t="s">
        <v>20779</v>
      </c>
      <c r="D6877" s="27" t="s">
        <v>1826</v>
      </c>
      <c r="F6877" s="27" t="s">
        <v>19875</v>
      </c>
      <c r="H6877" s="27" t="s">
        <v>19876</v>
      </c>
      <c r="J6877" s="27" t="s">
        <v>19877</v>
      </c>
      <c r="L6877" s="27" t="s">
        <v>124</v>
      </c>
      <c r="N6877" s="27" t="s">
        <v>3680</v>
      </c>
      <c r="P6877" s="27" t="s">
        <v>11127</v>
      </c>
      <c r="Q6877" s="26" t="str">
        <f>HYPERLINK("https://ictv.global/taxonomy/taxondetails?taxnode_id=202509472&amp;ictv_id=ICTV202009472","ICTV202009472")</f>
        <v>ICTV202009472</v>
      </c>
      <c r="R6877" t="s">
        <v>656</v>
      </c>
      <c r="S6877" t="s">
        <v>824</v>
      </c>
      <c r="T6877">
        <v>41</v>
      </c>
      <c r="U6877" s="26" t="str">
        <f t="shared" si="273"/>
        <v>2025.002G.Monodnaviria_reorg_4nr.zip</v>
      </c>
    </row>
    <row r="6878" spans="1:21">
      <c r="A6878">
        <v>6877</v>
      </c>
      <c r="B6878" s="27" t="s">
        <v>20779</v>
      </c>
      <c r="D6878" s="27" t="s">
        <v>1826</v>
      </c>
      <c r="F6878" s="27" t="s">
        <v>19875</v>
      </c>
      <c r="H6878" s="27" t="s">
        <v>19876</v>
      </c>
      <c r="J6878" s="27" t="s">
        <v>19877</v>
      </c>
      <c r="L6878" s="27" t="s">
        <v>124</v>
      </c>
      <c r="N6878" s="27" t="s">
        <v>3680</v>
      </c>
      <c r="P6878" s="27" t="s">
        <v>11128</v>
      </c>
      <c r="Q6878" s="26" t="str">
        <f>HYPERLINK("https://ictv.global/taxonomy/taxondetails?taxnode_id=202509473&amp;ictv_id=ICTV202009473","ICTV202009473")</f>
        <v>ICTV202009473</v>
      </c>
      <c r="R6878" t="s">
        <v>656</v>
      </c>
      <c r="S6878" t="s">
        <v>824</v>
      </c>
      <c r="T6878">
        <v>41</v>
      </c>
      <c r="U6878" s="26" t="str">
        <f t="shared" si="273"/>
        <v>2025.002G.Monodnaviria_reorg_4nr.zip</v>
      </c>
    </row>
    <row r="6879" spans="1:21">
      <c r="A6879">
        <v>6878</v>
      </c>
      <c r="B6879" s="27" t="s">
        <v>20779</v>
      </c>
      <c r="D6879" s="27" t="s">
        <v>1826</v>
      </c>
      <c r="F6879" s="27" t="s">
        <v>19875</v>
      </c>
      <c r="H6879" s="27" t="s">
        <v>19876</v>
      </c>
      <c r="J6879" s="27" t="s">
        <v>19877</v>
      </c>
      <c r="L6879" s="27" t="s">
        <v>124</v>
      </c>
      <c r="N6879" s="27" t="s">
        <v>3680</v>
      </c>
      <c r="P6879" s="27" t="s">
        <v>11129</v>
      </c>
      <c r="Q6879" s="26" t="str">
        <f>HYPERLINK("https://ictv.global/taxonomy/taxondetails?taxnode_id=202509474&amp;ictv_id=ICTV202009474","ICTV202009474")</f>
        <v>ICTV202009474</v>
      </c>
      <c r="R6879" t="s">
        <v>656</v>
      </c>
      <c r="S6879" t="s">
        <v>824</v>
      </c>
      <c r="T6879">
        <v>41</v>
      </c>
      <c r="U6879" s="26" t="str">
        <f t="shared" si="273"/>
        <v>2025.002G.Monodnaviria_reorg_4nr.zip</v>
      </c>
    </row>
    <row r="6880" spans="1:21">
      <c r="A6880">
        <v>6879</v>
      </c>
      <c r="B6880" s="27" t="s">
        <v>20779</v>
      </c>
      <c r="D6880" s="27" t="s">
        <v>1826</v>
      </c>
      <c r="F6880" s="27" t="s">
        <v>19875</v>
      </c>
      <c r="H6880" s="27" t="s">
        <v>19876</v>
      </c>
      <c r="J6880" s="27" t="s">
        <v>19877</v>
      </c>
      <c r="L6880" s="27" t="s">
        <v>124</v>
      </c>
      <c r="N6880" s="27" t="s">
        <v>3680</v>
      </c>
      <c r="P6880" s="27" t="s">
        <v>19941</v>
      </c>
      <c r="Q6880" s="26" t="str">
        <f>HYPERLINK("https://ictv.global/taxonomy/taxondetails?taxnode_id=202509429&amp;ictv_id=ICTV202009429","ICTV202009429")</f>
        <v>ICTV202009429</v>
      </c>
      <c r="R6880" t="s">
        <v>660</v>
      </c>
      <c r="S6880" t="s">
        <v>824</v>
      </c>
      <c r="T6880">
        <v>41</v>
      </c>
      <c r="U6880" s="26" t="str">
        <f t="shared" si="273"/>
        <v>2025.002G.Monodnaviria_reorg_4nr.zip</v>
      </c>
    </row>
    <row r="6881" spans="1:21">
      <c r="A6881">
        <v>6880</v>
      </c>
      <c r="B6881" s="27" t="s">
        <v>20779</v>
      </c>
      <c r="D6881" s="27" t="s">
        <v>1826</v>
      </c>
      <c r="F6881" s="27" t="s">
        <v>19875</v>
      </c>
      <c r="H6881" s="27" t="s">
        <v>19876</v>
      </c>
      <c r="J6881" s="27" t="s">
        <v>19877</v>
      </c>
      <c r="L6881" s="27" t="s">
        <v>124</v>
      </c>
      <c r="N6881" s="27" t="s">
        <v>3680</v>
      </c>
      <c r="P6881" s="27" t="s">
        <v>11130</v>
      </c>
      <c r="Q6881" s="26" t="str">
        <f>HYPERLINK("https://ictv.global/taxonomy/taxondetails?taxnode_id=202509475&amp;ictv_id=ICTV202009475","ICTV202009475")</f>
        <v>ICTV202009475</v>
      </c>
      <c r="R6881" t="s">
        <v>656</v>
      </c>
      <c r="S6881" t="s">
        <v>824</v>
      </c>
      <c r="T6881">
        <v>41</v>
      </c>
      <c r="U6881" s="26" t="str">
        <f t="shared" si="273"/>
        <v>2025.002G.Monodnaviria_reorg_4nr.zip</v>
      </c>
    </row>
    <row r="6882" spans="1:21">
      <c r="A6882">
        <v>6881</v>
      </c>
      <c r="B6882" s="27" t="s">
        <v>20779</v>
      </c>
      <c r="D6882" s="27" t="s">
        <v>1826</v>
      </c>
      <c r="F6882" s="27" t="s">
        <v>19875</v>
      </c>
      <c r="H6882" s="27" t="s">
        <v>19876</v>
      </c>
      <c r="J6882" s="27" t="s">
        <v>19877</v>
      </c>
      <c r="L6882" s="27" t="s">
        <v>124</v>
      </c>
      <c r="N6882" s="27" t="s">
        <v>3681</v>
      </c>
      <c r="P6882" s="27" t="s">
        <v>11131</v>
      </c>
      <c r="Q6882" s="26" t="str">
        <f>HYPERLINK("https://ictv.global/taxonomy/taxondetails?taxnode_id=202509482&amp;ictv_id=ICTV202009482","ICTV202009482")</f>
        <v>ICTV202009482</v>
      </c>
      <c r="R6882" t="s">
        <v>656</v>
      </c>
      <c r="S6882" t="s">
        <v>824</v>
      </c>
      <c r="T6882">
        <v>41</v>
      </c>
      <c r="U6882" s="26" t="str">
        <f t="shared" si="273"/>
        <v>2025.002G.Monodnaviria_reorg_4nr.zip</v>
      </c>
    </row>
    <row r="6883" spans="1:21">
      <c r="A6883">
        <v>6882</v>
      </c>
      <c r="B6883" s="27" t="s">
        <v>20779</v>
      </c>
      <c r="D6883" s="27" t="s">
        <v>1826</v>
      </c>
      <c r="F6883" s="27" t="s">
        <v>19875</v>
      </c>
      <c r="H6883" s="27" t="s">
        <v>19876</v>
      </c>
      <c r="J6883" s="27" t="s">
        <v>19877</v>
      </c>
      <c r="L6883" s="27" t="s">
        <v>124</v>
      </c>
      <c r="N6883" s="27" t="s">
        <v>3681</v>
      </c>
      <c r="P6883" s="27" t="s">
        <v>11132</v>
      </c>
      <c r="Q6883" s="26" t="str">
        <f>HYPERLINK("https://ictv.global/taxonomy/taxondetails?taxnode_id=202509478&amp;ictv_id=ICTV202009478","ICTV202009478")</f>
        <v>ICTV202009478</v>
      </c>
      <c r="R6883" t="s">
        <v>656</v>
      </c>
      <c r="S6883" t="s">
        <v>824</v>
      </c>
      <c r="T6883">
        <v>41</v>
      </c>
      <c r="U6883" s="26" t="str">
        <f t="shared" si="273"/>
        <v>2025.002G.Monodnaviria_reorg_4nr.zip</v>
      </c>
    </row>
    <row r="6884" spans="1:21">
      <c r="A6884">
        <v>6883</v>
      </c>
      <c r="B6884" s="27" t="s">
        <v>20779</v>
      </c>
      <c r="D6884" s="27" t="s">
        <v>1826</v>
      </c>
      <c r="F6884" s="27" t="s">
        <v>19875</v>
      </c>
      <c r="H6884" s="27" t="s">
        <v>19876</v>
      </c>
      <c r="J6884" s="27" t="s">
        <v>19877</v>
      </c>
      <c r="L6884" s="27" t="s">
        <v>124</v>
      </c>
      <c r="N6884" s="27" t="s">
        <v>3681</v>
      </c>
      <c r="P6884" s="27" t="s">
        <v>11133</v>
      </c>
      <c r="Q6884" s="26" t="str">
        <f>HYPERLINK("https://ictv.global/taxonomy/taxondetails?taxnode_id=202509479&amp;ictv_id=ICTV202009479","ICTV202009479")</f>
        <v>ICTV202009479</v>
      </c>
      <c r="R6884" t="s">
        <v>656</v>
      </c>
      <c r="S6884" t="s">
        <v>824</v>
      </c>
      <c r="T6884">
        <v>41</v>
      </c>
      <c r="U6884" s="26" t="str">
        <f t="shared" si="273"/>
        <v>2025.002G.Monodnaviria_reorg_4nr.zip</v>
      </c>
    </row>
    <row r="6885" spans="1:21">
      <c r="A6885">
        <v>6884</v>
      </c>
      <c r="B6885" s="27" t="s">
        <v>20779</v>
      </c>
      <c r="D6885" s="27" t="s">
        <v>1826</v>
      </c>
      <c r="F6885" s="27" t="s">
        <v>19875</v>
      </c>
      <c r="H6885" s="27" t="s">
        <v>19876</v>
      </c>
      <c r="J6885" s="27" t="s">
        <v>19877</v>
      </c>
      <c r="L6885" s="27" t="s">
        <v>124</v>
      </c>
      <c r="N6885" s="27" t="s">
        <v>3681</v>
      </c>
      <c r="P6885" s="27" t="s">
        <v>11134</v>
      </c>
      <c r="Q6885" s="26" t="str">
        <f>HYPERLINK("https://ictv.global/taxonomy/taxondetails?taxnode_id=202509477&amp;ictv_id=ICTV202009477","ICTV202009477")</f>
        <v>ICTV202009477</v>
      </c>
      <c r="R6885" t="s">
        <v>656</v>
      </c>
      <c r="S6885" t="s">
        <v>824</v>
      </c>
      <c r="T6885">
        <v>41</v>
      </c>
      <c r="U6885" s="26" t="str">
        <f t="shared" si="273"/>
        <v>2025.002G.Monodnaviria_reorg_4nr.zip</v>
      </c>
    </row>
    <row r="6886" spans="1:21">
      <c r="A6886">
        <v>6885</v>
      </c>
      <c r="B6886" s="27" t="s">
        <v>20779</v>
      </c>
      <c r="D6886" s="27" t="s">
        <v>1826</v>
      </c>
      <c r="F6886" s="27" t="s">
        <v>19875</v>
      </c>
      <c r="H6886" s="27" t="s">
        <v>19876</v>
      </c>
      <c r="J6886" s="27" t="s">
        <v>19877</v>
      </c>
      <c r="L6886" s="27" t="s">
        <v>124</v>
      </c>
      <c r="N6886" s="27" t="s">
        <v>3681</v>
      </c>
      <c r="P6886" s="27" t="s">
        <v>11135</v>
      </c>
      <c r="Q6886" s="26" t="str">
        <f>HYPERLINK("https://ictv.global/taxonomy/taxondetails?taxnode_id=202509480&amp;ictv_id=ICTV202009480","ICTV202009480")</f>
        <v>ICTV202009480</v>
      </c>
      <c r="R6886" t="s">
        <v>656</v>
      </c>
      <c r="S6886" t="s">
        <v>824</v>
      </c>
      <c r="T6886">
        <v>41</v>
      </c>
      <c r="U6886" s="26" t="str">
        <f t="shared" si="273"/>
        <v>2025.002G.Monodnaviria_reorg_4nr.zip</v>
      </c>
    </row>
    <row r="6887" spans="1:21">
      <c r="A6887">
        <v>6886</v>
      </c>
      <c r="B6887" s="27" t="s">
        <v>20779</v>
      </c>
      <c r="D6887" s="27" t="s">
        <v>1826</v>
      </c>
      <c r="F6887" s="27" t="s">
        <v>19875</v>
      </c>
      <c r="H6887" s="27" t="s">
        <v>19876</v>
      </c>
      <c r="J6887" s="27" t="s">
        <v>19877</v>
      </c>
      <c r="L6887" s="27" t="s">
        <v>124</v>
      </c>
      <c r="N6887" s="27" t="s">
        <v>3681</v>
      </c>
      <c r="P6887" s="27" t="s">
        <v>11136</v>
      </c>
      <c r="Q6887" s="26" t="str">
        <f>HYPERLINK("https://ictv.global/taxonomy/taxondetails?taxnode_id=202509481&amp;ictv_id=ICTV202009481","ICTV202009481")</f>
        <v>ICTV202009481</v>
      </c>
      <c r="R6887" t="s">
        <v>656</v>
      </c>
      <c r="S6887" t="s">
        <v>824</v>
      </c>
      <c r="T6887">
        <v>41</v>
      </c>
      <c r="U6887" s="26" t="str">
        <f t="shared" si="273"/>
        <v>2025.002G.Monodnaviria_reorg_4nr.zip</v>
      </c>
    </row>
    <row r="6888" spans="1:21">
      <c r="A6888">
        <v>6887</v>
      </c>
      <c r="B6888" s="27" t="s">
        <v>20779</v>
      </c>
      <c r="D6888" s="27" t="s">
        <v>1826</v>
      </c>
      <c r="F6888" s="27" t="s">
        <v>19875</v>
      </c>
      <c r="H6888" s="27" t="s">
        <v>19876</v>
      </c>
      <c r="J6888" s="27" t="s">
        <v>19877</v>
      </c>
      <c r="L6888" s="27" t="s">
        <v>124</v>
      </c>
      <c r="N6888" s="27" t="s">
        <v>3682</v>
      </c>
      <c r="P6888" s="27" t="s">
        <v>11137</v>
      </c>
      <c r="Q6888" s="26" t="str">
        <f>HYPERLINK("https://ictv.global/taxonomy/taxondetails?taxnode_id=202509485&amp;ictv_id=ICTV202009485","ICTV202009485")</f>
        <v>ICTV202009485</v>
      </c>
      <c r="R6888" t="s">
        <v>656</v>
      </c>
      <c r="S6888" t="s">
        <v>824</v>
      </c>
      <c r="T6888">
        <v>41</v>
      </c>
      <c r="U6888" s="26" t="str">
        <f t="shared" si="273"/>
        <v>2025.002G.Monodnaviria_reorg_4nr.zip</v>
      </c>
    </row>
    <row r="6889" spans="1:21">
      <c r="A6889">
        <v>6888</v>
      </c>
      <c r="B6889" s="27" t="s">
        <v>20779</v>
      </c>
      <c r="D6889" s="27" t="s">
        <v>1826</v>
      </c>
      <c r="F6889" s="27" t="s">
        <v>19875</v>
      </c>
      <c r="H6889" s="27" t="s">
        <v>19876</v>
      </c>
      <c r="J6889" s="27" t="s">
        <v>19877</v>
      </c>
      <c r="L6889" s="27" t="s">
        <v>124</v>
      </c>
      <c r="N6889" s="27" t="s">
        <v>3682</v>
      </c>
      <c r="P6889" s="27" t="s">
        <v>11138</v>
      </c>
      <c r="Q6889" s="26" t="str">
        <f>HYPERLINK("https://ictv.global/taxonomy/taxondetails?taxnode_id=202509484&amp;ictv_id=ICTV202009484","ICTV202009484")</f>
        <v>ICTV202009484</v>
      </c>
      <c r="R6889" t="s">
        <v>656</v>
      </c>
      <c r="S6889" t="s">
        <v>824</v>
      </c>
      <c r="T6889">
        <v>41</v>
      </c>
      <c r="U6889" s="26" t="str">
        <f t="shared" si="273"/>
        <v>2025.002G.Monodnaviria_reorg_4nr.zip</v>
      </c>
    </row>
    <row r="6890" spans="1:21">
      <c r="A6890">
        <v>6889</v>
      </c>
      <c r="B6890" s="27" t="s">
        <v>20779</v>
      </c>
      <c r="D6890" s="27" t="s">
        <v>1826</v>
      </c>
      <c r="F6890" s="27" t="s">
        <v>19875</v>
      </c>
      <c r="H6890" s="27" t="s">
        <v>19876</v>
      </c>
      <c r="J6890" s="27" t="s">
        <v>19877</v>
      </c>
      <c r="L6890" s="27" t="s">
        <v>124</v>
      </c>
      <c r="N6890" s="27" t="s">
        <v>18309</v>
      </c>
      <c r="P6890" s="27" t="s">
        <v>18310</v>
      </c>
      <c r="Q6890" s="26" t="str">
        <f>HYPERLINK("https://ictv.global/taxonomy/taxondetails?taxnode_id=202517805&amp;ictv_id=ICTV202317805","ICTV202317805")</f>
        <v>ICTV202317805</v>
      </c>
      <c r="R6890" t="s">
        <v>656</v>
      </c>
      <c r="S6890" t="s">
        <v>824</v>
      </c>
      <c r="T6890">
        <v>41</v>
      </c>
      <c r="U6890" s="26" t="str">
        <f t="shared" si="273"/>
        <v>2025.002G.Monodnaviria_reorg_4nr.zip</v>
      </c>
    </row>
    <row r="6891" spans="1:21">
      <c r="A6891">
        <v>6890</v>
      </c>
      <c r="B6891" s="27" t="s">
        <v>20779</v>
      </c>
      <c r="D6891" s="27" t="s">
        <v>1826</v>
      </c>
      <c r="F6891" s="27" t="s">
        <v>19875</v>
      </c>
      <c r="H6891" s="27" t="s">
        <v>19876</v>
      </c>
      <c r="J6891" s="27" t="s">
        <v>19877</v>
      </c>
      <c r="L6891" s="27" t="s">
        <v>124</v>
      </c>
      <c r="N6891" s="27" t="s">
        <v>18309</v>
      </c>
      <c r="P6891" s="27" t="s">
        <v>18311</v>
      </c>
      <c r="Q6891" s="26" t="str">
        <f>HYPERLINK("https://ictv.global/taxonomy/taxondetails?taxnode_id=202517806&amp;ictv_id=ICTV202317806","ICTV202317806")</f>
        <v>ICTV202317806</v>
      </c>
      <c r="R6891" t="s">
        <v>656</v>
      </c>
      <c r="S6891" t="s">
        <v>824</v>
      </c>
      <c r="T6891">
        <v>41</v>
      </c>
      <c r="U6891" s="26" t="str">
        <f t="shared" si="273"/>
        <v>2025.002G.Monodnaviria_reorg_4nr.zip</v>
      </c>
    </row>
    <row r="6892" spans="1:21">
      <c r="A6892">
        <v>6891</v>
      </c>
      <c r="B6892" s="27" t="s">
        <v>20779</v>
      </c>
      <c r="D6892" s="27" t="s">
        <v>1826</v>
      </c>
      <c r="F6892" s="27" t="s">
        <v>19875</v>
      </c>
      <c r="H6892" s="27" t="s">
        <v>19876</v>
      </c>
      <c r="J6892" s="27" t="s">
        <v>19877</v>
      </c>
      <c r="L6892" s="27" t="s">
        <v>124</v>
      </c>
      <c r="N6892" s="27" t="s">
        <v>3683</v>
      </c>
      <c r="P6892" s="27" t="s">
        <v>19942</v>
      </c>
      <c r="Q6892" s="26" t="str">
        <f>HYPERLINK("https://ictv.global/taxonomy/taxondetails?taxnode_id=202520430&amp;ictv_id=ICTV202420430","ICTV202420430")</f>
        <v>ICTV202420430</v>
      </c>
      <c r="R6892" t="s">
        <v>660</v>
      </c>
      <c r="S6892" t="s">
        <v>824</v>
      </c>
      <c r="T6892">
        <v>41</v>
      </c>
      <c r="U6892" s="26" t="str">
        <f t="shared" si="273"/>
        <v>2025.002G.Monodnaviria_reorg_4nr.zip</v>
      </c>
    </row>
    <row r="6893" spans="1:21">
      <c r="A6893">
        <v>6892</v>
      </c>
      <c r="B6893" s="27" t="s">
        <v>20779</v>
      </c>
      <c r="D6893" s="27" t="s">
        <v>1826</v>
      </c>
      <c r="F6893" s="27" t="s">
        <v>19875</v>
      </c>
      <c r="H6893" s="27" t="s">
        <v>19876</v>
      </c>
      <c r="J6893" s="27" t="s">
        <v>19877</v>
      </c>
      <c r="L6893" s="27" t="s">
        <v>124</v>
      </c>
      <c r="N6893" s="27" t="s">
        <v>3683</v>
      </c>
      <c r="P6893" s="27" t="s">
        <v>19943</v>
      </c>
      <c r="Q6893" s="26" t="str">
        <f>HYPERLINK("https://ictv.global/taxonomy/taxondetails?taxnode_id=202520428&amp;ictv_id=ICTV202420428","ICTV202420428")</f>
        <v>ICTV202420428</v>
      </c>
      <c r="R6893" t="s">
        <v>660</v>
      </c>
      <c r="S6893" t="s">
        <v>824</v>
      </c>
      <c r="T6893">
        <v>41</v>
      </c>
      <c r="U6893" s="26" t="str">
        <f t="shared" si="273"/>
        <v>2025.002G.Monodnaviria_reorg_4nr.zip</v>
      </c>
    </row>
    <row r="6894" spans="1:21">
      <c r="A6894">
        <v>6893</v>
      </c>
      <c r="B6894" s="27" t="s">
        <v>20779</v>
      </c>
      <c r="D6894" s="27" t="s">
        <v>1826</v>
      </c>
      <c r="F6894" s="27" t="s">
        <v>19875</v>
      </c>
      <c r="H6894" s="27" t="s">
        <v>19876</v>
      </c>
      <c r="J6894" s="27" t="s">
        <v>19877</v>
      </c>
      <c r="L6894" s="27" t="s">
        <v>124</v>
      </c>
      <c r="N6894" s="27" t="s">
        <v>3683</v>
      </c>
      <c r="P6894" s="27" t="s">
        <v>19944</v>
      </c>
      <c r="Q6894" s="26" t="str">
        <f>HYPERLINK("https://ictv.global/taxonomy/taxondetails?taxnode_id=202520432&amp;ictv_id=ICTV202420432","ICTV202420432")</f>
        <v>ICTV202420432</v>
      </c>
      <c r="R6894" t="s">
        <v>660</v>
      </c>
      <c r="S6894" t="s">
        <v>824</v>
      </c>
      <c r="T6894">
        <v>41</v>
      </c>
      <c r="U6894" s="26" t="str">
        <f t="shared" si="273"/>
        <v>2025.002G.Monodnaviria_reorg_4nr.zip</v>
      </c>
    </row>
    <row r="6895" spans="1:21">
      <c r="A6895">
        <v>6894</v>
      </c>
      <c r="B6895" s="27" t="s">
        <v>20779</v>
      </c>
      <c r="D6895" s="27" t="s">
        <v>1826</v>
      </c>
      <c r="F6895" s="27" t="s">
        <v>19875</v>
      </c>
      <c r="H6895" s="27" t="s">
        <v>19876</v>
      </c>
      <c r="J6895" s="27" t="s">
        <v>19877</v>
      </c>
      <c r="L6895" s="27" t="s">
        <v>124</v>
      </c>
      <c r="N6895" s="27" t="s">
        <v>3683</v>
      </c>
      <c r="P6895" s="27" t="s">
        <v>19945</v>
      </c>
      <c r="Q6895" s="26" t="str">
        <f>HYPERLINK("https://ictv.global/taxonomy/taxondetails?taxnode_id=202520436&amp;ictv_id=ICTV202420436","ICTV202420436")</f>
        <v>ICTV202420436</v>
      </c>
      <c r="R6895" t="s">
        <v>660</v>
      </c>
      <c r="S6895" t="s">
        <v>824</v>
      </c>
      <c r="T6895">
        <v>41</v>
      </c>
      <c r="U6895" s="26" t="str">
        <f t="shared" si="273"/>
        <v>2025.002G.Monodnaviria_reorg_4nr.zip</v>
      </c>
    </row>
    <row r="6896" spans="1:21">
      <c r="A6896">
        <v>6895</v>
      </c>
      <c r="B6896" s="27" t="s">
        <v>20779</v>
      </c>
      <c r="D6896" s="27" t="s">
        <v>1826</v>
      </c>
      <c r="F6896" s="27" t="s">
        <v>19875</v>
      </c>
      <c r="H6896" s="27" t="s">
        <v>19876</v>
      </c>
      <c r="J6896" s="27" t="s">
        <v>19877</v>
      </c>
      <c r="L6896" s="27" t="s">
        <v>124</v>
      </c>
      <c r="N6896" s="27" t="s">
        <v>3683</v>
      </c>
      <c r="P6896" s="27" t="s">
        <v>19946</v>
      </c>
      <c r="Q6896" s="26" t="str">
        <f>HYPERLINK("https://ictv.global/taxonomy/taxondetails?taxnode_id=202520431&amp;ictv_id=ICTV202420431","ICTV202420431")</f>
        <v>ICTV202420431</v>
      </c>
      <c r="R6896" t="s">
        <v>660</v>
      </c>
      <c r="S6896" t="s">
        <v>824</v>
      </c>
      <c r="T6896">
        <v>41</v>
      </c>
      <c r="U6896" s="26" t="str">
        <f t="shared" si="273"/>
        <v>2025.002G.Monodnaviria_reorg_4nr.zip</v>
      </c>
    </row>
    <row r="6897" spans="1:21">
      <c r="A6897">
        <v>6896</v>
      </c>
      <c r="B6897" s="27" t="s">
        <v>20779</v>
      </c>
      <c r="D6897" s="27" t="s">
        <v>1826</v>
      </c>
      <c r="F6897" s="27" t="s">
        <v>19875</v>
      </c>
      <c r="H6897" s="27" t="s">
        <v>19876</v>
      </c>
      <c r="J6897" s="27" t="s">
        <v>19877</v>
      </c>
      <c r="L6897" s="27" t="s">
        <v>124</v>
      </c>
      <c r="N6897" s="27" t="s">
        <v>3683</v>
      </c>
      <c r="P6897" s="27" t="s">
        <v>19947</v>
      </c>
      <c r="Q6897" s="26" t="str">
        <f>HYPERLINK("https://ictv.global/taxonomy/taxondetails?taxnode_id=202520433&amp;ictv_id=ICTV202420433","ICTV202420433")</f>
        <v>ICTV202420433</v>
      </c>
      <c r="R6897" t="s">
        <v>660</v>
      </c>
      <c r="S6897" t="s">
        <v>824</v>
      </c>
      <c r="T6897">
        <v>41</v>
      </c>
      <c r="U6897" s="26" t="str">
        <f t="shared" si="273"/>
        <v>2025.002G.Monodnaviria_reorg_4nr.zip</v>
      </c>
    </row>
    <row r="6898" spans="1:21">
      <c r="A6898">
        <v>6897</v>
      </c>
      <c r="B6898" s="27" t="s">
        <v>20779</v>
      </c>
      <c r="D6898" s="27" t="s">
        <v>1826</v>
      </c>
      <c r="F6898" s="27" t="s">
        <v>19875</v>
      </c>
      <c r="H6898" s="27" t="s">
        <v>19876</v>
      </c>
      <c r="J6898" s="27" t="s">
        <v>19877</v>
      </c>
      <c r="L6898" s="27" t="s">
        <v>124</v>
      </c>
      <c r="N6898" s="27" t="s">
        <v>3683</v>
      </c>
      <c r="P6898" s="27" t="s">
        <v>19948</v>
      </c>
      <c r="Q6898" s="26" t="str">
        <f>HYPERLINK("https://ictv.global/taxonomy/taxondetails?taxnode_id=202520437&amp;ictv_id=ICTV202420437","ICTV202420437")</f>
        <v>ICTV202420437</v>
      </c>
      <c r="R6898" t="s">
        <v>660</v>
      </c>
      <c r="S6898" t="s">
        <v>824</v>
      </c>
      <c r="T6898">
        <v>41</v>
      </c>
      <c r="U6898" s="26" t="str">
        <f t="shared" si="273"/>
        <v>2025.002G.Monodnaviria_reorg_4nr.zip</v>
      </c>
    </row>
    <row r="6899" spans="1:21">
      <c r="A6899">
        <v>6898</v>
      </c>
      <c r="B6899" s="27" t="s">
        <v>20779</v>
      </c>
      <c r="D6899" s="27" t="s">
        <v>1826</v>
      </c>
      <c r="F6899" s="27" t="s">
        <v>19875</v>
      </c>
      <c r="H6899" s="27" t="s">
        <v>19876</v>
      </c>
      <c r="J6899" s="27" t="s">
        <v>19877</v>
      </c>
      <c r="L6899" s="27" t="s">
        <v>124</v>
      </c>
      <c r="N6899" s="27" t="s">
        <v>3683</v>
      </c>
      <c r="P6899" s="27" t="s">
        <v>19949</v>
      </c>
      <c r="Q6899" s="26" t="str">
        <f>HYPERLINK("https://ictv.global/taxonomy/taxondetails?taxnode_id=202520435&amp;ictv_id=ICTV202420435","ICTV202420435")</f>
        <v>ICTV202420435</v>
      </c>
      <c r="R6899" t="s">
        <v>660</v>
      </c>
      <c r="S6899" t="s">
        <v>824</v>
      </c>
      <c r="T6899">
        <v>41</v>
      </c>
      <c r="U6899" s="26" t="str">
        <f t="shared" si="273"/>
        <v>2025.002G.Monodnaviria_reorg_4nr.zip</v>
      </c>
    </row>
    <row r="6900" spans="1:21">
      <c r="A6900">
        <v>6899</v>
      </c>
      <c r="B6900" s="27" t="s">
        <v>20779</v>
      </c>
      <c r="D6900" s="27" t="s">
        <v>1826</v>
      </c>
      <c r="F6900" s="27" t="s">
        <v>19875</v>
      </c>
      <c r="H6900" s="27" t="s">
        <v>19876</v>
      </c>
      <c r="J6900" s="27" t="s">
        <v>19877</v>
      </c>
      <c r="L6900" s="27" t="s">
        <v>124</v>
      </c>
      <c r="N6900" s="27" t="s">
        <v>3683</v>
      </c>
      <c r="P6900" s="27" t="s">
        <v>19950</v>
      </c>
      <c r="Q6900" s="26" t="str">
        <f>HYPERLINK("https://ictv.global/taxonomy/taxondetails?taxnode_id=202520438&amp;ictv_id=ICTV202420438","ICTV202420438")</f>
        <v>ICTV202420438</v>
      </c>
      <c r="R6900" t="s">
        <v>660</v>
      </c>
      <c r="S6900" t="s">
        <v>824</v>
      </c>
      <c r="T6900">
        <v>41</v>
      </c>
      <c r="U6900" s="26" t="str">
        <f t="shared" si="273"/>
        <v>2025.002G.Monodnaviria_reorg_4nr.zip</v>
      </c>
    </row>
    <row r="6901" spans="1:21">
      <c r="A6901">
        <v>6900</v>
      </c>
      <c r="B6901" s="27" t="s">
        <v>20779</v>
      </c>
      <c r="D6901" s="27" t="s">
        <v>1826</v>
      </c>
      <c r="F6901" s="27" t="s">
        <v>19875</v>
      </c>
      <c r="H6901" s="27" t="s">
        <v>19876</v>
      </c>
      <c r="J6901" s="27" t="s">
        <v>19877</v>
      </c>
      <c r="L6901" s="27" t="s">
        <v>124</v>
      </c>
      <c r="N6901" s="27" t="s">
        <v>3683</v>
      </c>
      <c r="P6901" s="27" t="s">
        <v>19951</v>
      </c>
      <c r="Q6901" s="26" t="str">
        <f>HYPERLINK("https://ictv.global/taxonomy/taxondetails?taxnode_id=202520434&amp;ictv_id=ICTV202420434","ICTV202420434")</f>
        <v>ICTV202420434</v>
      </c>
      <c r="R6901" t="s">
        <v>660</v>
      </c>
      <c r="S6901" t="s">
        <v>824</v>
      </c>
      <c r="T6901">
        <v>41</v>
      </c>
      <c r="U6901" s="26" t="str">
        <f t="shared" si="273"/>
        <v>2025.002G.Monodnaviria_reorg_4nr.zip</v>
      </c>
    </row>
    <row r="6902" spans="1:21">
      <c r="A6902">
        <v>6901</v>
      </c>
      <c r="B6902" s="27" t="s">
        <v>20779</v>
      </c>
      <c r="D6902" s="27" t="s">
        <v>1826</v>
      </c>
      <c r="F6902" s="27" t="s">
        <v>19875</v>
      </c>
      <c r="H6902" s="27" t="s">
        <v>19876</v>
      </c>
      <c r="J6902" s="27" t="s">
        <v>19877</v>
      </c>
      <c r="L6902" s="27" t="s">
        <v>124</v>
      </c>
      <c r="N6902" s="27" t="s">
        <v>3683</v>
      </c>
      <c r="P6902" s="27" t="s">
        <v>19952</v>
      </c>
      <c r="Q6902" s="26" t="str">
        <f>HYPERLINK("https://ictv.global/taxonomy/taxondetails?taxnode_id=202520441&amp;ictv_id=ICTV202420441","ICTV202420441")</f>
        <v>ICTV202420441</v>
      </c>
      <c r="R6902" t="s">
        <v>660</v>
      </c>
      <c r="S6902" t="s">
        <v>824</v>
      </c>
      <c r="T6902">
        <v>41</v>
      </c>
      <c r="U6902" s="26" t="str">
        <f t="shared" si="273"/>
        <v>2025.002G.Monodnaviria_reorg_4nr.zip</v>
      </c>
    </row>
    <row r="6903" spans="1:21">
      <c r="A6903">
        <v>6902</v>
      </c>
      <c r="B6903" s="27" t="s">
        <v>20779</v>
      </c>
      <c r="D6903" s="27" t="s">
        <v>1826</v>
      </c>
      <c r="F6903" s="27" t="s">
        <v>19875</v>
      </c>
      <c r="H6903" s="27" t="s">
        <v>19876</v>
      </c>
      <c r="J6903" s="27" t="s">
        <v>19877</v>
      </c>
      <c r="L6903" s="27" t="s">
        <v>124</v>
      </c>
      <c r="N6903" s="27" t="s">
        <v>3683</v>
      </c>
      <c r="P6903" s="27" t="s">
        <v>19953</v>
      </c>
      <c r="Q6903" s="26" t="str">
        <f>HYPERLINK("https://ictv.global/taxonomy/taxondetails?taxnode_id=202520439&amp;ictv_id=ICTV202420439","ICTV202420439")</f>
        <v>ICTV202420439</v>
      </c>
      <c r="R6903" t="s">
        <v>660</v>
      </c>
      <c r="S6903" t="s">
        <v>824</v>
      </c>
      <c r="T6903">
        <v>41</v>
      </c>
      <c r="U6903" s="26" t="str">
        <f t="shared" si="273"/>
        <v>2025.002G.Monodnaviria_reorg_4nr.zip</v>
      </c>
    </row>
    <row r="6904" spans="1:21">
      <c r="A6904">
        <v>6903</v>
      </c>
      <c r="B6904" s="27" t="s">
        <v>20779</v>
      </c>
      <c r="D6904" s="27" t="s">
        <v>1826</v>
      </c>
      <c r="F6904" s="27" t="s">
        <v>19875</v>
      </c>
      <c r="H6904" s="27" t="s">
        <v>19876</v>
      </c>
      <c r="J6904" s="27" t="s">
        <v>19877</v>
      </c>
      <c r="L6904" s="27" t="s">
        <v>124</v>
      </c>
      <c r="N6904" s="27" t="s">
        <v>3683</v>
      </c>
      <c r="P6904" s="27" t="s">
        <v>19954</v>
      </c>
      <c r="Q6904" s="26" t="str">
        <f>HYPERLINK("https://ictv.global/taxonomy/taxondetails?taxnode_id=202520427&amp;ictv_id=ICTV202420427","ICTV202420427")</f>
        <v>ICTV202420427</v>
      </c>
      <c r="R6904" t="s">
        <v>660</v>
      </c>
      <c r="S6904" t="s">
        <v>824</v>
      </c>
      <c r="T6904">
        <v>41</v>
      </c>
      <c r="U6904" s="26" t="str">
        <f t="shared" si="273"/>
        <v>2025.002G.Monodnaviria_reorg_4nr.zip</v>
      </c>
    </row>
    <row r="6905" spans="1:21">
      <c r="A6905">
        <v>6904</v>
      </c>
      <c r="B6905" s="27" t="s">
        <v>20779</v>
      </c>
      <c r="D6905" s="27" t="s">
        <v>1826</v>
      </c>
      <c r="F6905" s="27" t="s">
        <v>19875</v>
      </c>
      <c r="H6905" s="27" t="s">
        <v>19876</v>
      </c>
      <c r="J6905" s="27" t="s">
        <v>19877</v>
      </c>
      <c r="L6905" s="27" t="s">
        <v>124</v>
      </c>
      <c r="N6905" s="27" t="s">
        <v>3683</v>
      </c>
      <c r="P6905" s="27" t="s">
        <v>19955</v>
      </c>
      <c r="Q6905" s="26" t="str">
        <f>HYPERLINK("https://ictv.global/taxonomy/taxondetails?taxnode_id=202520429&amp;ictv_id=ICTV202420429","ICTV202420429")</f>
        <v>ICTV202420429</v>
      </c>
      <c r="R6905" t="s">
        <v>660</v>
      </c>
      <c r="S6905" t="s">
        <v>824</v>
      </c>
      <c r="T6905">
        <v>41</v>
      </c>
      <c r="U6905" s="26" t="str">
        <f t="shared" si="273"/>
        <v>2025.002G.Monodnaviria_reorg_4nr.zip</v>
      </c>
    </row>
    <row r="6906" spans="1:21">
      <c r="A6906">
        <v>6905</v>
      </c>
      <c r="B6906" s="27" t="s">
        <v>20779</v>
      </c>
      <c r="D6906" s="27" t="s">
        <v>1826</v>
      </c>
      <c r="F6906" s="27" t="s">
        <v>19875</v>
      </c>
      <c r="H6906" s="27" t="s">
        <v>19876</v>
      </c>
      <c r="J6906" s="27" t="s">
        <v>19877</v>
      </c>
      <c r="L6906" s="27" t="s">
        <v>124</v>
      </c>
      <c r="N6906" s="27" t="s">
        <v>3683</v>
      </c>
      <c r="P6906" s="27" t="s">
        <v>19956</v>
      </c>
      <c r="Q6906" s="26" t="str">
        <f>HYPERLINK("https://ictv.global/taxonomy/taxondetails?taxnode_id=202520440&amp;ictv_id=ICTV202420440","ICTV202420440")</f>
        <v>ICTV202420440</v>
      </c>
      <c r="R6906" t="s">
        <v>660</v>
      </c>
      <c r="S6906" t="s">
        <v>824</v>
      </c>
      <c r="T6906">
        <v>41</v>
      </c>
      <c r="U6906" s="26" t="str">
        <f t="shared" si="273"/>
        <v>2025.002G.Monodnaviria_reorg_4nr.zip</v>
      </c>
    </row>
    <row r="6907" spans="1:21">
      <c r="A6907">
        <v>6906</v>
      </c>
      <c r="B6907" s="27" t="s">
        <v>20779</v>
      </c>
      <c r="D6907" s="27" t="s">
        <v>1826</v>
      </c>
      <c r="F6907" s="27" t="s">
        <v>19875</v>
      </c>
      <c r="H6907" s="27" t="s">
        <v>19876</v>
      </c>
      <c r="J6907" s="27" t="s">
        <v>19877</v>
      </c>
      <c r="L6907" s="27" t="s">
        <v>124</v>
      </c>
      <c r="N6907" s="27" t="s">
        <v>3683</v>
      </c>
      <c r="P6907" s="27" t="s">
        <v>19957</v>
      </c>
      <c r="Q6907" s="26" t="str">
        <f>HYPERLINK("https://ictv.global/taxonomy/taxondetails?taxnode_id=202520442&amp;ictv_id=ICTV202420442","ICTV202420442")</f>
        <v>ICTV202420442</v>
      </c>
      <c r="R6907" t="s">
        <v>660</v>
      </c>
      <c r="S6907" t="s">
        <v>824</v>
      </c>
      <c r="T6907">
        <v>41</v>
      </c>
      <c r="U6907" s="26" t="str">
        <f t="shared" si="273"/>
        <v>2025.002G.Monodnaviria_reorg_4nr.zip</v>
      </c>
    </row>
    <row r="6908" spans="1:21">
      <c r="A6908">
        <v>6907</v>
      </c>
      <c r="B6908" s="27" t="s">
        <v>20779</v>
      </c>
      <c r="D6908" s="27" t="s">
        <v>1826</v>
      </c>
      <c r="F6908" s="27" t="s">
        <v>19875</v>
      </c>
      <c r="H6908" s="27" t="s">
        <v>19876</v>
      </c>
      <c r="J6908" s="27" t="s">
        <v>19877</v>
      </c>
      <c r="L6908" s="27" t="s">
        <v>124</v>
      </c>
      <c r="N6908" s="27" t="s">
        <v>3683</v>
      </c>
      <c r="P6908" s="27" t="s">
        <v>11139</v>
      </c>
      <c r="Q6908" s="26" t="str">
        <f>HYPERLINK("https://ictv.global/taxonomy/taxondetails?taxnode_id=202509487&amp;ictv_id=ICTV202009487","ICTV202009487")</f>
        <v>ICTV202009487</v>
      </c>
      <c r="R6908" t="s">
        <v>656</v>
      </c>
      <c r="S6908" t="s">
        <v>824</v>
      </c>
      <c r="T6908">
        <v>41</v>
      </c>
      <c r="U6908" s="26" t="str">
        <f t="shared" si="273"/>
        <v>2025.002G.Monodnaviria_reorg_4nr.zip</v>
      </c>
    </row>
    <row r="6909" spans="1:21">
      <c r="A6909">
        <v>6908</v>
      </c>
      <c r="B6909" s="27" t="s">
        <v>20779</v>
      </c>
      <c r="D6909" s="27" t="s">
        <v>1826</v>
      </c>
      <c r="F6909" s="27" t="s">
        <v>19875</v>
      </c>
      <c r="H6909" s="27" t="s">
        <v>19876</v>
      </c>
      <c r="J6909" s="27" t="s">
        <v>19877</v>
      </c>
      <c r="L6909" s="27" t="s">
        <v>124</v>
      </c>
      <c r="N6909" s="27" t="s">
        <v>3683</v>
      </c>
      <c r="P6909" s="27" t="s">
        <v>11140</v>
      </c>
      <c r="Q6909" s="26" t="str">
        <f>HYPERLINK("https://ictv.global/taxonomy/taxondetails?taxnode_id=202509488&amp;ictv_id=ICTV202009488","ICTV202009488")</f>
        <v>ICTV202009488</v>
      </c>
      <c r="R6909" t="s">
        <v>656</v>
      </c>
      <c r="S6909" t="s">
        <v>824</v>
      </c>
      <c r="T6909">
        <v>41</v>
      </c>
      <c r="U6909" s="26" t="str">
        <f t="shared" si="273"/>
        <v>2025.002G.Monodnaviria_reorg_4nr.zip</v>
      </c>
    </row>
    <row r="6910" spans="1:21">
      <c r="A6910">
        <v>6909</v>
      </c>
      <c r="B6910" s="27" t="s">
        <v>20779</v>
      </c>
      <c r="D6910" s="27" t="s">
        <v>1826</v>
      </c>
      <c r="F6910" s="27" t="s">
        <v>19875</v>
      </c>
      <c r="H6910" s="27" t="s">
        <v>19876</v>
      </c>
      <c r="J6910" s="27" t="s">
        <v>19877</v>
      </c>
      <c r="L6910" s="27" t="s">
        <v>124</v>
      </c>
      <c r="N6910" s="27" t="s">
        <v>378</v>
      </c>
      <c r="P6910" s="27" t="s">
        <v>11141</v>
      </c>
      <c r="Q6910" s="26" t="str">
        <f>HYPERLINK("https://ictv.global/taxonomy/taxondetails?taxnode_id=202502566&amp;ictv_id=ICTV20093142","ICTV20093142")</f>
        <v>ICTV20093142</v>
      </c>
      <c r="R6910" t="s">
        <v>656</v>
      </c>
      <c r="S6910" t="s">
        <v>824</v>
      </c>
      <c r="T6910">
        <v>41</v>
      </c>
      <c r="U6910" s="26" t="str">
        <f t="shared" si="273"/>
        <v>2025.002G.Monodnaviria_reorg_4nr.zip</v>
      </c>
    </row>
    <row r="6911" spans="1:21">
      <c r="A6911">
        <v>6910</v>
      </c>
      <c r="B6911" s="27" t="s">
        <v>20779</v>
      </c>
      <c r="D6911" s="27" t="s">
        <v>1826</v>
      </c>
      <c r="F6911" s="27" t="s">
        <v>1827</v>
      </c>
      <c r="H6911" s="27" t="s">
        <v>1828</v>
      </c>
      <c r="J6911" s="27" t="s">
        <v>1829</v>
      </c>
      <c r="L6911" s="27" t="s">
        <v>9</v>
      </c>
      <c r="N6911" s="27" t="s">
        <v>10</v>
      </c>
      <c r="P6911" s="27" t="s">
        <v>20782</v>
      </c>
      <c r="Q6911" s="26" t="str">
        <f>HYPERLINK("https://ictv.global/taxonomy/taxondetails?taxnode_id=202502744&amp;ictv_id=ICTV20115677","ICTV20115677")</f>
        <v>ICTV20115677</v>
      </c>
      <c r="R6911" t="s">
        <v>660</v>
      </c>
      <c r="S6911" t="s">
        <v>824</v>
      </c>
      <c r="T6911">
        <v>41</v>
      </c>
      <c r="U6911" s="26" t="str">
        <f>HYPERLINK("https://ictv.global/ictv/proposals/2025.006D.Bidnaviridae_1rns.zip","2025.006D.Bidnaviridae_1rns.zip")</f>
        <v>2025.006D.Bidnaviridae_1rns.zip</v>
      </c>
    </row>
    <row r="6912" spans="1:21">
      <c r="A6912">
        <v>6911</v>
      </c>
      <c r="B6912" s="27" t="s">
        <v>20779</v>
      </c>
      <c r="D6912" s="27" t="s">
        <v>1826</v>
      </c>
      <c r="F6912" s="27" t="s">
        <v>1827</v>
      </c>
      <c r="H6912" s="27" t="s">
        <v>1830</v>
      </c>
      <c r="J6912" s="27" t="s">
        <v>1831</v>
      </c>
      <c r="L6912" s="27" t="s">
        <v>234</v>
      </c>
      <c r="N6912" s="27" t="s">
        <v>701</v>
      </c>
      <c r="P6912" s="27" t="s">
        <v>8271</v>
      </c>
      <c r="Q6912" s="26" t="str">
        <f>HYPERLINK("https://ictv.global/taxonomy/taxondetails?taxnode_id=202504412&amp;ictv_id=ICTV20153680","ICTV20153680")</f>
        <v>ICTV20153680</v>
      </c>
      <c r="R6912" t="s">
        <v>579</v>
      </c>
      <c r="S6912" t="s">
        <v>824</v>
      </c>
      <c r="T6912">
        <v>41</v>
      </c>
      <c r="U6912" s="26" t="str">
        <f t="shared" ref="U6912:U6975" si="274">HYPERLINK("https://ictv.global/ictv/proposals/2025.002G.Monodnaviria_reorg_4nr.zip","2025.002G.Monodnaviria_reorg_4nr.zip")</f>
        <v>2025.002G.Monodnaviria_reorg_4nr.zip</v>
      </c>
    </row>
    <row r="6913" spans="1:21">
      <c r="A6913">
        <v>6912</v>
      </c>
      <c r="B6913" s="27" t="s">
        <v>20779</v>
      </c>
      <c r="D6913" s="27" t="s">
        <v>1826</v>
      </c>
      <c r="F6913" s="27" t="s">
        <v>1827</v>
      </c>
      <c r="H6913" s="27" t="s">
        <v>1830</v>
      </c>
      <c r="J6913" s="27" t="s">
        <v>1831</v>
      </c>
      <c r="L6913" s="27" t="s">
        <v>234</v>
      </c>
      <c r="N6913" s="27" t="s">
        <v>701</v>
      </c>
      <c r="P6913" s="27" t="s">
        <v>8272</v>
      </c>
      <c r="Q6913" s="26" t="str">
        <f>HYPERLINK("https://ictv.global/taxonomy/taxondetails?taxnode_id=202509582&amp;ictv_id=ICTV202009582","ICTV202009582")</f>
        <v>ICTV202009582</v>
      </c>
      <c r="R6913" t="s">
        <v>579</v>
      </c>
      <c r="S6913" t="s">
        <v>824</v>
      </c>
      <c r="T6913">
        <v>41</v>
      </c>
      <c r="U6913" s="26" t="str">
        <f t="shared" si="274"/>
        <v>2025.002G.Monodnaviria_reorg_4nr.zip</v>
      </c>
    </row>
    <row r="6914" spans="1:21">
      <c r="A6914">
        <v>6913</v>
      </c>
      <c r="B6914" s="27" t="s">
        <v>20779</v>
      </c>
      <c r="D6914" s="27" t="s">
        <v>1826</v>
      </c>
      <c r="F6914" s="27" t="s">
        <v>1827</v>
      </c>
      <c r="H6914" s="27" t="s">
        <v>1830</v>
      </c>
      <c r="J6914" s="27" t="s">
        <v>1831</v>
      </c>
      <c r="L6914" s="27" t="s">
        <v>234</v>
      </c>
      <c r="N6914" s="27" t="s">
        <v>701</v>
      </c>
      <c r="P6914" s="27" t="s">
        <v>8273</v>
      </c>
      <c r="Q6914" s="26" t="str">
        <f>HYPERLINK("https://ictv.global/taxonomy/taxondetails?taxnode_id=202504415&amp;ictv_id=ICTV20153683","ICTV20153683")</f>
        <v>ICTV20153683</v>
      </c>
      <c r="R6914" t="s">
        <v>579</v>
      </c>
      <c r="S6914" t="s">
        <v>824</v>
      </c>
      <c r="T6914">
        <v>41</v>
      </c>
      <c r="U6914" s="26" t="str">
        <f t="shared" si="274"/>
        <v>2025.002G.Monodnaviria_reorg_4nr.zip</v>
      </c>
    </row>
    <row r="6915" spans="1:21">
      <c r="A6915">
        <v>6914</v>
      </c>
      <c r="B6915" s="27" t="s">
        <v>20779</v>
      </c>
      <c r="D6915" s="27" t="s">
        <v>1826</v>
      </c>
      <c r="F6915" s="27" t="s">
        <v>1827</v>
      </c>
      <c r="H6915" s="27" t="s">
        <v>1830</v>
      </c>
      <c r="J6915" s="27" t="s">
        <v>1831</v>
      </c>
      <c r="L6915" s="27" t="s">
        <v>234</v>
      </c>
      <c r="N6915" s="27" t="s">
        <v>701</v>
      </c>
      <c r="P6915" s="27" t="s">
        <v>8274</v>
      </c>
      <c r="Q6915" s="26" t="str">
        <f>HYPERLINK("https://ictv.global/taxonomy/taxondetails?taxnode_id=202509587&amp;ictv_id=ICTV202009587","ICTV202009587")</f>
        <v>ICTV202009587</v>
      </c>
      <c r="R6915" t="s">
        <v>579</v>
      </c>
      <c r="S6915" t="s">
        <v>824</v>
      </c>
      <c r="T6915">
        <v>41</v>
      </c>
      <c r="U6915" s="26" t="str">
        <f t="shared" si="274"/>
        <v>2025.002G.Monodnaviria_reorg_4nr.zip</v>
      </c>
    </row>
    <row r="6916" spans="1:21">
      <c r="A6916">
        <v>6915</v>
      </c>
      <c r="B6916" s="27" t="s">
        <v>20779</v>
      </c>
      <c r="D6916" s="27" t="s">
        <v>1826</v>
      </c>
      <c r="F6916" s="27" t="s">
        <v>1827</v>
      </c>
      <c r="H6916" s="27" t="s">
        <v>1830</v>
      </c>
      <c r="J6916" s="27" t="s">
        <v>1831</v>
      </c>
      <c r="L6916" s="27" t="s">
        <v>234</v>
      </c>
      <c r="N6916" s="27" t="s">
        <v>701</v>
      </c>
      <c r="P6916" s="27" t="s">
        <v>8275</v>
      </c>
      <c r="Q6916" s="26" t="str">
        <f>HYPERLINK("https://ictv.global/taxonomy/taxondetails?taxnode_id=202504416&amp;ictv_id=ICTV20153684","ICTV20153684")</f>
        <v>ICTV20153684</v>
      </c>
      <c r="R6916" t="s">
        <v>579</v>
      </c>
      <c r="S6916" t="s">
        <v>824</v>
      </c>
      <c r="T6916">
        <v>41</v>
      </c>
      <c r="U6916" s="26" t="str">
        <f t="shared" si="274"/>
        <v>2025.002G.Monodnaviria_reorg_4nr.zip</v>
      </c>
    </row>
    <row r="6917" spans="1:21">
      <c r="A6917">
        <v>6916</v>
      </c>
      <c r="B6917" s="27" t="s">
        <v>20779</v>
      </c>
      <c r="D6917" s="27" t="s">
        <v>1826</v>
      </c>
      <c r="F6917" s="27" t="s">
        <v>1827</v>
      </c>
      <c r="H6917" s="27" t="s">
        <v>1830</v>
      </c>
      <c r="J6917" s="27" t="s">
        <v>1831</v>
      </c>
      <c r="L6917" s="27" t="s">
        <v>234</v>
      </c>
      <c r="N6917" s="27" t="s">
        <v>701</v>
      </c>
      <c r="P6917" s="27" t="s">
        <v>8276</v>
      </c>
      <c r="Q6917" s="26" t="str">
        <f>HYPERLINK("https://ictv.global/taxonomy/taxondetails?taxnode_id=202504417&amp;ictv_id=ICTV20153685","ICTV20153685")</f>
        <v>ICTV20153685</v>
      </c>
      <c r="R6917" t="s">
        <v>579</v>
      </c>
      <c r="S6917" t="s">
        <v>824</v>
      </c>
      <c r="T6917">
        <v>41</v>
      </c>
      <c r="U6917" s="26" t="str">
        <f t="shared" si="274"/>
        <v>2025.002G.Monodnaviria_reorg_4nr.zip</v>
      </c>
    </row>
    <row r="6918" spans="1:21">
      <c r="A6918">
        <v>6917</v>
      </c>
      <c r="B6918" s="27" t="s">
        <v>20779</v>
      </c>
      <c r="D6918" s="27" t="s">
        <v>1826</v>
      </c>
      <c r="F6918" s="27" t="s">
        <v>1827</v>
      </c>
      <c r="H6918" s="27" t="s">
        <v>1830</v>
      </c>
      <c r="J6918" s="27" t="s">
        <v>1831</v>
      </c>
      <c r="L6918" s="27" t="s">
        <v>234</v>
      </c>
      <c r="N6918" s="27" t="s">
        <v>701</v>
      </c>
      <c r="P6918" s="27" t="s">
        <v>19958</v>
      </c>
      <c r="Q6918" s="26" t="str">
        <f>HYPERLINK("https://ictv.global/taxonomy/taxondetails?taxnode_id=202520097&amp;ictv_id=ICTV202420097","ICTV202420097")</f>
        <v>ICTV202420097</v>
      </c>
      <c r="R6918" t="s">
        <v>579</v>
      </c>
      <c r="S6918" t="s">
        <v>824</v>
      </c>
      <c r="T6918">
        <v>41</v>
      </c>
      <c r="U6918" s="26" t="str">
        <f t="shared" si="274"/>
        <v>2025.002G.Monodnaviria_reorg_4nr.zip</v>
      </c>
    </row>
    <row r="6919" spans="1:21">
      <c r="A6919">
        <v>6918</v>
      </c>
      <c r="B6919" s="27" t="s">
        <v>20779</v>
      </c>
      <c r="D6919" s="27" t="s">
        <v>1826</v>
      </c>
      <c r="F6919" s="27" t="s">
        <v>1827</v>
      </c>
      <c r="H6919" s="27" t="s">
        <v>1830</v>
      </c>
      <c r="J6919" s="27" t="s">
        <v>1831</v>
      </c>
      <c r="L6919" s="27" t="s">
        <v>234</v>
      </c>
      <c r="N6919" s="27" t="s">
        <v>701</v>
      </c>
      <c r="P6919" s="27" t="s">
        <v>8277</v>
      </c>
      <c r="Q6919" s="26" t="str">
        <f>HYPERLINK("https://ictv.global/taxonomy/taxondetails?taxnode_id=202504418&amp;ictv_id=ICTV20153686","ICTV20153686")</f>
        <v>ICTV20153686</v>
      </c>
      <c r="R6919" t="s">
        <v>579</v>
      </c>
      <c r="S6919" t="s">
        <v>824</v>
      </c>
      <c r="T6919">
        <v>41</v>
      </c>
      <c r="U6919" s="26" t="str">
        <f t="shared" si="274"/>
        <v>2025.002G.Monodnaviria_reorg_4nr.zip</v>
      </c>
    </row>
    <row r="6920" spans="1:21">
      <c r="A6920">
        <v>6919</v>
      </c>
      <c r="B6920" s="27" t="s">
        <v>20779</v>
      </c>
      <c r="D6920" s="27" t="s">
        <v>1826</v>
      </c>
      <c r="F6920" s="27" t="s">
        <v>1827</v>
      </c>
      <c r="H6920" s="27" t="s">
        <v>1830</v>
      </c>
      <c r="J6920" s="27" t="s">
        <v>1831</v>
      </c>
      <c r="L6920" s="27" t="s">
        <v>234</v>
      </c>
      <c r="N6920" s="27" t="s">
        <v>701</v>
      </c>
      <c r="P6920" s="27" t="s">
        <v>8278</v>
      </c>
      <c r="Q6920" s="26" t="str">
        <f>HYPERLINK("https://ictv.global/taxonomy/taxondetails?taxnode_id=202504420&amp;ictv_id=ICTV20153688","ICTV20153688")</f>
        <v>ICTV20153688</v>
      </c>
      <c r="R6920" t="s">
        <v>579</v>
      </c>
      <c r="S6920" t="s">
        <v>824</v>
      </c>
      <c r="T6920">
        <v>41</v>
      </c>
      <c r="U6920" s="26" t="str">
        <f t="shared" si="274"/>
        <v>2025.002G.Monodnaviria_reorg_4nr.zip</v>
      </c>
    </row>
    <row r="6921" spans="1:21">
      <c r="A6921">
        <v>6920</v>
      </c>
      <c r="B6921" s="27" t="s">
        <v>20779</v>
      </c>
      <c r="D6921" s="27" t="s">
        <v>1826</v>
      </c>
      <c r="F6921" s="27" t="s">
        <v>1827</v>
      </c>
      <c r="H6921" s="27" t="s">
        <v>1830</v>
      </c>
      <c r="J6921" s="27" t="s">
        <v>1831</v>
      </c>
      <c r="L6921" s="27" t="s">
        <v>234</v>
      </c>
      <c r="N6921" s="27" t="s">
        <v>701</v>
      </c>
      <c r="P6921" s="27" t="s">
        <v>8279</v>
      </c>
      <c r="Q6921" s="26" t="str">
        <f>HYPERLINK("https://ictv.global/taxonomy/taxondetails?taxnode_id=202504421&amp;ictv_id=ICTV20153689","ICTV20153689")</f>
        <v>ICTV20153689</v>
      </c>
      <c r="R6921" t="s">
        <v>579</v>
      </c>
      <c r="S6921" t="s">
        <v>824</v>
      </c>
      <c r="T6921">
        <v>41</v>
      </c>
      <c r="U6921" s="26" t="str">
        <f t="shared" si="274"/>
        <v>2025.002G.Monodnaviria_reorg_4nr.zip</v>
      </c>
    </row>
    <row r="6922" spans="1:21">
      <c r="A6922">
        <v>6921</v>
      </c>
      <c r="B6922" s="27" t="s">
        <v>20779</v>
      </c>
      <c r="D6922" s="27" t="s">
        <v>1826</v>
      </c>
      <c r="F6922" s="27" t="s">
        <v>1827</v>
      </c>
      <c r="H6922" s="27" t="s">
        <v>1830</v>
      </c>
      <c r="J6922" s="27" t="s">
        <v>1831</v>
      </c>
      <c r="L6922" s="27" t="s">
        <v>234</v>
      </c>
      <c r="N6922" s="27" t="s">
        <v>701</v>
      </c>
      <c r="P6922" s="27" t="s">
        <v>19959</v>
      </c>
      <c r="Q6922" s="26" t="str">
        <f>HYPERLINK("https://ictv.global/taxonomy/taxondetails?taxnode_id=202520098&amp;ictv_id=ICTV202420098","ICTV202420098")</f>
        <v>ICTV202420098</v>
      </c>
      <c r="R6922" t="s">
        <v>579</v>
      </c>
      <c r="S6922" t="s">
        <v>824</v>
      </c>
      <c r="T6922">
        <v>41</v>
      </c>
      <c r="U6922" s="26" t="str">
        <f t="shared" si="274"/>
        <v>2025.002G.Monodnaviria_reorg_4nr.zip</v>
      </c>
    </row>
    <row r="6923" spans="1:21">
      <c r="A6923">
        <v>6922</v>
      </c>
      <c r="B6923" s="27" t="s">
        <v>20779</v>
      </c>
      <c r="D6923" s="27" t="s">
        <v>1826</v>
      </c>
      <c r="F6923" s="27" t="s">
        <v>1827</v>
      </c>
      <c r="H6923" s="27" t="s">
        <v>1830</v>
      </c>
      <c r="J6923" s="27" t="s">
        <v>1831</v>
      </c>
      <c r="L6923" s="27" t="s">
        <v>234</v>
      </c>
      <c r="N6923" s="27" t="s">
        <v>701</v>
      </c>
      <c r="P6923" s="27" t="s">
        <v>8280</v>
      </c>
      <c r="Q6923" s="26" t="str">
        <f>HYPERLINK("https://ictv.global/taxonomy/taxondetails?taxnode_id=202504422&amp;ictv_id=ICTV20153690","ICTV20153690")</f>
        <v>ICTV20153690</v>
      </c>
      <c r="R6923" t="s">
        <v>579</v>
      </c>
      <c r="S6923" t="s">
        <v>824</v>
      </c>
      <c r="T6923">
        <v>41</v>
      </c>
      <c r="U6923" s="26" t="str">
        <f t="shared" si="274"/>
        <v>2025.002G.Monodnaviria_reorg_4nr.zip</v>
      </c>
    </row>
    <row r="6924" spans="1:21">
      <c r="A6924">
        <v>6923</v>
      </c>
      <c r="B6924" s="27" t="s">
        <v>20779</v>
      </c>
      <c r="D6924" s="27" t="s">
        <v>1826</v>
      </c>
      <c r="F6924" s="27" t="s">
        <v>1827</v>
      </c>
      <c r="H6924" s="27" t="s">
        <v>1830</v>
      </c>
      <c r="J6924" s="27" t="s">
        <v>1831</v>
      </c>
      <c r="L6924" s="27" t="s">
        <v>234</v>
      </c>
      <c r="N6924" s="27" t="s">
        <v>701</v>
      </c>
      <c r="P6924" s="27" t="s">
        <v>8281</v>
      </c>
      <c r="Q6924" s="26" t="str">
        <f>HYPERLINK("https://ictv.global/taxonomy/taxondetails?taxnode_id=202504428&amp;ictv_id=ICTV20153696","ICTV20153696")</f>
        <v>ICTV20153696</v>
      </c>
      <c r="R6924" t="s">
        <v>579</v>
      </c>
      <c r="S6924" t="s">
        <v>824</v>
      </c>
      <c r="T6924">
        <v>41</v>
      </c>
      <c r="U6924" s="26" t="str">
        <f t="shared" si="274"/>
        <v>2025.002G.Monodnaviria_reorg_4nr.zip</v>
      </c>
    </row>
    <row r="6925" spans="1:21">
      <c r="A6925">
        <v>6924</v>
      </c>
      <c r="B6925" s="27" t="s">
        <v>20779</v>
      </c>
      <c r="D6925" s="27" t="s">
        <v>1826</v>
      </c>
      <c r="F6925" s="27" t="s">
        <v>1827</v>
      </c>
      <c r="H6925" s="27" t="s">
        <v>1830</v>
      </c>
      <c r="J6925" s="27" t="s">
        <v>1831</v>
      </c>
      <c r="L6925" s="27" t="s">
        <v>234</v>
      </c>
      <c r="N6925" s="27" t="s">
        <v>701</v>
      </c>
      <c r="P6925" s="27" t="s">
        <v>8282</v>
      </c>
      <c r="Q6925" s="26" t="str">
        <f>HYPERLINK("https://ictv.global/taxonomy/taxondetails?taxnode_id=202504429&amp;ictv_id=ICTV19951410","ICTV19951410")</f>
        <v>ICTV19951410</v>
      </c>
      <c r="R6925" t="s">
        <v>579</v>
      </c>
      <c r="S6925" t="s">
        <v>824</v>
      </c>
      <c r="T6925">
        <v>41</v>
      </c>
      <c r="U6925" s="26" t="str">
        <f t="shared" si="274"/>
        <v>2025.002G.Monodnaviria_reorg_4nr.zip</v>
      </c>
    </row>
    <row r="6926" spans="1:21">
      <c r="A6926">
        <v>6925</v>
      </c>
      <c r="B6926" s="27" t="s">
        <v>20779</v>
      </c>
      <c r="D6926" s="27" t="s">
        <v>1826</v>
      </c>
      <c r="F6926" s="27" t="s">
        <v>1827</v>
      </c>
      <c r="H6926" s="27" t="s">
        <v>1830</v>
      </c>
      <c r="J6926" s="27" t="s">
        <v>1831</v>
      </c>
      <c r="L6926" s="27" t="s">
        <v>234</v>
      </c>
      <c r="N6926" s="27" t="s">
        <v>701</v>
      </c>
      <c r="P6926" s="27" t="s">
        <v>8283</v>
      </c>
      <c r="Q6926" s="26" t="str">
        <f>HYPERLINK("https://ictv.global/taxonomy/taxondetails?taxnode_id=202506343&amp;ictv_id=ICTV201856343","ICTV201856343")</f>
        <v>ICTV201856343</v>
      </c>
      <c r="R6926" t="s">
        <v>579</v>
      </c>
      <c r="S6926" t="s">
        <v>824</v>
      </c>
      <c r="T6926">
        <v>41</v>
      </c>
      <c r="U6926" s="26" t="str">
        <f t="shared" si="274"/>
        <v>2025.002G.Monodnaviria_reorg_4nr.zip</v>
      </c>
    </row>
    <row r="6927" spans="1:21">
      <c r="A6927">
        <v>6926</v>
      </c>
      <c r="B6927" s="27" t="s">
        <v>20779</v>
      </c>
      <c r="D6927" s="27" t="s">
        <v>1826</v>
      </c>
      <c r="F6927" s="27" t="s">
        <v>1827</v>
      </c>
      <c r="H6927" s="27" t="s">
        <v>1830</v>
      </c>
      <c r="J6927" s="27" t="s">
        <v>1831</v>
      </c>
      <c r="L6927" s="27" t="s">
        <v>234</v>
      </c>
      <c r="N6927" s="27" t="s">
        <v>701</v>
      </c>
      <c r="P6927" s="27" t="s">
        <v>8284</v>
      </c>
      <c r="Q6927" s="26" t="str">
        <f>HYPERLINK("https://ictv.global/taxonomy/taxondetails?taxnode_id=202504430&amp;ictv_id=ICTV20153697","ICTV20153697")</f>
        <v>ICTV20153697</v>
      </c>
      <c r="R6927" t="s">
        <v>579</v>
      </c>
      <c r="S6927" t="s">
        <v>824</v>
      </c>
      <c r="T6927">
        <v>41</v>
      </c>
      <c r="U6927" s="26" t="str">
        <f t="shared" si="274"/>
        <v>2025.002G.Monodnaviria_reorg_4nr.zip</v>
      </c>
    </row>
    <row r="6928" spans="1:21">
      <c r="A6928">
        <v>6927</v>
      </c>
      <c r="B6928" s="27" t="s">
        <v>20779</v>
      </c>
      <c r="D6928" s="27" t="s">
        <v>1826</v>
      </c>
      <c r="F6928" s="27" t="s">
        <v>1827</v>
      </c>
      <c r="H6928" s="27" t="s">
        <v>1830</v>
      </c>
      <c r="J6928" s="27" t="s">
        <v>1831</v>
      </c>
      <c r="L6928" s="27" t="s">
        <v>234</v>
      </c>
      <c r="N6928" s="27" t="s">
        <v>701</v>
      </c>
      <c r="P6928" s="27" t="s">
        <v>8285</v>
      </c>
      <c r="Q6928" s="26" t="str">
        <f>HYPERLINK("https://ictv.global/taxonomy/taxondetails?taxnode_id=202504431&amp;ictv_id=ICTV19710057","ICTV19710057")</f>
        <v>ICTV19710057</v>
      </c>
      <c r="R6928" t="s">
        <v>579</v>
      </c>
      <c r="S6928" t="s">
        <v>824</v>
      </c>
      <c r="T6928">
        <v>41</v>
      </c>
      <c r="U6928" s="26" t="str">
        <f t="shared" si="274"/>
        <v>2025.002G.Monodnaviria_reorg_4nr.zip</v>
      </c>
    </row>
    <row r="6929" spans="1:21">
      <c r="A6929">
        <v>6928</v>
      </c>
      <c r="B6929" s="27" t="s">
        <v>20779</v>
      </c>
      <c r="D6929" s="27" t="s">
        <v>1826</v>
      </c>
      <c r="F6929" s="27" t="s">
        <v>1827</v>
      </c>
      <c r="H6929" s="27" t="s">
        <v>1830</v>
      </c>
      <c r="J6929" s="27" t="s">
        <v>1831</v>
      </c>
      <c r="L6929" s="27" t="s">
        <v>234</v>
      </c>
      <c r="N6929" s="27" t="s">
        <v>701</v>
      </c>
      <c r="P6929" s="27" t="s">
        <v>19960</v>
      </c>
      <c r="Q6929" s="26" t="str">
        <f>HYPERLINK("https://ictv.global/taxonomy/taxondetails?taxnode_id=202520099&amp;ictv_id=ICTV202420099","ICTV202420099")</f>
        <v>ICTV202420099</v>
      </c>
      <c r="R6929" t="s">
        <v>579</v>
      </c>
      <c r="S6929" t="s">
        <v>824</v>
      </c>
      <c r="T6929">
        <v>41</v>
      </c>
      <c r="U6929" s="26" t="str">
        <f t="shared" si="274"/>
        <v>2025.002G.Monodnaviria_reorg_4nr.zip</v>
      </c>
    </row>
    <row r="6930" spans="1:21">
      <c r="A6930">
        <v>6929</v>
      </c>
      <c r="B6930" s="27" t="s">
        <v>20779</v>
      </c>
      <c r="D6930" s="27" t="s">
        <v>1826</v>
      </c>
      <c r="F6930" s="27" t="s">
        <v>1827</v>
      </c>
      <c r="H6930" s="27" t="s">
        <v>1830</v>
      </c>
      <c r="J6930" s="27" t="s">
        <v>1831</v>
      </c>
      <c r="L6930" s="27" t="s">
        <v>234</v>
      </c>
      <c r="N6930" s="27" t="s">
        <v>701</v>
      </c>
      <c r="P6930" s="27" t="s">
        <v>8286</v>
      </c>
      <c r="Q6930" s="26" t="str">
        <f>HYPERLINK("https://ictv.global/taxonomy/taxondetails?taxnode_id=202504425&amp;ictv_id=ICTV20153693","ICTV20153693")</f>
        <v>ICTV20153693</v>
      </c>
      <c r="R6930" t="s">
        <v>579</v>
      </c>
      <c r="S6930" t="s">
        <v>824</v>
      </c>
      <c r="T6930">
        <v>41</v>
      </c>
      <c r="U6930" s="26" t="str">
        <f t="shared" si="274"/>
        <v>2025.002G.Monodnaviria_reorg_4nr.zip</v>
      </c>
    </row>
    <row r="6931" spans="1:21">
      <c r="A6931">
        <v>6930</v>
      </c>
      <c r="B6931" s="27" t="s">
        <v>20779</v>
      </c>
      <c r="D6931" s="27" t="s">
        <v>1826</v>
      </c>
      <c r="F6931" s="27" t="s">
        <v>1827</v>
      </c>
      <c r="H6931" s="27" t="s">
        <v>1830</v>
      </c>
      <c r="J6931" s="27" t="s">
        <v>1831</v>
      </c>
      <c r="L6931" s="27" t="s">
        <v>234</v>
      </c>
      <c r="N6931" s="27" t="s">
        <v>701</v>
      </c>
      <c r="P6931" s="27" t="s">
        <v>8287</v>
      </c>
      <c r="Q6931" s="26" t="str">
        <f>HYPERLINK("https://ictv.global/taxonomy/taxondetails?taxnode_id=202504424&amp;ictv_id=ICTV20153692","ICTV20153692")</f>
        <v>ICTV20153692</v>
      </c>
      <c r="R6931" t="s">
        <v>579</v>
      </c>
      <c r="S6931" t="s">
        <v>824</v>
      </c>
      <c r="T6931">
        <v>41</v>
      </c>
      <c r="U6931" s="26" t="str">
        <f t="shared" si="274"/>
        <v>2025.002G.Monodnaviria_reorg_4nr.zip</v>
      </c>
    </row>
    <row r="6932" spans="1:21">
      <c r="A6932">
        <v>6931</v>
      </c>
      <c r="B6932" s="27" t="s">
        <v>20779</v>
      </c>
      <c r="D6932" s="27" t="s">
        <v>1826</v>
      </c>
      <c r="F6932" s="27" t="s">
        <v>1827</v>
      </c>
      <c r="H6932" s="27" t="s">
        <v>1830</v>
      </c>
      <c r="J6932" s="27" t="s">
        <v>1831</v>
      </c>
      <c r="L6932" s="27" t="s">
        <v>234</v>
      </c>
      <c r="N6932" s="27" t="s">
        <v>701</v>
      </c>
      <c r="P6932" s="27" t="s">
        <v>8288</v>
      </c>
      <c r="Q6932" s="26" t="str">
        <f>HYPERLINK("https://ictv.global/taxonomy/taxondetails?taxnode_id=202504432&amp;ictv_id=ICTV20153698","ICTV20153698")</f>
        <v>ICTV20153698</v>
      </c>
      <c r="R6932" t="s">
        <v>579</v>
      </c>
      <c r="S6932" t="s">
        <v>824</v>
      </c>
      <c r="T6932">
        <v>41</v>
      </c>
      <c r="U6932" s="26" t="str">
        <f t="shared" si="274"/>
        <v>2025.002G.Monodnaviria_reorg_4nr.zip</v>
      </c>
    </row>
    <row r="6933" spans="1:21">
      <c r="A6933">
        <v>6932</v>
      </c>
      <c r="B6933" s="27" t="s">
        <v>20779</v>
      </c>
      <c r="D6933" s="27" t="s">
        <v>1826</v>
      </c>
      <c r="F6933" s="27" t="s">
        <v>1827</v>
      </c>
      <c r="H6933" s="27" t="s">
        <v>1830</v>
      </c>
      <c r="J6933" s="27" t="s">
        <v>1831</v>
      </c>
      <c r="L6933" s="27" t="s">
        <v>234</v>
      </c>
      <c r="N6933" s="27" t="s">
        <v>701</v>
      </c>
      <c r="P6933" s="27" t="s">
        <v>8289</v>
      </c>
      <c r="Q6933" s="26" t="str">
        <f>HYPERLINK("https://ictv.global/taxonomy/taxondetails?taxnode_id=202504441&amp;ictv_id=ICTV20153707","ICTV20153707")</f>
        <v>ICTV20153707</v>
      </c>
      <c r="R6933" t="s">
        <v>579</v>
      </c>
      <c r="S6933" t="s">
        <v>824</v>
      </c>
      <c r="T6933">
        <v>41</v>
      </c>
      <c r="U6933" s="26" t="str">
        <f t="shared" si="274"/>
        <v>2025.002G.Monodnaviria_reorg_4nr.zip</v>
      </c>
    </row>
    <row r="6934" spans="1:21">
      <c r="A6934">
        <v>6933</v>
      </c>
      <c r="B6934" s="27" t="s">
        <v>20779</v>
      </c>
      <c r="D6934" s="27" t="s">
        <v>1826</v>
      </c>
      <c r="F6934" s="27" t="s">
        <v>1827</v>
      </c>
      <c r="H6934" s="27" t="s">
        <v>1830</v>
      </c>
      <c r="J6934" s="27" t="s">
        <v>1831</v>
      </c>
      <c r="L6934" s="27" t="s">
        <v>234</v>
      </c>
      <c r="N6934" s="27" t="s">
        <v>701</v>
      </c>
      <c r="P6934" s="27" t="s">
        <v>8290</v>
      </c>
      <c r="Q6934" s="26" t="str">
        <f>HYPERLINK("https://ictv.global/taxonomy/taxondetails?taxnode_id=202504434&amp;ictv_id=ICTV20153700","ICTV20153700")</f>
        <v>ICTV20153700</v>
      </c>
      <c r="R6934" t="s">
        <v>579</v>
      </c>
      <c r="S6934" t="s">
        <v>824</v>
      </c>
      <c r="T6934">
        <v>41</v>
      </c>
      <c r="U6934" s="26" t="str">
        <f t="shared" si="274"/>
        <v>2025.002G.Monodnaviria_reorg_4nr.zip</v>
      </c>
    </row>
    <row r="6935" spans="1:21">
      <c r="A6935">
        <v>6934</v>
      </c>
      <c r="B6935" s="27" t="s">
        <v>20779</v>
      </c>
      <c r="D6935" s="27" t="s">
        <v>1826</v>
      </c>
      <c r="F6935" s="27" t="s">
        <v>1827</v>
      </c>
      <c r="H6935" s="27" t="s">
        <v>1830</v>
      </c>
      <c r="J6935" s="27" t="s">
        <v>1831</v>
      </c>
      <c r="L6935" s="27" t="s">
        <v>234</v>
      </c>
      <c r="N6935" s="27" t="s">
        <v>701</v>
      </c>
      <c r="P6935" s="27" t="s">
        <v>8291</v>
      </c>
      <c r="Q6935" s="26" t="str">
        <f>HYPERLINK("https://ictv.global/taxonomy/taxondetails?taxnode_id=202509586&amp;ictv_id=ICTV202009586","ICTV202009586")</f>
        <v>ICTV202009586</v>
      </c>
      <c r="R6935" t="s">
        <v>579</v>
      </c>
      <c r="S6935" t="s">
        <v>824</v>
      </c>
      <c r="T6935">
        <v>41</v>
      </c>
      <c r="U6935" s="26" t="str">
        <f t="shared" si="274"/>
        <v>2025.002G.Monodnaviria_reorg_4nr.zip</v>
      </c>
    </row>
    <row r="6936" spans="1:21">
      <c r="A6936">
        <v>6935</v>
      </c>
      <c r="B6936" s="27" t="s">
        <v>20779</v>
      </c>
      <c r="D6936" s="27" t="s">
        <v>1826</v>
      </c>
      <c r="F6936" s="27" t="s">
        <v>1827</v>
      </c>
      <c r="H6936" s="27" t="s">
        <v>1830</v>
      </c>
      <c r="J6936" s="27" t="s">
        <v>1831</v>
      </c>
      <c r="L6936" s="27" t="s">
        <v>234</v>
      </c>
      <c r="N6936" s="27" t="s">
        <v>701</v>
      </c>
      <c r="P6936" s="27" t="s">
        <v>8292</v>
      </c>
      <c r="Q6936" s="26" t="str">
        <f>HYPERLINK("https://ictv.global/taxonomy/taxondetails?taxnode_id=202505904&amp;ictv_id=ICTV20175904","ICTV20175904")</f>
        <v>ICTV20175904</v>
      </c>
      <c r="R6936" t="s">
        <v>579</v>
      </c>
      <c r="S6936" t="s">
        <v>824</v>
      </c>
      <c r="T6936">
        <v>41</v>
      </c>
      <c r="U6936" s="26" t="str">
        <f t="shared" si="274"/>
        <v>2025.002G.Monodnaviria_reorg_4nr.zip</v>
      </c>
    </row>
    <row r="6937" spans="1:21">
      <c r="A6937">
        <v>6936</v>
      </c>
      <c r="B6937" s="27" t="s">
        <v>20779</v>
      </c>
      <c r="D6937" s="27" t="s">
        <v>1826</v>
      </c>
      <c r="F6937" s="27" t="s">
        <v>1827</v>
      </c>
      <c r="H6937" s="27" t="s">
        <v>1830</v>
      </c>
      <c r="J6937" s="27" t="s">
        <v>1831</v>
      </c>
      <c r="L6937" s="27" t="s">
        <v>234</v>
      </c>
      <c r="N6937" s="27" t="s">
        <v>701</v>
      </c>
      <c r="P6937" s="27" t="s">
        <v>8293</v>
      </c>
      <c r="Q6937" s="26" t="str">
        <f>HYPERLINK("https://ictv.global/taxonomy/taxondetails?taxnode_id=202504442&amp;ictv_id=ICTV20153708","ICTV20153708")</f>
        <v>ICTV20153708</v>
      </c>
      <c r="R6937" t="s">
        <v>579</v>
      </c>
      <c r="S6937" t="s">
        <v>824</v>
      </c>
      <c r="T6937">
        <v>41</v>
      </c>
      <c r="U6937" s="26" t="str">
        <f t="shared" si="274"/>
        <v>2025.002G.Monodnaviria_reorg_4nr.zip</v>
      </c>
    </row>
    <row r="6938" spans="1:21">
      <c r="A6938">
        <v>6937</v>
      </c>
      <c r="B6938" s="27" t="s">
        <v>20779</v>
      </c>
      <c r="D6938" s="27" t="s">
        <v>1826</v>
      </c>
      <c r="F6938" s="27" t="s">
        <v>1827</v>
      </c>
      <c r="H6938" s="27" t="s">
        <v>1830</v>
      </c>
      <c r="J6938" s="27" t="s">
        <v>1831</v>
      </c>
      <c r="L6938" s="27" t="s">
        <v>234</v>
      </c>
      <c r="N6938" s="27" t="s">
        <v>701</v>
      </c>
      <c r="P6938" s="27" t="s">
        <v>8294</v>
      </c>
      <c r="Q6938" s="26" t="str">
        <f>HYPERLINK("https://ictv.global/taxonomy/taxondetails?taxnode_id=202504443&amp;ictv_id=ICTV20153709","ICTV20153709")</f>
        <v>ICTV20153709</v>
      </c>
      <c r="R6938" t="s">
        <v>579</v>
      </c>
      <c r="S6938" t="s">
        <v>824</v>
      </c>
      <c r="T6938">
        <v>41</v>
      </c>
      <c r="U6938" s="26" t="str">
        <f t="shared" si="274"/>
        <v>2025.002G.Monodnaviria_reorg_4nr.zip</v>
      </c>
    </row>
    <row r="6939" spans="1:21">
      <c r="A6939">
        <v>6938</v>
      </c>
      <c r="B6939" s="27" t="s">
        <v>20779</v>
      </c>
      <c r="D6939" s="27" t="s">
        <v>1826</v>
      </c>
      <c r="F6939" s="27" t="s">
        <v>1827</v>
      </c>
      <c r="H6939" s="27" t="s">
        <v>1830</v>
      </c>
      <c r="J6939" s="27" t="s">
        <v>1831</v>
      </c>
      <c r="L6939" s="27" t="s">
        <v>234</v>
      </c>
      <c r="N6939" s="27" t="s">
        <v>701</v>
      </c>
      <c r="P6939" s="27" t="s">
        <v>8295</v>
      </c>
      <c r="Q6939" s="26" t="str">
        <f>HYPERLINK("https://ictv.global/taxonomy/taxondetails?taxnode_id=202504444&amp;ictv_id=ICTV20153710","ICTV20153710")</f>
        <v>ICTV20153710</v>
      </c>
      <c r="R6939" t="s">
        <v>579</v>
      </c>
      <c r="S6939" t="s">
        <v>824</v>
      </c>
      <c r="T6939">
        <v>41</v>
      </c>
      <c r="U6939" s="26" t="str">
        <f t="shared" si="274"/>
        <v>2025.002G.Monodnaviria_reorg_4nr.zip</v>
      </c>
    </row>
    <row r="6940" spans="1:21">
      <c r="A6940">
        <v>6939</v>
      </c>
      <c r="B6940" s="27" t="s">
        <v>20779</v>
      </c>
      <c r="D6940" s="27" t="s">
        <v>1826</v>
      </c>
      <c r="F6940" s="27" t="s">
        <v>1827</v>
      </c>
      <c r="H6940" s="27" t="s">
        <v>1830</v>
      </c>
      <c r="J6940" s="27" t="s">
        <v>1831</v>
      </c>
      <c r="L6940" s="27" t="s">
        <v>234</v>
      </c>
      <c r="N6940" s="27" t="s">
        <v>701</v>
      </c>
      <c r="P6940" s="27" t="s">
        <v>8296</v>
      </c>
      <c r="Q6940" s="26" t="str">
        <f>HYPERLINK("https://ictv.global/taxonomy/taxondetails?taxnode_id=202504445&amp;ictv_id=ICTV20153711","ICTV20153711")</f>
        <v>ICTV20153711</v>
      </c>
      <c r="R6940" t="s">
        <v>579</v>
      </c>
      <c r="S6940" t="s">
        <v>824</v>
      </c>
      <c r="T6940">
        <v>41</v>
      </c>
      <c r="U6940" s="26" t="str">
        <f t="shared" si="274"/>
        <v>2025.002G.Monodnaviria_reorg_4nr.zip</v>
      </c>
    </row>
    <row r="6941" spans="1:21">
      <c r="A6941">
        <v>6940</v>
      </c>
      <c r="B6941" s="27" t="s">
        <v>20779</v>
      </c>
      <c r="D6941" s="27" t="s">
        <v>1826</v>
      </c>
      <c r="F6941" s="27" t="s">
        <v>1827</v>
      </c>
      <c r="H6941" s="27" t="s">
        <v>1830</v>
      </c>
      <c r="J6941" s="27" t="s">
        <v>1831</v>
      </c>
      <c r="L6941" s="27" t="s">
        <v>234</v>
      </c>
      <c r="N6941" s="27" t="s">
        <v>701</v>
      </c>
      <c r="P6941" s="27" t="s">
        <v>8297</v>
      </c>
      <c r="Q6941" s="26" t="str">
        <f>HYPERLINK("https://ictv.global/taxonomy/taxondetails?taxnode_id=202504446&amp;ictv_id=ICTV20153712","ICTV20153712")</f>
        <v>ICTV20153712</v>
      </c>
      <c r="R6941" t="s">
        <v>579</v>
      </c>
      <c r="S6941" t="s">
        <v>824</v>
      </c>
      <c r="T6941">
        <v>41</v>
      </c>
      <c r="U6941" s="26" t="str">
        <f t="shared" si="274"/>
        <v>2025.002G.Monodnaviria_reorg_4nr.zip</v>
      </c>
    </row>
    <row r="6942" spans="1:21">
      <c r="A6942">
        <v>6941</v>
      </c>
      <c r="B6942" s="27" t="s">
        <v>20779</v>
      </c>
      <c r="D6942" s="27" t="s">
        <v>1826</v>
      </c>
      <c r="F6942" s="27" t="s">
        <v>1827</v>
      </c>
      <c r="H6942" s="27" t="s">
        <v>1830</v>
      </c>
      <c r="J6942" s="27" t="s">
        <v>1831</v>
      </c>
      <c r="L6942" s="27" t="s">
        <v>234</v>
      </c>
      <c r="N6942" s="27" t="s">
        <v>701</v>
      </c>
      <c r="P6942" s="27" t="s">
        <v>8298</v>
      </c>
      <c r="Q6942" s="26" t="str">
        <f>HYPERLINK("https://ictv.global/taxonomy/taxondetails?taxnode_id=202507113&amp;ictv_id=ICTV201907113","ICTV201907113")</f>
        <v>ICTV201907113</v>
      </c>
      <c r="R6942" t="s">
        <v>579</v>
      </c>
      <c r="S6942" t="s">
        <v>824</v>
      </c>
      <c r="T6942">
        <v>41</v>
      </c>
      <c r="U6942" s="26" t="str">
        <f t="shared" si="274"/>
        <v>2025.002G.Monodnaviria_reorg_4nr.zip</v>
      </c>
    </row>
    <row r="6943" spans="1:21">
      <c r="A6943">
        <v>6942</v>
      </c>
      <c r="B6943" s="27" t="s">
        <v>20779</v>
      </c>
      <c r="D6943" s="27" t="s">
        <v>1826</v>
      </c>
      <c r="F6943" s="27" t="s">
        <v>1827</v>
      </c>
      <c r="H6943" s="27" t="s">
        <v>1830</v>
      </c>
      <c r="J6943" s="27" t="s">
        <v>1831</v>
      </c>
      <c r="L6943" s="27" t="s">
        <v>234</v>
      </c>
      <c r="N6943" s="27" t="s">
        <v>701</v>
      </c>
      <c r="P6943" s="27" t="s">
        <v>8299</v>
      </c>
      <c r="Q6943" s="26" t="str">
        <f>HYPERLINK("https://ictv.global/taxonomy/taxondetails?taxnode_id=202504437&amp;ictv_id=ICTV20153703","ICTV20153703")</f>
        <v>ICTV20153703</v>
      </c>
      <c r="R6943" t="s">
        <v>579</v>
      </c>
      <c r="S6943" t="s">
        <v>824</v>
      </c>
      <c r="T6943">
        <v>41</v>
      </c>
      <c r="U6943" s="26" t="str">
        <f t="shared" si="274"/>
        <v>2025.002G.Monodnaviria_reorg_4nr.zip</v>
      </c>
    </row>
    <row r="6944" spans="1:21">
      <c r="A6944">
        <v>6943</v>
      </c>
      <c r="B6944" s="27" t="s">
        <v>20779</v>
      </c>
      <c r="D6944" s="27" t="s">
        <v>1826</v>
      </c>
      <c r="F6944" s="27" t="s">
        <v>1827</v>
      </c>
      <c r="H6944" s="27" t="s">
        <v>1830</v>
      </c>
      <c r="J6944" s="27" t="s">
        <v>1831</v>
      </c>
      <c r="L6944" s="27" t="s">
        <v>234</v>
      </c>
      <c r="N6944" s="27" t="s">
        <v>701</v>
      </c>
      <c r="P6944" s="27" t="s">
        <v>8300</v>
      </c>
      <c r="Q6944" s="26" t="str">
        <f>HYPERLINK("https://ictv.global/taxonomy/taxondetails?taxnode_id=202504423&amp;ictv_id=ICTV20153691","ICTV20153691")</f>
        <v>ICTV20153691</v>
      </c>
      <c r="R6944" t="s">
        <v>579</v>
      </c>
      <c r="S6944" t="s">
        <v>824</v>
      </c>
      <c r="T6944">
        <v>41</v>
      </c>
      <c r="U6944" s="26" t="str">
        <f t="shared" si="274"/>
        <v>2025.002G.Monodnaviria_reorg_4nr.zip</v>
      </c>
    </row>
    <row r="6945" spans="1:21">
      <c r="A6945">
        <v>6944</v>
      </c>
      <c r="B6945" s="27" t="s">
        <v>20779</v>
      </c>
      <c r="D6945" s="27" t="s">
        <v>1826</v>
      </c>
      <c r="F6945" s="27" t="s">
        <v>1827</v>
      </c>
      <c r="H6945" s="27" t="s">
        <v>1830</v>
      </c>
      <c r="J6945" s="27" t="s">
        <v>1831</v>
      </c>
      <c r="L6945" s="27" t="s">
        <v>234</v>
      </c>
      <c r="N6945" s="27" t="s">
        <v>701</v>
      </c>
      <c r="P6945" s="27" t="s">
        <v>8301</v>
      </c>
      <c r="Q6945" s="26" t="str">
        <f>HYPERLINK("https://ictv.global/taxonomy/taxondetails?taxnode_id=202504438&amp;ictv_id=ICTV20153704","ICTV20153704")</f>
        <v>ICTV20153704</v>
      </c>
      <c r="R6945" t="s">
        <v>579</v>
      </c>
      <c r="S6945" t="s">
        <v>824</v>
      </c>
      <c r="T6945">
        <v>41</v>
      </c>
      <c r="U6945" s="26" t="str">
        <f t="shared" si="274"/>
        <v>2025.002G.Monodnaviria_reorg_4nr.zip</v>
      </c>
    </row>
    <row r="6946" spans="1:21">
      <c r="A6946">
        <v>6945</v>
      </c>
      <c r="B6946" s="27" t="s">
        <v>20779</v>
      </c>
      <c r="D6946" s="27" t="s">
        <v>1826</v>
      </c>
      <c r="F6946" s="27" t="s">
        <v>1827</v>
      </c>
      <c r="H6946" s="27" t="s">
        <v>1830</v>
      </c>
      <c r="J6946" s="27" t="s">
        <v>1831</v>
      </c>
      <c r="L6946" s="27" t="s">
        <v>234</v>
      </c>
      <c r="N6946" s="27" t="s">
        <v>701</v>
      </c>
      <c r="P6946" s="27" t="s">
        <v>8302</v>
      </c>
      <c r="Q6946" s="26" t="str">
        <f>HYPERLINK("https://ictv.global/taxonomy/taxondetails?taxnode_id=202504447&amp;ictv_id=ICTV20165413","ICTV20165413")</f>
        <v>ICTV20165413</v>
      </c>
      <c r="R6946" t="s">
        <v>579</v>
      </c>
      <c r="S6946" t="s">
        <v>824</v>
      </c>
      <c r="T6946">
        <v>41</v>
      </c>
      <c r="U6946" s="26" t="str">
        <f t="shared" si="274"/>
        <v>2025.002G.Monodnaviria_reorg_4nr.zip</v>
      </c>
    </row>
    <row r="6947" spans="1:21">
      <c r="A6947">
        <v>6946</v>
      </c>
      <c r="B6947" s="27" t="s">
        <v>20779</v>
      </c>
      <c r="D6947" s="27" t="s">
        <v>1826</v>
      </c>
      <c r="F6947" s="27" t="s">
        <v>1827</v>
      </c>
      <c r="H6947" s="27" t="s">
        <v>1830</v>
      </c>
      <c r="J6947" s="27" t="s">
        <v>1831</v>
      </c>
      <c r="L6947" s="27" t="s">
        <v>234</v>
      </c>
      <c r="N6947" s="27" t="s">
        <v>701</v>
      </c>
      <c r="P6947" s="27" t="s">
        <v>8303</v>
      </c>
      <c r="Q6947" s="26" t="str">
        <f>HYPERLINK("https://ictv.global/taxonomy/taxondetails?taxnode_id=202504426&amp;ictv_id=ICTV20153694","ICTV20153694")</f>
        <v>ICTV20153694</v>
      </c>
      <c r="R6947" t="s">
        <v>579</v>
      </c>
      <c r="S6947" t="s">
        <v>824</v>
      </c>
      <c r="T6947">
        <v>41</v>
      </c>
      <c r="U6947" s="26" t="str">
        <f t="shared" si="274"/>
        <v>2025.002G.Monodnaviria_reorg_4nr.zip</v>
      </c>
    </row>
    <row r="6948" spans="1:21">
      <c r="A6948">
        <v>6947</v>
      </c>
      <c r="B6948" s="27" t="s">
        <v>20779</v>
      </c>
      <c r="D6948" s="27" t="s">
        <v>1826</v>
      </c>
      <c r="F6948" s="27" t="s">
        <v>1827</v>
      </c>
      <c r="H6948" s="27" t="s">
        <v>1830</v>
      </c>
      <c r="J6948" s="27" t="s">
        <v>1831</v>
      </c>
      <c r="L6948" s="27" t="s">
        <v>234</v>
      </c>
      <c r="N6948" s="27" t="s">
        <v>701</v>
      </c>
      <c r="P6948" s="27" t="s">
        <v>8304</v>
      </c>
      <c r="Q6948" s="26" t="str">
        <f>HYPERLINK("https://ictv.global/taxonomy/taxondetails?taxnode_id=202504413&amp;ictv_id=ICTV20153681","ICTV20153681")</f>
        <v>ICTV20153681</v>
      </c>
      <c r="R6948" t="s">
        <v>579</v>
      </c>
      <c r="S6948" t="s">
        <v>824</v>
      </c>
      <c r="T6948">
        <v>41</v>
      </c>
      <c r="U6948" s="26" t="str">
        <f t="shared" si="274"/>
        <v>2025.002G.Monodnaviria_reorg_4nr.zip</v>
      </c>
    </row>
    <row r="6949" spans="1:21">
      <c r="A6949">
        <v>6948</v>
      </c>
      <c r="B6949" s="27" t="s">
        <v>20779</v>
      </c>
      <c r="D6949" s="27" t="s">
        <v>1826</v>
      </c>
      <c r="F6949" s="27" t="s">
        <v>1827</v>
      </c>
      <c r="H6949" s="27" t="s">
        <v>1830</v>
      </c>
      <c r="J6949" s="27" t="s">
        <v>1831</v>
      </c>
      <c r="L6949" s="27" t="s">
        <v>234</v>
      </c>
      <c r="N6949" s="27" t="s">
        <v>701</v>
      </c>
      <c r="P6949" s="27" t="s">
        <v>8305</v>
      </c>
      <c r="Q6949" s="26" t="str">
        <f>HYPERLINK("https://ictv.global/taxonomy/taxondetails?taxnode_id=202504433&amp;ictv_id=ICTV20153699","ICTV20153699")</f>
        <v>ICTV20153699</v>
      </c>
      <c r="R6949" t="s">
        <v>579</v>
      </c>
      <c r="S6949" t="s">
        <v>824</v>
      </c>
      <c r="T6949">
        <v>41</v>
      </c>
      <c r="U6949" s="26" t="str">
        <f t="shared" si="274"/>
        <v>2025.002G.Monodnaviria_reorg_4nr.zip</v>
      </c>
    </row>
    <row r="6950" spans="1:21">
      <c r="A6950">
        <v>6949</v>
      </c>
      <c r="B6950" s="27" t="s">
        <v>20779</v>
      </c>
      <c r="D6950" s="27" t="s">
        <v>1826</v>
      </c>
      <c r="F6950" s="27" t="s">
        <v>1827</v>
      </c>
      <c r="H6950" s="27" t="s">
        <v>1830</v>
      </c>
      <c r="J6950" s="27" t="s">
        <v>1831</v>
      </c>
      <c r="L6950" s="27" t="s">
        <v>234</v>
      </c>
      <c r="N6950" s="27" t="s">
        <v>701</v>
      </c>
      <c r="P6950" s="27" t="s">
        <v>8306</v>
      </c>
      <c r="Q6950" s="26" t="str">
        <f>HYPERLINK("https://ictv.global/taxonomy/taxondetails?taxnode_id=202509583&amp;ictv_id=ICTV202009583","ICTV202009583")</f>
        <v>ICTV202009583</v>
      </c>
      <c r="R6950" t="s">
        <v>579</v>
      </c>
      <c r="S6950" t="s">
        <v>824</v>
      </c>
      <c r="T6950">
        <v>41</v>
      </c>
      <c r="U6950" s="26" t="str">
        <f t="shared" si="274"/>
        <v>2025.002G.Monodnaviria_reorg_4nr.zip</v>
      </c>
    </row>
    <row r="6951" spans="1:21">
      <c r="A6951">
        <v>6950</v>
      </c>
      <c r="B6951" s="27" t="s">
        <v>20779</v>
      </c>
      <c r="D6951" s="27" t="s">
        <v>1826</v>
      </c>
      <c r="F6951" s="27" t="s">
        <v>1827</v>
      </c>
      <c r="H6951" s="27" t="s">
        <v>1830</v>
      </c>
      <c r="J6951" s="27" t="s">
        <v>1831</v>
      </c>
      <c r="L6951" s="27" t="s">
        <v>234</v>
      </c>
      <c r="N6951" s="27" t="s">
        <v>701</v>
      </c>
      <c r="P6951" s="27" t="s">
        <v>8307</v>
      </c>
      <c r="Q6951" s="26" t="str">
        <f>HYPERLINK("https://ictv.global/taxonomy/taxondetails?taxnode_id=202506344&amp;ictv_id=ICTV201856344","ICTV201856344")</f>
        <v>ICTV201856344</v>
      </c>
      <c r="R6951" t="s">
        <v>579</v>
      </c>
      <c r="S6951" t="s">
        <v>824</v>
      </c>
      <c r="T6951">
        <v>41</v>
      </c>
      <c r="U6951" s="26" t="str">
        <f t="shared" si="274"/>
        <v>2025.002G.Monodnaviria_reorg_4nr.zip</v>
      </c>
    </row>
    <row r="6952" spans="1:21">
      <c r="A6952">
        <v>6951</v>
      </c>
      <c r="B6952" s="27" t="s">
        <v>20779</v>
      </c>
      <c r="D6952" s="27" t="s">
        <v>1826</v>
      </c>
      <c r="F6952" s="27" t="s">
        <v>1827</v>
      </c>
      <c r="H6952" s="27" t="s">
        <v>1830</v>
      </c>
      <c r="J6952" s="27" t="s">
        <v>1831</v>
      </c>
      <c r="L6952" s="27" t="s">
        <v>234</v>
      </c>
      <c r="N6952" s="27" t="s">
        <v>701</v>
      </c>
      <c r="P6952" s="27" t="s">
        <v>8308</v>
      </c>
      <c r="Q6952" s="26" t="str">
        <f>HYPERLINK("https://ictv.global/taxonomy/taxondetails?taxnode_id=202504435&amp;ictv_id=ICTV20153701","ICTV20153701")</f>
        <v>ICTV20153701</v>
      </c>
      <c r="R6952" t="s">
        <v>579</v>
      </c>
      <c r="S6952" t="s">
        <v>824</v>
      </c>
      <c r="T6952">
        <v>41</v>
      </c>
      <c r="U6952" s="26" t="str">
        <f t="shared" si="274"/>
        <v>2025.002G.Monodnaviria_reorg_4nr.zip</v>
      </c>
    </row>
    <row r="6953" spans="1:21">
      <c r="A6953">
        <v>6952</v>
      </c>
      <c r="B6953" s="27" t="s">
        <v>20779</v>
      </c>
      <c r="D6953" s="27" t="s">
        <v>1826</v>
      </c>
      <c r="F6953" s="27" t="s">
        <v>1827</v>
      </c>
      <c r="H6953" s="27" t="s">
        <v>1830</v>
      </c>
      <c r="J6953" s="27" t="s">
        <v>1831</v>
      </c>
      <c r="L6953" s="27" t="s">
        <v>234</v>
      </c>
      <c r="N6953" s="27" t="s">
        <v>701</v>
      </c>
      <c r="P6953" s="27" t="s">
        <v>8309</v>
      </c>
      <c r="Q6953" s="26" t="str">
        <f>HYPERLINK("https://ictv.global/taxonomy/taxondetails?taxnode_id=202504440&amp;ictv_id=ICTV20153706","ICTV20153706")</f>
        <v>ICTV20153706</v>
      </c>
      <c r="R6953" t="s">
        <v>579</v>
      </c>
      <c r="S6953" t="s">
        <v>824</v>
      </c>
      <c r="T6953">
        <v>41</v>
      </c>
      <c r="U6953" s="26" t="str">
        <f t="shared" si="274"/>
        <v>2025.002G.Monodnaviria_reorg_4nr.zip</v>
      </c>
    </row>
    <row r="6954" spans="1:21">
      <c r="A6954">
        <v>6953</v>
      </c>
      <c r="B6954" s="27" t="s">
        <v>20779</v>
      </c>
      <c r="D6954" s="27" t="s">
        <v>1826</v>
      </c>
      <c r="F6954" s="27" t="s">
        <v>1827</v>
      </c>
      <c r="H6954" s="27" t="s">
        <v>1830</v>
      </c>
      <c r="J6954" s="27" t="s">
        <v>1831</v>
      </c>
      <c r="L6954" s="27" t="s">
        <v>234</v>
      </c>
      <c r="N6954" s="27" t="s">
        <v>701</v>
      </c>
      <c r="P6954" s="27" t="s">
        <v>8310</v>
      </c>
      <c r="Q6954" s="26" t="str">
        <f>HYPERLINK("https://ictv.global/taxonomy/taxondetails?taxnode_id=202504439&amp;ictv_id=ICTV20153705","ICTV20153705")</f>
        <v>ICTV20153705</v>
      </c>
      <c r="R6954" t="s">
        <v>579</v>
      </c>
      <c r="S6954" t="s">
        <v>824</v>
      </c>
      <c r="T6954">
        <v>41</v>
      </c>
      <c r="U6954" s="26" t="str">
        <f t="shared" si="274"/>
        <v>2025.002G.Monodnaviria_reorg_4nr.zip</v>
      </c>
    </row>
    <row r="6955" spans="1:21">
      <c r="A6955">
        <v>6954</v>
      </c>
      <c r="B6955" s="27" t="s">
        <v>20779</v>
      </c>
      <c r="D6955" s="27" t="s">
        <v>1826</v>
      </c>
      <c r="F6955" s="27" t="s">
        <v>1827</v>
      </c>
      <c r="H6955" s="27" t="s">
        <v>1830</v>
      </c>
      <c r="J6955" s="27" t="s">
        <v>1831</v>
      </c>
      <c r="L6955" s="27" t="s">
        <v>234</v>
      </c>
      <c r="N6955" s="27" t="s">
        <v>701</v>
      </c>
      <c r="P6955" s="27" t="s">
        <v>8311</v>
      </c>
      <c r="Q6955" s="26" t="str">
        <f>HYPERLINK("https://ictv.global/taxonomy/taxondetails?taxnode_id=202506345&amp;ictv_id=ICTV201856345","ICTV201856345")</f>
        <v>ICTV201856345</v>
      </c>
      <c r="R6955" t="s">
        <v>579</v>
      </c>
      <c r="S6955" t="s">
        <v>824</v>
      </c>
      <c r="T6955">
        <v>41</v>
      </c>
      <c r="U6955" s="26" t="str">
        <f t="shared" si="274"/>
        <v>2025.002G.Monodnaviria_reorg_4nr.zip</v>
      </c>
    </row>
    <row r="6956" spans="1:21">
      <c r="A6956">
        <v>6955</v>
      </c>
      <c r="B6956" s="27" t="s">
        <v>20779</v>
      </c>
      <c r="D6956" s="27" t="s">
        <v>1826</v>
      </c>
      <c r="F6956" s="27" t="s">
        <v>1827</v>
      </c>
      <c r="H6956" s="27" t="s">
        <v>1830</v>
      </c>
      <c r="J6956" s="27" t="s">
        <v>1831</v>
      </c>
      <c r="L6956" s="27" t="s">
        <v>234</v>
      </c>
      <c r="N6956" s="27" t="s">
        <v>701</v>
      </c>
      <c r="P6956" s="27" t="s">
        <v>8312</v>
      </c>
      <c r="Q6956" s="26" t="str">
        <f>HYPERLINK("https://ictv.global/taxonomy/taxondetails?taxnode_id=202506346&amp;ictv_id=ICTV201856346","ICTV201856346")</f>
        <v>ICTV201856346</v>
      </c>
      <c r="R6956" t="s">
        <v>579</v>
      </c>
      <c r="S6956" t="s">
        <v>824</v>
      </c>
      <c r="T6956">
        <v>41</v>
      </c>
      <c r="U6956" s="26" t="str">
        <f t="shared" si="274"/>
        <v>2025.002G.Monodnaviria_reorg_4nr.zip</v>
      </c>
    </row>
    <row r="6957" spans="1:21">
      <c r="A6957">
        <v>6956</v>
      </c>
      <c r="B6957" s="27" t="s">
        <v>20779</v>
      </c>
      <c r="D6957" s="27" t="s">
        <v>1826</v>
      </c>
      <c r="F6957" s="27" t="s">
        <v>1827</v>
      </c>
      <c r="H6957" s="27" t="s">
        <v>1830</v>
      </c>
      <c r="J6957" s="27" t="s">
        <v>1831</v>
      </c>
      <c r="L6957" s="27" t="s">
        <v>234</v>
      </c>
      <c r="N6957" s="27" t="s">
        <v>701</v>
      </c>
      <c r="P6957" s="27" t="s">
        <v>8313</v>
      </c>
      <c r="Q6957" s="26" t="str">
        <f>HYPERLINK("https://ictv.global/taxonomy/taxondetails?taxnode_id=202504448&amp;ictv_id=ICTV20153713","ICTV20153713")</f>
        <v>ICTV20153713</v>
      </c>
      <c r="R6957" t="s">
        <v>579</v>
      </c>
      <c r="S6957" t="s">
        <v>824</v>
      </c>
      <c r="T6957">
        <v>41</v>
      </c>
      <c r="U6957" s="26" t="str">
        <f t="shared" si="274"/>
        <v>2025.002G.Monodnaviria_reorg_4nr.zip</v>
      </c>
    </row>
    <row r="6958" spans="1:21">
      <c r="A6958">
        <v>6957</v>
      </c>
      <c r="B6958" s="27" t="s">
        <v>20779</v>
      </c>
      <c r="D6958" s="27" t="s">
        <v>1826</v>
      </c>
      <c r="F6958" s="27" t="s">
        <v>1827</v>
      </c>
      <c r="H6958" s="27" t="s">
        <v>1830</v>
      </c>
      <c r="J6958" s="27" t="s">
        <v>1831</v>
      </c>
      <c r="L6958" s="27" t="s">
        <v>234</v>
      </c>
      <c r="N6958" s="27" t="s">
        <v>701</v>
      </c>
      <c r="P6958" s="27" t="s">
        <v>8314</v>
      </c>
      <c r="Q6958" s="26" t="str">
        <f>HYPERLINK("https://ictv.global/taxonomy/taxondetails?taxnode_id=202509585&amp;ictv_id=ICTV202009585","ICTV202009585")</f>
        <v>ICTV202009585</v>
      </c>
      <c r="R6958" t="s">
        <v>579</v>
      </c>
      <c r="S6958" t="s">
        <v>824</v>
      </c>
      <c r="T6958">
        <v>41</v>
      </c>
      <c r="U6958" s="26" t="str">
        <f t="shared" si="274"/>
        <v>2025.002G.Monodnaviria_reorg_4nr.zip</v>
      </c>
    </row>
    <row r="6959" spans="1:21">
      <c r="A6959">
        <v>6958</v>
      </c>
      <c r="B6959" s="27" t="s">
        <v>20779</v>
      </c>
      <c r="D6959" s="27" t="s">
        <v>1826</v>
      </c>
      <c r="F6959" s="27" t="s">
        <v>1827</v>
      </c>
      <c r="H6959" s="27" t="s">
        <v>1830</v>
      </c>
      <c r="J6959" s="27" t="s">
        <v>1831</v>
      </c>
      <c r="L6959" s="27" t="s">
        <v>234</v>
      </c>
      <c r="N6959" s="27" t="s">
        <v>701</v>
      </c>
      <c r="P6959" s="27" t="s">
        <v>8315</v>
      </c>
      <c r="Q6959" s="26" t="str">
        <f>HYPERLINK("https://ictv.global/taxonomy/taxondetails?taxnode_id=202504427&amp;ictv_id=ICTV20153695","ICTV20153695")</f>
        <v>ICTV20153695</v>
      </c>
      <c r="R6959" t="s">
        <v>579</v>
      </c>
      <c r="S6959" t="s">
        <v>824</v>
      </c>
      <c r="T6959">
        <v>41</v>
      </c>
      <c r="U6959" s="26" t="str">
        <f t="shared" si="274"/>
        <v>2025.002G.Monodnaviria_reorg_4nr.zip</v>
      </c>
    </row>
    <row r="6960" spans="1:21">
      <c r="A6960">
        <v>6959</v>
      </c>
      <c r="B6960" s="27" t="s">
        <v>20779</v>
      </c>
      <c r="D6960" s="27" t="s">
        <v>1826</v>
      </c>
      <c r="F6960" s="27" t="s">
        <v>1827</v>
      </c>
      <c r="H6960" s="27" t="s">
        <v>1830</v>
      </c>
      <c r="J6960" s="27" t="s">
        <v>1831</v>
      </c>
      <c r="L6960" s="27" t="s">
        <v>234</v>
      </c>
      <c r="N6960" s="27" t="s">
        <v>701</v>
      </c>
      <c r="P6960" s="27" t="s">
        <v>8316</v>
      </c>
      <c r="Q6960" s="26" t="str">
        <f>HYPERLINK("https://ictv.global/taxonomy/taxondetails?taxnode_id=202504414&amp;ictv_id=ICTV20153682","ICTV20153682")</f>
        <v>ICTV20153682</v>
      </c>
      <c r="R6960" t="s">
        <v>579</v>
      </c>
      <c r="S6960" t="s">
        <v>824</v>
      </c>
      <c r="T6960">
        <v>41</v>
      </c>
      <c r="U6960" s="26" t="str">
        <f t="shared" si="274"/>
        <v>2025.002G.Monodnaviria_reorg_4nr.zip</v>
      </c>
    </row>
    <row r="6961" spans="1:21">
      <c r="A6961">
        <v>6960</v>
      </c>
      <c r="B6961" s="27" t="s">
        <v>20779</v>
      </c>
      <c r="D6961" s="27" t="s">
        <v>1826</v>
      </c>
      <c r="F6961" s="27" t="s">
        <v>1827</v>
      </c>
      <c r="H6961" s="27" t="s">
        <v>1830</v>
      </c>
      <c r="J6961" s="27" t="s">
        <v>1831</v>
      </c>
      <c r="L6961" s="27" t="s">
        <v>234</v>
      </c>
      <c r="N6961" s="27" t="s">
        <v>701</v>
      </c>
      <c r="P6961" s="27" t="s">
        <v>8317</v>
      </c>
      <c r="Q6961" s="26" t="str">
        <f>HYPERLINK("https://ictv.global/taxonomy/taxondetails?taxnode_id=202504419&amp;ictv_id=ICTV20153687","ICTV20153687")</f>
        <v>ICTV20153687</v>
      </c>
      <c r="R6961" t="s">
        <v>579</v>
      </c>
      <c r="S6961" t="s">
        <v>824</v>
      </c>
      <c r="T6961">
        <v>41</v>
      </c>
      <c r="U6961" s="26" t="str">
        <f t="shared" si="274"/>
        <v>2025.002G.Monodnaviria_reorg_4nr.zip</v>
      </c>
    </row>
    <row r="6962" spans="1:21">
      <c r="A6962">
        <v>6961</v>
      </c>
      <c r="B6962" s="27" t="s">
        <v>20779</v>
      </c>
      <c r="D6962" s="27" t="s">
        <v>1826</v>
      </c>
      <c r="F6962" s="27" t="s">
        <v>1827</v>
      </c>
      <c r="H6962" s="27" t="s">
        <v>1830</v>
      </c>
      <c r="J6962" s="27" t="s">
        <v>1831</v>
      </c>
      <c r="L6962" s="27" t="s">
        <v>234</v>
      </c>
      <c r="N6962" s="27" t="s">
        <v>701</v>
      </c>
      <c r="P6962" s="27" t="s">
        <v>8318</v>
      </c>
      <c r="Q6962" s="26" t="str">
        <f>HYPERLINK("https://ictv.global/taxonomy/taxondetails?taxnode_id=202509584&amp;ictv_id=ICTV202009584","ICTV202009584")</f>
        <v>ICTV202009584</v>
      </c>
      <c r="R6962" t="s">
        <v>579</v>
      </c>
      <c r="S6962" t="s">
        <v>824</v>
      </c>
      <c r="T6962">
        <v>41</v>
      </c>
      <c r="U6962" s="26" t="str">
        <f t="shared" si="274"/>
        <v>2025.002G.Monodnaviria_reorg_4nr.zip</v>
      </c>
    </row>
    <row r="6963" spans="1:21">
      <c r="A6963">
        <v>6962</v>
      </c>
      <c r="B6963" s="27" t="s">
        <v>20779</v>
      </c>
      <c r="D6963" s="27" t="s">
        <v>1826</v>
      </c>
      <c r="F6963" s="27" t="s">
        <v>1827</v>
      </c>
      <c r="H6963" s="27" t="s">
        <v>1830</v>
      </c>
      <c r="J6963" s="27" t="s">
        <v>1831</v>
      </c>
      <c r="L6963" s="27" t="s">
        <v>234</v>
      </c>
      <c r="N6963" s="27" t="s">
        <v>701</v>
      </c>
      <c r="P6963" s="27" t="s">
        <v>8319</v>
      </c>
      <c r="Q6963" s="26" t="str">
        <f>HYPERLINK("https://ictv.global/taxonomy/taxondetails?taxnode_id=202504436&amp;ictv_id=ICTV20153702","ICTV20153702")</f>
        <v>ICTV20153702</v>
      </c>
      <c r="R6963" t="s">
        <v>579</v>
      </c>
      <c r="S6963" t="s">
        <v>824</v>
      </c>
      <c r="T6963">
        <v>41</v>
      </c>
      <c r="U6963" s="26" t="str">
        <f t="shared" si="274"/>
        <v>2025.002G.Monodnaviria_reorg_4nr.zip</v>
      </c>
    </row>
    <row r="6964" spans="1:21">
      <c r="A6964">
        <v>6963</v>
      </c>
      <c r="B6964" s="27" t="s">
        <v>20779</v>
      </c>
      <c r="D6964" s="27" t="s">
        <v>1826</v>
      </c>
      <c r="F6964" s="27" t="s">
        <v>1827</v>
      </c>
      <c r="H6964" s="27" t="s">
        <v>1830</v>
      </c>
      <c r="J6964" s="27" t="s">
        <v>1831</v>
      </c>
      <c r="L6964" s="27" t="s">
        <v>234</v>
      </c>
      <c r="N6964" s="27" t="s">
        <v>701</v>
      </c>
      <c r="P6964" s="27" t="s">
        <v>8320</v>
      </c>
      <c r="Q6964" s="26" t="str">
        <f>HYPERLINK("https://ictv.global/taxonomy/taxondetails?taxnode_id=202507114&amp;ictv_id=ICTV201907114","ICTV201907114")</f>
        <v>ICTV201907114</v>
      </c>
      <c r="R6964" t="s">
        <v>579</v>
      </c>
      <c r="S6964" t="s">
        <v>824</v>
      </c>
      <c r="T6964">
        <v>41</v>
      </c>
      <c r="U6964" s="26" t="str">
        <f t="shared" si="274"/>
        <v>2025.002G.Monodnaviria_reorg_4nr.zip</v>
      </c>
    </row>
    <row r="6965" spans="1:21">
      <c r="A6965">
        <v>6964</v>
      </c>
      <c r="B6965" s="27" t="s">
        <v>20779</v>
      </c>
      <c r="D6965" s="27" t="s">
        <v>1826</v>
      </c>
      <c r="F6965" s="27" t="s">
        <v>1827</v>
      </c>
      <c r="H6965" s="27" t="s">
        <v>1830</v>
      </c>
      <c r="J6965" s="27" t="s">
        <v>1831</v>
      </c>
      <c r="L6965" s="27" t="s">
        <v>234</v>
      </c>
      <c r="N6965" s="27" t="s">
        <v>701</v>
      </c>
      <c r="P6965" s="27" t="s">
        <v>8321</v>
      </c>
      <c r="Q6965" s="26" t="str">
        <f>HYPERLINK("https://ictv.global/taxonomy/taxondetails?taxnode_id=202509588&amp;ictv_id=ICTV202009588","ICTV202009588")</f>
        <v>ICTV202009588</v>
      </c>
      <c r="R6965" t="s">
        <v>579</v>
      </c>
      <c r="S6965" t="s">
        <v>824</v>
      </c>
      <c r="T6965">
        <v>41</v>
      </c>
      <c r="U6965" s="26" t="str">
        <f t="shared" si="274"/>
        <v>2025.002G.Monodnaviria_reorg_4nr.zip</v>
      </c>
    </row>
    <row r="6966" spans="1:21">
      <c r="A6966">
        <v>6965</v>
      </c>
      <c r="B6966" s="27" t="s">
        <v>20779</v>
      </c>
      <c r="D6966" s="27" t="s">
        <v>1826</v>
      </c>
      <c r="F6966" s="27" t="s">
        <v>1827</v>
      </c>
      <c r="H6966" s="27" t="s">
        <v>1830</v>
      </c>
      <c r="J6966" s="27" t="s">
        <v>1831</v>
      </c>
      <c r="L6966" s="27" t="s">
        <v>234</v>
      </c>
      <c r="N6966" s="27" t="s">
        <v>702</v>
      </c>
      <c r="P6966" s="27" t="s">
        <v>8322</v>
      </c>
      <c r="Q6966" s="26" t="str">
        <f>HYPERLINK("https://ictv.global/taxonomy/taxondetails?taxnode_id=202504451&amp;ictv_id=ICTV20153715","ICTV20153715")</f>
        <v>ICTV20153715</v>
      </c>
      <c r="R6966" t="s">
        <v>579</v>
      </c>
      <c r="S6966" t="s">
        <v>824</v>
      </c>
      <c r="T6966">
        <v>41</v>
      </c>
      <c r="U6966" s="26" t="str">
        <f t="shared" si="274"/>
        <v>2025.002G.Monodnaviria_reorg_4nr.zip</v>
      </c>
    </row>
    <row r="6967" spans="1:21">
      <c r="A6967">
        <v>6966</v>
      </c>
      <c r="B6967" s="27" t="s">
        <v>20779</v>
      </c>
      <c r="D6967" s="27" t="s">
        <v>1826</v>
      </c>
      <c r="F6967" s="27" t="s">
        <v>1827</v>
      </c>
      <c r="H6967" s="27" t="s">
        <v>1830</v>
      </c>
      <c r="J6967" s="27" t="s">
        <v>1831</v>
      </c>
      <c r="L6967" s="27" t="s">
        <v>234</v>
      </c>
      <c r="N6967" s="27" t="s">
        <v>702</v>
      </c>
      <c r="P6967" s="27" t="s">
        <v>8323</v>
      </c>
      <c r="Q6967" s="26" t="str">
        <f>HYPERLINK("https://ictv.global/taxonomy/taxondetails?taxnode_id=202504452&amp;ictv_id=ICTV20153716","ICTV20153716")</f>
        <v>ICTV20153716</v>
      </c>
      <c r="R6967" t="s">
        <v>579</v>
      </c>
      <c r="S6967" t="s">
        <v>824</v>
      </c>
      <c r="T6967">
        <v>41</v>
      </c>
      <c r="U6967" s="26" t="str">
        <f t="shared" si="274"/>
        <v>2025.002G.Monodnaviria_reorg_4nr.zip</v>
      </c>
    </row>
    <row r="6968" spans="1:21">
      <c r="A6968">
        <v>6967</v>
      </c>
      <c r="B6968" s="27" t="s">
        <v>20779</v>
      </c>
      <c r="D6968" s="27" t="s">
        <v>1826</v>
      </c>
      <c r="F6968" s="27" t="s">
        <v>1827</v>
      </c>
      <c r="H6968" s="27" t="s">
        <v>1830</v>
      </c>
      <c r="J6968" s="27" t="s">
        <v>1831</v>
      </c>
      <c r="L6968" s="27" t="s">
        <v>234</v>
      </c>
      <c r="N6968" s="27" t="s">
        <v>702</v>
      </c>
      <c r="P6968" s="27" t="s">
        <v>8324</v>
      </c>
      <c r="Q6968" s="26" t="str">
        <f>HYPERLINK("https://ictv.global/taxonomy/taxondetails?taxnode_id=202509593&amp;ictv_id=ICTV202009593","ICTV202009593")</f>
        <v>ICTV202009593</v>
      </c>
      <c r="R6968" t="s">
        <v>579</v>
      </c>
      <c r="S6968" t="s">
        <v>824</v>
      </c>
      <c r="T6968">
        <v>41</v>
      </c>
      <c r="U6968" s="26" t="str">
        <f t="shared" si="274"/>
        <v>2025.002G.Monodnaviria_reorg_4nr.zip</v>
      </c>
    </row>
    <row r="6969" spans="1:21">
      <c r="A6969">
        <v>6968</v>
      </c>
      <c r="B6969" s="27" t="s">
        <v>20779</v>
      </c>
      <c r="D6969" s="27" t="s">
        <v>1826</v>
      </c>
      <c r="F6969" s="27" t="s">
        <v>1827</v>
      </c>
      <c r="H6969" s="27" t="s">
        <v>1830</v>
      </c>
      <c r="J6969" s="27" t="s">
        <v>1831</v>
      </c>
      <c r="L6969" s="27" t="s">
        <v>234</v>
      </c>
      <c r="N6969" s="27" t="s">
        <v>702</v>
      </c>
      <c r="P6969" s="27" t="s">
        <v>8325</v>
      </c>
      <c r="Q6969" s="26" t="str">
        <f>HYPERLINK("https://ictv.global/taxonomy/taxondetails?taxnode_id=202506347&amp;ictv_id=ICTV201856347","ICTV201856347")</f>
        <v>ICTV201856347</v>
      </c>
      <c r="R6969" t="s">
        <v>579</v>
      </c>
      <c r="S6969" t="s">
        <v>824</v>
      </c>
      <c r="T6969">
        <v>41</v>
      </c>
      <c r="U6969" s="26" t="str">
        <f t="shared" si="274"/>
        <v>2025.002G.Monodnaviria_reorg_4nr.zip</v>
      </c>
    </row>
    <row r="6970" spans="1:21">
      <c r="A6970">
        <v>6969</v>
      </c>
      <c r="B6970" s="27" t="s">
        <v>20779</v>
      </c>
      <c r="D6970" s="27" t="s">
        <v>1826</v>
      </c>
      <c r="F6970" s="27" t="s">
        <v>1827</v>
      </c>
      <c r="H6970" s="27" t="s">
        <v>1830</v>
      </c>
      <c r="J6970" s="27" t="s">
        <v>1831</v>
      </c>
      <c r="L6970" s="27" t="s">
        <v>234</v>
      </c>
      <c r="N6970" s="27" t="s">
        <v>702</v>
      </c>
      <c r="P6970" s="27" t="s">
        <v>8326</v>
      </c>
      <c r="Q6970" s="26" t="str">
        <f>HYPERLINK("https://ictv.global/taxonomy/taxondetails?taxnode_id=202504453&amp;ictv_id=ICTV20153717","ICTV20153717")</f>
        <v>ICTV20153717</v>
      </c>
      <c r="R6970" t="s">
        <v>579</v>
      </c>
      <c r="S6970" t="s">
        <v>824</v>
      </c>
      <c r="T6970">
        <v>41</v>
      </c>
      <c r="U6970" s="26" t="str">
        <f t="shared" si="274"/>
        <v>2025.002G.Monodnaviria_reorg_4nr.zip</v>
      </c>
    </row>
    <row r="6971" spans="1:21">
      <c r="A6971">
        <v>6970</v>
      </c>
      <c r="B6971" s="27" t="s">
        <v>20779</v>
      </c>
      <c r="D6971" s="27" t="s">
        <v>1826</v>
      </c>
      <c r="F6971" s="27" t="s">
        <v>1827</v>
      </c>
      <c r="H6971" s="27" t="s">
        <v>1830</v>
      </c>
      <c r="J6971" s="27" t="s">
        <v>1831</v>
      </c>
      <c r="L6971" s="27" t="s">
        <v>234</v>
      </c>
      <c r="N6971" s="27" t="s">
        <v>702</v>
      </c>
      <c r="P6971" s="27" t="s">
        <v>8327</v>
      </c>
      <c r="Q6971" s="26" t="str">
        <f>HYPERLINK("https://ictv.global/taxonomy/taxondetails?taxnode_id=202504455&amp;ictv_id=ICTV20153719","ICTV20153719")</f>
        <v>ICTV20153719</v>
      </c>
      <c r="R6971" t="s">
        <v>579</v>
      </c>
      <c r="S6971" t="s">
        <v>824</v>
      </c>
      <c r="T6971">
        <v>41</v>
      </c>
      <c r="U6971" s="26" t="str">
        <f t="shared" si="274"/>
        <v>2025.002G.Monodnaviria_reorg_4nr.zip</v>
      </c>
    </row>
    <row r="6972" spans="1:21">
      <c r="A6972">
        <v>6971</v>
      </c>
      <c r="B6972" s="27" t="s">
        <v>20779</v>
      </c>
      <c r="D6972" s="27" t="s">
        <v>1826</v>
      </c>
      <c r="F6972" s="27" t="s">
        <v>1827</v>
      </c>
      <c r="H6972" s="27" t="s">
        <v>1830</v>
      </c>
      <c r="J6972" s="27" t="s">
        <v>1831</v>
      </c>
      <c r="L6972" s="27" t="s">
        <v>234</v>
      </c>
      <c r="N6972" s="27" t="s">
        <v>702</v>
      </c>
      <c r="P6972" s="27" t="s">
        <v>8328</v>
      </c>
      <c r="Q6972" s="26" t="str">
        <f>HYPERLINK("https://ictv.global/taxonomy/taxondetails?taxnode_id=202504463&amp;ictv_id=ICTV20153725","ICTV20153725")</f>
        <v>ICTV20153725</v>
      </c>
      <c r="R6972" t="s">
        <v>579</v>
      </c>
      <c r="S6972" t="s">
        <v>824</v>
      </c>
      <c r="T6972">
        <v>41</v>
      </c>
      <c r="U6972" s="26" t="str">
        <f t="shared" si="274"/>
        <v>2025.002G.Monodnaviria_reorg_4nr.zip</v>
      </c>
    </row>
    <row r="6973" spans="1:21">
      <c r="A6973">
        <v>6972</v>
      </c>
      <c r="B6973" s="27" t="s">
        <v>20779</v>
      </c>
      <c r="D6973" s="27" t="s">
        <v>1826</v>
      </c>
      <c r="F6973" s="27" t="s">
        <v>1827</v>
      </c>
      <c r="H6973" s="27" t="s">
        <v>1830</v>
      </c>
      <c r="J6973" s="27" t="s">
        <v>1831</v>
      </c>
      <c r="L6973" s="27" t="s">
        <v>234</v>
      </c>
      <c r="N6973" s="27" t="s">
        <v>702</v>
      </c>
      <c r="P6973" s="27" t="s">
        <v>8329</v>
      </c>
      <c r="Q6973" s="26" t="str">
        <f>HYPERLINK("https://ictv.global/taxonomy/taxondetails?taxnode_id=202507115&amp;ictv_id=ICTV201907115","ICTV201907115")</f>
        <v>ICTV201907115</v>
      </c>
      <c r="R6973" t="s">
        <v>579</v>
      </c>
      <c r="S6973" t="s">
        <v>824</v>
      </c>
      <c r="T6973">
        <v>41</v>
      </c>
      <c r="U6973" s="26" t="str">
        <f t="shared" si="274"/>
        <v>2025.002G.Monodnaviria_reorg_4nr.zip</v>
      </c>
    </row>
    <row r="6974" spans="1:21">
      <c r="A6974">
        <v>6973</v>
      </c>
      <c r="B6974" s="27" t="s">
        <v>20779</v>
      </c>
      <c r="D6974" s="27" t="s">
        <v>1826</v>
      </c>
      <c r="F6974" s="27" t="s">
        <v>1827</v>
      </c>
      <c r="H6974" s="27" t="s">
        <v>1830</v>
      </c>
      <c r="J6974" s="27" t="s">
        <v>1831</v>
      </c>
      <c r="L6974" s="27" t="s">
        <v>234</v>
      </c>
      <c r="N6974" s="27" t="s">
        <v>702</v>
      </c>
      <c r="P6974" s="27" t="s">
        <v>8330</v>
      </c>
      <c r="Q6974" s="26" t="str">
        <f>HYPERLINK("https://ictv.global/taxonomy/taxondetails?taxnode_id=202504458&amp;ictv_id=ICTV20153722","ICTV20153722")</f>
        <v>ICTV20153722</v>
      </c>
      <c r="R6974" t="s">
        <v>579</v>
      </c>
      <c r="S6974" t="s">
        <v>824</v>
      </c>
      <c r="T6974">
        <v>41</v>
      </c>
      <c r="U6974" s="26" t="str">
        <f t="shared" si="274"/>
        <v>2025.002G.Monodnaviria_reorg_4nr.zip</v>
      </c>
    </row>
    <row r="6975" spans="1:21">
      <c r="A6975">
        <v>6974</v>
      </c>
      <c r="B6975" s="27" t="s">
        <v>20779</v>
      </c>
      <c r="D6975" s="27" t="s">
        <v>1826</v>
      </c>
      <c r="F6975" s="27" t="s">
        <v>1827</v>
      </c>
      <c r="H6975" s="27" t="s">
        <v>1830</v>
      </c>
      <c r="J6975" s="27" t="s">
        <v>1831</v>
      </c>
      <c r="L6975" s="27" t="s">
        <v>234</v>
      </c>
      <c r="N6975" s="27" t="s">
        <v>702</v>
      </c>
      <c r="P6975" s="27" t="s">
        <v>8331</v>
      </c>
      <c r="Q6975" s="26" t="str">
        <f>HYPERLINK("https://ictv.global/taxonomy/taxondetails?taxnode_id=202509590&amp;ictv_id=ICTV202009590","ICTV202009590")</f>
        <v>ICTV202009590</v>
      </c>
      <c r="R6975" t="s">
        <v>579</v>
      </c>
      <c r="S6975" t="s">
        <v>824</v>
      </c>
      <c r="T6975">
        <v>41</v>
      </c>
      <c r="U6975" s="26" t="str">
        <f t="shared" si="274"/>
        <v>2025.002G.Monodnaviria_reorg_4nr.zip</v>
      </c>
    </row>
    <row r="6976" spans="1:21">
      <c r="A6976">
        <v>6975</v>
      </c>
      <c r="B6976" s="27" t="s">
        <v>20779</v>
      </c>
      <c r="D6976" s="27" t="s">
        <v>1826</v>
      </c>
      <c r="F6976" s="27" t="s">
        <v>1827</v>
      </c>
      <c r="H6976" s="27" t="s">
        <v>1830</v>
      </c>
      <c r="J6976" s="27" t="s">
        <v>1831</v>
      </c>
      <c r="L6976" s="27" t="s">
        <v>234</v>
      </c>
      <c r="N6976" s="27" t="s">
        <v>702</v>
      </c>
      <c r="P6976" s="27" t="s">
        <v>19961</v>
      </c>
      <c r="Q6976" s="26" t="str">
        <f>HYPERLINK("https://ictv.global/taxonomy/taxondetails?taxnode_id=202520100&amp;ictv_id=ICTV202420100","ICTV202420100")</f>
        <v>ICTV202420100</v>
      </c>
      <c r="R6976" t="s">
        <v>579</v>
      </c>
      <c r="S6976" t="s">
        <v>824</v>
      </c>
      <c r="T6976">
        <v>41</v>
      </c>
      <c r="U6976" s="26" t="str">
        <f t="shared" ref="U6976:U7039" si="275">HYPERLINK("https://ictv.global/ictv/proposals/2025.002G.Monodnaviria_reorg_4nr.zip","2025.002G.Monodnaviria_reorg_4nr.zip")</f>
        <v>2025.002G.Monodnaviria_reorg_4nr.zip</v>
      </c>
    </row>
    <row r="6977" spans="1:21">
      <c r="A6977">
        <v>6976</v>
      </c>
      <c r="B6977" s="27" t="s">
        <v>20779</v>
      </c>
      <c r="D6977" s="27" t="s">
        <v>1826</v>
      </c>
      <c r="F6977" s="27" t="s">
        <v>1827</v>
      </c>
      <c r="H6977" s="27" t="s">
        <v>1830</v>
      </c>
      <c r="J6977" s="27" t="s">
        <v>1831</v>
      </c>
      <c r="L6977" s="27" t="s">
        <v>234</v>
      </c>
      <c r="N6977" s="27" t="s">
        <v>702</v>
      </c>
      <c r="P6977" s="27" t="s">
        <v>8332</v>
      </c>
      <c r="Q6977" s="26" t="str">
        <f>HYPERLINK("https://ictv.global/taxonomy/taxondetails?taxnode_id=202504459&amp;ictv_id=ICTV19760276","ICTV19760276")</f>
        <v>ICTV19760276</v>
      </c>
      <c r="R6977" t="s">
        <v>579</v>
      </c>
      <c r="S6977" t="s">
        <v>824</v>
      </c>
      <c r="T6977">
        <v>41</v>
      </c>
      <c r="U6977" s="26" t="str">
        <f t="shared" si="275"/>
        <v>2025.002G.Monodnaviria_reorg_4nr.zip</v>
      </c>
    </row>
    <row r="6978" spans="1:21">
      <c r="A6978">
        <v>6977</v>
      </c>
      <c r="B6978" s="27" t="s">
        <v>20779</v>
      </c>
      <c r="D6978" s="27" t="s">
        <v>1826</v>
      </c>
      <c r="F6978" s="27" t="s">
        <v>1827</v>
      </c>
      <c r="H6978" s="27" t="s">
        <v>1830</v>
      </c>
      <c r="J6978" s="27" t="s">
        <v>1831</v>
      </c>
      <c r="L6978" s="27" t="s">
        <v>234</v>
      </c>
      <c r="N6978" s="27" t="s">
        <v>702</v>
      </c>
      <c r="P6978" s="27" t="s">
        <v>8333</v>
      </c>
      <c r="Q6978" s="26" t="str">
        <f>HYPERLINK("https://ictv.global/taxonomy/taxondetails?taxnode_id=202509591&amp;ictv_id=ICTV202009591","ICTV202009591")</f>
        <v>ICTV202009591</v>
      </c>
      <c r="R6978" t="s">
        <v>579</v>
      </c>
      <c r="S6978" t="s">
        <v>824</v>
      </c>
      <c r="T6978">
        <v>41</v>
      </c>
      <c r="U6978" s="26" t="str">
        <f t="shared" si="275"/>
        <v>2025.002G.Monodnaviria_reorg_4nr.zip</v>
      </c>
    </row>
    <row r="6979" spans="1:21">
      <c r="A6979">
        <v>6978</v>
      </c>
      <c r="B6979" s="27" t="s">
        <v>20779</v>
      </c>
      <c r="D6979" s="27" t="s">
        <v>1826</v>
      </c>
      <c r="F6979" s="27" t="s">
        <v>1827</v>
      </c>
      <c r="H6979" s="27" t="s">
        <v>1830</v>
      </c>
      <c r="J6979" s="27" t="s">
        <v>1831</v>
      </c>
      <c r="L6979" s="27" t="s">
        <v>234</v>
      </c>
      <c r="N6979" s="27" t="s">
        <v>702</v>
      </c>
      <c r="P6979" s="27" t="s">
        <v>8334</v>
      </c>
      <c r="Q6979" s="26" t="str">
        <f>HYPERLINK("https://ictv.global/taxonomy/taxondetails?taxnode_id=202505905&amp;ictv_id=ICTV20175905","ICTV20175905")</f>
        <v>ICTV20175905</v>
      </c>
      <c r="R6979" t="s">
        <v>579</v>
      </c>
      <c r="S6979" t="s">
        <v>824</v>
      </c>
      <c r="T6979">
        <v>41</v>
      </c>
      <c r="U6979" s="26" t="str">
        <f t="shared" si="275"/>
        <v>2025.002G.Monodnaviria_reorg_4nr.zip</v>
      </c>
    </row>
    <row r="6980" spans="1:21">
      <c r="A6980">
        <v>6979</v>
      </c>
      <c r="B6980" s="27" t="s">
        <v>20779</v>
      </c>
      <c r="D6980" s="27" t="s">
        <v>1826</v>
      </c>
      <c r="F6980" s="27" t="s">
        <v>1827</v>
      </c>
      <c r="H6980" s="27" t="s">
        <v>1830</v>
      </c>
      <c r="J6980" s="27" t="s">
        <v>1831</v>
      </c>
      <c r="L6980" s="27" t="s">
        <v>234</v>
      </c>
      <c r="N6980" s="27" t="s">
        <v>702</v>
      </c>
      <c r="P6980" s="27" t="s">
        <v>8335</v>
      </c>
      <c r="Q6980" s="26" t="str">
        <f>HYPERLINK("https://ictv.global/taxonomy/taxondetails?taxnode_id=202504464&amp;ictv_id=ICTV19710060","ICTV19710060")</f>
        <v>ICTV19710060</v>
      </c>
      <c r="R6980" t="s">
        <v>579</v>
      </c>
      <c r="S6980" t="s">
        <v>824</v>
      </c>
      <c r="T6980">
        <v>41</v>
      </c>
      <c r="U6980" s="26" t="str">
        <f t="shared" si="275"/>
        <v>2025.002G.Monodnaviria_reorg_4nr.zip</v>
      </c>
    </row>
    <row r="6981" spans="1:21">
      <c r="A6981">
        <v>6980</v>
      </c>
      <c r="B6981" s="27" t="s">
        <v>20779</v>
      </c>
      <c r="D6981" s="27" t="s">
        <v>1826</v>
      </c>
      <c r="F6981" s="27" t="s">
        <v>1827</v>
      </c>
      <c r="H6981" s="27" t="s">
        <v>1830</v>
      </c>
      <c r="J6981" s="27" t="s">
        <v>1831</v>
      </c>
      <c r="L6981" s="27" t="s">
        <v>234</v>
      </c>
      <c r="N6981" s="27" t="s">
        <v>702</v>
      </c>
      <c r="P6981" s="27" t="s">
        <v>8336</v>
      </c>
      <c r="Q6981" s="26" t="str">
        <f>HYPERLINK("https://ictv.global/taxonomy/taxondetails?taxnode_id=202504468&amp;ictv_id=ICTV20153728","ICTV20153728")</f>
        <v>ICTV20153728</v>
      </c>
      <c r="R6981" t="s">
        <v>579</v>
      </c>
      <c r="S6981" t="s">
        <v>824</v>
      </c>
      <c r="T6981">
        <v>41</v>
      </c>
      <c r="U6981" s="26" t="str">
        <f t="shared" si="275"/>
        <v>2025.002G.Monodnaviria_reorg_4nr.zip</v>
      </c>
    </row>
    <row r="6982" spans="1:21">
      <c r="A6982">
        <v>6981</v>
      </c>
      <c r="B6982" s="27" t="s">
        <v>20779</v>
      </c>
      <c r="D6982" s="27" t="s">
        <v>1826</v>
      </c>
      <c r="F6982" s="27" t="s">
        <v>1827</v>
      </c>
      <c r="H6982" s="27" t="s">
        <v>1830</v>
      </c>
      <c r="J6982" s="27" t="s">
        <v>1831</v>
      </c>
      <c r="L6982" s="27" t="s">
        <v>234</v>
      </c>
      <c r="N6982" s="27" t="s">
        <v>702</v>
      </c>
      <c r="P6982" s="27" t="s">
        <v>8337</v>
      </c>
      <c r="Q6982" s="26" t="str">
        <f>HYPERLINK("https://ictv.global/taxonomy/taxondetails?taxnode_id=202504467&amp;ictv_id=ICTV20165414","ICTV20165414")</f>
        <v>ICTV20165414</v>
      </c>
      <c r="R6982" t="s">
        <v>579</v>
      </c>
      <c r="S6982" t="s">
        <v>824</v>
      </c>
      <c r="T6982">
        <v>41</v>
      </c>
      <c r="U6982" s="26" t="str">
        <f t="shared" si="275"/>
        <v>2025.002G.Monodnaviria_reorg_4nr.zip</v>
      </c>
    </row>
    <row r="6983" spans="1:21">
      <c r="A6983">
        <v>6982</v>
      </c>
      <c r="B6983" s="27" t="s">
        <v>20779</v>
      </c>
      <c r="D6983" s="27" t="s">
        <v>1826</v>
      </c>
      <c r="F6983" s="27" t="s">
        <v>1827</v>
      </c>
      <c r="H6983" s="27" t="s">
        <v>1830</v>
      </c>
      <c r="J6983" s="27" t="s">
        <v>1831</v>
      </c>
      <c r="L6983" s="27" t="s">
        <v>234</v>
      </c>
      <c r="N6983" s="27" t="s">
        <v>702</v>
      </c>
      <c r="P6983" s="27" t="s">
        <v>8338</v>
      </c>
      <c r="Q6983" s="26" t="str">
        <f>HYPERLINK("https://ictv.global/taxonomy/taxondetails?taxnode_id=202504465&amp;ictv_id=ICTV20153726","ICTV20153726")</f>
        <v>ICTV20153726</v>
      </c>
      <c r="R6983" t="s">
        <v>579</v>
      </c>
      <c r="S6983" t="s">
        <v>824</v>
      </c>
      <c r="T6983">
        <v>41</v>
      </c>
      <c r="U6983" s="26" t="str">
        <f t="shared" si="275"/>
        <v>2025.002G.Monodnaviria_reorg_4nr.zip</v>
      </c>
    </row>
    <row r="6984" spans="1:21">
      <c r="A6984">
        <v>6983</v>
      </c>
      <c r="B6984" s="27" t="s">
        <v>20779</v>
      </c>
      <c r="D6984" s="27" t="s">
        <v>1826</v>
      </c>
      <c r="F6984" s="27" t="s">
        <v>1827</v>
      </c>
      <c r="H6984" s="27" t="s">
        <v>1830</v>
      </c>
      <c r="J6984" s="27" t="s">
        <v>1831</v>
      </c>
      <c r="L6984" s="27" t="s">
        <v>234</v>
      </c>
      <c r="N6984" s="27" t="s">
        <v>702</v>
      </c>
      <c r="P6984" s="27" t="s">
        <v>8339</v>
      </c>
      <c r="Q6984" s="26" t="str">
        <f>HYPERLINK("https://ictv.global/taxonomy/taxondetails?taxnode_id=202504466&amp;ictv_id=ICTV20153727","ICTV20153727")</f>
        <v>ICTV20153727</v>
      </c>
      <c r="R6984" t="s">
        <v>579</v>
      </c>
      <c r="S6984" t="s">
        <v>824</v>
      </c>
      <c r="T6984">
        <v>41</v>
      </c>
      <c r="U6984" s="26" t="str">
        <f t="shared" si="275"/>
        <v>2025.002G.Monodnaviria_reorg_4nr.zip</v>
      </c>
    </row>
    <row r="6985" spans="1:21">
      <c r="A6985">
        <v>6984</v>
      </c>
      <c r="B6985" s="27" t="s">
        <v>20779</v>
      </c>
      <c r="D6985" s="27" t="s">
        <v>1826</v>
      </c>
      <c r="F6985" s="27" t="s">
        <v>1827</v>
      </c>
      <c r="H6985" s="27" t="s">
        <v>1830</v>
      </c>
      <c r="J6985" s="27" t="s">
        <v>1831</v>
      </c>
      <c r="L6985" s="27" t="s">
        <v>234</v>
      </c>
      <c r="N6985" s="27" t="s">
        <v>702</v>
      </c>
      <c r="P6985" s="27" t="s">
        <v>8340</v>
      </c>
      <c r="Q6985" s="26" t="str">
        <f>HYPERLINK("https://ictv.global/taxonomy/taxondetails?taxnode_id=202504470&amp;ictv_id=ICTV20165415","ICTV20165415")</f>
        <v>ICTV20165415</v>
      </c>
      <c r="R6985" t="s">
        <v>579</v>
      </c>
      <c r="S6985" t="s">
        <v>824</v>
      </c>
      <c r="T6985">
        <v>41</v>
      </c>
      <c r="U6985" s="26" t="str">
        <f t="shared" si="275"/>
        <v>2025.002G.Monodnaviria_reorg_4nr.zip</v>
      </c>
    </row>
    <row r="6986" spans="1:21">
      <c r="A6986">
        <v>6985</v>
      </c>
      <c r="B6986" s="27" t="s">
        <v>20779</v>
      </c>
      <c r="D6986" s="27" t="s">
        <v>1826</v>
      </c>
      <c r="F6986" s="27" t="s">
        <v>1827</v>
      </c>
      <c r="H6986" s="27" t="s">
        <v>1830</v>
      </c>
      <c r="J6986" s="27" t="s">
        <v>1831</v>
      </c>
      <c r="L6986" s="27" t="s">
        <v>234</v>
      </c>
      <c r="N6986" s="27" t="s">
        <v>702</v>
      </c>
      <c r="P6986" s="27" t="s">
        <v>8341</v>
      </c>
      <c r="Q6986" s="26" t="str">
        <f>HYPERLINK("https://ictv.global/taxonomy/taxondetails?taxnode_id=202504471&amp;ictv_id=ICTV20153729","ICTV20153729")</f>
        <v>ICTV20153729</v>
      </c>
      <c r="R6986" t="s">
        <v>579</v>
      </c>
      <c r="S6986" t="s">
        <v>824</v>
      </c>
      <c r="T6986">
        <v>41</v>
      </c>
      <c r="U6986" s="26" t="str">
        <f t="shared" si="275"/>
        <v>2025.002G.Monodnaviria_reorg_4nr.zip</v>
      </c>
    </row>
    <row r="6987" spans="1:21">
      <c r="A6987">
        <v>6986</v>
      </c>
      <c r="B6987" s="27" t="s">
        <v>20779</v>
      </c>
      <c r="D6987" s="27" t="s">
        <v>1826</v>
      </c>
      <c r="F6987" s="27" t="s">
        <v>1827</v>
      </c>
      <c r="H6987" s="27" t="s">
        <v>1830</v>
      </c>
      <c r="J6987" s="27" t="s">
        <v>1831</v>
      </c>
      <c r="L6987" s="27" t="s">
        <v>234</v>
      </c>
      <c r="N6987" s="27" t="s">
        <v>702</v>
      </c>
      <c r="P6987" s="27" t="s">
        <v>8342</v>
      </c>
      <c r="Q6987" s="26" t="str">
        <f>HYPERLINK("https://ictv.global/taxonomy/taxondetails?taxnode_id=202504472&amp;ictv_id=ICTV20165416","ICTV20165416")</f>
        <v>ICTV20165416</v>
      </c>
      <c r="R6987" t="s">
        <v>579</v>
      </c>
      <c r="S6987" t="s">
        <v>824</v>
      </c>
      <c r="T6987">
        <v>41</v>
      </c>
      <c r="U6987" s="26" t="str">
        <f t="shared" si="275"/>
        <v>2025.002G.Monodnaviria_reorg_4nr.zip</v>
      </c>
    </row>
    <row r="6988" spans="1:21">
      <c r="A6988">
        <v>6987</v>
      </c>
      <c r="B6988" s="27" t="s">
        <v>20779</v>
      </c>
      <c r="D6988" s="27" t="s">
        <v>1826</v>
      </c>
      <c r="F6988" s="27" t="s">
        <v>1827</v>
      </c>
      <c r="H6988" s="27" t="s">
        <v>1830</v>
      </c>
      <c r="J6988" s="27" t="s">
        <v>1831</v>
      </c>
      <c r="L6988" s="27" t="s">
        <v>234</v>
      </c>
      <c r="N6988" s="27" t="s">
        <v>702</v>
      </c>
      <c r="P6988" s="27" t="s">
        <v>8343</v>
      </c>
      <c r="Q6988" s="26" t="str">
        <f>HYPERLINK("https://ictv.global/taxonomy/taxondetails?taxnode_id=202509589&amp;ictv_id=ICTV202009589","ICTV202009589")</f>
        <v>ICTV202009589</v>
      </c>
      <c r="R6988" t="s">
        <v>579</v>
      </c>
      <c r="S6988" t="s">
        <v>824</v>
      </c>
      <c r="T6988">
        <v>41</v>
      </c>
      <c r="U6988" s="26" t="str">
        <f t="shared" si="275"/>
        <v>2025.002G.Monodnaviria_reorg_4nr.zip</v>
      </c>
    </row>
    <row r="6989" spans="1:21">
      <c r="A6989">
        <v>6988</v>
      </c>
      <c r="B6989" s="27" t="s">
        <v>20779</v>
      </c>
      <c r="D6989" s="27" t="s">
        <v>1826</v>
      </c>
      <c r="F6989" s="27" t="s">
        <v>1827</v>
      </c>
      <c r="H6989" s="27" t="s">
        <v>1830</v>
      </c>
      <c r="J6989" s="27" t="s">
        <v>1831</v>
      </c>
      <c r="L6989" s="27" t="s">
        <v>234</v>
      </c>
      <c r="N6989" s="27" t="s">
        <v>702</v>
      </c>
      <c r="P6989" s="27" t="s">
        <v>8344</v>
      </c>
      <c r="Q6989" s="26" t="str">
        <f>HYPERLINK("https://ictv.global/taxonomy/taxondetails?taxnode_id=202504474&amp;ictv_id=ICTV20153731","ICTV20153731")</f>
        <v>ICTV20153731</v>
      </c>
      <c r="R6989" t="s">
        <v>579</v>
      </c>
      <c r="S6989" t="s">
        <v>824</v>
      </c>
      <c r="T6989">
        <v>41</v>
      </c>
      <c r="U6989" s="26" t="str">
        <f t="shared" si="275"/>
        <v>2025.002G.Monodnaviria_reorg_4nr.zip</v>
      </c>
    </row>
    <row r="6990" spans="1:21">
      <c r="A6990">
        <v>6989</v>
      </c>
      <c r="B6990" s="27" t="s">
        <v>20779</v>
      </c>
      <c r="D6990" s="27" t="s">
        <v>1826</v>
      </c>
      <c r="F6990" s="27" t="s">
        <v>1827</v>
      </c>
      <c r="H6990" s="27" t="s">
        <v>1830</v>
      </c>
      <c r="J6990" s="27" t="s">
        <v>1831</v>
      </c>
      <c r="L6990" s="27" t="s">
        <v>234</v>
      </c>
      <c r="N6990" s="27" t="s">
        <v>702</v>
      </c>
      <c r="P6990" s="27" t="s">
        <v>8345</v>
      </c>
      <c r="Q6990" s="26" t="str">
        <f>HYPERLINK("https://ictv.global/taxonomy/taxondetails?taxnode_id=202504475&amp;ictv_id=ICTV20153732","ICTV20153732")</f>
        <v>ICTV20153732</v>
      </c>
      <c r="R6990" t="s">
        <v>579</v>
      </c>
      <c r="S6990" t="s">
        <v>824</v>
      </c>
      <c r="T6990">
        <v>41</v>
      </c>
      <c r="U6990" s="26" t="str">
        <f t="shared" si="275"/>
        <v>2025.002G.Monodnaviria_reorg_4nr.zip</v>
      </c>
    </row>
    <row r="6991" spans="1:21">
      <c r="A6991">
        <v>6990</v>
      </c>
      <c r="B6991" s="27" t="s">
        <v>20779</v>
      </c>
      <c r="D6991" s="27" t="s">
        <v>1826</v>
      </c>
      <c r="F6991" s="27" t="s">
        <v>1827</v>
      </c>
      <c r="H6991" s="27" t="s">
        <v>1830</v>
      </c>
      <c r="J6991" s="27" t="s">
        <v>1831</v>
      </c>
      <c r="L6991" s="27" t="s">
        <v>234</v>
      </c>
      <c r="N6991" s="27" t="s">
        <v>702</v>
      </c>
      <c r="P6991" s="27" t="s">
        <v>8346</v>
      </c>
      <c r="Q6991" s="26" t="str">
        <f>HYPERLINK("https://ictv.global/taxonomy/taxondetails?taxnode_id=202504462&amp;ictv_id=ICTV20153724","ICTV20153724")</f>
        <v>ICTV20153724</v>
      </c>
      <c r="R6991" t="s">
        <v>579</v>
      </c>
      <c r="S6991" t="s">
        <v>824</v>
      </c>
      <c r="T6991">
        <v>41</v>
      </c>
      <c r="U6991" s="26" t="str">
        <f t="shared" si="275"/>
        <v>2025.002G.Monodnaviria_reorg_4nr.zip</v>
      </c>
    </row>
    <row r="6992" spans="1:21">
      <c r="A6992">
        <v>6991</v>
      </c>
      <c r="B6992" s="27" t="s">
        <v>20779</v>
      </c>
      <c r="D6992" s="27" t="s">
        <v>1826</v>
      </c>
      <c r="F6992" s="27" t="s">
        <v>1827</v>
      </c>
      <c r="H6992" s="27" t="s">
        <v>1830</v>
      </c>
      <c r="J6992" s="27" t="s">
        <v>1831</v>
      </c>
      <c r="L6992" s="27" t="s">
        <v>234</v>
      </c>
      <c r="N6992" s="27" t="s">
        <v>702</v>
      </c>
      <c r="P6992" s="27" t="s">
        <v>8347</v>
      </c>
      <c r="Q6992" s="26" t="str">
        <f>HYPERLINK("https://ictv.global/taxonomy/taxondetails?taxnode_id=202506348&amp;ictv_id=ICTV201856348","ICTV201856348")</f>
        <v>ICTV201856348</v>
      </c>
      <c r="R6992" t="s">
        <v>579</v>
      </c>
      <c r="S6992" t="s">
        <v>824</v>
      </c>
      <c r="T6992">
        <v>41</v>
      </c>
      <c r="U6992" s="26" t="str">
        <f t="shared" si="275"/>
        <v>2025.002G.Monodnaviria_reorg_4nr.zip</v>
      </c>
    </row>
    <row r="6993" spans="1:21">
      <c r="A6993">
        <v>6992</v>
      </c>
      <c r="B6993" s="27" t="s">
        <v>20779</v>
      </c>
      <c r="D6993" s="27" t="s">
        <v>1826</v>
      </c>
      <c r="F6993" s="27" t="s">
        <v>1827</v>
      </c>
      <c r="H6993" s="27" t="s">
        <v>1830</v>
      </c>
      <c r="J6993" s="27" t="s">
        <v>1831</v>
      </c>
      <c r="L6993" s="27" t="s">
        <v>234</v>
      </c>
      <c r="N6993" s="27" t="s">
        <v>702</v>
      </c>
      <c r="P6993" s="27" t="s">
        <v>8348</v>
      </c>
      <c r="Q6993" s="26" t="str">
        <f>HYPERLINK("https://ictv.global/taxonomy/taxondetails?taxnode_id=202504476&amp;ictv_id=ICTV20153733","ICTV20153733")</f>
        <v>ICTV20153733</v>
      </c>
      <c r="R6993" t="s">
        <v>579</v>
      </c>
      <c r="S6993" t="s">
        <v>824</v>
      </c>
      <c r="T6993">
        <v>41</v>
      </c>
      <c r="U6993" s="26" t="str">
        <f t="shared" si="275"/>
        <v>2025.002G.Monodnaviria_reorg_4nr.zip</v>
      </c>
    </row>
    <row r="6994" spans="1:21">
      <c r="A6994">
        <v>6993</v>
      </c>
      <c r="B6994" s="27" t="s">
        <v>20779</v>
      </c>
      <c r="D6994" s="27" t="s">
        <v>1826</v>
      </c>
      <c r="F6994" s="27" t="s">
        <v>1827</v>
      </c>
      <c r="H6994" s="27" t="s">
        <v>1830</v>
      </c>
      <c r="J6994" s="27" t="s">
        <v>1831</v>
      </c>
      <c r="L6994" s="27" t="s">
        <v>234</v>
      </c>
      <c r="N6994" s="27" t="s">
        <v>702</v>
      </c>
      <c r="P6994" s="27" t="s">
        <v>8349</v>
      </c>
      <c r="Q6994" s="26" t="str">
        <f>HYPERLINK("https://ictv.global/taxonomy/taxondetails?taxnode_id=202504477&amp;ictv_id=ICTV20153734","ICTV20153734")</f>
        <v>ICTV20153734</v>
      </c>
      <c r="R6994" t="s">
        <v>579</v>
      </c>
      <c r="S6994" t="s">
        <v>824</v>
      </c>
      <c r="T6994">
        <v>41</v>
      </c>
      <c r="U6994" s="26" t="str">
        <f t="shared" si="275"/>
        <v>2025.002G.Monodnaviria_reorg_4nr.zip</v>
      </c>
    </row>
    <row r="6995" spans="1:21">
      <c r="A6995">
        <v>6994</v>
      </c>
      <c r="B6995" s="27" t="s">
        <v>20779</v>
      </c>
      <c r="D6995" s="27" t="s">
        <v>1826</v>
      </c>
      <c r="F6995" s="27" t="s">
        <v>1827</v>
      </c>
      <c r="H6995" s="27" t="s">
        <v>1830</v>
      </c>
      <c r="J6995" s="27" t="s">
        <v>1831</v>
      </c>
      <c r="L6995" s="27" t="s">
        <v>234</v>
      </c>
      <c r="N6995" s="27" t="s">
        <v>702</v>
      </c>
      <c r="P6995" s="27" t="s">
        <v>8350</v>
      </c>
      <c r="Q6995" s="26" t="str">
        <f>HYPERLINK("https://ictv.global/taxonomy/taxondetails?taxnode_id=202509592&amp;ictv_id=ICTV202009592","ICTV202009592")</f>
        <v>ICTV202009592</v>
      </c>
      <c r="R6995" t="s">
        <v>579</v>
      </c>
      <c r="S6995" t="s">
        <v>824</v>
      </c>
      <c r="T6995">
        <v>41</v>
      </c>
      <c r="U6995" s="26" t="str">
        <f t="shared" si="275"/>
        <v>2025.002G.Monodnaviria_reorg_4nr.zip</v>
      </c>
    </row>
    <row r="6996" spans="1:21">
      <c r="A6996">
        <v>6995</v>
      </c>
      <c r="B6996" s="27" t="s">
        <v>20779</v>
      </c>
      <c r="D6996" s="27" t="s">
        <v>1826</v>
      </c>
      <c r="F6996" s="27" t="s">
        <v>1827</v>
      </c>
      <c r="H6996" s="27" t="s">
        <v>1830</v>
      </c>
      <c r="J6996" s="27" t="s">
        <v>1831</v>
      </c>
      <c r="L6996" s="27" t="s">
        <v>234</v>
      </c>
      <c r="N6996" s="27" t="s">
        <v>702</v>
      </c>
      <c r="P6996" s="27" t="s">
        <v>8351</v>
      </c>
      <c r="Q6996" s="26" t="str">
        <f>HYPERLINK("https://ictv.global/taxonomy/taxondetails?taxnode_id=202504450&amp;ictv_id=ICTV20153714","ICTV20153714")</f>
        <v>ICTV20153714</v>
      </c>
      <c r="R6996" t="s">
        <v>579</v>
      </c>
      <c r="S6996" t="s">
        <v>824</v>
      </c>
      <c r="T6996">
        <v>41</v>
      </c>
      <c r="U6996" s="26" t="str">
        <f t="shared" si="275"/>
        <v>2025.002G.Monodnaviria_reorg_4nr.zip</v>
      </c>
    </row>
    <row r="6997" spans="1:21">
      <c r="A6997">
        <v>6996</v>
      </c>
      <c r="B6997" s="27" t="s">
        <v>20779</v>
      </c>
      <c r="D6997" s="27" t="s">
        <v>1826</v>
      </c>
      <c r="F6997" s="27" t="s">
        <v>1827</v>
      </c>
      <c r="H6997" s="27" t="s">
        <v>1830</v>
      </c>
      <c r="J6997" s="27" t="s">
        <v>1831</v>
      </c>
      <c r="L6997" s="27" t="s">
        <v>234</v>
      </c>
      <c r="N6997" s="27" t="s">
        <v>702</v>
      </c>
      <c r="P6997" s="27" t="s">
        <v>8352</v>
      </c>
      <c r="Q6997" s="26" t="str">
        <f>HYPERLINK("https://ictv.global/taxonomy/taxondetails?taxnode_id=202504454&amp;ictv_id=ICTV20153718","ICTV20153718")</f>
        <v>ICTV20153718</v>
      </c>
      <c r="R6997" t="s">
        <v>579</v>
      </c>
      <c r="S6997" t="s">
        <v>824</v>
      </c>
      <c r="T6997">
        <v>41</v>
      </c>
      <c r="U6997" s="26" t="str">
        <f t="shared" si="275"/>
        <v>2025.002G.Monodnaviria_reorg_4nr.zip</v>
      </c>
    </row>
    <row r="6998" spans="1:21">
      <c r="A6998">
        <v>6997</v>
      </c>
      <c r="B6998" s="27" t="s">
        <v>20779</v>
      </c>
      <c r="D6998" s="27" t="s">
        <v>1826</v>
      </c>
      <c r="F6998" s="27" t="s">
        <v>1827</v>
      </c>
      <c r="H6998" s="27" t="s">
        <v>1830</v>
      </c>
      <c r="J6998" s="27" t="s">
        <v>1831</v>
      </c>
      <c r="L6998" s="27" t="s">
        <v>234</v>
      </c>
      <c r="N6998" s="27" t="s">
        <v>702</v>
      </c>
      <c r="P6998" s="27" t="s">
        <v>8353</v>
      </c>
      <c r="Q6998" s="26" t="str">
        <f>HYPERLINK("https://ictv.global/taxonomy/taxondetails?taxnode_id=202504456&amp;ictv_id=ICTV20153720","ICTV20153720")</f>
        <v>ICTV20153720</v>
      </c>
      <c r="R6998" t="s">
        <v>579</v>
      </c>
      <c r="S6998" t="s">
        <v>824</v>
      </c>
      <c r="T6998">
        <v>41</v>
      </c>
      <c r="U6998" s="26" t="str">
        <f t="shared" si="275"/>
        <v>2025.002G.Monodnaviria_reorg_4nr.zip</v>
      </c>
    </row>
    <row r="6999" spans="1:21">
      <c r="A6999">
        <v>6998</v>
      </c>
      <c r="B6999" s="27" t="s">
        <v>20779</v>
      </c>
      <c r="D6999" s="27" t="s">
        <v>1826</v>
      </c>
      <c r="F6999" s="27" t="s">
        <v>1827</v>
      </c>
      <c r="H6999" s="27" t="s">
        <v>1830</v>
      </c>
      <c r="J6999" s="27" t="s">
        <v>1831</v>
      </c>
      <c r="L6999" s="27" t="s">
        <v>234</v>
      </c>
      <c r="N6999" s="27" t="s">
        <v>702</v>
      </c>
      <c r="P6999" s="27" t="s">
        <v>8354</v>
      </c>
      <c r="Q6999" s="26" t="str">
        <f>HYPERLINK("https://ictv.global/taxonomy/taxondetails?taxnode_id=202504460&amp;ictv_id=ICTV19760277","ICTV19760277")</f>
        <v>ICTV19760277</v>
      </c>
      <c r="R6999" t="s">
        <v>579</v>
      </c>
      <c r="S6999" t="s">
        <v>824</v>
      </c>
      <c r="T6999">
        <v>41</v>
      </c>
      <c r="U6999" s="26" t="str">
        <f t="shared" si="275"/>
        <v>2025.002G.Monodnaviria_reorg_4nr.zip</v>
      </c>
    </row>
    <row r="7000" spans="1:21">
      <c r="A7000">
        <v>6999</v>
      </c>
      <c r="B7000" s="27" t="s">
        <v>20779</v>
      </c>
      <c r="D7000" s="27" t="s">
        <v>1826</v>
      </c>
      <c r="F7000" s="27" t="s">
        <v>1827</v>
      </c>
      <c r="H7000" s="27" t="s">
        <v>1830</v>
      </c>
      <c r="J7000" s="27" t="s">
        <v>1831</v>
      </c>
      <c r="L7000" s="27" t="s">
        <v>234</v>
      </c>
      <c r="N7000" s="27" t="s">
        <v>702</v>
      </c>
      <c r="P7000" s="27" t="s">
        <v>8355</v>
      </c>
      <c r="Q7000" s="26" t="str">
        <f>HYPERLINK("https://ictv.global/taxonomy/taxondetails?taxnode_id=202504469&amp;ictv_id=ICTV19710058","ICTV19710058")</f>
        <v>ICTV19710058</v>
      </c>
      <c r="R7000" t="s">
        <v>579</v>
      </c>
      <c r="S7000" t="s">
        <v>824</v>
      </c>
      <c r="T7000">
        <v>41</v>
      </c>
      <c r="U7000" s="26" t="str">
        <f t="shared" si="275"/>
        <v>2025.002G.Monodnaviria_reorg_4nr.zip</v>
      </c>
    </row>
    <row r="7001" spans="1:21">
      <c r="A7001">
        <v>7000</v>
      </c>
      <c r="B7001" s="27" t="s">
        <v>20779</v>
      </c>
      <c r="D7001" s="27" t="s">
        <v>1826</v>
      </c>
      <c r="F7001" s="27" t="s">
        <v>1827</v>
      </c>
      <c r="H7001" s="27" t="s">
        <v>1830</v>
      </c>
      <c r="J7001" s="27" t="s">
        <v>1831</v>
      </c>
      <c r="L7001" s="27" t="s">
        <v>234</v>
      </c>
      <c r="N7001" s="27" t="s">
        <v>702</v>
      </c>
      <c r="P7001" s="27" t="s">
        <v>8356</v>
      </c>
      <c r="Q7001" s="26" t="str">
        <f>HYPERLINK("https://ictv.global/taxonomy/taxondetails?taxnode_id=202504473&amp;ictv_id=ICTV20153730","ICTV20153730")</f>
        <v>ICTV20153730</v>
      </c>
      <c r="R7001" t="s">
        <v>579</v>
      </c>
      <c r="S7001" t="s">
        <v>824</v>
      </c>
      <c r="T7001">
        <v>41</v>
      </c>
      <c r="U7001" s="26" t="str">
        <f t="shared" si="275"/>
        <v>2025.002G.Monodnaviria_reorg_4nr.zip</v>
      </c>
    </row>
    <row r="7002" spans="1:21">
      <c r="A7002">
        <v>7001</v>
      </c>
      <c r="B7002" s="27" t="s">
        <v>20779</v>
      </c>
      <c r="D7002" s="27" t="s">
        <v>1826</v>
      </c>
      <c r="F7002" s="27" t="s">
        <v>1827</v>
      </c>
      <c r="H7002" s="27" t="s">
        <v>1830</v>
      </c>
      <c r="J7002" s="27" t="s">
        <v>1831</v>
      </c>
      <c r="L7002" s="27" t="s">
        <v>234</v>
      </c>
      <c r="N7002" s="27" t="s">
        <v>702</v>
      </c>
      <c r="P7002" s="27" t="s">
        <v>8357</v>
      </c>
      <c r="Q7002" s="26" t="str">
        <f>HYPERLINK("https://ictv.global/taxonomy/taxondetails?taxnode_id=202505906&amp;ictv_id=ICTV20175906","ICTV20175906")</f>
        <v>ICTV20175906</v>
      </c>
      <c r="R7002" t="s">
        <v>579</v>
      </c>
      <c r="S7002" t="s">
        <v>824</v>
      </c>
      <c r="T7002">
        <v>41</v>
      </c>
      <c r="U7002" s="26" t="str">
        <f t="shared" si="275"/>
        <v>2025.002G.Monodnaviria_reorg_4nr.zip</v>
      </c>
    </row>
    <row r="7003" spans="1:21">
      <c r="A7003">
        <v>7002</v>
      </c>
      <c r="B7003" s="27" t="s">
        <v>20779</v>
      </c>
      <c r="D7003" s="27" t="s">
        <v>1826</v>
      </c>
      <c r="F7003" s="27" t="s">
        <v>1827</v>
      </c>
      <c r="H7003" s="27" t="s">
        <v>1830</v>
      </c>
      <c r="J7003" s="27" t="s">
        <v>1831</v>
      </c>
      <c r="L7003" s="27" t="s">
        <v>234</v>
      </c>
      <c r="N7003" s="27" t="s">
        <v>702</v>
      </c>
      <c r="P7003" s="27" t="s">
        <v>8358</v>
      </c>
      <c r="Q7003" s="26" t="str">
        <f>HYPERLINK("https://ictv.global/taxonomy/taxondetails?taxnode_id=202504457&amp;ictv_id=ICTV20153721","ICTV20153721")</f>
        <v>ICTV20153721</v>
      </c>
      <c r="R7003" t="s">
        <v>579</v>
      </c>
      <c r="S7003" t="s">
        <v>824</v>
      </c>
      <c r="T7003">
        <v>41</v>
      </c>
      <c r="U7003" s="26" t="str">
        <f t="shared" si="275"/>
        <v>2025.002G.Monodnaviria_reorg_4nr.zip</v>
      </c>
    </row>
    <row r="7004" spans="1:21">
      <c r="A7004">
        <v>7003</v>
      </c>
      <c r="B7004" s="27" t="s">
        <v>20779</v>
      </c>
      <c r="D7004" s="27" t="s">
        <v>1826</v>
      </c>
      <c r="F7004" s="27" t="s">
        <v>1827</v>
      </c>
      <c r="H7004" s="27" t="s">
        <v>1830</v>
      </c>
      <c r="J7004" s="27" t="s">
        <v>1831</v>
      </c>
      <c r="L7004" s="27" t="s">
        <v>234</v>
      </c>
      <c r="N7004" s="27" t="s">
        <v>702</v>
      </c>
      <c r="P7004" s="27" t="s">
        <v>8359</v>
      </c>
      <c r="Q7004" s="26" t="str">
        <f>HYPERLINK("https://ictv.global/taxonomy/taxondetails?taxnode_id=202504461&amp;ictv_id=ICTV20153723","ICTV20153723")</f>
        <v>ICTV20153723</v>
      </c>
      <c r="R7004" t="s">
        <v>579</v>
      </c>
      <c r="S7004" t="s">
        <v>824</v>
      </c>
      <c r="T7004">
        <v>41</v>
      </c>
      <c r="U7004" s="26" t="str">
        <f t="shared" si="275"/>
        <v>2025.002G.Monodnaviria_reorg_4nr.zip</v>
      </c>
    </row>
    <row r="7005" spans="1:21">
      <c r="A7005">
        <v>7004</v>
      </c>
      <c r="B7005" s="27" t="s">
        <v>20779</v>
      </c>
      <c r="D7005" s="27" t="s">
        <v>1826</v>
      </c>
      <c r="F7005" s="27" t="s">
        <v>1827</v>
      </c>
      <c r="H7005" s="27" t="s">
        <v>1830</v>
      </c>
      <c r="J7005" s="27" t="s">
        <v>1831</v>
      </c>
      <c r="L7005" s="27" t="s">
        <v>234</v>
      </c>
      <c r="N7005" s="27" t="s">
        <v>702</v>
      </c>
      <c r="P7005" s="27" t="s">
        <v>8360</v>
      </c>
      <c r="Q7005" s="26" t="str">
        <f>HYPERLINK("https://ictv.global/taxonomy/taxondetails?taxnode_id=202507116&amp;ictv_id=ICTV201907116","ICTV201907116")</f>
        <v>ICTV201907116</v>
      </c>
      <c r="R7005" t="s">
        <v>579</v>
      </c>
      <c r="S7005" t="s">
        <v>824</v>
      </c>
      <c r="T7005">
        <v>41</v>
      </c>
      <c r="U7005" s="26" t="str">
        <f t="shared" si="275"/>
        <v>2025.002G.Monodnaviria_reorg_4nr.zip</v>
      </c>
    </row>
    <row r="7006" spans="1:21">
      <c r="A7006">
        <v>7005</v>
      </c>
      <c r="B7006" s="27" t="s">
        <v>20779</v>
      </c>
      <c r="D7006" s="27" t="s">
        <v>1826</v>
      </c>
      <c r="F7006" s="27" t="s">
        <v>1827</v>
      </c>
      <c r="H7006" s="27" t="s">
        <v>1830</v>
      </c>
      <c r="J7006" s="27" t="s">
        <v>1831</v>
      </c>
      <c r="L7006" s="27" t="s">
        <v>234</v>
      </c>
      <c r="N7006" s="27" t="s">
        <v>702</v>
      </c>
      <c r="P7006" s="27" t="s">
        <v>8361</v>
      </c>
      <c r="Q7006" s="26" t="str">
        <f>HYPERLINK("https://ictv.global/taxonomy/taxondetails?taxnode_id=202505907&amp;ictv_id=ICTV20175907","ICTV20175907")</f>
        <v>ICTV20175907</v>
      </c>
      <c r="R7006" t="s">
        <v>579</v>
      </c>
      <c r="S7006" t="s">
        <v>824</v>
      </c>
      <c r="T7006">
        <v>41</v>
      </c>
      <c r="U7006" s="26" t="str">
        <f t="shared" si="275"/>
        <v>2025.002G.Monodnaviria_reorg_4nr.zip</v>
      </c>
    </row>
    <row r="7007" spans="1:21">
      <c r="A7007">
        <v>7006</v>
      </c>
      <c r="B7007" s="27" t="s">
        <v>20779</v>
      </c>
      <c r="D7007" s="27" t="s">
        <v>1826</v>
      </c>
      <c r="F7007" s="27" t="s">
        <v>1827</v>
      </c>
      <c r="H7007" s="27" t="s">
        <v>1830</v>
      </c>
      <c r="J7007" s="27" t="s">
        <v>1831</v>
      </c>
      <c r="L7007" s="27" t="s">
        <v>234</v>
      </c>
      <c r="N7007" s="27" t="s">
        <v>702</v>
      </c>
      <c r="P7007" s="27" t="s">
        <v>8362</v>
      </c>
      <c r="Q7007" s="26" t="str">
        <f>HYPERLINK("https://ictv.global/taxonomy/taxondetails?taxnode_id=202504478&amp;ictv_id=ICTV20153735","ICTV20153735")</f>
        <v>ICTV20153735</v>
      </c>
      <c r="R7007" t="s">
        <v>579</v>
      </c>
      <c r="S7007" t="s">
        <v>824</v>
      </c>
      <c r="T7007">
        <v>41</v>
      </c>
      <c r="U7007" s="26" t="str">
        <f t="shared" si="275"/>
        <v>2025.002G.Monodnaviria_reorg_4nr.zip</v>
      </c>
    </row>
    <row r="7008" spans="1:21">
      <c r="A7008">
        <v>7007</v>
      </c>
      <c r="B7008" s="27" t="s">
        <v>20779</v>
      </c>
      <c r="D7008" s="27" t="s">
        <v>1826</v>
      </c>
      <c r="F7008" s="27" t="s">
        <v>1827</v>
      </c>
      <c r="H7008" s="27" t="s">
        <v>1830</v>
      </c>
      <c r="J7008" s="27" t="s">
        <v>1831</v>
      </c>
      <c r="L7008" s="27" t="s">
        <v>234</v>
      </c>
      <c r="N7008" s="27" t="s">
        <v>703</v>
      </c>
      <c r="P7008" s="27" t="s">
        <v>8363</v>
      </c>
      <c r="Q7008" s="26" t="str">
        <f>HYPERLINK("https://ictv.global/taxonomy/taxondetails?taxnode_id=202506349&amp;ictv_id=ICTV201856349","ICTV201856349")</f>
        <v>ICTV201856349</v>
      </c>
      <c r="R7008" t="s">
        <v>579</v>
      </c>
      <c r="S7008" t="s">
        <v>824</v>
      </c>
      <c r="T7008">
        <v>41</v>
      </c>
      <c r="U7008" s="26" t="str">
        <f t="shared" si="275"/>
        <v>2025.002G.Monodnaviria_reorg_4nr.zip</v>
      </c>
    </row>
    <row r="7009" spans="1:21">
      <c r="A7009">
        <v>7008</v>
      </c>
      <c r="B7009" s="27" t="s">
        <v>20779</v>
      </c>
      <c r="D7009" s="27" t="s">
        <v>1826</v>
      </c>
      <c r="F7009" s="27" t="s">
        <v>1827</v>
      </c>
      <c r="H7009" s="27" t="s">
        <v>1830</v>
      </c>
      <c r="J7009" s="27" t="s">
        <v>1831</v>
      </c>
      <c r="L7009" s="27" t="s">
        <v>234</v>
      </c>
      <c r="N7009" s="27" t="s">
        <v>703</v>
      </c>
      <c r="P7009" s="27" t="s">
        <v>8364</v>
      </c>
      <c r="Q7009" s="26" t="str">
        <f>HYPERLINK("https://ictv.global/taxonomy/taxondetails?taxnode_id=202509594&amp;ictv_id=ICTV202009594","ICTV202009594")</f>
        <v>ICTV202009594</v>
      </c>
      <c r="R7009" t="s">
        <v>579</v>
      </c>
      <c r="S7009" t="s">
        <v>824</v>
      </c>
      <c r="T7009">
        <v>41</v>
      </c>
      <c r="U7009" s="26" t="str">
        <f t="shared" si="275"/>
        <v>2025.002G.Monodnaviria_reorg_4nr.zip</v>
      </c>
    </row>
    <row r="7010" spans="1:21">
      <c r="A7010">
        <v>7009</v>
      </c>
      <c r="B7010" s="27" t="s">
        <v>20779</v>
      </c>
      <c r="D7010" s="27" t="s">
        <v>1826</v>
      </c>
      <c r="F7010" s="27" t="s">
        <v>1827</v>
      </c>
      <c r="H7010" s="27" t="s">
        <v>1830</v>
      </c>
      <c r="J7010" s="27" t="s">
        <v>1831</v>
      </c>
      <c r="L7010" s="27" t="s">
        <v>234</v>
      </c>
      <c r="N7010" s="27" t="s">
        <v>703</v>
      </c>
      <c r="P7010" s="27" t="s">
        <v>8365</v>
      </c>
      <c r="Q7010" s="26" t="str">
        <f>HYPERLINK("https://ictv.global/taxonomy/taxondetails?taxnode_id=202504482&amp;ictv_id=ICTV20153744","ICTV20153744")</f>
        <v>ICTV20153744</v>
      </c>
      <c r="R7010" t="s">
        <v>579</v>
      </c>
      <c r="S7010" t="s">
        <v>824</v>
      </c>
      <c r="T7010">
        <v>41</v>
      </c>
      <c r="U7010" s="26" t="str">
        <f t="shared" si="275"/>
        <v>2025.002G.Monodnaviria_reorg_4nr.zip</v>
      </c>
    </row>
    <row r="7011" spans="1:21">
      <c r="A7011">
        <v>7010</v>
      </c>
      <c r="B7011" s="27" t="s">
        <v>20779</v>
      </c>
      <c r="D7011" s="27" t="s">
        <v>1826</v>
      </c>
      <c r="F7011" s="27" t="s">
        <v>1827</v>
      </c>
      <c r="H7011" s="27" t="s">
        <v>1830</v>
      </c>
      <c r="J7011" s="27" t="s">
        <v>1831</v>
      </c>
      <c r="L7011" s="27" t="s">
        <v>234</v>
      </c>
      <c r="N7011" s="27" t="s">
        <v>703</v>
      </c>
      <c r="P7011" s="27" t="s">
        <v>8366</v>
      </c>
      <c r="Q7011" s="26" t="str">
        <f>HYPERLINK("https://ictv.global/taxonomy/taxondetails?taxnode_id=202506350&amp;ictv_id=ICTV201856350","ICTV201856350")</f>
        <v>ICTV201856350</v>
      </c>
      <c r="R7011" t="s">
        <v>579</v>
      </c>
      <c r="S7011" t="s">
        <v>824</v>
      </c>
      <c r="T7011">
        <v>41</v>
      </c>
      <c r="U7011" s="26" t="str">
        <f t="shared" si="275"/>
        <v>2025.002G.Monodnaviria_reorg_4nr.zip</v>
      </c>
    </row>
    <row r="7012" spans="1:21">
      <c r="A7012">
        <v>7011</v>
      </c>
      <c r="B7012" s="27" t="s">
        <v>20779</v>
      </c>
      <c r="D7012" s="27" t="s">
        <v>1826</v>
      </c>
      <c r="F7012" s="27" t="s">
        <v>1827</v>
      </c>
      <c r="H7012" s="27" t="s">
        <v>1830</v>
      </c>
      <c r="J7012" s="27" t="s">
        <v>1831</v>
      </c>
      <c r="L7012" s="27" t="s">
        <v>234</v>
      </c>
      <c r="N7012" s="27" t="s">
        <v>703</v>
      </c>
      <c r="P7012" s="27" t="s">
        <v>8367</v>
      </c>
      <c r="Q7012" s="26" t="str">
        <f>HYPERLINK("https://ictv.global/taxonomy/taxondetails?taxnode_id=202504481&amp;ictv_id=ICTV20153743","ICTV20153743")</f>
        <v>ICTV20153743</v>
      </c>
      <c r="R7012" t="s">
        <v>579</v>
      </c>
      <c r="S7012" t="s">
        <v>824</v>
      </c>
      <c r="T7012">
        <v>41</v>
      </c>
      <c r="U7012" s="26" t="str">
        <f t="shared" si="275"/>
        <v>2025.002G.Monodnaviria_reorg_4nr.zip</v>
      </c>
    </row>
    <row r="7013" spans="1:21">
      <c r="A7013">
        <v>7012</v>
      </c>
      <c r="B7013" s="27" t="s">
        <v>20779</v>
      </c>
      <c r="D7013" s="27" t="s">
        <v>1826</v>
      </c>
      <c r="F7013" s="27" t="s">
        <v>1827</v>
      </c>
      <c r="H7013" s="27" t="s">
        <v>1830</v>
      </c>
      <c r="J7013" s="27" t="s">
        <v>1831</v>
      </c>
      <c r="L7013" s="27" t="s">
        <v>234</v>
      </c>
      <c r="N7013" s="27" t="s">
        <v>703</v>
      </c>
      <c r="P7013" s="27" t="s">
        <v>8368</v>
      </c>
      <c r="Q7013" s="26" t="str">
        <f>HYPERLINK("https://ictv.global/taxonomy/taxondetails?taxnode_id=202504480&amp;ictv_id=ICTV20153742","ICTV20153742")</f>
        <v>ICTV20153742</v>
      </c>
      <c r="R7013" t="s">
        <v>579</v>
      </c>
      <c r="S7013" t="s">
        <v>824</v>
      </c>
      <c r="T7013">
        <v>41</v>
      </c>
      <c r="U7013" s="26" t="str">
        <f t="shared" si="275"/>
        <v>2025.002G.Monodnaviria_reorg_4nr.zip</v>
      </c>
    </row>
    <row r="7014" spans="1:21">
      <c r="A7014">
        <v>7013</v>
      </c>
      <c r="B7014" s="27" t="s">
        <v>20779</v>
      </c>
      <c r="D7014" s="27" t="s">
        <v>1826</v>
      </c>
      <c r="F7014" s="27" t="s">
        <v>1827</v>
      </c>
      <c r="H7014" s="27" t="s">
        <v>1830</v>
      </c>
      <c r="J7014" s="27" t="s">
        <v>1831</v>
      </c>
      <c r="L7014" s="27" t="s">
        <v>234</v>
      </c>
      <c r="N7014" s="27" t="s">
        <v>703</v>
      </c>
      <c r="P7014" s="27" t="s">
        <v>8369</v>
      </c>
      <c r="Q7014" s="26" t="str">
        <f>HYPERLINK("https://ictv.global/taxonomy/taxondetails?taxnode_id=202504483&amp;ictv_id=ICTV20153745","ICTV20153745")</f>
        <v>ICTV20153745</v>
      </c>
      <c r="R7014" t="s">
        <v>579</v>
      </c>
      <c r="S7014" t="s">
        <v>824</v>
      </c>
      <c r="T7014">
        <v>41</v>
      </c>
      <c r="U7014" s="26" t="str">
        <f t="shared" si="275"/>
        <v>2025.002G.Monodnaviria_reorg_4nr.zip</v>
      </c>
    </row>
    <row r="7015" spans="1:21">
      <c r="A7015">
        <v>7014</v>
      </c>
      <c r="B7015" s="27" t="s">
        <v>20779</v>
      </c>
      <c r="D7015" s="27" t="s">
        <v>1826</v>
      </c>
      <c r="F7015" s="27" t="s">
        <v>1827</v>
      </c>
      <c r="H7015" s="27" t="s">
        <v>1830</v>
      </c>
      <c r="J7015" s="27" t="s">
        <v>1831</v>
      </c>
      <c r="L7015" s="27" t="s">
        <v>234</v>
      </c>
      <c r="N7015" s="27" t="s">
        <v>2335</v>
      </c>
      <c r="P7015" s="27" t="s">
        <v>8370</v>
      </c>
      <c r="Q7015" s="26" t="str">
        <f>HYPERLINK("https://ictv.global/taxonomy/taxondetails?taxnode_id=202504493&amp;ictv_id=ICTV19911005","ICTV19911005")</f>
        <v>ICTV19911005</v>
      </c>
      <c r="R7015" t="s">
        <v>579</v>
      </c>
      <c r="S7015" t="s">
        <v>824</v>
      </c>
      <c r="T7015">
        <v>41</v>
      </c>
      <c r="U7015" s="26" t="str">
        <f t="shared" si="275"/>
        <v>2025.002G.Monodnaviria_reorg_4nr.zip</v>
      </c>
    </row>
    <row r="7016" spans="1:21">
      <c r="A7016">
        <v>7015</v>
      </c>
      <c r="B7016" s="27" t="s">
        <v>20779</v>
      </c>
      <c r="D7016" s="27" t="s">
        <v>1826</v>
      </c>
      <c r="F7016" s="27" t="s">
        <v>1827</v>
      </c>
      <c r="H7016" s="27" t="s">
        <v>1830</v>
      </c>
      <c r="J7016" s="27" t="s">
        <v>1831</v>
      </c>
      <c r="L7016" s="27" t="s">
        <v>234</v>
      </c>
      <c r="N7016" s="27" t="s">
        <v>2335</v>
      </c>
      <c r="P7016" s="27" t="s">
        <v>8371</v>
      </c>
      <c r="Q7016" s="26" t="str">
        <f>HYPERLINK("https://ictv.global/taxonomy/taxondetails?taxnode_id=202509597&amp;ictv_id=ICTV202009597","ICTV202009597")</f>
        <v>ICTV202009597</v>
      </c>
      <c r="R7016" t="s">
        <v>579</v>
      </c>
      <c r="S7016" t="s">
        <v>824</v>
      </c>
      <c r="T7016">
        <v>41</v>
      </c>
      <c r="U7016" s="26" t="str">
        <f t="shared" si="275"/>
        <v>2025.002G.Monodnaviria_reorg_4nr.zip</v>
      </c>
    </row>
    <row r="7017" spans="1:21">
      <c r="A7017">
        <v>7016</v>
      </c>
      <c r="B7017" s="27" t="s">
        <v>20779</v>
      </c>
      <c r="D7017" s="27" t="s">
        <v>1826</v>
      </c>
      <c r="F7017" s="27" t="s">
        <v>1827</v>
      </c>
      <c r="H7017" s="27" t="s">
        <v>1830</v>
      </c>
      <c r="J7017" s="27" t="s">
        <v>1831</v>
      </c>
      <c r="L7017" s="27" t="s">
        <v>234</v>
      </c>
      <c r="N7017" s="27" t="s">
        <v>2335</v>
      </c>
      <c r="P7017" s="27" t="s">
        <v>8372</v>
      </c>
      <c r="Q7017" s="26" t="str">
        <f>HYPERLINK("https://ictv.global/taxonomy/taxondetails?taxnode_id=202509596&amp;ictv_id=ICTV202009596","ICTV202009596")</f>
        <v>ICTV202009596</v>
      </c>
      <c r="R7017" t="s">
        <v>579</v>
      </c>
      <c r="S7017" t="s">
        <v>824</v>
      </c>
      <c r="T7017">
        <v>41</v>
      </c>
      <c r="U7017" s="26" t="str">
        <f t="shared" si="275"/>
        <v>2025.002G.Monodnaviria_reorg_4nr.zip</v>
      </c>
    </row>
    <row r="7018" spans="1:21">
      <c r="A7018">
        <v>7017</v>
      </c>
      <c r="B7018" s="27" t="s">
        <v>20779</v>
      </c>
      <c r="D7018" s="27" t="s">
        <v>1826</v>
      </c>
      <c r="F7018" s="27" t="s">
        <v>1827</v>
      </c>
      <c r="H7018" s="27" t="s">
        <v>1830</v>
      </c>
      <c r="J7018" s="27" t="s">
        <v>1831</v>
      </c>
      <c r="L7018" s="27" t="s">
        <v>234</v>
      </c>
      <c r="N7018" s="27" t="s">
        <v>8373</v>
      </c>
      <c r="P7018" s="27" t="s">
        <v>8374</v>
      </c>
      <c r="Q7018" s="26" t="str">
        <f>HYPERLINK("https://ictv.global/taxonomy/taxondetails?taxnode_id=202505910&amp;ictv_id=ICTV20175910","ICTV20175910")</f>
        <v>ICTV20175910</v>
      </c>
      <c r="R7018" t="s">
        <v>579</v>
      </c>
      <c r="S7018" t="s">
        <v>824</v>
      </c>
      <c r="T7018">
        <v>41</v>
      </c>
      <c r="U7018" s="26" t="str">
        <f t="shared" si="275"/>
        <v>2025.002G.Monodnaviria_reorg_4nr.zip</v>
      </c>
    </row>
    <row r="7019" spans="1:21">
      <c r="A7019">
        <v>7018</v>
      </c>
      <c r="B7019" s="27" t="s">
        <v>20779</v>
      </c>
      <c r="D7019" s="27" t="s">
        <v>1826</v>
      </c>
      <c r="F7019" s="27" t="s">
        <v>1827</v>
      </c>
      <c r="H7019" s="27" t="s">
        <v>1830</v>
      </c>
      <c r="J7019" s="27" t="s">
        <v>1831</v>
      </c>
      <c r="L7019" s="27" t="s">
        <v>234</v>
      </c>
      <c r="N7019" s="27" t="s">
        <v>704</v>
      </c>
      <c r="P7019" s="27" t="s">
        <v>8375</v>
      </c>
      <c r="Q7019" s="26" t="str">
        <f>HYPERLINK("https://ictv.global/taxonomy/taxondetails?taxnode_id=202504485&amp;ictv_id=ICTV20153736","ICTV20153736")</f>
        <v>ICTV20153736</v>
      </c>
      <c r="R7019" t="s">
        <v>579</v>
      </c>
      <c r="S7019" t="s">
        <v>824</v>
      </c>
      <c r="T7019">
        <v>41</v>
      </c>
      <c r="U7019" s="26" t="str">
        <f t="shared" si="275"/>
        <v>2025.002G.Monodnaviria_reorg_4nr.zip</v>
      </c>
    </row>
    <row r="7020" spans="1:21">
      <c r="A7020">
        <v>7019</v>
      </c>
      <c r="B7020" s="27" t="s">
        <v>20779</v>
      </c>
      <c r="D7020" s="27" t="s">
        <v>1826</v>
      </c>
      <c r="F7020" s="27" t="s">
        <v>1827</v>
      </c>
      <c r="H7020" s="27" t="s">
        <v>1830</v>
      </c>
      <c r="J7020" s="27" t="s">
        <v>1831</v>
      </c>
      <c r="L7020" s="27" t="s">
        <v>234</v>
      </c>
      <c r="N7020" s="27" t="s">
        <v>704</v>
      </c>
      <c r="P7020" s="27" t="s">
        <v>8376</v>
      </c>
      <c r="Q7020" s="26" t="str">
        <f>HYPERLINK("https://ictv.global/taxonomy/taxondetails?taxnode_id=202504486&amp;ictv_id=ICTV19951409","ICTV19951409")</f>
        <v>ICTV19951409</v>
      </c>
      <c r="R7020" t="s">
        <v>579</v>
      </c>
      <c r="S7020" t="s">
        <v>824</v>
      </c>
      <c r="T7020">
        <v>41</v>
      </c>
      <c r="U7020" s="26" t="str">
        <f t="shared" si="275"/>
        <v>2025.002G.Monodnaviria_reorg_4nr.zip</v>
      </c>
    </row>
    <row r="7021" spans="1:21">
      <c r="A7021">
        <v>7020</v>
      </c>
      <c r="B7021" s="27" t="s">
        <v>20779</v>
      </c>
      <c r="D7021" s="27" t="s">
        <v>1826</v>
      </c>
      <c r="F7021" s="27" t="s">
        <v>1827</v>
      </c>
      <c r="H7021" s="27" t="s">
        <v>1830</v>
      </c>
      <c r="J7021" s="27" t="s">
        <v>1831</v>
      </c>
      <c r="L7021" s="27" t="s">
        <v>234</v>
      </c>
      <c r="N7021" s="27" t="s">
        <v>704</v>
      </c>
      <c r="P7021" s="27" t="s">
        <v>8377</v>
      </c>
      <c r="Q7021" s="26" t="str">
        <f>HYPERLINK("https://ictv.global/taxonomy/taxondetails?taxnode_id=202504487&amp;ictv_id=ICTV20153737","ICTV20153737")</f>
        <v>ICTV20153737</v>
      </c>
      <c r="R7021" t="s">
        <v>579</v>
      </c>
      <c r="S7021" t="s">
        <v>824</v>
      </c>
      <c r="T7021">
        <v>41</v>
      </c>
      <c r="U7021" s="26" t="str">
        <f t="shared" si="275"/>
        <v>2025.002G.Monodnaviria_reorg_4nr.zip</v>
      </c>
    </row>
    <row r="7022" spans="1:21">
      <c r="A7022">
        <v>7021</v>
      </c>
      <c r="B7022" s="27" t="s">
        <v>20779</v>
      </c>
      <c r="D7022" s="27" t="s">
        <v>1826</v>
      </c>
      <c r="F7022" s="27" t="s">
        <v>1827</v>
      </c>
      <c r="H7022" s="27" t="s">
        <v>1830</v>
      </c>
      <c r="J7022" s="27" t="s">
        <v>1831</v>
      </c>
      <c r="L7022" s="27" t="s">
        <v>234</v>
      </c>
      <c r="N7022" s="27" t="s">
        <v>704</v>
      </c>
      <c r="P7022" s="27" t="s">
        <v>8378</v>
      </c>
      <c r="Q7022" s="26" t="str">
        <f>HYPERLINK("https://ictv.global/taxonomy/taxondetails?taxnode_id=202504488&amp;ictv_id=ICTV20153738","ICTV20153738")</f>
        <v>ICTV20153738</v>
      </c>
      <c r="R7022" t="s">
        <v>579</v>
      </c>
      <c r="S7022" t="s">
        <v>824</v>
      </c>
      <c r="T7022">
        <v>41</v>
      </c>
      <c r="U7022" s="26" t="str">
        <f t="shared" si="275"/>
        <v>2025.002G.Monodnaviria_reorg_4nr.zip</v>
      </c>
    </row>
    <row r="7023" spans="1:21">
      <c r="A7023">
        <v>7022</v>
      </c>
      <c r="B7023" s="27" t="s">
        <v>20779</v>
      </c>
      <c r="D7023" s="27" t="s">
        <v>1826</v>
      </c>
      <c r="F7023" s="27" t="s">
        <v>1827</v>
      </c>
      <c r="H7023" s="27" t="s">
        <v>1830</v>
      </c>
      <c r="J7023" s="27" t="s">
        <v>1831</v>
      </c>
      <c r="L7023" s="27" t="s">
        <v>234</v>
      </c>
      <c r="N7023" s="27" t="s">
        <v>704</v>
      </c>
      <c r="P7023" s="27" t="s">
        <v>8379</v>
      </c>
      <c r="Q7023" s="26" t="str">
        <f>HYPERLINK("https://ictv.global/taxonomy/taxondetails?taxnode_id=202505908&amp;ictv_id=ICTV20175908","ICTV20175908")</f>
        <v>ICTV20175908</v>
      </c>
      <c r="R7023" t="s">
        <v>579</v>
      </c>
      <c r="S7023" t="s">
        <v>824</v>
      </c>
      <c r="T7023">
        <v>41</v>
      </c>
      <c r="U7023" s="26" t="str">
        <f t="shared" si="275"/>
        <v>2025.002G.Monodnaviria_reorg_4nr.zip</v>
      </c>
    </row>
    <row r="7024" spans="1:21">
      <c r="A7024">
        <v>7023</v>
      </c>
      <c r="B7024" s="27" t="s">
        <v>20779</v>
      </c>
      <c r="D7024" s="27" t="s">
        <v>1826</v>
      </c>
      <c r="F7024" s="27" t="s">
        <v>1827</v>
      </c>
      <c r="H7024" s="27" t="s">
        <v>1830</v>
      </c>
      <c r="J7024" s="27" t="s">
        <v>1831</v>
      </c>
      <c r="L7024" s="27" t="s">
        <v>234</v>
      </c>
      <c r="N7024" s="27" t="s">
        <v>704</v>
      </c>
      <c r="P7024" s="27" t="s">
        <v>8380</v>
      </c>
      <c r="Q7024" s="26" t="str">
        <f>HYPERLINK("https://ictv.global/taxonomy/taxondetails?taxnode_id=202505909&amp;ictv_id=ICTV20175909","ICTV20175909")</f>
        <v>ICTV20175909</v>
      </c>
      <c r="R7024" t="s">
        <v>579</v>
      </c>
      <c r="S7024" t="s">
        <v>824</v>
      </c>
      <c r="T7024">
        <v>41</v>
      </c>
      <c r="U7024" s="26" t="str">
        <f t="shared" si="275"/>
        <v>2025.002G.Monodnaviria_reorg_4nr.zip</v>
      </c>
    </row>
    <row r="7025" spans="1:21">
      <c r="A7025">
        <v>7024</v>
      </c>
      <c r="B7025" s="27" t="s">
        <v>20779</v>
      </c>
      <c r="D7025" s="27" t="s">
        <v>1826</v>
      </c>
      <c r="F7025" s="27" t="s">
        <v>1827</v>
      </c>
      <c r="H7025" s="27" t="s">
        <v>1830</v>
      </c>
      <c r="J7025" s="27" t="s">
        <v>1831</v>
      </c>
      <c r="L7025" s="27" t="s">
        <v>234</v>
      </c>
      <c r="N7025" s="27" t="s">
        <v>704</v>
      </c>
      <c r="P7025" s="27" t="s">
        <v>8381</v>
      </c>
      <c r="Q7025" s="26" t="str">
        <f>HYPERLINK("https://ictv.global/taxonomy/taxondetails?taxnode_id=202504489&amp;ictv_id=ICTV20153739","ICTV20153739")</f>
        <v>ICTV20153739</v>
      </c>
      <c r="R7025" t="s">
        <v>579</v>
      </c>
      <c r="S7025" t="s">
        <v>824</v>
      </c>
      <c r="T7025">
        <v>41</v>
      </c>
      <c r="U7025" s="26" t="str">
        <f t="shared" si="275"/>
        <v>2025.002G.Monodnaviria_reorg_4nr.zip</v>
      </c>
    </row>
    <row r="7026" spans="1:21">
      <c r="A7026">
        <v>7025</v>
      </c>
      <c r="B7026" s="27" t="s">
        <v>20779</v>
      </c>
      <c r="D7026" s="27" t="s">
        <v>1826</v>
      </c>
      <c r="F7026" s="27" t="s">
        <v>1827</v>
      </c>
      <c r="H7026" s="27" t="s">
        <v>1830</v>
      </c>
      <c r="J7026" s="27" t="s">
        <v>1831</v>
      </c>
      <c r="L7026" s="27" t="s">
        <v>234</v>
      </c>
      <c r="N7026" s="27" t="s">
        <v>704</v>
      </c>
      <c r="P7026" s="27" t="s">
        <v>12255</v>
      </c>
      <c r="Q7026" s="26" t="str">
        <f>HYPERLINK("https://ictv.global/taxonomy/taxondetails?taxnode_id=202518066&amp;ictv_id=ICTV202318066","ICTV202318066")</f>
        <v>ICTV202318066</v>
      </c>
      <c r="R7026" t="s">
        <v>579</v>
      </c>
      <c r="S7026" t="s">
        <v>824</v>
      </c>
      <c r="T7026">
        <v>41</v>
      </c>
      <c r="U7026" s="26" t="str">
        <f t="shared" si="275"/>
        <v>2025.002G.Monodnaviria_reorg_4nr.zip</v>
      </c>
    </row>
    <row r="7027" spans="1:21">
      <c r="A7027">
        <v>7026</v>
      </c>
      <c r="B7027" s="27" t="s">
        <v>20779</v>
      </c>
      <c r="D7027" s="27" t="s">
        <v>1826</v>
      </c>
      <c r="F7027" s="27" t="s">
        <v>1827</v>
      </c>
      <c r="H7027" s="27" t="s">
        <v>1830</v>
      </c>
      <c r="J7027" s="27" t="s">
        <v>1831</v>
      </c>
      <c r="L7027" s="27" t="s">
        <v>234</v>
      </c>
      <c r="N7027" s="27" t="s">
        <v>704</v>
      </c>
      <c r="P7027" s="27" t="s">
        <v>8382</v>
      </c>
      <c r="Q7027" s="26" t="str">
        <f>HYPERLINK("https://ictv.global/taxonomy/taxondetails?taxnode_id=202504490&amp;ictv_id=ICTV20153740","ICTV20153740")</f>
        <v>ICTV20153740</v>
      </c>
      <c r="R7027" t="s">
        <v>579</v>
      </c>
      <c r="S7027" t="s">
        <v>824</v>
      </c>
      <c r="T7027">
        <v>41</v>
      </c>
      <c r="U7027" s="26" t="str">
        <f t="shared" si="275"/>
        <v>2025.002G.Monodnaviria_reorg_4nr.zip</v>
      </c>
    </row>
    <row r="7028" spans="1:21">
      <c r="A7028">
        <v>7027</v>
      </c>
      <c r="B7028" s="27" t="s">
        <v>20779</v>
      </c>
      <c r="D7028" s="27" t="s">
        <v>1826</v>
      </c>
      <c r="F7028" s="27" t="s">
        <v>1827</v>
      </c>
      <c r="H7028" s="27" t="s">
        <v>1830</v>
      </c>
      <c r="J7028" s="27" t="s">
        <v>1831</v>
      </c>
      <c r="L7028" s="27" t="s">
        <v>234</v>
      </c>
      <c r="N7028" s="27" t="s">
        <v>704</v>
      </c>
      <c r="P7028" s="27" t="s">
        <v>8383</v>
      </c>
      <c r="Q7028" s="26" t="str">
        <f>HYPERLINK("https://ictv.global/taxonomy/taxondetails?taxnode_id=202504491&amp;ictv_id=ICTV20153741","ICTV20153741")</f>
        <v>ICTV20153741</v>
      </c>
      <c r="R7028" t="s">
        <v>579</v>
      </c>
      <c r="S7028" t="s">
        <v>824</v>
      </c>
      <c r="T7028">
        <v>41</v>
      </c>
      <c r="U7028" s="26" t="str">
        <f t="shared" si="275"/>
        <v>2025.002G.Monodnaviria_reorg_4nr.zip</v>
      </c>
    </row>
    <row r="7029" spans="1:21">
      <c r="A7029">
        <v>7028</v>
      </c>
      <c r="B7029" s="27" t="s">
        <v>20779</v>
      </c>
      <c r="D7029" s="27" t="s">
        <v>1826</v>
      </c>
      <c r="F7029" s="27" t="s">
        <v>1827</v>
      </c>
      <c r="H7029" s="27" t="s">
        <v>1830</v>
      </c>
      <c r="J7029" s="27" t="s">
        <v>1831</v>
      </c>
      <c r="L7029" s="27" t="s">
        <v>234</v>
      </c>
      <c r="N7029" s="27" t="s">
        <v>8384</v>
      </c>
      <c r="P7029" s="27" t="s">
        <v>8385</v>
      </c>
      <c r="Q7029" s="26" t="str">
        <f>HYPERLINK("https://ictv.global/taxonomy/taxondetails?taxnode_id=202504494&amp;ictv_id=ICTV20153747","ICTV20153747")</f>
        <v>ICTV20153747</v>
      </c>
      <c r="R7029" t="s">
        <v>579</v>
      </c>
      <c r="S7029" t="s">
        <v>824</v>
      </c>
      <c r="T7029">
        <v>41</v>
      </c>
      <c r="U7029" s="26" t="str">
        <f t="shared" si="275"/>
        <v>2025.002G.Monodnaviria_reorg_4nr.zip</v>
      </c>
    </row>
    <row r="7030" spans="1:21">
      <c r="A7030">
        <v>7029</v>
      </c>
      <c r="B7030" s="27" t="s">
        <v>20779</v>
      </c>
      <c r="D7030" s="27" t="s">
        <v>1826</v>
      </c>
      <c r="F7030" s="27" t="s">
        <v>1827</v>
      </c>
      <c r="H7030" s="27" t="s">
        <v>1830</v>
      </c>
      <c r="J7030" s="27" t="s">
        <v>1831</v>
      </c>
      <c r="L7030" s="27" t="s">
        <v>234</v>
      </c>
      <c r="N7030" s="27" t="s">
        <v>8384</v>
      </c>
      <c r="P7030" s="27" t="s">
        <v>8386</v>
      </c>
      <c r="Q7030" s="26" t="str">
        <f>HYPERLINK("https://ictv.global/taxonomy/taxondetails?taxnode_id=202506351&amp;ictv_id=ICTV201856351","ICTV201856351")</f>
        <v>ICTV201856351</v>
      </c>
      <c r="R7030" t="s">
        <v>579</v>
      </c>
      <c r="S7030" t="s">
        <v>824</v>
      </c>
      <c r="T7030">
        <v>41</v>
      </c>
      <c r="U7030" s="26" t="str">
        <f t="shared" si="275"/>
        <v>2025.002G.Monodnaviria_reorg_4nr.zip</v>
      </c>
    </row>
    <row r="7031" spans="1:21">
      <c r="A7031">
        <v>7030</v>
      </c>
      <c r="B7031" s="27" t="s">
        <v>20779</v>
      </c>
      <c r="D7031" s="27" t="s">
        <v>1826</v>
      </c>
      <c r="F7031" s="27" t="s">
        <v>1827</v>
      </c>
      <c r="H7031" s="27" t="s">
        <v>1830</v>
      </c>
      <c r="J7031" s="27" t="s">
        <v>1831</v>
      </c>
      <c r="L7031" s="27" t="s">
        <v>234</v>
      </c>
      <c r="N7031" s="27" t="s">
        <v>8384</v>
      </c>
      <c r="P7031" s="27" t="s">
        <v>8387</v>
      </c>
      <c r="Q7031" s="26" t="str">
        <f>HYPERLINK("https://ictv.global/taxonomy/taxondetails?taxnode_id=202506352&amp;ictv_id=ICTV201856352","ICTV201856352")</f>
        <v>ICTV201856352</v>
      </c>
      <c r="R7031" t="s">
        <v>579</v>
      </c>
      <c r="S7031" t="s">
        <v>824</v>
      </c>
      <c r="T7031">
        <v>41</v>
      </c>
      <c r="U7031" s="26" t="str">
        <f t="shared" si="275"/>
        <v>2025.002G.Monodnaviria_reorg_4nr.zip</v>
      </c>
    </row>
    <row r="7032" spans="1:21">
      <c r="A7032">
        <v>7031</v>
      </c>
      <c r="B7032" s="27" t="s">
        <v>20779</v>
      </c>
      <c r="D7032" s="27" t="s">
        <v>1826</v>
      </c>
      <c r="F7032" s="27" t="s">
        <v>1827</v>
      </c>
      <c r="H7032" s="27" t="s">
        <v>1830</v>
      </c>
      <c r="J7032" s="27" t="s">
        <v>1831</v>
      </c>
      <c r="L7032" s="27" t="s">
        <v>234</v>
      </c>
      <c r="N7032" s="27" t="s">
        <v>8384</v>
      </c>
      <c r="P7032" s="27" t="s">
        <v>8388</v>
      </c>
      <c r="Q7032" s="26" t="str">
        <f>HYPERLINK("https://ictv.global/taxonomy/taxondetails?taxnode_id=202505911&amp;ictv_id=ICTV20175911","ICTV20175911")</f>
        <v>ICTV20175911</v>
      </c>
      <c r="R7032" t="s">
        <v>579</v>
      </c>
      <c r="S7032" t="s">
        <v>824</v>
      </c>
      <c r="T7032">
        <v>41</v>
      </c>
      <c r="U7032" s="26" t="str">
        <f t="shared" si="275"/>
        <v>2025.002G.Monodnaviria_reorg_4nr.zip</v>
      </c>
    </row>
    <row r="7033" spans="1:21">
      <c r="A7033">
        <v>7032</v>
      </c>
      <c r="B7033" s="27" t="s">
        <v>20779</v>
      </c>
      <c r="D7033" s="27" t="s">
        <v>1826</v>
      </c>
      <c r="F7033" s="27" t="s">
        <v>1827</v>
      </c>
      <c r="H7033" s="27" t="s">
        <v>1830</v>
      </c>
      <c r="J7033" s="27" t="s">
        <v>1831</v>
      </c>
      <c r="L7033" s="27" t="s">
        <v>234</v>
      </c>
      <c r="N7033" s="27" t="s">
        <v>2336</v>
      </c>
      <c r="P7033" s="27" t="s">
        <v>8389</v>
      </c>
      <c r="Q7033" s="26" t="str">
        <f>HYPERLINK("https://ictv.global/taxonomy/taxondetails?taxnode_id=202504495&amp;ictv_id=ICTV20153746","ICTV20153746")</f>
        <v>ICTV20153746</v>
      </c>
      <c r="R7033" t="s">
        <v>579</v>
      </c>
      <c r="S7033" t="s">
        <v>824</v>
      </c>
      <c r="T7033">
        <v>41</v>
      </c>
      <c r="U7033" s="26" t="str">
        <f t="shared" si="275"/>
        <v>2025.002G.Monodnaviria_reorg_4nr.zip</v>
      </c>
    </row>
    <row r="7034" spans="1:21">
      <c r="A7034">
        <v>7033</v>
      </c>
      <c r="B7034" s="27" t="s">
        <v>20779</v>
      </c>
      <c r="D7034" s="27" t="s">
        <v>1826</v>
      </c>
      <c r="F7034" s="27" t="s">
        <v>1827</v>
      </c>
      <c r="H7034" s="27" t="s">
        <v>1830</v>
      </c>
      <c r="J7034" s="27" t="s">
        <v>1832</v>
      </c>
      <c r="L7034" s="27" t="s">
        <v>209</v>
      </c>
      <c r="M7034" s="27" t="s">
        <v>891</v>
      </c>
      <c r="N7034" s="27" t="s">
        <v>210</v>
      </c>
      <c r="P7034" s="27" t="s">
        <v>21</v>
      </c>
      <c r="Q7034" s="26" t="str">
        <f>HYPERLINK("https://ictv.global/taxonomy/taxondetails?taxnode_id=202503974&amp;ictv_id=ICTV20041462","ICTV20041462")</f>
        <v>ICTV20041462</v>
      </c>
      <c r="R7034" t="s">
        <v>579</v>
      </c>
      <c r="S7034" t="s">
        <v>824</v>
      </c>
      <c r="T7034">
        <v>41</v>
      </c>
      <c r="U7034" s="26" t="str">
        <f t="shared" si="275"/>
        <v>2025.002G.Monodnaviria_reorg_4nr.zip</v>
      </c>
    </row>
    <row r="7035" spans="1:21">
      <c r="A7035">
        <v>7034</v>
      </c>
      <c r="B7035" s="27" t="s">
        <v>20779</v>
      </c>
      <c r="D7035" s="27" t="s">
        <v>1826</v>
      </c>
      <c r="F7035" s="27" t="s">
        <v>1827</v>
      </c>
      <c r="H7035" s="27" t="s">
        <v>1830</v>
      </c>
      <c r="J7035" s="27" t="s">
        <v>1832</v>
      </c>
      <c r="L7035" s="27" t="s">
        <v>209</v>
      </c>
      <c r="M7035" s="27" t="s">
        <v>891</v>
      </c>
      <c r="N7035" s="27" t="s">
        <v>210</v>
      </c>
      <c r="P7035" s="27" t="s">
        <v>27</v>
      </c>
      <c r="Q7035" s="26" t="str">
        <f>HYPERLINK("https://ictv.global/taxonomy/taxondetails?taxnode_id=202503975&amp;ictv_id=ICTV20041457","ICTV20041457")</f>
        <v>ICTV20041457</v>
      </c>
      <c r="R7035" t="s">
        <v>579</v>
      </c>
      <c r="S7035" t="s">
        <v>824</v>
      </c>
      <c r="T7035">
        <v>41</v>
      </c>
      <c r="U7035" s="26" t="str">
        <f t="shared" si="275"/>
        <v>2025.002G.Monodnaviria_reorg_4nr.zip</v>
      </c>
    </row>
    <row r="7036" spans="1:21">
      <c r="A7036">
        <v>7035</v>
      </c>
      <c r="B7036" s="27" t="s">
        <v>20779</v>
      </c>
      <c r="D7036" s="27" t="s">
        <v>1826</v>
      </c>
      <c r="F7036" s="27" t="s">
        <v>1827</v>
      </c>
      <c r="H7036" s="27" t="s">
        <v>1830</v>
      </c>
      <c r="J7036" s="27" t="s">
        <v>1832</v>
      </c>
      <c r="L7036" s="27" t="s">
        <v>209</v>
      </c>
      <c r="M7036" s="27" t="s">
        <v>891</v>
      </c>
      <c r="N7036" s="27" t="s">
        <v>210</v>
      </c>
      <c r="P7036" s="27" t="s">
        <v>28</v>
      </c>
      <c r="Q7036" s="26" t="str">
        <f>HYPERLINK("https://ictv.global/taxonomy/taxondetails?taxnode_id=202503976&amp;ictv_id=ICTV20041467","ICTV20041467")</f>
        <v>ICTV20041467</v>
      </c>
      <c r="R7036" t="s">
        <v>579</v>
      </c>
      <c r="S7036" t="s">
        <v>824</v>
      </c>
      <c r="T7036">
        <v>41</v>
      </c>
      <c r="U7036" s="26" t="str">
        <f t="shared" si="275"/>
        <v>2025.002G.Monodnaviria_reorg_4nr.zip</v>
      </c>
    </row>
    <row r="7037" spans="1:21">
      <c r="A7037">
        <v>7036</v>
      </c>
      <c r="B7037" s="27" t="s">
        <v>20779</v>
      </c>
      <c r="D7037" s="27" t="s">
        <v>1826</v>
      </c>
      <c r="F7037" s="27" t="s">
        <v>1827</v>
      </c>
      <c r="H7037" s="27" t="s">
        <v>1830</v>
      </c>
      <c r="J7037" s="27" t="s">
        <v>1832</v>
      </c>
      <c r="L7037" s="27" t="s">
        <v>209</v>
      </c>
      <c r="M7037" s="27" t="s">
        <v>891</v>
      </c>
      <c r="N7037" s="27" t="s">
        <v>210</v>
      </c>
      <c r="P7037" s="27" t="s">
        <v>29</v>
      </c>
      <c r="Q7037" s="26" t="str">
        <f>HYPERLINK("https://ictv.global/taxonomy/taxondetails?taxnode_id=202503977&amp;ictv_id=ICTV20041460","ICTV20041460")</f>
        <v>ICTV20041460</v>
      </c>
      <c r="R7037" t="s">
        <v>579</v>
      </c>
      <c r="S7037" t="s">
        <v>824</v>
      </c>
      <c r="T7037">
        <v>41</v>
      </c>
      <c r="U7037" s="26" t="str">
        <f t="shared" si="275"/>
        <v>2025.002G.Monodnaviria_reorg_4nr.zip</v>
      </c>
    </row>
    <row r="7038" spans="1:21">
      <c r="A7038">
        <v>7037</v>
      </c>
      <c r="B7038" s="27" t="s">
        <v>20779</v>
      </c>
      <c r="D7038" s="27" t="s">
        <v>1826</v>
      </c>
      <c r="F7038" s="27" t="s">
        <v>1827</v>
      </c>
      <c r="H7038" s="27" t="s">
        <v>1830</v>
      </c>
      <c r="J7038" s="27" t="s">
        <v>1832</v>
      </c>
      <c r="L7038" s="27" t="s">
        <v>209</v>
      </c>
      <c r="M7038" s="27" t="s">
        <v>891</v>
      </c>
      <c r="N7038" s="27" t="s">
        <v>210</v>
      </c>
      <c r="P7038" s="27" t="s">
        <v>30</v>
      </c>
      <c r="Q7038" s="26" t="str">
        <f>HYPERLINK("https://ictv.global/taxonomy/taxondetails?taxnode_id=202503978&amp;ictv_id=ICTV20041461","ICTV20041461")</f>
        <v>ICTV20041461</v>
      </c>
      <c r="R7038" t="s">
        <v>579</v>
      </c>
      <c r="S7038" t="s">
        <v>824</v>
      </c>
      <c r="T7038">
        <v>41</v>
      </c>
      <c r="U7038" s="26" t="str">
        <f t="shared" si="275"/>
        <v>2025.002G.Monodnaviria_reorg_4nr.zip</v>
      </c>
    </row>
    <row r="7039" spans="1:21">
      <c r="A7039">
        <v>7038</v>
      </c>
      <c r="B7039" s="27" t="s">
        <v>20779</v>
      </c>
      <c r="D7039" s="27" t="s">
        <v>1826</v>
      </c>
      <c r="F7039" s="27" t="s">
        <v>1827</v>
      </c>
      <c r="H7039" s="27" t="s">
        <v>1830</v>
      </c>
      <c r="J7039" s="27" t="s">
        <v>1832</v>
      </c>
      <c r="L7039" s="27" t="s">
        <v>209</v>
      </c>
      <c r="M7039" s="27" t="s">
        <v>891</v>
      </c>
      <c r="N7039" s="27" t="s">
        <v>210</v>
      </c>
      <c r="P7039" s="27" t="s">
        <v>31</v>
      </c>
      <c r="Q7039" s="26" t="str">
        <f>HYPERLINK("https://ictv.global/taxonomy/taxondetails?taxnode_id=202503979&amp;ictv_id=ICTV20041464","ICTV20041464")</f>
        <v>ICTV20041464</v>
      </c>
      <c r="R7039" t="s">
        <v>579</v>
      </c>
      <c r="S7039" t="s">
        <v>824</v>
      </c>
      <c r="T7039">
        <v>41</v>
      </c>
      <c r="U7039" s="26" t="str">
        <f t="shared" si="275"/>
        <v>2025.002G.Monodnaviria_reorg_4nr.zip</v>
      </c>
    </row>
    <row r="7040" spans="1:21">
      <c r="A7040">
        <v>7039</v>
      </c>
      <c r="B7040" s="27" t="s">
        <v>20779</v>
      </c>
      <c r="D7040" s="27" t="s">
        <v>1826</v>
      </c>
      <c r="F7040" s="27" t="s">
        <v>1827</v>
      </c>
      <c r="H7040" s="27" t="s">
        <v>1830</v>
      </c>
      <c r="J7040" s="27" t="s">
        <v>1832</v>
      </c>
      <c r="L7040" s="27" t="s">
        <v>209</v>
      </c>
      <c r="M7040" s="27" t="s">
        <v>891</v>
      </c>
      <c r="N7040" s="27" t="s">
        <v>210</v>
      </c>
      <c r="P7040" s="27" t="s">
        <v>32</v>
      </c>
      <c r="Q7040" s="26" t="str">
        <f>HYPERLINK("https://ictv.global/taxonomy/taxondetails?taxnode_id=202503980&amp;ictv_id=ICTV20041459","ICTV20041459")</f>
        <v>ICTV20041459</v>
      </c>
      <c r="R7040" t="s">
        <v>579</v>
      </c>
      <c r="S7040" t="s">
        <v>824</v>
      </c>
      <c r="T7040">
        <v>41</v>
      </c>
      <c r="U7040" s="26" t="str">
        <f t="shared" ref="U7040:U7103" si="276">HYPERLINK("https://ictv.global/ictv/proposals/2025.002G.Monodnaviria_reorg_4nr.zip","2025.002G.Monodnaviria_reorg_4nr.zip")</f>
        <v>2025.002G.Monodnaviria_reorg_4nr.zip</v>
      </c>
    </row>
    <row r="7041" spans="1:21">
      <c r="A7041">
        <v>7040</v>
      </c>
      <c r="B7041" s="27" t="s">
        <v>20779</v>
      </c>
      <c r="D7041" s="27" t="s">
        <v>1826</v>
      </c>
      <c r="F7041" s="27" t="s">
        <v>1827</v>
      </c>
      <c r="H7041" s="27" t="s">
        <v>1830</v>
      </c>
      <c r="J7041" s="27" t="s">
        <v>1832</v>
      </c>
      <c r="L7041" s="27" t="s">
        <v>209</v>
      </c>
      <c r="M7041" s="27" t="s">
        <v>891</v>
      </c>
      <c r="N7041" s="27" t="s">
        <v>210</v>
      </c>
      <c r="P7041" s="27" t="s">
        <v>33</v>
      </c>
      <c r="Q7041" s="26" t="str">
        <f>HYPERLINK("https://ictv.global/taxonomy/taxondetails?taxnode_id=202503981&amp;ictv_id=ICTV20041468","ICTV20041468")</f>
        <v>ICTV20041468</v>
      </c>
      <c r="R7041" t="s">
        <v>579</v>
      </c>
      <c r="S7041" t="s">
        <v>824</v>
      </c>
      <c r="T7041">
        <v>41</v>
      </c>
      <c r="U7041" s="26" t="str">
        <f t="shared" si="276"/>
        <v>2025.002G.Monodnaviria_reorg_4nr.zip</v>
      </c>
    </row>
    <row r="7042" spans="1:21">
      <c r="A7042">
        <v>7041</v>
      </c>
      <c r="B7042" s="27" t="s">
        <v>20779</v>
      </c>
      <c r="D7042" s="27" t="s">
        <v>1826</v>
      </c>
      <c r="F7042" s="27" t="s">
        <v>1827</v>
      </c>
      <c r="H7042" s="27" t="s">
        <v>1830</v>
      </c>
      <c r="J7042" s="27" t="s">
        <v>1832</v>
      </c>
      <c r="L7042" s="27" t="s">
        <v>209</v>
      </c>
      <c r="M7042" s="27" t="s">
        <v>891</v>
      </c>
      <c r="N7042" s="27" t="s">
        <v>210</v>
      </c>
      <c r="P7042" s="27" t="s">
        <v>34</v>
      </c>
      <c r="Q7042" s="26" t="str">
        <f>HYPERLINK("https://ictv.global/taxonomy/taxondetails?taxnode_id=202503982&amp;ictv_id=ICTV20041458","ICTV20041458")</f>
        <v>ICTV20041458</v>
      </c>
      <c r="R7042" t="s">
        <v>579</v>
      </c>
      <c r="S7042" t="s">
        <v>824</v>
      </c>
      <c r="T7042">
        <v>41</v>
      </c>
      <c r="U7042" s="26" t="str">
        <f t="shared" si="276"/>
        <v>2025.002G.Monodnaviria_reorg_4nr.zip</v>
      </c>
    </row>
    <row r="7043" spans="1:21">
      <c r="A7043">
        <v>7042</v>
      </c>
      <c r="B7043" s="27" t="s">
        <v>20779</v>
      </c>
      <c r="D7043" s="27" t="s">
        <v>1826</v>
      </c>
      <c r="F7043" s="27" t="s">
        <v>1827</v>
      </c>
      <c r="H7043" s="27" t="s">
        <v>1830</v>
      </c>
      <c r="J7043" s="27" t="s">
        <v>1832</v>
      </c>
      <c r="L7043" s="27" t="s">
        <v>209</v>
      </c>
      <c r="M7043" s="27" t="s">
        <v>891</v>
      </c>
      <c r="N7043" s="27" t="s">
        <v>210</v>
      </c>
      <c r="P7043" s="27" t="s">
        <v>22</v>
      </c>
      <c r="Q7043" s="26" t="str">
        <f>HYPERLINK("https://ictv.global/taxonomy/taxondetails?taxnode_id=202503983&amp;ictv_id=ICTV20041466","ICTV20041466")</f>
        <v>ICTV20041466</v>
      </c>
      <c r="R7043" t="s">
        <v>579</v>
      </c>
      <c r="S7043" t="s">
        <v>824</v>
      </c>
      <c r="T7043">
        <v>41</v>
      </c>
      <c r="U7043" s="26" t="str">
        <f t="shared" si="276"/>
        <v>2025.002G.Monodnaviria_reorg_4nr.zip</v>
      </c>
    </row>
    <row r="7044" spans="1:21">
      <c r="A7044">
        <v>7043</v>
      </c>
      <c r="B7044" s="27" t="s">
        <v>20779</v>
      </c>
      <c r="D7044" s="27" t="s">
        <v>1826</v>
      </c>
      <c r="F7044" s="27" t="s">
        <v>1827</v>
      </c>
      <c r="H7044" s="27" t="s">
        <v>1830</v>
      </c>
      <c r="J7044" s="27" t="s">
        <v>1832</v>
      </c>
      <c r="L7044" s="27" t="s">
        <v>209</v>
      </c>
      <c r="M7044" s="27" t="s">
        <v>891</v>
      </c>
      <c r="N7044" s="27" t="s">
        <v>210</v>
      </c>
      <c r="P7044" s="27" t="s">
        <v>23</v>
      </c>
      <c r="Q7044" s="26" t="str">
        <f>HYPERLINK("https://ictv.global/taxonomy/taxondetails?taxnode_id=202503984&amp;ictv_id=ICTV20041463","ICTV20041463")</f>
        <v>ICTV20041463</v>
      </c>
      <c r="R7044" t="s">
        <v>579</v>
      </c>
      <c r="S7044" t="s">
        <v>824</v>
      </c>
      <c r="T7044">
        <v>41</v>
      </c>
      <c r="U7044" s="26" t="str">
        <f t="shared" si="276"/>
        <v>2025.002G.Monodnaviria_reorg_4nr.zip</v>
      </c>
    </row>
    <row r="7045" spans="1:21">
      <c r="A7045">
        <v>7044</v>
      </c>
      <c r="B7045" s="27" t="s">
        <v>20779</v>
      </c>
      <c r="D7045" s="27" t="s">
        <v>1826</v>
      </c>
      <c r="F7045" s="27" t="s">
        <v>1827</v>
      </c>
      <c r="H7045" s="27" t="s">
        <v>1830</v>
      </c>
      <c r="J7045" s="27" t="s">
        <v>1832</v>
      </c>
      <c r="L7045" s="27" t="s">
        <v>209</v>
      </c>
      <c r="M7045" s="27" t="s">
        <v>891</v>
      </c>
      <c r="N7045" s="27" t="s">
        <v>210</v>
      </c>
      <c r="P7045" s="27" t="s">
        <v>24</v>
      </c>
      <c r="Q7045" s="26" t="str">
        <f>HYPERLINK("https://ictv.global/taxonomy/taxondetails?taxnode_id=202503985&amp;ictv_id=ICTV20041471","ICTV20041471")</f>
        <v>ICTV20041471</v>
      </c>
      <c r="R7045" t="s">
        <v>579</v>
      </c>
      <c r="S7045" t="s">
        <v>824</v>
      </c>
      <c r="T7045">
        <v>41</v>
      </c>
      <c r="U7045" s="26" t="str">
        <f t="shared" si="276"/>
        <v>2025.002G.Monodnaviria_reorg_4nr.zip</v>
      </c>
    </row>
    <row r="7046" spans="1:21">
      <c r="A7046">
        <v>7045</v>
      </c>
      <c r="B7046" s="27" t="s">
        <v>20779</v>
      </c>
      <c r="D7046" s="27" t="s">
        <v>1826</v>
      </c>
      <c r="F7046" s="27" t="s">
        <v>1827</v>
      </c>
      <c r="H7046" s="27" t="s">
        <v>1830</v>
      </c>
      <c r="J7046" s="27" t="s">
        <v>1832</v>
      </c>
      <c r="L7046" s="27" t="s">
        <v>209</v>
      </c>
      <c r="M7046" s="27" t="s">
        <v>891</v>
      </c>
      <c r="N7046" s="27" t="s">
        <v>210</v>
      </c>
      <c r="P7046" s="27" t="s">
        <v>25</v>
      </c>
      <c r="Q7046" s="26" t="str">
        <f>HYPERLINK("https://ictv.global/taxonomy/taxondetails?taxnode_id=202503986&amp;ictv_id=ICTV20041465","ICTV20041465")</f>
        <v>ICTV20041465</v>
      </c>
      <c r="R7046" t="s">
        <v>579</v>
      </c>
      <c r="S7046" t="s">
        <v>824</v>
      </c>
      <c r="T7046">
        <v>41</v>
      </c>
      <c r="U7046" s="26" t="str">
        <f t="shared" si="276"/>
        <v>2025.002G.Monodnaviria_reorg_4nr.zip</v>
      </c>
    </row>
    <row r="7047" spans="1:21">
      <c r="A7047">
        <v>7046</v>
      </c>
      <c r="B7047" s="27" t="s">
        <v>20779</v>
      </c>
      <c r="D7047" s="27" t="s">
        <v>1826</v>
      </c>
      <c r="F7047" s="27" t="s">
        <v>1827</v>
      </c>
      <c r="H7047" s="27" t="s">
        <v>1830</v>
      </c>
      <c r="J7047" s="27" t="s">
        <v>1832</v>
      </c>
      <c r="L7047" s="27" t="s">
        <v>209</v>
      </c>
      <c r="M7047" s="27" t="s">
        <v>891</v>
      </c>
      <c r="N7047" s="27" t="s">
        <v>210</v>
      </c>
      <c r="P7047" s="27" t="s">
        <v>26</v>
      </c>
      <c r="Q7047" s="26" t="str">
        <f>HYPERLINK("https://ictv.global/taxonomy/taxondetails?taxnode_id=202503987&amp;ictv_id=ICTV20115553","ICTV20115553")</f>
        <v>ICTV20115553</v>
      </c>
      <c r="R7047" t="s">
        <v>579</v>
      </c>
      <c r="S7047" t="s">
        <v>824</v>
      </c>
      <c r="T7047">
        <v>41</v>
      </c>
      <c r="U7047" s="26" t="str">
        <f t="shared" si="276"/>
        <v>2025.002G.Monodnaviria_reorg_4nr.zip</v>
      </c>
    </row>
    <row r="7048" spans="1:21">
      <c r="A7048">
        <v>7047</v>
      </c>
      <c r="B7048" s="27" t="s">
        <v>20779</v>
      </c>
      <c r="D7048" s="27" t="s">
        <v>1826</v>
      </c>
      <c r="F7048" s="27" t="s">
        <v>1827</v>
      </c>
      <c r="H7048" s="27" t="s">
        <v>1830</v>
      </c>
      <c r="J7048" s="27" t="s">
        <v>1832</v>
      </c>
      <c r="L7048" s="27" t="s">
        <v>209</v>
      </c>
      <c r="M7048" s="27" t="s">
        <v>891</v>
      </c>
      <c r="N7048" s="27" t="s">
        <v>217</v>
      </c>
      <c r="P7048" s="27" t="s">
        <v>35</v>
      </c>
      <c r="Q7048" s="26" t="str">
        <f>HYPERLINK("https://ictv.global/taxonomy/taxondetails?taxnode_id=202503989&amp;ictv_id=ICTV20041473","ICTV20041473")</f>
        <v>ICTV20041473</v>
      </c>
      <c r="R7048" t="s">
        <v>579</v>
      </c>
      <c r="S7048" t="s">
        <v>824</v>
      </c>
      <c r="T7048">
        <v>41</v>
      </c>
      <c r="U7048" s="26" t="str">
        <f t="shared" si="276"/>
        <v>2025.002G.Monodnaviria_reorg_4nr.zip</v>
      </c>
    </row>
    <row r="7049" spans="1:21">
      <c r="A7049">
        <v>7048</v>
      </c>
      <c r="B7049" s="27" t="s">
        <v>20779</v>
      </c>
      <c r="D7049" s="27" t="s">
        <v>1826</v>
      </c>
      <c r="F7049" s="27" t="s">
        <v>1827</v>
      </c>
      <c r="H7049" s="27" t="s">
        <v>1830</v>
      </c>
      <c r="J7049" s="27" t="s">
        <v>1832</v>
      </c>
      <c r="L7049" s="27" t="s">
        <v>209</v>
      </c>
      <c r="M7049" s="27" t="s">
        <v>891</v>
      </c>
      <c r="N7049" s="27" t="s">
        <v>217</v>
      </c>
      <c r="P7049" s="27" t="s">
        <v>36</v>
      </c>
      <c r="Q7049" s="26" t="str">
        <f>HYPERLINK("https://ictv.global/taxonomy/taxondetails?taxnode_id=202503990&amp;ictv_id=ICTV20041474","ICTV20041474")</f>
        <v>ICTV20041474</v>
      </c>
      <c r="R7049" t="s">
        <v>579</v>
      </c>
      <c r="S7049" t="s">
        <v>824</v>
      </c>
      <c r="T7049">
        <v>41</v>
      </c>
      <c r="U7049" s="26" t="str">
        <f t="shared" si="276"/>
        <v>2025.002G.Monodnaviria_reorg_4nr.zip</v>
      </c>
    </row>
    <row r="7050" spans="1:21">
      <c r="A7050">
        <v>7049</v>
      </c>
      <c r="B7050" s="27" t="s">
        <v>20779</v>
      </c>
      <c r="D7050" s="27" t="s">
        <v>1826</v>
      </c>
      <c r="F7050" s="27" t="s">
        <v>1827</v>
      </c>
      <c r="H7050" s="27" t="s">
        <v>1830</v>
      </c>
      <c r="J7050" s="27" t="s">
        <v>1832</v>
      </c>
      <c r="L7050" s="27" t="s">
        <v>209</v>
      </c>
      <c r="M7050" s="27" t="s">
        <v>891</v>
      </c>
      <c r="N7050" s="27" t="s">
        <v>217</v>
      </c>
      <c r="P7050" s="27" t="s">
        <v>37</v>
      </c>
      <c r="Q7050" s="26" t="str">
        <f>HYPERLINK("https://ictv.global/taxonomy/taxondetails?taxnode_id=202503991&amp;ictv_id=ICTV20041472","ICTV20041472")</f>
        <v>ICTV20041472</v>
      </c>
      <c r="R7050" t="s">
        <v>579</v>
      </c>
      <c r="S7050" t="s">
        <v>824</v>
      </c>
      <c r="T7050">
        <v>41</v>
      </c>
      <c r="U7050" s="26" t="str">
        <f t="shared" si="276"/>
        <v>2025.002G.Monodnaviria_reorg_4nr.zip</v>
      </c>
    </row>
    <row r="7051" spans="1:21">
      <c r="A7051">
        <v>7050</v>
      </c>
      <c r="B7051" s="27" t="s">
        <v>20779</v>
      </c>
      <c r="D7051" s="27" t="s">
        <v>1826</v>
      </c>
      <c r="F7051" s="27" t="s">
        <v>1827</v>
      </c>
      <c r="H7051" s="27" t="s">
        <v>1830</v>
      </c>
      <c r="J7051" s="27" t="s">
        <v>1832</v>
      </c>
      <c r="L7051" s="27" t="s">
        <v>209</v>
      </c>
      <c r="M7051" s="27" t="s">
        <v>891</v>
      </c>
      <c r="N7051" s="27" t="s">
        <v>217</v>
      </c>
      <c r="P7051" s="27" t="s">
        <v>38</v>
      </c>
      <c r="Q7051" s="26" t="str">
        <f>HYPERLINK("https://ictv.global/taxonomy/taxondetails?taxnode_id=202503992&amp;ictv_id=ICTV20041475","ICTV20041475")</f>
        <v>ICTV20041475</v>
      </c>
      <c r="R7051" t="s">
        <v>579</v>
      </c>
      <c r="S7051" t="s">
        <v>824</v>
      </c>
      <c r="T7051">
        <v>41</v>
      </c>
      <c r="U7051" s="26" t="str">
        <f t="shared" si="276"/>
        <v>2025.002G.Monodnaviria_reorg_4nr.zip</v>
      </c>
    </row>
    <row r="7052" spans="1:21">
      <c r="A7052">
        <v>7051</v>
      </c>
      <c r="B7052" s="27" t="s">
        <v>20779</v>
      </c>
      <c r="D7052" s="27" t="s">
        <v>1826</v>
      </c>
      <c r="F7052" s="27" t="s">
        <v>1827</v>
      </c>
      <c r="H7052" s="27" t="s">
        <v>1830</v>
      </c>
      <c r="J7052" s="27" t="s">
        <v>1832</v>
      </c>
      <c r="L7052" s="27" t="s">
        <v>209</v>
      </c>
      <c r="M7052" s="27" t="s">
        <v>891</v>
      </c>
      <c r="N7052" s="27" t="s">
        <v>217</v>
      </c>
      <c r="P7052" s="27" t="s">
        <v>39</v>
      </c>
      <c r="Q7052" s="26" t="str">
        <f>HYPERLINK("https://ictv.global/taxonomy/taxondetails?taxnode_id=202503993&amp;ictv_id=ICTV20074060","ICTV20074060")</f>
        <v>ICTV20074060</v>
      </c>
      <c r="R7052" t="s">
        <v>579</v>
      </c>
      <c r="S7052" t="s">
        <v>824</v>
      </c>
      <c r="T7052">
        <v>41</v>
      </c>
      <c r="U7052" s="26" t="str">
        <f t="shared" si="276"/>
        <v>2025.002G.Monodnaviria_reorg_4nr.zip</v>
      </c>
    </row>
    <row r="7053" spans="1:21">
      <c r="A7053">
        <v>7052</v>
      </c>
      <c r="B7053" s="27" t="s">
        <v>20779</v>
      </c>
      <c r="D7053" s="27" t="s">
        <v>1826</v>
      </c>
      <c r="F7053" s="27" t="s">
        <v>1827</v>
      </c>
      <c r="H7053" s="27" t="s">
        <v>1830</v>
      </c>
      <c r="J7053" s="27" t="s">
        <v>1832</v>
      </c>
      <c r="L7053" s="27" t="s">
        <v>209</v>
      </c>
      <c r="M7053" s="27" t="s">
        <v>891</v>
      </c>
      <c r="N7053" s="27" t="s">
        <v>217</v>
      </c>
      <c r="P7053" s="27" t="s">
        <v>40</v>
      </c>
      <c r="Q7053" s="26" t="str">
        <f>HYPERLINK("https://ictv.global/taxonomy/taxondetails?taxnode_id=202503994&amp;ictv_id=ICTV20115580","ICTV20115580")</f>
        <v>ICTV20115580</v>
      </c>
      <c r="R7053" t="s">
        <v>579</v>
      </c>
      <c r="S7053" t="s">
        <v>824</v>
      </c>
      <c r="T7053">
        <v>41</v>
      </c>
      <c r="U7053" s="26" t="str">
        <f t="shared" si="276"/>
        <v>2025.002G.Monodnaviria_reorg_4nr.zip</v>
      </c>
    </row>
    <row r="7054" spans="1:21">
      <c r="A7054">
        <v>7053</v>
      </c>
      <c r="B7054" s="27" t="s">
        <v>20779</v>
      </c>
      <c r="D7054" s="27" t="s">
        <v>1826</v>
      </c>
      <c r="F7054" s="27" t="s">
        <v>1827</v>
      </c>
      <c r="H7054" s="27" t="s">
        <v>1830</v>
      </c>
      <c r="J7054" s="27" t="s">
        <v>1832</v>
      </c>
      <c r="L7054" s="27" t="s">
        <v>209</v>
      </c>
      <c r="M7054" s="27" t="s">
        <v>891</v>
      </c>
      <c r="N7054" s="27" t="s">
        <v>41</v>
      </c>
      <c r="P7054" s="27" t="s">
        <v>42</v>
      </c>
      <c r="Q7054" s="26" t="str">
        <f>HYPERLINK("https://ictv.global/taxonomy/taxondetails?taxnode_id=202503996&amp;ictv_id=ICTV20115570","ICTV20115570")</f>
        <v>ICTV20115570</v>
      </c>
      <c r="R7054" t="s">
        <v>579</v>
      </c>
      <c r="S7054" t="s">
        <v>824</v>
      </c>
      <c r="T7054">
        <v>41</v>
      </c>
      <c r="U7054" s="26" t="str">
        <f t="shared" si="276"/>
        <v>2025.002G.Monodnaviria_reorg_4nr.zip</v>
      </c>
    </row>
    <row r="7055" spans="1:21">
      <c r="A7055">
        <v>7054</v>
      </c>
      <c r="B7055" s="27" t="s">
        <v>20779</v>
      </c>
      <c r="D7055" s="27" t="s">
        <v>1826</v>
      </c>
      <c r="F7055" s="27" t="s">
        <v>1827</v>
      </c>
      <c r="H7055" s="27" t="s">
        <v>1830</v>
      </c>
      <c r="J7055" s="27" t="s">
        <v>1832</v>
      </c>
      <c r="L7055" s="27" t="s">
        <v>209</v>
      </c>
      <c r="M7055" s="27" t="s">
        <v>891</v>
      </c>
      <c r="N7055" s="27" t="s">
        <v>41</v>
      </c>
      <c r="P7055" s="27" t="s">
        <v>43</v>
      </c>
      <c r="Q7055" s="26" t="str">
        <f>HYPERLINK("https://ictv.global/taxonomy/taxondetails?taxnode_id=202503997&amp;ictv_id=ICTV20115571","ICTV20115571")</f>
        <v>ICTV20115571</v>
      </c>
      <c r="R7055" t="s">
        <v>579</v>
      </c>
      <c r="S7055" t="s">
        <v>824</v>
      </c>
      <c r="T7055">
        <v>41</v>
      </c>
      <c r="U7055" s="26" t="str">
        <f t="shared" si="276"/>
        <v>2025.002G.Monodnaviria_reorg_4nr.zip</v>
      </c>
    </row>
    <row r="7056" spans="1:21">
      <c r="A7056">
        <v>7055</v>
      </c>
      <c r="B7056" s="27" t="s">
        <v>20779</v>
      </c>
      <c r="D7056" s="27" t="s">
        <v>1826</v>
      </c>
      <c r="F7056" s="27" t="s">
        <v>1827</v>
      </c>
      <c r="H7056" s="27" t="s">
        <v>1830</v>
      </c>
      <c r="J7056" s="27" t="s">
        <v>1832</v>
      </c>
      <c r="L7056" s="27" t="s">
        <v>209</v>
      </c>
      <c r="M7056" s="27" t="s">
        <v>891</v>
      </c>
      <c r="N7056" s="27" t="s">
        <v>41</v>
      </c>
      <c r="P7056" s="27" t="s">
        <v>517</v>
      </c>
      <c r="Q7056" s="26" t="str">
        <f>HYPERLINK("https://ictv.global/taxonomy/taxondetails?taxnode_id=202503998&amp;ictv_id=ICTV20132349","ICTV20132349")</f>
        <v>ICTV20132349</v>
      </c>
      <c r="R7056" t="s">
        <v>579</v>
      </c>
      <c r="S7056" t="s">
        <v>824</v>
      </c>
      <c r="T7056">
        <v>41</v>
      </c>
      <c r="U7056" s="26" t="str">
        <f t="shared" si="276"/>
        <v>2025.002G.Monodnaviria_reorg_4nr.zip</v>
      </c>
    </row>
    <row r="7057" spans="1:21">
      <c r="A7057">
        <v>7056</v>
      </c>
      <c r="B7057" s="27" t="s">
        <v>20779</v>
      </c>
      <c r="D7057" s="27" t="s">
        <v>1826</v>
      </c>
      <c r="F7057" s="27" t="s">
        <v>1827</v>
      </c>
      <c r="H7057" s="27" t="s">
        <v>1830</v>
      </c>
      <c r="J7057" s="27" t="s">
        <v>1832</v>
      </c>
      <c r="L7057" s="27" t="s">
        <v>209</v>
      </c>
      <c r="M7057" s="27" t="s">
        <v>891</v>
      </c>
      <c r="N7057" s="27" t="s">
        <v>411</v>
      </c>
      <c r="P7057" s="27" t="s">
        <v>44</v>
      </c>
      <c r="Q7057" s="26" t="str">
        <f>HYPERLINK("https://ictv.global/taxonomy/taxondetails?taxnode_id=202504000&amp;ictv_id=ICTV19951390","ICTV19951390")</f>
        <v>ICTV19951390</v>
      </c>
      <c r="R7057" t="s">
        <v>579</v>
      </c>
      <c r="S7057" t="s">
        <v>824</v>
      </c>
      <c r="T7057">
        <v>41</v>
      </c>
      <c r="U7057" s="26" t="str">
        <f t="shared" si="276"/>
        <v>2025.002G.Monodnaviria_reorg_4nr.zip</v>
      </c>
    </row>
    <row r="7058" spans="1:21">
      <c r="A7058">
        <v>7057</v>
      </c>
      <c r="B7058" s="27" t="s">
        <v>20779</v>
      </c>
      <c r="D7058" s="27" t="s">
        <v>1826</v>
      </c>
      <c r="F7058" s="27" t="s">
        <v>1827</v>
      </c>
      <c r="H7058" s="27" t="s">
        <v>1830</v>
      </c>
      <c r="J7058" s="27" t="s">
        <v>1832</v>
      </c>
      <c r="L7058" s="27" t="s">
        <v>209</v>
      </c>
      <c r="M7058" s="27" t="s">
        <v>891</v>
      </c>
      <c r="N7058" s="27" t="s">
        <v>411</v>
      </c>
      <c r="P7058" s="27" t="s">
        <v>45</v>
      </c>
      <c r="Q7058" s="26" t="str">
        <f>HYPERLINK("https://ictv.global/taxonomy/taxondetails?taxnode_id=202504001&amp;ictv_id=ICTV19760269","ICTV19760269")</f>
        <v>ICTV19760269</v>
      </c>
      <c r="R7058" t="s">
        <v>579</v>
      </c>
      <c r="S7058" t="s">
        <v>824</v>
      </c>
      <c r="T7058">
        <v>41</v>
      </c>
      <c r="U7058" s="26" t="str">
        <f t="shared" si="276"/>
        <v>2025.002G.Monodnaviria_reorg_4nr.zip</v>
      </c>
    </row>
    <row r="7059" spans="1:21">
      <c r="A7059">
        <v>7058</v>
      </c>
      <c r="B7059" s="27" t="s">
        <v>20779</v>
      </c>
      <c r="D7059" s="27" t="s">
        <v>1826</v>
      </c>
      <c r="F7059" s="27" t="s">
        <v>1827</v>
      </c>
      <c r="H7059" s="27" t="s">
        <v>1830</v>
      </c>
      <c r="J7059" s="27" t="s">
        <v>1832</v>
      </c>
      <c r="L7059" s="27" t="s">
        <v>209</v>
      </c>
      <c r="M7059" s="27" t="s">
        <v>891</v>
      </c>
      <c r="N7059" s="27" t="s">
        <v>411</v>
      </c>
      <c r="P7059" s="27" t="s">
        <v>46</v>
      </c>
      <c r="Q7059" s="26" t="str">
        <f>HYPERLINK("https://ictv.global/taxonomy/taxondetails?taxnode_id=202504002&amp;ictv_id=ICTV19760274","ICTV19760274")</f>
        <v>ICTV19760274</v>
      </c>
      <c r="R7059" t="s">
        <v>579</v>
      </c>
      <c r="S7059" t="s">
        <v>824</v>
      </c>
      <c r="T7059">
        <v>41</v>
      </c>
      <c r="U7059" s="26" t="str">
        <f t="shared" si="276"/>
        <v>2025.002G.Monodnaviria_reorg_4nr.zip</v>
      </c>
    </row>
    <row r="7060" spans="1:21">
      <c r="A7060">
        <v>7059</v>
      </c>
      <c r="B7060" s="27" t="s">
        <v>20779</v>
      </c>
      <c r="D7060" s="27" t="s">
        <v>1826</v>
      </c>
      <c r="F7060" s="27" t="s">
        <v>1827</v>
      </c>
      <c r="H7060" s="27" t="s">
        <v>1830</v>
      </c>
      <c r="J7060" s="27" t="s">
        <v>1832</v>
      </c>
      <c r="L7060" s="27" t="s">
        <v>209</v>
      </c>
      <c r="M7060" s="27" t="s">
        <v>891</v>
      </c>
      <c r="N7060" s="27" t="s">
        <v>411</v>
      </c>
      <c r="P7060" s="27" t="s">
        <v>47</v>
      </c>
      <c r="Q7060" s="26" t="str">
        <f>HYPERLINK("https://ictv.global/taxonomy/taxondetails?taxnode_id=202504003&amp;ictv_id=ICTV20041476","ICTV20041476")</f>
        <v>ICTV20041476</v>
      </c>
      <c r="R7060" t="s">
        <v>579</v>
      </c>
      <c r="S7060" t="s">
        <v>824</v>
      </c>
      <c r="T7060">
        <v>41</v>
      </c>
      <c r="U7060" s="26" t="str">
        <f t="shared" si="276"/>
        <v>2025.002G.Monodnaviria_reorg_4nr.zip</v>
      </c>
    </row>
    <row r="7061" spans="1:21">
      <c r="A7061">
        <v>7060</v>
      </c>
      <c r="B7061" s="27" t="s">
        <v>20779</v>
      </c>
      <c r="D7061" s="27" t="s">
        <v>1826</v>
      </c>
      <c r="F7061" s="27" t="s">
        <v>1827</v>
      </c>
      <c r="H7061" s="27" t="s">
        <v>1830</v>
      </c>
      <c r="J7061" s="27" t="s">
        <v>1832</v>
      </c>
      <c r="L7061" s="27" t="s">
        <v>209</v>
      </c>
      <c r="M7061" s="27" t="s">
        <v>891</v>
      </c>
      <c r="N7061" s="27" t="s">
        <v>411</v>
      </c>
      <c r="P7061" s="27" t="s">
        <v>48</v>
      </c>
      <c r="Q7061" s="26" t="str">
        <f>HYPERLINK("https://ictv.global/taxonomy/taxondetails?taxnode_id=202504004&amp;ictv_id=ICTV20115595","ICTV20115595")</f>
        <v>ICTV20115595</v>
      </c>
      <c r="R7061" t="s">
        <v>579</v>
      </c>
      <c r="S7061" t="s">
        <v>824</v>
      </c>
      <c r="T7061">
        <v>41</v>
      </c>
      <c r="U7061" s="26" t="str">
        <f t="shared" si="276"/>
        <v>2025.002G.Monodnaviria_reorg_4nr.zip</v>
      </c>
    </row>
    <row r="7062" spans="1:21">
      <c r="A7062">
        <v>7061</v>
      </c>
      <c r="B7062" s="27" t="s">
        <v>20779</v>
      </c>
      <c r="D7062" s="27" t="s">
        <v>1826</v>
      </c>
      <c r="F7062" s="27" t="s">
        <v>1827</v>
      </c>
      <c r="H7062" s="27" t="s">
        <v>1830</v>
      </c>
      <c r="J7062" s="27" t="s">
        <v>1832</v>
      </c>
      <c r="L7062" s="27" t="s">
        <v>209</v>
      </c>
      <c r="M7062" s="27" t="s">
        <v>891</v>
      </c>
      <c r="N7062" s="27" t="s">
        <v>411</v>
      </c>
      <c r="P7062" s="27" t="s">
        <v>518</v>
      </c>
      <c r="Q7062" s="26" t="str">
        <f>HYPERLINK("https://ictv.global/taxonomy/taxondetails?taxnode_id=202504005&amp;ictv_id=ICTV20132356","ICTV20132356")</f>
        <v>ICTV20132356</v>
      </c>
      <c r="R7062" t="s">
        <v>579</v>
      </c>
      <c r="S7062" t="s">
        <v>824</v>
      </c>
      <c r="T7062">
        <v>41</v>
      </c>
      <c r="U7062" s="26" t="str">
        <f t="shared" si="276"/>
        <v>2025.002G.Monodnaviria_reorg_4nr.zip</v>
      </c>
    </row>
    <row r="7063" spans="1:21">
      <c r="A7063">
        <v>7062</v>
      </c>
      <c r="B7063" s="27" t="s">
        <v>20779</v>
      </c>
      <c r="D7063" s="27" t="s">
        <v>1826</v>
      </c>
      <c r="F7063" s="27" t="s">
        <v>1827</v>
      </c>
      <c r="H7063" s="27" t="s">
        <v>1830</v>
      </c>
      <c r="J7063" s="27" t="s">
        <v>1832</v>
      </c>
      <c r="L7063" s="27" t="s">
        <v>209</v>
      </c>
      <c r="M7063" s="27" t="s">
        <v>891</v>
      </c>
      <c r="N7063" s="27" t="s">
        <v>411</v>
      </c>
      <c r="P7063" s="27" t="s">
        <v>892</v>
      </c>
      <c r="Q7063" s="26" t="str">
        <f>HYPERLINK("https://ictv.global/taxonomy/taxondetails?taxnode_id=202505864&amp;ictv_id=ICTV20175864","ICTV20175864")</f>
        <v>ICTV20175864</v>
      </c>
      <c r="R7063" t="s">
        <v>579</v>
      </c>
      <c r="S7063" t="s">
        <v>824</v>
      </c>
      <c r="T7063">
        <v>41</v>
      </c>
      <c r="U7063" s="26" t="str">
        <f t="shared" si="276"/>
        <v>2025.002G.Monodnaviria_reorg_4nr.zip</v>
      </c>
    </row>
    <row r="7064" spans="1:21">
      <c r="A7064">
        <v>7063</v>
      </c>
      <c r="B7064" s="27" t="s">
        <v>20779</v>
      </c>
      <c r="D7064" s="27" t="s">
        <v>1826</v>
      </c>
      <c r="F7064" s="27" t="s">
        <v>1827</v>
      </c>
      <c r="H7064" s="27" t="s">
        <v>1830</v>
      </c>
      <c r="J7064" s="27" t="s">
        <v>1832</v>
      </c>
      <c r="L7064" s="27" t="s">
        <v>209</v>
      </c>
      <c r="M7064" s="27" t="s">
        <v>891</v>
      </c>
      <c r="N7064" s="27" t="s">
        <v>667</v>
      </c>
      <c r="P7064" s="27" t="s">
        <v>668</v>
      </c>
      <c r="Q7064" s="26" t="str">
        <f>HYPERLINK("https://ictv.global/taxonomy/taxondetails?taxnode_id=202504007&amp;ictv_id=ICTV20153394","ICTV20153394")</f>
        <v>ICTV20153394</v>
      </c>
      <c r="R7064" t="s">
        <v>579</v>
      </c>
      <c r="S7064" t="s">
        <v>824</v>
      </c>
      <c r="T7064">
        <v>41</v>
      </c>
      <c r="U7064" s="26" t="str">
        <f t="shared" si="276"/>
        <v>2025.002G.Monodnaviria_reorg_4nr.zip</v>
      </c>
    </row>
    <row r="7065" spans="1:21">
      <c r="A7065">
        <v>7064</v>
      </c>
      <c r="B7065" s="27" t="s">
        <v>20779</v>
      </c>
      <c r="D7065" s="27" t="s">
        <v>1826</v>
      </c>
      <c r="F7065" s="27" t="s">
        <v>1827</v>
      </c>
      <c r="H7065" s="27" t="s">
        <v>1830</v>
      </c>
      <c r="J7065" s="27" t="s">
        <v>1832</v>
      </c>
      <c r="L7065" s="27" t="s">
        <v>209</v>
      </c>
      <c r="M7065" s="27" t="s">
        <v>891</v>
      </c>
      <c r="N7065" s="27" t="s">
        <v>49</v>
      </c>
      <c r="P7065" s="27" t="s">
        <v>50</v>
      </c>
      <c r="Q7065" s="26" t="str">
        <f>HYPERLINK("https://ictv.global/taxonomy/taxondetails?taxnode_id=202504009&amp;ictv_id=ICTV20115574","ICTV20115574")</f>
        <v>ICTV20115574</v>
      </c>
      <c r="R7065" t="s">
        <v>579</v>
      </c>
      <c r="S7065" t="s">
        <v>824</v>
      </c>
      <c r="T7065">
        <v>41</v>
      </c>
      <c r="U7065" s="26" t="str">
        <f t="shared" si="276"/>
        <v>2025.002G.Monodnaviria_reorg_4nr.zip</v>
      </c>
    </row>
    <row r="7066" spans="1:21">
      <c r="A7066">
        <v>7065</v>
      </c>
      <c r="B7066" s="27" t="s">
        <v>20779</v>
      </c>
      <c r="D7066" s="27" t="s">
        <v>1826</v>
      </c>
      <c r="F7066" s="27" t="s">
        <v>1827</v>
      </c>
      <c r="H7066" s="27" t="s">
        <v>1830</v>
      </c>
      <c r="J7066" s="27" t="s">
        <v>1832</v>
      </c>
      <c r="L7066" s="27" t="s">
        <v>209</v>
      </c>
      <c r="M7066" s="27" t="s">
        <v>891</v>
      </c>
      <c r="N7066" s="27" t="s">
        <v>51</v>
      </c>
      <c r="P7066" s="27" t="s">
        <v>52</v>
      </c>
      <c r="Q7066" s="26" t="str">
        <f>HYPERLINK("https://ictv.global/taxonomy/taxondetails?taxnode_id=202504011&amp;ictv_id=ICTV20115575","ICTV20115575")</f>
        <v>ICTV20115575</v>
      </c>
      <c r="R7066" t="s">
        <v>579</v>
      </c>
      <c r="S7066" t="s">
        <v>824</v>
      </c>
      <c r="T7066">
        <v>41</v>
      </c>
      <c r="U7066" s="26" t="str">
        <f t="shared" si="276"/>
        <v>2025.002G.Monodnaviria_reorg_4nr.zip</v>
      </c>
    </row>
    <row r="7067" spans="1:21">
      <c r="A7067">
        <v>7066</v>
      </c>
      <c r="B7067" s="27" t="s">
        <v>20779</v>
      </c>
      <c r="D7067" s="27" t="s">
        <v>1826</v>
      </c>
      <c r="F7067" s="27" t="s">
        <v>1827</v>
      </c>
      <c r="H7067" s="27" t="s">
        <v>1830</v>
      </c>
      <c r="J7067" s="27" t="s">
        <v>1832</v>
      </c>
      <c r="L7067" s="27" t="s">
        <v>209</v>
      </c>
      <c r="M7067" s="27" t="s">
        <v>891</v>
      </c>
      <c r="N7067" s="27" t="s">
        <v>53</v>
      </c>
      <c r="P7067" s="27" t="s">
        <v>54</v>
      </c>
      <c r="Q7067" s="26" t="str">
        <f>HYPERLINK("https://ictv.global/taxonomy/taxondetails?taxnode_id=202504013&amp;ictv_id=ICTV20115577","ICTV20115577")</f>
        <v>ICTV20115577</v>
      </c>
      <c r="R7067" t="s">
        <v>579</v>
      </c>
      <c r="S7067" t="s">
        <v>824</v>
      </c>
      <c r="T7067">
        <v>41</v>
      </c>
      <c r="U7067" s="26" t="str">
        <f t="shared" si="276"/>
        <v>2025.002G.Monodnaviria_reorg_4nr.zip</v>
      </c>
    </row>
    <row r="7068" spans="1:21">
      <c r="A7068">
        <v>7067</v>
      </c>
      <c r="B7068" s="27" t="s">
        <v>20779</v>
      </c>
      <c r="D7068" s="27" t="s">
        <v>1826</v>
      </c>
      <c r="F7068" s="27" t="s">
        <v>1827</v>
      </c>
      <c r="H7068" s="27" t="s">
        <v>1830</v>
      </c>
      <c r="J7068" s="27" t="s">
        <v>1832</v>
      </c>
      <c r="L7068" s="27" t="s">
        <v>209</v>
      </c>
      <c r="M7068" s="27" t="s">
        <v>891</v>
      </c>
      <c r="N7068" s="27" t="s">
        <v>55</v>
      </c>
      <c r="P7068" s="27" t="s">
        <v>56</v>
      </c>
      <c r="Q7068" s="26" t="str">
        <f>HYPERLINK("https://ictv.global/taxonomy/taxondetails?taxnode_id=202504015&amp;ictv_id=ICTV20115579","ICTV20115579")</f>
        <v>ICTV20115579</v>
      </c>
      <c r="R7068" t="s">
        <v>579</v>
      </c>
      <c r="S7068" t="s">
        <v>824</v>
      </c>
      <c r="T7068">
        <v>41</v>
      </c>
      <c r="U7068" s="26" t="str">
        <f t="shared" si="276"/>
        <v>2025.002G.Monodnaviria_reorg_4nr.zip</v>
      </c>
    </row>
    <row r="7069" spans="1:21">
      <c r="A7069">
        <v>7068</v>
      </c>
      <c r="B7069" s="27" t="s">
        <v>20779</v>
      </c>
      <c r="D7069" s="27" t="s">
        <v>1826</v>
      </c>
      <c r="F7069" s="27" t="s">
        <v>1827</v>
      </c>
      <c r="H7069" s="27" t="s">
        <v>1830</v>
      </c>
      <c r="J7069" s="27" t="s">
        <v>1832</v>
      </c>
      <c r="L7069" s="27" t="s">
        <v>209</v>
      </c>
      <c r="M7069" s="27" t="s">
        <v>891</v>
      </c>
      <c r="N7069" s="27" t="s">
        <v>55</v>
      </c>
      <c r="P7069" s="27" t="s">
        <v>519</v>
      </c>
      <c r="Q7069" s="26" t="str">
        <f>HYPERLINK("https://ictv.global/taxonomy/taxondetails?taxnode_id=202504016&amp;ictv_id=ICTV20132365","ICTV20132365")</f>
        <v>ICTV20132365</v>
      </c>
      <c r="R7069" t="s">
        <v>579</v>
      </c>
      <c r="S7069" t="s">
        <v>824</v>
      </c>
      <c r="T7069">
        <v>41</v>
      </c>
      <c r="U7069" s="26" t="str">
        <f t="shared" si="276"/>
        <v>2025.002G.Monodnaviria_reorg_4nr.zip</v>
      </c>
    </row>
    <row r="7070" spans="1:21">
      <c r="A7070">
        <v>7069</v>
      </c>
      <c r="B7070" s="27" t="s">
        <v>20779</v>
      </c>
      <c r="D7070" s="27" t="s">
        <v>1826</v>
      </c>
      <c r="F7070" s="27" t="s">
        <v>1827</v>
      </c>
      <c r="H7070" s="27" t="s">
        <v>1830</v>
      </c>
      <c r="J7070" s="27" t="s">
        <v>1832</v>
      </c>
      <c r="L7070" s="27" t="s">
        <v>209</v>
      </c>
      <c r="M7070" s="27" t="s">
        <v>891</v>
      </c>
      <c r="N7070" s="27" t="s">
        <v>520</v>
      </c>
      <c r="P7070" s="27" t="s">
        <v>521</v>
      </c>
      <c r="Q7070" s="26" t="str">
        <f>HYPERLINK("https://ictv.global/taxonomy/taxondetails?taxnode_id=202504018&amp;ictv_id=ICTV20132441","ICTV20132441")</f>
        <v>ICTV20132441</v>
      </c>
      <c r="R7070" t="s">
        <v>579</v>
      </c>
      <c r="S7070" t="s">
        <v>824</v>
      </c>
      <c r="T7070">
        <v>41</v>
      </c>
      <c r="U7070" s="26" t="str">
        <f t="shared" si="276"/>
        <v>2025.002G.Monodnaviria_reorg_4nr.zip</v>
      </c>
    </row>
    <row r="7071" spans="1:21">
      <c r="A7071">
        <v>7070</v>
      </c>
      <c r="B7071" s="27" t="s">
        <v>20779</v>
      </c>
      <c r="D7071" s="27" t="s">
        <v>1826</v>
      </c>
      <c r="F7071" s="27" t="s">
        <v>1827</v>
      </c>
      <c r="H7071" s="27" t="s">
        <v>1830</v>
      </c>
      <c r="J7071" s="27" t="s">
        <v>1832</v>
      </c>
      <c r="L7071" s="27" t="s">
        <v>209</v>
      </c>
      <c r="M7071" s="27" t="s">
        <v>891</v>
      </c>
      <c r="N7071" s="27" t="s">
        <v>520</v>
      </c>
      <c r="P7071" s="27" t="s">
        <v>669</v>
      </c>
      <c r="Q7071" s="26" t="str">
        <f>HYPERLINK("https://ictv.global/taxonomy/taxondetails?taxnode_id=202504019&amp;ictv_id=ICTV20153286","ICTV20153286")</f>
        <v>ICTV20153286</v>
      </c>
      <c r="R7071" t="s">
        <v>579</v>
      </c>
      <c r="S7071" t="s">
        <v>824</v>
      </c>
      <c r="T7071">
        <v>41</v>
      </c>
      <c r="U7071" s="26" t="str">
        <f t="shared" si="276"/>
        <v>2025.002G.Monodnaviria_reorg_4nr.zip</v>
      </c>
    </row>
    <row r="7072" spans="1:21">
      <c r="A7072">
        <v>7071</v>
      </c>
      <c r="B7072" s="27" t="s">
        <v>20779</v>
      </c>
      <c r="D7072" s="27" t="s">
        <v>1826</v>
      </c>
      <c r="F7072" s="27" t="s">
        <v>1827</v>
      </c>
      <c r="H7072" s="27" t="s">
        <v>1830</v>
      </c>
      <c r="J7072" s="27" t="s">
        <v>1832</v>
      </c>
      <c r="L7072" s="27" t="s">
        <v>209</v>
      </c>
      <c r="M7072" s="27" t="s">
        <v>891</v>
      </c>
      <c r="N7072" s="27" t="s">
        <v>520</v>
      </c>
      <c r="P7072" s="27" t="s">
        <v>893</v>
      </c>
      <c r="Q7072" s="26" t="str">
        <f>HYPERLINK("https://ictv.global/taxonomy/taxondetails?taxnode_id=202505865&amp;ictv_id=ICTV20175865","ICTV20175865")</f>
        <v>ICTV20175865</v>
      </c>
      <c r="R7072" t="s">
        <v>579</v>
      </c>
      <c r="S7072" t="s">
        <v>824</v>
      </c>
      <c r="T7072">
        <v>41</v>
      </c>
      <c r="U7072" s="26" t="str">
        <f t="shared" si="276"/>
        <v>2025.002G.Monodnaviria_reorg_4nr.zip</v>
      </c>
    </row>
    <row r="7073" spans="1:21">
      <c r="A7073">
        <v>7072</v>
      </c>
      <c r="B7073" s="27" t="s">
        <v>20779</v>
      </c>
      <c r="D7073" s="27" t="s">
        <v>1826</v>
      </c>
      <c r="F7073" s="27" t="s">
        <v>1827</v>
      </c>
      <c r="H7073" s="27" t="s">
        <v>1830</v>
      </c>
      <c r="J7073" s="27" t="s">
        <v>1832</v>
      </c>
      <c r="L7073" s="27" t="s">
        <v>209</v>
      </c>
      <c r="M7073" s="27" t="s">
        <v>891</v>
      </c>
      <c r="N7073" s="27" t="s">
        <v>520</v>
      </c>
      <c r="P7073" s="27" t="s">
        <v>894</v>
      </c>
      <c r="Q7073" s="26" t="str">
        <f>HYPERLINK("https://ictv.global/taxonomy/taxondetails?taxnode_id=202505866&amp;ictv_id=ICTV20175866","ICTV20175866")</f>
        <v>ICTV20175866</v>
      </c>
      <c r="R7073" t="s">
        <v>579</v>
      </c>
      <c r="S7073" t="s">
        <v>824</v>
      </c>
      <c r="T7073">
        <v>41</v>
      </c>
      <c r="U7073" s="26" t="str">
        <f t="shared" si="276"/>
        <v>2025.002G.Monodnaviria_reorg_4nr.zip</v>
      </c>
    </row>
    <row r="7074" spans="1:21">
      <c r="A7074">
        <v>7073</v>
      </c>
      <c r="B7074" s="27" t="s">
        <v>20779</v>
      </c>
      <c r="D7074" s="27" t="s">
        <v>1826</v>
      </c>
      <c r="F7074" s="27" t="s">
        <v>1827</v>
      </c>
      <c r="H7074" s="27" t="s">
        <v>1830</v>
      </c>
      <c r="J7074" s="27" t="s">
        <v>1832</v>
      </c>
      <c r="L7074" s="27" t="s">
        <v>209</v>
      </c>
      <c r="M7074" s="27" t="s">
        <v>891</v>
      </c>
      <c r="N7074" s="27" t="s">
        <v>520</v>
      </c>
      <c r="P7074" s="27" t="s">
        <v>895</v>
      </c>
      <c r="Q7074" s="26" t="str">
        <f>HYPERLINK("https://ictv.global/taxonomy/taxondetails?taxnode_id=202505867&amp;ictv_id=ICTV20175867","ICTV20175867")</f>
        <v>ICTV20175867</v>
      </c>
      <c r="R7074" t="s">
        <v>579</v>
      </c>
      <c r="S7074" t="s">
        <v>824</v>
      </c>
      <c r="T7074">
        <v>41</v>
      </c>
      <c r="U7074" s="26" t="str">
        <f t="shared" si="276"/>
        <v>2025.002G.Monodnaviria_reorg_4nr.zip</v>
      </c>
    </row>
    <row r="7075" spans="1:21">
      <c r="A7075">
        <v>7074</v>
      </c>
      <c r="B7075" s="27" t="s">
        <v>20779</v>
      </c>
      <c r="D7075" s="27" t="s">
        <v>1826</v>
      </c>
      <c r="F7075" s="27" t="s">
        <v>1827</v>
      </c>
      <c r="H7075" s="27" t="s">
        <v>1830</v>
      </c>
      <c r="J7075" s="27" t="s">
        <v>1832</v>
      </c>
      <c r="L7075" s="27" t="s">
        <v>209</v>
      </c>
      <c r="M7075" s="27" t="s">
        <v>891</v>
      </c>
      <c r="N7075" s="27" t="s">
        <v>522</v>
      </c>
      <c r="P7075" s="27" t="s">
        <v>523</v>
      </c>
      <c r="Q7075" s="26" t="str">
        <f>HYPERLINK("https://ictv.global/taxonomy/taxondetails?taxnode_id=202504021&amp;ictv_id=ICTV20132443","ICTV20132443")</f>
        <v>ICTV20132443</v>
      </c>
      <c r="R7075" t="s">
        <v>579</v>
      </c>
      <c r="S7075" t="s">
        <v>824</v>
      </c>
      <c r="T7075">
        <v>41</v>
      </c>
      <c r="U7075" s="26" t="str">
        <f t="shared" si="276"/>
        <v>2025.002G.Monodnaviria_reorg_4nr.zip</v>
      </c>
    </row>
    <row r="7076" spans="1:21">
      <c r="A7076">
        <v>7075</v>
      </c>
      <c r="B7076" s="27" t="s">
        <v>20779</v>
      </c>
      <c r="D7076" s="27" t="s">
        <v>1826</v>
      </c>
      <c r="F7076" s="27" t="s">
        <v>1827</v>
      </c>
      <c r="H7076" s="27" t="s">
        <v>1830</v>
      </c>
      <c r="J7076" s="27" t="s">
        <v>1832</v>
      </c>
      <c r="L7076" s="27" t="s">
        <v>209</v>
      </c>
      <c r="M7076" s="27" t="s">
        <v>891</v>
      </c>
      <c r="N7076" s="27" t="s">
        <v>524</v>
      </c>
      <c r="P7076" s="27" t="s">
        <v>525</v>
      </c>
      <c r="Q7076" s="26" t="str">
        <f>HYPERLINK("https://ictv.global/taxonomy/taxondetails?taxnode_id=202504023&amp;ictv_id=ICTV20132445","ICTV20132445")</f>
        <v>ICTV20132445</v>
      </c>
      <c r="R7076" t="s">
        <v>579</v>
      </c>
      <c r="S7076" t="s">
        <v>824</v>
      </c>
      <c r="T7076">
        <v>41</v>
      </c>
      <c r="U7076" s="26" t="str">
        <f t="shared" si="276"/>
        <v>2025.002G.Monodnaviria_reorg_4nr.zip</v>
      </c>
    </row>
    <row r="7077" spans="1:21">
      <c r="A7077">
        <v>7076</v>
      </c>
      <c r="B7077" s="27" t="s">
        <v>20779</v>
      </c>
      <c r="D7077" s="27" t="s">
        <v>1826</v>
      </c>
      <c r="F7077" s="27" t="s">
        <v>1827</v>
      </c>
      <c r="H7077" s="27" t="s">
        <v>1830</v>
      </c>
      <c r="J7077" s="27" t="s">
        <v>1832</v>
      </c>
      <c r="L7077" s="27" t="s">
        <v>209</v>
      </c>
      <c r="M7077" s="27" t="s">
        <v>891</v>
      </c>
      <c r="N7077" s="27" t="s">
        <v>526</v>
      </c>
      <c r="P7077" s="27" t="s">
        <v>527</v>
      </c>
      <c r="Q7077" s="26" t="str">
        <f>HYPERLINK("https://ictv.global/taxonomy/taxondetails?taxnode_id=202504025&amp;ictv_id=ICTV20132447","ICTV20132447")</f>
        <v>ICTV20132447</v>
      </c>
      <c r="R7077" t="s">
        <v>579</v>
      </c>
      <c r="S7077" t="s">
        <v>824</v>
      </c>
      <c r="T7077">
        <v>41</v>
      </c>
      <c r="U7077" s="26" t="str">
        <f t="shared" si="276"/>
        <v>2025.002G.Monodnaviria_reorg_4nr.zip</v>
      </c>
    </row>
    <row r="7078" spans="1:21">
      <c r="A7078">
        <v>7077</v>
      </c>
      <c r="B7078" s="27" t="s">
        <v>20779</v>
      </c>
      <c r="D7078" s="27" t="s">
        <v>1826</v>
      </c>
      <c r="F7078" s="27" t="s">
        <v>1827</v>
      </c>
      <c r="H7078" s="27" t="s">
        <v>1830</v>
      </c>
      <c r="J7078" s="27" t="s">
        <v>1832</v>
      </c>
      <c r="L7078" s="27" t="s">
        <v>209</v>
      </c>
      <c r="M7078" s="27" t="s">
        <v>891</v>
      </c>
      <c r="N7078" s="27" t="s">
        <v>719</v>
      </c>
      <c r="P7078" s="27" t="s">
        <v>670</v>
      </c>
      <c r="Q7078" s="26" t="str">
        <f>HYPERLINK("https://ictv.global/taxonomy/taxondetails?taxnode_id=202504027&amp;ictv_id=ICTV20153398","ICTV20153398")</f>
        <v>ICTV20153398</v>
      </c>
      <c r="R7078" t="s">
        <v>579</v>
      </c>
      <c r="S7078" t="s">
        <v>824</v>
      </c>
      <c r="T7078">
        <v>41</v>
      </c>
      <c r="U7078" s="26" t="str">
        <f t="shared" si="276"/>
        <v>2025.002G.Monodnaviria_reorg_4nr.zip</v>
      </c>
    </row>
    <row r="7079" spans="1:21">
      <c r="A7079">
        <v>7078</v>
      </c>
      <c r="B7079" s="27" t="s">
        <v>20779</v>
      </c>
      <c r="D7079" s="27" t="s">
        <v>1826</v>
      </c>
      <c r="F7079" s="27" t="s">
        <v>1827</v>
      </c>
      <c r="H7079" s="27" t="s">
        <v>1830</v>
      </c>
      <c r="J7079" s="27" t="s">
        <v>1832</v>
      </c>
      <c r="L7079" s="27" t="s">
        <v>209</v>
      </c>
      <c r="M7079" s="27" t="s">
        <v>891</v>
      </c>
      <c r="N7079" s="27" t="s">
        <v>528</v>
      </c>
      <c r="P7079" s="27" t="s">
        <v>529</v>
      </c>
      <c r="Q7079" s="26" t="str">
        <f>HYPERLINK("https://ictv.global/taxonomy/taxondetails?taxnode_id=202504029&amp;ictv_id=ICTV20132451","ICTV20132451")</f>
        <v>ICTV20132451</v>
      </c>
      <c r="R7079" t="s">
        <v>579</v>
      </c>
      <c r="S7079" t="s">
        <v>824</v>
      </c>
      <c r="T7079">
        <v>41</v>
      </c>
      <c r="U7079" s="26" t="str">
        <f t="shared" si="276"/>
        <v>2025.002G.Monodnaviria_reorg_4nr.zip</v>
      </c>
    </row>
    <row r="7080" spans="1:21">
      <c r="A7080">
        <v>7079</v>
      </c>
      <c r="B7080" s="27" t="s">
        <v>20779</v>
      </c>
      <c r="D7080" s="27" t="s">
        <v>1826</v>
      </c>
      <c r="F7080" s="27" t="s">
        <v>1827</v>
      </c>
      <c r="H7080" s="27" t="s">
        <v>1830</v>
      </c>
      <c r="J7080" s="27" t="s">
        <v>1832</v>
      </c>
      <c r="L7080" s="27" t="s">
        <v>209</v>
      </c>
      <c r="M7080" s="27" t="s">
        <v>891</v>
      </c>
      <c r="N7080" s="27" t="s">
        <v>671</v>
      </c>
      <c r="P7080" s="27" t="s">
        <v>672</v>
      </c>
      <c r="Q7080" s="26" t="str">
        <f>HYPERLINK("https://ictv.global/taxonomy/taxondetails?taxnode_id=202504031&amp;ictv_id=ICTV20153392","ICTV20153392")</f>
        <v>ICTV20153392</v>
      </c>
      <c r="R7080" t="s">
        <v>579</v>
      </c>
      <c r="S7080" t="s">
        <v>824</v>
      </c>
      <c r="T7080">
        <v>41</v>
      </c>
      <c r="U7080" s="26" t="str">
        <f t="shared" si="276"/>
        <v>2025.002G.Monodnaviria_reorg_4nr.zip</v>
      </c>
    </row>
    <row r="7081" spans="1:21">
      <c r="A7081">
        <v>7080</v>
      </c>
      <c r="B7081" s="27" t="s">
        <v>20779</v>
      </c>
      <c r="D7081" s="27" t="s">
        <v>1826</v>
      </c>
      <c r="F7081" s="27" t="s">
        <v>1827</v>
      </c>
      <c r="H7081" s="27" t="s">
        <v>1830</v>
      </c>
      <c r="J7081" s="27" t="s">
        <v>1832</v>
      </c>
      <c r="L7081" s="27" t="s">
        <v>209</v>
      </c>
      <c r="M7081" s="27" t="s">
        <v>891</v>
      </c>
      <c r="N7081" s="27" t="s">
        <v>530</v>
      </c>
      <c r="P7081" s="27" t="s">
        <v>531</v>
      </c>
      <c r="Q7081" s="26" t="str">
        <f>HYPERLINK("https://ictv.global/taxonomy/taxondetails?taxnode_id=202504033&amp;ictv_id=ICTV20132453","ICTV20132453")</f>
        <v>ICTV20132453</v>
      </c>
      <c r="R7081" t="s">
        <v>579</v>
      </c>
      <c r="S7081" t="s">
        <v>824</v>
      </c>
      <c r="T7081">
        <v>41</v>
      </c>
      <c r="U7081" s="26" t="str">
        <f t="shared" si="276"/>
        <v>2025.002G.Monodnaviria_reorg_4nr.zip</v>
      </c>
    </row>
    <row r="7082" spans="1:21">
      <c r="A7082">
        <v>7081</v>
      </c>
      <c r="B7082" s="27" t="s">
        <v>20779</v>
      </c>
      <c r="D7082" s="27" t="s">
        <v>1826</v>
      </c>
      <c r="F7082" s="27" t="s">
        <v>1827</v>
      </c>
      <c r="H7082" s="27" t="s">
        <v>1830</v>
      </c>
      <c r="J7082" s="27" t="s">
        <v>1832</v>
      </c>
      <c r="L7082" s="27" t="s">
        <v>209</v>
      </c>
      <c r="M7082" s="27" t="s">
        <v>891</v>
      </c>
      <c r="N7082" s="27" t="s">
        <v>673</v>
      </c>
      <c r="P7082" s="27" t="s">
        <v>674</v>
      </c>
      <c r="Q7082" s="26" t="str">
        <f>HYPERLINK("https://ictv.global/taxonomy/taxondetails?taxnode_id=202504035&amp;ictv_id=ICTV20153396","ICTV20153396")</f>
        <v>ICTV20153396</v>
      </c>
      <c r="R7082" t="s">
        <v>579</v>
      </c>
      <c r="S7082" t="s">
        <v>824</v>
      </c>
      <c r="T7082">
        <v>41</v>
      </c>
      <c r="U7082" s="26" t="str">
        <f t="shared" si="276"/>
        <v>2025.002G.Monodnaviria_reorg_4nr.zip</v>
      </c>
    </row>
    <row r="7083" spans="1:21">
      <c r="A7083">
        <v>7082</v>
      </c>
      <c r="B7083" s="27" t="s">
        <v>20779</v>
      </c>
      <c r="D7083" s="27" t="s">
        <v>1826</v>
      </c>
      <c r="F7083" s="27" t="s">
        <v>1827</v>
      </c>
      <c r="H7083" s="27" t="s">
        <v>1830</v>
      </c>
      <c r="J7083" s="27" t="s">
        <v>1832</v>
      </c>
      <c r="L7083" s="27" t="s">
        <v>209</v>
      </c>
      <c r="M7083" s="27" t="s">
        <v>891</v>
      </c>
      <c r="N7083" s="27" t="s">
        <v>532</v>
      </c>
      <c r="P7083" s="27" t="s">
        <v>533</v>
      </c>
      <c r="Q7083" s="26" t="str">
        <f>HYPERLINK("https://ictv.global/taxonomy/taxondetails?taxnode_id=202504037&amp;ictv_id=ICTV20132455","ICTV20132455")</f>
        <v>ICTV20132455</v>
      </c>
      <c r="R7083" t="s">
        <v>579</v>
      </c>
      <c r="S7083" t="s">
        <v>824</v>
      </c>
      <c r="T7083">
        <v>41</v>
      </c>
      <c r="U7083" s="26" t="str">
        <f t="shared" si="276"/>
        <v>2025.002G.Monodnaviria_reorg_4nr.zip</v>
      </c>
    </row>
    <row r="7084" spans="1:21">
      <c r="A7084">
        <v>7083</v>
      </c>
      <c r="B7084" s="27" t="s">
        <v>20779</v>
      </c>
      <c r="D7084" s="27" t="s">
        <v>1826</v>
      </c>
      <c r="F7084" s="27" t="s">
        <v>1827</v>
      </c>
      <c r="H7084" s="27" t="s">
        <v>1830</v>
      </c>
      <c r="J7084" s="27" t="s">
        <v>1832</v>
      </c>
      <c r="L7084" s="27" t="s">
        <v>209</v>
      </c>
      <c r="M7084" s="27" t="s">
        <v>891</v>
      </c>
      <c r="N7084" s="27" t="s">
        <v>534</v>
      </c>
      <c r="P7084" s="27" t="s">
        <v>535</v>
      </c>
      <c r="Q7084" s="26" t="str">
        <f>HYPERLINK("https://ictv.global/taxonomy/taxondetails?taxnode_id=202504039&amp;ictv_id=ICTV20132457","ICTV20132457")</f>
        <v>ICTV20132457</v>
      </c>
      <c r="R7084" t="s">
        <v>579</v>
      </c>
      <c r="S7084" t="s">
        <v>824</v>
      </c>
      <c r="T7084">
        <v>41</v>
      </c>
      <c r="U7084" s="26" t="str">
        <f t="shared" si="276"/>
        <v>2025.002G.Monodnaviria_reorg_4nr.zip</v>
      </c>
    </row>
    <row r="7085" spans="1:21">
      <c r="A7085">
        <v>7084</v>
      </c>
      <c r="B7085" s="27" t="s">
        <v>20779</v>
      </c>
      <c r="D7085" s="27" t="s">
        <v>1826</v>
      </c>
      <c r="F7085" s="27" t="s">
        <v>1827</v>
      </c>
      <c r="H7085" s="27" t="s">
        <v>1830</v>
      </c>
      <c r="J7085" s="27" t="s">
        <v>1832</v>
      </c>
      <c r="L7085" s="27" t="s">
        <v>209</v>
      </c>
      <c r="M7085" s="27" t="s">
        <v>891</v>
      </c>
      <c r="N7085" s="27" t="s">
        <v>675</v>
      </c>
      <c r="P7085" s="27" t="s">
        <v>676</v>
      </c>
      <c r="Q7085" s="26" t="str">
        <f>HYPERLINK("https://ictv.global/taxonomy/taxondetails?taxnode_id=202504041&amp;ictv_id=ICTV20153388","ICTV20153388")</f>
        <v>ICTV20153388</v>
      </c>
      <c r="R7085" t="s">
        <v>579</v>
      </c>
      <c r="S7085" t="s">
        <v>824</v>
      </c>
      <c r="T7085">
        <v>41</v>
      </c>
      <c r="U7085" s="26" t="str">
        <f t="shared" si="276"/>
        <v>2025.002G.Monodnaviria_reorg_4nr.zip</v>
      </c>
    </row>
    <row r="7086" spans="1:21">
      <c r="A7086">
        <v>7085</v>
      </c>
      <c r="B7086" s="27" t="s">
        <v>20779</v>
      </c>
      <c r="D7086" s="27" t="s">
        <v>1826</v>
      </c>
      <c r="F7086" s="27" t="s">
        <v>1827</v>
      </c>
      <c r="H7086" s="27" t="s">
        <v>1830</v>
      </c>
      <c r="J7086" s="27" t="s">
        <v>1832</v>
      </c>
      <c r="L7086" s="27" t="s">
        <v>209</v>
      </c>
      <c r="M7086" s="27" t="s">
        <v>891</v>
      </c>
      <c r="N7086" s="27" t="s">
        <v>57</v>
      </c>
      <c r="P7086" s="27" t="s">
        <v>58</v>
      </c>
      <c r="Q7086" s="26" t="str">
        <f>HYPERLINK("https://ictv.global/taxonomy/taxondetails?taxnode_id=202504043&amp;ictv_id=ICTV20115578","ICTV20115578")</f>
        <v>ICTV20115578</v>
      </c>
      <c r="R7086" t="s">
        <v>579</v>
      </c>
      <c r="S7086" t="s">
        <v>824</v>
      </c>
      <c r="T7086">
        <v>41</v>
      </c>
      <c r="U7086" s="26" t="str">
        <f t="shared" si="276"/>
        <v>2025.002G.Monodnaviria_reorg_4nr.zip</v>
      </c>
    </row>
    <row r="7087" spans="1:21">
      <c r="A7087">
        <v>7086</v>
      </c>
      <c r="B7087" s="27" t="s">
        <v>20779</v>
      </c>
      <c r="D7087" s="27" t="s">
        <v>1826</v>
      </c>
      <c r="F7087" s="27" t="s">
        <v>1827</v>
      </c>
      <c r="H7087" s="27" t="s">
        <v>1830</v>
      </c>
      <c r="J7087" s="27" t="s">
        <v>1832</v>
      </c>
      <c r="L7087" s="27" t="s">
        <v>209</v>
      </c>
      <c r="M7087" s="27" t="s">
        <v>891</v>
      </c>
      <c r="N7087" s="27" t="s">
        <v>677</v>
      </c>
      <c r="P7087" s="27" t="s">
        <v>678</v>
      </c>
      <c r="Q7087" s="26" t="str">
        <f>HYPERLINK("https://ictv.global/taxonomy/taxondetails?taxnode_id=202504045&amp;ictv_id=ICTV20153390","ICTV20153390")</f>
        <v>ICTV20153390</v>
      </c>
      <c r="R7087" t="s">
        <v>579</v>
      </c>
      <c r="S7087" t="s">
        <v>824</v>
      </c>
      <c r="T7087">
        <v>41</v>
      </c>
      <c r="U7087" s="26" t="str">
        <f t="shared" si="276"/>
        <v>2025.002G.Monodnaviria_reorg_4nr.zip</v>
      </c>
    </row>
    <row r="7088" spans="1:21">
      <c r="A7088">
        <v>7087</v>
      </c>
      <c r="B7088" s="27" t="s">
        <v>20779</v>
      </c>
      <c r="D7088" s="27" t="s">
        <v>1826</v>
      </c>
      <c r="F7088" s="27" t="s">
        <v>1827</v>
      </c>
      <c r="H7088" s="27" t="s">
        <v>1830</v>
      </c>
      <c r="J7088" s="27" t="s">
        <v>1832</v>
      </c>
      <c r="L7088" s="27" t="s">
        <v>209</v>
      </c>
      <c r="M7088" s="27" t="s">
        <v>891</v>
      </c>
      <c r="N7088" s="27" t="s">
        <v>536</v>
      </c>
      <c r="P7088" s="27" t="s">
        <v>537</v>
      </c>
      <c r="Q7088" s="26" t="str">
        <f>HYPERLINK("https://ictv.global/taxonomy/taxondetails?taxnode_id=202504047&amp;ictv_id=ICTV20132449","ICTV20132449")</f>
        <v>ICTV20132449</v>
      </c>
      <c r="R7088" t="s">
        <v>579</v>
      </c>
      <c r="S7088" t="s">
        <v>824</v>
      </c>
      <c r="T7088">
        <v>41</v>
      </c>
      <c r="U7088" s="26" t="str">
        <f t="shared" si="276"/>
        <v>2025.002G.Monodnaviria_reorg_4nr.zip</v>
      </c>
    </row>
    <row r="7089" spans="1:21">
      <c r="A7089">
        <v>7088</v>
      </c>
      <c r="B7089" s="27" t="s">
        <v>20779</v>
      </c>
      <c r="D7089" s="27" t="s">
        <v>1826</v>
      </c>
      <c r="F7089" s="27" t="s">
        <v>1827</v>
      </c>
      <c r="H7089" s="27" t="s">
        <v>1830</v>
      </c>
      <c r="J7089" s="27" t="s">
        <v>1832</v>
      </c>
      <c r="L7089" s="27" t="s">
        <v>209</v>
      </c>
      <c r="M7089" s="27" t="s">
        <v>891</v>
      </c>
      <c r="N7089" s="27" t="s">
        <v>536</v>
      </c>
      <c r="P7089" s="27" t="s">
        <v>896</v>
      </c>
      <c r="Q7089" s="26" t="str">
        <f>HYPERLINK("https://ictv.global/taxonomy/taxondetails?taxnode_id=202505868&amp;ictv_id=ICTV20175868","ICTV20175868")</f>
        <v>ICTV20175868</v>
      </c>
      <c r="R7089" t="s">
        <v>579</v>
      </c>
      <c r="S7089" t="s">
        <v>824</v>
      </c>
      <c r="T7089">
        <v>41</v>
      </c>
      <c r="U7089" s="26" t="str">
        <f t="shared" si="276"/>
        <v>2025.002G.Monodnaviria_reorg_4nr.zip</v>
      </c>
    </row>
    <row r="7090" spans="1:21">
      <c r="A7090">
        <v>7089</v>
      </c>
      <c r="B7090" s="27" t="s">
        <v>20779</v>
      </c>
      <c r="D7090" s="27" t="s">
        <v>1826</v>
      </c>
      <c r="F7090" s="27" t="s">
        <v>1827</v>
      </c>
      <c r="H7090" s="27" t="s">
        <v>1830</v>
      </c>
      <c r="J7090" s="27" t="s">
        <v>1832</v>
      </c>
      <c r="L7090" s="27" t="s">
        <v>209</v>
      </c>
      <c r="M7090" s="27" t="s">
        <v>891</v>
      </c>
      <c r="N7090" s="27" t="s">
        <v>59</v>
      </c>
      <c r="P7090" s="27" t="s">
        <v>60</v>
      </c>
      <c r="Q7090" s="26" t="str">
        <f>HYPERLINK("https://ictv.global/taxonomy/taxondetails?taxnode_id=202504049&amp;ictv_id=ICTV20115576","ICTV20115576")</f>
        <v>ICTV20115576</v>
      </c>
      <c r="R7090" t="s">
        <v>579</v>
      </c>
      <c r="S7090" t="s">
        <v>824</v>
      </c>
      <c r="T7090">
        <v>41</v>
      </c>
      <c r="U7090" s="26" t="str">
        <f t="shared" si="276"/>
        <v>2025.002G.Monodnaviria_reorg_4nr.zip</v>
      </c>
    </row>
    <row r="7091" spans="1:21">
      <c r="A7091">
        <v>7090</v>
      </c>
      <c r="B7091" s="27" t="s">
        <v>20779</v>
      </c>
      <c r="D7091" s="27" t="s">
        <v>1826</v>
      </c>
      <c r="F7091" s="27" t="s">
        <v>1827</v>
      </c>
      <c r="H7091" s="27" t="s">
        <v>1830</v>
      </c>
      <c r="J7091" s="27" t="s">
        <v>1832</v>
      </c>
      <c r="L7091" s="27" t="s">
        <v>209</v>
      </c>
      <c r="M7091" s="27" t="s">
        <v>891</v>
      </c>
      <c r="N7091" s="27" t="s">
        <v>213</v>
      </c>
      <c r="P7091" s="27" t="s">
        <v>61</v>
      </c>
      <c r="Q7091" s="26" t="str">
        <f>HYPERLINK("https://ictv.global/taxonomy/taxondetails?taxnode_id=202504051&amp;ictv_id=ICTV20041480","ICTV20041480")</f>
        <v>ICTV20041480</v>
      </c>
      <c r="R7091" t="s">
        <v>579</v>
      </c>
      <c r="S7091" t="s">
        <v>824</v>
      </c>
      <c r="T7091">
        <v>41</v>
      </c>
      <c r="U7091" s="26" t="str">
        <f t="shared" si="276"/>
        <v>2025.002G.Monodnaviria_reorg_4nr.zip</v>
      </c>
    </row>
    <row r="7092" spans="1:21">
      <c r="A7092">
        <v>7091</v>
      </c>
      <c r="B7092" s="27" t="s">
        <v>20779</v>
      </c>
      <c r="D7092" s="27" t="s">
        <v>1826</v>
      </c>
      <c r="F7092" s="27" t="s">
        <v>1827</v>
      </c>
      <c r="H7092" s="27" t="s">
        <v>1830</v>
      </c>
      <c r="J7092" s="27" t="s">
        <v>1832</v>
      </c>
      <c r="L7092" s="27" t="s">
        <v>209</v>
      </c>
      <c r="M7092" s="27" t="s">
        <v>891</v>
      </c>
      <c r="N7092" s="27" t="s">
        <v>213</v>
      </c>
      <c r="P7092" s="27" t="s">
        <v>897</v>
      </c>
      <c r="Q7092" s="26" t="str">
        <f>HYPERLINK("https://ictv.global/taxonomy/taxondetails?taxnode_id=202505869&amp;ictv_id=ICTV20175869","ICTV20175869")</f>
        <v>ICTV20175869</v>
      </c>
      <c r="R7092" t="s">
        <v>579</v>
      </c>
      <c r="S7092" t="s">
        <v>824</v>
      </c>
      <c r="T7092">
        <v>41</v>
      </c>
      <c r="U7092" s="26" t="str">
        <f t="shared" si="276"/>
        <v>2025.002G.Monodnaviria_reorg_4nr.zip</v>
      </c>
    </row>
    <row r="7093" spans="1:21">
      <c r="A7093">
        <v>7092</v>
      </c>
      <c r="B7093" s="27" t="s">
        <v>20779</v>
      </c>
      <c r="D7093" s="27" t="s">
        <v>1826</v>
      </c>
      <c r="F7093" s="27" t="s">
        <v>1827</v>
      </c>
      <c r="H7093" s="27" t="s">
        <v>1830</v>
      </c>
      <c r="J7093" s="27" t="s">
        <v>1832</v>
      </c>
      <c r="L7093" s="27" t="s">
        <v>209</v>
      </c>
      <c r="M7093" s="27" t="s">
        <v>891</v>
      </c>
      <c r="N7093" s="27" t="s">
        <v>225</v>
      </c>
      <c r="P7093" s="27" t="s">
        <v>62</v>
      </c>
      <c r="Q7093" s="26" t="str">
        <f>HYPERLINK("https://ictv.global/taxonomy/taxondetails?taxnode_id=202504053&amp;ictv_id=ICTV20041481","ICTV20041481")</f>
        <v>ICTV20041481</v>
      </c>
      <c r="R7093" t="s">
        <v>579</v>
      </c>
      <c r="S7093" t="s">
        <v>824</v>
      </c>
      <c r="T7093">
        <v>41</v>
      </c>
      <c r="U7093" s="26" t="str">
        <f t="shared" si="276"/>
        <v>2025.002G.Monodnaviria_reorg_4nr.zip</v>
      </c>
    </row>
    <row r="7094" spans="1:21">
      <c r="A7094">
        <v>7093</v>
      </c>
      <c r="B7094" s="27" t="s">
        <v>20779</v>
      </c>
      <c r="D7094" s="27" t="s">
        <v>1826</v>
      </c>
      <c r="F7094" s="27" t="s">
        <v>1827</v>
      </c>
      <c r="H7094" s="27" t="s">
        <v>1830</v>
      </c>
      <c r="J7094" s="27" t="s">
        <v>1832</v>
      </c>
      <c r="L7094" s="27" t="s">
        <v>209</v>
      </c>
      <c r="M7094" s="27" t="s">
        <v>891</v>
      </c>
      <c r="N7094" s="27" t="s">
        <v>226</v>
      </c>
      <c r="P7094" s="27" t="s">
        <v>63</v>
      </c>
      <c r="Q7094" s="26" t="str">
        <f>HYPERLINK("https://ictv.global/taxonomy/taxondetails?taxnode_id=202504055&amp;ictv_id=ICTV20041482","ICTV20041482")</f>
        <v>ICTV20041482</v>
      </c>
      <c r="R7094" t="s">
        <v>579</v>
      </c>
      <c r="S7094" t="s">
        <v>824</v>
      </c>
      <c r="T7094">
        <v>41</v>
      </c>
      <c r="U7094" s="26" t="str">
        <f t="shared" si="276"/>
        <v>2025.002G.Monodnaviria_reorg_4nr.zip</v>
      </c>
    </row>
    <row r="7095" spans="1:21">
      <c r="A7095">
        <v>7094</v>
      </c>
      <c r="B7095" s="27" t="s">
        <v>20779</v>
      </c>
      <c r="D7095" s="27" t="s">
        <v>1826</v>
      </c>
      <c r="F7095" s="27" t="s">
        <v>1827</v>
      </c>
      <c r="H7095" s="27" t="s">
        <v>1830</v>
      </c>
      <c r="J7095" s="27" t="s">
        <v>1832</v>
      </c>
      <c r="L7095" s="27" t="s">
        <v>209</v>
      </c>
      <c r="M7095" s="27" t="s">
        <v>891</v>
      </c>
      <c r="N7095" s="27" t="s">
        <v>226</v>
      </c>
      <c r="P7095" s="27" t="s">
        <v>65</v>
      </c>
      <c r="Q7095" s="26" t="str">
        <f>HYPERLINK("https://ictv.global/taxonomy/taxondetails?taxnode_id=202504056&amp;ictv_id=ICTV20041483","ICTV20041483")</f>
        <v>ICTV20041483</v>
      </c>
      <c r="R7095" t="s">
        <v>579</v>
      </c>
      <c r="S7095" t="s">
        <v>824</v>
      </c>
      <c r="T7095">
        <v>41</v>
      </c>
      <c r="U7095" s="26" t="str">
        <f t="shared" si="276"/>
        <v>2025.002G.Monodnaviria_reorg_4nr.zip</v>
      </c>
    </row>
    <row r="7096" spans="1:21">
      <c r="A7096">
        <v>7095</v>
      </c>
      <c r="B7096" s="27" t="s">
        <v>20779</v>
      </c>
      <c r="D7096" s="27" t="s">
        <v>1826</v>
      </c>
      <c r="F7096" s="27" t="s">
        <v>1827</v>
      </c>
      <c r="H7096" s="27" t="s">
        <v>1830</v>
      </c>
      <c r="J7096" s="27" t="s">
        <v>1832</v>
      </c>
      <c r="L7096" s="27" t="s">
        <v>209</v>
      </c>
      <c r="M7096" s="27" t="s">
        <v>891</v>
      </c>
      <c r="N7096" s="27" t="s">
        <v>226</v>
      </c>
      <c r="P7096" s="27" t="s">
        <v>66</v>
      </c>
      <c r="Q7096" s="26" t="str">
        <f>HYPERLINK("https://ictv.global/taxonomy/taxondetails?taxnode_id=202504057&amp;ictv_id=ICTV20041484","ICTV20041484")</f>
        <v>ICTV20041484</v>
      </c>
      <c r="R7096" t="s">
        <v>579</v>
      </c>
      <c r="S7096" t="s">
        <v>824</v>
      </c>
      <c r="T7096">
        <v>41</v>
      </c>
      <c r="U7096" s="26" t="str">
        <f t="shared" si="276"/>
        <v>2025.002G.Monodnaviria_reorg_4nr.zip</v>
      </c>
    </row>
    <row r="7097" spans="1:21">
      <c r="A7097">
        <v>7096</v>
      </c>
      <c r="B7097" s="27" t="s">
        <v>20779</v>
      </c>
      <c r="D7097" s="27" t="s">
        <v>1826</v>
      </c>
      <c r="F7097" s="27" t="s">
        <v>1827</v>
      </c>
      <c r="H7097" s="27" t="s">
        <v>1830</v>
      </c>
      <c r="J7097" s="27" t="s">
        <v>1832</v>
      </c>
      <c r="L7097" s="27" t="s">
        <v>209</v>
      </c>
      <c r="M7097" s="27" t="s">
        <v>891</v>
      </c>
      <c r="N7097" s="27" t="s">
        <v>226</v>
      </c>
      <c r="P7097" s="27" t="s">
        <v>67</v>
      </c>
      <c r="Q7097" s="26" t="str">
        <f>HYPERLINK("https://ictv.global/taxonomy/taxondetails?taxnode_id=202504058&amp;ictv_id=ICTV20041485","ICTV20041485")</f>
        <v>ICTV20041485</v>
      </c>
      <c r="R7097" t="s">
        <v>579</v>
      </c>
      <c r="S7097" t="s">
        <v>824</v>
      </c>
      <c r="T7097">
        <v>41</v>
      </c>
      <c r="U7097" s="26" t="str">
        <f t="shared" si="276"/>
        <v>2025.002G.Monodnaviria_reorg_4nr.zip</v>
      </c>
    </row>
    <row r="7098" spans="1:21">
      <c r="A7098">
        <v>7097</v>
      </c>
      <c r="B7098" s="27" t="s">
        <v>20779</v>
      </c>
      <c r="D7098" s="27" t="s">
        <v>1826</v>
      </c>
      <c r="F7098" s="27" t="s">
        <v>1827</v>
      </c>
      <c r="H7098" s="27" t="s">
        <v>1830</v>
      </c>
      <c r="J7098" s="27" t="s">
        <v>1832</v>
      </c>
      <c r="L7098" s="27" t="s">
        <v>209</v>
      </c>
      <c r="M7098" s="27" t="s">
        <v>891</v>
      </c>
      <c r="N7098" s="27" t="s">
        <v>226</v>
      </c>
      <c r="P7098" s="27" t="s">
        <v>68</v>
      </c>
      <c r="Q7098" s="26" t="str">
        <f>HYPERLINK("https://ictv.global/taxonomy/taxondetails?taxnode_id=202504059&amp;ictv_id=ICTV20041486","ICTV20041486")</f>
        <v>ICTV20041486</v>
      </c>
      <c r="R7098" t="s">
        <v>579</v>
      </c>
      <c r="S7098" t="s">
        <v>824</v>
      </c>
      <c r="T7098">
        <v>41</v>
      </c>
      <c r="U7098" s="26" t="str">
        <f t="shared" si="276"/>
        <v>2025.002G.Monodnaviria_reorg_4nr.zip</v>
      </c>
    </row>
    <row r="7099" spans="1:21">
      <c r="A7099">
        <v>7098</v>
      </c>
      <c r="B7099" s="27" t="s">
        <v>20779</v>
      </c>
      <c r="D7099" s="27" t="s">
        <v>1826</v>
      </c>
      <c r="F7099" s="27" t="s">
        <v>1827</v>
      </c>
      <c r="H7099" s="27" t="s">
        <v>1830</v>
      </c>
      <c r="J7099" s="27" t="s">
        <v>1832</v>
      </c>
      <c r="L7099" s="27" t="s">
        <v>209</v>
      </c>
      <c r="M7099" s="27" t="s">
        <v>891</v>
      </c>
      <c r="N7099" s="27" t="s">
        <v>226</v>
      </c>
      <c r="P7099" s="27" t="s">
        <v>69</v>
      </c>
      <c r="Q7099" s="26" t="str">
        <f>HYPERLINK("https://ictv.global/taxonomy/taxondetails?taxnode_id=202504060&amp;ictv_id=ICTV20115586","ICTV20115586")</f>
        <v>ICTV20115586</v>
      </c>
      <c r="R7099" t="s">
        <v>579</v>
      </c>
      <c r="S7099" t="s">
        <v>824</v>
      </c>
      <c r="T7099">
        <v>41</v>
      </c>
      <c r="U7099" s="26" t="str">
        <f t="shared" si="276"/>
        <v>2025.002G.Monodnaviria_reorg_4nr.zip</v>
      </c>
    </row>
    <row r="7100" spans="1:21">
      <c r="A7100">
        <v>7099</v>
      </c>
      <c r="B7100" s="27" t="s">
        <v>20779</v>
      </c>
      <c r="D7100" s="27" t="s">
        <v>1826</v>
      </c>
      <c r="F7100" s="27" t="s">
        <v>1827</v>
      </c>
      <c r="H7100" s="27" t="s">
        <v>1830</v>
      </c>
      <c r="J7100" s="27" t="s">
        <v>1832</v>
      </c>
      <c r="L7100" s="27" t="s">
        <v>209</v>
      </c>
      <c r="M7100" s="27" t="s">
        <v>891</v>
      </c>
      <c r="N7100" s="27" t="s">
        <v>226</v>
      </c>
      <c r="P7100" s="27" t="s">
        <v>70</v>
      </c>
      <c r="Q7100" s="26" t="str">
        <f>HYPERLINK("https://ictv.global/taxonomy/taxondetails?taxnode_id=202504061&amp;ictv_id=ICTV20115587","ICTV20115587")</f>
        <v>ICTV20115587</v>
      </c>
      <c r="R7100" t="s">
        <v>579</v>
      </c>
      <c r="S7100" t="s">
        <v>824</v>
      </c>
      <c r="T7100">
        <v>41</v>
      </c>
      <c r="U7100" s="26" t="str">
        <f t="shared" si="276"/>
        <v>2025.002G.Monodnaviria_reorg_4nr.zip</v>
      </c>
    </row>
    <row r="7101" spans="1:21">
      <c r="A7101">
        <v>7100</v>
      </c>
      <c r="B7101" s="27" t="s">
        <v>20779</v>
      </c>
      <c r="D7101" s="27" t="s">
        <v>1826</v>
      </c>
      <c r="F7101" s="27" t="s">
        <v>1827</v>
      </c>
      <c r="H7101" s="27" t="s">
        <v>1830</v>
      </c>
      <c r="J7101" s="27" t="s">
        <v>1832</v>
      </c>
      <c r="L7101" s="27" t="s">
        <v>209</v>
      </c>
      <c r="M7101" s="27" t="s">
        <v>891</v>
      </c>
      <c r="N7101" s="27" t="s">
        <v>226</v>
      </c>
      <c r="P7101" s="27" t="s">
        <v>71</v>
      </c>
      <c r="Q7101" s="26" t="str">
        <f>HYPERLINK("https://ictv.global/taxonomy/taxondetails?taxnode_id=202504062&amp;ictv_id=ICTV20115588","ICTV20115588")</f>
        <v>ICTV20115588</v>
      </c>
      <c r="R7101" t="s">
        <v>579</v>
      </c>
      <c r="S7101" t="s">
        <v>824</v>
      </c>
      <c r="T7101">
        <v>41</v>
      </c>
      <c r="U7101" s="26" t="str">
        <f t="shared" si="276"/>
        <v>2025.002G.Monodnaviria_reorg_4nr.zip</v>
      </c>
    </row>
    <row r="7102" spans="1:21">
      <c r="A7102">
        <v>7101</v>
      </c>
      <c r="B7102" s="27" t="s">
        <v>20779</v>
      </c>
      <c r="D7102" s="27" t="s">
        <v>1826</v>
      </c>
      <c r="F7102" s="27" t="s">
        <v>1827</v>
      </c>
      <c r="H7102" s="27" t="s">
        <v>1830</v>
      </c>
      <c r="J7102" s="27" t="s">
        <v>1832</v>
      </c>
      <c r="L7102" s="27" t="s">
        <v>209</v>
      </c>
      <c r="M7102" s="27" t="s">
        <v>891</v>
      </c>
      <c r="N7102" s="27" t="s">
        <v>226</v>
      </c>
      <c r="P7102" s="27" t="s">
        <v>72</v>
      </c>
      <c r="Q7102" s="26" t="str">
        <f>HYPERLINK("https://ictv.global/taxonomy/taxondetails?taxnode_id=202504063&amp;ictv_id=ICTV20115589","ICTV20115589")</f>
        <v>ICTV20115589</v>
      </c>
      <c r="R7102" t="s">
        <v>579</v>
      </c>
      <c r="S7102" t="s">
        <v>824</v>
      </c>
      <c r="T7102">
        <v>41</v>
      </c>
      <c r="U7102" s="26" t="str">
        <f t="shared" si="276"/>
        <v>2025.002G.Monodnaviria_reorg_4nr.zip</v>
      </c>
    </row>
    <row r="7103" spans="1:21">
      <c r="A7103">
        <v>7102</v>
      </c>
      <c r="B7103" s="27" t="s">
        <v>20779</v>
      </c>
      <c r="D7103" s="27" t="s">
        <v>1826</v>
      </c>
      <c r="F7103" s="27" t="s">
        <v>1827</v>
      </c>
      <c r="H7103" s="27" t="s">
        <v>1830</v>
      </c>
      <c r="J7103" s="27" t="s">
        <v>1832</v>
      </c>
      <c r="L7103" s="27" t="s">
        <v>209</v>
      </c>
      <c r="M7103" s="27" t="s">
        <v>891</v>
      </c>
      <c r="N7103" s="27" t="s">
        <v>226</v>
      </c>
      <c r="P7103" s="27" t="s">
        <v>64</v>
      </c>
      <c r="Q7103" s="26" t="str">
        <f>HYPERLINK("https://ictv.global/taxonomy/taxondetails?taxnode_id=202504064&amp;ictv_id=ICTV20115590","ICTV20115590")</f>
        <v>ICTV20115590</v>
      </c>
      <c r="R7103" t="s">
        <v>579</v>
      </c>
      <c r="S7103" t="s">
        <v>824</v>
      </c>
      <c r="T7103">
        <v>41</v>
      </c>
      <c r="U7103" s="26" t="str">
        <f t="shared" si="276"/>
        <v>2025.002G.Monodnaviria_reorg_4nr.zip</v>
      </c>
    </row>
    <row r="7104" spans="1:21">
      <c r="A7104">
        <v>7103</v>
      </c>
      <c r="B7104" s="27" t="s">
        <v>20779</v>
      </c>
      <c r="D7104" s="27" t="s">
        <v>1826</v>
      </c>
      <c r="F7104" s="27" t="s">
        <v>1827</v>
      </c>
      <c r="H7104" s="27" t="s">
        <v>1830</v>
      </c>
      <c r="J7104" s="27" t="s">
        <v>1832</v>
      </c>
      <c r="L7104" s="27" t="s">
        <v>209</v>
      </c>
      <c r="M7104" s="27" t="s">
        <v>891</v>
      </c>
      <c r="N7104" s="27" t="s">
        <v>226</v>
      </c>
      <c r="P7104" s="27" t="s">
        <v>538</v>
      </c>
      <c r="Q7104" s="26" t="str">
        <f>HYPERLINK("https://ictv.global/taxonomy/taxondetails?taxnode_id=202504065&amp;ictv_id=ICTV20132385","ICTV20132385")</f>
        <v>ICTV20132385</v>
      </c>
      <c r="R7104" t="s">
        <v>579</v>
      </c>
      <c r="S7104" t="s">
        <v>824</v>
      </c>
      <c r="T7104">
        <v>41</v>
      </c>
      <c r="U7104" s="26" t="str">
        <f t="shared" ref="U7104:U7167" si="277">HYPERLINK("https://ictv.global/ictv/proposals/2025.002G.Monodnaviria_reorg_4nr.zip","2025.002G.Monodnaviria_reorg_4nr.zip")</f>
        <v>2025.002G.Monodnaviria_reorg_4nr.zip</v>
      </c>
    </row>
    <row r="7105" spans="1:21">
      <c r="A7105">
        <v>7104</v>
      </c>
      <c r="B7105" s="27" t="s">
        <v>20779</v>
      </c>
      <c r="D7105" s="27" t="s">
        <v>1826</v>
      </c>
      <c r="F7105" s="27" t="s">
        <v>1827</v>
      </c>
      <c r="H7105" s="27" t="s">
        <v>1830</v>
      </c>
      <c r="J7105" s="27" t="s">
        <v>1832</v>
      </c>
      <c r="L7105" s="27" t="s">
        <v>209</v>
      </c>
      <c r="M7105" s="27" t="s">
        <v>891</v>
      </c>
      <c r="N7105" s="27" t="s">
        <v>226</v>
      </c>
      <c r="P7105" s="27" t="s">
        <v>539</v>
      </c>
      <c r="Q7105" s="26" t="str">
        <f>HYPERLINK("https://ictv.global/taxonomy/taxondetails?taxnode_id=202504066&amp;ictv_id=ICTV20132386","ICTV20132386")</f>
        <v>ICTV20132386</v>
      </c>
      <c r="R7105" t="s">
        <v>579</v>
      </c>
      <c r="S7105" t="s">
        <v>824</v>
      </c>
      <c r="T7105">
        <v>41</v>
      </c>
      <c r="U7105" s="26" t="str">
        <f t="shared" si="277"/>
        <v>2025.002G.Monodnaviria_reorg_4nr.zip</v>
      </c>
    </row>
    <row r="7106" spans="1:21">
      <c r="A7106">
        <v>7105</v>
      </c>
      <c r="B7106" s="27" t="s">
        <v>20779</v>
      </c>
      <c r="D7106" s="27" t="s">
        <v>1826</v>
      </c>
      <c r="F7106" s="27" t="s">
        <v>1827</v>
      </c>
      <c r="H7106" s="27" t="s">
        <v>1830</v>
      </c>
      <c r="J7106" s="27" t="s">
        <v>1832</v>
      </c>
      <c r="L7106" s="27" t="s">
        <v>209</v>
      </c>
      <c r="M7106" s="27" t="s">
        <v>891</v>
      </c>
      <c r="N7106" s="27" t="s">
        <v>226</v>
      </c>
      <c r="P7106" s="27" t="s">
        <v>540</v>
      </c>
      <c r="Q7106" s="26" t="str">
        <f>HYPERLINK("https://ictv.global/taxonomy/taxondetails?taxnode_id=202504067&amp;ictv_id=ICTV20132387","ICTV20132387")</f>
        <v>ICTV20132387</v>
      </c>
      <c r="R7106" t="s">
        <v>579</v>
      </c>
      <c r="S7106" t="s">
        <v>824</v>
      </c>
      <c r="T7106">
        <v>41</v>
      </c>
      <c r="U7106" s="26" t="str">
        <f t="shared" si="277"/>
        <v>2025.002G.Monodnaviria_reorg_4nr.zip</v>
      </c>
    </row>
    <row r="7107" spans="1:21">
      <c r="A7107">
        <v>7106</v>
      </c>
      <c r="B7107" s="27" t="s">
        <v>20779</v>
      </c>
      <c r="D7107" s="27" t="s">
        <v>1826</v>
      </c>
      <c r="F7107" s="27" t="s">
        <v>1827</v>
      </c>
      <c r="H7107" s="27" t="s">
        <v>1830</v>
      </c>
      <c r="J7107" s="27" t="s">
        <v>1832</v>
      </c>
      <c r="L7107" s="27" t="s">
        <v>209</v>
      </c>
      <c r="M7107" s="27" t="s">
        <v>891</v>
      </c>
      <c r="N7107" s="27" t="s">
        <v>226</v>
      </c>
      <c r="P7107" s="27" t="s">
        <v>541</v>
      </c>
      <c r="Q7107" s="26" t="str">
        <f>HYPERLINK("https://ictv.global/taxonomy/taxondetails?taxnode_id=202504068&amp;ictv_id=ICTV20132388","ICTV20132388")</f>
        <v>ICTV20132388</v>
      </c>
      <c r="R7107" t="s">
        <v>579</v>
      </c>
      <c r="S7107" t="s">
        <v>824</v>
      </c>
      <c r="T7107">
        <v>41</v>
      </c>
      <c r="U7107" s="26" t="str">
        <f t="shared" si="277"/>
        <v>2025.002G.Monodnaviria_reorg_4nr.zip</v>
      </c>
    </row>
    <row r="7108" spans="1:21">
      <c r="A7108">
        <v>7107</v>
      </c>
      <c r="B7108" s="27" t="s">
        <v>20779</v>
      </c>
      <c r="D7108" s="27" t="s">
        <v>1826</v>
      </c>
      <c r="F7108" s="27" t="s">
        <v>1827</v>
      </c>
      <c r="H7108" s="27" t="s">
        <v>1830</v>
      </c>
      <c r="J7108" s="27" t="s">
        <v>1832</v>
      </c>
      <c r="L7108" s="27" t="s">
        <v>209</v>
      </c>
      <c r="M7108" s="27" t="s">
        <v>891</v>
      </c>
      <c r="N7108" s="27" t="s">
        <v>226</v>
      </c>
      <c r="P7108" s="27" t="s">
        <v>542</v>
      </c>
      <c r="Q7108" s="26" t="str">
        <f>HYPERLINK("https://ictv.global/taxonomy/taxondetails?taxnode_id=202504069&amp;ictv_id=ICTV20132389","ICTV20132389")</f>
        <v>ICTV20132389</v>
      </c>
      <c r="R7108" t="s">
        <v>579</v>
      </c>
      <c r="S7108" t="s">
        <v>824</v>
      </c>
      <c r="T7108">
        <v>41</v>
      </c>
      <c r="U7108" s="26" t="str">
        <f t="shared" si="277"/>
        <v>2025.002G.Monodnaviria_reorg_4nr.zip</v>
      </c>
    </row>
    <row r="7109" spans="1:21">
      <c r="A7109">
        <v>7108</v>
      </c>
      <c r="B7109" s="27" t="s">
        <v>20779</v>
      </c>
      <c r="D7109" s="27" t="s">
        <v>1826</v>
      </c>
      <c r="F7109" s="27" t="s">
        <v>1827</v>
      </c>
      <c r="H7109" s="27" t="s">
        <v>1830</v>
      </c>
      <c r="J7109" s="27" t="s">
        <v>1832</v>
      </c>
      <c r="L7109" s="27" t="s">
        <v>209</v>
      </c>
      <c r="M7109" s="27" t="s">
        <v>891</v>
      </c>
      <c r="N7109" s="27" t="s">
        <v>226</v>
      </c>
      <c r="P7109" s="27" t="s">
        <v>543</v>
      </c>
      <c r="Q7109" s="26" t="str">
        <f>HYPERLINK("https://ictv.global/taxonomy/taxondetails?taxnode_id=202504070&amp;ictv_id=ICTV20132390","ICTV20132390")</f>
        <v>ICTV20132390</v>
      </c>
      <c r="R7109" t="s">
        <v>579</v>
      </c>
      <c r="S7109" t="s">
        <v>824</v>
      </c>
      <c r="T7109">
        <v>41</v>
      </c>
      <c r="U7109" s="26" t="str">
        <f t="shared" si="277"/>
        <v>2025.002G.Monodnaviria_reorg_4nr.zip</v>
      </c>
    </row>
    <row r="7110" spans="1:21">
      <c r="A7110">
        <v>7109</v>
      </c>
      <c r="B7110" s="27" t="s">
        <v>20779</v>
      </c>
      <c r="D7110" s="27" t="s">
        <v>1826</v>
      </c>
      <c r="F7110" s="27" t="s">
        <v>1827</v>
      </c>
      <c r="H7110" s="27" t="s">
        <v>1830</v>
      </c>
      <c r="J7110" s="27" t="s">
        <v>1832</v>
      </c>
      <c r="L7110" s="27" t="s">
        <v>209</v>
      </c>
      <c r="M7110" s="27" t="s">
        <v>891</v>
      </c>
      <c r="N7110" s="27" t="s">
        <v>226</v>
      </c>
      <c r="P7110" s="27" t="s">
        <v>544</v>
      </c>
      <c r="Q7110" s="26" t="str">
        <f>HYPERLINK("https://ictv.global/taxonomy/taxondetails?taxnode_id=202504071&amp;ictv_id=ICTV20132391","ICTV20132391")</f>
        <v>ICTV20132391</v>
      </c>
      <c r="R7110" t="s">
        <v>579</v>
      </c>
      <c r="S7110" t="s">
        <v>824</v>
      </c>
      <c r="T7110">
        <v>41</v>
      </c>
      <c r="U7110" s="26" t="str">
        <f t="shared" si="277"/>
        <v>2025.002G.Monodnaviria_reorg_4nr.zip</v>
      </c>
    </row>
    <row r="7111" spans="1:21">
      <c r="A7111">
        <v>7110</v>
      </c>
      <c r="B7111" s="27" t="s">
        <v>20779</v>
      </c>
      <c r="D7111" s="27" t="s">
        <v>1826</v>
      </c>
      <c r="F7111" s="27" t="s">
        <v>1827</v>
      </c>
      <c r="H7111" s="27" t="s">
        <v>1830</v>
      </c>
      <c r="J7111" s="27" t="s">
        <v>1832</v>
      </c>
      <c r="L7111" s="27" t="s">
        <v>209</v>
      </c>
      <c r="M7111" s="27" t="s">
        <v>891</v>
      </c>
      <c r="N7111" s="27" t="s">
        <v>226</v>
      </c>
      <c r="P7111" s="27" t="s">
        <v>545</v>
      </c>
      <c r="Q7111" s="26" t="str">
        <f>HYPERLINK("https://ictv.global/taxonomy/taxondetails?taxnode_id=202504072&amp;ictv_id=ICTV20132392","ICTV20132392")</f>
        <v>ICTV20132392</v>
      </c>
      <c r="R7111" t="s">
        <v>579</v>
      </c>
      <c r="S7111" t="s">
        <v>824</v>
      </c>
      <c r="T7111">
        <v>41</v>
      </c>
      <c r="U7111" s="26" t="str">
        <f t="shared" si="277"/>
        <v>2025.002G.Monodnaviria_reorg_4nr.zip</v>
      </c>
    </row>
    <row r="7112" spans="1:21">
      <c r="A7112">
        <v>7111</v>
      </c>
      <c r="B7112" s="27" t="s">
        <v>20779</v>
      </c>
      <c r="D7112" s="27" t="s">
        <v>1826</v>
      </c>
      <c r="F7112" s="27" t="s">
        <v>1827</v>
      </c>
      <c r="H7112" s="27" t="s">
        <v>1830</v>
      </c>
      <c r="J7112" s="27" t="s">
        <v>1832</v>
      </c>
      <c r="L7112" s="27" t="s">
        <v>209</v>
      </c>
      <c r="M7112" s="27" t="s">
        <v>891</v>
      </c>
      <c r="N7112" s="27" t="s">
        <v>226</v>
      </c>
      <c r="P7112" s="27" t="s">
        <v>546</v>
      </c>
      <c r="Q7112" s="26" t="str">
        <f>HYPERLINK("https://ictv.global/taxonomy/taxondetails?taxnode_id=202504073&amp;ictv_id=ICTV20132393","ICTV20132393")</f>
        <v>ICTV20132393</v>
      </c>
      <c r="R7112" t="s">
        <v>579</v>
      </c>
      <c r="S7112" t="s">
        <v>824</v>
      </c>
      <c r="T7112">
        <v>41</v>
      </c>
      <c r="U7112" s="26" t="str">
        <f t="shared" si="277"/>
        <v>2025.002G.Monodnaviria_reorg_4nr.zip</v>
      </c>
    </row>
    <row r="7113" spans="1:21">
      <c r="A7113">
        <v>7112</v>
      </c>
      <c r="B7113" s="27" t="s">
        <v>20779</v>
      </c>
      <c r="D7113" s="27" t="s">
        <v>1826</v>
      </c>
      <c r="F7113" s="27" t="s">
        <v>1827</v>
      </c>
      <c r="H7113" s="27" t="s">
        <v>1830</v>
      </c>
      <c r="J7113" s="27" t="s">
        <v>1832</v>
      </c>
      <c r="L7113" s="27" t="s">
        <v>209</v>
      </c>
      <c r="M7113" s="27" t="s">
        <v>891</v>
      </c>
      <c r="N7113" s="27" t="s">
        <v>226</v>
      </c>
      <c r="P7113" s="27" t="s">
        <v>547</v>
      </c>
      <c r="Q7113" s="26" t="str">
        <f>HYPERLINK("https://ictv.global/taxonomy/taxondetails?taxnode_id=202504074&amp;ictv_id=ICTV20132394","ICTV20132394")</f>
        <v>ICTV20132394</v>
      </c>
      <c r="R7113" t="s">
        <v>579</v>
      </c>
      <c r="S7113" t="s">
        <v>824</v>
      </c>
      <c r="T7113">
        <v>41</v>
      </c>
      <c r="U7113" s="26" t="str">
        <f t="shared" si="277"/>
        <v>2025.002G.Monodnaviria_reorg_4nr.zip</v>
      </c>
    </row>
    <row r="7114" spans="1:21">
      <c r="A7114">
        <v>7113</v>
      </c>
      <c r="B7114" s="27" t="s">
        <v>20779</v>
      </c>
      <c r="D7114" s="27" t="s">
        <v>1826</v>
      </c>
      <c r="F7114" s="27" t="s">
        <v>1827</v>
      </c>
      <c r="H7114" s="27" t="s">
        <v>1830</v>
      </c>
      <c r="J7114" s="27" t="s">
        <v>1832</v>
      </c>
      <c r="L7114" s="27" t="s">
        <v>209</v>
      </c>
      <c r="M7114" s="27" t="s">
        <v>891</v>
      </c>
      <c r="N7114" s="27" t="s">
        <v>226</v>
      </c>
      <c r="P7114" s="27" t="s">
        <v>679</v>
      </c>
      <c r="Q7114" s="26" t="str">
        <f>HYPERLINK("https://ictv.global/taxonomy/taxondetails?taxnode_id=202504075&amp;ictv_id=ICTV20153332","ICTV20153332")</f>
        <v>ICTV20153332</v>
      </c>
      <c r="R7114" t="s">
        <v>579</v>
      </c>
      <c r="S7114" t="s">
        <v>824</v>
      </c>
      <c r="T7114">
        <v>41</v>
      </c>
      <c r="U7114" s="26" t="str">
        <f t="shared" si="277"/>
        <v>2025.002G.Monodnaviria_reorg_4nr.zip</v>
      </c>
    </row>
    <row r="7115" spans="1:21">
      <c r="A7115">
        <v>7114</v>
      </c>
      <c r="B7115" s="27" t="s">
        <v>20779</v>
      </c>
      <c r="D7115" s="27" t="s">
        <v>1826</v>
      </c>
      <c r="F7115" s="27" t="s">
        <v>1827</v>
      </c>
      <c r="H7115" s="27" t="s">
        <v>1830</v>
      </c>
      <c r="J7115" s="27" t="s">
        <v>1832</v>
      </c>
      <c r="L7115" s="27" t="s">
        <v>209</v>
      </c>
      <c r="M7115" s="27" t="s">
        <v>891</v>
      </c>
      <c r="N7115" s="27" t="s">
        <v>226</v>
      </c>
      <c r="P7115" s="27" t="s">
        <v>680</v>
      </c>
      <c r="Q7115" s="26" t="str">
        <f>HYPERLINK("https://ictv.global/taxonomy/taxondetails?taxnode_id=202504076&amp;ictv_id=ICTV20153333","ICTV20153333")</f>
        <v>ICTV20153333</v>
      </c>
      <c r="R7115" t="s">
        <v>579</v>
      </c>
      <c r="S7115" t="s">
        <v>824</v>
      </c>
      <c r="T7115">
        <v>41</v>
      </c>
      <c r="U7115" s="26" t="str">
        <f t="shared" si="277"/>
        <v>2025.002G.Monodnaviria_reorg_4nr.zip</v>
      </c>
    </row>
    <row r="7116" spans="1:21">
      <c r="A7116">
        <v>7115</v>
      </c>
      <c r="B7116" s="27" t="s">
        <v>20779</v>
      </c>
      <c r="D7116" s="27" t="s">
        <v>1826</v>
      </c>
      <c r="F7116" s="27" t="s">
        <v>1827</v>
      </c>
      <c r="H7116" s="27" t="s">
        <v>1830</v>
      </c>
      <c r="J7116" s="27" t="s">
        <v>1832</v>
      </c>
      <c r="L7116" s="27" t="s">
        <v>209</v>
      </c>
      <c r="M7116" s="27" t="s">
        <v>891</v>
      </c>
      <c r="N7116" s="27" t="s">
        <v>226</v>
      </c>
      <c r="P7116" s="27" t="s">
        <v>681</v>
      </c>
      <c r="Q7116" s="26" t="str">
        <f>HYPERLINK("https://ictv.global/taxonomy/taxondetails?taxnode_id=202504077&amp;ictv_id=ICTV20153334","ICTV20153334")</f>
        <v>ICTV20153334</v>
      </c>
      <c r="R7116" t="s">
        <v>579</v>
      </c>
      <c r="S7116" t="s">
        <v>824</v>
      </c>
      <c r="T7116">
        <v>41</v>
      </c>
      <c r="U7116" s="26" t="str">
        <f t="shared" si="277"/>
        <v>2025.002G.Monodnaviria_reorg_4nr.zip</v>
      </c>
    </row>
    <row r="7117" spans="1:21">
      <c r="A7117">
        <v>7116</v>
      </c>
      <c r="B7117" s="27" t="s">
        <v>20779</v>
      </c>
      <c r="D7117" s="27" t="s">
        <v>1826</v>
      </c>
      <c r="F7117" s="27" t="s">
        <v>1827</v>
      </c>
      <c r="H7117" s="27" t="s">
        <v>1830</v>
      </c>
      <c r="J7117" s="27" t="s">
        <v>1832</v>
      </c>
      <c r="L7117" s="27" t="s">
        <v>209</v>
      </c>
      <c r="M7117" s="27" t="s">
        <v>891</v>
      </c>
      <c r="N7117" s="27" t="s">
        <v>226</v>
      </c>
      <c r="P7117" s="27" t="s">
        <v>682</v>
      </c>
      <c r="Q7117" s="26" t="str">
        <f>HYPERLINK("https://ictv.global/taxonomy/taxondetails?taxnode_id=202504078&amp;ictv_id=ICTV20153335","ICTV20153335")</f>
        <v>ICTV20153335</v>
      </c>
      <c r="R7117" t="s">
        <v>579</v>
      </c>
      <c r="S7117" t="s">
        <v>824</v>
      </c>
      <c r="T7117">
        <v>41</v>
      </c>
      <c r="U7117" s="26" t="str">
        <f t="shared" si="277"/>
        <v>2025.002G.Monodnaviria_reorg_4nr.zip</v>
      </c>
    </row>
    <row r="7118" spans="1:21">
      <c r="A7118">
        <v>7117</v>
      </c>
      <c r="B7118" s="27" t="s">
        <v>20779</v>
      </c>
      <c r="D7118" s="27" t="s">
        <v>1826</v>
      </c>
      <c r="F7118" s="27" t="s">
        <v>1827</v>
      </c>
      <c r="H7118" s="27" t="s">
        <v>1830</v>
      </c>
      <c r="J7118" s="27" t="s">
        <v>1832</v>
      </c>
      <c r="L7118" s="27" t="s">
        <v>209</v>
      </c>
      <c r="M7118" s="27" t="s">
        <v>891</v>
      </c>
      <c r="N7118" s="27" t="s">
        <v>226</v>
      </c>
      <c r="P7118" s="27" t="s">
        <v>683</v>
      </c>
      <c r="Q7118" s="26" t="str">
        <f>HYPERLINK("https://ictv.global/taxonomy/taxondetails?taxnode_id=202504079&amp;ictv_id=ICTV20153336","ICTV20153336")</f>
        <v>ICTV20153336</v>
      </c>
      <c r="R7118" t="s">
        <v>579</v>
      </c>
      <c r="S7118" t="s">
        <v>824</v>
      </c>
      <c r="T7118">
        <v>41</v>
      </c>
      <c r="U7118" s="26" t="str">
        <f t="shared" si="277"/>
        <v>2025.002G.Monodnaviria_reorg_4nr.zip</v>
      </c>
    </row>
    <row r="7119" spans="1:21">
      <c r="A7119">
        <v>7118</v>
      </c>
      <c r="B7119" s="27" t="s">
        <v>20779</v>
      </c>
      <c r="D7119" s="27" t="s">
        <v>1826</v>
      </c>
      <c r="F7119" s="27" t="s">
        <v>1827</v>
      </c>
      <c r="H7119" s="27" t="s">
        <v>1830</v>
      </c>
      <c r="J7119" s="27" t="s">
        <v>1832</v>
      </c>
      <c r="L7119" s="27" t="s">
        <v>209</v>
      </c>
      <c r="M7119" s="27" t="s">
        <v>891</v>
      </c>
      <c r="N7119" s="27" t="s">
        <v>226</v>
      </c>
      <c r="P7119" s="27" t="s">
        <v>684</v>
      </c>
      <c r="Q7119" s="26" t="str">
        <f>HYPERLINK("https://ictv.global/taxonomy/taxondetails?taxnode_id=202504080&amp;ictv_id=ICTV20153337","ICTV20153337")</f>
        <v>ICTV20153337</v>
      </c>
      <c r="R7119" t="s">
        <v>579</v>
      </c>
      <c r="S7119" t="s">
        <v>824</v>
      </c>
      <c r="T7119">
        <v>41</v>
      </c>
      <c r="U7119" s="26" t="str">
        <f t="shared" si="277"/>
        <v>2025.002G.Monodnaviria_reorg_4nr.zip</v>
      </c>
    </row>
    <row r="7120" spans="1:21">
      <c r="A7120">
        <v>7119</v>
      </c>
      <c r="B7120" s="27" t="s">
        <v>20779</v>
      </c>
      <c r="D7120" s="27" t="s">
        <v>1826</v>
      </c>
      <c r="F7120" s="27" t="s">
        <v>1827</v>
      </c>
      <c r="H7120" s="27" t="s">
        <v>1830</v>
      </c>
      <c r="J7120" s="27" t="s">
        <v>1832</v>
      </c>
      <c r="L7120" s="27" t="s">
        <v>209</v>
      </c>
      <c r="M7120" s="27" t="s">
        <v>891</v>
      </c>
      <c r="N7120" s="27" t="s">
        <v>226</v>
      </c>
      <c r="P7120" s="27" t="s">
        <v>898</v>
      </c>
      <c r="Q7120" s="26" t="str">
        <f>HYPERLINK("https://ictv.global/taxonomy/taxondetails?taxnode_id=202505870&amp;ictv_id=ICTV20175870","ICTV20175870")</f>
        <v>ICTV20175870</v>
      </c>
      <c r="R7120" t="s">
        <v>579</v>
      </c>
      <c r="S7120" t="s">
        <v>824</v>
      </c>
      <c r="T7120">
        <v>41</v>
      </c>
      <c r="U7120" s="26" t="str">
        <f t="shared" si="277"/>
        <v>2025.002G.Monodnaviria_reorg_4nr.zip</v>
      </c>
    </row>
    <row r="7121" spans="1:21">
      <c r="A7121">
        <v>7120</v>
      </c>
      <c r="B7121" s="27" t="s">
        <v>20779</v>
      </c>
      <c r="D7121" s="27" t="s">
        <v>1826</v>
      </c>
      <c r="F7121" s="27" t="s">
        <v>1827</v>
      </c>
      <c r="H7121" s="27" t="s">
        <v>1830</v>
      </c>
      <c r="J7121" s="27" t="s">
        <v>1832</v>
      </c>
      <c r="L7121" s="27" t="s">
        <v>209</v>
      </c>
      <c r="M7121" s="27" t="s">
        <v>891</v>
      </c>
      <c r="N7121" s="27" t="s">
        <v>253</v>
      </c>
      <c r="P7121" s="27" t="s">
        <v>73</v>
      </c>
      <c r="Q7121" s="26" t="str">
        <f>HYPERLINK("https://ictv.global/taxonomy/taxondetails?taxnode_id=202504082&amp;ictv_id=ICTV20041487","ICTV20041487")</f>
        <v>ICTV20041487</v>
      </c>
      <c r="R7121" t="s">
        <v>579</v>
      </c>
      <c r="S7121" t="s">
        <v>824</v>
      </c>
      <c r="T7121">
        <v>41</v>
      </c>
      <c r="U7121" s="26" t="str">
        <f t="shared" si="277"/>
        <v>2025.002G.Monodnaviria_reorg_4nr.zip</v>
      </c>
    </row>
    <row r="7122" spans="1:21">
      <c r="A7122">
        <v>7121</v>
      </c>
      <c r="B7122" s="27" t="s">
        <v>20779</v>
      </c>
      <c r="D7122" s="27" t="s">
        <v>1826</v>
      </c>
      <c r="F7122" s="27" t="s">
        <v>1827</v>
      </c>
      <c r="H7122" s="27" t="s">
        <v>1830</v>
      </c>
      <c r="J7122" s="27" t="s">
        <v>1832</v>
      </c>
      <c r="L7122" s="27" t="s">
        <v>209</v>
      </c>
      <c r="M7122" s="27" t="s">
        <v>891</v>
      </c>
      <c r="N7122" s="27" t="s">
        <v>253</v>
      </c>
      <c r="P7122" s="27" t="s">
        <v>899</v>
      </c>
      <c r="Q7122" s="26" t="str">
        <f>HYPERLINK("https://ictv.global/taxonomy/taxondetails?taxnode_id=202505871&amp;ictv_id=ICTV20175871","ICTV20175871")</f>
        <v>ICTV20175871</v>
      </c>
      <c r="R7122" t="s">
        <v>579</v>
      </c>
      <c r="S7122" t="s">
        <v>824</v>
      </c>
      <c r="T7122">
        <v>41</v>
      </c>
      <c r="U7122" s="26" t="str">
        <f t="shared" si="277"/>
        <v>2025.002G.Monodnaviria_reorg_4nr.zip</v>
      </c>
    </row>
    <row r="7123" spans="1:21">
      <c r="A7123">
        <v>7122</v>
      </c>
      <c r="B7123" s="27" t="s">
        <v>20779</v>
      </c>
      <c r="D7123" s="27" t="s">
        <v>1826</v>
      </c>
      <c r="F7123" s="27" t="s">
        <v>1827</v>
      </c>
      <c r="H7123" s="27" t="s">
        <v>1830</v>
      </c>
      <c r="J7123" s="27" t="s">
        <v>1832</v>
      </c>
      <c r="L7123" s="27" t="s">
        <v>209</v>
      </c>
      <c r="M7123" s="27" t="s">
        <v>891</v>
      </c>
      <c r="N7123" s="27" t="s">
        <v>283</v>
      </c>
      <c r="P7123" s="27" t="s">
        <v>74</v>
      </c>
      <c r="Q7123" s="26" t="str">
        <f>HYPERLINK("https://ictv.global/taxonomy/taxondetails?taxnode_id=202504084&amp;ictv_id=ICTV20041489","ICTV20041489")</f>
        <v>ICTV20041489</v>
      </c>
      <c r="R7123" t="s">
        <v>579</v>
      </c>
      <c r="S7123" t="s">
        <v>824</v>
      </c>
      <c r="T7123">
        <v>41</v>
      </c>
      <c r="U7123" s="26" t="str">
        <f t="shared" si="277"/>
        <v>2025.002G.Monodnaviria_reorg_4nr.zip</v>
      </c>
    </row>
    <row r="7124" spans="1:21">
      <c r="A7124">
        <v>7123</v>
      </c>
      <c r="B7124" s="27" t="s">
        <v>20779</v>
      </c>
      <c r="D7124" s="27" t="s">
        <v>1826</v>
      </c>
      <c r="F7124" s="27" t="s">
        <v>1827</v>
      </c>
      <c r="H7124" s="27" t="s">
        <v>1830</v>
      </c>
      <c r="J7124" s="27" t="s">
        <v>1832</v>
      </c>
      <c r="L7124" s="27" t="s">
        <v>209</v>
      </c>
      <c r="M7124" s="27" t="s">
        <v>891</v>
      </c>
      <c r="N7124" s="27" t="s">
        <v>283</v>
      </c>
      <c r="P7124" s="27" t="s">
        <v>75</v>
      </c>
      <c r="Q7124" s="26" t="str">
        <f>HYPERLINK("https://ictv.global/taxonomy/taxondetails?taxnode_id=202504085&amp;ictv_id=ICTV19710056","ICTV19710056")</f>
        <v>ICTV19710056</v>
      </c>
      <c r="R7124" t="s">
        <v>579</v>
      </c>
      <c r="S7124" t="s">
        <v>824</v>
      </c>
      <c r="T7124">
        <v>41</v>
      </c>
      <c r="U7124" s="26" t="str">
        <f t="shared" si="277"/>
        <v>2025.002G.Monodnaviria_reorg_4nr.zip</v>
      </c>
    </row>
    <row r="7125" spans="1:21">
      <c r="A7125">
        <v>7124</v>
      </c>
      <c r="B7125" s="27" t="s">
        <v>20779</v>
      </c>
      <c r="D7125" s="27" t="s">
        <v>1826</v>
      </c>
      <c r="F7125" s="27" t="s">
        <v>1827</v>
      </c>
      <c r="H7125" s="27" t="s">
        <v>1830</v>
      </c>
      <c r="J7125" s="27" t="s">
        <v>1832</v>
      </c>
      <c r="L7125" s="27" t="s">
        <v>209</v>
      </c>
      <c r="M7125" s="27" t="s">
        <v>891</v>
      </c>
      <c r="N7125" s="27" t="s">
        <v>284</v>
      </c>
      <c r="P7125" s="27" t="s">
        <v>76</v>
      </c>
      <c r="Q7125" s="26" t="str">
        <f>HYPERLINK("https://ictv.global/taxonomy/taxondetails?taxnode_id=202504087&amp;ictv_id=ICTV20041491","ICTV20041491")</f>
        <v>ICTV20041491</v>
      </c>
      <c r="R7125" t="s">
        <v>579</v>
      </c>
      <c r="S7125" t="s">
        <v>824</v>
      </c>
      <c r="T7125">
        <v>41</v>
      </c>
      <c r="U7125" s="26" t="str">
        <f t="shared" si="277"/>
        <v>2025.002G.Monodnaviria_reorg_4nr.zip</v>
      </c>
    </row>
    <row r="7126" spans="1:21">
      <c r="A7126">
        <v>7125</v>
      </c>
      <c r="B7126" s="27" t="s">
        <v>20779</v>
      </c>
      <c r="D7126" s="27" t="s">
        <v>1826</v>
      </c>
      <c r="F7126" s="27" t="s">
        <v>1827</v>
      </c>
      <c r="H7126" s="27" t="s">
        <v>1830</v>
      </c>
      <c r="J7126" s="27" t="s">
        <v>1832</v>
      </c>
      <c r="L7126" s="27" t="s">
        <v>209</v>
      </c>
      <c r="M7126" s="27" t="s">
        <v>891</v>
      </c>
      <c r="N7126" s="27" t="s">
        <v>284</v>
      </c>
      <c r="P7126" s="27" t="s">
        <v>77</v>
      </c>
      <c r="Q7126" s="26" t="str">
        <f>HYPERLINK("https://ictv.global/taxonomy/taxondetails?taxnode_id=202504088&amp;ictv_id=ICTV19710053","ICTV19710053")</f>
        <v>ICTV19710053</v>
      </c>
      <c r="R7126" t="s">
        <v>579</v>
      </c>
      <c r="S7126" t="s">
        <v>824</v>
      </c>
      <c r="T7126">
        <v>41</v>
      </c>
      <c r="U7126" s="26" t="str">
        <f t="shared" si="277"/>
        <v>2025.002G.Monodnaviria_reorg_4nr.zip</v>
      </c>
    </row>
    <row r="7127" spans="1:21">
      <c r="A7127">
        <v>7126</v>
      </c>
      <c r="B7127" s="27" t="s">
        <v>20779</v>
      </c>
      <c r="D7127" s="27" t="s">
        <v>1826</v>
      </c>
      <c r="F7127" s="27" t="s">
        <v>1827</v>
      </c>
      <c r="H7127" s="27" t="s">
        <v>1830</v>
      </c>
      <c r="J7127" s="27" t="s">
        <v>1832</v>
      </c>
      <c r="L7127" s="27" t="s">
        <v>209</v>
      </c>
      <c r="M7127" s="27" t="s">
        <v>891</v>
      </c>
      <c r="N7127" s="27" t="s">
        <v>284</v>
      </c>
      <c r="P7127" s="27" t="s">
        <v>78</v>
      </c>
      <c r="Q7127" s="26" t="str">
        <f>HYPERLINK("https://ictv.global/taxonomy/taxondetails?taxnode_id=202504089&amp;ictv_id=ICTV20115555","ICTV20115555")</f>
        <v>ICTV20115555</v>
      </c>
      <c r="R7127" t="s">
        <v>579</v>
      </c>
      <c r="S7127" t="s">
        <v>824</v>
      </c>
      <c r="T7127">
        <v>41</v>
      </c>
      <c r="U7127" s="26" t="str">
        <f t="shared" si="277"/>
        <v>2025.002G.Monodnaviria_reorg_4nr.zip</v>
      </c>
    </row>
    <row r="7128" spans="1:21">
      <c r="A7128">
        <v>7127</v>
      </c>
      <c r="B7128" s="27" t="s">
        <v>20779</v>
      </c>
      <c r="D7128" s="27" t="s">
        <v>1826</v>
      </c>
      <c r="F7128" s="27" t="s">
        <v>1827</v>
      </c>
      <c r="H7128" s="27" t="s">
        <v>1830</v>
      </c>
      <c r="J7128" s="27" t="s">
        <v>1832</v>
      </c>
      <c r="L7128" s="27" t="s">
        <v>209</v>
      </c>
      <c r="M7128" s="27" t="s">
        <v>891</v>
      </c>
      <c r="N7128" s="27" t="s">
        <v>284</v>
      </c>
      <c r="P7128" s="27" t="s">
        <v>79</v>
      </c>
      <c r="Q7128" s="26" t="str">
        <f>HYPERLINK("https://ictv.global/taxonomy/taxondetails?taxnode_id=202504090&amp;ictv_id=ICTV20115556","ICTV20115556")</f>
        <v>ICTV20115556</v>
      </c>
      <c r="R7128" t="s">
        <v>579</v>
      </c>
      <c r="S7128" t="s">
        <v>824</v>
      </c>
      <c r="T7128">
        <v>41</v>
      </c>
      <c r="U7128" s="26" t="str">
        <f t="shared" si="277"/>
        <v>2025.002G.Monodnaviria_reorg_4nr.zip</v>
      </c>
    </row>
    <row r="7129" spans="1:21">
      <c r="A7129">
        <v>7128</v>
      </c>
      <c r="B7129" s="27" t="s">
        <v>20779</v>
      </c>
      <c r="D7129" s="27" t="s">
        <v>1826</v>
      </c>
      <c r="F7129" s="27" t="s">
        <v>1827</v>
      </c>
      <c r="H7129" s="27" t="s">
        <v>1830</v>
      </c>
      <c r="J7129" s="27" t="s">
        <v>1832</v>
      </c>
      <c r="L7129" s="27" t="s">
        <v>209</v>
      </c>
      <c r="M7129" s="27" t="s">
        <v>891</v>
      </c>
      <c r="N7129" s="27" t="s">
        <v>284</v>
      </c>
      <c r="P7129" s="27" t="s">
        <v>548</v>
      </c>
      <c r="Q7129" s="26" t="str">
        <f>HYPERLINK("https://ictv.global/taxonomy/taxondetails?taxnode_id=202504091&amp;ictv_id=ICTV20132405","ICTV20132405")</f>
        <v>ICTV20132405</v>
      </c>
      <c r="R7129" t="s">
        <v>579</v>
      </c>
      <c r="S7129" t="s">
        <v>824</v>
      </c>
      <c r="T7129">
        <v>41</v>
      </c>
      <c r="U7129" s="26" t="str">
        <f t="shared" si="277"/>
        <v>2025.002G.Monodnaviria_reorg_4nr.zip</v>
      </c>
    </row>
    <row r="7130" spans="1:21">
      <c r="A7130">
        <v>7129</v>
      </c>
      <c r="B7130" s="27" t="s">
        <v>20779</v>
      </c>
      <c r="D7130" s="27" t="s">
        <v>1826</v>
      </c>
      <c r="F7130" s="27" t="s">
        <v>1827</v>
      </c>
      <c r="H7130" s="27" t="s">
        <v>1830</v>
      </c>
      <c r="J7130" s="27" t="s">
        <v>1832</v>
      </c>
      <c r="L7130" s="27" t="s">
        <v>209</v>
      </c>
      <c r="M7130" s="27" t="s">
        <v>891</v>
      </c>
      <c r="N7130" s="27" t="s">
        <v>285</v>
      </c>
      <c r="P7130" s="27" t="s">
        <v>80</v>
      </c>
      <c r="Q7130" s="26" t="str">
        <f>HYPERLINK("https://ictv.global/taxonomy/taxondetails?taxnode_id=202504093&amp;ictv_id=ICTV20041492","ICTV20041492")</f>
        <v>ICTV20041492</v>
      </c>
      <c r="R7130" t="s">
        <v>579</v>
      </c>
      <c r="S7130" t="s">
        <v>824</v>
      </c>
      <c r="T7130">
        <v>41</v>
      </c>
      <c r="U7130" s="26" t="str">
        <f t="shared" si="277"/>
        <v>2025.002G.Monodnaviria_reorg_4nr.zip</v>
      </c>
    </row>
    <row r="7131" spans="1:21">
      <c r="A7131">
        <v>7130</v>
      </c>
      <c r="B7131" s="27" t="s">
        <v>20779</v>
      </c>
      <c r="D7131" s="27" t="s">
        <v>1826</v>
      </c>
      <c r="F7131" s="27" t="s">
        <v>1827</v>
      </c>
      <c r="H7131" s="27" t="s">
        <v>1830</v>
      </c>
      <c r="J7131" s="27" t="s">
        <v>1832</v>
      </c>
      <c r="L7131" s="27" t="s">
        <v>209</v>
      </c>
      <c r="M7131" s="27" t="s">
        <v>891</v>
      </c>
      <c r="N7131" s="27" t="s">
        <v>285</v>
      </c>
      <c r="P7131" s="27" t="s">
        <v>81</v>
      </c>
      <c r="Q7131" s="26" t="str">
        <f>HYPERLINK("https://ictv.global/taxonomy/taxondetails?taxnode_id=202504094&amp;ictv_id=ICTV20041493","ICTV20041493")</f>
        <v>ICTV20041493</v>
      </c>
      <c r="R7131" t="s">
        <v>579</v>
      </c>
      <c r="S7131" t="s">
        <v>824</v>
      </c>
      <c r="T7131">
        <v>41</v>
      </c>
      <c r="U7131" s="26" t="str">
        <f t="shared" si="277"/>
        <v>2025.002G.Monodnaviria_reorg_4nr.zip</v>
      </c>
    </row>
    <row r="7132" spans="1:21">
      <c r="A7132">
        <v>7131</v>
      </c>
      <c r="B7132" s="27" t="s">
        <v>20779</v>
      </c>
      <c r="D7132" s="27" t="s">
        <v>1826</v>
      </c>
      <c r="F7132" s="27" t="s">
        <v>1827</v>
      </c>
      <c r="H7132" s="27" t="s">
        <v>1830</v>
      </c>
      <c r="J7132" s="27" t="s">
        <v>1832</v>
      </c>
      <c r="L7132" s="27" t="s">
        <v>209</v>
      </c>
      <c r="M7132" s="27" t="s">
        <v>891</v>
      </c>
      <c r="N7132" s="27" t="s">
        <v>285</v>
      </c>
      <c r="P7132" s="27" t="s">
        <v>685</v>
      </c>
      <c r="Q7132" s="26" t="str">
        <f>HYPERLINK("https://ictv.global/taxonomy/taxondetails?taxnode_id=202504095&amp;ictv_id=ICTV20153352","ICTV20153352")</f>
        <v>ICTV20153352</v>
      </c>
      <c r="R7132" t="s">
        <v>579</v>
      </c>
      <c r="S7132" t="s">
        <v>824</v>
      </c>
      <c r="T7132">
        <v>41</v>
      </c>
      <c r="U7132" s="26" t="str">
        <f t="shared" si="277"/>
        <v>2025.002G.Monodnaviria_reorg_4nr.zip</v>
      </c>
    </row>
    <row r="7133" spans="1:21">
      <c r="A7133">
        <v>7132</v>
      </c>
      <c r="B7133" s="27" t="s">
        <v>20779</v>
      </c>
      <c r="D7133" s="27" t="s">
        <v>1826</v>
      </c>
      <c r="F7133" s="27" t="s">
        <v>1827</v>
      </c>
      <c r="H7133" s="27" t="s">
        <v>1830</v>
      </c>
      <c r="J7133" s="27" t="s">
        <v>1832</v>
      </c>
      <c r="L7133" s="27" t="s">
        <v>209</v>
      </c>
      <c r="M7133" s="27" t="s">
        <v>891</v>
      </c>
      <c r="N7133" s="27" t="s">
        <v>286</v>
      </c>
      <c r="P7133" s="27" t="s">
        <v>82</v>
      </c>
      <c r="Q7133" s="26" t="str">
        <f>HYPERLINK("https://ictv.global/taxonomy/taxondetails?taxnode_id=202504097&amp;ictv_id=ICTV20041494","ICTV20041494")</f>
        <v>ICTV20041494</v>
      </c>
      <c r="R7133" t="s">
        <v>579</v>
      </c>
      <c r="S7133" t="s">
        <v>824</v>
      </c>
      <c r="T7133">
        <v>41</v>
      </c>
      <c r="U7133" s="26" t="str">
        <f t="shared" si="277"/>
        <v>2025.002G.Monodnaviria_reorg_4nr.zip</v>
      </c>
    </row>
    <row r="7134" spans="1:21">
      <c r="A7134">
        <v>7133</v>
      </c>
      <c r="B7134" s="27" t="s">
        <v>20779</v>
      </c>
      <c r="D7134" s="27" t="s">
        <v>1826</v>
      </c>
      <c r="F7134" s="27" t="s">
        <v>1827</v>
      </c>
      <c r="H7134" s="27" t="s">
        <v>1830</v>
      </c>
      <c r="J7134" s="27" t="s">
        <v>1832</v>
      </c>
      <c r="L7134" s="27" t="s">
        <v>209</v>
      </c>
      <c r="M7134" s="27" t="s">
        <v>891</v>
      </c>
      <c r="N7134" s="27" t="s">
        <v>83</v>
      </c>
      <c r="P7134" s="27" t="s">
        <v>84</v>
      </c>
      <c r="Q7134" s="26" t="str">
        <f>HYPERLINK("https://ictv.global/taxonomy/taxondetails?taxnode_id=202504099&amp;ictv_id=ICTV20115573","ICTV20115573")</f>
        <v>ICTV20115573</v>
      </c>
      <c r="R7134" t="s">
        <v>579</v>
      </c>
      <c r="S7134" t="s">
        <v>824</v>
      </c>
      <c r="T7134">
        <v>41</v>
      </c>
      <c r="U7134" s="26" t="str">
        <f t="shared" si="277"/>
        <v>2025.002G.Monodnaviria_reorg_4nr.zip</v>
      </c>
    </row>
    <row r="7135" spans="1:21">
      <c r="A7135">
        <v>7134</v>
      </c>
      <c r="B7135" s="27" t="s">
        <v>20779</v>
      </c>
      <c r="D7135" s="27" t="s">
        <v>1826</v>
      </c>
      <c r="F7135" s="27" t="s">
        <v>1827</v>
      </c>
      <c r="H7135" s="27" t="s">
        <v>1830</v>
      </c>
      <c r="J7135" s="27" t="s">
        <v>1832</v>
      </c>
      <c r="L7135" s="27" t="s">
        <v>209</v>
      </c>
      <c r="M7135" s="27" t="s">
        <v>891</v>
      </c>
      <c r="N7135" s="27" t="s">
        <v>155</v>
      </c>
      <c r="P7135" s="27" t="s">
        <v>85</v>
      </c>
      <c r="Q7135" s="26" t="str">
        <f>HYPERLINK("https://ictv.global/taxonomy/taxondetails?taxnode_id=202504101&amp;ictv_id=ICTV20041495","ICTV20041495")</f>
        <v>ICTV20041495</v>
      </c>
      <c r="R7135" t="s">
        <v>579</v>
      </c>
      <c r="S7135" t="s">
        <v>824</v>
      </c>
      <c r="T7135">
        <v>41</v>
      </c>
      <c r="U7135" s="26" t="str">
        <f t="shared" si="277"/>
        <v>2025.002G.Monodnaviria_reorg_4nr.zip</v>
      </c>
    </row>
    <row r="7136" spans="1:21">
      <c r="A7136">
        <v>7135</v>
      </c>
      <c r="B7136" s="27" t="s">
        <v>20779</v>
      </c>
      <c r="D7136" s="27" t="s">
        <v>1826</v>
      </c>
      <c r="F7136" s="27" t="s">
        <v>1827</v>
      </c>
      <c r="H7136" s="27" t="s">
        <v>1830</v>
      </c>
      <c r="J7136" s="27" t="s">
        <v>1832</v>
      </c>
      <c r="L7136" s="27" t="s">
        <v>209</v>
      </c>
      <c r="M7136" s="27" t="s">
        <v>891</v>
      </c>
      <c r="N7136" s="27" t="s">
        <v>86</v>
      </c>
      <c r="P7136" s="27" t="s">
        <v>87</v>
      </c>
      <c r="Q7136" s="26" t="str">
        <f>HYPERLINK("https://ictv.global/taxonomy/taxondetails?taxnode_id=202504103&amp;ictv_id=ICTV20115569","ICTV20115569")</f>
        <v>ICTV20115569</v>
      </c>
      <c r="R7136" t="s">
        <v>579</v>
      </c>
      <c r="S7136" t="s">
        <v>824</v>
      </c>
      <c r="T7136">
        <v>41</v>
      </c>
      <c r="U7136" s="26" t="str">
        <f t="shared" si="277"/>
        <v>2025.002G.Monodnaviria_reorg_4nr.zip</v>
      </c>
    </row>
    <row r="7137" spans="1:21">
      <c r="A7137">
        <v>7136</v>
      </c>
      <c r="B7137" s="27" t="s">
        <v>20779</v>
      </c>
      <c r="D7137" s="27" t="s">
        <v>1826</v>
      </c>
      <c r="F7137" s="27" t="s">
        <v>1827</v>
      </c>
      <c r="H7137" s="27" t="s">
        <v>1830</v>
      </c>
      <c r="J7137" s="27" t="s">
        <v>1832</v>
      </c>
      <c r="L7137" s="27" t="s">
        <v>209</v>
      </c>
      <c r="M7137" s="27" t="s">
        <v>891</v>
      </c>
      <c r="N7137" s="27" t="s">
        <v>287</v>
      </c>
      <c r="P7137" s="27" t="s">
        <v>88</v>
      </c>
      <c r="Q7137" s="26" t="str">
        <f>HYPERLINK("https://ictv.global/taxonomy/taxondetails?taxnode_id=202504105&amp;ictv_id=ICTV20041496","ICTV20041496")</f>
        <v>ICTV20041496</v>
      </c>
      <c r="R7137" t="s">
        <v>579</v>
      </c>
      <c r="S7137" t="s">
        <v>824</v>
      </c>
      <c r="T7137">
        <v>41</v>
      </c>
      <c r="U7137" s="26" t="str">
        <f t="shared" si="277"/>
        <v>2025.002G.Monodnaviria_reorg_4nr.zip</v>
      </c>
    </row>
    <row r="7138" spans="1:21">
      <c r="A7138">
        <v>7137</v>
      </c>
      <c r="B7138" s="27" t="s">
        <v>20779</v>
      </c>
      <c r="D7138" s="27" t="s">
        <v>1826</v>
      </c>
      <c r="F7138" s="27" t="s">
        <v>1827</v>
      </c>
      <c r="H7138" s="27" t="s">
        <v>1830</v>
      </c>
      <c r="J7138" s="27" t="s">
        <v>1832</v>
      </c>
      <c r="L7138" s="27" t="s">
        <v>209</v>
      </c>
      <c r="M7138" s="27" t="s">
        <v>891</v>
      </c>
      <c r="N7138" s="27" t="s">
        <v>287</v>
      </c>
      <c r="P7138" s="27" t="s">
        <v>89</v>
      </c>
      <c r="Q7138" s="26" t="str">
        <f>HYPERLINK("https://ictv.global/taxonomy/taxondetails?taxnode_id=202504106&amp;ictv_id=ICTV20115563","ICTV20115563")</f>
        <v>ICTV20115563</v>
      </c>
      <c r="R7138" t="s">
        <v>579</v>
      </c>
      <c r="S7138" t="s">
        <v>824</v>
      </c>
      <c r="T7138">
        <v>41</v>
      </c>
      <c r="U7138" s="26" t="str">
        <f t="shared" si="277"/>
        <v>2025.002G.Monodnaviria_reorg_4nr.zip</v>
      </c>
    </row>
    <row r="7139" spans="1:21">
      <c r="A7139">
        <v>7138</v>
      </c>
      <c r="B7139" s="27" t="s">
        <v>20779</v>
      </c>
      <c r="D7139" s="27" t="s">
        <v>1826</v>
      </c>
      <c r="F7139" s="27" t="s">
        <v>1827</v>
      </c>
      <c r="H7139" s="27" t="s">
        <v>1830</v>
      </c>
      <c r="J7139" s="27" t="s">
        <v>1832</v>
      </c>
      <c r="L7139" s="27" t="s">
        <v>209</v>
      </c>
      <c r="M7139" s="27" t="s">
        <v>891</v>
      </c>
      <c r="N7139" s="27" t="s">
        <v>90</v>
      </c>
      <c r="P7139" s="27" t="s">
        <v>91</v>
      </c>
      <c r="Q7139" s="26" t="str">
        <f>HYPERLINK("https://ictv.global/taxonomy/taxondetails?taxnode_id=202504108&amp;ictv_id=ICTV20115572","ICTV20115572")</f>
        <v>ICTV20115572</v>
      </c>
      <c r="R7139" t="s">
        <v>579</v>
      </c>
      <c r="S7139" t="s">
        <v>824</v>
      </c>
      <c r="T7139">
        <v>41</v>
      </c>
      <c r="U7139" s="26" t="str">
        <f t="shared" si="277"/>
        <v>2025.002G.Monodnaviria_reorg_4nr.zip</v>
      </c>
    </row>
    <row r="7140" spans="1:21">
      <c r="A7140">
        <v>7139</v>
      </c>
      <c r="B7140" s="27" t="s">
        <v>20779</v>
      </c>
      <c r="D7140" s="27" t="s">
        <v>1826</v>
      </c>
      <c r="F7140" s="27" t="s">
        <v>1827</v>
      </c>
      <c r="H7140" s="27" t="s">
        <v>1830</v>
      </c>
      <c r="J7140" s="27" t="s">
        <v>1832</v>
      </c>
      <c r="L7140" s="27" t="s">
        <v>209</v>
      </c>
      <c r="M7140" s="27" t="s">
        <v>891</v>
      </c>
      <c r="N7140" s="27" t="s">
        <v>90</v>
      </c>
      <c r="P7140" s="27" t="s">
        <v>900</v>
      </c>
      <c r="Q7140" s="26" t="str">
        <f>HYPERLINK("https://ictv.global/taxonomy/taxondetails?taxnode_id=202505872&amp;ictv_id=ICTV20175872","ICTV20175872")</f>
        <v>ICTV20175872</v>
      </c>
      <c r="R7140" t="s">
        <v>579</v>
      </c>
      <c r="S7140" t="s">
        <v>824</v>
      </c>
      <c r="T7140">
        <v>41</v>
      </c>
      <c r="U7140" s="26" t="str">
        <f t="shared" si="277"/>
        <v>2025.002G.Monodnaviria_reorg_4nr.zip</v>
      </c>
    </row>
    <row r="7141" spans="1:21">
      <c r="A7141">
        <v>7140</v>
      </c>
      <c r="B7141" s="27" t="s">
        <v>20779</v>
      </c>
      <c r="D7141" s="27" t="s">
        <v>1826</v>
      </c>
      <c r="F7141" s="27" t="s">
        <v>1827</v>
      </c>
      <c r="H7141" s="27" t="s">
        <v>1830</v>
      </c>
      <c r="J7141" s="27" t="s">
        <v>1832</v>
      </c>
      <c r="L7141" s="27" t="s">
        <v>209</v>
      </c>
      <c r="M7141" s="27" t="s">
        <v>891</v>
      </c>
      <c r="N7141" s="27" t="s">
        <v>90</v>
      </c>
      <c r="P7141" s="27" t="s">
        <v>901</v>
      </c>
      <c r="Q7141" s="26" t="str">
        <f>HYPERLINK("https://ictv.global/taxonomy/taxondetails?taxnode_id=202505873&amp;ictv_id=ICTV20175873","ICTV20175873")</f>
        <v>ICTV20175873</v>
      </c>
      <c r="R7141" t="s">
        <v>579</v>
      </c>
      <c r="S7141" t="s">
        <v>824</v>
      </c>
      <c r="T7141">
        <v>41</v>
      </c>
      <c r="U7141" s="26" t="str">
        <f t="shared" si="277"/>
        <v>2025.002G.Monodnaviria_reorg_4nr.zip</v>
      </c>
    </row>
    <row r="7142" spans="1:21">
      <c r="A7142">
        <v>7141</v>
      </c>
      <c r="B7142" s="27" t="s">
        <v>20779</v>
      </c>
      <c r="D7142" s="27" t="s">
        <v>1826</v>
      </c>
      <c r="F7142" s="27" t="s">
        <v>1827</v>
      </c>
      <c r="H7142" s="27" t="s">
        <v>1830</v>
      </c>
      <c r="J7142" s="27" t="s">
        <v>1832</v>
      </c>
      <c r="L7142" s="27" t="s">
        <v>209</v>
      </c>
      <c r="M7142" s="27" t="s">
        <v>891</v>
      </c>
      <c r="N7142" s="27" t="s">
        <v>92</v>
      </c>
      <c r="P7142" s="27" t="s">
        <v>93</v>
      </c>
      <c r="Q7142" s="26" t="str">
        <f>HYPERLINK("https://ictv.global/taxonomy/taxondetails?taxnode_id=202504110&amp;ictv_id=ICTV20115564","ICTV20115564")</f>
        <v>ICTV20115564</v>
      </c>
      <c r="R7142" t="s">
        <v>579</v>
      </c>
      <c r="S7142" t="s">
        <v>824</v>
      </c>
      <c r="T7142">
        <v>41</v>
      </c>
      <c r="U7142" s="26" t="str">
        <f t="shared" si="277"/>
        <v>2025.002G.Monodnaviria_reorg_4nr.zip</v>
      </c>
    </row>
    <row r="7143" spans="1:21">
      <c r="A7143">
        <v>7142</v>
      </c>
      <c r="B7143" s="27" t="s">
        <v>20779</v>
      </c>
      <c r="D7143" s="27" t="s">
        <v>1826</v>
      </c>
      <c r="F7143" s="27" t="s">
        <v>1827</v>
      </c>
      <c r="H7143" s="27" t="s">
        <v>1830</v>
      </c>
      <c r="J7143" s="27" t="s">
        <v>1832</v>
      </c>
      <c r="L7143" s="27" t="s">
        <v>209</v>
      </c>
      <c r="M7143" s="27" t="s">
        <v>891</v>
      </c>
      <c r="N7143" s="27" t="s">
        <v>92</v>
      </c>
      <c r="P7143" s="27" t="s">
        <v>686</v>
      </c>
      <c r="Q7143" s="26" t="str">
        <f>HYPERLINK("https://ictv.global/taxonomy/taxondetails?taxnode_id=202504111&amp;ictv_id=ICTV20153368","ICTV20153368")</f>
        <v>ICTV20153368</v>
      </c>
      <c r="R7143" t="s">
        <v>579</v>
      </c>
      <c r="S7143" t="s">
        <v>824</v>
      </c>
      <c r="T7143">
        <v>41</v>
      </c>
      <c r="U7143" s="26" t="str">
        <f t="shared" si="277"/>
        <v>2025.002G.Monodnaviria_reorg_4nr.zip</v>
      </c>
    </row>
    <row r="7144" spans="1:21">
      <c r="A7144">
        <v>7143</v>
      </c>
      <c r="B7144" s="27" t="s">
        <v>20779</v>
      </c>
      <c r="D7144" s="27" t="s">
        <v>1826</v>
      </c>
      <c r="F7144" s="27" t="s">
        <v>1827</v>
      </c>
      <c r="H7144" s="27" t="s">
        <v>1830</v>
      </c>
      <c r="J7144" s="27" t="s">
        <v>1832</v>
      </c>
      <c r="L7144" s="27" t="s">
        <v>209</v>
      </c>
      <c r="M7144" s="27" t="s">
        <v>891</v>
      </c>
      <c r="N7144" s="27" t="s">
        <v>94</v>
      </c>
      <c r="P7144" s="27" t="s">
        <v>95</v>
      </c>
      <c r="Q7144" s="26" t="str">
        <f>HYPERLINK("https://ictv.global/taxonomy/taxondetails?taxnode_id=202504113&amp;ictv_id=ICTV20115565","ICTV20115565")</f>
        <v>ICTV20115565</v>
      </c>
      <c r="R7144" t="s">
        <v>579</v>
      </c>
      <c r="S7144" t="s">
        <v>824</v>
      </c>
      <c r="T7144">
        <v>41</v>
      </c>
      <c r="U7144" s="26" t="str">
        <f t="shared" si="277"/>
        <v>2025.002G.Monodnaviria_reorg_4nr.zip</v>
      </c>
    </row>
    <row r="7145" spans="1:21">
      <c r="A7145">
        <v>7144</v>
      </c>
      <c r="B7145" s="27" t="s">
        <v>20779</v>
      </c>
      <c r="D7145" s="27" t="s">
        <v>1826</v>
      </c>
      <c r="F7145" s="27" t="s">
        <v>1827</v>
      </c>
      <c r="H7145" s="27" t="s">
        <v>1830</v>
      </c>
      <c r="J7145" s="27" t="s">
        <v>1832</v>
      </c>
      <c r="L7145" s="27" t="s">
        <v>209</v>
      </c>
      <c r="M7145" s="27" t="s">
        <v>891</v>
      </c>
      <c r="N7145" s="27" t="s">
        <v>96</v>
      </c>
      <c r="P7145" s="27" t="s">
        <v>97</v>
      </c>
      <c r="Q7145" s="26" t="str">
        <f>HYPERLINK("https://ictv.global/taxonomy/taxondetails?taxnode_id=202504115&amp;ictv_id=ICTV20115566","ICTV20115566")</f>
        <v>ICTV20115566</v>
      </c>
      <c r="R7145" t="s">
        <v>579</v>
      </c>
      <c r="S7145" t="s">
        <v>824</v>
      </c>
      <c r="T7145">
        <v>41</v>
      </c>
      <c r="U7145" s="26" t="str">
        <f t="shared" si="277"/>
        <v>2025.002G.Monodnaviria_reorg_4nr.zip</v>
      </c>
    </row>
    <row r="7146" spans="1:21">
      <c r="A7146">
        <v>7145</v>
      </c>
      <c r="B7146" s="27" t="s">
        <v>20779</v>
      </c>
      <c r="D7146" s="27" t="s">
        <v>1826</v>
      </c>
      <c r="F7146" s="27" t="s">
        <v>1827</v>
      </c>
      <c r="H7146" s="27" t="s">
        <v>1830</v>
      </c>
      <c r="J7146" s="27" t="s">
        <v>1832</v>
      </c>
      <c r="L7146" s="27" t="s">
        <v>209</v>
      </c>
      <c r="M7146" s="27" t="s">
        <v>891</v>
      </c>
      <c r="N7146" s="27" t="s">
        <v>96</v>
      </c>
      <c r="P7146" s="27" t="s">
        <v>549</v>
      </c>
      <c r="Q7146" s="26" t="str">
        <f>HYPERLINK("https://ictv.global/taxonomy/taxondetails?taxnode_id=202504116&amp;ictv_id=ICTV20132428","ICTV20132428")</f>
        <v>ICTV20132428</v>
      </c>
      <c r="R7146" t="s">
        <v>579</v>
      </c>
      <c r="S7146" t="s">
        <v>824</v>
      </c>
      <c r="T7146">
        <v>41</v>
      </c>
      <c r="U7146" s="26" t="str">
        <f t="shared" si="277"/>
        <v>2025.002G.Monodnaviria_reorg_4nr.zip</v>
      </c>
    </row>
    <row r="7147" spans="1:21">
      <c r="A7147">
        <v>7146</v>
      </c>
      <c r="B7147" s="27" t="s">
        <v>20779</v>
      </c>
      <c r="D7147" s="27" t="s">
        <v>1826</v>
      </c>
      <c r="F7147" s="27" t="s">
        <v>1827</v>
      </c>
      <c r="H7147" s="27" t="s">
        <v>1830</v>
      </c>
      <c r="J7147" s="27" t="s">
        <v>1832</v>
      </c>
      <c r="L7147" s="27" t="s">
        <v>209</v>
      </c>
      <c r="M7147" s="27" t="s">
        <v>891</v>
      </c>
      <c r="N7147" s="27" t="s">
        <v>96</v>
      </c>
      <c r="P7147" s="27" t="s">
        <v>687</v>
      </c>
      <c r="Q7147" s="26" t="str">
        <f>HYPERLINK("https://ictv.global/taxonomy/taxondetails?taxnode_id=202504117&amp;ictv_id=ICTV20153374","ICTV20153374")</f>
        <v>ICTV20153374</v>
      </c>
      <c r="R7147" t="s">
        <v>579</v>
      </c>
      <c r="S7147" t="s">
        <v>824</v>
      </c>
      <c r="T7147">
        <v>41</v>
      </c>
      <c r="U7147" s="26" t="str">
        <f t="shared" si="277"/>
        <v>2025.002G.Monodnaviria_reorg_4nr.zip</v>
      </c>
    </row>
    <row r="7148" spans="1:21">
      <c r="A7148">
        <v>7147</v>
      </c>
      <c r="B7148" s="27" t="s">
        <v>20779</v>
      </c>
      <c r="D7148" s="27" t="s">
        <v>1826</v>
      </c>
      <c r="F7148" s="27" t="s">
        <v>1827</v>
      </c>
      <c r="H7148" s="27" t="s">
        <v>1830</v>
      </c>
      <c r="J7148" s="27" t="s">
        <v>1832</v>
      </c>
      <c r="L7148" s="27" t="s">
        <v>209</v>
      </c>
      <c r="M7148" s="27" t="s">
        <v>891</v>
      </c>
      <c r="N7148" s="27" t="s">
        <v>96</v>
      </c>
      <c r="P7148" s="27" t="s">
        <v>902</v>
      </c>
      <c r="Q7148" s="26" t="str">
        <f>HYPERLINK("https://ictv.global/taxonomy/taxondetails?taxnode_id=202505874&amp;ictv_id=ICTV20175874","ICTV20175874")</f>
        <v>ICTV20175874</v>
      </c>
      <c r="R7148" t="s">
        <v>579</v>
      </c>
      <c r="S7148" t="s">
        <v>824</v>
      </c>
      <c r="T7148">
        <v>41</v>
      </c>
      <c r="U7148" s="26" t="str">
        <f t="shared" si="277"/>
        <v>2025.002G.Monodnaviria_reorg_4nr.zip</v>
      </c>
    </row>
    <row r="7149" spans="1:21">
      <c r="A7149">
        <v>7148</v>
      </c>
      <c r="B7149" s="27" t="s">
        <v>20779</v>
      </c>
      <c r="D7149" s="27" t="s">
        <v>1826</v>
      </c>
      <c r="F7149" s="27" t="s">
        <v>1827</v>
      </c>
      <c r="H7149" s="27" t="s">
        <v>1830</v>
      </c>
      <c r="J7149" s="27" t="s">
        <v>1832</v>
      </c>
      <c r="L7149" s="27" t="s">
        <v>209</v>
      </c>
      <c r="M7149" s="27" t="s">
        <v>891</v>
      </c>
      <c r="N7149" s="27" t="s">
        <v>288</v>
      </c>
      <c r="P7149" s="27" t="s">
        <v>98</v>
      </c>
      <c r="Q7149" s="26" t="str">
        <f>HYPERLINK("https://ictv.global/taxonomy/taxondetails?taxnode_id=202504119&amp;ictv_id=ICTV20041497","ICTV20041497")</f>
        <v>ICTV20041497</v>
      </c>
      <c r="R7149" t="s">
        <v>579</v>
      </c>
      <c r="S7149" t="s">
        <v>824</v>
      </c>
      <c r="T7149">
        <v>41</v>
      </c>
      <c r="U7149" s="26" t="str">
        <f t="shared" si="277"/>
        <v>2025.002G.Monodnaviria_reorg_4nr.zip</v>
      </c>
    </row>
    <row r="7150" spans="1:21">
      <c r="A7150">
        <v>7149</v>
      </c>
      <c r="B7150" s="27" t="s">
        <v>20779</v>
      </c>
      <c r="D7150" s="27" t="s">
        <v>1826</v>
      </c>
      <c r="F7150" s="27" t="s">
        <v>1827</v>
      </c>
      <c r="H7150" s="27" t="s">
        <v>1830</v>
      </c>
      <c r="J7150" s="27" t="s">
        <v>1832</v>
      </c>
      <c r="L7150" s="27" t="s">
        <v>209</v>
      </c>
      <c r="M7150" s="27" t="s">
        <v>891</v>
      </c>
      <c r="N7150" s="27" t="s">
        <v>688</v>
      </c>
      <c r="P7150" s="27" t="s">
        <v>689</v>
      </c>
      <c r="Q7150" s="26" t="str">
        <f>HYPERLINK("https://ictv.global/taxonomy/taxondetails?taxnode_id=202504121&amp;ictv_id=ICTV20153400","ICTV20153400")</f>
        <v>ICTV20153400</v>
      </c>
      <c r="R7150" t="s">
        <v>579</v>
      </c>
      <c r="S7150" t="s">
        <v>824</v>
      </c>
      <c r="T7150">
        <v>41</v>
      </c>
      <c r="U7150" s="26" t="str">
        <f t="shared" si="277"/>
        <v>2025.002G.Monodnaviria_reorg_4nr.zip</v>
      </c>
    </row>
    <row r="7151" spans="1:21">
      <c r="A7151">
        <v>7150</v>
      </c>
      <c r="B7151" s="27" t="s">
        <v>20779</v>
      </c>
      <c r="D7151" s="27" t="s">
        <v>1826</v>
      </c>
      <c r="F7151" s="27" t="s">
        <v>1827</v>
      </c>
      <c r="H7151" s="27" t="s">
        <v>1830</v>
      </c>
      <c r="J7151" s="27" t="s">
        <v>1832</v>
      </c>
      <c r="L7151" s="27" t="s">
        <v>209</v>
      </c>
      <c r="M7151" s="27" t="s">
        <v>891</v>
      </c>
      <c r="N7151" s="27" t="s">
        <v>690</v>
      </c>
      <c r="P7151" s="27" t="s">
        <v>691</v>
      </c>
      <c r="Q7151" s="26" t="str">
        <f>HYPERLINK("https://ictv.global/taxonomy/taxondetails?taxnode_id=202504123&amp;ictv_id=ICTV20153402","ICTV20153402")</f>
        <v>ICTV20153402</v>
      </c>
      <c r="R7151" t="s">
        <v>579</v>
      </c>
      <c r="S7151" t="s">
        <v>824</v>
      </c>
      <c r="T7151">
        <v>41</v>
      </c>
      <c r="U7151" s="26" t="str">
        <f t="shared" si="277"/>
        <v>2025.002G.Monodnaviria_reorg_4nr.zip</v>
      </c>
    </row>
    <row r="7152" spans="1:21">
      <c r="A7152">
        <v>7151</v>
      </c>
      <c r="B7152" s="27" t="s">
        <v>20779</v>
      </c>
      <c r="D7152" s="27" t="s">
        <v>1826</v>
      </c>
      <c r="F7152" s="27" t="s">
        <v>1827</v>
      </c>
      <c r="H7152" s="27" t="s">
        <v>1830</v>
      </c>
      <c r="J7152" s="27" t="s">
        <v>1832</v>
      </c>
      <c r="L7152" s="27" t="s">
        <v>209</v>
      </c>
      <c r="M7152" s="27" t="s">
        <v>891</v>
      </c>
      <c r="N7152" s="27" t="s">
        <v>692</v>
      </c>
      <c r="P7152" s="27" t="s">
        <v>693</v>
      </c>
      <c r="Q7152" s="26" t="str">
        <f>HYPERLINK("https://ictv.global/taxonomy/taxondetails?taxnode_id=202504125&amp;ictv_id=ICTV20153406","ICTV20153406")</f>
        <v>ICTV20153406</v>
      </c>
      <c r="R7152" t="s">
        <v>579</v>
      </c>
      <c r="S7152" t="s">
        <v>824</v>
      </c>
      <c r="T7152">
        <v>41</v>
      </c>
      <c r="U7152" s="26" t="str">
        <f t="shared" si="277"/>
        <v>2025.002G.Monodnaviria_reorg_4nr.zip</v>
      </c>
    </row>
    <row r="7153" spans="1:21">
      <c r="A7153">
        <v>7152</v>
      </c>
      <c r="B7153" s="27" t="s">
        <v>20779</v>
      </c>
      <c r="D7153" s="27" t="s">
        <v>1826</v>
      </c>
      <c r="F7153" s="27" t="s">
        <v>1827</v>
      </c>
      <c r="H7153" s="27" t="s">
        <v>1830</v>
      </c>
      <c r="J7153" s="27" t="s">
        <v>1832</v>
      </c>
      <c r="L7153" s="27" t="s">
        <v>209</v>
      </c>
      <c r="M7153" s="27" t="s">
        <v>891</v>
      </c>
      <c r="N7153" s="27" t="s">
        <v>903</v>
      </c>
      <c r="P7153" s="27" t="s">
        <v>904</v>
      </c>
      <c r="Q7153" s="26" t="str">
        <f>HYPERLINK("https://ictv.global/taxonomy/taxondetails?taxnode_id=202505875&amp;ictv_id=ICTV20175875","ICTV20175875")</f>
        <v>ICTV20175875</v>
      </c>
      <c r="R7153" t="s">
        <v>579</v>
      </c>
      <c r="S7153" t="s">
        <v>824</v>
      </c>
      <c r="T7153">
        <v>41</v>
      </c>
      <c r="U7153" s="26" t="str">
        <f t="shared" si="277"/>
        <v>2025.002G.Monodnaviria_reorg_4nr.zip</v>
      </c>
    </row>
    <row r="7154" spans="1:21">
      <c r="A7154">
        <v>7153</v>
      </c>
      <c r="B7154" s="27" t="s">
        <v>20779</v>
      </c>
      <c r="D7154" s="27" t="s">
        <v>1826</v>
      </c>
      <c r="F7154" s="27" t="s">
        <v>1827</v>
      </c>
      <c r="H7154" s="27" t="s">
        <v>1830</v>
      </c>
      <c r="J7154" s="27" t="s">
        <v>1832</v>
      </c>
      <c r="L7154" s="27" t="s">
        <v>209</v>
      </c>
      <c r="M7154" s="27" t="s">
        <v>891</v>
      </c>
      <c r="N7154" s="27" t="s">
        <v>905</v>
      </c>
      <c r="P7154" s="27" t="s">
        <v>906</v>
      </c>
      <c r="Q7154" s="26" t="str">
        <f>HYPERLINK("https://ictv.global/taxonomy/taxondetails?taxnode_id=202505877&amp;ictv_id=ICTV20175877","ICTV20175877")</f>
        <v>ICTV20175877</v>
      </c>
      <c r="R7154" t="s">
        <v>579</v>
      </c>
      <c r="S7154" t="s">
        <v>824</v>
      </c>
      <c r="T7154">
        <v>41</v>
      </c>
      <c r="U7154" s="26" t="str">
        <f t="shared" si="277"/>
        <v>2025.002G.Monodnaviria_reorg_4nr.zip</v>
      </c>
    </row>
    <row r="7155" spans="1:21">
      <c r="A7155">
        <v>7154</v>
      </c>
      <c r="B7155" s="27" t="s">
        <v>20779</v>
      </c>
      <c r="D7155" s="27" t="s">
        <v>1826</v>
      </c>
      <c r="F7155" s="27" t="s">
        <v>1827</v>
      </c>
      <c r="H7155" s="27" t="s">
        <v>1830</v>
      </c>
      <c r="J7155" s="27" t="s">
        <v>1832</v>
      </c>
      <c r="L7155" s="27" t="s">
        <v>209</v>
      </c>
      <c r="M7155" s="27" t="s">
        <v>891</v>
      </c>
      <c r="N7155" s="27" t="s">
        <v>907</v>
      </c>
      <c r="P7155" s="27" t="s">
        <v>908</v>
      </c>
      <c r="Q7155" s="26" t="str">
        <f>HYPERLINK("https://ictv.global/taxonomy/taxondetails?taxnode_id=202505879&amp;ictv_id=ICTV20175879","ICTV20175879")</f>
        <v>ICTV20175879</v>
      </c>
      <c r="R7155" t="s">
        <v>579</v>
      </c>
      <c r="S7155" t="s">
        <v>824</v>
      </c>
      <c r="T7155">
        <v>41</v>
      </c>
      <c r="U7155" s="26" t="str">
        <f t="shared" si="277"/>
        <v>2025.002G.Monodnaviria_reorg_4nr.zip</v>
      </c>
    </row>
    <row r="7156" spans="1:21">
      <c r="A7156">
        <v>7155</v>
      </c>
      <c r="B7156" s="27" t="s">
        <v>20779</v>
      </c>
      <c r="D7156" s="27" t="s">
        <v>1826</v>
      </c>
      <c r="F7156" s="27" t="s">
        <v>1827</v>
      </c>
      <c r="H7156" s="27" t="s">
        <v>1830</v>
      </c>
      <c r="J7156" s="27" t="s">
        <v>1832</v>
      </c>
      <c r="L7156" s="27" t="s">
        <v>209</v>
      </c>
      <c r="M7156" s="27" t="s">
        <v>891</v>
      </c>
      <c r="N7156" s="27" t="s">
        <v>694</v>
      </c>
      <c r="P7156" s="27" t="s">
        <v>695</v>
      </c>
      <c r="Q7156" s="26" t="str">
        <f>HYPERLINK("https://ictv.global/taxonomy/taxondetails?taxnode_id=202504127&amp;ictv_id=ICTV20153404","ICTV20153404")</f>
        <v>ICTV20153404</v>
      </c>
      <c r="R7156" t="s">
        <v>579</v>
      </c>
      <c r="S7156" t="s">
        <v>824</v>
      </c>
      <c r="T7156">
        <v>41</v>
      </c>
      <c r="U7156" s="26" t="str">
        <f t="shared" si="277"/>
        <v>2025.002G.Monodnaviria_reorg_4nr.zip</v>
      </c>
    </row>
    <row r="7157" spans="1:21">
      <c r="A7157">
        <v>7156</v>
      </c>
      <c r="B7157" s="27" t="s">
        <v>20779</v>
      </c>
      <c r="D7157" s="27" t="s">
        <v>1826</v>
      </c>
      <c r="F7157" s="27" t="s">
        <v>1827</v>
      </c>
      <c r="H7157" s="27" t="s">
        <v>1830</v>
      </c>
      <c r="J7157" s="27" t="s">
        <v>1832</v>
      </c>
      <c r="L7157" s="27" t="s">
        <v>209</v>
      </c>
      <c r="M7157" s="27" t="s">
        <v>891</v>
      </c>
      <c r="N7157" s="27" t="s">
        <v>99</v>
      </c>
      <c r="P7157" s="27" t="s">
        <v>100</v>
      </c>
      <c r="Q7157" s="26" t="str">
        <f>HYPERLINK("https://ictv.global/taxonomy/taxondetails?taxnode_id=202504129&amp;ictv_id=ICTV20115567","ICTV20115567")</f>
        <v>ICTV20115567</v>
      </c>
      <c r="R7157" t="s">
        <v>579</v>
      </c>
      <c r="S7157" t="s">
        <v>824</v>
      </c>
      <c r="T7157">
        <v>41</v>
      </c>
      <c r="U7157" s="26" t="str">
        <f t="shared" si="277"/>
        <v>2025.002G.Monodnaviria_reorg_4nr.zip</v>
      </c>
    </row>
    <row r="7158" spans="1:21">
      <c r="A7158">
        <v>7157</v>
      </c>
      <c r="B7158" s="27" t="s">
        <v>20779</v>
      </c>
      <c r="D7158" s="27" t="s">
        <v>1826</v>
      </c>
      <c r="F7158" s="27" t="s">
        <v>1827</v>
      </c>
      <c r="H7158" s="27" t="s">
        <v>1830</v>
      </c>
      <c r="J7158" s="27" t="s">
        <v>1832</v>
      </c>
      <c r="L7158" s="27" t="s">
        <v>209</v>
      </c>
      <c r="M7158" s="27" t="s">
        <v>891</v>
      </c>
      <c r="N7158" s="27" t="s">
        <v>99</v>
      </c>
      <c r="P7158" s="27" t="s">
        <v>101</v>
      </c>
      <c r="Q7158" s="26" t="str">
        <f>HYPERLINK("https://ictv.global/taxonomy/taxondetails?taxnode_id=202504130&amp;ictv_id=ICTV20115568","ICTV20115568")</f>
        <v>ICTV20115568</v>
      </c>
      <c r="R7158" t="s">
        <v>579</v>
      </c>
      <c r="S7158" t="s">
        <v>824</v>
      </c>
      <c r="T7158">
        <v>41</v>
      </c>
      <c r="U7158" s="26" t="str">
        <f t="shared" si="277"/>
        <v>2025.002G.Monodnaviria_reorg_4nr.zip</v>
      </c>
    </row>
    <row r="7159" spans="1:21">
      <c r="A7159">
        <v>7158</v>
      </c>
      <c r="B7159" s="27" t="s">
        <v>20779</v>
      </c>
      <c r="D7159" s="27" t="s">
        <v>1826</v>
      </c>
      <c r="F7159" s="27" t="s">
        <v>1827</v>
      </c>
      <c r="H7159" s="27" t="s">
        <v>1830</v>
      </c>
      <c r="J7159" s="27" t="s">
        <v>1832</v>
      </c>
      <c r="L7159" s="27" t="s">
        <v>209</v>
      </c>
      <c r="M7159" s="27" t="s">
        <v>891</v>
      </c>
      <c r="N7159" s="27" t="s">
        <v>99</v>
      </c>
      <c r="P7159" s="27" t="s">
        <v>550</v>
      </c>
      <c r="Q7159" s="26" t="str">
        <f>HYPERLINK("https://ictv.global/taxonomy/taxondetails?taxnode_id=202504131&amp;ictv_id=ICTV20132434","ICTV20132434")</f>
        <v>ICTV20132434</v>
      </c>
      <c r="R7159" t="s">
        <v>579</v>
      </c>
      <c r="S7159" t="s">
        <v>824</v>
      </c>
      <c r="T7159">
        <v>41</v>
      </c>
      <c r="U7159" s="26" t="str">
        <f t="shared" si="277"/>
        <v>2025.002G.Monodnaviria_reorg_4nr.zip</v>
      </c>
    </row>
    <row r="7160" spans="1:21">
      <c r="A7160">
        <v>7159</v>
      </c>
      <c r="B7160" s="27" t="s">
        <v>20779</v>
      </c>
      <c r="D7160" s="27" t="s">
        <v>1826</v>
      </c>
      <c r="F7160" s="27" t="s">
        <v>1827</v>
      </c>
      <c r="H7160" s="27" t="s">
        <v>1830</v>
      </c>
      <c r="J7160" s="27" t="s">
        <v>1832</v>
      </c>
      <c r="L7160" s="27" t="s">
        <v>209</v>
      </c>
      <c r="M7160" s="27" t="s">
        <v>891</v>
      </c>
      <c r="N7160" s="27" t="s">
        <v>370</v>
      </c>
      <c r="P7160" s="27" t="s">
        <v>102</v>
      </c>
      <c r="Q7160" s="26" t="str">
        <f>HYPERLINK("https://ictv.global/taxonomy/taxondetails?taxnode_id=202504133&amp;ictv_id=ICTV20041498","ICTV20041498")</f>
        <v>ICTV20041498</v>
      </c>
      <c r="R7160" t="s">
        <v>579</v>
      </c>
      <c r="S7160" t="s">
        <v>824</v>
      </c>
      <c r="T7160">
        <v>41</v>
      </c>
      <c r="U7160" s="26" t="str">
        <f t="shared" si="277"/>
        <v>2025.002G.Monodnaviria_reorg_4nr.zip</v>
      </c>
    </row>
    <row r="7161" spans="1:21">
      <c r="A7161">
        <v>7160</v>
      </c>
      <c r="B7161" s="27" t="s">
        <v>20779</v>
      </c>
      <c r="D7161" s="27" t="s">
        <v>1826</v>
      </c>
      <c r="F7161" s="27" t="s">
        <v>1827</v>
      </c>
      <c r="H7161" s="27" t="s">
        <v>1830</v>
      </c>
      <c r="J7161" s="27" t="s">
        <v>1832</v>
      </c>
      <c r="L7161" s="27" t="s">
        <v>209</v>
      </c>
      <c r="M7161" s="27" t="s">
        <v>891</v>
      </c>
      <c r="N7161" s="27" t="s">
        <v>370</v>
      </c>
      <c r="P7161" s="27" t="s">
        <v>551</v>
      </c>
      <c r="Q7161" s="26" t="str">
        <f>HYPERLINK("https://ictv.global/taxonomy/taxondetails?taxnode_id=202504134&amp;ictv_id=ICTV20132437","ICTV20132437")</f>
        <v>ICTV20132437</v>
      </c>
      <c r="R7161" t="s">
        <v>579</v>
      </c>
      <c r="S7161" t="s">
        <v>824</v>
      </c>
      <c r="T7161">
        <v>41</v>
      </c>
      <c r="U7161" s="26" t="str">
        <f t="shared" si="277"/>
        <v>2025.002G.Monodnaviria_reorg_4nr.zip</v>
      </c>
    </row>
    <row r="7162" spans="1:21">
      <c r="A7162">
        <v>7161</v>
      </c>
      <c r="B7162" s="27" t="s">
        <v>20779</v>
      </c>
      <c r="D7162" s="27" t="s">
        <v>1826</v>
      </c>
      <c r="F7162" s="27" t="s">
        <v>1827</v>
      </c>
      <c r="H7162" s="27" t="s">
        <v>1830</v>
      </c>
      <c r="J7162" s="27" t="s">
        <v>1832</v>
      </c>
      <c r="L7162" s="27" t="s">
        <v>209</v>
      </c>
      <c r="M7162" s="27" t="s">
        <v>891</v>
      </c>
      <c r="N7162" s="27" t="s">
        <v>370</v>
      </c>
      <c r="P7162" s="27" t="s">
        <v>696</v>
      </c>
      <c r="Q7162" s="26" t="str">
        <f>HYPERLINK("https://ictv.global/taxonomy/taxondetails?taxnode_id=202504135&amp;ictv_id=ICTV20153384","ICTV20153384")</f>
        <v>ICTV20153384</v>
      </c>
      <c r="R7162" t="s">
        <v>579</v>
      </c>
      <c r="S7162" t="s">
        <v>824</v>
      </c>
      <c r="T7162">
        <v>41</v>
      </c>
      <c r="U7162" s="26" t="str">
        <f t="shared" si="277"/>
        <v>2025.002G.Monodnaviria_reorg_4nr.zip</v>
      </c>
    </row>
    <row r="7163" spans="1:21">
      <c r="A7163">
        <v>7162</v>
      </c>
      <c r="B7163" s="27" t="s">
        <v>20779</v>
      </c>
      <c r="D7163" s="27" t="s">
        <v>1826</v>
      </c>
      <c r="F7163" s="27" t="s">
        <v>1827</v>
      </c>
      <c r="H7163" s="27" t="s">
        <v>1830</v>
      </c>
      <c r="J7163" s="27" t="s">
        <v>1832</v>
      </c>
      <c r="L7163" s="27" t="s">
        <v>209</v>
      </c>
      <c r="M7163" s="27" t="s">
        <v>891</v>
      </c>
      <c r="N7163" s="27" t="s">
        <v>370</v>
      </c>
      <c r="P7163" s="27" t="s">
        <v>909</v>
      </c>
      <c r="Q7163" s="26" t="str">
        <f>HYPERLINK("https://ictv.global/taxonomy/taxondetails?taxnode_id=202505881&amp;ictv_id=ICTV20175881","ICTV20175881")</f>
        <v>ICTV20175881</v>
      </c>
      <c r="R7163" t="s">
        <v>579</v>
      </c>
      <c r="S7163" t="s">
        <v>824</v>
      </c>
      <c r="T7163">
        <v>41</v>
      </c>
      <c r="U7163" s="26" t="str">
        <f t="shared" si="277"/>
        <v>2025.002G.Monodnaviria_reorg_4nr.zip</v>
      </c>
    </row>
    <row r="7164" spans="1:21">
      <c r="A7164">
        <v>7163</v>
      </c>
      <c r="B7164" s="27" t="s">
        <v>20779</v>
      </c>
      <c r="D7164" s="27" t="s">
        <v>1826</v>
      </c>
      <c r="F7164" s="27" t="s">
        <v>1827</v>
      </c>
      <c r="H7164" s="27" t="s">
        <v>1830</v>
      </c>
      <c r="J7164" s="27" t="s">
        <v>1832</v>
      </c>
      <c r="L7164" s="27" t="s">
        <v>209</v>
      </c>
      <c r="M7164" s="27" t="s">
        <v>891</v>
      </c>
      <c r="N7164" s="27" t="s">
        <v>370</v>
      </c>
      <c r="P7164" s="27" t="s">
        <v>910</v>
      </c>
      <c r="Q7164" s="26" t="str">
        <f>HYPERLINK("https://ictv.global/taxonomy/taxondetails?taxnode_id=202505882&amp;ictv_id=ICTV20175882","ICTV20175882")</f>
        <v>ICTV20175882</v>
      </c>
      <c r="R7164" t="s">
        <v>579</v>
      </c>
      <c r="S7164" t="s">
        <v>824</v>
      </c>
      <c r="T7164">
        <v>41</v>
      </c>
      <c r="U7164" s="26" t="str">
        <f t="shared" si="277"/>
        <v>2025.002G.Monodnaviria_reorg_4nr.zip</v>
      </c>
    </row>
    <row r="7165" spans="1:21">
      <c r="A7165">
        <v>7164</v>
      </c>
      <c r="B7165" s="27" t="s">
        <v>20779</v>
      </c>
      <c r="D7165" s="27" t="s">
        <v>1826</v>
      </c>
      <c r="F7165" s="27" t="s">
        <v>1827</v>
      </c>
      <c r="H7165" s="27" t="s">
        <v>1830</v>
      </c>
      <c r="J7165" s="27" t="s">
        <v>1832</v>
      </c>
      <c r="L7165" s="27" t="s">
        <v>209</v>
      </c>
      <c r="M7165" s="27" t="s">
        <v>891</v>
      </c>
      <c r="N7165" s="27" t="s">
        <v>371</v>
      </c>
      <c r="P7165" s="27" t="s">
        <v>103</v>
      </c>
      <c r="Q7165" s="26" t="str">
        <f>HYPERLINK("https://ictv.global/taxonomy/taxondetails?taxnode_id=202504137&amp;ictv_id=ICTV20041499","ICTV20041499")</f>
        <v>ICTV20041499</v>
      </c>
      <c r="R7165" t="s">
        <v>579</v>
      </c>
      <c r="S7165" t="s">
        <v>824</v>
      </c>
      <c r="T7165">
        <v>41</v>
      </c>
      <c r="U7165" s="26" t="str">
        <f t="shared" si="277"/>
        <v>2025.002G.Monodnaviria_reorg_4nr.zip</v>
      </c>
    </row>
    <row r="7166" spans="1:21">
      <c r="A7166">
        <v>7165</v>
      </c>
      <c r="B7166" s="27" t="s">
        <v>20779</v>
      </c>
      <c r="D7166" s="27" t="s">
        <v>1826</v>
      </c>
      <c r="F7166" s="27" t="s">
        <v>1827</v>
      </c>
      <c r="H7166" s="27" t="s">
        <v>1830</v>
      </c>
      <c r="J7166" s="27" t="s">
        <v>1832</v>
      </c>
      <c r="L7166" s="27" t="s">
        <v>209</v>
      </c>
      <c r="M7166" s="27" t="s">
        <v>911</v>
      </c>
      <c r="N7166" s="27" t="s">
        <v>912</v>
      </c>
      <c r="P7166" s="27" t="s">
        <v>913</v>
      </c>
      <c r="Q7166" s="26" t="str">
        <f>HYPERLINK("https://ictv.global/taxonomy/taxondetails?taxnode_id=202505884&amp;ictv_id=ICTV20175884","ICTV20175884")</f>
        <v>ICTV20175884</v>
      </c>
      <c r="R7166" t="s">
        <v>579</v>
      </c>
      <c r="S7166" t="s">
        <v>824</v>
      </c>
      <c r="T7166">
        <v>41</v>
      </c>
      <c r="U7166" s="26" t="str">
        <f t="shared" si="277"/>
        <v>2025.002G.Monodnaviria_reorg_4nr.zip</v>
      </c>
    </row>
    <row r="7167" spans="1:21">
      <c r="A7167">
        <v>7166</v>
      </c>
      <c r="B7167" s="27" t="s">
        <v>20779</v>
      </c>
      <c r="D7167" s="27" t="s">
        <v>1826</v>
      </c>
      <c r="F7167" s="27" t="s">
        <v>1827</v>
      </c>
      <c r="H7167" s="27" t="s">
        <v>1833</v>
      </c>
      <c r="J7167" s="27" t="s">
        <v>1834</v>
      </c>
      <c r="L7167" s="27" t="s">
        <v>421</v>
      </c>
      <c r="M7167" s="27" t="s">
        <v>422</v>
      </c>
      <c r="N7167" s="27" t="s">
        <v>1835</v>
      </c>
      <c r="P7167" s="27" t="s">
        <v>8390</v>
      </c>
      <c r="Q7167" s="26" t="str">
        <f>HYPERLINK("https://ictv.global/taxonomy/taxondetails?taxnode_id=202504209&amp;ictv_id=ICTV20165407","ICTV20165407")</f>
        <v>ICTV20165407</v>
      </c>
      <c r="R7167" t="s">
        <v>660</v>
      </c>
      <c r="S7167" t="s">
        <v>824</v>
      </c>
      <c r="T7167">
        <v>41</v>
      </c>
      <c r="U7167" s="26" t="str">
        <f t="shared" si="277"/>
        <v>2025.002G.Monodnaviria_reorg_4nr.zip</v>
      </c>
    </row>
    <row r="7168" spans="1:21">
      <c r="A7168">
        <v>7167</v>
      </c>
      <c r="B7168" s="27" t="s">
        <v>20779</v>
      </c>
      <c r="D7168" s="27" t="s">
        <v>1826</v>
      </c>
      <c r="F7168" s="27" t="s">
        <v>1827</v>
      </c>
      <c r="H7168" s="27" t="s">
        <v>1833</v>
      </c>
      <c r="J7168" s="27" t="s">
        <v>1834</v>
      </c>
      <c r="L7168" s="27" t="s">
        <v>421</v>
      </c>
      <c r="M7168" s="27" t="s">
        <v>422</v>
      </c>
      <c r="N7168" s="27" t="s">
        <v>1835</v>
      </c>
      <c r="P7168" s="27" t="s">
        <v>8391</v>
      </c>
      <c r="Q7168" s="26" t="str">
        <f>HYPERLINK("https://ictv.global/taxonomy/taxondetails?taxnode_id=202514045&amp;ictv_id=ICTV202214045","ICTV202214045")</f>
        <v>ICTV202214045</v>
      </c>
      <c r="R7168" t="s">
        <v>660</v>
      </c>
      <c r="S7168" t="s">
        <v>824</v>
      </c>
      <c r="T7168">
        <v>41</v>
      </c>
      <c r="U7168" s="26" t="str">
        <f t="shared" ref="U7168:U7199" si="278">HYPERLINK("https://ictv.global/ictv/proposals/2025.002G.Monodnaviria_reorg_4nr.zip","2025.002G.Monodnaviria_reorg_4nr.zip")</f>
        <v>2025.002G.Monodnaviria_reorg_4nr.zip</v>
      </c>
    </row>
    <row r="7169" spans="1:21">
      <c r="A7169">
        <v>7168</v>
      </c>
      <c r="B7169" s="27" t="s">
        <v>20779</v>
      </c>
      <c r="D7169" s="27" t="s">
        <v>1826</v>
      </c>
      <c r="F7169" s="27" t="s">
        <v>1827</v>
      </c>
      <c r="H7169" s="27" t="s">
        <v>1833</v>
      </c>
      <c r="J7169" s="27" t="s">
        <v>1834</v>
      </c>
      <c r="L7169" s="27" t="s">
        <v>421</v>
      </c>
      <c r="M7169" s="27" t="s">
        <v>422</v>
      </c>
      <c r="N7169" s="27" t="s">
        <v>1835</v>
      </c>
      <c r="P7169" s="27" t="s">
        <v>19962</v>
      </c>
      <c r="Q7169" s="26" t="str">
        <f>HYPERLINK("https://ictv.global/taxonomy/taxondetails?taxnode_id=202520273&amp;ictv_id=ICTV202420273","ICTV202420273")</f>
        <v>ICTV202420273</v>
      </c>
      <c r="R7169" t="s">
        <v>660</v>
      </c>
      <c r="S7169" t="s">
        <v>824</v>
      </c>
      <c r="T7169">
        <v>41</v>
      </c>
      <c r="U7169" s="26" t="str">
        <f t="shared" si="278"/>
        <v>2025.002G.Monodnaviria_reorg_4nr.zip</v>
      </c>
    </row>
    <row r="7170" spans="1:21">
      <c r="A7170">
        <v>7169</v>
      </c>
      <c r="B7170" s="27" t="s">
        <v>20779</v>
      </c>
      <c r="D7170" s="27" t="s">
        <v>1826</v>
      </c>
      <c r="F7170" s="27" t="s">
        <v>1827</v>
      </c>
      <c r="H7170" s="27" t="s">
        <v>1833</v>
      </c>
      <c r="J7170" s="27" t="s">
        <v>1834</v>
      </c>
      <c r="L7170" s="27" t="s">
        <v>421</v>
      </c>
      <c r="M7170" s="27" t="s">
        <v>422</v>
      </c>
      <c r="N7170" s="27" t="s">
        <v>1835</v>
      </c>
      <c r="P7170" s="27" t="s">
        <v>19963</v>
      </c>
      <c r="Q7170" s="26" t="str">
        <f>HYPERLINK("https://ictv.global/taxonomy/taxondetails?taxnode_id=202520274&amp;ictv_id=ICTV202420274","ICTV202420274")</f>
        <v>ICTV202420274</v>
      </c>
      <c r="R7170" t="s">
        <v>660</v>
      </c>
      <c r="S7170" t="s">
        <v>824</v>
      </c>
      <c r="T7170">
        <v>41</v>
      </c>
      <c r="U7170" s="26" t="str">
        <f t="shared" si="278"/>
        <v>2025.002G.Monodnaviria_reorg_4nr.zip</v>
      </c>
    </row>
    <row r="7171" spans="1:21">
      <c r="A7171">
        <v>7170</v>
      </c>
      <c r="B7171" s="27" t="s">
        <v>20779</v>
      </c>
      <c r="D7171" s="27" t="s">
        <v>1826</v>
      </c>
      <c r="F7171" s="27" t="s">
        <v>1827</v>
      </c>
      <c r="H7171" s="27" t="s">
        <v>1833</v>
      </c>
      <c r="J7171" s="27" t="s">
        <v>1834</v>
      </c>
      <c r="L7171" s="27" t="s">
        <v>421</v>
      </c>
      <c r="M7171" s="27" t="s">
        <v>422</v>
      </c>
      <c r="N7171" s="27" t="s">
        <v>1835</v>
      </c>
      <c r="P7171" s="27" t="s">
        <v>19964</v>
      </c>
      <c r="Q7171" s="26" t="str">
        <f>HYPERLINK("https://ictv.global/taxonomy/taxondetails?taxnode_id=202520275&amp;ictv_id=ICTV202420275","ICTV202420275")</f>
        <v>ICTV202420275</v>
      </c>
      <c r="R7171" t="s">
        <v>660</v>
      </c>
      <c r="S7171" t="s">
        <v>824</v>
      </c>
      <c r="T7171">
        <v>41</v>
      </c>
      <c r="U7171" s="26" t="str">
        <f t="shared" si="278"/>
        <v>2025.002G.Monodnaviria_reorg_4nr.zip</v>
      </c>
    </row>
    <row r="7172" spans="1:21">
      <c r="A7172">
        <v>7171</v>
      </c>
      <c r="B7172" s="27" t="s">
        <v>20779</v>
      </c>
      <c r="D7172" s="27" t="s">
        <v>1826</v>
      </c>
      <c r="F7172" s="27" t="s">
        <v>1827</v>
      </c>
      <c r="H7172" s="27" t="s">
        <v>1833</v>
      </c>
      <c r="J7172" s="27" t="s">
        <v>1834</v>
      </c>
      <c r="L7172" s="27" t="s">
        <v>421</v>
      </c>
      <c r="M7172" s="27" t="s">
        <v>422</v>
      </c>
      <c r="N7172" s="27" t="s">
        <v>1835</v>
      </c>
      <c r="P7172" s="27" t="s">
        <v>19965</v>
      </c>
      <c r="Q7172" s="26" t="str">
        <f>HYPERLINK("https://ictv.global/taxonomy/taxondetails?taxnode_id=202520276&amp;ictv_id=ICTV202420276","ICTV202420276")</f>
        <v>ICTV202420276</v>
      </c>
      <c r="R7172" t="s">
        <v>660</v>
      </c>
      <c r="S7172" t="s">
        <v>824</v>
      </c>
      <c r="T7172">
        <v>41</v>
      </c>
      <c r="U7172" s="26" t="str">
        <f t="shared" si="278"/>
        <v>2025.002G.Monodnaviria_reorg_4nr.zip</v>
      </c>
    </row>
    <row r="7173" spans="1:21">
      <c r="A7173">
        <v>7172</v>
      </c>
      <c r="B7173" s="27" t="s">
        <v>20779</v>
      </c>
      <c r="D7173" s="27" t="s">
        <v>1826</v>
      </c>
      <c r="F7173" s="27" t="s">
        <v>1827</v>
      </c>
      <c r="H7173" s="27" t="s">
        <v>1833</v>
      </c>
      <c r="J7173" s="27" t="s">
        <v>1834</v>
      </c>
      <c r="L7173" s="27" t="s">
        <v>421</v>
      </c>
      <c r="M7173" s="27" t="s">
        <v>422</v>
      </c>
      <c r="N7173" s="27" t="s">
        <v>1835</v>
      </c>
      <c r="P7173" s="27" t="s">
        <v>19966</v>
      </c>
      <c r="Q7173" s="26" t="str">
        <f>HYPERLINK("https://ictv.global/taxonomy/taxondetails?taxnode_id=202520277&amp;ictv_id=ICTV202420277","ICTV202420277")</f>
        <v>ICTV202420277</v>
      </c>
      <c r="R7173" t="s">
        <v>660</v>
      </c>
      <c r="S7173" t="s">
        <v>824</v>
      </c>
      <c r="T7173">
        <v>41</v>
      </c>
      <c r="U7173" s="26" t="str">
        <f t="shared" si="278"/>
        <v>2025.002G.Monodnaviria_reorg_4nr.zip</v>
      </c>
    </row>
    <row r="7174" spans="1:21">
      <c r="A7174">
        <v>7173</v>
      </c>
      <c r="B7174" s="27" t="s">
        <v>20779</v>
      </c>
      <c r="D7174" s="27" t="s">
        <v>1826</v>
      </c>
      <c r="F7174" s="27" t="s">
        <v>1827</v>
      </c>
      <c r="H7174" s="27" t="s">
        <v>1833</v>
      </c>
      <c r="J7174" s="27" t="s">
        <v>1834</v>
      </c>
      <c r="L7174" s="27" t="s">
        <v>421</v>
      </c>
      <c r="M7174" s="27" t="s">
        <v>422</v>
      </c>
      <c r="N7174" s="27" t="s">
        <v>1835</v>
      </c>
      <c r="P7174" s="27" t="s">
        <v>19967</v>
      </c>
      <c r="Q7174" s="26" t="str">
        <f>HYPERLINK("https://ictv.global/taxonomy/taxondetails?taxnode_id=202520278&amp;ictv_id=ICTV202420278","ICTV202420278")</f>
        <v>ICTV202420278</v>
      </c>
      <c r="R7174" t="s">
        <v>660</v>
      </c>
      <c r="S7174" t="s">
        <v>824</v>
      </c>
      <c r="T7174">
        <v>41</v>
      </c>
      <c r="U7174" s="26" t="str">
        <f t="shared" si="278"/>
        <v>2025.002G.Monodnaviria_reorg_4nr.zip</v>
      </c>
    </row>
    <row r="7175" spans="1:21">
      <c r="A7175">
        <v>7174</v>
      </c>
      <c r="B7175" s="27" t="s">
        <v>20779</v>
      </c>
      <c r="D7175" s="27" t="s">
        <v>1826</v>
      </c>
      <c r="F7175" s="27" t="s">
        <v>1827</v>
      </c>
      <c r="H7175" s="27" t="s">
        <v>1833</v>
      </c>
      <c r="J7175" s="27" t="s">
        <v>1834</v>
      </c>
      <c r="L7175" s="27" t="s">
        <v>421</v>
      </c>
      <c r="M7175" s="27" t="s">
        <v>422</v>
      </c>
      <c r="N7175" s="27" t="s">
        <v>1835</v>
      </c>
      <c r="P7175" s="27" t="s">
        <v>19968</v>
      </c>
      <c r="Q7175" s="26" t="str">
        <f>HYPERLINK("https://ictv.global/taxonomy/taxondetails?taxnode_id=202520279&amp;ictv_id=ICTV202420279","ICTV202420279")</f>
        <v>ICTV202420279</v>
      </c>
      <c r="R7175" t="s">
        <v>660</v>
      </c>
      <c r="S7175" t="s">
        <v>824</v>
      </c>
      <c r="T7175">
        <v>41</v>
      </c>
      <c r="U7175" s="26" t="str">
        <f t="shared" si="278"/>
        <v>2025.002G.Monodnaviria_reorg_4nr.zip</v>
      </c>
    </row>
    <row r="7176" spans="1:21">
      <c r="A7176">
        <v>7175</v>
      </c>
      <c r="B7176" s="27" t="s">
        <v>20779</v>
      </c>
      <c r="D7176" s="27" t="s">
        <v>1826</v>
      </c>
      <c r="F7176" s="27" t="s">
        <v>1827</v>
      </c>
      <c r="H7176" s="27" t="s">
        <v>1833</v>
      </c>
      <c r="J7176" s="27" t="s">
        <v>1834</v>
      </c>
      <c r="L7176" s="27" t="s">
        <v>421</v>
      </c>
      <c r="M7176" s="27" t="s">
        <v>422</v>
      </c>
      <c r="N7176" s="27" t="s">
        <v>1835</v>
      </c>
      <c r="P7176" s="27" t="s">
        <v>19969</v>
      </c>
      <c r="Q7176" s="26" t="str">
        <f>HYPERLINK("https://ictv.global/taxonomy/taxondetails?taxnode_id=202520280&amp;ictv_id=ICTV202420280","ICTV202420280")</f>
        <v>ICTV202420280</v>
      </c>
      <c r="R7176" t="s">
        <v>660</v>
      </c>
      <c r="S7176" t="s">
        <v>824</v>
      </c>
      <c r="T7176">
        <v>41</v>
      </c>
      <c r="U7176" s="26" t="str">
        <f t="shared" si="278"/>
        <v>2025.002G.Monodnaviria_reorg_4nr.zip</v>
      </c>
    </row>
    <row r="7177" spans="1:21">
      <c r="A7177">
        <v>7176</v>
      </c>
      <c r="B7177" s="27" t="s">
        <v>20779</v>
      </c>
      <c r="D7177" s="27" t="s">
        <v>1826</v>
      </c>
      <c r="F7177" s="27" t="s">
        <v>1827</v>
      </c>
      <c r="H7177" s="27" t="s">
        <v>1833</v>
      </c>
      <c r="J7177" s="27" t="s">
        <v>1834</v>
      </c>
      <c r="L7177" s="27" t="s">
        <v>421</v>
      </c>
      <c r="M7177" s="27" t="s">
        <v>422</v>
      </c>
      <c r="N7177" s="27" t="s">
        <v>1835</v>
      </c>
      <c r="P7177" s="27" t="s">
        <v>19970</v>
      </c>
      <c r="Q7177" s="26" t="str">
        <f>HYPERLINK("https://ictv.global/taxonomy/taxondetails?taxnode_id=202520281&amp;ictv_id=ICTV202420281","ICTV202420281")</f>
        <v>ICTV202420281</v>
      </c>
      <c r="R7177" t="s">
        <v>660</v>
      </c>
      <c r="S7177" t="s">
        <v>824</v>
      </c>
      <c r="T7177">
        <v>41</v>
      </c>
      <c r="U7177" s="26" t="str">
        <f t="shared" si="278"/>
        <v>2025.002G.Monodnaviria_reorg_4nr.zip</v>
      </c>
    </row>
    <row r="7178" spans="1:21">
      <c r="A7178">
        <v>7177</v>
      </c>
      <c r="B7178" s="27" t="s">
        <v>20779</v>
      </c>
      <c r="D7178" s="27" t="s">
        <v>1826</v>
      </c>
      <c r="F7178" s="27" t="s">
        <v>1827</v>
      </c>
      <c r="H7178" s="27" t="s">
        <v>1833</v>
      </c>
      <c r="J7178" s="27" t="s">
        <v>1834</v>
      </c>
      <c r="L7178" s="27" t="s">
        <v>421</v>
      </c>
      <c r="M7178" s="27" t="s">
        <v>422</v>
      </c>
      <c r="N7178" s="27" t="s">
        <v>1835</v>
      </c>
      <c r="P7178" s="27" t="s">
        <v>19971</v>
      </c>
      <c r="Q7178" s="26" t="str">
        <f>HYPERLINK("https://ictv.global/taxonomy/taxondetails?taxnode_id=202520282&amp;ictv_id=ICTV202420282","ICTV202420282")</f>
        <v>ICTV202420282</v>
      </c>
      <c r="R7178" t="s">
        <v>660</v>
      </c>
      <c r="S7178" t="s">
        <v>824</v>
      </c>
      <c r="T7178">
        <v>41</v>
      </c>
      <c r="U7178" s="26" t="str">
        <f t="shared" si="278"/>
        <v>2025.002G.Monodnaviria_reorg_4nr.zip</v>
      </c>
    </row>
    <row r="7179" spans="1:21">
      <c r="A7179">
        <v>7178</v>
      </c>
      <c r="B7179" s="27" t="s">
        <v>20779</v>
      </c>
      <c r="D7179" s="27" t="s">
        <v>1826</v>
      </c>
      <c r="F7179" s="27" t="s">
        <v>1827</v>
      </c>
      <c r="H7179" s="27" t="s">
        <v>1833</v>
      </c>
      <c r="J7179" s="27" t="s">
        <v>1834</v>
      </c>
      <c r="L7179" s="27" t="s">
        <v>421</v>
      </c>
      <c r="M7179" s="27" t="s">
        <v>422</v>
      </c>
      <c r="N7179" s="27" t="s">
        <v>1835</v>
      </c>
      <c r="P7179" s="27" t="s">
        <v>19972</v>
      </c>
      <c r="Q7179" s="26" t="str">
        <f>HYPERLINK("https://ictv.global/taxonomy/taxondetails?taxnode_id=202520283&amp;ictv_id=ICTV202420283","ICTV202420283")</f>
        <v>ICTV202420283</v>
      </c>
      <c r="R7179" t="s">
        <v>660</v>
      </c>
      <c r="S7179" t="s">
        <v>824</v>
      </c>
      <c r="T7179">
        <v>41</v>
      </c>
      <c r="U7179" s="26" t="str">
        <f t="shared" si="278"/>
        <v>2025.002G.Monodnaviria_reorg_4nr.zip</v>
      </c>
    </row>
    <row r="7180" spans="1:21">
      <c r="A7180">
        <v>7179</v>
      </c>
      <c r="B7180" s="27" t="s">
        <v>20779</v>
      </c>
      <c r="D7180" s="27" t="s">
        <v>1826</v>
      </c>
      <c r="F7180" s="27" t="s">
        <v>1827</v>
      </c>
      <c r="H7180" s="27" t="s">
        <v>1833</v>
      </c>
      <c r="J7180" s="27" t="s">
        <v>1834</v>
      </c>
      <c r="L7180" s="27" t="s">
        <v>421</v>
      </c>
      <c r="M7180" s="27" t="s">
        <v>422</v>
      </c>
      <c r="N7180" s="27" t="s">
        <v>1835</v>
      </c>
      <c r="P7180" s="27" t="s">
        <v>19973</v>
      </c>
      <c r="Q7180" s="26" t="str">
        <f>HYPERLINK("https://ictv.global/taxonomy/taxondetails?taxnode_id=202520284&amp;ictv_id=ICTV202420284","ICTV202420284")</f>
        <v>ICTV202420284</v>
      </c>
      <c r="R7180" t="s">
        <v>660</v>
      </c>
      <c r="S7180" t="s">
        <v>824</v>
      </c>
      <c r="T7180">
        <v>41</v>
      </c>
      <c r="U7180" s="26" t="str">
        <f t="shared" si="278"/>
        <v>2025.002G.Monodnaviria_reorg_4nr.zip</v>
      </c>
    </row>
    <row r="7181" spans="1:21">
      <c r="A7181">
        <v>7180</v>
      </c>
      <c r="B7181" s="27" t="s">
        <v>20779</v>
      </c>
      <c r="D7181" s="27" t="s">
        <v>1826</v>
      </c>
      <c r="F7181" s="27" t="s">
        <v>1827</v>
      </c>
      <c r="H7181" s="27" t="s">
        <v>1833</v>
      </c>
      <c r="J7181" s="27" t="s">
        <v>1834</v>
      </c>
      <c r="L7181" s="27" t="s">
        <v>421</v>
      </c>
      <c r="M7181" s="27" t="s">
        <v>422</v>
      </c>
      <c r="N7181" s="27" t="s">
        <v>1835</v>
      </c>
      <c r="P7181" s="27" t="s">
        <v>19974</v>
      </c>
      <c r="Q7181" s="26" t="str">
        <f>HYPERLINK("https://ictv.global/taxonomy/taxondetails?taxnode_id=202520285&amp;ictv_id=ICTV202420285","ICTV202420285")</f>
        <v>ICTV202420285</v>
      </c>
      <c r="R7181" t="s">
        <v>660</v>
      </c>
      <c r="S7181" t="s">
        <v>824</v>
      </c>
      <c r="T7181">
        <v>41</v>
      </c>
      <c r="U7181" s="26" t="str">
        <f t="shared" si="278"/>
        <v>2025.002G.Monodnaviria_reorg_4nr.zip</v>
      </c>
    </row>
    <row r="7182" spans="1:21">
      <c r="A7182">
        <v>7181</v>
      </c>
      <c r="B7182" s="27" t="s">
        <v>20779</v>
      </c>
      <c r="D7182" s="27" t="s">
        <v>1826</v>
      </c>
      <c r="F7182" s="27" t="s">
        <v>1827</v>
      </c>
      <c r="H7182" s="27" t="s">
        <v>1833</v>
      </c>
      <c r="J7182" s="27" t="s">
        <v>1834</v>
      </c>
      <c r="L7182" s="27" t="s">
        <v>421</v>
      </c>
      <c r="M7182" s="27" t="s">
        <v>422</v>
      </c>
      <c r="N7182" s="27" t="s">
        <v>1835</v>
      </c>
      <c r="P7182" s="27" t="s">
        <v>19975</v>
      </c>
      <c r="Q7182" s="26" t="str">
        <f>HYPERLINK("https://ictv.global/taxonomy/taxondetails?taxnode_id=202520286&amp;ictv_id=ICTV202420286","ICTV202420286")</f>
        <v>ICTV202420286</v>
      </c>
      <c r="R7182" t="s">
        <v>660</v>
      </c>
      <c r="S7182" t="s">
        <v>824</v>
      </c>
      <c r="T7182">
        <v>41</v>
      </c>
      <c r="U7182" s="26" t="str">
        <f t="shared" si="278"/>
        <v>2025.002G.Monodnaviria_reorg_4nr.zip</v>
      </c>
    </row>
    <row r="7183" spans="1:21">
      <c r="A7183">
        <v>7182</v>
      </c>
      <c r="B7183" s="27" t="s">
        <v>20779</v>
      </c>
      <c r="D7183" s="27" t="s">
        <v>1826</v>
      </c>
      <c r="F7183" s="27" t="s">
        <v>1827</v>
      </c>
      <c r="H7183" s="27" t="s">
        <v>1833</v>
      </c>
      <c r="J7183" s="27" t="s">
        <v>1834</v>
      </c>
      <c r="L7183" s="27" t="s">
        <v>421</v>
      </c>
      <c r="M7183" s="27" t="s">
        <v>422</v>
      </c>
      <c r="N7183" s="27" t="s">
        <v>1835</v>
      </c>
      <c r="P7183" s="27" t="s">
        <v>19976</v>
      </c>
      <c r="Q7183" s="26" t="str">
        <f>HYPERLINK("https://ictv.global/taxonomy/taxondetails?taxnode_id=202520287&amp;ictv_id=ICTV202420287","ICTV202420287")</f>
        <v>ICTV202420287</v>
      </c>
      <c r="R7183" t="s">
        <v>660</v>
      </c>
      <c r="S7183" t="s">
        <v>824</v>
      </c>
      <c r="T7183">
        <v>41</v>
      </c>
      <c r="U7183" s="26" t="str">
        <f t="shared" si="278"/>
        <v>2025.002G.Monodnaviria_reorg_4nr.zip</v>
      </c>
    </row>
    <row r="7184" spans="1:21">
      <c r="A7184">
        <v>7183</v>
      </c>
      <c r="B7184" s="27" t="s">
        <v>20779</v>
      </c>
      <c r="D7184" s="27" t="s">
        <v>1826</v>
      </c>
      <c r="F7184" s="27" t="s">
        <v>1827</v>
      </c>
      <c r="H7184" s="27" t="s">
        <v>1833</v>
      </c>
      <c r="J7184" s="27" t="s">
        <v>1834</v>
      </c>
      <c r="L7184" s="27" t="s">
        <v>421</v>
      </c>
      <c r="M7184" s="27" t="s">
        <v>422</v>
      </c>
      <c r="N7184" s="27" t="s">
        <v>1835</v>
      </c>
      <c r="P7184" s="27" t="s">
        <v>19977</v>
      </c>
      <c r="Q7184" s="26" t="str">
        <f>HYPERLINK("https://ictv.global/taxonomy/taxondetails?taxnode_id=202520288&amp;ictv_id=ICTV202420288","ICTV202420288")</f>
        <v>ICTV202420288</v>
      </c>
      <c r="R7184" t="s">
        <v>660</v>
      </c>
      <c r="S7184" t="s">
        <v>824</v>
      </c>
      <c r="T7184">
        <v>41</v>
      </c>
      <c r="U7184" s="26" t="str">
        <f t="shared" si="278"/>
        <v>2025.002G.Monodnaviria_reorg_4nr.zip</v>
      </c>
    </row>
    <row r="7185" spans="1:21">
      <c r="A7185">
        <v>7184</v>
      </c>
      <c r="B7185" s="27" t="s">
        <v>20779</v>
      </c>
      <c r="D7185" s="27" t="s">
        <v>1826</v>
      </c>
      <c r="F7185" s="27" t="s">
        <v>1827</v>
      </c>
      <c r="H7185" s="27" t="s">
        <v>1833</v>
      </c>
      <c r="J7185" s="27" t="s">
        <v>1834</v>
      </c>
      <c r="L7185" s="27" t="s">
        <v>421</v>
      </c>
      <c r="M7185" s="27" t="s">
        <v>422</v>
      </c>
      <c r="N7185" s="27" t="s">
        <v>1835</v>
      </c>
      <c r="P7185" s="27" t="s">
        <v>19978</v>
      </c>
      <c r="Q7185" s="26" t="str">
        <f>HYPERLINK("https://ictv.global/taxonomy/taxondetails?taxnode_id=202520289&amp;ictv_id=ICTV202420289","ICTV202420289")</f>
        <v>ICTV202420289</v>
      </c>
      <c r="R7185" t="s">
        <v>660</v>
      </c>
      <c r="S7185" t="s">
        <v>824</v>
      </c>
      <c r="T7185">
        <v>41</v>
      </c>
      <c r="U7185" s="26" t="str">
        <f t="shared" si="278"/>
        <v>2025.002G.Monodnaviria_reorg_4nr.zip</v>
      </c>
    </row>
    <row r="7186" spans="1:21">
      <c r="A7186">
        <v>7185</v>
      </c>
      <c r="B7186" s="27" t="s">
        <v>20779</v>
      </c>
      <c r="D7186" s="27" t="s">
        <v>1826</v>
      </c>
      <c r="F7186" s="27" t="s">
        <v>1827</v>
      </c>
      <c r="H7186" s="27" t="s">
        <v>1833</v>
      </c>
      <c r="J7186" s="27" t="s">
        <v>1834</v>
      </c>
      <c r="L7186" s="27" t="s">
        <v>421</v>
      </c>
      <c r="M7186" s="27" t="s">
        <v>422</v>
      </c>
      <c r="N7186" s="27" t="s">
        <v>1835</v>
      </c>
      <c r="P7186" s="27" t="s">
        <v>19979</v>
      </c>
      <c r="Q7186" s="26" t="str">
        <f>HYPERLINK("https://ictv.global/taxonomy/taxondetails?taxnode_id=202520290&amp;ictv_id=ICTV202420290","ICTV202420290")</f>
        <v>ICTV202420290</v>
      </c>
      <c r="R7186" t="s">
        <v>660</v>
      </c>
      <c r="S7186" t="s">
        <v>824</v>
      </c>
      <c r="T7186">
        <v>41</v>
      </c>
      <c r="U7186" s="26" t="str">
        <f t="shared" si="278"/>
        <v>2025.002G.Monodnaviria_reorg_4nr.zip</v>
      </c>
    </row>
    <row r="7187" spans="1:21">
      <c r="A7187">
        <v>7186</v>
      </c>
      <c r="B7187" s="27" t="s">
        <v>20779</v>
      </c>
      <c r="D7187" s="27" t="s">
        <v>1826</v>
      </c>
      <c r="F7187" s="27" t="s">
        <v>1827</v>
      </c>
      <c r="H7187" s="27" t="s">
        <v>1833</v>
      </c>
      <c r="J7187" s="27" t="s">
        <v>1834</v>
      </c>
      <c r="L7187" s="27" t="s">
        <v>421</v>
      </c>
      <c r="M7187" s="27" t="s">
        <v>422</v>
      </c>
      <c r="N7187" s="27" t="s">
        <v>1835</v>
      </c>
      <c r="P7187" s="27" t="s">
        <v>19980</v>
      </c>
      <c r="Q7187" s="26" t="str">
        <f>HYPERLINK("https://ictv.global/taxonomy/taxondetails?taxnode_id=202520292&amp;ictv_id=ICTV202420292","ICTV202420292")</f>
        <v>ICTV202420292</v>
      </c>
      <c r="R7187" t="s">
        <v>660</v>
      </c>
      <c r="S7187" t="s">
        <v>824</v>
      </c>
      <c r="T7187">
        <v>41</v>
      </c>
      <c r="U7187" s="26" t="str">
        <f t="shared" si="278"/>
        <v>2025.002G.Monodnaviria_reorg_4nr.zip</v>
      </c>
    </row>
    <row r="7188" spans="1:21">
      <c r="A7188">
        <v>7187</v>
      </c>
      <c r="B7188" s="27" t="s">
        <v>20779</v>
      </c>
      <c r="D7188" s="27" t="s">
        <v>1826</v>
      </c>
      <c r="F7188" s="27" t="s">
        <v>1827</v>
      </c>
      <c r="H7188" s="27" t="s">
        <v>1833</v>
      </c>
      <c r="J7188" s="27" t="s">
        <v>1834</v>
      </c>
      <c r="L7188" s="27" t="s">
        <v>421</v>
      </c>
      <c r="M7188" s="27" t="s">
        <v>422</v>
      </c>
      <c r="N7188" s="27" t="s">
        <v>1835</v>
      </c>
      <c r="P7188" s="27" t="s">
        <v>19981</v>
      </c>
      <c r="Q7188" s="26" t="str">
        <f>HYPERLINK("https://ictv.global/taxonomy/taxondetails?taxnode_id=202520291&amp;ictv_id=ICTV202420291","ICTV202420291")</f>
        <v>ICTV202420291</v>
      </c>
      <c r="R7188" t="s">
        <v>660</v>
      </c>
      <c r="S7188" t="s">
        <v>824</v>
      </c>
      <c r="T7188">
        <v>41</v>
      </c>
      <c r="U7188" s="26" t="str">
        <f t="shared" si="278"/>
        <v>2025.002G.Monodnaviria_reorg_4nr.zip</v>
      </c>
    </row>
    <row r="7189" spans="1:21">
      <c r="A7189">
        <v>7188</v>
      </c>
      <c r="B7189" s="27" t="s">
        <v>20779</v>
      </c>
      <c r="D7189" s="27" t="s">
        <v>1826</v>
      </c>
      <c r="F7189" s="27" t="s">
        <v>1827</v>
      </c>
      <c r="H7189" s="27" t="s">
        <v>1833</v>
      </c>
      <c r="J7189" s="27" t="s">
        <v>1834</v>
      </c>
      <c r="L7189" s="27" t="s">
        <v>421</v>
      </c>
      <c r="M7189" s="27" t="s">
        <v>422</v>
      </c>
      <c r="N7189" s="27" t="s">
        <v>1835</v>
      </c>
      <c r="P7189" s="27" t="s">
        <v>8392</v>
      </c>
      <c r="Q7189" s="26" t="str">
        <f>HYPERLINK("https://ictv.global/taxonomy/taxondetails?taxnode_id=202504212&amp;ictv_id=ICTV20165408","ICTV20165408")</f>
        <v>ICTV20165408</v>
      </c>
      <c r="R7189" t="s">
        <v>660</v>
      </c>
      <c r="S7189" t="s">
        <v>824</v>
      </c>
      <c r="T7189">
        <v>41</v>
      </c>
      <c r="U7189" s="26" t="str">
        <f t="shared" si="278"/>
        <v>2025.002G.Monodnaviria_reorg_4nr.zip</v>
      </c>
    </row>
    <row r="7190" spans="1:21">
      <c r="A7190">
        <v>7189</v>
      </c>
      <c r="B7190" s="27" t="s">
        <v>20779</v>
      </c>
      <c r="D7190" s="27" t="s">
        <v>1826</v>
      </c>
      <c r="F7190" s="27" t="s">
        <v>1827</v>
      </c>
      <c r="H7190" s="27" t="s">
        <v>1833</v>
      </c>
      <c r="J7190" s="27" t="s">
        <v>1834</v>
      </c>
      <c r="L7190" s="27" t="s">
        <v>421</v>
      </c>
      <c r="M7190" s="27" t="s">
        <v>422</v>
      </c>
      <c r="N7190" s="27" t="s">
        <v>1835</v>
      </c>
      <c r="P7190" s="27" t="s">
        <v>8393</v>
      </c>
      <c r="Q7190" s="26" t="str">
        <f>HYPERLINK("https://ictv.global/taxonomy/taxondetails?taxnode_id=202509264&amp;ictv_id=ICTV202009264","ICTV202009264")</f>
        <v>ICTV202009264</v>
      </c>
      <c r="R7190" t="s">
        <v>660</v>
      </c>
      <c r="S7190" t="s">
        <v>824</v>
      </c>
      <c r="T7190">
        <v>41</v>
      </c>
      <c r="U7190" s="26" t="str">
        <f t="shared" si="278"/>
        <v>2025.002G.Monodnaviria_reorg_4nr.zip</v>
      </c>
    </row>
    <row r="7191" spans="1:21">
      <c r="A7191">
        <v>7190</v>
      </c>
      <c r="B7191" s="27" t="s">
        <v>20779</v>
      </c>
      <c r="D7191" s="27" t="s">
        <v>1826</v>
      </c>
      <c r="F7191" s="27" t="s">
        <v>1827</v>
      </c>
      <c r="H7191" s="27" t="s">
        <v>1833</v>
      </c>
      <c r="J7191" s="27" t="s">
        <v>1834</v>
      </c>
      <c r="L7191" s="27" t="s">
        <v>421</v>
      </c>
      <c r="M7191" s="27" t="s">
        <v>422</v>
      </c>
      <c r="N7191" s="27" t="s">
        <v>1836</v>
      </c>
      <c r="P7191" s="27" t="s">
        <v>8394</v>
      </c>
      <c r="Q7191" s="26" t="str">
        <f>HYPERLINK("https://ictv.global/taxonomy/taxondetails?taxnode_id=202504211&amp;ictv_id=ICTV20132536","ICTV20132536")</f>
        <v>ICTV20132536</v>
      </c>
      <c r="R7191" t="s">
        <v>660</v>
      </c>
      <c r="S7191" t="s">
        <v>824</v>
      </c>
      <c r="T7191">
        <v>41</v>
      </c>
      <c r="U7191" s="26" t="str">
        <f t="shared" si="278"/>
        <v>2025.002G.Monodnaviria_reorg_4nr.zip</v>
      </c>
    </row>
    <row r="7192" spans="1:21">
      <c r="A7192">
        <v>7191</v>
      </c>
      <c r="B7192" s="27" t="s">
        <v>20779</v>
      </c>
      <c r="D7192" s="27" t="s">
        <v>1826</v>
      </c>
      <c r="F7192" s="27" t="s">
        <v>1827</v>
      </c>
      <c r="H7192" s="27" t="s">
        <v>1833</v>
      </c>
      <c r="J7192" s="27" t="s">
        <v>1834</v>
      </c>
      <c r="L7192" s="27" t="s">
        <v>421</v>
      </c>
      <c r="M7192" s="27" t="s">
        <v>422</v>
      </c>
      <c r="N7192" s="27" t="s">
        <v>1836</v>
      </c>
      <c r="P7192" s="27" t="s">
        <v>8395</v>
      </c>
      <c r="Q7192" s="26" t="str">
        <f>HYPERLINK("https://ictv.global/taxonomy/taxondetails?taxnode_id=202514046&amp;ictv_id=ICTV202214046","ICTV202214046")</f>
        <v>ICTV202214046</v>
      </c>
      <c r="R7192" t="s">
        <v>660</v>
      </c>
      <c r="S7192" t="s">
        <v>824</v>
      </c>
      <c r="T7192">
        <v>41</v>
      </c>
      <c r="U7192" s="26" t="str">
        <f t="shared" si="278"/>
        <v>2025.002G.Monodnaviria_reorg_4nr.zip</v>
      </c>
    </row>
    <row r="7193" spans="1:21">
      <c r="A7193">
        <v>7192</v>
      </c>
      <c r="B7193" s="27" t="s">
        <v>20779</v>
      </c>
      <c r="D7193" s="27" t="s">
        <v>1826</v>
      </c>
      <c r="F7193" s="27" t="s">
        <v>1827</v>
      </c>
      <c r="H7193" s="27" t="s">
        <v>1833</v>
      </c>
      <c r="J7193" s="27" t="s">
        <v>1834</v>
      </c>
      <c r="L7193" s="27" t="s">
        <v>421</v>
      </c>
      <c r="M7193" s="27" t="s">
        <v>422</v>
      </c>
      <c r="N7193" s="27" t="s">
        <v>1836</v>
      </c>
      <c r="P7193" s="27" t="s">
        <v>8396</v>
      </c>
      <c r="Q7193" s="26" t="str">
        <f>HYPERLINK("https://ictv.global/taxonomy/taxondetails?taxnode_id=202514047&amp;ictv_id=ICTV202214047","ICTV202214047")</f>
        <v>ICTV202214047</v>
      </c>
      <c r="R7193" t="s">
        <v>660</v>
      </c>
      <c r="S7193" t="s">
        <v>824</v>
      </c>
      <c r="T7193">
        <v>41</v>
      </c>
      <c r="U7193" s="26" t="str">
        <f t="shared" si="278"/>
        <v>2025.002G.Monodnaviria_reorg_4nr.zip</v>
      </c>
    </row>
    <row r="7194" spans="1:21">
      <c r="A7194">
        <v>7193</v>
      </c>
      <c r="B7194" s="27" t="s">
        <v>20779</v>
      </c>
      <c r="D7194" s="27" t="s">
        <v>1826</v>
      </c>
      <c r="F7194" s="27" t="s">
        <v>1827</v>
      </c>
      <c r="H7194" s="27" t="s">
        <v>1833</v>
      </c>
      <c r="J7194" s="27" t="s">
        <v>1834</v>
      </c>
      <c r="L7194" s="27" t="s">
        <v>421</v>
      </c>
      <c r="M7194" s="27" t="s">
        <v>422</v>
      </c>
      <c r="N7194" s="27" t="s">
        <v>1836</v>
      </c>
      <c r="P7194" s="27" t="s">
        <v>8397</v>
      </c>
      <c r="Q7194" s="26" t="str">
        <f>HYPERLINK("https://ictv.global/taxonomy/taxondetails?taxnode_id=202514048&amp;ictv_id=ICTV202214048","ICTV202214048")</f>
        <v>ICTV202214048</v>
      </c>
      <c r="R7194" t="s">
        <v>660</v>
      </c>
      <c r="S7194" t="s">
        <v>824</v>
      </c>
      <c r="T7194">
        <v>41</v>
      </c>
      <c r="U7194" s="26" t="str">
        <f t="shared" si="278"/>
        <v>2025.002G.Monodnaviria_reorg_4nr.zip</v>
      </c>
    </row>
    <row r="7195" spans="1:21">
      <c r="A7195">
        <v>7194</v>
      </c>
      <c r="B7195" s="27" t="s">
        <v>20779</v>
      </c>
      <c r="D7195" s="27" t="s">
        <v>1826</v>
      </c>
      <c r="F7195" s="27" t="s">
        <v>1827</v>
      </c>
      <c r="H7195" s="27" t="s">
        <v>1833</v>
      </c>
      <c r="J7195" s="27" t="s">
        <v>1834</v>
      </c>
      <c r="L7195" s="27" t="s">
        <v>421</v>
      </c>
      <c r="M7195" s="27" t="s">
        <v>422</v>
      </c>
      <c r="N7195" s="27" t="s">
        <v>1836</v>
      </c>
      <c r="P7195" s="27" t="s">
        <v>8398</v>
      </c>
      <c r="Q7195" s="26" t="str">
        <f>HYPERLINK("https://ictv.global/taxonomy/taxondetails?taxnode_id=202514049&amp;ictv_id=ICTV202214049","ICTV202214049")</f>
        <v>ICTV202214049</v>
      </c>
      <c r="R7195" t="s">
        <v>660</v>
      </c>
      <c r="S7195" t="s">
        <v>824</v>
      </c>
      <c r="T7195">
        <v>41</v>
      </c>
      <c r="U7195" s="26" t="str">
        <f t="shared" si="278"/>
        <v>2025.002G.Monodnaviria_reorg_4nr.zip</v>
      </c>
    </row>
    <row r="7196" spans="1:21">
      <c r="A7196">
        <v>7195</v>
      </c>
      <c r="B7196" s="27" t="s">
        <v>20779</v>
      </c>
      <c r="D7196" s="27" t="s">
        <v>1826</v>
      </c>
      <c r="F7196" s="27" t="s">
        <v>1827</v>
      </c>
      <c r="H7196" s="27" t="s">
        <v>1833</v>
      </c>
      <c r="J7196" s="27" t="s">
        <v>1834</v>
      </c>
      <c r="L7196" s="27" t="s">
        <v>421</v>
      </c>
      <c r="M7196" s="27" t="s">
        <v>422</v>
      </c>
      <c r="N7196" s="27" t="s">
        <v>1836</v>
      </c>
      <c r="P7196" s="27" t="s">
        <v>19982</v>
      </c>
      <c r="Q7196" s="26" t="str">
        <f>HYPERLINK("https://ictv.global/taxonomy/taxondetails?taxnode_id=202520271&amp;ictv_id=ICTV202420271","ICTV202420271")</f>
        <v>ICTV202420271</v>
      </c>
      <c r="R7196" t="s">
        <v>660</v>
      </c>
      <c r="S7196" t="s">
        <v>824</v>
      </c>
      <c r="T7196">
        <v>41</v>
      </c>
      <c r="U7196" s="26" t="str">
        <f t="shared" si="278"/>
        <v>2025.002G.Monodnaviria_reorg_4nr.zip</v>
      </c>
    </row>
    <row r="7197" spans="1:21">
      <c r="A7197">
        <v>7196</v>
      </c>
      <c r="B7197" s="27" t="s">
        <v>20779</v>
      </c>
      <c r="D7197" s="27" t="s">
        <v>1826</v>
      </c>
      <c r="F7197" s="27" t="s">
        <v>1827</v>
      </c>
      <c r="H7197" s="27" t="s">
        <v>1833</v>
      </c>
      <c r="J7197" s="27" t="s">
        <v>1834</v>
      </c>
      <c r="L7197" s="27" t="s">
        <v>421</v>
      </c>
      <c r="M7197" s="27" t="s">
        <v>422</v>
      </c>
      <c r="N7197" s="27" t="s">
        <v>2337</v>
      </c>
      <c r="P7197" s="27" t="s">
        <v>8399</v>
      </c>
      <c r="Q7197" s="26" t="str">
        <f>HYPERLINK("https://ictv.global/taxonomy/taxondetails?taxnode_id=202509266&amp;ictv_id=ICTV202009266","ICTV202009266")</f>
        <v>ICTV202009266</v>
      </c>
      <c r="R7197" t="s">
        <v>660</v>
      </c>
      <c r="S7197" t="s">
        <v>824</v>
      </c>
      <c r="T7197">
        <v>41</v>
      </c>
      <c r="U7197" s="26" t="str">
        <f t="shared" si="278"/>
        <v>2025.002G.Monodnaviria_reorg_4nr.zip</v>
      </c>
    </row>
    <row r="7198" spans="1:21">
      <c r="A7198">
        <v>7197</v>
      </c>
      <c r="B7198" s="27" t="s">
        <v>20779</v>
      </c>
      <c r="D7198" s="27" t="s">
        <v>1826</v>
      </c>
      <c r="F7198" s="27" t="s">
        <v>1827</v>
      </c>
      <c r="H7198" s="27" t="s">
        <v>1833</v>
      </c>
      <c r="J7198" s="27" t="s">
        <v>1834</v>
      </c>
      <c r="L7198" s="27" t="s">
        <v>421</v>
      </c>
      <c r="M7198" s="27" t="s">
        <v>422</v>
      </c>
      <c r="N7198" s="27" t="s">
        <v>2337</v>
      </c>
      <c r="P7198" s="27" t="s">
        <v>8400</v>
      </c>
      <c r="Q7198" s="26" t="str">
        <f>HYPERLINK("https://ictv.global/taxonomy/taxondetails?taxnode_id=202514050&amp;ictv_id=ICTV202214050","ICTV202214050")</f>
        <v>ICTV202214050</v>
      </c>
      <c r="R7198" t="s">
        <v>660</v>
      </c>
      <c r="S7198" t="s">
        <v>824</v>
      </c>
      <c r="T7198">
        <v>41</v>
      </c>
      <c r="U7198" s="26" t="str">
        <f t="shared" si="278"/>
        <v>2025.002G.Monodnaviria_reorg_4nr.zip</v>
      </c>
    </row>
    <row r="7199" spans="1:21">
      <c r="A7199">
        <v>7198</v>
      </c>
      <c r="B7199" s="27" t="s">
        <v>20779</v>
      </c>
      <c r="D7199" s="27" t="s">
        <v>1826</v>
      </c>
      <c r="F7199" s="27" t="s">
        <v>1827</v>
      </c>
      <c r="H7199" s="27" t="s">
        <v>1833</v>
      </c>
      <c r="J7199" s="27" t="s">
        <v>1834</v>
      </c>
      <c r="L7199" s="27" t="s">
        <v>421</v>
      </c>
      <c r="M7199" s="27" t="s">
        <v>422</v>
      </c>
      <c r="N7199" s="27" t="s">
        <v>2337</v>
      </c>
      <c r="P7199" s="27" t="s">
        <v>8401</v>
      </c>
      <c r="Q7199" s="26" t="str">
        <f>HYPERLINK("https://ictv.global/taxonomy/taxondetails?taxnode_id=202514051&amp;ictv_id=ICTV202214051","ICTV202214051")</f>
        <v>ICTV202214051</v>
      </c>
      <c r="R7199" t="s">
        <v>660</v>
      </c>
      <c r="S7199" t="s">
        <v>824</v>
      </c>
      <c r="T7199">
        <v>41</v>
      </c>
      <c r="U7199" s="26" t="str">
        <f t="shared" si="278"/>
        <v>2025.002G.Monodnaviria_reorg_4nr.zip</v>
      </c>
    </row>
    <row r="7200" spans="1:21">
      <c r="A7200">
        <v>7199</v>
      </c>
      <c r="B7200" s="27" t="s">
        <v>20779</v>
      </c>
      <c r="D7200" s="27" t="s">
        <v>1826</v>
      </c>
      <c r="F7200" s="27" t="s">
        <v>1827</v>
      </c>
      <c r="H7200" s="27" t="s">
        <v>1833</v>
      </c>
      <c r="J7200" s="27" t="s">
        <v>1834</v>
      </c>
      <c r="L7200" s="27" t="s">
        <v>421</v>
      </c>
      <c r="M7200" s="27" t="s">
        <v>422</v>
      </c>
      <c r="N7200" s="27" t="s">
        <v>2337</v>
      </c>
      <c r="P7200" s="27" t="s">
        <v>21317</v>
      </c>
      <c r="Q7200" s="26" t="str">
        <f>HYPERLINK("https://ictv.global/taxonomy/taxondetails?taxnode_id=202522213&amp;ictv_id=ICTV202522213","ICTV202522213")</f>
        <v>ICTV202522213</v>
      </c>
      <c r="R7200" t="s">
        <v>660</v>
      </c>
      <c r="S7200" t="s">
        <v>823</v>
      </c>
      <c r="T7200">
        <v>41</v>
      </c>
      <c r="U7200" s="26" t="str">
        <f>HYPERLINK("https://ictv.global/ictv/proposals/2025.005D.Parvoviridae_1absf_4nsf_39ns.zip","2025.005D.Parvoviridae_1absf_4nsf_39ns.zip")</f>
        <v>2025.005D.Parvoviridae_1absf_4nsf_39ns.zip</v>
      </c>
    </row>
    <row r="7201" spans="1:21">
      <c r="A7201">
        <v>7200</v>
      </c>
      <c r="B7201" s="27" t="s">
        <v>20779</v>
      </c>
      <c r="D7201" s="27" t="s">
        <v>1826</v>
      </c>
      <c r="F7201" s="27" t="s">
        <v>1827</v>
      </c>
      <c r="H7201" s="27" t="s">
        <v>1833</v>
      </c>
      <c r="J7201" s="27" t="s">
        <v>1834</v>
      </c>
      <c r="L7201" s="27" t="s">
        <v>421</v>
      </c>
      <c r="M7201" s="27" t="s">
        <v>422</v>
      </c>
      <c r="N7201" s="27" t="s">
        <v>1837</v>
      </c>
      <c r="P7201" s="27" t="s">
        <v>8402</v>
      </c>
      <c r="Q7201" s="26" t="str">
        <f>HYPERLINK("https://ictv.global/taxonomy/taxondetails?taxnode_id=202504215&amp;ictv_id=ICTV20165409","ICTV20165409")</f>
        <v>ICTV20165409</v>
      </c>
      <c r="R7201" t="s">
        <v>660</v>
      </c>
      <c r="S7201" t="s">
        <v>824</v>
      </c>
      <c r="T7201">
        <v>41</v>
      </c>
      <c r="U7201" s="26" t="str">
        <f t="shared" ref="U7201:U7210" si="279">HYPERLINK("https://ictv.global/ictv/proposals/2025.002G.Monodnaviria_reorg_4nr.zip","2025.002G.Monodnaviria_reorg_4nr.zip")</f>
        <v>2025.002G.Monodnaviria_reorg_4nr.zip</v>
      </c>
    </row>
    <row r="7202" spans="1:21">
      <c r="A7202">
        <v>7201</v>
      </c>
      <c r="B7202" s="27" t="s">
        <v>20779</v>
      </c>
      <c r="D7202" s="27" t="s">
        <v>1826</v>
      </c>
      <c r="F7202" s="27" t="s">
        <v>1827</v>
      </c>
      <c r="H7202" s="27" t="s">
        <v>1833</v>
      </c>
      <c r="J7202" s="27" t="s">
        <v>1834</v>
      </c>
      <c r="L7202" s="27" t="s">
        <v>421</v>
      </c>
      <c r="M7202" s="27" t="s">
        <v>422</v>
      </c>
      <c r="N7202" s="27" t="s">
        <v>1837</v>
      </c>
      <c r="P7202" s="27" t="s">
        <v>8403</v>
      </c>
      <c r="Q7202" s="26" t="str">
        <f>HYPERLINK("https://ictv.global/taxonomy/taxondetails?taxnode_id=202504216&amp;ictv_id=ICTV20165410","ICTV20165410")</f>
        <v>ICTV20165410</v>
      </c>
      <c r="R7202" t="s">
        <v>660</v>
      </c>
      <c r="S7202" t="s">
        <v>824</v>
      </c>
      <c r="T7202">
        <v>41</v>
      </c>
      <c r="U7202" s="26" t="str">
        <f t="shared" si="279"/>
        <v>2025.002G.Monodnaviria_reorg_4nr.zip</v>
      </c>
    </row>
    <row r="7203" spans="1:21">
      <c r="A7203">
        <v>7202</v>
      </c>
      <c r="B7203" s="27" t="s">
        <v>20779</v>
      </c>
      <c r="D7203" s="27" t="s">
        <v>1826</v>
      </c>
      <c r="F7203" s="27" t="s">
        <v>1827</v>
      </c>
      <c r="H7203" s="27" t="s">
        <v>1833</v>
      </c>
      <c r="J7203" s="27" t="s">
        <v>1834</v>
      </c>
      <c r="L7203" s="27" t="s">
        <v>421</v>
      </c>
      <c r="M7203" s="27" t="s">
        <v>422</v>
      </c>
      <c r="N7203" s="27" t="s">
        <v>1837</v>
      </c>
      <c r="P7203" s="27" t="s">
        <v>12256</v>
      </c>
      <c r="Q7203" s="26" t="str">
        <f>HYPERLINK("https://ictv.global/taxonomy/taxondetails?taxnode_id=202517837&amp;ictv_id=ICTV202317837","ICTV202317837")</f>
        <v>ICTV202317837</v>
      </c>
      <c r="R7203" t="s">
        <v>660</v>
      </c>
      <c r="S7203" t="s">
        <v>824</v>
      </c>
      <c r="T7203">
        <v>41</v>
      </c>
      <c r="U7203" s="26" t="str">
        <f t="shared" si="279"/>
        <v>2025.002G.Monodnaviria_reorg_4nr.zip</v>
      </c>
    </row>
    <row r="7204" spans="1:21">
      <c r="A7204">
        <v>7203</v>
      </c>
      <c r="B7204" s="27" t="s">
        <v>20779</v>
      </c>
      <c r="D7204" s="27" t="s">
        <v>1826</v>
      </c>
      <c r="F7204" s="27" t="s">
        <v>1827</v>
      </c>
      <c r="H7204" s="27" t="s">
        <v>1833</v>
      </c>
      <c r="J7204" s="27" t="s">
        <v>1834</v>
      </c>
      <c r="L7204" s="27" t="s">
        <v>421</v>
      </c>
      <c r="M7204" s="27" t="s">
        <v>422</v>
      </c>
      <c r="N7204" s="27" t="s">
        <v>556</v>
      </c>
      <c r="P7204" s="27" t="s">
        <v>8404</v>
      </c>
      <c r="Q7204" s="26" t="str">
        <f>HYPERLINK("https://ictv.global/taxonomy/taxondetails?taxnode_id=202514052&amp;ictv_id=ICTV202214052","ICTV202214052")</f>
        <v>ICTV202214052</v>
      </c>
      <c r="R7204" t="s">
        <v>582</v>
      </c>
      <c r="S7204" t="s">
        <v>824</v>
      </c>
      <c r="T7204">
        <v>41</v>
      </c>
      <c r="U7204" s="26" t="str">
        <f t="shared" si="279"/>
        <v>2025.002G.Monodnaviria_reorg_4nr.zip</v>
      </c>
    </row>
    <row r="7205" spans="1:21">
      <c r="A7205">
        <v>7204</v>
      </c>
      <c r="B7205" s="27" t="s">
        <v>20779</v>
      </c>
      <c r="D7205" s="27" t="s">
        <v>1826</v>
      </c>
      <c r="F7205" s="27" t="s">
        <v>1827</v>
      </c>
      <c r="H7205" s="27" t="s">
        <v>1833</v>
      </c>
      <c r="J7205" s="27" t="s">
        <v>1834</v>
      </c>
      <c r="L7205" s="27" t="s">
        <v>421</v>
      </c>
      <c r="M7205" s="27" t="s">
        <v>422</v>
      </c>
      <c r="N7205" s="27" t="s">
        <v>556</v>
      </c>
      <c r="P7205" s="27" t="s">
        <v>8405</v>
      </c>
      <c r="Q7205" s="26" t="str">
        <f>HYPERLINK("https://ictv.global/taxonomy/taxondetails?taxnode_id=202514053&amp;ictv_id=ICTV202214053","ICTV202214053")</f>
        <v>ICTV202214053</v>
      </c>
      <c r="R7205" t="s">
        <v>582</v>
      </c>
      <c r="S7205" t="s">
        <v>824</v>
      </c>
      <c r="T7205">
        <v>41</v>
      </c>
      <c r="U7205" s="26" t="str">
        <f t="shared" si="279"/>
        <v>2025.002G.Monodnaviria_reorg_4nr.zip</v>
      </c>
    </row>
    <row r="7206" spans="1:21">
      <c r="A7206">
        <v>7205</v>
      </c>
      <c r="B7206" s="27" t="s">
        <v>20779</v>
      </c>
      <c r="D7206" s="27" t="s">
        <v>1826</v>
      </c>
      <c r="F7206" s="27" t="s">
        <v>1827</v>
      </c>
      <c r="H7206" s="27" t="s">
        <v>1833</v>
      </c>
      <c r="J7206" s="27" t="s">
        <v>1834</v>
      </c>
      <c r="L7206" s="27" t="s">
        <v>421</v>
      </c>
      <c r="M7206" s="27" t="s">
        <v>422</v>
      </c>
      <c r="N7206" s="27" t="s">
        <v>556</v>
      </c>
      <c r="P7206" s="27" t="s">
        <v>8406</v>
      </c>
      <c r="Q7206" s="26" t="str">
        <f>HYPERLINK("https://ictv.global/taxonomy/taxondetails?taxnode_id=202504226&amp;ictv_id=ICTV20132543","ICTV20132543")</f>
        <v>ICTV20132543</v>
      </c>
      <c r="R7206" t="s">
        <v>582</v>
      </c>
      <c r="S7206" t="s">
        <v>824</v>
      </c>
      <c r="T7206">
        <v>41</v>
      </c>
      <c r="U7206" s="26" t="str">
        <f t="shared" si="279"/>
        <v>2025.002G.Monodnaviria_reorg_4nr.zip</v>
      </c>
    </row>
    <row r="7207" spans="1:21">
      <c r="A7207">
        <v>7206</v>
      </c>
      <c r="B7207" s="27" t="s">
        <v>20779</v>
      </c>
      <c r="D7207" s="27" t="s">
        <v>1826</v>
      </c>
      <c r="F7207" s="27" t="s">
        <v>1827</v>
      </c>
      <c r="H7207" s="27" t="s">
        <v>1833</v>
      </c>
      <c r="J7207" s="27" t="s">
        <v>1834</v>
      </c>
      <c r="L7207" s="27" t="s">
        <v>421</v>
      </c>
      <c r="M7207" s="27" t="s">
        <v>422</v>
      </c>
      <c r="N7207" s="27" t="s">
        <v>556</v>
      </c>
      <c r="P7207" s="27" t="s">
        <v>8407</v>
      </c>
      <c r="Q7207" s="26" t="str">
        <f>HYPERLINK("https://ictv.global/taxonomy/taxondetails?taxnode_id=202504227&amp;ictv_id=ICTV20132544","ICTV20132544")</f>
        <v>ICTV20132544</v>
      </c>
      <c r="R7207" t="s">
        <v>582</v>
      </c>
      <c r="S7207" t="s">
        <v>824</v>
      </c>
      <c r="T7207">
        <v>41</v>
      </c>
      <c r="U7207" s="26" t="str">
        <f t="shared" si="279"/>
        <v>2025.002G.Monodnaviria_reorg_4nr.zip</v>
      </c>
    </row>
    <row r="7208" spans="1:21">
      <c r="A7208">
        <v>7207</v>
      </c>
      <c r="B7208" s="27" t="s">
        <v>20779</v>
      </c>
      <c r="D7208" s="27" t="s">
        <v>1826</v>
      </c>
      <c r="F7208" s="27" t="s">
        <v>1827</v>
      </c>
      <c r="H7208" s="27" t="s">
        <v>1833</v>
      </c>
      <c r="J7208" s="27" t="s">
        <v>1834</v>
      </c>
      <c r="L7208" s="27" t="s">
        <v>421</v>
      </c>
      <c r="M7208" s="27" t="s">
        <v>422</v>
      </c>
      <c r="N7208" s="27" t="s">
        <v>556</v>
      </c>
      <c r="P7208" s="27" t="s">
        <v>8408</v>
      </c>
      <c r="Q7208" s="26" t="str">
        <f>HYPERLINK("https://ictv.global/taxonomy/taxondetails?taxnode_id=202504228&amp;ictv_id=ICTV20132545","ICTV20132545")</f>
        <v>ICTV20132545</v>
      </c>
      <c r="R7208" t="s">
        <v>582</v>
      </c>
      <c r="S7208" t="s">
        <v>824</v>
      </c>
      <c r="T7208">
        <v>41</v>
      </c>
      <c r="U7208" s="26" t="str">
        <f t="shared" si="279"/>
        <v>2025.002G.Monodnaviria_reorg_4nr.zip</v>
      </c>
    </row>
    <row r="7209" spans="1:21">
      <c r="A7209">
        <v>7208</v>
      </c>
      <c r="B7209" s="27" t="s">
        <v>20779</v>
      </c>
      <c r="D7209" s="27" t="s">
        <v>1826</v>
      </c>
      <c r="F7209" s="27" t="s">
        <v>1827</v>
      </c>
      <c r="H7209" s="27" t="s">
        <v>1833</v>
      </c>
      <c r="J7209" s="27" t="s">
        <v>1834</v>
      </c>
      <c r="L7209" s="27" t="s">
        <v>421</v>
      </c>
      <c r="M7209" s="27" t="s">
        <v>422</v>
      </c>
      <c r="N7209" s="27" t="s">
        <v>556</v>
      </c>
      <c r="P7209" s="27" t="s">
        <v>8409</v>
      </c>
      <c r="Q7209" s="26" t="str">
        <f>HYPERLINK("https://ictv.global/taxonomy/taxondetails?taxnode_id=202504229&amp;ictv_id=ICTV20132546","ICTV20132546")</f>
        <v>ICTV20132546</v>
      </c>
      <c r="R7209" t="s">
        <v>582</v>
      </c>
      <c r="S7209" t="s">
        <v>824</v>
      </c>
      <c r="T7209">
        <v>41</v>
      </c>
      <c r="U7209" s="26" t="str">
        <f t="shared" si="279"/>
        <v>2025.002G.Monodnaviria_reorg_4nr.zip</v>
      </c>
    </row>
    <row r="7210" spans="1:21">
      <c r="A7210">
        <v>7209</v>
      </c>
      <c r="B7210" s="27" t="s">
        <v>20779</v>
      </c>
      <c r="D7210" s="27" t="s">
        <v>1826</v>
      </c>
      <c r="F7210" s="27" t="s">
        <v>1827</v>
      </c>
      <c r="H7210" s="27" t="s">
        <v>1833</v>
      </c>
      <c r="J7210" s="27" t="s">
        <v>1834</v>
      </c>
      <c r="L7210" s="27" t="s">
        <v>421</v>
      </c>
      <c r="M7210" s="27" t="s">
        <v>422</v>
      </c>
      <c r="N7210" s="27" t="s">
        <v>556</v>
      </c>
      <c r="P7210" s="27" t="s">
        <v>8410</v>
      </c>
      <c r="Q7210" s="26" t="str">
        <f>HYPERLINK("https://ictv.global/taxonomy/taxondetails?taxnode_id=202504230&amp;ictv_id=ICTV20132547","ICTV20132547")</f>
        <v>ICTV20132547</v>
      </c>
      <c r="R7210" t="s">
        <v>582</v>
      </c>
      <c r="S7210" t="s">
        <v>824</v>
      </c>
      <c r="T7210">
        <v>41</v>
      </c>
      <c r="U7210" s="26" t="str">
        <f t="shared" si="279"/>
        <v>2025.002G.Monodnaviria_reorg_4nr.zip</v>
      </c>
    </row>
    <row r="7211" spans="1:21">
      <c r="A7211">
        <v>7210</v>
      </c>
      <c r="B7211" s="27" t="s">
        <v>20779</v>
      </c>
      <c r="D7211" s="27" t="s">
        <v>1826</v>
      </c>
      <c r="F7211" s="27" t="s">
        <v>1827</v>
      </c>
      <c r="H7211" s="27" t="s">
        <v>1833</v>
      </c>
      <c r="J7211" s="27" t="s">
        <v>1834</v>
      </c>
      <c r="L7211" s="27" t="s">
        <v>421</v>
      </c>
      <c r="M7211" s="27" t="s">
        <v>422</v>
      </c>
      <c r="N7211" s="27" t="s">
        <v>1838</v>
      </c>
      <c r="P7211" s="27" t="s">
        <v>20839</v>
      </c>
      <c r="Q7211" s="26" t="str">
        <f>HYPERLINK("https://ictv.global/taxonomy/taxondetails?taxnode_id=202504234&amp;ictv_id=ICTV20165412","ICTV20165412")</f>
        <v>ICTV20165412</v>
      </c>
      <c r="R7211" t="s">
        <v>660</v>
      </c>
      <c r="S7211" t="s">
        <v>824</v>
      </c>
      <c r="T7211">
        <v>41</v>
      </c>
      <c r="U7211" s="26" t="str">
        <f>HYPERLINK("https://ictv.global/ictv/proposals/2025.005D.Parvoviridae_1absf_4nsf_39ns.zip","2025.005D.Parvoviridae_1absf_4nsf_39ns.zip")</f>
        <v>2025.005D.Parvoviridae_1absf_4nsf_39ns.zip</v>
      </c>
    </row>
    <row r="7212" spans="1:21">
      <c r="A7212">
        <v>7211</v>
      </c>
      <c r="B7212" s="27" t="s">
        <v>20779</v>
      </c>
      <c r="D7212" s="27" t="s">
        <v>1826</v>
      </c>
      <c r="F7212" s="27" t="s">
        <v>1827</v>
      </c>
      <c r="H7212" s="27" t="s">
        <v>1833</v>
      </c>
      <c r="J7212" s="27" t="s">
        <v>1834</v>
      </c>
      <c r="L7212" s="27" t="s">
        <v>421</v>
      </c>
      <c r="M7212" s="27" t="s">
        <v>422</v>
      </c>
      <c r="N7212" s="27" t="s">
        <v>2338</v>
      </c>
      <c r="P7212" s="27" t="s">
        <v>8411</v>
      </c>
      <c r="Q7212" s="26" t="str">
        <f>HYPERLINK("https://ictv.global/taxonomy/taxondetails?taxnode_id=202509268&amp;ictv_id=ICTV202009268","ICTV202009268")</f>
        <v>ICTV202009268</v>
      </c>
      <c r="R7212" t="s">
        <v>582</v>
      </c>
      <c r="S7212" t="s">
        <v>824</v>
      </c>
      <c r="T7212">
        <v>41</v>
      </c>
      <c r="U7212" s="26" t="str">
        <f t="shared" ref="U7212:U7231" si="280">HYPERLINK("https://ictv.global/ictv/proposals/2025.002G.Monodnaviria_reorg_4nr.zip","2025.002G.Monodnaviria_reorg_4nr.zip")</f>
        <v>2025.002G.Monodnaviria_reorg_4nr.zip</v>
      </c>
    </row>
    <row r="7213" spans="1:21">
      <c r="A7213">
        <v>7212</v>
      </c>
      <c r="B7213" s="27" t="s">
        <v>20779</v>
      </c>
      <c r="D7213" s="27" t="s">
        <v>1826</v>
      </c>
      <c r="F7213" s="27" t="s">
        <v>1827</v>
      </c>
      <c r="H7213" s="27" t="s">
        <v>1833</v>
      </c>
      <c r="J7213" s="27" t="s">
        <v>1834</v>
      </c>
      <c r="L7213" s="27" t="s">
        <v>421</v>
      </c>
      <c r="M7213" s="27" t="s">
        <v>422</v>
      </c>
      <c r="N7213" s="27" t="s">
        <v>2338</v>
      </c>
      <c r="P7213" s="27" t="s">
        <v>8412</v>
      </c>
      <c r="Q7213" s="26" t="str">
        <f>HYPERLINK("https://ictv.global/taxonomy/taxondetails?taxnode_id=202514054&amp;ictv_id=ICTV202214054","ICTV202214054")</f>
        <v>ICTV202214054</v>
      </c>
      <c r="R7213" t="s">
        <v>582</v>
      </c>
      <c r="S7213" t="s">
        <v>824</v>
      </c>
      <c r="T7213">
        <v>41</v>
      </c>
      <c r="U7213" s="26" t="str">
        <f t="shared" si="280"/>
        <v>2025.002G.Monodnaviria_reorg_4nr.zip</v>
      </c>
    </row>
    <row r="7214" spans="1:21">
      <c r="A7214">
        <v>7213</v>
      </c>
      <c r="B7214" s="27" t="s">
        <v>20779</v>
      </c>
      <c r="D7214" s="27" t="s">
        <v>1826</v>
      </c>
      <c r="F7214" s="27" t="s">
        <v>1827</v>
      </c>
      <c r="H7214" s="27" t="s">
        <v>1833</v>
      </c>
      <c r="J7214" s="27" t="s">
        <v>1834</v>
      </c>
      <c r="L7214" s="27" t="s">
        <v>421</v>
      </c>
      <c r="M7214" s="27" t="s">
        <v>422</v>
      </c>
      <c r="N7214" s="27" t="s">
        <v>1839</v>
      </c>
      <c r="P7214" s="27" t="s">
        <v>8413</v>
      </c>
      <c r="Q7214" s="26" t="str">
        <f>HYPERLINK("https://ictv.global/taxonomy/taxondetails?taxnode_id=202504210&amp;ictv_id=ICTV20132535","ICTV20132535")</f>
        <v>ICTV20132535</v>
      </c>
      <c r="R7214" t="s">
        <v>660</v>
      </c>
      <c r="S7214" t="s">
        <v>824</v>
      </c>
      <c r="T7214">
        <v>41</v>
      </c>
      <c r="U7214" s="26" t="str">
        <f t="shared" si="280"/>
        <v>2025.002G.Monodnaviria_reorg_4nr.zip</v>
      </c>
    </row>
    <row r="7215" spans="1:21">
      <c r="A7215">
        <v>7214</v>
      </c>
      <c r="B7215" s="27" t="s">
        <v>20779</v>
      </c>
      <c r="D7215" s="27" t="s">
        <v>1826</v>
      </c>
      <c r="F7215" s="27" t="s">
        <v>1827</v>
      </c>
      <c r="H7215" s="27" t="s">
        <v>1833</v>
      </c>
      <c r="J7215" s="27" t="s">
        <v>1834</v>
      </c>
      <c r="L7215" s="27" t="s">
        <v>421</v>
      </c>
      <c r="M7215" s="27" t="s">
        <v>422</v>
      </c>
      <c r="N7215" s="27" t="s">
        <v>1839</v>
      </c>
      <c r="P7215" s="27" t="s">
        <v>8414</v>
      </c>
      <c r="Q7215" s="26" t="str">
        <f>HYPERLINK("https://ictv.global/taxonomy/taxondetails?taxnode_id=202514055&amp;ictv_id=ICTV202214055","ICTV202214055")</f>
        <v>ICTV202214055</v>
      </c>
      <c r="R7215" t="s">
        <v>660</v>
      </c>
      <c r="S7215" t="s">
        <v>824</v>
      </c>
      <c r="T7215">
        <v>41</v>
      </c>
      <c r="U7215" s="26" t="str">
        <f t="shared" si="280"/>
        <v>2025.002G.Monodnaviria_reorg_4nr.zip</v>
      </c>
    </row>
    <row r="7216" spans="1:21">
      <c r="A7216">
        <v>7215</v>
      </c>
      <c r="B7216" s="27" t="s">
        <v>20779</v>
      </c>
      <c r="D7216" s="27" t="s">
        <v>1826</v>
      </c>
      <c r="F7216" s="27" t="s">
        <v>1827</v>
      </c>
      <c r="H7216" s="27" t="s">
        <v>1833</v>
      </c>
      <c r="J7216" s="27" t="s">
        <v>1834</v>
      </c>
      <c r="L7216" s="27" t="s">
        <v>421</v>
      </c>
      <c r="M7216" s="27" t="s">
        <v>422</v>
      </c>
      <c r="N7216" s="27" t="s">
        <v>1840</v>
      </c>
      <c r="P7216" s="27" t="s">
        <v>8415</v>
      </c>
      <c r="Q7216" s="26" t="str">
        <f>HYPERLINK("https://ictv.global/taxonomy/taxondetails?taxnode_id=202504213&amp;ictv_id=ICTV20132537","ICTV20132537")</f>
        <v>ICTV20132537</v>
      </c>
      <c r="R7216" t="s">
        <v>660</v>
      </c>
      <c r="S7216" t="s">
        <v>824</v>
      </c>
      <c r="T7216">
        <v>41</v>
      </c>
      <c r="U7216" s="26" t="str">
        <f t="shared" si="280"/>
        <v>2025.002G.Monodnaviria_reorg_4nr.zip</v>
      </c>
    </row>
    <row r="7217" spans="1:21">
      <c r="A7217">
        <v>7216</v>
      </c>
      <c r="B7217" s="27" t="s">
        <v>20779</v>
      </c>
      <c r="D7217" s="27" t="s">
        <v>1826</v>
      </c>
      <c r="F7217" s="27" t="s">
        <v>1827</v>
      </c>
      <c r="H7217" s="27" t="s">
        <v>1833</v>
      </c>
      <c r="J7217" s="27" t="s">
        <v>1834</v>
      </c>
      <c r="L7217" s="27" t="s">
        <v>421</v>
      </c>
      <c r="M7217" s="27" t="s">
        <v>422</v>
      </c>
      <c r="N7217" s="27" t="s">
        <v>1840</v>
      </c>
      <c r="P7217" s="27" t="s">
        <v>8416</v>
      </c>
      <c r="Q7217" s="26" t="str">
        <f>HYPERLINK("https://ictv.global/taxonomy/taxondetails?taxnode_id=202514056&amp;ictv_id=ICTV202214056","ICTV202214056")</f>
        <v>ICTV202214056</v>
      </c>
      <c r="R7217" t="s">
        <v>660</v>
      </c>
      <c r="S7217" t="s">
        <v>824</v>
      </c>
      <c r="T7217">
        <v>41</v>
      </c>
      <c r="U7217" s="26" t="str">
        <f t="shared" si="280"/>
        <v>2025.002G.Monodnaviria_reorg_4nr.zip</v>
      </c>
    </row>
    <row r="7218" spans="1:21">
      <c r="A7218">
        <v>7217</v>
      </c>
      <c r="B7218" s="27" t="s">
        <v>20779</v>
      </c>
      <c r="D7218" s="27" t="s">
        <v>1826</v>
      </c>
      <c r="F7218" s="27" t="s">
        <v>1827</v>
      </c>
      <c r="H7218" s="27" t="s">
        <v>1833</v>
      </c>
      <c r="J7218" s="27" t="s">
        <v>1834</v>
      </c>
      <c r="L7218" s="27" t="s">
        <v>421</v>
      </c>
      <c r="M7218" s="27" t="s">
        <v>422</v>
      </c>
      <c r="N7218" s="27" t="s">
        <v>1840</v>
      </c>
      <c r="P7218" s="27" t="s">
        <v>19983</v>
      </c>
      <c r="Q7218" s="26" t="str">
        <f>HYPERLINK("https://ictv.global/taxonomy/taxondetails?taxnode_id=202520269&amp;ictv_id=ICTV202420269","ICTV202420269")</f>
        <v>ICTV202420269</v>
      </c>
      <c r="R7218" t="s">
        <v>660</v>
      </c>
      <c r="S7218" t="s">
        <v>824</v>
      </c>
      <c r="T7218">
        <v>41</v>
      </c>
      <c r="U7218" s="26" t="str">
        <f t="shared" si="280"/>
        <v>2025.002G.Monodnaviria_reorg_4nr.zip</v>
      </c>
    </row>
    <row r="7219" spans="1:21">
      <c r="A7219">
        <v>7218</v>
      </c>
      <c r="B7219" s="27" t="s">
        <v>20779</v>
      </c>
      <c r="D7219" s="27" t="s">
        <v>1826</v>
      </c>
      <c r="F7219" s="27" t="s">
        <v>1827</v>
      </c>
      <c r="H7219" s="27" t="s">
        <v>1833</v>
      </c>
      <c r="J7219" s="27" t="s">
        <v>1834</v>
      </c>
      <c r="L7219" s="27" t="s">
        <v>421</v>
      </c>
      <c r="M7219" s="27" t="s">
        <v>422</v>
      </c>
      <c r="N7219" s="27" t="s">
        <v>1840</v>
      </c>
      <c r="P7219" s="27" t="s">
        <v>19984</v>
      </c>
      <c r="Q7219" s="26" t="str">
        <f>HYPERLINK("https://ictv.global/taxonomy/taxondetails?taxnode_id=202520267&amp;ictv_id=ICTV202420267","ICTV202420267")</f>
        <v>ICTV202420267</v>
      </c>
      <c r="R7219" t="s">
        <v>660</v>
      </c>
      <c r="S7219" t="s">
        <v>824</v>
      </c>
      <c r="T7219">
        <v>41</v>
      </c>
      <c r="U7219" s="26" t="str">
        <f t="shared" si="280"/>
        <v>2025.002G.Monodnaviria_reorg_4nr.zip</v>
      </c>
    </row>
    <row r="7220" spans="1:21">
      <c r="A7220">
        <v>7219</v>
      </c>
      <c r="B7220" s="27" t="s">
        <v>20779</v>
      </c>
      <c r="D7220" s="27" t="s">
        <v>1826</v>
      </c>
      <c r="F7220" s="27" t="s">
        <v>1827</v>
      </c>
      <c r="H7220" s="27" t="s">
        <v>1833</v>
      </c>
      <c r="J7220" s="27" t="s">
        <v>1834</v>
      </c>
      <c r="L7220" s="27" t="s">
        <v>421</v>
      </c>
      <c r="M7220" s="27" t="s">
        <v>422</v>
      </c>
      <c r="N7220" s="27" t="s">
        <v>1840</v>
      </c>
      <c r="P7220" s="27" t="s">
        <v>19985</v>
      </c>
      <c r="Q7220" s="26" t="str">
        <f>HYPERLINK("https://ictv.global/taxonomy/taxondetails?taxnode_id=202520270&amp;ictv_id=ICTV202420270","ICTV202420270")</f>
        <v>ICTV202420270</v>
      </c>
      <c r="R7220" t="s">
        <v>660</v>
      </c>
      <c r="S7220" t="s">
        <v>824</v>
      </c>
      <c r="T7220">
        <v>41</v>
      </c>
      <c r="U7220" s="26" t="str">
        <f t="shared" si="280"/>
        <v>2025.002G.Monodnaviria_reorg_4nr.zip</v>
      </c>
    </row>
    <row r="7221" spans="1:21">
      <c r="A7221">
        <v>7220</v>
      </c>
      <c r="B7221" s="27" t="s">
        <v>20779</v>
      </c>
      <c r="D7221" s="27" t="s">
        <v>1826</v>
      </c>
      <c r="F7221" s="27" t="s">
        <v>1827</v>
      </c>
      <c r="H7221" s="27" t="s">
        <v>1833</v>
      </c>
      <c r="J7221" s="27" t="s">
        <v>1834</v>
      </c>
      <c r="L7221" s="27" t="s">
        <v>421</v>
      </c>
      <c r="M7221" s="27" t="s">
        <v>422</v>
      </c>
      <c r="N7221" s="27" t="s">
        <v>1840</v>
      </c>
      <c r="P7221" s="27" t="s">
        <v>19986</v>
      </c>
      <c r="Q7221" s="26" t="str">
        <f>HYPERLINK("https://ictv.global/taxonomy/taxondetails?taxnode_id=202520272&amp;ictv_id=ICTV202420272","ICTV202420272")</f>
        <v>ICTV202420272</v>
      </c>
      <c r="R7221" t="s">
        <v>660</v>
      </c>
      <c r="S7221" t="s">
        <v>824</v>
      </c>
      <c r="T7221">
        <v>41</v>
      </c>
      <c r="U7221" s="26" t="str">
        <f t="shared" si="280"/>
        <v>2025.002G.Monodnaviria_reorg_4nr.zip</v>
      </c>
    </row>
    <row r="7222" spans="1:21">
      <c r="A7222">
        <v>7221</v>
      </c>
      <c r="B7222" s="27" t="s">
        <v>20779</v>
      </c>
      <c r="D7222" s="27" t="s">
        <v>1826</v>
      </c>
      <c r="F7222" s="27" t="s">
        <v>1827</v>
      </c>
      <c r="H7222" s="27" t="s">
        <v>1833</v>
      </c>
      <c r="J7222" s="27" t="s">
        <v>1834</v>
      </c>
      <c r="L7222" s="27" t="s">
        <v>421</v>
      </c>
      <c r="M7222" s="27" t="s">
        <v>422</v>
      </c>
      <c r="N7222" s="27" t="s">
        <v>1840</v>
      </c>
      <c r="P7222" s="27" t="s">
        <v>8417</v>
      </c>
      <c r="Q7222" s="26" t="str">
        <f>HYPERLINK("https://ictv.global/taxonomy/taxondetails?taxnode_id=202504218&amp;ictv_id=ICTV20132539","ICTV20132539")</f>
        <v>ICTV20132539</v>
      </c>
      <c r="R7222" t="s">
        <v>660</v>
      </c>
      <c r="S7222" t="s">
        <v>824</v>
      </c>
      <c r="T7222">
        <v>41</v>
      </c>
      <c r="U7222" s="26" t="str">
        <f t="shared" si="280"/>
        <v>2025.002G.Monodnaviria_reorg_4nr.zip</v>
      </c>
    </row>
    <row r="7223" spans="1:21">
      <c r="A7223">
        <v>7222</v>
      </c>
      <c r="B7223" s="27" t="s">
        <v>20779</v>
      </c>
      <c r="D7223" s="27" t="s">
        <v>1826</v>
      </c>
      <c r="F7223" s="27" t="s">
        <v>1827</v>
      </c>
      <c r="H7223" s="27" t="s">
        <v>1833</v>
      </c>
      <c r="J7223" s="27" t="s">
        <v>1834</v>
      </c>
      <c r="L7223" s="27" t="s">
        <v>421</v>
      </c>
      <c r="M7223" s="27" t="s">
        <v>422</v>
      </c>
      <c r="N7223" s="27" t="s">
        <v>1841</v>
      </c>
      <c r="P7223" s="27" t="s">
        <v>19987</v>
      </c>
      <c r="Q7223" s="26" t="str">
        <f>HYPERLINK("https://ictv.global/taxonomy/taxondetails?taxnode_id=202520268&amp;ictv_id=ICTV202420268","ICTV202420268")</f>
        <v>ICTV202420268</v>
      </c>
      <c r="R7223" t="s">
        <v>660</v>
      </c>
      <c r="S7223" t="s">
        <v>824</v>
      </c>
      <c r="T7223">
        <v>41</v>
      </c>
      <c r="U7223" s="26" t="str">
        <f t="shared" si="280"/>
        <v>2025.002G.Monodnaviria_reorg_4nr.zip</v>
      </c>
    </row>
    <row r="7224" spans="1:21">
      <c r="A7224">
        <v>7223</v>
      </c>
      <c r="B7224" s="27" t="s">
        <v>20779</v>
      </c>
      <c r="D7224" s="27" t="s">
        <v>1826</v>
      </c>
      <c r="F7224" s="27" t="s">
        <v>1827</v>
      </c>
      <c r="H7224" s="27" t="s">
        <v>1833</v>
      </c>
      <c r="J7224" s="27" t="s">
        <v>1834</v>
      </c>
      <c r="L7224" s="27" t="s">
        <v>421</v>
      </c>
      <c r="M7224" s="27" t="s">
        <v>422</v>
      </c>
      <c r="N7224" s="27" t="s">
        <v>1841</v>
      </c>
      <c r="P7224" s="27" t="s">
        <v>8418</v>
      </c>
      <c r="Q7224" s="26" t="str">
        <f>HYPERLINK("https://ictv.global/taxonomy/taxondetails?taxnode_id=202504214&amp;ictv_id=ICTV20132538","ICTV20132538")</f>
        <v>ICTV20132538</v>
      </c>
      <c r="R7224" t="s">
        <v>660</v>
      </c>
      <c r="S7224" t="s">
        <v>824</v>
      </c>
      <c r="T7224">
        <v>41</v>
      </c>
      <c r="U7224" s="26" t="str">
        <f t="shared" si="280"/>
        <v>2025.002G.Monodnaviria_reorg_4nr.zip</v>
      </c>
    </row>
    <row r="7225" spans="1:21">
      <c r="A7225">
        <v>7224</v>
      </c>
      <c r="B7225" s="27" t="s">
        <v>20779</v>
      </c>
      <c r="D7225" s="27" t="s">
        <v>1826</v>
      </c>
      <c r="F7225" s="27" t="s">
        <v>1827</v>
      </c>
      <c r="H7225" s="27" t="s">
        <v>1833</v>
      </c>
      <c r="J7225" s="27" t="s">
        <v>1834</v>
      </c>
      <c r="L7225" s="27" t="s">
        <v>421</v>
      </c>
      <c r="M7225" s="27" t="s">
        <v>422</v>
      </c>
      <c r="N7225" s="27" t="s">
        <v>1841</v>
      </c>
      <c r="P7225" s="27" t="s">
        <v>8419</v>
      </c>
      <c r="Q7225" s="26" t="str">
        <f>HYPERLINK("https://ictv.global/taxonomy/taxondetails?taxnode_id=202504217&amp;ictv_id=ICTV20165411","ICTV20165411")</f>
        <v>ICTV20165411</v>
      </c>
      <c r="R7225" t="s">
        <v>660</v>
      </c>
      <c r="S7225" t="s">
        <v>824</v>
      </c>
      <c r="T7225">
        <v>41</v>
      </c>
      <c r="U7225" s="26" t="str">
        <f t="shared" si="280"/>
        <v>2025.002G.Monodnaviria_reorg_4nr.zip</v>
      </c>
    </row>
    <row r="7226" spans="1:21">
      <c r="A7226">
        <v>7225</v>
      </c>
      <c r="B7226" s="27" t="s">
        <v>20779</v>
      </c>
      <c r="D7226" s="27" t="s">
        <v>1826</v>
      </c>
      <c r="F7226" s="27" t="s">
        <v>1827</v>
      </c>
      <c r="H7226" s="27" t="s">
        <v>1833</v>
      </c>
      <c r="J7226" s="27" t="s">
        <v>1834</v>
      </c>
      <c r="L7226" s="27" t="s">
        <v>421</v>
      </c>
      <c r="M7226" s="27" t="s">
        <v>422</v>
      </c>
      <c r="N7226" s="27" t="s">
        <v>1841</v>
      </c>
      <c r="P7226" s="27" t="s">
        <v>8420</v>
      </c>
      <c r="Q7226" s="26" t="str">
        <f>HYPERLINK("https://ictv.global/taxonomy/taxondetails?taxnode_id=202514057&amp;ictv_id=ICTV202214057","ICTV202214057")</f>
        <v>ICTV202214057</v>
      </c>
      <c r="R7226" t="s">
        <v>660</v>
      </c>
      <c r="S7226" t="s">
        <v>824</v>
      </c>
      <c r="T7226">
        <v>41</v>
      </c>
      <c r="U7226" s="26" t="str">
        <f t="shared" si="280"/>
        <v>2025.002G.Monodnaviria_reorg_4nr.zip</v>
      </c>
    </row>
    <row r="7227" spans="1:21">
      <c r="A7227">
        <v>7226</v>
      </c>
      <c r="B7227" s="27" t="s">
        <v>20779</v>
      </c>
      <c r="D7227" s="27" t="s">
        <v>1826</v>
      </c>
      <c r="F7227" s="27" t="s">
        <v>1827</v>
      </c>
      <c r="H7227" s="27" t="s">
        <v>1833</v>
      </c>
      <c r="J7227" s="27" t="s">
        <v>1834</v>
      </c>
      <c r="L7227" s="27" t="s">
        <v>421</v>
      </c>
      <c r="M7227" s="27" t="s">
        <v>422</v>
      </c>
      <c r="N7227" s="27" t="s">
        <v>1841</v>
      </c>
      <c r="P7227" s="27" t="s">
        <v>8421</v>
      </c>
      <c r="Q7227" s="26" t="str">
        <f>HYPERLINK("https://ictv.global/taxonomy/taxondetails?taxnode_id=202514058&amp;ictv_id=ICTV202214058","ICTV202214058")</f>
        <v>ICTV202214058</v>
      </c>
      <c r="R7227" t="s">
        <v>660</v>
      </c>
      <c r="S7227" t="s">
        <v>824</v>
      </c>
      <c r="T7227">
        <v>41</v>
      </c>
      <c r="U7227" s="26" t="str">
        <f t="shared" si="280"/>
        <v>2025.002G.Monodnaviria_reorg_4nr.zip</v>
      </c>
    </row>
    <row r="7228" spans="1:21">
      <c r="A7228">
        <v>7227</v>
      </c>
      <c r="B7228" s="27" t="s">
        <v>20779</v>
      </c>
      <c r="D7228" s="27" t="s">
        <v>1826</v>
      </c>
      <c r="F7228" s="27" t="s">
        <v>1827</v>
      </c>
      <c r="H7228" s="27" t="s">
        <v>1833</v>
      </c>
      <c r="J7228" s="27" t="s">
        <v>1834</v>
      </c>
      <c r="L7228" s="27" t="s">
        <v>421</v>
      </c>
      <c r="M7228" s="27" t="s">
        <v>422</v>
      </c>
      <c r="N7228" s="27" t="s">
        <v>1841</v>
      </c>
      <c r="P7228" s="27" t="s">
        <v>8422</v>
      </c>
      <c r="Q7228" s="26" t="str">
        <f>HYPERLINK("https://ictv.global/taxonomy/taxondetails?taxnode_id=202504219&amp;ictv_id=ICTV20132540","ICTV20132540")</f>
        <v>ICTV20132540</v>
      </c>
      <c r="R7228" t="s">
        <v>660</v>
      </c>
      <c r="S7228" t="s">
        <v>824</v>
      </c>
      <c r="T7228">
        <v>41</v>
      </c>
      <c r="U7228" s="26" t="str">
        <f t="shared" si="280"/>
        <v>2025.002G.Monodnaviria_reorg_4nr.zip</v>
      </c>
    </row>
    <row r="7229" spans="1:21">
      <c r="A7229">
        <v>7228</v>
      </c>
      <c r="B7229" s="27" t="s">
        <v>20779</v>
      </c>
      <c r="D7229" s="27" t="s">
        <v>1826</v>
      </c>
      <c r="F7229" s="27" t="s">
        <v>1827</v>
      </c>
      <c r="H7229" s="27" t="s">
        <v>1833</v>
      </c>
      <c r="J7229" s="27" t="s">
        <v>1834</v>
      </c>
      <c r="L7229" s="27" t="s">
        <v>421</v>
      </c>
      <c r="M7229" s="27" t="s">
        <v>422</v>
      </c>
      <c r="N7229" s="27" t="s">
        <v>2339</v>
      </c>
      <c r="P7229" s="27" t="s">
        <v>8423</v>
      </c>
      <c r="Q7229" s="26" t="str">
        <f>HYPERLINK("https://ictv.global/taxonomy/taxondetails?taxnode_id=202514059&amp;ictv_id=ICTV202214059","ICTV202214059")</f>
        <v>ICTV202214059</v>
      </c>
      <c r="R7229" t="s">
        <v>660</v>
      </c>
      <c r="S7229" t="s">
        <v>824</v>
      </c>
      <c r="T7229">
        <v>41</v>
      </c>
      <c r="U7229" s="26" t="str">
        <f t="shared" si="280"/>
        <v>2025.002G.Monodnaviria_reorg_4nr.zip</v>
      </c>
    </row>
    <row r="7230" spans="1:21">
      <c r="A7230">
        <v>7229</v>
      </c>
      <c r="B7230" s="27" t="s">
        <v>20779</v>
      </c>
      <c r="D7230" s="27" t="s">
        <v>1826</v>
      </c>
      <c r="F7230" s="27" t="s">
        <v>1827</v>
      </c>
      <c r="H7230" s="27" t="s">
        <v>1833</v>
      </c>
      <c r="J7230" s="27" t="s">
        <v>1834</v>
      </c>
      <c r="L7230" s="27" t="s">
        <v>421</v>
      </c>
      <c r="M7230" s="27" t="s">
        <v>422</v>
      </c>
      <c r="N7230" s="27" t="s">
        <v>2339</v>
      </c>
      <c r="P7230" s="27" t="s">
        <v>8424</v>
      </c>
      <c r="Q7230" s="26" t="str">
        <f>HYPERLINK("https://ictv.global/taxonomy/taxondetails?taxnode_id=202514060&amp;ictv_id=ICTV202214060","ICTV202214060")</f>
        <v>ICTV202214060</v>
      </c>
      <c r="R7230" t="s">
        <v>660</v>
      </c>
      <c r="S7230" t="s">
        <v>824</v>
      </c>
      <c r="T7230">
        <v>41</v>
      </c>
      <c r="U7230" s="26" t="str">
        <f t="shared" si="280"/>
        <v>2025.002G.Monodnaviria_reorg_4nr.zip</v>
      </c>
    </row>
    <row r="7231" spans="1:21">
      <c r="A7231">
        <v>7230</v>
      </c>
      <c r="B7231" s="27" t="s">
        <v>20779</v>
      </c>
      <c r="D7231" s="27" t="s">
        <v>1826</v>
      </c>
      <c r="F7231" s="27" t="s">
        <v>1827</v>
      </c>
      <c r="H7231" s="27" t="s">
        <v>1833</v>
      </c>
      <c r="J7231" s="27" t="s">
        <v>1834</v>
      </c>
      <c r="L7231" s="27" t="s">
        <v>421</v>
      </c>
      <c r="M7231" s="27" t="s">
        <v>422</v>
      </c>
      <c r="N7231" s="27" t="s">
        <v>2339</v>
      </c>
      <c r="P7231" s="27" t="s">
        <v>8425</v>
      </c>
      <c r="Q7231" s="26" t="str">
        <f>HYPERLINK("https://ictv.global/taxonomy/taxondetails?taxnode_id=202509270&amp;ictv_id=ICTV202009270","ICTV202009270")</f>
        <v>ICTV202009270</v>
      </c>
      <c r="R7231" t="s">
        <v>660</v>
      </c>
      <c r="S7231" t="s">
        <v>824</v>
      </c>
      <c r="T7231">
        <v>41</v>
      </c>
      <c r="U7231" s="26" t="str">
        <f t="shared" si="280"/>
        <v>2025.002G.Monodnaviria_reorg_4nr.zip</v>
      </c>
    </row>
    <row r="7232" spans="1:21">
      <c r="A7232">
        <v>7231</v>
      </c>
      <c r="B7232" s="27" t="s">
        <v>20779</v>
      </c>
      <c r="D7232" s="27" t="s">
        <v>1826</v>
      </c>
      <c r="F7232" s="27" t="s">
        <v>1827</v>
      </c>
      <c r="H7232" s="27" t="s">
        <v>1833</v>
      </c>
      <c r="J7232" s="27" t="s">
        <v>1834</v>
      </c>
      <c r="L7232" s="27" t="s">
        <v>421</v>
      </c>
      <c r="M7232" s="27" t="s">
        <v>20871</v>
      </c>
      <c r="N7232" s="27" t="s">
        <v>20874</v>
      </c>
      <c r="P7232" s="27" t="s">
        <v>20972</v>
      </c>
      <c r="Q7232" s="26" t="str">
        <f>HYPERLINK("https://ictv.global/taxonomy/taxondetails?taxnode_id=202514068&amp;ictv_id=ICTV202214068","ICTV202214068")</f>
        <v>ICTV202214068</v>
      </c>
      <c r="R7232" t="s">
        <v>582</v>
      </c>
      <c r="S7232" t="s">
        <v>824</v>
      </c>
      <c r="T7232">
        <v>41</v>
      </c>
      <c r="U7232" s="26" t="str">
        <f t="shared" ref="U7232:U7263" si="281">HYPERLINK("https://ictv.global/ictv/proposals/2025.005D.Parvoviridae_1absf_4nsf_39ns.zip","2025.005D.Parvoviridae_1absf_4nsf_39ns.zip")</f>
        <v>2025.005D.Parvoviridae_1absf_4nsf_39ns.zip</v>
      </c>
    </row>
    <row r="7233" spans="1:21">
      <c r="A7233">
        <v>7232</v>
      </c>
      <c r="B7233" s="27" t="s">
        <v>20779</v>
      </c>
      <c r="D7233" s="27" t="s">
        <v>1826</v>
      </c>
      <c r="F7233" s="27" t="s">
        <v>1827</v>
      </c>
      <c r="H7233" s="27" t="s">
        <v>1833</v>
      </c>
      <c r="J7233" s="27" t="s">
        <v>1834</v>
      </c>
      <c r="L7233" s="27" t="s">
        <v>421</v>
      </c>
      <c r="M7233" s="27" t="s">
        <v>20871</v>
      </c>
      <c r="N7233" s="27" t="s">
        <v>20874</v>
      </c>
      <c r="P7233" s="27" t="s">
        <v>20971</v>
      </c>
      <c r="Q7233" s="26" t="str">
        <f>HYPERLINK("https://ictv.global/taxonomy/taxondetails?taxnode_id=202514067&amp;ictv_id=ICTV202214067","ICTV202214067")</f>
        <v>ICTV202214067</v>
      </c>
      <c r="R7233" t="s">
        <v>582</v>
      </c>
      <c r="S7233" t="s">
        <v>824</v>
      </c>
      <c r="T7233">
        <v>41</v>
      </c>
      <c r="U7233" s="26" t="str">
        <f t="shared" si="281"/>
        <v>2025.005D.Parvoviridae_1absf_4nsf_39ns.zip</v>
      </c>
    </row>
    <row r="7234" spans="1:21">
      <c r="A7234">
        <v>7233</v>
      </c>
      <c r="B7234" s="27" t="s">
        <v>20779</v>
      </c>
      <c r="D7234" s="27" t="s">
        <v>1826</v>
      </c>
      <c r="F7234" s="27" t="s">
        <v>1827</v>
      </c>
      <c r="H7234" s="27" t="s">
        <v>1833</v>
      </c>
      <c r="J7234" s="27" t="s">
        <v>1834</v>
      </c>
      <c r="L7234" s="27" t="s">
        <v>421</v>
      </c>
      <c r="M7234" s="27" t="s">
        <v>20871</v>
      </c>
      <c r="N7234" s="27" t="s">
        <v>20874</v>
      </c>
      <c r="P7234" s="27" t="s">
        <v>20969</v>
      </c>
      <c r="Q7234" s="26" t="str">
        <f>HYPERLINK("https://ictv.global/taxonomy/taxondetails?taxnode_id=202514065&amp;ictv_id=ICTV202214065","ICTV202214065")</f>
        <v>ICTV202214065</v>
      </c>
      <c r="R7234" t="s">
        <v>582</v>
      </c>
      <c r="S7234" t="s">
        <v>824</v>
      </c>
      <c r="T7234">
        <v>41</v>
      </c>
      <c r="U7234" s="26" t="str">
        <f t="shared" si="281"/>
        <v>2025.005D.Parvoviridae_1absf_4nsf_39ns.zip</v>
      </c>
    </row>
    <row r="7235" spans="1:21">
      <c r="A7235">
        <v>7234</v>
      </c>
      <c r="B7235" s="27" t="s">
        <v>20779</v>
      </c>
      <c r="D7235" s="27" t="s">
        <v>1826</v>
      </c>
      <c r="F7235" s="27" t="s">
        <v>1827</v>
      </c>
      <c r="H7235" s="27" t="s">
        <v>1833</v>
      </c>
      <c r="J7235" s="27" t="s">
        <v>1834</v>
      </c>
      <c r="L7235" s="27" t="s">
        <v>421</v>
      </c>
      <c r="M7235" s="27" t="s">
        <v>20871</v>
      </c>
      <c r="N7235" s="27" t="s">
        <v>20874</v>
      </c>
      <c r="P7235" s="27" t="s">
        <v>20970</v>
      </c>
      <c r="Q7235" s="26" t="str">
        <f>HYPERLINK("https://ictv.global/taxonomy/taxondetails?taxnode_id=202514066&amp;ictv_id=ICTV202214066","ICTV202214066")</f>
        <v>ICTV202214066</v>
      </c>
      <c r="R7235" t="s">
        <v>582</v>
      </c>
      <c r="S7235" t="s">
        <v>824</v>
      </c>
      <c r="T7235">
        <v>41</v>
      </c>
      <c r="U7235" s="26" t="str">
        <f t="shared" si="281"/>
        <v>2025.005D.Parvoviridae_1absf_4nsf_39ns.zip</v>
      </c>
    </row>
    <row r="7236" spans="1:21">
      <c r="A7236">
        <v>7235</v>
      </c>
      <c r="B7236" s="27" t="s">
        <v>20779</v>
      </c>
      <c r="D7236" s="27" t="s">
        <v>1826</v>
      </c>
      <c r="F7236" s="27" t="s">
        <v>1827</v>
      </c>
      <c r="H7236" s="27" t="s">
        <v>1833</v>
      </c>
      <c r="J7236" s="27" t="s">
        <v>1834</v>
      </c>
      <c r="L7236" s="27" t="s">
        <v>421</v>
      </c>
      <c r="M7236" s="27" t="s">
        <v>20871</v>
      </c>
      <c r="N7236" s="27" t="s">
        <v>20874</v>
      </c>
      <c r="P7236" s="27" t="s">
        <v>20973</v>
      </c>
      <c r="Q7236" s="26" t="str">
        <f>HYPERLINK("https://ictv.global/taxonomy/taxondetails?taxnode_id=202514069&amp;ictv_id=ICTV202214069","ICTV202214069")</f>
        <v>ICTV202214069</v>
      </c>
      <c r="R7236" t="s">
        <v>582</v>
      </c>
      <c r="S7236" t="s">
        <v>824</v>
      </c>
      <c r="T7236">
        <v>41</v>
      </c>
      <c r="U7236" s="26" t="str">
        <f t="shared" si="281"/>
        <v>2025.005D.Parvoviridae_1absf_4nsf_39ns.zip</v>
      </c>
    </row>
    <row r="7237" spans="1:21">
      <c r="A7237">
        <v>7236</v>
      </c>
      <c r="B7237" s="27" t="s">
        <v>20779</v>
      </c>
      <c r="D7237" s="27" t="s">
        <v>1826</v>
      </c>
      <c r="F7237" s="27" t="s">
        <v>1827</v>
      </c>
      <c r="H7237" s="27" t="s">
        <v>1833</v>
      </c>
      <c r="J7237" s="27" t="s">
        <v>1834</v>
      </c>
      <c r="L7237" s="27" t="s">
        <v>421</v>
      </c>
      <c r="M7237" s="27" t="s">
        <v>20871</v>
      </c>
      <c r="N7237" s="27" t="s">
        <v>20874</v>
      </c>
      <c r="P7237" s="27" t="s">
        <v>20974</v>
      </c>
      <c r="Q7237" s="26" t="str">
        <f>HYPERLINK("https://ictv.global/taxonomy/taxondetails?taxnode_id=202514070&amp;ictv_id=ICTV202214070","ICTV202214070")</f>
        <v>ICTV202214070</v>
      </c>
      <c r="R7237" t="s">
        <v>582</v>
      </c>
      <c r="S7237" t="s">
        <v>824</v>
      </c>
      <c r="T7237">
        <v>41</v>
      </c>
      <c r="U7237" s="26" t="str">
        <f t="shared" si="281"/>
        <v>2025.005D.Parvoviridae_1absf_4nsf_39ns.zip</v>
      </c>
    </row>
    <row r="7238" spans="1:21">
      <c r="A7238">
        <v>7237</v>
      </c>
      <c r="B7238" s="27" t="s">
        <v>20779</v>
      </c>
      <c r="D7238" s="27" t="s">
        <v>1826</v>
      </c>
      <c r="F7238" s="27" t="s">
        <v>1827</v>
      </c>
      <c r="H7238" s="27" t="s">
        <v>1833</v>
      </c>
      <c r="J7238" s="27" t="s">
        <v>1834</v>
      </c>
      <c r="L7238" s="27" t="s">
        <v>421</v>
      </c>
      <c r="M7238" s="27" t="s">
        <v>20871</v>
      </c>
      <c r="N7238" s="27" t="s">
        <v>20874</v>
      </c>
      <c r="P7238" s="27" t="s">
        <v>21281</v>
      </c>
      <c r="Q7238" s="26" t="str">
        <f>HYPERLINK("https://ictv.global/taxonomy/taxondetails?taxnode_id=202522179&amp;ictv_id=ICTV202522179","ICTV202522179")</f>
        <v>ICTV202522179</v>
      </c>
      <c r="R7238" t="s">
        <v>660</v>
      </c>
      <c r="S7238" t="s">
        <v>823</v>
      </c>
      <c r="T7238">
        <v>41</v>
      </c>
      <c r="U7238" s="26" t="str">
        <f t="shared" si="281"/>
        <v>2025.005D.Parvoviridae_1absf_4nsf_39ns.zip</v>
      </c>
    </row>
    <row r="7239" spans="1:21">
      <c r="A7239">
        <v>7238</v>
      </c>
      <c r="B7239" s="27" t="s">
        <v>20779</v>
      </c>
      <c r="D7239" s="27" t="s">
        <v>1826</v>
      </c>
      <c r="F7239" s="27" t="s">
        <v>1827</v>
      </c>
      <c r="H7239" s="27" t="s">
        <v>1833</v>
      </c>
      <c r="J7239" s="27" t="s">
        <v>1834</v>
      </c>
      <c r="L7239" s="27" t="s">
        <v>421</v>
      </c>
      <c r="M7239" s="27" t="s">
        <v>20871</v>
      </c>
      <c r="N7239" s="27" t="s">
        <v>20874</v>
      </c>
      <c r="P7239" s="27" t="s">
        <v>21282</v>
      </c>
      <c r="Q7239" s="26" t="str">
        <f>HYPERLINK("https://ictv.global/taxonomy/taxondetails?taxnode_id=202522180&amp;ictv_id=ICTV202522180","ICTV202522180")</f>
        <v>ICTV202522180</v>
      </c>
      <c r="R7239" t="s">
        <v>660</v>
      </c>
      <c r="S7239" t="s">
        <v>823</v>
      </c>
      <c r="T7239">
        <v>41</v>
      </c>
      <c r="U7239" s="26" t="str">
        <f t="shared" si="281"/>
        <v>2025.005D.Parvoviridae_1absf_4nsf_39ns.zip</v>
      </c>
    </row>
    <row r="7240" spans="1:21">
      <c r="A7240">
        <v>7239</v>
      </c>
      <c r="B7240" s="27" t="s">
        <v>20779</v>
      </c>
      <c r="D7240" s="27" t="s">
        <v>1826</v>
      </c>
      <c r="F7240" s="27" t="s">
        <v>1827</v>
      </c>
      <c r="H7240" s="27" t="s">
        <v>1833</v>
      </c>
      <c r="J7240" s="27" t="s">
        <v>1834</v>
      </c>
      <c r="L7240" s="27" t="s">
        <v>421</v>
      </c>
      <c r="M7240" s="27" t="s">
        <v>20871</v>
      </c>
      <c r="N7240" s="27" t="s">
        <v>20874</v>
      </c>
      <c r="P7240" s="27" t="s">
        <v>21283</v>
      </c>
      <c r="Q7240" s="26" t="str">
        <f>HYPERLINK("https://ictv.global/taxonomy/taxondetails?taxnode_id=202522181&amp;ictv_id=ICTV202522181","ICTV202522181")</f>
        <v>ICTV202522181</v>
      </c>
      <c r="R7240" t="s">
        <v>660</v>
      </c>
      <c r="S7240" t="s">
        <v>823</v>
      </c>
      <c r="T7240">
        <v>41</v>
      </c>
      <c r="U7240" s="26" t="str">
        <f t="shared" si="281"/>
        <v>2025.005D.Parvoviridae_1absf_4nsf_39ns.zip</v>
      </c>
    </row>
    <row r="7241" spans="1:21">
      <c r="A7241">
        <v>7240</v>
      </c>
      <c r="B7241" s="27" t="s">
        <v>20779</v>
      </c>
      <c r="D7241" s="27" t="s">
        <v>1826</v>
      </c>
      <c r="F7241" s="27" t="s">
        <v>1827</v>
      </c>
      <c r="H7241" s="27" t="s">
        <v>1833</v>
      </c>
      <c r="J7241" s="27" t="s">
        <v>1834</v>
      </c>
      <c r="L7241" s="27" t="s">
        <v>421</v>
      </c>
      <c r="M7241" s="27" t="s">
        <v>20871</v>
      </c>
      <c r="N7241" s="27" t="s">
        <v>20874</v>
      </c>
      <c r="P7241" s="27" t="s">
        <v>21284</v>
      </c>
      <c r="Q7241" s="26" t="str">
        <f>HYPERLINK("https://ictv.global/taxonomy/taxondetails?taxnode_id=202522182&amp;ictv_id=ICTV202522182","ICTV202522182")</f>
        <v>ICTV202522182</v>
      </c>
      <c r="R7241" t="s">
        <v>660</v>
      </c>
      <c r="S7241" t="s">
        <v>823</v>
      </c>
      <c r="T7241">
        <v>41</v>
      </c>
      <c r="U7241" s="26" t="str">
        <f t="shared" si="281"/>
        <v>2025.005D.Parvoviridae_1absf_4nsf_39ns.zip</v>
      </c>
    </row>
    <row r="7242" spans="1:21">
      <c r="A7242">
        <v>7241</v>
      </c>
      <c r="B7242" s="27" t="s">
        <v>20779</v>
      </c>
      <c r="D7242" s="27" t="s">
        <v>1826</v>
      </c>
      <c r="F7242" s="27" t="s">
        <v>1827</v>
      </c>
      <c r="H7242" s="27" t="s">
        <v>1833</v>
      </c>
      <c r="J7242" s="27" t="s">
        <v>1834</v>
      </c>
      <c r="L7242" s="27" t="s">
        <v>421</v>
      </c>
      <c r="M7242" s="27" t="s">
        <v>20871</v>
      </c>
      <c r="N7242" s="27" t="s">
        <v>20874</v>
      </c>
      <c r="P7242" s="27" t="s">
        <v>21285</v>
      </c>
      <c r="Q7242" s="26" t="str">
        <f>HYPERLINK("https://ictv.global/taxonomy/taxondetails?taxnode_id=202522183&amp;ictv_id=ICTV202522183","ICTV202522183")</f>
        <v>ICTV202522183</v>
      </c>
      <c r="R7242" t="s">
        <v>660</v>
      </c>
      <c r="S7242" t="s">
        <v>823</v>
      </c>
      <c r="T7242">
        <v>41</v>
      </c>
      <c r="U7242" s="26" t="str">
        <f t="shared" si="281"/>
        <v>2025.005D.Parvoviridae_1absf_4nsf_39ns.zip</v>
      </c>
    </row>
    <row r="7243" spans="1:21">
      <c r="A7243">
        <v>7242</v>
      </c>
      <c r="B7243" s="27" t="s">
        <v>20779</v>
      </c>
      <c r="D7243" s="27" t="s">
        <v>1826</v>
      </c>
      <c r="F7243" s="27" t="s">
        <v>1827</v>
      </c>
      <c r="H7243" s="27" t="s">
        <v>1833</v>
      </c>
      <c r="J7243" s="27" t="s">
        <v>1834</v>
      </c>
      <c r="L7243" s="27" t="s">
        <v>421</v>
      </c>
      <c r="M7243" s="27" t="s">
        <v>20871</v>
      </c>
      <c r="N7243" s="27" t="s">
        <v>20874</v>
      </c>
      <c r="P7243" s="27" t="s">
        <v>20981</v>
      </c>
      <c r="Q7243" s="26" t="str">
        <f>HYPERLINK("https://ictv.global/taxonomy/taxondetails?taxnode_id=202514077&amp;ictv_id=ICTV202214077","ICTV202214077")</f>
        <v>ICTV202214077</v>
      </c>
      <c r="R7243" t="s">
        <v>582</v>
      </c>
      <c r="S7243" t="s">
        <v>824</v>
      </c>
      <c r="T7243">
        <v>41</v>
      </c>
      <c r="U7243" s="26" t="str">
        <f t="shared" si="281"/>
        <v>2025.005D.Parvoviridae_1absf_4nsf_39ns.zip</v>
      </c>
    </row>
    <row r="7244" spans="1:21">
      <c r="A7244">
        <v>7243</v>
      </c>
      <c r="B7244" s="27" t="s">
        <v>20779</v>
      </c>
      <c r="D7244" s="27" t="s">
        <v>1826</v>
      </c>
      <c r="F7244" s="27" t="s">
        <v>1827</v>
      </c>
      <c r="H7244" s="27" t="s">
        <v>1833</v>
      </c>
      <c r="J7244" s="27" t="s">
        <v>1834</v>
      </c>
      <c r="L7244" s="27" t="s">
        <v>421</v>
      </c>
      <c r="M7244" s="27" t="s">
        <v>20871</v>
      </c>
      <c r="N7244" s="27" t="s">
        <v>20874</v>
      </c>
      <c r="P7244" s="27" t="s">
        <v>20878</v>
      </c>
      <c r="Q7244" s="26" t="str">
        <f>HYPERLINK("https://ictv.global/taxonomy/taxondetails?taxnode_id=202507331&amp;ictv_id=ICTV201907331","ICTV201907331")</f>
        <v>ICTV201907331</v>
      </c>
      <c r="R7244" t="s">
        <v>582</v>
      </c>
      <c r="S7244" t="s">
        <v>824</v>
      </c>
      <c r="T7244">
        <v>41</v>
      </c>
      <c r="U7244" s="26" t="str">
        <f t="shared" si="281"/>
        <v>2025.005D.Parvoviridae_1absf_4nsf_39ns.zip</v>
      </c>
    </row>
    <row r="7245" spans="1:21">
      <c r="A7245">
        <v>7244</v>
      </c>
      <c r="B7245" s="27" t="s">
        <v>20779</v>
      </c>
      <c r="D7245" s="27" t="s">
        <v>1826</v>
      </c>
      <c r="F7245" s="27" t="s">
        <v>1827</v>
      </c>
      <c r="H7245" s="27" t="s">
        <v>1833</v>
      </c>
      <c r="J7245" s="27" t="s">
        <v>1834</v>
      </c>
      <c r="L7245" s="27" t="s">
        <v>421</v>
      </c>
      <c r="M7245" s="27" t="s">
        <v>20871</v>
      </c>
      <c r="N7245" s="27" t="s">
        <v>20874</v>
      </c>
      <c r="P7245" s="27" t="s">
        <v>20898</v>
      </c>
      <c r="Q7245" s="26" t="str">
        <f>HYPERLINK("https://ictv.global/taxonomy/taxondetails?taxnode_id=202509271&amp;ictv_id=ICTV202009271","ICTV202009271")</f>
        <v>ICTV202009271</v>
      </c>
      <c r="R7245" t="s">
        <v>582</v>
      </c>
      <c r="S7245" t="s">
        <v>824</v>
      </c>
      <c r="T7245">
        <v>41</v>
      </c>
      <c r="U7245" s="26" t="str">
        <f t="shared" si="281"/>
        <v>2025.005D.Parvoviridae_1absf_4nsf_39ns.zip</v>
      </c>
    </row>
    <row r="7246" spans="1:21">
      <c r="A7246">
        <v>7245</v>
      </c>
      <c r="B7246" s="27" t="s">
        <v>20779</v>
      </c>
      <c r="D7246" s="27" t="s">
        <v>1826</v>
      </c>
      <c r="F7246" s="27" t="s">
        <v>1827</v>
      </c>
      <c r="H7246" s="27" t="s">
        <v>1833</v>
      </c>
      <c r="J7246" s="27" t="s">
        <v>1834</v>
      </c>
      <c r="L7246" s="27" t="s">
        <v>421</v>
      </c>
      <c r="M7246" s="27" t="s">
        <v>20871</v>
      </c>
      <c r="N7246" s="27" t="s">
        <v>20874</v>
      </c>
      <c r="P7246" s="27" t="s">
        <v>20968</v>
      </c>
      <c r="Q7246" s="26" t="str">
        <f>HYPERLINK("https://ictv.global/taxonomy/taxondetails?taxnode_id=202514064&amp;ictv_id=ICTV202214064","ICTV202214064")</f>
        <v>ICTV202214064</v>
      </c>
      <c r="R7246" t="s">
        <v>582</v>
      </c>
      <c r="S7246" t="s">
        <v>824</v>
      </c>
      <c r="T7246">
        <v>41</v>
      </c>
      <c r="U7246" s="26" t="str">
        <f t="shared" si="281"/>
        <v>2025.005D.Parvoviridae_1absf_4nsf_39ns.zip</v>
      </c>
    </row>
    <row r="7247" spans="1:21">
      <c r="A7247">
        <v>7246</v>
      </c>
      <c r="B7247" s="27" t="s">
        <v>20779</v>
      </c>
      <c r="D7247" s="27" t="s">
        <v>1826</v>
      </c>
      <c r="F7247" s="27" t="s">
        <v>1827</v>
      </c>
      <c r="H7247" s="27" t="s">
        <v>1833</v>
      </c>
      <c r="J7247" s="27" t="s">
        <v>1834</v>
      </c>
      <c r="L7247" s="27" t="s">
        <v>421</v>
      </c>
      <c r="M7247" s="27" t="s">
        <v>20871</v>
      </c>
      <c r="N7247" s="27" t="s">
        <v>20874</v>
      </c>
      <c r="P7247" s="27" t="s">
        <v>21307</v>
      </c>
      <c r="Q7247" s="26" t="str">
        <f>HYPERLINK("https://ictv.global/taxonomy/taxondetails?taxnode_id=202522205&amp;ictv_id=ICTV202522205","ICTV202522205")</f>
        <v>ICTV202522205</v>
      </c>
      <c r="R7247" t="s">
        <v>660</v>
      </c>
      <c r="S7247" t="s">
        <v>823</v>
      </c>
      <c r="T7247">
        <v>41</v>
      </c>
      <c r="U7247" s="26" t="str">
        <f t="shared" si="281"/>
        <v>2025.005D.Parvoviridae_1absf_4nsf_39ns.zip</v>
      </c>
    </row>
    <row r="7248" spans="1:21">
      <c r="A7248">
        <v>7247</v>
      </c>
      <c r="B7248" s="27" t="s">
        <v>20779</v>
      </c>
      <c r="D7248" s="27" t="s">
        <v>1826</v>
      </c>
      <c r="F7248" s="27" t="s">
        <v>1827</v>
      </c>
      <c r="H7248" s="27" t="s">
        <v>1833</v>
      </c>
      <c r="J7248" s="27" t="s">
        <v>1834</v>
      </c>
      <c r="L7248" s="27" t="s">
        <v>421</v>
      </c>
      <c r="M7248" s="27" t="s">
        <v>20871</v>
      </c>
      <c r="N7248" s="27" t="s">
        <v>20874</v>
      </c>
      <c r="P7248" s="27" t="s">
        <v>21308</v>
      </c>
      <c r="Q7248" s="26" t="str">
        <f>HYPERLINK("https://ictv.global/taxonomy/taxondetails?taxnode_id=202522206&amp;ictv_id=ICTV202522206","ICTV202522206")</f>
        <v>ICTV202522206</v>
      </c>
      <c r="R7248" t="s">
        <v>660</v>
      </c>
      <c r="S7248" t="s">
        <v>823</v>
      </c>
      <c r="T7248">
        <v>41</v>
      </c>
      <c r="U7248" s="26" t="str">
        <f t="shared" si="281"/>
        <v>2025.005D.Parvoviridae_1absf_4nsf_39ns.zip</v>
      </c>
    </row>
    <row r="7249" spans="1:21">
      <c r="A7249">
        <v>7248</v>
      </c>
      <c r="B7249" s="27" t="s">
        <v>20779</v>
      </c>
      <c r="D7249" s="27" t="s">
        <v>1826</v>
      </c>
      <c r="F7249" s="27" t="s">
        <v>1827</v>
      </c>
      <c r="H7249" s="27" t="s">
        <v>1833</v>
      </c>
      <c r="J7249" s="27" t="s">
        <v>1834</v>
      </c>
      <c r="L7249" s="27" t="s">
        <v>421</v>
      </c>
      <c r="M7249" s="27" t="s">
        <v>20871</v>
      </c>
      <c r="N7249" s="27" t="s">
        <v>20874</v>
      </c>
      <c r="P7249" s="27" t="s">
        <v>20879</v>
      </c>
      <c r="Q7249" s="26" t="str">
        <f>HYPERLINK("https://ictv.global/taxonomy/taxondetails?taxnode_id=202507332&amp;ictv_id=ICTV201907332","ICTV201907332")</f>
        <v>ICTV201907332</v>
      </c>
      <c r="R7249" t="s">
        <v>582</v>
      </c>
      <c r="S7249" t="s">
        <v>824</v>
      </c>
      <c r="T7249">
        <v>41</v>
      </c>
      <c r="U7249" s="26" t="str">
        <f t="shared" si="281"/>
        <v>2025.005D.Parvoviridae_1absf_4nsf_39ns.zip</v>
      </c>
    </row>
    <row r="7250" spans="1:21">
      <c r="A7250">
        <v>7249</v>
      </c>
      <c r="B7250" s="27" t="s">
        <v>20779</v>
      </c>
      <c r="D7250" s="27" t="s">
        <v>1826</v>
      </c>
      <c r="F7250" s="27" t="s">
        <v>1827</v>
      </c>
      <c r="H7250" s="27" t="s">
        <v>1833</v>
      </c>
      <c r="J7250" s="27" t="s">
        <v>1834</v>
      </c>
      <c r="L7250" s="27" t="s">
        <v>421</v>
      </c>
      <c r="M7250" s="27" t="s">
        <v>20871</v>
      </c>
      <c r="N7250" s="27" t="s">
        <v>20874</v>
      </c>
      <c r="P7250" s="27" t="s">
        <v>20987</v>
      </c>
      <c r="Q7250" s="26" t="str">
        <f>HYPERLINK("https://ictv.global/taxonomy/taxondetails?taxnode_id=202517841&amp;ictv_id=ICTV202317841","ICTV202317841")</f>
        <v>ICTV202317841</v>
      </c>
      <c r="R7250" t="s">
        <v>582</v>
      </c>
      <c r="S7250" t="s">
        <v>824</v>
      </c>
      <c r="T7250">
        <v>41</v>
      </c>
      <c r="U7250" s="26" t="str">
        <f t="shared" si="281"/>
        <v>2025.005D.Parvoviridae_1absf_4nsf_39ns.zip</v>
      </c>
    </row>
    <row r="7251" spans="1:21">
      <c r="A7251">
        <v>7250</v>
      </c>
      <c r="B7251" s="27" t="s">
        <v>20779</v>
      </c>
      <c r="D7251" s="27" t="s">
        <v>1826</v>
      </c>
      <c r="F7251" s="27" t="s">
        <v>1827</v>
      </c>
      <c r="H7251" s="27" t="s">
        <v>1833</v>
      </c>
      <c r="J7251" s="27" t="s">
        <v>1834</v>
      </c>
      <c r="L7251" s="27" t="s">
        <v>421</v>
      </c>
      <c r="M7251" s="27" t="s">
        <v>20871</v>
      </c>
      <c r="N7251" s="27" t="s">
        <v>20874</v>
      </c>
      <c r="P7251" s="27" t="s">
        <v>21309</v>
      </c>
      <c r="Q7251" s="26" t="str">
        <f>HYPERLINK("https://ictv.global/taxonomy/taxondetails?taxnode_id=202522207&amp;ictv_id=ICTV202522207","ICTV202522207")</f>
        <v>ICTV202522207</v>
      </c>
      <c r="R7251" t="s">
        <v>660</v>
      </c>
      <c r="S7251" t="s">
        <v>823</v>
      </c>
      <c r="T7251">
        <v>41</v>
      </c>
      <c r="U7251" s="26" t="str">
        <f t="shared" si="281"/>
        <v>2025.005D.Parvoviridae_1absf_4nsf_39ns.zip</v>
      </c>
    </row>
    <row r="7252" spans="1:21">
      <c r="A7252">
        <v>7251</v>
      </c>
      <c r="B7252" s="27" t="s">
        <v>20779</v>
      </c>
      <c r="D7252" s="27" t="s">
        <v>1826</v>
      </c>
      <c r="F7252" s="27" t="s">
        <v>1827</v>
      </c>
      <c r="H7252" s="27" t="s">
        <v>1833</v>
      </c>
      <c r="J7252" s="27" t="s">
        <v>1834</v>
      </c>
      <c r="L7252" s="27" t="s">
        <v>421</v>
      </c>
      <c r="M7252" s="27" t="s">
        <v>20871</v>
      </c>
      <c r="N7252" s="27" t="s">
        <v>20874</v>
      </c>
      <c r="P7252" s="27" t="s">
        <v>20899</v>
      </c>
      <c r="Q7252" s="26" t="str">
        <f>HYPERLINK("https://ictv.global/taxonomy/taxondetails?taxnode_id=202509272&amp;ictv_id=ICTV202009272","ICTV202009272")</f>
        <v>ICTV202009272</v>
      </c>
      <c r="R7252" t="s">
        <v>582</v>
      </c>
      <c r="S7252" t="s">
        <v>824</v>
      </c>
      <c r="T7252">
        <v>41</v>
      </c>
      <c r="U7252" s="26" t="str">
        <f t="shared" si="281"/>
        <v>2025.005D.Parvoviridae_1absf_4nsf_39ns.zip</v>
      </c>
    </row>
    <row r="7253" spans="1:21">
      <c r="A7253">
        <v>7252</v>
      </c>
      <c r="B7253" s="27" t="s">
        <v>20779</v>
      </c>
      <c r="D7253" s="27" t="s">
        <v>1826</v>
      </c>
      <c r="F7253" s="27" t="s">
        <v>1827</v>
      </c>
      <c r="H7253" s="27" t="s">
        <v>1833</v>
      </c>
      <c r="J7253" s="27" t="s">
        <v>1834</v>
      </c>
      <c r="L7253" s="27" t="s">
        <v>421</v>
      </c>
      <c r="M7253" s="27" t="s">
        <v>20871</v>
      </c>
      <c r="N7253" s="27" t="s">
        <v>20874</v>
      </c>
      <c r="P7253" s="27" t="s">
        <v>20900</v>
      </c>
      <c r="Q7253" s="26" t="str">
        <f>HYPERLINK("https://ictv.global/taxonomy/taxondetails?taxnode_id=202509273&amp;ictv_id=ICTV202009273","ICTV202009273")</f>
        <v>ICTV202009273</v>
      </c>
      <c r="R7253" t="s">
        <v>582</v>
      </c>
      <c r="S7253" t="s">
        <v>824</v>
      </c>
      <c r="T7253">
        <v>41</v>
      </c>
      <c r="U7253" s="26" t="str">
        <f t="shared" si="281"/>
        <v>2025.005D.Parvoviridae_1absf_4nsf_39ns.zip</v>
      </c>
    </row>
    <row r="7254" spans="1:21">
      <c r="A7254">
        <v>7253</v>
      </c>
      <c r="B7254" s="27" t="s">
        <v>20779</v>
      </c>
      <c r="D7254" s="27" t="s">
        <v>1826</v>
      </c>
      <c r="F7254" s="27" t="s">
        <v>1827</v>
      </c>
      <c r="H7254" s="27" t="s">
        <v>1833</v>
      </c>
      <c r="J7254" s="27" t="s">
        <v>1834</v>
      </c>
      <c r="L7254" s="27" t="s">
        <v>421</v>
      </c>
      <c r="M7254" s="27" t="s">
        <v>20871</v>
      </c>
      <c r="N7254" s="27" t="s">
        <v>20874</v>
      </c>
      <c r="P7254" s="27" t="s">
        <v>20901</v>
      </c>
      <c r="Q7254" s="26" t="str">
        <f>HYPERLINK("https://ictv.global/taxonomy/taxondetails?taxnode_id=202509274&amp;ictv_id=ICTV202009274","ICTV202009274")</f>
        <v>ICTV202009274</v>
      </c>
      <c r="R7254" t="s">
        <v>582</v>
      </c>
      <c r="S7254" t="s">
        <v>824</v>
      </c>
      <c r="T7254">
        <v>41</v>
      </c>
      <c r="U7254" s="26" t="str">
        <f t="shared" si="281"/>
        <v>2025.005D.Parvoviridae_1absf_4nsf_39ns.zip</v>
      </c>
    </row>
    <row r="7255" spans="1:21">
      <c r="A7255">
        <v>7254</v>
      </c>
      <c r="B7255" s="27" t="s">
        <v>20779</v>
      </c>
      <c r="D7255" s="27" t="s">
        <v>1826</v>
      </c>
      <c r="F7255" s="27" t="s">
        <v>1827</v>
      </c>
      <c r="H7255" s="27" t="s">
        <v>1833</v>
      </c>
      <c r="J7255" s="27" t="s">
        <v>1834</v>
      </c>
      <c r="L7255" s="27" t="s">
        <v>421</v>
      </c>
      <c r="M7255" s="27" t="s">
        <v>20871</v>
      </c>
      <c r="N7255" s="27" t="s">
        <v>20874</v>
      </c>
      <c r="P7255" s="27" t="s">
        <v>21310</v>
      </c>
      <c r="Q7255" s="26" t="str">
        <f>HYPERLINK("https://ictv.global/taxonomy/taxondetails?taxnode_id=202522208&amp;ictv_id=ICTV202522208","ICTV202522208")</f>
        <v>ICTV202522208</v>
      </c>
      <c r="R7255" t="s">
        <v>660</v>
      </c>
      <c r="S7255" t="s">
        <v>823</v>
      </c>
      <c r="T7255">
        <v>41</v>
      </c>
      <c r="U7255" s="26" t="str">
        <f t="shared" si="281"/>
        <v>2025.005D.Parvoviridae_1absf_4nsf_39ns.zip</v>
      </c>
    </row>
    <row r="7256" spans="1:21">
      <c r="A7256">
        <v>7255</v>
      </c>
      <c r="B7256" s="27" t="s">
        <v>20779</v>
      </c>
      <c r="D7256" s="27" t="s">
        <v>1826</v>
      </c>
      <c r="F7256" s="27" t="s">
        <v>1827</v>
      </c>
      <c r="H7256" s="27" t="s">
        <v>1833</v>
      </c>
      <c r="J7256" s="27" t="s">
        <v>1834</v>
      </c>
      <c r="L7256" s="27" t="s">
        <v>421</v>
      </c>
      <c r="M7256" s="27" t="s">
        <v>20871</v>
      </c>
      <c r="N7256" s="27" t="s">
        <v>20874</v>
      </c>
      <c r="P7256" s="27" t="s">
        <v>20880</v>
      </c>
      <c r="Q7256" s="26" t="str">
        <f>HYPERLINK("https://ictv.global/taxonomy/taxondetails?taxnode_id=202507333&amp;ictv_id=ICTV201907333","ICTV201907333")</f>
        <v>ICTV201907333</v>
      </c>
      <c r="R7256" t="s">
        <v>582</v>
      </c>
      <c r="S7256" t="s">
        <v>824</v>
      </c>
      <c r="T7256">
        <v>41</v>
      </c>
      <c r="U7256" s="26" t="str">
        <f t="shared" si="281"/>
        <v>2025.005D.Parvoviridae_1absf_4nsf_39ns.zip</v>
      </c>
    </row>
    <row r="7257" spans="1:21">
      <c r="A7257">
        <v>7256</v>
      </c>
      <c r="B7257" s="27" t="s">
        <v>20779</v>
      </c>
      <c r="D7257" s="27" t="s">
        <v>1826</v>
      </c>
      <c r="F7257" s="27" t="s">
        <v>1827</v>
      </c>
      <c r="H7257" s="27" t="s">
        <v>1833</v>
      </c>
      <c r="J7257" s="27" t="s">
        <v>1834</v>
      </c>
      <c r="L7257" s="27" t="s">
        <v>421</v>
      </c>
      <c r="M7257" s="27" t="s">
        <v>20871</v>
      </c>
      <c r="N7257" s="27" t="s">
        <v>20874</v>
      </c>
      <c r="P7257" s="27" t="s">
        <v>20881</v>
      </c>
      <c r="Q7257" s="26" t="str">
        <f>HYPERLINK("https://ictv.global/taxonomy/taxondetails?taxnode_id=202507334&amp;ictv_id=ICTV201907334","ICTV201907334")</f>
        <v>ICTV201907334</v>
      </c>
      <c r="R7257" t="s">
        <v>582</v>
      </c>
      <c r="S7257" t="s">
        <v>824</v>
      </c>
      <c r="T7257">
        <v>41</v>
      </c>
      <c r="U7257" s="26" t="str">
        <f t="shared" si="281"/>
        <v>2025.005D.Parvoviridae_1absf_4nsf_39ns.zip</v>
      </c>
    </row>
    <row r="7258" spans="1:21">
      <c r="A7258">
        <v>7257</v>
      </c>
      <c r="B7258" s="27" t="s">
        <v>20779</v>
      </c>
      <c r="D7258" s="27" t="s">
        <v>1826</v>
      </c>
      <c r="F7258" s="27" t="s">
        <v>1827</v>
      </c>
      <c r="H7258" s="27" t="s">
        <v>1833</v>
      </c>
      <c r="J7258" s="27" t="s">
        <v>1834</v>
      </c>
      <c r="L7258" s="27" t="s">
        <v>421</v>
      </c>
      <c r="M7258" s="27" t="s">
        <v>20871</v>
      </c>
      <c r="N7258" s="27" t="s">
        <v>20874</v>
      </c>
      <c r="P7258" s="27" t="s">
        <v>20882</v>
      </c>
      <c r="Q7258" s="26" t="str">
        <f>HYPERLINK("https://ictv.global/taxonomy/taxondetails?taxnode_id=202507335&amp;ictv_id=ICTV201907335","ICTV201907335")</f>
        <v>ICTV201907335</v>
      </c>
      <c r="R7258" t="s">
        <v>582</v>
      </c>
      <c r="S7258" t="s">
        <v>824</v>
      </c>
      <c r="T7258">
        <v>41</v>
      </c>
      <c r="U7258" s="26" t="str">
        <f t="shared" si="281"/>
        <v>2025.005D.Parvoviridae_1absf_4nsf_39ns.zip</v>
      </c>
    </row>
    <row r="7259" spans="1:21">
      <c r="A7259">
        <v>7258</v>
      </c>
      <c r="B7259" s="27" t="s">
        <v>20779</v>
      </c>
      <c r="D7259" s="27" t="s">
        <v>1826</v>
      </c>
      <c r="F7259" s="27" t="s">
        <v>1827</v>
      </c>
      <c r="H7259" s="27" t="s">
        <v>1833</v>
      </c>
      <c r="J7259" s="27" t="s">
        <v>1834</v>
      </c>
      <c r="L7259" s="27" t="s">
        <v>421</v>
      </c>
      <c r="M7259" s="27" t="s">
        <v>20871</v>
      </c>
      <c r="N7259" s="27" t="s">
        <v>20874</v>
      </c>
      <c r="P7259" s="27" t="s">
        <v>20902</v>
      </c>
      <c r="Q7259" s="26" t="str">
        <f>HYPERLINK("https://ictv.global/taxonomy/taxondetails?taxnode_id=202509275&amp;ictv_id=ICTV202009275","ICTV202009275")</f>
        <v>ICTV202009275</v>
      </c>
      <c r="R7259" t="s">
        <v>582</v>
      </c>
      <c r="S7259" t="s">
        <v>824</v>
      </c>
      <c r="T7259">
        <v>41</v>
      </c>
      <c r="U7259" s="26" t="str">
        <f t="shared" si="281"/>
        <v>2025.005D.Parvoviridae_1absf_4nsf_39ns.zip</v>
      </c>
    </row>
    <row r="7260" spans="1:21">
      <c r="A7260">
        <v>7259</v>
      </c>
      <c r="B7260" s="27" t="s">
        <v>20779</v>
      </c>
      <c r="D7260" s="27" t="s">
        <v>1826</v>
      </c>
      <c r="F7260" s="27" t="s">
        <v>1827</v>
      </c>
      <c r="H7260" s="27" t="s">
        <v>1833</v>
      </c>
      <c r="J7260" s="27" t="s">
        <v>1834</v>
      </c>
      <c r="L7260" s="27" t="s">
        <v>421</v>
      </c>
      <c r="M7260" s="27" t="s">
        <v>20871</v>
      </c>
      <c r="N7260" s="27" t="s">
        <v>20874</v>
      </c>
      <c r="P7260" s="27" t="s">
        <v>20903</v>
      </c>
      <c r="Q7260" s="26" t="str">
        <f>HYPERLINK("https://ictv.global/taxonomy/taxondetails?taxnode_id=202509276&amp;ictv_id=ICTV202009276","ICTV202009276")</f>
        <v>ICTV202009276</v>
      </c>
      <c r="R7260" t="s">
        <v>582</v>
      </c>
      <c r="S7260" t="s">
        <v>824</v>
      </c>
      <c r="T7260">
        <v>41</v>
      </c>
      <c r="U7260" s="26" t="str">
        <f t="shared" si="281"/>
        <v>2025.005D.Parvoviridae_1absf_4nsf_39ns.zip</v>
      </c>
    </row>
    <row r="7261" spans="1:21">
      <c r="A7261">
        <v>7260</v>
      </c>
      <c r="B7261" s="27" t="s">
        <v>20779</v>
      </c>
      <c r="D7261" s="27" t="s">
        <v>1826</v>
      </c>
      <c r="F7261" s="27" t="s">
        <v>1827</v>
      </c>
      <c r="H7261" s="27" t="s">
        <v>1833</v>
      </c>
      <c r="J7261" s="27" t="s">
        <v>1834</v>
      </c>
      <c r="L7261" s="27" t="s">
        <v>421</v>
      </c>
      <c r="M7261" s="27" t="s">
        <v>20871</v>
      </c>
      <c r="N7261" s="27" t="s">
        <v>20874</v>
      </c>
      <c r="P7261" s="27" t="s">
        <v>20984</v>
      </c>
      <c r="Q7261" s="26" t="str">
        <f>HYPERLINK("https://ictv.global/taxonomy/taxondetails?taxnode_id=202517838&amp;ictv_id=ICTV202317838","ICTV202317838")</f>
        <v>ICTV202317838</v>
      </c>
      <c r="R7261" t="s">
        <v>582</v>
      </c>
      <c r="S7261" t="s">
        <v>824</v>
      </c>
      <c r="T7261">
        <v>41</v>
      </c>
      <c r="U7261" s="26" t="str">
        <f t="shared" si="281"/>
        <v>2025.005D.Parvoviridae_1absf_4nsf_39ns.zip</v>
      </c>
    </row>
    <row r="7262" spans="1:21">
      <c r="A7262">
        <v>7261</v>
      </c>
      <c r="B7262" s="27" t="s">
        <v>20779</v>
      </c>
      <c r="D7262" s="27" t="s">
        <v>1826</v>
      </c>
      <c r="F7262" s="27" t="s">
        <v>1827</v>
      </c>
      <c r="H7262" s="27" t="s">
        <v>1833</v>
      </c>
      <c r="J7262" s="27" t="s">
        <v>1834</v>
      </c>
      <c r="L7262" s="27" t="s">
        <v>421</v>
      </c>
      <c r="M7262" s="27" t="s">
        <v>20871</v>
      </c>
      <c r="N7262" s="27" t="s">
        <v>20874</v>
      </c>
      <c r="P7262" s="27" t="s">
        <v>20985</v>
      </c>
      <c r="Q7262" s="26" t="str">
        <f>HYPERLINK("https://ictv.global/taxonomy/taxondetails?taxnode_id=202517839&amp;ictv_id=ICTV202317839","ICTV202317839")</f>
        <v>ICTV202317839</v>
      </c>
      <c r="R7262" t="s">
        <v>582</v>
      </c>
      <c r="S7262" t="s">
        <v>824</v>
      </c>
      <c r="T7262">
        <v>41</v>
      </c>
      <c r="U7262" s="26" t="str">
        <f t="shared" si="281"/>
        <v>2025.005D.Parvoviridae_1absf_4nsf_39ns.zip</v>
      </c>
    </row>
    <row r="7263" spans="1:21">
      <c r="A7263">
        <v>7262</v>
      </c>
      <c r="B7263" s="27" t="s">
        <v>20779</v>
      </c>
      <c r="D7263" s="27" t="s">
        <v>1826</v>
      </c>
      <c r="F7263" s="27" t="s">
        <v>1827</v>
      </c>
      <c r="H7263" s="27" t="s">
        <v>1833</v>
      </c>
      <c r="J7263" s="27" t="s">
        <v>1834</v>
      </c>
      <c r="L7263" s="27" t="s">
        <v>421</v>
      </c>
      <c r="M7263" s="27" t="s">
        <v>20871</v>
      </c>
      <c r="N7263" s="27" t="s">
        <v>20874</v>
      </c>
      <c r="P7263" s="27" t="s">
        <v>21280</v>
      </c>
      <c r="Q7263" s="26" t="str">
        <f>HYPERLINK("https://ictv.global/taxonomy/taxondetails?taxnode_id=202522178&amp;ictv_id=ICTV202522178","ICTV202522178")</f>
        <v>ICTV202522178</v>
      </c>
      <c r="R7263" t="s">
        <v>660</v>
      </c>
      <c r="S7263" t="s">
        <v>823</v>
      </c>
      <c r="T7263">
        <v>41</v>
      </c>
      <c r="U7263" s="26" t="str">
        <f t="shared" si="281"/>
        <v>2025.005D.Parvoviridae_1absf_4nsf_39ns.zip</v>
      </c>
    </row>
    <row r="7264" spans="1:21">
      <c r="A7264">
        <v>7263</v>
      </c>
      <c r="B7264" s="27" t="s">
        <v>20779</v>
      </c>
      <c r="D7264" s="27" t="s">
        <v>1826</v>
      </c>
      <c r="F7264" s="27" t="s">
        <v>1827</v>
      </c>
      <c r="H7264" s="27" t="s">
        <v>1833</v>
      </c>
      <c r="J7264" s="27" t="s">
        <v>1834</v>
      </c>
      <c r="L7264" s="27" t="s">
        <v>421</v>
      </c>
      <c r="M7264" s="27" t="s">
        <v>20871</v>
      </c>
      <c r="N7264" s="27" t="s">
        <v>20874</v>
      </c>
      <c r="P7264" s="27" t="s">
        <v>20975</v>
      </c>
      <c r="Q7264" s="26" t="str">
        <f>HYPERLINK("https://ictv.global/taxonomy/taxondetails?taxnode_id=202514071&amp;ictv_id=ICTV202214071","ICTV202214071")</f>
        <v>ICTV202214071</v>
      </c>
      <c r="R7264" t="s">
        <v>582</v>
      </c>
      <c r="S7264" t="s">
        <v>824</v>
      </c>
      <c r="T7264">
        <v>41</v>
      </c>
      <c r="U7264" s="26" t="str">
        <f t="shared" ref="U7264:U7295" si="282">HYPERLINK("https://ictv.global/ictv/proposals/2025.005D.Parvoviridae_1absf_4nsf_39ns.zip","2025.005D.Parvoviridae_1absf_4nsf_39ns.zip")</f>
        <v>2025.005D.Parvoviridae_1absf_4nsf_39ns.zip</v>
      </c>
    </row>
    <row r="7265" spans="1:21">
      <c r="A7265">
        <v>7264</v>
      </c>
      <c r="B7265" s="27" t="s">
        <v>20779</v>
      </c>
      <c r="D7265" s="27" t="s">
        <v>1826</v>
      </c>
      <c r="F7265" s="27" t="s">
        <v>1827</v>
      </c>
      <c r="H7265" s="27" t="s">
        <v>1833</v>
      </c>
      <c r="J7265" s="27" t="s">
        <v>1834</v>
      </c>
      <c r="L7265" s="27" t="s">
        <v>421</v>
      </c>
      <c r="M7265" s="27" t="s">
        <v>20871</v>
      </c>
      <c r="N7265" s="27" t="s">
        <v>20874</v>
      </c>
      <c r="P7265" s="27" t="s">
        <v>20976</v>
      </c>
      <c r="Q7265" s="26" t="str">
        <f>HYPERLINK("https://ictv.global/taxonomy/taxondetails?taxnode_id=202514072&amp;ictv_id=ICTV202214072","ICTV202214072")</f>
        <v>ICTV202214072</v>
      </c>
      <c r="R7265" t="s">
        <v>582</v>
      </c>
      <c r="S7265" t="s">
        <v>824</v>
      </c>
      <c r="T7265">
        <v>41</v>
      </c>
      <c r="U7265" s="26" t="str">
        <f t="shared" si="282"/>
        <v>2025.005D.Parvoviridae_1absf_4nsf_39ns.zip</v>
      </c>
    </row>
    <row r="7266" spans="1:21">
      <c r="A7266">
        <v>7265</v>
      </c>
      <c r="B7266" s="27" t="s">
        <v>20779</v>
      </c>
      <c r="D7266" s="27" t="s">
        <v>1826</v>
      </c>
      <c r="F7266" s="27" t="s">
        <v>1827</v>
      </c>
      <c r="H7266" s="27" t="s">
        <v>1833</v>
      </c>
      <c r="J7266" s="27" t="s">
        <v>1834</v>
      </c>
      <c r="L7266" s="27" t="s">
        <v>421</v>
      </c>
      <c r="M7266" s="27" t="s">
        <v>20871</v>
      </c>
      <c r="N7266" s="27" t="s">
        <v>20874</v>
      </c>
      <c r="P7266" s="27" t="s">
        <v>20977</v>
      </c>
      <c r="Q7266" s="26" t="str">
        <f>HYPERLINK("https://ictv.global/taxonomy/taxondetails?taxnode_id=202514073&amp;ictv_id=ICTV202214073","ICTV202214073")</f>
        <v>ICTV202214073</v>
      </c>
      <c r="R7266" t="s">
        <v>582</v>
      </c>
      <c r="S7266" t="s">
        <v>824</v>
      </c>
      <c r="T7266">
        <v>41</v>
      </c>
      <c r="U7266" s="26" t="str">
        <f t="shared" si="282"/>
        <v>2025.005D.Parvoviridae_1absf_4nsf_39ns.zip</v>
      </c>
    </row>
    <row r="7267" spans="1:21">
      <c r="A7267">
        <v>7266</v>
      </c>
      <c r="B7267" s="27" t="s">
        <v>20779</v>
      </c>
      <c r="D7267" s="27" t="s">
        <v>1826</v>
      </c>
      <c r="F7267" s="27" t="s">
        <v>1827</v>
      </c>
      <c r="H7267" s="27" t="s">
        <v>1833</v>
      </c>
      <c r="J7267" s="27" t="s">
        <v>1834</v>
      </c>
      <c r="L7267" s="27" t="s">
        <v>421</v>
      </c>
      <c r="M7267" s="27" t="s">
        <v>20871</v>
      </c>
      <c r="N7267" s="27" t="s">
        <v>20874</v>
      </c>
      <c r="P7267" s="27" t="s">
        <v>20978</v>
      </c>
      <c r="Q7267" s="26" t="str">
        <f>HYPERLINK("https://ictv.global/taxonomy/taxondetails?taxnode_id=202514074&amp;ictv_id=ICTV202214074","ICTV202214074")</f>
        <v>ICTV202214074</v>
      </c>
      <c r="R7267" t="s">
        <v>582</v>
      </c>
      <c r="S7267" t="s">
        <v>824</v>
      </c>
      <c r="T7267">
        <v>41</v>
      </c>
      <c r="U7267" s="26" t="str">
        <f t="shared" si="282"/>
        <v>2025.005D.Parvoviridae_1absf_4nsf_39ns.zip</v>
      </c>
    </row>
    <row r="7268" spans="1:21">
      <c r="A7268">
        <v>7267</v>
      </c>
      <c r="B7268" s="27" t="s">
        <v>20779</v>
      </c>
      <c r="D7268" s="27" t="s">
        <v>1826</v>
      </c>
      <c r="F7268" s="27" t="s">
        <v>1827</v>
      </c>
      <c r="H7268" s="27" t="s">
        <v>1833</v>
      </c>
      <c r="J7268" s="27" t="s">
        <v>1834</v>
      </c>
      <c r="L7268" s="27" t="s">
        <v>421</v>
      </c>
      <c r="M7268" s="27" t="s">
        <v>20871</v>
      </c>
      <c r="N7268" s="27" t="s">
        <v>20874</v>
      </c>
      <c r="P7268" s="27" t="s">
        <v>21304</v>
      </c>
      <c r="Q7268" s="26" t="str">
        <f>HYPERLINK("https://ictv.global/taxonomy/taxondetails?taxnode_id=202522202&amp;ictv_id=ICTV202522202","ICTV202522202")</f>
        <v>ICTV202522202</v>
      </c>
      <c r="R7268" t="s">
        <v>660</v>
      </c>
      <c r="S7268" t="s">
        <v>823</v>
      </c>
      <c r="T7268">
        <v>41</v>
      </c>
      <c r="U7268" s="26" t="str">
        <f t="shared" si="282"/>
        <v>2025.005D.Parvoviridae_1absf_4nsf_39ns.zip</v>
      </c>
    </row>
    <row r="7269" spans="1:21">
      <c r="A7269">
        <v>7268</v>
      </c>
      <c r="B7269" s="27" t="s">
        <v>20779</v>
      </c>
      <c r="D7269" s="27" t="s">
        <v>1826</v>
      </c>
      <c r="F7269" s="27" t="s">
        <v>1827</v>
      </c>
      <c r="H7269" s="27" t="s">
        <v>1833</v>
      </c>
      <c r="J7269" s="27" t="s">
        <v>1834</v>
      </c>
      <c r="L7269" s="27" t="s">
        <v>421</v>
      </c>
      <c r="M7269" s="27" t="s">
        <v>20871</v>
      </c>
      <c r="N7269" s="27" t="s">
        <v>20874</v>
      </c>
      <c r="P7269" s="27" t="s">
        <v>21306</v>
      </c>
      <c r="Q7269" s="26" t="str">
        <f>HYPERLINK("https://ictv.global/taxonomy/taxondetails?taxnode_id=202522204&amp;ictv_id=ICTV202522204","ICTV202522204")</f>
        <v>ICTV202522204</v>
      </c>
      <c r="R7269" t="s">
        <v>660</v>
      </c>
      <c r="S7269" t="s">
        <v>823</v>
      </c>
      <c r="T7269">
        <v>41</v>
      </c>
      <c r="U7269" s="26" t="str">
        <f t="shared" si="282"/>
        <v>2025.005D.Parvoviridae_1absf_4nsf_39ns.zip</v>
      </c>
    </row>
    <row r="7270" spans="1:21">
      <c r="A7270">
        <v>7269</v>
      </c>
      <c r="B7270" s="27" t="s">
        <v>20779</v>
      </c>
      <c r="D7270" s="27" t="s">
        <v>1826</v>
      </c>
      <c r="F7270" s="27" t="s">
        <v>1827</v>
      </c>
      <c r="H7270" s="27" t="s">
        <v>1833</v>
      </c>
      <c r="J7270" s="27" t="s">
        <v>1834</v>
      </c>
      <c r="L7270" s="27" t="s">
        <v>421</v>
      </c>
      <c r="M7270" s="27" t="s">
        <v>20871</v>
      </c>
      <c r="N7270" s="27" t="s">
        <v>20874</v>
      </c>
      <c r="P7270" s="27" t="s">
        <v>21286</v>
      </c>
      <c r="Q7270" s="26" t="str">
        <f>HYPERLINK("https://ictv.global/taxonomy/taxondetails?taxnode_id=202522184&amp;ictv_id=ICTV202522184","ICTV202522184")</f>
        <v>ICTV202522184</v>
      </c>
      <c r="R7270" t="s">
        <v>660</v>
      </c>
      <c r="S7270" t="s">
        <v>823</v>
      </c>
      <c r="T7270">
        <v>41</v>
      </c>
      <c r="U7270" s="26" t="str">
        <f t="shared" si="282"/>
        <v>2025.005D.Parvoviridae_1absf_4nsf_39ns.zip</v>
      </c>
    </row>
    <row r="7271" spans="1:21">
      <c r="A7271">
        <v>7270</v>
      </c>
      <c r="B7271" s="27" t="s">
        <v>20779</v>
      </c>
      <c r="D7271" s="27" t="s">
        <v>1826</v>
      </c>
      <c r="F7271" s="27" t="s">
        <v>1827</v>
      </c>
      <c r="H7271" s="27" t="s">
        <v>1833</v>
      </c>
      <c r="J7271" s="27" t="s">
        <v>1834</v>
      </c>
      <c r="L7271" s="27" t="s">
        <v>421</v>
      </c>
      <c r="M7271" s="27" t="s">
        <v>20871</v>
      </c>
      <c r="N7271" s="27" t="s">
        <v>20874</v>
      </c>
      <c r="P7271" s="27" t="s">
        <v>21287</v>
      </c>
      <c r="Q7271" s="26" t="str">
        <f>HYPERLINK("https://ictv.global/taxonomy/taxondetails?taxnode_id=202522185&amp;ictv_id=ICTV202522185","ICTV202522185")</f>
        <v>ICTV202522185</v>
      </c>
      <c r="R7271" t="s">
        <v>660</v>
      </c>
      <c r="S7271" t="s">
        <v>823</v>
      </c>
      <c r="T7271">
        <v>41</v>
      </c>
      <c r="U7271" s="26" t="str">
        <f t="shared" si="282"/>
        <v>2025.005D.Parvoviridae_1absf_4nsf_39ns.zip</v>
      </c>
    </row>
    <row r="7272" spans="1:21">
      <c r="A7272">
        <v>7271</v>
      </c>
      <c r="B7272" s="27" t="s">
        <v>20779</v>
      </c>
      <c r="D7272" s="27" t="s">
        <v>1826</v>
      </c>
      <c r="F7272" s="27" t="s">
        <v>1827</v>
      </c>
      <c r="H7272" s="27" t="s">
        <v>1833</v>
      </c>
      <c r="J7272" s="27" t="s">
        <v>1834</v>
      </c>
      <c r="L7272" s="27" t="s">
        <v>421</v>
      </c>
      <c r="M7272" s="27" t="s">
        <v>20871</v>
      </c>
      <c r="N7272" s="27" t="s">
        <v>20874</v>
      </c>
      <c r="P7272" s="27" t="s">
        <v>21288</v>
      </c>
      <c r="Q7272" s="26" t="str">
        <f>HYPERLINK("https://ictv.global/taxonomy/taxondetails?taxnode_id=202522186&amp;ictv_id=ICTV202522186","ICTV202522186")</f>
        <v>ICTV202522186</v>
      </c>
      <c r="R7272" t="s">
        <v>660</v>
      </c>
      <c r="S7272" t="s">
        <v>823</v>
      </c>
      <c r="T7272">
        <v>41</v>
      </c>
      <c r="U7272" s="26" t="str">
        <f t="shared" si="282"/>
        <v>2025.005D.Parvoviridae_1absf_4nsf_39ns.zip</v>
      </c>
    </row>
    <row r="7273" spans="1:21">
      <c r="A7273">
        <v>7272</v>
      </c>
      <c r="B7273" s="27" t="s">
        <v>20779</v>
      </c>
      <c r="D7273" s="27" t="s">
        <v>1826</v>
      </c>
      <c r="F7273" s="27" t="s">
        <v>1827</v>
      </c>
      <c r="H7273" s="27" t="s">
        <v>1833</v>
      </c>
      <c r="J7273" s="27" t="s">
        <v>1834</v>
      </c>
      <c r="L7273" s="27" t="s">
        <v>421</v>
      </c>
      <c r="M7273" s="27" t="s">
        <v>20871</v>
      </c>
      <c r="N7273" s="27" t="s">
        <v>20874</v>
      </c>
      <c r="P7273" s="27" t="s">
        <v>21289</v>
      </c>
      <c r="Q7273" s="26" t="str">
        <f>HYPERLINK("https://ictv.global/taxonomy/taxondetails?taxnode_id=202522187&amp;ictv_id=ICTV202522187","ICTV202522187")</f>
        <v>ICTV202522187</v>
      </c>
      <c r="R7273" t="s">
        <v>660</v>
      </c>
      <c r="S7273" t="s">
        <v>823</v>
      </c>
      <c r="T7273">
        <v>41</v>
      </c>
      <c r="U7273" s="26" t="str">
        <f t="shared" si="282"/>
        <v>2025.005D.Parvoviridae_1absf_4nsf_39ns.zip</v>
      </c>
    </row>
    <row r="7274" spans="1:21">
      <c r="A7274">
        <v>7273</v>
      </c>
      <c r="B7274" s="27" t="s">
        <v>20779</v>
      </c>
      <c r="D7274" s="27" t="s">
        <v>1826</v>
      </c>
      <c r="F7274" s="27" t="s">
        <v>1827</v>
      </c>
      <c r="H7274" s="27" t="s">
        <v>1833</v>
      </c>
      <c r="J7274" s="27" t="s">
        <v>1834</v>
      </c>
      <c r="L7274" s="27" t="s">
        <v>421</v>
      </c>
      <c r="M7274" s="27" t="s">
        <v>20871</v>
      </c>
      <c r="N7274" s="27" t="s">
        <v>20874</v>
      </c>
      <c r="P7274" s="27" t="s">
        <v>21290</v>
      </c>
      <c r="Q7274" s="26" t="str">
        <f>HYPERLINK("https://ictv.global/taxonomy/taxondetails?taxnode_id=202522188&amp;ictv_id=ICTV202522188","ICTV202522188")</f>
        <v>ICTV202522188</v>
      </c>
      <c r="R7274" t="s">
        <v>660</v>
      </c>
      <c r="S7274" t="s">
        <v>823</v>
      </c>
      <c r="T7274">
        <v>41</v>
      </c>
      <c r="U7274" s="26" t="str">
        <f t="shared" si="282"/>
        <v>2025.005D.Parvoviridae_1absf_4nsf_39ns.zip</v>
      </c>
    </row>
    <row r="7275" spans="1:21">
      <c r="A7275">
        <v>7274</v>
      </c>
      <c r="B7275" s="27" t="s">
        <v>20779</v>
      </c>
      <c r="D7275" s="27" t="s">
        <v>1826</v>
      </c>
      <c r="F7275" s="27" t="s">
        <v>1827</v>
      </c>
      <c r="H7275" s="27" t="s">
        <v>1833</v>
      </c>
      <c r="J7275" s="27" t="s">
        <v>1834</v>
      </c>
      <c r="L7275" s="27" t="s">
        <v>421</v>
      </c>
      <c r="M7275" s="27" t="s">
        <v>20871</v>
      </c>
      <c r="N7275" s="27" t="s">
        <v>20874</v>
      </c>
      <c r="P7275" s="27" t="s">
        <v>21291</v>
      </c>
      <c r="Q7275" s="26" t="str">
        <f>HYPERLINK("https://ictv.global/taxonomy/taxondetails?taxnode_id=202522189&amp;ictv_id=ICTV202522189","ICTV202522189")</f>
        <v>ICTV202522189</v>
      </c>
      <c r="R7275" t="s">
        <v>660</v>
      </c>
      <c r="S7275" t="s">
        <v>823</v>
      </c>
      <c r="T7275">
        <v>41</v>
      </c>
      <c r="U7275" s="26" t="str">
        <f t="shared" si="282"/>
        <v>2025.005D.Parvoviridae_1absf_4nsf_39ns.zip</v>
      </c>
    </row>
    <row r="7276" spans="1:21">
      <c r="A7276">
        <v>7275</v>
      </c>
      <c r="B7276" s="27" t="s">
        <v>20779</v>
      </c>
      <c r="D7276" s="27" t="s">
        <v>1826</v>
      </c>
      <c r="F7276" s="27" t="s">
        <v>1827</v>
      </c>
      <c r="H7276" s="27" t="s">
        <v>1833</v>
      </c>
      <c r="J7276" s="27" t="s">
        <v>1834</v>
      </c>
      <c r="L7276" s="27" t="s">
        <v>421</v>
      </c>
      <c r="M7276" s="27" t="s">
        <v>20871</v>
      </c>
      <c r="N7276" s="27" t="s">
        <v>20874</v>
      </c>
      <c r="P7276" s="27" t="s">
        <v>21292</v>
      </c>
      <c r="Q7276" s="26" t="str">
        <f>HYPERLINK("https://ictv.global/taxonomy/taxondetails?taxnode_id=202522190&amp;ictv_id=ICTV202522190","ICTV202522190")</f>
        <v>ICTV202522190</v>
      </c>
      <c r="R7276" t="s">
        <v>660</v>
      </c>
      <c r="S7276" t="s">
        <v>823</v>
      </c>
      <c r="T7276">
        <v>41</v>
      </c>
      <c r="U7276" s="26" t="str">
        <f t="shared" si="282"/>
        <v>2025.005D.Parvoviridae_1absf_4nsf_39ns.zip</v>
      </c>
    </row>
    <row r="7277" spans="1:21">
      <c r="A7277">
        <v>7276</v>
      </c>
      <c r="B7277" s="27" t="s">
        <v>20779</v>
      </c>
      <c r="D7277" s="27" t="s">
        <v>1826</v>
      </c>
      <c r="F7277" s="27" t="s">
        <v>1827</v>
      </c>
      <c r="H7277" s="27" t="s">
        <v>1833</v>
      </c>
      <c r="J7277" s="27" t="s">
        <v>1834</v>
      </c>
      <c r="L7277" s="27" t="s">
        <v>421</v>
      </c>
      <c r="M7277" s="27" t="s">
        <v>20871</v>
      </c>
      <c r="N7277" s="27" t="s">
        <v>20874</v>
      </c>
      <c r="P7277" s="27" t="s">
        <v>21293</v>
      </c>
      <c r="Q7277" s="26" t="str">
        <f>HYPERLINK("https://ictv.global/taxonomy/taxondetails?taxnode_id=202522191&amp;ictv_id=ICTV202522191","ICTV202522191")</f>
        <v>ICTV202522191</v>
      </c>
      <c r="R7277" t="s">
        <v>660</v>
      </c>
      <c r="S7277" t="s">
        <v>823</v>
      </c>
      <c r="T7277">
        <v>41</v>
      </c>
      <c r="U7277" s="26" t="str">
        <f t="shared" si="282"/>
        <v>2025.005D.Parvoviridae_1absf_4nsf_39ns.zip</v>
      </c>
    </row>
    <row r="7278" spans="1:21">
      <c r="A7278">
        <v>7277</v>
      </c>
      <c r="B7278" s="27" t="s">
        <v>20779</v>
      </c>
      <c r="D7278" s="27" t="s">
        <v>1826</v>
      </c>
      <c r="F7278" s="27" t="s">
        <v>1827</v>
      </c>
      <c r="H7278" s="27" t="s">
        <v>1833</v>
      </c>
      <c r="J7278" s="27" t="s">
        <v>1834</v>
      </c>
      <c r="L7278" s="27" t="s">
        <v>421</v>
      </c>
      <c r="M7278" s="27" t="s">
        <v>20871</v>
      </c>
      <c r="N7278" s="27" t="s">
        <v>20874</v>
      </c>
      <c r="P7278" s="27" t="s">
        <v>21294</v>
      </c>
      <c r="Q7278" s="26" t="str">
        <f>HYPERLINK("https://ictv.global/taxonomy/taxondetails?taxnode_id=202522192&amp;ictv_id=ICTV202522192","ICTV202522192")</f>
        <v>ICTV202522192</v>
      </c>
      <c r="R7278" t="s">
        <v>660</v>
      </c>
      <c r="S7278" t="s">
        <v>823</v>
      </c>
      <c r="T7278">
        <v>41</v>
      </c>
      <c r="U7278" s="26" t="str">
        <f t="shared" si="282"/>
        <v>2025.005D.Parvoviridae_1absf_4nsf_39ns.zip</v>
      </c>
    </row>
    <row r="7279" spans="1:21">
      <c r="A7279">
        <v>7278</v>
      </c>
      <c r="B7279" s="27" t="s">
        <v>20779</v>
      </c>
      <c r="D7279" s="27" t="s">
        <v>1826</v>
      </c>
      <c r="F7279" s="27" t="s">
        <v>1827</v>
      </c>
      <c r="H7279" s="27" t="s">
        <v>1833</v>
      </c>
      <c r="J7279" s="27" t="s">
        <v>1834</v>
      </c>
      <c r="L7279" s="27" t="s">
        <v>421</v>
      </c>
      <c r="M7279" s="27" t="s">
        <v>20871</v>
      </c>
      <c r="N7279" s="27" t="s">
        <v>20874</v>
      </c>
      <c r="P7279" s="27" t="s">
        <v>21295</v>
      </c>
      <c r="Q7279" s="26" t="str">
        <f>HYPERLINK("https://ictv.global/taxonomy/taxondetails?taxnode_id=202522193&amp;ictv_id=ICTV202522193","ICTV202522193")</f>
        <v>ICTV202522193</v>
      </c>
      <c r="R7279" t="s">
        <v>660</v>
      </c>
      <c r="S7279" t="s">
        <v>823</v>
      </c>
      <c r="T7279">
        <v>41</v>
      </c>
      <c r="U7279" s="26" t="str">
        <f t="shared" si="282"/>
        <v>2025.005D.Parvoviridae_1absf_4nsf_39ns.zip</v>
      </c>
    </row>
    <row r="7280" spans="1:21">
      <c r="A7280">
        <v>7279</v>
      </c>
      <c r="B7280" s="27" t="s">
        <v>20779</v>
      </c>
      <c r="D7280" s="27" t="s">
        <v>1826</v>
      </c>
      <c r="F7280" s="27" t="s">
        <v>1827</v>
      </c>
      <c r="H7280" s="27" t="s">
        <v>1833</v>
      </c>
      <c r="J7280" s="27" t="s">
        <v>1834</v>
      </c>
      <c r="L7280" s="27" t="s">
        <v>421</v>
      </c>
      <c r="M7280" s="27" t="s">
        <v>20871</v>
      </c>
      <c r="N7280" s="27" t="s">
        <v>20874</v>
      </c>
      <c r="P7280" s="27" t="s">
        <v>21296</v>
      </c>
      <c r="Q7280" s="26" t="str">
        <f>HYPERLINK("https://ictv.global/taxonomy/taxondetails?taxnode_id=202522194&amp;ictv_id=ICTV202522194","ICTV202522194")</f>
        <v>ICTV202522194</v>
      </c>
      <c r="R7280" t="s">
        <v>660</v>
      </c>
      <c r="S7280" t="s">
        <v>823</v>
      </c>
      <c r="T7280">
        <v>41</v>
      </c>
      <c r="U7280" s="26" t="str">
        <f t="shared" si="282"/>
        <v>2025.005D.Parvoviridae_1absf_4nsf_39ns.zip</v>
      </c>
    </row>
    <row r="7281" spans="1:21">
      <c r="A7281">
        <v>7280</v>
      </c>
      <c r="B7281" s="27" t="s">
        <v>20779</v>
      </c>
      <c r="D7281" s="27" t="s">
        <v>1826</v>
      </c>
      <c r="F7281" s="27" t="s">
        <v>1827</v>
      </c>
      <c r="H7281" s="27" t="s">
        <v>1833</v>
      </c>
      <c r="J7281" s="27" t="s">
        <v>1834</v>
      </c>
      <c r="L7281" s="27" t="s">
        <v>421</v>
      </c>
      <c r="M7281" s="27" t="s">
        <v>20871</v>
      </c>
      <c r="N7281" s="27" t="s">
        <v>20874</v>
      </c>
      <c r="P7281" s="27" t="s">
        <v>21297</v>
      </c>
      <c r="Q7281" s="26" t="str">
        <f>HYPERLINK("https://ictv.global/taxonomy/taxondetails?taxnode_id=202522195&amp;ictv_id=ICTV202522195","ICTV202522195")</f>
        <v>ICTV202522195</v>
      </c>
      <c r="R7281" t="s">
        <v>660</v>
      </c>
      <c r="S7281" t="s">
        <v>823</v>
      </c>
      <c r="T7281">
        <v>41</v>
      </c>
      <c r="U7281" s="26" t="str">
        <f t="shared" si="282"/>
        <v>2025.005D.Parvoviridae_1absf_4nsf_39ns.zip</v>
      </c>
    </row>
    <row r="7282" spans="1:21">
      <c r="A7282">
        <v>7281</v>
      </c>
      <c r="B7282" s="27" t="s">
        <v>20779</v>
      </c>
      <c r="D7282" s="27" t="s">
        <v>1826</v>
      </c>
      <c r="F7282" s="27" t="s">
        <v>1827</v>
      </c>
      <c r="H7282" s="27" t="s">
        <v>1833</v>
      </c>
      <c r="J7282" s="27" t="s">
        <v>1834</v>
      </c>
      <c r="L7282" s="27" t="s">
        <v>421</v>
      </c>
      <c r="M7282" s="27" t="s">
        <v>20871</v>
      </c>
      <c r="N7282" s="27" t="s">
        <v>20874</v>
      </c>
      <c r="P7282" s="27" t="s">
        <v>21298</v>
      </c>
      <c r="Q7282" s="26" t="str">
        <f>HYPERLINK("https://ictv.global/taxonomy/taxondetails?taxnode_id=202522196&amp;ictv_id=ICTV202522196","ICTV202522196")</f>
        <v>ICTV202522196</v>
      </c>
      <c r="R7282" t="s">
        <v>660</v>
      </c>
      <c r="S7282" t="s">
        <v>823</v>
      </c>
      <c r="T7282">
        <v>41</v>
      </c>
      <c r="U7282" s="26" t="str">
        <f t="shared" si="282"/>
        <v>2025.005D.Parvoviridae_1absf_4nsf_39ns.zip</v>
      </c>
    </row>
    <row r="7283" spans="1:21">
      <c r="A7283">
        <v>7282</v>
      </c>
      <c r="B7283" s="27" t="s">
        <v>20779</v>
      </c>
      <c r="D7283" s="27" t="s">
        <v>1826</v>
      </c>
      <c r="F7283" s="27" t="s">
        <v>1827</v>
      </c>
      <c r="H7283" s="27" t="s">
        <v>1833</v>
      </c>
      <c r="J7283" s="27" t="s">
        <v>1834</v>
      </c>
      <c r="L7283" s="27" t="s">
        <v>421</v>
      </c>
      <c r="M7283" s="27" t="s">
        <v>20871</v>
      </c>
      <c r="N7283" s="27" t="s">
        <v>20874</v>
      </c>
      <c r="P7283" s="27" t="s">
        <v>21299</v>
      </c>
      <c r="Q7283" s="26" t="str">
        <f>HYPERLINK("https://ictv.global/taxonomy/taxondetails?taxnode_id=202522197&amp;ictv_id=ICTV202522197","ICTV202522197")</f>
        <v>ICTV202522197</v>
      </c>
      <c r="R7283" t="s">
        <v>660</v>
      </c>
      <c r="S7283" t="s">
        <v>823</v>
      </c>
      <c r="T7283">
        <v>41</v>
      </c>
      <c r="U7283" s="26" t="str">
        <f t="shared" si="282"/>
        <v>2025.005D.Parvoviridae_1absf_4nsf_39ns.zip</v>
      </c>
    </row>
    <row r="7284" spans="1:21">
      <c r="A7284">
        <v>7283</v>
      </c>
      <c r="B7284" s="27" t="s">
        <v>20779</v>
      </c>
      <c r="D7284" s="27" t="s">
        <v>1826</v>
      </c>
      <c r="F7284" s="27" t="s">
        <v>1827</v>
      </c>
      <c r="H7284" s="27" t="s">
        <v>1833</v>
      </c>
      <c r="J7284" s="27" t="s">
        <v>1834</v>
      </c>
      <c r="L7284" s="27" t="s">
        <v>421</v>
      </c>
      <c r="M7284" s="27" t="s">
        <v>20871</v>
      </c>
      <c r="N7284" s="27" t="s">
        <v>20874</v>
      </c>
      <c r="P7284" s="27" t="s">
        <v>21300</v>
      </c>
      <c r="Q7284" s="26" t="str">
        <f>HYPERLINK("https://ictv.global/taxonomy/taxondetails?taxnode_id=202522198&amp;ictv_id=ICTV202522198","ICTV202522198")</f>
        <v>ICTV202522198</v>
      </c>
      <c r="R7284" t="s">
        <v>660</v>
      </c>
      <c r="S7284" t="s">
        <v>823</v>
      </c>
      <c r="T7284">
        <v>41</v>
      </c>
      <c r="U7284" s="26" t="str">
        <f t="shared" si="282"/>
        <v>2025.005D.Parvoviridae_1absf_4nsf_39ns.zip</v>
      </c>
    </row>
    <row r="7285" spans="1:21">
      <c r="A7285">
        <v>7284</v>
      </c>
      <c r="B7285" s="27" t="s">
        <v>20779</v>
      </c>
      <c r="D7285" s="27" t="s">
        <v>1826</v>
      </c>
      <c r="F7285" s="27" t="s">
        <v>1827</v>
      </c>
      <c r="H7285" s="27" t="s">
        <v>1833</v>
      </c>
      <c r="J7285" s="27" t="s">
        <v>1834</v>
      </c>
      <c r="L7285" s="27" t="s">
        <v>421</v>
      </c>
      <c r="M7285" s="27" t="s">
        <v>20871</v>
      </c>
      <c r="N7285" s="27" t="s">
        <v>20874</v>
      </c>
      <c r="P7285" s="27" t="s">
        <v>21301</v>
      </c>
      <c r="Q7285" s="26" t="str">
        <f>HYPERLINK("https://ictv.global/taxonomy/taxondetails?taxnode_id=202522199&amp;ictv_id=ICTV202522199","ICTV202522199")</f>
        <v>ICTV202522199</v>
      </c>
      <c r="R7285" t="s">
        <v>660</v>
      </c>
      <c r="S7285" t="s">
        <v>823</v>
      </c>
      <c r="T7285">
        <v>41</v>
      </c>
      <c r="U7285" s="26" t="str">
        <f t="shared" si="282"/>
        <v>2025.005D.Parvoviridae_1absf_4nsf_39ns.zip</v>
      </c>
    </row>
    <row r="7286" spans="1:21">
      <c r="A7286">
        <v>7285</v>
      </c>
      <c r="B7286" s="27" t="s">
        <v>20779</v>
      </c>
      <c r="D7286" s="27" t="s">
        <v>1826</v>
      </c>
      <c r="F7286" s="27" t="s">
        <v>1827</v>
      </c>
      <c r="H7286" s="27" t="s">
        <v>1833</v>
      </c>
      <c r="J7286" s="27" t="s">
        <v>1834</v>
      </c>
      <c r="L7286" s="27" t="s">
        <v>421</v>
      </c>
      <c r="M7286" s="27" t="s">
        <v>20871</v>
      </c>
      <c r="N7286" s="27" t="s">
        <v>20874</v>
      </c>
      <c r="P7286" s="27" t="s">
        <v>21302</v>
      </c>
      <c r="Q7286" s="26" t="str">
        <f>HYPERLINK("https://ictv.global/taxonomy/taxondetails?taxnode_id=202522200&amp;ictv_id=ICTV202522200","ICTV202522200")</f>
        <v>ICTV202522200</v>
      </c>
      <c r="R7286" t="s">
        <v>660</v>
      </c>
      <c r="S7286" t="s">
        <v>823</v>
      </c>
      <c r="T7286">
        <v>41</v>
      </c>
      <c r="U7286" s="26" t="str">
        <f t="shared" si="282"/>
        <v>2025.005D.Parvoviridae_1absf_4nsf_39ns.zip</v>
      </c>
    </row>
    <row r="7287" spans="1:21">
      <c r="A7287">
        <v>7286</v>
      </c>
      <c r="B7287" s="27" t="s">
        <v>20779</v>
      </c>
      <c r="D7287" s="27" t="s">
        <v>1826</v>
      </c>
      <c r="F7287" s="27" t="s">
        <v>1827</v>
      </c>
      <c r="H7287" s="27" t="s">
        <v>1833</v>
      </c>
      <c r="J7287" s="27" t="s">
        <v>1834</v>
      </c>
      <c r="L7287" s="27" t="s">
        <v>421</v>
      </c>
      <c r="M7287" s="27" t="s">
        <v>20871</v>
      </c>
      <c r="N7287" s="27" t="s">
        <v>20874</v>
      </c>
      <c r="P7287" s="27" t="s">
        <v>21279</v>
      </c>
      <c r="Q7287" s="26" t="str">
        <f>HYPERLINK("https://ictv.global/taxonomy/taxondetails?taxnode_id=202522177&amp;ictv_id=ICTV202522177","ICTV202522177")</f>
        <v>ICTV202522177</v>
      </c>
      <c r="R7287" t="s">
        <v>660</v>
      </c>
      <c r="S7287" t="s">
        <v>823</v>
      </c>
      <c r="T7287">
        <v>41</v>
      </c>
      <c r="U7287" s="26" t="str">
        <f t="shared" si="282"/>
        <v>2025.005D.Parvoviridae_1absf_4nsf_39ns.zip</v>
      </c>
    </row>
    <row r="7288" spans="1:21">
      <c r="A7288">
        <v>7287</v>
      </c>
      <c r="B7288" s="27" t="s">
        <v>20779</v>
      </c>
      <c r="D7288" s="27" t="s">
        <v>1826</v>
      </c>
      <c r="F7288" s="27" t="s">
        <v>1827</v>
      </c>
      <c r="H7288" s="27" t="s">
        <v>1833</v>
      </c>
      <c r="J7288" s="27" t="s">
        <v>1834</v>
      </c>
      <c r="L7288" s="27" t="s">
        <v>421</v>
      </c>
      <c r="M7288" s="27" t="s">
        <v>20871</v>
      </c>
      <c r="N7288" s="27" t="s">
        <v>20874</v>
      </c>
      <c r="P7288" s="27" t="s">
        <v>21305</v>
      </c>
      <c r="Q7288" s="26" t="str">
        <f>HYPERLINK("https://ictv.global/taxonomy/taxondetails?taxnode_id=202522203&amp;ictv_id=ICTV202522203","ICTV202522203")</f>
        <v>ICTV202522203</v>
      </c>
      <c r="R7288" t="s">
        <v>660</v>
      </c>
      <c r="S7288" t="s">
        <v>823</v>
      </c>
      <c r="T7288">
        <v>41</v>
      </c>
      <c r="U7288" s="26" t="str">
        <f t="shared" si="282"/>
        <v>2025.005D.Parvoviridae_1absf_4nsf_39ns.zip</v>
      </c>
    </row>
    <row r="7289" spans="1:21">
      <c r="A7289">
        <v>7288</v>
      </c>
      <c r="B7289" s="27" t="s">
        <v>20779</v>
      </c>
      <c r="D7289" s="27" t="s">
        <v>1826</v>
      </c>
      <c r="F7289" s="27" t="s">
        <v>1827</v>
      </c>
      <c r="H7289" s="27" t="s">
        <v>1833</v>
      </c>
      <c r="J7289" s="27" t="s">
        <v>1834</v>
      </c>
      <c r="L7289" s="27" t="s">
        <v>421</v>
      </c>
      <c r="M7289" s="27" t="s">
        <v>20871</v>
      </c>
      <c r="N7289" s="27" t="s">
        <v>20874</v>
      </c>
      <c r="P7289" s="27" t="s">
        <v>20966</v>
      </c>
      <c r="Q7289" s="26" t="str">
        <f>HYPERLINK("https://ictv.global/taxonomy/taxondetails?taxnode_id=202514062&amp;ictv_id=ICTV202214062","ICTV202214062")</f>
        <v>ICTV202214062</v>
      </c>
      <c r="R7289" t="s">
        <v>582</v>
      </c>
      <c r="S7289" t="s">
        <v>824</v>
      </c>
      <c r="T7289">
        <v>41</v>
      </c>
      <c r="U7289" s="26" t="str">
        <f t="shared" si="282"/>
        <v>2025.005D.Parvoviridae_1absf_4nsf_39ns.zip</v>
      </c>
    </row>
    <row r="7290" spans="1:21">
      <c r="A7290">
        <v>7289</v>
      </c>
      <c r="B7290" s="27" t="s">
        <v>20779</v>
      </c>
      <c r="D7290" s="27" t="s">
        <v>1826</v>
      </c>
      <c r="F7290" s="27" t="s">
        <v>1827</v>
      </c>
      <c r="H7290" s="27" t="s">
        <v>1833</v>
      </c>
      <c r="J7290" s="27" t="s">
        <v>1834</v>
      </c>
      <c r="L7290" s="27" t="s">
        <v>421</v>
      </c>
      <c r="M7290" s="27" t="s">
        <v>20871</v>
      </c>
      <c r="N7290" s="27" t="s">
        <v>20874</v>
      </c>
      <c r="P7290" s="27" t="s">
        <v>20986</v>
      </c>
      <c r="Q7290" s="26" t="str">
        <f>HYPERLINK("https://ictv.global/taxonomy/taxondetails?taxnode_id=202517840&amp;ictv_id=ICTV202317840","ICTV202317840")</f>
        <v>ICTV202317840</v>
      </c>
      <c r="R7290" t="s">
        <v>582</v>
      </c>
      <c r="S7290" t="s">
        <v>824</v>
      </c>
      <c r="T7290">
        <v>41</v>
      </c>
      <c r="U7290" s="26" t="str">
        <f t="shared" si="282"/>
        <v>2025.005D.Parvoviridae_1absf_4nsf_39ns.zip</v>
      </c>
    </row>
    <row r="7291" spans="1:21">
      <c r="A7291">
        <v>7290</v>
      </c>
      <c r="B7291" s="27" t="s">
        <v>20779</v>
      </c>
      <c r="D7291" s="27" t="s">
        <v>1826</v>
      </c>
      <c r="F7291" s="27" t="s">
        <v>1827</v>
      </c>
      <c r="H7291" s="27" t="s">
        <v>1833</v>
      </c>
      <c r="J7291" s="27" t="s">
        <v>1834</v>
      </c>
      <c r="L7291" s="27" t="s">
        <v>421</v>
      </c>
      <c r="M7291" s="27" t="s">
        <v>20871</v>
      </c>
      <c r="N7291" s="27" t="s">
        <v>20874</v>
      </c>
      <c r="P7291" s="27" t="s">
        <v>20904</v>
      </c>
      <c r="Q7291" s="26" t="str">
        <f>HYPERLINK("https://ictv.global/taxonomy/taxondetails?taxnode_id=202509277&amp;ictv_id=ICTV202009277","ICTV202009277")</f>
        <v>ICTV202009277</v>
      </c>
      <c r="R7291" t="s">
        <v>582</v>
      </c>
      <c r="S7291" t="s">
        <v>824</v>
      </c>
      <c r="T7291">
        <v>41</v>
      </c>
      <c r="U7291" s="26" t="str">
        <f t="shared" si="282"/>
        <v>2025.005D.Parvoviridae_1absf_4nsf_39ns.zip</v>
      </c>
    </row>
    <row r="7292" spans="1:21">
      <c r="A7292">
        <v>7291</v>
      </c>
      <c r="B7292" s="27" t="s">
        <v>20779</v>
      </c>
      <c r="D7292" s="27" t="s">
        <v>1826</v>
      </c>
      <c r="F7292" s="27" t="s">
        <v>1827</v>
      </c>
      <c r="H7292" s="27" t="s">
        <v>1833</v>
      </c>
      <c r="J7292" s="27" t="s">
        <v>1834</v>
      </c>
      <c r="L7292" s="27" t="s">
        <v>421</v>
      </c>
      <c r="M7292" s="27" t="s">
        <v>20871</v>
      </c>
      <c r="N7292" s="27" t="s">
        <v>20874</v>
      </c>
      <c r="P7292" s="27" t="s">
        <v>20967</v>
      </c>
      <c r="Q7292" s="26" t="str">
        <f>HYPERLINK("https://ictv.global/taxonomy/taxondetails?taxnode_id=202514063&amp;ictv_id=ICTV202214063","ICTV202214063")</f>
        <v>ICTV202214063</v>
      </c>
      <c r="R7292" t="s">
        <v>582</v>
      </c>
      <c r="S7292" t="s">
        <v>824</v>
      </c>
      <c r="T7292">
        <v>41</v>
      </c>
      <c r="U7292" s="26" t="str">
        <f t="shared" si="282"/>
        <v>2025.005D.Parvoviridae_1absf_4nsf_39ns.zip</v>
      </c>
    </row>
    <row r="7293" spans="1:21">
      <c r="A7293">
        <v>7292</v>
      </c>
      <c r="B7293" s="27" t="s">
        <v>20779</v>
      </c>
      <c r="D7293" s="27" t="s">
        <v>1826</v>
      </c>
      <c r="F7293" s="27" t="s">
        <v>1827</v>
      </c>
      <c r="H7293" s="27" t="s">
        <v>1833</v>
      </c>
      <c r="J7293" s="27" t="s">
        <v>1834</v>
      </c>
      <c r="L7293" s="27" t="s">
        <v>421</v>
      </c>
      <c r="M7293" s="27" t="s">
        <v>20871</v>
      </c>
      <c r="N7293" s="27" t="s">
        <v>20874</v>
      </c>
      <c r="P7293" s="27" t="s">
        <v>20905</v>
      </c>
      <c r="Q7293" s="26" t="str">
        <f>HYPERLINK("https://ictv.global/taxonomy/taxondetails?taxnode_id=202509278&amp;ictv_id=ICTV202009278","ICTV202009278")</f>
        <v>ICTV202009278</v>
      </c>
      <c r="R7293" t="s">
        <v>582</v>
      </c>
      <c r="S7293" t="s">
        <v>824</v>
      </c>
      <c r="T7293">
        <v>41</v>
      </c>
      <c r="U7293" s="26" t="str">
        <f t="shared" si="282"/>
        <v>2025.005D.Parvoviridae_1absf_4nsf_39ns.zip</v>
      </c>
    </row>
    <row r="7294" spans="1:21">
      <c r="A7294">
        <v>7293</v>
      </c>
      <c r="B7294" s="27" t="s">
        <v>20779</v>
      </c>
      <c r="D7294" s="27" t="s">
        <v>1826</v>
      </c>
      <c r="F7294" s="27" t="s">
        <v>1827</v>
      </c>
      <c r="H7294" s="27" t="s">
        <v>1833</v>
      </c>
      <c r="J7294" s="27" t="s">
        <v>1834</v>
      </c>
      <c r="L7294" s="27" t="s">
        <v>421</v>
      </c>
      <c r="M7294" s="27" t="s">
        <v>20871</v>
      </c>
      <c r="N7294" s="27" t="s">
        <v>20874</v>
      </c>
      <c r="P7294" s="27" t="s">
        <v>20980</v>
      </c>
      <c r="Q7294" s="26" t="str">
        <f>HYPERLINK("https://ictv.global/taxonomy/taxondetails?taxnode_id=202514076&amp;ictv_id=ICTV202214076","ICTV202214076")</f>
        <v>ICTV202214076</v>
      </c>
      <c r="R7294" t="s">
        <v>582</v>
      </c>
      <c r="S7294" t="s">
        <v>824</v>
      </c>
      <c r="T7294">
        <v>41</v>
      </c>
      <c r="U7294" s="26" t="str">
        <f t="shared" si="282"/>
        <v>2025.005D.Parvoviridae_1absf_4nsf_39ns.zip</v>
      </c>
    </row>
    <row r="7295" spans="1:21">
      <c r="A7295">
        <v>7294</v>
      </c>
      <c r="B7295" s="27" t="s">
        <v>20779</v>
      </c>
      <c r="D7295" s="27" t="s">
        <v>1826</v>
      </c>
      <c r="F7295" s="27" t="s">
        <v>1827</v>
      </c>
      <c r="H7295" s="27" t="s">
        <v>1833</v>
      </c>
      <c r="J7295" s="27" t="s">
        <v>1834</v>
      </c>
      <c r="L7295" s="27" t="s">
        <v>421</v>
      </c>
      <c r="M7295" s="27" t="s">
        <v>20871</v>
      </c>
      <c r="N7295" s="27" t="s">
        <v>20874</v>
      </c>
      <c r="P7295" s="27" t="s">
        <v>21303</v>
      </c>
      <c r="Q7295" s="26" t="str">
        <f>HYPERLINK("https://ictv.global/taxonomy/taxondetails?taxnode_id=202522201&amp;ictv_id=ICTV202522201","ICTV202522201")</f>
        <v>ICTV202522201</v>
      </c>
      <c r="R7295" t="s">
        <v>660</v>
      </c>
      <c r="S7295" t="s">
        <v>823</v>
      </c>
      <c r="T7295">
        <v>41</v>
      </c>
      <c r="U7295" s="26" t="str">
        <f t="shared" si="282"/>
        <v>2025.005D.Parvoviridae_1absf_4nsf_39ns.zip</v>
      </c>
    </row>
    <row r="7296" spans="1:21">
      <c r="A7296">
        <v>7295</v>
      </c>
      <c r="B7296" s="27" t="s">
        <v>20779</v>
      </c>
      <c r="D7296" s="27" t="s">
        <v>1826</v>
      </c>
      <c r="F7296" s="27" t="s">
        <v>1827</v>
      </c>
      <c r="H7296" s="27" t="s">
        <v>1833</v>
      </c>
      <c r="J7296" s="27" t="s">
        <v>1834</v>
      </c>
      <c r="L7296" s="27" t="s">
        <v>421</v>
      </c>
      <c r="M7296" s="27" t="s">
        <v>20871</v>
      </c>
      <c r="N7296" s="27" t="s">
        <v>20874</v>
      </c>
      <c r="P7296" s="27" t="s">
        <v>21311</v>
      </c>
      <c r="Q7296" s="26" t="str">
        <f>HYPERLINK("https://ictv.global/taxonomy/taxondetails?taxnode_id=202522209&amp;ictv_id=ICTV202522209","ICTV202522209")</f>
        <v>ICTV202522209</v>
      </c>
      <c r="R7296" t="s">
        <v>660</v>
      </c>
      <c r="S7296" t="s">
        <v>823</v>
      </c>
      <c r="T7296">
        <v>41</v>
      </c>
      <c r="U7296" s="26" t="str">
        <f t="shared" ref="U7296:U7306" si="283">HYPERLINK("https://ictv.global/ictv/proposals/2025.005D.Parvoviridae_1absf_4nsf_39ns.zip","2025.005D.Parvoviridae_1absf_4nsf_39ns.zip")</f>
        <v>2025.005D.Parvoviridae_1absf_4nsf_39ns.zip</v>
      </c>
    </row>
    <row r="7297" spans="1:21">
      <c r="A7297">
        <v>7296</v>
      </c>
      <c r="B7297" s="27" t="s">
        <v>20779</v>
      </c>
      <c r="D7297" s="27" t="s">
        <v>1826</v>
      </c>
      <c r="F7297" s="27" t="s">
        <v>1827</v>
      </c>
      <c r="H7297" s="27" t="s">
        <v>1833</v>
      </c>
      <c r="J7297" s="27" t="s">
        <v>1834</v>
      </c>
      <c r="L7297" s="27" t="s">
        <v>421</v>
      </c>
      <c r="M7297" s="27" t="s">
        <v>20871</v>
      </c>
      <c r="N7297" s="27" t="s">
        <v>20874</v>
      </c>
      <c r="P7297" s="27" t="s">
        <v>20876</v>
      </c>
      <c r="Q7297" s="26" t="str">
        <f>HYPERLINK("https://ictv.global/taxonomy/taxondetails?taxnode_id=202507329&amp;ictv_id=ICTV201907329","ICTV201907329")</f>
        <v>ICTV201907329</v>
      </c>
      <c r="R7297" t="s">
        <v>582</v>
      </c>
      <c r="S7297" t="s">
        <v>824</v>
      </c>
      <c r="T7297">
        <v>41</v>
      </c>
      <c r="U7297" s="26" t="str">
        <f t="shared" si="283"/>
        <v>2025.005D.Parvoviridae_1absf_4nsf_39ns.zip</v>
      </c>
    </row>
    <row r="7298" spans="1:21">
      <c r="A7298">
        <v>7297</v>
      </c>
      <c r="B7298" s="27" t="s">
        <v>20779</v>
      </c>
      <c r="D7298" s="27" t="s">
        <v>1826</v>
      </c>
      <c r="F7298" s="27" t="s">
        <v>1827</v>
      </c>
      <c r="H7298" s="27" t="s">
        <v>1833</v>
      </c>
      <c r="J7298" s="27" t="s">
        <v>1834</v>
      </c>
      <c r="L7298" s="27" t="s">
        <v>421</v>
      </c>
      <c r="M7298" s="27" t="s">
        <v>20871</v>
      </c>
      <c r="N7298" s="27" t="s">
        <v>20874</v>
      </c>
      <c r="P7298" s="27" t="s">
        <v>20877</v>
      </c>
      <c r="Q7298" s="26" t="str">
        <f>HYPERLINK("https://ictv.global/taxonomy/taxondetails?taxnode_id=202507330&amp;ictv_id=ICTV201907330","ICTV201907330")</f>
        <v>ICTV201907330</v>
      </c>
      <c r="R7298" t="s">
        <v>582</v>
      </c>
      <c r="S7298" t="s">
        <v>824</v>
      </c>
      <c r="T7298">
        <v>41</v>
      </c>
      <c r="U7298" s="26" t="str">
        <f t="shared" si="283"/>
        <v>2025.005D.Parvoviridae_1absf_4nsf_39ns.zip</v>
      </c>
    </row>
    <row r="7299" spans="1:21">
      <c r="A7299">
        <v>7298</v>
      </c>
      <c r="B7299" s="27" t="s">
        <v>20779</v>
      </c>
      <c r="D7299" s="27" t="s">
        <v>1826</v>
      </c>
      <c r="F7299" s="27" t="s">
        <v>1827</v>
      </c>
      <c r="H7299" s="27" t="s">
        <v>1833</v>
      </c>
      <c r="J7299" s="27" t="s">
        <v>1834</v>
      </c>
      <c r="L7299" s="27" t="s">
        <v>421</v>
      </c>
      <c r="M7299" s="27" t="s">
        <v>20871</v>
      </c>
      <c r="N7299" s="27" t="s">
        <v>20874</v>
      </c>
      <c r="P7299" s="27" t="s">
        <v>21312</v>
      </c>
      <c r="Q7299" s="26" t="str">
        <f>HYPERLINK("https://ictv.global/taxonomy/taxondetails?taxnode_id=202522210&amp;ictv_id=ICTV202522210","ICTV202522210")</f>
        <v>ICTV202522210</v>
      </c>
      <c r="R7299" t="s">
        <v>660</v>
      </c>
      <c r="S7299" t="s">
        <v>823</v>
      </c>
      <c r="T7299">
        <v>41</v>
      </c>
      <c r="U7299" s="26" t="str">
        <f t="shared" si="283"/>
        <v>2025.005D.Parvoviridae_1absf_4nsf_39ns.zip</v>
      </c>
    </row>
    <row r="7300" spans="1:21">
      <c r="A7300">
        <v>7299</v>
      </c>
      <c r="B7300" s="27" t="s">
        <v>20779</v>
      </c>
      <c r="D7300" s="27" t="s">
        <v>1826</v>
      </c>
      <c r="F7300" s="27" t="s">
        <v>1827</v>
      </c>
      <c r="H7300" s="27" t="s">
        <v>1833</v>
      </c>
      <c r="J7300" s="27" t="s">
        <v>1834</v>
      </c>
      <c r="L7300" s="27" t="s">
        <v>421</v>
      </c>
      <c r="M7300" s="27" t="s">
        <v>20871</v>
      </c>
      <c r="N7300" s="27" t="s">
        <v>20874</v>
      </c>
      <c r="P7300" s="27" t="s">
        <v>20979</v>
      </c>
      <c r="Q7300" s="26" t="str">
        <f>HYPERLINK("https://ictv.global/taxonomy/taxondetails?taxnode_id=202514075&amp;ictv_id=ICTV202214075","ICTV202214075")</f>
        <v>ICTV202214075</v>
      </c>
      <c r="R7300" t="s">
        <v>582</v>
      </c>
      <c r="S7300" t="s">
        <v>824</v>
      </c>
      <c r="T7300">
        <v>41</v>
      </c>
      <c r="U7300" s="26" t="str">
        <f t="shared" si="283"/>
        <v>2025.005D.Parvoviridae_1absf_4nsf_39ns.zip</v>
      </c>
    </row>
    <row r="7301" spans="1:21">
      <c r="A7301">
        <v>7300</v>
      </c>
      <c r="B7301" s="27" t="s">
        <v>20779</v>
      </c>
      <c r="D7301" s="27" t="s">
        <v>1826</v>
      </c>
      <c r="F7301" s="27" t="s">
        <v>1827</v>
      </c>
      <c r="H7301" s="27" t="s">
        <v>1833</v>
      </c>
      <c r="J7301" s="27" t="s">
        <v>1834</v>
      </c>
      <c r="L7301" s="27" t="s">
        <v>421</v>
      </c>
      <c r="M7301" s="27" t="s">
        <v>20871</v>
      </c>
      <c r="N7301" s="27" t="s">
        <v>20874</v>
      </c>
      <c r="P7301" s="27" t="s">
        <v>20875</v>
      </c>
      <c r="Q7301" s="26" t="str">
        <f>HYPERLINK("https://ictv.global/taxonomy/taxondetails?taxnode_id=202507328&amp;ictv_id=ICTV201907328","ICTV201907328")</f>
        <v>ICTV201907328</v>
      </c>
      <c r="R7301" t="s">
        <v>582</v>
      </c>
      <c r="S7301" t="s">
        <v>824</v>
      </c>
      <c r="T7301">
        <v>41</v>
      </c>
      <c r="U7301" s="26" t="str">
        <f t="shared" si="283"/>
        <v>2025.005D.Parvoviridae_1absf_4nsf_39ns.zip</v>
      </c>
    </row>
    <row r="7302" spans="1:21">
      <c r="A7302">
        <v>7301</v>
      </c>
      <c r="B7302" s="27" t="s">
        <v>20779</v>
      </c>
      <c r="D7302" s="27" t="s">
        <v>1826</v>
      </c>
      <c r="F7302" s="27" t="s">
        <v>1827</v>
      </c>
      <c r="H7302" s="27" t="s">
        <v>1833</v>
      </c>
      <c r="J7302" s="27" t="s">
        <v>1834</v>
      </c>
      <c r="L7302" s="27" t="s">
        <v>421</v>
      </c>
      <c r="M7302" s="27" t="s">
        <v>20871</v>
      </c>
      <c r="N7302" s="27" t="s">
        <v>21315</v>
      </c>
      <c r="P7302" s="27" t="s">
        <v>21316</v>
      </c>
      <c r="Q7302" s="26" t="str">
        <f>HYPERLINK("https://ictv.global/taxonomy/taxondetails?taxnode_id=202522212&amp;ictv_id=ICTV202522212","ICTV202522212")</f>
        <v>ICTV202522212</v>
      </c>
      <c r="R7302" t="s">
        <v>660</v>
      </c>
      <c r="S7302" t="s">
        <v>823</v>
      </c>
      <c r="T7302">
        <v>41</v>
      </c>
      <c r="U7302" s="26" t="str">
        <f t="shared" si="283"/>
        <v>2025.005D.Parvoviridae_1absf_4nsf_39ns.zip</v>
      </c>
    </row>
    <row r="7303" spans="1:21">
      <c r="A7303">
        <v>7302</v>
      </c>
      <c r="B7303" s="27" t="s">
        <v>20779</v>
      </c>
      <c r="D7303" s="27" t="s">
        <v>1826</v>
      </c>
      <c r="F7303" s="27" t="s">
        <v>1827</v>
      </c>
      <c r="H7303" s="27" t="s">
        <v>1833</v>
      </c>
      <c r="J7303" s="27" t="s">
        <v>1834</v>
      </c>
      <c r="L7303" s="27" t="s">
        <v>421</v>
      </c>
      <c r="M7303" s="27" t="s">
        <v>20871</v>
      </c>
      <c r="N7303" s="27" t="s">
        <v>21313</v>
      </c>
      <c r="P7303" s="27" t="s">
        <v>21314</v>
      </c>
      <c r="Q7303" s="26" t="str">
        <f>HYPERLINK("https://ictv.global/taxonomy/taxondetails?taxnode_id=202522211&amp;ictv_id=ICTV202522211","ICTV202522211")</f>
        <v>ICTV202522211</v>
      </c>
      <c r="R7303" t="s">
        <v>660</v>
      </c>
      <c r="S7303" t="s">
        <v>823</v>
      </c>
      <c r="T7303">
        <v>41</v>
      </c>
      <c r="U7303" s="26" t="str">
        <f t="shared" si="283"/>
        <v>2025.005D.Parvoviridae_1absf_4nsf_39ns.zip</v>
      </c>
    </row>
    <row r="7304" spans="1:21">
      <c r="A7304">
        <v>7303</v>
      </c>
      <c r="B7304" s="27" t="s">
        <v>20779</v>
      </c>
      <c r="D7304" s="27" t="s">
        <v>1826</v>
      </c>
      <c r="F7304" s="27" t="s">
        <v>1827</v>
      </c>
      <c r="H7304" s="27" t="s">
        <v>1833</v>
      </c>
      <c r="J7304" s="27" t="s">
        <v>1834</v>
      </c>
      <c r="L7304" s="27" t="s">
        <v>421</v>
      </c>
      <c r="M7304" s="27" t="s">
        <v>20871</v>
      </c>
      <c r="N7304" s="27" t="s">
        <v>20872</v>
      </c>
      <c r="P7304" s="27" t="s">
        <v>20873</v>
      </c>
      <c r="Q7304" s="26" t="str">
        <f>HYPERLINK("https://ictv.global/taxonomy/taxondetails?taxnode_id=202507326&amp;ictv_id=ICTV201907326","ICTV201907326")</f>
        <v>ICTV201907326</v>
      </c>
      <c r="R7304" t="s">
        <v>582</v>
      </c>
      <c r="S7304" t="s">
        <v>824</v>
      </c>
      <c r="T7304">
        <v>41</v>
      </c>
      <c r="U7304" s="26" t="str">
        <f t="shared" si="283"/>
        <v>2025.005D.Parvoviridae_1absf_4nsf_39ns.zip</v>
      </c>
    </row>
    <row r="7305" spans="1:21">
      <c r="A7305">
        <v>7304</v>
      </c>
      <c r="B7305" s="27" t="s">
        <v>20779</v>
      </c>
      <c r="D7305" s="27" t="s">
        <v>1826</v>
      </c>
      <c r="F7305" s="27" t="s">
        <v>1827</v>
      </c>
      <c r="H7305" s="27" t="s">
        <v>1833</v>
      </c>
      <c r="J7305" s="27" t="s">
        <v>1834</v>
      </c>
      <c r="L7305" s="27" t="s">
        <v>421</v>
      </c>
      <c r="M7305" s="27" t="s">
        <v>20834</v>
      </c>
      <c r="N7305" s="27" t="s">
        <v>20835</v>
      </c>
      <c r="P7305" s="27" t="s">
        <v>20836</v>
      </c>
      <c r="Q7305" s="26" t="str">
        <f>HYPERLINK("https://ictv.global/taxonomy/taxondetails?taxnode_id=202504224&amp;ictv_id=ICTV20132632","ICTV20132632")</f>
        <v>ICTV20132632</v>
      </c>
      <c r="R7305" t="s">
        <v>582</v>
      </c>
      <c r="S7305" t="s">
        <v>824</v>
      </c>
      <c r="T7305">
        <v>41</v>
      </c>
      <c r="U7305" s="26" t="str">
        <f t="shared" si="283"/>
        <v>2025.005D.Parvoviridae_1absf_4nsf_39ns.zip</v>
      </c>
    </row>
    <row r="7306" spans="1:21">
      <c r="A7306">
        <v>7305</v>
      </c>
      <c r="B7306" s="27" t="s">
        <v>20779</v>
      </c>
      <c r="D7306" s="27" t="s">
        <v>1826</v>
      </c>
      <c r="F7306" s="27" t="s">
        <v>1827</v>
      </c>
      <c r="H7306" s="27" t="s">
        <v>1833</v>
      </c>
      <c r="J7306" s="27" t="s">
        <v>1834</v>
      </c>
      <c r="L7306" s="27" t="s">
        <v>421</v>
      </c>
      <c r="M7306" s="27" t="s">
        <v>20963</v>
      </c>
      <c r="N7306" s="27" t="s">
        <v>20964</v>
      </c>
      <c r="P7306" s="27" t="s">
        <v>20965</v>
      </c>
      <c r="Q7306" s="26" t="str">
        <f>HYPERLINK("https://ictv.global/taxonomy/taxondetails?taxnode_id=202514061&amp;ictv_id=ICTV202214061","ICTV202214061")</f>
        <v>ICTV202214061</v>
      </c>
      <c r="R7306" t="s">
        <v>582</v>
      </c>
      <c r="S7306" t="s">
        <v>824</v>
      </c>
      <c r="T7306">
        <v>41</v>
      </c>
      <c r="U7306" s="26" t="str">
        <f t="shared" si="283"/>
        <v>2025.005D.Parvoviridae_1absf_4nsf_39ns.zip</v>
      </c>
    </row>
    <row r="7307" spans="1:21">
      <c r="A7307">
        <v>7306</v>
      </c>
      <c r="B7307" s="27" t="s">
        <v>20779</v>
      </c>
      <c r="D7307" s="27" t="s">
        <v>1826</v>
      </c>
      <c r="F7307" s="27" t="s">
        <v>1827</v>
      </c>
      <c r="H7307" s="27" t="s">
        <v>1833</v>
      </c>
      <c r="J7307" s="27" t="s">
        <v>1834</v>
      </c>
      <c r="L7307" s="27" t="s">
        <v>421</v>
      </c>
      <c r="M7307" s="27" t="s">
        <v>361</v>
      </c>
      <c r="N7307" s="27" t="s">
        <v>557</v>
      </c>
      <c r="P7307" s="27" t="s">
        <v>8426</v>
      </c>
      <c r="Q7307" s="26" t="str">
        <f>HYPERLINK("https://ictv.global/taxonomy/taxondetails?taxnode_id=202504237&amp;ictv_id=ICTV20132553","ICTV20132553")</f>
        <v>ICTV20132553</v>
      </c>
      <c r="R7307" t="s">
        <v>582</v>
      </c>
      <c r="S7307" t="s">
        <v>824</v>
      </c>
      <c r="T7307">
        <v>41</v>
      </c>
      <c r="U7307" s="26" t="str">
        <f t="shared" ref="U7307:U7338" si="284">HYPERLINK("https://ictv.global/ictv/proposals/2025.002G.Monodnaviria_reorg_4nr.zip","2025.002G.Monodnaviria_reorg_4nr.zip")</f>
        <v>2025.002G.Monodnaviria_reorg_4nr.zip</v>
      </c>
    </row>
    <row r="7308" spans="1:21">
      <c r="A7308">
        <v>7307</v>
      </c>
      <c r="B7308" s="27" t="s">
        <v>20779</v>
      </c>
      <c r="D7308" s="27" t="s">
        <v>1826</v>
      </c>
      <c r="F7308" s="27" t="s">
        <v>1827</v>
      </c>
      <c r="H7308" s="27" t="s">
        <v>1833</v>
      </c>
      <c r="J7308" s="27" t="s">
        <v>1834</v>
      </c>
      <c r="L7308" s="27" t="s">
        <v>421</v>
      </c>
      <c r="M7308" s="27" t="s">
        <v>361</v>
      </c>
      <c r="N7308" s="27" t="s">
        <v>557</v>
      </c>
      <c r="P7308" s="27" t="s">
        <v>8427</v>
      </c>
      <c r="Q7308" s="26" t="str">
        <f>HYPERLINK("https://ictv.global/taxonomy/taxondetails?taxnode_id=202504238&amp;ictv_id=ICTV20132554","ICTV20132554")</f>
        <v>ICTV20132554</v>
      </c>
      <c r="R7308" t="s">
        <v>582</v>
      </c>
      <c r="S7308" t="s">
        <v>824</v>
      </c>
      <c r="T7308">
        <v>41</v>
      </c>
      <c r="U7308" s="26" t="str">
        <f t="shared" si="284"/>
        <v>2025.002G.Monodnaviria_reorg_4nr.zip</v>
      </c>
    </row>
    <row r="7309" spans="1:21">
      <c r="A7309">
        <v>7308</v>
      </c>
      <c r="B7309" s="27" t="s">
        <v>20779</v>
      </c>
      <c r="D7309" s="27" t="s">
        <v>1826</v>
      </c>
      <c r="F7309" s="27" t="s">
        <v>1827</v>
      </c>
      <c r="H7309" s="27" t="s">
        <v>1833</v>
      </c>
      <c r="J7309" s="27" t="s">
        <v>1834</v>
      </c>
      <c r="L7309" s="27" t="s">
        <v>421</v>
      </c>
      <c r="M7309" s="27" t="s">
        <v>361</v>
      </c>
      <c r="N7309" s="27" t="s">
        <v>557</v>
      </c>
      <c r="P7309" s="27" t="s">
        <v>8428</v>
      </c>
      <c r="Q7309" s="26" t="str">
        <f>HYPERLINK("https://ictv.global/taxonomy/taxondetails?taxnode_id=202505887&amp;ictv_id=ICTV20175887","ICTV20175887")</f>
        <v>ICTV20175887</v>
      </c>
      <c r="R7309" t="s">
        <v>582</v>
      </c>
      <c r="S7309" t="s">
        <v>824</v>
      </c>
      <c r="T7309">
        <v>41</v>
      </c>
      <c r="U7309" s="26" t="str">
        <f t="shared" si="284"/>
        <v>2025.002G.Monodnaviria_reorg_4nr.zip</v>
      </c>
    </row>
    <row r="7310" spans="1:21">
      <c r="A7310">
        <v>7309</v>
      </c>
      <c r="B7310" s="27" t="s">
        <v>20779</v>
      </c>
      <c r="D7310" s="27" t="s">
        <v>1826</v>
      </c>
      <c r="F7310" s="27" t="s">
        <v>1827</v>
      </c>
      <c r="H7310" s="27" t="s">
        <v>1833</v>
      </c>
      <c r="J7310" s="27" t="s">
        <v>1834</v>
      </c>
      <c r="L7310" s="27" t="s">
        <v>421</v>
      </c>
      <c r="M7310" s="27" t="s">
        <v>361</v>
      </c>
      <c r="N7310" s="27" t="s">
        <v>557</v>
      </c>
      <c r="P7310" s="27" t="s">
        <v>8429</v>
      </c>
      <c r="Q7310" s="26" t="str">
        <f>HYPERLINK("https://ictv.global/taxonomy/taxondetails?taxnode_id=202505888&amp;ictv_id=ICTV20175888","ICTV20175888")</f>
        <v>ICTV20175888</v>
      </c>
      <c r="R7310" t="s">
        <v>582</v>
      </c>
      <c r="S7310" t="s">
        <v>824</v>
      </c>
      <c r="T7310">
        <v>41</v>
      </c>
      <c r="U7310" s="26" t="str">
        <f t="shared" si="284"/>
        <v>2025.002G.Monodnaviria_reorg_4nr.zip</v>
      </c>
    </row>
    <row r="7311" spans="1:21">
      <c r="A7311">
        <v>7310</v>
      </c>
      <c r="B7311" s="27" t="s">
        <v>20779</v>
      </c>
      <c r="D7311" s="27" t="s">
        <v>1826</v>
      </c>
      <c r="F7311" s="27" t="s">
        <v>1827</v>
      </c>
      <c r="H7311" s="27" t="s">
        <v>1833</v>
      </c>
      <c r="J7311" s="27" t="s">
        <v>1834</v>
      </c>
      <c r="L7311" s="27" t="s">
        <v>421</v>
      </c>
      <c r="M7311" s="27" t="s">
        <v>361</v>
      </c>
      <c r="N7311" s="27" t="s">
        <v>557</v>
      </c>
      <c r="P7311" s="27" t="s">
        <v>8430</v>
      </c>
      <c r="Q7311" s="26" t="str">
        <f>HYPERLINK("https://ictv.global/taxonomy/taxondetails?taxnode_id=202507355&amp;ictv_id=ICTV201907355","ICTV201907355")</f>
        <v>ICTV201907355</v>
      </c>
      <c r="R7311" t="s">
        <v>582</v>
      </c>
      <c r="S7311" t="s">
        <v>824</v>
      </c>
      <c r="T7311">
        <v>41</v>
      </c>
      <c r="U7311" s="26" t="str">
        <f t="shared" si="284"/>
        <v>2025.002G.Monodnaviria_reorg_4nr.zip</v>
      </c>
    </row>
    <row r="7312" spans="1:21">
      <c r="A7312">
        <v>7311</v>
      </c>
      <c r="B7312" s="27" t="s">
        <v>20779</v>
      </c>
      <c r="D7312" s="27" t="s">
        <v>1826</v>
      </c>
      <c r="F7312" s="27" t="s">
        <v>1827</v>
      </c>
      <c r="H7312" s="27" t="s">
        <v>1833</v>
      </c>
      <c r="J7312" s="27" t="s">
        <v>1834</v>
      </c>
      <c r="L7312" s="27" t="s">
        <v>421</v>
      </c>
      <c r="M7312" s="27" t="s">
        <v>361</v>
      </c>
      <c r="N7312" s="27" t="s">
        <v>557</v>
      </c>
      <c r="P7312" s="27" t="s">
        <v>8431</v>
      </c>
      <c r="Q7312" s="26" t="str">
        <f>HYPERLINK("https://ictv.global/taxonomy/taxondetails?taxnode_id=202514030&amp;ictv_id=ICTV202214030","ICTV202214030")</f>
        <v>ICTV202214030</v>
      </c>
      <c r="R7312" t="s">
        <v>582</v>
      </c>
      <c r="S7312" t="s">
        <v>824</v>
      </c>
      <c r="T7312">
        <v>41</v>
      </c>
      <c r="U7312" s="26" t="str">
        <f t="shared" si="284"/>
        <v>2025.002G.Monodnaviria_reorg_4nr.zip</v>
      </c>
    </row>
    <row r="7313" spans="1:21">
      <c r="A7313">
        <v>7312</v>
      </c>
      <c r="B7313" s="27" t="s">
        <v>20779</v>
      </c>
      <c r="D7313" s="27" t="s">
        <v>1826</v>
      </c>
      <c r="F7313" s="27" t="s">
        <v>1827</v>
      </c>
      <c r="H7313" s="27" t="s">
        <v>1833</v>
      </c>
      <c r="J7313" s="27" t="s">
        <v>1834</v>
      </c>
      <c r="L7313" s="27" t="s">
        <v>421</v>
      </c>
      <c r="M7313" s="27" t="s">
        <v>361</v>
      </c>
      <c r="N7313" s="27" t="s">
        <v>557</v>
      </c>
      <c r="P7313" s="27" t="s">
        <v>8432</v>
      </c>
      <c r="Q7313" s="26" t="str">
        <f>HYPERLINK("https://ictv.global/taxonomy/taxondetails?taxnode_id=202514031&amp;ictv_id=ICTV202214031","ICTV202214031")</f>
        <v>ICTV202214031</v>
      </c>
      <c r="R7313" t="s">
        <v>582</v>
      </c>
      <c r="S7313" t="s">
        <v>824</v>
      </c>
      <c r="T7313">
        <v>41</v>
      </c>
      <c r="U7313" s="26" t="str">
        <f t="shared" si="284"/>
        <v>2025.002G.Monodnaviria_reorg_4nr.zip</v>
      </c>
    </row>
    <row r="7314" spans="1:21">
      <c r="A7314">
        <v>7313</v>
      </c>
      <c r="B7314" s="27" t="s">
        <v>20779</v>
      </c>
      <c r="D7314" s="27" t="s">
        <v>1826</v>
      </c>
      <c r="F7314" s="27" t="s">
        <v>1827</v>
      </c>
      <c r="H7314" s="27" t="s">
        <v>1833</v>
      </c>
      <c r="J7314" s="27" t="s">
        <v>1834</v>
      </c>
      <c r="L7314" s="27" t="s">
        <v>421</v>
      </c>
      <c r="M7314" s="27" t="s">
        <v>361</v>
      </c>
      <c r="N7314" s="27" t="s">
        <v>557</v>
      </c>
      <c r="P7314" s="27" t="s">
        <v>12257</v>
      </c>
      <c r="Q7314" s="26" t="str">
        <f>HYPERLINK("https://ictv.global/taxonomy/taxondetails?taxnode_id=202517843&amp;ictv_id=ICTV202317843","ICTV202317843")</f>
        <v>ICTV202317843</v>
      </c>
      <c r="R7314" t="s">
        <v>582</v>
      </c>
      <c r="S7314" t="s">
        <v>824</v>
      </c>
      <c r="T7314">
        <v>41</v>
      </c>
      <c r="U7314" s="26" t="str">
        <f t="shared" si="284"/>
        <v>2025.002G.Monodnaviria_reorg_4nr.zip</v>
      </c>
    </row>
    <row r="7315" spans="1:21">
      <c r="A7315">
        <v>7314</v>
      </c>
      <c r="B7315" s="27" t="s">
        <v>20779</v>
      </c>
      <c r="D7315" s="27" t="s">
        <v>1826</v>
      </c>
      <c r="F7315" s="27" t="s">
        <v>1827</v>
      </c>
      <c r="H7315" s="27" t="s">
        <v>1833</v>
      </c>
      <c r="J7315" s="27" t="s">
        <v>1834</v>
      </c>
      <c r="L7315" s="27" t="s">
        <v>421</v>
      </c>
      <c r="M7315" s="27" t="s">
        <v>361</v>
      </c>
      <c r="N7315" s="27" t="s">
        <v>557</v>
      </c>
      <c r="P7315" s="27" t="s">
        <v>12258</v>
      </c>
      <c r="Q7315" s="26" t="str">
        <f>HYPERLINK("https://ictv.global/taxonomy/taxondetails?taxnode_id=202517844&amp;ictv_id=ICTV202317844","ICTV202317844")</f>
        <v>ICTV202317844</v>
      </c>
      <c r="R7315" t="s">
        <v>582</v>
      </c>
      <c r="S7315" t="s">
        <v>824</v>
      </c>
      <c r="T7315">
        <v>41</v>
      </c>
      <c r="U7315" s="26" t="str">
        <f t="shared" si="284"/>
        <v>2025.002G.Monodnaviria_reorg_4nr.zip</v>
      </c>
    </row>
    <row r="7316" spans="1:21">
      <c r="A7316">
        <v>7315</v>
      </c>
      <c r="B7316" s="27" t="s">
        <v>20779</v>
      </c>
      <c r="D7316" s="27" t="s">
        <v>1826</v>
      </c>
      <c r="F7316" s="27" t="s">
        <v>1827</v>
      </c>
      <c r="H7316" s="27" t="s">
        <v>1833</v>
      </c>
      <c r="J7316" s="27" t="s">
        <v>1834</v>
      </c>
      <c r="L7316" s="27" t="s">
        <v>421</v>
      </c>
      <c r="M7316" s="27" t="s">
        <v>361</v>
      </c>
      <c r="N7316" s="27" t="s">
        <v>557</v>
      </c>
      <c r="P7316" s="27" t="s">
        <v>12259</v>
      </c>
      <c r="Q7316" s="26" t="str">
        <f>HYPERLINK("https://ictv.global/taxonomy/taxondetails?taxnode_id=202517845&amp;ictv_id=ICTV202317845","ICTV202317845")</f>
        <v>ICTV202317845</v>
      </c>
      <c r="R7316" t="s">
        <v>582</v>
      </c>
      <c r="S7316" t="s">
        <v>824</v>
      </c>
      <c r="T7316">
        <v>41</v>
      </c>
      <c r="U7316" s="26" t="str">
        <f t="shared" si="284"/>
        <v>2025.002G.Monodnaviria_reorg_4nr.zip</v>
      </c>
    </row>
    <row r="7317" spans="1:21">
      <c r="A7317">
        <v>7316</v>
      </c>
      <c r="B7317" s="27" t="s">
        <v>20779</v>
      </c>
      <c r="D7317" s="27" t="s">
        <v>1826</v>
      </c>
      <c r="F7317" s="27" t="s">
        <v>1827</v>
      </c>
      <c r="H7317" s="27" t="s">
        <v>1833</v>
      </c>
      <c r="J7317" s="27" t="s">
        <v>1834</v>
      </c>
      <c r="L7317" s="27" t="s">
        <v>421</v>
      </c>
      <c r="M7317" s="27" t="s">
        <v>361</v>
      </c>
      <c r="N7317" s="27" t="s">
        <v>557</v>
      </c>
      <c r="P7317" s="27" t="s">
        <v>12260</v>
      </c>
      <c r="Q7317" s="26" t="str">
        <f>HYPERLINK("https://ictv.global/taxonomy/taxondetails?taxnode_id=202517846&amp;ictv_id=ICTV202317846","ICTV202317846")</f>
        <v>ICTV202317846</v>
      </c>
      <c r="R7317" t="s">
        <v>582</v>
      </c>
      <c r="S7317" t="s">
        <v>824</v>
      </c>
      <c r="T7317">
        <v>41</v>
      </c>
      <c r="U7317" s="26" t="str">
        <f t="shared" si="284"/>
        <v>2025.002G.Monodnaviria_reorg_4nr.zip</v>
      </c>
    </row>
    <row r="7318" spans="1:21">
      <c r="A7318">
        <v>7317</v>
      </c>
      <c r="B7318" s="27" t="s">
        <v>20779</v>
      </c>
      <c r="D7318" s="27" t="s">
        <v>1826</v>
      </c>
      <c r="F7318" s="27" t="s">
        <v>1827</v>
      </c>
      <c r="H7318" s="27" t="s">
        <v>1833</v>
      </c>
      <c r="J7318" s="27" t="s">
        <v>1834</v>
      </c>
      <c r="L7318" s="27" t="s">
        <v>421</v>
      </c>
      <c r="M7318" s="27" t="s">
        <v>361</v>
      </c>
      <c r="N7318" s="27" t="s">
        <v>1842</v>
      </c>
      <c r="P7318" s="27" t="s">
        <v>8433</v>
      </c>
      <c r="Q7318" s="26" t="str">
        <f>HYPERLINK("https://ictv.global/taxonomy/taxondetails?taxnode_id=202507337&amp;ictv_id=ICTV201907337","ICTV201907337")</f>
        <v>ICTV201907337</v>
      </c>
      <c r="R7318" t="s">
        <v>582</v>
      </c>
      <c r="S7318" t="s">
        <v>824</v>
      </c>
      <c r="T7318">
        <v>41</v>
      </c>
      <c r="U7318" s="26" t="str">
        <f t="shared" si="284"/>
        <v>2025.002G.Monodnaviria_reorg_4nr.zip</v>
      </c>
    </row>
    <row r="7319" spans="1:21">
      <c r="A7319">
        <v>7318</v>
      </c>
      <c r="B7319" s="27" t="s">
        <v>20779</v>
      </c>
      <c r="D7319" s="27" t="s">
        <v>1826</v>
      </c>
      <c r="F7319" s="27" t="s">
        <v>1827</v>
      </c>
      <c r="H7319" s="27" t="s">
        <v>1833</v>
      </c>
      <c r="J7319" s="27" t="s">
        <v>1834</v>
      </c>
      <c r="L7319" s="27" t="s">
        <v>421</v>
      </c>
      <c r="M7319" s="27" t="s">
        <v>361</v>
      </c>
      <c r="N7319" s="27" t="s">
        <v>558</v>
      </c>
      <c r="P7319" s="27" t="s">
        <v>19988</v>
      </c>
      <c r="Q7319" s="26" t="str">
        <f>HYPERLINK("https://ictv.global/taxonomy/taxondetails?taxnode_id=202520299&amp;ictv_id=ICTV202420299","ICTV202420299")</f>
        <v>ICTV202420299</v>
      </c>
      <c r="R7319" t="s">
        <v>582</v>
      </c>
      <c r="S7319" t="s">
        <v>824</v>
      </c>
      <c r="T7319">
        <v>41</v>
      </c>
      <c r="U7319" s="26" t="str">
        <f t="shared" si="284"/>
        <v>2025.002G.Monodnaviria_reorg_4nr.zip</v>
      </c>
    </row>
    <row r="7320" spans="1:21">
      <c r="A7320">
        <v>7319</v>
      </c>
      <c r="B7320" s="27" t="s">
        <v>20779</v>
      </c>
      <c r="D7320" s="27" t="s">
        <v>1826</v>
      </c>
      <c r="F7320" s="27" t="s">
        <v>1827</v>
      </c>
      <c r="H7320" s="27" t="s">
        <v>1833</v>
      </c>
      <c r="J7320" s="27" t="s">
        <v>1834</v>
      </c>
      <c r="L7320" s="27" t="s">
        <v>421</v>
      </c>
      <c r="M7320" s="27" t="s">
        <v>361</v>
      </c>
      <c r="N7320" s="27" t="s">
        <v>558</v>
      </c>
      <c r="P7320" s="27" t="s">
        <v>19989</v>
      </c>
      <c r="Q7320" s="26" t="str">
        <f>HYPERLINK("https://ictv.global/taxonomy/taxondetails?taxnode_id=202520294&amp;ictv_id=ICTV202420294","ICTV202420294")</f>
        <v>ICTV202420294</v>
      </c>
      <c r="R7320" t="s">
        <v>582</v>
      </c>
      <c r="S7320" t="s">
        <v>824</v>
      </c>
      <c r="T7320">
        <v>41</v>
      </c>
      <c r="U7320" s="26" t="str">
        <f t="shared" si="284"/>
        <v>2025.002G.Monodnaviria_reorg_4nr.zip</v>
      </c>
    </row>
    <row r="7321" spans="1:21">
      <c r="A7321">
        <v>7320</v>
      </c>
      <c r="B7321" s="27" t="s">
        <v>20779</v>
      </c>
      <c r="D7321" s="27" t="s">
        <v>1826</v>
      </c>
      <c r="F7321" s="27" t="s">
        <v>1827</v>
      </c>
      <c r="H7321" s="27" t="s">
        <v>1833</v>
      </c>
      <c r="J7321" s="27" t="s">
        <v>1834</v>
      </c>
      <c r="L7321" s="27" t="s">
        <v>421</v>
      </c>
      <c r="M7321" s="27" t="s">
        <v>361</v>
      </c>
      <c r="N7321" s="27" t="s">
        <v>558</v>
      </c>
      <c r="P7321" s="27" t="s">
        <v>8434</v>
      </c>
      <c r="Q7321" s="26" t="str">
        <f>HYPERLINK("https://ictv.global/taxonomy/taxondetails?taxnode_id=202509279&amp;ictv_id=ICTV202009279","ICTV202009279")</f>
        <v>ICTV202009279</v>
      </c>
      <c r="R7321" t="s">
        <v>582</v>
      </c>
      <c r="S7321" t="s">
        <v>824</v>
      </c>
      <c r="T7321">
        <v>41</v>
      </c>
      <c r="U7321" s="26" t="str">
        <f t="shared" si="284"/>
        <v>2025.002G.Monodnaviria_reorg_4nr.zip</v>
      </c>
    </row>
    <row r="7322" spans="1:21">
      <c r="A7322">
        <v>7321</v>
      </c>
      <c r="B7322" s="27" t="s">
        <v>20779</v>
      </c>
      <c r="D7322" s="27" t="s">
        <v>1826</v>
      </c>
      <c r="F7322" s="27" t="s">
        <v>1827</v>
      </c>
      <c r="H7322" s="27" t="s">
        <v>1833</v>
      </c>
      <c r="J7322" s="27" t="s">
        <v>1834</v>
      </c>
      <c r="L7322" s="27" t="s">
        <v>421</v>
      </c>
      <c r="M7322" s="27" t="s">
        <v>361</v>
      </c>
      <c r="N7322" s="27" t="s">
        <v>558</v>
      </c>
      <c r="P7322" s="27" t="s">
        <v>8435</v>
      </c>
      <c r="Q7322" s="26" t="str">
        <f>HYPERLINK("https://ictv.global/taxonomy/taxondetails?taxnode_id=202504240&amp;ictv_id=ICTV20132620","ICTV20132620")</f>
        <v>ICTV20132620</v>
      </c>
      <c r="R7322" t="s">
        <v>582</v>
      </c>
      <c r="S7322" t="s">
        <v>824</v>
      </c>
      <c r="T7322">
        <v>41</v>
      </c>
      <c r="U7322" s="26" t="str">
        <f t="shared" si="284"/>
        <v>2025.002G.Monodnaviria_reorg_4nr.zip</v>
      </c>
    </row>
    <row r="7323" spans="1:21">
      <c r="A7323">
        <v>7322</v>
      </c>
      <c r="B7323" s="27" t="s">
        <v>20779</v>
      </c>
      <c r="D7323" s="27" t="s">
        <v>1826</v>
      </c>
      <c r="F7323" s="27" t="s">
        <v>1827</v>
      </c>
      <c r="H7323" s="27" t="s">
        <v>1833</v>
      </c>
      <c r="J7323" s="27" t="s">
        <v>1834</v>
      </c>
      <c r="L7323" s="27" t="s">
        <v>421</v>
      </c>
      <c r="M7323" s="27" t="s">
        <v>361</v>
      </c>
      <c r="N7323" s="27" t="s">
        <v>558</v>
      </c>
      <c r="P7323" s="27" t="s">
        <v>19990</v>
      </c>
      <c r="Q7323" s="26" t="str">
        <f>HYPERLINK("https://ictv.global/taxonomy/taxondetails?taxnode_id=202520296&amp;ictv_id=ICTV202420296","ICTV202420296")</f>
        <v>ICTV202420296</v>
      </c>
      <c r="R7323" t="s">
        <v>582</v>
      </c>
      <c r="S7323" t="s">
        <v>824</v>
      </c>
      <c r="T7323">
        <v>41</v>
      </c>
      <c r="U7323" s="26" t="str">
        <f t="shared" si="284"/>
        <v>2025.002G.Monodnaviria_reorg_4nr.zip</v>
      </c>
    </row>
    <row r="7324" spans="1:21">
      <c r="A7324">
        <v>7323</v>
      </c>
      <c r="B7324" s="27" t="s">
        <v>20779</v>
      </c>
      <c r="D7324" s="27" t="s">
        <v>1826</v>
      </c>
      <c r="F7324" s="27" t="s">
        <v>1827</v>
      </c>
      <c r="H7324" s="27" t="s">
        <v>1833</v>
      </c>
      <c r="J7324" s="27" t="s">
        <v>1834</v>
      </c>
      <c r="L7324" s="27" t="s">
        <v>421</v>
      </c>
      <c r="M7324" s="27" t="s">
        <v>361</v>
      </c>
      <c r="N7324" s="27" t="s">
        <v>558</v>
      </c>
      <c r="P7324" s="27" t="s">
        <v>8436</v>
      </c>
      <c r="Q7324" s="26" t="str">
        <f>HYPERLINK("https://ictv.global/taxonomy/taxondetails?taxnode_id=202507350&amp;ictv_id=ICTV201907350","ICTV201907350")</f>
        <v>ICTV201907350</v>
      </c>
      <c r="R7324" t="s">
        <v>582</v>
      </c>
      <c r="S7324" t="s">
        <v>824</v>
      </c>
      <c r="T7324">
        <v>41</v>
      </c>
      <c r="U7324" s="26" t="str">
        <f t="shared" si="284"/>
        <v>2025.002G.Monodnaviria_reorg_4nr.zip</v>
      </c>
    </row>
    <row r="7325" spans="1:21">
      <c r="A7325">
        <v>7324</v>
      </c>
      <c r="B7325" s="27" t="s">
        <v>20779</v>
      </c>
      <c r="D7325" s="27" t="s">
        <v>1826</v>
      </c>
      <c r="F7325" s="27" t="s">
        <v>1827</v>
      </c>
      <c r="H7325" s="27" t="s">
        <v>1833</v>
      </c>
      <c r="J7325" s="27" t="s">
        <v>1834</v>
      </c>
      <c r="L7325" s="27" t="s">
        <v>421</v>
      </c>
      <c r="M7325" s="27" t="s">
        <v>361</v>
      </c>
      <c r="N7325" s="27" t="s">
        <v>558</v>
      </c>
      <c r="P7325" s="27" t="s">
        <v>8437</v>
      </c>
      <c r="Q7325" s="26" t="str">
        <f>HYPERLINK("https://ictv.global/taxonomy/taxondetails?taxnode_id=202514032&amp;ictv_id=ICTV202214032","ICTV202214032")</f>
        <v>ICTV202214032</v>
      </c>
      <c r="R7325" t="s">
        <v>582</v>
      </c>
      <c r="S7325" t="s">
        <v>824</v>
      </c>
      <c r="T7325">
        <v>41</v>
      </c>
      <c r="U7325" s="26" t="str">
        <f t="shared" si="284"/>
        <v>2025.002G.Monodnaviria_reorg_4nr.zip</v>
      </c>
    </row>
    <row r="7326" spans="1:21">
      <c r="A7326">
        <v>7325</v>
      </c>
      <c r="B7326" s="27" t="s">
        <v>20779</v>
      </c>
      <c r="D7326" s="27" t="s">
        <v>1826</v>
      </c>
      <c r="F7326" s="27" t="s">
        <v>1827</v>
      </c>
      <c r="H7326" s="27" t="s">
        <v>1833</v>
      </c>
      <c r="J7326" s="27" t="s">
        <v>1834</v>
      </c>
      <c r="L7326" s="27" t="s">
        <v>421</v>
      </c>
      <c r="M7326" s="27" t="s">
        <v>361</v>
      </c>
      <c r="N7326" s="27" t="s">
        <v>558</v>
      </c>
      <c r="P7326" s="27" t="s">
        <v>19991</v>
      </c>
      <c r="Q7326" s="26" t="str">
        <f>HYPERLINK("https://ictv.global/taxonomy/taxondetails?taxnode_id=202520297&amp;ictv_id=ICTV202420297","ICTV202420297")</f>
        <v>ICTV202420297</v>
      </c>
      <c r="R7326" t="s">
        <v>582</v>
      </c>
      <c r="S7326" t="s">
        <v>824</v>
      </c>
      <c r="T7326">
        <v>41</v>
      </c>
      <c r="U7326" s="26" t="str">
        <f t="shared" si="284"/>
        <v>2025.002G.Monodnaviria_reorg_4nr.zip</v>
      </c>
    </row>
    <row r="7327" spans="1:21">
      <c r="A7327">
        <v>7326</v>
      </c>
      <c r="B7327" s="27" t="s">
        <v>20779</v>
      </c>
      <c r="D7327" s="27" t="s">
        <v>1826</v>
      </c>
      <c r="F7327" s="27" t="s">
        <v>1827</v>
      </c>
      <c r="H7327" s="27" t="s">
        <v>1833</v>
      </c>
      <c r="J7327" s="27" t="s">
        <v>1834</v>
      </c>
      <c r="L7327" s="27" t="s">
        <v>421</v>
      </c>
      <c r="M7327" s="27" t="s">
        <v>361</v>
      </c>
      <c r="N7327" s="27" t="s">
        <v>558</v>
      </c>
      <c r="P7327" s="27" t="s">
        <v>19992</v>
      </c>
      <c r="Q7327" s="26" t="str">
        <f>HYPERLINK("https://ictv.global/taxonomy/taxondetails?taxnode_id=202520298&amp;ictv_id=ICTV202420298","ICTV202420298")</f>
        <v>ICTV202420298</v>
      </c>
      <c r="R7327" t="s">
        <v>582</v>
      </c>
      <c r="S7327" t="s">
        <v>824</v>
      </c>
      <c r="T7327">
        <v>41</v>
      </c>
      <c r="U7327" s="26" t="str">
        <f t="shared" si="284"/>
        <v>2025.002G.Monodnaviria_reorg_4nr.zip</v>
      </c>
    </row>
    <row r="7328" spans="1:21">
      <c r="A7328">
        <v>7327</v>
      </c>
      <c r="B7328" s="27" t="s">
        <v>20779</v>
      </c>
      <c r="D7328" s="27" t="s">
        <v>1826</v>
      </c>
      <c r="F7328" s="27" t="s">
        <v>1827</v>
      </c>
      <c r="H7328" s="27" t="s">
        <v>1833</v>
      </c>
      <c r="J7328" s="27" t="s">
        <v>1834</v>
      </c>
      <c r="L7328" s="27" t="s">
        <v>421</v>
      </c>
      <c r="M7328" s="27" t="s">
        <v>361</v>
      </c>
      <c r="N7328" s="27" t="s">
        <v>558</v>
      </c>
      <c r="P7328" s="27" t="s">
        <v>19993</v>
      </c>
      <c r="Q7328" s="26" t="str">
        <f>HYPERLINK("https://ictv.global/taxonomy/taxondetails?taxnode_id=202520293&amp;ictv_id=ICTV202420293","ICTV202420293")</f>
        <v>ICTV202420293</v>
      </c>
      <c r="R7328" t="s">
        <v>582</v>
      </c>
      <c r="S7328" t="s">
        <v>824</v>
      </c>
      <c r="T7328">
        <v>41</v>
      </c>
      <c r="U7328" s="26" t="str">
        <f t="shared" si="284"/>
        <v>2025.002G.Monodnaviria_reorg_4nr.zip</v>
      </c>
    </row>
    <row r="7329" spans="1:21">
      <c r="A7329">
        <v>7328</v>
      </c>
      <c r="B7329" s="27" t="s">
        <v>20779</v>
      </c>
      <c r="D7329" s="27" t="s">
        <v>1826</v>
      </c>
      <c r="F7329" s="27" t="s">
        <v>1827</v>
      </c>
      <c r="H7329" s="27" t="s">
        <v>1833</v>
      </c>
      <c r="J7329" s="27" t="s">
        <v>1834</v>
      </c>
      <c r="L7329" s="27" t="s">
        <v>421</v>
      </c>
      <c r="M7329" s="27" t="s">
        <v>361</v>
      </c>
      <c r="N7329" s="27" t="s">
        <v>558</v>
      </c>
      <c r="P7329" s="27" t="s">
        <v>19994</v>
      </c>
      <c r="Q7329" s="26" t="str">
        <f>HYPERLINK("https://ictv.global/taxonomy/taxondetails?taxnode_id=202520295&amp;ictv_id=ICTV202420295","ICTV202420295")</f>
        <v>ICTV202420295</v>
      </c>
      <c r="R7329" t="s">
        <v>582</v>
      </c>
      <c r="S7329" t="s">
        <v>824</v>
      </c>
      <c r="T7329">
        <v>41</v>
      </c>
      <c r="U7329" s="26" t="str">
        <f t="shared" si="284"/>
        <v>2025.002G.Monodnaviria_reorg_4nr.zip</v>
      </c>
    </row>
    <row r="7330" spans="1:21">
      <c r="A7330">
        <v>7329</v>
      </c>
      <c r="B7330" s="27" t="s">
        <v>20779</v>
      </c>
      <c r="D7330" s="27" t="s">
        <v>1826</v>
      </c>
      <c r="F7330" s="27" t="s">
        <v>1827</v>
      </c>
      <c r="H7330" s="27" t="s">
        <v>1833</v>
      </c>
      <c r="J7330" s="27" t="s">
        <v>1834</v>
      </c>
      <c r="L7330" s="27" t="s">
        <v>421</v>
      </c>
      <c r="M7330" s="27" t="s">
        <v>361</v>
      </c>
      <c r="N7330" s="27" t="s">
        <v>559</v>
      </c>
      <c r="P7330" s="27" t="s">
        <v>8438</v>
      </c>
      <c r="Q7330" s="26" t="str">
        <f>HYPERLINK("https://ictv.global/taxonomy/taxondetails?taxnode_id=202504242&amp;ictv_id=ICTV20132558","ICTV20132558")</f>
        <v>ICTV20132558</v>
      </c>
      <c r="R7330" t="s">
        <v>582</v>
      </c>
      <c r="S7330" t="s">
        <v>824</v>
      </c>
      <c r="T7330">
        <v>41</v>
      </c>
      <c r="U7330" s="26" t="str">
        <f t="shared" si="284"/>
        <v>2025.002G.Monodnaviria_reorg_4nr.zip</v>
      </c>
    </row>
    <row r="7331" spans="1:21">
      <c r="A7331">
        <v>7330</v>
      </c>
      <c r="B7331" s="27" t="s">
        <v>20779</v>
      </c>
      <c r="D7331" s="27" t="s">
        <v>1826</v>
      </c>
      <c r="F7331" s="27" t="s">
        <v>1827</v>
      </c>
      <c r="H7331" s="27" t="s">
        <v>1833</v>
      </c>
      <c r="J7331" s="27" t="s">
        <v>1834</v>
      </c>
      <c r="L7331" s="27" t="s">
        <v>421</v>
      </c>
      <c r="M7331" s="27" t="s">
        <v>361</v>
      </c>
      <c r="N7331" s="27" t="s">
        <v>559</v>
      </c>
      <c r="P7331" s="27" t="s">
        <v>8439</v>
      </c>
      <c r="Q7331" s="26" t="str">
        <f>HYPERLINK("https://ictv.global/taxonomy/taxondetails?taxnode_id=202504243&amp;ictv_id=ICTV20132559","ICTV20132559")</f>
        <v>ICTV20132559</v>
      </c>
      <c r="R7331" t="s">
        <v>582</v>
      </c>
      <c r="S7331" t="s">
        <v>824</v>
      </c>
      <c r="T7331">
        <v>41</v>
      </c>
      <c r="U7331" s="26" t="str">
        <f t="shared" si="284"/>
        <v>2025.002G.Monodnaviria_reorg_4nr.zip</v>
      </c>
    </row>
    <row r="7332" spans="1:21">
      <c r="A7332">
        <v>7331</v>
      </c>
      <c r="B7332" s="27" t="s">
        <v>20779</v>
      </c>
      <c r="D7332" s="27" t="s">
        <v>1826</v>
      </c>
      <c r="F7332" s="27" t="s">
        <v>1827</v>
      </c>
      <c r="H7332" s="27" t="s">
        <v>1833</v>
      </c>
      <c r="J7332" s="27" t="s">
        <v>1834</v>
      </c>
      <c r="L7332" s="27" t="s">
        <v>421</v>
      </c>
      <c r="M7332" s="27" t="s">
        <v>361</v>
      </c>
      <c r="N7332" s="27" t="s">
        <v>559</v>
      </c>
      <c r="P7332" s="27" t="s">
        <v>8440</v>
      </c>
      <c r="Q7332" s="26" t="str">
        <f>HYPERLINK("https://ictv.global/taxonomy/taxondetails?taxnode_id=202504244&amp;ictv_id=ICTV20132560","ICTV20132560")</f>
        <v>ICTV20132560</v>
      </c>
      <c r="R7332" t="s">
        <v>582</v>
      </c>
      <c r="S7332" t="s">
        <v>824</v>
      </c>
      <c r="T7332">
        <v>41</v>
      </c>
      <c r="U7332" s="26" t="str">
        <f t="shared" si="284"/>
        <v>2025.002G.Monodnaviria_reorg_4nr.zip</v>
      </c>
    </row>
    <row r="7333" spans="1:21">
      <c r="A7333">
        <v>7332</v>
      </c>
      <c r="B7333" s="27" t="s">
        <v>20779</v>
      </c>
      <c r="D7333" s="27" t="s">
        <v>1826</v>
      </c>
      <c r="F7333" s="27" t="s">
        <v>1827</v>
      </c>
      <c r="H7333" s="27" t="s">
        <v>1833</v>
      </c>
      <c r="J7333" s="27" t="s">
        <v>1834</v>
      </c>
      <c r="L7333" s="27" t="s">
        <v>421</v>
      </c>
      <c r="M7333" s="27" t="s">
        <v>361</v>
      </c>
      <c r="N7333" s="27" t="s">
        <v>559</v>
      </c>
      <c r="P7333" s="27" t="s">
        <v>8441</v>
      </c>
      <c r="Q7333" s="26" t="str">
        <f>HYPERLINK("https://ictv.global/taxonomy/taxondetails?taxnode_id=202505889&amp;ictv_id=ICTV20175889","ICTV20175889")</f>
        <v>ICTV20175889</v>
      </c>
      <c r="R7333" t="s">
        <v>582</v>
      </c>
      <c r="S7333" t="s">
        <v>824</v>
      </c>
      <c r="T7333">
        <v>41</v>
      </c>
      <c r="U7333" s="26" t="str">
        <f t="shared" si="284"/>
        <v>2025.002G.Monodnaviria_reorg_4nr.zip</v>
      </c>
    </row>
    <row r="7334" spans="1:21">
      <c r="A7334">
        <v>7333</v>
      </c>
      <c r="B7334" s="27" t="s">
        <v>20779</v>
      </c>
      <c r="D7334" s="27" t="s">
        <v>1826</v>
      </c>
      <c r="F7334" s="27" t="s">
        <v>1827</v>
      </c>
      <c r="H7334" s="27" t="s">
        <v>1833</v>
      </c>
      <c r="J7334" s="27" t="s">
        <v>1834</v>
      </c>
      <c r="L7334" s="27" t="s">
        <v>421</v>
      </c>
      <c r="M7334" s="27" t="s">
        <v>361</v>
      </c>
      <c r="N7334" s="27" t="s">
        <v>559</v>
      </c>
      <c r="P7334" s="27" t="s">
        <v>8442</v>
      </c>
      <c r="Q7334" s="26" t="str">
        <f>HYPERLINK("https://ictv.global/taxonomy/taxondetails?taxnode_id=202505890&amp;ictv_id=ICTV20175890","ICTV20175890")</f>
        <v>ICTV20175890</v>
      </c>
      <c r="R7334" t="s">
        <v>582</v>
      </c>
      <c r="S7334" t="s">
        <v>824</v>
      </c>
      <c r="T7334">
        <v>41</v>
      </c>
      <c r="U7334" s="26" t="str">
        <f t="shared" si="284"/>
        <v>2025.002G.Monodnaviria_reorg_4nr.zip</v>
      </c>
    </row>
    <row r="7335" spans="1:21">
      <c r="A7335">
        <v>7334</v>
      </c>
      <c r="B7335" s="27" t="s">
        <v>20779</v>
      </c>
      <c r="D7335" s="27" t="s">
        <v>1826</v>
      </c>
      <c r="F7335" s="27" t="s">
        <v>1827</v>
      </c>
      <c r="H7335" s="27" t="s">
        <v>1833</v>
      </c>
      <c r="J7335" s="27" t="s">
        <v>1834</v>
      </c>
      <c r="L7335" s="27" t="s">
        <v>421</v>
      </c>
      <c r="M7335" s="27" t="s">
        <v>361</v>
      </c>
      <c r="N7335" s="27" t="s">
        <v>559</v>
      </c>
      <c r="P7335" s="27" t="s">
        <v>8443</v>
      </c>
      <c r="Q7335" s="26" t="str">
        <f>HYPERLINK("https://ictv.global/taxonomy/taxondetails?taxnode_id=202505891&amp;ictv_id=ICTV20175891","ICTV20175891")</f>
        <v>ICTV20175891</v>
      </c>
      <c r="R7335" t="s">
        <v>582</v>
      </c>
      <c r="S7335" t="s">
        <v>824</v>
      </c>
      <c r="T7335">
        <v>41</v>
      </c>
      <c r="U7335" s="26" t="str">
        <f t="shared" si="284"/>
        <v>2025.002G.Monodnaviria_reorg_4nr.zip</v>
      </c>
    </row>
    <row r="7336" spans="1:21">
      <c r="A7336">
        <v>7335</v>
      </c>
      <c r="B7336" s="27" t="s">
        <v>20779</v>
      </c>
      <c r="D7336" s="27" t="s">
        <v>1826</v>
      </c>
      <c r="F7336" s="27" t="s">
        <v>1827</v>
      </c>
      <c r="H7336" s="27" t="s">
        <v>1833</v>
      </c>
      <c r="J7336" s="27" t="s">
        <v>1834</v>
      </c>
      <c r="L7336" s="27" t="s">
        <v>421</v>
      </c>
      <c r="M7336" s="27" t="s">
        <v>361</v>
      </c>
      <c r="N7336" s="27" t="s">
        <v>559</v>
      </c>
      <c r="P7336" s="27" t="s">
        <v>8444</v>
      </c>
      <c r="Q7336" s="26" t="str">
        <f>HYPERLINK("https://ictv.global/taxonomy/taxondetails?taxnode_id=202514033&amp;ictv_id=ICTV202214033","ICTV202214033")</f>
        <v>ICTV202214033</v>
      </c>
      <c r="R7336" t="s">
        <v>582</v>
      </c>
      <c r="S7336" t="s">
        <v>824</v>
      </c>
      <c r="T7336">
        <v>41</v>
      </c>
      <c r="U7336" s="26" t="str">
        <f t="shared" si="284"/>
        <v>2025.002G.Monodnaviria_reorg_4nr.zip</v>
      </c>
    </row>
    <row r="7337" spans="1:21">
      <c r="A7337">
        <v>7336</v>
      </c>
      <c r="B7337" s="27" t="s">
        <v>20779</v>
      </c>
      <c r="D7337" s="27" t="s">
        <v>1826</v>
      </c>
      <c r="F7337" s="27" t="s">
        <v>1827</v>
      </c>
      <c r="H7337" s="27" t="s">
        <v>1833</v>
      </c>
      <c r="J7337" s="27" t="s">
        <v>1834</v>
      </c>
      <c r="L7337" s="27" t="s">
        <v>421</v>
      </c>
      <c r="M7337" s="27" t="s">
        <v>361</v>
      </c>
      <c r="N7337" s="27" t="s">
        <v>559</v>
      </c>
      <c r="P7337" s="27" t="s">
        <v>8445</v>
      </c>
      <c r="Q7337" s="26" t="str">
        <f>HYPERLINK("https://ictv.global/taxonomy/taxondetails?taxnode_id=202505892&amp;ictv_id=ICTV20175892","ICTV20175892")</f>
        <v>ICTV20175892</v>
      </c>
      <c r="R7337" t="s">
        <v>582</v>
      </c>
      <c r="S7337" t="s">
        <v>824</v>
      </c>
      <c r="T7337">
        <v>41</v>
      </c>
      <c r="U7337" s="26" t="str">
        <f t="shared" si="284"/>
        <v>2025.002G.Monodnaviria_reorg_4nr.zip</v>
      </c>
    </row>
    <row r="7338" spans="1:21">
      <c r="A7338">
        <v>7337</v>
      </c>
      <c r="B7338" s="27" t="s">
        <v>20779</v>
      </c>
      <c r="D7338" s="27" t="s">
        <v>1826</v>
      </c>
      <c r="F7338" s="27" t="s">
        <v>1827</v>
      </c>
      <c r="H7338" s="27" t="s">
        <v>1833</v>
      </c>
      <c r="J7338" s="27" t="s">
        <v>1834</v>
      </c>
      <c r="L7338" s="27" t="s">
        <v>421</v>
      </c>
      <c r="M7338" s="27" t="s">
        <v>361</v>
      </c>
      <c r="N7338" s="27" t="s">
        <v>559</v>
      </c>
      <c r="P7338" s="27" t="s">
        <v>8446</v>
      </c>
      <c r="Q7338" s="26" t="str">
        <f>HYPERLINK("https://ictv.global/taxonomy/taxondetails?taxnode_id=202505893&amp;ictv_id=ICTV20175893","ICTV20175893")</f>
        <v>ICTV20175893</v>
      </c>
      <c r="R7338" t="s">
        <v>582</v>
      </c>
      <c r="S7338" t="s">
        <v>824</v>
      </c>
      <c r="T7338">
        <v>41</v>
      </c>
      <c r="U7338" s="26" t="str">
        <f t="shared" si="284"/>
        <v>2025.002G.Monodnaviria_reorg_4nr.zip</v>
      </c>
    </row>
    <row r="7339" spans="1:21">
      <c r="A7339">
        <v>7338</v>
      </c>
      <c r="B7339" s="27" t="s">
        <v>20779</v>
      </c>
      <c r="D7339" s="27" t="s">
        <v>1826</v>
      </c>
      <c r="F7339" s="27" t="s">
        <v>1827</v>
      </c>
      <c r="H7339" s="27" t="s">
        <v>1833</v>
      </c>
      <c r="J7339" s="27" t="s">
        <v>1834</v>
      </c>
      <c r="L7339" s="27" t="s">
        <v>421</v>
      </c>
      <c r="M7339" s="27" t="s">
        <v>361</v>
      </c>
      <c r="N7339" s="27" t="s">
        <v>559</v>
      </c>
      <c r="P7339" s="27" t="s">
        <v>8447</v>
      </c>
      <c r="Q7339" s="26" t="str">
        <f>HYPERLINK("https://ictv.global/taxonomy/taxondetails?taxnode_id=202505894&amp;ictv_id=ICTV20175894","ICTV20175894")</f>
        <v>ICTV20175894</v>
      </c>
      <c r="R7339" t="s">
        <v>582</v>
      </c>
      <c r="S7339" t="s">
        <v>824</v>
      </c>
      <c r="T7339">
        <v>41</v>
      </c>
      <c r="U7339" s="26" t="str">
        <f t="shared" ref="U7339:U7370" si="285">HYPERLINK("https://ictv.global/ictv/proposals/2025.002G.Monodnaviria_reorg_4nr.zip","2025.002G.Monodnaviria_reorg_4nr.zip")</f>
        <v>2025.002G.Monodnaviria_reorg_4nr.zip</v>
      </c>
    </row>
    <row r="7340" spans="1:21">
      <c r="A7340">
        <v>7339</v>
      </c>
      <c r="B7340" s="27" t="s">
        <v>20779</v>
      </c>
      <c r="D7340" s="27" t="s">
        <v>1826</v>
      </c>
      <c r="F7340" s="27" t="s">
        <v>1827</v>
      </c>
      <c r="H7340" s="27" t="s">
        <v>1833</v>
      </c>
      <c r="J7340" s="27" t="s">
        <v>1834</v>
      </c>
      <c r="L7340" s="27" t="s">
        <v>421</v>
      </c>
      <c r="M7340" s="27" t="s">
        <v>361</v>
      </c>
      <c r="N7340" s="27" t="s">
        <v>559</v>
      </c>
      <c r="P7340" s="27" t="s">
        <v>8448</v>
      </c>
      <c r="Q7340" s="26" t="str">
        <f>HYPERLINK("https://ictv.global/taxonomy/taxondetails?taxnode_id=202505895&amp;ictv_id=ICTV20175895","ICTV20175895")</f>
        <v>ICTV20175895</v>
      </c>
      <c r="R7340" t="s">
        <v>582</v>
      </c>
      <c r="S7340" t="s">
        <v>824</v>
      </c>
      <c r="T7340">
        <v>41</v>
      </c>
      <c r="U7340" s="26" t="str">
        <f t="shared" si="285"/>
        <v>2025.002G.Monodnaviria_reorg_4nr.zip</v>
      </c>
    </row>
    <row r="7341" spans="1:21">
      <c r="A7341">
        <v>7340</v>
      </c>
      <c r="B7341" s="27" t="s">
        <v>20779</v>
      </c>
      <c r="D7341" s="27" t="s">
        <v>1826</v>
      </c>
      <c r="F7341" s="27" t="s">
        <v>1827</v>
      </c>
      <c r="H7341" s="27" t="s">
        <v>1833</v>
      </c>
      <c r="J7341" s="27" t="s">
        <v>1834</v>
      </c>
      <c r="L7341" s="27" t="s">
        <v>421</v>
      </c>
      <c r="M7341" s="27" t="s">
        <v>361</v>
      </c>
      <c r="N7341" s="27" t="s">
        <v>559</v>
      </c>
      <c r="P7341" s="27" t="s">
        <v>8449</v>
      </c>
      <c r="Q7341" s="26" t="str">
        <f>HYPERLINK("https://ictv.global/taxonomy/taxondetails?taxnode_id=202509280&amp;ictv_id=ICTV202009280","ICTV202009280")</f>
        <v>ICTV202009280</v>
      </c>
      <c r="R7341" t="s">
        <v>582</v>
      </c>
      <c r="S7341" t="s">
        <v>824</v>
      </c>
      <c r="T7341">
        <v>41</v>
      </c>
      <c r="U7341" s="26" t="str">
        <f t="shared" si="285"/>
        <v>2025.002G.Monodnaviria_reorg_4nr.zip</v>
      </c>
    </row>
    <row r="7342" spans="1:21">
      <c r="A7342">
        <v>7341</v>
      </c>
      <c r="B7342" s="27" t="s">
        <v>20779</v>
      </c>
      <c r="D7342" s="27" t="s">
        <v>1826</v>
      </c>
      <c r="F7342" s="27" t="s">
        <v>1827</v>
      </c>
      <c r="H7342" s="27" t="s">
        <v>1833</v>
      </c>
      <c r="J7342" s="27" t="s">
        <v>1834</v>
      </c>
      <c r="L7342" s="27" t="s">
        <v>421</v>
      </c>
      <c r="M7342" s="27" t="s">
        <v>361</v>
      </c>
      <c r="N7342" s="27" t="s">
        <v>559</v>
      </c>
      <c r="P7342" s="27" t="s">
        <v>19995</v>
      </c>
      <c r="Q7342" s="26" t="str">
        <f>HYPERLINK("https://ictv.global/taxonomy/taxondetails?taxnode_id=202520300&amp;ictv_id=ICTV202420300","ICTV202420300")</f>
        <v>ICTV202420300</v>
      </c>
      <c r="R7342" t="s">
        <v>582</v>
      </c>
      <c r="S7342" t="s">
        <v>824</v>
      </c>
      <c r="T7342">
        <v>41</v>
      </c>
      <c r="U7342" s="26" t="str">
        <f t="shared" si="285"/>
        <v>2025.002G.Monodnaviria_reorg_4nr.zip</v>
      </c>
    </row>
    <row r="7343" spans="1:21">
      <c r="A7343">
        <v>7342</v>
      </c>
      <c r="B7343" s="27" t="s">
        <v>20779</v>
      </c>
      <c r="D7343" s="27" t="s">
        <v>1826</v>
      </c>
      <c r="F7343" s="27" t="s">
        <v>1827</v>
      </c>
      <c r="H7343" s="27" t="s">
        <v>1833</v>
      </c>
      <c r="J7343" s="27" t="s">
        <v>1834</v>
      </c>
      <c r="L7343" s="27" t="s">
        <v>421</v>
      </c>
      <c r="M7343" s="27" t="s">
        <v>361</v>
      </c>
      <c r="N7343" s="27" t="s">
        <v>559</v>
      </c>
      <c r="P7343" s="27" t="s">
        <v>8450</v>
      </c>
      <c r="Q7343" s="26" t="str">
        <f>HYPERLINK("https://ictv.global/taxonomy/taxondetails?taxnode_id=202514034&amp;ictv_id=ICTV202214034","ICTV202214034")</f>
        <v>ICTV202214034</v>
      </c>
      <c r="R7343" t="s">
        <v>582</v>
      </c>
      <c r="S7343" t="s">
        <v>824</v>
      </c>
      <c r="T7343">
        <v>41</v>
      </c>
      <c r="U7343" s="26" t="str">
        <f t="shared" si="285"/>
        <v>2025.002G.Monodnaviria_reorg_4nr.zip</v>
      </c>
    </row>
    <row r="7344" spans="1:21">
      <c r="A7344">
        <v>7343</v>
      </c>
      <c r="B7344" s="27" t="s">
        <v>20779</v>
      </c>
      <c r="D7344" s="27" t="s">
        <v>1826</v>
      </c>
      <c r="F7344" s="27" t="s">
        <v>1827</v>
      </c>
      <c r="H7344" s="27" t="s">
        <v>1833</v>
      </c>
      <c r="J7344" s="27" t="s">
        <v>1834</v>
      </c>
      <c r="L7344" s="27" t="s">
        <v>421</v>
      </c>
      <c r="M7344" s="27" t="s">
        <v>361</v>
      </c>
      <c r="N7344" s="27" t="s">
        <v>559</v>
      </c>
      <c r="P7344" s="27" t="s">
        <v>19996</v>
      </c>
      <c r="Q7344" s="26" t="str">
        <f>HYPERLINK("https://ictv.global/taxonomy/taxondetails?taxnode_id=202520302&amp;ictv_id=ICTV202420302","ICTV202420302")</f>
        <v>ICTV202420302</v>
      </c>
      <c r="R7344" t="s">
        <v>582</v>
      </c>
      <c r="S7344" t="s">
        <v>824</v>
      </c>
      <c r="T7344">
        <v>41</v>
      </c>
      <c r="U7344" s="26" t="str">
        <f t="shared" si="285"/>
        <v>2025.002G.Monodnaviria_reorg_4nr.zip</v>
      </c>
    </row>
    <row r="7345" spans="1:21">
      <c r="A7345">
        <v>7344</v>
      </c>
      <c r="B7345" s="27" t="s">
        <v>20779</v>
      </c>
      <c r="D7345" s="27" t="s">
        <v>1826</v>
      </c>
      <c r="F7345" s="27" t="s">
        <v>1827</v>
      </c>
      <c r="H7345" s="27" t="s">
        <v>1833</v>
      </c>
      <c r="J7345" s="27" t="s">
        <v>1834</v>
      </c>
      <c r="L7345" s="27" t="s">
        <v>421</v>
      </c>
      <c r="M7345" s="27" t="s">
        <v>361</v>
      </c>
      <c r="N7345" s="27" t="s">
        <v>559</v>
      </c>
      <c r="P7345" s="27" t="s">
        <v>19997</v>
      </c>
      <c r="Q7345" s="26" t="str">
        <f>HYPERLINK("https://ictv.global/taxonomy/taxondetails?taxnode_id=202520303&amp;ictv_id=ICTV202420303","ICTV202420303")</f>
        <v>ICTV202420303</v>
      </c>
      <c r="R7345" t="s">
        <v>582</v>
      </c>
      <c r="S7345" t="s">
        <v>824</v>
      </c>
      <c r="T7345">
        <v>41</v>
      </c>
      <c r="U7345" s="26" t="str">
        <f t="shared" si="285"/>
        <v>2025.002G.Monodnaviria_reorg_4nr.zip</v>
      </c>
    </row>
    <row r="7346" spans="1:21">
      <c r="A7346">
        <v>7345</v>
      </c>
      <c r="B7346" s="27" t="s">
        <v>20779</v>
      </c>
      <c r="D7346" s="27" t="s">
        <v>1826</v>
      </c>
      <c r="F7346" s="27" t="s">
        <v>1827</v>
      </c>
      <c r="H7346" s="27" t="s">
        <v>1833</v>
      </c>
      <c r="J7346" s="27" t="s">
        <v>1834</v>
      </c>
      <c r="L7346" s="27" t="s">
        <v>421</v>
      </c>
      <c r="M7346" s="27" t="s">
        <v>361</v>
      </c>
      <c r="N7346" s="27" t="s">
        <v>559</v>
      </c>
      <c r="P7346" s="27" t="s">
        <v>19998</v>
      </c>
      <c r="Q7346" s="26" t="str">
        <f>HYPERLINK("https://ictv.global/taxonomy/taxondetails?taxnode_id=202520304&amp;ictv_id=ICTV202420304","ICTV202420304")</f>
        <v>ICTV202420304</v>
      </c>
      <c r="R7346" t="s">
        <v>582</v>
      </c>
      <c r="S7346" t="s">
        <v>824</v>
      </c>
      <c r="T7346">
        <v>41</v>
      </c>
      <c r="U7346" s="26" t="str">
        <f t="shared" si="285"/>
        <v>2025.002G.Monodnaviria_reorg_4nr.zip</v>
      </c>
    </row>
    <row r="7347" spans="1:21">
      <c r="A7347">
        <v>7346</v>
      </c>
      <c r="B7347" s="27" t="s">
        <v>20779</v>
      </c>
      <c r="D7347" s="27" t="s">
        <v>1826</v>
      </c>
      <c r="F7347" s="27" t="s">
        <v>1827</v>
      </c>
      <c r="H7347" s="27" t="s">
        <v>1833</v>
      </c>
      <c r="J7347" s="27" t="s">
        <v>1834</v>
      </c>
      <c r="L7347" s="27" t="s">
        <v>421</v>
      </c>
      <c r="M7347" s="27" t="s">
        <v>361</v>
      </c>
      <c r="N7347" s="27" t="s">
        <v>559</v>
      </c>
      <c r="P7347" s="27" t="s">
        <v>8451</v>
      </c>
      <c r="Q7347" s="26" t="str">
        <f>HYPERLINK("https://ictv.global/taxonomy/taxondetails?taxnode_id=202505896&amp;ictv_id=ICTV20175896","ICTV20175896")</f>
        <v>ICTV20175896</v>
      </c>
      <c r="R7347" t="s">
        <v>582</v>
      </c>
      <c r="S7347" t="s">
        <v>824</v>
      </c>
      <c r="T7347">
        <v>41</v>
      </c>
      <c r="U7347" s="26" t="str">
        <f t="shared" si="285"/>
        <v>2025.002G.Monodnaviria_reorg_4nr.zip</v>
      </c>
    </row>
    <row r="7348" spans="1:21">
      <c r="A7348">
        <v>7347</v>
      </c>
      <c r="B7348" s="27" t="s">
        <v>20779</v>
      </c>
      <c r="D7348" s="27" t="s">
        <v>1826</v>
      </c>
      <c r="F7348" s="27" t="s">
        <v>1827</v>
      </c>
      <c r="H7348" s="27" t="s">
        <v>1833</v>
      </c>
      <c r="J7348" s="27" t="s">
        <v>1834</v>
      </c>
      <c r="L7348" s="27" t="s">
        <v>421</v>
      </c>
      <c r="M7348" s="27" t="s">
        <v>361</v>
      </c>
      <c r="N7348" s="27" t="s">
        <v>559</v>
      </c>
      <c r="P7348" s="27" t="s">
        <v>8452</v>
      </c>
      <c r="Q7348" s="26" t="str">
        <f>HYPERLINK("https://ictv.global/taxonomy/taxondetails?taxnode_id=202504245&amp;ictv_id=ICTV20132561","ICTV20132561")</f>
        <v>ICTV20132561</v>
      </c>
      <c r="R7348" t="s">
        <v>582</v>
      </c>
      <c r="S7348" t="s">
        <v>824</v>
      </c>
      <c r="T7348">
        <v>41</v>
      </c>
      <c r="U7348" s="26" t="str">
        <f t="shared" si="285"/>
        <v>2025.002G.Monodnaviria_reorg_4nr.zip</v>
      </c>
    </row>
    <row r="7349" spans="1:21">
      <c r="A7349">
        <v>7348</v>
      </c>
      <c r="B7349" s="27" t="s">
        <v>20779</v>
      </c>
      <c r="D7349" s="27" t="s">
        <v>1826</v>
      </c>
      <c r="F7349" s="27" t="s">
        <v>1827</v>
      </c>
      <c r="H7349" s="27" t="s">
        <v>1833</v>
      </c>
      <c r="J7349" s="27" t="s">
        <v>1834</v>
      </c>
      <c r="L7349" s="27" t="s">
        <v>421</v>
      </c>
      <c r="M7349" s="27" t="s">
        <v>361</v>
      </c>
      <c r="N7349" s="27" t="s">
        <v>559</v>
      </c>
      <c r="P7349" s="27" t="s">
        <v>8453</v>
      </c>
      <c r="Q7349" s="26" t="str">
        <f>HYPERLINK("https://ictv.global/taxonomy/taxondetails?taxnode_id=202504246&amp;ictv_id=ICTV20132562","ICTV20132562")</f>
        <v>ICTV20132562</v>
      </c>
      <c r="R7349" t="s">
        <v>582</v>
      </c>
      <c r="S7349" t="s">
        <v>824</v>
      </c>
      <c r="T7349">
        <v>41</v>
      </c>
      <c r="U7349" s="26" t="str">
        <f t="shared" si="285"/>
        <v>2025.002G.Monodnaviria_reorg_4nr.zip</v>
      </c>
    </row>
    <row r="7350" spans="1:21">
      <c r="A7350">
        <v>7349</v>
      </c>
      <c r="B7350" s="27" t="s">
        <v>20779</v>
      </c>
      <c r="D7350" s="27" t="s">
        <v>1826</v>
      </c>
      <c r="F7350" s="27" t="s">
        <v>1827</v>
      </c>
      <c r="H7350" s="27" t="s">
        <v>1833</v>
      </c>
      <c r="J7350" s="27" t="s">
        <v>1834</v>
      </c>
      <c r="L7350" s="27" t="s">
        <v>421</v>
      </c>
      <c r="M7350" s="27" t="s">
        <v>361</v>
      </c>
      <c r="N7350" s="27" t="s">
        <v>559</v>
      </c>
      <c r="P7350" s="27" t="s">
        <v>8454</v>
      </c>
      <c r="Q7350" s="26" t="str">
        <f>HYPERLINK("https://ictv.global/taxonomy/taxondetails?taxnode_id=202504247&amp;ictv_id=ICTV20132563","ICTV20132563")</f>
        <v>ICTV20132563</v>
      </c>
      <c r="R7350" t="s">
        <v>582</v>
      </c>
      <c r="S7350" t="s">
        <v>824</v>
      </c>
      <c r="T7350">
        <v>41</v>
      </c>
      <c r="U7350" s="26" t="str">
        <f t="shared" si="285"/>
        <v>2025.002G.Monodnaviria_reorg_4nr.zip</v>
      </c>
    </row>
    <row r="7351" spans="1:21">
      <c r="A7351">
        <v>7350</v>
      </c>
      <c r="B7351" s="27" t="s">
        <v>20779</v>
      </c>
      <c r="D7351" s="27" t="s">
        <v>1826</v>
      </c>
      <c r="F7351" s="27" t="s">
        <v>1827</v>
      </c>
      <c r="H7351" s="27" t="s">
        <v>1833</v>
      </c>
      <c r="J7351" s="27" t="s">
        <v>1834</v>
      </c>
      <c r="L7351" s="27" t="s">
        <v>421</v>
      </c>
      <c r="M7351" s="27" t="s">
        <v>361</v>
      </c>
      <c r="N7351" s="27" t="s">
        <v>559</v>
      </c>
      <c r="P7351" s="27" t="s">
        <v>8455</v>
      </c>
      <c r="Q7351" s="26" t="str">
        <f>HYPERLINK("https://ictv.global/taxonomy/taxondetails?taxnode_id=202504248&amp;ictv_id=ICTV20132564","ICTV20132564")</f>
        <v>ICTV20132564</v>
      </c>
      <c r="R7351" t="s">
        <v>582</v>
      </c>
      <c r="S7351" t="s">
        <v>824</v>
      </c>
      <c r="T7351">
        <v>41</v>
      </c>
      <c r="U7351" s="26" t="str">
        <f t="shared" si="285"/>
        <v>2025.002G.Monodnaviria_reorg_4nr.zip</v>
      </c>
    </row>
    <row r="7352" spans="1:21">
      <c r="A7352">
        <v>7351</v>
      </c>
      <c r="B7352" s="27" t="s">
        <v>20779</v>
      </c>
      <c r="D7352" s="27" t="s">
        <v>1826</v>
      </c>
      <c r="F7352" s="27" t="s">
        <v>1827</v>
      </c>
      <c r="H7352" s="27" t="s">
        <v>1833</v>
      </c>
      <c r="J7352" s="27" t="s">
        <v>1834</v>
      </c>
      <c r="L7352" s="27" t="s">
        <v>421</v>
      </c>
      <c r="M7352" s="27" t="s">
        <v>361</v>
      </c>
      <c r="N7352" s="27" t="s">
        <v>559</v>
      </c>
      <c r="P7352" s="27" t="s">
        <v>8456</v>
      </c>
      <c r="Q7352" s="26" t="str">
        <f>HYPERLINK("https://ictv.global/taxonomy/taxondetails?taxnode_id=202509281&amp;ictv_id=ICTV202009281","ICTV202009281")</f>
        <v>ICTV202009281</v>
      </c>
      <c r="R7352" t="s">
        <v>582</v>
      </c>
      <c r="S7352" t="s">
        <v>824</v>
      </c>
      <c r="T7352">
        <v>41</v>
      </c>
      <c r="U7352" s="26" t="str">
        <f t="shared" si="285"/>
        <v>2025.002G.Monodnaviria_reorg_4nr.zip</v>
      </c>
    </row>
    <row r="7353" spans="1:21">
      <c r="A7353">
        <v>7352</v>
      </c>
      <c r="B7353" s="27" t="s">
        <v>20779</v>
      </c>
      <c r="D7353" s="27" t="s">
        <v>1826</v>
      </c>
      <c r="F7353" s="27" t="s">
        <v>1827</v>
      </c>
      <c r="H7353" s="27" t="s">
        <v>1833</v>
      </c>
      <c r="J7353" s="27" t="s">
        <v>1834</v>
      </c>
      <c r="L7353" s="27" t="s">
        <v>421</v>
      </c>
      <c r="M7353" s="27" t="s">
        <v>361</v>
      </c>
      <c r="N7353" s="27" t="s">
        <v>559</v>
      </c>
      <c r="P7353" s="27" t="s">
        <v>8457</v>
      </c>
      <c r="Q7353" s="26" t="str">
        <f>HYPERLINK("https://ictv.global/taxonomy/taxondetails?taxnode_id=202507348&amp;ictv_id=ICTV201907348","ICTV201907348")</f>
        <v>ICTV201907348</v>
      </c>
      <c r="R7353" t="s">
        <v>582</v>
      </c>
      <c r="S7353" t="s">
        <v>824</v>
      </c>
      <c r="T7353">
        <v>41</v>
      </c>
      <c r="U7353" s="26" t="str">
        <f t="shared" si="285"/>
        <v>2025.002G.Monodnaviria_reorg_4nr.zip</v>
      </c>
    </row>
    <row r="7354" spans="1:21">
      <c r="A7354">
        <v>7353</v>
      </c>
      <c r="B7354" s="27" t="s">
        <v>20779</v>
      </c>
      <c r="D7354" s="27" t="s">
        <v>1826</v>
      </c>
      <c r="F7354" s="27" t="s">
        <v>1827</v>
      </c>
      <c r="H7354" s="27" t="s">
        <v>1833</v>
      </c>
      <c r="J7354" s="27" t="s">
        <v>1834</v>
      </c>
      <c r="L7354" s="27" t="s">
        <v>421</v>
      </c>
      <c r="M7354" s="27" t="s">
        <v>361</v>
      </c>
      <c r="N7354" s="27" t="s">
        <v>559</v>
      </c>
      <c r="P7354" s="27" t="s">
        <v>8458</v>
      </c>
      <c r="Q7354" s="26" t="str">
        <f>HYPERLINK("https://ictv.global/taxonomy/taxondetails?taxnode_id=202507349&amp;ictv_id=ICTV201907349","ICTV201907349")</f>
        <v>ICTV201907349</v>
      </c>
      <c r="R7354" t="s">
        <v>582</v>
      </c>
      <c r="S7354" t="s">
        <v>824</v>
      </c>
      <c r="T7354">
        <v>41</v>
      </c>
      <c r="U7354" s="26" t="str">
        <f t="shared" si="285"/>
        <v>2025.002G.Monodnaviria_reorg_4nr.zip</v>
      </c>
    </row>
    <row r="7355" spans="1:21">
      <c r="A7355">
        <v>7354</v>
      </c>
      <c r="B7355" s="27" t="s">
        <v>20779</v>
      </c>
      <c r="D7355" s="27" t="s">
        <v>1826</v>
      </c>
      <c r="F7355" s="27" t="s">
        <v>1827</v>
      </c>
      <c r="H7355" s="27" t="s">
        <v>1833</v>
      </c>
      <c r="J7355" s="27" t="s">
        <v>1834</v>
      </c>
      <c r="L7355" s="27" t="s">
        <v>421</v>
      </c>
      <c r="M7355" s="27" t="s">
        <v>361</v>
      </c>
      <c r="N7355" s="27" t="s">
        <v>559</v>
      </c>
      <c r="P7355" s="27" t="s">
        <v>8459</v>
      </c>
      <c r="Q7355" s="26" t="str">
        <f>HYPERLINK("https://ictv.global/taxonomy/taxondetails?taxnode_id=202514035&amp;ictv_id=ICTV202214035","ICTV202214035")</f>
        <v>ICTV202214035</v>
      </c>
      <c r="R7355" t="s">
        <v>582</v>
      </c>
      <c r="S7355" t="s">
        <v>824</v>
      </c>
      <c r="T7355">
        <v>41</v>
      </c>
      <c r="U7355" s="26" t="str">
        <f t="shared" si="285"/>
        <v>2025.002G.Monodnaviria_reorg_4nr.zip</v>
      </c>
    </row>
    <row r="7356" spans="1:21">
      <c r="A7356">
        <v>7355</v>
      </c>
      <c r="B7356" s="27" t="s">
        <v>20779</v>
      </c>
      <c r="D7356" s="27" t="s">
        <v>1826</v>
      </c>
      <c r="F7356" s="27" t="s">
        <v>1827</v>
      </c>
      <c r="H7356" s="27" t="s">
        <v>1833</v>
      </c>
      <c r="J7356" s="27" t="s">
        <v>1834</v>
      </c>
      <c r="L7356" s="27" t="s">
        <v>421</v>
      </c>
      <c r="M7356" s="27" t="s">
        <v>361</v>
      </c>
      <c r="N7356" s="27" t="s">
        <v>559</v>
      </c>
      <c r="P7356" s="27" t="s">
        <v>8460</v>
      </c>
      <c r="Q7356" s="26" t="str">
        <f>HYPERLINK("https://ictv.global/taxonomy/taxondetails?taxnode_id=202504249&amp;ictv_id=ICTV20132565","ICTV20132565")</f>
        <v>ICTV20132565</v>
      </c>
      <c r="R7356" t="s">
        <v>582</v>
      </c>
      <c r="S7356" t="s">
        <v>824</v>
      </c>
      <c r="T7356">
        <v>41</v>
      </c>
      <c r="U7356" s="26" t="str">
        <f t="shared" si="285"/>
        <v>2025.002G.Monodnaviria_reorg_4nr.zip</v>
      </c>
    </row>
    <row r="7357" spans="1:21">
      <c r="A7357">
        <v>7356</v>
      </c>
      <c r="B7357" s="27" t="s">
        <v>20779</v>
      </c>
      <c r="D7357" s="27" t="s">
        <v>1826</v>
      </c>
      <c r="F7357" s="27" t="s">
        <v>1827</v>
      </c>
      <c r="H7357" s="27" t="s">
        <v>1833</v>
      </c>
      <c r="J7357" s="27" t="s">
        <v>1834</v>
      </c>
      <c r="L7357" s="27" t="s">
        <v>421</v>
      </c>
      <c r="M7357" s="27" t="s">
        <v>361</v>
      </c>
      <c r="N7357" s="27" t="s">
        <v>559</v>
      </c>
      <c r="P7357" s="27" t="s">
        <v>8461</v>
      </c>
      <c r="Q7357" s="26" t="str">
        <f>HYPERLINK("https://ictv.global/taxonomy/taxondetails?taxnode_id=202504250&amp;ictv_id=ICTV20132566","ICTV20132566")</f>
        <v>ICTV20132566</v>
      </c>
      <c r="R7357" t="s">
        <v>582</v>
      </c>
      <c r="S7357" t="s">
        <v>824</v>
      </c>
      <c r="T7357">
        <v>41</v>
      </c>
      <c r="U7357" s="26" t="str">
        <f t="shared" si="285"/>
        <v>2025.002G.Monodnaviria_reorg_4nr.zip</v>
      </c>
    </row>
    <row r="7358" spans="1:21">
      <c r="A7358">
        <v>7357</v>
      </c>
      <c r="B7358" s="27" t="s">
        <v>20779</v>
      </c>
      <c r="D7358" s="27" t="s">
        <v>1826</v>
      </c>
      <c r="F7358" s="27" t="s">
        <v>1827</v>
      </c>
      <c r="H7358" s="27" t="s">
        <v>1833</v>
      </c>
      <c r="J7358" s="27" t="s">
        <v>1834</v>
      </c>
      <c r="L7358" s="27" t="s">
        <v>421</v>
      </c>
      <c r="M7358" s="27" t="s">
        <v>361</v>
      </c>
      <c r="N7358" s="27" t="s">
        <v>559</v>
      </c>
      <c r="P7358" s="27" t="s">
        <v>8462</v>
      </c>
      <c r="Q7358" s="26" t="str">
        <f>HYPERLINK("https://ictv.global/taxonomy/taxondetails?taxnode_id=202504251&amp;ictv_id=ICTV20132567","ICTV20132567")</f>
        <v>ICTV20132567</v>
      </c>
      <c r="R7358" t="s">
        <v>582</v>
      </c>
      <c r="S7358" t="s">
        <v>824</v>
      </c>
      <c r="T7358">
        <v>41</v>
      </c>
      <c r="U7358" s="26" t="str">
        <f t="shared" si="285"/>
        <v>2025.002G.Monodnaviria_reorg_4nr.zip</v>
      </c>
    </row>
    <row r="7359" spans="1:21">
      <c r="A7359">
        <v>7358</v>
      </c>
      <c r="B7359" s="27" t="s">
        <v>20779</v>
      </c>
      <c r="D7359" s="27" t="s">
        <v>1826</v>
      </c>
      <c r="F7359" s="27" t="s">
        <v>1827</v>
      </c>
      <c r="H7359" s="27" t="s">
        <v>1833</v>
      </c>
      <c r="J7359" s="27" t="s">
        <v>1834</v>
      </c>
      <c r="L7359" s="27" t="s">
        <v>421</v>
      </c>
      <c r="M7359" s="27" t="s">
        <v>361</v>
      </c>
      <c r="N7359" s="27" t="s">
        <v>559</v>
      </c>
      <c r="P7359" s="27" t="s">
        <v>8463</v>
      </c>
      <c r="Q7359" s="26" t="str">
        <f>HYPERLINK("https://ictv.global/taxonomy/taxondetails?taxnode_id=202504252&amp;ictv_id=ICTV20132568","ICTV20132568")</f>
        <v>ICTV20132568</v>
      </c>
      <c r="R7359" t="s">
        <v>582</v>
      </c>
      <c r="S7359" t="s">
        <v>824</v>
      </c>
      <c r="T7359">
        <v>41</v>
      </c>
      <c r="U7359" s="26" t="str">
        <f t="shared" si="285"/>
        <v>2025.002G.Monodnaviria_reorg_4nr.zip</v>
      </c>
    </row>
    <row r="7360" spans="1:21">
      <c r="A7360">
        <v>7359</v>
      </c>
      <c r="B7360" s="27" t="s">
        <v>20779</v>
      </c>
      <c r="D7360" s="27" t="s">
        <v>1826</v>
      </c>
      <c r="F7360" s="27" t="s">
        <v>1827</v>
      </c>
      <c r="H7360" s="27" t="s">
        <v>1833</v>
      </c>
      <c r="J7360" s="27" t="s">
        <v>1834</v>
      </c>
      <c r="L7360" s="27" t="s">
        <v>421</v>
      </c>
      <c r="M7360" s="27" t="s">
        <v>361</v>
      </c>
      <c r="N7360" s="27" t="s">
        <v>559</v>
      </c>
      <c r="P7360" s="27" t="s">
        <v>8464</v>
      </c>
      <c r="Q7360" s="26" t="str">
        <f>HYPERLINK("https://ictv.global/taxonomy/taxondetails?taxnode_id=202504253&amp;ictv_id=ICTV20132569","ICTV20132569")</f>
        <v>ICTV20132569</v>
      </c>
      <c r="R7360" t="s">
        <v>582</v>
      </c>
      <c r="S7360" t="s">
        <v>824</v>
      </c>
      <c r="T7360">
        <v>41</v>
      </c>
      <c r="U7360" s="26" t="str">
        <f t="shared" si="285"/>
        <v>2025.002G.Monodnaviria_reorg_4nr.zip</v>
      </c>
    </row>
    <row r="7361" spans="1:21">
      <c r="A7361">
        <v>7360</v>
      </c>
      <c r="B7361" s="27" t="s">
        <v>20779</v>
      </c>
      <c r="D7361" s="27" t="s">
        <v>1826</v>
      </c>
      <c r="F7361" s="27" t="s">
        <v>1827</v>
      </c>
      <c r="H7361" s="27" t="s">
        <v>1833</v>
      </c>
      <c r="J7361" s="27" t="s">
        <v>1834</v>
      </c>
      <c r="L7361" s="27" t="s">
        <v>421</v>
      </c>
      <c r="M7361" s="27" t="s">
        <v>361</v>
      </c>
      <c r="N7361" s="27" t="s">
        <v>559</v>
      </c>
      <c r="P7361" s="27" t="s">
        <v>8465</v>
      </c>
      <c r="Q7361" s="26" t="str">
        <f>HYPERLINK("https://ictv.global/taxonomy/taxondetails?taxnode_id=202505897&amp;ictv_id=ICTV20175897","ICTV20175897")</f>
        <v>ICTV20175897</v>
      </c>
      <c r="R7361" t="s">
        <v>582</v>
      </c>
      <c r="S7361" t="s">
        <v>824</v>
      </c>
      <c r="T7361">
        <v>41</v>
      </c>
      <c r="U7361" s="26" t="str">
        <f t="shared" si="285"/>
        <v>2025.002G.Monodnaviria_reorg_4nr.zip</v>
      </c>
    </row>
    <row r="7362" spans="1:21">
      <c r="A7362">
        <v>7361</v>
      </c>
      <c r="B7362" s="27" t="s">
        <v>20779</v>
      </c>
      <c r="D7362" s="27" t="s">
        <v>1826</v>
      </c>
      <c r="F7362" s="27" t="s">
        <v>1827</v>
      </c>
      <c r="H7362" s="27" t="s">
        <v>1833</v>
      </c>
      <c r="J7362" s="27" t="s">
        <v>1834</v>
      </c>
      <c r="L7362" s="27" t="s">
        <v>421</v>
      </c>
      <c r="M7362" s="27" t="s">
        <v>361</v>
      </c>
      <c r="N7362" s="27" t="s">
        <v>559</v>
      </c>
      <c r="P7362" s="27" t="s">
        <v>8466</v>
      </c>
      <c r="Q7362" s="26" t="str">
        <f>HYPERLINK("https://ictv.global/taxonomy/taxondetails?taxnode_id=202507346&amp;ictv_id=ICTV201907346","ICTV201907346")</f>
        <v>ICTV201907346</v>
      </c>
      <c r="R7362" t="s">
        <v>582</v>
      </c>
      <c r="S7362" t="s">
        <v>824</v>
      </c>
      <c r="T7362">
        <v>41</v>
      </c>
      <c r="U7362" s="26" t="str">
        <f t="shared" si="285"/>
        <v>2025.002G.Monodnaviria_reorg_4nr.zip</v>
      </c>
    </row>
    <row r="7363" spans="1:21">
      <c r="A7363">
        <v>7362</v>
      </c>
      <c r="B7363" s="27" t="s">
        <v>20779</v>
      </c>
      <c r="D7363" s="27" t="s">
        <v>1826</v>
      </c>
      <c r="F7363" s="27" t="s">
        <v>1827</v>
      </c>
      <c r="H7363" s="27" t="s">
        <v>1833</v>
      </c>
      <c r="J7363" s="27" t="s">
        <v>1834</v>
      </c>
      <c r="L7363" s="27" t="s">
        <v>421</v>
      </c>
      <c r="M7363" s="27" t="s">
        <v>361</v>
      </c>
      <c r="N7363" s="27" t="s">
        <v>559</v>
      </c>
      <c r="P7363" s="27" t="s">
        <v>8467</v>
      </c>
      <c r="Q7363" s="26" t="str">
        <f>HYPERLINK("https://ictv.global/taxonomy/taxondetails?taxnode_id=202507347&amp;ictv_id=ICTV201907347","ICTV201907347")</f>
        <v>ICTV201907347</v>
      </c>
      <c r="R7363" t="s">
        <v>582</v>
      </c>
      <c r="S7363" t="s">
        <v>824</v>
      </c>
      <c r="T7363">
        <v>41</v>
      </c>
      <c r="U7363" s="26" t="str">
        <f t="shared" si="285"/>
        <v>2025.002G.Monodnaviria_reorg_4nr.zip</v>
      </c>
    </row>
    <row r="7364" spans="1:21">
      <c r="A7364">
        <v>7363</v>
      </c>
      <c r="B7364" s="27" t="s">
        <v>20779</v>
      </c>
      <c r="D7364" s="27" t="s">
        <v>1826</v>
      </c>
      <c r="F7364" s="27" t="s">
        <v>1827</v>
      </c>
      <c r="H7364" s="27" t="s">
        <v>1833</v>
      </c>
      <c r="J7364" s="27" t="s">
        <v>1834</v>
      </c>
      <c r="L7364" s="27" t="s">
        <v>421</v>
      </c>
      <c r="M7364" s="27" t="s">
        <v>361</v>
      </c>
      <c r="N7364" s="27" t="s">
        <v>559</v>
      </c>
      <c r="P7364" s="27" t="s">
        <v>8468</v>
      </c>
      <c r="Q7364" s="26" t="str">
        <f>HYPERLINK("https://ictv.global/taxonomy/taxondetails?taxnode_id=202509282&amp;ictv_id=ICTV202009282","ICTV202009282")</f>
        <v>ICTV202009282</v>
      </c>
      <c r="R7364" t="s">
        <v>582</v>
      </c>
      <c r="S7364" t="s">
        <v>824</v>
      </c>
      <c r="T7364">
        <v>41</v>
      </c>
      <c r="U7364" s="26" t="str">
        <f t="shared" si="285"/>
        <v>2025.002G.Monodnaviria_reorg_4nr.zip</v>
      </c>
    </row>
    <row r="7365" spans="1:21">
      <c r="A7365">
        <v>7364</v>
      </c>
      <c r="B7365" s="27" t="s">
        <v>20779</v>
      </c>
      <c r="D7365" s="27" t="s">
        <v>1826</v>
      </c>
      <c r="F7365" s="27" t="s">
        <v>1827</v>
      </c>
      <c r="H7365" s="27" t="s">
        <v>1833</v>
      </c>
      <c r="J7365" s="27" t="s">
        <v>1834</v>
      </c>
      <c r="L7365" s="27" t="s">
        <v>421</v>
      </c>
      <c r="M7365" s="27" t="s">
        <v>361</v>
      </c>
      <c r="N7365" s="27" t="s">
        <v>559</v>
      </c>
      <c r="P7365" s="27" t="s">
        <v>19999</v>
      </c>
      <c r="Q7365" s="26" t="str">
        <f>HYPERLINK("https://ictv.global/taxonomy/taxondetails?taxnode_id=202520301&amp;ictv_id=ICTV202420301","ICTV202420301")</f>
        <v>ICTV202420301</v>
      </c>
      <c r="R7365" t="s">
        <v>582</v>
      </c>
      <c r="S7365" t="s">
        <v>824</v>
      </c>
      <c r="T7365">
        <v>41</v>
      </c>
      <c r="U7365" s="26" t="str">
        <f t="shared" si="285"/>
        <v>2025.002G.Monodnaviria_reorg_4nr.zip</v>
      </c>
    </row>
    <row r="7366" spans="1:21">
      <c r="A7366">
        <v>7365</v>
      </c>
      <c r="B7366" s="27" t="s">
        <v>20779</v>
      </c>
      <c r="D7366" s="27" t="s">
        <v>1826</v>
      </c>
      <c r="F7366" s="27" t="s">
        <v>1827</v>
      </c>
      <c r="H7366" s="27" t="s">
        <v>1833</v>
      </c>
      <c r="J7366" s="27" t="s">
        <v>1834</v>
      </c>
      <c r="L7366" s="27" t="s">
        <v>421</v>
      </c>
      <c r="M7366" s="27" t="s">
        <v>361</v>
      </c>
      <c r="N7366" s="27" t="s">
        <v>560</v>
      </c>
      <c r="P7366" s="27" t="s">
        <v>8469</v>
      </c>
      <c r="Q7366" s="26" t="str">
        <f>HYPERLINK("https://ictv.global/taxonomy/taxondetails?taxnode_id=202507344&amp;ictv_id=ICTV201907344","ICTV201907344")</f>
        <v>ICTV201907344</v>
      </c>
      <c r="R7366" t="s">
        <v>582</v>
      </c>
      <c r="S7366" t="s">
        <v>824</v>
      </c>
      <c r="T7366">
        <v>41</v>
      </c>
      <c r="U7366" s="26" t="str">
        <f t="shared" si="285"/>
        <v>2025.002G.Monodnaviria_reorg_4nr.zip</v>
      </c>
    </row>
    <row r="7367" spans="1:21">
      <c r="A7367">
        <v>7366</v>
      </c>
      <c r="B7367" s="27" t="s">
        <v>20779</v>
      </c>
      <c r="D7367" s="27" t="s">
        <v>1826</v>
      </c>
      <c r="F7367" s="27" t="s">
        <v>1827</v>
      </c>
      <c r="H7367" s="27" t="s">
        <v>1833</v>
      </c>
      <c r="J7367" s="27" t="s">
        <v>1834</v>
      </c>
      <c r="L7367" s="27" t="s">
        <v>421</v>
      </c>
      <c r="M7367" s="27" t="s">
        <v>361</v>
      </c>
      <c r="N7367" s="27" t="s">
        <v>560</v>
      </c>
      <c r="P7367" s="27" t="s">
        <v>8470</v>
      </c>
      <c r="Q7367" s="26" t="str">
        <f>HYPERLINK("https://ictv.global/taxonomy/taxondetails?taxnode_id=202504255&amp;ictv_id=ICTV20132622","ICTV20132622")</f>
        <v>ICTV20132622</v>
      </c>
      <c r="R7367" t="s">
        <v>582</v>
      </c>
      <c r="S7367" t="s">
        <v>824</v>
      </c>
      <c r="T7367">
        <v>41</v>
      </c>
      <c r="U7367" s="26" t="str">
        <f t="shared" si="285"/>
        <v>2025.002G.Monodnaviria_reorg_4nr.zip</v>
      </c>
    </row>
    <row r="7368" spans="1:21">
      <c r="A7368">
        <v>7367</v>
      </c>
      <c r="B7368" s="27" t="s">
        <v>20779</v>
      </c>
      <c r="D7368" s="27" t="s">
        <v>1826</v>
      </c>
      <c r="F7368" s="27" t="s">
        <v>1827</v>
      </c>
      <c r="H7368" s="27" t="s">
        <v>1833</v>
      </c>
      <c r="J7368" s="27" t="s">
        <v>1834</v>
      </c>
      <c r="L7368" s="27" t="s">
        <v>421</v>
      </c>
      <c r="M7368" s="27" t="s">
        <v>361</v>
      </c>
      <c r="N7368" s="27" t="s">
        <v>560</v>
      </c>
      <c r="P7368" s="27" t="s">
        <v>8471</v>
      </c>
      <c r="Q7368" s="26" t="str">
        <f>HYPERLINK("https://ictv.global/taxonomy/taxondetails?taxnode_id=202504256&amp;ictv_id=ICTV20132623","ICTV20132623")</f>
        <v>ICTV20132623</v>
      </c>
      <c r="R7368" t="s">
        <v>582</v>
      </c>
      <c r="S7368" t="s">
        <v>824</v>
      </c>
      <c r="T7368">
        <v>41</v>
      </c>
      <c r="U7368" s="26" t="str">
        <f t="shared" si="285"/>
        <v>2025.002G.Monodnaviria_reorg_4nr.zip</v>
      </c>
    </row>
    <row r="7369" spans="1:21">
      <c r="A7369">
        <v>7368</v>
      </c>
      <c r="B7369" s="27" t="s">
        <v>20779</v>
      </c>
      <c r="D7369" s="27" t="s">
        <v>1826</v>
      </c>
      <c r="F7369" s="27" t="s">
        <v>1827</v>
      </c>
      <c r="H7369" s="27" t="s">
        <v>1833</v>
      </c>
      <c r="J7369" s="27" t="s">
        <v>1834</v>
      </c>
      <c r="L7369" s="27" t="s">
        <v>421</v>
      </c>
      <c r="M7369" s="27" t="s">
        <v>361</v>
      </c>
      <c r="N7369" s="27" t="s">
        <v>560</v>
      </c>
      <c r="P7369" s="27" t="s">
        <v>8472</v>
      </c>
      <c r="Q7369" s="26" t="str">
        <f>HYPERLINK("https://ictv.global/taxonomy/taxondetails?taxnode_id=202507340&amp;ictv_id=ICTV201907340","ICTV201907340")</f>
        <v>ICTV201907340</v>
      </c>
      <c r="R7369" t="s">
        <v>582</v>
      </c>
      <c r="S7369" t="s">
        <v>824</v>
      </c>
      <c r="T7369">
        <v>41</v>
      </c>
      <c r="U7369" s="26" t="str">
        <f t="shared" si="285"/>
        <v>2025.002G.Monodnaviria_reorg_4nr.zip</v>
      </c>
    </row>
    <row r="7370" spans="1:21">
      <c r="A7370">
        <v>7369</v>
      </c>
      <c r="B7370" s="27" t="s">
        <v>20779</v>
      </c>
      <c r="D7370" s="27" t="s">
        <v>1826</v>
      </c>
      <c r="F7370" s="27" t="s">
        <v>1827</v>
      </c>
      <c r="H7370" s="27" t="s">
        <v>1833</v>
      </c>
      <c r="J7370" s="27" t="s">
        <v>1834</v>
      </c>
      <c r="L7370" s="27" t="s">
        <v>421</v>
      </c>
      <c r="M7370" s="27" t="s">
        <v>361</v>
      </c>
      <c r="N7370" s="27" t="s">
        <v>560</v>
      </c>
      <c r="P7370" s="27" t="s">
        <v>8473</v>
      </c>
      <c r="Q7370" s="26" t="str">
        <f>HYPERLINK("https://ictv.global/taxonomy/taxondetails?taxnode_id=202507341&amp;ictv_id=ICTV201907341","ICTV201907341")</f>
        <v>ICTV201907341</v>
      </c>
      <c r="R7370" t="s">
        <v>582</v>
      </c>
      <c r="S7370" t="s">
        <v>824</v>
      </c>
      <c r="T7370">
        <v>41</v>
      </c>
      <c r="U7370" s="26" t="str">
        <f t="shared" si="285"/>
        <v>2025.002G.Monodnaviria_reorg_4nr.zip</v>
      </c>
    </row>
    <row r="7371" spans="1:21">
      <c r="A7371">
        <v>7370</v>
      </c>
      <c r="B7371" s="27" t="s">
        <v>20779</v>
      </c>
      <c r="D7371" s="27" t="s">
        <v>1826</v>
      </c>
      <c r="F7371" s="27" t="s">
        <v>1827</v>
      </c>
      <c r="H7371" s="27" t="s">
        <v>1833</v>
      </c>
      <c r="J7371" s="27" t="s">
        <v>1834</v>
      </c>
      <c r="L7371" s="27" t="s">
        <v>421</v>
      </c>
      <c r="M7371" s="27" t="s">
        <v>361</v>
      </c>
      <c r="N7371" s="27" t="s">
        <v>560</v>
      </c>
      <c r="P7371" s="27" t="s">
        <v>8474</v>
      </c>
      <c r="Q7371" s="26" t="str">
        <f>HYPERLINK("https://ictv.global/taxonomy/taxondetails?taxnode_id=202507342&amp;ictv_id=ICTV201907342","ICTV201907342")</f>
        <v>ICTV201907342</v>
      </c>
      <c r="R7371" t="s">
        <v>582</v>
      </c>
      <c r="S7371" t="s">
        <v>824</v>
      </c>
      <c r="T7371">
        <v>41</v>
      </c>
      <c r="U7371" s="26" t="str">
        <f t="shared" ref="U7371:U7402" si="286">HYPERLINK("https://ictv.global/ictv/proposals/2025.002G.Monodnaviria_reorg_4nr.zip","2025.002G.Monodnaviria_reorg_4nr.zip")</f>
        <v>2025.002G.Monodnaviria_reorg_4nr.zip</v>
      </c>
    </row>
    <row r="7372" spans="1:21">
      <c r="A7372">
        <v>7371</v>
      </c>
      <c r="B7372" s="27" t="s">
        <v>20779</v>
      </c>
      <c r="D7372" s="27" t="s">
        <v>1826</v>
      </c>
      <c r="F7372" s="27" t="s">
        <v>1827</v>
      </c>
      <c r="H7372" s="27" t="s">
        <v>1833</v>
      </c>
      <c r="J7372" s="27" t="s">
        <v>1834</v>
      </c>
      <c r="L7372" s="27" t="s">
        <v>421</v>
      </c>
      <c r="M7372" s="27" t="s">
        <v>361</v>
      </c>
      <c r="N7372" s="27" t="s">
        <v>560</v>
      </c>
      <c r="P7372" s="27" t="s">
        <v>8475</v>
      </c>
      <c r="Q7372" s="26" t="str">
        <f>HYPERLINK("https://ictv.global/taxonomy/taxondetails?taxnode_id=202507343&amp;ictv_id=ICTV201907343","ICTV201907343")</f>
        <v>ICTV201907343</v>
      </c>
      <c r="R7372" t="s">
        <v>582</v>
      </c>
      <c r="S7372" t="s">
        <v>824</v>
      </c>
      <c r="T7372">
        <v>41</v>
      </c>
      <c r="U7372" s="26" t="str">
        <f t="shared" si="286"/>
        <v>2025.002G.Monodnaviria_reorg_4nr.zip</v>
      </c>
    </row>
    <row r="7373" spans="1:21">
      <c r="A7373">
        <v>7372</v>
      </c>
      <c r="B7373" s="27" t="s">
        <v>20779</v>
      </c>
      <c r="D7373" s="27" t="s">
        <v>1826</v>
      </c>
      <c r="F7373" s="27" t="s">
        <v>1827</v>
      </c>
      <c r="H7373" s="27" t="s">
        <v>1833</v>
      </c>
      <c r="J7373" s="27" t="s">
        <v>1834</v>
      </c>
      <c r="L7373" s="27" t="s">
        <v>421</v>
      </c>
      <c r="M7373" s="27" t="s">
        <v>361</v>
      </c>
      <c r="N7373" s="27" t="s">
        <v>560</v>
      </c>
      <c r="P7373" s="27" t="s">
        <v>8476</v>
      </c>
      <c r="Q7373" s="26" t="str">
        <f>HYPERLINK("https://ictv.global/taxonomy/taxondetails?taxnode_id=202514036&amp;ictv_id=ICTV202214036","ICTV202214036")</f>
        <v>ICTV202214036</v>
      </c>
      <c r="R7373" t="s">
        <v>582</v>
      </c>
      <c r="S7373" t="s">
        <v>824</v>
      </c>
      <c r="T7373">
        <v>41</v>
      </c>
      <c r="U7373" s="26" t="str">
        <f t="shared" si="286"/>
        <v>2025.002G.Monodnaviria_reorg_4nr.zip</v>
      </c>
    </row>
    <row r="7374" spans="1:21">
      <c r="A7374">
        <v>7373</v>
      </c>
      <c r="B7374" s="27" t="s">
        <v>20779</v>
      </c>
      <c r="D7374" s="27" t="s">
        <v>1826</v>
      </c>
      <c r="F7374" s="27" t="s">
        <v>1827</v>
      </c>
      <c r="H7374" s="27" t="s">
        <v>1833</v>
      </c>
      <c r="J7374" s="27" t="s">
        <v>1834</v>
      </c>
      <c r="L7374" s="27" t="s">
        <v>421</v>
      </c>
      <c r="M7374" s="27" t="s">
        <v>361</v>
      </c>
      <c r="N7374" s="27" t="s">
        <v>560</v>
      </c>
      <c r="P7374" s="27" t="s">
        <v>8477</v>
      </c>
      <c r="Q7374" s="26" t="str">
        <f>HYPERLINK("https://ictv.global/taxonomy/taxondetails?taxnode_id=202514037&amp;ictv_id=ICTV202214037","ICTV202214037")</f>
        <v>ICTV202214037</v>
      </c>
      <c r="R7374" t="s">
        <v>582</v>
      </c>
      <c r="S7374" t="s">
        <v>824</v>
      </c>
      <c r="T7374">
        <v>41</v>
      </c>
      <c r="U7374" s="26" t="str">
        <f t="shared" si="286"/>
        <v>2025.002G.Monodnaviria_reorg_4nr.zip</v>
      </c>
    </row>
    <row r="7375" spans="1:21">
      <c r="A7375">
        <v>7374</v>
      </c>
      <c r="B7375" s="27" t="s">
        <v>20779</v>
      </c>
      <c r="D7375" s="27" t="s">
        <v>1826</v>
      </c>
      <c r="F7375" s="27" t="s">
        <v>1827</v>
      </c>
      <c r="H7375" s="27" t="s">
        <v>1833</v>
      </c>
      <c r="J7375" s="27" t="s">
        <v>1834</v>
      </c>
      <c r="L7375" s="27" t="s">
        <v>421</v>
      </c>
      <c r="M7375" s="27" t="s">
        <v>361</v>
      </c>
      <c r="N7375" s="27" t="s">
        <v>560</v>
      </c>
      <c r="P7375" s="27" t="s">
        <v>12261</v>
      </c>
      <c r="Q7375" s="26" t="str">
        <f>HYPERLINK("https://ictv.global/taxonomy/taxondetails?taxnode_id=202517848&amp;ictv_id=ICTV202317848","ICTV202317848")</f>
        <v>ICTV202317848</v>
      </c>
      <c r="R7375" t="s">
        <v>582</v>
      </c>
      <c r="S7375" t="s">
        <v>824</v>
      </c>
      <c r="T7375">
        <v>41</v>
      </c>
      <c r="U7375" s="26" t="str">
        <f t="shared" si="286"/>
        <v>2025.002G.Monodnaviria_reorg_4nr.zip</v>
      </c>
    </row>
    <row r="7376" spans="1:21">
      <c r="A7376">
        <v>7375</v>
      </c>
      <c r="B7376" s="27" t="s">
        <v>20779</v>
      </c>
      <c r="D7376" s="27" t="s">
        <v>1826</v>
      </c>
      <c r="F7376" s="27" t="s">
        <v>1827</v>
      </c>
      <c r="H7376" s="27" t="s">
        <v>1833</v>
      </c>
      <c r="J7376" s="27" t="s">
        <v>1834</v>
      </c>
      <c r="L7376" s="27" t="s">
        <v>421</v>
      </c>
      <c r="M7376" s="27" t="s">
        <v>361</v>
      </c>
      <c r="N7376" s="27" t="s">
        <v>561</v>
      </c>
      <c r="P7376" s="27" t="s">
        <v>8478</v>
      </c>
      <c r="Q7376" s="26" t="str">
        <f>HYPERLINK("https://ictv.global/taxonomy/taxondetails?taxnode_id=202504260&amp;ictv_id=ICTV20132585","ICTV20132585")</f>
        <v>ICTV20132585</v>
      </c>
      <c r="R7376" t="s">
        <v>582</v>
      </c>
      <c r="S7376" t="s">
        <v>824</v>
      </c>
      <c r="T7376">
        <v>41</v>
      </c>
      <c r="U7376" s="26" t="str">
        <f t="shared" si="286"/>
        <v>2025.002G.Monodnaviria_reorg_4nr.zip</v>
      </c>
    </row>
    <row r="7377" spans="1:21">
      <c r="A7377">
        <v>7376</v>
      </c>
      <c r="B7377" s="27" t="s">
        <v>20779</v>
      </c>
      <c r="D7377" s="27" t="s">
        <v>1826</v>
      </c>
      <c r="F7377" s="27" t="s">
        <v>1827</v>
      </c>
      <c r="H7377" s="27" t="s">
        <v>1833</v>
      </c>
      <c r="J7377" s="27" t="s">
        <v>1834</v>
      </c>
      <c r="L7377" s="27" t="s">
        <v>421</v>
      </c>
      <c r="M7377" s="27" t="s">
        <v>361</v>
      </c>
      <c r="N7377" s="27" t="s">
        <v>561</v>
      </c>
      <c r="P7377" s="27" t="s">
        <v>20000</v>
      </c>
      <c r="Q7377" s="26" t="str">
        <f>HYPERLINK("https://ictv.global/taxonomy/taxondetails?taxnode_id=202520305&amp;ictv_id=ICTV202420305","ICTV202420305")</f>
        <v>ICTV202420305</v>
      </c>
      <c r="R7377" t="s">
        <v>582</v>
      </c>
      <c r="S7377" t="s">
        <v>824</v>
      </c>
      <c r="T7377">
        <v>41</v>
      </c>
      <c r="U7377" s="26" t="str">
        <f t="shared" si="286"/>
        <v>2025.002G.Monodnaviria_reorg_4nr.zip</v>
      </c>
    </row>
    <row r="7378" spans="1:21">
      <c r="A7378">
        <v>7377</v>
      </c>
      <c r="B7378" s="27" t="s">
        <v>20779</v>
      </c>
      <c r="D7378" s="27" t="s">
        <v>1826</v>
      </c>
      <c r="F7378" s="27" t="s">
        <v>1827</v>
      </c>
      <c r="H7378" s="27" t="s">
        <v>1833</v>
      </c>
      <c r="J7378" s="27" t="s">
        <v>1834</v>
      </c>
      <c r="L7378" s="27" t="s">
        <v>421</v>
      </c>
      <c r="M7378" s="27" t="s">
        <v>361</v>
      </c>
      <c r="N7378" s="27" t="s">
        <v>561</v>
      </c>
      <c r="P7378" s="27" t="s">
        <v>20001</v>
      </c>
      <c r="Q7378" s="26" t="str">
        <f>HYPERLINK("https://ictv.global/taxonomy/taxondetails?taxnode_id=202520306&amp;ictv_id=ICTV202420306","ICTV202420306")</f>
        <v>ICTV202420306</v>
      </c>
      <c r="R7378" t="s">
        <v>582</v>
      </c>
      <c r="S7378" t="s">
        <v>824</v>
      </c>
      <c r="T7378">
        <v>41</v>
      </c>
      <c r="U7378" s="26" t="str">
        <f t="shared" si="286"/>
        <v>2025.002G.Monodnaviria_reorg_4nr.zip</v>
      </c>
    </row>
    <row r="7379" spans="1:21">
      <c r="A7379">
        <v>7378</v>
      </c>
      <c r="B7379" s="27" t="s">
        <v>20779</v>
      </c>
      <c r="D7379" s="27" t="s">
        <v>1826</v>
      </c>
      <c r="F7379" s="27" t="s">
        <v>1827</v>
      </c>
      <c r="H7379" s="27" t="s">
        <v>1833</v>
      </c>
      <c r="J7379" s="27" t="s">
        <v>1834</v>
      </c>
      <c r="L7379" s="27" t="s">
        <v>421</v>
      </c>
      <c r="M7379" s="27" t="s">
        <v>361</v>
      </c>
      <c r="N7379" s="27" t="s">
        <v>561</v>
      </c>
      <c r="P7379" s="27" t="s">
        <v>20002</v>
      </c>
      <c r="Q7379" s="26" t="str">
        <f>HYPERLINK("https://ictv.global/taxonomy/taxondetails?taxnode_id=202520309&amp;ictv_id=ICTV202420309","ICTV202420309")</f>
        <v>ICTV202420309</v>
      </c>
      <c r="R7379" t="s">
        <v>582</v>
      </c>
      <c r="S7379" t="s">
        <v>824</v>
      </c>
      <c r="T7379">
        <v>41</v>
      </c>
      <c r="U7379" s="26" t="str">
        <f t="shared" si="286"/>
        <v>2025.002G.Monodnaviria_reorg_4nr.zip</v>
      </c>
    </row>
    <row r="7380" spans="1:21">
      <c r="A7380">
        <v>7379</v>
      </c>
      <c r="B7380" s="27" t="s">
        <v>20779</v>
      </c>
      <c r="D7380" s="27" t="s">
        <v>1826</v>
      </c>
      <c r="F7380" s="27" t="s">
        <v>1827</v>
      </c>
      <c r="H7380" s="27" t="s">
        <v>1833</v>
      </c>
      <c r="J7380" s="27" t="s">
        <v>1834</v>
      </c>
      <c r="L7380" s="27" t="s">
        <v>421</v>
      </c>
      <c r="M7380" s="27" t="s">
        <v>361</v>
      </c>
      <c r="N7380" s="27" t="s">
        <v>561</v>
      </c>
      <c r="P7380" s="27" t="s">
        <v>20003</v>
      </c>
      <c r="Q7380" s="26" t="str">
        <f>HYPERLINK("https://ictv.global/taxonomy/taxondetails?taxnode_id=202520310&amp;ictv_id=ICTV202420310","ICTV202420310")</f>
        <v>ICTV202420310</v>
      </c>
      <c r="R7380" t="s">
        <v>582</v>
      </c>
      <c r="S7380" t="s">
        <v>824</v>
      </c>
      <c r="T7380">
        <v>41</v>
      </c>
      <c r="U7380" s="26" t="str">
        <f t="shared" si="286"/>
        <v>2025.002G.Monodnaviria_reorg_4nr.zip</v>
      </c>
    </row>
    <row r="7381" spans="1:21">
      <c r="A7381">
        <v>7380</v>
      </c>
      <c r="B7381" s="27" t="s">
        <v>20779</v>
      </c>
      <c r="D7381" s="27" t="s">
        <v>1826</v>
      </c>
      <c r="F7381" s="27" t="s">
        <v>1827</v>
      </c>
      <c r="H7381" s="27" t="s">
        <v>1833</v>
      </c>
      <c r="J7381" s="27" t="s">
        <v>1834</v>
      </c>
      <c r="L7381" s="27" t="s">
        <v>421</v>
      </c>
      <c r="M7381" s="27" t="s">
        <v>361</v>
      </c>
      <c r="N7381" s="27" t="s">
        <v>561</v>
      </c>
      <c r="P7381" s="27" t="s">
        <v>8479</v>
      </c>
      <c r="Q7381" s="26" t="str">
        <f>HYPERLINK("https://ictv.global/taxonomy/taxondetails?taxnode_id=202504261&amp;ictv_id=ICTV20132586","ICTV20132586")</f>
        <v>ICTV20132586</v>
      </c>
      <c r="R7381" t="s">
        <v>582</v>
      </c>
      <c r="S7381" t="s">
        <v>824</v>
      </c>
      <c r="T7381">
        <v>41</v>
      </c>
      <c r="U7381" s="26" t="str">
        <f t="shared" si="286"/>
        <v>2025.002G.Monodnaviria_reorg_4nr.zip</v>
      </c>
    </row>
    <row r="7382" spans="1:21">
      <c r="A7382">
        <v>7381</v>
      </c>
      <c r="B7382" s="27" t="s">
        <v>20779</v>
      </c>
      <c r="D7382" s="27" t="s">
        <v>1826</v>
      </c>
      <c r="F7382" s="27" t="s">
        <v>1827</v>
      </c>
      <c r="H7382" s="27" t="s">
        <v>1833</v>
      </c>
      <c r="J7382" s="27" t="s">
        <v>1834</v>
      </c>
      <c r="L7382" s="27" t="s">
        <v>421</v>
      </c>
      <c r="M7382" s="27" t="s">
        <v>361</v>
      </c>
      <c r="N7382" s="27" t="s">
        <v>561</v>
      </c>
      <c r="P7382" s="27" t="s">
        <v>8480</v>
      </c>
      <c r="Q7382" s="26" t="str">
        <f>HYPERLINK("https://ictv.global/taxonomy/taxondetails?taxnode_id=202514078&amp;ictv_id=ICTV202214078","ICTV202214078")</f>
        <v>ICTV202214078</v>
      </c>
      <c r="R7382" t="s">
        <v>582</v>
      </c>
      <c r="S7382" t="s">
        <v>824</v>
      </c>
      <c r="T7382">
        <v>41</v>
      </c>
      <c r="U7382" s="26" t="str">
        <f t="shared" si="286"/>
        <v>2025.002G.Monodnaviria_reorg_4nr.zip</v>
      </c>
    </row>
    <row r="7383" spans="1:21">
      <c r="A7383">
        <v>7382</v>
      </c>
      <c r="B7383" s="27" t="s">
        <v>20779</v>
      </c>
      <c r="D7383" s="27" t="s">
        <v>1826</v>
      </c>
      <c r="F7383" s="27" t="s">
        <v>1827</v>
      </c>
      <c r="H7383" s="27" t="s">
        <v>1833</v>
      </c>
      <c r="J7383" s="27" t="s">
        <v>1834</v>
      </c>
      <c r="L7383" s="27" t="s">
        <v>421</v>
      </c>
      <c r="M7383" s="27" t="s">
        <v>361</v>
      </c>
      <c r="N7383" s="27" t="s">
        <v>561</v>
      </c>
      <c r="P7383" s="27" t="s">
        <v>8481</v>
      </c>
      <c r="Q7383" s="26" t="str">
        <f>HYPERLINK("https://ictv.global/taxonomy/taxondetails?taxnode_id=202509283&amp;ictv_id=ICTV202009283","ICTV202009283")</f>
        <v>ICTV202009283</v>
      </c>
      <c r="R7383" t="s">
        <v>582</v>
      </c>
      <c r="S7383" t="s">
        <v>824</v>
      </c>
      <c r="T7383">
        <v>41</v>
      </c>
      <c r="U7383" s="26" t="str">
        <f t="shared" si="286"/>
        <v>2025.002G.Monodnaviria_reorg_4nr.zip</v>
      </c>
    </row>
    <row r="7384" spans="1:21">
      <c r="A7384">
        <v>7383</v>
      </c>
      <c r="B7384" s="27" t="s">
        <v>20779</v>
      </c>
      <c r="D7384" s="27" t="s">
        <v>1826</v>
      </c>
      <c r="F7384" s="27" t="s">
        <v>1827</v>
      </c>
      <c r="H7384" s="27" t="s">
        <v>1833</v>
      </c>
      <c r="J7384" s="27" t="s">
        <v>1834</v>
      </c>
      <c r="L7384" s="27" t="s">
        <v>421</v>
      </c>
      <c r="M7384" s="27" t="s">
        <v>361</v>
      </c>
      <c r="N7384" s="27" t="s">
        <v>561</v>
      </c>
      <c r="P7384" s="27" t="s">
        <v>20004</v>
      </c>
      <c r="Q7384" s="26" t="str">
        <f>HYPERLINK("https://ictv.global/taxonomy/taxondetails?taxnode_id=202520311&amp;ictv_id=ICTV202420311","ICTV202420311")</f>
        <v>ICTV202420311</v>
      </c>
      <c r="R7384" t="s">
        <v>582</v>
      </c>
      <c r="S7384" t="s">
        <v>824</v>
      </c>
      <c r="T7384">
        <v>41</v>
      </c>
      <c r="U7384" s="26" t="str">
        <f t="shared" si="286"/>
        <v>2025.002G.Monodnaviria_reorg_4nr.zip</v>
      </c>
    </row>
    <row r="7385" spans="1:21">
      <c r="A7385">
        <v>7384</v>
      </c>
      <c r="B7385" s="27" t="s">
        <v>20779</v>
      </c>
      <c r="D7385" s="27" t="s">
        <v>1826</v>
      </c>
      <c r="F7385" s="27" t="s">
        <v>1827</v>
      </c>
      <c r="H7385" s="27" t="s">
        <v>1833</v>
      </c>
      <c r="J7385" s="27" t="s">
        <v>1834</v>
      </c>
      <c r="L7385" s="27" t="s">
        <v>421</v>
      </c>
      <c r="M7385" s="27" t="s">
        <v>361</v>
      </c>
      <c r="N7385" s="27" t="s">
        <v>561</v>
      </c>
      <c r="P7385" s="27" t="s">
        <v>20005</v>
      </c>
      <c r="Q7385" s="26" t="str">
        <f>HYPERLINK("https://ictv.global/taxonomy/taxondetails?taxnode_id=202520312&amp;ictv_id=ICTV202420312","ICTV202420312")</f>
        <v>ICTV202420312</v>
      </c>
      <c r="R7385" t="s">
        <v>582</v>
      </c>
      <c r="S7385" t="s">
        <v>824</v>
      </c>
      <c r="T7385">
        <v>41</v>
      </c>
      <c r="U7385" s="26" t="str">
        <f t="shared" si="286"/>
        <v>2025.002G.Monodnaviria_reorg_4nr.zip</v>
      </c>
    </row>
    <row r="7386" spans="1:21">
      <c r="A7386">
        <v>7385</v>
      </c>
      <c r="B7386" s="27" t="s">
        <v>20779</v>
      </c>
      <c r="D7386" s="27" t="s">
        <v>1826</v>
      </c>
      <c r="F7386" s="27" t="s">
        <v>1827</v>
      </c>
      <c r="H7386" s="27" t="s">
        <v>1833</v>
      </c>
      <c r="J7386" s="27" t="s">
        <v>1834</v>
      </c>
      <c r="L7386" s="27" t="s">
        <v>421</v>
      </c>
      <c r="M7386" s="27" t="s">
        <v>361</v>
      </c>
      <c r="N7386" s="27" t="s">
        <v>561</v>
      </c>
      <c r="P7386" s="27" t="s">
        <v>20006</v>
      </c>
      <c r="Q7386" s="26" t="str">
        <f>HYPERLINK("https://ictv.global/taxonomy/taxondetails?taxnode_id=202520313&amp;ictv_id=ICTV202420313","ICTV202420313")</f>
        <v>ICTV202420313</v>
      </c>
      <c r="R7386" t="s">
        <v>582</v>
      </c>
      <c r="S7386" t="s">
        <v>824</v>
      </c>
      <c r="T7386">
        <v>41</v>
      </c>
      <c r="U7386" s="26" t="str">
        <f t="shared" si="286"/>
        <v>2025.002G.Monodnaviria_reorg_4nr.zip</v>
      </c>
    </row>
    <row r="7387" spans="1:21">
      <c r="A7387">
        <v>7386</v>
      </c>
      <c r="B7387" s="27" t="s">
        <v>20779</v>
      </c>
      <c r="D7387" s="27" t="s">
        <v>1826</v>
      </c>
      <c r="F7387" s="27" t="s">
        <v>1827</v>
      </c>
      <c r="H7387" s="27" t="s">
        <v>1833</v>
      </c>
      <c r="J7387" s="27" t="s">
        <v>1834</v>
      </c>
      <c r="L7387" s="27" t="s">
        <v>421</v>
      </c>
      <c r="M7387" s="27" t="s">
        <v>361</v>
      </c>
      <c r="N7387" s="27" t="s">
        <v>561</v>
      </c>
      <c r="P7387" s="27" t="s">
        <v>20007</v>
      </c>
      <c r="Q7387" s="26" t="str">
        <f>HYPERLINK("https://ictv.global/taxonomy/taxondetails?taxnode_id=202520314&amp;ictv_id=ICTV202420314","ICTV202420314")</f>
        <v>ICTV202420314</v>
      </c>
      <c r="R7387" t="s">
        <v>582</v>
      </c>
      <c r="S7387" t="s">
        <v>824</v>
      </c>
      <c r="T7387">
        <v>41</v>
      </c>
      <c r="U7387" s="26" t="str">
        <f t="shared" si="286"/>
        <v>2025.002G.Monodnaviria_reorg_4nr.zip</v>
      </c>
    </row>
    <row r="7388" spans="1:21">
      <c r="A7388">
        <v>7387</v>
      </c>
      <c r="B7388" s="27" t="s">
        <v>20779</v>
      </c>
      <c r="D7388" s="27" t="s">
        <v>1826</v>
      </c>
      <c r="F7388" s="27" t="s">
        <v>1827</v>
      </c>
      <c r="H7388" s="27" t="s">
        <v>1833</v>
      </c>
      <c r="J7388" s="27" t="s">
        <v>1834</v>
      </c>
      <c r="L7388" s="27" t="s">
        <v>421</v>
      </c>
      <c r="M7388" s="27" t="s">
        <v>361</v>
      </c>
      <c r="N7388" s="27" t="s">
        <v>561</v>
      </c>
      <c r="P7388" s="27" t="s">
        <v>20008</v>
      </c>
      <c r="Q7388" s="26" t="str">
        <f>HYPERLINK("https://ictv.global/taxonomy/taxondetails?taxnode_id=202520315&amp;ictv_id=ICTV202420315","ICTV202420315")</f>
        <v>ICTV202420315</v>
      </c>
      <c r="R7388" t="s">
        <v>582</v>
      </c>
      <c r="S7388" t="s">
        <v>824</v>
      </c>
      <c r="T7388">
        <v>41</v>
      </c>
      <c r="U7388" s="26" t="str">
        <f t="shared" si="286"/>
        <v>2025.002G.Monodnaviria_reorg_4nr.zip</v>
      </c>
    </row>
    <row r="7389" spans="1:21">
      <c r="A7389">
        <v>7388</v>
      </c>
      <c r="B7389" s="27" t="s">
        <v>20779</v>
      </c>
      <c r="D7389" s="27" t="s">
        <v>1826</v>
      </c>
      <c r="F7389" s="27" t="s">
        <v>1827</v>
      </c>
      <c r="H7389" s="27" t="s">
        <v>1833</v>
      </c>
      <c r="J7389" s="27" t="s">
        <v>1834</v>
      </c>
      <c r="L7389" s="27" t="s">
        <v>421</v>
      </c>
      <c r="M7389" s="27" t="s">
        <v>361</v>
      </c>
      <c r="N7389" s="27" t="s">
        <v>561</v>
      </c>
      <c r="P7389" s="27" t="s">
        <v>8482</v>
      </c>
      <c r="Q7389" s="26" t="str">
        <f>HYPERLINK("https://ictv.global/taxonomy/taxondetails?taxnode_id=202504262&amp;ictv_id=ICTV20132587","ICTV20132587")</f>
        <v>ICTV20132587</v>
      </c>
      <c r="R7389" t="s">
        <v>582</v>
      </c>
      <c r="S7389" t="s">
        <v>824</v>
      </c>
      <c r="T7389">
        <v>41</v>
      </c>
      <c r="U7389" s="26" t="str">
        <f t="shared" si="286"/>
        <v>2025.002G.Monodnaviria_reorg_4nr.zip</v>
      </c>
    </row>
    <row r="7390" spans="1:21">
      <c r="A7390">
        <v>7389</v>
      </c>
      <c r="B7390" s="27" t="s">
        <v>20779</v>
      </c>
      <c r="D7390" s="27" t="s">
        <v>1826</v>
      </c>
      <c r="F7390" s="27" t="s">
        <v>1827</v>
      </c>
      <c r="H7390" s="27" t="s">
        <v>1833</v>
      </c>
      <c r="J7390" s="27" t="s">
        <v>1834</v>
      </c>
      <c r="L7390" s="27" t="s">
        <v>421</v>
      </c>
      <c r="M7390" s="27" t="s">
        <v>361</v>
      </c>
      <c r="N7390" s="27" t="s">
        <v>561</v>
      </c>
      <c r="P7390" s="27" t="s">
        <v>8483</v>
      </c>
      <c r="Q7390" s="26" t="str">
        <f>HYPERLINK("https://ictv.global/taxonomy/taxondetails?taxnode_id=202514038&amp;ictv_id=ICTV202214038","ICTV202214038")</f>
        <v>ICTV202214038</v>
      </c>
      <c r="R7390" t="s">
        <v>582</v>
      </c>
      <c r="S7390" t="s">
        <v>824</v>
      </c>
      <c r="T7390">
        <v>41</v>
      </c>
      <c r="U7390" s="26" t="str">
        <f t="shared" si="286"/>
        <v>2025.002G.Monodnaviria_reorg_4nr.zip</v>
      </c>
    </row>
    <row r="7391" spans="1:21">
      <c r="A7391">
        <v>7390</v>
      </c>
      <c r="B7391" s="27" t="s">
        <v>20779</v>
      </c>
      <c r="D7391" s="27" t="s">
        <v>1826</v>
      </c>
      <c r="F7391" s="27" t="s">
        <v>1827</v>
      </c>
      <c r="H7391" s="27" t="s">
        <v>1833</v>
      </c>
      <c r="J7391" s="27" t="s">
        <v>1834</v>
      </c>
      <c r="L7391" s="27" t="s">
        <v>421</v>
      </c>
      <c r="M7391" s="27" t="s">
        <v>361</v>
      </c>
      <c r="N7391" s="27" t="s">
        <v>561</v>
      </c>
      <c r="P7391" s="27" t="s">
        <v>8484</v>
      </c>
      <c r="Q7391" s="26" t="str">
        <f>HYPERLINK("https://ictv.global/taxonomy/taxondetails?taxnode_id=202504259&amp;ictv_id=ICTV20132584","ICTV20132584")</f>
        <v>ICTV20132584</v>
      </c>
      <c r="R7391" t="s">
        <v>582</v>
      </c>
      <c r="S7391" t="s">
        <v>824</v>
      </c>
      <c r="T7391">
        <v>41</v>
      </c>
      <c r="U7391" s="26" t="str">
        <f t="shared" si="286"/>
        <v>2025.002G.Monodnaviria_reorg_4nr.zip</v>
      </c>
    </row>
    <row r="7392" spans="1:21">
      <c r="A7392">
        <v>7391</v>
      </c>
      <c r="B7392" s="27" t="s">
        <v>20779</v>
      </c>
      <c r="D7392" s="27" t="s">
        <v>1826</v>
      </c>
      <c r="F7392" s="27" t="s">
        <v>1827</v>
      </c>
      <c r="H7392" s="27" t="s">
        <v>1833</v>
      </c>
      <c r="J7392" s="27" t="s">
        <v>1834</v>
      </c>
      <c r="L7392" s="27" t="s">
        <v>421</v>
      </c>
      <c r="M7392" s="27" t="s">
        <v>361</v>
      </c>
      <c r="N7392" s="27" t="s">
        <v>561</v>
      </c>
      <c r="P7392" s="27" t="s">
        <v>20009</v>
      </c>
      <c r="Q7392" s="26" t="str">
        <f>HYPERLINK("https://ictv.global/taxonomy/taxondetails?taxnode_id=202520307&amp;ictv_id=ICTV202420307","ICTV202420307")</f>
        <v>ICTV202420307</v>
      </c>
      <c r="R7392" t="s">
        <v>582</v>
      </c>
      <c r="S7392" t="s">
        <v>824</v>
      </c>
      <c r="T7392">
        <v>41</v>
      </c>
      <c r="U7392" s="26" t="str">
        <f t="shared" si="286"/>
        <v>2025.002G.Monodnaviria_reorg_4nr.zip</v>
      </c>
    </row>
    <row r="7393" spans="1:21">
      <c r="A7393">
        <v>7392</v>
      </c>
      <c r="B7393" s="27" t="s">
        <v>20779</v>
      </c>
      <c r="D7393" s="27" t="s">
        <v>1826</v>
      </c>
      <c r="F7393" s="27" t="s">
        <v>1827</v>
      </c>
      <c r="H7393" s="27" t="s">
        <v>1833</v>
      </c>
      <c r="J7393" s="27" t="s">
        <v>1834</v>
      </c>
      <c r="L7393" s="27" t="s">
        <v>421</v>
      </c>
      <c r="M7393" s="27" t="s">
        <v>361</v>
      </c>
      <c r="N7393" s="27" t="s">
        <v>561</v>
      </c>
      <c r="P7393" s="27" t="s">
        <v>20010</v>
      </c>
      <c r="Q7393" s="26" t="str">
        <f>HYPERLINK("https://ictv.global/taxonomy/taxondetails?taxnode_id=202520308&amp;ictv_id=ICTV202420308","ICTV202420308")</f>
        <v>ICTV202420308</v>
      </c>
      <c r="R7393" t="s">
        <v>582</v>
      </c>
      <c r="S7393" t="s">
        <v>824</v>
      </c>
      <c r="T7393">
        <v>41</v>
      </c>
      <c r="U7393" s="26" t="str">
        <f t="shared" si="286"/>
        <v>2025.002G.Monodnaviria_reorg_4nr.zip</v>
      </c>
    </row>
    <row r="7394" spans="1:21">
      <c r="A7394">
        <v>7393</v>
      </c>
      <c r="B7394" s="27" t="s">
        <v>20779</v>
      </c>
      <c r="D7394" s="27" t="s">
        <v>1826</v>
      </c>
      <c r="F7394" s="27" t="s">
        <v>1827</v>
      </c>
      <c r="H7394" s="27" t="s">
        <v>1833</v>
      </c>
      <c r="J7394" s="27" t="s">
        <v>1834</v>
      </c>
      <c r="L7394" s="27" t="s">
        <v>421</v>
      </c>
      <c r="M7394" s="27" t="s">
        <v>361</v>
      </c>
      <c r="N7394" s="27" t="s">
        <v>561</v>
      </c>
      <c r="P7394" s="27" t="s">
        <v>8485</v>
      </c>
      <c r="Q7394" s="26" t="str">
        <f>HYPERLINK("https://ictv.global/taxonomy/taxondetails?taxnode_id=202504263&amp;ictv_id=ICTV20132588","ICTV20132588")</f>
        <v>ICTV20132588</v>
      </c>
      <c r="R7394" t="s">
        <v>582</v>
      </c>
      <c r="S7394" t="s">
        <v>824</v>
      </c>
      <c r="T7394">
        <v>41</v>
      </c>
      <c r="U7394" s="26" t="str">
        <f t="shared" si="286"/>
        <v>2025.002G.Monodnaviria_reorg_4nr.zip</v>
      </c>
    </row>
    <row r="7395" spans="1:21">
      <c r="A7395">
        <v>7394</v>
      </c>
      <c r="B7395" s="27" t="s">
        <v>20779</v>
      </c>
      <c r="D7395" s="27" t="s">
        <v>1826</v>
      </c>
      <c r="F7395" s="27" t="s">
        <v>1827</v>
      </c>
      <c r="H7395" s="27" t="s">
        <v>1833</v>
      </c>
      <c r="J7395" s="27" t="s">
        <v>1834</v>
      </c>
      <c r="L7395" s="27" t="s">
        <v>421</v>
      </c>
      <c r="M7395" s="27" t="s">
        <v>361</v>
      </c>
      <c r="N7395" s="27" t="s">
        <v>561</v>
      </c>
      <c r="P7395" s="27" t="s">
        <v>8486</v>
      </c>
      <c r="Q7395" s="26" t="str">
        <f>HYPERLINK("https://ictv.global/taxonomy/taxondetails?taxnode_id=202504258&amp;ictv_id=ICTV20132583","ICTV20132583")</f>
        <v>ICTV20132583</v>
      </c>
      <c r="R7395" t="s">
        <v>582</v>
      </c>
      <c r="S7395" t="s">
        <v>824</v>
      </c>
      <c r="T7395">
        <v>41</v>
      </c>
      <c r="U7395" s="26" t="str">
        <f t="shared" si="286"/>
        <v>2025.002G.Monodnaviria_reorg_4nr.zip</v>
      </c>
    </row>
    <row r="7396" spans="1:21">
      <c r="A7396">
        <v>7395</v>
      </c>
      <c r="B7396" s="27" t="s">
        <v>20779</v>
      </c>
      <c r="D7396" s="27" t="s">
        <v>1826</v>
      </c>
      <c r="F7396" s="27" t="s">
        <v>1827</v>
      </c>
      <c r="H7396" s="27" t="s">
        <v>1833</v>
      </c>
      <c r="J7396" s="27" t="s">
        <v>1834</v>
      </c>
      <c r="L7396" s="27" t="s">
        <v>421</v>
      </c>
      <c r="M7396" s="27" t="s">
        <v>361</v>
      </c>
      <c r="N7396" s="27" t="s">
        <v>561</v>
      </c>
      <c r="P7396" s="27" t="s">
        <v>12262</v>
      </c>
      <c r="Q7396" s="26" t="str">
        <f>HYPERLINK("https://ictv.global/taxonomy/taxondetails?taxnode_id=202517849&amp;ictv_id=ICTV202317849","ICTV202317849")</f>
        <v>ICTV202317849</v>
      </c>
      <c r="R7396" t="s">
        <v>582</v>
      </c>
      <c r="S7396" t="s">
        <v>824</v>
      </c>
      <c r="T7396">
        <v>41</v>
      </c>
      <c r="U7396" s="26" t="str">
        <f t="shared" si="286"/>
        <v>2025.002G.Monodnaviria_reorg_4nr.zip</v>
      </c>
    </row>
    <row r="7397" spans="1:21">
      <c r="A7397">
        <v>7396</v>
      </c>
      <c r="B7397" s="27" t="s">
        <v>20779</v>
      </c>
      <c r="D7397" s="27" t="s">
        <v>1826</v>
      </c>
      <c r="F7397" s="27" t="s">
        <v>1827</v>
      </c>
      <c r="H7397" s="27" t="s">
        <v>1833</v>
      </c>
      <c r="J7397" s="27" t="s">
        <v>1834</v>
      </c>
      <c r="L7397" s="27" t="s">
        <v>421</v>
      </c>
      <c r="M7397" s="27" t="s">
        <v>361</v>
      </c>
      <c r="N7397" s="27" t="s">
        <v>561</v>
      </c>
      <c r="P7397" s="27" t="s">
        <v>8487</v>
      </c>
      <c r="Q7397" s="26" t="str">
        <f>HYPERLINK("https://ictv.global/taxonomy/taxondetails?taxnode_id=202507353&amp;ictv_id=ICTV201907353","ICTV201907353")</f>
        <v>ICTV201907353</v>
      </c>
      <c r="R7397" t="s">
        <v>582</v>
      </c>
      <c r="S7397" t="s">
        <v>824</v>
      </c>
      <c r="T7397">
        <v>41</v>
      </c>
      <c r="U7397" s="26" t="str">
        <f t="shared" si="286"/>
        <v>2025.002G.Monodnaviria_reorg_4nr.zip</v>
      </c>
    </row>
    <row r="7398" spans="1:21">
      <c r="A7398">
        <v>7397</v>
      </c>
      <c r="B7398" s="27" t="s">
        <v>20779</v>
      </c>
      <c r="D7398" s="27" t="s">
        <v>1826</v>
      </c>
      <c r="F7398" s="27" t="s">
        <v>1827</v>
      </c>
      <c r="H7398" s="27" t="s">
        <v>1833</v>
      </c>
      <c r="J7398" s="27" t="s">
        <v>1834</v>
      </c>
      <c r="L7398" s="27" t="s">
        <v>421</v>
      </c>
      <c r="M7398" s="27" t="s">
        <v>361</v>
      </c>
      <c r="N7398" s="27" t="s">
        <v>561</v>
      </c>
      <c r="P7398" s="27" t="s">
        <v>8488</v>
      </c>
      <c r="Q7398" s="26" t="str">
        <f>HYPERLINK("https://ictv.global/taxonomy/taxondetails?taxnode_id=202507354&amp;ictv_id=ICTV201907354","ICTV201907354")</f>
        <v>ICTV201907354</v>
      </c>
      <c r="R7398" t="s">
        <v>582</v>
      </c>
      <c r="S7398" t="s">
        <v>824</v>
      </c>
      <c r="T7398">
        <v>41</v>
      </c>
      <c r="U7398" s="26" t="str">
        <f t="shared" si="286"/>
        <v>2025.002G.Monodnaviria_reorg_4nr.zip</v>
      </c>
    </row>
    <row r="7399" spans="1:21">
      <c r="A7399">
        <v>7398</v>
      </c>
      <c r="B7399" s="27" t="s">
        <v>20779</v>
      </c>
      <c r="D7399" s="27" t="s">
        <v>1826</v>
      </c>
      <c r="F7399" s="27" t="s">
        <v>1827</v>
      </c>
      <c r="H7399" s="27" t="s">
        <v>1833</v>
      </c>
      <c r="J7399" s="27" t="s">
        <v>1834</v>
      </c>
      <c r="L7399" s="27" t="s">
        <v>421</v>
      </c>
      <c r="M7399" s="27" t="s">
        <v>361</v>
      </c>
      <c r="N7399" s="27" t="s">
        <v>561</v>
      </c>
      <c r="P7399" s="27" t="s">
        <v>20011</v>
      </c>
      <c r="Q7399" s="26" t="str">
        <f>HYPERLINK("https://ictv.global/taxonomy/taxondetails?taxnode_id=202520316&amp;ictv_id=ICTV202420316","ICTV202420316")</f>
        <v>ICTV202420316</v>
      </c>
      <c r="R7399" t="s">
        <v>582</v>
      </c>
      <c r="S7399" t="s">
        <v>824</v>
      </c>
      <c r="T7399">
        <v>41</v>
      </c>
      <c r="U7399" s="26" t="str">
        <f t="shared" si="286"/>
        <v>2025.002G.Monodnaviria_reorg_4nr.zip</v>
      </c>
    </row>
    <row r="7400" spans="1:21">
      <c r="A7400">
        <v>7399</v>
      </c>
      <c r="B7400" s="27" t="s">
        <v>20779</v>
      </c>
      <c r="D7400" s="27" t="s">
        <v>1826</v>
      </c>
      <c r="F7400" s="27" t="s">
        <v>1827</v>
      </c>
      <c r="H7400" s="27" t="s">
        <v>1833</v>
      </c>
      <c r="J7400" s="27" t="s">
        <v>1834</v>
      </c>
      <c r="L7400" s="27" t="s">
        <v>421</v>
      </c>
      <c r="M7400" s="27" t="s">
        <v>361</v>
      </c>
      <c r="N7400" s="27" t="s">
        <v>561</v>
      </c>
      <c r="P7400" s="27" t="s">
        <v>20012</v>
      </c>
      <c r="Q7400" s="26" t="str">
        <f>HYPERLINK("https://ictv.global/taxonomy/taxondetails?taxnode_id=202520317&amp;ictv_id=ICTV202420317","ICTV202420317")</f>
        <v>ICTV202420317</v>
      </c>
      <c r="R7400" t="s">
        <v>582</v>
      </c>
      <c r="S7400" t="s">
        <v>824</v>
      </c>
      <c r="T7400">
        <v>41</v>
      </c>
      <c r="U7400" s="26" t="str">
        <f t="shared" si="286"/>
        <v>2025.002G.Monodnaviria_reorg_4nr.zip</v>
      </c>
    </row>
    <row r="7401" spans="1:21">
      <c r="A7401">
        <v>7400</v>
      </c>
      <c r="B7401" s="27" t="s">
        <v>20779</v>
      </c>
      <c r="D7401" s="27" t="s">
        <v>1826</v>
      </c>
      <c r="F7401" s="27" t="s">
        <v>1827</v>
      </c>
      <c r="H7401" s="27" t="s">
        <v>1833</v>
      </c>
      <c r="J7401" s="27" t="s">
        <v>1834</v>
      </c>
      <c r="L7401" s="27" t="s">
        <v>421</v>
      </c>
      <c r="M7401" s="27" t="s">
        <v>361</v>
      </c>
      <c r="N7401" s="27" t="s">
        <v>561</v>
      </c>
      <c r="P7401" s="27" t="s">
        <v>8489</v>
      </c>
      <c r="Q7401" s="26" t="str">
        <f>HYPERLINK("https://ictv.global/taxonomy/taxondetails?taxnode_id=202504264&amp;ictv_id=ICTV20132589","ICTV20132589")</f>
        <v>ICTV20132589</v>
      </c>
      <c r="R7401" t="s">
        <v>582</v>
      </c>
      <c r="S7401" t="s">
        <v>824</v>
      </c>
      <c r="T7401">
        <v>41</v>
      </c>
      <c r="U7401" s="26" t="str">
        <f t="shared" si="286"/>
        <v>2025.002G.Monodnaviria_reorg_4nr.zip</v>
      </c>
    </row>
    <row r="7402" spans="1:21">
      <c r="A7402">
        <v>7401</v>
      </c>
      <c r="B7402" s="27" t="s">
        <v>20779</v>
      </c>
      <c r="D7402" s="27" t="s">
        <v>1826</v>
      </c>
      <c r="F7402" s="27" t="s">
        <v>1827</v>
      </c>
      <c r="H7402" s="27" t="s">
        <v>1833</v>
      </c>
      <c r="J7402" s="27" t="s">
        <v>1834</v>
      </c>
      <c r="L7402" s="27" t="s">
        <v>421</v>
      </c>
      <c r="M7402" s="27" t="s">
        <v>361</v>
      </c>
      <c r="N7402" s="27" t="s">
        <v>561</v>
      </c>
      <c r="P7402" s="27" t="s">
        <v>8490</v>
      </c>
      <c r="Q7402" s="26" t="str">
        <f>HYPERLINK("https://ictv.global/taxonomy/taxondetails?taxnode_id=202506425&amp;ictv_id=ICTV201856425","ICTV201856425")</f>
        <v>ICTV201856425</v>
      </c>
      <c r="R7402" t="s">
        <v>582</v>
      </c>
      <c r="S7402" t="s">
        <v>824</v>
      </c>
      <c r="T7402">
        <v>41</v>
      </c>
      <c r="U7402" s="26" t="str">
        <f t="shared" si="286"/>
        <v>2025.002G.Monodnaviria_reorg_4nr.zip</v>
      </c>
    </row>
    <row r="7403" spans="1:21">
      <c r="A7403">
        <v>7402</v>
      </c>
      <c r="B7403" s="27" t="s">
        <v>20779</v>
      </c>
      <c r="D7403" s="27" t="s">
        <v>1826</v>
      </c>
      <c r="F7403" s="27" t="s">
        <v>1827</v>
      </c>
      <c r="H7403" s="27" t="s">
        <v>1833</v>
      </c>
      <c r="J7403" s="27" t="s">
        <v>1834</v>
      </c>
      <c r="L7403" s="27" t="s">
        <v>421</v>
      </c>
      <c r="M7403" s="27" t="s">
        <v>361</v>
      </c>
      <c r="N7403" s="27" t="s">
        <v>562</v>
      </c>
      <c r="P7403" s="27" t="s">
        <v>8491</v>
      </c>
      <c r="Q7403" s="26" t="str">
        <f>HYPERLINK("https://ictv.global/taxonomy/taxondetails?taxnode_id=202507345&amp;ictv_id=ICTV201907345","ICTV201907345")</f>
        <v>ICTV201907345</v>
      </c>
      <c r="R7403" t="s">
        <v>582</v>
      </c>
      <c r="S7403" t="s">
        <v>824</v>
      </c>
      <c r="T7403">
        <v>41</v>
      </c>
      <c r="U7403" s="26" t="str">
        <f t="shared" ref="U7403:U7434" si="287">HYPERLINK("https://ictv.global/ictv/proposals/2025.002G.Monodnaviria_reorg_4nr.zip","2025.002G.Monodnaviria_reorg_4nr.zip")</f>
        <v>2025.002G.Monodnaviria_reorg_4nr.zip</v>
      </c>
    </row>
    <row r="7404" spans="1:21">
      <c r="A7404">
        <v>7403</v>
      </c>
      <c r="B7404" s="27" t="s">
        <v>20779</v>
      </c>
      <c r="D7404" s="27" t="s">
        <v>1826</v>
      </c>
      <c r="F7404" s="27" t="s">
        <v>1827</v>
      </c>
      <c r="H7404" s="27" t="s">
        <v>1833</v>
      </c>
      <c r="J7404" s="27" t="s">
        <v>1834</v>
      </c>
      <c r="L7404" s="27" t="s">
        <v>421</v>
      </c>
      <c r="M7404" s="27" t="s">
        <v>361</v>
      </c>
      <c r="N7404" s="27" t="s">
        <v>562</v>
      </c>
      <c r="P7404" s="27" t="s">
        <v>8492</v>
      </c>
      <c r="Q7404" s="26" t="str">
        <f>HYPERLINK("https://ictv.global/taxonomy/taxondetails?taxnode_id=202504266&amp;ictv_id=ICTV20132595","ICTV20132595")</f>
        <v>ICTV20132595</v>
      </c>
      <c r="R7404" t="s">
        <v>582</v>
      </c>
      <c r="S7404" t="s">
        <v>824</v>
      </c>
      <c r="T7404">
        <v>41</v>
      </c>
      <c r="U7404" s="26" t="str">
        <f t="shared" si="287"/>
        <v>2025.002G.Monodnaviria_reorg_4nr.zip</v>
      </c>
    </row>
    <row r="7405" spans="1:21">
      <c r="A7405">
        <v>7404</v>
      </c>
      <c r="B7405" s="27" t="s">
        <v>20779</v>
      </c>
      <c r="D7405" s="27" t="s">
        <v>1826</v>
      </c>
      <c r="F7405" s="27" t="s">
        <v>1827</v>
      </c>
      <c r="H7405" s="27" t="s">
        <v>1833</v>
      </c>
      <c r="J7405" s="27" t="s">
        <v>1834</v>
      </c>
      <c r="L7405" s="27" t="s">
        <v>421</v>
      </c>
      <c r="M7405" s="27" t="s">
        <v>361</v>
      </c>
      <c r="N7405" s="27" t="s">
        <v>562</v>
      </c>
      <c r="P7405" s="27" t="s">
        <v>8493</v>
      </c>
      <c r="Q7405" s="26" t="str">
        <f>HYPERLINK("https://ictv.global/taxonomy/taxondetails?taxnode_id=202504267&amp;ictv_id=ICTV20132596","ICTV20132596")</f>
        <v>ICTV20132596</v>
      </c>
      <c r="R7405" t="s">
        <v>582</v>
      </c>
      <c r="S7405" t="s">
        <v>824</v>
      </c>
      <c r="T7405">
        <v>41</v>
      </c>
      <c r="U7405" s="26" t="str">
        <f t="shared" si="287"/>
        <v>2025.002G.Monodnaviria_reorg_4nr.zip</v>
      </c>
    </row>
    <row r="7406" spans="1:21">
      <c r="A7406">
        <v>7405</v>
      </c>
      <c r="B7406" s="27" t="s">
        <v>20779</v>
      </c>
      <c r="D7406" s="27" t="s">
        <v>1826</v>
      </c>
      <c r="F7406" s="27" t="s">
        <v>1827</v>
      </c>
      <c r="H7406" s="27" t="s">
        <v>1833</v>
      </c>
      <c r="J7406" s="27" t="s">
        <v>1834</v>
      </c>
      <c r="L7406" s="27" t="s">
        <v>421</v>
      </c>
      <c r="M7406" s="27" t="s">
        <v>361</v>
      </c>
      <c r="N7406" s="27" t="s">
        <v>562</v>
      </c>
      <c r="P7406" s="27" t="s">
        <v>8494</v>
      </c>
      <c r="Q7406" s="26" t="str">
        <f>HYPERLINK("https://ictv.global/taxonomy/taxondetails?taxnode_id=202504268&amp;ictv_id=ICTV20132597","ICTV20132597")</f>
        <v>ICTV20132597</v>
      </c>
      <c r="R7406" t="s">
        <v>582</v>
      </c>
      <c r="S7406" t="s">
        <v>824</v>
      </c>
      <c r="T7406">
        <v>41</v>
      </c>
      <c r="U7406" s="26" t="str">
        <f t="shared" si="287"/>
        <v>2025.002G.Monodnaviria_reorg_4nr.zip</v>
      </c>
    </row>
    <row r="7407" spans="1:21">
      <c r="A7407">
        <v>7406</v>
      </c>
      <c r="B7407" s="27" t="s">
        <v>20779</v>
      </c>
      <c r="D7407" s="27" t="s">
        <v>1826</v>
      </c>
      <c r="F7407" s="27" t="s">
        <v>1827</v>
      </c>
      <c r="H7407" s="27" t="s">
        <v>1833</v>
      </c>
      <c r="J7407" s="27" t="s">
        <v>1834</v>
      </c>
      <c r="L7407" s="27" t="s">
        <v>421</v>
      </c>
      <c r="M7407" s="27" t="s">
        <v>361</v>
      </c>
      <c r="N7407" s="27" t="s">
        <v>562</v>
      </c>
      <c r="P7407" s="27" t="s">
        <v>8495</v>
      </c>
      <c r="Q7407" s="26" t="str">
        <f>HYPERLINK("https://ictv.global/taxonomy/taxondetails?taxnode_id=202504269&amp;ictv_id=ICTV20132598","ICTV20132598")</f>
        <v>ICTV20132598</v>
      </c>
      <c r="R7407" t="s">
        <v>582</v>
      </c>
      <c r="S7407" t="s">
        <v>824</v>
      </c>
      <c r="T7407">
        <v>41</v>
      </c>
      <c r="U7407" s="26" t="str">
        <f t="shared" si="287"/>
        <v>2025.002G.Monodnaviria_reorg_4nr.zip</v>
      </c>
    </row>
    <row r="7408" spans="1:21">
      <c r="A7408">
        <v>7407</v>
      </c>
      <c r="B7408" s="27" t="s">
        <v>20779</v>
      </c>
      <c r="D7408" s="27" t="s">
        <v>1826</v>
      </c>
      <c r="F7408" s="27" t="s">
        <v>1827</v>
      </c>
      <c r="H7408" s="27" t="s">
        <v>1833</v>
      </c>
      <c r="J7408" s="27" t="s">
        <v>1834</v>
      </c>
      <c r="L7408" s="27" t="s">
        <v>421</v>
      </c>
      <c r="M7408" s="27" t="s">
        <v>361</v>
      </c>
      <c r="N7408" s="27" t="s">
        <v>562</v>
      </c>
      <c r="P7408" s="27" t="s">
        <v>8496</v>
      </c>
      <c r="Q7408" s="26" t="str">
        <f>HYPERLINK("https://ictv.global/taxonomy/taxondetails?taxnode_id=202504270&amp;ictv_id=ICTV20132599","ICTV20132599")</f>
        <v>ICTV20132599</v>
      </c>
      <c r="R7408" t="s">
        <v>582</v>
      </c>
      <c r="S7408" t="s">
        <v>824</v>
      </c>
      <c r="T7408">
        <v>41</v>
      </c>
      <c r="U7408" s="26" t="str">
        <f t="shared" si="287"/>
        <v>2025.002G.Monodnaviria_reorg_4nr.zip</v>
      </c>
    </row>
    <row r="7409" spans="1:21">
      <c r="A7409">
        <v>7408</v>
      </c>
      <c r="B7409" s="27" t="s">
        <v>20779</v>
      </c>
      <c r="D7409" s="27" t="s">
        <v>1826</v>
      </c>
      <c r="F7409" s="27" t="s">
        <v>1827</v>
      </c>
      <c r="H7409" s="27" t="s">
        <v>1833</v>
      </c>
      <c r="J7409" s="27" t="s">
        <v>1834</v>
      </c>
      <c r="L7409" s="27" t="s">
        <v>421</v>
      </c>
      <c r="M7409" s="27" t="s">
        <v>361</v>
      </c>
      <c r="N7409" s="27" t="s">
        <v>562</v>
      </c>
      <c r="P7409" s="27" t="s">
        <v>8497</v>
      </c>
      <c r="Q7409" s="26" t="str">
        <f>HYPERLINK("https://ictv.global/taxonomy/taxondetails?taxnode_id=202504271&amp;ictv_id=ICTV20132600","ICTV20132600")</f>
        <v>ICTV20132600</v>
      </c>
      <c r="R7409" t="s">
        <v>582</v>
      </c>
      <c r="S7409" t="s">
        <v>824</v>
      </c>
      <c r="T7409">
        <v>41</v>
      </c>
      <c r="U7409" s="26" t="str">
        <f t="shared" si="287"/>
        <v>2025.002G.Monodnaviria_reorg_4nr.zip</v>
      </c>
    </row>
    <row r="7410" spans="1:21">
      <c r="A7410">
        <v>7409</v>
      </c>
      <c r="B7410" s="27" t="s">
        <v>20779</v>
      </c>
      <c r="D7410" s="27" t="s">
        <v>1826</v>
      </c>
      <c r="F7410" s="27" t="s">
        <v>1827</v>
      </c>
      <c r="H7410" s="27" t="s">
        <v>1833</v>
      </c>
      <c r="J7410" s="27" t="s">
        <v>1834</v>
      </c>
      <c r="L7410" s="27" t="s">
        <v>421</v>
      </c>
      <c r="M7410" s="27" t="s">
        <v>361</v>
      </c>
      <c r="N7410" s="27" t="s">
        <v>1843</v>
      </c>
      <c r="P7410" s="27" t="s">
        <v>8498</v>
      </c>
      <c r="Q7410" s="26" t="str">
        <f>HYPERLINK("https://ictv.global/taxonomy/taxondetails?taxnode_id=202507339&amp;ictv_id=ICTV201907339","ICTV201907339")</f>
        <v>ICTV201907339</v>
      </c>
      <c r="R7410" t="s">
        <v>582</v>
      </c>
      <c r="S7410" t="s">
        <v>824</v>
      </c>
      <c r="T7410">
        <v>41</v>
      </c>
      <c r="U7410" s="26" t="str">
        <f t="shared" si="287"/>
        <v>2025.002G.Monodnaviria_reorg_4nr.zip</v>
      </c>
    </row>
    <row r="7411" spans="1:21">
      <c r="A7411">
        <v>7410</v>
      </c>
      <c r="B7411" s="27" t="s">
        <v>20779</v>
      </c>
      <c r="D7411" s="27" t="s">
        <v>1826</v>
      </c>
      <c r="F7411" s="27" t="s">
        <v>1827</v>
      </c>
      <c r="H7411" s="27" t="s">
        <v>1833</v>
      </c>
      <c r="J7411" s="27" t="s">
        <v>1834</v>
      </c>
      <c r="L7411" s="27" t="s">
        <v>421</v>
      </c>
      <c r="M7411" s="27" t="s">
        <v>361</v>
      </c>
      <c r="N7411" s="27" t="s">
        <v>563</v>
      </c>
      <c r="P7411" s="27" t="s">
        <v>8499</v>
      </c>
      <c r="Q7411" s="26" t="str">
        <f>HYPERLINK("https://ictv.global/taxonomy/taxondetails?taxnode_id=202504273&amp;ictv_id=ICTV20132614","ICTV20132614")</f>
        <v>ICTV20132614</v>
      </c>
      <c r="R7411" t="s">
        <v>582</v>
      </c>
      <c r="S7411" t="s">
        <v>824</v>
      </c>
      <c r="T7411">
        <v>41</v>
      </c>
      <c r="U7411" s="26" t="str">
        <f t="shared" si="287"/>
        <v>2025.002G.Monodnaviria_reorg_4nr.zip</v>
      </c>
    </row>
    <row r="7412" spans="1:21">
      <c r="A7412">
        <v>7411</v>
      </c>
      <c r="B7412" s="27" t="s">
        <v>20779</v>
      </c>
      <c r="D7412" s="27" t="s">
        <v>1826</v>
      </c>
      <c r="F7412" s="27" t="s">
        <v>1827</v>
      </c>
      <c r="H7412" s="27" t="s">
        <v>1833</v>
      </c>
      <c r="J7412" s="27" t="s">
        <v>1834</v>
      </c>
      <c r="L7412" s="27" t="s">
        <v>421</v>
      </c>
      <c r="M7412" s="27" t="s">
        <v>361</v>
      </c>
      <c r="N7412" s="27" t="s">
        <v>563</v>
      </c>
      <c r="P7412" s="27" t="s">
        <v>8500</v>
      </c>
      <c r="Q7412" s="26" t="str">
        <f>HYPERLINK("https://ictv.global/taxonomy/taxondetails?taxnode_id=202507352&amp;ictv_id=ICTV201907352","ICTV201907352")</f>
        <v>ICTV201907352</v>
      </c>
      <c r="R7412" t="s">
        <v>582</v>
      </c>
      <c r="S7412" t="s">
        <v>824</v>
      </c>
      <c r="T7412">
        <v>41</v>
      </c>
      <c r="U7412" s="26" t="str">
        <f t="shared" si="287"/>
        <v>2025.002G.Monodnaviria_reorg_4nr.zip</v>
      </c>
    </row>
    <row r="7413" spans="1:21">
      <c r="A7413">
        <v>7412</v>
      </c>
      <c r="B7413" s="27" t="s">
        <v>20779</v>
      </c>
      <c r="D7413" s="27" t="s">
        <v>1826</v>
      </c>
      <c r="F7413" s="27" t="s">
        <v>1827</v>
      </c>
      <c r="H7413" s="27" t="s">
        <v>1833</v>
      </c>
      <c r="J7413" s="27" t="s">
        <v>1834</v>
      </c>
      <c r="L7413" s="27" t="s">
        <v>421</v>
      </c>
      <c r="M7413" s="27" t="s">
        <v>361</v>
      </c>
      <c r="N7413" s="27" t="s">
        <v>563</v>
      </c>
      <c r="P7413" s="27" t="s">
        <v>8501</v>
      </c>
      <c r="Q7413" s="26" t="str">
        <f>HYPERLINK("https://ictv.global/taxonomy/taxondetails?taxnode_id=202509284&amp;ictv_id=ICTV202009284","ICTV202009284")</f>
        <v>ICTV202009284</v>
      </c>
      <c r="R7413" t="s">
        <v>582</v>
      </c>
      <c r="S7413" t="s">
        <v>824</v>
      </c>
      <c r="T7413">
        <v>41</v>
      </c>
      <c r="U7413" s="26" t="str">
        <f t="shared" si="287"/>
        <v>2025.002G.Monodnaviria_reorg_4nr.zip</v>
      </c>
    </row>
    <row r="7414" spans="1:21">
      <c r="A7414">
        <v>7413</v>
      </c>
      <c r="B7414" s="27" t="s">
        <v>20779</v>
      </c>
      <c r="D7414" s="27" t="s">
        <v>1826</v>
      </c>
      <c r="F7414" s="27" t="s">
        <v>1827</v>
      </c>
      <c r="H7414" s="27" t="s">
        <v>1833</v>
      </c>
      <c r="J7414" s="27" t="s">
        <v>1834</v>
      </c>
      <c r="L7414" s="27" t="s">
        <v>421</v>
      </c>
      <c r="M7414" s="27" t="s">
        <v>361</v>
      </c>
      <c r="N7414" s="27" t="s">
        <v>563</v>
      </c>
      <c r="P7414" s="27" t="s">
        <v>8502</v>
      </c>
      <c r="Q7414" s="26" t="str">
        <f>HYPERLINK("https://ictv.global/taxonomy/taxondetails?taxnode_id=202509285&amp;ictv_id=ICTV202009285","ICTV202009285")</f>
        <v>ICTV202009285</v>
      </c>
      <c r="R7414" t="s">
        <v>582</v>
      </c>
      <c r="S7414" t="s">
        <v>824</v>
      </c>
      <c r="T7414">
        <v>41</v>
      </c>
      <c r="U7414" s="26" t="str">
        <f t="shared" si="287"/>
        <v>2025.002G.Monodnaviria_reorg_4nr.zip</v>
      </c>
    </row>
    <row r="7415" spans="1:21">
      <c r="A7415">
        <v>7414</v>
      </c>
      <c r="B7415" s="27" t="s">
        <v>20779</v>
      </c>
      <c r="D7415" s="27" t="s">
        <v>1826</v>
      </c>
      <c r="F7415" s="27" t="s">
        <v>1827</v>
      </c>
      <c r="H7415" s="27" t="s">
        <v>1833</v>
      </c>
      <c r="J7415" s="27" t="s">
        <v>1834</v>
      </c>
      <c r="L7415" s="27" t="s">
        <v>421</v>
      </c>
      <c r="M7415" s="27" t="s">
        <v>361</v>
      </c>
      <c r="N7415" s="27" t="s">
        <v>563</v>
      </c>
      <c r="P7415" s="27" t="s">
        <v>8503</v>
      </c>
      <c r="Q7415" s="26" t="str">
        <f>HYPERLINK("https://ictv.global/taxonomy/taxondetails?taxnode_id=202514040&amp;ictv_id=ICTV202214040","ICTV202214040")</f>
        <v>ICTV202214040</v>
      </c>
      <c r="R7415" t="s">
        <v>582</v>
      </c>
      <c r="S7415" t="s">
        <v>824</v>
      </c>
      <c r="T7415">
        <v>41</v>
      </c>
      <c r="U7415" s="26" t="str">
        <f t="shared" si="287"/>
        <v>2025.002G.Monodnaviria_reorg_4nr.zip</v>
      </c>
    </row>
    <row r="7416" spans="1:21">
      <c r="A7416">
        <v>7415</v>
      </c>
      <c r="B7416" s="27" t="s">
        <v>20779</v>
      </c>
      <c r="D7416" s="27" t="s">
        <v>1826</v>
      </c>
      <c r="F7416" s="27" t="s">
        <v>1827</v>
      </c>
      <c r="H7416" s="27" t="s">
        <v>1833</v>
      </c>
      <c r="J7416" s="27" t="s">
        <v>1834</v>
      </c>
      <c r="L7416" s="27" t="s">
        <v>421</v>
      </c>
      <c r="M7416" s="27" t="s">
        <v>361</v>
      </c>
      <c r="N7416" s="27" t="s">
        <v>563</v>
      </c>
      <c r="P7416" s="27" t="s">
        <v>20013</v>
      </c>
      <c r="Q7416" s="26" t="str">
        <f>HYPERLINK("https://ictv.global/taxonomy/taxondetails?taxnode_id=202520319&amp;ictv_id=ICTV202420319","ICTV202420319")</f>
        <v>ICTV202420319</v>
      </c>
      <c r="R7416" t="s">
        <v>582</v>
      </c>
      <c r="S7416" t="s">
        <v>824</v>
      </c>
      <c r="T7416">
        <v>41</v>
      </c>
      <c r="U7416" s="26" t="str">
        <f t="shared" si="287"/>
        <v>2025.002G.Monodnaviria_reorg_4nr.zip</v>
      </c>
    </row>
    <row r="7417" spans="1:21">
      <c r="A7417">
        <v>7416</v>
      </c>
      <c r="B7417" s="27" t="s">
        <v>20779</v>
      </c>
      <c r="D7417" s="27" t="s">
        <v>1826</v>
      </c>
      <c r="F7417" s="27" t="s">
        <v>1827</v>
      </c>
      <c r="H7417" s="27" t="s">
        <v>1833</v>
      </c>
      <c r="J7417" s="27" t="s">
        <v>1834</v>
      </c>
      <c r="L7417" s="27" t="s">
        <v>421</v>
      </c>
      <c r="M7417" s="27" t="s">
        <v>361</v>
      </c>
      <c r="N7417" s="27" t="s">
        <v>563</v>
      </c>
      <c r="P7417" s="27" t="s">
        <v>20014</v>
      </c>
      <c r="Q7417" s="26" t="str">
        <f>HYPERLINK("https://ictv.global/taxonomy/taxondetails?taxnode_id=202520320&amp;ictv_id=ICTV202420320","ICTV202420320")</f>
        <v>ICTV202420320</v>
      </c>
      <c r="R7417" t="s">
        <v>582</v>
      </c>
      <c r="S7417" t="s">
        <v>824</v>
      </c>
      <c r="T7417">
        <v>41</v>
      </c>
      <c r="U7417" s="26" t="str">
        <f t="shared" si="287"/>
        <v>2025.002G.Monodnaviria_reorg_4nr.zip</v>
      </c>
    </row>
    <row r="7418" spans="1:21">
      <c r="A7418">
        <v>7417</v>
      </c>
      <c r="B7418" s="27" t="s">
        <v>20779</v>
      </c>
      <c r="D7418" s="27" t="s">
        <v>1826</v>
      </c>
      <c r="F7418" s="27" t="s">
        <v>1827</v>
      </c>
      <c r="H7418" s="27" t="s">
        <v>1833</v>
      </c>
      <c r="J7418" s="27" t="s">
        <v>1834</v>
      </c>
      <c r="L7418" s="27" t="s">
        <v>421</v>
      </c>
      <c r="M7418" s="27" t="s">
        <v>361</v>
      </c>
      <c r="N7418" s="27" t="s">
        <v>563</v>
      </c>
      <c r="P7418" s="27" t="s">
        <v>20015</v>
      </c>
      <c r="Q7418" s="26" t="str">
        <f>HYPERLINK("https://ictv.global/taxonomy/taxondetails?taxnode_id=202520321&amp;ictv_id=ICTV202420321","ICTV202420321")</f>
        <v>ICTV202420321</v>
      </c>
      <c r="R7418" t="s">
        <v>582</v>
      </c>
      <c r="S7418" t="s">
        <v>824</v>
      </c>
      <c r="T7418">
        <v>41</v>
      </c>
      <c r="U7418" s="26" t="str">
        <f t="shared" si="287"/>
        <v>2025.002G.Monodnaviria_reorg_4nr.zip</v>
      </c>
    </row>
    <row r="7419" spans="1:21">
      <c r="A7419">
        <v>7418</v>
      </c>
      <c r="B7419" s="27" t="s">
        <v>20779</v>
      </c>
      <c r="D7419" s="27" t="s">
        <v>1826</v>
      </c>
      <c r="F7419" s="27" t="s">
        <v>1827</v>
      </c>
      <c r="H7419" s="27" t="s">
        <v>1833</v>
      </c>
      <c r="J7419" s="27" t="s">
        <v>1834</v>
      </c>
      <c r="L7419" s="27" t="s">
        <v>421</v>
      </c>
      <c r="M7419" s="27" t="s">
        <v>361</v>
      </c>
      <c r="N7419" s="27" t="s">
        <v>563</v>
      </c>
      <c r="P7419" s="27" t="s">
        <v>8504</v>
      </c>
      <c r="Q7419" s="26" t="str">
        <f>HYPERLINK("https://ictv.global/taxonomy/taxondetails?taxnode_id=202505898&amp;ictv_id=ICTV20175898","ICTV20175898")</f>
        <v>ICTV20175898</v>
      </c>
      <c r="R7419" t="s">
        <v>582</v>
      </c>
      <c r="S7419" t="s">
        <v>824</v>
      </c>
      <c r="T7419">
        <v>41</v>
      </c>
      <c r="U7419" s="26" t="str">
        <f t="shared" si="287"/>
        <v>2025.002G.Monodnaviria_reorg_4nr.zip</v>
      </c>
    </row>
    <row r="7420" spans="1:21">
      <c r="A7420">
        <v>7419</v>
      </c>
      <c r="B7420" s="27" t="s">
        <v>20779</v>
      </c>
      <c r="D7420" s="27" t="s">
        <v>1826</v>
      </c>
      <c r="F7420" s="27" t="s">
        <v>1827</v>
      </c>
      <c r="H7420" s="27" t="s">
        <v>1833</v>
      </c>
      <c r="J7420" s="27" t="s">
        <v>1834</v>
      </c>
      <c r="L7420" s="27" t="s">
        <v>421</v>
      </c>
      <c r="M7420" s="27" t="s">
        <v>361</v>
      </c>
      <c r="N7420" s="27" t="s">
        <v>563</v>
      </c>
      <c r="P7420" s="27" t="s">
        <v>20016</v>
      </c>
      <c r="Q7420" s="26" t="str">
        <f>HYPERLINK("https://ictv.global/taxonomy/taxondetails?taxnode_id=202520318&amp;ictv_id=ICTV202420318","ICTV202420318")</f>
        <v>ICTV202420318</v>
      </c>
      <c r="R7420" t="s">
        <v>582</v>
      </c>
      <c r="S7420" t="s">
        <v>824</v>
      </c>
      <c r="T7420">
        <v>41</v>
      </c>
      <c r="U7420" s="26" t="str">
        <f t="shared" si="287"/>
        <v>2025.002G.Monodnaviria_reorg_4nr.zip</v>
      </c>
    </row>
    <row r="7421" spans="1:21">
      <c r="A7421">
        <v>7420</v>
      </c>
      <c r="B7421" s="27" t="s">
        <v>20779</v>
      </c>
      <c r="D7421" s="27" t="s">
        <v>1826</v>
      </c>
      <c r="F7421" s="27" t="s">
        <v>1827</v>
      </c>
      <c r="H7421" s="27" t="s">
        <v>1833</v>
      </c>
      <c r="J7421" s="27" t="s">
        <v>1834</v>
      </c>
      <c r="L7421" s="27" t="s">
        <v>421</v>
      </c>
      <c r="M7421" s="27" t="s">
        <v>361</v>
      </c>
      <c r="N7421" s="27" t="s">
        <v>563</v>
      </c>
      <c r="P7421" s="27" t="s">
        <v>8505</v>
      </c>
      <c r="Q7421" s="26" t="str">
        <f>HYPERLINK("https://ictv.global/taxonomy/taxondetails?taxnode_id=202505899&amp;ictv_id=ICTV20175899","ICTV20175899")</f>
        <v>ICTV20175899</v>
      </c>
      <c r="R7421" t="s">
        <v>582</v>
      </c>
      <c r="S7421" t="s">
        <v>824</v>
      </c>
      <c r="T7421">
        <v>41</v>
      </c>
      <c r="U7421" s="26" t="str">
        <f t="shared" si="287"/>
        <v>2025.002G.Monodnaviria_reorg_4nr.zip</v>
      </c>
    </row>
    <row r="7422" spans="1:21">
      <c r="A7422">
        <v>7421</v>
      </c>
      <c r="B7422" s="27" t="s">
        <v>20779</v>
      </c>
      <c r="D7422" s="27" t="s">
        <v>1826</v>
      </c>
      <c r="F7422" s="27" t="s">
        <v>1827</v>
      </c>
      <c r="H7422" s="27" t="s">
        <v>1833</v>
      </c>
      <c r="J7422" s="27" t="s">
        <v>1834</v>
      </c>
      <c r="L7422" s="27" t="s">
        <v>421</v>
      </c>
      <c r="M7422" s="27" t="s">
        <v>361</v>
      </c>
      <c r="N7422" s="27" t="s">
        <v>563</v>
      </c>
      <c r="P7422" s="27" t="s">
        <v>8506</v>
      </c>
      <c r="Q7422" s="26" t="str">
        <f>HYPERLINK("https://ictv.global/taxonomy/taxondetails?taxnode_id=202507351&amp;ictv_id=ICTV201907351","ICTV201907351")</f>
        <v>ICTV201907351</v>
      </c>
      <c r="R7422" t="s">
        <v>582</v>
      </c>
      <c r="S7422" t="s">
        <v>824</v>
      </c>
      <c r="T7422">
        <v>41</v>
      </c>
      <c r="U7422" s="26" t="str">
        <f t="shared" si="287"/>
        <v>2025.002G.Monodnaviria_reorg_4nr.zip</v>
      </c>
    </row>
    <row r="7423" spans="1:21">
      <c r="A7423">
        <v>7422</v>
      </c>
      <c r="B7423" s="27" t="s">
        <v>20779</v>
      </c>
      <c r="D7423" s="27" t="s">
        <v>1826</v>
      </c>
      <c r="F7423" s="27" t="s">
        <v>1827</v>
      </c>
      <c r="H7423" s="27" t="s">
        <v>1833</v>
      </c>
      <c r="J7423" s="27" t="s">
        <v>1834</v>
      </c>
      <c r="L7423" s="27" t="s">
        <v>421</v>
      </c>
      <c r="M7423" s="27" t="s">
        <v>361</v>
      </c>
      <c r="N7423" s="27" t="s">
        <v>563</v>
      </c>
      <c r="P7423" s="27" t="s">
        <v>8507</v>
      </c>
      <c r="Q7423" s="26" t="str">
        <f>HYPERLINK("https://ictv.global/taxonomy/taxondetails?taxnode_id=202514039&amp;ictv_id=ICTV202214039","ICTV202214039")</f>
        <v>ICTV202214039</v>
      </c>
      <c r="R7423" t="s">
        <v>582</v>
      </c>
      <c r="S7423" t="s">
        <v>824</v>
      </c>
      <c r="T7423">
        <v>41</v>
      </c>
      <c r="U7423" s="26" t="str">
        <f t="shared" si="287"/>
        <v>2025.002G.Monodnaviria_reorg_4nr.zip</v>
      </c>
    </row>
    <row r="7424" spans="1:21">
      <c r="A7424">
        <v>7423</v>
      </c>
      <c r="B7424" s="27" t="s">
        <v>20779</v>
      </c>
      <c r="D7424" s="27" t="s">
        <v>1826</v>
      </c>
      <c r="F7424" s="27" t="s">
        <v>1827</v>
      </c>
      <c r="H7424" s="27" t="s">
        <v>1833</v>
      </c>
      <c r="J7424" s="27" t="s">
        <v>1834</v>
      </c>
      <c r="L7424" s="27" t="s">
        <v>421</v>
      </c>
      <c r="M7424" s="27" t="s">
        <v>361</v>
      </c>
      <c r="N7424" s="27" t="s">
        <v>563</v>
      </c>
      <c r="P7424" s="27" t="s">
        <v>8508</v>
      </c>
      <c r="Q7424" s="26" t="str">
        <f>HYPERLINK("https://ictv.global/taxonomy/taxondetails?taxnode_id=202504274&amp;ictv_id=ICTV20132615","ICTV20132615")</f>
        <v>ICTV20132615</v>
      </c>
      <c r="R7424" t="s">
        <v>582</v>
      </c>
      <c r="S7424" t="s">
        <v>824</v>
      </c>
      <c r="T7424">
        <v>41</v>
      </c>
      <c r="U7424" s="26" t="str">
        <f t="shared" si="287"/>
        <v>2025.002G.Monodnaviria_reorg_4nr.zip</v>
      </c>
    </row>
    <row r="7425" spans="1:21">
      <c r="A7425">
        <v>7424</v>
      </c>
      <c r="B7425" s="27" t="s">
        <v>20779</v>
      </c>
      <c r="D7425" s="27" t="s">
        <v>1826</v>
      </c>
      <c r="F7425" s="27" t="s">
        <v>1827</v>
      </c>
      <c r="H7425" s="27" t="s">
        <v>1833</v>
      </c>
      <c r="J7425" s="27" t="s">
        <v>1834</v>
      </c>
      <c r="L7425" s="27" t="s">
        <v>421</v>
      </c>
      <c r="M7425" s="27" t="s">
        <v>361</v>
      </c>
      <c r="N7425" s="27" t="s">
        <v>563</v>
      </c>
      <c r="P7425" s="27" t="s">
        <v>8509</v>
      </c>
      <c r="Q7425" s="26" t="str">
        <f>HYPERLINK("https://ictv.global/taxonomy/taxondetails?taxnode_id=202505900&amp;ictv_id=ICTV20175900","ICTV20175900")</f>
        <v>ICTV20175900</v>
      </c>
      <c r="R7425" t="s">
        <v>582</v>
      </c>
      <c r="S7425" t="s">
        <v>824</v>
      </c>
      <c r="T7425">
        <v>41</v>
      </c>
      <c r="U7425" s="26" t="str">
        <f t="shared" si="287"/>
        <v>2025.002G.Monodnaviria_reorg_4nr.zip</v>
      </c>
    </row>
    <row r="7426" spans="1:21">
      <c r="A7426">
        <v>7425</v>
      </c>
      <c r="B7426" s="27" t="s">
        <v>20779</v>
      </c>
      <c r="D7426" s="27" t="s">
        <v>1826</v>
      </c>
      <c r="F7426" s="27" t="s">
        <v>1827</v>
      </c>
      <c r="H7426" s="27" t="s">
        <v>1833</v>
      </c>
      <c r="J7426" s="27" t="s">
        <v>1834</v>
      </c>
      <c r="L7426" s="27" t="s">
        <v>421</v>
      </c>
      <c r="M7426" s="27" t="s">
        <v>361</v>
      </c>
      <c r="N7426" s="27" t="s">
        <v>563</v>
      </c>
      <c r="P7426" s="27" t="s">
        <v>8510</v>
      </c>
      <c r="Q7426" s="26" t="str">
        <f>HYPERLINK("https://ictv.global/taxonomy/taxondetails?taxnode_id=202505901&amp;ictv_id=ICTV20175901","ICTV20175901")</f>
        <v>ICTV20175901</v>
      </c>
      <c r="R7426" t="s">
        <v>582</v>
      </c>
      <c r="S7426" t="s">
        <v>824</v>
      </c>
      <c r="T7426">
        <v>41</v>
      </c>
      <c r="U7426" s="26" t="str">
        <f t="shared" si="287"/>
        <v>2025.002G.Monodnaviria_reorg_4nr.zip</v>
      </c>
    </row>
    <row r="7427" spans="1:21">
      <c r="A7427">
        <v>7426</v>
      </c>
      <c r="B7427" s="27" t="s">
        <v>20779</v>
      </c>
      <c r="D7427" s="27" t="s">
        <v>1826</v>
      </c>
      <c r="F7427" s="27" t="s">
        <v>1827</v>
      </c>
      <c r="H7427" s="27" t="s">
        <v>1833</v>
      </c>
      <c r="J7427" s="27" t="s">
        <v>1834</v>
      </c>
      <c r="L7427" s="27" t="s">
        <v>421</v>
      </c>
      <c r="M7427" s="27" t="s">
        <v>361</v>
      </c>
      <c r="N7427" s="27" t="s">
        <v>563</v>
      </c>
      <c r="P7427" s="27" t="s">
        <v>8511</v>
      </c>
      <c r="Q7427" s="26" t="str">
        <f>HYPERLINK("https://ictv.global/taxonomy/taxondetails?taxnode_id=202504275&amp;ictv_id=ICTV20132616","ICTV20132616")</f>
        <v>ICTV20132616</v>
      </c>
      <c r="R7427" t="s">
        <v>582</v>
      </c>
      <c r="S7427" t="s">
        <v>824</v>
      </c>
      <c r="T7427">
        <v>41</v>
      </c>
      <c r="U7427" s="26" t="str">
        <f t="shared" si="287"/>
        <v>2025.002G.Monodnaviria_reorg_4nr.zip</v>
      </c>
    </row>
    <row r="7428" spans="1:21">
      <c r="A7428">
        <v>7427</v>
      </c>
      <c r="B7428" s="27" t="s">
        <v>20779</v>
      </c>
      <c r="D7428" s="27" t="s">
        <v>1826</v>
      </c>
      <c r="F7428" s="27" t="s">
        <v>1827</v>
      </c>
      <c r="H7428" s="27" t="s">
        <v>1833</v>
      </c>
      <c r="J7428" s="27" t="s">
        <v>1834</v>
      </c>
      <c r="L7428" s="27" t="s">
        <v>421</v>
      </c>
      <c r="M7428" s="27" t="s">
        <v>361</v>
      </c>
      <c r="N7428" s="27" t="s">
        <v>563</v>
      </c>
      <c r="P7428" s="27" t="s">
        <v>8512</v>
      </c>
      <c r="Q7428" s="26" t="str">
        <f>HYPERLINK("https://ictv.global/taxonomy/taxondetails?taxnode_id=202504276&amp;ictv_id=ICTV20132617","ICTV20132617")</f>
        <v>ICTV20132617</v>
      </c>
      <c r="R7428" t="s">
        <v>582</v>
      </c>
      <c r="S7428" t="s">
        <v>824</v>
      </c>
      <c r="T7428">
        <v>41</v>
      </c>
      <c r="U7428" s="26" t="str">
        <f t="shared" si="287"/>
        <v>2025.002G.Monodnaviria_reorg_4nr.zip</v>
      </c>
    </row>
    <row r="7429" spans="1:21">
      <c r="A7429">
        <v>7428</v>
      </c>
      <c r="B7429" s="27" t="s">
        <v>20779</v>
      </c>
      <c r="D7429" s="27" t="s">
        <v>1826</v>
      </c>
      <c r="F7429" s="27" t="s">
        <v>1827</v>
      </c>
      <c r="H7429" s="27" t="s">
        <v>1833</v>
      </c>
      <c r="J7429" s="27" t="s">
        <v>1834</v>
      </c>
      <c r="L7429" s="27" t="s">
        <v>421</v>
      </c>
      <c r="M7429" s="27" t="s">
        <v>361</v>
      </c>
      <c r="N7429" s="27" t="s">
        <v>563</v>
      </c>
      <c r="P7429" s="27" t="s">
        <v>8513</v>
      </c>
      <c r="Q7429" s="26" t="str">
        <f>HYPERLINK("https://ictv.global/taxonomy/taxondetails?taxnode_id=202505902&amp;ictv_id=ICTV20175902","ICTV20175902")</f>
        <v>ICTV20175902</v>
      </c>
      <c r="R7429" t="s">
        <v>582</v>
      </c>
      <c r="S7429" t="s">
        <v>824</v>
      </c>
      <c r="T7429">
        <v>41</v>
      </c>
      <c r="U7429" s="26" t="str">
        <f t="shared" si="287"/>
        <v>2025.002G.Monodnaviria_reorg_4nr.zip</v>
      </c>
    </row>
    <row r="7430" spans="1:21">
      <c r="A7430">
        <v>7429</v>
      </c>
      <c r="B7430" s="27" t="s">
        <v>20779</v>
      </c>
      <c r="D7430" s="27" t="s">
        <v>1826</v>
      </c>
      <c r="F7430" s="27" t="s">
        <v>1827</v>
      </c>
      <c r="H7430" s="27" t="s">
        <v>1833</v>
      </c>
      <c r="J7430" s="27" t="s">
        <v>1834</v>
      </c>
      <c r="L7430" s="27" t="s">
        <v>421</v>
      </c>
      <c r="M7430" s="27" t="s">
        <v>361</v>
      </c>
      <c r="N7430" s="27" t="s">
        <v>563</v>
      </c>
      <c r="P7430" s="27" t="s">
        <v>8514</v>
      </c>
      <c r="Q7430" s="26" t="str">
        <f>HYPERLINK("https://ictv.global/taxonomy/taxondetails?taxnode_id=202504277&amp;ictv_id=ICTV20132618","ICTV20132618")</f>
        <v>ICTV20132618</v>
      </c>
      <c r="R7430" t="s">
        <v>582</v>
      </c>
      <c r="S7430" t="s">
        <v>824</v>
      </c>
      <c r="T7430">
        <v>41</v>
      </c>
      <c r="U7430" s="26" t="str">
        <f t="shared" si="287"/>
        <v>2025.002G.Monodnaviria_reorg_4nr.zip</v>
      </c>
    </row>
    <row r="7431" spans="1:21">
      <c r="A7431">
        <v>7430</v>
      </c>
      <c r="B7431" s="27" t="s">
        <v>20779</v>
      </c>
      <c r="D7431" s="27" t="s">
        <v>1826</v>
      </c>
      <c r="F7431" s="27" t="s">
        <v>1827</v>
      </c>
      <c r="H7431" s="27" t="s">
        <v>1833</v>
      </c>
      <c r="J7431" s="27" t="s">
        <v>1834</v>
      </c>
      <c r="L7431" s="27" t="s">
        <v>421</v>
      </c>
      <c r="M7431" s="27" t="s">
        <v>361</v>
      </c>
      <c r="N7431" s="27" t="s">
        <v>563</v>
      </c>
      <c r="P7431" s="27" t="s">
        <v>8515</v>
      </c>
      <c r="Q7431" s="26" t="str">
        <f>HYPERLINK("https://ictv.global/taxonomy/taxondetails?taxnode_id=202505903&amp;ictv_id=ICTV20175903","ICTV20175903")</f>
        <v>ICTV20175903</v>
      </c>
      <c r="R7431" t="s">
        <v>582</v>
      </c>
      <c r="S7431" t="s">
        <v>824</v>
      </c>
      <c r="T7431">
        <v>41</v>
      </c>
      <c r="U7431" s="26" t="str">
        <f t="shared" si="287"/>
        <v>2025.002G.Monodnaviria_reorg_4nr.zip</v>
      </c>
    </row>
    <row r="7432" spans="1:21">
      <c r="A7432">
        <v>7431</v>
      </c>
      <c r="B7432" s="27" t="s">
        <v>20779</v>
      </c>
      <c r="D7432" s="27" t="s">
        <v>1826</v>
      </c>
      <c r="F7432" s="27" t="s">
        <v>1827</v>
      </c>
      <c r="H7432" s="27" t="s">
        <v>1833</v>
      </c>
      <c r="J7432" s="27" t="s">
        <v>1834</v>
      </c>
      <c r="L7432" s="27" t="s">
        <v>421</v>
      </c>
      <c r="M7432" s="27" t="s">
        <v>361</v>
      </c>
      <c r="N7432" s="27" t="s">
        <v>563</v>
      </c>
      <c r="P7432" s="27" t="s">
        <v>8516</v>
      </c>
      <c r="Q7432" s="26" t="str">
        <f>HYPERLINK("https://ictv.global/taxonomy/taxondetails?taxnode_id=202514041&amp;ictv_id=ICTV202214041","ICTV202214041")</f>
        <v>ICTV202214041</v>
      </c>
      <c r="R7432" t="s">
        <v>582</v>
      </c>
      <c r="S7432" t="s">
        <v>824</v>
      </c>
      <c r="T7432">
        <v>41</v>
      </c>
      <c r="U7432" s="26" t="str">
        <f t="shared" si="287"/>
        <v>2025.002G.Monodnaviria_reorg_4nr.zip</v>
      </c>
    </row>
    <row r="7433" spans="1:21">
      <c r="A7433">
        <v>7432</v>
      </c>
      <c r="B7433" s="27" t="s">
        <v>20779</v>
      </c>
      <c r="D7433" s="27" t="s">
        <v>1826</v>
      </c>
      <c r="F7433" s="27" t="s">
        <v>1827</v>
      </c>
      <c r="H7433" s="27" t="s">
        <v>1833</v>
      </c>
      <c r="J7433" s="27" t="s">
        <v>1834</v>
      </c>
      <c r="L7433" s="27" t="s">
        <v>421</v>
      </c>
      <c r="M7433" s="27" t="s">
        <v>361</v>
      </c>
      <c r="N7433" s="27" t="s">
        <v>563</v>
      </c>
      <c r="P7433" s="27" t="s">
        <v>12263</v>
      </c>
      <c r="Q7433" s="26" t="str">
        <f>HYPERLINK("https://ictv.global/taxonomy/taxondetails?taxnode_id=202517847&amp;ictv_id=ICTV202317847","ICTV202317847")</f>
        <v>ICTV202317847</v>
      </c>
      <c r="R7433" t="s">
        <v>582</v>
      </c>
      <c r="S7433" t="s">
        <v>824</v>
      </c>
      <c r="T7433">
        <v>41</v>
      </c>
      <c r="U7433" s="26" t="str">
        <f t="shared" si="287"/>
        <v>2025.002G.Monodnaviria_reorg_4nr.zip</v>
      </c>
    </row>
    <row r="7434" spans="1:21">
      <c r="A7434">
        <v>7433</v>
      </c>
      <c r="B7434" s="27" t="s">
        <v>20779</v>
      </c>
      <c r="D7434" s="27" t="s">
        <v>1826</v>
      </c>
      <c r="F7434" s="27" t="s">
        <v>1827</v>
      </c>
      <c r="H7434" s="27" t="s">
        <v>1833</v>
      </c>
      <c r="J7434" s="27" t="s">
        <v>1834</v>
      </c>
      <c r="L7434" s="27" t="s">
        <v>421</v>
      </c>
      <c r="M7434" s="27" t="s">
        <v>361</v>
      </c>
      <c r="N7434" s="27" t="s">
        <v>8517</v>
      </c>
      <c r="P7434" s="27" t="s">
        <v>8518</v>
      </c>
      <c r="Q7434" s="26" t="str">
        <f>HYPERLINK("https://ictv.global/taxonomy/taxondetails?taxnode_id=202514044&amp;ictv_id=ICTV202214044","ICTV202214044")</f>
        <v>ICTV202214044</v>
      </c>
      <c r="R7434" t="s">
        <v>582</v>
      </c>
      <c r="S7434" t="s">
        <v>824</v>
      </c>
      <c r="T7434">
        <v>41</v>
      </c>
      <c r="U7434" s="26" t="str">
        <f t="shared" si="287"/>
        <v>2025.002G.Monodnaviria_reorg_4nr.zip</v>
      </c>
    </row>
    <row r="7435" spans="1:21">
      <c r="A7435">
        <v>7434</v>
      </c>
      <c r="B7435" s="27" t="s">
        <v>20779</v>
      </c>
      <c r="D7435" s="27" t="s">
        <v>1826</v>
      </c>
      <c r="F7435" s="27" t="s">
        <v>1827</v>
      </c>
      <c r="H7435" s="27" t="s">
        <v>1833</v>
      </c>
      <c r="J7435" s="27" t="s">
        <v>1834</v>
      </c>
      <c r="L7435" s="27" t="s">
        <v>421</v>
      </c>
      <c r="M7435" s="27" t="s">
        <v>361</v>
      </c>
      <c r="N7435" s="27" t="s">
        <v>564</v>
      </c>
      <c r="P7435" s="27" t="s">
        <v>8519</v>
      </c>
      <c r="Q7435" s="26" t="str">
        <f>HYPERLINK("https://ictv.global/taxonomy/taxondetails?taxnode_id=202504279&amp;ictv_id=ICTV20132625","ICTV20132625")</f>
        <v>ICTV20132625</v>
      </c>
      <c r="R7435" t="s">
        <v>582</v>
      </c>
      <c r="S7435" t="s">
        <v>824</v>
      </c>
      <c r="T7435">
        <v>41</v>
      </c>
      <c r="U7435" s="26" t="str">
        <f t="shared" ref="U7435:U7442" si="288">HYPERLINK("https://ictv.global/ictv/proposals/2025.002G.Monodnaviria_reorg_4nr.zip","2025.002G.Monodnaviria_reorg_4nr.zip")</f>
        <v>2025.002G.Monodnaviria_reorg_4nr.zip</v>
      </c>
    </row>
    <row r="7436" spans="1:21">
      <c r="A7436">
        <v>7435</v>
      </c>
      <c r="B7436" s="27" t="s">
        <v>20779</v>
      </c>
      <c r="D7436" s="27" t="s">
        <v>1826</v>
      </c>
      <c r="F7436" s="27" t="s">
        <v>1827</v>
      </c>
      <c r="H7436" s="27" t="s">
        <v>1833</v>
      </c>
      <c r="J7436" s="27" t="s">
        <v>1834</v>
      </c>
      <c r="L7436" s="27" t="s">
        <v>421</v>
      </c>
      <c r="M7436" s="27" t="s">
        <v>361</v>
      </c>
      <c r="N7436" s="27" t="s">
        <v>564</v>
      </c>
      <c r="P7436" s="27" t="s">
        <v>8520</v>
      </c>
      <c r="Q7436" s="26" t="str">
        <f>HYPERLINK("https://ictv.global/taxonomy/taxondetails?taxnode_id=202514042&amp;ictv_id=ICTV202214042","ICTV202214042")</f>
        <v>ICTV202214042</v>
      </c>
      <c r="R7436" t="s">
        <v>582</v>
      </c>
      <c r="S7436" t="s">
        <v>824</v>
      </c>
      <c r="T7436">
        <v>41</v>
      </c>
      <c r="U7436" s="26" t="str">
        <f t="shared" si="288"/>
        <v>2025.002G.Monodnaviria_reorg_4nr.zip</v>
      </c>
    </row>
    <row r="7437" spans="1:21">
      <c r="A7437">
        <v>7436</v>
      </c>
      <c r="B7437" s="27" t="s">
        <v>20779</v>
      </c>
      <c r="D7437" s="27" t="s">
        <v>1826</v>
      </c>
      <c r="F7437" s="27" t="s">
        <v>1827</v>
      </c>
      <c r="H7437" s="27" t="s">
        <v>1833</v>
      </c>
      <c r="J7437" s="27" t="s">
        <v>1834</v>
      </c>
      <c r="L7437" s="27" t="s">
        <v>421</v>
      </c>
      <c r="M7437" s="27" t="s">
        <v>361</v>
      </c>
      <c r="N7437" s="27" t="s">
        <v>564</v>
      </c>
      <c r="P7437" s="27" t="s">
        <v>8521</v>
      </c>
      <c r="Q7437" s="26" t="str">
        <f>HYPERLINK("https://ictv.global/taxonomy/taxondetails?taxnode_id=202504280&amp;ictv_id=ICTV20132626","ICTV20132626")</f>
        <v>ICTV20132626</v>
      </c>
      <c r="R7437" t="s">
        <v>582</v>
      </c>
      <c r="S7437" t="s">
        <v>824</v>
      </c>
      <c r="T7437">
        <v>41</v>
      </c>
      <c r="U7437" s="26" t="str">
        <f t="shared" si="288"/>
        <v>2025.002G.Monodnaviria_reorg_4nr.zip</v>
      </c>
    </row>
    <row r="7438" spans="1:21">
      <c r="A7438">
        <v>7437</v>
      </c>
      <c r="B7438" s="27" t="s">
        <v>20779</v>
      </c>
      <c r="D7438" s="27" t="s">
        <v>1826</v>
      </c>
      <c r="F7438" s="27" t="s">
        <v>1827</v>
      </c>
      <c r="H7438" s="27" t="s">
        <v>1833</v>
      </c>
      <c r="J7438" s="27" t="s">
        <v>1834</v>
      </c>
      <c r="L7438" s="27" t="s">
        <v>421</v>
      </c>
      <c r="M7438" s="27" t="s">
        <v>361</v>
      </c>
      <c r="N7438" s="27" t="s">
        <v>564</v>
      </c>
      <c r="P7438" s="27" t="s">
        <v>8522</v>
      </c>
      <c r="Q7438" s="26" t="str">
        <f>HYPERLINK("https://ictv.global/taxonomy/taxondetails?taxnode_id=202514043&amp;ictv_id=ICTV202214043","ICTV202214043")</f>
        <v>ICTV202214043</v>
      </c>
      <c r="R7438" t="s">
        <v>582</v>
      </c>
      <c r="S7438" t="s">
        <v>824</v>
      </c>
      <c r="T7438">
        <v>41</v>
      </c>
      <c r="U7438" s="26" t="str">
        <f t="shared" si="288"/>
        <v>2025.002G.Monodnaviria_reorg_4nr.zip</v>
      </c>
    </row>
    <row r="7439" spans="1:21">
      <c r="A7439">
        <v>7438</v>
      </c>
      <c r="B7439" s="27" t="s">
        <v>20779</v>
      </c>
      <c r="D7439" s="27" t="s">
        <v>1826</v>
      </c>
      <c r="F7439" s="27" t="s">
        <v>1827</v>
      </c>
      <c r="H7439" s="27" t="s">
        <v>1833</v>
      </c>
      <c r="J7439" s="27" t="s">
        <v>1834</v>
      </c>
      <c r="L7439" s="27" t="s">
        <v>421</v>
      </c>
      <c r="M7439" s="27" t="s">
        <v>361</v>
      </c>
      <c r="N7439" s="27" t="s">
        <v>564</v>
      </c>
      <c r="P7439" s="27" t="s">
        <v>8523</v>
      </c>
      <c r="Q7439" s="26" t="str">
        <f>HYPERLINK("https://ictv.global/taxonomy/taxondetails?taxnode_id=202504281&amp;ictv_id=ICTV20132627","ICTV20132627")</f>
        <v>ICTV20132627</v>
      </c>
      <c r="R7439" t="s">
        <v>582</v>
      </c>
      <c r="S7439" t="s">
        <v>824</v>
      </c>
      <c r="T7439">
        <v>41</v>
      </c>
      <c r="U7439" s="26" t="str">
        <f t="shared" si="288"/>
        <v>2025.002G.Monodnaviria_reorg_4nr.zip</v>
      </c>
    </row>
    <row r="7440" spans="1:21">
      <c r="A7440">
        <v>7439</v>
      </c>
      <c r="B7440" s="27" t="s">
        <v>20779</v>
      </c>
      <c r="D7440" s="27" t="s">
        <v>1826</v>
      </c>
      <c r="F7440" s="27" t="s">
        <v>1827</v>
      </c>
      <c r="H7440" s="27" t="s">
        <v>1833</v>
      </c>
      <c r="J7440" s="27" t="s">
        <v>1834</v>
      </c>
      <c r="L7440" s="27" t="s">
        <v>421</v>
      </c>
      <c r="M7440" s="27" t="s">
        <v>361</v>
      </c>
      <c r="N7440" s="27" t="s">
        <v>564</v>
      </c>
      <c r="P7440" s="27" t="s">
        <v>8524</v>
      </c>
      <c r="Q7440" s="26" t="str">
        <f>HYPERLINK("https://ictv.global/taxonomy/taxondetails?taxnode_id=202504282&amp;ictv_id=ICTV20132628","ICTV20132628")</f>
        <v>ICTV20132628</v>
      </c>
      <c r="R7440" t="s">
        <v>582</v>
      </c>
      <c r="S7440" t="s">
        <v>824</v>
      </c>
      <c r="T7440">
        <v>41</v>
      </c>
      <c r="U7440" s="26" t="str">
        <f t="shared" si="288"/>
        <v>2025.002G.Monodnaviria_reorg_4nr.zip</v>
      </c>
    </row>
    <row r="7441" spans="1:21">
      <c r="A7441">
        <v>7440</v>
      </c>
      <c r="B7441" s="27" t="s">
        <v>20779</v>
      </c>
      <c r="D7441" s="27" t="s">
        <v>1826</v>
      </c>
      <c r="F7441" s="27" t="s">
        <v>1827</v>
      </c>
      <c r="H7441" s="27" t="s">
        <v>1833</v>
      </c>
      <c r="J7441" s="27" t="s">
        <v>1834</v>
      </c>
      <c r="L7441" s="27" t="s">
        <v>421</v>
      </c>
      <c r="M7441" s="27" t="s">
        <v>361</v>
      </c>
      <c r="N7441" s="27" t="s">
        <v>564</v>
      </c>
      <c r="P7441" s="27" t="s">
        <v>8525</v>
      </c>
      <c r="Q7441" s="26" t="str">
        <f>HYPERLINK("https://ictv.global/taxonomy/taxondetails?taxnode_id=202504283&amp;ictv_id=ICTV20132629","ICTV20132629")</f>
        <v>ICTV20132629</v>
      </c>
      <c r="R7441" t="s">
        <v>582</v>
      </c>
      <c r="S7441" t="s">
        <v>824</v>
      </c>
      <c r="T7441">
        <v>41</v>
      </c>
      <c r="U7441" s="26" t="str">
        <f t="shared" si="288"/>
        <v>2025.002G.Monodnaviria_reorg_4nr.zip</v>
      </c>
    </row>
    <row r="7442" spans="1:21">
      <c r="A7442">
        <v>7441</v>
      </c>
      <c r="B7442" s="27" t="s">
        <v>20779</v>
      </c>
      <c r="D7442" s="27" t="s">
        <v>1826</v>
      </c>
      <c r="F7442" s="27" t="s">
        <v>1827</v>
      </c>
      <c r="H7442" s="27" t="s">
        <v>1833</v>
      </c>
      <c r="J7442" s="27" t="s">
        <v>1834</v>
      </c>
      <c r="L7442" s="27" t="s">
        <v>421</v>
      </c>
      <c r="M7442" s="27" t="s">
        <v>361</v>
      </c>
      <c r="N7442" s="27" t="s">
        <v>564</v>
      </c>
      <c r="P7442" s="27" t="s">
        <v>8526</v>
      </c>
      <c r="Q7442" s="26" t="str">
        <f>HYPERLINK("https://ictv.global/taxonomy/taxondetails?taxnode_id=202504284&amp;ictv_id=ICTV20132630","ICTV20132630")</f>
        <v>ICTV20132630</v>
      </c>
      <c r="R7442" t="s">
        <v>582</v>
      </c>
      <c r="S7442" t="s">
        <v>824</v>
      </c>
      <c r="T7442">
        <v>41</v>
      </c>
      <c r="U7442" s="26" t="str">
        <f t="shared" si="288"/>
        <v>2025.002G.Monodnaviria_reorg_4nr.zip</v>
      </c>
    </row>
    <row r="7443" spans="1:21">
      <c r="A7443">
        <v>7442</v>
      </c>
      <c r="B7443" s="27" t="s">
        <v>20779</v>
      </c>
      <c r="D7443" s="27" t="s">
        <v>1826</v>
      </c>
      <c r="F7443" s="27" t="s">
        <v>1827</v>
      </c>
      <c r="H7443" s="27" t="s">
        <v>1833</v>
      </c>
      <c r="J7443" s="27" t="s">
        <v>1834</v>
      </c>
      <c r="L7443" s="27" t="s">
        <v>421</v>
      </c>
      <c r="M7443" s="27" t="s">
        <v>20830</v>
      </c>
      <c r="N7443" s="27" t="s">
        <v>20831</v>
      </c>
      <c r="P7443" s="27" t="s">
        <v>20832</v>
      </c>
      <c r="Q7443" s="26" t="str">
        <f>HYPERLINK("https://ictv.global/taxonomy/taxondetails?taxnode_id=202504221&amp;ictv_id=ICTV20132530","ICTV20132530")</f>
        <v>ICTV20132530</v>
      </c>
      <c r="R7443" t="s">
        <v>582</v>
      </c>
      <c r="S7443" t="s">
        <v>824</v>
      </c>
      <c r="T7443">
        <v>41</v>
      </c>
      <c r="U7443" s="26" t="str">
        <f>HYPERLINK("https://ictv.global/ictv/proposals/2025.005D.Parvoviridae_1absf_4nsf_39ns.zip","2025.005D.Parvoviridae_1absf_4nsf_39ns.zip")</f>
        <v>2025.005D.Parvoviridae_1absf_4nsf_39ns.zip</v>
      </c>
    </row>
    <row r="7444" spans="1:21">
      <c r="A7444">
        <v>7443</v>
      </c>
      <c r="B7444" s="27" t="s">
        <v>20779</v>
      </c>
      <c r="D7444" s="27" t="s">
        <v>1826</v>
      </c>
      <c r="F7444" s="27" t="s">
        <v>1827</v>
      </c>
      <c r="H7444" s="27" t="s">
        <v>1833</v>
      </c>
      <c r="J7444" s="27" t="s">
        <v>1834</v>
      </c>
      <c r="L7444" s="27" t="s">
        <v>421</v>
      </c>
      <c r="M7444" s="27" t="s">
        <v>20830</v>
      </c>
      <c r="N7444" s="27" t="s">
        <v>20831</v>
      </c>
      <c r="P7444" s="27" t="s">
        <v>20833</v>
      </c>
      <c r="Q7444" s="26" t="str">
        <f>HYPERLINK("https://ictv.global/taxonomy/taxondetails?taxnode_id=202504222&amp;ictv_id=ICTV20132531","ICTV20132531")</f>
        <v>ICTV20132531</v>
      </c>
      <c r="R7444" t="s">
        <v>582</v>
      </c>
      <c r="S7444" t="s">
        <v>824</v>
      </c>
      <c r="T7444">
        <v>41</v>
      </c>
      <c r="U7444" s="26" t="str">
        <f>HYPERLINK("https://ictv.global/ictv/proposals/2025.005D.Parvoviridae_1absf_4nsf_39ns.zip","2025.005D.Parvoviridae_1absf_4nsf_39ns.zip")</f>
        <v>2025.005D.Parvoviridae_1absf_4nsf_39ns.zip</v>
      </c>
    </row>
    <row r="7445" spans="1:21">
      <c r="A7445">
        <v>7444</v>
      </c>
      <c r="B7445" s="27" t="s">
        <v>20779</v>
      </c>
      <c r="D7445" s="27" t="s">
        <v>1826</v>
      </c>
      <c r="F7445" s="27" t="s">
        <v>1827</v>
      </c>
      <c r="H7445" s="27" t="s">
        <v>1833</v>
      </c>
      <c r="J7445" s="27" t="s">
        <v>1834</v>
      </c>
      <c r="L7445" s="27" t="s">
        <v>421</v>
      </c>
      <c r="M7445" s="27" t="s">
        <v>20830</v>
      </c>
      <c r="N7445" s="27" t="s">
        <v>20831</v>
      </c>
      <c r="P7445" s="27" t="s">
        <v>20988</v>
      </c>
      <c r="Q7445" s="26" t="str">
        <f>HYPERLINK("https://ictv.global/taxonomy/taxondetails?taxnode_id=202517842&amp;ictv_id=ICTV202317842","ICTV202317842")</f>
        <v>ICTV202317842</v>
      </c>
      <c r="R7445" t="s">
        <v>582</v>
      </c>
      <c r="S7445" t="s">
        <v>824</v>
      </c>
      <c r="T7445">
        <v>41</v>
      </c>
      <c r="U7445" s="26" t="str">
        <f>HYPERLINK("https://ictv.global/ictv/proposals/2025.005D.Parvoviridae_1absf_4nsf_39ns.zip","2025.005D.Parvoviridae_1absf_4nsf_39ns.zip")</f>
        <v>2025.005D.Parvoviridae_1absf_4nsf_39ns.zip</v>
      </c>
    </row>
    <row r="7446" spans="1:21">
      <c r="A7446">
        <v>7445</v>
      </c>
      <c r="B7446" s="27" t="s">
        <v>20779</v>
      </c>
      <c r="D7446" s="27" t="s">
        <v>1826</v>
      </c>
      <c r="F7446" s="27" t="s">
        <v>1827</v>
      </c>
      <c r="H7446" s="27" t="s">
        <v>1833</v>
      </c>
      <c r="J7446" s="27" t="s">
        <v>1834</v>
      </c>
      <c r="L7446" s="27" t="s">
        <v>421</v>
      </c>
      <c r="M7446" s="27" t="s">
        <v>20830</v>
      </c>
      <c r="N7446" s="27" t="s">
        <v>20831</v>
      </c>
      <c r="P7446" s="27" t="s">
        <v>21278</v>
      </c>
      <c r="Q7446" s="26" t="str">
        <f>HYPERLINK("https://ictv.global/taxonomy/taxondetails?taxnode_id=202522176&amp;ictv_id=ICTV202522176","ICTV202522176")</f>
        <v>ICTV202522176</v>
      </c>
      <c r="R7446" t="s">
        <v>660</v>
      </c>
      <c r="S7446" t="s">
        <v>823</v>
      </c>
      <c r="T7446">
        <v>41</v>
      </c>
      <c r="U7446" s="26" t="str">
        <f>HYPERLINK("https://ictv.global/ictv/proposals/2025.005D.Parvoviridae_1absf_4nsf_39ns.zip","2025.005D.Parvoviridae_1absf_4nsf_39ns.zip")</f>
        <v>2025.005D.Parvoviridae_1absf_4nsf_39ns.zip</v>
      </c>
    </row>
    <row r="7447" spans="1:21">
      <c r="A7447">
        <v>7446</v>
      </c>
      <c r="B7447" s="27" t="s">
        <v>20779</v>
      </c>
      <c r="D7447" s="27" t="s">
        <v>1826</v>
      </c>
      <c r="F7447" s="27" t="s">
        <v>1827</v>
      </c>
      <c r="H7447" s="27" t="s">
        <v>1833</v>
      </c>
      <c r="J7447" s="27" t="s">
        <v>1834</v>
      </c>
      <c r="L7447" s="27" t="s">
        <v>421</v>
      </c>
      <c r="M7447" s="27" t="s">
        <v>20830</v>
      </c>
      <c r="N7447" s="27" t="s">
        <v>20837</v>
      </c>
      <c r="P7447" s="27" t="s">
        <v>20838</v>
      </c>
      <c r="Q7447" s="26" t="str">
        <f>HYPERLINK("https://ictv.global/taxonomy/taxondetails?taxnode_id=202504232&amp;ictv_id=ICTV20132634","ICTV20132634")</f>
        <v>ICTV20132634</v>
      </c>
      <c r="R7447" t="s">
        <v>582</v>
      </c>
      <c r="S7447" t="s">
        <v>824</v>
      </c>
      <c r="T7447">
        <v>41</v>
      </c>
      <c r="U7447" s="26" t="str">
        <f>HYPERLINK("https://ictv.global/ictv/proposals/2025.005D.Parvoviridae_1absf_4nsf_39ns.zip","2025.005D.Parvoviridae_1absf_4nsf_39ns.zip")</f>
        <v>2025.005D.Parvoviridae_1absf_4nsf_39ns.zip</v>
      </c>
    </row>
    <row r="7448" spans="1:21">
      <c r="A7448">
        <v>7447</v>
      </c>
      <c r="B7448" s="27" t="s">
        <v>20779</v>
      </c>
      <c r="D7448" s="27" t="s">
        <v>1826</v>
      </c>
      <c r="F7448" s="27" t="s">
        <v>1844</v>
      </c>
      <c r="H7448" s="27" t="s">
        <v>1845</v>
      </c>
      <c r="J7448" s="27" t="s">
        <v>1846</v>
      </c>
      <c r="L7448" s="27" t="s">
        <v>883</v>
      </c>
      <c r="N7448" s="27" t="s">
        <v>8527</v>
      </c>
      <c r="P7448" s="27" t="s">
        <v>8528</v>
      </c>
      <c r="Q7448" s="26" t="str">
        <f>HYPERLINK("https://ictv.global/taxonomy/taxondetails?taxnode_id=202514992&amp;ictv_id=ICTV202214992","ICTV202214992")</f>
        <v>ICTV202214992</v>
      </c>
      <c r="R7448" t="s">
        <v>660</v>
      </c>
      <c r="S7448" t="s">
        <v>824</v>
      </c>
      <c r="T7448">
        <v>41</v>
      </c>
      <c r="U7448" s="26" t="str">
        <f t="shared" ref="U7448:U7511" si="289">HYPERLINK("https://ictv.global/ictv/proposals/2025.002G.Monodnaviria_reorg_4nr.zip","2025.002G.Monodnaviria_reorg_4nr.zip")</f>
        <v>2025.002G.Monodnaviria_reorg_4nr.zip</v>
      </c>
    </row>
    <row r="7449" spans="1:21">
      <c r="A7449">
        <v>7448</v>
      </c>
      <c r="B7449" s="27" t="s">
        <v>20779</v>
      </c>
      <c r="D7449" s="27" t="s">
        <v>1826</v>
      </c>
      <c r="F7449" s="27" t="s">
        <v>1844</v>
      </c>
      <c r="H7449" s="27" t="s">
        <v>1845</v>
      </c>
      <c r="J7449" s="27" t="s">
        <v>1846</v>
      </c>
      <c r="L7449" s="27" t="s">
        <v>883</v>
      </c>
      <c r="N7449" s="27" t="s">
        <v>884</v>
      </c>
      <c r="P7449" s="27" t="s">
        <v>8529</v>
      </c>
      <c r="Q7449" s="26" t="str">
        <f>HYPERLINK("https://ictv.global/taxonomy/taxondetails?taxnode_id=202505746&amp;ictv_id=ICTV20175746","ICTV20175746")</f>
        <v>ICTV20175746</v>
      </c>
      <c r="R7449" t="s">
        <v>660</v>
      </c>
      <c r="S7449" t="s">
        <v>824</v>
      </c>
      <c r="T7449">
        <v>41</v>
      </c>
      <c r="U7449" s="26" t="str">
        <f t="shared" si="289"/>
        <v>2025.002G.Monodnaviria_reorg_4nr.zip</v>
      </c>
    </row>
    <row r="7450" spans="1:21">
      <c r="A7450">
        <v>7449</v>
      </c>
      <c r="B7450" s="27" t="s">
        <v>20779</v>
      </c>
      <c r="D7450" s="27" t="s">
        <v>1826</v>
      </c>
      <c r="F7450" s="27" t="s">
        <v>1844</v>
      </c>
      <c r="H7450" s="27" t="s">
        <v>1845</v>
      </c>
      <c r="J7450" s="27" t="s">
        <v>1846</v>
      </c>
      <c r="L7450" s="27" t="s">
        <v>883</v>
      </c>
      <c r="N7450" s="27" t="s">
        <v>8530</v>
      </c>
      <c r="P7450" s="27" t="s">
        <v>8531</v>
      </c>
      <c r="Q7450" s="26" t="str">
        <f>HYPERLINK("https://ictv.global/taxonomy/taxondetails?taxnode_id=202514995&amp;ictv_id=ICTV202214995","ICTV202214995")</f>
        <v>ICTV202214995</v>
      </c>
      <c r="R7450" t="s">
        <v>660</v>
      </c>
      <c r="S7450" t="s">
        <v>824</v>
      </c>
      <c r="T7450">
        <v>41</v>
      </c>
      <c r="U7450" s="26" t="str">
        <f t="shared" si="289"/>
        <v>2025.002G.Monodnaviria_reorg_4nr.zip</v>
      </c>
    </row>
    <row r="7451" spans="1:21">
      <c r="A7451">
        <v>7450</v>
      </c>
      <c r="B7451" s="27" t="s">
        <v>20779</v>
      </c>
      <c r="D7451" s="27" t="s">
        <v>1826</v>
      </c>
      <c r="F7451" s="27" t="s">
        <v>1844</v>
      </c>
      <c r="H7451" s="27" t="s">
        <v>1845</v>
      </c>
      <c r="J7451" s="27" t="s">
        <v>1846</v>
      </c>
      <c r="L7451" s="27" t="s">
        <v>883</v>
      </c>
      <c r="N7451" s="27" t="s">
        <v>885</v>
      </c>
      <c r="P7451" s="27" t="s">
        <v>8532</v>
      </c>
      <c r="Q7451" s="26" t="str">
        <f>HYPERLINK("https://ictv.global/taxonomy/taxondetails?taxnode_id=202505748&amp;ictv_id=ICTV20175748","ICTV20175748")</f>
        <v>ICTV20175748</v>
      </c>
      <c r="R7451" t="s">
        <v>660</v>
      </c>
      <c r="S7451" t="s">
        <v>824</v>
      </c>
      <c r="T7451">
        <v>41</v>
      </c>
      <c r="U7451" s="26" t="str">
        <f t="shared" si="289"/>
        <v>2025.002G.Monodnaviria_reorg_4nr.zip</v>
      </c>
    </row>
    <row r="7452" spans="1:21">
      <c r="A7452">
        <v>7451</v>
      </c>
      <c r="B7452" s="27" t="s">
        <v>20779</v>
      </c>
      <c r="D7452" s="27" t="s">
        <v>1826</v>
      </c>
      <c r="F7452" s="27" t="s">
        <v>1844</v>
      </c>
      <c r="H7452" s="27" t="s">
        <v>1845</v>
      </c>
      <c r="J7452" s="27" t="s">
        <v>1846</v>
      </c>
      <c r="L7452" s="27" t="s">
        <v>883</v>
      </c>
      <c r="N7452" s="27" t="s">
        <v>885</v>
      </c>
      <c r="P7452" s="27" t="s">
        <v>8533</v>
      </c>
      <c r="Q7452" s="26" t="str">
        <f>HYPERLINK("https://ictv.global/taxonomy/taxondetails?taxnode_id=202514994&amp;ictv_id=ICTV202214994","ICTV202214994")</f>
        <v>ICTV202214994</v>
      </c>
      <c r="R7452" t="s">
        <v>660</v>
      </c>
      <c r="S7452" t="s">
        <v>824</v>
      </c>
      <c r="T7452">
        <v>41</v>
      </c>
      <c r="U7452" s="26" t="str">
        <f t="shared" si="289"/>
        <v>2025.002G.Monodnaviria_reorg_4nr.zip</v>
      </c>
    </row>
    <row r="7453" spans="1:21">
      <c r="A7453">
        <v>7452</v>
      </c>
      <c r="B7453" s="27" t="s">
        <v>20779</v>
      </c>
      <c r="D7453" s="27" t="s">
        <v>1826</v>
      </c>
      <c r="F7453" s="27" t="s">
        <v>1844</v>
      </c>
      <c r="H7453" s="27" t="s">
        <v>1845</v>
      </c>
      <c r="J7453" s="27" t="s">
        <v>1846</v>
      </c>
      <c r="L7453" s="27" t="s">
        <v>883</v>
      </c>
      <c r="N7453" s="27" t="s">
        <v>885</v>
      </c>
      <c r="P7453" s="27" t="s">
        <v>11235</v>
      </c>
      <c r="Q7453" s="26" t="str">
        <f>HYPERLINK("https://ictv.global/taxonomy/taxondetails?taxnode_id=202515004&amp;ictv_id=ICTV202215004","ICTV202215004")</f>
        <v>ICTV202215004</v>
      </c>
      <c r="R7453" t="s">
        <v>660</v>
      </c>
      <c r="S7453" t="s">
        <v>824</v>
      </c>
      <c r="T7453">
        <v>41</v>
      </c>
      <c r="U7453" s="26" t="str">
        <f t="shared" si="289"/>
        <v>2025.002G.Monodnaviria_reorg_4nr.zip</v>
      </c>
    </row>
    <row r="7454" spans="1:21">
      <c r="A7454">
        <v>7453</v>
      </c>
      <c r="B7454" s="27" t="s">
        <v>20779</v>
      </c>
      <c r="D7454" s="27" t="s">
        <v>1826</v>
      </c>
      <c r="F7454" s="27" t="s">
        <v>1844</v>
      </c>
      <c r="H7454" s="27" t="s">
        <v>1845</v>
      </c>
      <c r="J7454" s="27" t="s">
        <v>1846</v>
      </c>
      <c r="L7454" s="27" t="s">
        <v>883</v>
      </c>
      <c r="N7454" s="27" t="s">
        <v>885</v>
      </c>
      <c r="P7454" s="27" t="s">
        <v>8534</v>
      </c>
      <c r="Q7454" s="26" t="str">
        <f>HYPERLINK("https://ictv.global/taxonomy/taxondetails?taxnode_id=202514993&amp;ictv_id=ICTV202214993","ICTV202214993")</f>
        <v>ICTV202214993</v>
      </c>
      <c r="R7454" t="s">
        <v>660</v>
      </c>
      <c r="S7454" t="s">
        <v>824</v>
      </c>
      <c r="T7454">
        <v>41</v>
      </c>
      <c r="U7454" s="26" t="str">
        <f t="shared" si="289"/>
        <v>2025.002G.Monodnaviria_reorg_4nr.zip</v>
      </c>
    </row>
    <row r="7455" spans="1:21">
      <c r="A7455">
        <v>7454</v>
      </c>
      <c r="B7455" s="27" t="s">
        <v>20779</v>
      </c>
      <c r="D7455" s="27" t="s">
        <v>1826</v>
      </c>
      <c r="F7455" s="27" t="s">
        <v>1844</v>
      </c>
      <c r="H7455" s="27" t="s">
        <v>1845</v>
      </c>
      <c r="J7455" s="27" t="s">
        <v>1846</v>
      </c>
      <c r="L7455" s="27" t="s">
        <v>883</v>
      </c>
      <c r="N7455" s="27" t="s">
        <v>886</v>
      </c>
      <c r="P7455" s="27" t="s">
        <v>8535</v>
      </c>
      <c r="Q7455" s="26" t="str">
        <f>HYPERLINK("https://ictv.global/taxonomy/taxondetails?taxnode_id=202505751&amp;ictv_id=ICTV20175751","ICTV20175751")</f>
        <v>ICTV20175751</v>
      </c>
      <c r="R7455" t="s">
        <v>660</v>
      </c>
      <c r="S7455" t="s">
        <v>824</v>
      </c>
      <c r="T7455">
        <v>41</v>
      </c>
      <c r="U7455" s="26" t="str">
        <f t="shared" si="289"/>
        <v>2025.002G.Monodnaviria_reorg_4nr.zip</v>
      </c>
    </row>
    <row r="7456" spans="1:21">
      <c r="A7456">
        <v>7455</v>
      </c>
      <c r="B7456" s="27" t="s">
        <v>20779</v>
      </c>
      <c r="D7456" s="27" t="s">
        <v>1826</v>
      </c>
      <c r="F7456" s="27" t="s">
        <v>1844</v>
      </c>
      <c r="H7456" s="27" t="s">
        <v>1845</v>
      </c>
      <c r="J7456" s="27" t="s">
        <v>1846</v>
      </c>
      <c r="L7456" s="27" t="s">
        <v>883</v>
      </c>
      <c r="N7456" s="27" t="s">
        <v>886</v>
      </c>
      <c r="P7456" s="27" t="s">
        <v>8536</v>
      </c>
      <c r="Q7456" s="26" t="str">
        <f>HYPERLINK("https://ictv.global/taxonomy/taxondetails?taxnode_id=202505750&amp;ictv_id=ICTV20175750","ICTV20175750")</f>
        <v>ICTV20175750</v>
      </c>
      <c r="R7456" t="s">
        <v>660</v>
      </c>
      <c r="S7456" t="s">
        <v>824</v>
      </c>
      <c r="T7456">
        <v>41</v>
      </c>
      <c r="U7456" s="26" t="str">
        <f t="shared" si="289"/>
        <v>2025.002G.Monodnaviria_reorg_4nr.zip</v>
      </c>
    </row>
    <row r="7457" spans="1:21">
      <c r="A7457">
        <v>7456</v>
      </c>
      <c r="B7457" s="27" t="s">
        <v>20779</v>
      </c>
      <c r="D7457" s="27" t="s">
        <v>1826</v>
      </c>
      <c r="F7457" s="27" t="s">
        <v>1844</v>
      </c>
      <c r="H7457" s="27" t="s">
        <v>1845</v>
      </c>
      <c r="J7457" s="27" t="s">
        <v>1846</v>
      </c>
      <c r="L7457" s="27" t="s">
        <v>883</v>
      </c>
      <c r="N7457" s="27" t="s">
        <v>886</v>
      </c>
      <c r="P7457" s="27" t="s">
        <v>8537</v>
      </c>
      <c r="Q7457" s="26" t="str">
        <f>HYPERLINK("https://ictv.global/taxonomy/taxondetails?taxnode_id=202505339&amp;ictv_id=ICTV20115365","ICTV20115365")</f>
        <v>ICTV20115365</v>
      </c>
      <c r="R7457" t="s">
        <v>660</v>
      </c>
      <c r="S7457" t="s">
        <v>824</v>
      </c>
      <c r="T7457">
        <v>41</v>
      </c>
      <c r="U7457" s="26" t="str">
        <f t="shared" si="289"/>
        <v>2025.002G.Monodnaviria_reorg_4nr.zip</v>
      </c>
    </row>
    <row r="7458" spans="1:21">
      <c r="A7458">
        <v>7457</v>
      </c>
      <c r="B7458" s="27" t="s">
        <v>20779</v>
      </c>
      <c r="D7458" s="27" t="s">
        <v>1826</v>
      </c>
      <c r="F7458" s="27" t="s">
        <v>1844</v>
      </c>
      <c r="H7458" s="27" t="s">
        <v>1845</v>
      </c>
      <c r="J7458" s="27" t="s">
        <v>1846</v>
      </c>
      <c r="L7458" s="27" t="s">
        <v>883</v>
      </c>
      <c r="N7458" s="27" t="s">
        <v>886</v>
      </c>
      <c r="P7458" s="27" t="s">
        <v>8538</v>
      </c>
      <c r="Q7458" s="26" t="str">
        <f>HYPERLINK("https://ictv.global/taxonomy/taxondetails?taxnode_id=202505755&amp;ictv_id=ICTV20175755","ICTV20175755")</f>
        <v>ICTV20175755</v>
      </c>
      <c r="R7458" t="s">
        <v>660</v>
      </c>
      <c r="S7458" t="s">
        <v>824</v>
      </c>
      <c r="T7458">
        <v>41</v>
      </c>
      <c r="U7458" s="26" t="str">
        <f t="shared" si="289"/>
        <v>2025.002G.Monodnaviria_reorg_4nr.zip</v>
      </c>
    </row>
    <row r="7459" spans="1:21">
      <c r="A7459">
        <v>7458</v>
      </c>
      <c r="B7459" s="27" t="s">
        <v>20779</v>
      </c>
      <c r="D7459" s="27" t="s">
        <v>1826</v>
      </c>
      <c r="F7459" s="27" t="s">
        <v>1844</v>
      </c>
      <c r="H7459" s="27" t="s">
        <v>1845</v>
      </c>
      <c r="J7459" s="27" t="s">
        <v>1846</v>
      </c>
      <c r="L7459" s="27" t="s">
        <v>883</v>
      </c>
      <c r="N7459" s="27" t="s">
        <v>886</v>
      </c>
      <c r="P7459" s="27" t="s">
        <v>8539</v>
      </c>
      <c r="Q7459" s="26" t="str">
        <f>HYPERLINK("https://ictv.global/taxonomy/taxondetails?taxnode_id=202505754&amp;ictv_id=ICTV20175754","ICTV20175754")</f>
        <v>ICTV20175754</v>
      </c>
      <c r="R7459" t="s">
        <v>660</v>
      </c>
      <c r="S7459" t="s">
        <v>824</v>
      </c>
      <c r="T7459">
        <v>41</v>
      </c>
      <c r="U7459" s="26" t="str">
        <f t="shared" si="289"/>
        <v>2025.002G.Monodnaviria_reorg_4nr.zip</v>
      </c>
    </row>
    <row r="7460" spans="1:21">
      <c r="A7460">
        <v>7459</v>
      </c>
      <c r="B7460" s="27" t="s">
        <v>20779</v>
      </c>
      <c r="D7460" s="27" t="s">
        <v>1826</v>
      </c>
      <c r="F7460" s="27" t="s">
        <v>1844</v>
      </c>
      <c r="H7460" s="27" t="s">
        <v>1845</v>
      </c>
      <c r="J7460" s="27" t="s">
        <v>1846</v>
      </c>
      <c r="L7460" s="27" t="s">
        <v>883</v>
      </c>
      <c r="N7460" s="27" t="s">
        <v>886</v>
      </c>
      <c r="P7460" s="27" t="s">
        <v>8540</v>
      </c>
      <c r="Q7460" s="26" t="str">
        <f>HYPERLINK("https://ictv.global/taxonomy/taxondetails?taxnode_id=202514997&amp;ictv_id=ICTV202214997","ICTV202214997")</f>
        <v>ICTV202214997</v>
      </c>
      <c r="R7460" t="s">
        <v>660</v>
      </c>
      <c r="S7460" t="s">
        <v>824</v>
      </c>
      <c r="T7460">
        <v>41</v>
      </c>
      <c r="U7460" s="26" t="str">
        <f t="shared" si="289"/>
        <v>2025.002G.Monodnaviria_reorg_4nr.zip</v>
      </c>
    </row>
    <row r="7461" spans="1:21">
      <c r="A7461">
        <v>7460</v>
      </c>
      <c r="B7461" s="27" t="s">
        <v>20779</v>
      </c>
      <c r="D7461" s="27" t="s">
        <v>1826</v>
      </c>
      <c r="F7461" s="27" t="s">
        <v>1844</v>
      </c>
      <c r="H7461" s="27" t="s">
        <v>1845</v>
      </c>
      <c r="J7461" s="27" t="s">
        <v>1846</v>
      </c>
      <c r="L7461" s="27" t="s">
        <v>883</v>
      </c>
      <c r="N7461" s="27" t="s">
        <v>886</v>
      </c>
      <c r="P7461" s="27" t="s">
        <v>8541</v>
      </c>
      <c r="Q7461" s="26" t="str">
        <f>HYPERLINK("https://ictv.global/taxonomy/taxondetails?taxnode_id=202514996&amp;ictv_id=ICTV202214996","ICTV202214996")</f>
        <v>ICTV202214996</v>
      </c>
      <c r="R7461" t="s">
        <v>660</v>
      </c>
      <c r="S7461" t="s">
        <v>824</v>
      </c>
      <c r="T7461">
        <v>41</v>
      </c>
      <c r="U7461" s="26" t="str">
        <f t="shared" si="289"/>
        <v>2025.002G.Monodnaviria_reorg_4nr.zip</v>
      </c>
    </row>
    <row r="7462" spans="1:21">
      <c r="A7462">
        <v>7461</v>
      </c>
      <c r="B7462" s="27" t="s">
        <v>20779</v>
      </c>
      <c r="D7462" s="27" t="s">
        <v>1826</v>
      </c>
      <c r="F7462" s="27" t="s">
        <v>1844</v>
      </c>
      <c r="H7462" s="27" t="s">
        <v>1845</v>
      </c>
      <c r="J7462" s="27" t="s">
        <v>1846</v>
      </c>
      <c r="L7462" s="27" t="s">
        <v>883</v>
      </c>
      <c r="N7462" s="27" t="s">
        <v>886</v>
      </c>
      <c r="P7462" s="27" t="s">
        <v>8542</v>
      </c>
      <c r="Q7462" s="26" t="str">
        <f>HYPERLINK("https://ictv.global/taxonomy/taxondetails?taxnode_id=202505752&amp;ictv_id=ICTV20175752","ICTV20175752")</f>
        <v>ICTV20175752</v>
      </c>
      <c r="R7462" t="s">
        <v>660</v>
      </c>
      <c r="S7462" t="s">
        <v>824</v>
      </c>
      <c r="T7462">
        <v>41</v>
      </c>
      <c r="U7462" s="26" t="str">
        <f t="shared" si="289"/>
        <v>2025.002G.Monodnaviria_reorg_4nr.zip</v>
      </c>
    </row>
    <row r="7463" spans="1:21">
      <c r="A7463">
        <v>7462</v>
      </c>
      <c r="B7463" s="27" t="s">
        <v>20779</v>
      </c>
      <c r="D7463" s="27" t="s">
        <v>1826</v>
      </c>
      <c r="F7463" s="27" t="s">
        <v>1844</v>
      </c>
      <c r="H7463" s="27" t="s">
        <v>1845</v>
      </c>
      <c r="J7463" s="27" t="s">
        <v>1846</v>
      </c>
      <c r="L7463" s="27" t="s">
        <v>883</v>
      </c>
      <c r="N7463" s="27" t="s">
        <v>8543</v>
      </c>
      <c r="P7463" s="27" t="s">
        <v>8544</v>
      </c>
      <c r="Q7463" s="26" t="str">
        <f>HYPERLINK("https://ictv.global/taxonomy/taxondetails?taxnode_id=202514998&amp;ictv_id=ICTV202214998","ICTV202214998")</f>
        <v>ICTV202214998</v>
      </c>
      <c r="R7463" t="s">
        <v>660</v>
      </c>
      <c r="S7463" t="s">
        <v>824</v>
      </c>
      <c r="T7463">
        <v>41</v>
      </c>
      <c r="U7463" s="26" t="str">
        <f t="shared" si="289"/>
        <v>2025.002G.Monodnaviria_reorg_4nr.zip</v>
      </c>
    </row>
    <row r="7464" spans="1:21">
      <c r="A7464">
        <v>7463</v>
      </c>
      <c r="B7464" s="27" t="s">
        <v>20779</v>
      </c>
      <c r="D7464" s="27" t="s">
        <v>1826</v>
      </c>
      <c r="F7464" s="27" t="s">
        <v>1844</v>
      </c>
      <c r="H7464" s="27" t="s">
        <v>1845</v>
      </c>
      <c r="J7464" s="27" t="s">
        <v>1846</v>
      </c>
      <c r="L7464" s="27" t="s">
        <v>883</v>
      </c>
      <c r="N7464" s="27" t="s">
        <v>8543</v>
      </c>
      <c r="P7464" s="27" t="s">
        <v>8545</v>
      </c>
      <c r="Q7464" s="26" t="str">
        <f>HYPERLINK("https://ictv.global/taxonomy/taxondetails?taxnode_id=202515000&amp;ictv_id=ICTV202215000","ICTV202215000")</f>
        <v>ICTV202215000</v>
      </c>
      <c r="R7464" t="s">
        <v>660</v>
      </c>
      <c r="S7464" t="s">
        <v>824</v>
      </c>
      <c r="T7464">
        <v>41</v>
      </c>
      <c r="U7464" s="26" t="str">
        <f t="shared" si="289"/>
        <v>2025.002G.Monodnaviria_reorg_4nr.zip</v>
      </c>
    </row>
    <row r="7465" spans="1:21">
      <c r="A7465">
        <v>7464</v>
      </c>
      <c r="B7465" s="27" t="s">
        <v>20779</v>
      </c>
      <c r="D7465" s="27" t="s">
        <v>1826</v>
      </c>
      <c r="F7465" s="27" t="s">
        <v>1844</v>
      </c>
      <c r="H7465" s="27" t="s">
        <v>1845</v>
      </c>
      <c r="J7465" s="27" t="s">
        <v>1846</v>
      </c>
      <c r="L7465" s="27" t="s">
        <v>883</v>
      </c>
      <c r="N7465" s="27" t="s">
        <v>8543</v>
      </c>
      <c r="P7465" s="27" t="s">
        <v>8546</v>
      </c>
      <c r="Q7465" s="26" t="str">
        <f>HYPERLINK("https://ictv.global/taxonomy/taxondetails?taxnode_id=202515001&amp;ictv_id=ICTV202215001","ICTV202215001")</f>
        <v>ICTV202215001</v>
      </c>
      <c r="R7465" t="s">
        <v>660</v>
      </c>
      <c r="S7465" t="s">
        <v>824</v>
      </c>
      <c r="T7465">
        <v>41</v>
      </c>
      <c r="U7465" s="26" t="str">
        <f t="shared" si="289"/>
        <v>2025.002G.Monodnaviria_reorg_4nr.zip</v>
      </c>
    </row>
    <row r="7466" spans="1:21">
      <c r="A7466">
        <v>7465</v>
      </c>
      <c r="B7466" s="27" t="s">
        <v>20779</v>
      </c>
      <c r="D7466" s="27" t="s">
        <v>1826</v>
      </c>
      <c r="F7466" s="27" t="s">
        <v>1844</v>
      </c>
      <c r="H7466" s="27" t="s">
        <v>1845</v>
      </c>
      <c r="J7466" s="27" t="s">
        <v>1846</v>
      </c>
      <c r="L7466" s="27" t="s">
        <v>883</v>
      </c>
      <c r="N7466" s="27" t="s">
        <v>8543</v>
      </c>
      <c r="P7466" s="27" t="s">
        <v>8547</v>
      </c>
      <c r="Q7466" s="26" t="str">
        <f>HYPERLINK("https://ictv.global/taxonomy/taxondetails?taxnode_id=202515002&amp;ictv_id=ICTV202215002","ICTV202215002")</f>
        <v>ICTV202215002</v>
      </c>
      <c r="R7466" t="s">
        <v>660</v>
      </c>
      <c r="S7466" t="s">
        <v>824</v>
      </c>
      <c r="T7466">
        <v>41</v>
      </c>
      <c r="U7466" s="26" t="str">
        <f t="shared" si="289"/>
        <v>2025.002G.Monodnaviria_reorg_4nr.zip</v>
      </c>
    </row>
    <row r="7467" spans="1:21">
      <c r="A7467">
        <v>7466</v>
      </c>
      <c r="B7467" s="27" t="s">
        <v>20779</v>
      </c>
      <c r="D7467" s="27" t="s">
        <v>1826</v>
      </c>
      <c r="F7467" s="27" t="s">
        <v>1844</v>
      </c>
      <c r="H7467" s="27" t="s">
        <v>1845</v>
      </c>
      <c r="J7467" s="27" t="s">
        <v>1846</v>
      </c>
      <c r="L7467" s="27" t="s">
        <v>883</v>
      </c>
      <c r="N7467" s="27" t="s">
        <v>8548</v>
      </c>
      <c r="P7467" s="27" t="s">
        <v>8549</v>
      </c>
      <c r="Q7467" s="26" t="str">
        <f>HYPERLINK("https://ictv.global/taxonomy/taxondetails?taxnode_id=202515003&amp;ictv_id=ICTV202215003","ICTV202215003")</f>
        <v>ICTV202215003</v>
      </c>
      <c r="R7467" t="s">
        <v>660</v>
      </c>
      <c r="S7467" t="s">
        <v>824</v>
      </c>
      <c r="T7467">
        <v>41</v>
      </c>
      <c r="U7467" s="26" t="str">
        <f t="shared" si="289"/>
        <v>2025.002G.Monodnaviria_reorg_4nr.zip</v>
      </c>
    </row>
    <row r="7468" spans="1:21">
      <c r="A7468">
        <v>7467</v>
      </c>
      <c r="B7468" s="27" t="s">
        <v>20779</v>
      </c>
      <c r="D7468" s="27" t="s">
        <v>1826</v>
      </c>
      <c r="F7468" s="27" t="s">
        <v>1844</v>
      </c>
      <c r="H7468" s="27" t="s">
        <v>1845</v>
      </c>
      <c r="J7468" s="27" t="s">
        <v>1846</v>
      </c>
      <c r="L7468" s="27" t="s">
        <v>883</v>
      </c>
      <c r="N7468" s="27" t="s">
        <v>8548</v>
      </c>
      <c r="P7468" s="27" t="s">
        <v>11236</v>
      </c>
      <c r="Q7468" s="26" t="str">
        <f>HYPERLINK("https://ictv.global/taxonomy/taxondetails?taxnode_id=202514999&amp;ictv_id=ICTV202214999","ICTV202214999")</f>
        <v>ICTV202214999</v>
      </c>
      <c r="R7468" t="s">
        <v>660</v>
      </c>
      <c r="S7468" t="s">
        <v>824</v>
      </c>
      <c r="T7468">
        <v>41</v>
      </c>
      <c r="U7468" s="26" t="str">
        <f t="shared" si="289"/>
        <v>2025.002G.Monodnaviria_reorg_4nr.zip</v>
      </c>
    </row>
    <row r="7469" spans="1:21">
      <c r="A7469">
        <v>7468</v>
      </c>
      <c r="B7469" s="27" t="s">
        <v>20779</v>
      </c>
      <c r="D7469" s="27" t="s">
        <v>1826</v>
      </c>
      <c r="F7469" s="27" t="s">
        <v>1844</v>
      </c>
      <c r="H7469" s="27" t="s">
        <v>1845</v>
      </c>
      <c r="J7469" s="27" t="s">
        <v>1846</v>
      </c>
      <c r="L7469" s="27" t="s">
        <v>883</v>
      </c>
      <c r="N7469" s="27" t="s">
        <v>8548</v>
      </c>
      <c r="P7469" s="27" t="s">
        <v>8550</v>
      </c>
      <c r="Q7469" s="26" t="str">
        <f>HYPERLINK("https://ictv.global/taxonomy/taxondetails?taxnode_id=202505753&amp;ictv_id=ICTV20175753","ICTV20175753")</f>
        <v>ICTV20175753</v>
      </c>
      <c r="R7469" t="s">
        <v>660</v>
      </c>
      <c r="S7469" t="s">
        <v>824</v>
      </c>
      <c r="T7469">
        <v>41</v>
      </c>
      <c r="U7469" s="26" t="str">
        <f t="shared" si="289"/>
        <v>2025.002G.Monodnaviria_reorg_4nr.zip</v>
      </c>
    </row>
    <row r="7470" spans="1:21">
      <c r="A7470">
        <v>7469</v>
      </c>
      <c r="B7470" s="27" t="s">
        <v>20779</v>
      </c>
      <c r="D7470" s="27" t="s">
        <v>1826</v>
      </c>
      <c r="F7470" s="27" t="s">
        <v>1844</v>
      </c>
      <c r="H7470" s="27" t="s">
        <v>1845</v>
      </c>
      <c r="J7470" s="27" t="s">
        <v>1847</v>
      </c>
      <c r="L7470" s="27" t="s">
        <v>196</v>
      </c>
      <c r="N7470" s="27" t="s">
        <v>197</v>
      </c>
      <c r="P7470" s="27" t="s">
        <v>20017</v>
      </c>
      <c r="Q7470" s="26" t="str">
        <f>HYPERLINK("https://ictv.global/taxonomy/taxondetails?taxnode_id=202520065&amp;ictv_id=ICTV202420065","ICTV202420065")</f>
        <v>ICTV202420065</v>
      </c>
      <c r="R7470" t="s">
        <v>582</v>
      </c>
      <c r="S7470" t="s">
        <v>824</v>
      </c>
      <c r="T7470">
        <v>41</v>
      </c>
      <c r="U7470" s="26" t="str">
        <f t="shared" si="289"/>
        <v>2025.002G.Monodnaviria_reorg_4nr.zip</v>
      </c>
    </row>
    <row r="7471" spans="1:21">
      <c r="A7471">
        <v>7470</v>
      </c>
      <c r="B7471" s="27" t="s">
        <v>20779</v>
      </c>
      <c r="D7471" s="27" t="s">
        <v>1826</v>
      </c>
      <c r="F7471" s="27" t="s">
        <v>1844</v>
      </c>
      <c r="H7471" s="27" t="s">
        <v>1845</v>
      </c>
      <c r="J7471" s="27" t="s">
        <v>1847</v>
      </c>
      <c r="L7471" s="27" t="s">
        <v>196</v>
      </c>
      <c r="N7471" s="27" t="s">
        <v>197</v>
      </c>
      <c r="P7471" s="27" t="s">
        <v>12264</v>
      </c>
      <c r="Q7471" s="26" t="str">
        <f>HYPERLINK("https://ictv.global/taxonomy/taxondetails?taxnode_id=202517747&amp;ictv_id=ICTV202317747","ICTV202317747")</f>
        <v>ICTV202317747</v>
      </c>
      <c r="R7471" t="s">
        <v>660</v>
      </c>
      <c r="S7471" t="s">
        <v>824</v>
      </c>
      <c r="T7471">
        <v>41</v>
      </c>
      <c r="U7471" s="26" t="str">
        <f t="shared" si="289"/>
        <v>2025.002G.Monodnaviria_reorg_4nr.zip</v>
      </c>
    </row>
    <row r="7472" spans="1:21">
      <c r="A7472">
        <v>7471</v>
      </c>
      <c r="B7472" s="27" t="s">
        <v>20779</v>
      </c>
      <c r="D7472" s="27" t="s">
        <v>1826</v>
      </c>
      <c r="F7472" s="27" t="s">
        <v>1844</v>
      </c>
      <c r="H7472" s="27" t="s">
        <v>1845</v>
      </c>
      <c r="J7472" s="27" t="s">
        <v>1847</v>
      </c>
      <c r="L7472" s="27" t="s">
        <v>196</v>
      </c>
      <c r="N7472" s="27" t="s">
        <v>197</v>
      </c>
      <c r="P7472" s="27" t="s">
        <v>8551</v>
      </c>
      <c r="Q7472" s="26" t="str">
        <f>HYPERLINK("https://ictv.global/taxonomy/taxondetails?taxnode_id=202502903&amp;ictv_id=ICTV20152318","ICTV20152318")</f>
        <v>ICTV20152318</v>
      </c>
      <c r="R7472" t="s">
        <v>660</v>
      </c>
      <c r="S7472" t="s">
        <v>824</v>
      </c>
      <c r="T7472">
        <v>41</v>
      </c>
      <c r="U7472" s="26" t="str">
        <f t="shared" si="289"/>
        <v>2025.002G.Monodnaviria_reorg_4nr.zip</v>
      </c>
    </row>
    <row r="7473" spans="1:21">
      <c r="A7473">
        <v>7472</v>
      </c>
      <c r="B7473" s="27" t="s">
        <v>20779</v>
      </c>
      <c r="D7473" s="27" t="s">
        <v>1826</v>
      </c>
      <c r="F7473" s="27" t="s">
        <v>1844</v>
      </c>
      <c r="H7473" s="27" t="s">
        <v>1845</v>
      </c>
      <c r="J7473" s="27" t="s">
        <v>1847</v>
      </c>
      <c r="L7473" s="27" t="s">
        <v>196</v>
      </c>
      <c r="N7473" s="27" t="s">
        <v>197</v>
      </c>
      <c r="P7473" s="27" t="s">
        <v>8552</v>
      </c>
      <c r="Q7473" s="26" t="str">
        <f>HYPERLINK("https://ictv.global/taxonomy/taxondetails?taxnode_id=202502907&amp;ictv_id=ICTV20165248","ICTV20165248")</f>
        <v>ICTV20165248</v>
      </c>
      <c r="R7473" t="s">
        <v>660</v>
      </c>
      <c r="S7473" t="s">
        <v>824</v>
      </c>
      <c r="T7473">
        <v>41</v>
      </c>
      <c r="U7473" s="26" t="str">
        <f t="shared" si="289"/>
        <v>2025.002G.Monodnaviria_reorg_4nr.zip</v>
      </c>
    </row>
    <row r="7474" spans="1:21">
      <c r="A7474">
        <v>7473</v>
      </c>
      <c r="B7474" s="27" t="s">
        <v>20779</v>
      </c>
      <c r="D7474" s="27" t="s">
        <v>1826</v>
      </c>
      <c r="F7474" s="27" t="s">
        <v>1844</v>
      </c>
      <c r="H7474" s="27" t="s">
        <v>1845</v>
      </c>
      <c r="J7474" s="27" t="s">
        <v>1847</v>
      </c>
      <c r="L7474" s="27" t="s">
        <v>196</v>
      </c>
      <c r="N7474" s="27" t="s">
        <v>197</v>
      </c>
      <c r="P7474" s="27" t="s">
        <v>8553</v>
      </c>
      <c r="Q7474" s="26" t="str">
        <f>HYPERLINK("https://ictv.global/taxonomy/taxondetails?taxnode_id=202509254&amp;ictv_id=ICTV202009254","ICTV202009254")</f>
        <v>ICTV202009254</v>
      </c>
      <c r="R7474" t="s">
        <v>660</v>
      </c>
      <c r="S7474" t="s">
        <v>824</v>
      </c>
      <c r="T7474">
        <v>41</v>
      </c>
      <c r="U7474" s="26" t="str">
        <f t="shared" si="289"/>
        <v>2025.002G.Monodnaviria_reorg_4nr.zip</v>
      </c>
    </row>
    <row r="7475" spans="1:21">
      <c r="A7475">
        <v>7474</v>
      </c>
      <c r="B7475" s="27" t="s">
        <v>20779</v>
      </c>
      <c r="D7475" s="27" t="s">
        <v>1826</v>
      </c>
      <c r="F7475" s="27" t="s">
        <v>1844</v>
      </c>
      <c r="H7475" s="27" t="s">
        <v>1845</v>
      </c>
      <c r="J7475" s="27" t="s">
        <v>1847</v>
      </c>
      <c r="L7475" s="27" t="s">
        <v>196</v>
      </c>
      <c r="N7475" s="27" t="s">
        <v>197</v>
      </c>
      <c r="P7475" s="27" t="s">
        <v>8554</v>
      </c>
      <c r="Q7475" s="26" t="str">
        <f>HYPERLINK("https://ictv.global/taxonomy/taxondetails?taxnode_id=202502906&amp;ictv_id=ICTV20152321","ICTV20152321")</f>
        <v>ICTV20152321</v>
      </c>
      <c r="R7475" t="s">
        <v>660</v>
      </c>
      <c r="S7475" t="s">
        <v>824</v>
      </c>
      <c r="T7475">
        <v>41</v>
      </c>
      <c r="U7475" s="26" t="str">
        <f t="shared" si="289"/>
        <v>2025.002G.Monodnaviria_reorg_4nr.zip</v>
      </c>
    </row>
    <row r="7476" spans="1:21">
      <c r="A7476">
        <v>7475</v>
      </c>
      <c r="B7476" s="27" t="s">
        <v>20779</v>
      </c>
      <c r="D7476" s="27" t="s">
        <v>1826</v>
      </c>
      <c r="F7476" s="27" t="s">
        <v>1844</v>
      </c>
      <c r="H7476" s="27" t="s">
        <v>1845</v>
      </c>
      <c r="J7476" s="27" t="s">
        <v>1847</v>
      </c>
      <c r="L7476" s="27" t="s">
        <v>196</v>
      </c>
      <c r="N7476" s="27" t="s">
        <v>197</v>
      </c>
      <c r="P7476" s="27" t="s">
        <v>8555</v>
      </c>
      <c r="Q7476" s="26" t="str">
        <f>HYPERLINK("https://ictv.global/taxonomy/taxondetails?taxnode_id=202502913&amp;ictv_id=ICTV20025803","ICTV20025803")</f>
        <v>ICTV20025803</v>
      </c>
      <c r="R7476" t="s">
        <v>660</v>
      </c>
      <c r="S7476" t="s">
        <v>824</v>
      </c>
      <c r="T7476">
        <v>41</v>
      </c>
      <c r="U7476" s="26" t="str">
        <f t="shared" si="289"/>
        <v>2025.002G.Monodnaviria_reorg_4nr.zip</v>
      </c>
    </row>
    <row r="7477" spans="1:21">
      <c r="A7477">
        <v>7476</v>
      </c>
      <c r="B7477" s="27" t="s">
        <v>20779</v>
      </c>
      <c r="D7477" s="27" t="s">
        <v>1826</v>
      </c>
      <c r="F7477" s="27" t="s">
        <v>1844</v>
      </c>
      <c r="H7477" s="27" t="s">
        <v>1845</v>
      </c>
      <c r="J7477" s="27" t="s">
        <v>1847</v>
      </c>
      <c r="L7477" s="27" t="s">
        <v>196</v>
      </c>
      <c r="N7477" s="27" t="s">
        <v>197</v>
      </c>
      <c r="P7477" s="27" t="s">
        <v>8556</v>
      </c>
      <c r="Q7477" s="26" t="str">
        <f>HYPERLINK("https://ictv.global/taxonomy/taxondetails?taxnode_id=202502914&amp;ictv_id=ICTV20152322","ICTV20152322")</f>
        <v>ICTV20152322</v>
      </c>
      <c r="R7477" t="s">
        <v>660</v>
      </c>
      <c r="S7477" t="s">
        <v>824</v>
      </c>
      <c r="T7477">
        <v>41</v>
      </c>
      <c r="U7477" s="26" t="str">
        <f t="shared" si="289"/>
        <v>2025.002G.Monodnaviria_reorg_4nr.zip</v>
      </c>
    </row>
    <row r="7478" spans="1:21">
      <c r="A7478">
        <v>7477</v>
      </c>
      <c r="B7478" s="27" t="s">
        <v>20779</v>
      </c>
      <c r="D7478" s="27" t="s">
        <v>1826</v>
      </c>
      <c r="F7478" s="27" t="s">
        <v>1844</v>
      </c>
      <c r="H7478" s="27" t="s">
        <v>1845</v>
      </c>
      <c r="J7478" s="27" t="s">
        <v>1847</v>
      </c>
      <c r="L7478" s="27" t="s">
        <v>196</v>
      </c>
      <c r="N7478" s="27" t="s">
        <v>197</v>
      </c>
      <c r="P7478" s="27" t="s">
        <v>8557</v>
      </c>
      <c r="Q7478" s="26" t="str">
        <f>HYPERLINK("https://ictv.global/taxonomy/taxondetails?taxnode_id=202502917&amp;ictv_id=ICTV20152327","ICTV20152327")</f>
        <v>ICTV20152327</v>
      </c>
      <c r="R7478" t="s">
        <v>660</v>
      </c>
      <c r="S7478" t="s">
        <v>824</v>
      </c>
      <c r="T7478">
        <v>41</v>
      </c>
      <c r="U7478" s="26" t="str">
        <f t="shared" si="289"/>
        <v>2025.002G.Monodnaviria_reorg_4nr.zip</v>
      </c>
    </row>
    <row r="7479" spans="1:21">
      <c r="A7479">
        <v>7478</v>
      </c>
      <c r="B7479" s="27" t="s">
        <v>20779</v>
      </c>
      <c r="D7479" s="27" t="s">
        <v>1826</v>
      </c>
      <c r="F7479" s="27" t="s">
        <v>1844</v>
      </c>
      <c r="H7479" s="27" t="s">
        <v>1845</v>
      </c>
      <c r="J7479" s="27" t="s">
        <v>1847</v>
      </c>
      <c r="L7479" s="27" t="s">
        <v>196</v>
      </c>
      <c r="N7479" s="27" t="s">
        <v>197</v>
      </c>
      <c r="P7479" s="27" t="s">
        <v>8558</v>
      </c>
      <c r="Q7479" s="26" t="str">
        <f>HYPERLINK("https://ictv.global/taxonomy/taxondetails?taxnode_id=202502904&amp;ictv_id=ICTV20152319","ICTV20152319")</f>
        <v>ICTV20152319</v>
      </c>
      <c r="R7479" t="s">
        <v>660</v>
      </c>
      <c r="S7479" t="s">
        <v>824</v>
      </c>
      <c r="T7479">
        <v>41</v>
      </c>
      <c r="U7479" s="26" t="str">
        <f t="shared" si="289"/>
        <v>2025.002G.Monodnaviria_reorg_4nr.zip</v>
      </c>
    </row>
    <row r="7480" spans="1:21">
      <c r="A7480">
        <v>7479</v>
      </c>
      <c r="B7480" s="27" t="s">
        <v>20779</v>
      </c>
      <c r="D7480" s="27" t="s">
        <v>1826</v>
      </c>
      <c r="F7480" s="27" t="s">
        <v>1844</v>
      </c>
      <c r="H7480" s="27" t="s">
        <v>1845</v>
      </c>
      <c r="J7480" s="27" t="s">
        <v>1847</v>
      </c>
      <c r="L7480" s="27" t="s">
        <v>196</v>
      </c>
      <c r="N7480" s="27" t="s">
        <v>197</v>
      </c>
      <c r="P7480" s="27" t="s">
        <v>8559</v>
      </c>
      <c r="Q7480" s="26" t="str">
        <f>HYPERLINK("https://ictv.global/taxonomy/taxondetails?taxnode_id=202508676&amp;ictv_id=ICTV201908676","ICTV201908676")</f>
        <v>ICTV201908676</v>
      </c>
      <c r="R7480" t="s">
        <v>660</v>
      </c>
      <c r="S7480" t="s">
        <v>824</v>
      </c>
      <c r="T7480">
        <v>41</v>
      </c>
      <c r="U7480" s="26" t="str">
        <f t="shared" si="289"/>
        <v>2025.002G.Monodnaviria_reorg_4nr.zip</v>
      </c>
    </row>
    <row r="7481" spans="1:21">
      <c r="A7481">
        <v>7480</v>
      </c>
      <c r="B7481" s="27" t="s">
        <v>20779</v>
      </c>
      <c r="D7481" s="27" t="s">
        <v>1826</v>
      </c>
      <c r="F7481" s="27" t="s">
        <v>1844</v>
      </c>
      <c r="H7481" s="27" t="s">
        <v>1845</v>
      </c>
      <c r="J7481" s="27" t="s">
        <v>1847</v>
      </c>
      <c r="L7481" s="27" t="s">
        <v>196</v>
      </c>
      <c r="N7481" s="27" t="s">
        <v>197</v>
      </c>
      <c r="P7481" s="27" t="s">
        <v>8560</v>
      </c>
      <c r="Q7481" s="26" t="str">
        <f>HYPERLINK("https://ictv.global/taxonomy/taxondetails?taxnode_id=202508677&amp;ictv_id=ICTV201908677","ICTV201908677")</f>
        <v>ICTV201908677</v>
      </c>
      <c r="R7481" t="s">
        <v>660</v>
      </c>
      <c r="S7481" t="s">
        <v>824</v>
      </c>
      <c r="T7481">
        <v>41</v>
      </c>
      <c r="U7481" s="26" t="str">
        <f t="shared" si="289"/>
        <v>2025.002G.Monodnaviria_reorg_4nr.zip</v>
      </c>
    </row>
    <row r="7482" spans="1:21">
      <c r="A7482">
        <v>7481</v>
      </c>
      <c r="B7482" s="27" t="s">
        <v>20779</v>
      </c>
      <c r="D7482" s="27" t="s">
        <v>1826</v>
      </c>
      <c r="F7482" s="27" t="s">
        <v>1844</v>
      </c>
      <c r="H7482" s="27" t="s">
        <v>1845</v>
      </c>
      <c r="J7482" s="27" t="s">
        <v>1847</v>
      </c>
      <c r="L7482" s="27" t="s">
        <v>196</v>
      </c>
      <c r="N7482" s="27" t="s">
        <v>197</v>
      </c>
      <c r="P7482" s="27" t="s">
        <v>8561</v>
      </c>
      <c r="Q7482" s="26" t="str">
        <f>HYPERLINK("https://ictv.global/taxonomy/taxondetails?taxnode_id=202506568&amp;ictv_id=ICTV201856568","ICTV201856568")</f>
        <v>ICTV201856568</v>
      </c>
      <c r="R7482" t="s">
        <v>660</v>
      </c>
      <c r="S7482" t="s">
        <v>824</v>
      </c>
      <c r="T7482">
        <v>41</v>
      </c>
      <c r="U7482" s="26" t="str">
        <f t="shared" si="289"/>
        <v>2025.002G.Monodnaviria_reorg_4nr.zip</v>
      </c>
    </row>
    <row r="7483" spans="1:21">
      <c r="A7483">
        <v>7482</v>
      </c>
      <c r="B7483" s="27" t="s">
        <v>20779</v>
      </c>
      <c r="D7483" s="27" t="s">
        <v>1826</v>
      </c>
      <c r="F7483" s="27" t="s">
        <v>1844</v>
      </c>
      <c r="H7483" s="27" t="s">
        <v>1845</v>
      </c>
      <c r="J7483" s="27" t="s">
        <v>1847</v>
      </c>
      <c r="L7483" s="27" t="s">
        <v>196</v>
      </c>
      <c r="N7483" s="27" t="s">
        <v>197</v>
      </c>
      <c r="P7483" s="27" t="s">
        <v>20018</v>
      </c>
      <c r="Q7483" s="26" t="str">
        <f>HYPERLINK("https://ictv.global/taxonomy/taxondetails?taxnode_id=202520063&amp;ictv_id=ICTV202420063","ICTV202420063")</f>
        <v>ICTV202420063</v>
      </c>
      <c r="R7483" t="s">
        <v>582</v>
      </c>
      <c r="S7483" t="s">
        <v>824</v>
      </c>
      <c r="T7483">
        <v>41</v>
      </c>
      <c r="U7483" s="26" t="str">
        <f t="shared" si="289"/>
        <v>2025.002G.Monodnaviria_reorg_4nr.zip</v>
      </c>
    </row>
    <row r="7484" spans="1:21">
      <c r="A7484">
        <v>7483</v>
      </c>
      <c r="B7484" s="27" t="s">
        <v>20779</v>
      </c>
      <c r="D7484" s="27" t="s">
        <v>1826</v>
      </c>
      <c r="F7484" s="27" t="s">
        <v>1844</v>
      </c>
      <c r="H7484" s="27" t="s">
        <v>1845</v>
      </c>
      <c r="J7484" s="27" t="s">
        <v>1847</v>
      </c>
      <c r="L7484" s="27" t="s">
        <v>196</v>
      </c>
      <c r="N7484" s="27" t="s">
        <v>197</v>
      </c>
      <c r="P7484" s="27" t="s">
        <v>8562</v>
      </c>
      <c r="Q7484" s="26" t="str">
        <f>HYPERLINK("https://ictv.global/taxonomy/taxondetails?taxnode_id=202502916&amp;ictv_id=ICTV20083621","ICTV20083621")</f>
        <v>ICTV20083621</v>
      </c>
      <c r="R7484" t="s">
        <v>660</v>
      </c>
      <c r="S7484" t="s">
        <v>824</v>
      </c>
      <c r="T7484">
        <v>41</v>
      </c>
      <c r="U7484" s="26" t="str">
        <f t="shared" si="289"/>
        <v>2025.002G.Monodnaviria_reorg_4nr.zip</v>
      </c>
    </row>
    <row r="7485" spans="1:21">
      <c r="A7485">
        <v>7484</v>
      </c>
      <c r="B7485" s="27" t="s">
        <v>20779</v>
      </c>
      <c r="D7485" s="27" t="s">
        <v>1826</v>
      </c>
      <c r="F7485" s="27" t="s">
        <v>1844</v>
      </c>
      <c r="H7485" s="27" t="s">
        <v>1845</v>
      </c>
      <c r="J7485" s="27" t="s">
        <v>1847</v>
      </c>
      <c r="L7485" s="27" t="s">
        <v>196</v>
      </c>
      <c r="N7485" s="27" t="s">
        <v>197</v>
      </c>
      <c r="P7485" s="27" t="s">
        <v>8563</v>
      </c>
      <c r="Q7485" s="26" t="str">
        <f>HYPERLINK("https://ictv.global/taxonomy/taxondetails?taxnode_id=202509185&amp;ictv_id=ICTV202009185","ICTV202009185")</f>
        <v>ICTV202009185</v>
      </c>
      <c r="R7485" t="s">
        <v>660</v>
      </c>
      <c r="S7485" t="s">
        <v>824</v>
      </c>
      <c r="T7485">
        <v>41</v>
      </c>
      <c r="U7485" s="26" t="str">
        <f t="shared" si="289"/>
        <v>2025.002G.Monodnaviria_reorg_4nr.zip</v>
      </c>
    </row>
    <row r="7486" spans="1:21">
      <c r="A7486">
        <v>7485</v>
      </c>
      <c r="B7486" s="27" t="s">
        <v>20779</v>
      </c>
      <c r="D7486" s="27" t="s">
        <v>1826</v>
      </c>
      <c r="F7486" s="27" t="s">
        <v>1844</v>
      </c>
      <c r="H7486" s="27" t="s">
        <v>1845</v>
      </c>
      <c r="J7486" s="27" t="s">
        <v>1847</v>
      </c>
      <c r="L7486" s="27" t="s">
        <v>196</v>
      </c>
      <c r="N7486" s="27" t="s">
        <v>197</v>
      </c>
      <c r="P7486" s="27" t="s">
        <v>8564</v>
      </c>
      <c r="Q7486" s="26" t="str">
        <f>HYPERLINK("https://ictv.global/taxonomy/taxondetails?taxnode_id=202502921&amp;ictv_id=ICTV20152324","ICTV20152324")</f>
        <v>ICTV20152324</v>
      </c>
      <c r="R7486" t="s">
        <v>660</v>
      </c>
      <c r="S7486" t="s">
        <v>824</v>
      </c>
      <c r="T7486">
        <v>41</v>
      </c>
      <c r="U7486" s="26" t="str">
        <f t="shared" si="289"/>
        <v>2025.002G.Monodnaviria_reorg_4nr.zip</v>
      </c>
    </row>
    <row r="7487" spans="1:21">
      <c r="A7487">
        <v>7486</v>
      </c>
      <c r="B7487" s="27" t="s">
        <v>20779</v>
      </c>
      <c r="D7487" s="27" t="s">
        <v>1826</v>
      </c>
      <c r="F7487" s="27" t="s">
        <v>1844</v>
      </c>
      <c r="H7487" s="27" t="s">
        <v>1845</v>
      </c>
      <c r="J7487" s="27" t="s">
        <v>1847</v>
      </c>
      <c r="L7487" s="27" t="s">
        <v>196</v>
      </c>
      <c r="N7487" s="27" t="s">
        <v>197</v>
      </c>
      <c r="P7487" s="27" t="s">
        <v>8565</v>
      </c>
      <c r="Q7487" s="26" t="str">
        <f>HYPERLINK("https://ictv.global/taxonomy/taxondetails?taxnode_id=202502918&amp;ictv_id=ICTV20083622","ICTV20083622")</f>
        <v>ICTV20083622</v>
      </c>
      <c r="R7487" t="s">
        <v>660</v>
      </c>
      <c r="S7487" t="s">
        <v>824</v>
      </c>
      <c r="T7487">
        <v>41</v>
      </c>
      <c r="U7487" s="26" t="str">
        <f t="shared" si="289"/>
        <v>2025.002G.Monodnaviria_reorg_4nr.zip</v>
      </c>
    </row>
    <row r="7488" spans="1:21">
      <c r="A7488">
        <v>7487</v>
      </c>
      <c r="B7488" s="27" t="s">
        <v>20779</v>
      </c>
      <c r="D7488" s="27" t="s">
        <v>1826</v>
      </c>
      <c r="F7488" s="27" t="s">
        <v>1844</v>
      </c>
      <c r="H7488" s="27" t="s">
        <v>1845</v>
      </c>
      <c r="J7488" s="27" t="s">
        <v>1847</v>
      </c>
      <c r="L7488" s="27" t="s">
        <v>196</v>
      </c>
      <c r="N7488" s="27" t="s">
        <v>197</v>
      </c>
      <c r="P7488" s="27" t="s">
        <v>8566</v>
      </c>
      <c r="Q7488" s="26" t="str">
        <f>HYPERLINK("https://ictv.global/taxonomy/taxondetails?taxnode_id=202514082&amp;ictv_id=ICTV202214082","ICTV202214082")</f>
        <v>ICTV202214082</v>
      </c>
      <c r="R7488" t="s">
        <v>660</v>
      </c>
      <c r="S7488" t="s">
        <v>824</v>
      </c>
      <c r="T7488">
        <v>41</v>
      </c>
      <c r="U7488" s="26" t="str">
        <f t="shared" si="289"/>
        <v>2025.002G.Monodnaviria_reorg_4nr.zip</v>
      </c>
    </row>
    <row r="7489" spans="1:21">
      <c r="A7489">
        <v>7488</v>
      </c>
      <c r="B7489" s="27" t="s">
        <v>20779</v>
      </c>
      <c r="D7489" s="27" t="s">
        <v>1826</v>
      </c>
      <c r="F7489" s="27" t="s">
        <v>1844</v>
      </c>
      <c r="H7489" s="27" t="s">
        <v>1845</v>
      </c>
      <c r="J7489" s="27" t="s">
        <v>1847</v>
      </c>
      <c r="L7489" s="27" t="s">
        <v>196</v>
      </c>
      <c r="N7489" s="27" t="s">
        <v>197</v>
      </c>
      <c r="P7489" s="27" t="s">
        <v>8567</v>
      </c>
      <c r="Q7489" s="26" t="str">
        <f>HYPERLINK("https://ictv.global/taxonomy/taxondetails?taxnode_id=202506567&amp;ictv_id=ICTV201856567","ICTV201856567")</f>
        <v>ICTV201856567</v>
      </c>
      <c r="R7489" t="s">
        <v>660</v>
      </c>
      <c r="S7489" t="s">
        <v>824</v>
      </c>
      <c r="T7489">
        <v>41</v>
      </c>
      <c r="U7489" s="26" t="str">
        <f t="shared" si="289"/>
        <v>2025.002G.Monodnaviria_reorg_4nr.zip</v>
      </c>
    </row>
    <row r="7490" spans="1:21">
      <c r="A7490">
        <v>7489</v>
      </c>
      <c r="B7490" s="27" t="s">
        <v>20779</v>
      </c>
      <c r="D7490" s="27" t="s">
        <v>1826</v>
      </c>
      <c r="F7490" s="27" t="s">
        <v>1844</v>
      </c>
      <c r="H7490" s="27" t="s">
        <v>1845</v>
      </c>
      <c r="J7490" s="27" t="s">
        <v>1847</v>
      </c>
      <c r="L7490" s="27" t="s">
        <v>196</v>
      </c>
      <c r="N7490" s="27" t="s">
        <v>197</v>
      </c>
      <c r="P7490" s="27" t="s">
        <v>8568</v>
      </c>
      <c r="Q7490" s="26" t="str">
        <f>HYPERLINK("https://ictv.global/taxonomy/taxondetails?taxnode_id=202502919&amp;ictv_id=ICTV20025804","ICTV20025804")</f>
        <v>ICTV20025804</v>
      </c>
      <c r="R7490" t="s">
        <v>660</v>
      </c>
      <c r="S7490" t="s">
        <v>824</v>
      </c>
      <c r="T7490">
        <v>41</v>
      </c>
      <c r="U7490" s="26" t="str">
        <f t="shared" si="289"/>
        <v>2025.002G.Monodnaviria_reorg_4nr.zip</v>
      </c>
    </row>
    <row r="7491" spans="1:21">
      <c r="A7491">
        <v>7490</v>
      </c>
      <c r="B7491" s="27" t="s">
        <v>20779</v>
      </c>
      <c r="D7491" s="27" t="s">
        <v>1826</v>
      </c>
      <c r="F7491" s="27" t="s">
        <v>1844</v>
      </c>
      <c r="H7491" s="27" t="s">
        <v>1845</v>
      </c>
      <c r="J7491" s="27" t="s">
        <v>1847</v>
      </c>
      <c r="L7491" s="27" t="s">
        <v>196</v>
      </c>
      <c r="N7491" s="27" t="s">
        <v>197</v>
      </c>
      <c r="P7491" s="27" t="s">
        <v>8569</v>
      </c>
      <c r="Q7491" s="26" t="str">
        <f>HYPERLINK("https://ictv.global/taxonomy/taxondetails?taxnode_id=202508678&amp;ictv_id=ICTV201908678","ICTV201908678")</f>
        <v>ICTV201908678</v>
      </c>
      <c r="R7491" t="s">
        <v>660</v>
      </c>
      <c r="S7491" t="s">
        <v>824</v>
      </c>
      <c r="T7491">
        <v>41</v>
      </c>
      <c r="U7491" s="26" t="str">
        <f t="shared" si="289"/>
        <v>2025.002G.Monodnaviria_reorg_4nr.zip</v>
      </c>
    </row>
    <row r="7492" spans="1:21">
      <c r="A7492">
        <v>7491</v>
      </c>
      <c r="B7492" s="27" t="s">
        <v>20779</v>
      </c>
      <c r="D7492" s="27" t="s">
        <v>1826</v>
      </c>
      <c r="F7492" s="27" t="s">
        <v>1844</v>
      </c>
      <c r="H7492" s="27" t="s">
        <v>1845</v>
      </c>
      <c r="J7492" s="27" t="s">
        <v>1847</v>
      </c>
      <c r="L7492" s="27" t="s">
        <v>196</v>
      </c>
      <c r="N7492" s="27" t="s">
        <v>197</v>
      </c>
      <c r="P7492" s="27" t="s">
        <v>8570</v>
      </c>
      <c r="Q7492" s="26" t="str">
        <f>HYPERLINK("https://ictv.global/taxonomy/taxondetails?taxnode_id=202502920&amp;ictv_id=ICTV20083624","ICTV20083624")</f>
        <v>ICTV20083624</v>
      </c>
      <c r="R7492" t="s">
        <v>660</v>
      </c>
      <c r="S7492" t="s">
        <v>824</v>
      </c>
      <c r="T7492">
        <v>41</v>
      </c>
      <c r="U7492" s="26" t="str">
        <f t="shared" si="289"/>
        <v>2025.002G.Monodnaviria_reorg_4nr.zip</v>
      </c>
    </row>
    <row r="7493" spans="1:21">
      <c r="A7493">
        <v>7492</v>
      </c>
      <c r="B7493" s="27" t="s">
        <v>20779</v>
      </c>
      <c r="D7493" s="27" t="s">
        <v>1826</v>
      </c>
      <c r="F7493" s="27" t="s">
        <v>1844</v>
      </c>
      <c r="H7493" s="27" t="s">
        <v>1845</v>
      </c>
      <c r="J7493" s="27" t="s">
        <v>1847</v>
      </c>
      <c r="L7493" s="27" t="s">
        <v>196</v>
      </c>
      <c r="N7493" s="27" t="s">
        <v>197</v>
      </c>
      <c r="P7493" s="27" t="s">
        <v>12265</v>
      </c>
      <c r="Q7493" s="26" t="str">
        <f>HYPERLINK("https://ictv.global/taxonomy/taxondetails?taxnode_id=202517777&amp;ictv_id=ICTV202317777","ICTV202317777")</f>
        <v>ICTV202317777</v>
      </c>
      <c r="R7493" t="s">
        <v>660</v>
      </c>
      <c r="S7493" t="s">
        <v>824</v>
      </c>
      <c r="T7493">
        <v>41</v>
      </c>
      <c r="U7493" s="26" t="str">
        <f t="shared" si="289"/>
        <v>2025.002G.Monodnaviria_reorg_4nr.zip</v>
      </c>
    </row>
    <row r="7494" spans="1:21">
      <c r="A7494">
        <v>7493</v>
      </c>
      <c r="B7494" s="27" t="s">
        <v>20779</v>
      </c>
      <c r="D7494" s="27" t="s">
        <v>1826</v>
      </c>
      <c r="F7494" s="27" t="s">
        <v>1844</v>
      </c>
      <c r="H7494" s="27" t="s">
        <v>1845</v>
      </c>
      <c r="J7494" s="27" t="s">
        <v>1847</v>
      </c>
      <c r="L7494" s="27" t="s">
        <v>196</v>
      </c>
      <c r="N7494" s="27" t="s">
        <v>197</v>
      </c>
      <c r="P7494" s="27" t="s">
        <v>8571</v>
      </c>
      <c r="Q7494" s="26" t="str">
        <f>HYPERLINK("https://ictv.global/taxonomy/taxondetails?taxnode_id=202514088&amp;ictv_id=ICTV202214088","ICTV202214088")</f>
        <v>ICTV202214088</v>
      </c>
      <c r="R7494" t="s">
        <v>660</v>
      </c>
      <c r="S7494" t="s">
        <v>824</v>
      </c>
      <c r="T7494">
        <v>41</v>
      </c>
      <c r="U7494" s="26" t="str">
        <f t="shared" si="289"/>
        <v>2025.002G.Monodnaviria_reorg_4nr.zip</v>
      </c>
    </row>
    <row r="7495" spans="1:21">
      <c r="A7495">
        <v>7494</v>
      </c>
      <c r="B7495" s="27" t="s">
        <v>20779</v>
      </c>
      <c r="D7495" s="27" t="s">
        <v>1826</v>
      </c>
      <c r="F7495" s="27" t="s">
        <v>1844</v>
      </c>
      <c r="H7495" s="27" t="s">
        <v>1845</v>
      </c>
      <c r="J7495" s="27" t="s">
        <v>1847</v>
      </c>
      <c r="L7495" s="27" t="s">
        <v>196</v>
      </c>
      <c r="N7495" s="27" t="s">
        <v>197</v>
      </c>
      <c r="P7495" s="27" t="s">
        <v>12266</v>
      </c>
      <c r="Q7495" s="26" t="str">
        <f>HYPERLINK("https://ictv.global/taxonomy/taxondetails?taxnode_id=202517748&amp;ictv_id=ICTV202317748","ICTV202317748")</f>
        <v>ICTV202317748</v>
      </c>
      <c r="R7495" t="s">
        <v>660</v>
      </c>
      <c r="S7495" t="s">
        <v>824</v>
      </c>
      <c r="T7495">
        <v>41</v>
      </c>
      <c r="U7495" s="26" t="str">
        <f t="shared" si="289"/>
        <v>2025.002G.Monodnaviria_reorg_4nr.zip</v>
      </c>
    </row>
    <row r="7496" spans="1:21">
      <c r="A7496">
        <v>7495</v>
      </c>
      <c r="B7496" s="27" t="s">
        <v>20779</v>
      </c>
      <c r="D7496" s="27" t="s">
        <v>1826</v>
      </c>
      <c r="F7496" s="27" t="s">
        <v>1844</v>
      </c>
      <c r="H7496" s="27" t="s">
        <v>1845</v>
      </c>
      <c r="J7496" s="27" t="s">
        <v>1847</v>
      </c>
      <c r="L7496" s="27" t="s">
        <v>196</v>
      </c>
      <c r="N7496" s="27" t="s">
        <v>197</v>
      </c>
      <c r="P7496" s="27" t="s">
        <v>8572</v>
      </c>
      <c r="Q7496" s="26" t="str">
        <f>HYPERLINK("https://ictv.global/taxonomy/taxondetails?taxnode_id=202506561&amp;ictv_id=ICTV201856561","ICTV201856561")</f>
        <v>ICTV201856561</v>
      </c>
      <c r="R7496" t="s">
        <v>660</v>
      </c>
      <c r="S7496" t="s">
        <v>824</v>
      </c>
      <c r="T7496">
        <v>41</v>
      </c>
      <c r="U7496" s="26" t="str">
        <f t="shared" si="289"/>
        <v>2025.002G.Monodnaviria_reorg_4nr.zip</v>
      </c>
    </row>
    <row r="7497" spans="1:21">
      <c r="A7497">
        <v>7496</v>
      </c>
      <c r="B7497" s="27" t="s">
        <v>20779</v>
      </c>
      <c r="D7497" s="27" t="s">
        <v>1826</v>
      </c>
      <c r="F7497" s="27" t="s">
        <v>1844</v>
      </c>
      <c r="H7497" s="27" t="s">
        <v>1845</v>
      </c>
      <c r="J7497" s="27" t="s">
        <v>1847</v>
      </c>
      <c r="L7497" s="27" t="s">
        <v>196</v>
      </c>
      <c r="N7497" s="27" t="s">
        <v>197</v>
      </c>
      <c r="P7497" s="27" t="s">
        <v>8573</v>
      </c>
      <c r="Q7497" s="26" t="str">
        <f>HYPERLINK("https://ictv.global/taxonomy/taxondetails?taxnode_id=202502915&amp;ictv_id=ICTV20152323","ICTV20152323")</f>
        <v>ICTV20152323</v>
      </c>
      <c r="R7497" t="s">
        <v>660</v>
      </c>
      <c r="S7497" t="s">
        <v>824</v>
      </c>
      <c r="T7497">
        <v>41</v>
      </c>
      <c r="U7497" s="26" t="str">
        <f t="shared" si="289"/>
        <v>2025.002G.Monodnaviria_reorg_4nr.zip</v>
      </c>
    </row>
    <row r="7498" spans="1:21">
      <c r="A7498">
        <v>7497</v>
      </c>
      <c r="B7498" s="27" t="s">
        <v>20779</v>
      </c>
      <c r="D7498" s="27" t="s">
        <v>1826</v>
      </c>
      <c r="F7498" s="27" t="s">
        <v>1844</v>
      </c>
      <c r="H7498" s="27" t="s">
        <v>1845</v>
      </c>
      <c r="J7498" s="27" t="s">
        <v>1847</v>
      </c>
      <c r="L7498" s="27" t="s">
        <v>196</v>
      </c>
      <c r="N7498" s="27" t="s">
        <v>197</v>
      </c>
      <c r="P7498" s="27" t="s">
        <v>8574</v>
      </c>
      <c r="Q7498" s="26" t="str">
        <f>HYPERLINK("https://ictv.global/taxonomy/taxondetails?taxnode_id=202505767&amp;ictv_id=ICTV20175767","ICTV20175767")</f>
        <v>ICTV20175767</v>
      </c>
      <c r="R7498" t="s">
        <v>660</v>
      </c>
      <c r="S7498" t="s">
        <v>824</v>
      </c>
      <c r="T7498">
        <v>41</v>
      </c>
      <c r="U7498" s="26" t="str">
        <f t="shared" si="289"/>
        <v>2025.002G.Monodnaviria_reorg_4nr.zip</v>
      </c>
    </row>
    <row r="7499" spans="1:21">
      <c r="A7499">
        <v>7498</v>
      </c>
      <c r="B7499" s="27" t="s">
        <v>20779</v>
      </c>
      <c r="D7499" s="27" t="s">
        <v>1826</v>
      </c>
      <c r="F7499" s="27" t="s">
        <v>1844</v>
      </c>
      <c r="H7499" s="27" t="s">
        <v>1845</v>
      </c>
      <c r="J7499" s="27" t="s">
        <v>1847</v>
      </c>
      <c r="L7499" s="27" t="s">
        <v>196</v>
      </c>
      <c r="N7499" s="27" t="s">
        <v>197</v>
      </c>
      <c r="P7499" s="27" t="s">
        <v>8575</v>
      </c>
      <c r="Q7499" s="26" t="str">
        <f>HYPERLINK("https://ictv.global/taxonomy/taxondetails?taxnode_id=202506564&amp;ictv_id=ICTV201856564","ICTV201856564")</f>
        <v>ICTV201856564</v>
      </c>
      <c r="R7499" t="s">
        <v>660</v>
      </c>
      <c r="S7499" t="s">
        <v>824</v>
      </c>
      <c r="T7499">
        <v>41</v>
      </c>
      <c r="U7499" s="26" t="str">
        <f t="shared" si="289"/>
        <v>2025.002G.Monodnaviria_reorg_4nr.zip</v>
      </c>
    </row>
    <row r="7500" spans="1:21">
      <c r="A7500">
        <v>7499</v>
      </c>
      <c r="B7500" s="27" t="s">
        <v>20779</v>
      </c>
      <c r="D7500" s="27" t="s">
        <v>1826</v>
      </c>
      <c r="F7500" s="27" t="s">
        <v>1844</v>
      </c>
      <c r="H7500" s="27" t="s">
        <v>1845</v>
      </c>
      <c r="J7500" s="27" t="s">
        <v>1847</v>
      </c>
      <c r="L7500" s="27" t="s">
        <v>196</v>
      </c>
      <c r="N7500" s="27" t="s">
        <v>197</v>
      </c>
      <c r="P7500" s="27" t="s">
        <v>12267</v>
      </c>
      <c r="Q7500" s="26" t="str">
        <f>HYPERLINK("https://ictv.global/taxonomy/taxondetails?taxnode_id=202517746&amp;ictv_id=ICTV202317746","ICTV202317746")</f>
        <v>ICTV202317746</v>
      </c>
      <c r="R7500" t="s">
        <v>660</v>
      </c>
      <c r="S7500" t="s">
        <v>824</v>
      </c>
      <c r="T7500">
        <v>41</v>
      </c>
      <c r="U7500" s="26" t="str">
        <f t="shared" si="289"/>
        <v>2025.002G.Monodnaviria_reorg_4nr.zip</v>
      </c>
    </row>
    <row r="7501" spans="1:21">
      <c r="A7501">
        <v>7500</v>
      </c>
      <c r="B7501" s="27" t="s">
        <v>20779</v>
      </c>
      <c r="D7501" s="27" t="s">
        <v>1826</v>
      </c>
      <c r="F7501" s="27" t="s">
        <v>1844</v>
      </c>
      <c r="H7501" s="27" t="s">
        <v>1845</v>
      </c>
      <c r="J7501" s="27" t="s">
        <v>1847</v>
      </c>
      <c r="L7501" s="27" t="s">
        <v>196</v>
      </c>
      <c r="N7501" s="27" t="s">
        <v>197</v>
      </c>
      <c r="P7501" s="27" t="s">
        <v>8576</v>
      </c>
      <c r="Q7501" s="26" t="str">
        <f>HYPERLINK("https://ictv.global/taxonomy/taxondetails?taxnode_id=202502910&amp;ictv_id=ICTV20165251","ICTV20165251")</f>
        <v>ICTV20165251</v>
      </c>
      <c r="R7501" t="s">
        <v>660</v>
      </c>
      <c r="S7501" t="s">
        <v>824</v>
      </c>
      <c r="T7501">
        <v>41</v>
      </c>
      <c r="U7501" s="26" t="str">
        <f t="shared" si="289"/>
        <v>2025.002G.Monodnaviria_reorg_4nr.zip</v>
      </c>
    </row>
    <row r="7502" spans="1:21">
      <c r="A7502">
        <v>7501</v>
      </c>
      <c r="B7502" s="27" t="s">
        <v>20779</v>
      </c>
      <c r="D7502" s="27" t="s">
        <v>1826</v>
      </c>
      <c r="F7502" s="27" t="s">
        <v>1844</v>
      </c>
      <c r="H7502" s="27" t="s">
        <v>1845</v>
      </c>
      <c r="J7502" s="27" t="s">
        <v>1847</v>
      </c>
      <c r="L7502" s="27" t="s">
        <v>196</v>
      </c>
      <c r="N7502" s="27" t="s">
        <v>197</v>
      </c>
      <c r="P7502" s="27" t="s">
        <v>8577</v>
      </c>
      <c r="Q7502" s="26" t="str">
        <f>HYPERLINK("https://ictv.global/taxonomy/taxondetails?taxnode_id=202514083&amp;ictv_id=ICTV202214083","ICTV202214083")</f>
        <v>ICTV202214083</v>
      </c>
      <c r="R7502" t="s">
        <v>660</v>
      </c>
      <c r="S7502" t="s">
        <v>824</v>
      </c>
      <c r="T7502">
        <v>41</v>
      </c>
      <c r="U7502" s="26" t="str">
        <f t="shared" si="289"/>
        <v>2025.002G.Monodnaviria_reorg_4nr.zip</v>
      </c>
    </row>
    <row r="7503" spans="1:21">
      <c r="A7503">
        <v>7502</v>
      </c>
      <c r="B7503" s="27" t="s">
        <v>20779</v>
      </c>
      <c r="D7503" s="27" t="s">
        <v>1826</v>
      </c>
      <c r="F7503" s="27" t="s">
        <v>1844</v>
      </c>
      <c r="H7503" s="27" t="s">
        <v>1845</v>
      </c>
      <c r="J7503" s="27" t="s">
        <v>1847</v>
      </c>
      <c r="L7503" s="27" t="s">
        <v>196</v>
      </c>
      <c r="N7503" s="27" t="s">
        <v>197</v>
      </c>
      <c r="P7503" s="27" t="s">
        <v>8578</v>
      </c>
      <c r="Q7503" s="26" t="str">
        <f>HYPERLINK("https://ictv.global/taxonomy/taxondetails?taxnode_id=202514084&amp;ictv_id=ICTV202214084","ICTV202214084")</f>
        <v>ICTV202214084</v>
      </c>
      <c r="R7503" t="s">
        <v>660</v>
      </c>
      <c r="S7503" t="s">
        <v>824</v>
      </c>
      <c r="T7503">
        <v>41</v>
      </c>
      <c r="U7503" s="26" t="str">
        <f t="shared" si="289"/>
        <v>2025.002G.Monodnaviria_reorg_4nr.zip</v>
      </c>
    </row>
    <row r="7504" spans="1:21">
      <c r="A7504">
        <v>7503</v>
      </c>
      <c r="B7504" s="27" t="s">
        <v>20779</v>
      </c>
      <c r="D7504" s="27" t="s">
        <v>1826</v>
      </c>
      <c r="F7504" s="27" t="s">
        <v>1844</v>
      </c>
      <c r="H7504" s="27" t="s">
        <v>1845</v>
      </c>
      <c r="J7504" s="27" t="s">
        <v>1847</v>
      </c>
      <c r="L7504" s="27" t="s">
        <v>196</v>
      </c>
      <c r="N7504" s="27" t="s">
        <v>197</v>
      </c>
      <c r="P7504" s="27" t="s">
        <v>8579</v>
      </c>
      <c r="Q7504" s="26" t="str">
        <f>HYPERLINK("https://ictv.global/taxonomy/taxondetails?taxnode_id=202502922&amp;ictv_id=ICTV20152325","ICTV20152325")</f>
        <v>ICTV20152325</v>
      </c>
      <c r="R7504" t="s">
        <v>660</v>
      </c>
      <c r="S7504" t="s">
        <v>824</v>
      </c>
      <c r="T7504">
        <v>41</v>
      </c>
      <c r="U7504" s="26" t="str">
        <f t="shared" si="289"/>
        <v>2025.002G.Monodnaviria_reorg_4nr.zip</v>
      </c>
    </row>
    <row r="7505" spans="1:21">
      <c r="A7505">
        <v>7504</v>
      </c>
      <c r="B7505" s="27" t="s">
        <v>20779</v>
      </c>
      <c r="D7505" s="27" t="s">
        <v>1826</v>
      </c>
      <c r="F7505" s="27" t="s">
        <v>1844</v>
      </c>
      <c r="H7505" s="27" t="s">
        <v>1845</v>
      </c>
      <c r="J7505" s="27" t="s">
        <v>1847</v>
      </c>
      <c r="L7505" s="27" t="s">
        <v>196</v>
      </c>
      <c r="N7505" s="27" t="s">
        <v>197</v>
      </c>
      <c r="P7505" s="27" t="s">
        <v>8580</v>
      </c>
      <c r="Q7505" s="26" t="str">
        <f>HYPERLINK("https://ictv.global/taxonomy/taxondetails?taxnode_id=202514080&amp;ictv_id=ICTV202214080","ICTV202214080")</f>
        <v>ICTV202214080</v>
      </c>
      <c r="R7505" t="s">
        <v>660</v>
      </c>
      <c r="S7505" t="s">
        <v>824</v>
      </c>
      <c r="T7505">
        <v>41</v>
      </c>
      <c r="U7505" s="26" t="str">
        <f t="shared" si="289"/>
        <v>2025.002G.Monodnaviria_reorg_4nr.zip</v>
      </c>
    </row>
    <row r="7506" spans="1:21">
      <c r="A7506">
        <v>7505</v>
      </c>
      <c r="B7506" s="27" t="s">
        <v>20779</v>
      </c>
      <c r="D7506" s="27" t="s">
        <v>1826</v>
      </c>
      <c r="F7506" s="27" t="s">
        <v>1844</v>
      </c>
      <c r="H7506" s="27" t="s">
        <v>1845</v>
      </c>
      <c r="J7506" s="27" t="s">
        <v>1847</v>
      </c>
      <c r="L7506" s="27" t="s">
        <v>196</v>
      </c>
      <c r="N7506" s="27" t="s">
        <v>197</v>
      </c>
      <c r="P7506" s="27" t="s">
        <v>8581</v>
      </c>
      <c r="Q7506" s="26" t="str">
        <f>HYPERLINK("https://ictv.global/taxonomy/taxondetails?taxnode_id=202514081&amp;ictv_id=ICTV202214081","ICTV202214081")</f>
        <v>ICTV202214081</v>
      </c>
      <c r="R7506" t="s">
        <v>660</v>
      </c>
      <c r="S7506" t="s">
        <v>824</v>
      </c>
      <c r="T7506">
        <v>41</v>
      </c>
      <c r="U7506" s="26" t="str">
        <f t="shared" si="289"/>
        <v>2025.002G.Monodnaviria_reorg_4nr.zip</v>
      </c>
    </row>
    <row r="7507" spans="1:21">
      <c r="A7507">
        <v>7506</v>
      </c>
      <c r="B7507" s="27" t="s">
        <v>20779</v>
      </c>
      <c r="D7507" s="27" t="s">
        <v>1826</v>
      </c>
      <c r="F7507" s="27" t="s">
        <v>1844</v>
      </c>
      <c r="H7507" s="27" t="s">
        <v>1845</v>
      </c>
      <c r="J7507" s="27" t="s">
        <v>1847</v>
      </c>
      <c r="L7507" s="27" t="s">
        <v>196</v>
      </c>
      <c r="N7507" s="27" t="s">
        <v>197</v>
      </c>
      <c r="P7507" s="27" t="s">
        <v>8582</v>
      </c>
      <c r="Q7507" s="26" t="str">
        <f>HYPERLINK("https://ictv.global/taxonomy/taxondetails?taxnode_id=202502911&amp;ictv_id=ICTV20165252","ICTV20165252")</f>
        <v>ICTV20165252</v>
      </c>
      <c r="R7507" t="s">
        <v>660</v>
      </c>
      <c r="S7507" t="s">
        <v>824</v>
      </c>
      <c r="T7507">
        <v>41</v>
      </c>
      <c r="U7507" s="26" t="str">
        <f t="shared" si="289"/>
        <v>2025.002G.Monodnaviria_reorg_4nr.zip</v>
      </c>
    </row>
    <row r="7508" spans="1:21">
      <c r="A7508">
        <v>7507</v>
      </c>
      <c r="B7508" s="27" t="s">
        <v>20779</v>
      </c>
      <c r="D7508" s="27" t="s">
        <v>1826</v>
      </c>
      <c r="F7508" s="27" t="s">
        <v>1844</v>
      </c>
      <c r="H7508" s="27" t="s">
        <v>1845</v>
      </c>
      <c r="J7508" s="27" t="s">
        <v>1847</v>
      </c>
      <c r="L7508" s="27" t="s">
        <v>196</v>
      </c>
      <c r="N7508" s="27" t="s">
        <v>197</v>
      </c>
      <c r="P7508" s="27" t="s">
        <v>8583</v>
      </c>
      <c r="Q7508" s="26" t="str">
        <f>HYPERLINK("https://ictv.global/taxonomy/taxondetails?taxnode_id=202508679&amp;ictv_id=ICTV201908679","ICTV201908679")</f>
        <v>ICTV201908679</v>
      </c>
      <c r="R7508" t="s">
        <v>660</v>
      </c>
      <c r="S7508" t="s">
        <v>824</v>
      </c>
      <c r="T7508">
        <v>41</v>
      </c>
      <c r="U7508" s="26" t="str">
        <f t="shared" si="289"/>
        <v>2025.002G.Monodnaviria_reorg_4nr.zip</v>
      </c>
    </row>
    <row r="7509" spans="1:21">
      <c r="A7509">
        <v>7508</v>
      </c>
      <c r="B7509" s="27" t="s">
        <v>20779</v>
      </c>
      <c r="D7509" s="27" t="s">
        <v>1826</v>
      </c>
      <c r="F7509" s="27" t="s">
        <v>1844</v>
      </c>
      <c r="H7509" s="27" t="s">
        <v>1845</v>
      </c>
      <c r="J7509" s="27" t="s">
        <v>1847</v>
      </c>
      <c r="L7509" s="27" t="s">
        <v>196</v>
      </c>
      <c r="N7509" s="27" t="s">
        <v>197</v>
      </c>
      <c r="P7509" s="27" t="s">
        <v>8584</v>
      </c>
      <c r="Q7509" s="26" t="str">
        <f>HYPERLINK("https://ictv.global/taxonomy/taxondetails?taxnode_id=202514085&amp;ictv_id=ICTV202214085","ICTV202214085")</f>
        <v>ICTV202214085</v>
      </c>
      <c r="R7509" t="s">
        <v>660</v>
      </c>
      <c r="S7509" t="s">
        <v>824</v>
      </c>
      <c r="T7509">
        <v>41</v>
      </c>
      <c r="U7509" s="26" t="str">
        <f t="shared" si="289"/>
        <v>2025.002G.Monodnaviria_reorg_4nr.zip</v>
      </c>
    </row>
    <row r="7510" spans="1:21">
      <c r="A7510">
        <v>7509</v>
      </c>
      <c r="B7510" s="27" t="s">
        <v>20779</v>
      </c>
      <c r="D7510" s="27" t="s">
        <v>1826</v>
      </c>
      <c r="F7510" s="27" t="s">
        <v>1844</v>
      </c>
      <c r="H7510" s="27" t="s">
        <v>1845</v>
      </c>
      <c r="J7510" s="27" t="s">
        <v>1847</v>
      </c>
      <c r="L7510" s="27" t="s">
        <v>196</v>
      </c>
      <c r="N7510" s="27" t="s">
        <v>197</v>
      </c>
      <c r="P7510" s="27" t="s">
        <v>8585</v>
      </c>
      <c r="Q7510" s="26" t="str">
        <f>HYPERLINK("https://ictv.global/taxonomy/taxondetails?taxnode_id=202502912&amp;ictv_id=ICTV19950821","ICTV19950821")</f>
        <v>ICTV19950821</v>
      </c>
      <c r="R7510" t="s">
        <v>660</v>
      </c>
      <c r="S7510" t="s">
        <v>824</v>
      </c>
      <c r="T7510">
        <v>41</v>
      </c>
      <c r="U7510" s="26" t="str">
        <f t="shared" si="289"/>
        <v>2025.002G.Monodnaviria_reorg_4nr.zip</v>
      </c>
    </row>
    <row r="7511" spans="1:21">
      <c r="A7511">
        <v>7510</v>
      </c>
      <c r="B7511" s="27" t="s">
        <v>20779</v>
      </c>
      <c r="D7511" s="27" t="s">
        <v>1826</v>
      </c>
      <c r="F7511" s="27" t="s">
        <v>1844</v>
      </c>
      <c r="H7511" s="27" t="s">
        <v>1845</v>
      </c>
      <c r="J7511" s="27" t="s">
        <v>1847</v>
      </c>
      <c r="L7511" s="27" t="s">
        <v>196</v>
      </c>
      <c r="N7511" s="27" t="s">
        <v>197</v>
      </c>
      <c r="P7511" s="27" t="s">
        <v>20019</v>
      </c>
      <c r="Q7511" s="26" t="str">
        <f>HYPERLINK("https://ictv.global/taxonomy/taxondetails?taxnode_id=202520066&amp;ictv_id=ICTV202420066","ICTV202420066")</f>
        <v>ICTV202420066</v>
      </c>
      <c r="R7511" t="s">
        <v>582</v>
      </c>
      <c r="S7511" t="s">
        <v>824</v>
      </c>
      <c r="T7511">
        <v>41</v>
      </c>
      <c r="U7511" s="26" t="str">
        <f t="shared" si="289"/>
        <v>2025.002G.Monodnaviria_reorg_4nr.zip</v>
      </c>
    </row>
    <row r="7512" spans="1:21">
      <c r="A7512">
        <v>7511</v>
      </c>
      <c r="B7512" s="27" t="s">
        <v>20779</v>
      </c>
      <c r="D7512" s="27" t="s">
        <v>1826</v>
      </c>
      <c r="F7512" s="27" t="s">
        <v>1844</v>
      </c>
      <c r="H7512" s="27" t="s">
        <v>1845</v>
      </c>
      <c r="J7512" s="27" t="s">
        <v>1847</v>
      </c>
      <c r="L7512" s="27" t="s">
        <v>196</v>
      </c>
      <c r="N7512" s="27" t="s">
        <v>197</v>
      </c>
      <c r="P7512" s="27" t="s">
        <v>8586</v>
      </c>
      <c r="Q7512" s="26" t="str">
        <f>HYPERLINK("https://ictv.global/taxonomy/taxondetails?taxnode_id=202514086&amp;ictv_id=ICTV202214086","ICTV202214086")</f>
        <v>ICTV202214086</v>
      </c>
      <c r="R7512" t="s">
        <v>660</v>
      </c>
      <c r="S7512" t="s">
        <v>824</v>
      </c>
      <c r="T7512">
        <v>41</v>
      </c>
      <c r="U7512" s="26" t="str">
        <f t="shared" ref="U7512:U7575" si="290">HYPERLINK("https://ictv.global/ictv/proposals/2025.002G.Monodnaviria_reorg_4nr.zip","2025.002G.Monodnaviria_reorg_4nr.zip")</f>
        <v>2025.002G.Monodnaviria_reorg_4nr.zip</v>
      </c>
    </row>
    <row r="7513" spans="1:21">
      <c r="A7513">
        <v>7512</v>
      </c>
      <c r="B7513" s="27" t="s">
        <v>20779</v>
      </c>
      <c r="D7513" s="27" t="s">
        <v>1826</v>
      </c>
      <c r="F7513" s="27" t="s">
        <v>1844</v>
      </c>
      <c r="H7513" s="27" t="s">
        <v>1845</v>
      </c>
      <c r="J7513" s="27" t="s">
        <v>1847</v>
      </c>
      <c r="L7513" s="27" t="s">
        <v>196</v>
      </c>
      <c r="N7513" s="27" t="s">
        <v>197</v>
      </c>
      <c r="P7513" s="27" t="s">
        <v>8587</v>
      </c>
      <c r="Q7513" s="26" t="str">
        <f>HYPERLINK("https://ictv.global/taxonomy/taxondetails?taxnode_id=202509256&amp;ictv_id=ICTV202009256","ICTV202009256")</f>
        <v>ICTV202009256</v>
      </c>
      <c r="R7513" t="s">
        <v>660</v>
      </c>
      <c r="S7513" t="s">
        <v>824</v>
      </c>
      <c r="T7513">
        <v>41</v>
      </c>
      <c r="U7513" s="26" t="str">
        <f t="shared" si="290"/>
        <v>2025.002G.Monodnaviria_reorg_4nr.zip</v>
      </c>
    </row>
    <row r="7514" spans="1:21">
      <c r="A7514">
        <v>7513</v>
      </c>
      <c r="B7514" s="27" t="s">
        <v>20779</v>
      </c>
      <c r="D7514" s="27" t="s">
        <v>1826</v>
      </c>
      <c r="F7514" s="27" t="s">
        <v>1844</v>
      </c>
      <c r="H7514" s="27" t="s">
        <v>1845</v>
      </c>
      <c r="J7514" s="27" t="s">
        <v>1847</v>
      </c>
      <c r="L7514" s="27" t="s">
        <v>196</v>
      </c>
      <c r="N7514" s="27" t="s">
        <v>197</v>
      </c>
      <c r="P7514" s="27" t="s">
        <v>8588</v>
      </c>
      <c r="Q7514" s="26" t="str">
        <f>HYPERLINK("https://ictv.global/taxonomy/taxondetails?taxnode_id=202506570&amp;ictv_id=ICTV201856570","ICTV201856570")</f>
        <v>ICTV201856570</v>
      </c>
      <c r="R7514" t="s">
        <v>660</v>
      </c>
      <c r="S7514" t="s">
        <v>824</v>
      </c>
      <c r="T7514">
        <v>41</v>
      </c>
      <c r="U7514" s="26" t="str">
        <f t="shared" si="290"/>
        <v>2025.002G.Monodnaviria_reorg_4nr.zip</v>
      </c>
    </row>
    <row r="7515" spans="1:21">
      <c r="A7515">
        <v>7514</v>
      </c>
      <c r="B7515" s="27" t="s">
        <v>20779</v>
      </c>
      <c r="D7515" s="27" t="s">
        <v>1826</v>
      </c>
      <c r="F7515" s="27" t="s">
        <v>1844</v>
      </c>
      <c r="H7515" s="27" t="s">
        <v>1845</v>
      </c>
      <c r="J7515" s="27" t="s">
        <v>1847</v>
      </c>
      <c r="L7515" s="27" t="s">
        <v>196</v>
      </c>
      <c r="N7515" s="27" t="s">
        <v>197</v>
      </c>
      <c r="P7515" s="27" t="s">
        <v>8589</v>
      </c>
      <c r="Q7515" s="26" t="str">
        <f>HYPERLINK("https://ictv.global/taxonomy/taxondetails?taxnode_id=202502923&amp;ictv_id=ICTV20073426","ICTV20073426")</f>
        <v>ICTV20073426</v>
      </c>
      <c r="R7515" t="s">
        <v>660</v>
      </c>
      <c r="S7515" t="s">
        <v>824</v>
      </c>
      <c r="T7515">
        <v>41</v>
      </c>
      <c r="U7515" s="26" t="str">
        <f t="shared" si="290"/>
        <v>2025.002G.Monodnaviria_reorg_4nr.zip</v>
      </c>
    </row>
    <row r="7516" spans="1:21">
      <c r="A7516">
        <v>7515</v>
      </c>
      <c r="B7516" s="27" t="s">
        <v>20779</v>
      </c>
      <c r="D7516" s="27" t="s">
        <v>1826</v>
      </c>
      <c r="F7516" s="27" t="s">
        <v>1844</v>
      </c>
      <c r="H7516" s="27" t="s">
        <v>1845</v>
      </c>
      <c r="J7516" s="27" t="s">
        <v>1847</v>
      </c>
      <c r="L7516" s="27" t="s">
        <v>196</v>
      </c>
      <c r="N7516" s="27" t="s">
        <v>197</v>
      </c>
      <c r="P7516" s="27" t="s">
        <v>8590</v>
      </c>
      <c r="Q7516" s="26" t="str">
        <f>HYPERLINK("https://ictv.global/taxonomy/taxondetails?taxnode_id=202509255&amp;ictv_id=ICTV202009255","ICTV202009255")</f>
        <v>ICTV202009255</v>
      </c>
      <c r="R7516" t="s">
        <v>660</v>
      </c>
      <c r="S7516" t="s">
        <v>824</v>
      </c>
      <c r="T7516">
        <v>41</v>
      </c>
      <c r="U7516" s="26" t="str">
        <f t="shared" si="290"/>
        <v>2025.002G.Monodnaviria_reorg_4nr.zip</v>
      </c>
    </row>
    <row r="7517" spans="1:21">
      <c r="A7517">
        <v>7516</v>
      </c>
      <c r="B7517" s="27" t="s">
        <v>20779</v>
      </c>
      <c r="D7517" s="27" t="s">
        <v>1826</v>
      </c>
      <c r="F7517" s="27" t="s">
        <v>1844</v>
      </c>
      <c r="H7517" s="27" t="s">
        <v>1845</v>
      </c>
      <c r="J7517" s="27" t="s">
        <v>1847</v>
      </c>
      <c r="L7517" s="27" t="s">
        <v>196</v>
      </c>
      <c r="N7517" s="27" t="s">
        <v>197</v>
      </c>
      <c r="P7517" s="27" t="s">
        <v>8591</v>
      </c>
      <c r="Q7517" s="26" t="str">
        <f>HYPERLINK("https://ictv.global/taxonomy/taxondetails?taxnode_id=202502924&amp;ictv_id=ICTV20025805","ICTV20025805")</f>
        <v>ICTV20025805</v>
      </c>
      <c r="R7517" t="s">
        <v>660</v>
      </c>
      <c r="S7517" t="s">
        <v>824</v>
      </c>
      <c r="T7517">
        <v>41</v>
      </c>
      <c r="U7517" s="26" t="str">
        <f t="shared" si="290"/>
        <v>2025.002G.Monodnaviria_reorg_4nr.zip</v>
      </c>
    </row>
    <row r="7518" spans="1:21">
      <c r="A7518">
        <v>7517</v>
      </c>
      <c r="B7518" s="27" t="s">
        <v>20779</v>
      </c>
      <c r="D7518" s="27" t="s">
        <v>1826</v>
      </c>
      <c r="F7518" s="27" t="s">
        <v>1844</v>
      </c>
      <c r="H7518" s="27" t="s">
        <v>1845</v>
      </c>
      <c r="J7518" s="27" t="s">
        <v>1847</v>
      </c>
      <c r="L7518" s="27" t="s">
        <v>196</v>
      </c>
      <c r="N7518" s="27" t="s">
        <v>197</v>
      </c>
      <c r="P7518" s="27" t="s">
        <v>8592</v>
      </c>
      <c r="Q7518" s="26" t="str">
        <f>HYPERLINK("https://ictv.global/taxonomy/taxondetails?taxnode_id=202502925&amp;ictv_id=ICTV20025806","ICTV20025806")</f>
        <v>ICTV20025806</v>
      </c>
      <c r="R7518" t="s">
        <v>660</v>
      </c>
      <c r="S7518" t="s">
        <v>824</v>
      </c>
      <c r="T7518">
        <v>41</v>
      </c>
      <c r="U7518" s="26" t="str">
        <f t="shared" si="290"/>
        <v>2025.002G.Monodnaviria_reorg_4nr.zip</v>
      </c>
    </row>
    <row r="7519" spans="1:21">
      <c r="A7519">
        <v>7518</v>
      </c>
      <c r="B7519" s="27" t="s">
        <v>20779</v>
      </c>
      <c r="D7519" s="27" t="s">
        <v>1826</v>
      </c>
      <c r="F7519" s="27" t="s">
        <v>1844</v>
      </c>
      <c r="H7519" s="27" t="s">
        <v>1845</v>
      </c>
      <c r="J7519" s="27" t="s">
        <v>1847</v>
      </c>
      <c r="L7519" s="27" t="s">
        <v>196</v>
      </c>
      <c r="N7519" s="27" t="s">
        <v>197</v>
      </c>
      <c r="P7519" s="27" t="s">
        <v>8593</v>
      </c>
      <c r="Q7519" s="26" t="str">
        <f>HYPERLINK("https://ictv.global/taxonomy/taxondetails?taxnode_id=202505768&amp;ictv_id=ICTV20175768","ICTV20175768")</f>
        <v>ICTV20175768</v>
      </c>
      <c r="R7519" t="s">
        <v>660</v>
      </c>
      <c r="S7519" t="s">
        <v>824</v>
      </c>
      <c r="T7519">
        <v>41</v>
      </c>
      <c r="U7519" s="26" t="str">
        <f t="shared" si="290"/>
        <v>2025.002G.Monodnaviria_reorg_4nr.zip</v>
      </c>
    </row>
    <row r="7520" spans="1:21">
      <c r="A7520">
        <v>7519</v>
      </c>
      <c r="B7520" s="27" t="s">
        <v>20779</v>
      </c>
      <c r="D7520" s="27" t="s">
        <v>1826</v>
      </c>
      <c r="F7520" s="27" t="s">
        <v>1844</v>
      </c>
      <c r="H7520" s="27" t="s">
        <v>1845</v>
      </c>
      <c r="J7520" s="27" t="s">
        <v>1847</v>
      </c>
      <c r="L7520" s="27" t="s">
        <v>196</v>
      </c>
      <c r="N7520" s="27" t="s">
        <v>197</v>
      </c>
      <c r="P7520" s="27" t="s">
        <v>8594</v>
      </c>
      <c r="Q7520" s="26" t="str">
        <f>HYPERLINK("https://ictv.global/taxonomy/taxondetails?taxnode_id=202509253&amp;ictv_id=ICTV202009253","ICTV202009253")</f>
        <v>ICTV202009253</v>
      </c>
      <c r="R7520" t="s">
        <v>660</v>
      </c>
      <c r="S7520" t="s">
        <v>824</v>
      </c>
      <c r="T7520">
        <v>41</v>
      </c>
      <c r="U7520" s="26" t="str">
        <f t="shared" si="290"/>
        <v>2025.002G.Monodnaviria_reorg_4nr.zip</v>
      </c>
    </row>
    <row r="7521" spans="1:21">
      <c r="A7521">
        <v>7520</v>
      </c>
      <c r="B7521" s="27" t="s">
        <v>20779</v>
      </c>
      <c r="D7521" s="27" t="s">
        <v>1826</v>
      </c>
      <c r="F7521" s="27" t="s">
        <v>1844</v>
      </c>
      <c r="H7521" s="27" t="s">
        <v>1845</v>
      </c>
      <c r="J7521" s="27" t="s">
        <v>1847</v>
      </c>
      <c r="L7521" s="27" t="s">
        <v>196</v>
      </c>
      <c r="N7521" s="27" t="s">
        <v>197</v>
      </c>
      <c r="P7521" s="27" t="s">
        <v>20020</v>
      </c>
      <c r="Q7521" s="26" t="str">
        <f>HYPERLINK("https://ictv.global/taxonomy/taxondetails?taxnode_id=202520067&amp;ictv_id=ICTV202420067","ICTV202420067")</f>
        <v>ICTV202420067</v>
      </c>
      <c r="R7521" t="s">
        <v>582</v>
      </c>
      <c r="S7521" t="s">
        <v>824</v>
      </c>
      <c r="T7521">
        <v>41</v>
      </c>
      <c r="U7521" s="26" t="str">
        <f t="shared" si="290"/>
        <v>2025.002G.Monodnaviria_reorg_4nr.zip</v>
      </c>
    </row>
    <row r="7522" spans="1:21">
      <c r="A7522">
        <v>7521</v>
      </c>
      <c r="B7522" s="27" t="s">
        <v>20779</v>
      </c>
      <c r="D7522" s="27" t="s">
        <v>1826</v>
      </c>
      <c r="F7522" s="27" t="s">
        <v>1844</v>
      </c>
      <c r="H7522" s="27" t="s">
        <v>1845</v>
      </c>
      <c r="J7522" s="27" t="s">
        <v>1847</v>
      </c>
      <c r="L7522" s="27" t="s">
        <v>196</v>
      </c>
      <c r="N7522" s="27" t="s">
        <v>197</v>
      </c>
      <c r="P7522" s="27" t="s">
        <v>8595</v>
      </c>
      <c r="Q7522" s="26" t="str">
        <f>HYPERLINK("https://ictv.global/taxonomy/taxondetails?taxnode_id=202502909&amp;ictv_id=ICTV20165250","ICTV20165250")</f>
        <v>ICTV20165250</v>
      </c>
      <c r="R7522" t="s">
        <v>660</v>
      </c>
      <c r="S7522" t="s">
        <v>824</v>
      </c>
      <c r="T7522">
        <v>41</v>
      </c>
      <c r="U7522" s="26" t="str">
        <f t="shared" si="290"/>
        <v>2025.002G.Monodnaviria_reorg_4nr.zip</v>
      </c>
    </row>
    <row r="7523" spans="1:21">
      <c r="A7523">
        <v>7522</v>
      </c>
      <c r="B7523" s="27" t="s">
        <v>20779</v>
      </c>
      <c r="D7523" s="27" t="s">
        <v>1826</v>
      </c>
      <c r="F7523" s="27" t="s">
        <v>1844</v>
      </c>
      <c r="H7523" s="27" t="s">
        <v>1845</v>
      </c>
      <c r="J7523" s="27" t="s">
        <v>1847</v>
      </c>
      <c r="L7523" s="27" t="s">
        <v>196</v>
      </c>
      <c r="N7523" s="27" t="s">
        <v>197</v>
      </c>
      <c r="P7523" s="27" t="s">
        <v>8596</v>
      </c>
      <c r="Q7523" s="26" t="str">
        <f>HYPERLINK("https://ictv.global/taxonomy/taxondetails?taxnode_id=202502926&amp;ictv_id=ICTV20152326","ICTV20152326")</f>
        <v>ICTV20152326</v>
      </c>
      <c r="R7523" t="s">
        <v>660</v>
      </c>
      <c r="S7523" t="s">
        <v>824</v>
      </c>
      <c r="T7523">
        <v>41</v>
      </c>
      <c r="U7523" s="26" t="str">
        <f t="shared" si="290"/>
        <v>2025.002G.Monodnaviria_reorg_4nr.zip</v>
      </c>
    </row>
    <row r="7524" spans="1:21">
      <c r="A7524">
        <v>7523</v>
      </c>
      <c r="B7524" s="27" t="s">
        <v>20779</v>
      </c>
      <c r="D7524" s="27" t="s">
        <v>1826</v>
      </c>
      <c r="F7524" s="27" t="s">
        <v>1844</v>
      </c>
      <c r="H7524" s="27" t="s">
        <v>1845</v>
      </c>
      <c r="J7524" s="27" t="s">
        <v>1847</v>
      </c>
      <c r="L7524" s="27" t="s">
        <v>196</v>
      </c>
      <c r="N7524" s="27" t="s">
        <v>197</v>
      </c>
      <c r="P7524" s="27" t="s">
        <v>20021</v>
      </c>
      <c r="Q7524" s="26" t="str">
        <f>HYPERLINK("https://ictv.global/taxonomy/taxondetails?taxnode_id=202520064&amp;ictv_id=ICTV202420064","ICTV202420064")</f>
        <v>ICTV202420064</v>
      </c>
      <c r="R7524" t="s">
        <v>582</v>
      </c>
      <c r="S7524" t="s">
        <v>824</v>
      </c>
      <c r="T7524">
        <v>41</v>
      </c>
      <c r="U7524" s="26" t="str">
        <f t="shared" si="290"/>
        <v>2025.002G.Monodnaviria_reorg_4nr.zip</v>
      </c>
    </row>
    <row r="7525" spans="1:21">
      <c r="A7525">
        <v>7524</v>
      </c>
      <c r="B7525" s="27" t="s">
        <v>20779</v>
      </c>
      <c r="D7525" s="27" t="s">
        <v>1826</v>
      </c>
      <c r="F7525" s="27" t="s">
        <v>1844</v>
      </c>
      <c r="H7525" s="27" t="s">
        <v>1845</v>
      </c>
      <c r="J7525" s="27" t="s">
        <v>1847</v>
      </c>
      <c r="L7525" s="27" t="s">
        <v>196</v>
      </c>
      <c r="N7525" s="27" t="s">
        <v>197</v>
      </c>
      <c r="P7525" s="27" t="s">
        <v>8597</v>
      </c>
      <c r="Q7525" s="26" t="str">
        <f>HYPERLINK("https://ictv.global/taxonomy/taxondetails?taxnode_id=202506565&amp;ictv_id=ICTV201856565","ICTV201856565")</f>
        <v>ICTV201856565</v>
      </c>
      <c r="R7525" t="s">
        <v>660</v>
      </c>
      <c r="S7525" t="s">
        <v>824</v>
      </c>
      <c r="T7525">
        <v>41</v>
      </c>
      <c r="U7525" s="26" t="str">
        <f t="shared" si="290"/>
        <v>2025.002G.Monodnaviria_reorg_4nr.zip</v>
      </c>
    </row>
    <row r="7526" spans="1:21">
      <c r="A7526">
        <v>7525</v>
      </c>
      <c r="B7526" s="27" t="s">
        <v>20779</v>
      </c>
      <c r="D7526" s="27" t="s">
        <v>1826</v>
      </c>
      <c r="F7526" s="27" t="s">
        <v>1844</v>
      </c>
      <c r="H7526" s="27" t="s">
        <v>1845</v>
      </c>
      <c r="J7526" s="27" t="s">
        <v>1847</v>
      </c>
      <c r="L7526" s="27" t="s">
        <v>196</v>
      </c>
      <c r="N7526" s="27" t="s">
        <v>197</v>
      </c>
      <c r="P7526" s="27" t="s">
        <v>8598</v>
      </c>
      <c r="Q7526" s="26" t="str">
        <f>HYPERLINK("https://ictv.global/taxonomy/taxondetails?taxnode_id=202506563&amp;ictv_id=ICTV201856563","ICTV201856563")</f>
        <v>ICTV201856563</v>
      </c>
      <c r="R7526" t="s">
        <v>660</v>
      </c>
      <c r="S7526" t="s">
        <v>824</v>
      </c>
      <c r="T7526">
        <v>41</v>
      </c>
      <c r="U7526" s="26" t="str">
        <f t="shared" si="290"/>
        <v>2025.002G.Monodnaviria_reorg_4nr.zip</v>
      </c>
    </row>
    <row r="7527" spans="1:21">
      <c r="A7527">
        <v>7526</v>
      </c>
      <c r="B7527" s="27" t="s">
        <v>20779</v>
      </c>
      <c r="D7527" s="27" t="s">
        <v>1826</v>
      </c>
      <c r="F7527" s="27" t="s">
        <v>1844</v>
      </c>
      <c r="H7527" s="27" t="s">
        <v>1845</v>
      </c>
      <c r="J7527" s="27" t="s">
        <v>1847</v>
      </c>
      <c r="L7527" s="27" t="s">
        <v>196</v>
      </c>
      <c r="N7527" s="27" t="s">
        <v>197</v>
      </c>
      <c r="P7527" s="27" t="s">
        <v>8599</v>
      </c>
      <c r="Q7527" s="26" t="str">
        <f>HYPERLINK("https://ictv.global/taxonomy/taxondetails?taxnode_id=202506566&amp;ictv_id=ICTV201856566","ICTV201856566")</f>
        <v>ICTV201856566</v>
      </c>
      <c r="R7527" t="s">
        <v>660</v>
      </c>
      <c r="S7527" t="s">
        <v>824</v>
      </c>
      <c r="T7527">
        <v>41</v>
      </c>
      <c r="U7527" s="26" t="str">
        <f t="shared" si="290"/>
        <v>2025.002G.Monodnaviria_reorg_4nr.zip</v>
      </c>
    </row>
    <row r="7528" spans="1:21">
      <c r="A7528">
        <v>7527</v>
      </c>
      <c r="B7528" s="27" t="s">
        <v>20779</v>
      </c>
      <c r="D7528" s="27" t="s">
        <v>1826</v>
      </c>
      <c r="F7528" s="27" t="s">
        <v>1844</v>
      </c>
      <c r="H7528" s="27" t="s">
        <v>1845</v>
      </c>
      <c r="J7528" s="27" t="s">
        <v>1847</v>
      </c>
      <c r="L7528" s="27" t="s">
        <v>196</v>
      </c>
      <c r="N7528" s="27" t="s">
        <v>197</v>
      </c>
      <c r="P7528" s="27" t="s">
        <v>8600</v>
      </c>
      <c r="Q7528" s="26" t="str">
        <f>HYPERLINK("https://ictv.global/taxonomy/taxondetails?taxnode_id=202502908&amp;ictv_id=ICTV20165249","ICTV20165249")</f>
        <v>ICTV20165249</v>
      </c>
      <c r="R7528" t="s">
        <v>660</v>
      </c>
      <c r="S7528" t="s">
        <v>824</v>
      </c>
      <c r="T7528">
        <v>41</v>
      </c>
      <c r="U7528" s="26" t="str">
        <f t="shared" si="290"/>
        <v>2025.002G.Monodnaviria_reorg_4nr.zip</v>
      </c>
    </row>
    <row r="7529" spans="1:21">
      <c r="A7529">
        <v>7528</v>
      </c>
      <c r="B7529" s="27" t="s">
        <v>20779</v>
      </c>
      <c r="D7529" s="27" t="s">
        <v>1826</v>
      </c>
      <c r="F7529" s="27" t="s">
        <v>1844</v>
      </c>
      <c r="H7529" s="27" t="s">
        <v>1845</v>
      </c>
      <c r="J7529" s="27" t="s">
        <v>1847</v>
      </c>
      <c r="L7529" s="27" t="s">
        <v>196</v>
      </c>
      <c r="N7529" s="27" t="s">
        <v>197</v>
      </c>
      <c r="P7529" s="27" t="s">
        <v>8601</v>
      </c>
      <c r="Q7529" s="26" t="str">
        <f>HYPERLINK("https://ictv.global/taxonomy/taxondetails?taxnode_id=202506562&amp;ictv_id=ICTV201856562","ICTV201856562")</f>
        <v>ICTV201856562</v>
      </c>
      <c r="R7529" t="s">
        <v>660</v>
      </c>
      <c r="S7529" t="s">
        <v>824</v>
      </c>
      <c r="T7529">
        <v>41</v>
      </c>
      <c r="U7529" s="26" t="str">
        <f t="shared" si="290"/>
        <v>2025.002G.Monodnaviria_reorg_4nr.zip</v>
      </c>
    </row>
    <row r="7530" spans="1:21">
      <c r="A7530">
        <v>7529</v>
      </c>
      <c r="B7530" s="27" t="s">
        <v>20779</v>
      </c>
      <c r="D7530" s="27" t="s">
        <v>1826</v>
      </c>
      <c r="F7530" s="27" t="s">
        <v>1844</v>
      </c>
      <c r="H7530" s="27" t="s">
        <v>1845</v>
      </c>
      <c r="J7530" s="27" t="s">
        <v>1847</v>
      </c>
      <c r="L7530" s="27" t="s">
        <v>196</v>
      </c>
      <c r="N7530" s="27" t="s">
        <v>197</v>
      </c>
      <c r="P7530" s="27" t="s">
        <v>8602</v>
      </c>
      <c r="Q7530" s="26" t="str">
        <f>HYPERLINK("https://ictv.global/taxonomy/taxondetails?taxnode_id=202502927&amp;ictv_id=ICTV20083628","ICTV20083628")</f>
        <v>ICTV20083628</v>
      </c>
      <c r="R7530" t="s">
        <v>660</v>
      </c>
      <c r="S7530" t="s">
        <v>824</v>
      </c>
      <c r="T7530">
        <v>41</v>
      </c>
      <c r="U7530" s="26" t="str">
        <f t="shared" si="290"/>
        <v>2025.002G.Monodnaviria_reorg_4nr.zip</v>
      </c>
    </row>
    <row r="7531" spans="1:21">
      <c r="A7531">
        <v>7530</v>
      </c>
      <c r="B7531" s="27" t="s">
        <v>20779</v>
      </c>
      <c r="D7531" s="27" t="s">
        <v>1826</v>
      </c>
      <c r="F7531" s="27" t="s">
        <v>1844</v>
      </c>
      <c r="H7531" s="27" t="s">
        <v>1845</v>
      </c>
      <c r="J7531" s="27" t="s">
        <v>1847</v>
      </c>
      <c r="L7531" s="27" t="s">
        <v>196</v>
      </c>
      <c r="N7531" s="27" t="s">
        <v>197</v>
      </c>
      <c r="P7531" s="27" t="s">
        <v>8603</v>
      </c>
      <c r="Q7531" s="26" t="str">
        <f>HYPERLINK("https://ictv.global/taxonomy/taxondetails?taxnode_id=202502928&amp;ictv_id=ICTV20093483","ICTV20093483")</f>
        <v>ICTV20093483</v>
      </c>
      <c r="R7531" t="s">
        <v>660</v>
      </c>
      <c r="S7531" t="s">
        <v>824</v>
      </c>
      <c r="T7531">
        <v>41</v>
      </c>
      <c r="U7531" s="26" t="str">
        <f t="shared" si="290"/>
        <v>2025.002G.Monodnaviria_reorg_4nr.zip</v>
      </c>
    </row>
    <row r="7532" spans="1:21">
      <c r="A7532">
        <v>7531</v>
      </c>
      <c r="B7532" s="27" t="s">
        <v>20779</v>
      </c>
      <c r="D7532" s="27" t="s">
        <v>1826</v>
      </c>
      <c r="F7532" s="27" t="s">
        <v>1844</v>
      </c>
      <c r="H7532" s="27" t="s">
        <v>1845</v>
      </c>
      <c r="J7532" s="27" t="s">
        <v>1847</v>
      </c>
      <c r="L7532" s="27" t="s">
        <v>196</v>
      </c>
      <c r="N7532" s="27" t="s">
        <v>197</v>
      </c>
      <c r="P7532" s="27" t="s">
        <v>8604</v>
      </c>
      <c r="Q7532" s="26" t="str">
        <f>HYPERLINK("https://ictv.global/taxonomy/taxondetails?taxnode_id=202514079&amp;ictv_id=ICTV202214079","ICTV202214079")</f>
        <v>ICTV202214079</v>
      </c>
      <c r="R7532" t="s">
        <v>660</v>
      </c>
      <c r="S7532" t="s">
        <v>824</v>
      </c>
      <c r="T7532">
        <v>41</v>
      </c>
      <c r="U7532" s="26" t="str">
        <f t="shared" si="290"/>
        <v>2025.002G.Monodnaviria_reorg_4nr.zip</v>
      </c>
    </row>
    <row r="7533" spans="1:21">
      <c r="A7533">
        <v>7532</v>
      </c>
      <c r="B7533" s="27" t="s">
        <v>20779</v>
      </c>
      <c r="D7533" s="27" t="s">
        <v>1826</v>
      </c>
      <c r="F7533" s="27" t="s">
        <v>1844</v>
      </c>
      <c r="H7533" s="27" t="s">
        <v>1845</v>
      </c>
      <c r="J7533" s="27" t="s">
        <v>1847</v>
      </c>
      <c r="L7533" s="27" t="s">
        <v>196</v>
      </c>
      <c r="N7533" s="27" t="s">
        <v>197</v>
      </c>
      <c r="P7533" s="27" t="s">
        <v>12268</v>
      </c>
      <c r="Q7533" s="26" t="str">
        <f>HYPERLINK("https://ictv.global/taxonomy/taxondetails?taxnode_id=202517776&amp;ictv_id=ICTV202317776","ICTV202317776")</f>
        <v>ICTV202317776</v>
      </c>
      <c r="R7533" t="s">
        <v>660</v>
      </c>
      <c r="S7533" t="s">
        <v>824</v>
      </c>
      <c r="T7533">
        <v>41</v>
      </c>
      <c r="U7533" s="26" t="str">
        <f t="shared" si="290"/>
        <v>2025.002G.Monodnaviria_reorg_4nr.zip</v>
      </c>
    </row>
    <row r="7534" spans="1:21">
      <c r="A7534">
        <v>7533</v>
      </c>
      <c r="B7534" s="27" t="s">
        <v>20779</v>
      </c>
      <c r="D7534" s="27" t="s">
        <v>1826</v>
      </c>
      <c r="F7534" s="27" t="s">
        <v>1844</v>
      </c>
      <c r="H7534" s="27" t="s">
        <v>1845</v>
      </c>
      <c r="J7534" s="27" t="s">
        <v>1847</v>
      </c>
      <c r="L7534" s="27" t="s">
        <v>196</v>
      </c>
      <c r="N7534" s="27" t="s">
        <v>197</v>
      </c>
      <c r="P7534" s="27" t="s">
        <v>8605</v>
      </c>
      <c r="Q7534" s="26" t="str">
        <f>HYPERLINK("https://ictv.global/taxonomy/taxondetails?taxnode_id=202514087&amp;ictv_id=ICTV202214087","ICTV202214087")</f>
        <v>ICTV202214087</v>
      </c>
      <c r="R7534" t="s">
        <v>660</v>
      </c>
      <c r="S7534" t="s">
        <v>824</v>
      </c>
      <c r="T7534">
        <v>41</v>
      </c>
      <c r="U7534" s="26" t="str">
        <f t="shared" si="290"/>
        <v>2025.002G.Monodnaviria_reorg_4nr.zip</v>
      </c>
    </row>
    <row r="7535" spans="1:21">
      <c r="A7535">
        <v>7534</v>
      </c>
      <c r="B7535" s="27" t="s">
        <v>20779</v>
      </c>
      <c r="D7535" s="27" t="s">
        <v>1826</v>
      </c>
      <c r="F7535" s="27" t="s">
        <v>1844</v>
      </c>
      <c r="H7535" s="27" t="s">
        <v>1845</v>
      </c>
      <c r="J7535" s="27" t="s">
        <v>1847</v>
      </c>
      <c r="L7535" s="27" t="s">
        <v>196</v>
      </c>
      <c r="N7535" s="27" t="s">
        <v>197</v>
      </c>
      <c r="P7535" s="27" t="s">
        <v>8606</v>
      </c>
      <c r="Q7535" s="26" t="str">
        <f>HYPERLINK("https://ictv.global/taxonomy/taxondetails?taxnode_id=202502905&amp;ictv_id=ICTV20152320","ICTV20152320")</f>
        <v>ICTV20152320</v>
      </c>
      <c r="R7535" t="s">
        <v>660</v>
      </c>
      <c r="S7535" t="s">
        <v>824</v>
      </c>
      <c r="T7535">
        <v>41</v>
      </c>
      <c r="U7535" s="26" t="str">
        <f t="shared" si="290"/>
        <v>2025.002G.Monodnaviria_reorg_4nr.zip</v>
      </c>
    </row>
    <row r="7536" spans="1:21">
      <c r="A7536">
        <v>7535</v>
      </c>
      <c r="B7536" s="27" t="s">
        <v>20779</v>
      </c>
      <c r="D7536" s="27" t="s">
        <v>1826</v>
      </c>
      <c r="F7536" s="27" t="s">
        <v>1844</v>
      </c>
      <c r="H7536" s="27" t="s">
        <v>1845</v>
      </c>
      <c r="J7536" s="27" t="s">
        <v>1847</v>
      </c>
      <c r="L7536" s="27" t="s">
        <v>196</v>
      </c>
      <c r="N7536" s="27" t="s">
        <v>197</v>
      </c>
      <c r="P7536" s="27" t="s">
        <v>8607</v>
      </c>
      <c r="Q7536" s="26" t="str">
        <f>HYPERLINK("https://ictv.global/taxonomy/taxondetails?taxnode_id=202514089&amp;ictv_id=ICTV202214089","ICTV202214089")</f>
        <v>ICTV202214089</v>
      </c>
      <c r="R7536" t="s">
        <v>660</v>
      </c>
      <c r="S7536" t="s">
        <v>824</v>
      </c>
      <c r="T7536">
        <v>41</v>
      </c>
      <c r="U7536" s="26" t="str">
        <f t="shared" si="290"/>
        <v>2025.002G.Monodnaviria_reorg_4nr.zip</v>
      </c>
    </row>
    <row r="7537" spans="1:21">
      <c r="A7537">
        <v>7536</v>
      </c>
      <c r="B7537" s="27" t="s">
        <v>20779</v>
      </c>
      <c r="D7537" s="27" t="s">
        <v>1826</v>
      </c>
      <c r="F7537" s="27" t="s">
        <v>1844</v>
      </c>
      <c r="H7537" s="27" t="s">
        <v>1845</v>
      </c>
      <c r="J7537" s="27" t="s">
        <v>1847</v>
      </c>
      <c r="L7537" s="27" t="s">
        <v>196</v>
      </c>
      <c r="N7537" s="27" t="s">
        <v>197</v>
      </c>
      <c r="P7537" s="27" t="s">
        <v>8608</v>
      </c>
      <c r="Q7537" s="26" t="str">
        <f>HYPERLINK("https://ictv.global/taxonomy/taxondetails?taxnode_id=202509252&amp;ictv_id=ICTV202009252","ICTV202009252")</f>
        <v>ICTV202009252</v>
      </c>
      <c r="R7537" t="s">
        <v>660</v>
      </c>
      <c r="S7537" t="s">
        <v>824</v>
      </c>
      <c r="T7537">
        <v>41</v>
      </c>
      <c r="U7537" s="26" t="str">
        <f t="shared" si="290"/>
        <v>2025.002G.Monodnaviria_reorg_4nr.zip</v>
      </c>
    </row>
    <row r="7538" spans="1:21">
      <c r="A7538">
        <v>7537</v>
      </c>
      <c r="B7538" s="27" t="s">
        <v>20779</v>
      </c>
      <c r="D7538" s="27" t="s">
        <v>1826</v>
      </c>
      <c r="F7538" s="27" t="s">
        <v>1844</v>
      </c>
      <c r="H7538" s="27" t="s">
        <v>1845</v>
      </c>
      <c r="J7538" s="27" t="s">
        <v>1847</v>
      </c>
      <c r="L7538" s="27" t="s">
        <v>196</v>
      </c>
      <c r="N7538" s="27" t="s">
        <v>197</v>
      </c>
      <c r="P7538" s="27" t="s">
        <v>8609</v>
      </c>
      <c r="Q7538" s="26" t="str">
        <f>HYPERLINK("https://ictv.global/taxonomy/taxondetails?taxnode_id=202506569&amp;ictv_id=ICTV201856569","ICTV201856569")</f>
        <v>ICTV201856569</v>
      </c>
      <c r="R7538" t="s">
        <v>660</v>
      </c>
      <c r="S7538" t="s">
        <v>824</v>
      </c>
      <c r="T7538">
        <v>41</v>
      </c>
      <c r="U7538" s="26" t="str">
        <f t="shared" si="290"/>
        <v>2025.002G.Monodnaviria_reorg_4nr.zip</v>
      </c>
    </row>
    <row r="7539" spans="1:21">
      <c r="A7539">
        <v>7538</v>
      </c>
      <c r="B7539" s="27" t="s">
        <v>20779</v>
      </c>
      <c r="D7539" s="27" t="s">
        <v>1826</v>
      </c>
      <c r="F7539" s="27" t="s">
        <v>1844</v>
      </c>
      <c r="H7539" s="27" t="s">
        <v>1845</v>
      </c>
      <c r="J7539" s="27" t="s">
        <v>1847</v>
      </c>
      <c r="L7539" s="27" t="s">
        <v>196</v>
      </c>
      <c r="N7539" s="27" t="s">
        <v>197</v>
      </c>
      <c r="P7539" s="27" t="s">
        <v>8610</v>
      </c>
      <c r="Q7539" s="26" t="str">
        <f>HYPERLINK("https://ictv.global/taxonomy/taxondetails?taxnode_id=202502929&amp;ictv_id=ICTV20152328","ICTV20152328")</f>
        <v>ICTV20152328</v>
      </c>
      <c r="R7539" t="s">
        <v>660</v>
      </c>
      <c r="S7539" t="s">
        <v>824</v>
      </c>
      <c r="T7539">
        <v>41</v>
      </c>
      <c r="U7539" s="26" t="str">
        <f t="shared" si="290"/>
        <v>2025.002G.Monodnaviria_reorg_4nr.zip</v>
      </c>
    </row>
    <row r="7540" spans="1:21">
      <c r="A7540">
        <v>7539</v>
      </c>
      <c r="B7540" s="27" t="s">
        <v>20779</v>
      </c>
      <c r="D7540" s="27" t="s">
        <v>1826</v>
      </c>
      <c r="F7540" s="27" t="s">
        <v>1844</v>
      </c>
      <c r="H7540" s="27" t="s">
        <v>1845</v>
      </c>
      <c r="J7540" s="27" t="s">
        <v>1847</v>
      </c>
      <c r="L7540" s="27" t="s">
        <v>196</v>
      </c>
      <c r="N7540" s="27" t="s">
        <v>661</v>
      </c>
      <c r="P7540" s="27" t="s">
        <v>8611</v>
      </c>
      <c r="Q7540" s="26" t="str">
        <f>HYPERLINK("https://ictv.global/taxonomy/taxondetails?taxnode_id=202508682&amp;ictv_id=ICTV201908682","ICTV201908682")</f>
        <v>ICTV201908682</v>
      </c>
      <c r="R7540" t="s">
        <v>660</v>
      </c>
      <c r="S7540" t="s">
        <v>824</v>
      </c>
      <c r="T7540">
        <v>41</v>
      </c>
      <c r="U7540" s="26" t="str">
        <f t="shared" si="290"/>
        <v>2025.002G.Monodnaviria_reorg_4nr.zip</v>
      </c>
    </row>
    <row r="7541" spans="1:21">
      <c r="A7541">
        <v>7540</v>
      </c>
      <c r="B7541" s="27" t="s">
        <v>20779</v>
      </c>
      <c r="D7541" s="27" t="s">
        <v>1826</v>
      </c>
      <c r="F7541" s="27" t="s">
        <v>1844</v>
      </c>
      <c r="H7541" s="27" t="s">
        <v>1845</v>
      </c>
      <c r="J7541" s="27" t="s">
        <v>1847</v>
      </c>
      <c r="L7541" s="27" t="s">
        <v>196</v>
      </c>
      <c r="N7541" s="27" t="s">
        <v>661</v>
      </c>
      <c r="P7541" s="27" t="s">
        <v>8612</v>
      </c>
      <c r="Q7541" s="26" t="str">
        <f>HYPERLINK("https://ictv.global/taxonomy/taxondetails?taxnode_id=202502948&amp;ictv_id=ICTV20152348","ICTV20152348")</f>
        <v>ICTV20152348</v>
      </c>
      <c r="R7541" t="s">
        <v>660</v>
      </c>
      <c r="S7541" t="s">
        <v>824</v>
      </c>
      <c r="T7541">
        <v>41</v>
      </c>
      <c r="U7541" s="26" t="str">
        <f t="shared" si="290"/>
        <v>2025.002G.Monodnaviria_reorg_4nr.zip</v>
      </c>
    </row>
    <row r="7542" spans="1:21">
      <c r="A7542">
        <v>7541</v>
      </c>
      <c r="B7542" s="27" t="s">
        <v>20779</v>
      </c>
      <c r="D7542" s="27" t="s">
        <v>1826</v>
      </c>
      <c r="F7542" s="27" t="s">
        <v>1844</v>
      </c>
      <c r="H7542" s="27" t="s">
        <v>1845</v>
      </c>
      <c r="J7542" s="27" t="s">
        <v>1847</v>
      </c>
      <c r="L7542" s="27" t="s">
        <v>196</v>
      </c>
      <c r="N7542" s="27" t="s">
        <v>661</v>
      </c>
      <c r="P7542" s="27" t="s">
        <v>8613</v>
      </c>
      <c r="Q7542" s="26" t="str">
        <f>HYPERLINK("https://ictv.global/taxonomy/taxondetails?taxnode_id=202514117&amp;ictv_id=ICTV202214117","ICTV202214117")</f>
        <v>ICTV202214117</v>
      </c>
      <c r="R7542" t="s">
        <v>660</v>
      </c>
      <c r="S7542" t="s">
        <v>824</v>
      </c>
      <c r="T7542">
        <v>41</v>
      </c>
      <c r="U7542" s="26" t="str">
        <f t="shared" si="290"/>
        <v>2025.002G.Monodnaviria_reorg_4nr.zip</v>
      </c>
    </row>
    <row r="7543" spans="1:21">
      <c r="A7543">
        <v>7542</v>
      </c>
      <c r="B7543" s="27" t="s">
        <v>20779</v>
      </c>
      <c r="D7543" s="27" t="s">
        <v>1826</v>
      </c>
      <c r="F7543" s="27" t="s">
        <v>1844</v>
      </c>
      <c r="H7543" s="27" t="s">
        <v>1845</v>
      </c>
      <c r="J7543" s="27" t="s">
        <v>1847</v>
      </c>
      <c r="L7543" s="27" t="s">
        <v>196</v>
      </c>
      <c r="N7543" s="27" t="s">
        <v>661</v>
      </c>
      <c r="P7543" s="27" t="s">
        <v>8614</v>
      </c>
      <c r="Q7543" s="26" t="str">
        <f>HYPERLINK("https://ictv.global/taxonomy/taxondetails?taxnode_id=202502956&amp;ictv_id=ICTV20152344","ICTV20152344")</f>
        <v>ICTV20152344</v>
      </c>
      <c r="R7543" t="s">
        <v>660</v>
      </c>
      <c r="S7543" t="s">
        <v>824</v>
      </c>
      <c r="T7543">
        <v>41</v>
      </c>
      <c r="U7543" s="26" t="str">
        <f t="shared" si="290"/>
        <v>2025.002G.Monodnaviria_reorg_4nr.zip</v>
      </c>
    </row>
    <row r="7544" spans="1:21">
      <c r="A7544">
        <v>7543</v>
      </c>
      <c r="B7544" s="27" t="s">
        <v>20779</v>
      </c>
      <c r="D7544" s="27" t="s">
        <v>1826</v>
      </c>
      <c r="F7544" s="27" t="s">
        <v>1844</v>
      </c>
      <c r="H7544" s="27" t="s">
        <v>1845</v>
      </c>
      <c r="J7544" s="27" t="s">
        <v>1847</v>
      </c>
      <c r="L7544" s="27" t="s">
        <v>196</v>
      </c>
      <c r="N7544" s="27" t="s">
        <v>661</v>
      </c>
      <c r="P7544" s="27" t="s">
        <v>8615</v>
      </c>
      <c r="Q7544" s="26" t="str">
        <f>HYPERLINK("https://ictv.global/taxonomy/taxondetails?taxnode_id=202502960&amp;ictv_id=ICTV20152349","ICTV20152349")</f>
        <v>ICTV20152349</v>
      </c>
      <c r="R7544" t="s">
        <v>660</v>
      </c>
      <c r="S7544" t="s">
        <v>824</v>
      </c>
      <c r="T7544">
        <v>41</v>
      </c>
      <c r="U7544" s="26" t="str">
        <f t="shared" si="290"/>
        <v>2025.002G.Monodnaviria_reorg_4nr.zip</v>
      </c>
    </row>
    <row r="7545" spans="1:21">
      <c r="A7545">
        <v>7544</v>
      </c>
      <c r="B7545" s="27" t="s">
        <v>20779</v>
      </c>
      <c r="D7545" s="27" t="s">
        <v>1826</v>
      </c>
      <c r="F7545" s="27" t="s">
        <v>1844</v>
      </c>
      <c r="H7545" s="27" t="s">
        <v>1845</v>
      </c>
      <c r="J7545" s="27" t="s">
        <v>1847</v>
      </c>
      <c r="L7545" s="27" t="s">
        <v>196</v>
      </c>
      <c r="N7545" s="27" t="s">
        <v>661</v>
      </c>
      <c r="P7545" s="27" t="s">
        <v>8616</v>
      </c>
      <c r="Q7545" s="26" t="str">
        <f>HYPERLINK("https://ictv.global/taxonomy/taxondetails?taxnode_id=202502965&amp;ictv_id=ICTV20152356","ICTV20152356")</f>
        <v>ICTV20152356</v>
      </c>
      <c r="R7545" t="s">
        <v>660</v>
      </c>
      <c r="S7545" t="s">
        <v>824</v>
      </c>
      <c r="T7545">
        <v>41</v>
      </c>
      <c r="U7545" s="26" t="str">
        <f t="shared" si="290"/>
        <v>2025.002G.Monodnaviria_reorg_4nr.zip</v>
      </c>
    </row>
    <row r="7546" spans="1:21">
      <c r="A7546">
        <v>7545</v>
      </c>
      <c r="B7546" s="27" t="s">
        <v>20779</v>
      </c>
      <c r="D7546" s="27" t="s">
        <v>1826</v>
      </c>
      <c r="F7546" s="27" t="s">
        <v>1844</v>
      </c>
      <c r="H7546" s="27" t="s">
        <v>1845</v>
      </c>
      <c r="J7546" s="27" t="s">
        <v>1847</v>
      </c>
      <c r="L7546" s="27" t="s">
        <v>196</v>
      </c>
      <c r="N7546" s="27" t="s">
        <v>661</v>
      </c>
      <c r="P7546" s="27" t="s">
        <v>8617</v>
      </c>
      <c r="Q7546" s="26" t="str">
        <f>HYPERLINK("https://ictv.global/taxonomy/taxondetails?taxnode_id=202502940&amp;ictv_id=ICTV20165253","ICTV20165253")</f>
        <v>ICTV20165253</v>
      </c>
      <c r="R7546" t="s">
        <v>660</v>
      </c>
      <c r="S7546" t="s">
        <v>824</v>
      </c>
      <c r="T7546">
        <v>41</v>
      </c>
      <c r="U7546" s="26" t="str">
        <f t="shared" si="290"/>
        <v>2025.002G.Monodnaviria_reorg_4nr.zip</v>
      </c>
    </row>
    <row r="7547" spans="1:21">
      <c r="A7547">
        <v>7546</v>
      </c>
      <c r="B7547" s="27" t="s">
        <v>20779</v>
      </c>
      <c r="D7547" s="27" t="s">
        <v>1826</v>
      </c>
      <c r="F7547" s="27" t="s">
        <v>1844</v>
      </c>
      <c r="H7547" s="27" t="s">
        <v>1845</v>
      </c>
      <c r="J7547" s="27" t="s">
        <v>1847</v>
      </c>
      <c r="L7547" s="27" t="s">
        <v>196</v>
      </c>
      <c r="N7547" s="27" t="s">
        <v>661</v>
      </c>
      <c r="P7547" s="27" t="s">
        <v>8618</v>
      </c>
      <c r="Q7547" s="26" t="str">
        <f>HYPERLINK("https://ictv.global/taxonomy/taxondetails?taxnode_id=202514120&amp;ictv_id=ICTV202214120","ICTV202214120")</f>
        <v>ICTV202214120</v>
      </c>
      <c r="R7547" t="s">
        <v>660</v>
      </c>
      <c r="S7547" t="s">
        <v>824</v>
      </c>
      <c r="T7547">
        <v>41</v>
      </c>
      <c r="U7547" s="26" t="str">
        <f t="shared" si="290"/>
        <v>2025.002G.Monodnaviria_reorg_4nr.zip</v>
      </c>
    </row>
    <row r="7548" spans="1:21">
      <c r="A7548">
        <v>7547</v>
      </c>
      <c r="B7548" s="27" t="s">
        <v>20779</v>
      </c>
      <c r="D7548" s="27" t="s">
        <v>1826</v>
      </c>
      <c r="F7548" s="27" t="s">
        <v>1844</v>
      </c>
      <c r="H7548" s="27" t="s">
        <v>1845</v>
      </c>
      <c r="J7548" s="27" t="s">
        <v>1847</v>
      </c>
      <c r="L7548" s="27" t="s">
        <v>196</v>
      </c>
      <c r="N7548" s="27" t="s">
        <v>661</v>
      </c>
      <c r="P7548" s="27" t="s">
        <v>8619</v>
      </c>
      <c r="Q7548" s="26" t="str">
        <f>HYPERLINK("https://ictv.global/taxonomy/taxondetails?taxnode_id=202502961&amp;ictv_id=ICTV20165265","ICTV20165265")</f>
        <v>ICTV20165265</v>
      </c>
      <c r="R7548" t="s">
        <v>660</v>
      </c>
      <c r="S7548" t="s">
        <v>824</v>
      </c>
      <c r="T7548">
        <v>41</v>
      </c>
      <c r="U7548" s="26" t="str">
        <f t="shared" si="290"/>
        <v>2025.002G.Monodnaviria_reorg_4nr.zip</v>
      </c>
    </row>
    <row r="7549" spans="1:21">
      <c r="A7549">
        <v>7548</v>
      </c>
      <c r="B7549" s="27" t="s">
        <v>20779</v>
      </c>
      <c r="D7549" s="27" t="s">
        <v>1826</v>
      </c>
      <c r="F7549" s="27" t="s">
        <v>1844</v>
      </c>
      <c r="H7549" s="27" t="s">
        <v>1845</v>
      </c>
      <c r="J7549" s="27" t="s">
        <v>1847</v>
      </c>
      <c r="L7549" s="27" t="s">
        <v>196</v>
      </c>
      <c r="N7549" s="27" t="s">
        <v>661</v>
      </c>
      <c r="P7549" s="27" t="s">
        <v>8620</v>
      </c>
      <c r="Q7549" s="26" t="str">
        <f>HYPERLINK("https://ictv.global/taxonomy/taxondetails?taxnode_id=202514099&amp;ictv_id=ICTV202214099","ICTV202214099")</f>
        <v>ICTV202214099</v>
      </c>
      <c r="R7549" t="s">
        <v>660</v>
      </c>
      <c r="S7549" t="s">
        <v>824</v>
      </c>
      <c r="T7549">
        <v>41</v>
      </c>
      <c r="U7549" s="26" t="str">
        <f t="shared" si="290"/>
        <v>2025.002G.Monodnaviria_reorg_4nr.zip</v>
      </c>
    </row>
    <row r="7550" spans="1:21">
      <c r="A7550">
        <v>7549</v>
      </c>
      <c r="B7550" s="27" t="s">
        <v>20779</v>
      </c>
      <c r="D7550" s="27" t="s">
        <v>1826</v>
      </c>
      <c r="F7550" s="27" t="s">
        <v>1844</v>
      </c>
      <c r="H7550" s="27" t="s">
        <v>1845</v>
      </c>
      <c r="J7550" s="27" t="s">
        <v>1847</v>
      </c>
      <c r="L7550" s="27" t="s">
        <v>196</v>
      </c>
      <c r="N7550" s="27" t="s">
        <v>661</v>
      </c>
      <c r="P7550" s="27" t="s">
        <v>8621</v>
      </c>
      <c r="Q7550" s="26" t="str">
        <f>HYPERLINK("https://ictv.global/taxonomy/taxondetails?taxnode_id=202502942&amp;ictv_id=ICTV20165255","ICTV20165255")</f>
        <v>ICTV20165255</v>
      </c>
      <c r="R7550" t="s">
        <v>660</v>
      </c>
      <c r="S7550" t="s">
        <v>824</v>
      </c>
      <c r="T7550">
        <v>41</v>
      </c>
      <c r="U7550" s="26" t="str">
        <f t="shared" si="290"/>
        <v>2025.002G.Monodnaviria_reorg_4nr.zip</v>
      </c>
    </row>
    <row r="7551" spans="1:21">
      <c r="A7551">
        <v>7550</v>
      </c>
      <c r="B7551" s="27" t="s">
        <v>20779</v>
      </c>
      <c r="D7551" s="27" t="s">
        <v>1826</v>
      </c>
      <c r="F7551" s="27" t="s">
        <v>1844</v>
      </c>
      <c r="H7551" s="27" t="s">
        <v>1845</v>
      </c>
      <c r="J7551" s="27" t="s">
        <v>1847</v>
      </c>
      <c r="L7551" s="27" t="s">
        <v>196</v>
      </c>
      <c r="N7551" s="27" t="s">
        <v>661</v>
      </c>
      <c r="P7551" s="27" t="s">
        <v>8622</v>
      </c>
      <c r="Q7551" s="26" t="str">
        <f>HYPERLINK("https://ictv.global/taxonomy/taxondetails?taxnode_id=202514122&amp;ictv_id=ICTV202214122","ICTV202214122")</f>
        <v>ICTV202214122</v>
      </c>
      <c r="R7551" t="s">
        <v>660</v>
      </c>
      <c r="S7551" t="s">
        <v>824</v>
      </c>
      <c r="T7551">
        <v>41</v>
      </c>
      <c r="U7551" s="26" t="str">
        <f t="shared" si="290"/>
        <v>2025.002G.Monodnaviria_reorg_4nr.zip</v>
      </c>
    </row>
    <row r="7552" spans="1:21">
      <c r="A7552">
        <v>7551</v>
      </c>
      <c r="B7552" s="27" t="s">
        <v>20779</v>
      </c>
      <c r="D7552" s="27" t="s">
        <v>1826</v>
      </c>
      <c r="F7552" s="27" t="s">
        <v>1844</v>
      </c>
      <c r="H7552" s="27" t="s">
        <v>1845</v>
      </c>
      <c r="J7552" s="27" t="s">
        <v>1847</v>
      </c>
      <c r="L7552" s="27" t="s">
        <v>196</v>
      </c>
      <c r="N7552" s="27" t="s">
        <v>661</v>
      </c>
      <c r="P7552" s="27" t="s">
        <v>12269</v>
      </c>
      <c r="Q7552" s="26" t="str">
        <f>HYPERLINK("https://ictv.global/taxonomy/taxondetails?taxnode_id=202517734&amp;ictv_id=ICTV202317734","ICTV202317734")</f>
        <v>ICTV202317734</v>
      </c>
      <c r="R7552" t="s">
        <v>660</v>
      </c>
      <c r="S7552" t="s">
        <v>824</v>
      </c>
      <c r="T7552">
        <v>41</v>
      </c>
      <c r="U7552" s="26" t="str">
        <f t="shared" si="290"/>
        <v>2025.002G.Monodnaviria_reorg_4nr.zip</v>
      </c>
    </row>
    <row r="7553" spans="1:21">
      <c r="A7553">
        <v>7552</v>
      </c>
      <c r="B7553" s="27" t="s">
        <v>20779</v>
      </c>
      <c r="D7553" s="27" t="s">
        <v>1826</v>
      </c>
      <c r="F7553" s="27" t="s">
        <v>1844</v>
      </c>
      <c r="H7553" s="27" t="s">
        <v>1845</v>
      </c>
      <c r="J7553" s="27" t="s">
        <v>1847</v>
      </c>
      <c r="L7553" s="27" t="s">
        <v>196</v>
      </c>
      <c r="N7553" s="27" t="s">
        <v>661</v>
      </c>
      <c r="P7553" s="27" t="s">
        <v>8623</v>
      </c>
      <c r="Q7553" s="26" t="str">
        <f>HYPERLINK("https://ictv.global/taxonomy/taxondetails?taxnode_id=202502935&amp;ictv_id=ICTV20152332","ICTV20152332")</f>
        <v>ICTV20152332</v>
      </c>
      <c r="R7553" t="s">
        <v>660</v>
      </c>
      <c r="S7553" t="s">
        <v>824</v>
      </c>
      <c r="T7553">
        <v>41</v>
      </c>
      <c r="U7553" s="26" t="str">
        <f t="shared" si="290"/>
        <v>2025.002G.Monodnaviria_reorg_4nr.zip</v>
      </c>
    </row>
    <row r="7554" spans="1:21">
      <c r="A7554">
        <v>7553</v>
      </c>
      <c r="B7554" s="27" t="s">
        <v>20779</v>
      </c>
      <c r="D7554" s="27" t="s">
        <v>1826</v>
      </c>
      <c r="F7554" s="27" t="s">
        <v>1844</v>
      </c>
      <c r="H7554" s="27" t="s">
        <v>1845</v>
      </c>
      <c r="J7554" s="27" t="s">
        <v>1847</v>
      </c>
      <c r="L7554" s="27" t="s">
        <v>196</v>
      </c>
      <c r="N7554" s="27" t="s">
        <v>661</v>
      </c>
      <c r="P7554" s="27" t="s">
        <v>8624</v>
      </c>
      <c r="Q7554" s="26" t="str">
        <f>HYPERLINK("https://ictv.global/taxonomy/taxondetails?taxnode_id=202514109&amp;ictv_id=ICTV202214109","ICTV202214109")</f>
        <v>ICTV202214109</v>
      </c>
      <c r="R7554" t="s">
        <v>660</v>
      </c>
      <c r="S7554" t="s">
        <v>824</v>
      </c>
      <c r="T7554">
        <v>41</v>
      </c>
      <c r="U7554" s="26" t="str">
        <f t="shared" si="290"/>
        <v>2025.002G.Monodnaviria_reorg_4nr.zip</v>
      </c>
    </row>
    <row r="7555" spans="1:21">
      <c r="A7555">
        <v>7554</v>
      </c>
      <c r="B7555" s="27" t="s">
        <v>20779</v>
      </c>
      <c r="D7555" s="27" t="s">
        <v>1826</v>
      </c>
      <c r="F7555" s="27" t="s">
        <v>1844</v>
      </c>
      <c r="H7555" s="27" t="s">
        <v>1845</v>
      </c>
      <c r="J7555" s="27" t="s">
        <v>1847</v>
      </c>
      <c r="L7555" s="27" t="s">
        <v>196</v>
      </c>
      <c r="N7555" s="27" t="s">
        <v>661</v>
      </c>
      <c r="P7555" s="27" t="s">
        <v>8625</v>
      </c>
      <c r="Q7555" s="26" t="str">
        <f>HYPERLINK("https://ictv.global/taxonomy/taxondetails?taxnode_id=202514090&amp;ictv_id=ICTV202214090","ICTV202214090")</f>
        <v>ICTV202214090</v>
      </c>
      <c r="R7555" t="s">
        <v>660</v>
      </c>
      <c r="S7555" t="s">
        <v>824</v>
      </c>
      <c r="T7555">
        <v>41</v>
      </c>
      <c r="U7555" s="26" t="str">
        <f t="shared" si="290"/>
        <v>2025.002G.Monodnaviria_reorg_4nr.zip</v>
      </c>
    </row>
    <row r="7556" spans="1:21">
      <c r="A7556">
        <v>7555</v>
      </c>
      <c r="B7556" s="27" t="s">
        <v>20779</v>
      </c>
      <c r="D7556" s="27" t="s">
        <v>1826</v>
      </c>
      <c r="F7556" s="27" t="s">
        <v>1844</v>
      </c>
      <c r="H7556" s="27" t="s">
        <v>1845</v>
      </c>
      <c r="J7556" s="27" t="s">
        <v>1847</v>
      </c>
      <c r="L7556" s="27" t="s">
        <v>196</v>
      </c>
      <c r="N7556" s="27" t="s">
        <v>661</v>
      </c>
      <c r="P7556" s="27" t="s">
        <v>8626</v>
      </c>
      <c r="Q7556" s="26" t="str">
        <f>HYPERLINK("https://ictv.global/taxonomy/taxondetails?taxnode_id=202514116&amp;ictv_id=ICTV202214116","ICTV202214116")</f>
        <v>ICTV202214116</v>
      </c>
      <c r="R7556" t="s">
        <v>660</v>
      </c>
      <c r="S7556" t="s">
        <v>824</v>
      </c>
      <c r="T7556">
        <v>41</v>
      </c>
      <c r="U7556" s="26" t="str">
        <f t="shared" si="290"/>
        <v>2025.002G.Monodnaviria_reorg_4nr.zip</v>
      </c>
    </row>
    <row r="7557" spans="1:21">
      <c r="A7557">
        <v>7556</v>
      </c>
      <c r="B7557" s="27" t="s">
        <v>20779</v>
      </c>
      <c r="D7557" s="27" t="s">
        <v>1826</v>
      </c>
      <c r="F7557" s="27" t="s">
        <v>1844</v>
      </c>
      <c r="H7557" s="27" t="s">
        <v>1845</v>
      </c>
      <c r="J7557" s="27" t="s">
        <v>1847</v>
      </c>
      <c r="L7557" s="27" t="s">
        <v>196</v>
      </c>
      <c r="N7557" s="27" t="s">
        <v>661</v>
      </c>
      <c r="P7557" s="27" t="s">
        <v>8627</v>
      </c>
      <c r="Q7557" s="26" t="str">
        <f>HYPERLINK("https://ictv.global/taxonomy/taxondetails?taxnode_id=202502947&amp;ictv_id=ICTV20152337","ICTV20152337")</f>
        <v>ICTV20152337</v>
      </c>
      <c r="R7557" t="s">
        <v>660</v>
      </c>
      <c r="S7557" t="s">
        <v>824</v>
      </c>
      <c r="T7557">
        <v>41</v>
      </c>
      <c r="U7557" s="26" t="str">
        <f t="shared" si="290"/>
        <v>2025.002G.Monodnaviria_reorg_4nr.zip</v>
      </c>
    </row>
    <row r="7558" spans="1:21">
      <c r="A7558">
        <v>7557</v>
      </c>
      <c r="B7558" s="27" t="s">
        <v>20779</v>
      </c>
      <c r="D7558" s="27" t="s">
        <v>1826</v>
      </c>
      <c r="F7558" s="27" t="s">
        <v>1844</v>
      </c>
      <c r="H7558" s="27" t="s">
        <v>1845</v>
      </c>
      <c r="J7558" s="27" t="s">
        <v>1847</v>
      </c>
      <c r="L7558" s="27" t="s">
        <v>196</v>
      </c>
      <c r="N7558" s="27" t="s">
        <v>661</v>
      </c>
      <c r="P7558" s="27" t="s">
        <v>8628</v>
      </c>
      <c r="Q7558" s="26" t="str">
        <f>HYPERLINK("https://ictv.global/taxonomy/taxondetails?taxnode_id=202502959&amp;ictv_id=ICTV20165264","ICTV20165264")</f>
        <v>ICTV20165264</v>
      </c>
      <c r="R7558" t="s">
        <v>660</v>
      </c>
      <c r="S7558" t="s">
        <v>824</v>
      </c>
      <c r="T7558">
        <v>41</v>
      </c>
      <c r="U7558" s="26" t="str">
        <f t="shared" si="290"/>
        <v>2025.002G.Monodnaviria_reorg_4nr.zip</v>
      </c>
    </row>
    <row r="7559" spans="1:21">
      <c r="A7559">
        <v>7558</v>
      </c>
      <c r="B7559" s="27" t="s">
        <v>20779</v>
      </c>
      <c r="D7559" s="27" t="s">
        <v>1826</v>
      </c>
      <c r="F7559" s="27" t="s">
        <v>1844</v>
      </c>
      <c r="H7559" s="27" t="s">
        <v>1845</v>
      </c>
      <c r="J7559" s="27" t="s">
        <v>1847</v>
      </c>
      <c r="L7559" s="27" t="s">
        <v>196</v>
      </c>
      <c r="N7559" s="27" t="s">
        <v>661</v>
      </c>
      <c r="P7559" s="27" t="s">
        <v>8629</v>
      </c>
      <c r="Q7559" s="26" t="str">
        <f>HYPERLINK("https://ictv.global/taxonomy/taxondetails?taxnode_id=202502966&amp;ictv_id=ICTV20152357","ICTV20152357")</f>
        <v>ICTV20152357</v>
      </c>
      <c r="R7559" t="s">
        <v>660</v>
      </c>
      <c r="S7559" t="s">
        <v>824</v>
      </c>
      <c r="T7559">
        <v>41</v>
      </c>
      <c r="U7559" s="26" t="str">
        <f t="shared" si="290"/>
        <v>2025.002G.Monodnaviria_reorg_4nr.zip</v>
      </c>
    </row>
    <row r="7560" spans="1:21">
      <c r="A7560">
        <v>7559</v>
      </c>
      <c r="B7560" s="27" t="s">
        <v>20779</v>
      </c>
      <c r="D7560" s="27" t="s">
        <v>1826</v>
      </c>
      <c r="F7560" s="27" t="s">
        <v>1844</v>
      </c>
      <c r="H7560" s="27" t="s">
        <v>1845</v>
      </c>
      <c r="J7560" s="27" t="s">
        <v>1847</v>
      </c>
      <c r="L7560" s="27" t="s">
        <v>196</v>
      </c>
      <c r="N7560" s="27" t="s">
        <v>661</v>
      </c>
      <c r="P7560" s="27" t="s">
        <v>8630</v>
      </c>
      <c r="Q7560" s="26" t="str">
        <f>HYPERLINK("https://ictv.global/taxonomy/taxondetails?taxnode_id=202502971&amp;ictv_id=ICTV20152352","ICTV20152352")</f>
        <v>ICTV20152352</v>
      </c>
      <c r="R7560" t="s">
        <v>660</v>
      </c>
      <c r="S7560" t="s">
        <v>824</v>
      </c>
      <c r="T7560">
        <v>41</v>
      </c>
      <c r="U7560" s="26" t="str">
        <f t="shared" si="290"/>
        <v>2025.002G.Monodnaviria_reorg_4nr.zip</v>
      </c>
    </row>
    <row r="7561" spans="1:21">
      <c r="A7561">
        <v>7560</v>
      </c>
      <c r="B7561" s="27" t="s">
        <v>20779</v>
      </c>
      <c r="D7561" s="27" t="s">
        <v>1826</v>
      </c>
      <c r="F7561" s="27" t="s">
        <v>1844</v>
      </c>
      <c r="H7561" s="27" t="s">
        <v>1845</v>
      </c>
      <c r="J7561" s="27" t="s">
        <v>1847</v>
      </c>
      <c r="L7561" s="27" t="s">
        <v>196</v>
      </c>
      <c r="N7561" s="27" t="s">
        <v>661</v>
      </c>
      <c r="P7561" s="27" t="s">
        <v>8631</v>
      </c>
      <c r="Q7561" s="26" t="str">
        <f>HYPERLINK("https://ictv.global/taxonomy/taxondetails?taxnode_id=202514115&amp;ictv_id=ICTV202214115","ICTV202214115")</f>
        <v>ICTV202214115</v>
      </c>
      <c r="R7561" t="s">
        <v>660</v>
      </c>
      <c r="S7561" t="s">
        <v>824</v>
      </c>
      <c r="T7561">
        <v>41</v>
      </c>
      <c r="U7561" s="26" t="str">
        <f t="shared" si="290"/>
        <v>2025.002G.Monodnaviria_reorg_4nr.zip</v>
      </c>
    </row>
    <row r="7562" spans="1:21">
      <c r="A7562">
        <v>7561</v>
      </c>
      <c r="B7562" s="27" t="s">
        <v>20779</v>
      </c>
      <c r="D7562" s="27" t="s">
        <v>1826</v>
      </c>
      <c r="F7562" s="27" t="s">
        <v>1844</v>
      </c>
      <c r="H7562" s="27" t="s">
        <v>1845</v>
      </c>
      <c r="J7562" s="27" t="s">
        <v>1847</v>
      </c>
      <c r="L7562" s="27" t="s">
        <v>196</v>
      </c>
      <c r="N7562" s="27" t="s">
        <v>661</v>
      </c>
      <c r="P7562" s="27" t="s">
        <v>8632</v>
      </c>
      <c r="Q7562" s="26" t="str">
        <f>HYPERLINK("https://ictv.global/taxonomy/taxondetails?taxnode_id=202502963&amp;ictv_id=ICTV20152354","ICTV20152354")</f>
        <v>ICTV20152354</v>
      </c>
      <c r="R7562" t="s">
        <v>660</v>
      </c>
      <c r="S7562" t="s">
        <v>824</v>
      </c>
      <c r="T7562">
        <v>41</v>
      </c>
      <c r="U7562" s="26" t="str">
        <f t="shared" si="290"/>
        <v>2025.002G.Monodnaviria_reorg_4nr.zip</v>
      </c>
    </row>
    <row r="7563" spans="1:21">
      <c r="A7563">
        <v>7562</v>
      </c>
      <c r="B7563" s="27" t="s">
        <v>20779</v>
      </c>
      <c r="D7563" s="27" t="s">
        <v>1826</v>
      </c>
      <c r="F7563" s="27" t="s">
        <v>1844</v>
      </c>
      <c r="H7563" s="27" t="s">
        <v>1845</v>
      </c>
      <c r="J7563" s="27" t="s">
        <v>1847</v>
      </c>
      <c r="L7563" s="27" t="s">
        <v>196</v>
      </c>
      <c r="N7563" s="27" t="s">
        <v>661</v>
      </c>
      <c r="P7563" s="27" t="s">
        <v>8633</v>
      </c>
      <c r="Q7563" s="26" t="str">
        <f>HYPERLINK("https://ictv.global/taxonomy/taxondetails?taxnode_id=202502931&amp;ictv_id=ICTV20152333","ICTV20152333")</f>
        <v>ICTV20152333</v>
      </c>
      <c r="R7563" t="s">
        <v>660</v>
      </c>
      <c r="S7563" t="s">
        <v>824</v>
      </c>
      <c r="T7563">
        <v>41</v>
      </c>
      <c r="U7563" s="26" t="str">
        <f t="shared" si="290"/>
        <v>2025.002G.Monodnaviria_reorg_4nr.zip</v>
      </c>
    </row>
    <row r="7564" spans="1:21">
      <c r="A7564">
        <v>7563</v>
      </c>
      <c r="B7564" s="27" t="s">
        <v>20779</v>
      </c>
      <c r="D7564" s="27" t="s">
        <v>1826</v>
      </c>
      <c r="F7564" s="27" t="s">
        <v>1844</v>
      </c>
      <c r="H7564" s="27" t="s">
        <v>1845</v>
      </c>
      <c r="J7564" s="27" t="s">
        <v>1847</v>
      </c>
      <c r="L7564" s="27" t="s">
        <v>196</v>
      </c>
      <c r="N7564" s="27" t="s">
        <v>661</v>
      </c>
      <c r="P7564" s="27" t="s">
        <v>8634</v>
      </c>
      <c r="Q7564" s="26" t="str">
        <f>HYPERLINK("https://ictv.global/taxonomy/taxondetails?taxnode_id=202502932&amp;ictv_id=ICTV20152334","ICTV20152334")</f>
        <v>ICTV20152334</v>
      </c>
      <c r="R7564" t="s">
        <v>660</v>
      </c>
      <c r="S7564" t="s">
        <v>824</v>
      </c>
      <c r="T7564">
        <v>41</v>
      </c>
      <c r="U7564" s="26" t="str">
        <f t="shared" si="290"/>
        <v>2025.002G.Monodnaviria_reorg_4nr.zip</v>
      </c>
    </row>
    <row r="7565" spans="1:21">
      <c r="A7565">
        <v>7564</v>
      </c>
      <c r="B7565" s="27" t="s">
        <v>20779</v>
      </c>
      <c r="D7565" s="27" t="s">
        <v>1826</v>
      </c>
      <c r="F7565" s="27" t="s">
        <v>1844</v>
      </c>
      <c r="H7565" s="27" t="s">
        <v>1845</v>
      </c>
      <c r="J7565" s="27" t="s">
        <v>1847</v>
      </c>
      <c r="L7565" s="27" t="s">
        <v>196</v>
      </c>
      <c r="N7565" s="27" t="s">
        <v>661</v>
      </c>
      <c r="P7565" s="27" t="s">
        <v>8635</v>
      </c>
      <c r="Q7565" s="26" t="str">
        <f>HYPERLINK("https://ictv.global/taxonomy/taxondetails?taxnode_id=202506318&amp;ictv_id=ICTV201856318","ICTV201856318")</f>
        <v>ICTV201856318</v>
      </c>
      <c r="R7565" t="s">
        <v>660</v>
      </c>
      <c r="S7565" t="s">
        <v>824</v>
      </c>
      <c r="T7565">
        <v>41</v>
      </c>
      <c r="U7565" s="26" t="str">
        <f t="shared" si="290"/>
        <v>2025.002G.Monodnaviria_reorg_4nr.zip</v>
      </c>
    </row>
    <row r="7566" spans="1:21">
      <c r="A7566">
        <v>7565</v>
      </c>
      <c r="B7566" s="27" t="s">
        <v>20779</v>
      </c>
      <c r="D7566" s="27" t="s">
        <v>1826</v>
      </c>
      <c r="F7566" s="27" t="s">
        <v>1844</v>
      </c>
      <c r="H7566" s="27" t="s">
        <v>1845</v>
      </c>
      <c r="J7566" s="27" t="s">
        <v>1847</v>
      </c>
      <c r="L7566" s="27" t="s">
        <v>196</v>
      </c>
      <c r="N7566" s="27" t="s">
        <v>661</v>
      </c>
      <c r="P7566" s="27" t="s">
        <v>8636</v>
      </c>
      <c r="Q7566" s="26" t="str">
        <f>HYPERLINK("https://ictv.global/taxonomy/taxondetails?taxnode_id=202514114&amp;ictv_id=ICTV202214114","ICTV202214114")</f>
        <v>ICTV202214114</v>
      </c>
      <c r="R7566" t="s">
        <v>660</v>
      </c>
      <c r="S7566" t="s">
        <v>824</v>
      </c>
      <c r="T7566">
        <v>41</v>
      </c>
      <c r="U7566" s="26" t="str">
        <f t="shared" si="290"/>
        <v>2025.002G.Monodnaviria_reorg_4nr.zip</v>
      </c>
    </row>
    <row r="7567" spans="1:21">
      <c r="A7567">
        <v>7566</v>
      </c>
      <c r="B7567" s="27" t="s">
        <v>20779</v>
      </c>
      <c r="D7567" s="27" t="s">
        <v>1826</v>
      </c>
      <c r="F7567" s="27" t="s">
        <v>1844</v>
      </c>
      <c r="H7567" s="27" t="s">
        <v>1845</v>
      </c>
      <c r="J7567" s="27" t="s">
        <v>1847</v>
      </c>
      <c r="L7567" s="27" t="s">
        <v>196</v>
      </c>
      <c r="N7567" s="27" t="s">
        <v>661</v>
      </c>
      <c r="P7567" s="27" t="s">
        <v>8637</v>
      </c>
      <c r="Q7567" s="26" t="str">
        <f>HYPERLINK("https://ictv.global/taxonomy/taxondetails?taxnode_id=202502939&amp;ictv_id=ICTV20165263","ICTV20165263")</f>
        <v>ICTV20165263</v>
      </c>
      <c r="R7567" t="s">
        <v>660</v>
      </c>
      <c r="S7567" t="s">
        <v>824</v>
      </c>
      <c r="T7567">
        <v>41</v>
      </c>
      <c r="U7567" s="26" t="str">
        <f t="shared" si="290"/>
        <v>2025.002G.Monodnaviria_reorg_4nr.zip</v>
      </c>
    </row>
    <row r="7568" spans="1:21">
      <c r="A7568">
        <v>7567</v>
      </c>
      <c r="B7568" s="27" t="s">
        <v>20779</v>
      </c>
      <c r="D7568" s="27" t="s">
        <v>1826</v>
      </c>
      <c r="F7568" s="27" t="s">
        <v>1844</v>
      </c>
      <c r="H7568" s="27" t="s">
        <v>1845</v>
      </c>
      <c r="J7568" s="27" t="s">
        <v>1847</v>
      </c>
      <c r="L7568" s="27" t="s">
        <v>196</v>
      </c>
      <c r="N7568" s="27" t="s">
        <v>661</v>
      </c>
      <c r="P7568" s="27" t="s">
        <v>8638</v>
      </c>
      <c r="Q7568" s="26" t="str">
        <f>HYPERLINK("https://ictv.global/taxonomy/taxondetails?taxnode_id=202502933&amp;ictv_id=ICTV20152335","ICTV20152335")</f>
        <v>ICTV20152335</v>
      </c>
      <c r="R7568" t="s">
        <v>660</v>
      </c>
      <c r="S7568" t="s">
        <v>824</v>
      </c>
      <c r="T7568">
        <v>41</v>
      </c>
      <c r="U7568" s="26" t="str">
        <f t="shared" si="290"/>
        <v>2025.002G.Monodnaviria_reorg_4nr.zip</v>
      </c>
    </row>
    <row r="7569" spans="1:21">
      <c r="A7569">
        <v>7568</v>
      </c>
      <c r="B7569" s="27" t="s">
        <v>20779</v>
      </c>
      <c r="D7569" s="27" t="s">
        <v>1826</v>
      </c>
      <c r="F7569" s="27" t="s">
        <v>1844</v>
      </c>
      <c r="H7569" s="27" t="s">
        <v>1845</v>
      </c>
      <c r="J7569" s="27" t="s">
        <v>1847</v>
      </c>
      <c r="L7569" s="27" t="s">
        <v>196</v>
      </c>
      <c r="N7569" s="27" t="s">
        <v>661</v>
      </c>
      <c r="P7569" s="27" t="s">
        <v>8639</v>
      </c>
      <c r="Q7569" s="26" t="str">
        <f>HYPERLINK("https://ictv.global/taxonomy/taxondetails?taxnode_id=202502951&amp;ictv_id=ICTV20152339","ICTV20152339")</f>
        <v>ICTV20152339</v>
      </c>
      <c r="R7569" t="s">
        <v>660</v>
      </c>
      <c r="S7569" t="s">
        <v>824</v>
      </c>
      <c r="T7569">
        <v>41</v>
      </c>
      <c r="U7569" s="26" t="str">
        <f t="shared" si="290"/>
        <v>2025.002G.Monodnaviria_reorg_4nr.zip</v>
      </c>
    </row>
    <row r="7570" spans="1:21">
      <c r="A7570">
        <v>7569</v>
      </c>
      <c r="B7570" s="27" t="s">
        <v>20779</v>
      </c>
      <c r="D7570" s="27" t="s">
        <v>1826</v>
      </c>
      <c r="F7570" s="27" t="s">
        <v>1844</v>
      </c>
      <c r="H7570" s="27" t="s">
        <v>1845</v>
      </c>
      <c r="J7570" s="27" t="s">
        <v>1847</v>
      </c>
      <c r="L7570" s="27" t="s">
        <v>196</v>
      </c>
      <c r="N7570" s="27" t="s">
        <v>661</v>
      </c>
      <c r="P7570" s="27" t="s">
        <v>8640</v>
      </c>
      <c r="Q7570" s="26" t="str">
        <f>HYPERLINK("https://ictv.global/taxonomy/taxondetails?taxnode_id=202514118&amp;ictv_id=ICTV202214118","ICTV202214118")</f>
        <v>ICTV202214118</v>
      </c>
      <c r="R7570" t="s">
        <v>660</v>
      </c>
      <c r="S7570" t="s">
        <v>824</v>
      </c>
      <c r="T7570">
        <v>41</v>
      </c>
      <c r="U7570" s="26" t="str">
        <f t="shared" si="290"/>
        <v>2025.002G.Monodnaviria_reorg_4nr.zip</v>
      </c>
    </row>
    <row r="7571" spans="1:21">
      <c r="A7571">
        <v>7570</v>
      </c>
      <c r="B7571" s="27" t="s">
        <v>20779</v>
      </c>
      <c r="D7571" s="27" t="s">
        <v>1826</v>
      </c>
      <c r="F7571" s="27" t="s">
        <v>1844</v>
      </c>
      <c r="H7571" s="27" t="s">
        <v>1845</v>
      </c>
      <c r="J7571" s="27" t="s">
        <v>1847</v>
      </c>
      <c r="L7571" s="27" t="s">
        <v>196</v>
      </c>
      <c r="N7571" s="27" t="s">
        <v>661</v>
      </c>
      <c r="P7571" s="27" t="s">
        <v>8641</v>
      </c>
      <c r="Q7571" s="26" t="str">
        <f>HYPERLINK("https://ictv.global/taxonomy/taxondetails?taxnode_id=202502955&amp;ictv_id=ICTV20152343","ICTV20152343")</f>
        <v>ICTV20152343</v>
      </c>
      <c r="R7571" t="s">
        <v>660</v>
      </c>
      <c r="S7571" t="s">
        <v>824</v>
      </c>
      <c r="T7571">
        <v>41</v>
      </c>
      <c r="U7571" s="26" t="str">
        <f t="shared" si="290"/>
        <v>2025.002G.Monodnaviria_reorg_4nr.zip</v>
      </c>
    </row>
    <row r="7572" spans="1:21">
      <c r="A7572">
        <v>7571</v>
      </c>
      <c r="B7572" s="27" t="s">
        <v>20779</v>
      </c>
      <c r="D7572" s="27" t="s">
        <v>1826</v>
      </c>
      <c r="F7572" s="27" t="s">
        <v>1844</v>
      </c>
      <c r="H7572" s="27" t="s">
        <v>1845</v>
      </c>
      <c r="J7572" s="27" t="s">
        <v>1847</v>
      </c>
      <c r="L7572" s="27" t="s">
        <v>196</v>
      </c>
      <c r="N7572" s="27" t="s">
        <v>661</v>
      </c>
      <c r="P7572" s="27" t="s">
        <v>8642</v>
      </c>
      <c r="Q7572" s="26" t="str">
        <f>HYPERLINK("https://ictv.global/taxonomy/taxondetails?taxnode_id=202514100&amp;ictv_id=ICTV202214100","ICTV202214100")</f>
        <v>ICTV202214100</v>
      </c>
      <c r="R7572" t="s">
        <v>660</v>
      </c>
      <c r="S7572" t="s">
        <v>824</v>
      </c>
      <c r="T7572">
        <v>41</v>
      </c>
      <c r="U7572" s="26" t="str">
        <f t="shared" si="290"/>
        <v>2025.002G.Monodnaviria_reorg_4nr.zip</v>
      </c>
    </row>
    <row r="7573" spans="1:21">
      <c r="A7573">
        <v>7572</v>
      </c>
      <c r="B7573" s="27" t="s">
        <v>20779</v>
      </c>
      <c r="D7573" s="27" t="s">
        <v>1826</v>
      </c>
      <c r="F7573" s="27" t="s">
        <v>1844</v>
      </c>
      <c r="H7573" s="27" t="s">
        <v>1845</v>
      </c>
      <c r="J7573" s="27" t="s">
        <v>1847</v>
      </c>
      <c r="L7573" s="27" t="s">
        <v>196</v>
      </c>
      <c r="N7573" s="27" t="s">
        <v>661</v>
      </c>
      <c r="P7573" s="27" t="s">
        <v>8643</v>
      </c>
      <c r="Q7573" s="26" t="str">
        <f>HYPERLINK("https://ictv.global/taxonomy/taxondetails?taxnode_id=202502937&amp;ictv_id=ICTV20165261","ICTV20165261")</f>
        <v>ICTV20165261</v>
      </c>
      <c r="R7573" t="s">
        <v>660</v>
      </c>
      <c r="S7573" t="s">
        <v>824</v>
      </c>
      <c r="T7573">
        <v>41</v>
      </c>
      <c r="U7573" s="26" t="str">
        <f t="shared" si="290"/>
        <v>2025.002G.Monodnaviria_reorg_4nr.zip</v>
      </c>
    </row>
    <row r="7574" spans="1:21">
      <c r="A7574">
        <v>7573</v>
      </c>
      <c r="B7574" s="27" t="s">
        <v>20779</v>
      </c>
      <c r="D7574" s="27" t="s">
        <v>1826</v>
      </c>
      <c r="F7574" s="27" t="s">
        <v>1844</v>
      </c>
      <c r="H7574" s="27" t="s">
        <v>1845</v>
      </c>
      <c r="J7574" s="27" t="s">
        <v>1847</v>
      </c>
      <c r="L7574" s="27" t="s">
        <v>196</v>
      </c>
      <c r="N7574" s="27" t="s">
        <v>661</v>
      </c>
      <c r="P7574" s="27" t="s">
        <v>8644</v>
      </c>
      <c r="Q7574" s="26" t="str">
        <f>HYPERLINK("https://ictv.global/taxonomy/taxondetails?taxnode_id=202514112&amp;ictv_id=ICTV202214112","ICTV202214112")</f>
        <v>ICTV202214112</v>
      </c>
      <c r="R7574" t="s">
        <v>660</v>
      </c>
      <c r="S7574" t="s">
        <v>824</v>
      </c>
      <c r="T7574">
        <v>41</v>
      </c>
      <c r="U7574" s="26" t="str">
        <f t="shared" si="290"/>
        <v>2025.002G.Monodnaviria_reorg_4nr.zip</v>
      </c>
    </row>
    <row r="7575" spans="1:21">
      <c r="A7575">
        <v>7574</v>
      </c>
      <c r="B7575" s="27" t="s">
        <v>20779</v>
      </c>
      <c r="D7575" s="27" t="s">
        <v>1826</v>
      </c>
      <c r="F7575" s="27" t="s">
        <v>1844</v>
      </c>
      <c r="H7575" s="27" t="s">
        <v>1845</v>
      </c>
      <c r="J7575" s="27" t="s">
        <v>1847</v>
      </c>
      <c r="L7575" s="27" t="s">
        <v>196</v>
      </c>
      <c r="N7575" s="27" t="s">
        <v>661</v>
      </c>
      <c r="P7575" s="27" t="s">
        <v>8645</v>
      </c>
      <c r="Q7575" s="26" t="str">
        <f>HYPERLINK("https://ictv.global/taxonomy/taxondetails?taxnode_id=202502962&amp;ictv_id=ICTV20152353","ICTV20152353")</f>
        <v>ICTV20152353</v>
      </c>
      <c r="R7575" t="s">
        <v>660</v>
      </c>
      <c r="S7575" t="s">
        <v>824</v>
      </c>
      <c r="T7575">
        <v>41</v>
      </c>
      <c r="U7575" s="26" t="str">
        <f t="shared" si="290"/>
        <v>2025.002G.Monodnaviria_reorg_4nr.zip</v>
      </c>
    </row>
    <row r="7576" spans="1:21">
      <c r="A7576">
        <v>7575</v>
      </c>
      <c r="B7576" s="27" t="s">
        <v>20779</v>
      </c>
      <c r="D7576" s="27" t="s">
        <v>1826</v>
      </c>
      <c r="F7576" s="27" t="s">
        <v>1844</v>
      </c>
      <c r="H7576" s="27" t="s">
        <v>1845</v>
      </c>
      <c r="J7576" s="27" t="s">
        <v>1847</v>
      </c>
      <c r="L7576" s="27" t="s">
        <v>196</v>
      </c>
      <c r="N7576" s="27" t="s">
        <v>661</v>
      </c>
      <c r="P7576" s="27" t="s">
        <v>8646</v>
      </c>
      <c r="Q7576" s="26" t="str">
        <f>HYPERLINK("https://ictv.global/taxonomy/taxondetails?taxnode_id=202502972&amp;ictv_id=ICTV20165266","ICTV20165266")</f>
        <v>ICTV20165266</v>
      </c>
      <c r="R7576" t="s">
        <v>660</v>
      </c>
      <c r="S7576" t="s">
        <v>824</v>
      </c>
      <c r="T7576">
        <v>41</v>
      </c>
      <c r="U7576" s="26" t="str">
        <f t="shared" ref="U7576:U7639" si="291">HYPERLINK("https://ictv.global/ictv/proposals/2025.002G.Monodnaviria_reorg_4nr.zip","2025.002G.Monodnaviria_reorg_4nr.zip")</f>
        <v>2025.002G.Monodnaviria_reorg_4nr.zip</v>
      </c>
    </row>
    <row r="7577" spans="1:21">
      <c r="A7577">
        <v>7576</v>
      </c>
      <c r="B7577" s="27" t="s">
        <v>20779</v>
      </c>
      <c r="D7577" s="27" t="s">
        <v>1826</v>
      </c>
      <c r="F7577" s="27" t="s">
        <v>1844</v>
      </c>
      <c r="H7577" s="27" t="s">
        <v>1845</v>
      </c>
      <c r="J7577" s="27" t="s">
        <v>1847</v>
      </c>
      <c r="L7577" s="27" t="s">
        <v>196</v>
      </c>
      <c r="N7577" s="27" t="s">
        <v>661</v>
      </c>
      <c r="P7577" s="27" t="s">
        <v>8647</v>
      </c>
      <c r="Q7577" s="26" t="str">
        <f>HYPERLINK("https://ictv.global/taxonomy/taxondetails?taxnode_id=202502964&amp;ictv_id=ICTV20152355","ICTV20152355")</f>
        <v>ICTV20152355</v>
      </c>
      <c r="R7577" t="s">
        <v>660</v>
      </c>
      <c r="S7577" t="s">
        <v>824</v>
      </c>
      <c r="T7577">
        <v>41</v>
      </c>
      <c r="U7577" s="26" t="str">
        <f t="shared" si="291"/>
        <v>2025.002G.Monodnaviria_reorg_4nr.zip</v>
      </c>
    </row>
    <row r="7578" spans="1:21">
      <c r="A7578">
        <v>7577</v>
      </c>
      <c r="B7578" s="27" t="s">
        <v>20779</v>
      </c>
      <c r="D7578" s="27" t="s">
        <v>1826</v>
      </c>
      <c r="F7578" s="27" t="s">
        <v>1844</v>
      </c>
      <c r="H7578" s="27" t="s">
        <v>1845</v>
      </c>
      <c r="J7578" s="27" t="s">
        <v>1847</v>
      </c>
      <c r="L7578" s="27" t="s">
        <v>196</v>
      </c>
      <c r="N7578" s="27" t="s">
        <v>661</v>
      </c>
      <c r="P7578" s="27" t="s">
        <v>8648</v>
      </c>
      <c r="Q7578" s="26" t="str">
        <f>HYPERLINK("https://ictv.global/taxonomy/taxondetails?taxnode_id=202505769&amp;ictv_id=ICTV20175769","ICTV20175769")</f>
        <v>ICTV20175769</v>
      </c>
      <c r="R7578" t="s">
        <v>660</v>
      </c>
      <c r="S7578" t="s">
        <v>824</v>
      </c>
      <c r="T7578">
        <v>41</v>
      </c>
      <c r="U7578" s="26" t="str">
        <f t="shared" si="291"/>
        <v>2025.002G.Monodnaviria_reorg_4nr.zip</v>
      </c>
    </row>
    <row r="7579" spans="1:21">
      <c r="A7579">
        <v>7578</v>
      </c>
      <c r="B7579" s="27" t="s">
        <v>20779</v>
      </c>
      <c r="D7579" s="27" t="s">
        <v>1826</v>
      </c>
      <c r="F7579" s="27" t="s">
        <v>1844</v>
      </c>
      <c r="H7579" s="27" t="s">
        <v>1845</v>
      </c>
      <c r="J7579" s="27" t="s">
        <v>1847</v>
      </c>
      <c r="L7579" s="27" t="s">
        <v>196</v>
      </c>
      <c r="N7579" s="27" t="s">
        <v>661</v>
      </c>
      <c r="P7579" s="27" t="s">
        <v>8649</v>
      </c>
      <c r="Q7579" s="26" t="str">
        <f>HYPERLINK("https://ictv.global/taxonomy/taxondetails?taxnode_id=202508681&amp;ictv_id=ICTV201908681","ICTV201908681")</f>
        <v>ICTV201908681</v>
      </c>
      <c r="R7579" t="s">
        <v>660</v>
      </c>
      <c r="S7579" t="s">
        <v>824</v>
      </c>
      <c r="T7579">
        <v>41</v>
      </c>
      <c r="U7579" s="26" t="str">
        <f t="shared" si="291"/>
        <v>2025.002G.Monodnaviria_reorg_4nr.zip</v>
      </c>
    </row>
    <row r="7580" spans="1:21">
      <c r="A7580">
        <v>7579</v>
      </c>
      <c r="B7580" s="27" t="s">
        <v>20779</v>
      </c>
      <c r="D7580" s="27" t="s">
        <v>1826</v>
      </c>
      <c r="F7580" s="27" t="s">
        <v>1844</v>
      </c>
      <c r="H7580" s="27" t="s">
        <v>1845</v>
      </c>
      <c r="J7580" s="27" t="s">
        <v>1847</v>
      </c>
      <c r="L7580" s="27" t="s">
        <v>196</v>
      </c>
      <c r="N7580" s="27" t="s">
        <v>661</v>
      </c>
      <c r="P7580" s="27" t="s">
        <v>8650</v>
      </c>
      <c r="Q7580" s="26" t="str">
        <f>HYPERLINK("https://ictv.global/taxonomy/taxondetails?taxnode_id=202514119&amp;ictv_id=ICTV202214119","ICTV202214119")</f>
        <v>ICTV202214119</v>
      </c>
      <c r="R7580" t="s">
        <v>660</v>
      </c>
      <c r="S7580" t="s">
        <v>824</v>
      </c>
      <c r="T7580">
        <v>41</v>
      </c>
      <c r="U7580" s="26" t="str">
        <f t="shared" si="291"/>
        <v>2025.002G.Monodnaviria_reorg_4nr.zip</v>
      </c>
    </row>
    <row r="7581" spans="1:21">
      <c r="A7581">
        <v>7580</v>
      </c>
      <c r="B7581" s="27" t="s">
        <v>20779</v>
      </c>
      <c r="D7581" s="27" t="s">
        <v>1826</v>
      </c>
      <c r="F7581" s="27" t="s">
        <v>1844</v>
      </c>
      <c r="H7581" s="27" t="s">
        <v>1845</v>
      </c>
      <c r="J7581" s="27" t="s">
        <v>1847</v>
      </c>
      <c r="L7581" s="27" t="s">
        <v>196</v>
      </c>
      <c r="N7581" s="27" t="s">
        <v>661</v>
      </c>
      <c r="P7581" s="27" t="s">
        <v>8651</v>
      </c>
      <c r="Q7581" s="26" t="str">
        <f>HYPERLINK("https://ictv.global/taxonomy/taxondetails?taxnode_id=202514125&amp;ictv_id=ICTV202214125","ICTV202214125")</f>
        <v>ICTV202214125</v>
      </c>
      <c r="R7581" t="s">
        <v>660</v>
      </c>
      <c r="S7581" t="s">
        <v>824</v>
      </c>
      <c r="T7581">
        <v>41</v>
      </c>
      <c r="U7581" s="26" t="str">
        <f t="shared" si="291"/>
        <v>2025.002G.Monodnaviria_reorg_4nr.zip</v>
      </c>
    </row>
    <row r="7582" spans="1:21">
      <c r="A7582">
        <v>7581</v>
      </c>
      <c r="B7582" s="27" t="s">
        <v>20779</v>
      </c>
      <c r="D7582" s="27" t="s">
        <v>1826</v>
      </c>
      <c r="F7582" s="27" t="s">
        <v>1844</v>
      </c>
      <c r="H7582" s="27" t="s">
        <v>1845</v>
      </c>
      <c r="J7582" s="27" t="s">
        <v>1847</v>
      </c>
      <c r="L7582" s="27" t="s">
        <v>196</v>
      </c>
      <c r="N7582" s="27" t="s">
        <v>661</v>
      </c>
      <c r="P7582" s="27" t="s">
        <v>8652</v>
      </c>
      <c r="Q7582" s="26" t="str">
        <f>HYPERLINK("https://ictv.global/taxonomy/taxondetails?taxnode_id=202502967&amp;ictv_id=ICTV20152358","ICTV20152358")</f>
        <v>ICTV20152358</v>
      </c>
      <c r="R7582" t="s">
        <v>660</v>
      </c>
      <c r="S7582" t="s">
        <v>824</v>
      </c>
      <c r="T7582">
        <v>41</v>
      </c>
      <c r="U7582" s="26" t="str">
        <f t="shared" si="291"/>
        <v>2025.002G.Monodnaviria_reorg_4nr.zip</v>
      </c>
    </row>
    <row r="7583" spans="1:21">
      <c r="A7583">
        <v>7582</v>
      </c>
      <c r="B7583" s="27" t="s">
        <v>20779</v>
      </c>
      <c r="D7583" s="27" t="s">
        <v>1826</v>
      </c>
      <c r="F7583" s="27" t="s">
        <v>1844</v>
      </c>
      <c r="H7583" s="27" t="s">
        <v>1845</v>
      </c>
      <c r="J7583" s="27" t="s">
        <v>1847</v>
      </c>
      <c r="L7583" s="27" t="s">
        <v>196</v>
      </c>
      <c r="N7583" s="27" t="s">
        <v>661</v>
      </c>
      <c r="P7583" s="27" t="s">
        <v>8653</v>
      </c>
      <c r="Q7583" s="26" t="str">
        <f>HYPERLINK("https://ictv.global/taxonomy/taxondetails?taxnode_id=202514126&amp;ictv_id=ICTV202214126","ICTV202214126")</f>
        <v>ICTV202214126</v>
      </c>
      <c r="R7583" t="s">
        <v>660</v>
      </c>
      <c r="S7583" t="s">
        <v>824</v>
      </c>
      <c r="T7583">
        <v>41</v>
      </c>
      <c r="U7583" s="26" t="str">
        <f t="shared" si="291"/>
        <v>2025.002G.Monodnaviria_reorg_4nr.zip</v>
      </c>
    </row>
    <row r="7584" spans="1:21">
      <c r="A7584">
        <v>7583</v>
      </c>
      <c r="B7584" s="27" t="s">
        <v>20779</v>
      </c>
      <c r="D7584" s="27" t="s">
        <v>1826</v>
      </c>
      <c r="F7584" s="27" t="s">
        <v>1844</v>
      </c>
      <c r="H7584" s="27" t="s">
        <v>1845</v>
      </c>
      <c r="J7584" s="27" t="s">
        <v>1847</v>
      </c>
      <c r="L7584" s="27" t="s">
        <v>196</v>
      </c>
      <c r="N7584" s="27" t="s">
        <v>661</v>
      </c>
      <c r="P7584" s="27" t="s">
        <v>8654</v>
      </c>
      <c r="Q7584" s="26" t="str">
        <f>HYPERLINK("https://ictv.global/taxonomy/taxondetails?taxnode_id=202502970&amp;ictv_id=ICTV20152351","ICTV20152351")</f>
        <v>ICTV20152351</v>
      </c>
      <c r="R7584" t="s">
        <v>660</v>
      </c>
      <c r="S7584" t="s">
        <v>824</v>
      </c>
      <c r="T7584">
        <v>41</v>
      </c>
      <c r="U7584" s="26" t="str">
        <f t="shared" si="291"/>
        <v>2025.002G.Monodnaviria_reorg_4nr.zip</v>
      </c>
    </row>
    <row r="7585" spans="1:21">
      <c r="A7585">
        <v>7584</v>
      </c>
      <c r="B7585" s="27" t="s">
        <v>20779</v>
      </c>
      <c r="D7585" s="27" t="s">
        <v>1826</v>
      </c>
      <c r="F7585" s="27" t="s">
        <v>1844</v>
      </c>
      <c r="H7585" s="27" t="s">
        <v>1845</v>
      </c>
      <c r="J7585" s="27" t="s">
        <v>1847</v>
      </c>
      <c r="L7585" s="27" t="s">
        <v>196</v>
      </c>
      <c r="N7585" s="27" t="s">
        <v>661</v>
      </c>
      <c r="P7585" s="27" t="s">
        <v>8655</v>
      </c>
      <c r="Q7585" s="26" t="str">
        <f>HYPERLINK("https://ictv.global/taxonomy/taxondetails?taxnode_id=202514103&amp;ictv_id=ICTV202214103","ICTV202214103")</f>
        <v>ICTV202214103</v>
      </c>
      <c r="R7585" t="s">
        <v>660</v>
      </c>
      <c r="S7585" t="s">
        <v>824</v>
      </c>
      <c r="T7585">
        <v>41</v>
      </c>
      <c r="U7585" s="26" t="str">
        <f t="shared" si="291"/>
        <v>2025.002G.Monodnaviria_reorg_4nr.zip</v>
      </c>
    </row>
    <row r="7586" spans="1:21">
      <c r="A7586">
        <v>7585</v>
      </c>
      <c r="B7586" s="27" t="s">
        <v>20779</v>
      </c>
      <c r="D7586" s="27" t="s">
        <v>1826</v>
      </c>
      <c r="F7586" s="27" t="s">
        <v>1844</v>
      </c>
      <c r="H7586" s="27" t="s">
        <v>1845</v>
      </c>
      <c r="J7586" s="27" t="s">
        <v>1847</v>
      </c>
      <c r="L7586" s="27" t="s">
        <v>196</v>
      </c>
      <c r="N7586" s="27" t="s">
        <v>661</v>
      </c>
      <c r="P7586" s="27" t="s">
        <v>8656</v>
      </c>
      <c r="Q7586" s="26" t="str">
        <f>HYPERLINK("https://ictv.global/taxonomy/taxondetails?taxnode_id=202514105&amp;ictv_id=ICTV202214105","ICTV202214105")</f>
        <v>ICTV202214105</v>
      </c>
      <c r="R7586" t="s">
        <v>660</v>
      </c>
      <c r="S7586" t="s">
        <v>824</v>
      </c>
      <c r="T7586">
        <v>41</v>
      </c>
      <c r="U7586" s="26" t="str">
        <f t="shared" si="291"/>
        <v>2025.002G.Monodnaviria_reorg_4nr.zip</v>
      </c>
    </row>
    <row r="7587" spans="1:21">
      <c r="A7587">
        <v>7586</v>
      </c>
      <c r="B7587" s="27" t="s">
        <v>20779</v>
      </c>
      <c r="D7587" s="27" t="s">
        <v>1826</v>
      </c>
      <c r="F7587" s="27" t="s">
        <v>1844</v>
      </c>
      <c r="H7587" s="27" t="s">
        <v>1845</v>
      </c>
      <c r="J7587" s="27" t="s">
        <v>1847</v>
      </c>
      <c r="L7587" s="27" t="s">
        <v>196</v>
      </c>
      <c r="N7587" s="27" t="s">
        <v>661</v>
      </c>
      <c r="P7587" s="27" t="s">
        <v>8657</v>
      </c>
      <c r="Q7587" s="26" t="str">
        <f>HYPERLINK("https://ictv.global/taxonomy/taxondetails?taxnode_id=202502968&amp;ictv_id=ICTV20152359","ICTV20152359")</f>
        <v>ICTV20152359</v>
      </c>
      <c r="R7587" t="s">
        <v>660</v>
      </c>
      <c r="S7587" t="s">
        <v>824</v>
      </c>
      <c r="T7587">
        <v>41</v>
      </c>
      <c r="U7587" s="26" t="str">
        <f t="shared" si="291"/>
        <v>2025.002G.Monodnaviria_reorg_4nr.zip</v>
      </c>
    </row>
    <row r="7588" spans="1:21">
      <c r="A7588">
        <v>7587</v>
      </c>
      <c r="B7588" s="27" t="s">
        <v>20779</v>
      </c>
      <c r="D7588" s="27" t="s">
        <v>1826</v>
      </c>
      <c r="F7588" s="27" t="s">
        <v>1844</v>
      </c>
      <c r="H7588" s="27" t="s">
        <v>1845</v>
      </c>
      <c r="J7588" s="27" t="s">
        <v>1847</v>
      </c>
      <c r="L7588" s="27" t="s">
        <v>196</v>
      </c>
      <c r="N7588" s="27" t="s">
        <v>661</v>
      </c>
      <c r="P7588" s="27" t="s">
        <v>8658</v>
      </c>
      <c r="Q7588" s="26" t="str">
        <f>HYPERLINK("https://ictv.global/taxonomy/taxondetails?taxnode_id=202514102&amp;ictv_id=ICTV202214102","ICTV202214102")</f>
        <v>ICTV202214102</v>
      </c>
      <c r="R7588" t="s">
        <v>660</v>
      </c>
      <c r="S7588" t="s">
        <v>824</v>
      </c>
      <c r="T7588">
        <v>41</v>
      </c>
      <c r="U7588" s="26" t="str">
        <f t="shared" si="291"/>
        <v>2025.002G.Monodnaviria_reorg_4nr.zip</v>
      </c>
    </row>
    <row r="7589" spans="1:21">
      <c r="A7589">
        <v>7588</v>
      </c>
      <c r="B7589" s="27" t="s">
        <v>20779</v>
      </c>
      <c r="D7589" s="27" t="s">
        <v>1826</v>
      </c>
      <c r="F7589" s="27" t="s">
        <v>1844</v>
      </c>
      <c r="H7589" s="27" t="s">
        <v>1845</v>
      </c>
      <c r="J7589" s="27" t="s">
        <v>1847</v>
      </c>
      <c r="L7589" s="27" t="s">
        <v>196</v>
      </c>
      <c r="N7589" s="27" t="s">
        <v>661</v>
      </c>
      <c r="P7589" s="27" t="s">
        <v>8659</v>
      </c>
      <c r="Q7589" s="26" t="str">
        <f>HYPERLINK("https://ictv.global/taxonomy/taxondetails?taxnode_id=202508680&amp;ictv_id=ICTV201908680","ICTV201908680")</f>
        <v>ICTV201908680</v>
      </c>
      <c r="R7589" t="s">
        <v>660</v>
      </c>
      <c r="S7589" t="s">
        <v>824</v>
      </c>
      <c r="T7589">
        <v>41</v>
      </c>
      <c r="U7589" s="26" t="str">
        <f t="shared" si="291"/>
        <v>2025.002G.Monodnaviria_reorg_4nr.zip</v>
      </c>
    </row>
    <row r="7590" spans="1:21">
      <c r="A7590">
        <v>7589</v>
      </c>
      <c r="B7590" s="27" t="s">
        <v>20779</v>
      </c>
      <c r="D7590" s="27" t="s">
        <v>1826</v>
      </c>
      <c r="F7590" s="27" t="s">
        <v>1844</v>
      </c>
      <c r="H7590" s="27" t="s">
        <v>1845</v>
      </c>
      <c r="J7590" s="27" t="s">
        <v>1847</v>
      </c>
      <c r="L7590" s="27" t="s">
        <v>196</v>
      </c>
      <c r="N7590" s="27" t="s">
        <v>661</v>
      </c>
      <c r="P7590" s="27" t="s">
        <v>8660</v>
      </c>
      <c r="Q7590" s="26" t="str">
        <f>HYPERLINK("https://ictv.global/taxonomy/taxondetails?taxnode_id=202505770&amp;ictv_id=ICTV20175770","ICTV20175770")</f>
        <v>ICTV20175770</v>
      </c>
      <c r="R7590" t="s">
        <v>660</v>
      </c>
      <c r="S7590" t="s">
        <v>824</v>
      </c>
      <c r="T7590">
        <v>41</v>
      </c>
      <c r="U7590" s="26" t="str">
        <f t="shared" si="291"/>
        <v>2025.002G.Monodnaviria_reorg_4nr.zip</v>
      </c>
    </row>
    <row r="7591" spans="1:21">
      <c r="A7591">
        <v>7590</v>
      </c>
      <c r="B7591" s="27" t="s">
        <v>20779</v>
      </c>
      <c r="D7591" s="27" t="s">
        <v>1826</v>
      </c>
      <c r="F7591" s="27" t="s">
        <v>1844</v>
      </c>
      <c r="H7591" s="27" t="s">
        <v>1845</v>
      </c>
      <c r="J7591" s="27" t="s">
        <v>1847</v>
      </c>
      <c r="L7591" s="27" t="s">
        <v>196</v>
      </c>
      <c r="N7591" s="27" t="s">
        <v>661</v>
      </c>
      <c r="P7591" s="27" t="s">
        <v>8661</v>
      </c>
      <c r="Q7591" s="26" t="str">
        <f>HYPERLINK("https://ictv.global/taxonomy/taxondetails?taxnode_id=202502938&amp;ictv_id=ICTV20165262","ICTV20165262")</f>
        <v>ICTV20165262</v>
      </c>
      <c r="R7591" t="s">
        <v>660</v>
      </c>
      <c r="S7591" t="s">
        <v>824</v>
      </c>
      <c r="T7591">
        <v>41</v>
      </c>
      <c r="U7591" s="26" t="str">
        <f t="shared" si="291"/>
        <v>2025.002G.Monodnaviria_reorg_4nr.zip</v>
      </c>
    </row>
    <row r="7592" spans="1:21">
      <c r="A7592">
        <v>7591</v>
      </c>
      <c r="B7592" s="27" t="s">
        <v>20779</v>
      </c>
      <c r="D7592" s="27" t="s">
        <v>1826</v>
      </c>
      <c r="F7592" s="27" t="s">
        <v>1844</v>
      </c>
      <c r="H7592" s="27" t="s">
        <v>1845</v>
      </c>
      <c r="J7592" s="27" t="s">
        <v>1847</v>
      </c>
      <c r="L7592" s="27" t="s">
        <v>196</v>
      </c>
      <c r="N7592" s="27" t="s">
        <v>661</v>
      </c>
      <c r="P7592" s="27" t="s">
        <v>8662</v>
      </c>
      <c r="Q7592" s="26" t="str">
        <f>HYPERLINK("https://ictv.global/taxonomy/taxondetails?taxnode_id=202502957&amp;ictv_id=ICTV20152345","ICTV20152345")</f>
        <v>ICTV20152345</v>
      </c>
      <c r="R7592" t="s">
        <v>660</v>
      </c>
      <c r="S7592" t="s">
        <v>824</v>
      </c>
      <c r="T7592">
        <v>41</v>
      </c>
      <c r="U7592" s="26" t="str">
        <f t="shared" si="291"/>
        <v>2025.002G.Monodnaviria_reorg_4nr.zip</v>
      </c>
    </row>
    <row r="7593" spans="1:21">
      <c r="A7593">
        <v>7592</v>
      </c>
      <c r="B7593" s="27" t="s">
        <v>20779</v>
      </c>
      <c r="D7593" s="27" t="s">
        <v>1826</v>
      </c>
      <c r="F7593" s="27" t="s">
        <v>1844</v>
      </c>
      <c r="H7593" s="27" t="s">
        <v>1845</v>
      </c>
      <c r="J7593" s="27" t="s">
        <v>1847</v>
      </c>
      <c r="L7593" s="27" t="s">
        <v>196</v>
      </c>
      <c r="N7593" s="27" t="s">
        <v>661</v>
      </c>
      <c r="P7593" s="27" t="s">
        <v>8663</v>
      </c>
      <c r="Q7593" s="26" t="str">
        <f>HYPERLINK("https://ictv.global/taxonomy/taxondetails?taxnode_id=202514123&amp;ictv_id=ICTV202214123","ICTV202214123")</f>
        <v>ICTV202214123</v>
      </c>
      <c r="R7593" t="s">
        <v>660</v>
      </c>
      <c r="S7593" t="s">
        <v>824</v>
      </c>
      <c r="T7593">
        <v>41</v>
      </c>
      <c r="U7593" s="26" t="str">
        <f t="shared" si="291"/>
        <v>2025.002G.Monodnaviria_reorg_4nr.zip</v>
      </c>
    </row>
    <row r="7594" spans="1:21">
      <c r="A7594">
        <v>7593</v>
      </c>
      <c r="B7594" s="27" t="s">
        <v>20779</v>
      </c>
      <c r="D7594" s="27" t="s">
        <v>1826</v>
      </c>
      <c r="F7594" s="27" t="s">
        <v>1844</v>
      </c>
      <c r="H7594" s="27" t="s">
        <v>1845</v>
      </c>
      <c r="J7594" s="27" t="s">
        <v>1847</v>
      </c>
      <c r="L7594" s="27" t="s">
        <v>196</v>
      </c>
      <c r="N7594" s="27" t="s">
        <v>661</v>
      </c>
      <c r="P7594" s="27" t="s">
        <v>8664</v>
      </c>
      <c r="Q7594" s="26" t="str">
        <f>HYPERLINK("https://ictv.global/taxonomy/taxondetails?taxnode_id=202514093&amp;ictv_id=ICTV202214093","ICTV202214093")</f>
        <v>ICTV202214093</v>
      </c>
      <c r="R7594" t="s">
        <v>660</v>
      </c>
      <c r="S7594" t="s">
        <v>824</v>
      </c>
      <c r="T7594">
        <v>41</v>
      </c>
      <c r="U7594" s="26" t="str">
        <f t="shared" si="291"/>
        <v>2025.002G.Monodnaviria_reorg_4nr.zip</v>
      </c>
    </row>
    <row r="7595" spans="1:21">
      <c r="A7595">
        <v>7594</v>
      </c>
      <c r="B7595" s="27" t="s">
        <v>20779</v>
      </c>
      <c r="D7595" s="27" t="s">
        <v>1826</v>
      </c>
      <c r="F7595" s="27" t="s">
        <v>1844</v>
      </c>
      <c r="H7595" s="27" t="s">
        <v>1845</v>
      </c>
      <c r="J7595" s="27" t="s">
        <v>1847</v>
      </c>
      <c r="L7595" s="27" t="s">
        <v>196</v>
      </c>
      <c r="N7595" s="27" t="s">
        <v>661</v>
      </c>
      <c r="P7595" s="27" t="s">
        <v>8665</v>
      </c>
      <c r="Q7595" s="26" t="str">
        <f>HYPERLINK("https://ictv.global/taxonomy/taxondetails?taxnode_id=202514101&amp;ictv_id=ICTV202214101","ICTV202214101")</f>
        <v>ICTV202214101</v>
      </c>
      <c r="R7595" t="s">
        <v>660</v>
      </c>
      <c r="S7595" t="s">
        <v>824</v>
      </c>
      <c r="T7595">
        <v>41</v>
      </c>
      <c r="U7595" s="26" t="str">
        <f t="shared" si="291"/>
        <v>2025.002G.Monodnaviria_reorg_4nr.zip</v>
      </c>
    </row>
    <row r="7596" spans="1:21">
      <c r="A7596">
        <v>7595</v>
      </c>
      <c r="B7596" s="27" t="s">
        <v>20779</v>
      </c>
      <c r="D7596" s="27" t="s">
        <v>1826</v>
      </c>
      <c r="F7596" s="27" t="s">
        <v>1844</v>
      </c>
      <c r="H7596" s="27" t="s">
        <v>1845</v>
      </c>
      <c r="J7596" s="27" t="s">
        <v>1847</v>
      </c>
      <c r="L7596" s="27" t="s">
        <v>196</v>
      </c>
      <c r="N7596" s="27" t="s">
        <v>661</v>
      </c>
      <c r="P7596" s="27" t="s">
        <v>8666</v>
      </c>
      <c r="Q7596" s="26" t="str">
        <f>HYPERLINK("https://ictv.global/taxonomy/taxondetails?taxnode_id=202502969&amp;ictv_id=ICTV20152350","ICTV20152350")</f>
        <v>ICTV20152350</v>
      </c>
      <c r="R7596" t="s">
        <v>660</v>
      </c>
      <c r="S7596" t="s">
        <v>824</v>
      </c>
      <c r="T7596">
        <v>41</v>
      </c>
      <c r="U7596" s="26" t="str">
        <f t="shared" si="291"/>
        <v>2025.002G.Monodnaviria_reorg_4nr.zip</v>
      </c>
    </row>
    <row r="7597" spans="1:21">
      <c r="A7597">
        <v>7596</v>
      </c>
      <c r="B7597" s="27" t="s">
        <v>20779</v>
      </c>
      <c r="D7597" s="27" t="s">
        <v>1826</v>
      </c>
      <c r="F7597" s="27" t="s">
        <v>1844</v>
      </c>
      <c r="H7597" s="27" t="s">
        <v>1845</v>
      </c>
      <c r="J7597" s="27" t="s">
        <v>1847</v>
      </c>
      <c r="L7597" s="27" t="s">
        <v>196</v>
      </c>
      <c r="N7597" s="27" t="s">
        <v>661</v>
      </c>
      <c r="P7597" s="27" t="s">
        <v>8667</v>
      </c>
      <c r="Q7597" s="26" t="str">
        <f>HYPERLINK("https://ictv.global/taxonomy/taxondetails?taxnode_id=202502943&amp;ictv_id=ICTV20165256","ICTV20165256")</f>
        <v>ICTV20165256</v>
      </c>
      <c r="R7597" t="s">
        <v>660</v>
      </c>
      <c r="S7597" t="s">
        <v>824</v>
      </c>
      <c r="T7597">
        <v>41</v>
      </c>
      <c r="U7597" s="26" t="str">
        <f t="shared" si="291"/>
        <v>2025.002G.Monodnaviria_reorg_4nr.zip</v>
      </c>
    </row>
    <row r="7598" spans="1:21">
      <c r="A7598">
        <v>7597</v>
      </c>
      <c r="B7598" s="27" t="s">
        <v>20779</v>
      </c>
      <c r="D7598" s="27" t="s">
        <v>1826</v>
      </c>
      <c r="F7598" s="27" t="s">
        <v>1844</v>
      </c>
      <c r="H7598" s="27" t="s">
        <v>1845</v>
      </c>
      <c r="J7598" s="27" t="s">
        <v>1847</v>
      </c>
      <c r="L7598" s="27" t="s">
        <v>196</v>
      </c>
      <c r="N7598" s="27" t="s">
        <v>661</v>
      </c>
      <c r="P7598" s="27" t="s">
        <v>8668</v>
      </c>
      <c r="Q7598" s="26" t="str">
        <f>HYPERLINK("https://ictv.global/taxonomy/taxondetails?taxnode_id=202514091&amp;ictv_id=ICTV202214091","ICTV202214091")</f>
        <v>ICTV202214091</v>
      </c>
      <c r="R7598" t="s">
        <v>660</v>
      </c>
      <c r="S7598" t="s">
        <v>824</v>
      </c>
      <c r="T7598">
        <v>41</v>
      </c>
      <c r="U7598" s="26" t="str">
        <f t="shared" si="291"/>
        <v>2025.002G.Monodnaviria_reorg_4nr.zip</v>
      </c>
    </row>
    <row r="7599" spans="1:21">
      <c r="A7599">
        <v>7598</v>
      </c>
      <c r="B7599" s="27" t="s">
        <v>20779</v>
      </c>
      <c r="D7599" s="27" t="s">
        <v>1826</v>
      </c>
      <c r="F7599" s="27" t="s">
        <v>1844</v>
      </c>
      <c r="H7599" s="27" t="s">
        <v>1845</v>
      </c>
      <c r="J7599" s="27" t="s">
        <v>1847</v>
      </c>
      <c r="L7599" s="27" t="s">
        <v>196</v>
      </c>
      <c r="N7599" s="27" t="s">
        <v>661</v>
      </c>
      <c r="P7599" s="27" t="s">
        <v>8669</v>
      </c>
      <c r="Q7599" s="26" t="str">
        <f>HYPERLINK("https://ictv.global/taxonomy/taxondetails?taxnode_id=202502945&amp;ictv_id=ICTV20165258","ICTV20165258")</f>
        <v>ICTV20165258</v>
      </c>
      <c r="R7599" t="s">
        <v>660</v>
      </c>
      <c r="S7599" t="s">
        <v>824</v>
      </c>
      <c r="T7599">
        <v>41</v>
      </c>
      <c r="U7599" s="26" t="str">
        <f t="shared" si="291"/>
        <v>2025.002G.Monodnaviria_reorg_4nr.zip</v>
      </c>
    </row>
    <row r="7600" spans="1:21">
      <c r="A7600">
        <v>7599</v>
      </c>
      <c r="B7600" s="27" t="s">
        <v>20779</v>
      </c>
      <c r="D7600" s="27" t="s">
        <v>1826</v>
      </c>
      <c r="F7600" s="27" t="s">
        <v>1844</v>
      </c>
      <c r="H7600" s="27" t="s">
        <v>1845</v>
      </c>
      <c r="J7600" s="27" t="s">
        <v>1847</v>
      </c>
      <c r="L7600" s="27" t="s">
        <v>196</v>
      </c>
      <c r="N7600" s="27" t="s">
        <v>661</v>
      </c>
      <c r="P7600" s="27" t="s">
        <v>8670</v>
      </c>
      <c r="Q7600" s="26" t="str">
        <f>HYPERLINK("https://ictv.global/taxonomy/taxondetails?taxnode_id=202502944&amp;ictv_id=ICTV20165257","ICTV20165257")</f>
        <v>ICTV20165257</v>
      </c>
      <c r="R7600" t="s">
        <v>660</v>
      </c>
      <c r="S7600" t="s">
        <v>824</v>
      </c>
      <c r="T7600">
        <v>41</v>
      </c>
      <c r="U7600" s="26" t="str">
        <f t="shared" si="291"/>
        <v>2025.002G.Monodnaviria_reorg_4nr.zip</v>
      </c>
    </row>
    <row r="7601" spans="1:21">
      <c r="A7601">
        <v>7600</v>
      </c>
      <c r="B7601" s="27" t="s">
        <v>20779</v>
      </c>
      <c r="D7601" s="27" t="s">
        <v>1826</v>
      </c>
      <c r="F7601" s="27" t="s">
        <v>1844</v>
      </c>
      <c r="H7601" s="27" t="s">
        <v>1845</v>
      </c>
      <c r="J7601" s="27" t="s">
        <v>1847</v>
      </c>
      <c r="L7601" s="27" t="s">
        <v>196</v>
      </c>
      <c r="N7601" s="27" t="s">
        <v>661</v>
      </c>
      <c r="P7601" s="27" t="s">
        <v>8671</v>
      </c>
      <c r="Q7601" s="26" t="str">
        <f>HYPERLINK("https://ictv.global/taxonomy/taxondetails?taxnode_id=202502946&amp;ictv_id=ICTV20165259","ICTV20165259")</f>
        <v>ICTV20165259</v>
      </c>
      <c r="R7601" t="s">
        <v>660</v>
      </c>
      <c r="S7601" t="s">
        <v>824</v>
      </c>
      <c r="T7601">
        <v>41</v>
      </c>
      <c r="U7601" s="26" t="str">
        <f t="shared" si="291"/>
        <v>2025.002G.Monodnaviria_reorg_4nr.zip</v>
      </c>
    </row>
    <row r="7602" spans="1:21">
      <c r="A7602">
        <v>7601</v>
      </c>
      <c r="B7602" s="27" t="s">
        <v>20779</v>
      </c>
      <c r="D7602" s="27" t="s">
        <v>1826</v>
      </c>
      <c r="F7602" s="27" t="s">
        <v>1844</v>
      </c>
      <c r="H7602" s="27" t="s">
        <v>1845</v>
      </c>
      <c r="J7602" s="27" t="s">
        <v>1847</v>
      </c>
      <c r="L7602" s="27" t="s">
        <v>196</v>
      </c>
      <c r="N7602" s="27" t="s">
        <v>661</v>
      </c>
      <c r="P7602" s="27" t="s">
        <v>8672</v>
      </c>
      <c r="Q7602" s="26" t="str">
        <f>HYPERLINK("https://ictv.global/taxonomy/taxondetails?taxnode_id=202514095&amp;ictv_id=ICTV202214095","ICTV202214095")</f>
        <v>ICTV202214095</v>
      </c>
      <c r="R7602" t="s">
        <v>660</v>
      </c>
      <c r="S7602" t="s">
        <v>824</v>
      </c>
      <c r="T7602">
        <v>41</v>
      </c>
      <c r="U7602" s="26" t="str">
        <f t="shared" si="291"/>
        <v>2025.002G.Monodnaviria_reorg_4nr.zip</v>
      </c>
    </row>
    <row r="7603" spans="1:21">
      <c r="A7603">
        <v>7602</v>
      </c>
      <c r="B7603" s="27" t="s">
        <v>20779</v>
      </c>
      <c r="D7603" s="27" t="s">
        <v>1826</v>
      </c>
      <c r="F7603" s="27" t="s">
        <v>1844</v>
      </c>
      <c r="H7603" s="27" t="s">
        <v>1845</v>
      </c>
      <c r="J7603" s="27" t="s">
        <v>1847</v>
      </c>
      <c r="L7603" s="27" t="s">
        <v>196</v>
      </c>
      <c r="N7603" s="27" t="s">
        <v>661</v>
      </c>
      <c r="P7603" s="27" t="s">
        <v>8673</v>
      </c>
      <c r="Q7603" s="26" t="str">
        <f>HYPERLINK("https://ictv.global/taxonomy/taxondetails?taxnode_id=202506572&amp;ictv_id=ICTV201856572","ICTV201856572")</f>
        <v>ICTV201856572</v>
      </c>
      <c r="R7603" t="s">
        <v>660</v>
      </c>
      <c r="S7603" t="s">
        <v>824</v>
      </c>
      <c r="T7603">
        <v>41</v>
      </c>
      <c r="U7603" s="26" t="str">
        <f t="shared" si="291"/>
        <v>2025.002G.Monodnaviria_reorg_4nr.zip</v>
      </c>
    </row>
    <row r="7604" spans="1:21">
      <c r="A7604">
        <v>7603</v>
      </c>
      <c r="B7604" s="27" t="s">
        <v>20779</v>
      </c>
      <c r="D7604" s="27" t="s">
        <v>1826</v>
      </c>
      <c r="F7604" s="27" t="s">
        <v>1844</v>
      </c>
      <c r="H7604" s="27" t="s">
        <v>1845</v>
      </c>
      <c r="J7604" s="27" t="s">
        <v>1847</v>
      </c>
      <c r="L7604" s="27" t="s">
        <v>196</v>
      </c>
      <c r="N7604" s="27" t="s">
        <v>661</v>
      </c>
      <c r="P7604" s="27" t="s">
        <v>8674</v>
      </c>
      <c r="Q7604" s="26" t="str">
        <f>HYPERLINK("https://ictv.global/taxonomy/taxondetails?taxnode_id=202502936&amp;ictv_id=ICTV20165260","ICTV20165260")</f>
        <v>ICTV20165260</v>
      </c>
      <c r="R7604" t="s">
        <v>660</v>
      </c>
      <c r="S7604" t="s">
        <v>824</v>
      </c>
      <c r="T7604">
        <v>41</v>
      </c>
      <c r="U7604" s="26" t="str">
        <f t="shared" si="291"/>
        <v>2025.002G.Monodnaviria_reorg_4nr.zip</v>
      </c>
    </row>
    <row r="7605" spans="1:21">
      <c r="A7605">
        <v>7604</v>
      </c>
      <c r="B7605" s="27" t="s">
        <v>20779</v>
      </c>
      <c r="D7605" s="27" t="s">
        <v>1826</v>
      </c>
      <c r="F7605" s="27" t="s">
        <v>1844</v>
      </c>
      <c r="H7605" s="27" t="s">
        <v>1845</v>
      </c>
      <c r="J7605" s="27" t="s">
        <v>1847</v>
      </c>
      <c r="L7605" s="27" t="s">
        <v>196</v>
      </c>
      <c r="N7605" s="27" t="s">
        <v>661</v>
      </c>
      <c r="P7605" s="27" t="s">
        <v>8675</v>
      </c>
      <c r="Q7605" s="26" t="str">
        <f>HYPERLINK("https://ictv.global/taxonomy/taxondetails?taxnode_id=202514124&amp;ictv_id=ICTV202214124","ICTV202214124")</f>
        <v>ICTV202214124</v>
      </c>
      <c r="R7605" t="s">
        <v>660</v>
      </c>
      <c r="S7605" t="s">
        <v>824</v>
      </c>
      <c r="T7605">
        <v>41</v>
      </c>
      <c r="U7605" s="26" t="str">
        <f t="shared" si="291"/>
        <v>2025.002G.Monodnaviria_reorg_4nr.zip</v>
      </c>
    </row>
    <row r="7606" spans="1:21">
      <c r="A7606">
        <v>7605</v>
      </c>
      <c r="B7606" s="27" t="s">
        <v>20779</v>
      </c>
      <c r="D7606" s="27" t="s">
        <v>1826</v>
      </c>
      <c r="F7606" s="27" t="s">
        <v>1844</v>
      </c>
      <c r="H7606" s="27" t="s">
        <v>1845</v>
      </c>
      <c r="J7606" s="27" t="s">
        <v>1847</v>
      </c>
      <c r="L7606" s="27" t="s">
        <v>196</v>
      </c>
      <c r="N7606" s="27" t="s">
        <v>661</v>
      </c>
      <c r="P7606" s="27" t="s">
        <v>8676</v>
      </c>
      <c r="Q7606" s="26" t="str">
        <f>HYPERLINK("https://ictv.global/taxonomy/taxondetails?taxnode_id=202514098&amp;ictv_id=ICTV202214098","ICTV202214098")</f>
        <v>ICTV202214098</v>
      </c>
      <c r="R7606" t="s">
        <v>660</v>
      </c>
      <c r="S7606" t="s">
        <v>824</v>
      </c>
      <c r="T7606">
        <v>41</v>
      </c>
      <c r="U7606" s="26" t="str">
        <f t="shared" si="291"/>
        <v>2025.002G.Monodnaviria_reorg_4nr.zip</v>
      </c>
    </row>
    <row r="7607" spans="1:21">
      <c r="A7607">
        <v>7606</v>
      </c>
      <c r="B7607" s="27" t="s">
        <v>20779</v>
      </c>
      <c r="D7607" s="27" t="s">
        <v>1826</v>
      </c>
      <c r="F7607" s="27" t="s">
        <v>1844</v>
      </c>
      <c r="H7607" s="27" t="s">
        <v>1845</v>
      </c>
      <c r="J7607" s="27" t="s">
        <v>1847</v>
      </c>
      <c r="L7607" s="27" t="s">
        <v>196</v>
      </c>
      <c r="N7607" s="27" t="s">
        <v>661</v>
      </c>
      <c r="P7607" s="27" t="s">
        <v>8677</v>
      </c>
      <c r="Q7607" s="26" t="str">
        <f>HYPERLINK("https://ictv.global/taxonomy/taxondetails?taxnode_id=202514108&amp;ictv_id=ICTV202214108","ICTV202214108")</f>
        <v>ICTV202214108</v>
      </c>
      <c r="R7607" t="s">
        <v>660</v>
      </c>
      <c r="S7607" t="s">
        <v>824</v>
      </c>
      <c r="T7607">
        <v>41</v>
      </c>
      <c r="U7607" s="26" t="str">
        <f t="shared" si="291"/>
        <v>2025.002G.Monodnaviria_reorg_4nr.zip</v>
      </c>
    </row>
    <row r="7608" spans="1:21">
      <c r="A7608">
        <v>7607</v>
      </c>
      <c r="B7608" s="27" t="s">
        <v>20779</v>
      </c>
      <c r="D7608" s="27" t="s">
        <v>1826</v>
      </c>
      <c r="F7608" s="27" t="s">
        <v>1844</v>
      </c>
      <c r="H7608" s="27" t="s">
        <v>1845</v>
      </c>
      <c r="J7608" s="27" t="s">
        <v>1847</v>
      </c>
      <c r="L7608" s="27" t="s">
        <v>196</v>
      </c>
      <c r="N7608" s="27" t="s">
        <v>661</v>
      </c>
      <c r="P7608" s="27" t="s">
        <v>8678</v>
      </c>
      <c r="Q7608" s="26" t="str">
        <f>HYPERLINK("https://ictv.global/taxonomy/taxondetails?taxnode_id=202514096&amp;ictv_id=ICTV202214096","ICTV202214096")</f>
        <v>ICTV202214096</v>
      </c>
      <c r="R7608" t="s">
        <v>660</v>
      </c>
      <c r="S7608" t="s">
        <v>824</v>
      </c>
      <c r="T7608">
        <v>41</v>
      </c>
      <c r="U7608" s="26" t="str">
        <f t="shared" si="291"/>
        <v>2025.002G.Monodnaviria_reorg_4nr.zip</v>
      </c>
    </row>
    <row r="7609" spans="1:21">
      <c r="A7609">
        <v>7608</v>
      </c>
      <c r="B7609" s="27" t="s">
        <v>20779</v>
      </c>
      <c r="D7609" s="27" t="s">
        <v>1826</v>
      </c>
      <c r="F7609" s="27" t="s">
        <v>1844</v>
      </c>
      <c r="H7609" s="27" t="s">
        <v>1845</v>
      </c>
      <c r="J7609" s="27" t="s">
        <v>1847</v>
      </c>
      <c r="L7609" s="27" t="s">
        <v>196</v>
      </c>
      <c r="N7609" s="27" t="s">
        <v>661</v>
      </c>
      <c r="P7609" s="27" t="s">
        <v>8679</v>
      </c>
      <c r="Q7609" s="26" t="str">
        <f>HYPERLINK("https://ictv.global/taxonomy/taxondetails?taxnode_id=202506571&amp;ictv_id=ICTV201856571","ICTV201856571")</f>
        <v>ICTV201856571</v>
      </c>
      <c r="R7609" t="s">
        <v>660</v>
      </c>
      <c r="S7609" t="s">
        <v>824</v>
      </c>
      <c r="T7609">
        <v>41</v>
      </c>
      <c r="U7609" s="26" t="str">
        <f t="shared" si="291"/>
        <v>2025.002G.Monodnaviria_reorg_4nr.zip</v>
      </c>
    </row>
    <row r="7610" spans="1:21">
      <c r="A7610">
        <v>7609</v>
      </c>
      <c r="B7610" s="27" t="s">
        <v>20779</v>
      </c>
      <c r="D7610" s="27" t="s">
        <v>1826</v>
      </c>
      <c r="F7610" s="27" t="s">
        <v>1844</v>
      </c>
      <c r="H7610" s="27" t="s">
        <v>1845</v>
      </c>
      <c r="J7610" s="27" t="s">
        <v>1847</v>
      </c>
      <c r="L7610" s="27" t="s">
        <v>196</v>
      </c>
      <c r="N7610" s="27" t="s">
        <v>661</v>
      </c>
      <c r="P7610" s="27" t="s">
        <v>8680</v>
      </c>
      <c r="Q7610" s="26" t="str">
        <f>HYPERLINK("https://ictv.global/taxonomy/taxondetails?taxnode_id=202502973&amp;ictv_id=ICTV20165267","ICTV20165267")</f>
        <v>ICTV20165267</v>
      </c>
      <c r="R7610" t="s">
        <v>660</v>
      </c>
      <c r="S7610" t="s">
        <v>824</v>
      </c>
      <c r="T7610">
        <v>41</v>
      </c>
      <c r="U7610" s="26" t="str">
        <f t="shared" si="291"/>
        <v>2025.002G.Monodnaviria_reorg_4nr.zip</v>
      </c>
    </row>
    <row r="7611" spans="1:21">
      <c r="A7611">
        <v>7610</v>
      </c>
      <c r="B7611" s="27" t="s">
        <v>20779</v>
      </c>
      <c r="D7611" s="27" t="s">
        <v>1826</v>
      </c>
      <c r="F7611" s="27" t="s">
        <v>1844</v>
      </c>
      <c r="H7611" s="27" t="s">
        <v>1845</v>
      </c>
      <c r="J7611" s="27" t="s">
        <v>1847</v>
      </c>
      <c r="L7611" s="27" t="s">
        <v>196</v>
      </c>
      <c r="N7611" s="27" t="s">
        <v>661</v>
      </c>
      <c r="P7611" s="27" t="s">
        <v>8681</v>
      </c>
      <c r="Q7611" s="26" t="str">
        <f>HYPERLINK("https://ictv.global/taxonomy/taxondetails?taxnode_id=202502950&amp;ictv_id=ICTV20152347","ICTV20152347")</f>
        <v>ICTV20152347</v>
      </c>
      <c r="R7611" t="s">
        <v>660</v>
      </c>
      <c r="S7611" t="s">
        <v>824</v>
      </c>
      <c r="T7611">
        <v>41</v>
      </c>
      <c r="U7611" s="26" t="str">
        <f t="shared" si="291"/>
        <v>2025.002G.Monodnaviria_reorg_4nr.zip</v>
      </c>
    </row>
    <row r="7612" spans="1:21">
      <c r="A7612">
        <v>7611</v>
      </c>
      <c r="B7612" s="27" t="s">
        <v>20779</v>
      </c>
      <c r="D7612" s="27" t="s">
        <v>1826</v>
      </c>
      <c r="F7612" s="27" t="s">
        <v>1844</v>
      </c>
      <c r="H7612" s="27" t="s">
        <v>1845</v>
      </c>
      <c r="J7612" s="27" t="s">
        <v>1847</v>
      </c>
      <c r="L7612" s="27" t="s">
        <v>196</v>
      </c>
      <c r="N7612" s="27" t="s">
        <v>661</v>
      </c>
      <c r="P7612" s="27" t="s">
        <v>8682</v>
      </c>
      <c r="Q7612" s="26" t="str">
        <f>HYPERLINK("https://ictv.global/taxonomy/taxondetails?taxnode_id=202509257&amp;ictv_id=ICTV202009257","ICTV202009257")</f>
        <v>ICTV202009257</v>
      </c>
      <c r="R7612" t="s">
        <v>660</v>
      </c>
      <c r="S7612" t="s">
        <v>824</v>
      </c>
      <c r="T7612">
        <v>41</v>
      </c>
      <c r="U7612" s="26" t="str">
        <f t="shared" si="291"/>
        <v>2025.002G.Monodnaviria_reorg_4nr.zip</v>
      </c>
    </row>
    <row r="7613" spans="1:21">
      <c r="A7613">
        <v>7612</v>
      </c>
      <c r="B7613" s="27" t="s">
        <v>20779</v>
      </c>
      <c r="D7613" s="27" t="s">
        <v>1826</v>
      </c>
      <c r="F7613" s="27" t="s">
        <v>1844</v>
      </c>
      <c r="H7613" s="27" t="s">
        <v>1845</v>
      </c>
      <c r="J7613" s="27" t="s">
        <v>1847</v>
      </c>
      <c r="L7613" s="27" t="s">
        <v>196</v>
      </c>
      <c r="N7613" s="27" t="s">
        <v>661</v>
      </c>
      <c r="P7613" s="27" t="s">
        <v>8683</v>
      </c>
      <c r="Q7613" s="26" t="str">
        <f>HYPERLINK("https://ictv.global/taxonomy/taxondetails?taxnode_id=202514113&amp;ictv_id=ICTV202214113","ICTV202214113")</f>
        <v>ICTV202214113</v>
      </c>
      <c r="R7613" t="s">
        <v>660</v>
      </c>
      <c r="S7613" t="s">
        <v>824</v>
      </c>
      <c r="T7613">
        <v>41</v>
      </c>
      <c r="U7613" s="26" t="str">
        <f t="shared" si="291"/>
        <v>2025.002G.Monodnaviria_reorg_4nr.zip</v>
      </c>
    </row>
    <row r="7614" spans="1:21">
      <c r="A7614">
        <v>7613</v>
      </c>
      <c r="B7614" s="27" t="s">
        <v>20779</v>
      </c>
      <c r="D7614" s="27" t="s">
        <v>1826</v>
      </c>
      <c r="F7614" s="27" t="s">
        <v>1844</v>
      </c>
      <c r="H7614" s="27" t="s">
        <v>1845</v>
      </c>
      <c r="J7614" s="27" t="s">
        <v>1847</v>
      </c>
      <c r="L7614" s="27" t="s">
        <v>196</v>
      </c>
      <c r="N7614" s="27" t="s">
        <v>661</v>
      </c>
      <c r="P7614" s="27" t="s">
        <v>8684</v>
      </c>
      <c r="Q7614" s="26" t="str">
        <f>HYPERLINK("https://ictv.global/taxonomy/taxondetails?taxnode_id=202514097&amp;ictv_id=ICTV202214097","ICTV202214097")</f>
        <v>ICTV202214097</v>
      </c>
      <c r="R7614" t="s">
        <v>660</v>
      </c>
      <c r="S7614" t="s">
        <v>824</v>
      </c>
      <c r="T7614">
        <v>41</v>
      </c>
      <c r="U7614" s="26" t="str">
        <f t="shared" si="291"/>
        <v>2025.002G.Monodnaviria_reorg_4nr.zip</v>
      </c>
    </row>
    <row r="7615" spans="1:21">
      <c r="A7615">
        <v>7614</v>
      </c>
      <c r="B7615" s="27" t="s">
        <v>20779</v>
      </c>
      <c r="D7615" s="27" t="s">
        <v>1826</v>
      </c>
      <c r="F7615" s="27" t="s">
        <v>1844</v>
      </c>
      <c r="H7615" s="27" t="s">
        <v>1845</v>
      </c>
      <c r="J7615" s="27" t="s">
        <v>1847</v>
      </c>
      <c r="L7615" s="27" t="s">
        <v>196</v>
      </c>
      <c r="N7615" s="27" t="s">
        <v>661</v>
      </c>
      <c r="P7615" s="27" t="s">
        <v>8685</v>
      </c>
      <c r="Q7615" s="26" t="str">
        <f>HYPERLINK("https://ictv.global/taxonomy/taxondetails?taxnode_id=202514106&amp;ictv_id=ICTV202214106","ICTV202214106")</f>
        <v>ICTV202214106</v>
      </c>
      <c r="R7615" t="s">
        <v>660</v>
      </c>
      <c r="S7615" t="s">
        <v>824</v>
      </c>
      <c r="T7615">
        <v>41</v>
      </c>
      <c r="U7615" s="26" t="str">
        <f t="shared" si="291"/>
        <v>2025.002G.Monodnaviria_reorg_4nr.zip</v>
      </c>
    </row>
    <row r="7616" spans="1:21">
      <c r="A7616">
        <v>7615</v>
      </c>
      <c r="B7616" s="27" t="s">
        <v>20779</v>
      </c>
      <c r="D7616" s="27" t="s">
        <v>1826</v>
      </c>
      <c r="F7616" s="27" t="s">
        <v>1844</v>
      </c>
      <c r="H7616" s="27" t="s">
        <v>1845</v>
      </c>
      <c r="J7616" s="27" t="s">
        <v>1847</v>
      </c>
      <c r="L7616" s="27" t="s">
        <v>196</v>
      </c>
      <c r="N7616" s="27" t="s">
        <v>661</v>
      </c>
      <c r="P7616" s="27" t="s">
        <v>8686</v>
      </c>
      <c r="Q7616" s="26" t="str">
        <f>HYPERLINK("https://ictv.global/taxonomy/taxondetails?taxnode_id=202514107&amp;ictv_id=ICTV202214107","ICTV202214107")</f>
        <v>ICTV202214107</v>
      </c>
      <c r="R7616" t="s">
        <v>660</v>
      </c>
      <c r="S7616" t="s">
        <v>824</v>
      </c>
      <c r="T7616">
        <v>41</v>
      </c>
      <c r="U7616" s="26" t="str">
        <f t="shared" si="291"/>
        <v>2025.002G.Monodnaviria_reorg_4nr.zip</v>
      </c>
    </row>
    <row r="7617" spans="1:21">
      <c r="A7617">
        <v>7616</v>
      </c>
      <c r="B7617" s="27" t="s">
        <v>20779</v>
      </c>
      <c r="D7617" s="27" t="s">
        <v>1826</v>
      </c>
      <c r="F7617" s="27" t="s">
        <v>1844</v>
      </c>
      <c r="H7617" s="27" t="s">
        <v>1845</v>
      </c>
      <c r="J7617" s="27" t="s">
        <v>1847</v>
      </c>
      <c r="L7617" s="27" t="s">
        <v>196</v>
      </c>
      <c r="N7617" s="27" t="s">
        <v>661</v>
      </c>
      <c r="P7617" s="27" t="s">
        <v>8687</v>
      </c>
      <c r="Q7617" s="26" t="str">
        <f>HYPERLINK("https://ictv.global/taxonomy/taxondetails?taxnode_id=202502934&amp;ictv_id=ICTV20152336","ICTV20152336")</f>
        <v>ICTV20152336</v>
      </c>
      <c r="R7617" t="s">
        <v>660</v>
      </c>
      <c r="S7617" t="s">
        <v>824</v>
      </c>
      <c r="T7617">
        <v>41</v>
      </c>
      <c r="U7617" s="26" t="str">
        <f t="shared" si="291"/>
        <v>2025.002G.Monodnaviria_reorg_4nr.zip</v>
      </c>
    </row>
    <row r="7618" spans="1:21">
      <c r="A7618">
        <v>7617</v>
      </c>
      <c r="B7618" s="27" t="s">
        <v>20779</v>
      </c>
      <c r="D7618" s="27" t="s">
        <v>1826</v>
      </c>
      <c r="F7618" s="27" t="s">
        <v>1844</v>
      </c>
      <c r="H7618" s="27" t="s">
        <v>1845</v>
      </c>
      <c r="J7618" s="27" t="s">
        <v>1847</v>
      </c>
      <c r="L7618" s="27" t="s">
        <v>196</v>
      </c>
      <c r="N7618" s="27" t="s">
        <v>661</v>
      </c>
      <c r="P7618" s="27" t="s">
        <v>8688</v>
      </c>
      <c r="Q7618" s="26" t="str">
        <f>HYPERLINK("https://ictv.global/taxonomy/taxondetails?taxnode_id=202502949&amp;ictv_id=ICTV20152338","ICTV20152338")</f>
        <v>ICTV20152338</v>
      </c>
      <c r="R7618" t="s">
        <v>660</v>
      </c>
      <c r="S7618" t="s">
        <v>824</v>
      </c>
      <c r="T7618">
        <v>41</v>
      </c>
      <c r="U7618" s="26" t="str">
        <f t="shared" si="291"/>
        <v>2025.002G.Monodnaviria_reorg_4nr.zip</v>
      </c>
    </row>
    <row r="7619" spans="1:21">
      <c r="A7619">
        <v>7618</v>
      </c>
      <c r="B7619" s="27" t="s">
        <v>20779</v>
      </c>
      <c r="D7619" s="27" t="s">
        <v>1826</v>
      </c>
      <c r="F7619" s="27" t="s">
        <v>1844</v>
      </c>
      <c r="H7619" s="27" t="s">
        <v>1845</v>
      </c>
      <c r="J7619" s="27" t="s">
        <v>1847</v>
      </c>
      <c r="L7619" s="27" t="s">
        <v>196</v>
      </c>
      <c r="N7619" s="27" t="s">
        <v>661</v>
      </c>
      <c r="P7619" s="27" t="s">
        <v>8689</v>
      </c>
      <c r="Q7619" s="26" t="str">
        <f>HYPERLINK("https://ictv.global/taxonomy/taxondetails?taxnode_id=202514121&amp;ictv_id=ICTV202214121","ICTV202214121")</f>
        <v>ICTV202214121</v>
      </c>
      <c r="R7619" t="s">
        <v>660</v>
      </c>
      <c r="S7619" t="s">
        <v>824</v>
      </c>
      <c r="T7619">
        <v>41</v>
      </c>
      <c r="U7619" s="26" t="str">
        <f t="shared" si="291"/>
        <v>2025.002G.Monodnaviria_reorg_4nr.zip</v>
      </c>
    </row>
    <row r="7620" spans="1:21">
      <c r="A7620">
        <v>7619</v>
      </c>
      <c r="B7620" s="27" t="s">
        <v>20779</v>
      </c>
      <c r="D7620" s="27" t="s">
        <v>1826</v>
      </c>
      <c r="F7620" s="27" t="s">
        <v>1844</v>
      </c>
      <c r="H7620" s="27" t="s">
        <v>1845</v>
      </c>
      <c r="J7620" s="27" t="s">
        <v>1847</v>
      </c>
      <c r="L7620" s="27" t="s">
        <v>196</v>
      </c>
      <c r="N7620" s="27" t="s">
        <v>661</v>
      </c>
      <c r="P7620" s="27" t="s">
        <v>8690</v>
      </c>
      <c r="Q7620" s="26" t="str">
        <f>HYPERLINK("https://ictv.global/taxonomy/taxondetails?taxnode_id=202502952&amp;ictv_id=ICTV20152340","ICTV20152340")</f>
        <v>ICTV20152340</v>
      </c>
      <c r="R7620" t="s">
        <v>660</v>
      </c>
      <c r="S7620" t="s">
        <v>824</v>
      </c>
      <c r="T7620">
        <v>41</v>
      </c>
      <c r="U7620" s="26" t="str">
        <f t="shared" si="291"/>
        <v>2025.002G.Monodnaviria_reorg_4nr.zip</v>
      </c>
    </row>
    <row r="7621" spans="1:21">
      <c r="A7621">
        <v>7620</v>
      </c>
      <c r="B7621" s="27" t="s">
        <v>20779</v>
      </c>
      <c r="D7621" s="27" t="s">
        <v>1826</v>
      </c>
      <c r="F7621" s="27" t="s">
        <v>1844</v>
      </c>
      <c r="H7621" s="27" t="s">
        <v>1845</v>
      </c>
      <c r="J7621" s="27" t="s">
        <v>1847</v>
      </c>
      <c r="L7621" s="27" t="s">
        <v>196</v>
      </c>
      <c r="N7621" s="27" t="s">
        <v>661</v>
      </c>
      <c r="P7621" s="27" t="s">
        <v>8691</v>
      </c>
      <c r="Q7621" s="26" t="str">
        <f>HYPERLINK("https://ictv.global/taxonomy/taxondetails?taxnode_id=202502958&amp;ictv_id=ICTV20152346","ICTV20152346")</f>
        <v>ICTV20152346</v>
      </c>
      <c r="R7621" t="s">
        <v>660</v>
      </c>
      <c r="S7621" t="s">
        <v>824</v>
      </c>
      <c r="T7621">
        <v>41</v>
      </c>
      <c r="U7621" s="26" t="str">
        <f t="shared" si="291"/>
        <v>2025.002G.Monodnaviria_reorg_4nr.zip</v>
      </c>
    </row>
    <row r="7622" spans="1:21">
      <c r="A7622">
        <v>7621</v>
      </c>
      <c r="B7622" s="27" t="s">
        <v>20779</v>
      </c>
      <c r="D7622" s="27" t="s">
        <v>1826</v>
      </c>
      <c r="F7622" s="27" t="s">
        <v>1844</v>
      </c>
      <c r="H7622" s="27" t="s">
        <v>1845</v>
      </c>
      <c r="J7622" s="27" t="s">
        <v>1847</v>
      </c>
      <c r="L7622" s="27" t="s">
        <v>196</v>
      </c>
      <c r="N7622" s="27" t="s">
        <v>661</v>
      </c>
      <c r="P7622" s="27" t="s">
        <v>8692</v>
      </c>
      <c r="Q7622" s="26" t="str">
        <f>HYPERLINK("https://ictv.global/taxonomy/taxondetails?taxnode_id=202502953&amp;ictv_id=ICTV20152341","ICTV20152341")</f>
        <v>ICTV20152341</v>
      </c>
      <c r="R7622" t="s">
        <v>660</v>
      </c>
      <c r="S7622" t="s">
        <v>824</v>
      </c>
      <c r="T7622">
        <v>41</v>
      </c>
      <c r="U7622" s="26" t="str">
        <f t="shared" si="291"/>
        <v>2025.002G.Monodnaviria_reorg_4nr.zip</v>
      </c>
    </row>
    <row r="7623" spans="1:21">
      <c r="A7623">
        <v>7622</v>
      </c>
      <c r="B7623" s="27" t="s">
        <v>20779</v>
      </c>
      <c r="D7623" s="27" t="s">
        <v>1826</v>
      </c>
      <c r="F7623" s="27" t="s">
        <v>1844</v>
      </c>
      <c r="H7623" s="27" t="s">
        <v>1845</v>
      </c>
      <c r="J7623" s="27" t="s">
        <v>1847</v>
      </c>
      <c r="L7623" s="27" t="s">
        <v>196</v>
      </c>
      <c r="N7623" s="27" t="s">
        <v>661</v>
      </c>
      <c r="P7623" s="27" t="s">
        <v>8693</v>
      </c>
      <c r="Q7623" s="26" t="str">
        <f>HYPERLINK("https://ictv.global/taxonomy/taxondetails?taxnode_id=202514094&amp;ictv_id=ICTV202214094","ICTV202214094")</f>
        <v>ICTV202214094</v>
      </c>
      <c r="R7623" t="s">
        <v>660</v>
      </c>
      <c r="S7623" t="s">
        <v>824</v>
      </c>
      <c r="T7623">
        <v>41</v>
      </c>
      <c r="U7623" s="26" t="str">
        <f t="shared" si="291"/>
        <v>2025.002G.Monodnaviria_reorg_4nr.zip</v>
      </c>
    </row>
    <row r="7624" spans="1:21">
      <c r="A7624">
        <v>7623</v>
      </c>
      <c r="B7624" s="27" t="s">
        <v>20779</v>
      </c>
      <c r="D7624" s="27" t="s">
        <v>1826</v>
      </c>
      <c r="F7624" s="27" t="s">
        <v>1844</v>
      </c>
      <c r="H7624" s="27" t="s">
        <v>1845</v>
      </c>
      <c r="J7624" s="27" t="s">
        <v>1847</v>
      </c>
      <c r="L7624" s="27" t="s">
        <v>196</v>
      </c>
      <c r="N7624" s="27" t="s">
        <v>661</v>
      </c>
      <c r="P7624" s="27" t="s">
        <v>8694</v>
      </c>
      <c r="Q7624" s="26" t="str">
        <f>HYPERLINK("https://ictv.global/taxonomy/taxondetails?taxnode_id=202514092&amp;ictv_id=ICTV202214092","ICTV202214092")</f>
        <v>ICTV202214092</v>
      </c>
      <c r="R7624" t="s">
        <v>660</v>
      </c>
      <c r="S7624" t="s">
        <v>824</v>
      </c>
      <c r="T7624">
        <v>41</v>
      </c>
      <c r="U7624" s="26" t="str">
        <f t="shared" si="291"/>
        <v>2025.002G.Monodnaviria_reorg_4nr.zip</v>
      </c>
    </row>
    <row r="7625" spans="1:21">
      <c r="A7625">
        <v>7624</v>
      </c>
      <c r="B7625" s="27" t="s">
        <v>20779</v>
      </c>
      <c r="D7625" s="27" t="s">
        <v>1826</v>
      </c>
      <c r="F7625" s="27" t="s">
        <v>1844</v>
      </c>
      <c r="H7625" s="27" t="s">
        <v>1845</v>
      </c>
      <c r="J7625" s="27" t="s">
        <v>1847</v>
      </c>
      <c r="L7625" s="27" t="s">
        <v>196</v>
      </c>
      <c r="N7625" s="27" t="s">
        <v>661</v>
      </c>
      <c r="P7625" s="27" t="s">
        <v>8695</v>
      </c>
      <c r="Q7625" s="26" t="str">
        <f>HYPERLINK("https://ictv.global/taxonomy/taxondetails?taxnode_id=202502954&amp;ictv_id=ICTV20152342","ICTV20152342")</f>
        <v>ICTV20152342</v>
      </c>
      <c r="R7625" t="s">
        <v>660</v>
      </c>
      <c r="S7625" t="s">
        <v>824</v>
      </c>
      <c r="T7625">
        <v>41</v>
      </c>
      <c r="U7625" s="26" t="str">
        <f t="shared" si="291"/>
        <v>2025.002G.Monodnaviria_reorg_4nr.zip</v>
      </c>
    </row>
    <row r="7626" spans="1:21">
      <c r="A7626">
        <v>7625</v>
      </c>
      <c r="B7626" s="27" t="s">
        <v>20779</v>
      </c>
      <c r="D7626" s="27" t="s">
        <v>1826</v>
      </c>
      <c r="F7626" s="27" t="s">
        <v>1844</v>
      </c>
      <c r="H7626" s="27" t="s">
        <v>1845</v>
      </c>
      <c r="J7626" s="27" t="s">
        <v>1847</v>
      </c>
      <c r="L7626" s="27" t="s">
        <v>196</v>
      </c>
      <c r="N7626" s="27" t="s">
        <v>661</v>
      </c>
      <c r="P7626" s="27" t="s">
        <v>8696</v>
      </c>
      <c r="Q7626" s="26" t="str">
        <f>HYPERLINK("https://ictv.global/taxonomy/taxondetails?taxnode_id=202514104&amp;ictv_id=ICTV202214104","ICTV202214104")</f>
        <v>ICTV202214104</v>
      </c>
      <c r="R7626" t="s">
        <v>660</v>
      </c>
      <c r="S7626" t="s">
        <v>824</v>
      </c>
      <c r="T7626">
        <v>41</v>
      </c>
      <c r="U7626" s="26" t="str">
        <f t="shared" si="291"/>
        <v>2025.002G.Monodnaviria_reorg_4nr.zip</v>
      </c>
    </row>
    <row r="7627" spans="1:21">
      <c r="A7627">
        <v>7626</v>
      </c>
      <c r="B7627" s="27" t="s">
        <v>20779</v>
      </c>
      <c r="D7627" s="27" t="s">
        <v>1826</v>
      </c>
      <c r="F7627" s="27" t="s">
        <v>1844</v>
      </c>
      <c r="H7627" s="27" t="s">
        <v>1845</v>
      </c>
      <c r="J7627" s="27" t="s">
        <v>1847</v>
      </c>
      <c r="L7627" s="27" t="s">
        <v>196</v>
      </c>
      <c r="N7627" s="27" t="s">
        <v>661</v>
      </c>
      <c r="P7627" s="27" t="s">
        <v>8697</v>
      </c>
      <c r="Q7627" s="26" t="str">
        <f>HYPERLINK("https://ictv.global/taxonomy/taxondetails?taxnode_id=202514110&amp;ictv_id=ICTV202214110","ICTV202214110")</f>
        <v>ICTV202214110</v>
      </c>
      <c r="R7627" t="s">
        <v>660</v>
      </c>
      <c r="S7627" t="s">
        <v>824</v>
      </c>
      <c r="T7627">
        <v>41</v>
      </c>
      <c r="U7627" s="26" t="str">
        <f t="shared" si="291"/>
        <v>2025.002G.Monodnaviria_reorg_4nr.zip</v>
      </c>
    </row>
    <row r="7628" spans="1:21">
      <c r="A7628">
        <v>7627</v>
      </c>
      <c r="B7628" s="27" t="s">
        <v>20779</v>
      </c>
      <c r="D7628" s="27" t="s">
        <v>1826</v>
      </c>
      <c r="F7628" s="27" t="s">
        <v>1844</v>
      </c>
      <c r="H7628" s="27" t="s">
        <v>1845</v>
      </c>
      <c r="J7628" s="27" t="s">
        <v>1847</v>
      </c>
      <c r="L7628" s="27" t="s">
        <v>196</v>
      </c>
      <c r="N7628" s="27" t="s">
        <v>661</v>
      </c>
      <c r="P7628" s="27" t="s">
        <v>8698</v>
      </c>
      <c r="Q7628" s="26" t="str">
        <f>HYPERLINK("https://ictv.global/taxonomy/taxondetails?taxnode_id=202502941&amp;ictv_id=ICTV20165254","ICTV20165254")</f>
        <v>ICTV20165254</v>
      </c>
      <c r="R7628" t="s">
        <v>660</v>
      </c>
      <c r="S7628" t="s">
        <v>824</v>
      </c>
      <c r="T7628">
        <v>41</v>
      </c>
      <c r="U7628" s="26" t="str">
        <f t="shared" si="291"/>
        <v>2025.002G.Monodnaviria_reorg_4nr.zip</v>
      </c>
    </row>
    <row r="7629" spans="1:21">
      <c r="A7629">
        <v>7628</v>
      </c>
      <c r="B7629" s="27" t="s">
        <v>20779</v>
      </c>
      <c r="D7629" s="27" t="s">
        <v>1826</v>
      </c>
      <c r="F7629" s="27" t="s">
        <v>1844</v>
      </c>
      <c r="H7629" s="27" t="s">
        <v>1845</v>
      </c>
      <c r="J7629" s="27" t="s">
        <v>1847</v>
      </c>
      <c r="L7629" s="27" t="s">
        <v>196</v>
      </c>
      <c r="N7629" s="27" t="s">
        <v>661</v>
      </c>
      <c r="P7629" s="27" t="s">
        <v>8699</v>
      </c>
      <c r="Q7629" s="26" t="str">
        <f>HYPERLINK("https://ictv.global/taxonomy/taxondetails?taxnode_id=202514111&amp;ictv_id=ICTV202214111","ICTV202214111")</f>
        <v>ICTV202214111</v>
      </c>
      <c r="R7629" t="s">
        <v>660</v>
      </c>
      <c r="S7629" t="s">
        <v>824</v>
      </c>
      <c r="T7629">
        <v>41</v>
      </c>
      <c r="U7629" s="26" t="str">
        <f t="shared" si="291"/>
        <v>2025.002G.Monodnaviria_reorg_4nr.zip</v>
      </c>
    </row>
    <row r="7630" spans="1:21">
      <c r="A7630">
        <v>7629</v>
      </c>
      <c r="B7630" s="27" t="s">
        <v>20779</v>
      </c>
      <c r="D7630" s="27" t="s">
        <v>1826</v>
      </c>
      <c r="F7630" s="27" t="s">
        <v>1844</v>
      </c>
      <c r="H7630" s="27" t="s">
        <v>1845</v>
      </c>
      <c r="J7630" s="27" t="s">
        <v>1847</v>
      </c>
      <c r="L7630" s="27" t="s">
        <v>12270</v>
      </c>
      <c r="N7630" s="27" t="s">
        <v>12271</v>
      </c>
      <c r="P7630" s="27" t="s">
        <v>12272</v>
      </c>
      <c r="Q7630" s="26" t="str">
        <f>HYPERLINK("https://ictv.global/taxonomy/taxondetails?taxnode_id=202518404&amp;ictv_id=ICTV202318404","ICTV202318404")</f>
        <v>ICTV202318404</v>
      </c>
      <c r="R7630" t="s">
        <v>660</v>
      </c>
      <c r="S7630" t="s">
        <v>824</v>
      </c>
      <c r="T7630">
        <v>41</v>
      </c>
      <c r="U7630" s="26" t="str">
        <f t="shared" si="291"/>
        <v>2025.002G.Monodnaviria_reorg_4nr.zip</v>
      </c>
    </row>
    <row r="7631" spans="1:21">
      <c r="A7631">
        <v>7630</v>
      </c>
      <c r="B7631" s="27" t="s">
        <v>20779</v>
      </c>
      <c r="D7631" s="27" t="s">
        <v>1826</v>
      </c>
      <c r="F7631" s="27" t="s">
        <v>1844</v>
      </c>
      <c r="H7631" s="27" t="s">
        <v>1845</v>
      </c>
      <c r="J7631" s="27" t="s">
        <v>1847</v>
      </c>
      <c r="L7631" s="27" t="s">
        <v>12270</v>
      </c>
      <c r="N7631" s="27" t="s">
        <v>12273</v>
      </c>
      <c r="P7631" s="27" t="s">
        <v>12274</v>
      </c>
      <c r="Q7631" s="26" t="str">
        <f>HYPERLINK("https://ictv.global/taxonomy/taxondetails?taxnode_id=202518407&amp;ictv_id=ICTV202318407","ICTV202318407")</f>
        <v>ICTV202318407</v>
      </c>
      <c r="R7631" t="s">
        <v>660</v>
      </c>
      <c r="S7631" t="s">
        <v>824</v>
      </c>
      <c r="T7631">
        <v>41</v>
      </c>
      <c r="U7631" s="26" t="str">
        <f t="shared" si="291"/>
        <v>2025.002G.Monodnaviria_reorg_4nr.zip</v>
      </c>
    </row>
    <row r="7632" spans="1:21">
      <c r="A7632">
        <v>7631</v>
      </c>
      <c r="B7632" s="27" t="s">
        <v>20779</v>
      </c>
      <c r="D7632" s="27" t="s">
        <v>1826</v>
      </c>
      <c r="F7632" s="27" t="s">
        <v>1844</v>
      </c>
      <c r="H7632" s="27" t="s">
        <v>1845</v>
      </c>
      <c r="J7632" s="27" t="s">
        <v>1847</v>
      </c>
      <c r="L7632" s="27" t="s">
        <v>12270</v>
      </c>
      <c r="N7632" s="27" t="s">
        <v>12273</v>
      </c>
      <c r="P7632" s="27" t="s">
        <v>12275</v>
      </c>
      <c r="Q7632" s="26" t="str">
        <f>HYPERLINK("https://ictv.global/taxonomy/taxondetails?taxnode_id=202518406&amp;ictv_id=ICTV202318406","ICTV202318406")</f>
        <v>ICTV202318406</v>
      </c>
      <c r="R7632" t="s">
        <v>660</v>
      </c>
      <c r="S7632" t="s">
        <v>824</v>
      </c>
      <c r="T7632">
        <v>41</v>
      </c>
      <c r="U7632" s="26" t="str">
        <f t="shared" si="291"/>
        <v>2025.002G.Monodnaviria_reorg_4nr.zip</v>
      </c>
    </row>
    <row r="7633" spans="1:21">
      <c r="A7633">
        <v>7632</v>
      </c>
      <c r="B7633" s="27" t="s">
        <v>20779</v>
      </c>
      <c r="D7633" s="27" t="s">
        <v>1826</v>
      </c>
      <c r="F7633" s="27" t="s">
        <v>1844</v>
      </c>
      <c r="H7633" s="27" t="s">
        <v>1845</v>
      </c>
      <c r="J7633" s="27" t="s">
        <v>1847</v>
      </c>
      <c r="L7633" s="27" t="s">
        <v>12270</v>
      </c>
      <c r="N7633" s="27" t="s">
        <v>12273</v>
      </c>
      <c r="P7633" s="27" t="s">
        <v>12276</v>
      </c>
      <c r="Q7633" s="26" t="str">
        <f>HYPERLINK("https://ictv.global/taxonomy/taxondetails?taxnode_id=202518408&amp;ictv_id=ICTV202318408","ICTV202318408")</f>
        <v>ICTV202318408</v>
      </c>
      <c r="R7633" t="s">
        <v>660</v>
      </c>
      <c r="S7633" t="s">
        <v>824</v>
      </c>
      <c r="T7633">
        <v>41</v>
      </c>
      <c r="U7633" s="26" t="str">
        <f t="shared" si="291"/>
        <v>2025.002G.Monodnaviria_reorg_4nr.zip</v>
      </c>
    </row>
    <row r="7634" spans="1:21">
      <c r="A7634">
        <v>7633</v>
      </c>
      <c r="B7634" s="27" t="s">
        <v>20779</v>
      </c>
      <c r="D7634" s="27" t="s">
        <v>1826</v>
      </c>
      <c r="F7634" s="27" t="s">
        <v>1844</v>
      </c>
      <c r="H7634" s="27" t="s">
        <v>1845</v>
      </c>
      <c r="J7634" s="27" t="s">
        <v>1847</v>
      </c>
      <c r="L7634" s="27" t="s">
        <v>12270</v>
      </c>
      <c r="N7634" s="27" t="s">
        <v>12273</v>
      </c>
      <c r="P7634" s="27" t="s">
        <v>12277</v>
      </c>
      <c r="Q7634" s="26" t="str">
        <f>HYPERLINK("https://ictv.global/taxonomy/taxondetails?taxnode_id=202518405&amp;ictv_id=ICTV202318405","ICTV202318405")</f>
        <v>ICTV202318405</v>
      </c>
      <c r="R7634" t="s">
        <v>660</v>
      </c>
      <c r="S7634" t="s">
        <v>824</v>
      </c>
      <c r="T7634">
        <v>41</v>
      </c>
      <c r="U7634" s="26" t="str">
        <f t="shared" si="291"/>
        <v>2025.002G.Monodnaviria_reorg_4nr.zip</v>
      </c>
    </row>
    <row r="7635" spans="1:21">
      <c r="A7635">
        <v>7634</v>
      </c>
      <c r="B7635" s="27" t="s">
        <v>20779</v>
      </c>
      <c r="D7635" s="27" t="s">
        <v>1826</v>
      </c>
      <c r="F7635" s="27" t="s">
        <v>1844</v>
      </c>
      <c r="H7635" s="27" t="s">
        <v>1845</v>
      </c>
      <c r="J7635" s="27" t="s">
        <v>1847</v>
      </c>
      <c r="L7635" s="27" t="s">
        <v>12270</v>
      </c>
      <c r="N7635" s="27" t="s">
        <v>12278</v>
      </c>
      <c r="P7635" s="27" t="s">
        <v>12279</v>
      </c>
      <c r="Q7635" s="26" t="str">
        <f>HYPERLINK("https://ictv.global/taxonomy/taxondetails?taxnode_id=202518410&amp;ictv_id=ICTV202318410","ICTV202318410")</f>
        <v>ICTV202318410</v>
      </c>
      <c r="R7635" t="s">
        <v>660</v>
      </c>
      <c r="S7635" t="s">
        <v>824</v>
      </c>
      <c r="T7635">
        <v>41</v>
      </c>
      <c r="U7635" s="26" t="str">
        <f t="shared" si="291"/>
        <v>2025.002G.Monodnaviria_reorg_4nr.zip</v>
      </c>
    </row>
    <row r="7636" spans="1:21">
      <c r="A7636">
        <v>7635</v>
      </c>
      <c r="B7636" s="27" t="s">
        <v>20779</v>
      </c>
      <c r="D7636" s="27" t="s">
        <v>1826</v>
      </c>
      <c r="F7636" s="27" t="s">
        <v>1844</v>
      </c>
      <c r="H7636" s="27" t="s">
        <v>1845</v>
      </c>
      <c r="J7636" s="27" t="s">
        <v>1847</v>
      </c>
      <c r="L7636" s="27" t="s">
        <v>12270</v>
      </c>
      <c r="N7636" s="27" t="s">
        <v>12278</v>
      </c>
      <c r="P7636" s="27" t="s">
        <v>12280</v>
      </c>
      <c r="Q7636" s="26" t="str">
        <f>HYPERLINK("https://ictv.global/taxonomy/taxondetails?taxnode_id=202518409&amp;ictv_id=ICTV202318409","ICTV202318409")</f>
        <v>ICTV202318409</v>
      </c>
      <c r="R7636" t="s">
        <v>660</v>
      </c>
      <c r="S7636" t="s">
        <v>824</v>
      </c>
      <c r="T7636">
        <v>41</v>
      </c>
      <c r="U7636" s="26" t="str">
        <f t="shared" si="291"/>
        <v>2025.002G.Monodnaviria_reorg_4nr.zip</v>
      </c>
    </row>
    <row r="7637" spans="1:21">
      <c r="A7637">
        <v>7636</v>
      </c>
      <c r="B7637" s="27" t="s">
        <v>20779</v>
      </c>
      <c r="D7637" s="27" t="s">
        <v>1826</v>
      </c>
      <c r="F7637" s="27" t="s">
        <v>1844</v>
      </c>
      <c r="H7637" s="27" t="s">
        <v>1845</v>
      </c>
      <c r="J7637" s="27" t="s">
        <v>1847</v>
      </c>
      <c r="L7637" s="27" t="s">
        <v>12270</v>
      </c>
      <c r="N7637" s="27" t="s">
        <v>12281</v>
      </c>
      <c r="P7637" s="27" t="s">
        <v>12282</v>
      </c>
      <c r="Q7637" s="26" t="str">
        <f>HYPERLINK("https://ictv.global/taxonomy/taxondetails?taxnode_id=202518413&amp;ictv_id=ICTV202318413","ICTV202318413")</f>
        <v>ICTV202318413</v>
      </c>
      <c r="R7637" t="s">
        <v>660</v>
      </c>
      <c r="S7637" t="s">
        <v>824</v>
      </c>
      <c r="T7637">
        <v>41</v>
      </c>
      <c r="U7637" s="26" t="str">
        <f t="shared" si="291"/>
        <v>2025.002G.Monodnaviria_reorg_4nr.zip</v>
      </c>
    </row>
    <row r="7638" spans="1:21">
      <c r="A7638">
        <v>7637</v>
      </c>
      <c r="B7638" s="27" t="s">
        <v>20779</v>
      </c>
      <c r="D7638" s="27" t="s">
        <v>1826</v>
      </c>
      <c r="F7638" s="27" t="s">
        <v>1844</v>
      </c>
      <c r="H7638" s="27" t="s">
        <v>1845</v>
      </c>
      <c r="J7638" s="27" t="s">
        <v>1847</v>
      </c>
      <c r="L7638" s="27" t="s">
        <v>12270</v>
      </c>
      <c r="N7638" s="27" t="s">
        <v>12281</v>
      </c>
      <c r="P7638" s="27" t="s">
        <v>12283</v>
      </c>
      <c r="Q7638" s="26" t="str">
        <f>HYPERLINK("https://ictv.global/taxonomy/taxondetails?taxnode_id=202518411&amp;ictv_id=ICTV202318411","ICTV202318411")</f>
        <v>ICTV202318411</v>
      </c>
      <c r="R7638" t="s">
        <v>660</v>
      </c>
      <c r="S7638" t="s">
        <v>824</v>
      </c>
      <c r="T7638">
        <v>41</v>
      </c>
      <c r="U7638" s="26" t="str">
        <f t="shared" si="291"/>
        <v>2025.002G.Monodnaviria_reorg_4nr.zip</v>
      </c>
    </row>
    <row r="7639" spans="1:21">
      <c r="A7639">
        <v>7638</v>
      </c>
      <c r="B7639" s="27" t="s">
        <v>20779</v>
      </c>
      <c r="D7639" s="27" t="s">
        <v>1826</v>
      </c>
      <c r="F7639" s="27" t="s">
        <v>1844</v>
      </c>
      <c r="H7639" s="27" t="s">
        <v>1845</v>
      </c>
      <c r="J7639" s="27" t="s">
        <v>1847</v>
      </c>
      <c r="L7639" s="27" t="s">
        <v>12270</v>
      </c>
      <c r="N7639" s="27" t="s">
        <v>12281</v>
      </c>
      <c r="P7639" s="27" t="s">
        <v>12284</v>
      </c>
      <c r="Q7639" s="26" t="str">
        <f>HYPERLINK("https://ictv.global/taxonomy/taxondetails?taxnode_id=202518412&amp;ictv_id=ICTV202318412","ICTV202318412")</f>
        <v>ICTV202318412</v>
      </c>
      <c r="R7639" t="s">
        <v>660</v>
      </c>
      <c r="S7639" t="s">
        <v>824</v>
      </c>
      <c r="T7639">
        <v>41</v>
      </c>
      <c r="U7639" s="26" t="str">
        <f t="shared" si="291"/>
        <v>2025.002G.Monodnaviria_reorg_4nr.zip</v>
      </c>
    </row>
    <row r="7640" spans="1:21">
      <c r="A7640">
        <v>7639</v>
      </c>
      <c r="B7640" s="27" t="s">
        <v>20779</v>
      </c>
      <c r="D7640" s="27" t="s">
        <v>1826</v>
      </c>
      <c r="F7640" s="27" t="s">
        <v>1844</v>
      </c>
      <c r="H7640" s="27" t="s">
        <v>1845</v>
      </c>
      <c r="J7640" s="27" t="s">
        <v>1847</v>
      </c>
      <c r="L7640" s="27" t="s">
        <v>8700</v>
      </c>
      <c r="N7640" s="27" t="s">
        <v>12285</v>
      </c>
      <c r="P7640" s="27" t="s">
        <v>12286</v>
      </c>
      <c r="Q7640" s="26" t="str">
        <f>HYPERLINK("https://ictv.global/taxonomy/taxondetails?taxnode_id=202517913&amp;ictv_id=ICTV202317913","ICTV202317913")</f>
        <v>ICTV202317913</v>
      </c>
      <c r="R7640" t="s">
        <v>660</v>
      </c>
      <c r="S7640" t="s">
        <v>824</v>
      </c>
      <c r="T7640">
        <v>41</v>
      </c>
      <c r="U7640" s="26" t="str">
        <f t="shared" ref="U7640:U7703" si="292">HYPERLINK("https://ictv.global/ictv/proposals/2025.002G.Monodnaviria_reorg_4nr.zip","2025.002G.Monodnaviria_reorg_4nr.zip")</f>
        <v>2025.002G.Monodnaviria_reorg_4nr.zip</v>
      </c>
    </row>
    <row r="7641" spans="1:21">
      <c r="A7641">
        <v>7640</v>
      </c>
      <c r="B7641" s="27" t="s">
        <v>20779</v>
      </c>
      <c r="D7641" s="27" t="s">
        <v>1826</v>
      </c>
      <c r="F7641" s="27" t="s">
        <v>1844</v>
      </c>
      <c r="H7641" s="27" t="s">
        <v>1845</v>
      </c>
      <c r="J7641" s="27" t="s">
        <v>1847</v>
      </c>
      <c r="L7641" s="27" t="s">
        <v>8700</v>
      </c>
      <c r="N7641" s="27" t="s">
        <v>12285</v>
      </c>
      <c r="P7641" s="27" t="s">
        <v>12287</v>
      </c>
      <c r="Q7641" s="26" t="str">
        <f>HYPERLINK("https://ictv.global/taxonomy/taxondetails?taxnode_id=202517912&amp;ictv_id=ICTV202317912","ICTV202317912")</f>
        <v>ICTV202317912</v>
      </c>
      <c r="R7641" t="s">
        <v>660</v>
      </c>
      <c r="S7641" t="s">
        <v>824</v>
      </c>
      <c r="T7641">
        <v>41</v>
      </c>
      <c r="U7641" s="26" t="str">
        <f t="shared" si="292"/>
        <v>2025.002G.Monodnaviria_reorg_4nr.zip</v>
      </c>
    </row>
    <row r="7642" spans="1:21">
      <c r="A7642">
        <v>7641</v>
      </c>
      <c r="B7642" s="27" t="s">
        <v>20779</v>
      </c>
      <c r="D7642" s="27" t="s">
        <v>1826</v>
      </c>
      <c r="F7642" s="27" t="s">
        <v>1844</v>
      </c>
      <c r="H7642" s="27" t="s">
        <v>1845</v>
      </c>
      <c r="J7642" s="27" t="s">
        <v>1847</v>
      </c>
      <c r="L7642" s="27" t="s">
        <v>8700</v>
      </c>
      <c r="N7642" s="27" t="s">
        <v>8701</v>
      </c>
      <c r="P7642" s="27" t="s">
        <v>8702</v>
      </c>
      <c r="Q7642" s="26" t="str">
        <f>HYPERLINK("https://ictv.global/taxonomy/taxondetails?taxnode_id=202513253&amp;ictv_id=ICTV202113253","ICTV202113253")</f>
        <v>ICTV202113253</v>
      </c>
      <c r="R7642" t="s">
        <v>660</v>
      </c>
      <c r="S7642" t="s">
        <v>824</v>
      </c>
      <c r="T7642">
        <v>41</v>
      </c>
      <c r="U7642" s="26" t="str">
        <f t="shared" si="292"/>
        <v>2025.002G.Monodnaviria_reorg_4nr.zip</v>
      </c>
    </row>
    <row r="7643" spans="1:21">
      <c r="A7643">
        <v>7642</v>
      </c>
      <c r="B7643" s="27" t="s">
        <v>20779</v>
      </c>
      <c r="D7643" s="27" t="s">
        <v>1826</v>
      </c>
      <c r="F7643" s="27" t="s">
        <v>1844</v>
      </c>
      <c r="H7643" s="27" t="s">
        <v>1845</v>
      </c>
      <c r="J7643" s="27" t="s">
        <v>1847</v>
      </c>
      <c r="L7643" s="27" t="s">
        <v>8700</v>
      </c>
      <c r="N7643" s="27" t="s">
        <v>8701</v>
      </c>
      <c r="P7643" s="27" t="s">
        <v>8703</v>
      </c>
      <c r="Q7643" s="26" t="str">
        <f>HYPERLINK("https://ictv.global/taxonomy/taxondetails?taxnode_id=202513254&amp;ictv_id=ICTV202113254","ICTV202113254")</f>
        <v>ICTV202113254</v>
      </c>
      <c r="R7643" t="s">
        <v>660</v>
      </c>
      <c r="S7643" t="s">
        <v>824</v>
      </c>
      <c r="T7643">
        <v>41</v>
      </c>
      <c r="U7643" s="26" t="str">
        <f t="shared" si="292"/>
        <v>2025.002G.Monodnaviria_reorg_4nr.zip</v>
      </c>
    </row>
    <row r="7644" spans="1:21">
      <c r="A7644">
        <v>7643</v>
      </c>
      <c r="B7644" s="27" t="s">
        <v>20779</v>
      </c>
      <c r="D7644" s="27" t="s">
        <v>1826</v>
      </c>
      <c r="F7644" s="27" t="s">
        <v>1844</v>
      </c>
      <c r="H7644" s="27" t="s">
        <v>1845</v>
      </c>
      <c r="J7644" s="27" t="s">
        <v>1847</v>
      </c>
      <c r="L7644" s="27" t="s">
        <v>8700</v>
      </c>
      <c r="N7644" s="27" t="s">
        <v>8704</v>
      </c>
      <c r="P7644" s="27" t="s">
        <v>8705</v>
      </c>
      <c r="Q7644" s="26" t="str">
        <f>HYPERLINK("https://ictv.global/taxonomy/taxondetails?taxnode_id=202513257&amp;ictv_id=ICTV202113257","ICTV202113257")</f>
        <v>ICTV202113257</v>
      </c>
      <c r="R7644" t="s">
        <v>660</v>
      </c>
      <c r="S7644" t="s">
        <v>824</v>
      </c>
      <c r="T7644">
        <v>41</v>
      </c>
      <c r="U7644" s="26" t="str">
        <f t="shared" si="292"/>
        <v>2025.002G.Monodnaviria_reorg_4nr.zip</v>
      </c>
    </row>
    <row r="7645" spans="1:21">
      <c r="A7645">
        <v>7644</v>
      </c>
      <c r="B7645" s="27" t="s">
        <v>20779</v>
      </c>
      <c r="D7645" s="27" t="s">
        <v>1826</v>
      </c>
      <c r="F7645" s="27" t="s">
        <v>1844</v>
      </c>
      <c r="H7645" s="27" t="s">
        <v>1845</v>
      </c>
      <c r="J7645" s="27" t="s">
        <v>1847</v>
      </c>
      <c r="L7645" s="27" t="s">
        <v>8700</v>
      </c>
      <c r="N7645" s="27" t="s">
        <v>8704</v>
      </c>
      <c r="P7645" s="27" t="s">
        <v>8706</v>
      </c>
      <c r="Q7645" s="26" t="str">
        <f>HYPERLINK("https://ictv.global/taxonomy/taxondetails?taxnode_id=202513256&amp;ictv_id=ICTV202113256","ICTV202113256")</f>
        <v>ICTV202113256</v>
      </c>
      <c r="R7645" t="s">
        <v>582</v>
      </c>
      <c r="S7645" t="s">
        <v>824</v>
      </c>
      <c r="T7645">
        <v>41</v>
      </c>
      <c r="U7645" s="26" t="str">
        <f t="shared" si="292"/>
        <v>2025.002G.Monodnaviria_reorg_4nr.zip</v>
      </c>
    </row>
    <row r="7646" spans="1:21">
      <c r="A7646">
        <v>7645</v>
      </c>
      <c r="B7646" s="27" t="s">
        <v>20779</v>
      </c>
      <c r="D7646" s="27" t="s">
        <v>1826</v>
      </c>
      <c r="F7646" s="27" t="s">
        <v>1844</v>
      </c>
      <c r="H7646" s="27" t="s">
        <v>1845</v>
      </c>
      <c r="J7646" s="27" t="s">
        <v>1847</v>
      </c>
      <c r="L7646" s="27" t="s">
        <v>8700</v>
      </c>
      <c r="N7646" s="27" t="s">
        <v>8707</v>
      </c>
      <c r="P7646" s="27" t="s">
        <v>8708</v>
      </c>
      <c r="Q7646" s="26" t="str">
        <f>HYPERLINK("https://ictv.global/taxonomy/taxondetails?taxnode_id=202513259&amp;ictv_id=ICTV202113259","ICTV202113259")</f>
        <v>ICTV202113259</v>
      </c>
      <c r="R7646" t="s">
        <v>582</v>
      </c>
      <c r="S7646" t="s">
        <v>824</v>
      </c>
      <c r="T7646">
        <v>41</v>
      </c>
      <c r="U7646" s="26" t="str">
        <f t="shared" si="292"/>
        <v>2025.002G.Monodnaviria_reorg_4nr.zip</v>
      </c>
    </row>
    <row r="7647" spans="1:21">
      <c r="A7647">
        <v>7646</v>
      </c>
      <c r="B7647" s="27" t="s">
        <v>20779</v>
      </c>
      <c r="D7647" s="27" t="s">
        <v>1826</v>
      </c>
      <c r="F7647" s="27" t="s">
        <v>1844</v>
      </c>
      <c r="H7647" s="27" t="s">
        <v>1845</v>
      </c>
      <c r="J7647" s="27" t="s">
        <v>1847</v>
      </c>
      <c r="L7647" s="27" t="s">
        <v>8700</v>
      </c>
      <c r="N7647" s="27" t="s">
        <v>8709</v>
      </c>
      <c r="P7647" s="27" t="s">
        <v>8710</v>
      </c>
      <c r="Q7647" s="26" t="str">
        <f>HYPERLINK("https://ictv.global/taxonomy/taxondetails?taxnode_id=202513261&amp;ictv_id=ICTV202113261","ICTV202113261")</f>
        <v>ICTV202113261</v>
      </c>
      <c r="R7647" t="s">
        <v>582</v>
      </c>
      <c r="S7647" t="s">
        <v>824</v>
      </c>
      <c r="T7647">
        <v>41</v>
      </c>
      <c r="U7647" s="26" t="str">
        <f t="shared" si="292"/>
        <v>2025.002G.Monodnaviria_reorg_4nr.zip</v>
      </c>
    </row>
    <row r="7648" spans="1:21">
      <c r="A7648">
        <v>7647</v>
      </c>
      <c r="B7648" s="27" t="s">
        <v>20779</v>
      </c>
      <c r="D7648" s="27" t="s">
        <v>1826</v>
      </c>
      <c r="F7648" s="27" t="s">
        <v>1844</v>
      </c>
      <c r="H7648" s="27" t="s">
        <v>1845</v>
      </c>
      <c r="J7648" s="27" t="s">
        <v>1847</v>
      </c>
      <c r="L7648" s="27" t="s">
        <v>8700</v>
      </c>
      <c r="N7648" s="27" t="s">
        <v>12288</v>
      </c>
      <c r="P7648" s="27" t="s">
        <v>12289</v>
      </c>
      <c r="Q7648" s="26" t="str">
        <f>HYPERLINK("https://ictv.global/taxonomy/taxondetails?taxnode_id=202517911&amp;ictv_id=ICTV202317911","ICTV202317911")</f>
        <v>ICTV202317911</v>
      </c>
      <c r="R7648" t="s">
        <v>660</v>
      </c>
      <c r="S7648" t="s">
        <v>824</v>
      </c>
      <c r="T7648">
        <v>41</v>
      </c>
      <c r="U7648" s="26" t="str">
        <f t="shared" si="292"/>
        <v>2025.002G.Monodnaviria_reorg_4nr.zip</v>
      </c>
    </row>
    <row r="7649" spans="1:21">
      <c r="A7649">
        <v>7648</v>
      </c>
      <c r="B7649" s="27" t="s">
        <v>20779</v>
      </c>
      <c r="D7649" s="27" t="s">
        <v>1826</v>
      </c>
      <c r="F7649" s="27" t="s">
        <v>1844</v>
      </c>
      <c r="H7649" s="27" t="s">
        <v>1845</v>
      </c>
      <c r="J7649" s="27" t="s">
        <v>1847</v>
      </c>
      <c r="L7649" s="27" t="s">
        <v>8700</v>
      </c>
      <c r="N7649" s="27" t="s">
        <v>8711</v>
      </c>
      <c r="P7649" s="27" t="s">
        <v>8712</v>
      </c>
      <c r="Q7649" s="26" t="str">
        <f>HYPERLINK("https://ictv.global/taxonomy/taxondetails?taxnode_id=202513264&amp;ictv_id=ICTV202113264","ICTV202113264")</f>
        <v>ICTV202113264</v>
      </c>
      <c r="R7649" t="s">
        <v>660</v>
      </c>
      <c r="S7649" t="s">
        <v>824</v>
      </c>
      <c r="T7649">
        <v>41</v>
      </c>
      <c r="U7649" s="26" t="str">
        <f t="shared" si="292"/>
        <v>2025.002G.Monodnaviria_reorg_4nr.zip</v>
      </c>
    </row>
    <row r="7650" spans="1:21">
      <c r="A7650">
        <v>7649</v>
      </c>
      <c r="B7650" s="27" t="s">
        <v>20779</v>
      </c>
      <c r="D7650" s="27" t="s">
        <v>1826</v>
      </c>
      <c r="F7650" s="27" t="s">
        <v>1844</v>
      </c>
      <c r="H7650" s="27" t="s">
        <v>1845</v>
      </c>
      <c r="J7650" s="27" t="s">
        <v>1847</v>
      </c>
      <c r="L7650" s="27" t="s">
        <v>8700</v>
      </c>
      <c r="N7650" s="27" t="s">
        <v>8711</v>
      </c>
      <c r="P7650" s="27" t="s">
        <v>8713</v>
      </c>
      <c r="Q7650" s="26" t="str">
        <f>HYPERLINK("https://ictv.global/taxonomy/taxondetails?taxnode_id=202513263&amp;ictv_id=ICTV202113263","ICTV202113263")</f>
        <v>ICTV202113263</v>
      </c>
      <c r="R7650" t="s">
        <v>660</v>
      </c>
      <c r="S7650" t="s">
        <v>824</v>
      </c>
      <c r="T7650">
        <v>41</v>
      </c>
      <c r="U7650" s="26" t="str">
        <f t="shared" si="292"/>
        <v>2025.002G.Monodnaviria_reorg_4nr.zip</v>
      </c>
    </row>
    <row r="7651" spans="1:21">
      <c r="A7651">
        <v>7650</v>
      </c>
      <c r="B7651" s="27" t="s">
        <v>20779</v>
      </c>
      <c r="D7651" s="27" t="s">
        <v>1826</v>
      </c>
      <c r="F7651" s="27" t="s">
        <v>1844</v>
      </c>
      <c r="H7651" s="27" t="s">
        <v>1845</v>
      </c>
      <c r="J7651" s="27" t="s">
        <v>1847</v>
      </c>
      <c r="L7651" s="27" t="s">
        <v>8700</v>
      </c>
      <c r="N7651" s="27" t="s">
        <v>8714</v>
      </c>
      <c r="P7651" s="27" t="s">
        <v>8715</v>
      </c>
      <c r="Q7651" s="26" t="str">
        <f>HYPERLINK("https://ictv.global/taxonomy/taxondetails?taxnode_id=202513266&amp;ictv_id=ICTV202113266","ICTV202113266")</f>
        <v>ICTV202113266</v>
      </c>
      <c r="R7651" t="s">
        <v>660</v>
      </c>
      <c r="S7651" t="s">
        <v>824</v>
      </c>
      <c r="T7651">
        <v>41</v>
      </c>
      <c r="U7651" s="26" t="str">
        <f t="shared" si="292"/>
        <v>2025.002G.Monodnaviria_reorg_4nr.zip</v>
      </c>
    </row>
    <row r="7652" spans="1:21">
      <c r="A7652">
        <v>7651</v>
      </c>
      <c r="B7652" s="27" t="s">
        <v>20779</v>
      </c>
      <c r="D7652" s="27" t="s">
        <v>1826</v>
      </c>
      <c r="F7652" s="27" t="s">
        <v>1844</v>
      </c>
      <c r="H7652" s="27" t="s">
        <v>1845</v>
      </c>
      <c r="J7652" s="27" t="s">
        <v>1847</v>
      </c>
      <c r="L7652" s="27" t="s">
        <v>8700</v>
      </c>
      <c r="N7652" s="27" t="s">
        <v>8716</v>
      </c>
      <c r="P7652" s="27" t="s">
        <v>8717</v>
      </c>
      <c r="Q7652" s="26" t="str">
        <f>HYPERLINK("https://ictv.global/taxonomy/taxondetails?taxnode_id=202513268&amp;ictv_id=ICTV202113268","ICTV202113268")</f>
        <v>ICTV202113268</v>
      </c>
      <c r="R7652" t="s">
        <v>660</v>
      </c>
      <c r="S7652" t="s">
        <v>824</v>
      </c>
      <c r="T7652">
        <v>41</v>
      </c>
      <c r="U7652" s="26" t="str">
        <f t="shared" si="292"/>
        <v>2025.002G.Monodnaviria_reorg_4nr.zip</v>
      </c>
    </row>
    <row r="7653" spans="1:21">
      <c r="A7653">
        <v>7652</v>
      </c>
      <c r="B7653" s="27" t="s">
        <v>20779</v>
      </c>
      <c r="D7653" s="27" t="s">
        <v>1826</v>
      </c>
      <c r="F7653" s="27" t="s">
        <v>1844</v>
      </c>
      <c r="H7653" s="27" t="s">
        <v>1845</v>
      </c>
      <c r="J7653" s="27" t="s">
        <v>1847</v>
      </c>
      <c r="L7653" s="27" t="s">
        <v>8700</v>
      </c>
      <c r="N7653" s="27" t="s">
        <v>8718</v>
      </c>
      <c r="P7653" s="27" t="s">
        <v>8719</v>
      </c>
      <c r="Q7653" s="26" t="str">
        <f>HYPERLINK("https://ictv.global/taxonomy/taxondetails?taxnode_id=202513270&amp;ictv_id=ICTV202113270","ICTV202113270")</f>
        <v>ICTV202113270</v>
      </c>
      <c r="R7653" t="s">
        <v>660</v>
      </c>
      <c r="S7653" t="s">
        <v>824</v>
      </c>
      <c r="T7653">
        <v>41</v>
      </c>
      <c r="U7653" s="26" t="str">
        <f t="shared" si="292"/>
        <v>2025.002G.Monodnaviria_reorg_4nr.zip</v>
      </c>
    </row>
    <row r="7654" spans="1:21">
      <c r="A7654">
        <v>7653</v>
      </c>
      <c r="B7654" s="27" t="s">
        <v>20779</v>
      </c>
      <c r="D7654" s="27" t="s">
        <v>1826</v>
      </c>
      <c r="F7654" s="27" t="s">
        <v>1844</v>
      </c>
      <c r="H7654" s="27" t="s">
        <v>1845</v>
      </c>
      <c r="J7654" s="27" t="s">
        <v>1847</v>
      </c>
      <c r="L7654" s="27" t="s">
        <v>8700</v>
      </c>
      <c r="N7654" s="27" t="s">
        <v>8720</v>
      </c>
      <c r="P7654" s="27" t="s">
        <v>8721</v>
      </c>
      <c r="Q7654" s="26" t="str">
        <f>HYPERLINK("https://ictv.global/taxonomy/taxondetails?taxnode_id=202513272&amp;ictv_id=ICTV202113272","ICTV202113272")</f>
        <v>ICTV202113272</v>
      </c>
      <c r="R7654" t="s">
        <v>582</v>
      </c>
      <c r="S7654" t="s">
        <v>824</v>
      </c>
      <c r="T7654">
        <v>41</v>
      </c>
      <c r="U7654" s="26" t="str">
        <f t="shared" si="292"/>
        <v>2025.002G.Monodnaviria_reorg_4nr.zip</v>
      </c>
    </row>
    <row r="7655" spans="1:21">
      <c r="A7655">
        <v>7654</v>
      </c>
      <c r="B7655" s="27" t="s">
        <v>20779</v>
      </c>
      <c r="D7655" s="27" t="s">
        <v>1826</v>
      </c>
      <c r="F7655" s="27" t="s">
        <v>1844</v>
      </c>
      <c r="H7655" s="27" t="s">
        <v>1845</v>
      </c>
      <c r="J7655" s="27" t="s">
        <v>1847</v>
      </c>
      <c r="L7655" s="27" t="s">
        <v>8700</v>
      </c>
      <c r="N7655" s="27" t="s">
        <v>8720</v>
      </c>
      <c r="P7655" s="27" t="s">
        <v>12290</v>
      </c>
      <c r="Q7655" s="26" t="str">
        <f>HYPERLINK("https://ictv.global/taxonomy/taxondetails?taxnode_id=202517906&amp;ictv_id=ICTV202317906","ICTV202317906")</f>
        <v>ICTV202317906</v>
      </c>
      <c r="R7655" t="s">
        <v>660</v>
      </c>
      <c r="S7655" t="s">
        <v>824</v>
      </c>
      <c r="T7655">
        <v>41</v>
      </c>
      <c r="U7655" s="26" t="str">
        <f t="shared" si="292"/>
        <v>2025.002G.Monodnaviria_reorg_4nr.zip</v>
      </c>
    </row>
    <row r="7656" spans="1:21">
      <c r="A7656">
        <v>7655</v>
      </c>
      <c r="B7656" s="27" t="s">
        <v>20779</v>
      </c>
      <c r="D7656" s="27" t="s">
        <v>1826</v>
      </c>
      <c r="F7656" s="27" t="s">
        <v>1844</v>
      </c>
      <c r="H7656" s="27" t="s">
        <v>1845</v>
      </c>
      <c r="J7656" s="27" t="s">
        <v>1847</v>
      </c>
      <c r="L7656" s="27" t="s">
        <v>8700</v>
      </c>
      <c r="N7656" s="27" t="s">
        <v>8722</v>
      </c>
      <c r="P7656" s="27" t="s">
        <v>12291</v>
      </c>
      <c r="Q7656" s="26" t="str">
        <f>HYPERLINK("https://ictv.global/taxonomy/taxondetails?taxnode_id=202517907&amp;ictv_id=ICTV202317907","ICTV202317907")</f>
        <v>ICTV202317907</v>
      </c>
      <c r="R7656" t="s">
        <v>660</v>
      </c>
      <c r="S7656" t="s">
        <v>824</v>
      </c>
      <c r="T7656">
        <v>41</v>
      </c>
      <c r="U7656" s="26" t="str">
        <f t="shared" si="292"/>
        <v>2025.002G.Monodnaviria_reorg_4nr.zip</v>
      </c>
    </row>
    <row r="7657" spans="1:21">
      <c r="A7657">
        <v>7656</v>
      </c>
      <c r="B7657" s="27" t="s">
        <v>20779</v>
      </c>
      <c r="D7657" s="27" t="s">
        <v>1826</v>
      </c>
      <c r="F7657" s="27" t="s">
        <v>1844</v>
      </c>
      <c r="H7657" s="27" t="s">
        <v>1845</v>
      </c>
      <c r="J7657" s="27" t="s">
        <v>1847</v>
      </c>
      <c r="L7657" s="27" t="s">
        <v>8700</v>
      </c>
      <c r="N7657" s="27" t="s">
        <v>8722</v>
      </c>
      <c r="P7657" s="27" t="s">
        <v>8723</v>
      </c>
      <c r="Q7657" s="26" t="str">
        <f>HYPERLINK("https://ictv.global/taxonomy/taxondetails?taxnode_id=202513274&amp;ictv_id=ICTV202113274","ICTV202113274")</f>
        <v>ICTV202113274</v>
      </c>
      <c r="R7657" t="s">
        <v>660</v>
      </c>
      <c r="S7657" t="s">
        <v>824</v>
      </c>
      <c r="T7657">
        <v>41</v>
      </c>
      <c r="U7657" s="26" t="str">
        <f t="shared" si="292"/>
        <v>2025.002G.Monodnaviria_reorg_4nr.zip</v>
      </c>
    </row>
    <row r="7658" spans="1:21">
      <c r="A7658">
        <v>7657</v>
      </c>
      <c r="B7658" s="27" t="s">
        <v>20779</v>
      </c>
      <c r="D7658" s="27" t="s">
        <v>1826</v>
      </c>
      <c r="F7658" s="27" t="s">
        <v>1844</v>
      </c>
      <c r="H7658" s="27" t="s">
        <v>1845</v>
      </c>
      <c r="J7658" s="27" t="s">
        <v>1847</v>
      </c>
      <c r="L7658" s="27" t="s">
        <v>8700</v>
      </c>
      <c r="N7658" s="27" t="s">
        <v>8722</v>
      </c>
      <c r="P7658" s="27" t="s">
        <v>12292</v>
      </c>
      <c r="Q7658" s="26" t="str">
        <f>HYPERLINK("https://ictv.global/taxonomy/taxondetails?taxnode_id=202517908&amp;ictv_id=ICTV202317908","ICTV202317908")</f>
        <v>ICTV202317908</v>
      </c>
      <c r="R7658" t="s">
        <v>660</v>
      </c>
      <c r="S7658" t="s">
        <v>824</v>
      </c>
      <c r="T7658">
        <v>41</v>
      </c>
      <c r="U7658" s="26" t="str">
        <f t="shared" si="292"/>
        <v>2025.002G.Monodnaviria_reorg_4nr.zip</v>
      </c>
    </row>
    <row r="7659" spans="1:21">
      <c r="A7659">
        <v>7658</v>
      </c>
      <c r="B7659" s="27" t="s">
        <v>20779</v>
      </c>
      <c r="D7659" s="27" t="s">
        <v>1826</v>
      </c>
      <c r="F7659" s="27" t="s">
        <v>1844</v>
      </c>
      <c r="H7659" s="27" t="s">
        <v>1845</v>
      </c>
      <c r="J7659" s="27" t="s">
        <v>1847</v>
      </c>
      <c r="L7659" s="27" t="s">
        <v>8700</v>
      </c>
      <c r="N7659" s="27" t="s">
        <v>8722</v>
      </c>
      <c r="P7659" s="27" t="s">
        <v>12293</v>
      </c>
      <c r="Q7659" s="26" t="str">
        <f>HYPERLINK("https://ictv.global/taxonomy/taxondetails?taxnode_id=202517909&amp;ictv_id=ICTV202317909","ICTV202317909")</f>
        <v>ICTV202317909</v>
      </c>
      <c r="R7659" t="s">
        <v>660</v>
      </c>
      <c r="S7659" t="s">
        <v>824</v>
      </c>
      <c r="T7659">
        <v>41</v>
      </c>
      <c r="U7659" s="26" t="str">
        <f t="shared" si="292"/>
        <v>2025.002G.Monodnaviria_reorg_4nr.zip</v>
      </c>
    </row>
    <row r="7660" spans="1:21">
      <c r="A7660">
        <v>7659</v>
      </c>
      <c r="B7660" s="27" t="s">
        <v>20779</v>
      </c>
      <c r="D7660" s="27" t="s">
        <v>1826</v>
      </c>
      <c r="F7660" s="27" t="s">
        <v>1844</v>
      </c>
      <c r="H7660" s="27" t="s">
        <v>1845</v>
      </c>
      <c r="J7660" s="27" t="s">
        <v>1847</v>
      </c>
      <c r="L7660" s="27" t="s">
        <v>8700</v>
      </c>
      <c r="N7660" s="27" t="s">
        <v>8722</v>
      </c>
      <c r="P7660" s="27" t="s">
        <v>12294</v>
      </c>
      <c r="Q7660" s="26" t="str">
        <f>HYPERLINK("https://ictv.global/taxonomy/taxondetails?taxnode_id=202517910&amp;ictv_id=ICTV202317910","ICTV202317910")</f>
        <v>ICTV202317910</v>
      </c>
      <c r="R7660" t="s">
        <v>660</v>
      </c>
      <c r="S7660" t="s">
        <v>824</v>
      </c>
      <c r="T7660">
        <v>41</v>
      </c>
      <c r="U7660" s="26" t="str">
        <f t="shared" si="292"/>
        <v>2025.002G.Monodnaviria_reorg_4nr.zip</v>
      </c>
    </row>
    <row r="7661" spans="1:21">
      <c r="A7661">
        <v>7660</v>
      </c>
      <c r="B7661" s="27" t="s">
        <v>20779</v>
      </c>
      <c r="D7661" s="27" t="s">
        <v>1826</v>
      </c>
      <c r="F7661" s="27" t="s">
        <v>1844</v>
      </c>
      <c r="H7661" s="27" t="s">
        <v>1845</v>
      </c>
      <c r="J7661" s="27" t="s">
        <v>1847</v>
      </c>
      <c r="L7661" s="27" t="s">
        <v>8700</v>
      </c>
      <c r="N7661" s="27" t="s">
        <v>8724</v>
      </c>
      <c r="P7661" s="27" t="s">
        <v>8725</v>
      </c>
      <c r="Q7661" s="26" t="str">
        <f>HYPERLINK("https://ictv.global/taxonomy/taxondetails?taxnode_id=202513277&amp;ictv_id=ICTV202113277","ICTV202113277")</f>
        <v>ICTV202113277</v>
      </c>
      <c r="R7661" t="s">
        <v>660</v>
      </c>
      <c r="S7661" t="s">
        <v>824</v>
      </c>
      <c r="T7661">
        <v>41</v>
      </c>
      <c r="U7661" s="26" t="str">
        <f t="shared" si="292"/>
        <v>2025.002G.Monodnaviria_reorg_4nr.zip</v>
      </c>
    </row>
    <row r="7662" spans="1:21">
      <c r="A7662">
        <v>7661</v>
      </c>
      <c r="B7662" s="27" t="s">
        <v>20779</v>
      </c>
      <c r="D7662" s="27" t="s">
        <v>1826</v>
      </c>
      <c r="F7662" s="27" t="s">
        <v>1844</v>
      </c>
      <c r="H7662" s="27" t="s">
        <v>1845</v>
      </c>
      <c r="J7662" s="27" t="s">
        <v>1847</v>
      </c>
      <c r="L7662" s="27" t="s">
        <v>8700</v>
      </c>
      <c r="N7662" s="27" t="s">
        <v>8724</v>
      </c>
      <c r="P7662" s="27" t="s">
        <v>8726</v>
      </c>
      <c r="Q7662" s="26" t="str">
        <f>HYPERLINK("https://ictv.global/taxonomy/taxondetails?taxnode_id=202513276&amp;ictv_id=ICTV202113276","ICTV202113276")</f>
        <v>ICTV202113276</v>
      </c>
      <c r="R7662" t="s">
        <v>660</v>
      </c>
      <c r="S7662" t="s">
        <v>824</v>
      </c>
      <c r="T7662">
        <v>41</v>
      </c>
      <c r="U7662" s="26" t="str">
        <f t="shared" si="292"/>
        <v>2025.002G.Monodnaviria_reorg_4nr.zip</v>
      </c>
    </row>
    <row r="7663" spans="1:21">
      <c r="A7663">
        <v>7662</v>
      </c>
      <c r="B7663" s="27" t="s">
        <v>20779</v>
      </c>
      <c r="D7663" s="27" t="s">
        <v>1826</v>
      </c>
      <c r="F7663" s="27" t="s">
        <v>1844</v>
      </c>
      <c r="H7663" s="27" t="s">
        <v>1845</v>
      </c>
      <c r="J7663" s="27" t="s">
        <v>1847</v>
      </c>
      <c r="L7663" s="27" t="s">
        <v>8700</v>
      </c>
      <c r="N7663" s="27" t="s">
        <v>8724</v>
      </c>
      <c r="P7663" s="27" t="s">
        <v>8727</v>
      </c>
      <c r="Q7663" s="26" t="str">
        <f>HYPERLINK("https://ictv.global/taxonomy/taxondetails?taxnode_id=202513278&amp;ictv_id=ICTV202113278","ICTV202113278")</f>
        <v>ICTV202113278</v>
      </c>
      <c r="R7663" t="s">
        <v>660</v>
      </c>
      <c r="S7663" t="s">
        <v>824</v>
      </c>
      <c r="T7663">
        <v>41</v>
      </c>
      <c r="U7663" s="26" t="str">
        <f t="shared" si="292"/>
        <v>2025.002G.Monodnaviria_reorg_4nr.zip</v>
      </c>
    </row>
    <row r="7664" spans="1:21">
      <c r="A7664">
        <v>7663</v>
      </c>
      <c r="B7664" s="27" t="s">
        <v>20779</v>
      </c>
      <c r="D7664" s="27" t="s">
        <v>1826</v>
      </c>
      <c r="F7664" s="27" t="s">
        <v>1844</v>
      </c>
      <c r="H7664" s="27" t="s">
        <v>1845</v>
      </c>
      <c r="J7664" s="27" t="s">
        <v>1847</v>
      </c>
      <c r="L7664" s="27" t="s">
        <v>8700</v>
      </c>
      <c r="N7664" s="27" t="s">
        <v>12295</v>
      </c>
      <c r="P7664" s="27" t="s">
        <v>12296</v>
      </c>
      <c r="Q7664" s="26" t="str">
        <f>HYPERLINK("https://ictv.global/taxonomy/taxondetails?taxnode_id=202517905&amp;ictv_id=ICTV202317905","ICTV202317905")</f>
        <v>ICTV202317905</v>
      </c>
      <c r="R7664" t="s">
        <v>660</v>
      </c>
      <c r="S7664" t="s">
        <v>824</v>
      </c>
      <c r="T7664">
        <v>41</v>
      </c>
      <c r="U7664" s="26" t="str">
        <f t="shared" si="292"/>
        <v>2025.002G.Monodnaviria_reorg_4nr.zip</v>
      </c>
    </row>
    <row r="7665" spans="1:21">
      <c r="A7665">
        <v>7664</v>
      </c>
      <c r="B7665" s="27" t="s">
        <v>20779</v>
      </c>
      <c r="D7665" s="27" t="s">
        <v>1826</v>
      </c>
      <c r="F7665" s="27" t="s">
        <v>1844</v>
      </c>
      <c r="H7665" s="27" t="s">
        <v>1845</v>
      </c>
      <c r="J7665" s="27" t="s">
        <v>1847</v>
      </c>
      <c r="L7665" s="27" t="s">
        <v>8700</v>
      </c>
      <c r="N7665" s="27" t="s">
        <v>8728</v>
      </c>
      <c r="P7665" s="27" t="s">
        <v>8729</v>
      </c>
      <c r="Q7665" s="26" t="str">
        <f>HYPERLINK("https://ictv.global/taxonomy/taxondetails?taxnode_id=202513281&amp;ictv_id=ICTV202113281","ICTV202113281")</f>
        <v>ICTV202113281</v>
      </c>
      <c r="R7665" t="s">
        <v>660</v>
      </c>
      <c r="S7665" t="s">
        <v>824</v>
      </c>
      <c r="T7665">
        <v>41</v>
      </c>
      <c r="U7665" s="26" t="str">
        <f t="shared" si="292"/>
        <v>2025.002G.Monodnaviria_reorg_4nr.zip</v>
      </c>
    </row>
    <row r="7666" spans="1:21">
      <c r="A7666">
        <v>7665</v>
      </c>
      <c r="B7666" s="27" t="s">
        <v>20779</v>
      </c>
      <c r="D7666" s="27" t="s">
        <v>1826</v>
      </c>
      <c r="F7666" s="27" t="s">
        <v>1844</v>
      </c>
      <c r="H7666" s="27" t="s">
        <v>1845</v>
      </c>
      <c r="J7666" s="27" t="s">
        <v>1847</v>
      </c>
      <c r="L7666" s="27" t="s">
        <v>8700</v>
      </c>
      <c r="N7666" s="27" t="s">
        <v>8728</v>
      </c>
      <c r="P7666" s="27" t="s">
        <v>8730</v>
      </c>
      <c r="Q7666" s="26" t="str">
        <f>HYPERLINK("https://ictv.global/taxonomy/taxondetails?taxnode_id=202513280&amp;ictv_id=ICTV202113280","ICTV202113280")</f>
        <v>ICTV202113280</v>
      </c>
      <c r="R7666" t="s">
        <v>660</v>
      </c>
      <c r="S7666" t="s">
        <v>824</v>
      </c>
      <c r="T7666">
        <v>41</v>
      </c>
      <c r="U7666" s="26" t="str">
        <f t="shared" si="292"/>
        <v>2025.002G.Monodnaviria_reorg_4nr.zip</v>
      </c>
    </row>
    <row r="7667" spans="1:21">
      <c r="A7667">
        <v>7666</v>
      </c>
      <c r="B7667" s="27" t="s">
        <v>20779</v>
      </c>
      <c r="D7667" s="27" t="s">
        <v>1826</v>
      </c>
      <c r="F7667" s="27" t="s">
        <v>1844</v>
      </c>
      <c r="H7667" s="27" t="s">
        <v>1845</v>
      </c>
      <c r="J7667" s="27" t="s">
        <v>1848</v>
      </c>
      <c r="L7667" s="27" t="s">
        <v>918</v>
      </c>
      <c r="N7667" s="27" t="s">
        <v>2340</v>
      </c>
      <c r="P7667" s="27" t="s">
        <v>2341</v>
      </c>
      <c r="Q7667" s="26" t="str">
        <f>HYPERLINK("https://ictv.global/taxonomy/taxondetails?taxnode_id=202509507&amp;ictv_id=ICTV202009507","ICTV202009507")</f>
        <v>ICTV202009507</v>
      </c>
      <c r="R7667" t="s">
        <v>660</v>
      </c>
      <c r="S7667" t="s">
        <v>824</v>
      </c>
      <c r="T7667">
        <v>41</v>
      </c>
      <c r="U7667" s="26" t="str">
        <f t="shared" si="292"/>
        <v>2025.002G.Monodnaviria_reorg_4nr.zip</v>
      </c>
    </row>
    <row r="7668" spans="1:21">
      <c r="A7668">
        <v>7667</v>
      </c>
      <c r="B7668" s="27" t="s">
        <v>20779</v>
      </c>
      <c r="D7668" s="27" t="s">
        <v>1826</v>
      </c>
      <c r="F7668" s="27" t="s">
        <v>1844</v>
      </c>
      <c r="H7668" s="27" t="s">
        <v>1845</v>
      </c>
      <c r="J7668" s="27" t="s">
        <v>1848</v>
      </c>
      <c r="L7668" s="27" t="s">
        <v>918</v>
      </c>
      <c r="N7668" s="27" t="s">
        <v>2342</v>
      </c>
      <c r="P7668" s="27" t="s">
        <v>2343</v>
      </c>
      <c r="Q7668" s="26" t="str">
        <f>HYPERLINK("https://ictv.global/taxonomy/taxondetails?taxnode_id=202505957&amp;ictv_id=ICTV20175957","ICTV20175957")</f>
        <v>ICTV20175957</v>
      </c>
      <c r="R7668" t="s">
        <v>660</v>
      </c>
      <c r="S7668" t="s">
        <v>824</v>
      </c>
      <c r="T7668">
        <v>41</v>
      </c>
      <c r="U7668" s="26" t="str">
        <f t="shared" si="292"/>
        <v>2025.002G.Monodnaviria_reorg_4nr.zip</v>
      </c>
    </row>
    <row r="7669" spans="1:21">
      <c r="A7669">
        <v>7668</v>
      </c>
      <c r="B7669" s="27" t="s">
        <v>20779</v>
      </c>
      <c r="D7669" s="27" t="s">
        <v>1826</v>
      </c>
      <c r="F7669" s="27" t="s">
        <v>1844</v>
      </c>
      <c r="H7669" s="27" t="s">
        <v>1845</v>
      </c>
      <c r="J7669" s="27" t="s">
        <v>1848</v>
      </c>
      <c r="L7669" s="27" t="s">
        <v>918</v>
      </c>
      <c r="N7669" s="27" t="s">
        <v>2342</v>
      </c>
      <c r="P7669" s="27" t="s">
        <v>12297</v>
      </c>
      <c r="Q7669" s="26" t="str">
        <f>HYPERLINK("https://ictv.global/taxonomy/taxondetails?taxnode_id=202517960&amp;ictv_id=ICTV202317960","ICTV202317960")</f>
        <v>ICTV202317960</v>
      </c>
      <c r="R7669" t="s">
        <v>660</v>
      </c>
      <c r="S7669" t="s">
        <v>824</v>
      </c>
      <c r="T7669">
        <v>41</v>
      </c>
      <c r="U7669" s="26" t="str">
        <f t="shared" si="292"/>
        <v>2025.002G.Monodnaviria_reorg_4nr.zip</v>
      </c>
    </row>
    <row r="7670" spans="1:21">
      <c r="A7670">
        <v>7669</v>
      </c>
      <c r="B7670" s="27" t="s">
        <v>20779</v>
      </c>
      <c r="D7670" s="27" t="s">
        <v>1826</v>
      </c>
      <c r="F7670" s="27" t="s">
        <v>1844</v>
      </c>
      <c r="H7670" s="27" t="s">
        <v>1845</v>
      </c>
      <c r="J7670" s="27" t="s">
        <v>1848</v>
      </c>
      <c r="L7670" s="27" t="s">
        <v>918</v>
      </c>
      <c r="N7670" s="27" t="s">
        <v>2344</v>
      </c>
      <c r="P7670" s="27" t="s">
        <v>2345</v>
      </c>
      <c r="Q7670" s="26" t="str">
        <f>HYPERLINK("https://ictv.global/taxonomy/taxondetails?taxnode_id=202505958&amp;ictv_id=ICTV20175958","ICTV20175958")</f>
        <v>ICTV20175958</v>
      </c>
      <c r="R7670" t="s">
        <v>660</v>
      </c>
      <c r="S7670" t="s">
        <v>824</v>
      </c>
      <c r="T7670">
        <v>41</v>
      </c>
      <c r="U7670" s="26" t="str">
        <f t="shared" si="292"/>
        <v>2025.002G.Monodnaviria_reorg_4nr.zip</v>
      </c>
    </row>
    <row r="7671" spans="1:21">
      <c r="A7671">
        <v>7670</v>
      </c>
      <c r="B7671" s="27" t="s">
        <v>20779</v>
      </c>
      <c r="D7671" s="27" t="s">
        <v>1826</v>
      </c>
      <c r="F7671" s="27" t="s">
        <v>1844</v>
      </c>
      <c r="H7671" s="27" t="s">
        <v>1845</v>
      </c>
      <c r="J7671" s="27" t="s">
        <v>1848</v>
      </c>
      <c r="L7671" s="27" t="s">
        <v>918</v>
      </c>
      <c r="N7671" s="27" t="s">
        <v>919</v>
      </c>
      <c r="P7671" s="27" t="s">
        <v>2346</v>
      </c>
      <c r="Q7671" s="26" t="str">
        <f>HYPERLINK("https://ictv.global/taxonomy/taxondetails?taxnode_id=202505945&amp;ictv_id=ICTV20175945","ICTV20175945")</f>
        <v>ICTV20175945</v>
      </c>
      <c r="R7671" t="s">
        <v>660</v>
      </c>
      <c r="S7671" t="s">
        <v>824</v>
      </c>
      <c r="T7671">
        <v>41</v>
      </c>
      <c r="U7671" s="26" t="str">
        <f t="shared" si="292"/>
        <v>2025.002G.Monodnaviria_reorg_4nr.zip</v>
      </c>
    </row>
    <row r="7672" spans="1:21">
      <c r="A7672">
        <v>7671</v>
      </c>
      <c r="B7672" s="27" t="s">
        <v>20779</v>
      </c>
      <c r="D7672" s="27" t="s">
        <v>1826</v>
      </c>
      <c r="F7672" s="27" t="s">
        <v>1844</v>
      </c>
      <c r="H7672" s="27" t="s">
        <v>1845</v>
      </c>
      <c r="J7672" s="27" t="s">
        <v>1848</v>
      </c>
      <c r="L7672" s="27" t="s">
        <v>918</v>
      </c>
      <c r="N7672" s="27" t="s">
        <v>919</v>
      </c>
      <c r="P7672" s="27" t="s">
        <v>2347</v>
      </c>
      <c r="Q7672" s="26" t="str">
        <f>HYPERLINK("https://ictv.global/taxonomy/taxondetails?taxnode_id=202505946&amp;ictv_id=ICTV20175946","ICTV20175946")</f>
        <v>ICTV20175946</v>
      </c>
      <c r="R7672" t="s">
        <v>660</v>
      </c>
      <c r="S7672" t="s">
        <v>824</v>
      </c>
      <c r="T7672">
        <v>41</v>
      </c>
      <c r="U7672" s="26" t="str">
        <f t="shared" si="292"/>
        <v>2025.002G.Monodnaviria_reorg_4nr.zip</v>
      </c>
    </row>
    <row r="7673" spans="1:21">
      <c r="A7673">
        <v>7672</v>
      </c>
      <c r="B7673" s="27" t="s">
        <v>20779</v>
      </c>
      <c r="D7673" s="27" t="s">
        <v>1826</v>
      </c>
      <c r="F7673" s="27" t="s">
        <v>1844</v>
      </c>
      <c r="H7673" s="27" t="s">
        <v>1845</v>
      </c>
      <c r="J7673" s="27" t="s">
        <v>1848</v>
      </c>
      <c r="L7673" s="27" t="s">
        <v>918</v>
      </c>
      <c r="N7673" s="27" t="s">
        <v>919</v>
      </c>
      <c r="P7673" s="27" t="s">
        <v>12298</v>
      </c>
      <c r="Q7673" s="26" t="str">
        <f>HYPERLINK("https://ictv.global/taxonomy/taxondetails?taxnode_id=202517961&amp;ictv_id=ICTV202317961","ICTV202317961")</f>
        <v>ICTV202317961</v>
      </c>
      <c r="R7673" t="s">
        <v>660</v>
      </c>
      <c r="S7673" t="s">
        <v>824</v>
      </c>
      <c r="T7673">
        <v>41</v>
      </c>
      <c r="U7673" s="26" t="str">
        <f t="shared" si="292"/>
        <v>2025.002G.Monodnaviria_reorg_4nr.zip</v>
      </c>
    </row>
    <row r="7674" spans="1:21">
      <c r="A7674">
        <v>7673</v>
      </c>
      <c r="B7674" s="27" t="s">
        <v>20779</v>
      </c>
      <c r="D7674" s="27" t="s">
        <v>1826</v>
      </c>
      <c r="F7674" s="27" t="s">
        <v>1844</v>
      </c>
      <c r="H7674" s="27" t="s">
        <v>1845</v>
      </c>
      <c r="J7674" s="27" t="s">
        <v>1848</v>
      </c>
      <c r="L7674" s="27" t="s">
        <v>918</v>
      </c>
      <c r="N7674" s="27" t="s">
        <v>919</v>
      </c>
      <c r="P7674" s="27" t="s">
        <v>12299</v>
      </c>
      <c r="Q7674" s="26" t="str">
        <f>HYPERLINK("https://ictv.global/taxonomy/taxondetails?taxnode_id=202517962&amp;ictv_id=ICTV202317962","ICTV202317962")</f>
        <v>ICTV202317962</v>
      </c>
      <c r="R7674" t="s">
        <v>660</v>
      </c>
      <c r="S7674" t="s">
        <v>824</v>
      </c>
      <c r="T7674">
        <v>41</v>
      </c>
      <c r="U7674" s="26" t="str">
        <f t="shared" si="292"/>
        <v>2025.002G.Monodnaviria_reorg_4nr.zip</v>
      </c>
    </row>
    <row r="7675" spans="1:21">
      <c r="A7675">
        <v>7674</v>
      </c>
      <c r="B7675" s="27" t="s">
        <v>20779</v>
      </c>
      <c r="D7675" s="27" t="s">
        <v>1826</v>
      </c>
      <c r="F7675" s="27" t="s">
        <v>1844</v>
      </c>
      <c r="H7675" s="27" t="s">
        <v>1845</v>
      </c>
      <c r="J7675" s="27" t="s">
        <v>1848</v>
      </c>
      <c r="L7675" s="27" t="s">
        <v>918</v>
      </c>
      <c r="N7675" s="27" t="s">
        <v>919</v>
      </c>
      <c r="P7675" s="27" t="s">
        <v>2348</v>
      </c>
      <c r="Q7675" s="26" t="str">
        <f>HYPERLINK("https://ictv.global/taxonomy/taxondetails?taxnode_id=202505947&amp;ictv_id=ICTV20175947","ICTV20175947")</f>
        <v>ICTV20175947</v>
      </c>
      <c r="R7675" t="s">
        <v>660</v>
      </c>
      <c r="S7675" t="s">
        <v>824</v>
      </c>
      <c r="T7675">
        <v>41</v>
      </c>
      <c r="U7675" s="26" t="str">
        <f t="shared" si="292"/>
        <v>2025.002G.Monodnaviria_reorg_4nr.zip</v>
      </c>
    </row>
    <row r="7676" spans="1:21">
      <c r="A7676">
        <v>7675</v>
      </c>
      <c r="B7676" s="27" t="s">
        <v>20779</v>
      </c>
      <c r="D7676" s="27" t="s">
        <v>1826</v>
      </c>
      <c r="F7676" s="27" t="s">
        <v>1844</v>
      </c>
      <c r="H7676" s="27" t="s">
        <v>1845</v>
      </c>
      <c r="J7676" s="27" t="s">
        <v>1848</v>
      </c>
      <c r="L7676" s="27" t="s">
        <v>918</v>
      </c>
      <c r="N7676" s="27" t="s">
        <v>919</v>
      </c>
      <c r="P7676" s="27" t="s">
        <v>12300</v>
      </c>
      <c r="Q7676" s="26" t="str">
        <f>HYPERLINK("https://ictv.global/taxonomy/taxondetails?taxnode_id=202517963&amp;ictv_id=ICTV202317963","ICTV202317963")</f>
        <v>ICTV202317963</v>
      </c>
      <c r="R7676" t="s">
        <v>660</v>
      </c>
      <c r="S7676" t="s">
        <v>824</v>
      </c>
      <c r="T7676">
        <v>41</v>
      </c>
      <c r="U7676" s="26" t="str">
        <f t="shared" si="292"/>
        <v>2025.002G.Monodnaviria_reorg_4nr.zip</v>
      </c>
    </row>
    <row r="7677" spans="1:21">
      <c r="A7677">
        <v>7676</v>
      </c>
      <c r="B7677" s="27" t="s">
        <v>20779</v>
      </c>
      <c r="D7677" s="27" t="s">
        <v>1826</v>
      </c>
      <c r="F7677" s="27" t="s">
        <v>1844</v>
      </c>
      <c r="H7677" s="27" t="s">
        <v>1845</v>
      </c>
      <c r="J7677" s="27" t="s">
        <v>1848</v>
      </c>
      <c r="L7677" s="27" t="s">
        <v>918</v>
      </c>
      <c r="N7677" s="27" t="s">
        <v>919</v>
      </c>
      <c r="P7677" s="27" t="s">
        <v>12301</v>
      </c>
      <c r="Q7677" s="26" t="str">
        <f>HYPERLINK("https://ictv.global/taxonomy/taxondetails?taxnode_id=202517964&amp;ictv_id=ICTV202317964","ICTV202317964")</f>
        <v>ICTV202317964</v>
      </c>
      <c r="R7677" t="s">
        <v>660</v>
      </c>
      <c r="S7677" t="s">
        <v>824</v>
      </c>
      <c r="T7677">
        <v>41</v>
      </c>
      <c r="U7677" s="26" t="str">
        <f t="shared" si="292"/>
        <v>2025.002G.Monodnaviria_reorg_4nr.zip</v>
      </c>
    </row>
    <row r="7678" spans="1:21">
      <c r="A7678">
        <v>7677</v>
      </c>
      <c r="B7678" s="27" t="s">
        <v>20779</v>
      </c>
      <c r="D7678" s="27" t="s">
        <v>1826</v>
      </c>
      <c r="F7678" s="27" t="s">
        <v>1844</v>
      </c>
      <c r="H7678" s="27" t="s">
        <v>1845</v>
      </c>
      <c r="J7678" s="27" t="s">
        <v>1848</v>
      </c>
      <c r="L7678" s="27" t="s">
        <v>918</v>
      </c>
      <c r="N7678" s="27" t="s">
        <v>920</v>
      </c>
      <c r="P7678" s="27" t="s">
        <v>2349</v>
      </c>
      <c r="Q7678" s="26" t="str">
        <f>HYPERLINK("https://ictv.global/taxonomy/taxondetails?taxnode_id=202505949&amp;ictv_id=ICTV20175949","ICTV20175949")</f>
        <v>ICTV20175949</v>
      </c>
      <c r="R7678" t="s">
        <v>660</v>
      </c>
      <c r="S7678" t="s">
        <v>824</v>
      </c>
      <c r="T7678">
        <v>41</v>
      </c>
      <c r="U7678" s="26" t="str">
        <f t="shared" si="292"/>
        <v>2025.002G.Monodnaviria_reorg_4nr.zip</v>
      </c>
    </row>
    <row r="7679" spans="1:21">
      <c r="A7679">
        <v>7678</v>
      </c>
      <c r="B7679" s="27" t="s">
        <v>20779</v>
      </c>
      <c r="D7679" s="27" t="s">
        <v>1826</v>
      </c>
      <c r="F7679" s="27" t="s">
        <v>1844</v>
      </c>
      <c r="H7679" s="27" t="s">
        <v>1845</v>
      </c>
      <c r="J7679" s="27" t="s">
        <v>1848</v>
      </c>
      <c r="L7679" s="27" t="s">
        <v>918</v>
      </c>
      <c r="N7679" s="27" t="s">
        <v>921</v>
      </c>
      <c r="P7679" s="27" t="s">
        <v>12302</v>
      </c>
      <c r="Q7679" s="26" t="str">
        <f>HYPERLINK("https://ictv.global/taxonomy/taxondetails?taxnode_id=202517965&amp;ictv_id=ICTV202317965","ICTV202317965")</f>
        <v>ICTV202317965</v>
      </c>
      <c r="R7679" t="s">
        <v>660</v>
      </c>
      <c r="S7679" t="s">
        <v>824</v>
      </c>
      <c r="T7679">
        <v>41</v>
      </c>
      <c r="U7679" s="26" t="str">
        <f t="shared" si="292"/>
        <v>2025.002G.Monodnaviria_reorg_4nr.zip</v>
      </c>
    </row>
    <row r="7680" spans="1:21">
      <c r="A7680">
        <v>7679</v>
      </c>
      <c r="B7680" s="27" t="s">
        <v>20779</v>
      </c>
      <c r="D7680" s="27" t="s">
        <v>1826</v>
      </c>
      <c r="F7680" s="27" t="s">
        <v>1844</v>
      </c>
      <c r="H7680" s="27" t="s">
        <v>1845</v>
      </c>
      <c r="J7680" s="27" t="s">
        <v>1848</v>
      </c>
      <c r="L7680" s="27" t="s">
        <v>918</v>
      </c>
      <c r="N7680" s="27" t="s">
        <v>921</v>
      </c>
      <c r="P7680" s="27" t="s">
        <v>12303</v>
      </c>
      <c r="Q7680" s="26" t="str">
        <f>HYPERLINK("https://ictv.global/taxonomy/taxondetails?taxnode_id=202517966&amp;ictv_id=ICTV202317966","ICTV202317966")</f>
        <v>ICTV202317966</v>
      </c>
      <c r="R7680" t="s">
        <v>660</v>
      </c>
      <c r="S7680" t="s">
        <v>824</v>
      </c>
      <c r="T7680">
        <v>41</v>
      </c>
      <c r="U7680" s="26" t="str">
        <f t="shared" si="292"/>
        <v>2025.002G.Monodnaviria_reorg_4nr.zip</v>
      </c>
    </row>
    <row r="7681" spans="1:21">
      <c r="A7681">
        <v>7680</v>
      </c>
      <c r="B7681" s="27" t="s">
        <v>20779</v>
      </c>
      <c r="D7681" s="27" t="s">
        <v>1826</v>
      </c>
      <c r="F7681" s="27" t="s">
        <v>1844</v>
      </c>
      <c r="H7681" s="27" t="s">
        <v>1845</v>
      </c>
      <c r="J7681" s="27" t="s">
        <v>1848</v>
      </c>
      <c r="L7681" s="27" t="s">
        <v>918</v>
      </c>
      <c r="N7681" s="27" t="s">
        <v>921</v>
      </c>
      <c r="P7681" s="27" t="s">
        <v>2350</v>
      </c>
      <c r="Q7681" s="26" t="str">
        <f>HYPERLINK("https://ictv.global/taxonomy/taxondetails?taxnode_id=202505951&amp;ictv_id=ICTV20175951","ICTV20175951")</f>
        <v>ICTV20175951</v>
      </c>
      <c r="R7681" t="s">
        <v>660</v>
      </c>
      <c r="S7681" t="s">
        <v>824</v>
      </c>
      <c r="T7681">
        <v>41</v>
      </c>
      <c r="U7681" s="26" t="str">
        <f t="shared" si="292"/>
        <v>2025.002G.Monodnaviria_reorg_4nr.zip</v>
      </c>
    </row>
    <row r="7682" spans="1:21">
      <c r="A7682">
        <v>7681</v>
      </c>
      <c r="B7682" s="27" t="s">
        <v>20779</v>
      </c>
      <c r="D7682" s="27" t="s">
        <v>1826</v>
      </c>
      <c r="F7682" s="27" t="s">
        <v>1844</v>
      </c>
      <c r="H7682" s="27" t="s">
        <v>1845</v>
      </c>
      <c r="J7682" s="27" t="s">
        <v>1848</v>
      </c>
      <c r="L7682" s="27" t="s">
        <v>918</v>
      </c>
      <c r="N7682" s="27" t="s">
        <v>922</v>
      </c>
      <c r="P7682" s="27" t="s">
        <v>2351</v>
      </c>
      <c r="Q7682" s="26" t="str">
        <f>HYPERLINK("https://ictv.global/taxonomy/taxondetails?taxnode_id=202505953&amp;ictv_id=ICTV20175953","ICTV20175953")</f>
        <v>ICTV20175953</v>
      </c>
      <c r="R7682" t="s">
        <v>660</v>
      </c>
      <c r="S7682" t="s">
        <v>824</v>
      </c>
      <c r="T7682">
        <v>41</v>
      </c>
      <c r="U7682" s="26" t="str">
        <f t="shared" si="292"/>
        <v>2025.002G.Monodnaviria_reorg_4nr.zip</v>
      </c>
    </row>
    <row r="7683" spans="1:21">
      <c r="A7683">
        <v>7682</v>
      </c>
      <c r="B7683" s="27" t="s">
        <v>20779</v>
      </c>
      <c r="D7683" s="27" t="s">
        <v>1826</v>
      </c>
      <c r="F7683" s="27" t="s">
        <v>1844</v>
      </c>
      <c r="H7683" s="27" t="s">
        <v>1845</v>
      </c>
      <c r="J7683" s="27" t="s">
        <v>1848</v>
      </c>
      <c r="L7683" s="27" t="s">
        <v>918</v>
      </c>
      <c r="N7683" s="27" t="s">
        <v>922</v>
      </c>
      <c r="P7683" s="27" t="s">
        <v>2352</v>
      </c>
      <c r="Q7683" s="26" t="str">
        <f>HYPERLINK("https://ictv.global/taxonomy/taxondetails?taxnode_id=202505954&amp;ictv_id=ICTV20175954","ICTV20175954")</f>
        <v>ICTV20175954</v>
      </c>
      <c r="R7683" t="s">
        <v>660</v>
      </c>
      <c r="S7683" t="s">
        <v>824</v>
      </c>
      <c r="T7683">
        <v>41</v>
      </c>
      <c r="U7683" s="26" t="str">
        <f t="shared" si="292"/>
        <v>2025.002G.Monodnaviria_reorg_4nr.zip</v>
      </c>
    </row>
    <row r="7684" spans="1:21">
      <c r="A7684">
        <v>7683</v>
      </c>
      <c r="B7684" s="27" t="s">
        <v>20779</v>
      </c>
      <c r="D7684" s="27" t="s">
        <v>1826</v>
      </c>
      <c r="F7684" s="27" t="s">
        <v>1844</v>
      </c>
      <c r="H7684" s="27" t="s">
        <v>1845</v>
      </c>
      <c r="J7684" s="27" t="s">
        <v>1848</v>
      </c>
      <c r="L7684" s="27" t="s">
        <v>918</v>
      </c>
      <c r="N7684" s="27" t="s">
        <v>922</v>
      </c>
      <c r="P7684" s="27" t="s">
        <v>2353</v>
      </c>
      <c r="Q7684" s="26" t="str">
        <f>HYPERLINK("https://ictv.global/taxonomy/taxondetails?taxnode_id=202505955&amp;ictv_id=ICTV20175955","ICTV20175955")</f>
        <v>ICTV20175955</v>
      </c>
      <c r="R7684" t="s">
        <v>660</v>
      </c>
      <c r="S7684" t="s">
        <v>824</v>
      </c>
      <c r="T7684">
        <v>41</v>
      </c>
      <c r="U7684" s="26" t="str">
        <f t="shared" si="292"/>
        <v>2025.002G.Monodnaviria_reorg_4nr.zip</v>
      </c>
    </row>
    <row r="7685" spans="1:21">
      <c r="A7685">
        <v>7684</v>
      </c>
      <c r="B7685" s="27" t="s">
        <v>20779</v>
      </c>
      <c r="D7685" s="27" t="s">
        <v>1826</v>
      </c>
      <c r="F7685" s="27" t="s">
        <v>1844</v>
      </c>
      <c r="H7685" s="27" t="s">
        <v>1845</v>
      </c>
      <c r="J7685" s="27" t="s">
        <v>1848</v>
      </c>
      <c r="L7685" s="27" t="s">
        <v>918</v>
      </c>
      <c r="N7685" s="27" t="s">
        <v>922</v>
      </c>
      <c r="P7685" s="27" t="s">
        <v>12304</v>
      </c>
      <c r="Q7685" s="26" t="str">
        <f>HYPERLINK("https://ictv.global/taxonomy/taxondetails?taxnode_id=202517967&amp;ictv_id=ICTV202317967","ICTV202317967")</f>
        <v>ICTV202317967</v>
      </c>
      <c r="R7685" t="s">
        <v>660</v>
      </c>
      <c r="S7685" t="s">
        <v>824</v>
      </c>
      <c r="T7685">
        <v>41</v>
      </c>
      <c r="U7685" s="26" t="str">
        <f t="shared" si="292"/>
        <v>2025.002G.Monodnaviria_reorg_4nr.zip</v>
      </c>
    </row>
    <row r="7686" spans="1:21">
      <c r="A7686">
        <v>7685</v>
      </c>
      <c r="B7686" s="27" t="s">
        <v>20779</v>
      </c>
      <c r="D7686" s="27" t="s">
        <v>1826</v>
      </c>
      <c r="F7686" s="27" t="s">
        <v>1844</v>
      </c>
      <c r="H7686" s="27" t="s">
        <v>1845</v>
      </c>
      <c r="J7686" s="27" t="s">
        <v>1848</v>
      </c>
      <c r="L7686" s="27" t="s">
        <v>918</v>
      </c>
      <c r="N7686" s="27" t="s">
        <v>922</v>
      </c>
      <c r="P7686" s="27" t="s">
        <v>12305</v>
      </c>
      <c r="Q7686" s="26" t="str">
        <f>HYPERLINK("https://ictv.global/taxonomy/taxondetails?taxnode_id=202517968&amp;ictv_id=ICTV202317968","ICTV202317968")</f>
        <v>ICTV202317968</v>
      </c>
      <c r="R7686" t="s">
        <v>660</v>
      </c>
      <c r="S7686" t="s">
        <v>824</v>
      </c>
      <c r="T7686">
        <v>41</v>
      </c>
      <c r="U7686" s="26" t="str">
        <f t="shared" si="292"/>
        <v>2025.002G.Monodnaviria_reorg_4nr.zip</v>
      </c>
    </row>
    <row r="7687" spans="1:21">
      <c r="A7687">
        <v>7686</v>
      </c>
      <c r="B7687" s="27" t="s">
        <v>20779</v>
      </c>
      <c r="D7687" s="27" t="s">
        <v>1826</v>
      </c>
      <c r="F7687" s="27" t="s">
        <v>1844</v>
      </c>
      <c r="H7687" s="27" t="s">
        <v>1845</v>
      </c>
      <c r="J7687" s="27" t="s">
        <v>1848</v>
      </c>
      <c r="L7687" s="27" t="s">
        <v>918</v>
      </c>
      <c r="N7687" s="27" t="s">
        <v>922</v>
      </c>
      <c r="P7687" s="27" t="s">
        <v>12306</v>
      </c>
      <c r="Q7687" s="26" t="str">
        <f>HYPERLINK("https://ictv.global/taxonomy/taxondetails?taxnode_id=202517969&amp;ictv_id=ICTV202317969","ICTV202317969")</f>
        <v>ICTV202317969</v>
      </c>
      <c r="R7687" t="s">
        <v>660</v>
      </c>
      <c r="S7687" t="s">
        <v>824</v>
      </c>
      <c r="T7687">
        <v>41</v>
      </c>
      <c r="U7687" s="26" t="str">
        <f t="shared" si="292"/>
        <v>2025.002G.Monodnaviria_reorg_4nr.zip</v>
      </c>
    </row>
    <row r="7688" spans="1:21">
      <c r="A7688">
        <v>7687</v>
      </c>
      <c r="B7688" s="27" t="s">
        <v>20779</v>
      </c>
      <c r="D7688" s="27" t="s">
        <v>1826</v>
      </c>
      <c r="F7688" s="27" t="s">
        <v>1844</v>
      </c>
      <c r="H7688" s="27" t="s">
        <v>1845</v>
      </c>
      <c r="J7688" s="27" t="s">
        <v>1848</v>
      </c>
      <c r="L7688" s="27" t="s">
        <v>918</v>
      </c>
      <c r="N7688" s="27" t="s">
        <v>922</v>
      </c>
      <c r="P7688" s="27" t="s">
        <v>12307</v>
      </c>
      <c r="Q7688" s="26" t="str">
        <f>HYPERLINK("https://ictv.global/taxonomy/taxondetails?taxnode_id=202517970&amp;ictv_id=ICTV202317970","ICTV202317970")</f>
        <v>ICTV202317970</v>
      </c>
      <c r="R7688" t="s">
        <v>660</v>
      </c>
      <c r="S7688" t="s">
        <v>824</v>
      </c>
      <c r="T7688">
        <v>41</v>
      </c>
      <c r="U7688" s="26" t="str">
        <f t="shared" si="292"/>
        <v>2025.002G.Monodnaviria_reorg_4nr.zip</v>
      </c>
    </row>
    <row r="7689" spans="1:21">
      <c r="A7689">
        <v>7688</v>
      </c>
      <c r="B7689" s="27" t="s">
        <v>20779</v>
      </c>
      <c r="D7689" s="27" t="s">
        <v>1826</v>
      </c>
      <c r="F7689" s="27" t="s">
        <v>1844</v>
      </c>
      <c r="H7689" s="27" t="s">
        <v>1845</v>
      </c>
      <c r="J7689" s="27" t="s">
        <v>1848</v>
      </c>
      <c r="L7689" s="27" t="s">
        <v>918</v>
      </c>
      <c r="N7689" s="27" t="s">
        <v>2354</v>
      </c>
      <c r="P7689" s="27" t="s">
        <v>12308</v>
      </c>
      <c r="Q7689" s="26" t="str">
        <f>HYPERLINK("https://ictv.global/taxonomy/taxondetails?taxnode_id=202517972&amp;ictv_id=ICTV202317972","ICTV202317972")</f>
        <v>ICTV202317972</v>
      </c>
      <c r="R7689" t="s">
        <v>660</v>
      </c>
      <c r="S7689" t="s">
        <v>824</v>
      </c>
      <c r="T7689">
        <v>41</v>
      </c>
      <c r="U7689" s="26" t="str">
        <f t="shared" si="292"/>
        <v>2025.002G.Monodnaviria_reorg_4nr.zip</v>
      </c>
    </row>
    <row r="7690" spans="1:21">
      <c r="A7690">
        <v>7689</v>
      </c>
      <c r="B7690" s="27" t="s">
        <v>20779</v>
      </c>
      <c r="D7690" s="27" t="s">
        <v>1826</v>
      </c>
      <c r="F7690" s="27" t="s">
        <v>1844</v>
      </c>
      <c r="H7690" s="27" t="s">
        <v>1845</v>
      </c>
      <c r="J7690" s="27" t="s">
        <v>1848</v>
      </c>
      <c r="L7690" s="27" t="s">
        <v>918</v>
      </c>
      <c r="N7690" s="27" t="s">
        <v>2354</v>
      </c>
      <c r="P7690" s="27" t="s">
        <v>12309</v>
      </c>
      <c r="Q7690" s="26" t="str">
        <f>HYPERLINK("https://ictv.global/taxonomy/taxondetails?taxnode_id=202517971&amp;ictv_id=ICTV202317971","ICTV202317971")</f>
        <v>ICTV202317971</v>
      </c>
      <c r="R7690" t="s">
        <v>660</v>
      </c>
      <c r="S7690" t="s">
        <v>824</v>
      </c>
      <c r="T7690">
        <v>41</v>
      </c>
      <c r="U7690" s="26" t="str">
        <f t="shared" si="292"/>
        <v>2025.002G.Monodnaviria_reorg_4nr.zip</v>
      </c>
    </row>
    <row r="7691" spans="1:21">
      <c r="A7691">
        <v>7690</v>
      </c>
      <c r="B7691" s="27" t="s">
        <v>20779</v>
      </c>
      <c r="D7691" s="27" t="s">
        <v>1826</v>
      </c>
      <c r="F7691" s="27" t="s">
        <v>1844</v>
      </c>
      <c r="H7691" s="27" t="s">
        <v>1845</v>
      </c>
      <c r="J7691" s="27" t="s">
        <v>1848</v>
      </c>
      <c r="L7691" s="27" t="s">
        <v>918</v>
      </c>
      <c r="N7691" s="27" t="s">
        <v>2354</v>
      </c>
      <c r="P7691" s="27" t="s">
        <v>12310</v>
      </c>
      <c r="Q7691" s="26" t="str">
        <f>HYPERLINK("https://ictv.global/taxonomy/taxondetails?taxnode_id=202517973&amp;ictv_id=ICTV202317973","ICTV202317973")</f>
        <v>ICTV202317973</v>
      </c>
      <c r="R7691" t="s">
        <v>660</v>
      </c>
      <c r="S7691" t="s">
        <v>824</v>
      </c>
      <c r="T7691">
        <v>41</v>
      </c>
      <c r="U7691" s="26" t="str">
        <f t="shared" si="292"/>
        <v>2025.002G.Monodnaviria_reorg_4nr.zip</v>
      </c>
    </row>
    <row r="7692" spans="1:21">
      <c r="A7692">
        <v>7691</v>
      </c>
      <c r="B7692" s="27" t="s">
        <v>20779</v>
      </c>
      <c r="D7692" s="27" t="s">
        <v>1826</v>
      </c>
      <c r="F7692" s="27" t="s">
        <v>1844</v>
      </c>
      <c r="H7692" s="27" t="s">
        <v>1845</v>
      </c>
      <c r="J7692" s="27" t="s">
        <v>1848</v>
      </c>
      <c r="L7692" s="27" t="s">
        <v>918</v>
      </c>
      <c r="N7692" s="27" t="s">
        <v>2354</v>
      </c>
      <c r="P7692" s="27" t="s">
        <v>12311</v>
      </c>
      <c r="Q7692" s="26" t="str">
        <f>HYPERLINK("https://ictv.global/taxonomy/taxondetails?taxnode_id=202517974&amp;ictv_id=ICTV202317974","ICTV202317974")</f>
        <v>ICTV202317974</v>
      </c>
      <c r="R7692" t="s">
        <v>660</v>
      </c>
      <c r="S7692" t="s">
        <v>824</v>
      </c>
      <c r="T7692">
        <v>41</v>
      </c>
      <c r="U7692" s="26" t="str">
        <f t="shared" si="292"/>
        <v>2025.002G.Monodnaviria_reorg_4nr.zip</v>
      </c>
    </row>
    <row r="7693" spans="1:21">
      <c r="A7693">
        <v>7692</v>
      </c>
      <c r="B7693" s="27" t="s">
        <v>20779</v>
      </c>
      <c r="D7693" s="27" t="s">
        <v>1826</v>
      </c>
      <c r="F7693" s="27" t="s">
        <v>1844</v>
      </c>
      <c r="H7693" s="27" t="s">
        <v>1845</v>
      </c>
      <c r="J7693" s="27" t="s">
        <v>1848</v>
      </c>
      <c r="L7693" s="27" t="s">
        <v>918</v>
      </c>
      <c r="N7693" s="27" t="s">
        <v>2354</v>
      </c>
      <c r="P7693" s="27" t="s">
        <v>12312</v>
      </c>
      <c r="Q7693" s="26" t="str">
        <f>HYPERLINK("https://ictv.global/taxonomy/taxondetails?taxnode_id=202517975&amp;ictv_id=ICTV202317975","ICTV202317975")</f>
        <v>ICTV202317975</v>
      </c>
      <c r="R7693" t="s">
        <v>660</v>
      </c>
      <c r="S7693" t="s">
        <v>824</v>
      </c>
      <c r="T7693">
        <v>41</v>
      </c>
      <c r="U7693" s="26" t="str">
        <f t="shared" si="292"/>
        <v>2025.002G.Monodnaviria_reorg_4nr.zip</v>
      </c>
    </row>
    <row r="7694" spans="1:21">
      <c r="A7694">
        <v>7693</v>
      </c>
      <c r="B7694" s="27" t="s">
        <v>20779</v>
      </c>
      <c r="D7694" s="27" t="s">
        <v>1826</v>
      </c>
      <c r="F7694" s="27" t="s">
        <v>1844</v>
      </c>
      <c r="H7694" s="27" t="s">
        <v>1845</v>
      </c>
      <c r="J7694" s="27" t="s">
        <v>1848</v>
      </c>
      <c r="L7694" s="27" t="s">
        <v>918</v>
      </c>
      <c r="N7694" s="27" t="s">
        <v>2354</v>
      </c>
      <c r="P7694" s="27" t="s">
        <v>12313</v>
      </c>
      <c r="Q7694" s="26" t="str">
        <f>HYPERLINK("https://ictv.global/taxonomy/taxondetails?taxnode_id=202517976&amp;ictv_id=ICTV202317976","ICTV202317976")</f>
        <v>ICTV202317976</v>
      </c>
      <c r="R7694" t="s">
        <v>660</v>
      </c>
      <c r="S7694" t="s">
        <v>824</v>
      </c>
      <c r="T7694">
        <v>41</v>
      </c>
      <c r="U7694" s="26" t="str">
        <f t="shared" si="292"/>
        <v>2025.002G.Monodnaviria_reorg_4nr.zip</v>
      </c>
    </row>
    <row r="7695" spans="1:21">
      <c r="A7695">
        <v>7694</v>
      </c>
      <c r="B7695" s="27" t="s">
        <v>20779</v>
      </c>
      <c r="D7695" s="27" t="s">
        <v>1826</v>
      </c>
      <c r="F7695" s="27" t="s">
        <v>1844</v>
      </c>
      <c r="H7695" s="27" t="s">
        <v>1845</v>
      </c>
      <c r="J7695" s="27" t="s">
        <v>1848</v>
      </c>
      <c r="L7695" s="27" t="s">
        <v>918</v>
      </c>
      <c r="N7695" s="27" t="s">
        <v>2354</v>
      </c>
      <c r="P7695" s="27" t="s">
        <v>12314</v>
      </c>
      <c r="Q7695" s="26" t="str">
        <f>HYPERLINK("https://ictv.global/taxonomy/taxondetails?taxnode_id=202517977&amp;ictv_id=ICTV202317977","ICTV202317977")</f>
        <v>ICTV202317977</v>
      </c>
      <c r="R7695" t="s">
        <v>660</v>
      </c>
      <c r="S7695" t="s">
        <v>824</v>
      </c>
      <c r="T7695">
        <v>41</v>
      </c>
      <c r="U7695" s="26" t="str">
        <f t="shared" si="292"/>
        <v>2025.002G.Monodnaviria_reorg_4nr.zip</v>
      </c>
    </row>
    <row r="7696" spans="1:21">
      <c r="A7696">
        <v>7695</v>
      </c>
      <c r="B7696" s="27" t="s">
        <v>20779</v>
      </c>
      <c r="D7696" s="27" t="s">
        <v>1826</v>
      </c>
      <c r="F7696" s="27" t="s">
        <v>1844</v>
      </c>
      <c r="H7696" s="27" t="s">
        <v>1845</v>
      </c>
      <c r="J7696" s="27" t="s">
        <v>1848</v>
      </c>
      <c r="L7696" s="27" t="s">
        <v>918</v>
      </c>
      <c r="N7696" s="27" t="s">
        <v>2354</v>
      </c>
      <c r="P7696" s="27" t="s">
        <v>12315</v>
      </c>
      <c r="Q7696" s="26" t="str">
        <f>HYPERLINK("https://ictv.global/taxonomy/taxondetails?taxnode_id=202517978&amp;ictv_id=ICTV202317978","ICTV202317978")</f>
        <v>ICTV202317978</v>
      </c>
      <c r="R7696" t="s">
        <v>660</v>
      </c>
      <c r="S7696" t="s">
        <v>824</v>
      </c>
      <c r="T7696">
        <v>41</v>
      </c>
      <c r="U7696" s="26" t="str">
        <f t="shared" si="292"/>
        <v>2025.002G.Monodnaviria_reorg_4nr.zip</v>
      </c>
    </row>
    <row r="7697" spans="1:21">
      <c r="A7697">
        <v>7696</v>
      </c>
      <c r="B7697" s="27" t="s">
        <v>20779</v>
      </c>
      <c r="D7697" s="27" t="s">
        <v>1826</v>
      </c>
      <c r="F7697" s="27" t="s">
        <v>1844</v>
      </c>
      <c r="H7697" s="27" t="s">
        <v>1845</v>
      </c>
      <c r="J7697" s="27" t="s">
        <v>1848</v>
      </c>
      <c r="L7697" s="27" t="s">
        <v>918</v>
      </c>
      <c r="N7697" s="27" t="s">
        <v>2354</v>
      </c>
      <c r="P7697" s="27" t="s">
        <v>2355</v>
      </c>
      <c r="Q7697" s="26" t="str">
        <f>HYPERLINK("https://ictv.global/taxonomy/taxondetails?taxnode_id=202509509&amp;ictv_id=ICTV202009509","ICTV202009509")</f>
        <v>ICTV202009509</v>
      </c>
      <c r="R7697" t="s">
        <v>660</v>
      </c>
      <c r="S7697" t="s">
        <v>824</v>
      </c>
      <c r="T7697">
        <v>41</v>
      </c>
      <c r="U7697" s="26" t="str">
        <f t="shared" si="292"/>
        <v>2025.002G.Monodnaviria_reorg_4nr.zip</v>
      </c>
    </row>
    <row r="7698" spans="1:21">
      <c r="A7698">
        <v>7697</v>
      </c>
      <c r="B7698" s="27" t="s">
        <v>20779</v>
      </c>
      <c r="D7698" s="27" t="s">
        <v>1826</v>
      </c>
      <c r="F7698" s="27" t="s">
        <v>1844</v>
      </c>
      <c r="H7698" s="27" t="s">
        <v>1845</v>
      </c>
      <c r="J7698" s="27" t="s">
        <v>1848</v>
      </c>
      <c r="L7698" s="27" t="s">
        <v>918</v>
      </c>
      <c r="N7698" s="27" t="s">
        <v>2354</v>
      </c>
      <c r="P7698" s="27" t="s">
        <v>12316</v>
      </c>
      <c r="Q7698" s="26" t="str">
        <f>HYPERLINK("https://ictv.global/taxonomy/taxondetails?taxnode_id=202517979&amp;ictv_id=ICTV202317979","ICTV202317979")</f>
        <v>ICTV202317979</v>
      </c>
      <c r="R7698" t="s">
        <v>660</v>
      </c>
      <c r="S7698" t="s">
        <v>824</v>
      </c>
      <c r="T7698">
        <v>41</v>
      </c>
      <c r="U7698" s="26" t="str">
        <f t="shared" si="292"/>
        <v>2025.002G.Monodnaviria_reorg_4nr.zip</v>
      </c>
    </row>
    <row r="7699" spans="1:21">
      <c r="A7699">
        <v>7698</v>
      </c>
      <c r="B7699" s="27" t="s">
        <v>20779</v>
      </c>
      <c r="D7699" s="27" t="s">
        <v>1826</v>
      </c>
      <c r="F7699" s="27" t="s">
        <v>1844</v>
      </c>
      <c r="H7699" s="27" t="s">
        <v>1845</v>
      </c>
      <c r="J7699" s="27" t="s">
        <v>1848</v>
      </c>
      <c r="L7699" s="27" t="s">
        <v>918</v>
      </c>
      <c r="N7699" s="27" t="s">
        <v>2354</v>
      </c>
      <c r="P7699" s="27" t="s">
        <v>12317</v>
      </c>
      <c r="Q7699" s="26" t="str">
        <f>HYPERLINK("https://ictv.global/taxonomy/taxondetails?taxnode_id=202517980&amp;ictv_id=ICTV202317980","ICTV202317980")</f>
        <v>ICTV202317980</v>
      </c>
      <c r="R7699" t="s">
        <v>660</v>
      </c>
      <c r="S7699" t="s">
        <v>824</v>
      </c>
      <c r="T7699">
        <v>41</v>
      </c>
      <c r="U7699" s="26" t="str">
        <f t="shared" si="292"/>
        <v>2025.002G.Monodnaviria_reorg_4nr.zip</v>
      </c>
    </row>
    <row r="7700" spans="1:21">
      <c r="A7700">
        <v>7699</v>
      </c>
      <c r="B7700" s="27" t="s">
        <v>20779</v>
      </c>
      <c r="D7700" s="27" t="s">
        <v>1826</v>
      </c>
      <c r="F7700" s="27" t="s">
        <v>1844</v>
      </c>
      <c r="H7700" s="27" t="s">
        <v>1845</v>
      </c>
      <c r="J7700" s="27" t="s">
        <v>1848</v>
      </c>
      <c r="L7700" s="27" t="s">
        <v>918</v>
      </c>
      <c r="N7700" s="27" t="s">
        <v>2354</v>
      </c>
      <c r="P7700" s="27" t="s">
        <v>12318</v>
      </c>
      <c r="Q7700" s="26" t="str">
        <f>HYPERLINK("https://ictv.global/taxonomy/taxondetails?taxnode_id=202517981&amp;ictv_id=ICTV202317981","ICTV202317981")</f>
        <v>ICTV202317981</v>
      </c>
      <c r="R7700" t="s">
        <v>660</v>
      </c>
      <c r="S7700" t="s">
        <v>824</v>
      </c>
      <c r="T7700">
        <v>41</v>
      </c>
      <c r="U7700" s="26" t="str">
        <f t="shared" si="292"/>
        <v>2025.002G.Monodnaviria_reorg_4nr.zip</v>
      </c>
    </row>
    <row r="7701" spans="1:21">
      <c r="A7701">
        <v>7700</v>
      </c>
      <c r="B7701" s="27" t="s">
        <v>20779</v>
      </c>
      <c r="D7701" s="27" t="s">
        <v>1826</v>
      </c>
      <c r="F7701" s="27" t="s">
        <v>1844</v>
      </c>
      <c r="H7701" s="27" t="s">
        <v>1845</v>
      </c>
      <c r="J7701" s="27" t="s">
        <v>1848</v>
      </c>
      <c r="L7701" s="27" t="s">
        <v>918</v>
      </c>
      <c r="N7701" s="27" t="s">
        <v>2354</v>
      </c>
      <c r="P7701" s="27" t="s">
        <v>12319</v>
      </c>
      <c r="Q7701" s="26" t="str">
        <f>HYPERLINK("https://ictv.global/taxonomy/taxondetails?taxnode_id=202517983&amp;ictv_id=ICTV202317983","ICTV202317983")</f>
        <v>ICTV202317983</v>
      </c>
      <c r="R7701" t="s">
        <v>660</v>
      </c>
      <c r="S7701" t="s">
        <v>824</v>
      </c>
      <c r="T7701">
        <v>41</v>
      </c>
      <c r="U7701" s="26" t="str">
        <f t="shared" si="292"/>
        <v>2025.002G.Monodnaviria_reorg_4nr.zip</v>
      </c>
    </row>
    <row r="7702" spans="1:21">
      <c r="A7702">
        <v>7701</v>
      </c>
      <c r="B7702" s="27" t="s">
        <v>20779</v>
      </c>
      <c r="D7702" s="27" t="s">
        <v>1826</v>
      </c>
      <c r="F7702" s="27" t="s">
        <v>1844</v>
      </c>
      <c r="H7702" s="27" t="s">
        <v>1845</v>
      </c>
      <c r="J7702" s="27" t="s">
        <v>1848</v>
      </c>
      <c r="L7702" s="27" t="s">
        <v>918</v>
      </c>
      <c r="N7702" s="27" t="s">
        <v>2354</v>
      </c>
      <c r="P7702" s="27" t="s">
        <v>12320</v>
      </c>
      <c r="Q7702" s="26" t="str">
        <f>HYPERLINK("https://ictv.global/taxonomy/taxondetails?taxnode_id=202517984&amp;ictv_id=ICTV202317984","ICTV202317984")</f>
        <v>ICTV202317984</v>
      </c>
      <c r="R7702" t="s">
        <v>660</v>
      </c>
      <c r="S7702" t="s">
        <v>824</v>
      </c>
      <c r="T7702">
        <v>41</v>
      </c>
      <c r="U7702" s="26" t="str">
        <f t="shared" si="292"/>
        <v>2025.002G.Monodnaviria_reorg_4nr.zip</v>
      </c>
    </row>
    <row r="7703" spans="1:21">
      <c r="A7703">
        <v>7702</v>
      </c>
      <c r="B7703" s="27" t="s">
        <v>20779</v>
      </c>
      <c r="D7703" s="27" t="s">
        <v>1826</v>
      </c>
      <c r="F7703" s="27" t="s">
        <v>1844</v>
      </c>
      <c r="H7703" s="27" t="s">
        <v>1845</v>
      </c>
      <c r="J7703" s="27" t="s">
        <v>1848</v>
      </c>
      <c r="L7703" s="27" t="s">
        <v>918</v>
      </c>
      <c r="N7703" s="27" t="s">
        <v>2354</v>
      </c>
      <c r="P7703" s="27" t="s">
        <v>12321</v>
      </c>
      <c r="Q7703" s="26" t="str">
        <f>HYPERLINK("https://ictv.global/taxonomy/taxondetails?taxnode_id=202517985&amp;ictv_id=ICTV202317985","ICTV202317985")</f>
        <v>ICTV202317985</v>
      </c>
      <c r="R7703" t="s">
        <v>660</v>
      </c>
      <c r="S7703" t="s">
        <v>824</v>
      </c>
      <c r="T7703">
        <v>41</v>
      </c>
      <c r="U7703" s="26" t="str">
        <f t="shared" si="292"/>
        <v>2025.002G.Monodnaviria_reorg_4nr.zip</v>
      </c>
    </row>
    <row r="7704" spans="1:21">
      <c r="A7704">
        <v>7703</v>
      </c>
      <c r="B7704" s="27" t="s">
        <v>20779</v>
      </c>
      <c r="D7704" s="27" t="s">
        <v>1826</v>
      </c>
      <c r="F7704" s="27" t="s">
        <v>1844</v>
      </c>
      <c r="H7704" s="27" t="s">
        <v>1845</v>
      </c>
      <c r="J7704" s="27" t="s">
        <v>1848</v>
      </c>
      <c r="L7704" s="27" t="s">
        <v>918</v>
      </c>
      <c r="N7704" s="27" t="s">
        <v>2354</v>
      </c>
      <c r="P7704" s="27" t="s">
        <v>12322</v>
      </c>
      <c r="Q7704" s="26" t="str">
        <f>HYPERLINK("https://ictv.global/taxonomy/taxondetails?taxnode_id=202517986&amp;ictv_id=ICTV202317986","ICTV202317986")</f>
        <v>ICTV202317986</v>
      </c>
      <c r="R7704" t="s">
        <v>660</v>
      </c>
      <c r="S7704" t="s">
        <v>824</v>
      </c>
      <c r="T7704">
        <v>41</v>
      </c>
      <c r="U7704" s="26" t="str">
        <f t="shared" ref="U7704:U7767" si="293">HYPERLINK("https://ictv.global/ictv/proposals/2025.002G.Monodnaviria_reorg_4nr.zip","2025.002G.Monodnaviria_reorg_4nr.zip")</f>
        <v>2025.002G.Monodnaviria_reorg_4nr.zip</v>
      </c>
    </row>
    <row r="7705" spans="1:21">
      <c r="A7705">
        <v>7704</v>
      </c>
      <c r="B7705" s="27" t="s">
        <v>20779</v>
      </c>
      <c r="D7705" s="27" t="s">
        <v>1826</v>
      </c>
      <c r="F7705" s="27" t="s">
        <v>1844</v>
      </c>
      <c r="H7705" s="27" t="s">
        <v>1845</v>
      </c>
      <c r="J7705" s="27" t="s">
        <v>1848</v>
      </c>
      <c r="L7705" s="27" t="s">
        <v>918</v>
      </c>
      <c r="N7705" s="27" t="s">
        <v>2354</v>
      </c>
      <c r="P7705" s="27" t="s">
        <v>12323</v>
      </c>
      <c r="Q7705" s="26" t="str">
        <f>HYPERLINK("https://ictv.global/taxonomy/taxondetails?taxnode_id=202517987&amp;ictv_id=ICTV202317987","ICTV202317987")</f>
        <v>ICTV202317987</v>
      </c>
      <c r="R7705" t="s">
        <v>660</v>
      </c>
      <c r="S7705" t="s">
        <v>824</v>
      </c>
      <c r="T7705">
        <v>41</v>
      </c>
      <c r="U7705" s="26" t="str">
        <f t="shared" si="293"/>
        <v>2025.002G.Monodnaviria_reorg_4nr.zip</v>
      </c>
    </row>
    <row r="7706" spans="1:21">
      <c r="A7706">
        <v>7705</v>
      </c>
      <c r="B7706" s="27" t="s">
        <v>20779</v>
      </c>
      <c r="D7706" s="27" t="s">
        <v>1826</v>
      </c>
      <c r="F7706" s="27" t="s">
        <v>1844</v>
      </c>
      <c r="H7706" s="27" t="s">
        <v>1845</v>
      </c>
      <c r="J7706" s="27" t="s">
        <v>1848</v>
      </c>
      <c r="L7706" s="27" t="s">
        <v>918</v>
      </c>
      <c r="N7706" s="27" t="s">
        <v>2354</v>
      </c>
      <c r="P7706" s="27" t="s">
        <v>12324</v>
      </c>
      <c r="Q7706" s="26" t="str">
        <f>HYPERLINK("https://ictv.global/taxonomy/taxondetails?taxnode_id=202517988&amp;ictv_id=ICTV202317988","ICTV202317988")</f>
        <v>ICTV202317988</v>
      </c>
      <c r="R7706" t="s">
        <v>660</v>
      </c>
      <c r="S7706" t="s">
        <v>824</v>
      </c>
      <c r="T7706">
        <v>41</v>
      </c>
      <c r="U7706" s="26" t="str">
        <f t="shared" si="293"/>
        <v>2025.002G.Monodnaviria_reorg_4nr.zip</v>
      </c>
    </row>
    <row r="7707" spans="1:21">
      <c r="A7707">
        <v>7706</v>
      </c>
      <c r="B7707" s="27" t="s">
        <v>20779</v>
      </c>
      <c r="D7707" s="27" t="s">
        <v>1826</v>
      </c>
      <c r="F7707" s="27" t="s">
        <v>1844</v>
      </c>
      <c r="H7707" s="27" t="s">
        <v>1845</v>
      </c>
      <c r="J7707" s="27" t="s">
        <v>1848</v>
      </c>
      <c r="L7707" s="27" t="s">
        <v>918</v>
      </c>
      <c r="N7707" s="27" t="s">
        <v>2354</v>
      </c>
      <c r="P7707" s="27" t="s">
        <v>12325</v>
      </c>
      <c r="Q7707" s="26" t="str">
        <f>HYPERLINK("https://ictv.global/taxonomy/taxondetails?taxnode_id=202517989&amp;ictv_id=ICTV202317989","ICTV202317989")</f>
        <v>ICTV202317989</v>
      </c>
      <c r="R7707" t="s">
        <v>660</v>
      </c>
      <c r="S7707" t="s">
        <v>824</v>
      </c>
      <c r="T7707">
        <v>41</v>
      </c>
      <c r="U7707" s="26" t="str">
        <f t="shared" si="293"/>
        <v>2025.002G.Monodnaviria_reorg_4nr.zip</v>
      </c>
    </row>
    <row r="7708" spans="1:21">
      <c r="A7708">
        <v>7707</v>
      </c>
      <c r="B7708" s="27" t="s">
        <v>20779</v>
      </c>
      <c r="D7708" s="27" t="s">
        <v>1826</v>
      </c>
      <c r="F7708" s="27" t="s">
        <v>1844</v>
      </c>
      <c r="H7708" s="27" t="s">
        <v>1845</v>
      </c>
      <c r="J7708" s="27" t="s">
        <v>1848</v>
      </c>
      <c r="L7708" s="27" t="s">
        <v>918</v>
      </c>
      <c r="N7708" s="27" t="s">
        <v>2354</v>
      </c>
      <c r="P7708" s="27" t="s">
        <v>12326</v>
      </c>
      <c r="Q7708" s="26" t="str">
        <f>HYPERLINK("https://ictv.global/taxonomy/taxondetails?taxnode_id=202517990&amp;ictv_id=ICTV202317990","ICTV202317990")</f>
        <v>ICTV202317990</v>
      </c>
      <c r="R7708" t="s">
        <v>660</v>
      </c>
      <c r="S7708" t="s">
        <v>824</v>
      </c>
      <c r="T7708">
        <v>41</v>
      </c>
      <c r="U7708" s="26" t="str">
        <f t="shared" si="293"/>
        <v>2025.002G.Monodnaviria_reorg_4nr.zip</v>
      </c>
    </row>
    <row r="7709" spans="1:21">
      <c r="A7709">
        <v>7708</v>
      </c>
      <c r="B7709" s="27" t="s">
        <v>20779</v>
      </c>
      <c r="D7709" s="27" t="s">
        <v>1826</v>
      </c>
      <c r="F7709" s="27" t="s">
        <v>1844</v>
      </c>
      <c r="H7709" s="27" t="s">
        <v>1845</v>
      </c>
      <c r="J7709" s="27" t="s">
        <v>1848</v>
      </c>
      <c r="L7709" s="27" t="s">
        <v>918</v>
      </c>
      <c r="N7709" s="27" t="s">
        <v>2354</v>
      </c>
      <c r="P7709" s="27" t="s">
        <v>12327</v>
      </c>
      <c r="Q7709" s="26" t="str">
        <f>HYPERLINK("https://ictv.global/taxonomy/taxondetails?taxnode_id=202517982&amp;ictv_id=ICTV202317982","ICTV202317982")</f>
        <v>ICTV202317982</v>
      </c>
      <c r="R7709" t="s">
        <v>660</v>
      </c>
      <c r="S7709" t="s">
        <v>824</v>
      </c>
      <c r="T7709">
        <v>41</v>
      </c>
      <c r="U7709" s="26" t="str">
        <f t="shared" si="293"/>
        <v>2025.002G.Monodnaviria_reorg_4nr.zip</v>
      </c>
    </row>
    <row r="7710" spans="1:21">
      <c r="A7710">
        <v>7709</v>
      </c>
      <c r="B7710" s="27" t="s">
        <v>20779</v>
      </c>
      <c r="D7710" s="27" t="s">
        <v>1826</v>
      </c>
      <c r="F7710" s="27" t="s">
        <v>1844</v>
      </c>
      <c r="H7710" s="27" t="s">
        <v>1845</v>
      </c>
      <c r="J7710" s="27" t="s">
        <v>1848</v>
      </c>
      <c r="L7710" s="27" t="s">
        <v>918</v>
      </c>
      <c r="N7710" s="27" t="s">
        <v>2354</v>
      </c>
      <c r="P7710" s="27" t="s">
        <v>12328</v>
      </c>
      <c r="Q7710" s="26" t="str">
        <f>HYPERLINK("https://ictv.global/taxonomy/taxondetails?taxnode_id=202517991&amp;ictv_id=ICTV202317991","ICTV202317991")</f>
        <v>ICTV202317991</v>
      </c>
      <c r="R7710" t="s">
        <v>660</v>
      </c>
      <c r="S7710" t="s">
        <v>824</v>
      </c>
      <c r="T7710">
        <v>41</v>
      </c>
      <c r="U7710" s="26" t="str">
        <f t="shared" si="293"/>
        <v>2025.002G.Monodnaviria_reorg_4nr.zip</v>
      </c>
    </row>
    <row r="7711" spans="1:21">
      <c r="A7711">
        <v>7710</v>
      </c>
      <c r="B7711" s="27" t="s">
        <v>20779</v>
      </c>
      <c r="D7711" s="27" t="s">
        <v>1826</v>
      </c>
      <c r="F7711" s="27" t="s">
        <v>1844</v>
      </c>
      <c r="H7711" s="27" t="s">
        <v>1845</v>
      </c>
      <c r="J7711" s="27" t="s">
        <v>1848</v>
      </c>
      <c r="L7711" s="27" t="s">
        <v>918</v>
      </c>
      <c r="N7711" s="27" t="s">
        <v>2354</v>
      </c>
      <c r="P7711" s="27" t="s">
        <v>12329</v>
      </c>
      <c r="Q7711" s="26" t="str">
        <f>HYPERLINK("https://ictv.global/taxonomy/taxondetails?taxnode_id=202517992&amp;ictv_id=ICTV202317992","ICTV202317992")</f>
        <v>ICTV202317992</v>
      </c>
      <c r="R7711" t="s">
        <v>660</v>
      </c>
      <c r="S7711" t="s">
        <v>824</v>
      </c>
      <c r="T7711">
        <v>41</v>
      </c>
      <c r="U7711" s="26" t="str">
        <f t="shared" si="293"/>
        <v>2025.002G.Monodnaviria_reorg_4nr.zip</v>
      </c>
    </row>
    <row r="7712" spans="1:21">
      <c r="A7712">
        <v>7711</v>
      </c>
      <c r="B7712" s="27" t="s">
        <v>20779</v>
      </c>
      <c r="D7712" s="27" t="s">
        <v>1826</v>
      </c>
      <c r="F7712" s="27" t="s">
        <v>1844</v>
      </c>
      <c r="H7712" s="27" t="s">
        <v>1845</v>
      </c>
      <c r="J7712" s="27" t="s">
        <v>1848</v>
      </c>
      <c r="L7712" s="27" t="s">
        <v>918</v>
      </c>
      <c r="N7712" s="27" t="s">
        <v>923</v>
      </c>
      <c r="P7712" s="27" t="s">
        <v>2356</v>
      </c>
      <c r="Q7712" s="26" t="str">
        <f>HYPERLINK("https://ictv.global/taxonomy/taxondetails?taxnode_id=202505959&amp;ictv_id=ICTV20175959","ICTV20175959")</f>
        <v>ICTV20175959</v>
      </c>
      <c r="R7712" t="s">
        <v>660</v>
      </c>
      <c r="S7712" t="s">
        <v>824</v>
      </c>
      <c r="T7712">
        <v>41</v>
      </c>
      <c r="U7712" s="26" t="str">
        <f t="shared" si="293"/>
        <v>2025.002G.Monodnaviria_reorg_4nr.zip</v>
      </c>
    </row>
    <row r="7713" spans="1:21">
      <c r="A7713">
        <v>7712</v>
      </c>
      <c r="B7713" s="27" t="s">
        <v>20779</v>
      </c>
      <c r="D7713" s="27" t="s">
        <v>1826</v>
      </c>
      <c r="F7713" s="27" t="s">
        <v>1844</v>
      </c>
      <c r="H7713" s="27" t="s">
        <v>1845</v>
      </c>
      <c r="J7713" s="27" t="s">
        <v>1848</v>
      </c>
      <c r="L7713" s="27" t="s">
        <v>918</v>
      </c>
      <c r="N7713" s="27" t="s">
        <v>923</v>
      </c>
      <c r="P7713" s="27" t="s">
        <v>2357</v>
      </c>
      <c r="Q7713" s="26" t="str">
        <f>HYPERLINK("https://ictv.global/taxonomy/taxondetails?taxnode_id=202505960&amp;ictv_id=ICTV20175960","ICTV20175960")</f>
        <v>ICTV20175960</v>
      </c>
      <c r="R7713" t="s">
        <v>660</v>
      </c>
      <c r="S7713" t="s">
        <v>824</v>
      </c>
      <c r="T7713">
        <v>41</v>
      </c>
      <c r="U7713" s="26" t="str">
        <f t="shared" si="293"/>
        <v>2025.002G.Monodnaviria_reorg_4nr.zip</v>
      </c>
    </row>
    <row r="7714" spans="1:21">
      <c r="A7714">
        <v>7713</v>
      </c>
      <c r="B7714" s="27" t="s">
        <v>20779</v>
      </c>
      <c r="D7714" s="27" t="s">
        <v>1826</v>
      </c>
      <c r="F7714" s="27" t="s">
        <v>1844</v>
      </c>
      <c r="H7714" s="27" t="s">
        <v>1845</v>
      </c>
      <c r="J7714" s="27" t="s">
        <v>1848</v>
      </c>
      <c r="L7714" s="27" t="s">
        <v>918</v>
      </c>
      <c r="N7714" s="27" t="s">
        <v>923</v>
      </c>
      <c r="P7714" s="27" t="s">
        <v>2358</v>
      </c>
      <c r="Q7714" s="26" t="str">
        <f>HYPERLINK("https://ictv.global/taxonomy/taxondetails?taxnode_id=202505961&amp;ictv_id=ICTV20175961","ICTV20175961")</f>
        <v>ICTV20175961</v>
      </c>
      <c r="R7714" t="s">
        <v>660</v>
      </c>
      <c r="S7714" t="s">
        <v>824</v>
      </c>
      <c r="T7714">
        <v>41</v>
      </c>
      <c r="U7714" s="26" t="str">
        <f t="shared" si="293"/>
        <v>2025.002G.Monodnaviria_reorg_4nr.zip</v>
      </c>
    </row>
    <row r="7715" spans="1:21">
      <c r="A7715">
        <v>7714</v>
      </c>
      <c r="B7715" s="27" t="s">
        <v>20779</v>
      </c>
      <c r="D7715" s="27" t="s">
        <v>1826</v>
      </c>
      <c r="F7715" s="27" t="s">
        <v>1844</v>
      </c>
      <c r="H7715" s="27" t="s">
        <v>1845</v>
      </c>
      <c r="J7715" s="27" t="s">
        <v>1848</v>
      </c>
      <c r="L7715" s="27" t="s">
        <v>918</v>
      </c>
      <c r="N7715" s="27" t="s">
        <v>923</v>
      </c>
      <c r="P7715" s="27" t="s">
        <v>2359</v>
      </c>
      <c r="Q7715" s="26" t="str">
        <f>HYPERLINK("https://ictv.global/taxonomy/taxondetails?taxnode_id=202505962&amp;ictv_id=ICTV20175962","ICTV20175962")</f>
        <v>ICTV20175962</v>
      </c>
      <c r="R7715" t="s">
        <v>660</v>
      </c>
      <c r="S7715" t="s">
        <v>824</v>
      </c>
      <c r="T7715">
        <v>41</v>
      </c>
      <c r="U7715" s="26" t="str">
        <f t="shared" si="293"/>
        <v>2025.002G.Monodnaviria_reorg_4nr.zip</v>
      </c>
    </row>
    <row r="7716" spans="1:21">
      <c r="A7716">
        <v>7715</v>
      </c>
      <c r="B7716" s="27" t="s">
        <v>20779</v>
      </c>
      <c r="D7716" s="27" t="s">
        <v>1826</v>
      </c>
      <c r="F7716" s="27" t="s">
        <v>1844</v>
      </c>
      <c r="H7716" s="27" t="s">
        <v>1845</v>
      </c>
      <c r="J7716" s="27" t="s">
        <v>1848</v>
      </c>
      <c r="L7716" s="27" t="s">
        <v>918</v>
      </c>
      <c r="N7716" s="27" t="s">
        <v>923</v>
      </c>
      <c r="P7716" s="27" t="s">
        <v>2360</v>
      </c>
      <c r="Q7716" s="26" t="str">
        <f>HYPERLINK("https://ictv.global/taxonomy/taxondetails?taxnode_id=202505963&amp;ictv_id=ICTV20175963","ICTV20175963")</f>
        <v>ICTV20175963</v>
      </c>
      <c r="R7716" t="s">
        <v>660</v>
      </c>
      <c r="S7716" t="s">
        <v>824</v>
      </c>
      <c r="T7716">
        <v>41</v>
      </c>
      <c r="U7716" s="26" t="str">
        <f t="shared" si="293"/>
        <v>2025.002G.Monodnaviria_reorg_4nr.zip</v>
      </c>
    </row>
    <row r="7717" spans="1:21">
      <c r="A7717">
        <v>7716</v>
      </c>
      <c r="B7717" s="27" t="s">
        <v>20779</v>
      </c>
      <c r="D7717" s="27" t="s">
        <v>1826</v>
      </c>
      <c r="F7717" s="27" t="s">
        <v>1844</v>
      </c>
      <c r="H7717" s="27" t="s">
        <v>1845</v>
      </c>
      <c r="J7717" s="27" t="s">
        <v>1848</v>
      </c>
      <c r="L7717" s="27" t="s">
        <v>918</v>
      </c>
      <c r="N7717" s="27" t="s">
        <v>2361</v>
      </c>
      <c r="P7717" s="27" t="s">
        <v>12330</v>
      </c>
      <c r="Q7717" s="26" t="str">
        <f>HYPERLINK("https://ictv.global/taxonomy/taxondetails?taxnode_id=202517993&amp;ictv_id=ICTV202317993","ICTV202317993")</f>
        <v>ICTV202317993</v>
      </c>
      <c r="R7717" t="s">
        <v>660</v>
      </c>
      <c r="S7717" t="s">
        <v>824</v>
      </c>
      <c r="T7717">
        <v>41</v>
      </c>
      <c r="U7717" s="26" t="str">
        <f t="shared" si="293"/>
        <v>2025.002G.Monodnaviria_reorg_4nr.zip</v>
      </c>
    </row>
    <row r="7718" spans="1:21">
      <c r="A7718">
        <v>7717</v>
      </c>
      <c r="B7718" s="27" t="s">
        <v>20779</v>
      </c>
      <c r="D7718" s="27" t="s">
        <v>1826</v>
      </c>
      <c r="F7718" s="27" t="s">
        <v>1844</v>
      </c>
      <c r="H7718" s="27" t="s">
        <v>1845</v>
      </c>
      <c r="J7718" s="27" t="s">
        <v>1848</v>
      </c>
      <c r="L7718" s="27" t="s">
        <v>918</v>
      </c>
      <c r="N7718" s="27" t="s">
        <v>2361</v>
      </c>
      <c r="P7718" s="27" t="s">
        <v>2362</v>
      </c>
      <c r="Q7718" s="26" t="str">
        <f>HYPERLINK("https://ictv.global/taxonomy/taxondetails?taxnode_id=202509505&amp;ictv_id=ICTV202009505","ICTV202009505")</f>
        <v>ICTV202009505</v>
      </c>
      <c r="R7718" t="s">
        <v>660</v>
      </c>
      <c r="S7718" t="s">
        <v>824</v>
      </c>
      <c r="T7718">
        <v>41</v>
      </c>
      <c r="U7718" s="26" t="str">
        <f t="shared" si="293"/>
        <v>2025.002G.Monodnaviria_reorg_4nr.zip</v>
      </c>
    </row>
    <row r="7719" spans="1:21">
      <c r="A7719">
        <v>7718</v>
      </c>
      <c r="B7719" s="27" t="s">
        <v>20779</v>
      </c>
      <c r="D7719" s="27" t="s">
        <v>1826</v>
      </c>
      <c r="F7719" s="27" t="s">
        <v>1844</v>
      </c>
      <c r="H7719" s="27" t="s">
        <v>1845</v>
      </c>
      <c r="J7719" s="27" t="s">
        <v>1848</v>
      </c>
      <c r="L7719" s="27" t="s">
        <v>918</v>
      </c>
      <c r="N7719" s="27" t="s">
        <v>2361</v>
      </c>
      <c r="P7719" s="27" t="s">
        <v>2363</v>
      </c>
      <c r="Q7719" s="26" t="str">
        <f>HYPERLINK("https://ictv.global/taxonomy/taxondetails?taxnode_id=202509504&amp;ictv_id=ICTV202009504","ICTV202009504")</f>
        <v>ICTV202009504</v>
      </c>
      <c r="R7719" t="s">
        <v>660</v>
      </c>
      <c r="S7719" t="s">
        <v>824</v>
      </c>
      <c r="T7719">
        <v>41</v>
      </c>
      <c r="U7719" s="26" t="str">
        <f t="shared" si="293"/>
        <v>2025.002G.Monodnaviria_reorg_4nr.zip</v>
      </c>
    </row>
    <row r="7720" spans="1:21">
      <c r="A7720">
        <v>7719</v>
      </c>
      <c r="B7720" s="27" t="s">
        <v>20779</v>
      </c>
      <c r="D7720" s="27" t="s">
        <v>1826</v>
      </c>
      <c r="F7720" s="27" t="s">
        <v>1844</v>
      </c>
      <c r="H7720" s="27" t="s">
        <v>1845</v>
      </c>
      <c r="J7720" s="27" t="s">
        <v>1848</v>
      </c>
      <c r="L7720" s="27" t="s">
        <v>918</v>
      </c>
      <c r="N7720" s="27" t="s">
        <v>924</v>
      </c>
      <c r="P7720" s="27" t="s">
        <v>2364</v>
      </c>
      <c r="Q7720" s="26" t="str">
        <f>HYPERLINK("https://ictv.global/taxonomy/taxondetails?taxnode_id=202509510&amp;ictv_id=ICTV202009510","ICTV202009510")</f>
        <v>ICTV202009510</v>
      </c>
      <c r="R7720" t="s">
        <v>660</v>
      </c>
      <c r="S7720" t="s">
        <v>824</v>
      </c>
      <c r="T7720">
        <v>41</v>
      </c>
      <c r="U7720" s="26" t="str">
        <f t="shared" si="293"/>
        <v>2025.002G.Monodnaviria_reorg_4nr.zip</v>
      </c>
    </row>
    <row r="7721" spans="1:21">
      <c r="A7721">
        <v>7720</v>
      </c>
      <c r="B7721" s="27" t="s">
        <v>20779</v>
      </c>
      <c r="D7721" s="27" t="s">
        <v>1826</v>
      </c>
      <c r="F7721" s="27" t="s">
        <v>1844</v>
      </c>
      <c r="H7721" s="27" t="s">
        <v>1845</v>
      </c>
      <c r="J7721" s="27" t="s">
        <v>1848</v>
      </c>
      <c r="L7721" s="27" t="s">
        <v>918</v>
      </c>
      <c r="N7721" s="27" t="s">
        <v>924</v>
      </c>
      <c r="P7721" s="27" t="s">
        <v>12331</v>
      </c>
      <c r="Q7721" s="26" t="str">
        <f>HYPERLINK("https://ictv.global/taxonomy/taxondetails?taxnode_id=202517994&amp;ictv_id=ICTV202317994","ICTV202317994")</f>
        <v>ICTV202317994</v>
      </c>
      <c r="R7721" t="s">
        <v>660</v>
      </c>
      <c r="S7721" t="s">
        <v>824</v>
      </c>
      <c r="T7721">
        <v>41</v>
      </c>
      <c r="U7721" s="26" t="str">
        <f t="shared" si="293"/>
        <v>2025.002G.Monodnaviria_reorg_4nr.zip</v>
      </c>
    </row>
    <row r="7722" spans="1:21">
      <c r="A7722">
        <v>7721</v>
      </c>
      <c r="B7722" s="27" t="s">
        <v>20779</v>
      </c>
      <c r="D7722" s="27" t="s">
        <v>1826</v>
      </c>
      <c r="F7722" s="27" t="s">
        <v>1844</v>
      </c>
      <c r="H7722" s="27" t="s">
        <v>1845</v>
      </c>
      <c r="J7722" s="27" t="s">
        <v>1848</v>
      </c>
      <c r="L7722" s="27" t="s">
        <v>918</v>
      </c>
      <c r="N7722" s="27" t="s">
        <v>924</v>
      </c>
      <c r="P7722" s="27" t="s">
        <v>2365</v>
      </c>
      <c r="Q7722" s="26" t="str">
        <f>HYPERLINK("https://ictv.global/taxonomy/taxondetails?taxnode_id=202509511&amp;ictv_id=ICTV202009511","ICTV202009511")</f>
        <v>ICTV202009511</v>
      </c>
      <c r="R7722" t="s">
        <v>660</v>
      </c>
      <c r="S7722" t="s">
        <v>824</v>
      </c>
      <c r="T7722">
        <v>41</v>
      </c>
      <c r="U7722" s="26" t="str">
        <f t="shared" si="293"/>
        <v>2025.002G.Monodnaviria_reorg_4nr.zip</v>
      </c>
    </row>
    <row r="7723" spans="1:21">
      <c r="A7723">
        <v>7722</v>
      </c>
      <c r="B7723" s="27" t="s">
        <v>20779</v>
      </c>
      <c r="D7723" s="27" t="s">
        <v>1826</v>
      </c>
      <c r="F7723" s="27" t="s">
        <v>1844</v>
      </c>
      <c r="H7723" s="27" t="s">
        <v>1845</v>
      </c>
      <c r="J7723" s="27" t="s">
        <v>1848</v>
      </c>
      <c r="L7723" s="27" t="s">
        <v>918</v>
      </c>
      <c r="N7723" s="27" t="s">
        <v>924</v>
      </c>
      <c r="P7723" s="27" t="s">
        <v>12332</v>
      </c>
      <c r="Q7723" s="26" t="str">
        <f>HYPERLINK("https://ictv.global/taxonomy/taxondetails?taxnode_id=202517995&amp;ictv_id=ICTV202317995","ICTV202317995")</f>
        <v>ICTV202317995</v>
      </c>
      <c r="R7723" t="s">
        <v>660</v>
      </c>
      <c r="S7723" t="s">
        <v>824</v>
      </c>
      <c r="T7723">
        <v>41</v>
      </c>
      <c r="U7723" s="26" t="str">
        <f t="shared" si="293"/>
        <v>2025.002G.Monodnaviria_reorg_4nr.zip</v>
      </c>
    </row>
    <row r="7724" spans="1:21">
      <c r="A7724">
        <v>7723</v>
      </c>
      <c r="B7724" s="27" t="s">
        <v>20779</v>
      </c>
      <c r="D7724" s="27" t="s">
        <v>1826</v>
      </c>
      <c r="F7724" s="27" t="s">
        <v>1844</v>
      </c>
      <c r="H7724" s="27" t="s">
        <v>1845</v>
      </c>
      <c r="J7724" s="27" t="s">
        <v>1848</v>
      </c>
      <c r="L7724" s="27" t="s">
        <v>918</v>
      </c>
      <c r="N7724" s="27" t="s">
        <v>924</v>
      </c>
      <c r="P7724" s="27" t="s">
        <v>2366</v>
      </c>
      <c r="Q7724" s="26" t="str">
        <f>HYPERLINK("https://ictv.global/taxonomy/taxondetails?taxnode_id=202509512&amp;ictv_id=ICTV202009512","ICTV202009512")</f>
        <v>ICTV202009512</v>
      </c>
      <c r="R7724" t="s">
        <v>660</v>
      </c>
      <c r="S7724" t="s">
        <v>824</v>
      </c>
      <c r="T7724">
        <v>41</v>
      </c>
      <c r="U7724" s="26" t="str">
        <f t="shared" si="293"/>
        <v>2025.002G.Monodnaviria_reorg_4nr.zip</v>
      </c>
    </row>
    <row r="7725" spans="1:21">
      <c r="A7725">
        <v>7724</v>
      </c>
      <c r="B7725" s="27" t="s">
        <v>20779</v>
      </c>
      <c r="D7725" s="27" t="s">
        <v>1826</v>
      </c>
      <c r="F7725" s="27" t="s">
        <v>1844</v>
      </c>
      <c r="H7725" s="27" t="s">
        <v>1845</v>
      </c>
      <c r="J7725" s="27" t="s">
        <v>1848</v>
      </c>
      <c r="L7725" s="27" t="s">
        <v>918</v>
      </c>
      <c r="N7725" s="27" t="s">
        <v>924</v>
      </c>
      <c r="P7725" s="27" t="s">
        <v>2367</v>
      </c>
      <c r="Q7725" s="26" t="str">
        <f>HYPERLINK("https://ictv.global/taxonomy/taxondetails?taxnode_id=202505965&amp;ictv_id=ICTV20175965","ICTV20175965")</f>
        <v>ICTV20175965</v>
      </c>
      <c r="R7725" t="s">
        <v>660</v>
      </c>
      <c r="S7725" t="s">
        <v>824</v>
      </c>
      <c r="T7725">
        <v>41</v>
      </c>
      <c r="U7725" s="26" t="str">
        <f t="shared" si="293"/>
        <v>2025.002G.Monodnaviria_reorg_4nr.zip</v>
      </c>
    </row>
    <row r="7726" spans="1:21">
      <c r="A7726">
        <v>7725</v>
      </c>
      <c r="B7726" s="27" t="s">
        <v>20779</v>
      </c>
      <c r="D7726" s="27" t="s">
        <v>1826</v>
      </c>
      <c r="F7726" s="27" t="s">
        <v>1844</v>
      </c>
      <c r="H7726" s="27" t="s">
        <v>1845</v>
      </c>
      <c r="J7726" s="27" t="s">
        <v>1848</v>
      </c>
      <c r="L7726" s="27" t="s">
        <v>918</v>
      </c>
      <c r="N7726" s="27" t="s">
        <v>924</v>
      </c>
      <c r="P7726" s="27" t="s">
        <v>2368</v>
      </c>
      <c r="Q7726" s="26" t="str">
        <f>HYPERLINK("https://ictv.global/taxonomy/taxondetails?taxnode_id=202509513&amp;ictv_id=ICTV202009513","ICTV202009513")</f>
        <v>ICTV202009513</v>
      </c>
      <c r="R7726" t="s">
        <v>660</v>
      </c>
      <c r="S7726" t="s">
        <v>824</v>
      </c>
      <c r="T7726">
        <v>41</v>
      </c>
      <c r="U7726" s="26" t="str">
        <f t="shared" si="293"/>
        <v>2025.002G.Monodnaviria_reorg_4nr.zip</v>
      </c>
    </row>
    <row r="7727" spans="1:21">
      <c r="A7727">
        <v>7726</v>
      </c>
      <c r="B7727" s="27" t="s">
        <v>20779</v>
      </c>
      <c r="D7727" s="27" t="s">
        <v>1826</v>
      </c>
      <c r="F7727" s="27" t="s">
        <v>1844</v>
      </c>
      <c r="H7727" s="27" t="s">
        <v>1845</v>
      </c>
      <c r="J7727" s="27" t="s">
        <v>1848</v>
      </c>
      <c r="L7727" s="27" t="s">
        <v>918</v>
      </c>
      <c r="N7727" s="27" t="s">
        <v>924</v>
      </c>
      <c r="P7727" s="27" t="s">
        <v>12333</v>
      </c>
      <c r="Q7727" s="26" t="str">
        <f>HYPERLINK("https://ictv.global/taxonomy/taxondetails?taxnode_id=202517996&amp;ictv_id=ICTV202317996","ICTV202317996")</f>
        <v>ICTV202317996</v>
      </c>
      <c r="R7727" t="s">
        <v>660</v>
      </c>
      <c r="S7727" t="s">
        <v>824</v>
      </c>
      <c r="T7727">
        <v>41</v>
      </c>
      <c r="U7727" s="26" t="str">
        <f t="shared" si="293"/>
        <v>2025.002G.Monodnaviria_reorg_4nr.zip</v>
      </c>
    </row>
    <row r="7728" spans="1:21">
      <c r="A7728">
        <v>7727</v>
      </c>
      <c r="B7728" s="27" t="s">
        <v>20779</v>
      </c>
      <c r="D7728" s="27" t="s">
        <v>1826</v>
      </c>
      <c r="F7728" s="27" t="s">
        <v>1844</v>
      </c>
      <c r="H7728" s="27" t="s">
        <v>1845</v>
      </c>
      <c r="J7728" s="27" t="s">
        <v>1848</v>
      </c>
      <c r="L7728" s="27" t="s">
        <v>918</v>
      </c>
      <c r="N7728" s="27" t="s">
        <v>924</v>
      </c>
      <c r="P7728" s="27" t="s">
        <v>2369</v>
      </c>
      <c r="Q7728" s="26" t="str">
        <f>HYPERLINK("https://ictv.global/taxonomy/taxondetails?taxnode_id=202505966&amp;ictv_id=ICTV20175966","ICTV20175966")</f>
        <v>ICTV20175966</v>
      </c>
      <c r="R7728" t="s">
        <v>660</v>
      </c>
      <c r="S7728" t="s">
        <v>824</v>
      </c>
      <c r="T7728">
        <v>41</v>
      </c>
      <c r="U7728" s="26" t="str">
        <f t="shared" si="293"/>
        <v>2025.002G.Monodnaviria_reorg_4nr.zip</v>
      </c>
    </row>
    <row r="7729" spans="1:21">
      <c r="A7729">
        <v>7728</v>
      </c>
      <c r="B7729" s="27" t="s">
        <v>20779</v>
      </c>
      <c r="D7729" s="27" t="s">
        <v>1826</v>
      </c>
      <c r="F7729" s="27" t="s">
        <v>1844</v>
      </c>
      <c r="H7729" s="27" t="s">
        <v>1845</v>
      </c>
      <c r="J7729" s="27" t="s">
        <v>1848</v>
      </c>
      <c r="L7729" s="27" t="s">
        <v>918</v>
      </c>
      <c r="N7729" s="27" t="s">
        <v>924</v>
      </c>
      <c r="P7729" s="27" t="s">
        <v>2370</v>
      </c>
      <c r="Q7729" s="26" t="str">
        <f>HYPERLINK("https://ictv.global/taxonomy/taxondetails?taxnode_id=202505967&amp;ictv_id=ICTV20175967","ICTV20175967")</f>
        <v>ICTV20175967</v>
      </c>
      <c r="R7729" t="s">
        <v>660</v>
      </c>
      <c r="S7729" t="s">
        <v>824</v>
      </c>
      <c r="T7729">
        <v>41</v>
      </c>
      <c r="U7729" s="26" t="str">
        <f t="shared" si="293"/>
        <v>2025.002G.Monodnaviria_reorg_4nr.zip</v>
      </c>
    </row>
    <row r="7730" spans="1:21">
      <c r="A7730">
        <v>7729</v>
      </c>
      <c r="B7730" s="27" t="s">
        <v>20779</v>
      </c>
      <c r="D7730" s="27" t="s">
        <v>1826</v>
      </c>
      <c r="F7730" s="27" t="s">
        <v>1844</v>
      </c>
      <c r="H7730" s="27" t="s">
        <v>1845</v>
      </c>
      <c r="J7730" s="27" t="s">
        <v>1848</v>
      </c>
      <c r="L7730" s="27" t="s">
        <v>918</v>
      </c>
      <c r="N7730" s="27" t="s">
        <v>924</v>
      </c>
      <c r="P7730" s="27" t="s">
        <v>2371</v>
      </c>
      <c r="Q7730" s="26" t="str">
        <f>HYPERLINK("https://ictv.global/taxonomy/taxondetails?taxnode_id=202505968&amp;ictv_id=ICTV20175968","ICTV20175968")</f>
        <v>ICTV20175968</v>
      </c>
      <c r="R7730" t="s">
        <v>660</v>
      </c>
      <c r="S7730" t="s">
        <v>824</v>
      </c>
      <c r="T7730">
        <v>41</v>
      </c>
      <c r="U7730" s="26" t="str">
        <f t="shared" si="293"/>
        <v>2025.002G.Monodnaviria_reorg_4nr.zip</v>
      </c>
    </row>
    <row r="7731" spans="1:21">
      <c r="A7731">
        <v>7730</v>
      </c>
      <c r="B7731" s="27" t="s">
        <v>20779</v>
      </c>
      <c r="D7731" s="27" t="s">
        <v>1826</v>
      </c>
      <c r="F7731" s="27" t="s">
        <v>1844</v>
      </c>
      <c r="H7731" s="27" t="s">
        <v>1845</v>
      </c>
      <c r="J7731" s="27" t="s">
        <v>1848</v>
      </c>
      <c r="L7731" s="27" t="s">
        <v>918</v>
      </c>
      <c r="N7731" s="27" t="s">
        <v>924</v>
      </c>
      <c r="P7731" s="27" t="s">
        <v>2372</v>
      </c>
      <c r="Q7731" s="26" t="str">
        <f>HYPERLINK("https://ictv.global/taxonomy/taxondetails?taxnode_id=202505969&amp;ictv_id=ICTV20175969","ICTV20175969")</f>
        <v>ICTV20175969</v>
      </c>
      <c r="R7731" t="s">
        <v>660</v>
      </c>
      <c r="S7731" t="s">
        <v>824</v>
      </c>
      <c r="T7731">
        <v>41</v>
      </c>
      <c r="U7731" s="26" t="str">
        <f t="shared" si="293"/>
        <v>2025.002G.Monodnaviria_reorg_4nr.zip</v>
      </c>
    </row>
    <row r="7732" spans="1:21">
      <c r="A7732">
        <v>7731</v>
      </c>
      <c r="B7732" s="27" t="s">
        <v>20779</v>
      </c>
      <c r="D7732" s="27" t="s">
        <v>1826</v>
      </c>
      <c r="F7732" s="27" t="s">
        <v>1844</v>
      </c>
      <c r="H7732" s="27" t="s">
        <v>1845</v>
      </c>
      <c r="J7732" s="27" t="s">
        <v>1848</v>
      </c>
      <c r="L7732" s="27" t="s">
        <v>918</v>
      </c>
      <c r="N7732" s="27" t="s">
        <v>924</v>
      </c>
      <c r="P7732" s="27" t="s">
        <v>12334</v>
      </c>
      <c r="Q7732" s="26" t="str">
        <f>HYPERLINK("https://ictv.global/taxonomy/taxondetails?taxnode_id=202517997&amp;ictv_id=ICTV202317997","ICTV202317997")</f>
        <v>ICTV202317997</v>
      </c>
      <c r="R7732" t="s">
        <v>660</v>
      </c>
      <c r="S7732" t="s">
        <v>824</v>
      </c>
      <c r="T7732">
        <v>41</v>
      </c>
      <c r="U7732" s="26" t="str">
        <f t="shared" si="293"/>
        <v>2025.002G.Monodnaviria_reorg_4nr.zip</v>
      </c>
    </row>
    <row r="7733" spans="1:21">
      <c r="A7733">
        <v>7732</v>
      </c>
      <c r="B7733" s="27" t="s">
        <v>20779</v>
      </c>
      <c r="D7733" s="27" t="s">
        <v>1826</v>
      </c>
      <c r="F7733" s="27" t="s">
        <v>1844</v>
      </c>
      <c r="H7733" s="27" t="s">
        <v>1845</v>
      </c>
      <c r="J7733" s="27" t="s">
        <v>1848</v>
      </c>
      <c r="L7733" s="27" t="s">
        <v>918</v>
      </c>
      <c r="N7733" s="27" t="s">
        <v>924</v>
      </c>
      <c r="P7733" s="27" t="s">
        <v>12335</v>
      </c>
      <c r="Q7733" s="26" t="str">
        <f>HYPERLINK("https://ictv.global/taxonomy/taxondetails?taxnode_id=202517998&amp;ictv_id=ICTV202317998","ICTV202317998")</f>
        <v>ICTV202317998</v>
      </c>
      <c r="R7733" t="s">
        <v>660</v>
      </c>
      <c r="S7733" t="s">
        <v>824</v>
      </c>
      <c r="T7733">
        <v>41</v>
      </c>
      <c r="U7733" s="26" t="str">
        <f t="shared" si="293"/>
        <v>2025.002G.Monodnaviria_reorg_4nr.zip</v>
      </c>
    </row>
    <row r="7734" spans="1:21">
      <c r="A7734">
        <v>7733</v>
      </c>
      <c r="B7734" s="27" t="s">
        <v>20779</v>
      </c>
      <c r="D7734" s="27" t="s">
        <v>1826</v>
      </c>
      <c r="F7734" s="27" t="s">
        <v>1844</v>
      </c>
      <c r="H7734" s="27" t="s">
        <v>1845</v>
      </c>
      <c r="J7734" s="27" t="s">
        <v>1848</v>
      </c>
      <c r="L7734" s="27" t="s">
        <v>918</v>
      </c>
      <c r="N7734" s="27" t="s">
        <v>924</v>
      </c>
      <c r="P7734" s="27" t="s">
        <v>12336</v>
      </c>
      <c r="Q7734" s="26" t="str">
        <f>HYPERLINK("https://ictv.global/taxonomy/taxondetails?taxnode_id=202517999&amp;ictv_id=ICTV202317999","ICTV202317999")</f>
        <v>ICTV202317999</v>
      </c>
      <c r="R7734" t="s">
        <v>660</v>
      </c>
      <c r="S7734" t="s">
        <v>824</v>
      </c>
      <c r="T7734">
        <v>41</v>
      </c>
      <c r="U7734" s="26" t="str">
        <f t="shared" si="293"/>
        <v>2025.002G.Monodnaviria_reorg_4nr.zip</v>
      </c>
    </row>
    <row r="7735" spans="1:21">
      <c r="A7735">
        <v>7734</v>
      </c>
      <c r="B7735" s="27" t="s">
        <v>20779</v>
      </c>
      <c r="D7735" s="27" t="s">
        <v>1826</v>
      </c>
      <c r="F7735" s="27" t="s">
        <v>1844</v>
      </c>
      <c r="H7735" s="27" t="s">
        <v>1845</v>
      </c>
      <c r="J7735" s="27" t="s">
        <v>1848</v>
      </c>
      <c r="L7735" s="27" t="s">
        <v>918</v>
      </c>
      <c r="N7735" s="27" t="s">
        <v>924</v>
      </c>
      <c r="P7735" s="27" t="s">
        <v>12337</v>
      </c>
      <c r="Q7735" s="26" t="str">
        <f>HYPERLINK("https://ictv.global/taxonomy/taxondetails?taxnode_id=202518000&amp;ictv_id=ICTV202318000","ICTV202318000")</f>
        <v>ICTV202318000</v>
      </c>
      <c r="R7735" t="s">
        <v>660</v>
      </c>
      <c r="S7735" t="s">
        <v>824</v>
      </c>
      <c r="T7735">
        <v>41</v>
      </c>
      <c r="U7735" s="26" t="str">
        <f t="shared" si="293"/>
        <v>2025.002G.Monodnaviria_reorg_4nr.zip</v>
      </c>
    </row>
    <row r="7736" spans="1:21">
      <c r="A7736">
        <v>7735</v>
      </c>
      <c r="B7736" s="27" t="s">
        <v>20779</v>
      </c>
      <c r="D7736" s="27" t="s">
        <v>1826</v>
      </c>
      <c r="F7736" s="27" t="s">
        <v>1844</v>
      </c>
      <c r="H7736" s="27" t="s">
        <v>1845</v>
      </c>
      <c r="J7736" s="27" t="s">
        <v>1848</v>
      </c>
      <c r="L7736" s="27" t="s">
        <v>918</v>
      </c>
      <c r="N7736" s="27" t="s">
        <v>924</v>
      </c>
      <c r="P7736" s="27" t="s">
        <v>12338</v>
      </c>
      <c r="Q7736" s="26" t="str">
        <f>HYPERLINK("https://ictv.global/taxonomy/taxondetails?taxnode_id=202518001&amp;ictv_id=ICTV202318001","ICTV202318001")</f>
        <v>ICTV202318001</v>
      </c>
      <c r="R7736" t="s">
        <v>660</v>
      </c>
      <c r="S7736" t="s">
        <v>824</v>
      </c>
      <c r="T7736">
        <v>41</v>
      </c>
      <c r="U7736" s="26" t="str">
        <f t="shared" si="293"/>
        <v>2025.002G.Monodnaviria_reorg_4nr.zip</v>
      </c>
    </row>
    <row r="7737" spans="1:21">
      <c r="A7737">
        <v>7736</v>
      </c>
      <c r="B7737" s="27" t="s">
        <v>20779</v>
      </c>
      <c r="D7737" s="27" t="s">
        <v>1826</v>
      </c>
      <c r="F7737" s="27" t="s">
        <v>1844</v>
      </c>
      <c r="H7737" s="27" t="s">
        <v>1845</v>
      </c>
      <c r="J7737" s="27" t="s">
        <v>1848</v>
      </c>
      <c r="L7737" s="27" t="s">
        <v>918</v>
      </c>
      <c r="N7737" s="27" t="s">
        <v>924</v>
      </c>
      <c r="P7737" s="27" t="s">
        <v>12339</v>
      </c>
      <c r="Q7737" s="26" t="str">
        <f>HYPERLINK("https://ictv.global/taxonomy/taxondetails?taxnode_id=202518002&amp;ictv_id=ICTV202318002","ICTV202318002")</f>
        <v>ICTV202318002</v>
      </c>
      <c r="R7737" t="s">
        <v>660</v>
      </c>
      <c r="S7737" t="s">
        <v>824</v>
      </c>
      <c r="T7737">
        <v>41</v>
      </c>
      <c r="U7737" s="26" t="str">
        <f t="shared" si="293"/>
        <v>2025.002G.Monodnaviria_reorg_4nr.zip</v>
      </c>
    </row>
    <row r="7738" spans="1:21">
      <c r="A7738">
        <v>7737</v>
      </c>
      <c r="B7738" s="27" t="s">
        <v>20779</v>
      </c>
      <c r="D7738" s="27" t="s">
        <v>1826</v>
      </c>
      <c r="F7738" s="27" t="s">
        <v>1844</v>
      </c>
      <c r="H7738" s="27" t="s">
        <v>1845</v>
      </c>
      <c r="J7738" s="27" t="s">
        <v>1848</v>
      </c>
      <c r="L7738" s="27" t="s">
        <v>918</v>
      </c>
      <c r="N7738" s="27" t="s">
        <v>924</v>
      </c>
      <c r="P7738" s="27" t="s">
        <v>12340</v>
      </c>
      <c r="Q7738" s="26" t="str">
        <f>HYPERLINK("https://ictv.global/taxonomy/taxondetails?taxnode_id=202518003&amp;ictv_id=ICTV202318003","ICTV202318003")</f>
        <v>ICTV202318003</v>
      </c>
      <c r="R7738" t="s">
        <v>660</v>
      </c>
      <c r="S7738" t="s">
        <v>824</v>
      </c>
      <c r="T7738">
        <v>41</v>
      </c>
      <c r="U7738" s="26" t="str">
        <f t="shared" si="293"/>
        <v>2025.002G.Monodnaviria_reorg_4nr.zip</v>
      </c>
    </row>
    <row r="7739" spans="1:21">
      <c r="A7739">
        <v>7738</v>
      </c>
      <c r="B7739" s="27" t="s">
        <v>20779</v>
      </c>
      <c r="D7739" s="27" t="s">
        <v>1826</v>
      </c>
      <c r="F7739" s="27" t="s">
        <v>1844</v>
      </c>
      <c r="H7739" s="27" t="s">
        <v>1845</v>
      </c>
      <c r="J7739" s="27" t="s">
        <v>1848</v>
      </c>
      <c r="L7739" s="27" t="s">
        <v>918</v>
      </c>
      <c r="N7739" s="27" t="s">
        <v>924</v>
      </c>
      <c r="P7739" s="27" t="s">
        <v>12341</v>
      </c>
      <c r="Q7739" s="26" t="str">
        <f>HYPERLINK("https://ictv.global/taxonomy/taxondetails?taxnode_id=202518004&amp;ictv_id=ICTV202318004","ICTV202318004")</f>
        <v>ICTV202318004</v>
      </c>
      <c r="R7739" t="s">
        <v>660</v>
      </c>
      <c r="S7739" t="s">
        <v>824</v>
      </c>
      <c r="T7739">
        <v>41</v>
      </c>
      <c r="U7739" s="26" t="str">
        <f t="shared" si="293"/>
        <v>2025.002G.Monodnaviria_reorg_4nr.zip</v>
      </c>
    </row>
    <row r="7740" spans="1:21">
      <c r="A7740">
        <v>7739</v>
      </c>
      <c r="B7740" s="27" t="s">
        <v>20779</v>
      </c>
      <c r="D7740" s="27" t="s">
        <v>1826</v>
      </c>
      <c r="F7740" s="27" t="s">
        <v>1844</v>
      </c>
      <c r="H7740" s="27" t="s">
        <v>1845</v>
      </c>
      <c r="J7740" s="27" t="s">
        <v>1848</v>
      </c>
      <c r="L7740" s="27" t="s">
        <v>918</v>
      </c>
      <c r="N7740" s="27" t="s">
        <v>924</v>
      </c>
      <c r="P7740" s="27" t="s">
        <v>12342</v>
      </c>
      <c r="Q7740" s="26" t="str">
        <f>HYPERLINK("https://ictv.global/taxonomy/taxondetails?taxnode_id=202518005&amp;ictv_id=ICTV202318005","ICTV202318005")</f>
        <v>ICTV202318005</v>
      </c>
      <c r="R7740" t="s">
        <v>660</v>
      </c>
      <c r="S7740" t="s">
        <v>824</v>
      </c>
      <c r="T7740">
        <v>41</v>
      </c>
      <c r="U7740" s="26" t="str">
        <f t="shared" si="293"/>
        <v>2025.002G.Monodnaviria_reorg_4nr.zip</v>
      </c>
    </row>
    <row r="7741" spans="1:21">
      <c r="A7741">
        <v>7740</v>
      </c>
      <c r="B7741" s="27" t="s">
        <v>20779</v>
      </c>
      <c r="D7741" s="27" t="s">
        <v>1826</v>
      </c>
      <c r="F7741" s="27" t="s">
        <v>1844</v>
      </c>
      <c r="H7741" s="27" t="s">
        <v>1845</v>
      </c>
      <c r="J7741" s="27" t="s">
        <v>1848</v>
      </c>
      <c r="L7741" s="27" t="s">
        <v>918</v>
      </c>
      <c r="N7741" s="27" t="s">
        <v>924</v>
      </c>
      <c r="P7741" s="27" t="s">
        <v>12343</v>
      </c>
      <c r="Q7741" s="26" t="str">
        <f>HYPERLINK("https://ictv.global/taxonomy/taxondetails?taxnode_id=202518006&amp;ictv_id=ICTV202318006","ICTV202318006")</f>
        <v>ICTV202318006</v>
      </c>
      <c r="R7741" t="s">
        <v>660</v>
      </c>
      <c r="S7741" t="s">
        <v>824</v>
      </c>
      <c r="T7741">
        <v>41</v>
      </c>
      <c r="U7741" s="26" t="str">
        <f t="shared" si="293"/>
        <v>2025.002G.Monodnaviria_reorg_4nr.zip</v>
      </c>
    </row>
    <row r="7742" spans="1:21">
      <c r="A7742">
        <v>7741</v>
      </c>
      <c r="B7742" s="27" t="s">
        <v>20779</v>
      </c>
      <c r="D7742" s="27" t="s">
        <v>1826</v>
      </c>
      <c r="F7742" s="27" t="s">
        <v>1844</v>
      </c>
      <c r="H7742" s="27" t="s">
        <v>1845</v>
      </c>
      <c r="J7742" s="27" t="s">
        <v>1848</v>
      </c>
      <c r="L7742" s="27" t="s">
        <v>918</v>
      </c>
      <c r="N7742" s="27" t="s">
        <v>924</v>
      </c>
      <c r="P7742" s="27" t="s">
        <v>2373</v>
      </c>
      <c r="Q7742" s="26" t="str">
        <f>HYPERLINK("https://ictv.global/taxonomy/taxondetails?taxnode_id=202509514&amp;ictv_id=ICTV202009514","ICTV202009514")</f>
        <v>ICTV202009514</v>
      </c>
      <c r="R7742" t="s">
        <v>660</v>
      </c>
      <c r="S7742" t="s">
        <v>824</v>
      </c>
      <c r="T7742">
        <v>41</v>
      </c>
      <c r="U7742" s="26" t="str">
        <f t="shared" si="293"/>
        <v>2025.002G.Monodnaviria_reorg_4nr.zip</v>
      </c>
    </row>
    <row r="7743" spans="1:21">
      <c r="A7743">
        <v>7742</v>
      </c>
      <c r="B7743" s="27" t="s">
        <v>20779</v>
      </c>
      <c r="D7743" s="27" t="s">
        <v>1826</v>
      </c>
      <c r="F7743" s="27" t="s">
        <v>1844</v>
      </c>
      <c r="H7743" s="27" t="s">
        <v>1845</v>
      </c>
      <c r="J7743" s="27" t="s">
        <v>1848</v>
      </c>
      <c r="L7743" s="27" t="s">
        <v>918</v>
      </c>
      <c r="N7743" s="27" t="s">
        <v>924</v>
      </c>
      <c r="P7743" s="27" t="s">
        <v>2374</v>
      </c>
      <c r="Q7743" s="26" t="str">
        <f>HYPERLINK("https://ictv.global/taxonomy/taxondetails?taxnode_id=202509515&amp;ictv_id=ICTV202009515","ICTV202009515")</f>
        <v>ICTV202009515</v>
      </c>
      <c r="R7743" t="s">
        <v>660</v>
      </c>
      <c r="S7743" t="s">
        <v>824</v>
      </c>
      <c r="T7743">
        <v>41</v>
      </c>
      <c r="U7743" s="26" t="str">
        <f t="shared" si="293"/>
        <v>2025.002G.Monodnaviria_reorg_4nr.zip</v>
      </c>
    </row>
    <row r="7744" spans="1:21">
      <c r="A7744">
        <v>7743</v>
      </c>
      <c r="B7744" s="27" t="s">
        <v>20779</v>
      </c>
      <c r="D7744" s="27" t="s">
        <v>1826</v>
      </c>
      <c r="F7744" s="27" t="s">
        <v>1844</v>
      </c>
      <c r="H7744" s="27" t="s">
        <v>1845</v>
      </c>
      <c r="J7744" s="27" t="s">
        <v>1848</v>
      </c>
      <c r="L7744" s="27" t="s">
        <v>918</v>
      </c>
      <c r="N7744" s="27" t="s">
        <v>924</v>
      </c>
      <c r="P7744" s="27" t="s">
        <v>2375</v>
      </c>
      <c r="Q7744" s="26" t="str">
        <f>HYPERLINK("https://ictv.global/taxonomy/taxondetails?taxnode_id=202509516&amp;ictv_id=ICTV202009516","ICTV202009516")</f>
        <v>ICTV202009516</v>
      </c>
      <c r="R7744" t="s">
        <v>660</v>
      </c>
      <c r="S7744" t="s">
        <v>824</v>
      </c>
      <c r="T7744">
        <v>41</v>
      </c>
      <c r="U7744" s="26" t="str">
        <f t="shared" si="293"/>
        <v>2025.002G.Monodnaviria_reorg_4nr.zip</v>
      </c>
    </row>
    <row r="7745" spans="1:21">
      <c r="A7745">
        <v>7744</v>
      </c>
      <c r="B7745" s="27" t="s">
        <v>20779</v>
      </c>
      <c r="D7745" s="27" t="s">
        <v>1826</v>
      </c>
      <c r="F7745" s="27" t="s">
        <v>1844</v>
      </c>
      <c r="H7745" s="27" t="s">
        <v>1845</v>
      </c>
      <c r="J7745" s="27" t="s">
        <v>1848</v>
      </c>
      <c r="L7745" s="27" t="s">
        <v>918</v>
      </c>
      <c r="N7745" s="27" t="s">
        <v>924</v>
      </c>
      <c r="P7745" s="27" t="s">
        <v>2376</v>
      </c>
      <c r="Q7745" s="26" t="str">
        <f>HYPERLINK("https://ictv.global/taxonomy/taxondetails?taxnode_id=202509517&amp;ictv_id=ICTV202009517","ICTV202009517")</f>
        <v>ICTV202009517</v>
      </c>
      <c r="R7745" t="s">
        <v>660</v>
      </c>
      <c r="S7745" t="s">
        <v>824</v>
      </c>
      <c r="T7745">
        <v>41</v>
      </c>
      <c r="U7745" s="26" t="str">
        <f t="shared" si="293"/>
        <v>2025.002G.Monodnaviria_reorg_4nr.zip</v>
      </c>
    </row>
    <row r="7746" spans="1:21">
      <c r="A7746">
        <v>7745</v>
      </c>
      <c r="B7746" s="27" t="s">
        <v>20779</v>
      </c>
      <c r="D7746" s="27" t="s">
        <v>1826</v>
      </c>
      <c r="F7746" s="27" t="s">
        <v>1844</v>
      </c>
      <c r="H7746" s="27" t="s">
        <v>1845</v>
      </c>
      <c r="J7746" s="27" t="s">
        <v>1848</v>
      </c>
      <c r="L7746" s="27" t="s">
        <v>918</v>
      </c>
      <c r="N7746" s="27" t="s">
        <v>924</v>
      </c>
      <c r="P7746" s="27" t="s">
        <v>2377</v>
      </c>
      <c r="Q7746" s="26" t="str">
        <f>HYPERLINK("https://ictv.global/taxonomy/taxondetails?taxnode_id=202509518&amp;ictv_id=ICTV202009518","ICTV202009518")</f>
        <v>ICTV202009518</v>
      </c>
      <c r="R7746" t="s">
        <v>660</v>
      </c>
      <c r="S7746" t="s">
        <v>824</v>
      </c>
      <c r="T7746">
        <v>41</v>
      </c>
      <c r="U7746" s="26" t="str">
        <f t="shared" si="293"/>
        <v>2025.002G.Monodnaviria_reorg_4nr.zip</v>
      </c>
    </row>
    <row r="7747" spans="1:21">
      <c r="A7747">
        <v>7746</v>
      </c>
      <c r="B7747" s="27" t="s">
        <v>20779</v>
      </c>
      <c r="D7747" s="27" t="s">
        <v>1826</v>
      </c>
      <c r="F7747" s="27" t="s">
        <v>1844</v>
      </c>
      <c r="H7747" s="27" t="s">
        <v>1845</v>
      </c>
      <c r="J7747" s="27" t="s">
        <v>1848</v>
      </c>
      <c r="L7747" s="27" t="s">
        <v>918</v>
      </c>
      <c r="N7747" s="27" t="s">
        <v>924</v>
      </c>
      <c r="P7747" s="27" t="s">
        <v>2378</v>
      </c>
      <c r="Q7747" s="26" t="str">
        <f>HYPERLINK("https://ictv.global/taxonomy/taxondetails?taxnode_id=202509519&amp;ictv_id=ICTV202009519","ICTV202009519")</f>
        <v>ICTV202009519</v>
      </c>
      <c r="R7747" t="s">
        <v>660</v>
      </c>
      <c r="S7747" t="s">
        <v>824</v>
      </c>
      <c r="T7747">
        <v>41</v>
      </c>
      <c r="U7747" s="26" t="str">
        <f t="shared" si="293"/>
        <v>2025.002G.Monodnaviria_reorg_4nr.zip</v>
      </c>
    </row>
    <row r="7748" spans="1:21">
      <c r="A7748">
        <v>7747</v>
      </c>
      <c r="B7748" s="27" t="s">
        <v>20779</v>
      </c>
      <c r="D7748" s="27" t="s">
        <v>1826</v>
      </c>
      <c r="F7748" s="27" t="s">
        <v>1844</v>
      </c>
      <c r="H7748" s="27" t="s">
        <v>1845</v>
      </c>
      <c r="J7748" s="27" t="s">
        <v>1848</v>
      </c>
      <c r="L7748" s="27" t="s">
        <v>918</v>
      </c>
      <c r="N7748" s="27" t="s">
        <v>924</v>
      </c>
      <c r="P7748" s="27" t="s">
        <v>2379</v>
      </c>
      <c r="Q7748" s="26" t="str">
        <f>HYPERLINK("https://ictv.global/taxonomy/taxondetails?taxnode_id=202509520&amp;ictv_id=ICTV202009520","ICTV202009520")</f>
        <v>ICTV202009520</v>
      </c>
      <c r="R7748" t="s">
        <v>660</v>
      </c>
      <c r="S7748" t="s">
        <v>824</v>
      </c>
      <c r="T7748">
        <v>41</v>
      </c>
      <c r="U7748" s="26" t="str">
        <f t="shared" si="293"/>
        <v>2025.002G.Monodnaviria_reorg_4nr.zip</v>
      </c>
    </row>
    <row r="7749" spans="1:21">
      <c r="A7749">
        <v>7748</v>
      </c>
      <c r="B7749" s="27" t="s">
        <v>20779</v>
      </c>
      <c r="D7749" s="27" t="s">
        <v>1826</v>
      </c>
      <c r="F7749" s="27" t="s">
        <v>1844</v>
      </c>
      <c r="H7749" s="27" t="s">
        <v>1845</v>
      </c>
      <c r="J7749" s="27" t="s">
        <v>1848</v>
      </c>
      <c r="L7749" s="27" t="s">
        <v>918</v>
      </c>
      <c r="N7749" s="27" t="s">
        <v>924</v>
      </c>
      <c r="P7749" s="27" t="s">
        <v>2380</v>
      </c>
      <c r="Q7749" s="26" t="str">
        <f>HYPERLINK("https://ictv.global/taxonomy/taxondetails?taxnode_id=202509521&amp;ictv_id=ICTV202009521","ICTV202009521")</f>
        <v>ICTV202009521</v>
      </c>
      <c r="R7749" t="s">
        <v>660</v>
      </c>
      <c r="S7749" t="s">
        <v>824</v>
      </c>
      <c r="T7749">
        <v>41</v>
      </c>
      <c r="U7749" s="26" t="str">
        <f t="shared" si="293"/>
        <v>2025.002G.Monodnaviria_reorg_4nr.zip</v>
      </c>
    </row>
    <row r="7750" spans="1:21">
      <c r="A7750">
        <v>7749</v>
      </c>
      <c r="B7750" s="27" t="s">
        <v>20779</v>
      </c>
      <c r="D7750" s="27" t="s">
        <v>1826</v>
      </c>
      <c r="F7750" s="27" t="s">
        <v>1844</v>
      </c>
      <c r="H7750" s="27" t="s">
        <v>1845</v>
      </c>
      <c r="J7750" s="27" t="s">
        <v>1848</v>
      </c>
      <c r="L7750" s="27" t="s">
        <v>918</v>
      </c>
      <c r="N7750" s="27" t="s">
        <v>924</v>
      </c>
      <c r="P7750" s="27" t="s">
        <v>2381</v>
      </c>
      <c r="Q7750" s="26" t="str">
        <f>HYPERLINK("https://ictv.global/taxonomy/taxondetails?taxnode_id=202505970&amp;ictv_id=ICTV20175970","ICTV20175970")</f>
        <v>ICTV20175970</v>
      </c>
      <c r="R7750" t="s">
        <v>660</v>
      </c>
      <c r="S7750" t="s">
        <v>824</v>
      </c>
      <c r="T7750">
        <v>41</v>
      </c>
      <c r="U7750" s="26" t="str">
        <f t="shared" si="293"/>
        <v>2025.002G.Monodnaviria_reorg_4nr.zip</v>
      </c>
    </row>
    <row r="7751" spans="1:21">
      <c r="A7751">
        <v>7750</v>
      </c>
      <c r="B7751" s="27" t="s">
        <v>20779</v>
      </c>
      <c r="D7751" s="27" t="s">
        <v>1826</v>
      </c>
      <c r="F7751" s="27" t="s">
        <v>1844</v>
      </c>
      <c r="H7751" s="27" t="s">
        <v>1845</v>
      </c>
      <c r="J7751" s="27" t="s">
        <v>1848</v>
      </c>
      <c r="L7751" s="27" t="s">
        <v>918</v>
      </c>
      <c r="N7751" s="27" t="s">
        <v>924</v>
      </c>
      <c r="P7751" s="27" t="s">
        <v>2382</v>
      </c>
      <c r="Q7751" s="26" t="str">
        <f>HYPERLINK("https://ictv.global/taxonomy/taxondetails?taxnode_id=202505971&amp;ictv_id=ICTV20175971","ICTV20175971")</f>
        <v>ICTV20175971</v>
      </c>
      <c r="R7751" t="s">
        <v>660</v>
      </c>
      <c r="S7751" t="s">
        <v>824</v>
      </c>
      <c r="T7751">
        <v>41</v>
      </c>
      <c r="U7751" s="26" t="str">
        <f t="shared" si="293"/>
        <v>2025.002G.Monodnaviria_reorg_4nr.zip</v>
      </c>
    </row>
    <row r="7752" spans="1:21">
      <c r="A7752">
        <v>7751</v>
      </c>
      <c r="B7752" s="27" t="s">
        <v>20779</v>
      </c>
      <c r="D7752" s="27" t="s">
        <v>1826</v>
      </c>
      <c r="F7752" s="27" t="s">
        <v>1844</v>
      </c>
      <c r="H7752" s="27" t="s">
        <v>1845</v>
      </c>
      <c r="J7752" s="27" t="s">
        <v>1848</v>
      </c>
      <c r="L7752" s="27" t="s">
        <v>918</v>
      </c>
      <c r="N7752" s="27" t="s">
        <v>924</v>
      </c>
      <c r="P7752" s="27" t="s">
        <v>12344</v>
      </c>
      <c r="Q7752" s="26" t="str">
        <f>HYPERLINK("https://ictv.global/taxonomy/taxondetails?taxnode_id=202518007&amp;ictv_id=ICTV202318007","ICTV202318007")</f>
        <v>ICTV202318007</v>
      </c>
      <c r="R7752" t="s">
        <v>660</v>
      </c>
      <c r="S7752" t="s">
        <v>824</v>
      </c>
      <c r="T7752">
        <v>41</v>
      </c>
      <c r="U7752" s="26" t="str">
        <f t="shared" si="293"/>
        <v>2025.002G.Monodnaviria_reorg_4nr.zip</v>
      </c>
    </row>
    <row r="7753" spans="1:21">
      <c r="A7753">
        <v>7752</v>
      </c>
      <c r="B7753" s="27" t="s">
        <v>20779</v>
      </c>
      <c r="D7753" s="27" t="s">
        <v>1826</v>
      </c>
      <c r="F7753" s="27" t="s">
        <v>1844</v>
      </c>
      <c r="H7753" s="27" t="s">
        <v>1845</v>
      </c>
      <c r="J7753" s="27" t="s">
        <v>1848</v>
      </c>
      <c r="L7753" s="27" t="s">
        <v>918</v>
      </c>
      <c r="N7753" s="27" t="s">
        <v>924</v>
      </c>
      <c r="P7753" s="27" t="s">
        <v>12345</v>
      </c>
      <c r="Q7753" s="26" t="str">
        <f>HYPERLINK("https://ictv.global/taxonomy/taxondetails?taxnode_id=202518008&amp;ictv_id=ICTV202318008","ICTV202318008")</f>
        <v>ICTV202318008</v>
      </c>
      <c r="R7753" t="s">
        <v>660</v>
      </c>
      <c r="S7753" t="s">
        <v>824</v>
      </c>
      <c r="T7753">
        <v>41</v>
      </c>
      <c r="U7753" s="26" t="str">
        <f t="shared" si="293"/>
        <v>2025.002G.Monodnaviria_reorg_4nr.zip</v>
      </c>
    </row>
    <row r="7754" spans="1:21">
      <c r="A7754">
        <v>7753</v>
      </c>
      <c r="B7754" s="27" t="s">
        <v>20779</v>
      </c>
      <c r="D7754" s="27" t="s">
        <v>1826</v>
      </c>
      <c r="F7754" s="27" t="s">
        <v>1844</v>
      </c>
      <c r="H7754" s="27" t="s">
        <v>1845</v>
      </c>
      <c r="J7754" s="27" t="s">
        <v>1848</v>
      </c>
      <c r="L7754" s="27" t="s">
        <v>918</v>
      </c>
      <c r="N7754" s="27" t="s">
        <v>924</v>
      </c>
      <c r="P7754" s="27" t="s">
        <v>12346</v>
      </c>
      <c r="Q7754" s="26" t="str">
        <f>HYPERLINK("https://ictv.global/taxonomy/taxondetails?taxnode_id=202518009&amp;ictv_id=ICTV202318009","ICTV202318009")</f>
        <v>ICTV202318009</v>
      </c>
      <c r="R7754" t="s">
        <v>660</v>
      </c>
      <c r="S7754" t="s">
        <v>824</v>
      </c>
      <c r="T7754">
        <v>41</v>
      </c>
      <c r="U7754" s="26" t="str">
        <f t="shared" si="293"/>
        <v>2025.002G.Monodnaviria_reorg_4nr.zip</v>
      </c>
    </row>
    <row r="7755" spans="1:21">
      <c r="A7755">
        <v>7754</v>
      </c>
      <c r="B7755" s="27" t="s">
        <v>20779</v>
      </c>
      <c r="D7755" s="27" t="s">
        <v>1826</v>
      </c>
      <c r="F7755" s="27" t="s">
        <v>1844</v>
      </c>
      <c r="H7755" s="27" t="s">
        <v>1845</v>
      </c>
      <c r="J7755" s="27" t="s">
        <v>1848</v>
      </c>
      <c r="L7755" s="27" t="s">
        <v>918</v>
      </c>
      <c r="N7755" s="27" t="s">
        <v>924</v>
      </c>
      <c r="P7755" s="27" t="s">
        <v>12347</v>
      </c>
      <c r="Q7755" s="26" t="str">
        <f>HYPERLINK("https://ictv.global/taxonomy/taxondetails?taxnode_id=202518010&amp;ictv_id=ICTV202318010","ICTV202318010")</f>
        <v>ICTV202318010</v>
      </c>
      <c r="R7755" t="s">
        <v>660</v>
      </c>
      <c r="S7755" t="s">
        <v>824</v>
      </c>
      <c r="T7755">
        <v>41</v>
      </c>
      <c r="U7755" s="26" t="str">
        <f t="shared" si="293"/>
        <v>2025.002G.Monodnaviria_reorg_4nr.zip</v>
      </c>
    </row>
    <row r="7756" spans="1:21">
      <c r="A7756">
        <v>7755</v>
      </c>
      <c r="B7756" s="27" t="s">
        <v>20779</v>
      </c>
      <c r="D7756" s="27" t="s">
        <v>1826</v>
      </c>
      <c r="F7756" s="27" t="s">
        <v>1844</v>
      </c>
      <c r="H7756" s="27" t="s">
        <v>1845</v>
      </c>
      <c r="J7756" s="27" t="s">
        <v>1848</v>
      </c>
      <c r="L7756" s="27" t="s">
        <v>918</v>
      </c>
      <c r="N7756" s="27" t="s">
        <v>924</v>
      </c>
      <c r="P7756" s="27" t="s">
        <v>2383</v>
      </c>
      <c r="Q7756" s="26" t="str">
        <f>HYPERLINK("https://ictv.global/taxonomy/taxondetails?taxnode_id=202509522&amp;ictv_id=ICTV202009522","ICTV202009522")</f>
        <v>ICTV202009522</v>
      </c>
      <c r="R7756" t="s">
        <v>660</v>
      </c>
      <c r="S7756" t="s">
        <v>824</v>
      </c>
      <c r="T7756">
        <v>41</v>
      </c>
      <c r="U7756" s="26" t="str">
        <f t="shared" si="293"/>
        <v>2025.002G.Monodnaviria_reorg_4nr.zip</v>
      </c>
    </row>
    <row r="7757" spans="1:21">
      <c r="A7757">
        <v>7756</v>
      </c>
      <c r="B7757" s="27" t="s">
        <v>20779</v>
      </c>
      <c r="D7757" s="27" t="s">
        <v>1826</v>
      </c>
      <c r="F7757" s="27" t="s">
        <v>1844</v>
      </c>
      <c r="H7757" s="27" t="s">
        <v>1845</v>
      </c>
      <c r="J7757" s="27" t="s">
        <v>1848</v>
      </c>
      <c r="L7757" s="27" t="s">
        <v>918</v>
      </c>
      <c r="N7757" s="27" t="s">
        <v>924</v>
      </c>
      <c r="P7757" s="27" t="s">
        <v>2384</v>
      </c>
      <c r="Q7757" s="26" t="str">
        <f>HYPERLINK("https://ictv.global/taxonomy/taxondetails?taxnode_id=202509523&amp;ictv_id=ICTV202009523","ICTV202009523")</f>
        <v>ICTV202009523</v>
      </c>
      <c r="R7757" t="s">
        <v>660</v>
      </c>
      <c r="S7757" t="s">
        <v>824</v>
      </c>
      <c r="T7757">
        <v>41</v>
      </c>
      <c r="U7757" s="26" t="str">
        <f t="shared" si="293"/>
        <v>2025.002G.Monodnaviria_reorg_4nr.zip</v>
      </c>
    </row>
    <row r="7758" spans="1:21">
      <c r="A7758">
        <v>7757</v>
      </c>
      <c r="B7758" s="27" t="s">
        <v>20779</v>
      </c>
      <c r="D7758" s="27" t="s">
        <v>1826</v>
      </c>
      <c r="F7758" s="27" t="s">
        <v>1844</v>
      </c>
      <c r="H7758" s="27" t="s">
        <v>1845</v>
      </c>
      <c r="J7758" s="27" t="s">
        <v>1848</v>
      </c>
      <c r="L7758" s="27" t="s">
        <v>918</v>
      </c>
      <c r="N7758" s="27" t="s">
        <v>924</v>
      </c>
      <c r="P7758" s="27" t="s">
        <v>2385</v>
      </c>
      <c r="Q7758" s="26" t="str">
        <f>HYPERLINK("https://ictv.global/taxonomy/taxondetails?taxnode_id=202505972&amp;ictv_id=ICTV20175972","ICTV20175972")</f>
        <v>ICTV20175972</v>
      </c>
      <c r="R7758" t="s">
        <v>660</v>
      </c>
      <c r="S7758" t="s">
        <v>824</v>
      </c>
      <c r="T7758">
        <v>41</v>
      </c>
      <c r="U7758" s="26" t="str">
        <f t="shared" si="293"/>
        <v>2025.002G.Monodnaviria_reorg_4nr.zip</v>
      </c>
    </row>
    <row r="7759" spans="1:21">
      <c r="A7759">
        <v>7758</v>
      </c>
      <c r="B7759" s="27" t="s">
        <v>20779</v>
      </c>
      <c r="D7759" s="27" t="s">
        <v>1826</v>
      </c>
      <c r="F7759" s="27" t="s">
        <v>1844</v>
      </c>
      <c r="H7759" s="27" t="s">
        <v>1845</v>
      </c>
      <c r="J7759" s="27" t="s">
        <v>1848</v>
      </c>
      <c r="L7759" s="27" t="s">
        <v>918</v>
      </c>
      <c r="N7759" s="27" t="s">
        <v>924</v>
      </c>
      <c r="P7759" s="27" t="s">
        <v>2386</v>
      </c>
      <c r="Q7759" s="26" t="str">
        <f>HYPERLINK("https://ictv.global/taxonomy/taxondetails?taxnode_id=202505973&amp;ictv_id=ICTV20175973","ICTV20175973")</f>
        <v>ICTV20175973</v>
      </c>
      <c r="R7759" t="s">
        <v>660</v>
      </c>
      <c r="S7759" t="s">
        <v>824</v>
      </c>
      <c r="T7759">
        <v>41</v>
      </c>
      <c r="U7759" s="26" t="str">
        <f t="shared" si="293"/>
        <v>2025.002G.Monodnaviria_reorg_4nr.zip</v>
      </c>
    </row>
    <row r="7760" spans="1:21">
      <c r="A7760">
        <v>7759</v>
      </c>
      <c r="B7760" s="27" t="s">
        <v>20779</v>
      </c>
      <c r="D7760" s="27" t="s">
        <v>1826</v>
      </c>
      <c r="F7760" s="27" t="s">
        <v>1844</v>
      </c>
      <c r="H7760" s="27" t="s">
        <v>1845</v>
      </c>
      <c r="J7760" s="27" t="s">
        <v>1848</v>
      </c>
      <c r="L7760" s="27" t="s">
        <v>918</v>
      </c>
      <c r="N7760" s="27" t="s">
        <v>924</v>
      </c>
      <c r="P7760" s="27" t="s">
        <v>2387</v>
      </c>
      <c r="Q7760" s="26" t="str">
        <f>HYPERLINK("https://ictv.global/taxonomy/taxondetails?taxnode_id=202505974&amp;ictv_id=ICTV20175974","ICTV20175974")</f>
        <v>ICTV20175974</v>
      </c>
      <c r="R7760" t="s">
        <v>660</v>
      </c>
      <c r="S7760" t="s">
        <v>824</v>
      </c>
      <c r="T7760">
        <v>41</v>
      </c>
      <c r="U7760" s="26" t="str">
        <f t="shared" si="293"/>
        <v>2025.002G.Monodnaviria_reorg_4nr.zip</v>
      </c>
    </row>
    <row r="7761" spans="1:21">
      <c r="A7761">
        <v>7760</v>
      </c>
      <c r="B7761" s="27" t="s">
        <v>20779</v>
      </c>
      <c r="D7761" s="27" t="s">
        <v>1826</v>
      </c>
      <c r="F7761" s="27" t="s">
        <v>1844</v>
      </c>
      <c r="H7761" s="27" t="s">
        <v>1845</v>
      </c>
      <c r="J7761" s="27" t="s">
        <v>1848</v>
      </c>
      <c r="L7761" s="27" t="s">
        <v>918</v>
      </c>
      <c r="N7761" s="27" t="s">
        <v>924</v>
      </c>
      <c r="P7761" s="27" t="s">
        <v>2388</v>
      </c>
      <c r="Q7761" s="26" t="str">
        <f>HYPERLINK("https://ictv.global/taxonomy/taxondetails?taxnode_id=202505975&amp;ictv_id=ICTV20175975","ICTV20175975")</f>
        <v>ICTV20175975</v>
      </c>
      <c r="R7761" t="s">
        <v>660</v>
      </c>
      <c r="S7761" t="s">
        <v>824</v>
      </c>
      <c r="T7761">
        <v>41</v>
      </c>
      <c r="U7761" s="26" t="str">
        <f t="shared" si="293"/>
        <v>2025.002G.Monodnaviria_reorg_4nr.zip</v>
      </c>
    </row>
    <row r="7762" spans="1:21">
      <c r="A7762">
        <v>7761</v>
      </c>
      <c r="B7762" s="27" t="s">
        <v>20779</v>
      </c>
      <c r="D7762" s="27" t="s">
        <v>1826</v>
      </c>
      <c r="F7762" s="27" t="s">
        <v>1844</v>
      </c>
      <c r="H7762" s="27" t="s">
        <v>1845</v>
      </c>
      <c r="J7762" s="27" t="s">
        <v>1848</v>
      </c>
      <c r="L7762" s="27" t="s">
        <v>918</v>
      </c>
      <c r="N7762" s="27" t="s">
        <v>924</v>
      </c>
      <c r="P7762" s="27" t="s">
        <v>2389</v>
      </c>
      <c r="Q7762" s="26" t="str">
        <f>HYPERLINK("https://ictv.global/taxonomy/taxondetails?taxnode_id=202509524&amp;ictv_id=ICTV202009524","ICTV202009524")</f>
        <v>ICTV202009524</v>
      </c>
      <c r="R7762" t="s">
        <v>660</v>
      </c>
      <c r="S7762" t="s">
        <v>824</v>
      </c>
      <c r="T7762">
        <v>41</v>
      </c>
      <c r="U7762" s="26" t="str">
        <f t="shared" si="293"/>
        <v>2025.002G.Monodnaviria_reorg_4nr.zip</v>
      </c>
    </row>
    <row r="7763" spans="1:21">
      <c r="A7763">
        <v>7762</v>
      </c>
      <c r="B7763" s="27" t="s">
        <v>20779</v>
      </c>
      <c r="D7763" s="27" t="s">
        <v>1826</v>
      </c>
      <c r="F7763" s="27" t="s">
        <v>1844</v>
      </c>
      <c r="H7763" s="27" t="s">
        <v>1845</v>
      </c>
      <c r="J7763" s="27" t="s">
        <v>1848</v>
      </c>
      <c r="L7763" s="27" t="s">
        <v>918</v>
      </c>
      <c r="N7763" s="27" t="s">
        <v>924</v>
      </c>
      <c r="P7763" s="27" t="s">
        <v>2390</v>
      </c>
      <c r="Q7763" s="26" t="str">
        <f>HYPERLINK("https://ictv.global/taxonomy/taxondetails?taxnode_id=202509525&amp;ictv_id=ICTV202009525","ICTV202009525")</f>
        <v>ICTV202009525</v>
      </c>
      <c r="R7763" t="s">
        <v>660</v>
      </c>
      <c r="S7763" t="s">
        <v>824</v>
      </c>
      <c r="T7763">
        <v>41</v>
      </c>
      <c r="U7763" s="26" t="str">
        <f t="shared" si="293"/>
        <v>2025.002G.Monodnaviria_reorg_4nr.zip</v>
      </c>
    </row>
    <row r="7764" spans="1:21">
      <c r="A7764">
        <v>7763</v>
      </c>
      <c r="B7764" s="27" t="s">
        <v>20779</v>
      </c>
      <c r="D7764" s="27" t="s">
        <v>1826</v>
      </c>
      <c r="F7764" s="27" t="s">
        <v>1844</v>
      </c>
      <c r="H7764" s="27" t="s">
        <v>1845</v>
      </c>
      <c r="J7764" s="27" t="s">
        <v>1848</v>
      </c>
      <c r="L7764" s="27" t="s">
        <v>918</v>
      </c>
      <c r="N7764" s="27" t="s">
        <v>924</v>
      </c>
      <c r="P7764" s="27" t="s">
        <v>2391</v>
      </c>
      <c r="Q7764" s="26" t="str">
        <f>HYPERLINK("https://ictv.global/taxonomy/taxondetails?taxnode_id=202505976&amp;ictv_id=ICTV20175976","ICTV20175976")</f>
        <v>ICTV20175976</v>
      </c>
      <c r="R7764" t="s">
        <v>660</v>
      </c>
      <c r="S7764" t="s">
        <v>824</v>
      </c>
      <c r="T7764">
        <v>41</v>
      </c>
      <c r="U7764" s="26" t="str">
        <f t="shared" si="293"/>
        <v>2025.002G.Monodnaviria_reorg_4nr.zip</v>
      </c>
    </row>
    <row r="7765" spans="1:21">
      <c r="A7765">
        <v>7764</v>
      </c>
      <c r="B7765" s="27" t="s">
        <v>20779</v>
      </c>
      <c r="D7765" s="27" t="s">
        <v>1826</v>
      </c>
      <c r="F7765" s="27" t="s">
        <v>1844</v>
      </c>
      <c r="H7765" s="27" t="s">
        <v>1845</v>
      </c>
      <c r="J7765" s="27" t="s">
        <v>1848</v>
      </c>
      <c r="L7765" s="27" t="s">
        <v>918</v>
      </c>
      <c r="N7765" s="27" t="s">
        <v>924</v>
      </c>
      <c r="P7765" s="27" t="s">
        <v>2392</v>
      </c>
      <c r="Q7765" s="26" t="str">
        <f>HYPERLINK("https://ictv.global/taxonomy/taxondetails?taxnode_id=202509526&amp;ictv_id=ICTV202009526","ICTV202009526")</f>
        <v>ICTV202009526</v>
      </c>
      <c r="R7765" t="s">
        <v>660</v>
      </c>
      <c r="S7765" t="s">
        <v>824</v>
      </c>
      <c r="T7765">
        <v>41</v>
      </c>
      <c r="U7765" s="26" t="str">
        <f t="shared" si="293"/>
        <v>2025.002G.Monodnaviria_reorg_4nr.zip</v>
      </c>
    </row>
    <row r="7766" spans="1:21">
      <c r="A7766">
        <v>7765</v>
      </c>
      <c r="B7766" s="27" t="s">
        <v>20779</v>
      </c>
      <c r="D7766" s="27" t="s">
        <v>1826</v>
      </c>
      <c r="F7766" s="27" t="s">
        <v>1844</v>
      </c>
      <c r="H7766" s="27" t="s">
        <v>1845</v>
      </c>
      <c r="J7766" s="27" t="s">
        <v>1848</v>
      </c>
      <c r="L7766" s="27" t="s">
        <v>918</v>
      </c>
      <c r="N7766" s="27" t="s">
        <v>924</v>
      </c>
      <c r="P7766" s="27" t="s">
        <v>2393</v>
      </c>
      <c r="Q7766" s="26" t="str">
        <f>HYPERLINK("https://ictv.global/taxonomy/taxondetails?taxnode_id=202509527&amp;ictv_id=ICTV202009527","ICTV202009527")</f>
        <v>ICTV202009527</v>
      </c>
      <c r="R7766" t="s">
        <v>660</v>
      </c>
      <c r="S7766" t="s">
        <v>824</v>
      </c>
      <c r="T7766">
        <v>41</v>
      </c>
      <c r="U7766" s="26" t="str">
        <f t="shared" si="293"/>
        <v>2025.002G.Monodnaviria_reorg_4nr.zip</v>
      </c>
    </row>
    <row r="7767" spans="1:21">
      <c r="A7767">
        <v>7766</v>
      </c>
      <c r="B7767" s="27" t="s">
        <v>20779</v>
      </c>
      <c r="D7767" s="27" t="s">
        <v>1826</v>
      </c>
      <c r="F7767" s="27" t="s">
        <v>1844</v>
      </c>
      <c r="H7767" s="27" t="s">
        <v>1845</v>
      </c>
      <c r="J7767" s="27" t="s">
        <v>1848</v>
      </c>
      <c r="L7767" s="27" t="s">
        <v>918</v>
      </c>
      <c r="N7767" s="27" t="s">
        <v>924</v>
      </c>
      <c r="P7767" s="27" t="s">
        <v>2394</v>
      </c>
      <c r="Q7767" s="26" t="str">
        <f>HYPERLINK("https://ictv.global/taxonomy/taxondetails?taxnode_id=202509528&amp;ictv_id=ICTV202009528","ICTV202009528")</f>
        <v>ICTV202009528</v>
      </c>
      <c r="R7767" t="s">
        <v>660</v>
      </c>
      <c r="S7767" t="s">
        <v>824</v>
      </c>
      <c r="T7767">
        <v>41</v>
      </c>
      <c r="U7767" s="26" t="str">
        <f t="shared" si="293"/>
        <v>2025.002G.Monodnaviria_reorg_4nr.zip</v>
      </c>
    </row>
    <row r="7768" spans="1:21">
      <c r="A7768">
        <v>7767</v>
      </c>
      <c r="B7768" s="27" t="s">
        <v>20779</v>
      </c>
      <c r="D7768" s="27" t="s">
        <v>1826</v>
      </c>
      <c r="F7768" s="27" t="s">
        <v>1844</v>
      </c>
      <c r="H7768" s="27" t="s">
        <v>1845</v>
      </c>
      <c r="J7768" s="27" t="s">
        <v>1848</v>
      </c>
      <c r="L7768" s="27" t="s">
        <v>918</v>
      </c>
      <c r="N7768" s="27" t="s">
        <v>924</v>
      </c>
      <c r="P7768" s="27" t="s">
        <v>2395</v>
      </c>
      <c r="Q7768" s="26" t="str">
        <f>HYPERLINK("https://ictv.global/taxonomy/taxondetails?taxnode_id=202509529&amp;ictv_id=ICTV202009529","ICTV202009529")</f>
        <v>ICTV202009529</v>
      </c>
      <c r="R7768" t="s">
        <v>660</v>
      </c>
      <c r="S7768" t="s">
        <v>824</v>
      </c>
      <c r="T7768">
        <v>41</v>
      </c>
      <c r="U7768" s="26" t="str">
        <f t="shared" ref="U7768:U7831" si="294">HYPERLINK("https://ictv.global/ictv/proposals/2025.002G.Monodnaviria_reorg_4nr.zip","2025.002G.Monodnaviria_reorg_4nr.zip")</f>
        <v>2025.002G.Monodnaviria_reorg_4nr.zip</v>
      </c>
    </row>
    <row r="7769" spans="1:21">
      <c r="A7769">
        <v>7768</v>
      </c>
      <c r="B7769" s="27" t="s">
        <v>20779</v>
      </c>
      <c r="D7769" s="27" t="s">
        <v>1826</v>
      </c>
      <c r="F7769" s="27" t="s">
        <v>1844</v>
      </c>
      <c r="H7769" s="27" t="s">
        <v>1845</v>
      </c>
      <c r="J7769" s="27" t="s">
        <v>1848</v>
      </c>
      <c r="L7769" s="27" t="s">
        <v>918</v>
      </c>
      <c r="N7769" s="27" t="s">
        <v>924</v>
      </c>
      <c r="P7769" s="27" t="s">
        <v>2396</v>
      </c>
      <c r="Q7769" s="26" t="str">
        <f>HYPERLINK("https://ictv.global/taxonomy/taxondetails?taxnode_id=202509530&amp;ictv_id=ICTV202009530","ICTV202009530")</f>
        <v>ICTV202009530</v>
      </c>
      <c r="R7769" t="s">
        <v>660</v>
      </c>
      <c r="S7769" t="s">
        <v>824</v>
      </c>
      <c r="T7769">
        <v>41</v>
      </c>
      <c r="U7769" s="26" t="str">
        <f t="shared" si="294"/>
        <v>2025.002G.Monodnaviria_reorg_4nr.zip</v>
      </c>
    </row>
    <row r="7770" spans="1:21">
      <c r="A7770">
        <v>7769</v>
      </c>
      <c r="B7770" s="27" t="s">
        <v>20779</v>
      </c>
      <c r="D7770" s="27" t="s">
        <v>1826</v>
      </c>
      <c r="F7770" s="27" t="s">
        <v>1844</v>
      </c>
      <c r="H7770" s="27" t="s">
        <v>1845</v>
      </c>
      <c r="J7770" s="27" t="s">
        <v>1848</v>
      </c>
      <c r="L7770" s="27" t="s">
        <v>918</v>
      </c>
      <c r="N7770" s="27" t="s">
        <v>924</v>
      </c>
      <c r="P7770" s="27" t="s">
        <v>2397</v>
      </c>
      <c r="Q7770" s="26" t="str">
        <f>HYPERLINK("https://ictv.global/taxonomy/taxondetails?taxnode_id=202509531&amp;ictv_id=ICTV202009531","ICTV202009531")</f>
        <v>ICTV202009531</v>
      </c>
      <c r="R7770" t="s">
        <v>660</v>
      </c>
      <c r="S7770" t="s">
        <v>824</v>
      </c>
      <c r="T7770">
        <v>41</v>
      </c>
      <c r="U7770" s="26" t="str">
        <f t="shared" si="294"/>
        <v>2025.002G.Monodnaviria_reorg_4nr.zip</v>
      </c>
    </row>
    <row r="7771" spans="1:21">
      <c r="A7771">
        <v>7770</v>
      </c>
      <c r="B7771" s="27" t="s">
        <v>20779</v>
      </c>
      <c r="D7771" s="27" t="s">
        <v>1826</v>
      </c>
      <c r="F7771" s="27" t="s">
        <v>1844</v>
      </c>
      <c r="H7771" s="27" t="s">
        <v>1845</v>
      </c>
      <c r="J7771" s="27" t="s">
        <v>1848</v>
      </c>
      <c r="L7771" s="27" t="s">
        <v>918</v>
      </c>
      <c r="N7771" s="27" t="s">
        <v>924</v>
      </c>
      <c r="P7771" s="27" t="s">
        <v>2398</v>
      </c>
      <c r="Q7771" s="26" t="str">
        <f>HYPERLINK("https://ictv.global/taxonomy/taxondetails?taxnode_id=202509532&amp;ictv_id=ICTV202009532","ICTV202009532")</f>
        <v>ICTV202009532</v>
      </c>
      <c r="R7771" t="s">
        <v>660</v>
      </c>
      <c r="S7771" t="s">
        <v>824</v>
      </c>
      <c r="T7771">
        <v>41</v>
      </c>
      <c r="U7771" s="26" t="str">
        <f t="shared" si="294"/>
        <v>2025.002G.Monodnaviria_reorg_4nr.zip</v>
      </c>
    </row>
    <row r="7772" spans="1:21">
      <c r="A7772">
        <v>7771</v>
      </c>
      <c r="B7772" s="27" t="s">
        <v>20779</v>
      </c>
      <c r="D7772" s="27" t="s">
        <v>1826</v>
      </c>
      <c r="F7772" s="27" t="s">
        <v>1844</v>
      </c>
      <c r="H7772" s="27" t="s">
        <v>1845</v>
      </c>
      <c r="J7772" s="27" t="s">
        <v>1848</v>
      </c>
      <c r="L7772" s="27" t="s">
        <v>918</v>
      </c>
      <c r="N7772" s="27" t="s">
        <v>924</v>
      </c>
      <c r="P7772" s="27" t="s">
        <v>2399</v>
      </c>
      <c r="Q7772" s="26" t="str">
        <f>HYPERLINK("https://ictv.global/taxonomy/taxondetails?taxnode_id=202509533&amp;ictv_id=ICTV202009533","ICTV202009533")</f>
        <v>ICTV202009533</v>
      </c>
      <c r="R7772" t="s">
        <v>660</v>
      </c>
      <c r="S7772" t="s">
        <v>824</v>
      </c>
      <c r="T7772">
        <v>41</v>
      </c>
      <c r="U7772" s="26" t="str">
        <f t="shared" si="294"/>
        <v>2025.002G.Monodnaviria_reorg_4nr.zip</v>
      </c>
    </row>
    <row r="7773" spans="1:21">
      <c r="A7773">
        <v>7772</v>
      </c>
      <c r="B7773" s="27" t="s">
        <v>20779</v>
      </c>
      <c r="D7773" s="27" t="s">
        <v>1826</v>
      </c>
      <c r="F7773" s="27" t="s">
        <v>1844</v>
      </c>
      <c r="H7773" s="27" t="s">
        <v>1845</v>
      </c>
      <c r="J7773" s="27" t="s">
        <v>1848</v>
      </c>
      <c r="L7773" s="27" t="s">
        <v>918</v>
      </c>
      <c r="N7773" s="27" t="s">
        <v>924</v>
      </c>
      <c r="P7773" s="27" t="s">
        <v>12348</v>
      </c>
      <c r="Q7773" s="26" t="str">
        <f>HYPERLINK("https://ictv.global/taxonomy/taxondetails?taxnode_id=202518011&amp;ictv_id=ICTV202318011","ICTV202318011")</f>
        <v>ICTV202318011</v>
      </c>
      <c r="R7773" t="s">
        <v>660</v>
      </c>
      <c r="S7773" t="s">
        <v>824</v>
      </c>
      <c r="T7773">
        <v>41</v>
      </c>
      <c r="U7773" s="26" t="str">
        <f t="shared" si="294"/>
        <v>2025.002G.Monodnaviria_reorg_4nr.zip</v>
      </c>
    </row>
    <row r="7774" spans="1:21">
      <c r="A7774">
        <v>7773</v>
      </c>
      <c r="B7774" s="27" t="s">
        <v>20779</v>
      </c>
      <c r="D7774" s="27" t="s">
        <v>1826</v>
      </c>
      <c r="F7774" s="27" t="s">
        <v>1844</v>
      </c>
      <c r="H7774" s="27" t="s">
        <v>1845</v>
      </c>
      <c r="J7774" s="27" t="s">
        <v>1848</v>
      </c>
      <c r="L7774" s="27" t="s">
        <v>918</v>
      </c>
      <c r="N7774" s="27" t="s">
        <v>924</v>
      </c>
      <c r="P7774" s="27" t="s">
        <v>12349</v>
      </c>
      <c r="Q7774" s="26" t="str">
        <f>HYPERLINK("https://ictv.global/taxonomy/taxondetails?taxnode_id=202518012&amp;ictv_id=ICTV202318012","ICTV202318012")</f>
        <v>ICTV202318012</v>
      </c>
      <c r="R7774" t="s">
        <v>660</v>
      </c>
      <c r="S7774" t="s">
        <v>824</v>
      </c>
      <c r="T7774">
        <v>41</v>
      </c>
      <c r="U7774" s="26" t="str">
        <f t="shared" si="294"/>
        <v>2025.002G.Monodnaviria_reorg_4nr.zip</v>
      </c>
    </row>
    <row r="7775" spans="1:21">
      <c r="A7775">
        <v>7774</v>
      </c>
      <c r="B7775" s="27" t="s">
        <v>20779</v>
      </c>
      <c r="D7775" s="27" t="s">
        <v>1826</v>
      </c>
      <c r="F7775" s="27" t="s">
        <v>1844</v>
      </c>
      <c r="H7775" s="27" t="s">
        <v>1845</v>
      </c>
      <c r="J7775" s="27" t="s">
        <v>1848</v>
      </c>
      <c r="L7775" s="27" t="s">
        <v>918</v>
      </c>
      <c r="N7775" s="27" t="s">
        <v>924</v>
      </c>
      <c r="P7775" s="27" t="s">
        <v>12350</v>
      </c>
      <c r="Q7775" s="26" t="str">
        <f>HYPERLINK("https://ictv.global/taxonomy/taxondetails?taxnode_id=202518013&amp;ictv_id=ICTV202318013","ICTV202318013")</f>
        <v>ICTV202318013</v>
      </c>
      <c r="R7775" t="s">
        <v>660</v>
      </c>
      <c r="S7775" t="s">
        <v>824</v>
      </c>
      <c r="T7775">
        <v>41</v>
      </c>
      <c r="U7775" s="26" t="str">
        <f t="shared" si="294"/>
        <v>2025.002G.Monodnaviria_reorg_4nr.zip</v>
      </c>
    </row>
    <row r="7776" spans="1:21">
      <c r="A7776">
        <v>7775</v>
      </c>
      <c r="B7776" s="27" t="s">
        <v>20779</v>
      </c>
      <c r="D7776" s="27" t="s">
        <v>1826</v>
      </c>
      <c r="F7776" s="27" t="s">
        <v>1844</v>
      </c>
      <c r="H7776" s="27" t="s">
        <v>1845</v>
      </c>
      <c r="J7776" s="27" t="s">
        <v>1848</v>
      </c>
      <c r="L7776" s="27" t="s">
        <v>918</v>
      </c>
      <c r="N7776" s="27" t="s">
        <v>924</v>
      </c>
      <c r="P7776" s="27" t="s">
        <v>2400</v>
      </c>
      <c r="Q7776" s="26" t="str">
        <f>HYPERLINK("https://ictv.global/taxonomy/taxondetails?taxnode_id=202509534&amp;ictv_id=ICTV202009534","ICTV202009534")</f>
        <v>ICTV202009534</v>
      </c>
      <c r="R7776" t="s">
        <v>660</v>
      </c>
      <c r="S7776" t="s">
        <v>824</v>
      </c>
      <c r="T7776">
        <v>41</v>
      </c>
      <c r="U7776" s="26" t="str">
        <f t="shared" si="294"/>
        <v>2025.002G.Monodnaviria_reorg_4nr.zip</v>
      </c>
    </row>
    <row r="7777" spans="1:21">
      <c r="A7777">
        <v>7776</v>
      </c>
      <c r="B7777" s="27" t="s">
        <v>20779</v>
      </c>
      <c r="D7777" s="27" t="s">
        <v>1826</v>
      </c>
      <c r="F7777" s="27" t="s">
        <v>1844</v>
      </c>
      <c r="H7777" s="27" t="s">
        <v>1845</v>
      </c>
      <c r="J7777" s="27" t="s">
        <v>1848</v>
      </c>
      <c r="L7777" s="27" t="s">
        <v>918</v>
      </c>
      <c r="N7777" s="27" t="s">
        <v>924</v>
      </c>
      <c r="P7777" s="27" t="s">
        <v>12351</v>
      </c>
      <c r="Q7777" s="26" t="str">
        <f>HYPERLINK("https://ictv.global/taxonomy/taxondetails?taxnode_id=202518014&amp;ictv_id=ICTV202318014","ICTV202318014")</f>
        <v>ICTV202318014</v>
      </c>
      <c r="R7777" t="s">
        <v>660</v>
      </c>
      <c r="S7777" t="s">
        <v>824</v>
      </c>
      <c r="T7777">
        <v>41</v>
      </c>
      <c r="U7777" s="26" t="str">
        <f t="shared" si="294"/>
        <v>2025.002G.Monodnaviria_reorg_4nr.zip</v>
      </c>
    </row>
    <row r="7778" spans="1:21">
      <c r="A7778">
        <v>7777</v>
      </c>
      <c r="B7778" s="27" t="s">
        <v>20779</v>
      </c>
      <c r="D7778" s="27" t="s">
        <v>1826</v>
      </c>
      <c r="F7778" s="27" t="s">
        <v>1844</v>
      </c>
      <c r="H7778" s="27" t="s">
        <v>1845</v>
      </c>
      <c r="J7778" s="27" t="s">
        <v>1848</v>
      </c>
      <c r="L7778" s="27" t="s">
        <v>918</v>
      </c>
      <c r="N7778" s="27" t="s">
        <v>924</v>
      </c>
      <c r="P7778" s="27" t="s">
        <v>2401</v>
      </c>
      <c r="Q7778" s="26" t="str">
        <f>HYPERLINK("https://ictv.global/taxonomy/taxondetails?taxnode_id=202509535&amp;ictv_id=ICTV202009535","ICTV202009535")</f>
        <v>ICTV202009535</v>
      </c>
      <c r="R7778" t="s">
        <v>660</v>
      </c>
      <c r="S7778" t="s">
        <v>824</v>
      </c>
      <c r="T7778">
        <v>41</v>
      </c>
      <c r="U7778" s="26" t="str">
        <f t="shared" si="294"/>
        <v>2025.002G.Monodnaviria_reorg_4nr.zip</v>
      </c>
    </row>
    <row r="7779" spans="1:21">
      <c r="A7779">
        <v>7778</v>
      </c>
      <c r="B7779" s="27" t="s">
        <v>20779</v>
      </c>
      <c r="D7779" s="27" t="s">
        <v>1826</v>
      </c>
      <c r="F7779" s="27" t="s">
        <v>1844</v>
      </c>
      <c r="H7779" s="27" t="s">
        <v>1845</v>
      </c>
      <c r="J7779" s="27" t="s">
        <v>1848</v>
      </c>
      <c r="L7779" s="27" t="s">
        <v>918</v>
      </c>
      <c r="N7779" s="27" t="s">
        <v>924</v>
      </c>
      <c r="P7779" s="27" t="s">
        <v>12352</v>
      </c>
      <c r="Q7779" s="26" t="str">
        <f>HYPERLINK("https://ictv.global/taxonomy/taxondetails?taxnode_id=202518015&amp;ictv_id=ICTV202318015","ICTV202318015")</f>
        <v>ICTV202318015</v>
      </c>
      <c r="R7779" t="s">
        <v>660</v>
      </c>
      <c r="S7779" t="s">
        <v>824</v>
      </c>
      <c r="T7779">
        <v>41</v>
      </c>
      <c r="U7779" s="26" t="str">
        <f t="shared" si="294"/>
        <v>2025.002G.Monodnaviria_reorg_4nr.zip</v>
      </c>
    </row>
    <row r="7780" spans="1:21">
      <c r="A7780">
        <v>7779</v>
      </c>
      <c r="B7780" s="27" t="s">
        <v>20779</v>
      </c>
      <c r="D7780" s="27" t="s">
        <v>1826</v>
      </c>
      <c r="F7780" s="27" t="s">
        <v>1844</v>
      </c>
      <c r="H7780" s="27" t="s">
        <v>1845</v>
      </c>
      <c r="J7780" s="27" t="s">
        <v>1848</v>
      </c>
      <c r="L7780" s="27" t="s">
        <v>918</v>
      </c>
      <c r="N7780" s="27" t="s">
        <v>924</v>
      </c>
      <c r="P7780" s="27" t="s">
        <v>12353</v>
      </c>
      <c r="Q7780" s="26" t="str">
        <f>HYPERLINK("https://ictv.global/taxonomy/taxondetails?taxnode_id=202518016&amp;ictv_id=ICTV202318016","ICTV202318016")</f>
        <v>ICTV202318016</v>
      </c>
      <c r="R7780" t="s">
        <v>660</v>
      </c>
      <c r="S7780" t="s">
        <v>824</v>
      </c>
      <c r="T7780">
        <v>41</v>
      </c>
      <c r="U7780" s="26" t="str">
        <f t="shared" si="294"/>
        <v>2025.002G.Monodnaviria_reorg_4nr.zip</v>
      </c>
    </row>
    <row r="7781" spans="1:21">
      <c r="A7781">
        <v>7780</v>
      </c>
      <c r="B7781" s="27" t="s">
        <v>20779</v>
      </c>
      <c r="D7781" s="27" t="s">
        <v>1826</v>
      </c>
      <c r="F7781" s="27" t="s">
        <v>1844</v>
      </c>
      <c r="H7781" s="27" t="s">
        <v>1845</v>
      </c>
      <c r="J7781" s="27" t="s">
        <v>1848</v>
      </c>
      <c r="L7781" s="27" t="s">
        <v>918</v>
      </c>
      <c r="N7781" s="27" t="s">
        <v>924</v>
      </c>
      <c r="P7781" s="27" t="s">
        <v>12354</v>
      </c>
      <c r="Q7781" s="26" t="str">
        <f>HYPERLINK("https://ictv.global/taxonomy/taxondetails?taxnode_id=202518017&amp;ictv_id=ICTV202318017","ICTV202318017")</f>
        <v>ICTV202318017</v>
      </c>
      <c r="R7781" t="s">
        <v>660</v>
      </c>
      <c r="S7781" t="s">
        <v>824</v>
      </c>
      <c r="T7781">
        <v>41</v>
      </c>
      <c r="U7781" s="26" t="str">
        <f t="shared" si="294"/>
        <v>2025.002G.Monodnaviria_reorg_4nr.zip</v>
      </c>
    </row>
    <row r="7782" spans="1:21">
      <c r="A7782">
        <v>7781</v>
      </c>
      <c r="B7782" s="27" t="s">
        <v>20779</v>
      </c>
      <c r="D7782" s="27" t="s">
        <v>1826</v>
      </c>
      <c r="F7782" s="27" t="s">
        <v>1844</v>
      </c>
      <c r="H7782" s="27" t="s">
        <v>1845</v>
      </c>
      <c r="J7782" s="27" t="s">
        <v>1848</v>
      </c>
      <c r="L7782" s="27" t="s">
        <v>918</v>
      </c>
      <c r="N7782" s="27" t="s">
        <v>924</v>
      </c>
      <c r="P7782" s="27" t="s">
        <v>2402</v>
      </c>
      <c r="Q7782" s="26" t="str">
        <f>HYPERLINK("https://ictv.global/taxonomy/taxondetails?taxnode_id=202505977&amp;ictv_id=ICTV20175977","ICTV20175977")</f>
        <v>ICTV20175977</v>
      </c>
      <c r="R7782" t="s">
        <v>660</v>
      </c>
      <c r="S7782" t="s">
        <v>824</v>
      </c>
      <c r="T7782">
        <v>41</v>
      </c>
      <c r="U7782" s="26" t="str">
        <f t="shared" si="294"/>
        <v>2025.002G.Monodnaviria_reorg_4nr.zip</v>
      </c>
    </row>
    <row r="7783" spans="1:21">
      <c r="A7783">
        <v>7782</v>
      </c>
      <c r="B7783" s="27" t="s">
        <v>20779</v>
      </c>
      <c r="D7783" s="27" t="s">
        <v>1826</v>
      </c>
      <c r="F7783" s="27" t="s">
        <v>1844</v>
      </c>
      <c r="H7783" s="27" t="s">
        <v>1845</v>
      </c>
      <c r="J7783" s="27" t="s">
        <v>1848</v>
      </c>
      <c r="L7783" s="27" t="s">
        <v>918</v>
      </c>
      <c r="N7783" s="27" t="s">
        <v>924</v>
      </c>
      <c r="P7783" s="27" t="s">
        <v>2403</v>
      </c>
      <c r="Q7783" s="26" t="str">
        <f>HYPERLINK("https://ictv.global/taxonomy/taxondetails?taxnode_id=202505979&amp;ictv_id=ICTV20175979","ICTV20175979")</f>
        <v>ICTV20175979</v>
      </c>
      <c r="R7783" t="s">
        <v>660</v>
      </c>
      <c r="S7783" t="s">
        <v>824</v>
      </c>
      <c r="T7783">
        <v>41</v>
      </c>
      <c r="U7783" s="26" t="str">
        <f t="shared" si="294"/>
        <v>2025.002G.Monodnaviria_reorg_4nr.zip</v>
      </c>
    </row>
    <row r="7784" spans="1:21">
      <c r="A7784">
        <v>7783</v>
      </c>
      <c r="B7784" s="27" t="s">
        <v>20779</v>
      </c>
      <c r="D7784" s="27" t="s">
        <v>1826</v>
      </c>
      <c r="F7784" s="27" t="s">
        <v>1844</v>
      </c>
      <c r="H7784" s="27" t="s">
        <v>1845</v>
      </c>
      <c r="J7784" s="27" t="s">
        <v>1848</v>
      </c>
      <c r="L7784" s="27" t="s">
        <v>918</v>
      </c>
      <c r="N7784" s="27" t="s">
        <v>924</v>
      </c>
      <c r="P7784" s="27" t="s">
        <v>2404</v>
      </c>
      <c r="Q7784" s="26" t="str">
        <f>HYPERLINK("https://ictv.global/taxonomy/taxondetails?taxnode_id=202505980&amp;ictv_id=ICTV20175980","ICTV20175980")</f>
        <v>ICTV20175980</v>
      </c>
      <c r="R7784" t="s">
        <v>660</v>
      </c>
      <c r="S7784" t="s">
        <v>824</v>
      </c>
      <c r="T7784">
        <v>41</v>
      </c>
      <c r="U7784" s="26" t="str">
        <f t="shared" si="294"/>
        <v>2025.002G.Monodnaviria_reorg_4nr.zip</v>
      </c>
    </row>
    <row r="7785" spans="1:21">
      <c r="A7785">
        <v>7784</v>
      </c>
      <c r="B7785" s="27" t="s">
        <v>20779</v>
      </c>
      <c r="D7785" s="27" t="s">
        <v>1826</v>
      </c>
      <c r="F7785" s="27" t="s">
        <v>1844</v>
      </c>
      <c r="H7785" s="27" t="s">
        <v>1845</v>
      </c>
      <c r="J7785" s="27" t="s">
        <v>1848</v>
      </c>
      <c r="L7785" s="27" t="s">
        <v>918</v>
      </c>
      <c r="N7785" s="27" t="s">
        <v>924</v>
      </c>
      <c r="P7785" s="27" t="s">
        <v>2405</v>
      </c>
      <c r="Q7785" s="26" t="str">
        <f>HYPERLINK("https://ictv.global/taxonomy/taxondetails?taxnode_id=202505981&amp;ictv_id=ICTV20175981","ICTV20175981")</f>
        <v>ICTV20175981</v>
      </c>
      <c r="R7785" t="s">
        <v>660</v>
      </c>
      <c r="S7785" t="s">
        <v>824</v>
      </c>
      <c r="T7785">
        <v>41</v>
      </c>
      <c r="U7785" s="26" t="str">
        <f t="shared" si="294"/>
        <v>2025.002G.Monodnaviria_reorg_4nr.zip</v>
      </c>
    </row>
    <row r="7786" spans="1:21">
      <c r="A7786">
        <v>7785</v>
      </c>
      <c r="B7786" s="27" t="s">
        <v>20779</v>
      </c>
      <c r="D7786" s="27" t="s">
        <v>1826</v>
      </c>
      <c r="F7786" s="27" t="s">
        <v>1844</v>
      </c>
      <c r="H7786" s="27" t="s">
        <v>1845</v>
      </c>
      <c r="J7786" s="27" t="s">
        <v>1848</v>
      </c>
      <c r="L7786" s="27" t="s">
        <v>918</v>
      </c>
      <c r="N7786" s="27" t="s">
        <v>924</v>
      </c>
      <c r="P7786" s="27" t="s">
        <v>2406</v>
      </c>
      <c r="Q7786" s="26" t="str">
        <f>HYPERLINK("https://ictv.global/taxonomy/taxondetails?taxnode_id=202505982&amp;ictv_id=ICTV20175982","ICTV20175982")</f>
        <v>ICTV20175982</v>
      </c>
      <c r="R7786" t="s">
        <v>660</v>
      </c>
      <c r="S7786" t="s">
        <v>824</v>
      </c>
      <c r="T7786">
        <v>41</v>
      </c>
      <c r="U7786" s="26" t="str">
        <f t="shared" si="294"/>
        <v>2025.002G.Monodnaviria_reorg_4nr.zip</v>
      </c>
    </row>
    <row r="7787" spans="1:21">
      <c r="A7787">
        <v>7786</v>
      </c>
      <c r="B7787" s="27" t="s">
        <v>20779</v>
      </c>
      <c r="D7787" s="27" t="s">
        <v>1826</v>
      </c>
      <c r="F7787" s="27" t="s">
        <v>1844</v>
      </c>
      <c r="H7787" s="27" t="s">
        <v>1845</v>
      </c>
      <c r="J7787" s="27" t="s">
        <v>1848</v>
      </c>
      <c r="L7787" s="27" t="s">
        <v>918</v>
      </c>
      <c r="N7787" s="27" t="s">
        <v>924</v>
      </c>
      <c r="P7787" s="27" t="s">
        <v>2407</v>
      </c>
      <c r="Q7787" s="26" t="str">
        <f>HYPERLINK("https://ictv.global/taxonomy/taxondetails?taxnode_id=202505983&amp;ictv_id=ICTV20175983","ICTV20175983")</f>
        <v>ICTV20175983</v>
      </c>
      <c r="R7787" t="s">
        <v>660</v>
      </c>
      <c r="S7787" t="s">
        <v>824</v>
      </c>
      <c r="T7787">
        <v>41</v>
      </c>
      <c r="U7787" s="26" t="str">
        <f t="shared" si="294"/>
        <v>2025.002G.Monodnaviria_reorg_4nr.zip</v>
      </c>
    </row>
    <row r="7788" spans="1:21">
      <c r="A7788">
        <v>7787</v>
      </c>
      <c r="B7788" s="27" t="s">
        <v>20779</v>
      </c>
      <c r="D7788" s="27" t="s">
        <v>1826</v>
      </c>
      <c r="F7788" s="27" t="s">
        <v>1844</v>
      </c>
      <c r="H7788" s="27" t="s">
        <v>1845</v>
      </c>
      <c r="J7788" s="27" t="s">
        <v>1848</v>
      </c>
      <c r="L7788" s="27" t="s">
        <v>918</v>
      </c>
      <c r="N7788" s="27" t="s">
        <v>924</v>
      </c>
      <c r="P7788" s="27" t="s">
        <v>2408</v>
      </c>
      <c r="Q7788" s="26" t="str">
        <f>HYPERLINK("https://ictv.global/taxonomy/taxondetails?taxnode_id=202505984&amp;ictv_id=ICTV20175984","ICTV20175984")</f>
        <v>ICTV20175984</v>
      </c>
      <c r="R7788" t="s">
        <v>660</v>
      </c>
      <c r="S7788" t="s">
        <v>824</v>
      </c>
      <c r="T7788">
        <v>41</v>
      </c>
      <c r="U7788" s="26" t="str">
        <f t="shared" si="294"/>
        <v>2025.002G.Monodnaviria_reorg_4nr.zip</v>
      </c>
    </row>
    <row r="7789" spans="1:21">
      <c r="A7789">
        <v>7788</v>
      </c>
      <c r="B7789" s="27" t="s">
        <v>20779</v>
      </c>
      <c r="D7789" s="27" t="s">
        <v>1826</v>
      </c>
      <c r="F7789" s="27" t="s">
        <v>1844</v>
      </c>
      <c r="H7789" s="27" t="s">
        <v>1845</v>
      </c>
      <c r="J7789" s="27" t="s">
        <v>1848</v>
      </c>
      <c r="L7789" s="27" t="s">
        <v>918</v>
      </c>
      <c r="N7789" s="27" t="s">
        <v>924</v>
      </c>
      <c r="P7789" s="27" t="s">
        <v>2409</v>
      </c>
      <c r="Q7789" s="26" t="str">
        <f>HYPERLINK("https://ictv.global/taxonomy/taxondetails?taxnode_id=202505985&amp;ictv_id=ICTV20175985","ICTV20175985")</f>
        <v>ICTV20175985</v>
      </c>
      <c r="R7789" t="s">
        <v>660</v>
      </c>
      <c r="S7789" t="s">
        <v>824</v>
      </c>
      <c r="T7789">
        <v>41</v>
      </c>
      <c r="U7789" s="26" t="str">
        <f t="shared" si="294"/>
        <v>2025.002G.Monodnaviria_reorg_4nr.zip</v>
      </c>
    </row>
    <row r="7790" spans="1:21">
      <c r="A7790">
        <v>7789</v>
      </c>
      <c r="B7790" s="27" t="s">
        <v>20779</v>
      </c>
      <c r="D7790" s="27" t="s">
        <v>1826</v>
      </c>
      <c r="F7790" s="27" t="s">
        <v>1844</v>
      </c>
      <c r="H7790" s="27" t="s">
        <v>1845</v>
      </c>
      <c r="J7790" s="27" t="s">
        <v>1848</v>
      </c>
      <c r="L7790" s="27" t="s">
        <v>918</v>
      </c>
      <c r="N7790" s="27" t="s">
        <v>924</v>
      </c>
      <c r="P7790" s="27" t="s">
        <v>2410</v>
      </c>
      <c r="Q7790" s="26" t="str">
        <f>HYPERLINK("https://ictv.global/taxonomy/taxondetails?taxnode_id=202505986&amp;ictv_id=ICTV20175986","ICTV20175986")</f>
        <v>ICTV20175986</v>
      </c>
      <c r="R7790" t="s">
        <v>660</v>
      </c>
      <c r="S7790" t="s">
        <v>824</v>
      </c>
      <c r="T7790">
        <v>41</v>
      </c>
      <c r="U7790" s="26" t="str">
        <f t="shared" si="294"/>
        <v>2025.002G.Monodnaviria_reorg_4nr.zip</v>
      </c>
    </row>
    <row r="7791" spans="1:21">
      <c r="A7791">
        <v>7790</v>
      </c>
      <c r="B7791" s="27" t="s">
        <v>20779</v>
      </c>
      <c r="D7791" s="27" t="s">
        <v>1826</v>
      </c>
      <c r="F7791" s="27" t="s">
        <v>1844</v>
      </c>
      <c r="H7791" s="27" t="s">
        <v>1845</v>
      </c>
      <c r="J7791" s="27" t="s">
        <v>1848</v>
      </c>
      <c r="L7791" s="27" t="s">
        <v>918</v>
      </c>
      <c r="N7791" s="27" t="s">
        <v>924</v>
      </c>
      <c r="P7791" s="27" t="s">
        <v>2411</v>
      </c>
      <c r="Q7791" s="26" t="str">
        <f>HYPERLINK("https://ictv.global/taxonomy/taxondetails?taxnode_id=202505978&amp;ictv_id=ICTV20175978","ICTV20175978")</f>
        <v>ICTV20175978</v>
      </c>
      <c r="R7791" t="s">
        <v>660</v>
      </c>
      <c r="S7791" t="s">
        <v>824</v>
      </c>
      <c r="T7791">
        <v>41</v>
      </c>
      <c r="U7791" s="26" t="str">
        <f t="shared" si="294"/>
        <v>2025.002G.Monodnaviria_reorg_4nr.zip</v>
      </c>
    </row>
    <row r="7792" spans="1:21">
      <c r="A7792">
        <v>7791</v>
      </c>
      <c r="B7792" s="27" t="s">
        <v>20779</v>
      </c>
      <c r="D7792" s="27" t="s">
        <v>1826</v>
      </c>
      <c r="F7792" s="27" t="s">
        <v>1844</v>
      </c>
      <c r="H7792" s="27" t="s">
        <v>1845</v>
      </c>
      <c r="J7792" s="27" t="s">
        <v>1848</v>
      </c>
      <c r="L7792" s="27" t="s">
        <v>918</v>
      </c>
      <c r="N7792" s="27" t="s">
        <v>924</v>
      </c>
      <c r="P7792" s="27" t="s">
        <v>2412</v>
      </c>
      <c r="Q7792" s="26" t="str">
        <f>HYPERLINK("https://ictv.global/taxonomy/taxondetails?taxnode_id=202509536&amp;ictv_id=ICTV202009536","ICTV202009536")</f>
        <v>ICTV202009536</v>
      </c>
      <c r="R7792" t="s">
        <v>660</v>
      </c>
      <c r="S7792" t="s">
        <v>824</v>
      </c>
      <c r="T7792">
        <v>41</v>
      </c>
      <c r="U7792" s="26" t="str">
        <f t="shared" si="294"/>
        <v>2025.002G.Monodnaviria_reorg_4nr.zip</v>
      </c>
    </row>
    <row r="7793" spans="1:21">
      <c r="A7793">
        <v>7792</v>
      </c>
      <c r="B7793" s="27" t="s">
        <v>20779</v>
      </c>
      <c r="D7793" s="27" t="s">
        <v>1826</v>
      </c>
      <c r="F7793" s="27" t="s">
        <v>1844</v>
      </c>
      <c r="H7793" s="27" t="s">
        <v>1845</v>
      </c>
      <c r="J7793" s="27" t="s">
        <v>1848</v>
      </c>
      <c r="L7793" s="27" t="s">
        <v>918</v>
      </c>
      <c r="N7793" s="27" t="s">
        <v>924</v>
      </c>
      <c r="P7793" s="27" t="s">
        <v>2413</v>
      </c>
      <c r="Q7793" s="26" t="str">
        <f>HYPERLINK("https://ictv.global/taxonomy/taxondetails?taxnode_id=202509537&amp;ictv_id=ICTV202009537","ICTV202009537")</f>
        <v>ICTV202009537</v>
      </c>
      <c r="R7793" t="s">
        <v>660</v>
      </c>
      <c r="S7793" t="s">
        <v>824</v>
      </c>
      <c r="T7793">
        <v>41</v>
      </c>
      <c r="U7793" s="26" t="str">
        <f t="shared" si="294"/>
        <v>2025.002G.Monodnaviria_reorg_4nr.zip</v>
      </c>
    </row>
    <row r="7794" spans="1:21">
      <c r="A7794">
        <v>7793</v>
      </c>
      <c r="B7794" s="27" t="s">
        <v>20779</v>
      </c>
      <c r="D7794" s="27" t="s">
        <v>1826</v>
      </c>
      <c r="F7794" s="27" t="s">
        <v>1844</v>
      </c>
      <c r="H7794" s="27" t="s">
        <v>1845</v>
      </c>
      <c r="J7794" s="27" t="s">
        <v>1848</v>
      </c>
      <c r="L7794" s="27" t="s">
        <v>918</v>
      </c>
      <c r="N7794" s="27" t="s">
        <v>924</v>
      </c>
      <c r="P7794" s="27" t="s">
        <v>2414</v>
      </c>
      <c r="Q7794" s="26" t="str">
        <f>HYPERLINK("https://ictv.global/taxonomy/taxondetails?taxnode_id=202509538&amp;ictv_id=ICTV202009538","ICTV202009538")</f>
        <v>ICTV202009538</v>
      </c>
      <c r="R7794" t="s">
        <v>660</v>
      </c>
      <c r="S7794" t="s">
        <v>824</v>
      </c>
      <c r="T7794">
        <v>41</v>
      </c>
      <c r="U7794" s="26" t="str">
        <f t="shared" si="294"/>
        <v>2025.002G.Monodnaviria_reorg_4nr.zip</v>
      </c>
    </row>
    <row r="7795" spans="1:21">
      <c r="A7795">
        <v>7794</v>
      </c>
      <c r="B7795" s="27" t="s">
        <v>20779</v>
      </c>
      <c r="D7795" s="27" t="s">
        <v>1826</v>
      </c>
      <c r="F7795" s="27" t="s">
        <v>1844</v>
      </c>
      <c r="H7795" s="27" t="s">
        <v>1845</v>
      </c>
      <c r="J7795" s="27" t="s">
        <v>1848</v>
      </c>
      <c r="L7795" s="27" t="s">
        <v>918</v>
      </c>
      <c r="N7795" s="27" t="s">
        <v>924</v>
      </c>
      <c r="P7795" s="27" t="s">
        <v>2415</v>
      </c>
      <c r="Q7795" s="26" t="str">
        <f>HYPERLINK("https://ictv.global/taxonomy/taxondetails?taxnode_id=202509539&amp;ictv_id=ICTV202009539","ICTV202009539")</f>
        <v>ICTV202009539</v>
      </c>
      <c r="R7795" t="s">
        <v>660</v>
      </c>
      <c r="S7795" t="s">
        <v>824</v>
      </c>
      <c r="T7795">
        <v>41</v>
      </c>
      <c r="U7795" s="26" t="str">
        <f t="shared" si="294"/>
        <v>2025.002G.Monodnaviria_reorg_4nr.zip</v>
      </c>
    </row>
    <row r="7796" spans="1:21">
      <c r="A7796">
        <v>7795</v>
      </c>
      <c r="B7796" s="27" t="s">
        <v>20779</v>
      </c>
      <c r="D7796" s="27" t="s">
        <v>1826</v>
      </c>
      <c r="F7796" s="27" t="s">
        <v>1844</v>
      </c>
      <c r="H7796" s="27" t="s">
        <v>1845</v>
      </c>
      <c r="J7796" s="27" t="s">
        <v>1848</v>
      </c>
      <c r="L7796" s="27" t="s">
        <v>918</v>
      </c>
      <c r="N7796" s="27" t="s">
        <v>924</v>
      </c>
      <c r="P7796" s="27" t="s">
        <v>2416</v>
      </c>
      <c r="Q7796" s="26" t="str">
        <f>HYPERLINK("https://ictv.global/taxonomy/taxondetails?taxnode_id=202509540&amp;ictv_id=ICTV202009540","ICTV202009540")</f>
        <v>ICTV202009540</v>
      </c>
      <c r="R7796" t="s">
        <v>660</v>
      </c>
      <c r="S7796" t="s">
        <v>824</v>
      </c>
      <c r="T7796">
        <v>41</v>
      </c>
      <c r="U7796" s="26" t="str">
        <f t="shared" si="294"/>
        <v>2025.002G.Monodnaviria_reorg_4nr.zip</v>
      </c>
    </row>
    <row r="7797" spans="1:21">
      <c r="A7797">
        <v>7796</v>
      </c>
      <c r="B7797" s="27" t="s">
        <v>20779</v>
      </c>
      <c r="D7797" s="27" t="s">
        <v>1826</v>
      </c>
      <c r="F7797" s="27" t="s">
        <v>1844</v>
      </c>
      <c r="H7797" s="27" t="s">
        <v>1845</v>
      </c>
      <c r="J7797" s="27" t="s">
        <v>1848</v>
      </c>
      <c r="L7797" s="27" t="s">
        <v>918</v>
      </c>
      <c r="N7797" s="27" t="s">
        <v>924</v>
      </c>
      <c r="P7797" s="27" t="s">
        <v>2417</v>
      </c>
      <c r="Q7797" s="26" t="str">
        <f>HYPERLINK("https://ictv.global/taxonomy/taxondetails?taxnode_id=202509541&amp;ictv_id=ICTV202009541","ICTV202009541")</f>
        <v>ICTV202009541</v>
      </c>
      <c r="R7797" t="s">
        <v>660</v>
      </c>
      <c r="S7797" t="s">
        <v>824</v>
      </c>
      <c r="T7797">
        <v>41</v>
      </c>
      <c r="U7797" s="26" t="str">
        <f t="shared" si="294"/>
        <v>2025.002G.Monodnaviria_reorg_4nr.zip</v>
      </c>
    </row>
    <row r="7798" spans="1:21">
      <c r="A7798">
        <v>7797</v>
      </c>
      <c r="B7798" s="27" t="s">
        <v>20779</v>
      </c>
      <c r="D7798" s="27" t="s">
        <v>1826</v>
      </c>
      <c r="F7798" s="27" t="s">
        <v>1844</v>
      </c>
      <c r="H7798" s="27" t="s">
        <v>1845</v>
      </c>
      <c r="J7798" s="27" t="s">
        <v>1848</v>
      </c>
      <c r="L7798" s="27" t="s">
        <v>918</v>
      </c>
      <c r="N7798" s="27" t="s">
        <v>924</v>
      </c>
      <c r="P7798" s="27" t="s">
        <v>2418</v>
      </c>
      <c r="Q7798" s="26" t="str">
        <f>HYPERLINK("https://ictv.global/taxonomy/taxondetails?taxnode_id=202509542&amp;ictv_id=ICTV202009542","ICTV202009542")</f>
        <v>ICTV202009542</v>
      </c>
      <c r="R7798" t="s">
        <v>660</v>
      </c>
      <c r="S7798" t="s">
        <v>824</v>
      </c>
      <c r="T7798">
        <v>41</v>
      </c>
      <c r="U7798" s="26" t="str">
        <f t="shared" si="294"/>
        <v>2025.002G.Monodnaviria_reorg_4nr.zip</v>
      </c>
    </row>
    <row r="7799" spans="1:21">
      <c r="A7799">
        <v>7798</v>
      </c>
      <c r="B7799" s="27" t="s">
        <v>20779</v>
      </c>
      <c r="D7799" s="27" t="s">
        <v>1826</v>
      </c>
      <c r="F7799" s="27" t="s">
        <v>1844</v>
      </c>
      <c r="H7799" s="27" t="s">
        <v>1845</v>
      </c>
      <c r="J7799" s="27" t="s">
        <v>1848</v>
      </c>
      <c r="L7799" s="27" t="s">
        <v>918</v>
      </c>
      <c r="N7799" s="27" t="s">
        <v>924</v>
      </c>
      <c r="P7799" s="27" t="s">
        <v>2419</v>
      </c>
      <c r="Q7799" s="26" t="str">
        <f>HYPERLINK("https://ictv.global/taxonomy/taxondetails?taxnode_id=202509543&amp;ictv_id=ICTV202009543","ICTV202009543")</f>
        <v>ICTV202009543</v>
      </c>
      <c r="R7799" t="s">
        <v>660</v>
      </c>
      <c r="S7799" t="s">
        <v>824</v>
      </c>
      <c r="T7799">
        <v>41</v>
      </c>
      <c r="U7799" s="26" t="str">
        <f t="shared" si="294"/>
        <v>2025.002G.Monodnaviria_reorg_4nr.zip</v>
      </c>
    </row>
    <row r="7800" spans="1:21">
      <c r="A7800">
        <v>7799</v>
      </c>
      <c r="B7800" s="27" t="s">
        <v>20779</v>
      </c>
      <c r="D7800" s="27" t="s">
        <v>1826</v>
      </c>
      <c r="F7800" s="27" t="s">
        <v>1844</v>
      </c>
      <c r="H7800" s="27" t="s">
        <v>1845</v>
      </c>
      <c r="J7800" s="27" t="s">
        <v>1848</v>
      </c>
      <c r="L7800" s="27" t="s">
        <v>918</v>
      </c>
      <c r="N7800" s="27" t="s">
        <v>924</v>
      </c>
      <c r="P7800" s="27" t="s">
        <v>2420</v>
      </c>
      <c r="Q7800" s="26" t="str">
        <f>HYPERLINK("https://ictv.global/taxonomy/taxondetails?taxnode_id=202509544&amp;ictv_id=ICTV202009544","ICTV202009544")</f>
        <v>ICTV202009544</v>
      </c>
      <c r="R7800" t="s">
        <v>660</v>
      </c>
      <c r="S7800" t="s">
        <v>824</v>
      </c>
      <c r="T7800">
        <v>41</v>
      </c>
      <c r="U7800" s="26" t="str">
        <f t="shared" si="294"/>
        <v>2025.002G.Monodnaviria_reorg_4nr.zip</v>
      </c>
    </row>
    <row r="7801" spans="1:21">
      <c r="A7801">
        <v>7800</v>
      </c>
      <c r="B7801" s="27" t="s">
        <v>20779</v>
      </c>
      <c r="D7801" s="27" t="s">
        <v>1826</v>
      </c>
      <c r="F7801" s="27" t="s">
        <v>1844</v>
      </c>
      <c r="H7801" s="27" t="s">
        <v>1845</v>
      </c>
      <c r="J7801" s="27" t="s">
        <v>1848</v>
      </c>
      <c r="L7801" s="27" t="s">
        <v>918</v>
      </c>
      <c r="N7801" s="27" t="s">
        <v>924</v>
      </c>
      <c r="P7801" s="27" t="s">
        <v>2421</v>
      </c>
      <c r="Q7801" s="26" t="str">
        <f>HYPERLINK("https://ictv.global/taxonomy/taxondetails?taxnode_id=202509545&amp;ictv_id=ICTV202009545","ICTV202009545")</f>
        <v>ICTV202009545</v>
      </c>
      <c r="R7801" t="s">
        <v>660</v>
      </c>
      <c r="S7801" t="s">
        <v>824</v>
      </c>
      <c r="T7801">
        <v>41</v>
      </c>
      <c r="U7801" s="26" t="str">
        <f t="shared" si="294"/>
        <v>2025.002G.Monodnaviria_reorg_4nr.zip</v>
      </c>
    </row>
    <row r="7802" spans="1:21">
      <c r="A7802">
        <v>7801</v>
      </c>
      <c r="B7802" s="27" t="s">
        <v>20779</v>
      </c>
      <c r="D7802" s="27" t="s">
        <v>1826</v>
      </c>
      <c r="F7802" s="27" t="s">
        <v>1844</v>
      </c>
      <c r="H7802" s="27" t="s">
        <v>1845</v>
      </c>
      <c r="J7802" s="27" t="s">
        <v>1848</v>
      </c>
      <c r="L7802" s="27" t="s">
        <v>918</v>
      </c>
      <c r="N7802" s="27" t="s">
        <v>924</v>
      </c>
      <c r="P7802" s="27" t="s">
        <v>2422</v>
      </c>
      <c r="Q7802" s="26" t="str">
        <f>HYPERLINK("https://ictv.global/taxonomy/taxondetails?taxnode_id=202505987&amp;ictv_id=ICTV20175987","ICTV20175987")</f>
        <v>ICTV20175987</v>
      </c>
      <c r="R7802" t="s">
        <v>660</v>
      </c>
      <c r="S7802" t="s">
        <v>824</v>
      </c>
      <c r="T7802">
        <v>41</v>
      </c>
      <c r="U7802" s="26" t="str">
        <f t="shared" si="294"/>
        <v>2025.002G.Monodnaviria_reorg_4nr.zip</v>
      </c>
    </row>
    <row r="7803" spans="1:21">
      <c r="A7803">
        <v>7802</v>
      </c>
      <c r="B7803" s="27" t="s">
        <v>20779</v>
      </c>
      <c r="D7803" s="27" t="s">
        <v>1826</v>
      </c>
      <c r="F7803" s="27" t="s">
        <v>1844</v>
      </c>
      <c r="H7803" s="27" t="s">
        <v>1845</v>
      </c>
      <c r="J7803" s="27" t="s">
        <v>1848</v>
      </c>
      <c r="L7803" s="27" t="s">
        <v>918</v>
      </c>
      <c r="N7803" s="27" t="s">
        <v>924</v>
      </c>
      <c r="P7803" s="27" t="s">
        <v>2423</v>
      </c>
      <c r="Q7803" s="26" t="str">
        <f>HYPERLINK("https://ictv.global/taxonomy/taxondetails?taxnode_id=202505988&amp;ictv_id=ICTV20175988","ICTV20175988")</f>
        <v>ICTV20175988</v>
      </c>
      <c r="R7803" t="s">
        <v>660</v>
      </c>
      <c r="S7803" t="s">
        <v>824</v>
      </c>
      <c r="T7803">
        <v>41</v>
      </c>
      <c r="U7803" s="26" t="str">
        <f t="shared" si="294"/>
        <v>2025.002G.Monodnaviria_reorg_4nr.zip</v>
      </c>
    </row>
    <row r="7804" spans="1:21">
      <c r="A7804">
        <v>7803</v>
      </c>
      <c r="B7804" s="27" t="s">
        <v>20779</v>
      </c>
      <c r="D7804" s="27" t="s">
        <v>1826</v>
      </c>
      <c r="F7804" s="27" t="s">
        <v>1844</v>
      </c>
      <c r="H7804" s="27" t="s">
        <v>1845</v>
      </c>
      <c r="J7804" s="27" t="s">
        <v>1848</v>
      </c>
      <c r="L7804" s="27" t="s">
        <v>918</v>
      </c>
      <c r="N7804" s="27" t="s">
        <v>924</v>
      </c>
      <c r="P7804" s="27" t="s">
        <v>2424</v>
      </c>
      <c r="Q7804" s="26" t="str">
        <f>HYPERLINK("https://ictv.global/taxonomy/taxondetails?taxnode_id=202505989&amp;ictv_id=ICTV20175989","ICTV20175989")</f>
        <v>ICTV20175989</v>
      </c>
      <c r="R7804" t="s">
        <v>660</v>
      </c>
      <c r="S7804" t="s">
        <v>824</v>
      </c>
      <c r="T7804">
        <v>41</v>
      </c>
      <c r="U7804" s="26" t="str">
        <f t="shared" si="294"/>
        <v>2025.002G.Monodnaviria_reorg_4nr.zip</v>
      </c>
    </row>
    <row r="7805" spans="1:21">
      <c r="A7805">
        <v>7804</v>
      </c>
      <c r="B7805" s="27" t="s">
        <v>20779</v>
      </c>
      <c r="D7805" s="27" t="s">
        <v>1826</v>
      </c>
      <c r="F7805" s="27" t="s">
        <v>1844</v>
      </c>
      <c r="H7805" s="27" t="s">
        <v>1845</v>
      </c>
      <c r="J7805" s="27" t="s">
        <v>1848</v>
      </c>
      <c r="L7805" s="27" t="s">
        <v>918</v>
      </c>
      <c r="N7805" s="27" t="s">
        <v>924</v>
      </c>
      <c r="P7805" s="27" t="s">
        <v>2425</v>
      </c>
      <c r="Q7805" s="26" t="str">
        <f>HYPERLINK("https://ictv.global/taxonomy/taxondetails?taxnode_id=202505990&amp;ictv_id=ICTV20175990","ICTV20175990")</f>
        <v>ICTV20175990</v>
      </c>
      <c r="R7805" t="s">
        <v>660</v>
      </c>
      <c r="S7805" t="s">
        <v>824</v>
      </c>
      <c r="T7805">
        <v>41</v>
      </c>
      <c r="U7805" s="26" t="str">
        <f t="shared" si="294"/>
        <v>2025.002G.Monodnaviria_reorg_4nr.zip</v>
      </c>
    </row>
    <row r="7806" spans="1:21">
      <c r="A7806">
        <v>7805</v>
      </c>
      <c r="B7806" s="27" t="s">
        <v>20779</v>
      </c>
      <c r="D7806" s="27" t="s">
        <v>1826</v>
      </c>
      <c r="F7806" s="27" t="s">
        <v>1844</v>
      </c>
      <c r="H7806" s="27" t="s">
        <v>1845</v>
      </c>
      <c r="J7806" s="27" t="s">
        <v>1848</v>
      </c>
      <c r="L7806" s="27" t="s">
        <v>918</v>
      </c>
      <c r="N7806" s="27" t="s">
        <v>924</v>
      </c>
      <c r="P7806" s="27" t="s">
        <v>12355</v>
      </c>
      <c r="Q7806" s="26" t="str">
        <f>HYPERLINK("https://ictv.global/taxonomy/taxondetails?taxnode_id=202518018&amp;ictv_id=ICTV202318018","ICTV202318018")</f>
        <v>ICTV202318018</v>
      </c>
      <c r="R7806" t="s">
        <v>660</v>
      </c>
      <c r="S7806" t="s">
        <v>824</v>
      </c>
      <c r="T7806">
        <v>41</v>
      </c>
      <c r="U7806" s="26" t="str">
        <f t="shared" si="294"/>
        <v>2025.002G.Monodnaviria_reorg_4nr.zip</v>
      </c>
    </row>
    <row r="7807" spans="1:21">
      <c r="A7807">
        <v>7806</v>
      </c>
      <c r="B7807" s="27" t="s">
        <v>20779</v>
      </c>
      <c r="D7807" s="27" t="s">
        <v>1826</v>
      </c>
      <c r="F7807" s="27" t="s">
        <v>1844</v>
      </c>
      <c r="H7807" s="27" t="s">
        <v>1845</v>
      </c>
      <c r="J7807" s="27" t="s">
        <v>1848</v>
      </c>
      <c r="L7807" s="27" t="s">
        <v>918</v>
      </c>
      <c r="N7807" s="27" t="s">
        <v>924</v>
      </c>
      <c r="P7807" s="27" t="s">
        <v>2426</v>
      </c>
      <c r="Q7807" s="26" t="str">
        <f>HYPERLINK("https://ictv.global/taxonomy/taxondetails?taxnode_id=202505991&amp;ictv_id=ICTV20175991","ICTV20175991")</f>
        <v>ICTV20175991</v>
      </c>
      <c r="R7807" t="s">
        <v>660</v>
      </c>
      <c r="S7807" t="s">
        <v>824</v>
      </c>
      <c r="T7807">
        <v>41</v>
      </c>
      <c r="U7807" s="26" t="str">
        <f t="shared" si="294"/>
        <v>2025.002G.Monodnaviria_reorg_4nr.zip</v>
      </c>
    </row>
    <row r="7808" spans="1:21">
      <c r="A7808">
        <v>7807</v>
      </c>
      <c r="B7808" s="27" t="s">
        <v>20779</v>
      </c>
      <c r="D7808" s="27" t="s">
        <v>1826</v>
      </c>
      <c r="F7808" s="27" t="s">
        <v>1844</v>
      </c>
      <c r="H7808" s="27" t="s">
        <v>1845</v>
      </c>
      <c r="J7808" s="27" t="s">
        <v>1848</v>
      </c>
      <c r="L7808" s="27" t="s">
        <v>918</v>
      </c>
      <c r="N7808" s="27" t="s">
        <v>2427</v>
      </c>
      <c r="P7808" s="27" t="s">
        <v>2428</v>
      </c>
      <c r="Q7808" s="26" t="str">
        <f>HYPERLINK("https://ictv.global/taxonomy/taxondetails?taxnode_id=202509501&amp;ictv_id=ICTV202009501","ICTV202009501")</f>
        <v>ICTV202009501</v>
      </c>
      <c r="R7808" t="s">
        <v>660</v>
      </c>
      <c r="S7808" t="s">
        <v>824</v>
      </c>
      <c r="T7808">
        <v>41</v>
      </c>
      <c r="U7808" s="26" t="str">
        <f t="shared" si="294"/>
        <v>2025.002G.Monodnaviria_reorg_4nr.zip</v>
      </c>
    </row>
    <row r="7809" spans="1:21">
      <c r="A7809">
        <v>7808</v>
      </c>
      <c r="B7809" s="27" t="s">
        <v>20779</v>
      </c>
      <c r="D7809" s="27" t="s">
        <v>1826</v>
      </c>
      <c r="F7809" s="27" t="s">
        <v>1844</v>
      </c>
      <c r="H7809" s="27" t="s">
        <v>1845</v>
      </c>
      <c r="J7809" s="27" t="s">
        <v>1848</v>
      </c>
      <c r="L7809" s="27" t="s">
        <v>918</v>
      </c>
      <c r="N7809" s="27" t="s">
        <v>2427</v>
      </c>
      <c r="P7809" s="27" t="s">
        <v>2429</v>
      </c>
      <c r="Q7809" s="26" t="str">
        <f>HYPERLINK("https://ictv.global/taxonomy/taxondetails?taxnode_id=202509502&amp;ictv_id=ICTV202009502","ICTV202009502")</f>
        <v>ICTV202009502</v>
      </c>
      <c r="R7809" t="s">
        <v>660</v>
      </c>
      <c r="S7809" t="s">
        <v>824</v>
      </c>
      <c r="T7809">
        <v>41</v>
      </c>
      <c r="U7809" s="26" t="str">
        <f t="shared" si="294"/>
        <v>2025.002G.Monodnaviria_reorg_4nr.zip</v>
      </c>
    </row>
    <row r="7810" spans="1:21">
      <c r="A7810">
        <v>7809</v>
      </c>
      <c r="B7810" s="27" t="s">
        <v>20779</v>
      </c>
      <c r="D7810" s="27" t="s">
        <v>1826</v>
      </c>
      <c r="F7810" s="27" t="s">
        <v>1844</v>
      </c>
      <c r="H7810" s="27" t="s">
        <v>1845</v>
      </c>
      <c r="J7810" s="27" t="s">
        <v>12356</v>
      </c>
      <c r="L7810" s="27" t="s">
        <v>12357</v>
      </c>
      <c r="N7810" s="27" t="s">
        <v>12358</v>
      </c>
      <c r="P7810" s="27" t="s">
        <v>12359</v>
      </c>
      <c r="Q7810" s="26" t="str">
        <f>HYPERLINK("https://ictv.global/taxonomy/taxondetails?taxnode_id=202518843&amp;ictv_id=ICTV202318843","ICTV202318843")</f>
        <v>ICTV202318843</v>
      </c>
      <c r="R7810" t="s">
        <v>660</v>
      </c>
      <c r="S7810" t="s">
        <v>824</v>
      </c>
      <c r="T7810">
        <v>41</v>
      </c>
      <c r="U7810" s="26" t="str">
        <f t="shared" si="294"/>
        <v>2025.002G.Monodnaviria_reorg_4nr.zip</v>
      </c>
    </row>
    <row r="7811" spans="1:21">
      <c r="A7811">
        <v>7810</v>
      </c>
      <c r="B7811" s="27" t="s">
        <v>20779</v>
      </c>
      <c r="D7811" s="27" t="s">
        <v>1826</v>
      </c>
      <c r="F7811" s="27" t="s">
        <v>1844</v>
      </c>
      <c r="H7811" s="27" t="s">
        <v>1845</v>
      </c>
      <c r="J7811" s="27" t="s">
        <v>12356</v>
      </c>
      <c r="L7811" s="27" t="s">
        <v>12357</v>
      </c>
      <c r="N7811" s="27" t="s">
        <v>12360</v>
      </c>
      <c r="P7811" s="27" t="s">
        <v>12361</v>
      </c>
      <c r="Q7811" s="26" t="str">
        <f>HYPERLINK("https://ictv.global/taxonomy/taxondetails?taxnode_id=202518841&amp;ictv_id=ICTV202318841","ICTV202318841")</f>
        <v>ICTV202318841</v>
      </c>
      <c r="R7811" t="s">
        <v>660</v>
      </c>
      <c r="S7811" t="s">
        <v>824</v>
      </c>
      <c r="T7811">
        <v>41</v>
      </c>
      <c r="U7811" s="26" t="str">
        <f t="shared" si="294"/>
        <v>2025.002G.Monodnaviria_reorg_4nr.zip</v>
      </c>
    </row>
    <row r="7812" spans="1:21">
      <c r="A7812">
        <v>7811</v>
      </c>
      <c r="B7812" s="27" t="s">
        <v>20779</v>
      </c>
      <c r="D7812" s="27" t="s">
        <v>1826</v>
      </c>
      <c r="F7812" s="27" t="s">
        <v>1844</v>
      </c>
      <c r="H7812" s="27" t="s">
        <v>1845</v>
      </c>
      <c r="J7812" s="27" t="s">
        <v>12356</v>
      </c>
      <c r="L7812" s="27" t="s">
        <v>12357</v>
      </c>
      <c r="N7812" s="27" t="s">
        <v>12362</v>
      </c>
      <c r="P7812" s="27" t="s">
        <v>12363</v>
      </c>
      <c r="Q7812" s="26" t="str">
        <f>HYPERLINK("https://ictv.global/taxonomy/taxondetails?taxnode_id=202518840&amp;ictv_id=ICTV202318840","ICTV202318840")</f>
        <v>ICTV202318840</v>
      </c>
      <c r="R7812" t="s">
        <v>660</v>
      </c>
      <c r="S7812" t="s">
        <v>824</v>
      </c>
      <c r="T7812">
        <v>41</v>
      </c>
      <c r="U7812" s="26" t="str">
        <f t="shared" si="294"/>
        <v>2025.002G.Monodnaviria_reorg_4nr.zip</v>
      </c>
    </row>
    <row r="7813" spans="1:21">
      <c r="A7813">
        <v>7812</v>
      </c>
      <c r="B7813" s="27" t="s">
        <v>20779</v>
      </c>
      <c r="D7813" s="27" t="s">
        <v>1826</v>
      </c>
      <c r="F7813" s="27" t="s">
        <v>1844</v>
      </c>
      <c r="H7813" s="27" t="s">
        <v>1845</v>
      </c>
      <c r="J7813" s="27" t="s">
        <v>12356</v>
      </c>
      <c r="L7813" s="27" t="s">
        <v>12357</v>
      </c>
      <c r="N7813" s="27" t="s">
        <v>12364</v>
      </c>
      <c r="P7813" s="27" t="s">
        <v>12365</v>
      </c>
      <c r="Q7813" s="26" t="str">
        <f>HYPERLINK("https://ictv.global/taxonomy/taxondetails?taxnode_id=202518842&amp;ictv_id=ICTV202318842","ICTV202318842")</f>
        <v>ICTV202318842</v>
      </c>
      <c r="R7813" t="s">
        <v>660</v>
      </c>
      <c r="S7813" t="s">
        <v>824</v>
      </c>
      <c r="T7813">
        <v>41</v>
      </c>
      <c r="U7813" s="26" t="str">
        <f t="shared" si="294"/>
        <v>2025.002G.Monodnaviria_reorg_4nr.zip</v>
      </c>
    </row>
    <row r="7814" spans="1:21">
      <c r="A7814">
        <v>7813</v>
      </c>
      <c r="B7814" s="27" t="s">
        <v>20779</v>
      </c>
      <c r="D7814" s="27" t="s">
        <v>1826</v>
      </c>
      <c r="F7814" s="27" t="s">
        <v>1844</v>
      </c>
      <c r="H7814" s="27" t="s">
        <v>1845</v>
      </c>
      <c r="J7814" s="27" t="s">
        <v>12356</v>
      </c>
      <c r="L7814" s="27" t="s">
        <v>12357</v>
      </c>
      <c r="N7814" s="27" t="s">
        <v>12366</v>
      </c>
      <c r="P7814" s="27" t="s">
        <v>12367</v>
      </c>
      <c r="Q7814" s="26" t="str">
        <f>HYPERLINK("https://ictv.global/taxonomy/taxondetails?taxnode_id=202518839&amp;ictv_id=ICTV202318839","ICTV202318839")</f>
        <v>ICTV202318839</v>
      </c>
      <c r="R7814" t="s">
        <v>660</v>
      </c>
      <c r="S7814" t="s">
        <v>824</v>
      </c>
      <c r="T7814">
        <v>41</v>
      </c>
      <c r="U7814" s="26" t="str">
        <f t="shared" si="294"/>
        <v>2025.002G.Monodnaviria_reorg_4nr.zip</v>
      </c>
    </row>
    <row r="7815" spans="1:21">
      <c r="A7815">
        <v>7814</v>
      </c>
      <c r="B7815" s="27" t="s">
        <v>20779</v>
      </c>
      <c r="D7815" s="27" t="s">
        <v>1826</v>
      </c>
      <c r="F7815" s="27" t="s">
        <v>1844</v>
      </c>
      <c r="H7815" s="27" t="s">
        <v>1845</v>
      </c>
      <c r="J7815" s="27" t="s">
        <v>12356</v>
      </c>
      <c r="L7815" s="27" t="s">
        <v>12357</v>
      </c>
      <c r="N7815" s="27" t="s">
        <v>12368</v>
      </c>
      <c r="P7815" s="27" t="s">
        <v>12369</v>
      </c>
      <c r="Q7815" s="26" t="str">
        <f>HYPERLINK("https://ictv.global/taxonomy/taxondetails?taxnode_id=202518846&amp;ictv_id=ICTV202318846","ICTV202318846")</f>
        <v>ICTV202318846</v>
      </c>
      <c r="R7815" t="s">
        <v>660</v>
      </c>
      <c r="S7815" t="s">
        <v>824</v>
      </c>
      <c r="T7815">
        <v>41</v>
      </c>
      <c r="U7815" s="26" t="str">
        <f t="shared" si="294"/>
        <v>2025.002G.Monodnaviria_reorg_4nr.zip</v>
      </c>
    </row>
    <row r="7816" spans="1:21">
      <c r="A7816">
        <v>7815</v>
      </c>
      <c r="B7816" s="27" t="s">
        <v>20779</v>
      </c>
      <c r="D7816" s="27" t="s">
        <v>1826</v>
      </c>
      <c r="F7816" s="27" t="s">
        <v>1844</v>
      </c>
      <c r="H7816" s="27" t="s">
        <v>1845</v>
      </c>
      <c r="J7816" s="27" t="s">
        <v>12356</v>
      </c>
      <c r="L7816" s="27" t="s">
        <v>12357</v>
      </c>
      <c r="N7816" s="27" t="s">
        <v>12370</v>
      </c>
      <c r="P7816" s="27" t="s">
        <v>12371</v>
      </c>
      <c r="Q7816" s="26" t="str">
        <f>HYPERLINK("https://ictv.global/taxonomy/taxondetails?taxnode_id=202518845&amp;ictv_id=ICTV202318845","ICTV202318845")</f>
        <v>ICTV202318845</v>
      </c>
      <c r="R7816" t="s">
        <v>660</v>
      </c>
      <c r="S7816" t="s">
        <v>824</v>
      </c>
      <c r="T7816">
        <v>41</v>
      </c>
      <c r="U7816" s="26" t="str">
        <f t="shared" si="294"/>
        <v>2025.002G.Monodnaviria_reorg_4nr.zip</v>
      </c>
    </row>
    <row r="7817" spans="1:21">
      <c r="A7817">
        <v>7816</v>
      </c>
      <c r="B7817" s="27" t="s">
        <v>20779</v>
      </c>
      <c r="D7817" s="27" t="s">
        <v>1826</v>
      </c>
      <c r="F7817" s="27" t="s">
        <v>1844</v>
      </c>
      <c r="H7817" s="27" t="s">
        <v>1845</v>
      </c>
      <c r="J7817" s="27" t="s">
        <v>12356</v>
      </c>
      <c r="L7817" s="27" t="s">
        <v>12357</v>
      </c>
      <c r="N7817" s="27" t="s">
        <v>18533</v>
      </c>
      <c r="P7817" s="27" t="s">
        <v>18534</v>
      </c>
      <c r="Q7817" s="26" t="str">
        <f>HYPERLINK("https://ictv.global/taxonomy/taxondetails?taxnode_id=202518844&amp;ictv_id=ICTV202318844","ICTV202318844")</f>
        <v>ICTV202318844</v>
      </c>
      <c r="R7817" t="s">
        <v>660</v>
      </c>
      <c r="S7817" t="s">
        <v>824</v>
      </c>
      <c r="T7817">
        <v>41</v>
      </c>
      <c r="U7817" s="26" t="str">
        <f t="shared" si="294"/>
        <v>2025.002G.Monodnaviria_reorg_4nr.zip</v>
      </c>
    </row>
    <row r="7818" spans="1:21">
      <c r="A7818">
        <v>7817</v>
      </c>
      <c r="B7818" s="27" t="s">
        <v>20779</v>
      </c>
      <c r="D7818" s="27" t="s">
        <v>1826</v>
      </c>
      <c r="F7818" s="27" t="s">
        <v>1844</v>
      </c>
      <c r="H7818" s="27" t="s">
        <v>1845</v>
      </c>
      <c r="J7818" s="27" t="s">
        <v>12356</v>
      </c>
      <c r="L7818" s="27" t="s">
        <v>12372</v>
      </c>
      <c r="N7818" s="27" t="s">
        <v>12373</v>
      </c>
      <c r="P7818" s="27" t="s">
        <v>12374</v>
      </c>
      <c r="Q7818" s="26" t="str">
        <f>HYPERLINK("https://ictv.global/taxonomy/taxondetails?taxnode_id=202518827&amp;ictv_id=ICTV202318827","ICTV202318827")</f>
        <v>ICTV202318827</v>
      </c>
      <c r="R7818" t="s">
        <v>660</v>
      </c>
      <c r="S7818" t="s">
        <v>824</v>
      </c>
      <c r="T7818">
        <v>41</v>
      </c>
      <c r="U7818" s="26" t="str">
        <f t="shared" si="294"/>
        <v>2025.002G.Monodnaviria_reorg_4nr.zip</v>
      </c>
    </row>
    <row r="7819" spans="1:21">
      <c r="A7819">
        <v>7818</v>
      </c>
      <c r="B7819" s="27" t="s">
        <v>20779</v>
      </c>
      <c r="D7819" s="27" t="s">
        <v>1826</v>
      </c>
      <c r="F7819" s="27" t="s">
        <v>1844</v>
      </c>
      <c r="H7819" s="27" t="s">
        <v>1845</v>
      </c>
      <c r="J7819" s="27" t="s">
        <v>12356</v>
      </c>
      <c r="L7819" s="27" t="s">
        <v>12372</v>
      </c>
      <c r="N7819" s="27" t="s">
        <v>12373</v>
      </c>
      <c r="P7819" s="27" t="s">
        <v>12375</v>
      </c>
      <c r="Q7819" s="26" t="str">
        <f>HYPERLINK("https://ictv.global/taxonomy/taxondetails?taxnode_id=202518826&amp;ictv_id=ICTV202318826","ICTV202318826")</f>
        <v>ICTV202318826</v>
      </c>
      <c r="R7819" t="s">
        <v>660</v>
      </c>
      <c r="S7819" t="s">
        <v>824</v>
      </c>
      <c r="T7819">
        <v>41</v>
      </c>
      <c r="U7819" s="26" t="str">
        <f t="shared" si="294"/>
        <v>2025.002G.Monodnaviria_reorg_4nr.zip</v>
      </c>
    </row>
    <row r="7820" spans="1:21">
      <c r="A7820">
        <v>7819</v>
      </c>
      <c r="B7820" s="27" t="s">
        <v>20779</v>
      </c>
      <c r="D7820" s="27" t="s">
        <v>1826</v>
      </c>
      <c r="F7820" s="27" t="s">
        <v>1844</v>
      </c>
      <c r="H7820" s="27" t="s">
        <v>1845</v>
      </c>
      <c r="J7820" s="27" t="s">
        <v>12356</v>
      </c>
      <c r="L7820" s="27" t="s">
        <v>12372</v>
      </c>
      <c r="N7820" s="27" t="s">
        <v>12373</v>
      </c>
      <c r="P7820" s="27" t="s">
        <v>12376</v>
      </c>
      <c r="Q7820" s="26" t="str">
        <f>HYPERLINK("https://ictv.global/taxonomy/taxondetails?taxnode_id=202518825&amp;ictv_id=ICTV202318825","ICTV202318825")</f>
        <v>ICTV202318825</v>
      </c>
      <c r="R7820" t="s">
        <v>660</v>
      </c>
      <c r="S7820" t="s">
        <v>824</v>
      </c>
      <c r="T7820">
        <v>41</v>
      </c>
      <c r="U7820" s="26" t="str">
        <f t="shared" si="294"/>
        <v>2025.002G.Monodnaviria_reorg_4nr.zip</v>
      </c>
    </row>
    <row r="7821" spans="1:21">
      <c r="A7821">
        <v>7820</v>
      </c>
      <c r="B7821" s="27" t="s">
        <v>20779</v>
      </c>
      <c r="D7821" s="27" t="s">
        <v>1826</v>
      </c>
      <c r="F7821" s="27" t="s">
        <v>1844</v>
      </c>
      <c r="H7821" s="27" t="s">
        <v>1845</v>
      </c>
      <c r="J7821" s="27" t="s">
        <v>12356</v>
      </c>
      <c r="L7821" s="27" t="s">
        <v>12372</v>
      </c>
      <c r="N7821" s="27" t="s">
        <v>12377</v>
      </c>
      <c r="P7821" s="27" t="s">
        <v>12378</v>
      </c>
      <c r="Q7821" s="26" t="str">
        <f>HYPERLINK("https://ictv.global/taxonomy/taxondetails?taxnode_id=202518789&amp;ictv_id=ICTV202318789","ICTV202318789")</f>
        <v>ICTV202318789</v>
      </c>
      <c r="R7821" t="s">
        <v>660</v>
      </c>
      <c r="S7821" t="s">
        <v>824</v>
      </c>
      <c r="T7821">
        <v>41</v>
      </c>
      <c r="U7821" s="26" t="str">
        <f t="shared" si="294"/>
        <v>2025.002G.Monodnaviria_reorg_4nr.zip</v>
      </c>
    </row>
    <row r="7822" spans="1:21">
      <c r="A7822">
        <v>7821</v>
      </c>
      <c r="B7822" s="27" t="s">
        <v>20779</v>
      </c>
      <c r="D7822" s="27" t="s">
        <v>1826</v>
      </c>
      <c r="F7822" s="27" t="s">
        <v>1844</v>
      </c>
      <c r="H7822" s="27" t="s">
        <v>1845</v>
      </c>
      <c r="J7822" s="27" t="s">
        <v>12356</v>
      </c>
      <c r="L7822" s="27" t="s">
        <v>12372</v>
      </c>
      <c r="N7822" s="27" t="s">
        <v>12377</v>
      </c>
      <c r="P7822" s="27" t="s">
        <v>12379</v>
      </c>
      <c r="Q7822" s="26" t="str">
        <f>HYPERLINK("https://ictv.global/taxonomy/taxondetails?taxnode_id=202518790&amp;ictv_id=ICTV202318790","ICTV202318790")</f>
        <v>ICTV202318790</v>
      </c>
      <c r="R7822" t="s">
        <v>660</v>
      </c>
      <c r="S7822" t="s">
        <v>824</v>
      </c>
      <c r="T7822">
        <v>41</v>
      </c>
      <c r="U7822" s="26" t="str">
        <f t="shared" si="294"/>
        <v>2025.002G.Monodnaviria_reorg_4nr.zip</v>
      </c>
    </row>
    <row r="7823" spans="1:21">
      <c r="A7823">
        <v>7822</v>
      </c>
      <c r="B7823" s="27" t="s">
        <v>20779</v>
      </c>
      <c r="D7823" s="27" t="s">
        <v>1826</v>
      </c>
      <c r="F7823" s="27" t="s">
        <v>1844</v>
      </c>
      <c r="H7823" s="27" t="s">
        <v>1845</v>
      </c>
      <c r="J7823" s="27" t="s">
        <v>12356</v>
      </c>
      <c r="L7823" s="27" t="s">
        <v>12372</v>
      </c>
      <c r="N7823" s="27" t="s">
        <v>12380</v>
      </c>
      <c r="P7823" s="27" t="s">
        <v>12381</v>
      </c>
      <c r="Q7823" s="26" t="str">
        <f>HYPERLINK("https://ictv.global/taxonomy/taxondetails?taxnode_id=202518804&amp;ictv_id=ICTV202318804","ICTV202318804")</f>
        <v>ICTV202318804</v>
      </c>
      <c r="R7823" t="s">
        <v>660</v>
      </c>
      <c r="S7823" t="s">
        <v>824</v>
      </c>
      <c r="T7823">
        <v>41</v>
      </c>
      <c r="U7823" s="26" t="str">
        <f t="shared" si="294"/>
        <v>2025.002G.Monodnaviria_reorg_4nr.zip</v>
      </c>
    </row>
    <row r="7824" spans="1:21">
      <c r="A7824">
        <v>7823</v>
      </c>
      <c r="B7824" s="27" t="s">
        <v>20779</v>
      </c>
      <c r="D7824" s="27" t="s">
        <v>1826</v>
      </c>
      <c r="F7824" s="27" t="s">
        <v>1844</v>
      </c>
      <c r="H7824" s="27" t="s">
        <v>1845</v>
      </c>
      <c r="J7824" s="27" t="s">
        <v>12356</v>
      </c>
      <c r="L7824" s="27" t="s">
        <v>12372</v>
      </c>
      <c r="N7824" s="27" t="s">
        <v>12380</v>
      </c>
      <c r="P7824" s="27" t="s">
        <v>12382</v>
      </c>
      <c r="Q7824" s="26" t="str">
        <f>HYPERLINK("https://ictv.global/taxonomy/taxondetails?taxnode_id=202518803&amp;ictv_id=ICTV202318803","ICTV202318803")</f>
        <v>ICTV202318803</v>
      </c>
      <c r="R7824" t="s">
        <v>660</v>
      </c>
      <c r="S7824" t="s">
        <v>824</v>
      </c>
      <c r="T7824">
        <v>41</v>
      </c>
      <c r="U7824" s="26" t="str">
        <f t="shared" si="294"/>
        <v>2025.002G.Monodnaviria_reorg_4nr.zip</v>
      </c>
    </row>
    <row r="7825" spans="1:21">
      <c r="A7825">
        <v>7824</v>
      </c>
      <c r="B7825" s="27" t="s">
        <v>20779</v>
      </c>
      <c r="D7825" s="27" t="s">
        <v>1826</v>
      </c>
      <c r="F7825" s="27" t="s">
        <v>1844</v>
      </c>
      <c r="H7825" s="27" t="s">
        <v>1845</v>
      </c>
      <c r="J7825" s="27" t="s">
        <v>12356</v>
      </c>
      <c r="L7825" s="27" t="s">
        <v>12372</v>
      </c>
      <c r="N7825" s="27" t="s">
        <v>12383</v>
      </c>
      <c r="P7825" s="27" t="s">
        <v>12384</v>
      </c>
      <c r="Q7825" s="26" t="str">
        <f>HYPERLINK("https://ictv.global/taxonomy/taxondetails?taxnode_id=202518823&amp;ictv_id=ICTV202318823","ICTV202318823")</f>
        <v>ICTV202318823</v>
      </c>
      <c r="R7825" t="s">
        <v>660</v>
      </c>
      <c r="S7825" t="s">
        <v>824</v>
      </c>
      <c r="T7825">
        <v>41</v>
      </c>
      <c r="U7825" s="26" t="str">
        <f t="shared" si="294"/>
        <v>2025.002G.Monodnaviria_reorg_4nr.zip</v>
      </c>
    </row>
    <row r="7826" spans="1:21">
      <c r="A7826">
        <v>7825</v>
      </c>
      <c r="B7826" s="27" t="s">
        <v>20779</v>
      </c>
      <c r="D7826" s="27" t="s">
        <v>1826</v>
      </c>
      <c r="F7826" s="27" t="s">
        <v>1844</v>
      </c>
      <c r="H7826" s="27" t="s">
        <v>1845</v>
      </c>
      <c r="J7826" s="27" t="s">
        <v>12356</v>
      </c>
      <c r="L7826" s="27" t="s">
        <v>12372</v>
      </c>
      <c r="N7826" s="27" t="s">
        <v>12385</v>
      </c>
      <c r="P7826" s="27" t="s">
        <v>12386</v>
      </c>
      <c r="Q7826" s="26" t="str">
        <f>HYPERLINK("https://ictv.global/taxonomy/taxondetails?taxnode_id=202518800&amp;ictv_id=ICTV202318800","ICTV202318800")</f>
        <v>ICTV202318800</v>
      </c>
      <c r="R7826" t="s">
        <v>660</v>
      </c>
      <c r="S7826" t="s">
        <v>824</v>
      </c>
      <c r="T7826">
        <v>41</v>
      </c>
      <c r="U7826" s="26" t="str">
        <f t="shared" si="294"/>
        <v>2025.002G.Monodnaviria_reorg_4nr.zip</v>
      </c>
    </row>
    <row r="7827" spans="1:21">
      <c r="A7827">
        <v>7826</v>
      </c>
      <c r="B7827" s="27" t="s">
        <v>20779</v>
      </c>
      <c r="D7827" s="27" t="s">
        <v>1826</v>
      </c>
      <c r="F7827" s="27" t="s">
        <v>1844</v>
      </c>
      <c r="H7827" s="27" t="s">
        <v>1845</v>
      </c>
      <c r="J7827" s="27" t="s">
        <v>12356</v>
      </c>
      <c r="L7827" s="27" t="s">
        <v>12372</v>
      </c>
      <c r="N7827" s="27" t="s">
        <v>12385</v>
      </c>
      <c r="P7827" s="27" t="s">
        <v>12387</v>
      </c>
      <c r="Q7827" s="26" t="str">
        <f>HYPERLINK("https://ictv.global/taxonomy/taxondetails?taxnode_id=202518799&amp;ictv_id=ICTV202318799","ICTV202318799")</f>
        <v>ICTV202318799</v>
      </c>
      <c r="R7827" t="s">
        <v>660</v>
      </c>
      <c r="S7827" t="s">
        <v>824</v>
      </c>
      <c r="T7827">
        <v>41</v>
      </c>
      <c r="U7827" s="26" t="str">
        <f t="shared" si="294"/>
        <v>2025.002G.Monodnaviria_reorg_4nr.zip</v>
      </c>
    </row>
    <row r="7828" spans="1:21">
      <c r="A7828">
        <v>7827</v>
      </c>
      <c r="B7828" s="27" t="s">
        <v>20779</v>
      </c>
      <c r="D7828" s="27" t="s">
        <v>1826</v>
      </c>
      <c r="F7828" s="27" t="s">
        <v>1844</v>
      </c>
      <c r="H7828" s="27" t="s">
        <v>1845</v>
      </c>
      <c r="J7828" s="27" t="s">
        <v>12356</v>
      </c>
      <c r="L7828" s="27" t="s">
        <v>12372</v>
      </c>
      <c r="N7828" s="27" t="s">
        <v>12388</v>
      </c>
      <c r="P7828" s="27" t="s">
        <v>12389</v>
      </c>
      <c r="Q7828" s="26" t="str">
        <f>HYPERLINK("https://ictv.global/taxonomy/taxondetails?taxnode_id=202518801&amp;ictv_id=ICTV202318801","ICTV202318801")</f>
        <v>ICTV202318801</v>
      </c>
      <c r="R7828" t="s">
        <v>660</v>
      </c>
      <c r="S7828" t="s">
        <v>824</v>
      </c>
      <c r="T7828">
        <v>41</v>
      </c>
      <c r="U7828" s="26" t="str">
        <f t="shared" si="294"/>
        <v>2025.002G.Monodnaviria_reorg_4nr.zip</v>
      </c>
    </row>
    <row r="7829" spans="1:21">
      <c r="A7829">
        <v>7828</v>
      </c>
      <c r="B7829" s="27" t="s">
        <v>20779</v>
      </c>
      <c r="D7829" s="27" t="s">
        <v>1826</v>
      </c>
      <c r="F7829" s="27" t="s">
        <v>1844</v>
      </c>
      <c r="H7829" s="27" t="s">
        <v>1845</v>
      </c>
      <c r="J7829" s="27" t="s">
        <v>12356</v>
      </c>
      <c r="L7829" s="27" t="s">
        <v>12372</v>
      </c>
      <c r="N7829" s="27" t="s">
        <v>12390</v>
      </c>
      <c r="P7829" s="27" t="s">
        <v>12391</v>
      </c>
      <c r="Q7829" s="26" t="str">
        <f>HYPERLINK("https://ictv.global/taxonomy/taxondetails?taxnode_id=202518828&amp;ictv_id=ICTV202318828","ICTV202318828")</f>
        <v>ICTV202318828</v>
      </c>
      <c r="R7829" t="s">
        <v>660</v>
      </c>
      <c r="S7829" t="s">
        <v>824</v>
      </c>
      <c r="T7829">
        <v>41</v>
      </c>
      <c r="U7829" s="26" t="str">
        <f t="shared" si="294"/>
        <v>2025.002G.Monodnaviria_reorg_4nr.zip</v>
      </c>
    </row>
    <row r="7830" spans="1:21">
      <c r="A7830">
        <v>7829</v>
      </c>
      <c r="B7830" s="27" t="s">
        <v>20779</v>
      </c>
      <c r="D7830" s="27" t="s">
        <v>1826</v>
      </c>
      <c r="F7830" s="27" t="s">
        <v>1844</v>
      </c>
      <c r="H7830" s="27" t="s">
        <v>1845</v>
      </c>
      <c r="J7830" s="27" t="s">
        <v>12356</v>
      </c>
      <c r="L7830" s="27" t="s">
        <v>12372</v>
      </c>
      <c r="N7830" s="27" t="s">
        <v>12392</v>
      </c>
      <c r="P7830" s="27" t="s">
        <v>12393</v>
      </c>
      <c r="Q7830" s="26" t="str">
        <f>HYPERLINK("https://ictv.global/taxonomy/taxondetails?taxnode_id=202518829&amp;ictv_id=ICTV202318829","ICTV202318829")</f>
        <v>ICTV202318829</v>
      </c>
      <c r="R7830" t="s">
        <v>660</v>
      </c>
      <c r="S7830" t="s">
        <v>824</v>
      </c>
      <c r="T7830">
        <v>41</v>
      </c>
      <c r="U7830" s="26" t="str">
        <f t="shared" si="294"/>
        <v>2025.002G.Monodnaviria_reorg_4nr.zip</v>
      </c>
    </row>
    <row r="7831" spans="1:21">
      <c r="A7831">
        <v>7830</v>
      </c>
      <c r="B7831" s="27" t="s">
        <v>20779</v>
      </c>
      <c r="D7831" s="27" t="s">
        <v>1826</v>
      </c>
      <c r="F7831" s="27" t="s">
        <v>1844</v>
      </c>
      <c r="H7831" s="27" t="s">
        <v>1845</v>
      </c>
      <c r="J7831" s="27" t="s">
        <v>12356</v>
      </c>
      <c r="L7831" s="27" t="s">
        <v>12372</v>
      </c>
      <c r="N7831" s="27" t="s">
        <v>12394</v>
      </c>
      <c r="P7831" s="27" t="s">
        <v>12395</v>
      </c>
      <c r="Q7831" s="26" t="str">
        <f>HYPERLINK("https://ictv.global/taxonomy/taxondetails?taxnode_id=202518837&amp;ictv_id=ICTV202318837","ICTV202318837")</f>
        <v>ICTV202318837</v>
      </c>
      <c r="R7831" t="s">
        <v>660</v>
      </c>
      <c r="S7831" t="s">
        <v>824</v>
      </c>
      <c r="T7831">
        <v>41</v>
      </c>
      <c r="U7831" s="26" t="str">
        <f t="shared" si="294"/>
        <v>2025.002G.Monodnaviria_reorg_4nr.zip</v>
      </c>
    </row>
    <row r="7832" spans="1:21">
      <c r="A7832">
        <v>7831</v>
      </c>
      <c r="B7832" s="27" t="s">
        <v>20779</v>
      </c>
      <c r="D7832" s="27" t="s">
        <v>1826</v>
      </c>
      <c r="F7832" s="27" t="s">
        <v>1844</v>
      </c>
      <c r="H7832" s="27" t="s">
        <v>1845</v>
      </c>
      <c r="J7832" s="27" t="s">
        <v>12356</v>
      </c>
      <c r="L7832" s="27" t="s">
        <v>12372</v>
      </c>
      <c r="N7832" s="27" t="s">
        <v>12394</v>
      </c>
      <c r="P7832" s="27" t="s">
        <v>12396</v>
      </c>
      <c r="Q7832" s="26" t="str">
        <f>HYPERLINK("https://ictv.global/taxonomy/taxondetails?taxnode_id=202518836&amp;ictv_id=ICTV202318836","ICTV202318836")</f>
        <v>ICTV202318836</v>
      </c>
      <c r="R7832" t="s">
        <v>660</v>
      </c>
      <c r="S7832" t="s">
        <v>824</v>
      </c>
      <c r="T7832">
        <v>41</v>
      </c>
      <c r="U7832" s="26" t="str">
        <f t="shared" ref="U7832:U7895" si="295">HYPERLINK("https://ictv.global/ictv/proposals/2025.002G.Monodnaviria_reorg_4nr.zip","2025.002G.Monodnaviria_reorg_4nr.zip")</f>
        <v>2025.002G.Monodnaviria_reorg_4nr.zip</v>
      </c>
    </row>
    <row r="7833" spans="1:21">
      <c r="A7833">
        <v>7832</v>
      </c>
      <c r="B7833" s="27" t="s">
        <v>20779</v>
      </c>
      <c r="D7833" s="27" t="s">
        <v>1826</v>
      </c>
      <c r="F7833" s="27" t="s">
        <v>1844</v>
      </c>
      <c r="H7833" s="27" t="s">
        <v>1845</v>
      </c>
      <c r="J7833" s="27" t="s">
        <v>12356</v>
      </c>
      <c r="L7833" s="27" t="s">
        <v>12372</v>
      </c>
      <c r="N7833" s="27" t="s">
        <v>12394</v>
      </c>
      <c r="P7833" s="27" t="s">
        <v>12397</v>
      </c>
      <c r="Q7833" s="26" t="str">
        <f>HYPERLINK("https://ictv.global/taxonomy/taxondetails?taxnode_id=202518835&amp;ictv_id=ICTV202318835","ICTV202318835")</f>
        <v>ICTV202318835</v>
      </c>
      <c r="R7833" t="s">
        <v>660</v>
      </c>
      <c r="S7833" t="s">
        <v>824</v>
      </c>
      <c r="T7833">
        <v>41</v>
      </c>
      <c r="U7833" s="26" t="str">
        <f t="shared" si="295"/>
        <v>2025.002G.Monodnaviria_reorg_4nr.zip</v>
      </c>
    </row>
    <row r="7834" spans="1:21">
      <c r="A7834">
        <v>7833</v>
      </c>
      <c r="B7834" s="27" t="s">
        <v>20779</v>
      </c>
      <c r="D7834" s="27" t="s">
        <v>1826</v>
      </c>
      <c r="F7834" s="27" t="s">
        <v>1844</v>
      </c>
      <c r="H7834" s="27" t="s">
        <v>1845</v>
      </c>
      <c r="J7834" s="27" t="s">
        <v>12356</v>
      </c>
      <c r="L7834" s="27" t="s">
        <v>12372</v>
      </c>
      <c r="N7834" s="27" t="s">
        <v>12398</v>
      </c>
      <c r="P7834" s="27" t="s">
        <v>12399</v>
      </c>
      <c r="Q7834" s="26" t="str">
        <f>HYPERLINK("https://ictv.global/taxonomy/taxondetails?taxnode_id=202518796&amp;ictv_id=ICTV202318796","ICTV202318796")</f>
        <v>ICTV202318796</v>
      </c>
      <c r="R7834" t="s">
        <v>660</v>
      </c>
      <c r="S7834" t="s">
        <v>824</v>
      </c>
      <c r="T7834">
        <v>41</v>
      </c>
      <c r="U7834" s="26" t="str">
        <f t="shared" si="295"/>
        <v>2025.002G.Monodnaviria_reorg_4nr.zip</v>
      </c>
    </row>
    <row r="7835" spans="1:21">
      <c r="A7835">
        <v>7834</v>
      </c>
      <c r="B7835" s="27" t="s">
        <v>20779</v>
      </c>
      <c r="D7835" s="27" t="s">
        <v>1826</v>
      </c>
      <c r="F7835" s="27" t="s">
        <v>1844</v>
      </c>
      <c r="H7835" s="27" t="s">
        <v>1845</v>
      </c>
      <c r="J7835" s="27" t="s">
        <v>12356</v>
      </c>
      <c r="L7835" s="27" t="s">
        <v>12372</v>
      </c>
      <c r="N7835" s="27" t="s">
        <v>12398</v>
      </c>
      <c r="P7835" s="27" t="s">
        <v>12400</v>
      </c>
      <c r="Q7835" s="26" t="str">
        <f>HYPERLINK("https://ictv.global/taxonomy/taxondetails?taxnode_id=202518795&amp;ictv_id=ICTV202318795","ICTV202318795")</f>
        <v>ICTV202318795</v>
      </c>
      <c r="R7835" t="s">
        <v>660</v>
      </c>
      <c r="S7835" t="s">
        <v>824</v>
      </c>
      <c r="T7835">
        <v>41</v>
      </c>
      <c r="U7835" s="26" t="str">
        <f t="shared" si="295"/>
        <v>2025.002G.Monodnaviria_reorg_4nr.zip</v>
      </c>
    </row>
    <row r="7836" spans="1:21">
      <c r="A7836">
        <v>7835</v>
      </c>
      <c r="B7836" s="27" t="s">
        <v>20779</v>
      </c>
      <c r="D7836" s="27" t="s">
        <v>1826</v>
      </c>
      <c r="F7836" s="27" t="s">
        <v>1844</v>
      </c>
      <c r="H7836" s="27" t="s">
        <v>1845</v>
      </c>
      <c r="J7836" s="27" t="s">
        <v>12356</v>
      </c>
      <c r="L7836" s="27" t="s">
        <v>12372</v>
      </c>
      <c r="N7836" s="27" t="s">
        <v>12401</v>
      </c>
      <c r="P7836" s="27" t="s">
        <v>12402</v>
      </c>
      <c r="Q7836" s="26" t="str">
        <f>HYPERLINK("https://ictv.global/taxonomy/taxondetails?taxnode_id=202518822&amp;ictv_id=ICTV202318822","ICTV202318822")</f>
        <v>ICTV202318822</v>
      </c>
      <c r="R7836" t="s">
        <v>660</v>
      </c>
      <c r="S7836" t="s">
        <v>824</v>
      </c>
      <c r="T7836">
        <v>41</v>
      </c>
      <c r="U7836" s="26" t="str">
        <f t="shared" si="295"/>
        <v>2025.002G.Monodnaviria_reorg_4nr.zip</v>
      </c>
    </row>
    <row r="7837" spans="1:21">
      <c r="A7837">
        <v>7836</v>
      </c>
      <c r="B7837" s="27" t="s">
        <v>20779</v>
      </c>
      <c r="D7837" s="27" t="s">
        <v>1826</v>
      </c>
      <c r="F7837" s="27" t="s">
        <v>1844</v>
      </c>
      <c r="H7837" s="27" t="s">
        <v>1845</v>
      </c>
      <c r="J7837" s="27" t="s">
        <v>12356</v>
      </c>
      <c r="L7837" s="27" t="s">
        <v>12372</v>
      </c>
      <c r="N7837" s="27" t="s">
        <v>12403</v>
      </c>
      <c r="P7837" s="27" t="s">
        <v>12404</v>
      </c>
      <c r="Q7837" s="26" t="str">
        <f>HYPERLINK("https://ictv.global/taxonomy/taxondetails?taxnode_id=202518791&amp;ictv_id=ICTV202318791","ICTV202318791")</f>
        <v>ICTV202318791</v>
      </c>
      <c r="R7837" t="s">
        <v>660</v>
      </c>
      <c r="S7837" t="s">
        <v>824</v>
      </c>
      <c r="T7837">
        <v>41</v>
      </c>
      <c r="U7837" s="26" t="str">
        <f t="shared" si="295"/>
        <v>2025.002G.Monodnaviria_reorg_4nr.zip</v>
      </c>
    </row>
    <row r="7838" spans="1:21">
      <c r="A7838">
        <v>7837</v>
      </c>
      <c r="B7838" s="27" t="s">
        <v>20779</v>
      </c>
      <c r="D7838" s="27" t="s">
        <v>1826</v>
      </c>
      <c r="F7838" s="27" t="s">
        <v>1844</v>
      </c>
      <c r="H7838" s="27" t="s">
        <v>1845</v>
      </c>
      <c r="J7838" s="27" t="s">
        <v>12356</v>
      </c>
      <c r="L7838" s="27" t="s">
        <v>12372</v>
      </c>
      <c r="N7838" s="27" t="s">
        <v>12403</v>
      </c>
      <c r="P7838" s="27" t="s">
        <v>12405</v>
      </c>
      <c r="Q7838" s="26" t="str">
        <f>HYPERLINK("https://ictv.global/taxonomy/taxondetails?taxnode_id=202518792&amp;ictv_id=ICTV202318792","ICTV202318792")</f>
        <v>ICTV202318792</v>
      </c>
      <c r="R7838" t="s">
        <v>660</v>
      </c>
      <c r="S7838" t="s">
        <v>824</v>
      </c>
      <c r="T7838">
        <v>41</v>
      </c>
      <c r="U7838" s="26" t="str">
        <f t="shared" si="295"/>
        <v>2025.002G.Monodnaviria_reorg_4nr.zip</v>
      </c>
    </row>
    <row r="7839" spans="1:21">
      <c r="A7839">
        <v>7838</v>
      </c>
      <c r="B7839" s="27" t="s">
        <v>20779</v>
      </c>
      <c r="D7839" s="27" t="s">
        <v>1826</v>
      </c>
      <c r="F7839" s="27" t="s">
        <v>1844</v>
      </c>
      <c r="H7839" s="27" t="s">
        <v>1845</v>
      </c>
      <c r="J7839" s="27" t="s">
        <v>12356</v>
      </c>
      <c r="L7839" s="27" t="s">
        <v>12372</v>
      </c>
      <c r="N7839" s="27" t="s">
        <v>12406</v>
      </c>
      <c r="P7839" s="27" t="s">
        <v>12407</v>
      </c>
      <c r="Q7839" s="26" t="str">
        <f>HYPERLINK("https://ictv.global/taxonomy/taxondetails?taxnode_id=202518820&amp;ictv_id=ICTV202318820","ICTV202318820")</f>
        <v>ICTV202318820</v>
      </c>
      <c r="R7839" t="s">
        <v>660</v>
      </c>
      <c r="S7839" t="s">
        <v>824</v>
      </c>
      <c r="T7839">
        <v>41</v>
      </c>
      <c r="U7839" s="26" t="str">
        <f t="shared" si="295"/>
        <v>2025.002G.Monodnaviria_reorg_4nr.zip</v>
      </c>
    </row>
    <row r="7840" spans="1:21">
      <c r="A7840">
        <v>7839</v>
      </c>
      <c r="B7840" s="27" t="s">
        <v>20779</v>
      </c>
      <c r="D7840" s="27" t="s">
        <v>1826</v>
      </c>
      <c r="F7840" s="27" t="s">
        <v>1844</v>
      </c>
      <c r="H7840" s="27" t="s">
        <v>1845</v>
      </c>
      <c r="J7840" s="27" t="s">
        <v>12356</v>
      </c>
      <c r="L7840" s="27" t="s">
        <v>12372</v>
      </c>
      <c r="N7840" s="27" t="s">
        <v>12406</v>
      </c>
      <c r="P7840" s="27" t="s">
        <v>12408</v>
      </c>
      <c r="Q7840" s="26" t="str">
        <f>HYPERLINK("https://ictv.global/taxonomy/taxondetails?taxnode_id=202518821&amp;ictv_id=ICTV202318821","ICTV202318821")</f>
        <v>ICTV202318821</v>
      </c>
      <c r="R7840" t="s">
        <v>660</v>
      </c>
      <c r="S7840" t="s">
        <v>824</v>
      </c>
      <c r="T7840">
        <v>41</v>
      </c>
      <c r="U7840" s="26" t="str">
        <f t="shared" si="295"/>
        <v>2025.002G.Monodnaviria_reorg_4nr.zip</v>
      </c>
    </row>
    <row r="7841" spans="1:21">
      <c r="A7841">
        <v>7840</v>
      </c>
      <c r="B7841" s="27" t="s">
        <v>20779</v>
      </c>
      <c r="D7841" s="27" t="s">
        <v>1826</v>
      </c>
      <c r="F7841" s="27" t="s">
        <v>1844</v>
      </c>
      <c r="H7841" s="27" t="s">
        <v>1845</v>
      </c>
      <c r="J7841" s="27" t="s">
        <v>12356</v>
      </c>
      <c r="L7841" s="27" t="s">
        <v>12372</v>
      </c>
      <c r="N7841" s="27" t="s">
        <v>12409</v>
      </c>
      <c r="P7841" s="27" t="s">
        <v>12410</v>
      </c>
      <c r="Q7841" s="26" t="str">
        <f>HYPERLINK("https://ictv.global/taxonomy/taxondetails?taxnode_id=202518831&amp;ictv_id=ICTV202318831","ICTV202318831")</f>
        <v>ICTV202318831</v>
      </c>
      <c r="R7841" t="s">
        <v>660</v>
      </c>
      <c r="S7841" t="s">
        <v>824</v>
      </c>
      <c r="T7841">
        <v>41</v>
      </c>
      <c r="U7841" s="26" t="str">
        <f t="shared" si="295"/>
        <v>2025.002G.Monodnaviria_reorg_4nr.zip</v>
      </c>
    </row>
    <row r="7842" spans="1:21">
      <c r="A7842">
        <v>7841</v>
      </c>
      <c r="B7842" s="27" t="s">
        <v>20779</v>
      </c>
      <c r="D7842" s="27" t="s">
        <v>1826</v>
      </c>
      <c r="F7842" s="27" t="s">
        <v>1844</v>
      </c>
      <c r="H7842" s="27" t="s">
        <v>1845</v>
      </c>
      <c r="J7842" s="27" t="s">
        <v>12356</v>
      </c>
      <c r="L7842" s="27" t="s">
        <v>12372</v>
      </c>
      <c r="N7842" s="27" t="s">
        <v>12409</v>
      </c>
      <c r="P7842" s="27" t="s">
        <v>12411</v>
      </c>
      <c r="Q7842" s="26" t="str">
        <f>HYPERLINK("https://ictv.global/taxonomy/taxondetails?taxnode_id=202518830&amp;ictv_id=ICTV202318830","ICTV202318830")</f>
        <v>ICTV202318830</v>
      </c>
      <c r="R7842" t="s">
        <v>660</v>
      </c>
      <c r="S7842" t="s">
        <v>824</v>
      </c>
      <c r="T7842">
        <v>41</v>
      </c>
      <c r="U7842" s="26" t="str">
        <f t="shared" si="295"/>
        <v>2025.002G.Monodnaviria_reorg_4nr.zip</v>
      </c>
    </row>
    <row r="7843" spans="1:21">
      <c r="A7843">
        <v>7842</v>
      </c>
      <c r="B7843" s="27" t="s">
        <v>20779</v>
      </c>
      <c r="D7843" s="27" t="s">
        <v>1826</v>
      </c>
      <c r="F7843" s="27" t="s">
        <v>1844</v>
      </c>
      <c r="H7843" s="27" t="s">
        <v>1845</v>
      </c>
      <c r="J7843" s="27" t="s">
        <v>12356</v>
      </c>
      <c r="L7843" s="27" t="s">
        <v>12372</v>
      </c>
      <c r="N7843" s="27" t="s">
        <v>12412</v>
      </c>
      <c r="P7843" s="27" t="s">
        <v>12413</v>
      </c>
      <c r="Q7843" s="26" t="str">
        <f>HYPERLINK("https://ictv.global/taxonomy/taxondetails?taxnode_id=202518807&amp;ictv_id=ICTV202318807","ICTV202318807")</f>
        <v>ICTV202318807</v>
      </c>
      <c r="R7843" t="s">
        <v>660</v>
      </c>
      <c r="S7843" t="s">
        <v>824</v>
      </c>
      <c r="T7843">
        <v>41</v>
      </c>
      <c r="U7843" s="26" t="str">
        <f t="shared" si="295"/>
        <v>2025.002G.Monodnaviria_reorg_4nr.zip</v>
      </c>
    </row>
    <row r="7844" spans="1:21">
      <c r="A7844">
        <v>7843</v>
      </c>
      <c r="B7844" s="27" t="s">
        <v>20779</v>
      </c>
      <c r="D7844" s="27" t="s">
        <v>1826</v>
      </c>
      <c r="F7844" s="27" t="s">
        <v>1844</v>
      </c>
      <c r="H7844" s="27" t="s">
        <v>1845</v>
      </c>
      <c r="J7844" s="27" t="s">
        <v>12356</v>
      </c>
      <c r="L7844" s="27" t="s">
        <v>12372</v>
      </c>
      <c r="N7844" s="27" t="s">
        <v>12412</v>
      </c>
      <c r="P7844" s="27" t="s">
        <v>12414</v>
      </c>
      <c r="Q7844" s="26" t="str">
        <f>HYPERLINK("https://ictv.global/taxonomy/taxondetails?taxnode_id=202518806&amp;ictv_id=ICTV202318806","ICTV202318806")</f>
        <v>ICTV202318806</v>
      </c>
      <c r="R7844" t="s">
        <v>660</v>
      </c>
      <c r="S7844" t="s">
        <v>824</v>
      </c>
      <c r="T7844">
        <v>41</v>
      </c>
      <c r="U7844" s="26" t="str">
        <f t="shared" si="295"/>
        <v>2025.002G.Monodnaviria_reorg_4nr.zip</v>
      </c>
    </row>
    <row r="7845" spans="1:21">
      <c r="A7845">
        <v>7844</v>
      </c>
      <c r="B7845" s="27" t="s">
        <v>20779</v>
      </c>
      <c r="D7845" s="27" t="s">
        <v>1826</v>
      </c>
      <c r="F7845" s="27" t="s">
        <v>1844</v>
      </c>
      <c r="H7845" s="27" t="s">
        <v>1845</v>
      </c>
      <c r="J7845" s="27" t="s">
        <v>12356</v>
      </c>
      <c r="L7845" s="27" t="s">
        <v>12372</v>
      </c>
      <c r="N7845" s="27" t="s">
        <v>12412</v>
      </c>
      <c r="P7845" s="27" t="s">
        <v>12415</v>
      </c>
      <c r="Q7845" s="26" t="str">
        <f>HYPERLINK("https://ictv.global/taxonomy/taxondetails?taxnode_id=202518805&amp;ictv_id=ICTV202318805","ICTV202318805")</f>
        <v>ICTV202318805</v>
      </c>
      <c r="R7845" t="s">
        <v>660</v>
      </c>
      <c r="S7845" t="s">
        <v>824</v>
      </c>
      <c r="T7845">
        <v>41</v>
      </c>
      <c r="U7845" s="26" t="str">
        <f t="shared" si="295"/>
        <v>2025.002G.Monodnaviria_reorg_4nr.zip</v>
      </c>
    </row>
    <row r="7846" spans="1:21">
      <c r="A7846">
        <v>7845</v>
      </c>
      <c r="B7846" s="27" t="s">
        <v>20779</v>
      </c>
      <c r="D7846" s="27" t="s">
        <v>1826</v>
      </c>
      <c r="F7846" s="27" t="s">
        <v>1844</v>
      </c>
      <c r="H7846" s="27" t="s">
        <v>1845</v>
      </c>
      <c r="J7846" s="27" t="s">
        <v>12356</v>
      </c>
      <c r="L7846" s="27" t="s">
        <v>12372</v>
      </c>
      <c r="N7846" s="27" t="s">
        <v>12416</v>
      </c>
      <c r="P7846" s="27" t="s">
        <v>12417</v>
      </c>
      <c r="Q7846" s="26" t="str">
        <f>HYPERLINK("https://ictv.global/taxonomy/taxondetails?taxnode_id=202518802&amp;ictv_id=ICTV202318802","ICTV202318802")</f>
        <v>ICTV202318802</v>
      </c>
      <c r="R7846" t="s">
        <v>660</v>
      </c>
      <c r="S7846" t="s">
        <v>824</v>
      </c>
      <c r="T7846">
        <v>41</v>
      </c>
      <c r="U7846" s="26" t="str">
        <f t="shared" si="295"/>
        <v>2025.002G.Monodnaviria_reorg_4nr.zip</v>
      </c>
    </row>
    <row r="7847" spans="1:21">
      <c r="A7847">
        <v>7846</v>
      </c>
      <c r="B7847" s="27" t="s">
        <v>20779</v>
      </c>
      <c r="D7847" s="27" t="s">
        <v>1826</v>
      </c>
      <c r="F7847" s="27" t="s">
        <v>1844</v>
      </c>
      <c r="H7847" s="27" t="s">
        <v>1845</v>
      </c>
      <c r="J7847" s="27" t="s">
        <v>12356</v>
      </c>
      <c r="L7847" s="27" t="s">
        <v>12372</v>
      </c>
      <c r="N7847" s="27" t="s">
        <v>12418</v>
      </c>
      <c r="P7847" s="27" t="s">
        <v>12419</v>
      </c>
      <c r="Q7847" s="26" t="str">
        <f>HYPERLINK("https://ictv.global/taxonomy/taxondetails?taxnode_id=202518834&amp;ictv_id=ICTV202318834","ICTV202318834")</f>
        <v>ICTV202318834</v>
      </c>
      <c r="R7847" t="s">
        <v>660</v>
      </c>
      <c r="S7847" t="s">
        <v>824</v>
      </c>
      <c r="T7847">
        <v>41</v>
      </c>
      <c r="U7847" s="26" t="str">
        <f t="shared" si="295"/>
        <v>2025.002G.Monodnaviria_reorg_4nr.zip</v>
      </c>
    </row>
    <row r="7848" spans="1:21">
      <c r="A7848">
        <v>7847</v>
      </c>
      <c r="B7848" s="27" t="s">
        <v>20779</v>
      </c>
      <c r="D7848" s="27" t="s">
        <v>1826</v>
      </c>
      <c r="F7848" s="27" t="s">
        <v>1844</v>
      </c>
      <c r="H7848" s="27" t="s">
        <v>1845</v>
      </c>
      <c r="J7848" s="27" t="s">
        <v>12356</v>
      </c>
      <c r="L7848" s="27" t="s">
        <v>12372</v>
      </c>
      <c r="N7848" s="27" t="s">
        <v>12420</v>
      </c>
      <c r="P7848" s="27" t="s">
        <v>12421</v>
      </c>
      <c r="Q7848" s="26" t="str">
        <f>HYPERLINK("https://ictv.global/taxonomy/taxondetails?taxnode_id=202518814&amp;ictv_id=ICTV202318814","ICTV202318814")</f>
        <v>ICTV202318814</v>
      </c>
      <c r="R7848" t="s">
        <v>660</v>
      </c>
      <c r="S7848" t="s">
        <v>824</v>
      </c>
      <c r="T7848">
        <v>41</v>
      </c>
      <c r="U7848" s="26" t="str">
        <f t="shared" si="295"/>
        <v>2025.002G.Monodnaviria_reorg_4nr.zip</v>
      </c>
    </row>
    <row r="7849" spans="1:21">
      <c r="A7849">
        <v>7848</v>
      </c>
      <c r="B7849" s="27" t="s">
        <v>20779</v>
      </c>
      <c r="D7849" s="27" t="s">
        <v>1826</v>
      </c>
      <c r="F7849" s="27" t="s">
        <v>1844</v>
      </c>
      <c r="H7849" s="27" t="s">
        <v>1845</v>
      </c>
      <c r="J7849" s="27" t="s">
        <v>12356</v>
      </c>
      <c r="L7849" s="27" t="s">
        <v>12372</v>
      </c>
      <c r="N7849" s="27" t="s">
        <v>12422</v>
      </c>
      <c r="P7849" s="27" t="s">
        <v>12423</v>
      </c>
      <c r="Q7849" s="26" t="str">
        <f>HYPERLINK("https://ictv.global/taxonomy/taxondetails?taxnode_id=202518832&amp;ictv_id=ICTV202318832","ICTV202318832")</f>
        <v>ICTV202318832</v>
      </c>
      <c r="R7849" t="s">
        <v>660</v>
      </c>
      <c r="S7849" t="s">
        <v>824</v>
      </c>
      <c r="T7849">
        <v>41</v>
      </c>
      <c r="U7849" s="26" t="str">
        <f t="shared" si="295"/>
        <v>2025.002G.Monodnaviria_reorg_4nr.zip</v>
      </c>
    </row>
    <row r="7850" spans="1:21">
      <c r="A7850">
        <v>7849</v>
      </c>
      <c r="B7850" s="27" t="s">
        <v>20779</v>
      </c>
      <c r="D7850" s="27" t="s">
        <v>1826</v>
      </c>
      <c r="F7850" s="27" t="s">
        <v>1844</v>
      </c>
      <c r="H7850" s="27" t="s">
        <v>1845</v>
      </c>
      <c r="J7850" s="27" t="s">
        <v>12356</v>
      </c>
      <c r="L7850" s="27" t="s">
        <v>12372</v>
      </c>
      <c r="N7850" s="27" t="s">
        <v>12422</v>
      </c>
      <c r="P7850" s="27" t="s">
        <v>12424</v>
      </c>
      <c r="Q7850" s="26" t="str">
        <f>HYPERLINK("https://ictv.global/taxonomy/taxondetails?taxnode_id=202518833&amp;ictv_id=ICTV202318833","ICTV202318833")</f>
        <v>ICTV202318833</v>
      </c>
      <c r="R7850" t="s">
        <v>660</v>
      </c>
      <c r="S7850" t="s">
        <v>824</v>
      </c>
      <c r="T7850">
        <v>41</v>
      </c>
      <c r="U7850" s="26" t="str">
        <f t="shared" si="295"/>
        <v>2025.002G.Monodnaviria_reorg_4nr.zip</v>
      </c>
    </row>
    <row r="7851" spans="1:21">
      <c r="A7851">
        <v>7850</v>
      </c>
      <c r="B7851" s="27" t="s">
        <v>20779</v>
      </c>
      <c r="D7851" s="27" t="s">
        <v>1826</v>
      </c>
      <c r="F7851" s="27" t="s">
        <v>1844</v>
      </c>
      <c r="H7851" s="27" t="s">
        <v>1845</v>
      </c>
      <c r="J7851" s="27" t="s">
        <v>12356</v>
      </c>
      <c r="L7851" s="27" t="s">
        <v>12372</v>
      </c>
      <c r="N7851" s="27" t="s">
        <v>12425</v>
      </c>
      <c r="P7851" s="27" t="s">
        <v>12426</v>
      </c>
      <c r="Q7851" s="26" t="str">
        <f>HYPERLINK("https://ictv.global/taxonomy/taxondetails?taxnode_id=202518808&amp;ictv_id=ICTV202318808","ICTV202318808")</f>
        <v>ICTV202318808</v>
      </c>
      <c r="R7851" t="s">
        <v>660</v>
      </c>
      <c r="S7851" t="s">
        <v>824</v>
      </c>
      <c r="T7851">
        <v>41</v>
      </c>
      <c r="U7851" s="26" t="str">
        <f t="shared" si="295"/>
        <v>2025.002G.Monodnaviria_reorg_4nr.zip</v>
      </c>
    </row>
    <row r="7852" spans="1:21">
      <c r="A7852">
        <v>7851</v>
      </c>
      <c r="B7852" s="27" t="s">
        <v>20779</v>
      </c>
      <c r="D7852" s="27" t="s">
        <v>1826</v>
      </c>
      <c r="F7852" s="27" t="s">
        <v>1844</v>
      </c>
      <c r="H7852" s="27" t="s">
        <v>1845</v>
      </c>
      <c r="J7852" s="27" t="s">
        <v>12356</v>
      </c>
      <c r="L7852" s="27" t="s">
        <v>12372</v>
      </c>
      <c r="N7852" s="27" t="s">
        <v>12425</v>
      </c>
      <c r="P7852" s="27" t="s">
        <v>12427</v>
      </c>
      <c r="Q7852" s="26" t="str">
        <f>HYPERLINK("https://ictv.global/taxonomy/taxondetails?taxnode_id=202518813&amp;ictv_id=ICTV202318813","ICTV202318813")</f>
        <v>ICTV202318813</v>
      </c>
      <c r="R7852" t="s">
        <v>660</v>
      </c>
      <c r="S7852" t="s">
        <v>824</v>
      </c>
      <c r="T7852">
        <v>41</v>
      </c>
      <c r="U7852" s="26" t="str">
        <f t="shared" si="295"/>
        <v>2025.002G.Monodnaviria_reorg_4nr.zip</v>
      </c>
    </row>
    <row r="7853" spans="1:21">
      <c r="A7853">
        <v>7852</v>
      </c>
      <c r="B7853" s="27" t="s">
        <v>20779</v>
      </c>
      <c r="D7853" s="27" t="s">
        <v>1826</v>
      </c>
      <c r="F7853" s="27" t="s">
        <v>1844</v>
      </c>
      <c r="H7853" s="27" t="s">
        <v>1845</v>
      </c>
      <c r="J7853" s="27" t="s">
        <v>12356</v>
      </c>
      <c r="L7853" s="27" t="s">
        <v>12372</v>
      </c>
      <c r="N7853" s="27" t="s">
        <v>12425</v>
      </c>
      <c r="P7853" s="27" t="s">
        <v>12428</v>
      </c>
      <c r="Q7853" s="26" t="str">
        <f>HYPERLINK("https://ictv.global/taxonomy/taxondetails?taxnode_id=202518812&amp;ictv_id=ICTV202318812","ICTV202318812")</f>
        <v>ICTV202318812</v>
      </c>
      <c r="R7853" t="s">
        <v>660</v>
      </c>
      <c r="S7853" t="s">
        <v>824</v>
      </c>
      <c r="T7853">
        <v>41</v>
      </c>
      <c r="U7853" s="26" t="str">
        <f t="shared" si="295"/>
        <v>2025.002G.Monodnaviria_reorg_4nr.zip</v>
      </c>
    </row>
    <row r="7854" spans="1:21">
      <c r="A7854">
        <v>7853</v>
      </c>
      <c r="B7854" s="27" t="s">
        <v>20779</v>
      </c>
      <c r="D7854" s="27" t="s">
        <v>1826</v>
      </c>
      <c r="F7854" s="27" t="s">
        <v>1844</v>
      </c>
      <c r="H7854" s="27" t="s">
        <v>1845</v>
      </c>
      <c r="J7854" s="27" t="s">
        <v>12356</v>
      </c>
      <c r="L7854" s="27" t="s">
        <v>12372</v>
      </c>
      <c r="N7854" s="27" t="s">
        <v>12425</v>
      </c>
      <c r="P7854" s="27" t="s">
        <v>12429</v>
      </c>
      <c r="Q7854" s="26" t="str">
        <f>HYPERLINK("https://ictv.global/taxonomy/taxondetails?taxnode_id=202518810&amp;ictv_id=ICTV202318810","ICTV202318810")</f>
        <v>ICTV202318810</v>
      </c>
      <c r="R7854" t="s">
        <v>660</v>
      </c>
      <c r="S7854" t="s">
        <v>824</v>
      </c>
      <c r="T7854">
        <v>41</v>
      </c>
      <c r="U7854" s="26" t="str">
        <f t="shared" si="295"/>
        <v>2025.002G.Monodnaviria_reorg_4nr.zip</v>
      </c>
    </row>
    <row r="7855" spans="1:21">
      <c r="A7855">
        <v>7854</v>
      </c>
      <c r="B7855" s="27" t="s">
        <v>20779</v>
      </c>
      <c r="D7855" s="27" t="s">
        <v>1826</v>
      </c>
      <c r="F7855" s="27" t="s">
        <v>1844</v>
      </c>
      <c r="H7855" s="27" t="s">
        <v>1845</v>
      </c>
      <c r="J7855" s="27" t="s">
        <v>12356</v>
      </c>
      <c r="L7855" s="27" t="s">
        <v>12372</v>
      </c>
      <c r="N7855" s="27" t="s">
        <v>12425</v>
      </c>
      <c r="P7855" s="27" t="s">
        <v>12430</v>
      </c>
      <c r="Q7855" s="26" t="str">
        <f>HYPERLINK("https://ictv.global/taxonomy/taxondetails?taxnode_id=202518809&amp;ictv_id=ICTV202318809","ICTV202318809")</f>
        <v>ICTV202318809</v>
      </c>
      <c r="R7855" t="s">
        <v>660</v>
      </c>
      <c r="S7855" t="s">
        <v>824</v>
      </c>
      <c r="T7855">
        <v>41</v>
      </c>
      <c r="U7855" s="26" t="str">
        <f t="shared" si="295"/>
        <v>2025.002G.Monodnaviria_reorg_4nr.zip</v>
      </c>
    </row>
    <row r="7856" spans="1:21">
      <c r="A7856">
        <v>7855</v>
      </c>
      <c r="B7856" s="27" t="s">
        <v>20779</v>
      </c>
      <c r="D7856" s="27" t="s">
        <v>1826</v>
      </c>
      <c r="F7856" s="27" t="s">
        <v>1844</v>
      </c>
      <c r="H7856" s="27" t="s">
        <v>1845</v>
      </c>
      <c r="J7856" s="27" t="s">
        <v>12356</v>
      </c>
      <c r="L7856" s="27" t="s">
        <v>12372</v>
      </c>
      <c r="N7856" s="27" t="s">
        <v>12425</v>
      </c>
      <c r="P7856" s="27" t="s">
        <v>12431</v>
      </c>
      <c r="Q7856" s="26" t="str">
        <f>HYPERLINK("https://ictv.global/taxonomy/taxondetails?taxnode_id=202518811&amp;ictv_id=ICTV202318811","ICTV202318811")</f>
        <v>ICTV202318811</v>
      </c>
      <c r="R7856" t="s">
        <v>660</v>
      </c>
      <c r="S7856" t="s">
        <v>824</v>
      </c>
      <c r="T7856">
        <v>41</v>
      </c>
      <c r="U7856" s="26" t="str">
        <f t="shared" si="295"/>
        <v>2025.002G.Monodnaviria_reorg_4nr.zip</v>
      </c>
    </row>
    <row r="7857" spans="1:21">
      <c r="A7857">
        <v>7856</v>
      </c>
      <c r="B7857" s="27" t="s">
        <v>20779</v>
      </c>
      <c r="D7857" s="27" t="s">
        <v>1826</v>
      </c>
      <c r="F7857" s="27" t="s">
        <v>1844</v>
      </c>
      <c r="H7857" s="27" t="s">
        <v>1845</v>
      </c>
      <c r="J7857" s="27" t="s">
        <v>12356</v>
      </c>
      <c r="L7857" s="27" t="s">
        <v>12372</v>
      </c>
      <c r="N7857" s="27" t="s">
        <v>12432</v>
      </c>
      <c r="P7857" s="27" t="s">
        <v>12433</v>
      </c>
      <c r="Q7857" s="26" t="str">
        <f>HYPERLINK("https://ictv.global/taxonomy/taxondetails?taxnode_id=202518793&amp;ictv_id=ICTV202318793","ICTV202318793")</f>
        <v>ICTV202318793</v>
      </c>
      <c r="R7857" t="s">
        <v>660</v>
      </c>
      <c r="S7857" t="s">
        <v>824</v>
      </c>
      <c r="T7857">
        <v>41</v>
      </c>
      <c r="U7857" s="26" t="str">
        <f t="shared" si="295"/>
        <v>2025.002G.Monodnaviria_reorg_4nr.zip</v>
      </c>
    </row>
    <row r="7858" spans="1:21">
      <c r="A7858">
        <v>7857</v>
      </c>
      <c r="B7858" s="27" t="s">
        <v>20779</v>
      </c>
      <c r="D7858" s="27" t="s">
        <v>1826</v>
      </c>
      <c r="F7858" s="27" t="s">
        <v>1844</v>
      </c>
      <c r="H7858" s="27" t="s">
        <v>1845</v>
      </c>
      <c r="J7858" s="27" t="s">
        <v>12356</v>
      </c>
      <c r="L7858" s="27" t="s">
        <v>12372</v>
      </c>
      <c r="N7858" s="27" t="s">
        <v>12434</v>
      </c>
      <c r="P7858" s="27" t="s">
        <v>12435</v>
      </c>
      <c r="Q7858" s="26" t="str">
        <f>HYPERLINK("https://ictv.global/taxonomy/taxondetails?taxnode_id=202518816&amp;ictv_id=ICTV202318816","ICTV202318816")</f>
        <v>ICTV202318816</v>
      </c>
      <c r="R7858" t="s">
        <v>660</v>
      </c>
      <c r="S7858" t="s">
        <v>824</v>
      </c>
      <c r="T7858">
        <v>41</v>
      </c>
      <c r="U7858" s="26" t="str">
        <f t="shared" si="295"/>
        <v>2025.002G.Monodnaviria_reorg_4nr.zip</v>
      </c>
    </row>
    <row r="7859" spans="1:21">
      <c r="A7859">
        <v>7858</v>
      </c>
      <c r="B7859" s="27" t="s">
        <v>20779</v>
      </c>
      <c r="D7859" s="27" t="s">
        <v>1826</v>
      </c>
      <c r="F7859" s="27" t="s">
        <v>1844</v>
      </c>
      <c r="H7859" s="27" t="s">
        <v>1845</v>
      </c>
      <c r="J7859" s="27" t="s">
        <v>12356</v>
      </c>
      <c r="L7859" s="27" t="s">
        <v>12372</v>
      </c>
      <c r="N7859" s="27" t="s">
        <v>12436</v>
      </c>
      <c r="P7859" s="27" t="s">
        <v>12437</v>
      </c>
      <c r="Q7859" s="26" t="str">
        <f>HYPERLINK("https://ictv.global/taxonomy/taxondetails?taxnode_id=202518838&amp;ictv_id=ICTV202318838","ICTV202318838")</f>
        <v>ICTV202318838</v>
      </c>
      <c r="R7859" t="s">
        <v>660</v>
      </c>
      <c r="S7859" t="s">
        <v>824</v>
      </c>
      <c r="T7859">
        <v>41</v>
      </c>
      <c r="U7859" s="26" t="str">
        <f t="shared" si="295"/>
        <v>2025.002G.Monodnaviria_reorg_4nr.zip</v>
      </c>
    </row>
    <row r="7860" spans="1:21">
      <c r="A7860">
        <v>7859</v>
      </c>
      <c r="B7860" s="27" t="s">
        <v>20779</v>
      </c>
      <c r="D7860" s="27" t="s">
        <v>1826</v>
      </c>
      <c r="F7860" s="27" t="s">
        <v>1844</v>
      </c>
      <c r="H7860" s="27" t="s">
        <v>1845</v>
      </c>
      <c r="J7860" s="27" t="s">
        <v>12356</v>
      </c>
      <c r="L7860" s="27" t="s">
        <v>12372</v>
      </c>
      <c r="N7860" s="27" t="s">
        <v>12438</v>
      </c>
      <c r="P7860" s="27" t="s">
        <v>12439</v>
      </c>
      <c r="Q7860" s="26" t="str">
        <f>HYPERLINK("https://ictv.global/taxonomy/taxondetails?taxnode_id=202518817&amp;ictv_id=ICTV202318817","ICTV202318817")</f>
        <v>ICTV202318817</v>
      </c>
      <c r="R7860" t="s">
        <v>660</v>
      </c>
      <c r="S7860" t="s">
        <v>824</v>
      </c>
      <c r="T7860">
        <v>41</v>
      </c>
      <c r="U7860" s="26" t="str">
        <f t="shared" si="295"/>
        <v>2025.002G.Monodnaviria_reorg_4nr.zip</v>
      </c>
    </row>
    <row r="7861" spans="1:21">
      <c r="A7861">
        <v>7860</v>
      </c>
      <c r="B7861" s="27" t="s">
        <v>20779</v>
      </c>
      <c r="D7861" s="27" t="s">
        <v>1826</v>
      </c>
      <c r="F7861" s="27" t="s">
        <v>1844</v>
      </c>
      <c r="H7861" s="27" t="s">
        <v>1845</v>
      </c>
      <c r="J7861" s="27" t="s">
        <v>12356</v>
      </c>
      <c r="L7861" s="27" t="s">
        <v>12372</v>
      </c>
      <c r="N7861" s="27" t="s">
        <v>12440</v>
      </c>
      <c r="P7861" s="27" t="s">
        <v>12441</v>
      </c>
      <c r="Q7861" s="26" t="str">
        <f>HYPERLINK("https://ictv.global/taxonomy/taxondetails?taxnode_id=202518824&amp;ictv_id=ICTV202318824","ICTV202318824")</f>
        <v>ICTV202318824</v>
      </c>
      <c r="R7861" t="s">
        <v>660</v>
      </c>
      <c r="S7861" t="s">
        <v>824</v>
      </c>
      <c r="T7861">
        <v>41</v>
      </c>
      <c r="U7861" s="26" t="str">
        <f t="shared" si="295"/>
        <v>2025.002G.Monodnaviria_reorg_4nr.zip</v>
      </c>
    </row>
    <row r="7862" spans="1:21">
      <c r="A7862">
        <v>7861</v>
      </c>
      <c r="B7862" s="27" t="s">
        <v>20779</v>
      </c>
      <c r="D7862" s="27" t="s">
        <v>1826</v>
      </c>
      <c r="F7862" s="27" t="s">
        <v>1844</v>
      </c>
      <c r="H7862" s="27" t="s">
        <v>1845</v>
      </c>
      <c r="J7862" s="27" t="s">
        <v>12356</v>
      </c>
      <c r="L7862" s="27" t="s">
        <v>12372</v>
      </c>
      <c r="N7862" s="27" t="s">
        <v>12442</v>
      </c>
      <c r="P7862" s="27" t="s">
        <v>12443</v>
      </c>
      <c r="Q7862" s="26" t="str">
        <f>HYPERLINK("https://ictv.global/taxonomy/taxondetails?taxnode_id=202518819&amp;ictv_id=ICTV202318819","ICTV202318819")</f>
        <v>ICTV202318819</v>
      </c>
      <c r="R7862" t="s">
        <v>660</v>
      </c>
      <c r="S7862" t="s">
        <v>824</v>
      </c>
      <c r="T7862">
        <v>41</v>
      </c>
      <c r="U7862" s="26" t="str">
        <f t="shared" si="295"/>
        <v>2025.002G.Monodnaviria_reorg_4nr.zip</v>
      </c>
    </row>
    <row r="7863" spans="1:21">
      <c r="A7863">
        <v>7862</v>
      </c>
      <c r="B7863" s="27" t="s">
        <v>20779</v>
      </c>
      <c r="D7863" s="27" t="s">
        <v>1826</v>
      </c>
      <c r="F7863" s="27" t="s">
        <v>1844</v>
      </c>
      <c r="H7863" s="27" t="s">
        <v>1845</v>
      </c>
      <c r="J7863" s="27" t="s">
        <v>12356</v>
      </c>
      <c r="L7863" s="27" t="s">
        <v>12372</v>
      </c>
      <c r="N7863" s="27" t="s">
        <v>12444</v>
      </c>
      <c r="P7863" s="27" t="s">
        <v>12445</v>
      </c>
      <c r="Q7863" s="26" t="str">
        <f>HYPERLINK("https://ictv.global/taxonomy/taxondetails?taxnode_id=202518794&amp;ictv_id=ICTV202318794","ICTV202318794")</f>
        <v>ICTV202318794</v>
      </c>
      <c r="R7863" t="s">
        <v>660</v>
      </c>
      <c r="S7863" t="s">
        <v>824</v>
      </c>
      <c r="T7863">
        <v>41</v>
      </c>
      <c r="U7863" s="26" t="str">
        <f t="shared" si="295"/>
        <v>2025.002G.Monodnaviria_reorg_4nr.zip</v>
      </c>
    </row>
    <row r="7864" spans="1:21">
      <c r="A7864">
        <v>7863</v>
      </c>
      <c r="B7864" s="27" t="s">
        <v>20779</v>
      </c>
      <c r="D7864" s="27" t="s">
        <v>1826</v>
      </c>
      <c r="F7864" s="27" t="s">
        <v>1844</v>
      </c>
      <c r="H7864" s="27" t="s">
        <v>1845</v>
      </c>
      <c r="J7864" s="27" t="s">
        <v>12356</v>
      </c>
      <c r="L7864" s="27" t="s">
        <v>12372</v>
      </c>
      <c r="N7864" s="27" t="s">
        <v>12446</v>
      </c>
      <c r="P7864" s="27" t="s">
        <v>12447</v>
      </c>
      <c r="Q7864" s="26" t="str">
        <f>HYPERLINK("https://ictv.global/taxonomy/taxondetails?taxnode_id=202518818&amp;ictv_id=ICTV202318818","ICTV202318818")</f>
        <v>ICTV202318818</v>
      </c>
      <c r="R7864" t="s">
        <v>660</v>
      </c>
      <c r="S7864" t="s">
        <v>824</v>
      </c>
      <c r="T7864">
        <v>41</v>
      </c>
      <c r="U7864" s="26" t="str">
        <f t="shared" si="295"/>
        <v>2025.002G.Monodnaviria_reorg_4nr.zip</v>
      </c>
    </row>
    <row r="7865" spans="1:21">
      <c r="A7865">
        <v>7864</v>
      </c>
      <c r="B7865" s="27" t="s">
        <v>20779</v>
      </c>
      <c r="D7865" s="27" t="s">
        <v>1826</v>
      </c>
      <c r="F7865" s="27" t="s">
        <v>1844</v>
      </c>
      <c r="H7865" s="27" t="s">
        <v>1845</v>
      </c>
      <c r="J7865" s="27" t="s">
        <v>12356</v>
      </c>
      <c r="L7865" s="27" t="s">
        <v>12372</v>
      </c>
      <c r="N7865" s="27" t="s">
        <v>12448</v>
      </c>
      <c r="P7865" s="27" t="s">
        <v>12449</v>
      </c>
      <c r="Q7865" s="26" t="str">
        <f>HYPERLINK("https://ictv.global/taxonomy/taxondetails?taxnode_id=202518815&amp;ictv_id=ICTV202318815","ICTV202318815")</f>
        <v>ICTV202318815</v>
      </c>
      <c r="R7865" t="s">
        <v>660</v>
      </c>
      <c r="S7865" t="s">
        <v>824</v>
      </c>
      <c r="T7865">
        <v>41</v>
      </c>
      <c r="U7865" s="26" t="str">
        <f t="shared" si="295"/>
        <v>2025.002G.Monodnaviria_reorg_4nr.zip</v>
      </c>
    </row>
    <row r="7866" spans="1:21">
      <c r="A7866">
        <v>7865</v>
      </c>
      <c r="B7866" s="27" t="s">
        <v>20779</v>
      </c>
      <c r="D7866" s="27" t="s">
        <v>1826</v>
      </c>
      <c r="F7866" s="27" t="s">
        <v>1844</v>
      </c>
      <c r="H7866" s="27" t="s">
        <v>1845</v>
      </c>
      <c r="J7866" s="27" t="s">
        <v>12356</v>
      </c>
      <c r="L7866" s="27" t="s">
        <v>12372</v>
      </c>
      <c r="N7866" s="27" t="s">
        <v>12450</v>
      </c>
      <c r="P7866" s="27" t="s">
        <v>12451</v>
      </c>
      <c r="Q7866" s="26" t="str">
        <f>HYPERLINK("https://ictv.global/taxonomy/taxondetails?taxnode_id=202518797&amp;ictv_id=ICTV202318797","ICTV202318797")</f>
        <v>ICTV202318797</v>
      </c>
      <c r="R7866" t="s">
        <v>660</v>
      </c>
      <c r="S7866" t="s">
        <v>824</v>
      </c>
      <c r="T7866">
        <v>41</v>
      </c>
      <c r="U7866" s="26" t="str">
        <f t="shared" si="295"/>
        <v>2025.002G.Monodnaviria_reorg_4nr.zip</v>
      </c>
    </row>
    <row r="7867" spans="1:21">
      <c r="A7867">
        <v>7866</v>
      </c>
      <c r="B7867" s="27" t="s">
        <v>20779</v>
      </c>
      <c r="D7867" s="27" t="s">
        <v>1826</v>
      </c>
      <c r="F7867" s="27" t="s">
        <v>1844</v>
      </c>
      <c r="H7867" s="27" t="s">
        <v>1845</v>
      </c>
      <c r="J7867" s="27" t="s">
        <v>12356</v>
      </c>
      <c r="L7867" s="27" t="s">
        <v>12372</v>
      </c>
      <c r="N7867" s="27" t="s">
        <v>12450</v>
      </c>
      <c r="P7867" s="27" t="s">
        <v>12452</v>
      </c>
      <c r="Q7867" s="26" t="str">
        <f>HYPERLINK("https://ictv.global/taxonomy/taxondetails?taxnode_id=202518798&amp;ictv_id=ICTV202318798","ICTV202318798")</f>
        <v>ICTV202318798</v>
      </c>
      <c r="R7867" t="s">
        <v>660</v>
      </c>
      <c r="S7867" t="s">
        <v>824</v>
      </c>
      <c r="T7867">
        <v>41</v>
      </c>
      <c r="U7867" s="26" t="str">
        <f t="shared" si="295"/>
        <v>2025.002G.Monodnaviria_reorg_4nr.zip</v>
      </c>
    </row>
    <row r="7868" spans="1:21">
      <c r="A7868">
        <v>7867</v>
      </c>
      <c r="B7868" s="27" t="s">
        <v>20779</v>
      </c>
      <c r="D7868" s="27" t="s">
        <v>1826</v>
      </c>
      <c r="F7868" s="27" t="s">
        <v>1844</v>
      </c>
      <c r="H7868" s="27" t="s">
        <v>1845</v>
      </c>
      <c r="J7868" s="27" t="s">
        <v>12453</v>
      </c>
      <c r="L7868" s="27" t="s">
        <v>12454</v>
      </c>
      <c r="N7868" s="27" t="s">
        <v>12455</v>
      </c>
      <c r="P7868" s="27" t="s">
        <v>12456</v>
      </c>
      <c r="Q7868" s="26" t="str">
        <f>HYPERLINK("https://ictv.global/taxonomy/taxondetails?taxnode_id=202518710&amp;ictv_id=ICTV202318710","ICTV202318710")</f>
        <v>ICTV202318710</v>
      </c>
      <c r="R7868" t="s">
        <v>660</v>
      </c>
      <c r="S7868" t="s">
        <v>824</v>
      </c>
      <c r="T7868">
        <v>41</v>
      </c>
      <c r="U7868" s="26" t="str">
        <f t="shared" si="295"/>
        <v>2025.002G.Monodnaviria_reorg_4nr.zip</v>
      </c>
    </row>
    <row r="7869" spans="1:21">
      <c r="A7869">
        <v>7868</v>
      </c>
      <c r="B7869" s="27" t="s">
        <v>20779</v>
      </c>
      <c r="D7869" s="27" t="s">
        <v>1826</v>
      </c>
      <c r="F7869" s="27" t="s">
        <v>1844</v>
      </c>
      <c r="H7869" s="27" t="s">
        <v>1845</v>
      </c>
      <c r="J7869" s="27" t="s">
        <v>12453</v>
      </c>
      <c r="L7869" s="27" t="s">
        <v>12454</v>
      </c>
      <c r="N7869" s="27" t="s">
        <v>12457</v>
      </c>
      <c r="P7869" s="27" t="s">
        <v>12458</v>
      </c>
      <c r="Q7869" s="26" t="str">
        <f>HYPERLINK("https://ictv.global/taxonomy/taxondetails?taxnode_id=202518711&amp;ictv_id=ICTV202318711","ICTV202318711")</f>
        <v>ICTV202318711</v>
      </c>
      <c r="R7869" t="s">
        <v>660</v>
      </c>
      <c r="S7869" t="s">
        <v>824</v>
      </c>
      <c r="T7869">
        <v>41</v>
      </c>
      <c r="U7869" s="26" t="str">
        <f t="shared" si="295"/>
        <v>2025.002G.Monodnaviria_reorg_4nr.zip</v>
      </c>
    </row>
    <row r="7870" spans="1:21">
      <c r="A7870">
        <v>7869</v>
      </c>
      <c r="B7870" s="27" t="s">
        <v>20779</v>
      </c>
      <c r="D7870" s="27" t="s">
        <v>1826</v>
      </c>
      <c r="F7870" s="27" t="s">
        <v>1844</v>
      </c>
      <c r="H7870" s="27" t="s">
        <v>1845</v>
      </c>
      <c r="J7870" s="27" t="s">
        <v>12453</v>
      </c>
      <c r="L7870" s="27" t="s">
        <v>12454</v>
      </c>
      <c r="N7870" s="27" t="s">
        <v>12457</v>
      </c>
      <c r="P7870" s="27" t="s">
        <v>12459</v>
      </c>
      <c r="Q7870" s="26" t="str">
        <f>HYPERLINK("https://ictv.global/taxonomy/taxondetails?taxnode_id=202518712&amp;ictv_id=ICTV202318712","ICTV202318712")</f>
        <v>ICTV202318712</v>
      </c>
      <c r="R7870" t="s">
        <v>660</v>
      </c>
      <c r="S7870" t="s">
        <v>824</v>
      </c>
      <c r="T7870">
        <v>41</v>
      </c>
      <c r="U7870" s="26" t="str">
        <f t="shared" si="295"/>
        <v>2025.002G.Monodnaviria_reorg_4nr.zip</v>
      </c>
    </row>
    <row r="7871" spans="1:21">
      <c r="A7871">
        <v>7870</v>
      </c>
      <c r="B7871" s="27" t="s">
        <v>20779</v>
      </c>
      <c r="D7871" s="27" t="s">
        <v>1826</v>
      </c>
      <c r="F7871" s="27" t="s">
        <v>1844</v>
      </c>
      <c r="H7871" s="27" t="s">
        <v>1845</v>
      </c>
      <c r="J7871" s="27" t="s">
        <v>12453</v>
      </c>
      <c r="L7871" s="27" t="s">
        <v>12454</v>
      </c>
      <c r="N7871" s="27" t="s">
        <v>12460</v>
      </c>
      <c r="P7871" s="27" t="s">
        <v>12461</v>
      </c>
      <c r="Q7871" s="26" t="str">
        <f>HYPERLINK("https://ictv.global/taxonomy/taxondetails?taxnode_id=202518713&amp;ictv_id=ICTV202318713","ICTV202318713")</f>
        <v>ICTV202318713</v>
      </c>
      <c r="R7871" t="s">
        <v>660</v>
      </c>
      <c r="S7871" t="s">
        <v>824</v>
      </c>
      <c r="T7871">
        <v>41</v>
      </c>
      <c r="U7871" s="26" t="str">
        <f t="shared" si="295"/>
        <v>2025.002G.Monodnaviria_reorg_4nr.zip</v>
      </c>
    </row>
    <row r="7872" spans="1:21">
      <c r="A7872">
        <v>7871</v>
      </c>
      <c r="B7872" s="27" t="s">
        <v>20779</v>
      </c>
      <c r="D7872" s="27" t="s">
        <v>1826</v>
      </c>
      <c r="F7872" s="27" t="s">
        <v>1844</v>
      </c>
      <c r="H7872" s="27" t="s">
        <v>1845</v>
      </c>
      <c r="J7872" s="27" t="s">
        <v>12453</v>
      </c>
      <c r="L7872" s="27" t="s">
        <v>12454</v>
      </c>
      <c r="N7872" s="27" t="s">
        <v>12462</v>
      </c>
      <c r="P7872" s="27" t="s">
        <v>12463</v>
      </c>
      <c r="Q7872" s="26" t="str">
        <f>HYPERLINK("https://ictv.global/taxonomy/taxondetails?taxnode_id=202518714&amp;ictv_id=ICTV202318714","ICTV202318714")</f>
        <v>ICTV202318714</v>
      </c>
      <c r="R7872" t="s">
        <v>660</v>
      </c>
      <c r="S7872" t="s">
        <v>824</v>
      </c>
      <c r="T7872">
        <v>41</v>
      </c>
      <c r="U7872" s="26" t="str">
        <f t="shared" si="295"/>
        <v>2025.002G.Monodnaviria_reorg_4nr.zip</v>
      </c>
    </row>
    <row r="7873" spans="1:21">
      <c r="A7873">
        <v>7872</v>
      </c>
      <c r="B7873" s="27" t="s">
        <v>20779</v>
      </c>
      <c r="D7873" s="27" t="s">
        <v>1826</v>
      </c>
      <c r="F7873" s="27" t="s">
        <v>1844</v>
      </c>
      <c r="H7873" s="27" t="s">
        <v>1845</v>
      </c>
      <c r="J7873" s="27" t="s">
        <v>12453</v>
      </c>
      <c r="L7873" s="27" t="s">
        <v>12454</v>
      </c>
      <c r="N7873" s="27" t="s">
        <v>12464</v>
      </c>
      <c r="P7873" s="27" t="s">
        <v>12465</v>
      </c>
      <c r="Q7873" s="26" t="str">
        <f>HYPERLINK("https://ictv.global/taxonomy/taxondetails?taxnode_id=202518715&amp;ictv_id=ICTV202318715","ICTV202318715")</f>
        <v>ICTV202318715</v>
      </c>
      <c r="R7873" t="s">
        <v>660</v>
      </c>
      <c r="S7873" t="s">
        <v>824</v>
      </c>
      <c r="T7873">
        <v>41</v>
      </c>
      <c r="U7873" s="26" t="str">
        <f t="shared" si="295"/>
        <v>2025.002G.Monodnaviria_reorg_4nr.zip</v>
      </c>
    </row>
    <row r="7874" spans="1:21">
      <c r="A7874">
        <v>7873</v>
      </c>
      <c r="B7874" s="27" t="s">
        <v>20779</v>
      </c>
      <c r="D7874" s="27" t="s">
        <v>1826</v>
      </c>
      <c r="F7874" s="27" t="s">
        <v>1844</v>
      </c>
      <c r="H7874" s="27" t="s">
        <v>1845</v>
      </c>
      <c r="J7874" s="27" t="s">
        <v>12453</v>
      </c>
      <c r="L7874" s="27" t="s">
        <v>12454</v>
      </c>
      <c r="N7874" s="27" t="s">
        <v>12464</v>
      </c>
      <c r="P7874" s="27" t="s">
        <v>12466</v>
      </c>
      <c r="Q7874" s="26" t="str">
        <f>HYPERLINK("https://ictv.global/taxonomy/taxondetails?taxnode_id=202518716&amp;ictv_id=ICTV202318716","ICTV202318716")</f>
        <v>ICTV202318716</v>
      </c>
      <c r="R7874" t="s">
        <v>660</v>
      </c>
      <c r="S7874" t="s">
        <v>824</v>
      </c>
      <c r="T7874">
        <v>41</v>
      </c>
      <c r="U7874" s="26" t="str">
        <f t="shared" si="295"/>
        <v>2025.002G.Monodnaviria_reorg_4nr.zip</v>
      </c>
    </row>
    <row r="7875" spans="1:21">
      <c r="A7875">
        <v>7874</v>
      </c>
      <c r="B7875" s="27" t="s">
        <v>20779</v>
      </c>
      <c r="D7875" s="27" t="s">
        <v>1826</v>
      </c>
      <c r="F7875" s="27" t="s">
        <v>1844</v>
      </c>
      <c r="H7875" s="27" t="s">
        <v>1845</v>
      </c>
      <c r="J7875" s="27" t="s">
        <v>12453</v>
      </c>
      <c r="L7875" s="27" t="s">
        <v>12454</v>
      </c>
      <c r="N7875" s="27" t="s">
        <v>12464</v>
      </c>
      <c r="P7875" s="27" t="s">
        <v>12467</v>
      </c>
      <c r="Q7875" s="26" t="str">
        <f>HYPERLINK("https://ictv.global/taxonomy/taxondetails?taxnode_id=202518717&amp;ictv_id=ICTV202318717","ICTV202318717")</f>
        <v>ICTV202318717</v>
      </c>
      <c r="R7875" t="s">
        <v>660</v>
      </c>
      <c r="S7875" t="s">
        <v>824</v>
      </c>
      <c r="T7875">
        <v>41</v>
      </c>
      <c r="U7875" s="26" t="str">
        <f t="shared" si="295"/>
        <v>2025.002G.Monodnaviria_reorg_4nr.zip</v>
      </c>
    </row>
    <row r="7876" spans="1:21">
      <c r="A7876">
        <v>7875</v>
      </c>
      <c r="B7876" s="27" t="s">
        <v>20779</v>
      </c>
      <c r="D7876" s="27" t="s">
        <v>1826</v>
      </c>
      <c r="F7876" s="27" t="s">
        <v>1844</v>
      </c>
      <c r="H7876" s="27" t="s">
        <v>1845</v>
      </c>
      <c r="J7876" s="27" t="s">
        <v>12453</v>
      </c>
      <c r="L7876" s="27" t="s">
        <v>12454</v>
      </c>
      <c r="N7876" s="27" t="s">
        <v>12464</v>
      </c>
      <c r="P7876" s="27" t="s">
        <v>12468</v>
      </c>
      <c r="Q7876" s="26" t="str">
        <f>HYPERLINK("https://ictv.global/taxonomy/taxondetails?taxnode_id=202518718&amp;ictv_id=ICTV202318718","ICTV202318718")</f>
        <v>ICTV202318718</v>
      </c>
      <c r="R7876" t="s">
        <v>660</v>
      </c>
      <c r="S7876" t="s">
        <v>824</v>
      </c>
      <c r="T7876">
        <v>41</v>
      </c>
      <c r="U7876" s="26" t="str">
        <f t="shared" si="295"/>
        <v>2025.002G.Monodnaviria_reorg_4nr.zip</v>
      </c>
    </row>
    <row r="7877" spans="1:21">
      <c r="A7877">
        <v>7876</v>
      </c>
      <c r="B7877" s="27" t="s">
        <v>20779</v>
      </c>
      <c r="D7877" s="27" t="s">
        <v>1826</v>
      </c>
      <c r="F7877" s="27" t="s">
        <v>1844</v>
      </c>
      <c r="H7877" s="27" t="s">
        <v>1845</v>
      </c>
      <c r="J7877" s="27" t="s">
        <v>12453</v>
      </c>
      <c r="L7877" s="27" t="s">
        <v>12454</v>
      </c>
      <c r="N7877" s="27" t="s">
        <v>12469</v>
      </c>
      <c r="P7877" s="27" t="s">
        <v>12470</v>
      </c>
      <c r="Q7877" s="26" t="str">
        <f>HYPERLINK("https://ictv.global/taxonomy/taxondetails?taxnode_id=202518719&amp;ictv_id=ICTV202318719","ICTV202318719")</f>
        <v>ICTV202318719</v>
      </c>
      <c r="R7877" t="s">
        <v>660</v>
      </c>
      <c r="S7877" t="s">
        <v>824</v>
      </c>
      <c r="T7877">
        <v>41</v>
      </c>
      <c r="U7877" s="26" t="str">
        <f t="shared" si="295"/>
        <v>2025.002G.Monodnaviria_reorg_4nr.zip</v>
      </c>
    </row>
    <row r="7878" spans="1:21">
      <c r="A7878">
        <v>7877</v>
      </c>
      <c r="B7878" s="27" t="s">
        <v>20779</v>
      </c>
      <c r="D7878" s="27" t="s">
        <v>1826</v>
      </c>
      <c r="F7878" s="27" t="s">
        <v>1844</v>
      </c>
      <c r="H7878" s="27" t="s">
        <v>1845</v>
      </c>
      <c r="J7878" s="27" t="s">
        <v>12453</v>
      </c>
      <c r="L7878" s="27" t="s">
        <v>12454</v>
      </c>
      <c r="N7878" s="27" t="s">
        <v>12471</v>
      </c>
      <c r="P7878" s="27" t="s">
        <v>12472</v>
      </c>
      <c r="Q7878" s="26" t="str">
        <f>HYPERLINK("https://ictv.global/taxonomy/taxondetails?taxnode_id=202518720&amp;ictv_id=ICTV202318720","ICTV202318720")</f>
        <v>ICTV202318720</v>
      </c>
      <c r="R7878" t="s">
        <v>660</v>
      </c>
      <c r="S7878" t="s">
        <v>824</v>
      </c>
      <c r="T7878">
        <v>41</v>
      </c>
      <c r="U7878" s="26" t="str">
        <f t="shared" si="295"/>
        <v>2025.002G.Monodnaviria_reorg_4nr.zip</v>
      </c>
    </row>
    <row r="7879" spans="1:21">
      <c r="A7879">
        <v>7878</v>
      </c>
      <c r="B7879" s="27" t="s">
        <v>20779</v>
      </c>
      <c r="D7879" s="27" t="s">
        <v>1826</v>
      </c>
      <c r="F7879" s="27" t="s">
        <v>1844</v>
      </c>
      <c r="H7879" s="27" t="s">
        <v>1845</v>
      </c>
      <c r="J7879" s="27" t="s">
        <v>12453</v>
      </c>
      <c r="L7879" s="27" t="s">
        <v>12454</v>
      </c>
      <c r="N7879" s="27" t="s">
        <v>12473</v>
      </c>
      <c r="P7879" s="27" t="s">
        <v>12474</v>
      </c>
      <c r="Q7879" s="26" t="str">
        <f>HYPERLINK("https://ictv.global/taxonomy/taxondetails?taxnode_id=202518721&amp;ictv_id=ICTV202318721","ICTV202318721")</f>
        <v>ICTV202318721</v>
      </c>
      <c r="R7879" t="s">
        <v>660</v>
      </c>
      <c r="S7879" t="s">
        <v>824</v>
      </c>
      <c r="T7879">
        <v>41</v>
      </c>
      <c r="U7879" s="26" t="str">
        <f t="shared" si="295"/>
        <v>2025.002G.Monodnaviria_reorg_4nr.zip</v>
      </c>
    </row>
    <row r="7880" spans="1:21">
      <c r="A7880">
        <v>7879</v>
      </c>
      <c r="B7880" s="27" t="s">
        <v>20779</v>
      </c>
      <c r="D7880" s="27" t="s">
        <v>1826</v>
      </c>
      <c r="F7880" s="27" t="s">
        <v>1844</v>
      </c>
      <c r="H7880" s="27" t="s">
        <v>1845</v>
      </c>
      <c r="J7880" s="27" t="s">
        <v>12453</v>
      </c>
      <c r="L7880" s="27" t="s">
        <v>12454</v>
      </c>
      <c r="N7880" s="27" t="s">
        <v>12475</v>
      </c>
      <c r="P7880" s="27" t="s">
        <v>12476</v>
      </c>
      <c r="Q7880" s="26" t="str">
        <f>HYPERLINK("https://ictv.global/taxonomy/taxondetails?taxnode_id=202518722&amp;ictv_id=ICTV202318722","ICTV202318722")</f>
        <v>ICTV202318722</v>
      </c>
      <c r="R7880" t="s">
        <v>660</v>
      </c>
      <c r="S7880" t="s">
        <v>824</v>
      </c>
      <c r="T7880">
        <v>41</v>
      </c>
      <c r="U7880" s="26" t="str">
        <f t="shared" si="295"/>
        <v>2025.002G.Monodnaviria_reorg_4nr.zip</v>
      </c>
    </row>
    <row r="7881" spans="1:21">
      <c r="A7881">
        <v>7880</v>
      </c>
      <c r="B7881" s="27" t="s">
        <v>20779</v>
      </c>
      <c r="D7881" s="27" t="s">
        <v>1826</v>
      </c>
      <c r="F7881" s="27" t="s">
        <v>1844</v>
      </c>
      <c r="H7881" s="27" t="s">
        <v>1845</v>
      </c>
      <c r="J7881" s="27" t="s">
        <v>12453</v>
      </c>
      <c r="L7881" s="27" t="s">
        <v>12454</v>
      </c>
      <c r="N7881" s="27" t="s">
        <v>12475</v>
      </c>
      <c r="P7881" s="27" t="s">
        <v>12477</v>
      </c>
      <c r="Q7881" s="26" t="str">
        <f>HYPERLINK("https://ictv.global/taxonomy/taxondetails?taxnode_id=202518723&amp;ictv_id=ICTV202318723","ICTV202318723")</f>
        <v>ICTV202318723</v>
      </c>
      <c r="R7881" t="s">
        <v>660</v>
      </c>
      <c r="S7881" t="s">
        <v>824</v>
      </c>
      <c r="T7881">
        <v>41</v>
      </c>
      <c r="U7881" s="26" t="str">
        <f t="shared" si="295"/>
        <v>2025.002G.Monodnaviria_reorg_4nr.zip</v>
      </c>
    </row>
    <row r="7882" spans="1:21">
      <c r="A7882">
        <v>7881</v>
      </c>
      <c r="B7882" s="27" t="s">
        <v>20779</v>
      </c>
      <c r="D7882" s="27" t="s">
        <v>1826</v>
      </c>
      <c r="F7882" s="27" t="s">
        <v>1844</v>
      </c>
      <c r="H7882" s="27" t="s">
        <v>1845</v>
      </c>
      <c r="J7882" s="27" t="s">
        <v>12453</v>
      </c>
      <c r="L7882" s="27" t="s">
        <v>12454</v>
      </c>
      <c r="N7882" s="27" t="s">
        <v>12478</v>
      </c>
      <c r="P7882" s="27" t="s">
        <v>12479</v>
      </c>
      <c r="Q7882" s="26" t="str">
        <f>HYPERLINK("https://ictv.global/taxonomy/taxondetails?taxnode_id=202518724&amp;ictv_id=ICTV202318724","ICTV202318724")</f>
        <v>ICTV202318724</v>
      </c>
      <c r="R7882" t="s">
        <v>660</v>
      </c>
      <c r="S7882" t="s">
        <v>824</v>
      </c>
      <c r="T7882">
        <v>41</v>
      </c>
      <c r="U7882" s="26" t="str">
        <f t="shared" si="295"/>
        <v>2025.002G.Monodnaviria_reorg_4nr.zip</v>
      </c>
    </row>
    <row r="7883" spans="1:21">
      <c r="A7883">
        <v>7882</v>
      </c>
      <c r="B7883" s="27" t="s">
        <v>20779</v>
      </c>
      <c r="D7883" s="27" t="s">
        <v>1826</v>
      </c>
      <c r="F7883" s="27" t="s">
        <v>1844</v>
      </c>
      <c r="H7883" s="27" t="s">
        <v>1845</v>
      </c>
      <c r="J7883" s="27" t="s">
        <v>12453</v>
      </c>
      <c r="L7883" s="27" t="s">
        <v>12454</v>
      </c>
      <c r="N7883" s="27" t="s">
        <v>12480</v>
      </c>
      <c r="P7883" s="27" t="s">
        <v>12481</v>
      </c>
      <c r="Q7883" s="26" t="str">
        <f>HYPERLINK("https://ictv.global/taxonomy/taxondetails?taxnode_id=202518725&amp;ictv_id=ICTV202318725","ICTV202318725")</f>
        <v>ICTV202318725</v>
      </c>
      <c r="R7883" t="s">
        <v>660</v>
      </c>
      <c r="S7883" t="s">
        <v>824</v>
      </c>
      <c r="T7883">
        <v>41</v>
      </c>
      <c r="U7883" s="26" t="str">
        <f t="shared" si="295"/>
        <v>2025.002G.Monodnaviria_reorg_4nr.zip</v>
      </c>
    </row>
    <row r="7884" spans="1:21">
      <c r="A7884">
        <v>7883</v>
      </c>
      <c r="B7884" s="27" t="s">
        <v>20779</v>
      </c>
      <c r="D7884" s="27" t="s">
        <v>1826</v>
      </c>
      <c r="F7884" s="27" t="s">
        <v>1844</v>
      </c>
      <c r="H7884" s="27" t="s">
        <v>1845</v>
      </c>
      <c r="J7884" s="27" t="s">
        <v>12453</v>
      </c>
      <c r="L7884" s="27" t="s">
        <v>12454</v>
      </c>
      <c r="N7884" s="27" t="s">
        <v>12482</v>
      </c>
      <c r="P7884" s="27" t="s">
        <v>12483</v>
      </c>
      <c r="Q7884" s="26" t="str">
        <f>HYPERLINK("https://ictv.global/taxonomy/taxondetails?taxnode_id=202518726&amp;ictv_id=ICTV202318726","ICTV202318726")</f>
        <v>ICTV202318726</v>
      </c>
      <c r="R7884" t="s">
        <v>660</v>
      </c>
      <c r="S7884" t="s">
        <v>824</v>
      </c>
      <c r="T7884">
        <v>41</v>
      </c>
      <c r="U7884" s="26" t="str">
        <f t="shared" si="295"/>
        <v>2025.002G.Monodnaviria_reorg_4nr.zip</v>
      </c>
    </row>
    <row r="7885" spans="1:21">
      <c r="A7885">
        <v>7884</v>
      </c>
      <c r="B7885" s="27" t="s">
        <v>20779</v>
      </c>
      <c r="D7885" s="27" t="s">
        <v>1826</v>
      </c>
      <c r="F7885" s="27" t="s">
        <v>1844</v>
      </c>
      <c r="H7885" s="27" t="s">
        <v>1845</v>
      </c>
      <c r="J7885" s="27" t="s">
        <v>12453</v>
      </c>
      <c r="L7885" s="27" t="s">
        <v>12454</v>
      </c>
      <c r="N7885" s="27" t="s">
        <v>12482</v>
      </c>
      <c r="P7885" s="27" t="s">
        <v>12484</v>
      </c>
      <c r="Q7885" s="26" t="str">
        <f>HYPERLINK("https://ictv.global/taxonomy/taxondetails?taxnode_id=202518727&amp;ictv_id=ICTV202318727","ICTV202318727")</f>
        <v>ICTV202318727</v>
      </c>
      <c r="R7885" t="s">
        <v>660</v>
      </c>
      <c r="S7885" t="s">
        <v>824</v>
      </c>
      <c r="T7885">
        <v>41</v>
      </c>
      <c r="U7885" s="26" t="str">
        <f t="shared" si="295"/>
        <v>2025.002G.Monodnaviria_reorg_4nr.zip</v>
      </c>
    </row>
    <row r="7886" spans="1:21">
      <c r="A7886">
        <v>7885</v>
      </c>
      <c r="B7886" s="27" t="s">
        <v>20779</v>
      </c>
      <c r="D7886" s="27" t="s">
        <v>1826</v>
      </c>
      <c r="F7886" s="27" t="s">
        <v>1844</v>
      </c>
      <c r="H7886" s="27" t="s">
        <v>1845</v>
      </c>
      <c r="J7886" s="27" t="s">
        <v>12453</v>
      </c>
      <c r="L7886" s="27" t="s">
        <v>12454</v>
      </c>
      <c r="N7886" s="27" t="s">
        <v>12482</v>
      </c>
      <c r="P7886" s="27" t="s">
        <v>12485</v>
      </c>
      <c r="Q7886" s="26" t="str">
        <f>HYPERLINK("https://ictv.global/taxonomy/taxondetails?taxnode_id=202518728&amp;ictv_id=ICTV202318728","ICTV202318728")</f>
        <v>ICTV202318728</v>
      </c>
      <c r="R7886" t="s">
        <v>660</v>
      </c>
      <c r="S7886" t="s">
        <v>824</v>
      </c>
      <c r="T7886">
        <v>41</v>
      </c>
      <c r="U7886" s="26" t="str">
        <f t="shared" si="295"/>
        <v>2025.002G.Monodnaviria_reorg_4nr.zip</v>
      </c>
    </row>
    <row r="7887" spans="1:21">
      <c r="A7887">
        <v>7886</v>
      </c>
      <c r="B7887" s="27" t="s">
        <v>20779</v>
      </c>
      <c r="D7887" s="27" t="s">
        <v>1826</v>
      </c>
      <c r="F7887" s="27" t="s">
        <v>1844</v>
      </c>
      <c r="H7887" s="27" t="s">
        <v>1845</v>
      </c>
      <c r="J7887" s="27" t="s">
        <v>12453</v>
      </c>
      <c r="L7887" s="27" t="s">
        <v>12454</v>
      </c>
      <c r="N7887" s="27" t="s">
        <v>12486</v>
      </c>
      <c r="P7887" s="27" t="s">
        <v>12487</v>
      </c>
      <c r="Q7887" s="26" t="str">
        <f>HYPERLINK("https://ictv.global/taxonomy/taxondetails?taxnode_id=202518729&amp;ictv_id=ICTV202318729","ICTV202318729")</f>
        <v>ICTV202318729</v>
      </c>
      <c r="R7887" t="s">
        <v>660</v>
      </c>
      <c r="S7887" t="s">
        <v>824</v>
      </c>
      <c r="T7887">
        <v>41</v>
      </c>
      <c r="U7887" s="26" t="str">
        <f t="shared" si="295"/>
        <v>2025.002G.Monodnaviria_reorg_4nr.zip</v>
      </c>
    </row>
    <row r="7888" spans="1:21">
      <c r="A7888">
        <v>7887</v>
      </c>
      <c r="B7888" s="27" t="s">
        <v>20779</v>
      </c>
      <c r="D7888" s="27" t="s">
        <v>1826</v>
      </c>
      <c r="F7888" s="27" t="s">
        <v>1844</v>
      </c>
      <c r="H7888" s="27" t="s">
        <v>1845</v>
      </c>
      <c r="J7888" s="27" t="s">
        <v>12453</v>
      </c>
      <c r="L7888" s="27" t="s">
        <v>12454</v>
      </c>
      <c r="N7888" s="27" t="s">
        <v>12488</v>
      </c>
      <c r="P7888" s="27" t="s">
        <v>12489</v>
      </c>
      <c r="Q7888" s="26" t="str">
        <f>HYPERLINK("https://ictv.global/taxonomy/taxondetails?taxnode_id=202518730&amp;ictv_id=ICTV202318730","ICTV202318730")</f>
        <v>ICTV202318730</v>
      </c>
      <c r="R7888" t="s">
        <v>660</v>
      </c>
      <c r="S7888" t="s">
        <v>824</v>
      </c>
      <c r="T7888">
        <v>41</v>
      </c>
      <c r="U7888" s="26" t="str">
        <f t="shared" si="295"/>
        <v>2025.002G.Monodnaviria_reorg_4nr.zip</v>
      </c>
    </row>
    <row r="7889" spans="1:21">
      <c r="A7889">
        <v>7888</v>
      </c>
      <c r="B7889" s="27" t="s">
        <v>20779</v>
      </c>
      <c r="D7889" s="27" t="s">
        <v>1826</v>
      </c>
      <c r="F7889" s="27" t="s">
        <v>1844</v>
      </c>
      <c r="H7889" s="27" t="s">
        <v>1845</v>
      </c>
      <c r="J7889" s="27" t="s">
        <v>12453</v>
      </c>
      <c r="L7889" s="27" t="s">
        <v>12454</v>
      </c>
      <c r="N7889" s="27" t="s">
        <v>12488</v>
      </c>
      <c r="P7889" s="27" t="s">
        <v>12490</v>
      </c>
      <c r="Q7889" s="26" t="str">
        <f>HYPERLINK("https://ictv.global/taxonomy/taxondetails?taxnode_id=202518731&amp;ictv_id=ICTV202318731","ICTV202318731")</f>
        <v>ICTV202318731</v>
      </c>
      <c r="R7889" t="s">
        <v>660</v>
      </c>
      <c r="S7889" t="s">
        <v>824</v>
      </c>
      <c r="T7889">
        <v>41</v>
      </c>
      <c r="U7889" s="26" t="str">
        <f t="shared" si="295"/>
        <v>2025.002G.Monodnaviria_reorg_4nr.zip</v>
      </c>
    </row>
    <row r="7890" spans="1:21">
      <c r="A7890">
        <v>7889</v>
      </c>
      <c r="B7890" s="27" t="s">
        <v>20779</v>
      </c>
      <c r="D7890" s="27" t="s">
        <v>1826</v>
      </c>
      <c r="F7890" s="27" t="s">
        <v>1844</v>
      </c>
      <c r="H7890" s="27" t="s">
        <v>1845</v>
      </c>
      <c r="J7890" s="27" t="s">
        <v>12453</v>
      </c>
      <c r="L7890" s="27" t="s">
        <v>12454</v>
      </c>
      <c r="N7890" s="27" t="s">
        <v>12491</v>
      </c>
      <c r="P7890" s="27" t="s">
        <v>12492</v>
      </c>
      <c r="Q7890" s="26" t="str">
        <f>HYPERLINK("https://ictv.global/taxonomy/taxondetails?taxnode_id=202518732&amp;ictv_id=ICTV202318732","ICTV202318732")</f>
        <v>ICTV202318732</v>
      </c>
      <c r="R7890" t="s">
        <v>660</v>
      </c>
      <c r="S7890" t="s">
        <v>824</v>
      </c>
      <c r="T7890">
        <v>41</v>
      </c>
      <c r="U7890" s="26" t="str">
        <f t="shared" si="295"/>
        <v>2025.002G.Monodnaviria_reorg_4nr.zip</v>
      </c>
    </row>
    <row r="7891" spans="1:21">
      <c r="A7891">
        <v>7890</v>
      </c>
      <c r="B7891" s="27" t="s">
        <v>20779</v>
      </c>
      <c r="D7891" s="27" t="s">
        <v>1826</v>
      </c>
      <c r="F7891" s="27" t="s">
        <v>1844</v>
      </c>
      <c r="H7891" s="27" t="s">
        <v>1845</v>
      </c>
      <c r="J7891" s="27" t="s">
        <v>12453</v>
      </c>
      <c r="L7891" s="27" t="s">
        <v>12454</v>
      </c>
      <c r="N7891" s="27" t="s">
        <v>12493</v>
      </c>
      <c r="P7891" s="27" t="s">
        <v>12494</v>
      </c>
      <c r="Q7891" s="26" t="str">
        <f>HYPERLINK("https://ictv.global/taxonomy/taxondetails?taxnode_id=202518733&amp;ictv_id=ICTV202318733","ICTV202318733")</f>
        <v>ICTV202318733</v>
      </c>
      <c r="R7891" t="s">
        <v>660</v>
      </c>
      <c r="S7891" t="s">
        <v>824</v>
      </c>
      <c r="T7891">
        <v>41</v>
      </c>
      <c r="U7891" s="26" t="str">
        <f t="shared" si="295"/>
        <v>2025.002G.Monodnaviria_reorg_4nr.zip</v>
      </c>
    </row>
    <row r="7892" spans="1:21">
      <c r="A7892">
        <v>7891</v>
      </c>
      <c r="B7892" s="27" t="s">
        <v>20779</v>
      </c>
      <c r="D7892" s="27" t="s">
        <v>1826</v>
      </c>
      <c r="F7892" s="27" t="s">
        <v>1844</v>
      </c>
      <c r="H7892" s="27" t="s">
        <v>1845</v>
      </c>
      <c r="J7892" s="27" t="s">
        <v>12453</v>
      </c>
      <c r="L7892" s="27" t="s">
        <v>12454</v>
      </c>
      <c r="N7892" s="27" t="s">
        <v>12495</v>
      </c>
      <c r="P7892" s="27" t="s">
        <v>12496</v>
      </c>
      <c r="Q7892" s="26" t="str">
        <f>HYPERLINK("https://ictv.global/taxonomy/taxondetails?taxnode_id=202518734&amp;ictv_id=ICTV202318734","ICTV202318734")</f>
        <v>ICTV202318734</v>
      </c>
      <c r="R7892" t="s">
        <v>660</v>
      </c>
      <c r="S7892" t="s">
        <v>824</v>
      </c>
      <c r="T7892">
        <v>41</v>
      </c>
      <c r="U7892" s="26" t="str">
        <f t="shared" si="295"/>
        <v>2025.002G.Monodnaviria_reorg_4nr.zip</v>
      </c>
    </row>
    <row r="7893" spans="1:21">
      <c r="A7893">
        <v>7892</v>
      </c>
      <c r="B7893" s="27" t="s">
        <v>20779</v>
      </c>
      <c r="D7893" s="27" t="s">
        <v>1826</v>
      </c>
      <c r="F7893" s="27" t="s">
        <v>1844</v>
      </c>
      <c r="H7893" s="27" t="s">
        <v>1845</v>
      </c>
      <c r="J7893" s="27" t="s">
        <v>12453</v>
      </c>
      <c r="L7893" s="27" t="s">
        <v>12454</v>
      </c>
      <c r="N7893" s="27" t="s">
        <v>12497</v>
      </c>
      <c r="P7893" s="27" t="s">
        <v>12498</v>
      </c>
      <c r="Q7893" s="26" t="str">
        <f>HYPERLINK("https://ictv.global/taxonomy/taxondetails?taxnode_id=202518735&amp;ictv_id=ICTV202318735","ICTV202318735")</f>
        <v>ICTV202318735</v>
      </c>
      <c r="R7893" t="s">
        <v>660</v>
      </c>
      <c r="S7893" t="s">
        <v>824</v>
      </c>
      <c r="T7893">
        <v>41</v>
      </c>
      <c r="U7893" s="26" t="str">
        <f t="shared" si="295"/>
        <v>2025.002G.Monodnaviria_reorg_4nr.zip</v>
      </c>
    </row>
    <row r="7894" spans="1:21">
      <c r="A7894">
        <v>7893</v>
      </c>
      <c r="B7894" s="27" t="s">
        <v>20779</v>
      </c>
      <c r="D7894" s="27" t="s">
        <v>1826</v>
      </c>
      <c r="F7894" s="27" t="s">
        <v>1844</v>
      </c>
      <c r="H7894" s="27" t="s">
        <v>1845</v>
      </c>
      <c r="J7894" s="27" t="s">
        <v>12453</v>
      </c>
      <c r="L7894" s="27" t="s">
        <v>12454</v>
      </c>
      <c r="N7894" s="27" t="s">
        <v>12499</v>
      </c>
      <c r="P7894" s="27" t="s">
        <v>12500</v>
      </c>
      <c r="Q7894" s="26" t="str">
        <f>HYPERLINK("https://ictv.global/taxonomy/taxondetails?taxnode_id=202518736&amp;ictv_id=ICTV202318736","ICTV202318736")</f>
        <v>ICTV202318736</v>
      </c>
      <c r="R7894" t="s">
        <v>660</v>
      </c>
      <c r="S7894" t="s">
        <v>824</v>
      </c>
      <c r="T7894">
        <v>41</v>
      </c>
      <c r="U7894" s="26" t="str">
        <f t="shared" si="295"/>
        <v>2025.002G.Monodnaviria_reorg_4nr.zip</v>
      </c>
    </row>
    <row r="7895" spans="1:21">
      <c r="A7895">
        <v>7894</v>
      </c>
      <c r="B7895" s="27" t="s">
        <v>20779</v>
      </c>
      <c r="D7895" s="27" t="s">
        <v>1826</v>
      </c>
      <c r="F7895" s="27" t="s">
        <v>1844</v>
      </c>
      <c r="H7895" s="27" t="s">
        <v>1845</v>
      </c>
      <c r="J7895" s="27" t="s">
        <v>12453</v>
      </c>
      <c r="L7895" s="27" t="s">
        <v>12454</v>
      </c>
      <c r="N7895" s="27" t="s">
        <v>12501</v>
      </c>
      <c r="P7895" s="27" t="s">
        <v>12502</v>
      </c>
      <c r="Q7895" s="26" t="str">
        <f>HYPERLINK("https://ictv.global/taxonomy/taxondetails?taxnode_id=202518737&amp;ictv_id=ICTV202318737","ICTV202318737")</f>
        <v>ICTV202318737</v>
      </c>
      <c r="R7895" t="s">
        <v>660</v>
      </c>
      <c r="S7895" t="s">
        <v>824</v>
      </c>
      <c r="T7895">
        <v>41</v>
      </c>
      <c r="U7895" s="26" t="str">
        <f t="shared" si="295"/>
        <v>2025.002G.Monodnaviria_reorg_4nr.zip</v>
      </c>
    </row>
    <row r="7896" spans="1:21">
      <c r="A7896">
        <v>7895</v>
      </c>
      <c r="B7896" s="27" t="s">
        <v>20779</v>
      </c>
      <c r="D7896" s="27" t="s">
        <v>1826</v>
      </c>
      <c r="F7896" s="27" t="s">
        <v>1844</v>
      </c>
      <c r="H7896" s="27" t="s">
        <v>1845</v>
      </c>
      <c r="J7896" s="27" t="s">
        <v>12453</v>
      </c>
      <c r="L7896" s="27" t="s">
        <v>12454</v>
      </c>
      <c r="N7896" s="27" t="s">
        <v>12503</v>
      </c>
      <c r="P7896" s="27" t="s">
        <v>12504</v>
      </c>
      <c r="Q7896" s="26" t="str">
        <f>HYPERLINK("https://ictv.global/taxonomy/taxondetails?taxnode_id=202518738&amp;ictv_id=ICTV202318738","ICTV202318738")</f>
        <v>ICTV202318738</v>
      </c>
      <c r="R7896" t="s">
        <v>660</v>
      </c>
      <c r="S7896" t="s">
        <v>824</v>
      </c>
      <c r="T7896">
        <v>41</v>
      </c>
      <c r="U7896" s="26" t="str">
        <f t="shared" ref="U7896:U7959" si="296">HYPERLINK("https://ictv.global/ictv/proposals/2025.002G.Monodnaviria_reorg_4nr.zip","2025.002G.Monodnaviria_reorg_4nr.zip")</f>
        <v>2025.002G.Monodnaviria_reorg_4nr.zip</v>
      </c>
    </row>
    <row r="7897" spans="1:21">
      <c r="A7897">
        <v>7896</v>
      </c>
      <c r="B7897" s="27" t="s">
        <v>20779</v>
      </c>
      <c r="D7897" s="27" t="s">
        <v>1826</v>
      </c>
      <c r="F7897" s="27" t="s">
        <v>1844</v>
      </c>
      <c r="H7897" s="27" t="s">
        <v>1845</v>
      </c>
      <c r="J7897" s="27" t="s">
        <v>12453</v>
      </c>
      <c r="L7897" s="27" t="s">
        <v>12454</v>
      </c>
      <c r="N7897" s="27" t="s">
        <v>12503</v>
      </c>
      <c r="P7897" s="27" t="s">
        <v>12505</v>
      </c>
      <c r="Q7897" s="26" t="str">
        <f>HYPERLINK("https://ictv.global/taxonomy/taxondetails?taxnode_id=202518739&amp;ictv_id=ICTV202318739","ICTV202318739")</f>
        <v>ICTV202318739</v>
      </c>
      <c r="R7897" t="s">
        <v>660</v>
      </c>
      <c r="S7897" t="s">
        <v>824</v>
      </c>
      <c r="T7897">
        <v>41</v>
      </c>
      <c r="U7897" s="26" t="str">
        <f t="shared" si="296"/>
        <v>2025.002G.Monodnaviria_reorg_4nr.zip</v>
      </c>
    </row>
    <row r="7898" spans="1:21">
      <c r="A7898">
        <v>7897</v>
      </c>
      <c r="B7898" s="27" t="s">
        <v>20779</v>
      </c>
      <c r="D7898" s="27" t="s">
        <v>1826</v>
      </c>
      <c r="F7898" s="27" t="s">
        <v>1844</v>
      </c>
      <c r="H7898" s="27" t="s">
        <v>1845</v>
      </c>
      <c r="J7898" s="27" t="s">
        <v>12453</v>
      </c>
      <c r="L7898" s="27" t="s">
        <v>12454</v>
      </c>
      <c r="N7898" s="27" t="s">
        <v>12506</v>
      </c>
      <c r="P7898" s="27" t="s">
        <v>12507</v>
      </c>
      <c r="Q7898" s="26" t="str">
        <f>HYPERLINK("https://ictv.global/taxonomy/taxondetails?taxnode_id=202518740&amp;ictv_id=ICTV202318740","ICTV202318740")</f>
        <v>ICTV202318740</v>
      </c>
      <c r="R7898" t="s">
        <v>660</v>
      </c>
      <c r="S7898" t="s">
        <v>824</v>
      </c>
      <c r="T7898">
        <v>41</v>
      </c>
      <c r="U7898" s="26" t="str">
        <f t="shared" si="296"/>
        <v>2025.002G.Monodnaviria_reorg_4nr.zip</v>
      </c>
    </row>
    <row r="7899" spans="1:21">
      <c r="A7899">
        <v>7898</v>
      </c>
      <c r="B7899" s="27" t="s">
        <v>20779</v>
      </c>
      <c r="D7899" s="27" t="s">
        <v>1826</v>
      </c>
      <c r="F7899" s="27" t="s">
        <v>1844</v>
      </c>
      <c r="H7899" s="27" t="s">
        <v>1845</v>
      </c>
      <c r="J7899" s="27" t="s">
        <v>12453</v>
      </c>
      <c r="L7899" s="27" t="s">
        <v>12454</v>
      </c>
      <c r="N7899" s="27" t="s">
        <v>12508</v>
      </c>
      <c r="P7899" s="27" t="s">
        <v>12509</v>
      </c>
      <c r="Q7899" s="26" t="str">
        <f>HYPERLINK("https://ictv.global/taxonomy/taxondetails?taxnode_id=202518741&amp;ictv_id=ICTV202318741","ICTV202318741")</f>
        <v>ICTV202318741</v>
      </c>
      <c r="R7899" t="s">
        <v>660</v>
      </c>
      <c r="S7899" t="s">
        <v>824</v>
      </c>
      <c r="T7899">
        <v>41</v>
      </c>
      <c r="U7899" s="26" t="str">
        <f t="shared" si="296"/>
        <v>2025.002G.Monodnaviria_reorg_4nr.zip</v>
      </c>
    </row>
    <row r="7900" spans="1:21">
      <c r="A7900">
        <v>7899</v>
      </c>
      <c r="B7900" s="27" t="s">
        <v>20779</v>
      </c>
      <c r="D7900" s="27" t="s">
        <v>1826</v>
      </c>
      <c r="F7900" s="27" t="s">
        <v>1844</v>
      </c>
      <c r="H7900" s="27" t="s">
        <v>1845</v>
      </c>
      <c r="J7900" s="27" t="s">
        <v>12453</v>
      </c>
      <c r="L7900" s="27" t="s">
        <v>12454</v>
      </c>
      <c r="N7900" s="27" t="s">
        <v>12510</v>
      </c>
      <c r="P7900" s="27" t="s">
        <v>12511</v>
      </c>
      <c r="Q7900" s="26" t="str">
        <f>HYPERLINK("https://ictv.global/taxonomy/taxondetails?taxnode_id=202518742&amp;ictv_id=ICTV202318742","ICTV202318742")</f>
        <v>ICTV202318742</v>
      </c>
      <c r="R7900" t="s">
        <v>660</v>
      </c>
      <c r="S7900" t="s">
        <v>824</v>
      </c>
      <c r="T7900">
        <v>41</v>
      </c>
      <c r="U7900" s="26" t="str">
        <f t="shared" si="296"/>
        <v>2025.002G.Monodnaviria_reorg_4nr.zip</v>
      </c>
    </row>
    <row r="7901" spans="1:21">
      <c r="A7901">
        <v>7900</v>
      </c>
      <c r="B7901" s="27" t="s">
        <v>20779</v>
      </c>
      <c r="D7901" s="27" t="s">
        <v>1826</v>
      </c>
      <c r="F7901" s="27" t="s">
        <v>1844</v>
      </c>
      <c r="H7901" s="27" t="s">
        <v>1845</v>
      </c>
      <c r="J7901" s="27" t="s">
        <v>12453</v>
      </c>
      <c r="L7901" s="27" t="s">
        <v>12454</v>
      </c>
      <c r="N7901" s="27" t="s">
        <v>12510</v>
      </c>
      <c r="P7901" s="27" t="s">
        <v>12512</v>
      </c>
      <c r="Q7901" s="26" t="str">
        <f>HYPERLINK("https://ictv.global/taxonomy/taxondetails?taxnode_id=202518743&amp;ictv_id=ICTV202318743","ICTV202318743")</f>
        <v>ICTV202318743</v>
      </c>
      <c r="R7901" t="s">
        <v>660</v>
      </c>
      <c r="S7901" t="s">
        <v>824</v>
      </c>
      <c r="T7901">
        <v>41</v>
      </c>
      <c r="U7901" s="26" t="str">
        <f t="shared" si="296"/>
        <v>2025.002G.Monodnaviria_reorg_4nr.zip</v>
      </c>
    </row>
    <row r="7902" spans="1:21">
      <c r="A7902">
        <v>7901</v>
      </c>
      <c r="B7902" s="27" t="s">
        <v>20779</v>
      </c>
      <c r="D7902" s="27" t="s">
        <v>1826</v>
      </c>
      <c r="F7902" s="27" t="s">
        <v>1844</v>
      </c>
      <c r="H7902" s="27" t="s">
        <v>1845</v>
      </c>
      <c r="J7902" s="27" t="s">
        <v>12453</v>
      </c>
      <c r="L7902" s="27" t="s">
        <v>12454</v>
      </c>
      <c r="N7902" s="27" t="s">
        <v>12513</v>
      </c>
      <c r="P7902" s="27" t="s">
        <v>12514</v>
      </c>
      <c r="Q7902" s="26" t="str">
        <f>HYPERLINK("https://ictv.global/taxonomy/taxondetails?taxnode_id=202518744&amp;ictv_id=ICTV202318744","ICTV202318744")</f>
        <v>ICTV202318744</v>
      </c>
      <c r="R7902" t="s">
        <v>660</v>
      </c>
      <c r="S7902" t="s">
        <v>824</v>
      </c>
      <c r="T7902">
        <v>41</v>
      </c>
      <c r="U7902" s="26" t="str">
        <f t="shared" si="296"/>
        <v>2025.002G.Monodnaviria_reorg_4nr.zip</v>
      </c>
    </row>
    <row r="7903" spans="1:21">
      <c r="A7903">
        <v>7902</v>
      </c>
      <c r="B7903" s="27" t="s">
        <v>20779</v>
      </c>
      <c r="D7903" s="27" t="s">
        <v>1826</v>
      </c>
      <c r="F7903" s="27" t="s">
        <v>1844</v>
      </c>
      <c r="H7903" s="27" t="s">
        <v>1845</v>
      </c>
      <c r="J7903" s="27" t="s">
        <v>12453</v>
      </c>
      <c r="L7903" s="27" t="s">
        <v>12454</v>
      </c>
      <c r="N7903" s="27" t="s">
        <v>12515</v>
      </c>
      <c r="P7903" s="27" t="s">
        <v>12516</v>
      </c>
      <c r="Q7903" s="26" t="str">
        <f>HYPERLINK("https://ictv.global/taxonomy/taxondetails?taxnode_id=202518745&amp;ictv_id=ICTV202318745","ICTV202318745")</f>
        <v>ICTV202318745</v>
      </c>
      <c r="R7903" t="s">
        <v>660</v>
      </c>
      <c r="S7903" t="s">
        <v>824</v>
      </c>
      <c r="T7903">
        <v>41</v>
      </c>
      <c r="U7903" s="26" t="str">
        <f t="shared" si="296"/>
        <v>2025.002G.Monodnaviria_reorg_4nr.zip</v>
      </c>
    </row>
    <row r="7904" spans="1:21">
      <c r="A7904">
        <v>7903</v>
      </c>
      <c r="B7904" s="27" t="s">
        <v>20779</v>
      </c>
      <c r="D7904" s="27" t="s">
        <v>1826</v>
      </c>
      <c r="F7904" s="27" t="s">
        <v>1844</v>
      </c>
      <c r="H7904" s="27" t="s">
        <v>1845</v>
      </c>
      <c r="J7904" s="27" t="s">
        <v>12453</v>
      </c>
      <c r="L7904" s="27" t="s">
        <v>12454</v>
      </c>
      <c r="N7904" s="27" t="s">
        <v>12515</v>
      </c>
      <c r="P7904" s="27" t="s">
        <v>12517</v>
      </c>
      <c r="Q7904" s="26" t="str">
        <f>HYPERLINK("https://ictv.global/taxonomy/taxondetails?taxnode_id=202518746&amp;ictv_id=ICTV202318746","ICTV202318746")</f>
        <v>ICTV202318746</v>
      </c>
      <c r="R7904" t="s">
        <v>660</v>
      </c>
      <c r="S7904" t="s">
        <v>824</v>
      </c>
      <c r="T7904">
        <v>41</v>
      </c>
      <c r="U7904" s="26" t="str">
        <f t="shared" si="296"/>
        <v>2025.002G.Monodnaviria_reorg_4nr.zip</v>
      </c>
    </row>
    <row r="7905" spans="1:21">
      <c r="A7905">
        <v>7904</v>
      </c>
      <c r="B7905" s="27" t="s">
        <v>20779</v>
      </c>
      <c r="D7905" s="27" t="s">
        <v>1826</v>
      </c>
      <c r="F7905" s="27" t="s">
        <v>1844</v>
      </c>
      <c r="H7905" s="27" t="s">
        <v>1845</v>
      </c>
      <c r="J7905" s="27" t="s">
        <v>12453</v>
      </c>
      <c r="L7905" s="27" t="s">
        <v>12454</v>
      </c>
      <c r="N7905" s="27" t="s">
        <v>12518</v>
      </c>
      <c r="P7905" s="27" t="s">
        <v>12519</v>
      </c>
      <c r="Q7905" s="26" t="str">
        <f>HYPERLINK("https://ictv.global/taxonomy/taxondetails?taxnode_id=202518747&amp;ictv_id=ICTV202318747","ICTV202318747")</f>
        <v>ICTV202318747</v>
      </c>
      <c r="R7905" t="s">
        <v>660</v>
      </c>
      <c r="S7905" t="s">
        <v>824</v>
      </c>
      <c r="T7905">
        <v>41</v>
      </c>
      <c r="U7905" s="26" t="str">
        <f t="shared" si="296"/>
        <v>2025.002G.Monodnaviria_reorg_4nr.zip</v>
      </c>
    </row>
    <row r="7906" spans="1:21">
      <c r="A7906">
        <v>7905</v>
      </c>
      <c r="B7906" s="27" t="s">
        <v>20779</v>
      </c>
      <c r="D7906" s="27" t="s">
        <v>1826</v>
      </c>
      <c r="F7906" s="27" t="s">
        <v>1844</v>
      </c>
      <c r="H7906" s="27" t="s">
        <v>1845</v>
      </c>
      <c r="J7906" s="27" t="s">
        <v>12453</v>
      </c>
      <c r="L7906" s="27" t="s">
        <v>12454</v>
      </c>
      <c r="N7906" s="27" t="s">
        <v>12520</v>
      </c>
      <c r="P7906" s="27" t="s">
        <v>12521</v>
      </c>
      <c r="Q7906" s="26" t="str">
        <f>HYPERLINK("https://ictv.global/taxonomy/taxondetails?taxnode_id=202518748&amp;ictv_id=ICTV202318748","ICTV202318748")</f>
        <v>ICTV202318748</v>
      </c>
      <c r="R7906" t="s">
        <v>660</v>
      </c>
      <c r="S7906" t="s">
        <v>824</v>
      </c>
      <c r="T7906">
        <v>41</v>
      </c>
      <c r="U7906" s="26" t="str">
        <f t="shared" si="296"/>
        <v>2025.002G.Monodnaviria_reorg_4nr.zip</v>
      </c>
    </row>
    <row r="7907" spans="1:21">
      <c r="A7907">
        <v>7906</v>
      </c>
      <c r="B7907" s="27" t="s">
        <v>20779</v>
      </c>
      <c r="D7907" s="27" t="s">
        <v>1826</v>
      </c>
      <c r="F7907" s="27" t="s">
        <v>1844</v>
      </c>
      <c r="H7907" s="27" t="s">
        <v>1845</v>
      </c>
      <c r="J7907" s="27" t="s">
        <v>12453</v>
      </c>
      <c r="L7907" s="27" t="s">
        <v>12454</v>
      </c>
      <c r="N7907" s="27" t="s">
        <v>12522</v>
      </c>
      <c r="P7907" s="27" t="s">
        <v>12523</v>
      </c>
      <c r="Q7907" s="26" t="str">
        <f>HYPERLINK("https://ictv.global/taxonomy/taxondetails?taxnode_id=202518749&amp;ictv_id=ICTV202318749","ICTV202318749")</f>
        <v>ICTV202318749</v>
      </c>
      <c r="R7907" t="s">
        <v>660</v>
      </c>
      <c r="S7907" t="s">
        <v>824</v>
      </c>
      <c r="T7907">
        <v>41</v>
      </c>
      <c r="U7907" s="26" t="str">
        <f t="shared" si="296"/>
        <v>2025.002G.Monodnaviria_reorg_4nr.zip</v>
      </c>
    </row>
    <row r="7908" spans="1:21">
      <c r="A7908">
        <v>7907</v>
      </c>
      <c r="B7908" s="27" t="s">
        <v>20779</v>
      </c>
      <c r="D7908" s="27" t="s">
        <v>1826</v>
      </c>
      <c r="F7908" s="27" t="s">
        <v>1844</v>
      </c>
      <c r="H7908" s="27" t="s">
        <v>1845</v>
      </c>
      <c r="J7908" s="27" t="s">
        <v>12453</v>
      </c>
      <c r="L7908" s="27" t="s">
        <v>12454</v>
      </c>
      <c r="N7908" s="27" t="s">
        <v>12522</v>
      </c>
      <c r="P7908" s="27" t="s">
        <v>12524</v>
      </c>
      <c r="Q7908" s="26" t="str">
        <f>HYPERLINK("https://ictv.global/taxonomy/taxondetails?taxnode_id=202518750&amp;ictv_id=ICTV202318750","ICTV202318750")</f>
        <v>ICTV202318750</v>
      </c>
      <c r="R7908" t="s">
        <v>660</v>
      </c>
      <c r="S7908" t="s">
        <v>824</v>
      </c>
      <c r="T7908">
        <v>41</v>
      </c>
      <c r="U7908" s="26" t="str">
        <f t="shared" si="296"/>
        <v>2025.002G.Monodnaviria_reorg_4nr.zip</v>
      </c>
    </row>
    <row r="7909" spans="1:21">
      <c r="A7909">
        <v>7908</v>
      </c>
      <c r="B7909" s="27" t="s">
        <v>20779</v>
      </c>
      <c r="D7909" s="27" t="s">
        <v>1826</v>
      </c>
      <c r="F7909" s="27" t="s">
        <v>1844</v>
      </c>
      <c r="H7909" s="27" t="s">
        <v>1845</v>
      </c>
      <c r="J7909" s="27" t="s">
        <v>12453</v>
      </c>
      <c r="L7909" s="27" t="s">
        <v>12454</v>
      </c>
      <c r="N7909" s="27" t="s">
        <v>12525</v>
      </c>
      <c r="P7909" s="27" t="s">
        <v>12526</v>
      </c>
      <c r="Q7909" s="26" t="str">
        <f>HYPERLINK("https://ictv.global/taxonomy/taxondetails?taxnode_id=202518751&amp;ictv_id=ICTV202318751","ICTV202318751")</f>
        <v>ICTV202318751</v>
      </c>
      <c r="R7909" t="s">
        <v>660</v>
      </c>
      <c r="S7909" t="s">
        <v>824</v>
      </c>
      <c r="T7909">
        <v>41</v>
      </c>
      <c r="U7909" s="26" t="str">
        <f t="shared" si="296"/>
        <v>2025.002G.Monodnaviria_reorg_4nr.zip</v>
      </c>
    </row>
    <row r="7910" spans="1:21">
      <c r="A7910">
        <v>7909</v>
      </c>
      <c r="B7910" s="27" t="s">
        <v>20779</v>
      </c>
      <c r="D7910" s="27" t="s">
        <v>1826</v>
      </c>
      <c r="F7910" s="27" t="s">
        <v>1844</v>
      </c>
      <c r="H7910" s="27" t="s">
        <v>1845</v>
      </c>
      <c r="J7910" s="27" t="s">
        <v>12453</v>
      </c>
      <c r="L7910" s="27" t="s">
        <v>12454</v>
      </c>
      <c r="N7910" s="27" t="s">
        <v>12527</v>
      </c>
      <c r="P7910" s="27" t="s">
        <v>12528</v>
      </c>
      <c r="Q7910" s="26" t="str">
        <f>HYPERLINK("https://ictv.global/taxonomy/taxondetails?taxnode_id=202518752&amp;ictv_id=ICTV202318752","ICTV202318752")</f>
        <v>ICTV202318752</v>
      </c>
      <c r="R7910" t="s">
        <v>660</v>
      </c>
      <c r="S7910" t="s">
        <v>824</v>
      </c>
      <c r="T7910">
        <v>41</v>
      </c>
      <c r="U7910" s="26" t="str">
        <f t="shared" si="296"/>
        <v>2025.002G.Monodnaviria_reorg_4nr.zip</v>
      </c>
    </row>
    <row r="7911" spans="1:21">
      <c r="A7911">
        <v>7910</v>
      </c>
      <c r="B7911" s="27" t="s">
        <v>20779</v>
      </c>
      <c r="D7911" s="27" t="s">
        <v>1826</v>
      </c>
      <c r="F7911" s="27" t="s">
        <v>1844</v>
      </c>
      <c r="H7911" s="27" t="s">
        <v>1845</v>
      </c>
      <c r="J7911" s="27" t="s">
        <v>12453</v>
      </c>
      <c r="L7911" s="27" t="s">
        <v>12454</v>
      </c>
      <c r="N7911" s="27" t="s">
        <v>12527</v>
      </c>
      <c r="P7911" s="27" t="s">
        <v>12529</v>
      </c>
      <c r="Q7911" s="26" t="str">
        <f>HYPERLINK("https://ictv.global/taxonomy/taxondetails?taxnode_id=202518753&amp;ictv_id=ICTV202318753","ICTV202318753")</f>
        <v>ICTV202318753</v>
      </c>
      <c r="R7911" t="s">
        <v>660</v>
      </c>
      <c r="S7911" t="s">
        <v>824</v>
      </c>
      <c r="T7911">
        <v>41</v>
      </c>
      <c r="U7911" s="26" t="str">
        <f t="shared" si="296"/>
        <v>2025.002G.Monodnaviria_reorg_4nr.zip</v>
      </c>
    </row>
    <row r="7912" spans="1:21">
      <c r="A7912">
        <v>7911</v>
      </c>
      <c r="B7912" s="27" t="s">
        <v>20779</v>
      </c>
      <c r="D7912" s="27" t="s">
        <v>1826</v>
      </c>
      <c r="F7912" s="27" t="s">
        <v>1844</v>
      </c>
      <c r="H7912" s="27" t="s">
        <v>1845</v>
      </c>
      <c r="J7912" s="27" t="s">
        <v>12453</v>
      </c>
      <c r="L7912" s="27" t="s">
        <v>12454</v>
      </c>
      <c r="N7912" s="27" t="s">
        <v>12527</v>
      </c>
      <c r="P7912" s="27" t="s">
        <v>12530</v>
      </c>
      <c r="Q7912" s="26" t="str">
        <f>HYPERLINK("https://ictv.global/taxonomy/taxondetails?taxnode_id=202518754&amp;ictv_id=ICTV202318754","ICTV202318754")</f>
        <v>ICTV202318754</v>
      </c>
      <c r="R7912" t="s">
        <v>660</v>
      </c>
      <c r="S7912" t="s">
        <v>824</v>
      </c>
      <c r="T7912">
        <v>41</v>
      </c>
      <c r="U7912" s="26" t="str">
        <f t="shared" si="296"/>
        <v>2025.002G.Monodnaviria_reorg_4nr.zip</v>
      </c>
    </row>
    <row r="7913" spans="1:21">
      <c r="A7913">
        <v>7912</v>
      </c>
      <c r="B7913" s="27" t="s">
        <v>20779</v>
      </c>
      <c r="D7913" s="27" t="s">
        <v>1826</v>
      </c>
      <c r="F7913" s="27" t="s">
        <v>1844</v>
      </c>
      <c r="H7913" s="27" t="s">
        <v>1845</v>
      </c>
      <c r="J7913" s="27" t="s">
        <v>12453</v>
      </c>
      <c r="L7913" s="27" t="s">
        <v>12454</v>
      </c>
      <c r="N7913" s="27" t="s">
        <v>12527</v>
      </c>
      <c r="P7913" s="27" t="s">
        <v>12531</v>
      </c>
      <c r="Q7913" s="26" t="str">
        <f>HYPERLINK("https://ictv.global/taxonomy/taxondetails?taxnode_id=202518755&amp;ictv_id=ICTV202318755","ICTV202318755")</f>
        <v>ICTV202318755</v>
      </c>
      <c r="R7913" t="s">
        <v>660</v>
      </c>
      <c r="S7913" t="s">
        <v>824</v>
      </c>
      <c r="T7913">
        <v>41</v>
      </c>
      <c r="U7913" s="26" t="str">
        <f t="shared" si="296"/>
        <v>2025.002G.Monodnaviria_reorg_4nr.zip</v>
      </c>
    </row>
    <row r="7914" spans="1:21">
      <c r="A7914">
        <v>7913</v>
      </c>
      <c r="B7914" s="27" t="s">
        <v>20779</v>
      </c>
      <c r="D7914" s="27" t="s">
        <v>1826</v>
      </c>
      <c r="F7914" s="27" t="s">
        <v>1844</v>
      </c>
      <c r="H7914" s="27" t="s">
        <v>1845</v>
      </c>
      <c r="J7914" s="27" t="s">
        <v>12453</v>
      </c>
      <c r="L7914" s="27" t="s">
        <v>12454</v>
      </c>
      <c r="N7914" s="27" t="s">
        <v>12527</v>
      </c>
      <c r="P7914" s="27" t="s">
        <v>12532</v>
      </c>
      <c r="Q7914" s="26" t="str">
        <f>HYPERLINK("https://ictv.global/taxonomy/taxondetails?taxnode_id=202518756&amp;ictv_id=ICTV202318756","ICTV202318756")</f>
        <v>ICTV202318756</v>
      </c>
      <c r="R7914" t="s">
        <v>660</v>
      </c>
      <c r="S7914" t="s">
        <v>824</v>
      </c>
      <c r="T7914">
        <v>41</v>
      </c>
      <c r="U7914" s="26" t="str">
        <f t="shared" si="296"/>
        <v>2025.002G.Monodnaviria_reorg_4nr.zip</v>
      </c>
    </row>
    <row r="7915" spans="1:21">
      <c r="A7915">
        <v>7914</v>
      </c>
      <c r="B7915" s="27" t="s">
        <v>20779</v>
      </c>
      <c r="D7915" s="27" t="s">
        <v>1826</v>
      </c>
      <c r="F7915" s="27" t="s">
        <v>1844</v>
      </c>
      <c r="H7915" s="27" t="s">
        <v>1845</v>
      </c>
      <c r="J7915" s="27" t="s">
        <v>12453</v>
      </c>
      <c r="L7915" s="27" t="s">
        <v>12454</v>
      </c>
      <c r="N7915" s="27" t="s">
        <v>12527</v>
      </c>
      <c r="P7915" s="27" t="s">
        <v>12533</v>
      </c>
      <c r="Q7915" s="26" t="str">
        <f>HYPERLINK("https://ictv.global/taxonomy/taxondetails?taxnode_id=202518757&amp;ictv_id=ICTV202318757","ICTV202318757")</f>
        <v>ICTV202318757</v>
      </c>
      <c r="R7915" t="s">
        <v>660</v>
      </c>
      <c r="S7915" t="s">
        <v>824</v>
      </c>
      <c r="T7915">
        <v>41</v>
      </c>
      <c r="U7915" s="26" t="str">
        <f t="shared" si="296"/>
        <v>2025.002G.Monodnaviria_reorg_4nr.zip</v>
      </c>
    </row>
    <row r="7916" spans="1:21">
      <c r="A7916">
        <v>7915</v>
      </c>
      <c r="B7916" s="27" t="s">
        <v>20779</v>
      </c>
      <c r="D7916" s="27" t="s">
        <v>1826</v>
      </c>
      <c r="F7916" s="27" t="s">
        <v>1844</v>
      </c>
      <c r="H7916" s="27" t="s">
        <v>1845</v>
      </c>
      <c r="J7916" s="27" t="s">
        <v>12453</v>
      </c>
      <c r="L7916" s="27" t="s">
        <v>12454</v>
      </c>
      <c r="N7916" s="27" t="s">
        <v>12527</v>
      </c>
      <c r="P7916" s="27" t="s">
        <v>12534</v>
      </c>
      <c r="Q7916" s="26" t="str">
        <f>HYPERLINK("https://ictv.global/taxonomy/taxondetails?taxnode_id=202518758&amp;ictv_id=ICTV202318758","ICTV202318758")</f>
        <v>ICTV202318758</v>
      </c>
      <c r="R7916" t="s">
        <v>660</v>
      </c>
      <c r="S7916" t="s">
        <v>824</v>
      </c>
      <c r="T7916">
        <v>41</v>
      </c>
      <c r="U7916" s="26" t="str">
        <f t="shared" si="296"/>
        <v>2025.002G.Monodnaviria_reorg_4nr.zip</v>
      </c>
    </row>
    <row r="7917" spans="1:21">
      <c r="A7917">
        <v>7916</v>
      </c>
      <c r="B7917" s="27" t="s">
        <v>20779</v>
      </c>
      <c r="D7917" s="27" t="s">
        <v>1826</v>
      </c>
      <c r="F7917" s="27" t="s">
        <v>1844</v>
      </c>
      <c r="H7917" s="27" t="s">
        <v>1845</v>
      </c>
      <c r="J7917" s="27" t="s">
        <v>12453</v>
      </c>
      <c r="L7917" s="27" t="s">
        <v>12454</v>
      </c>
      <c r="N7917" s="27" t="s">
        <v>12535</v>
      </c>
      <c r="P7917" s="27" t="s">
        <v>12536</v>
      </c>
      <c r="Q7917" s="26" t="str">
        <f>HYPERLINK("https://ictv.global/taxonomy/taxondetails?taxnode_id=202518759&amp;ictv_id=ICTV202318759","ICTV202318759")</f>
        <v>ICTV202318759</v>
      </c>
      <c r="R7917" t="s">
        <v>660</v>
      </c>
      <c r="S7917" t="s">
        <v>824</v>
      </c>
      <c r="T7917">
        <v>41</v>
      </c>
      <c r="U7917" s="26" t="str">
        <f t="shared" si="296"/>
        <v>2025.002G.Monodnaviria_reorg_4nr.zip</v>
      </c>
    </row>
    <row r="7918" spans="1:21">
      <c r="A7918">
        <v>7917</v>
      </c>
      <c r="B7918" s="27" t="s">
        <v>20779</v>
      </c>
      <c r="D7918" s="27" t="s">
        <v>1826</v>
      </c>
      <c r="F7918" s="27" t="s">
        <v>1844</v>
      </c>
      <c r="H7918" s="27" t="s">
        <v>1845</v>
      </c>
      <c r="J7918" s="27" t="s">
        <v>12453</v>
      </c>
      <c r="L7918" s="27" t="s">
        <v>12454</v>
      </c>
      <c r="N7918" s="27" t="s">
        <v>12535</v>
      </c>
      <c r="P7918" s="27" t="s">
        <v>12537</v>
      </c>
      <c r="Q7918" s="26" t="str">
        <f>HYPERLINK("https://ictv.global/taxonomy/taxondetails?taxnode_id=202518760&amp;ictv_id=ICTV202318760","ICTV202318760")</f>
        <v>ICTV202318760</v>
      </c>
      <c r="R7918" t="s">
        <v>660</v>
      </c>
      <c r="S7918" t="s">
        <v>824</v>
      </c>
      <c r="T7918">
        <v>41</v>
      </c>
      <c r="U7918" s="26" t="str">
        <f t="shared" si="296"/>
        <v>2025.002G.Monodnaviria_reorg_4nr.zip</v>
      </c>
    </row>
    <row r="7919" spans="1:21">
      <c r="A7919">
        <v>7918</v>
      </c>
      <c r="B7919" s="27" t="s">
        <v>20779</v>
      </c>
      <c r="D7919" s="27" t="s">
        <v>1826</v>
      </c>
      <c r="F7919" s="27" t="s">
        <v>1844</v>
      </c>
      <c r="H7919" s="27" t="s">
        <v>1845</v>
      </c>
      <c r="J7919" s="27" t="s">
        <v>12453</v>
      </c>
      <c r="L7919" s="27" t="s">
        <v>12454</v>
      </c>
      <c r="N7919" s="27" t="s">
        <v>12535</v>
      </c>
      <c r="P7919" s="27" t="s">
        <v>12538</v>
      </c>
      <c r="Q7919" s="26" t="str">
        <f>HYPERLINK("https://ictv.global/taxonomy/taxondetails?taxnode_id=202518761&amp;ictv_id=ICTV202318761","ICTV202318761")</f>
        <v>ICTV202318761</v>
      </c>
      <c r="R7919" t="s">
        <v>660</v>
      </c>
      <c r="S7919" t="s">
        <v>824</v>
      </c>
      <c r="T7919">
        <v>41</v>
      </c>
      <c r="U7919" s="26" t="str">
        <f t="shared" si="296"/>
        <v>2025.002G.Monodnaviria_reorg_4nr.zip</v>
      </c>
    </row>
    <row r="7920" spans="1:21">
      <c r="A7920">
        <v>7919</v>
      </c>
      <c r="B7920" s="27" t="s">
        <v>20779</v>
      </c>
      <c r="D7920" s="27" t="s">
        <v>1826</v>
      </c>
      <c r="F7920" s="27" t="s">
        <v>1844</v>
      </c>
      <c r="H7920" s="27" t="s">
        <v>1845</v>
      </c>
      <c r="J7920" s="27" t="s">
        <v>12453</v>
      </c>
      <c r="L7920" s="27" t="s">
        <v>12454</v>
      </c>
      <c r="N7920" s="27" t="s">
        <v>12535</v>
      </c>
      <c r="P7920" s="27" t="s">
        <v>12539</v>
      </c>
      <c r="Q7920" s="26" t="str">
        <f>HYPERLINK("https://ictv.global/taxonomy/taxondetails?taxnode_id=202518762&amp;ictv_id=ICTV202318762","ICTV202318762")</f>
        <v>ICTV202318762</v>
      </c>
      <c r="R7920" t="s">
        <v>660</v>
      </c>
      <c r="S7920" t="s">
        <v>824</v>
      </c>
      <c r="T7920">
        <v>41</v>
      </c>
      <c r="U7920" s="26" t="str">
        <f t="shared" si="296"/>
        <v>2025.002G.Monodnaviria_reorg_4nr.zip</v>
      </c>
    </row>
    <row r="7921" spans="1:21">
      <c r="A7921">
        <v>7920</v>
      </c>
      <c r="B7921" s="27" t="s">
        <v>20779</v>
      </c>
      <c r="D7921" s="27" t="s">
        <v>1826</v>
      </c>
      <c r="F7921" s="27" t="s">
        <v>1844</v>
      </c>
      <c r="H7921" s="27" t="s">
        <v>1845</v>
      </c>
      <c r="J7921" s="27" t="s">
        <v>12453</v>
      </c>
      <c r="L7921" s="27" t="s">
        <v>12454</v>
      </c>
      <c r="N7921" s="27" t="s">
        <v>12540</v>
      </c>
      <c r="P7921" s="27" t="s">
        <v>12541</v>
      </c>
      <c r="Q7921" s="26" t="str">
        <f>HYPERLINK("https://ictv.global/taxonomy/taxondetails?taxnode_id=202518763&amp;ictv_id=ICTV202318763","ICTV202318763")</f>
        <v>ICTV202318763</v>
      </c>
      <c r="R7921" t="s">
        <v>660</v>
      </c>
      <c r="S7921" t="s">
        <v>824</v>
      </c>
      <c r="T7921">
        <v>41</v>
      </c>
      <c r="U7921" s="26" t="str">
        <f t="shared" si="296"/>
        <v>2025.002G.Monodnaviria_reorg_4nr.zip</v>
      </c>
    </row>
    <row r="7922" spans="1:21">
      <c r="A7922">
        <v>7921</v>
      </c>
      <c r="B7922" s="27" t="s">
        <v>20779</v>
      </c>
      <c r="D7922" s="27" t="s">
        <v>1826</v>
      </c>
      <c r="F7922" s="27" t="s">
        <v>1844</v>
      </c>
      <c r="H7922" s="27" t="s">
        <v>1845</v>
      </c>
      <c r="J7922" s="27" t="s">
        <v>12453</v>
      </c>
      <c r="L7922" s="27" t="s">
        <v>12454</v>
      </c>
      <c r="N7922" s="27" t="s">
        <v>12542</v>
      </c>
      <c r="P7922" s="27" t="s">
        <v>12543</v>
      </c>
      <c r="Q7922" s="26" t="str">
        <f>HYPERLINK("https://ictv.global/taxonomy/taxondetails?taxnode_id=202518764&amp;ictv_id=ICTV202318764","ICTV202318764")</f>
        <v>ICTV202318764</v>
      </c>
      <c r="R7922" t="s">
        <v>660</v>
      </c>
      <c r="S7922" t="s">
        <v>824</v>
      </c>
      <c r="T7922">
        <v>41</v>
      </c>
      <c r="U7922" s="26" t="str">
        <f t="shared" si="296"/>
        <v>2025.002G.Monodnaviria_reorg_4nr.zip</v>
      </c>
    </row>
    <row r="7923" spans="1:21">
      <c r="A7923">
        <v>7922</v>
      </c>
      <c r="B7923" s="27" t="s">
        <v>20779</v>
      </c>
      <c r="D7923" s="27" t="s">
        <v>1826</v>
      </c>
      <c r="F7923" s="27" t="s">
        <v>1844</v>
      </c>
      <c r="H7923" s="27" t="s">
        <v>1845</v>
      </c>
      <c r="J7923" s="27" t="s">
        <v>12453</v>
      </c>
      <c r="L7923" s="27" t="s">
        <v>12454</v>
      </c>
      <c r="N7923" s="27" t="s">
        <v>12542</v>
      </c>
      <c r="P7923" s="27" t="s">
        <v>12544</v>
      </c>
      <c r="Q7923" s="26" t="str">
        <f>HYPERLINK("https://ictv.global/taxonomy/taxondetails?taxnode_id=202518765&amp;ictv_id=ICTV202318765","ICTV202318765")</f>
        <v>ICTV202318765</v>
      </c>
      <c r="R7923" t="s">
        <v>660</v>
      </c>
      <c r="S7923" t="s">
        <v>824</v>
      </c>
      <c r="T7923">
        <v>41</v>
      </c>
      <c r="U7923" s="26" t="str">
        <f t="shared" si="296"/>
        <v>2025.002G.Monodnaviria_reorg_4nr.zip</v>
      </c>
    </row>
    <row r="7924" spans="1:21">
      <c r="A7924">
        <v>7923</v>
      </c>
      <c r="B7924" s="27" t="s">
        <v>20779</v>
      </c>
      <c r="D7924" s="27" t="s">
        <v>1826</v>
      </c>
      <c r="F7924" s="27" t="s">
        <v>1844</v>
      </c>
      <c r="H7924" s="27" t="s">
        <v>1845</v>
      </c>
      <c r="J7924" s="27" t="s">
        <v>12453</v>
      </c>
      <c r="L7924" s="27" t="s">
        <v>12454</v>
      </c>
      <c r="N7924" s="27" t="s">
        <v>12545</v>
      </c>
      <c r="P7924" s="27" t="s">
        <v>12546</v>
      </c>
      <c r="Q7924" s="26" t="str">
        <f>HYPERLINK("https://ictv.global/taxonomy/taxondetails?taxnode_id=202518766&amp;ictv_id=ICTV202318766","ICTV202318766")</f>
        <v>ICTV202318766</v>
      </c>
      <c r="R7924" t="s">
        <v>660</v>
      </c>
      <c r="S7924" t="s">
        <v>824</v>
      </c>
      <c r="T7924">
        <v>41</v>
      </c>
      <c r="U7924" s="26" t="str">
        <f t="shared" si="296"/>
        <v>2025.002G.Monodnaviria_reorg_4nr.zip</v>
      </c>
    </row>
    <row r="7925" spans="1:21">
      <c r="A7925">
        <v>7924</v>
      </c>
      <c r="B7925" s="27" t="s">
        <v>20779</v>
      </c>
      <c r="D7925" s="27" t="s">
        <v>1826</v>
      </c>
      <c r="F7925" s="27" t="s">
        <v>1844</v>
      </c>
      <c r="H7925" s="27" t="s">
        <v>1845</v>
      </c>
      <c r="J7925" s="27" t="s">
        <v>12453</v>
      </c>
      <c r="L7925" s="27" t="s">
        <v>12454</v>
      </c>
      <c r="N7925" s="27" t="s">
        <v>12545</v>
      </c>
      <c r="P7925" s="27" t="s">
        <v>12547</v>
      </c>
      <c r="Q7925" s="26" t="str">
        <f>HYPERLINK("https://ictv.global/taxonomy/taxondetails?taxnode_id=202518767&amp;ictv_id=ICTV202318767","ICTV202318767")</f>
        <v>ICTV202318767</v>
      </c>
      <c r="R7925" t="s">
        <v>660</v>
      </c>
      <c r="S7925" t="s">
        <v>824</v>
      </c>
      <c r="T7925">
        <v>41</v>
      </c>
      <c r="U7925" s="26" t="str">
        <f t="shared" si="296"/>
        <v>2025.002G.Monodnaviria_reorg_4nr.zip</v>
      </c>
    </row>
    <row r="7926" spans="1:21">
      <c r="A7926">
        <v>7925</v>
      </c>
      <c r="B7926" s="27" t="s">
        <v>20779</v>
      </c>
      <c r="D7926" s="27" t="s">
        <v>1826</v>
      </c>
      <c r="F7926" s="27" t="s">
        <v>1844</v>
      </c>
      <c r="H7926" s="27" t="s">
        <v>1845</v>
      </c>
      <c r="J7926" s="27" t="s">
        <v>12453</v>
      </c>
      <c r="L7926" s="27" t="s">
        <v>12454</v>
      </c>
      <c r="N7926" s="27" t="s">
        <v>12548</v>
      </c>
      <c r="P7926" s="27" t="s">
        <v>12549</v>
      </c>
      <c r="Q7926" s="26" t="str">
        <f>HYPERLINK("https://ictv.global/taxonomy/taxondetails?taxnode_id=202518768&amp;ictv_id=ICTV202318768","ICTV202318768")</f>
        <v>ICTV202318768</v>
      </c>
      <c r="R7926" t="s">
        <v>660</v>
      </c>
      <c r="S7926" t="s">
        <v>824</v>
      </c>
      <c r="T7926">
        <v>41</v>
      </c>
      <c r="U7926" s="26" t="str">
        <f t="shared" si="296"/>
        <v>2025.002G.Monodnaviria_reorg_4nr.zip</v>
      </c>
    </row>
    <row r="7927" spans="1:21">
      <c r="A7927">
        <v>7926</v>
      </c>
      <c r="B7927" s="27" t="s">
        <v>20779</v>
      </c>
      <c r="D7927" s="27" t="s">
        <v>1826</v>
      </c>
      <c r="F7927" s="27" t="s">
        <v>1844</v>
      </c>
      <c r="H7927" s="27" t="s">
        <v>1845</v>
      </c>
      <c r="J7927" s="27" t="s">
        <v>12453</v>
      </c>
      <c r="L7927" s="27" t="s">
        <v>12454</v>
      </c>
      <c r="N7927" s="27" t="s">
        <v>12550</v>
      </c>
      <c r="P7927" s="27" t="s">
        <v>12551</v>
      </c>
      <c r="Q7927" s="26" t="str">
        <f>HYPERLINK("https://ictv.global/taxonomy/taxondetails?taxnode_id=202518769&amp;ictv_id=ICTV202318769","ICTV202318769")</f>
        <v>ICTV202318769</v>
      </c>
      <c r="R7927" t="s">
        <v>660</v>
      </c>
      <c r="S7927" t="s">
        <v>824</v>
      </c>
      <c r="T7927">
        <v>41</v>
      </c>
      <c r="U7927" s="26" t="str">
        <f t="shared" si="296"/>
        <v>2025.002G.Monodnaviria_reorg_4nr.zip</v>
      </c>
    </row>
    <row r="7928" spans="1:21">
      <c r="A7928">
        <v>7927</v>
      </c>
      <c r="B7928" s="27" t="s">
        <v>20779</v>
      </c>
      <c r="D7928" s="27" t="s">
        <v>1826</v>
      </c>
      <c r="F7928" s="27" t="s">
        <v>1844</v>
      </c>
      <c r="H7928" s="27" t="s">
        <v>1845</v>
      </c>
      <c r="J7928" s="27" t="s">
        <v>12453</v>
      </c>
      <c r="L7928" s="27" t="s">
        <v>12454</v>
      </c>
      <c r="N7928" s="27" t="s">
        <v>12552</v>
      </c>
      <c r="P7928" s="27" t="s">
        <v>12553</v>
      </c>
      <c r="Q7928" s="26" t="str">
        <f>HYPERLINK("https://ictv.global/taxonomy/taxondetails?taxnode_id=202518770&amp;ictv_id=ICTV202318770","ICTV202318770")</f>
        <v>ICTV202318770</v>
      </c>
      <c r="R7928" t="s">
        <v>660</v>
      </c>
      <c r="S7928" t="s">
        <v>824</v>
      </c>
      <c r="T7928">
        <v>41</v>
      </c>
      <c r="U7928" s="26" t="str">
        <f t="shared" si="296"/>
        <v>2025.002G.Monodnaviria_reorg_4nr.zip</v>
      </c>
    </row>
    <row r="7929" spans="1:21">
      <c r="A7929">
        <v>7928</v>
      </c>
      <c r="B7929" s="27" t="s">
        <v>20779</v>
      </c>
      <c r="D7929" s="27" t="s">
        <v>1826</v>
      </c>
      <c r="F7929" s="27" t="s">
        <v>1844</v>
      </c>
      <c r="H7929" s="27" t="s">
        <v>1845</v>
      </c>
      <c r="J7929" s="27" t="s">
        <v>12453</v>
      </c>
      <c r="L7929" s="27" t="s">
        <v>12454</v>
      </c>
      <c r="N7929" s="27" t="s">
        <v>12554</v>
      </c>
      <c r="P7929" s="27" t="s">
        <v>12555</v>
      </c>
      <c r="Q7929" s="26" t="str">
        <f>HYPERLINK("https://ictv.global/taxonomy/taxondetails?taxnode_id=202518771&amp;ictv_id=ICTV202318771","ICTV202318771")</f>
        <v>ICTV202318771</v>
      </c>
      <c r="R7929" t="s">
        <v>660</v>
      </c>
      <c r="S7929" t="s">
        <v>824</v>
      </c>
      <c r="T7929">
        <v>41</v>
      </c>
      <c r="U7929" s="26" t="str">
        <f t="shared" si="296"/>
        <v>2025.002G.Monodnaviria_reorg_4nr.zip</v>
      </c>
    </row>
    <row r="7930" spans="1:21">
      <c r="A7930">
        <v>7929</v>
      </c>
      <c r="B7930" s="27" t="s">
        <v>20779</v>
      </c>
      <c r="D7930" s="27" t="s">
        <v>1826</v>
      </c>
      <c r="F7930" s="27" t="s">
        <v>1844</v>
      </c>
      <c r="H7930" s="27" t="s">
        <v>1845</v>
      </c>
      <c r="J7930" s="27" t="s">
        <v>12453</v>
      </c>
      <c r="L7930" s="27" t="s">
        <v>12454</v>
      </c>
      <c r="N7930" s="27" t="s">
        <v>12554</v>
      </c>
      <c r="P7930" s="27" t="s">
        <v>12556</v>
      </c>
      <c r="Q7930" s="26" t="str">
        <f>HYPERLINK("https://ictv.global/taxonomy/taxondetails?taxnode_id=202518772&amp;ictv_id=ICTV202318772","ICTV202318772")</f>
        <v>ICTV202318772</v>
      </c>
      <c r="R7930" t="s">
        <v>660</v>
      </c>
      <c r="S7930" t="s">
        <v>824</v>
      </c>
      <c r="T7930">
        <v>41</v>
      </c>
      <c r="U7930" s="26" t="str">
        <f t="shared" si="296"/>
        <v>2025.002G.Monodnaviria_reorg_4nr.zip</v>
      </c>
    </row>
    <row r="7931" spans="1:21">
      <c r="A7931">
        <v>7930</v>
      </c>
      <c r="B7931" s="27" t="s">
        <v>20779</v>
      </c>
      <c r="D7931" s="27" t="s">
        <v>1826</v>
      </c>
      <c r="F7931" s="27" t="s">
        <v>1844</v>
      </c>
      <c r="H7931" s="27" t="s">
        <v>1845</v>
      </c>
      <c r="J7931" s="27" t="s">
        <v>12453</v>
      </c>
      <c r="L7931" s="27" t="s">
        <v>12454</v>
      </c>
      <c r="N7931" s="27" t="s">
        <v>12557</v>
      </c>
      <c r="P7931" s="27" t="s">
        <v>12558</v>
      </c>
      <c r="Q7931" s="26" t="str">
        <f>HYPERLINK("https://ictv.global/taxonomy/taxondetails?taxnode_id=202518773&amp;ictv_id=ICTV202318773","ICTV202318773")</f>
        <v>ICTV202318773</v>
      </c>
      <c r="R7931" t="s">
        <v>660</v>
      </c>
      <c r="S7931" t="s">
        <v>824</v>
      </c>
      <c r="T7931">
        <v>41</v>
      </c>
      <c r="U7931" s="26" t="str">
        <f t="shared" si="296"/>
        <v>2025.002G.Monodnaviria_reorg_4nr.zip</v>
      </c>
    </row>
    <row r="7932" spans="1:21">
      <c r="A7932">
        <v>7931</v>
      </c>
      <c r="B7932" s="27" t="s">
        <v>20779</v>
      </c>
      <c r="D7932" s="27" t="s">
        <v>1826</v>
      </c>
      <c r="F7932" s="27" t="s">
        <v>1844</v>
      </c>
      <c r="H7932" s="27" t="s">
        <v>1845</v>
      </c>
      <c r="J7932" s="27" t="s">
        <v>12453</v>
      </c>
      <c r="L7932" s="27" t="s">
        <v>12454</v>
      </c>
      <c r="N7932" s="27" t="s">
        <v>12559</v>
      </c>
      <c r="P7932" s="27" t="s">
        <v>12560</v>
      </c>
      <c r="Q7932" s="26" t="str">
        <f>HYPERLINK("https://ictv.global/taxonomy/taxondetails?taxnode_id=202518774&amp;ictv_id=ICTV202318774","ICTV202318774")</f>
        <v>ICTV202318774</v>
      </c>
      <c r="R7932" t="s">
        <v>660</v>
      </c>
      <c r="S7932" t="s">
        <v>824</v>
      </c>
      <c r="T7932">
        <v>41</v>
      </c>
      <c r="U7932" s="26" t="str">
        <f t="shared" si="296"/>
        <v>2025.002G.Monodnaviria_reorg_4nr.zip</v>
      </c>
    </row>
    <row r="7933" spans="1:21">
      <c r="A7933">
        <v>7932</v>
      </c>
      <c r="B7933" s="27" t="s">
        <v>20779</v>
      </c>
      <c r="D7933" s="27" t="s">
        <v>1826</v>
      </c>
      <c r="F7933" s="27" t="s">
        <v>1844</v>
      </c>
      <c r="H7933" s="27" t="s">
        <v>1845</v>
      </c>
      <c r="J7933" s="27" t="s">
        <v>12453</v>
      </c>
      <c r="L7933" s="27" t="s">
        <v>12454</v>
      </c>
      <c r="N7933" s="27" t="s">
        <v>12561</v>
      </c>
      <c r="P7933" s="27" t="s">
        <v>12562</v>
      </c>
      <c r="Q7933" s="26" t="str">
        <f>HYPERLINK("https://ictv.global/taxonomy/taxondetails?taxnode_id=202518775&amp;ictv_id=ICTV202318775","ICTV202318775")</f>
        <v>ICTV202318775</v>
      </c>
      <c r="R7933" t="s">
        <v>660</v>
      </c>
      <c r="S7933" t="s">
        <v>824</v>
      </c>
      <c r="T7933">
        <v>41</v>
      </c>
      <c r="U7933" s="26" t="str">
        <f t="shared" si="296"/>
        <v>2025.002G.Monodnaviria_reorg_4nr.zip</v>
      </c>
    </row>
    <row r="7934" spans="1:21">
      <c r="A7934">
        <v>7933</v>
      </c>
      <c r="B7934" s="27" t="s">
        <v>20779</v>
      </c>
      <c r="D7934" s="27" t="s">
        <v>1826</v>
      </c>
      <c r="F7934" s="27" t="s">
        <v>1844</v>
      </c>
      <c r="H7934" s="27" t="s">
        <v>1845</v>
      </c>
      <c r="J7934" s="27" t="s">
        <v>12453</v>
      </c>
      <c r="L7934" s="27" t="s">
        <v>12454</v>
      </c>
      <c r="N7934" s="27" t="s">
        <v>12561</v>
      </c>
      <c r="P7934" s="27" t="s">
        <v>12563</v>
      </c>
      <c r="Q7934" s="26" t="str">
        <f>HYPERLINK("https://ictv.global/taxonomy/taxondetails?taxnode_id=202518776&amp;ictv_id=ICTV202318776","ICTV202318776")</f>
        <v>ICTV202318776</v>
      </c>
      <c r="R7934" t="s">
        <v>660</v>
      </c>
      <c r="S7934" t="s">
        <v>824</v>
      </c>
      <c r="T7934">
        <v>41</v>
      </c>
      <c r="U7934" s="26" t="str">
        <f t="shared" si="296"/>
        <v>2025.002G.Monodnaviria_reorg_4nr.zip</v>
      </c>
    </row>
    <row r="7935" spans="1:21">
      <c r="A7935">
        <v>7934</v>
      </c>
      <c r="B7935" s="27" t="s">
        <v>20779</v>
      </c>
      <c r="D7935" s="27" t="s">
        <v>1826</v>
      </c>
      <c r="F7935" s="27" t="s">
        <v>1844</v>
      </c>
      <c r="H7935" s="27" t="s">
        <v>1845</v>
      </c>
      <c r="J7935" s="27" t="s">
        <v>20022</v>
      </c>
      <c r="L7935" s="27" t="s">
        <v>20023</v>
      </c>
      <c r="N7935" s="27" t="s">
        <v>20024</v>
      </c>
      <c r="P7935" s="27" t="s">
        <v>20025</v>
      </c>
      <c r="Q7935" s="26" t="str">
        <f>HYPERLINK("https://ictv.global/taxonomy/taxondetails?taxnode_id=202520160&amp;ictv_id=ICTV202420160","ICTV202420160")</f>
        <v>ICTV202420160</v>
      </c>
      <c r="R7935" t="s">
        <v>582</v>
      </c>
      <c r="S7935" t="s">
        <v>824</v>
      </c>
      <c r="T7935">
        <v>41</v>
      </c>
      <c r="U7935" s="26" t="str">
        <f t="shared" si="296"/>
        <v>2025.002G.Monodnaviria_reorg_4nr.zip</v>
      </c>
    </row>
    <row r="7936" spans="1:21">
      <c r="A7936">
        <v>7935</v>
      </c>
      <c r="B7936" s="27" t="s">
        <v>20779</v>
      </c>
      <c r="D7936" s="27" t="s">
        <v>1826</v>
      </c>
      <c r="F7936" s="27" t="s">
        <v>1844</v>
      </c>
      <c r="H7936" s="27" t="s">
        <v>1845</v>
      </c>
      <c r="J7936" s="27" t="s">
        <v>20022</v>
      </c>
      <c r="L7936" s="27" t="s">
        <v>20023</v>
      </c>
      <c r="N7936" s="27" t="s">
        <v>20024</v>
      </c>
      <c r="P7936" s="27" t="s">
        <v>20026</v>
      </c>
      <c r="Q7936" s="26" t="str">
        <f>HYPERLINK("https://ictv.global/taxonomy/taxondetails?taxnode_id=202520165&amp;ictv_id=ICTV202420165","ICTV202420165")</f>
        <v>ICTV202420165</v>
      </c>
      <c r="R7936" t="s">
        <v>582</v>
      </c>
      <c r="S7936" t="s">
        <v>824</v>
      </c>
      <c r="T7936">
        <v>41</v>
      </c>
      <c r="U7936" s="26" t="str">
        <f t="shared" si="296"/>
        <v>2025.002G.Monodnaviria_reorg_4nr.zip</v>
      </c>
    </row>
    <row r="7937" spans="1:21">
      <c r="A7937">
        <v>7936</v>
      </c>
      <c r="B7937" s="27" t="s">
        <v>20779</v>
      </c>
      <c r="D7937" s="27" t="s">
        <v>1826</v>
      </c>
      <c r="F7937" s="27" t="s">
        <v>1844</v>
      </c>
      <c r="H7937" s="27" t="s">
        <v>1845</v>
      </c>
      <c r="J7937" s="27" t="s">
        <v>20022</v>
      </c>
      <c r="L7937" s="27" t="s">
        <v>20023</v>
      </c>
      <c r="N7937" s="27" t="s">
        <v>20024</v>
      </c>
      <c r="P7937" s="27" t="s">
        <v>20027</v>
      </c>
      <c r="Q7937" s="26" t="str">
        <f>HYPERLINK("https://ictv.global/taxonomy/taxondetails?taxnode_id=202520180&amp;ictv_id=ICTV202420180","ICTV202420180")</f>
        <v>ICTV202420180</v>
      </c>
      <c r="R7937" t="s">
        <v>582</v>
      </c>
      <c r="S7937" t="s">
        <v>824</v>
      </c>
      <c r="T7937">
        <v>41</v>
      </c>
      <c r="U7937" s="26" t="str">
        <f t="shared" si="296"/>
        <v>2025.002G.Monodnaviria_reorg_4nr.zip</v>
      </c>
    </row>
    <row r="7938" spans="1:21">
      <c r="A7938">
        <v>7937</v>
      </c>
      <c r="B7938" s="27" t="s">
        <v>20779</v>
      </c>
      <c r="D7938" s="27" t="s">
        <v>1826</v>
      </c>
      <c r="F7938" s="27" t="s">
        <v>1844</v>
      </c>
      <c r="H7938" s="27" t="s">
        <v>1845</v>
      </c>
      <c r="J7938" s="27" t="s">
        <v>20022</v>
      </c>
      <c r="L7938" s="27" t="s">
        <v>20023</v>
      </c>
      <c r="N7938" s="27" t="s">
        <v>20024</v>
      </c>
      <c r="P7938" s="27" t="s">
        <v>20028</v>
      </c>
      <c r="Q7938" s="26" t="str">
        <f>HYPERLINK("https://ictv.global/taxonomy/taxondetails?taxnode_id=202520161&amp;ictv_id=ICTV202420161","ICTV202420161")</f>
        <v>ICTV202420161</v>
      </c>
      <c r="R7938" t="s">
        <v>582</v>
      </c>
      <c r="S7938" t="s">
        <v>824</v>
      </c>
      <c r="T7938">
        <v>41</v>
      </c>
      <c r="U7938" s="26" t="str">
        <f t="shared" si="296"/>
        <v>2025.002G.Monodnaviria_reorg_4nr.zip</v>
      </c>
    </row>
    <row r="7939" spans="1:21">
      <c r="A7939">
        <v>7938</v>
      </c>
      <c r="B7939" s="27" t="s">
        <v>20779</v>
      </c>
      <c r="D7939" s="27" t="s">
        <v>1826</v>
      </c>
      <c r="F7939" s="27" t="s">
        <v>1844</v>
      </c>
      <c r="H7939" s="27" t="s">
        <v>1845</v>
      </c>
      <c r="J7939" s="27" t="s">
        <v>20022</v>
      </c>
      <c r="L7939" s="27" t="s">
        <v>20023</v>
      </c>
      <c r="N7939" s="27" t="s">
        <v>20024</v>
      </c>
      <c r="P7939" s="27" t="s">
        <v>20029</v>
      </c>
      <c r="Q7939" s="26" t="str">
        <f>HYPERLINK("https://ictv.global/taxonomy/taxondetails?taxnode_id=202520178&amp;ictv_id=ICTV202420178","ICTV202420178")</f>
        <v>ICTV202420178</v>
      </c>
      <c r="R7939" t="s">
        <v>582</v>
      </c>
      <c r="S7939" t="s">
        <v>824</v>
      </c>
      <c r="T7939">
        <v>41</v>
      </c>
      <c r="U7939" s="26" t="str">
        <f t="shared" si="296"/>
        <v>2025.002G.Monodnaviria_reorg_4nr.zip</v>
      </c>
    </row>
    <row r="7940" spans="1:21">
      <c r="A7940">
        <v>7939</v>
      </c>
      <c r="B7940" s="27" t="s">
        <v>20779</v>
      </c>
      <c r="D7940" s="27" t="s">
        <v>1826</v>
      </c>
      <c r="F7940" s="27" t="s">
        <v>1844</v>
      </c>
      <c r="H7940" s="27" t="s">
        <v>1845</v>
      </c>
      <c r="J7940" s="27" t="s">
        <v>20022</v>
      </c>
      <c r="L7940" s="27" t="s">
        <v>20023</v>
      </c>
      <c r="N7940" s="27" t="s">
        <v>20024</v>
      </c>
      <c r="P7940" s="27" t="s">
        <v>20030</v>
      </c>
      <c r="Q7940" s="26" t="str">
        <f>HYPERLINK("https://ictv.global/taxonomy/taxondetails?taxnode_id=202520166&amp;ictv_id=ICTV202420166","ICTV202420166")</f>
        <v>ICTV202420166</v>
      </c>
      <c r="R7940" t="s">
        <v>582</v>
      </c>
      <c r="S7940" t="s">
        <v>824</v>
      </c>
      <c r="T7940">
        <v>41</v>
      </c>
      <c r="U7940" s="26" t="str">
        <f t="shared" si="296"/>
        <v>2025.002G.Monodnaviria_reorg_4nr.zip</v>
      </c>
    </row>
    <row r="7941" spans="1:21">
      <c r="A7941">
        <v>7940</v>
      </c>
      <c r="B7941" s="27" t="s">
        <v>20779</v>
      </c>
      <c r="D7941" s="27" t="s">
        <v>1826</v>
      </c>
      <c r="F7941" s="27" t="s">
        <v>1844</v>
      </c>
      <c r="H7941" s="27" t="s">
        <v>1845</v>
      </c>
      <c r="J7941" s="27" t="s">
        <v>20022</v>
      </c>
      <c r="L7941" s="27" t="s">
        <v>20023</v>
      </c>
      <c r="N7941" s="27" t="s">
        <v>20024</v>
      </c>
      <c r="P7941" s="27" t="s">
        <v>20031</v>
      </c>
      <c r="Q7941" s="26" t="str">
        <f>HYPERLINK("https://ictv.global/taxonomy/taxondetails?taxnode_id=202520163&amp;ictv_id=ICTV202420163","ICTV202420163")</f>
        <v>ICTV202420163</v>
      </c>
      <c r="R7941" t="s">
        <v>582</v>
      </c>
      <c r="S7941" t="s">
        <v>824</v>
      </c>
      <c r="T7941">
        <v>41</v>
      </c>
      <c r="U7941" s="26" t="str">
        <f t="shared" si="296"/>
        <v>2025.002G.Monodnaviria_reorg_4nr.zip</v>
      </c>
    </row>
    <row r="7942" spans="1:21">
      <c r="A7942">
        <v>7941</v>
      </c>
      <c r="B7942" s="27" t="s">
        <v>20779</v>
      </c>
      <c r="D7942" s="27" t="s">
        <v>1826</v>
      </c>
      <c r="F7942" s="27" t="s">
        <v>1844</v>
      </c>
      <c r="H7942" s="27" t="s">
        <v>1845</v>
      </c>
      <c r="J7942" s="27" t="s">
        <v>20022</v>
      </c>
      <c r="L7942" s="27" t="s">
        <v>20023</v>
      </c>
      <c r="N7942" s="27" t="s">
        <v>20024</v>
      </c>
      <c r="P7942" s="27" t="s">
        <v>20032</v>
      </c>
      <c r="Q7942" s="26" t="str">
        <f>HYPERLINK("https://ictv.global/taxonomy/taxondetails?taxnode_id=202520168&amp;ictv_id=ICTV202420168","ICTV202420168")</f>
        <v>ICTV202420168</v>
      </c>
      <c r="R7942" t="s">
        <v>582</v>
      </c>
      <c r="S7942" t="s">
        <v>824</v>
      </c>
      <c r="T7942">
        <v>41</v>
      </c>
      <c r="U7942" s="26" t="str">
        <f t="shared" si="296"/>
        <v>2025.002G.Monodnaviria_reorg_4nr.zip</v>
      </c>
    </row>
    <row r="7943" spans="1:21">
      <c r="A7943">
        <v>7942</v>
      </c>
      <c r="B7943" s="27" t="s">
        <v>20779</v>
      </c>
      <c r="D7943" s="27" t="s">
        <v>1826</v>
      </c>
      <c r="F7943" s="27" t="s">
        <v>1844</v>
      </c>
      <c r="H7943" s="27" t="s">
        <v>1845</v>
      </c>
      <c r="J7943" s="27" t="s">
        <v>20022</v>
      </c>
      <c r="L7943" s="27" t="s">
        <v>20023</v>
      </c>
      <c r="N7943" s="27" t="s">
        <v>20024</v>
      </c>
      <c r="P7943" s="27" t="s">
        <v>20033</v>
      </c>
      <c r="Q7943" s="26" t="str">
        <f>HYPERLINK("https://ictv.global/taxonomy/taxondetails?taxnode_id=202520164&amp;ictv_id=ICTV202420164","ICTV202420164")</f>
        <v>ICTV202420164</v>
      </c>
      <c r="R7943" t="s">
        <v>582</v>
      </c>
      <c r="S7943" t="s">
        <v>824</v>
      </c>
      <c r="T7943">
        <v>41</v>
      </c>
      <c r="U7943" s="26" t="str">
        <f t="shared" si="296"/>
        <v>2025.002G.Monodnaviria_reorg_4nr.zip</v>
      </c>
    </row>
    <row r="7944" spans="1:21">
      <c r="A7944">
        <v>7943</v>
      </c>
      <c r="B7944" s="27" t="s">
        <v>20779</v>
      </c>
      <c r="D7944" s="27" t="s">
        <v>1826</v>
      </c>
      <c r="F7944" s="27" t="s">
        <v>1844</v>
      </c>
      <c r="H7944" s="27" t="s">
        <v>1845</v>
      </c>
      <c r="J7944" s="27" t="s">
        <v>20022</v>
      </c>
      <c r="L7944" s="27" t="s">
        <v>20023</v>
      </c>
      <c r="N7944" s="27" t="s">
        <v>20024</v>
      </c>
      <c r="P7944" s="27" t="s">
        <v>20034</v>
      </c>
      <c r="Q7944" s="26" t="str">
        <f>HYPERLINK("https://ictv.global/taxonomy/taxondetails?taxnode_id=202520177&amp;ictv_id=ICTV202420177","ICTV202420177")</f>
        <v>ICTV202420177</v>
      </c>
      <c r="R7944" t="s">
        <v>582</v>
      </c>
      <c r="S7944" t="s">
        <v>824</v>
      </c>
      <c r="T7944">
        <v>41</v>
      </c>
      <c r="U7944" s="26" t="str">
        <f t="shared" si="296"/>
        <v>2025.002G.Monodnaviria_reorg_4nr.zip</v>
      </c>
    </row>
    <row r="7945" spans="1:21">
      <c r="A7945">
        <v>7944</v>
      </c>
      <c r="B7945" s="27" t="s">
        <v>20779</v>
      </c>
      <c r="D7945" s="27" t="s">
        <v>1826</v>
      </c>
      <c r="F7945" s="27" t="s">
        <v>1844</v>
      </c>
      <c r="H7945" s="27" t="s">
        <v>1845</v>
      </c>
      <c r="J7945" s="27" t="s">
        <v>20022</v>
      </c>
      <c r="L7945" s="27" t="s">
        <v>20023</v>
      </c>
      <c r="N7945" s="27" t="s">
        <v>20024</v>
      </c>
      <c r="P7945" s="27" t="s">
        <v>20035</v>
      </c>
      <c r="Q7945" s="26" t="str">
        <f>HYPERLINK("https://ictv.global/taxonomy/taxondetails?taxnode_id=202520162&amp;ictv_id=ICTV202420162","ICTV202420162")</f>
        <v>ICTV202420162</v>
      </c>
      <c r="R7945" t="s">
        <v>582</v>
      </c>
      <c r="S7945" t="s">
        <v>824</v>
      </c>
      <c r="T7945">
        <v>41</v>
      </c>
      <c r="U7945" s="26" t="str">
        <f t="shared" si="296"/>
        <v>2025.002G.Monodnaviria_reorg_4nr.zip</v>
      </c>
    </row>
    <row r="7946" spans="1:21">
      <c r="A7946">
        <v>7945</v>
      </c>
      <c r="B7946" s="27" t="s">
        <v>20779</v>
      </c>
      <c r="D7946" s="27" t="s">
        <v>1826</v>
      </c>
      <c r="F7946" s="27" t="s">
        <v>1844</v>
      </c>
      <c r="H7946" s="27" t="s">
        <v>1845</v>
      </c>
      <c r="J7946" s="27" t="s">
        <v>20022</v>
      </c>
      <c r="L7946" s="27" t="s">
        <v>20023</v>
      </c>
      <c r="N7946" s="27" t="s">
        <v>20024</v>
      </c>
      <c r="P7946" s="27" t="s">
        <v>20036</v>
      </c>
      <c r="Q7946" s="26" t="str">
        <f>HYPERLINK("https://ictv.global/taxonomy/taxondetails?taxnode_id=202520167&amp;ictv_id=ICTV202420167","ICTV202420167")</f>
        <v>ICTV202420167</v>
      </c>
      <c r="R7946" t="s">
        <v>582</v>
      </c>
      <c r="S7946" t="s">
        <v>824</v>
      </c>
      <c r="T7946">
        <v>41</v>
      </c>
      <c r="U7946" s="26" t="str">
        <f t="shared" si="296"/>
        <v>2025.002G.Monodnaviria_reorg_4nr.zip</v>
      </c>
    </row>
    <row r="7947" spans="1:21">
      <c r="A7947">
        <v>7946</v>
      </c>
      <c r="B7947" s="27" t="s">
        <v>20779</v>
      </c>
      <c r="D7947" s="27" t="s">
        <v>1826</v>
      </c>
      <c r="F7947" s="27" t="s">
        <v>1844</v>
      </c>
      <c r="H7947" s="27" t="s">
        <v>1845</v>
      </c>
      <c r="J7947" s="27" t="s">
        <v>20022</v>
      </c>
      <c r="L7947" s="27" t="s">
        <v>20023</v>
      </c>
      <c r="N7947" s="27" t="s">
        <v>20024</v>
      </c>
      <c r="P7947" s="27" t="s">
        <v>20037</v>
      </c>
      <c r="Q7947" s="26" t="str">
        <f>HYPERLINK("https://ictv.global/taxonomy/taxondetails?taxnode_id=202520170&amp;ictv_id=ICTV202420170","ICTV202420170")</f>
        <v>ICTV202420170</v>
      </c>
      <c r="R7947" t="s">
        <v>582</v>
      </c>
      <c r="S7947" t="s">
        <v>824</v>
      </c>
      <c r="T7947">
        <v>41</v>
      </c>
      <c r="U7947" s="26" t="str">
        <f t="shared" si="296"/>
        <v>2025.002G.Monodnaviria_reorg_4nr.zip</v>
      </c>
    </row>
    <row r="7948" spans="1:21">
      <c r="A7948">
        <v>7947</v>
      </c>
      <c r="B7948" s="27" t="s">
        <v>20779</v>
      </c>
      <c r="D7948" s="27" t="s">
        <v>1826</v>
      </c>
      <c r="F7948" s="27" t="s">
        <v>1844</v>
      </c>
      <c r="H7948" s="27" t="s">
        <v>1845</v>
      </c>
      <c r="J7948" s="27" t="s">
        <v>20022</v>
      </c>
      <c r="L7948" s="27" t="s">
        <v>20023</v>
      </c>
      <c r="N7948" s="27" t="s">
        <v>20024</v>
      </c>
      <c r="P7948" s="27" t="s">
        <v>20038</v>
      </c>
      <c r="Q7948" s="26" t="str">
        <f>HYPERLINK("https://ictv.global/taxonomy/taxondetails?taxnode_id=202520179&amp;ictv_id=ICTV202420179","ICTV202420179")</f>
        <v>ICTV202420179</v>
      </c>
      <c r="R7948" t="s">
        <v>582</v>
      </c>
      <c r="S7948" t="s">
        <v>824</v>
      </c>
      <c r="T7948">
        <v>41</v>
      </c>
      <c r="U7948" s="26" t="str">
        <f t="shared" si="296"/>
        <v>2025.002G.Monodnaviria_reorg_4nr.zip</v>
      </c>
    </row>
    <row r="7949" spans="1:21">
      <c r="A7949">
        <v>7948</v>
      </c>
      <c r="B7949" s="27" t="s">
        <v>20779</v>
      </c>
      <c r="D7949" s="27" t="s">
        <v>1826</v>
      </c>
      <c r="F7949" s="27" t="s">
        <v>1844</v>
      </c>
      <c r="H7949" s="27" t="s">
        <v>1845</v>
      </c>
      <c r="J7949" s="27" t="s">
        <v>20022</v>
      </c>
      <c r="L7949" s="27" t="s">
        <v>20023</v>
      </c>
      <c r="N7949" s="27" t="s">
        <v>20024</v>
      </c>
      <c r="P7949" s="27" t="s">
        <v>20039</v>
      </c>
      <c r="Q7949" s="26" t="str">
        <f>HYPERLINK("https://ictv.global/taxonomy/taxondetails?taxnode_id=202520174&amp;ictv_id=ICTV202420174","ICTV202420174")</f>
        <v>ICTV202420174</v>
      </c>
      <c r="R7949" t="s">
        <v>582</v>
      </c>
      <c r="S7949" t="s">
        <v>824</v>
      </c>
      <c r="T7949">
        <v>41</v>
      </c>
      <c r="U7949" s="26" t="str">
        <f t="shared" si="296"/>
        <v>2025.002G.Monodnaviria_reorg_4nr.zip</v>
      </c>
    </row>
    <row r="7950" spans="1:21">
      <c r="A7950">
        <v>7949</v>
      </c>
      <c r="B7950" s="27" t="s">
        <v>20779</v>
      </c>
      <c r="D7950" s="27" t="s">
        <v>1826</v>
      </c>
      <c r="F7950" s="27" t="s">
        <v>1844</v>
      </c>
      <c r="H7950" s="27" t="s">
        <v>1845</v>
      </c>
      <c r="J7950" s="27" t="s">
        <v>20022</v>
      </c>
      <c r="L7950" s="27" t="s">
        <v>20023</v>
      </c>
      <c r="N7950" s="27" t="s">
        <v>20024</v>
      </c>
      <c r="P7950" s="27" t="s">
        <v>20040</v>
      </c>
      <c r="Q7950" s="26" t="str">
        <f>HYPERLINK("https://ictv.global/taxonomy/taxondetails?taxnode_id=202520171&amp;ictv_id=ICTV202420171","ICTV202420171")</f>
        <v>ICTV202420171</v>
      </c>
      <c r="R7950" t="s">
        <v>582</v>
      </c>
      <c r="S7950" t="s">
        <v>824</v>
      </c>
      <c r="T7950">
        <v>41</v>
      </c>
      <c r="U7950" s="26" t="str">
        <f t="shared" si="296"/>
        <v>2025.002G.Monodnaviria_reorg_4nr.zip</v>
      </c>
    </row>
    <row r="7951" spans="1:21">
      <c r="A7951">
        <v>7950</v>
      </c>
      <c r="B7951" s="27" t="s">
        <v>20779</v>
      </c>
      <c r="D7951" s="27" t="s">
        <v>1826</v>
      </c>
      <c r="F7951" s="27" t="s">
        <v>1844</v>
      </c>
      <c r="H7951" s="27" t="s">
        <v>1845</v>
      </c>
      <c r="J7951" s="27" t="s">
        <v>20022</v>
      </c>
      <c r="L7951" s="27" t="s">
        <v>20023</v>
      </c>
      <c r="N7951" s="27" t="s">
        <v>20024</v>
      </c>
      <c r="P7951" s="27" t="s">
        <v>20041</v>
      </c>
      <c r="Q7951" s="26" t="str">
        <f>HYPERLINK("https://ictv.global/taxonomy/taxondetails?taxnode_id=202520173&amp;ictv_id=ICTV202420173","ICTV202420173")</f>
        <v>ICTV202420173</v>
      </c>
      <c r="R7951" t="s">
        <v>582</v>
      </c>
      <c r="S7951" t="s">
        <v>824</v>
      </c>
      <c r="T7951">
        <v>41</v>
      </c>
      <c r="U7951" s="26" t="str">
        <f t="shared" si="296"/>
        <v>2025.002G.Monodnaviria_reorg_4nr.zip</v>
      </c>
    </row>
    <row r="7952" spans="1:21">
      <c r="A7952">
        <v>7951</v>
      </c>
      <c r="B7952" s="27" t="s">
        <v>20779</v>
      </c>
      <c r="D7952" s="27" t="s">
        <v>1826</v>
      </c>
      <c r="F7952" s="27" t="s">
        <v>1844</v>
      </c>
      <c r="H7952" s="27" t="s">
        <v>1845</v>
      </c>
      <c r="J7952" s="27" t="s">
        <v>20022</v>
      </c>
      <c r="L7952" s="27" t="s">
        <v>20023</v>
      </c>
      <c r="N7952" s="27" t="s">
        <v>20024</v>
      </c>
      <c r="P7952" s="27" t="s">
        <v>20042</v>
      </c>
      <c r="Q7952" s="26" t="str">
        <f>HYPERLINK("https://ictv.global/taxonomy/taxondetails?taxnode_id=202520169&amp;ictv_id=ICTV202420169","ICTV202420169")</f>
        <v>ICTV202420169</v>
      </c>
      <c r="R7952" t="s">
        <v>582</v>
      </c>
      <c r="S7952" t="s">
        <v>824</v>
      </c>
      <c r="T7952">
        <v>41</v>
      </c>
      <c r="U7952" s="26" t="str">
        <f t="shared" si="296"/>
        <v>2025.002G.Monodnaviria_reorg_4nr.zip</v>
      </c>
    </row>
    <row r="7953" spans="1:21">
      <c r="A7953">
        <v>7952</v>
      </c>
      <c r="B7953" s="27" t="s">
        <v>20779</v>
      </c>
      <c r="D7953" s="27" t="s">
        <v>1826</v>
      </c>
      <c r="F7953" s="27" t="s">
        <v>1844</v>
      </c>
      <c r="H7953" s="27" t="s">
        <v>1845</v>
      </c>
      <c r="J7953" s="27" t="s">
        <v>20022</v>
      </c>
      <c r="L7953" s="27" t="s">
        <v>20023</v>
      </c>
      <c r="N7953" s="27" t="s">
        <v>20024</v>
      </c>
      <c r="P7953" s="27" t="s">
        <v>20043</v>
      </c>
      <c r="Q7953" s="26" t="str">
        <f>HYPERLINK("https://ictv.global/taxonomy/taxondetails?taxnode_id=202520176&amp;ictv_id=ICTV202420176","ICTV202420176")</f>
        <v>ICTV202420176</v>
      </c>
      <c r="R7953" t="s">
        <v>582</v>
      </c>
      <c r="S7953" t="s">
        <v>824</v>
      </c>
      <c r="T7953">
        <v>41</v>
      </c>
      <c r="U7953" s="26" t="str">
        <f t="shared" si="296"/>
        <v>2025.002G.Monodnaviria_reorg_4nr.zip</v>
      </c>
    </row>
    <row r="7954" spans="1:21">
      <c r="A7954">
        <v>7953</v>
      </c>
      <c r="B7954" s="27" t="s">
        <v>20779</v>
      </c>
      <c r="D7954" s="27" t="s">
        <v>1826</v>
      </c>
      <c r="F7954" s="27" t="s">
        <v>1844</v>
      </c>
      <c r="H7954" s="27" t="s">
        <v>1845</v>
      </c>
      <c r="J7954" s="27" t="s">
        <v>20022</v>
      </c>
      <c r="L7954" s="27" t="s">
        <v>20023</v>
      </c>
      <c r="N7954" s="27" t="s">
        <v>20024</v>
      </c>
      <c r="P7954" s="27" t="s">
        <v>20044</v>
      </c>
      <c r="Q7954" s="26" t="str">
        <f>HYPERLINK("https://ictv.global/taxonomy/taxondetails?taxnode_id=202520175&amp;ictv_id=ICTV202420175","ICTV202420175")</f>
        <v>ICTV202420175</v>
      </c>
      <c r="R7954" t="s">
        <v>582</v>
      </c>
      <c r="S7954" t="s">
        <v>824</v>
      </c>
      <c r="T7954">
        <v>41</v>
      </c>
      <c r="U7954" s="26" t="str">
        <f t="shared" si="296"/>
        <v>2025.002G.Monodnaviria_reorg_4nr.zip</v>
      </c>
    </row>
    <row r="7955" spans="1:21">
      <c r="A7955">
        <v>7954</v>
      </c>
      <c r="B7955" s="27" t="s">
        <v>20779</v>
      </c>
      <c r="D7955" s="27" t="s">
        <v>1826</v>
      </c>
      <c r="F7955" s="27" t="s">
        <v>1844</v>
      </c>
      <c r="H7955" s="27" t="s">
        <v>1845</v>
      </c>
      <c r="J7955" s="27" t="s">
        <v>20022</v>
      </c>
      <c r="L7955" s="27" t="s">
        <v>20023</v>
      </c>
      <c r="N7955" s="27" t="s">
        <v>20024</v>
      </c>
      <c r="P7955" s="27" t="s">
        <v>20045</v>
      </c>
      <c r="Q7955" s="26" t="str">
        <f>HYPERLINK("https://ictv.global/taxonomy/taxondetails?taxnode_id=202520172&amp;ictv_id=ICTV202420172","ICTV202420172")</f>
        <v>ICTV202420172</v>
      </c>
      <c r="R7955" t="s">
        <v>582</v>
      </c>
      <c r="S7955" t="s">
        <v>824</v>
      </c>
      <c r="T7955">
        <v>41</v>
      </c>
      <c r="U7955" s="26" t="str">
        <f t="shared" si="296"/>
        <v>2025.002G.Monodnaviria_reorg_4nr.zip</v>
      </c>
    </row>
    <row r="7956" spans="1:21">
      <c r="A7956">
        <v>7955</v>
      </c>
      <c r="B7956" s="27" t="s">
        <v>20779</v>
      </c>
      <c r="D7956" s="27" t="s">
        <v>1826</v>
      </c>
      <c r="F7956" s="27" t="s">
        <v>1844</v>
      </c>
      <c r="H7956" s="27" t="s">
        <v>1845</v>
      </c>
      <c r="J7956" s="27" t="s">
        <v>20022</v>
      </c>
      <c r="L7956" s="27" t="s">
        <v>20023</v>
      </c>
      <c r="N7956" s="27" t="s">
        <v>20046</v>
      </c>
      <c r="P7956" s="27" t="s">
        <v>20047</v>
      </c>
      <c r="Q7956" s="26" t="str">
        <f>HYPERLINK("https://ictv.global/taxonomy/taxondetails?taxnode_id=202520152&amp;ictv_id=ICTV202420152","ICTV202420152")</f>
        <v>ICTV202420152</v>
      </c>
      <c r="R7956" t="s">
        <v>582</v>
      </c>
      <c r="S7956" t="s">
        <v>824</v>
      </c>
      <c r="T7956">
        <v>41</v>
      </c>
      <c r="U7956" s="26" t="str">
        <f t="shared" si="296"/>
        <v>2025.002G.Monodnaviria_reorg_4nr.zip</v>
      </c>
    </row>
    <row r="7957" spans="1:21">
      <c r="A7957">
        <v>7956</v>
      </c>
      <c r="B7957" s="27" t="s">
        <v>20779</v>
      </c>
      <c r="D7957" s="27" t="s">
        <v>1826</v>
      </c>
      <c r="F7957" s="27" t="s">
        <v>1844</v>
      </c>
      <c r="H7957" s="27" t="s">
        <v>1845</v>
      </c>
      <c r="J7957" s="27" t="s">
        <v>20022</v>
      </c>
      <c r="L7957" s="27" t="s">
        <v>20023</v>
      </c>
      <c r="N7957" s="27" t="s">
        <v>20046</v>
      </c>
      <c r="P7957" s="27" t="s">
        <v>20048</v>
      </c>
      <c r="Q7957" s="26" t="str">
        <f>HYPERLINK("https://ictv.global/taxonomy/taxondetails?taxnode_id=202520156&amp;ictv_id=ICTV202420156","ICTV202420156")</f>
        <v>ICTV202420156</v>
      </c>
      <c r="R7957" t="s">
        <v>582</v>
      </c>
      <c r="S7957" t="s">
        <v>824</v>
      </c>
      <c r="T7957">
        <v>41</v>
      </c>
      <c r="U7957" s="26" t="str">
        <f t="shared" si="296"/>
        <v>2025.002G.Monodnaviria_reorg_4nr.zip</v>
      </c>
    </row>
    <row r="7958" spans="1:21">
      <c r="A7958">
        <v>7957</v>
      </c>
      <c r="B7958" s="27" t="s">
        <v>20779</v>
      </c>
      <c r="D7958" s="27" t="s">
        <v>1826</v>
      </c>
      <c r="F7958" s="27" t="s">
        <v>1844</v>
      </c>
      <c r="H7958" s="27" t="s">
        <v>1845</v>
      </c>
      <c r="J7958" s="27" t="s">
        <v>20022</v>
      </c>
      <c r="L7958" s="27" t="s">
        <v>20023</v>
      </c>
      <c r="N7958" s="27" t="s">
        <v>20046</v>
      </c>
      <c r="P7958" s="27" t="s">
        <v>20049</v>
      </c>
      <c r="Q7958" s="26" t="str">
        <f>HYPERLINK("https://ictv.global/taxonomy/taxondetails?taxnode_id=202520157&amp;ictv_id=ICTV202420157","ICTV202420157")</f>
        <v>ICTV202420157</v>
      </c>
      <c r="R7958" t="s">
        <v>582</v>
      </c>
      <c r="S7958" t="s">
        <v>824</v>
      </c>
      <c r="T7958">
        <v>41</v>
      </c>
      <c r="U7958" s="26" t="str">
        <f t="shared" si="296"/>
        <v>2025.002G.Monodnaviria_reorg_4nr.zip</v>
      </c>
    </row>
    <row r="7959" spans="1:21">
      <c r="A7959">
        <v>7958</v>
      </c>
      <c r="B7959" s="27" t="s">
        <v>20779</v>
      </c>
      <c r="D7959" s="27" t="s">
        <v>1826</v>
      </c>
      <c r="F7959" s="27" t="s">
        <v>1844</v>
      </c>
      <c r="H7959" s="27" t="s">
        <v>1845</v>
      </c>
      <c r="J7959" s="27" t="s">
        <v>20022</v>
      </c>
      <c r="L7959" s="27" t="s">
        <v>20023</v>
      </c>
      <c r="N7959" s="27" t="s">
        <v>20046</v>
      </c>
      <c r="P7959" s="27" t="s">
        <v>20050</v>
      </c>
      <c r="Q7959" s="26" t="str">
        <f>HYPERLINK("https://ictv.global/taxonomy/taxondetails?taxnode_id=202520151&amp;ictv_id=ICTV202420151","ICTV202420151")</f>
        <v>ICTV202420151</v>
      </c>
      <c r="R7959" t="s">
        <v>582</v>
      </c>
      <c r="S7959" t="s">
        <v>824</v>
      </c>
      <c r="T7959">
        <v>41</v>
      </c>
      <c r="U7959" s="26" t="str">
        <f t="shared" si="296"/>
        <v>2025.002G.Monodnaviria_reorg_4nr.zip</v>
      </c>
    </row>
    <row r="7960" spans="1:21">
      <c r="A7960">
        <v>7959</v>
      </c>
      <c r="B7960" s="27" t="s">
        <v>20779</v>
      </c>
      <c r="D7960" s="27" t="s">
        <v>1826</v>
      </c>
      <c r="F7960" s="27" t="s">
        <v>1844</v>
      </c>
      <c r="H7960" s="27" t="s">
        <v>1845</v>
      </c>
      <c r="J7960" s="27" t="s">
        <v>20022</v>
      </c>
      <c r="L7960" s="27" t="s">
        <v>20023</v>
      </c>
      <c r="N7960" s="27" t="s">
        <v>20046</v>
      </c>
      <c r="P7960" s="27" t="s">
        <v>20051</v>
      </c>
      <c r="Q7960" s="26" t="str">
        <f>HYPERLINK("https://ictv.global/taxonomy/taxondetails?taxnode_id=202520159&amp;ictv_id=ICTV202420159","ICTV202420159")</f>
        <v>ICTV202420159</v>
      </c>
      <c r="R7960" t="s">
        <v>582</v>
      </c>
      <c r="S7960" t="s">
        <v>824</v>
      </c>
      <c r="T7960">
        <v>41</v>
      </c>
      <c r="U7960" s="26" t="str">
        <f t="shared" ref="U7960:U8023" si="297">HYPERLINK("https://ictv.global/ictv/proposals/2025.002G.Monodnaviria_reorg_4nr.zip","2025.002G.Monodnaviria_reorg_4nr.zip")</f>
        <v>2025.002G.Monodnaviria_reorg_4nr.zip</v>
      </c>
    </row>
    <row r="7961" spans="1:21">
      <c r="A7961">
        <v>7960</v>
      </c>
      <c r="B7961" s="27" t="s">
        <v>20779</v>
      </c>
      <c r="D7961" s="27" t="s">
        <v>1826</v>
      </c>
      <c r="F7961" s="27" t="s">
        <v>1844</v>
      </c>
      <c r="H7961" s="27" t="s">
        <v>1845</v>
      </c>
      <c r="J7961" s="27" t="s">
        <v>20022</v>
      </c>
      <c r="L7961" s="27" t="s">
        <v>20023</v>
      </c>
      <c r="N7961" s="27" t="s">
        <v>20046</v>
      </c>
      <c r="P7961" s="27" t="s">
        <v>20052</v>
      </c>
      <c r="Q7961" s="26" t="str">
        <f>HYPERLINK("https://ictv.global/taxonomy/taxondetails?taxnode_id=202520158&amp;ictv_id=ICTV202420158","ICTV202420158")</f>
        <v>ICTV202420158</v>
      </c>
      <c r="R7961" t="s">
        <v>582</v>
      </c>
      <c r="S7961" t="s">
        <v>824</v>
      </c>
      <c r="T7961">
        <v>41</v>
      </c>
      <c r="U7961" s="26" t="str">
        <f t="shared" si="297"/>
        <v>2025.002G.Monodnaviria_reorg_4nr.zip</v>
      </c>
    </row>
    <row r="7962" spans="1:21">
      <c r="A7962">
        <v>7961</v>
      </c>
      <c r="B7962" s="27" t="s">
        <v>20779</v>
      </c>
      <c r="D7962" s="27" t="s">
        <v>1826</v>
      </c>
      <c r="F7962" s="27" t="s">
        <v>1844</v>
      </c>
      <c r="H7962" s="27" t="s">
        <v>1845</v>
      </c>
      <c r="J7962" s="27" t="s">
        <v>20022</v>
      </c>
      <c r="L7962" s="27" t="s">
        <v>20023</v>
      </c>
      <c r="N7962" s="27" t="s">
        <v>20046</v>
      </c>
      <c r="P7962" s="27" t="s">
        <v>20053</v>
      </c>
      <c r="Q7962" s="26" t="str">
        <f>HYPERLINK("https://ictv.global/taxonomy/taxondetails?taxnode_id=202520153&amp;ictv_id=ICTV202420153","ICTV202420153")</f>
        <v>ICTV202420153</v>
      </c>
      <c r="R7962" t="s">
        <v>582</v>
      </c>
      <c r="S7962" t="s">
        <v>824</v>
      </c>
      <c r="T7962">
        <v>41</v>
      </c>
      <c r="U7962" s="26" t="str">
        <f t="shared" si="297"/>
        <v>2025.002G.Monodnaviria_reorg_4nr.zip</v>
      </c>
    </row>
    <row r="7963" spans="1:21">
      <c r="A7963">
        <v>7962</v>
      </c>
      <c r="B7963" s="27" t="s">
        <v>20779</v>
      </c>
      <c r="D7963" s="27" t="s">
        <v>1826</v>
      </c>
      <c r="F7963" s="27" t="s">
        <v>1844</v>
      </c>
      <c r="H7963" s="27" t="s">
        <v>1845</v>
      </c>
      <c r="J7963" s="27" t="s">
        <v>20022</v>
      </c>
      <c r="L7963" s="27" t="s">
        <v>20023</v>
      </c>
      <c r="N7963" s="27" t="s">
        <v>20046</v>
      </c>
      <c r="P7963" s="27" t="s">
        <v>20054</v>
      </c>
      <c r="Q7963" s="26" t="str">
        <f>HYPERLINK("https://ictv.global/taxonomy/taxondetails?taxnode_id=202520148&amp;ictv_id=ICTV202420148","ICTV202420148")</f>
        <v>ICTV202420148</v>
      </c>
      <c r="R7963" t="s">
        <v>582</v>
      </c>
      <c r="S7963" t="s">
        <v>824</v>
      </c>
      <c r="T7963">
        <v>41</v>
      </c>
      <c r="U7963" s="26" t="str">
        <f t="shared" si="297"/>
        <v>2025.002G.Monodnaviria_reorg_4nr.zip</v>
      </c>
    </row>
    <row r="7964" spans="1:21">
      <c r="A7964">
        <v>7963</v>
      </c>
      <c r="B7964" s="27" t="s">
        <v>20779</v>
      </c>
      <c r="D7964" s="27" t="s">
        <v>1826</v>
      </c>
      <c r="F7964" s="27" t="s">
        <v>1844</v>
      </c>
      <c r="H7964" s="27" t="s">
        <v>1845</v>
      </c>
      <c r="J7964" s="27" t="s">
        <v>20022</v>
      </c>
      <c r="L7964" s="27" t="s">
        <v>20023</v>
      </c>
      <c r="N7964" s="27" t="s">
        <v>20046</v>
      </c>
      <c r="P7964" s="27" t="s">
        <v>20055</v>
      </c>
      <c r="Q7964" s="26" t="str">
        <f>HYPERLINK("https://ictv.global/taxonomy/taxondetails?taxnode_id=202520150&amp;ictv_id=ICTV202420150","ICTV202420150")</f>
        <v>ICTV202420150</v>
      </c>
      <c r="R7964" t="s">
        <v>582</v>
      </c>
      <c r="S7964" t="s">
        <v>824</v>
      </c>
      <c r="T7964">
        <v>41</v>
      </c>
      <c r="U7964" s="26" t="str">
        <f t="shared" si="297"/>
        <v>2025.002G.Monodnaviria_reorg_4nr.zip</v>
      </c>
    </row>
    <row r="7965" spans="1:21">
      <c r="A7965">
        <v>7964</v>
      </c>
      <c r="B7965" s="27" t="s">
        <v>20779</v>
      </c>
      <c r="D7965" s="27" t="s">
        <v>1826</v>
      </c>
      <c r="F7965" s="27" t="s">
        <v>1844</v>
      </c>
      <c r="H7965" s="27" t="s">
        <v>1845</v>
      </c>
      <c r="J7965" s="27" t="s">
        <v>20022</v>
      </c>
      <c r="L7965" s="27" t="s">
        <v>20023</v>
      </c>
      <c r="N7965" s="27" t="s">
        <v>20046</v>
      </c>
      <c r="P7965" s="27" t="s">
        <v>20056</v>
      </c>
      <c r="Q7965" s="26" t="str">
        <f>HYPERLINK("https://ictv.global/taxonomy/taxondetails?taxnode_id=202520144&amp;ictv_id=ICTV202420144","ICTV202420144")</f>
        <v>ICTV202420144</v>
      </c>
      <c r="R7965" t="s">
        <v>582</v>
      </c>
      <c r="S7965" t="s">
        <v>824</v>
      </c>
      <c r="T7965">
        <v>41</v>
      </c>
      <c r="U7965" s="26" t="str">
        <f t="shared" si="297"/>
        <v>2025.002G.Monodnaviria_reorg_4nr.zip</v>
      </c>
    </row>
    <row r="7966" spans="1:21">
      <c r="A7966">
        <v>7965</v>
      </c>
      <c r="B7966" s="27" t="s">
        <v>20779</v>
      </c>
      <c r="D7966" s="27" t="s">
        <v>1826</v>
      </c>
      <c r="F7966" s="27" t="s">
        <v>1844</v>
      </c>
      <c r="H7966" s="27" t="s">
        <v>1845</v>
      </c>
      <c r="J7966" s="27" t="s">
        <v>20022</v>
      </c>
      <c r="L7966" s="27" t="s">
        <v>20023</v>
      </c>
      <c r="N7966" s="27" t="s">
        <v>20046</v>
      </c>
      <c r="P7966" s="27" t="s">
        <v>20057</v>
      </c>
      <c r="Q7966" s="26" t="str">
        <f>HYPERLINK("https://ictv.global/taxonomy/taxondetails?taxnode_id=202520145&amp;ictv_id=ICTV202420145","ICTV202420145")</f>
        <v>ICTV202420145</v>
      </c>
      <c r="R7966" t="s">
        <v>582</v>
      </c>
      <c r="S7966" t="s">
        <v>824</v>
      </c>
      <c r="T7966">
        <v>41</v>
      </c>
      <c r="U7966" s="26" t="str">
        <f t="shared" si="297"/>
        <v>2025.002G.Monodnaviria_reorg_4nr.zip</v>
      </c>
    </row>
    <row r="7967" spans="1:21">
      <c r="A7967">
        <v>7966</v>
      </c>
      <c r="B7967" s="27" t="s">
        <v>20779</v>
      </c>
      <c r="D7967" s="27" t="s">
        <v>1826</v>
      </c>
      <c r="F7967" s="27" t="s">
        <v>1844</v>
      </c>
      <c r="H7967" s="27" t="s">
        <v>1845</v>
      </c>
      <c r="J7967" s="27" t="s">
        <v>20022</v>
      </c>
      <c r="L7967" s="27" t="s">
        <v>20023</v>
      </c>
      <c r="N7967" s="27" t="s">
        <v>20046</v>
      </c>
      <c r="P7967" s="27" t="s">
        <v>20058</v>
      </c>
      <c r="Q7967" s="26" t="str">
        <f>HYPERLINK("https://ictv.global/taxonomy/taxondetails?taxnode_id=202520146&amp;ictv_id=ICTV202420146","ICTV202420146")</f>
        <v>ICTV202420146</v>
      </c>
      <c r="R7967" t="s">
        <v>582</v>
      </c>
      <c r="S7967" t="s">
        <v>824</v>
      </c>
      <c r="T7967">
        <v>41</v>
      </c>
      <c r="U7967" s="26" t="str">
        <f t="shared" si="297"/>
        <v>2025.002G.Monodnaviria_reorg_4nr.zip</v>
      </c>
    </row>
    <row r="7968" spans="1:21">
      <c r="A7968">
        <v>7967</v>
      </c>
      <c r="B7968" s="27" t="s">
        <v>20779</v>
      </c>
      <c r="D7968" s="27" t="s">
        <v>1826</v>
      </c>
      <c r="F7968" s="27" t="s">
        <v>1844</v>
      </c>
      <c r="H7968" s="27" t="s">
        <v>1845</v>
      </c>
      <c r="J7968" s="27" t="s">
        <v>20022</v>
      </c>
      <c r="L7968" s="27" t="s">
        <v>20023</v>
      </c>
      <c r="N7968" s="27" t="s">
        <v>20046</v>
      </c>
      <c r="P7968" s="27" t="s">
        <v>20059</v>
      </c>
      <c r="Q7968" s="26" t="str">
        <f>HYPERLINK("https://ictv.global/taxonomy/taxondetails?taxnode_id=202520154&amp;ictv_id=ICTV202420154","ICTV202420154")</f>
        <v>ICTV202420154</v>
      </c>
      <c r="R7968" t="s">
        <v>582</v>
      </c>
      <c r="S7968" t="s">
        <v>824</v>
      </c>
      <c r="T7968">
        <v>41</v>
      </c>
      <c r="U7968" s="26" t="str">
        <f t="shared" si="297"/>
        <v>2025.002G.Monodnaviria_reorg_4nr.zip</v>
      </c>
    </row>
    <row r="7969" spans="1:21">
      <c r="A7969">
        <v>7968</v>
      </c>
      <c r="B7969" s="27" t="s">
        <v>20779</v>
      </c>
      <c r="D7969" s="27" t="s">
        <v>1826</v>
      </c>
      <c r="F7969" s="27" t="s">
        <v>1844</v>
      </c>
      <c r="H7969" s="27" t="s">
        <v>1845</v>
      </c>
      <c r="J7969" s="27" t="s">
        <v>20022</v>
      </c>
      <c r="L7969" s="27" t="s">
        <v>20023</v>
      </c>
      <c r="N7969" s="27" t="s">
        <v>20046</v>
      </c>
      <c r="P7969" s="27" t="s">
        <v>20060</v>
      </c>
      <c r="Q7969" s="26" t="str">
        <f>HYPERLINK("https://ictv.global/taxonomy/taxondetails?taxnode_id=202520149&amp;ictv_id=ICTV202420149","ICTV202420149")</f>
        <v>ICTV202420149</v>
      </c>
      <c r="R7969" t="s">
        <v>582</v>
      </c>
      <c r="S7969" t="s">
        <v>824</v>
      </c>
      <c r="T7969">
        <v>41</v>
      </c>
      <c r="U7969" s="26" t="str">
        <f t="shared" si="297"/>
        <v>2025.002G.Monodnaviria_reorg_4nr.zip</v>
      </c>
    </row>
    <row r="7970" spans="1:21">
      <c r="A7970">
        <v>7969</v>
      </c>
      <c r="B7970" s="27" t="s">
        <v>20779</v>
      </c>
      <c r="D7970" s="27" t="s">
        <v>1826</v>
      </c>
      <c r="F7970" s="27" t="s">
        <v>1844</v>
      </c>
      <c r="H7970" s="27" t="s">
        <v>1845</v>
      </c>
      <c r="J7970" s="27" t="s">
        <v>20022</v>
      </c>
      <c r="L7970" s="27" t="s">
        <v>20023</v>
      </c>
      <c r="N7970" s="27" t="s">
        <v>20046</v>
      </c>
      <c r="P7970" s="27" t="s">
        <v>20061</v>
      </c>
      <c r="Q7970" s="26" t="str">
        <f>HYPERLINK("https://ictv.global/taxonomy/taxondetails?taxnode_id=202520155&amp;ictv_id=ICTV202420155","ICTV202420155")</f>
        <v>ICTV202420155</v>
      </c>
      <c r="R7970" t="s">
        <v>582</v>
      </c>
      <c r="S7970" t="s">
        <v>824</v>
      </c>
      <c r="T7970">
        <v>41</v>
      </c>
      <c r="U7970" s="26" t="str">
        <f t="shared" si="297"/>
        <v>2025.002G.Monodnaviria_reorg_4nr.zip</v>
      </c>
    </row>
    <row r="7971" spans="1:21">
      <c r="A7971">
        <v>7970</v>
      </c>
      <c r="B7971" s="27" t="s">
        <v>20779</v>
      </c>
      <c r="D7971" s="27" t="s">
        <v>1826</v>
      </c>
      <c r="F7971" s="27" t="s">
        <v>1844</v>
      </c>
      <c r="H7971" s="27" t="s">
        <v>1845</v>
      </c>
      <c r="J7971" s="27" t="s">
        <v>20022</v>
      </c>
      <c r="L7971" s="27" t="s">
        <v>20023</v>
      </c>
      <c r="N7971" s="27" t="s">
        <v>20046</v>
      </c>
      <c r="P7971" s="27" t="s">
        <v>20062</v>
      </c>
      <c r="Q7971" s="26" t="str">
        <f>HYPERLINK("https://ictv.global/taxonomy/taxondetails?taxnode_id=202520147&amp;ictv_id=ICTV202420147","ICTV202420147")</f>
        <v>ICTV202420147</v>
      </c>
      <c r="R7971" t="s">
        <v>582</v>
      </c>
      <c r="S7971" t="s">
        <v>824</v>
      </c>
      <c r="T7971">
        <v>41</v>
      </c>
      <c r="U7971" s="26" t="str">
        <f t="shared" si="297"/>
        <v>2025.002G.Monodnaviria_reorg_4nr.zip</v>
      </c>
    </row>
    <row r="7972" spans="1:21">
      <c r="A7972">
        <v>7971</v>
      </c>
      <c r="B7972" s="27" t="s">
        <v>20779</v>
      </c>
      <c r="D7972" s="27" t="s">
        <v>1826</v>
      </c>
      <c r="F7972" s="27" t="s">
        <v>1844</v>
      </c>
      <c r="H7972" s="27" t="s">
        <v>1845</v>
      </c>
      <c r="J7972" s="27" t="s">
        <v>20022</v>
      </c>
      <c r="L7972" s="27" t="s">
        <v>20023</v>
      </c>
      <c r="N7972" s="27" t="s">
        <v>20063</v>
      </c>
      <c r="P7972" s="27" t="s">
        <v>20064</v>
      </c>
      <c r="Q7972" s="26" t="str">
        <f>HYPERLINK("https://ictv.global/taxonomy/taxondetails?taxnode_id=202520181&amp;ictv_id=ICTV202420181","ICTV202420181")</f>
        <v>ICTV202420181</v>
      </c>
      <c r="R7972" t="s">
        <v>582</v>
      </c>
      <c r="S7972" t="s">
        <v>824</v>
      </c>
      <c r="T7972">
        <v>41</v>
      </c>
      <c r="U7972" s="26" t="str">
        <f t="shared" si="297"/>
        <v>2025.002G.Monodnaviria_reorg_4nr.zip</v>
      </c>
    </row>
    <row r="7973" spans="1:21">
      <c r="A7973">
        <v>7972</v>
      </c>
      <c r="B7973" s="27" t="s">
        <v>20779</v>
      </c>
      <c r="D7973" s="27" t="s">
        <v>1826</v>
      </c>
      <c r="F7973" s="27" t="s">
        <v>1844</v>
      </c>
      <c r="H7973" s="27" t="s">
        <v>1845</v>
      </c>
      <c r="J7973" s="27" t="s">
        <v>1849</v>
      </c>
      <c r="L7973" s="27" t="s">
        <v>8731</v>
      </c>
      <c r="N7973" s="27" t="s">
        <v>8732</v>
      </c>
      <c r="P7973" s="27" t="s">
        <v>8733</v>
      </c>
      <c r="Q7973" s="26" t="str">
        <f>HYPERLINK("https://ictv.global/taxonomy/taxondetails?taxnode_id=202515106&amp;ictv_id=ICTV202215106","ICTV202215106")</f>
        <v>ICTV202215106</v>
      </c>
      <c r="R7973" t="s">
        <v>660</v>
      </c>
      <c r="S7973" t="s">
        <v>824</v>
      </c>
      <c r="T7973">
        <v>41</v>
      </c>
      <c r="U7973" s="26" t="str">
        <f t="shared" si="297"/>
        <v>2025.002G.Monodnaviria_reorg_4nr.zip</v>
      </c>
    </row>
    <row r="7974" spans="1:21">
      <c r="A7974">
        <v>7973</v>
      </c>
      <c r="B7974" s="27" t="s">
        <v>20779</v>
      </c>
      <c r="D7974" s="27" t="s">
        <v>1826</v>
      </c>
      <c r="F7974" s="27" t="s">
        <v>1844</v>
      </c>
      <c r="H7974" s="27" t="s">
        <v>1845</v>
      </c>
      <c r="J7974" s="27" t="s">
        <v>1849</v>
      </c>
      <c r="L7974" s="27" t="s">
        <v>8731</v>
      </c>
      <c r="N7974" s="27" t="s">
        <v>8734</v>
      </c>
      <c r="P7974" s="27" t="s">
        <v>8735</v>
      </c>
      <c r="Q7974" s="26" t="str">
        <f>HYPERLINK("https://ictv.global/taxonomy/taxondetails?taxnode_id=202515107&amp;ictv_id=ICTV202215107","ICTV202215107")</f>
        <v>ICTV202215107</v>
      </c>
      <c r="R7974" t="s">
        <v>660</v>
      </c>
      <c r="S7974" t="s">
        <v>824</v>
      </c>
      <c r="T7974">
        <v>41</v>
      </c>
      <c r="U7974" s="26" t="str">
        <f t="shared" si="297"/>
        <v>2025.002G.Monodnaviria_reorg_4nr.zip</v>
      </c>
    </row>
    <row r="7975" spans="1:21">
      <c r="A7975">
        <v>7974</v>
      </c>
      <c r="B7975" s="27" t="s">
        <v>20779</v>
      </c>
      <c r="D7975" s="27" t="s">
        <v>1826</v>
      </c>
      <c r="F7975" s="27" t="s">
        <v>1844</v>
      </c>
      <c r="H7975" s="27" t="s">
        <v>1845</v>
      </c>
      <c r="J7975" s="27" t="s">
        <v>1849</v>
      </c>
      <c r="L7975" s="27" t="s">
        <v>12564</v>
      </c>
      <c r="N7975" s="27" t="s">
        <v>12565</v>
      </c>
      <c r="P7975" s="27" t="s">
        <v>12566</v>
      </c>
      <c r="Q7975" s="26" t="str">
        <f>HYPERLINK("https://ictv.global/taxonomy/taxondetails?taxnode_id=202518305&amp;ictv_id=ICTV202318305","ICTV202318305")</f>
        <v>ICTV202318305</v>
      </c>
      <c r="R7975" t="s">
        <v>660</v>
      </c>
      <c r="S7975" t="s">
        <v>824</v>
      </c>
      <c r="T7975">
        <v>41</v>
      </c>
      <c r="U7975" s="26" t="str">
        <f t="shared" si="297"/>
        <v>2025.002G.Monodnaviria_reorg_4nr.zip</v>
      </c>
    </row>
    <row r="7976" spans="1:21">
      <c r="A7976">
        <v>7975</v>
      </c>
      <c r="B7976" s="27" t="s">
        <v>20779</v>
      </c>
      <c r="D7976" s="27" t="s">
        <v>1826</v>
      </c>
      <c r="F7976" s="27" t="s">
        <v>1844</v>
      </c>
      <c r="H7976" s="27" t="s">
        <v>1845</v>
      </c>
      <c r="J7976" s="27" t="s">
        <v>1849</v>
      </c>
      <c r="L7976" s="27" t="s">
        <v>12564</v>
      </c>
      <c r="N7976" s="27" t="s">
        <v>12567</v>
      </c>
      <c r="P7976" s="27" t="s">
        <v>12568</v>
      </c>
      <c r="Q7976" s="26" t="str">
        <f>HYPERLINK("https://ictv.global/taxonomy/taxondetails?taxnode_id=202518308&amp;ictv_id=ICTV202318308","ICTV202318308")</f>
        <v>ICTV202318308</v>
      </c>
      <c r="R7976" t="s">
        <v>660</v>
      </c>
      <c r="S7976" t="s">
        <v>824</v>
      </c>
      <c r="T7976">
        <v>41</v>
      </c>
      <c r="U7976" s="26" t="str">
        <f t="shared" si="297"/>
        <v>2025.002G.Monodnaviria_reorg_4nr.zip</v>
      </c>
    </row>
    <row r="7977" spans="1:21">
      <c r="A7977">
        <v>7976</v>
      </c>
      <c r="B7977" s="27" t="s">
        <v>20779</v>
      </c>
      <c r="D7977" s="27" t="s">
        <v>1826</v>
      </c>
      <c r="F7977" s="27" t="s">
        <v>1844</v>
      </c>
      <c r="H7977" s="27" t="s">
        <v>1845</v>
      </c>
      <c r="J7977" s="27" t="s">
        <v>1849</v>
      </c>
      <c r="L7977" s="27" t="s">
        <v>12564</v>
      </c>
      <c r="N7977" s="27" t="s">
        <v>12569</v>
      </c>
      <c r="P7977" s="27" t="s">
        <v>12570</v>
      </c>
      <c r="Q7977" s="26" t="str">
        <f>HYPERLINK("https://ictv.global/taxonomy/taxondetails?taxnode_id=202518307&amp;ictv_id=ICTV202318307","ICTV202318307")</f>
        <v>ICTV202318307</v>
      </c>
      <c r="R7977" t="s">
        <v>660</v>
      </c>
      <c r="S7977" t="s">
        <v>824</v>
      </c>
      <c r="T7977">
        <v>41</v>
      </c>
      <c r="U7977" s="26" t="str">
        <f t="shared" si="297"/>
        <v>2025.002G.Monodnaviria_reorg_4nr.zip</v>
      </c>
    </row>
    <row r="7978" spans="1:21">
      <c r="A7978">
        <v>7977</v>
      </c>
      <c r="B7978" s="27" t="s">
        <v>20779</v>
      </c>
      <c r="D7978" s="27" t="s">
        <v>1826</v>
      </c>
      <c r="F7978" s="27" t="s">
        <v>1844</v>
      </c>
      <c r="H7978" s="27" t="s">
        <v>1845</v>
      </c>
      <c r="J7978" s="27" t="s">
        <v>1849</v>
      </c>
      <c r="L7978" s="27" t="s">
        <v>12564</v>
      </c>
      <c r="N7978" s="27" t="s">
        <v>12571</v>
      </c>
      <c r="P7978" s="27" t="s">
        <v>12572</v>
      </c>
      <c r="Q7978" s="26" t="str">
        <f>HYPERLINK("https://ictv.global/taxonomy/taxondetails?taxnode_id=202518302&amp;ictv_id=ICTV202318302","ICTV202318302")</f>
        <v>ICTV202318302</v>
      </c>
      <c r="R7978" t="s">
        <v>660</v>
      </c>
      <c r="S7978" t="s">
        <v>824</v>
      </c>
      <c r="T7978">
        <v>41</v>
      </c>
      <c r="U7978" s="26" t="str">
        <f t="shared" si="297"/>
        <v>2025.002G.Monodnaviria_reorg_4nr.zip</v>
      </c>
    </row>
    <row r="7979" spans="1:21">
      <c r="A7979">
        <v>7978</v>
      </c>
      <c r="B7979" s="27" t="s">
        <v>20779</v>
      </c>
      <c r="D7979" s="27" t="s">
        <v>1826</v>
      </c>
      <c r="F7979" s="27" t="s">
        <v>1844</v>
      </c>
      <c r="H7979" s="27" t="s">
        <v>1845</v>
      </c>
      <c r="J7979" s="27" t="s">
        <v>1849</v>
      </c>
      <c r="L7979" s="27" t="s">
        <v>12564</v>
      </c>
      <c r="N7979" s="27" t="s">
        <v>12573</v>
      </c>
      <c r="P7979" s="27" t="s">
        <v>12574</v>
      </c>
      <c r="Q7979" s="26" t="str">
        <f>HYPERLINK("https://ictv.global/taxonomy/taxondetails?taxnode_id=202518304&amp;ictv_id=ICTV202318304","ICTV202318304")</f>
        <v>ICTV202318304</v>
      </c>
      <c r="R7979" t="s">
        <v>660</v>
      </c>
      <c r="S7979" t="s">
        <v>824</v>
      </c>
      <c r="T7979">
        <v>41</v>
      </c>
      <c r="U7979" s="26" t="str">
        <f t="shared" si="297"/>
        <v>2025.002G.Monodnaviria_reorg_4nr.zip</v>
      </c>
    </row>
    <row r="7980" spans="1:21">
      <c r="A7980">
        <v>7979</v>
      </c>
      <c r="B7980" s="27" t="s">
        <v>20779</v>
      </c>
      <c r="D7980" s="27" t="s">
        <v>1826</v>
      </c>
      <c r="F7980" s="27" t="s">
        <v>1844</v>
      </c>
      <c r="H7980" s="27" t="s">
        <v>1845</v>
      </c>
      <c r="J7980" s="27" t="s">
        <v>1849</v>
      </c>
      <c r="L7980" s="27" t="s">
        <v>12564</v>
      </c>
      <c r="N7980" s="27" t="s">
        <v>12575</v>
      </c>
      <c r="P7980" s="27" t="s">
        <v>12576</v>
      </c>
      <c r="Q7980" s="26" t="str">
        <f>HYPERLINK("https://ictv.global/taxonomy/taxondetails?taxnode_id=202518309&amp;ictv_id=ICTV202318309","ICTV202318309")</f>
        <v>ICTV202318309</v>
      </c>
      <c r="R7980" t="s">
        <v>660</v>
      </c>
      <c r="S7980" t="s">
        <v>824</v>
      </c>
      <c r="T7980">
        <v>41</v>
      </c>
      <c r="U7980" s="26" t="str">
        <f t="shared" si="297"/>
        <v>2025.002G.Monodnaviria_reorg_4nr.zip</v>
      </c>
    </row>
    <row r="7981" spans="1:21">
      <c r="A7981">
        <v>7980</v>
      </c>
      <c r="B7981" s="27" t="s">
        <v>20779</v>
      </c>
      <c r="D7981" s="27" t="s">
        <v>1826</v>
      </c>
      <c r="F7981" s="27" t="s">
        <v>1844</v>
      </c>
      <c r="H7981" s="27" t="s">
        <v>1845</v>
      </c>
      <c r="J7981" s="27" t="s">
        <v>1849</v>
      </c>
      <c r="L7981" s="27" t="s">
        <v>12564</v>
      </c>
      <c r="N7981" s="27" t="s">
        <v>12577</v>
      </c>
      <c r="P7981" s="27" t="s">
        <v>12578</v>
      </c>
      <c r="Q7981" s="26" t="str">
        <f>HYPERLINK("https://ictv.global/taxonomy/taxondetails?taxnode_id=202518306&amp;ictv_id=ICTV202318306","ICTV202318306")</f>
        <v>ICTV202318306</v>
      </c>
      <c r="R7981" t="s">
        <v>660</v>
      </c>
      <c r="S7981" t="s">
        <v>824</v>
      </c>
      <c r="T7981">
        <v>41</v>
      </c>
      <c r="U7981" s="26" t="str">
        <f t="shared" si="297"/>
        <v>2025.002G.Monodnaviria_reorg_4nr.zip</v>
      </c>
    </row>
    <row r="7982" spans="1:21">
      <c r="A7982">
        <v>7981</v>
      </c>
      <c r="B7982" s="27" t="s">
        <v>20779</v>
      </c>
      <c r="D7982" s="27" t="s">
        <v>1826</v>
      </c>
      <c r="F7982" s="27" t="s">
        <v>1844</v>
      </c>
      <c r="H7982" s="27" t="s">
        <v>1845</v>
      </c>
      <c r="J7982" s="27" t="s">
        <v>1849</v>
      </c>
      <c r="L7982" s="27" t="s">
        <v>12564</v>
      </c>
      <c r="N7982" s="27" t="s">
        <v>12579</v>
      </c>
      <c r="P7982" s="27" t="s">
        <v>12580</v>
      </c>
      <c r="Q7982" s="26" t="str">
        <f>HYPERLINK("https://ictv.global/taxonomy/taxondetails?taxnode_id=202518303&amp;ictv_id=ICTV202318303","ICTV202318303")</f>
        <v>ICTV202318303</v>
      </c>
      <c r="R7982" t="s">
        <v>660</v>
      </c>
      <c r="S7982" t="s">
        <v>824</v>
      </c>
      <c r="T7982">
        <v>41</v>
      </c>
      <c r="U7982" s="26" t="str">
        <f t="shared" si="297"/>
        <v>2025.002G.Monodnaviria_reorg_4nr.zip</v>
      </c>
    </row>
    <row r="7983" spans="1:21">
      <c r="A7983">
        <v>7982</v>
      </c>
      <c r="B7983" s="27" t="s">
        <v>20779</v>
      </c>
      <c r="D7983" s="27" t="s">
        <v>1826</v>
      </c>
      <c r="F7983" s="27" t="s">
        <v>1844</v>
      </c>
      <c r="H7983" s="27" t="s">
        <v>1845</v>
      </c>
      <c r="J7983" s="27" t="s">
        <v>1849</v>
      </c>
      <c r="L7983" s="27" t="s">
        <v>12564</v>
      </c>
      <c r="N7983" s="27" t="s">
        <v>12581</v>
      </c>
      <c r="P7983" s="27" t="s">
        <v>12582</v>
      </c>
      <c r="Q7983" s="26" t="str">
        <f>HYPERLINK("https://ictv.global/taxonomy/taxondetails?taxnode_id=202518310&amp;ictv_id=ICTV202318310","ICTV202318310")</f>
        <v>ICTV202318310</v>
      </c>
      <c r="R7983" t="s">
        <v>660</v>
      </c>
      <c r="S7983" t="s">
        <v>824</v>
      </c>
      <c r="T7983">
        <v>41</v>
      </c>
      <c r="U7983" s="26" t="str">
        <f t="shared" si="297"/>
        <v>2025.002G.Monodnaviria_reorg_4nr.zip</v>
      </c>
    </row>
    <row r="7984" spans="1:21">
      <c r="A7984">
        <v>7983</v>
      </c>
      <c r="B7984" s="27" t="s">
        <v>20779</v>
      </c>
      <c r="D7984" s="27" t="s">
        <v>1826</v>
      </c>
      <c r="F7984" s="27" t="s">
        <v>1844</v>
      </c>
      <c r="H7984" s="27" t="s">
        <v>1845</v>
      </c>
      <c r="J7984" s="27" t="s">
        <v>1849</v>
      </c>
      <c r="L7984" s="27" t="s">
        <v>2430</v>
      </c>
      <c r="N7984" s="27" t="s">
        <v>2431</v>
      </c>
      <c r="P7984" s="27" t="s">
        <v>12583</v>
      </c>
      <c r="Q7984" s="26" t="str">
        <f>HYPERLINK("https://ictv.global/taxonomy/taxondetails?taxnode_id=202503907&amp;ictv_id=ICTV20074017","ICTV20074017")</f>
        <v>ICTV20074017</v>
      </c>
      <c r="R7984" t="s">
        <v>664</v>
      </c>
      <c r="S7984" t="s">
        <v>824</v>
      </c>
      <c r="T7984">
        <v>41</v>
      </c>
      <c r="U7984" s="26" t="str">
        <f t="shared" si="297"/>
        <v>2025.002G.Monodnaviria_reorg_4nr.zip</v>
      </c>
    </row>
    <row r="7985" spans="1:21">
      <c r="A7985">
        <v>7984</v>
      </c>
      <c r="B7985" s="27" t="s">
        <v>20779</v>
      </c>
      <c r="D7985" s="27" t="s">
        <v>1826</v>
      </c>
      <c r="F7985" s="27" t="s">
        <v>1844</v>
      </c>
      <c r="H7985" s="27" t="s">
        <v>1845</v>
      </c>
      <c r="J7985" s="27" t="s">
        <v>1849</v>
      </c>
      <c r="L7985" s="27" t="s">
        <v>447</v>
      </c>
      <c r="N7985" s="27" t="s">
        <v>448</v>
      </c>
      <c r="P7985" s="27" t="s">
        <v>12584</v>
      </c>
      <c r="Q7985" s="26" t="str">
        <f>HYPERLINK("https://ictv.global/taxonomy/taxondetails?taxnode_id=202503894&amp;ictv_id=ICTV20094112","ICTV20094112")</f>
        <v>ICTV20094112</v>
      </c>
      <c r="R7985" t="s">
        <v>664</v>
      </c>
      <c r="S7985" t="s">
        <v>824</v>
      </c>
      <c r="T7985">
        <v>41</v>
      </c>
      <c r="U7985" s="26" t="str">
        <f t="shared" si="297"/>
        <v>2025.002G.Monodnaviria_reorg_4nr.zip</v>
      </c>
    </row>
    <row r="7986" spans="1:21">
      <c r="A7986">
        <v>7985</v>
      </c>
      <c r="B7986" s="27" t="s">
        <v>20779</v>
      </c>
      <c r="D7986" s="27" t="s">
        <v>1826</v>
      </c>
      <c r="F7986" s="27" t="s">
        <v>1844</v>
      </c>
      <c r="H7986" s="27" t="s">
        <v>1845</v>
      </c>
      <c r="J7986" s="27" t="s">
        <v>1849</v>
      </c>
      <c r="L7986" s="27" t="s">
        <v>447</v>
      </c>
      <c r="N7986" s="27" t="s">
        <v>448</v>
      </c>
      <c r="P7986" s="27" t="s">
        <v>12585</v>
      </c>
      <c r="Q7986" s="26" t="str">
        <f>HYPERLINK("https://ictv.global/taxonomy/taxondetails?taxnode_id=202503896&amp;ictv_id=ICTV20094114","ICTV20094114")</f>
        <v>ICTV20094114</v>
      </c>
      <c r="R7986" t="s">
        <v>664</v>
      </c>
      <c r="S7986" t="s">
        <v>824</v>
      </c>
      <c r="T7986">
        <v>41</v>
      </c>
      <c r="U7986" s="26" t="str">
        <f t="shared" si="297"/>
        <v>2025.002G.Monodnaviria_reorg_4nr.zip</v>
      </c>
    </row>
    <row r="7987" spans="1:21">
      <c r="A7987">
        <v>7986</v>
      </c>
      <c r="B7987" s="27" t="s">
        <v>20779</v>
      </c>
      <c r="D7987" s="27" t="s">
        <v>1826</v>
      </c>
      <c r="F7987" s="27" t="s">
        <v>1844</v>
      </c>
      <c r="H7987" s="27" t="s">
        <v>1845</v>
      </c>
      <c r="J7987" s="27" t="s">
        <v>1849</v>
      </c>
      <c r="L7987" s="27" t="s">
        <v>447</v>
      </c>
      <c r="N7987" s="27" t="s">
        <v>448</v>
      </c>
      <c r="P7987" s="27" t="s">
        <v>12586</v>
      </c>
      <c r="Q7987" s="26" t="str">
        <f>HYPERLINK("https://ictv.global/taxonomy/taxondetails?taxnode_id=202503895&amp;ictv_id=ICTV19982654","ICTV19982654")</f>
        <v>ICTV19982654</v>
      </c>
      <c r="R7987" t="s">
        <v>664</v>
      </c>
      <c r="S7987" t="s">
        <v>824</v>
      </c>
      <c r="T7987">
        <v>41</v>
      </c>
      <c r="U7987" s="26" t="str">
        <f t="shared" si="297"/>
        <v>2025.002G.Monodnaviria_reorg_4nr.zip</v>
      </c>
    </row>
    <row r="7988" spans="1:21">
      <c r="A7988">
        <v>7987</v>
      </c>
      <c r="B7988" s="27" t="s">
        <v>20779</v>
      </c>
      <c r="D7988" s="27" t="s">
        <v>1826</v>
      </c>
      <c r="F7988" s="27" t="s">
        <v>1844</v>
      </c>
      <c r="H7988" s="27" t="s">
        <v>1845</v>
      </c>
      <c r="J7988" s="27" t="s">
        <v>1849</v>
      </c>
      <c r="L7988" s="27" t="s">
        <v>447</v>
      </c>
      <c r="N7988" s="27" t="s">
        <v>449</v>
      </c>
      <c r="P7988" s="27" t="s">
        <v>12587</v>
      </c>
      <c r="Q7988" s="26" t="str">
        <f>HYPERLINK("https://ictv.global/taxonomy/taxondetails?taxnode_id=202503902&amp;ictv_id=ICTV19982656","ICTV19982656")</f>
        <v>ICTV19982656</v>
      </c>
      <c r="R7988" t="s">
        <v>664</v>
      </c>
      <c r="S7988" t="s">
        <v>824</v>
      </c>
      <c r="T7988">
        <v>41</v>
      </c>
      <c r="U7988" s="26" t="str">
        <f t="shared" si="297"/>
        <v>2025.002G.Monodnaviria_reorg_4nr.zip</v>
      </c>
    </row>
    <row r="7989" spans="1:21">
      <c r="A7989">
        <v>7988</v>
      </c>
      <c r="B7989" s="27" t="s">
        <v>20779</v>
      </c>
      <c r="D7989" s="27" t="s">
        <v>1826</v>
      </c>
      <c r="F7989" s="27" t="s">
        <v>1844</v>
      </c>
      <c r="H7989" s="27" t="s">
        <v>1845</v>
      </c>
      <c r="J7989" s="27" t="s">
        <v>1849</v>
      </c>
      <c r="L7989" s="27" t="s">
        <v>447</v>
      </c>
      <c r="N7989" s="27" t="s">
        <v>449</v>
      </c>
      <c r="P7989" s="27" t="s">
        <v>12588</v>
      </c>
      <c r="Q7989" s="26" t="str">
        <f>HYPERLINK("https://ictv.global/taxonomy/taxondetails?taxnode_id=202518788&amp;ictv_id=ICTV202318788","ICTV202318788")</f>
        <v>ICTV202318788</v>
      </c>
      <c r="R7989" t="s">
        <v>664</v>
      </c>
      <c r="S7989" t="s">
        <v>824</v>
      </c>
      <c r="T7989">
        <v>41</v>
      </c>
      <c r="U7989" s="26" t="str">
        <f t="shared" si="297"/>
        <v>2025.002G.Monodnaviria_reorg_4nr.zip</v>
      </c>
    </row>
    <row r="7990" spans="1:21">
      <c r="A7990">
        <v>7989</v>
      </c>
      <c r="B7990" s="27" t="s">
        <v>20779</v>
      </c>
      <c r="D7990" s="27" t="s">
        <v>1826</v>
      </c>
      <c r="F7990" s="27" t="s">
        <v>1844</v>
      </c>
      <c r="H7990" s="27" t="s">
        <v>1845</v>
      </c>
      <c r="J7990" s="27" t="s">
        <v>1849</v>
      </c>
      <c r="L7990" s="27" t="s">
        <v>447</v>
      </c>
      <c r="N7990" s="27" t="s">
        <v>449</v>
      </c>
      <c r="P7990" s="27" t="s">
        <v>12589</v>
      </c>
      <c r="Q7990" s="26" t="str">
        <f>HYPERLINK("https://ictv.global/taxonomy/taxondetails?taxnode_id=202503904&amp;ictv_id=ICTV20153176","ICTV20153176")</f>
        <v>ICTV20153176</v>
      </c>
      <c r="R7990" t="s">
        <v>664</v>
      </c>
      <c r="S7990" t="s">
        <v>824</v>
      </c>
      <c r="T7990">
        <v>41</v>
      </c>
      <c r="U7990" s="26" t="str">
        <f t="shared" si="297"/>
        <v>2025.002G.Monodnaviria_reorg_4nr.zip</v>
      </c>
    </row>
    <row r="7991" spans="1:21">
      <c r="A7991">
        <v>7990</v>
      </c>
      <c r="B7991" s="27" t="s">
        <v>20779</v>
      </c>
      <c r="D7991" s="27" t="s">
        <v>1826</v>
      </c>
      <c r="F7991" s="27" t="s">
        <v>1844</v>
      </c>
      <c r="H7991" s="27" t="s">
        <v>1845</v>
      </c>
      <c r="J7991" s="27" t="s">
        <v>1849</v>
      </c>
      <c r="L7991" s="27" t="s">
        <v>447</v>
      </c>
      <c r="N7991" s="27" t="s">
        <v>449</v>
      </c>
      <c r="P7991" s="27" t="s">
        <v>12590</v>
      </c>
      <c r="Q7991" s="26" t="str">
        <f>HYPERLINK("https://ictv.global/taxonomy/taxondetails?taxnode_id=202503901&amp;ictv_id=ICTV20125746","ICTV20125746")</f>
        <v>ICTV20125746</v>
      </c>
      <c r="R7991" t="s">
        <v>664</v>
      </c>
      <c r="S7991" t="s">
        <v>824</v>
      </c>
      <c r="T7991">
        <v>41</v>
      </c>
      <c r="U7991" s="26" t="str">
        <f t="shared" si="297"/>
        <v>2025.002G.Monodnaviria_reorg_4nr.zip</v>
      </c>
    </row>
    <row r="7992" spans="1:21">
      <c r="A7992">
        <v>7991</v>
      </c>
      <c r="B7992" s="27" t="s">
        <v>20779</v>
      </c>
      <c r="D7992" s="27" t="s">
        <v>1826</v>
      </c>
      <c r="F7992" s="27" t="s">
        <v>1844</v>
      </c>
      <c r="H7992" s="27" t="s">
        <v>1845</v>
      </c>
      <c r="J7992" s="27" t="s">
        <v>1849</v>
      </c>
      <c r="L7992" s="27" t="s">
        <v>447</v>
      </c>
      <c r="N7992" s="27" t="s">
        <v>449</v>
      </c>
      <c r="P7992" s="27" t="s">
        <v>12591</v>
      </c>
      <c r="Q7992" s="26" t="str">
        <f>HYPERLINK("https://ictv.global/taxonomy/taxondetails?taxnode_id=202503898&amp;ictv_id=ICTV20153175","ICTV20153175")</f>
        <v>ICTV20153175</v>
      </c>
      <c r="R7992" t="s">
        <v>664</v>
      </c>
      <c r="S7992" t="s">
        <v>824</v>
      </c>
      <c r="T7992">
        <v>41</v>
      </c>
      <c r="U7992" s="26" t="str">
        <f t="shared" si="297"/>
        <v>2025.002G.Monodnaviria_reorg_4nr.zip</v>
      </c>
    </row>
    <row r="7993" spans="1:21">
      <c r="A7993">
        <v>7992</v>
      </c>
      <c r="B7993" s="27" t="s">
        <v>20779</v>
      </c>
      <c r="D7993" s="27" t="s">
        <v>1826</v>
      </c>
      <c r="F7993" s="27" t="s">
        <v>1844</v>
      </c>
      <c r="H7993" s="27" t="s">
        <v>1845</v>
      </c>
      <c r="J7993" s="27" t="s">
        <v>1849</v>
      </c>
      <c r="L7993" s="27" t="s">
        <v>447</v>
      </c>
      <c r="N7993" s="27" t="s">
        <v>449</v>
      </c>
      <c r="P7993" s="27" t="s">
        <v>12592</v>
      </c>
      <c r="Q7993" s="26" t="str">
        <f>HYPERLINK("https://ictv.global/taxonomy/taxondetails?taxnode_id=202503900&amp;ictv_id=ICTV19982655","ICTV19982655")</f>
        <v>ICTV19982655</v>
      </c>
      <c r="R7993" t="s">
        <v>664</v>
      </c>
      <c r="S7993" t="s">
        <v>824</v>
      </c>
      <c r="T7993">
        <v>41</v>
      </c>
      <c r="U7993" s="26" t="str">
        <f t="shared" si="297"/>
        <v>2025.002G.Monodnaviria_reorg_4nr.zip</v>
      </c>
    </row>
    <row r="7994" spans="1:21">
      <c r="A7994">
        <v>7993</v>
      </c>
      <c r="B7994" s="27" t="s">
        <v>20779</v>
      </c>
      <c r="D7994" s="27" t="s">
        <v>1826</v>
      </c>
      <c r="F7994" s="27" t="s">
        <v>1844</v>
      </c>
      <c r="H7994" s="27" t="s">
        <v>1845</v>
      </c>
      <c r="J7994" s="27" t="s">
        <v>1849</v>
      </c>
      <c r="L7994" s="27" t="s">
        <v>447</v>
      </c>
      <c r="N7994" s="27" t="s">
        <v>449</v>
      </c>
      <c r="P7994" s="27" t="s">
        <v>12593</v>
      </c>
      <c r="Q7994" s="26" t="str">
        <f>HYPERLINK("https://ictv.global/taxonomy/taxondetails?taxnode_id=202503903&amp;ictv_id=ICTV20115411","ICTV20115411")</f>
        <v>ICTV20115411</v>
      </c>
      <c r="R7994" t="s">
        <v>664</v>
      </c>
      <c r="S7994" t="s">
        <v>824</v>
      </c>
      <c r="T7994">
        <v>41</v>
      </c>
      <c r="U7994" s="26" t="str">
        <f t="shared" si="297"/>
        <v>2025.002G.Monodnaviria_reorg_4nr.zip</v>
      </c>
    </row>
    <row r="7995" spans="1:21">
      <c r="A7995">
        <v>7994</v>
      </c>
      <c r="B7995" s="27" t="s">
        <v>20779</v>
      </c>
      <c r="D7995" s="27" t="s">
        <v>1826</v>
      </c>
      <c r="F7995" s="27" t="s">
        <v>1844</v>
      </c>
      <c r="H7995" s="27" t="s">
        <v>1845</v>
      </c>
      <c r="J7995" s="27" t="s">
        <v>1849</v>
      </c>
      <c r="L7995" s="27" t="s">
        <v>447</v>
      </c>
      <c r="N7995" s="27" t="s">
        <v>449</v>
      </c>
      <c r="P7995" s="27" t="s">
        <v>12594</v>
      </c>
      <c r="Q7995" s="26" t="str">
        <f>HYPERLINK("https://ictv.global/taxonomy/taxondetails?taxnode_id=202503899&amp;ictv_id=ICTV20115410","ICTV20115410")</f>
        <v>ICTV20115410</v>
      </c>
      <c r="R7995" t="s">
        <v>664</v>
      </c>
      <c r="S7995" t="s">
        <v>824</v>
      </c>
      <c r="T7995">
        <v>41</v>
      </c>
      <c r="U7995" s="26" t="str">
        <f t="shared" si="297"/>
        <v>2025.002G.Monodnaviria_reorg_4nr.zip</v>
      </c>
    </row>
    <row r="7996" spans="1:21">
      <c r="A7996">
        <v>7995</v>
      </c>
      <c r="B7996" s="27" t="s">
        <v>20779</v>
      </c>
      <c r="D7996" s="27" t="s">
        <v>1826</v>
      </c>
      <c r="F7996" s="27" t="s">
        <v>1844</v>
      </c>
      <c r="H7996" s="27" t="s">
        <v>1845</v>
      </c>
      <c r="J7996" s="27" t="s">
        <v>1849</v>
      </c>
      <c r="L7996" s="27" t="s">
        <v>447</v>
      </c>
      <c r="N7996" s="27" t="s">
        <v>449</v>
      </c>
      <c r="P7996" s="27" t="s">
        <v>12595</v>
      </c>
      <c r="Q7996" s="26" t="str">
        <f>HYPERLINK("https://ictv.global/taxonomy/taxondetails?taxnode_id=202509659&amp;ictv_id=ICTV202009659","ICTV202009659")</f>
        <v>ICTV202009659</v>
      </c>
      <c r="R7996" t="s">
        <v>664</v>
      </c>
      <c r="S7996" t="s">
        <v>824</v>
      </c>
      <c r="T7996">
        <v>41</v>
      </c>
      <c r="U7996" s="26" t="str">
        <f t="shared" si="297"/>
        <v>2025.002G.Monodnaviria_reorg_4nr.zip</v>
      </c>
    </row>
    <row r="7997" spans="1:21">
      <c r="A7997">
        <v>7996</v>
      </c>
      <c r="B7997" s="27" t="s">
        <v>20779</v>
      </c>
      <c r="D7997" s="27" t="s">
        <v>1826</v>
      </c>
      <c r="F7997" s="27" t="s">
        <v>1844</v>
      </c>
      <c r="H7997" s="27" t="s">
        <v>1845</v>
      </c>
      <c r="J7997" s="27" t="s">
        <v>1849</v>
      </c>
      <c r="L7997" s="27" t="s">
        <v>447</v>
      </c>
      <c r="N7997" s="27" t="s">
        <v>449</v>
      </c>
      <c r="P7997" s="27" t="s">
        <v>12596</v>
      </c>
      <c r="Q7997" s="26" t="str">
        <f>HYPERLINK("https://ictv.global/taxonomy/taxondetails?taxnode_id=202509660&amp;ictv_id=ICTV202009660","ICTV202009660")</f>
        <v>ICTV202009660</v>
      </c>
      <c r="R7997" t="s">
        <v>664</v>
      </c>
      <c r="S7997" t="s">
        <v>824</v>
      </c>
      <c r="T7997">
        <v>41</v>
      </c>
      <c r="U7997" s="26" t="str">
        <f t="shared" si="297"/>
        <v>2025.002G.Monodnaviria_reorg_4nr.zip</v>
      </c>
    </row>
    <row r="7998" spans="1:21">
      <c r="A7998">
        <v>7997</v>
      </c>
      <c r="B7998" s="27" t="s">
        <v>20779</v>
      </c>
      <c r="D7998" s="27" t="s">
        <v>1826</v>
      </c>
      <c r="F7998" s="27" t="s">
        <v>1844</v>
      </c>
      <c r="H7998" s="27" t="s">
        <v>1845</v>
      </c>
      <c r="J7998" s="27" t="s">
        <v>1849</v>
      </c>
      <c r="L7998" s="27" t="s">
        <v>447</v>
      </c>
      <c r="N7998" s="27" t="s">
        <v>449</v>
      </c>
      <c r="P7998" s="27" t="s">
        <v>12597</v>
      </c>
      <c r="Q7998" s="26" t="str">
        <f>HYPERLINK("https://ictv.global/taxonomy/taxondetails?taxnode_id=202503905&amp;ictv_id=ICTV19982657","ICTV19982657")</f>
        <v>ICTV19982657</v>
      </c>
      <c r="R7998" t="s">
        <v>664</v>
      </c>
      <c r="S7998" t="s">
        <v>824</v>
      </c>
      <c r="T7998">
        <v>41</v>
      </c>
      <c r="U7998" s="26" t="str">
        <f t="shared" si="297"/>
        <v>2025.002G.Monodnaviria_reorg_4nr.zip</v>
      </c>
    </row>
    <row r="7999" spans="1:21">
      <c r="A7999">
        <v>7998</v>
      </c>
      <c r="B7999" s="27" t="s">
        <v>20779</v>
      </c>
      <c r="D7999" s="27" t="s">
        <v>1826</v>
      </c>
      <c r="F7999" s="27" t="s">
        <v>1844</v>
      </c>
      <c r="H7999" s="27" t="s">
        <v>1845</v>
      </c>
      <c r="J7999" s="27" t="s">
        <v>1849</v>
      </c>
      <c r="L7999" s="27" t="s">
        <v>447</v>
      </c>
      <c r="N7999" s="27" t="s">
        <v>449</v>
      </c>
      <c r="P7999" s="27" t="s">
        <v>12598</v>
      </c>
      <c r="Q7999" s="26" t="str">
        <f>HYPERLINK("https://ictv.global/taxonomy/taxondetails?taxnode_id=202509658&amp;ictv_id=ICTV202009658","ICTV202009658")</f>
        <v>ICTV202009658</v>
      </c>
      <c r="R7999" t="s">
        <v>664</v>
      </c>
      <c r="S7999" t="s">
        <v>824</v>
      </c>
      <c r="T7999">
        <v>41</v>
      </c>
      <c r="U7999" s="26" t="str">
        <f t="shared" si="297"/>
        <v>2025.002G.Monodnaviria_reorg_4nr.zip</v>
      </c>
    </row>
    <row r="8000" spans="1:21">
      <c r="A8000">
        <v>7999</v>
      </c>
      <c r="B8000" s="27" t="s">
        <v>20779</v>
      </c>
      <c r="D8000" s="27" t="s">
        <v>1826</v>
      </c>
      <c r="F8000" s="27" t="s">
        <v>1844</v>
      </c>
      <c r="H8000" s="27" t="s">
        <v>1845</v>
      </c>
      <c r="J8000" s="27" t="s">
        <v>1850</v>
      </c>
      <c r="L8000" s="27" t="s">
        <v>1851</v>
      </c>
      <c r="N8000" s="27" t="s">
        <v>1852</v>
      </c>
      <c r="P8000" s="27" t="s">
        <v>12599</v>
      </c>
      <c r="Q8000" s="26" t="str">
        <f>HYPERLINK("https://ictv.global/taxonomy/taxondetails?taxnode_id=202507364&amp;ictv_id=ICTV201907364","ICTV201907364")</f>
        <v>ICTV201907364</v>
      </c>
      <c r="R8000" t="s">
        <v>660</v>
      </c>
      <c r="S8000" t="s">
        <v>824</v>
      </c>
      <c r="T8000">
        <v>41</v>
      </c>
      <c r="U8000" s="26" t="str">
        <f t="shared" si="297"/>
        <v>2025.002G.Monodnaviria_reorg_4nr.zip</v>
      </c>
    </row>
    <row r="8001" spans="1:21">
      <c r="A8001">
        <v>8000</v>
      </c>
      <c r="B8001" s="27" t="s">
        <v>20779</v>
      </c>
      <c r="D8001" s="27" t="s">
        <v>1826</v>
      </c>
      <c r="F8001" s="27" t="s">
        <v>1844</v>
      </c>
      <c r="H8001" s="27" t="s">
        <v>1845</v>
      </c>
      <c r="J8001" s="27" t="s">
        <v>1850</v>
      </c>
      <c r="L8001" s="27" t="s">
        <v>1851</v>
      </c>
      <c r="N8001" s="27" t="s">
        <v>1852</v>
      </c>
      <c r="P8001" s="27" t="s">
        <v>12600</v>
      </c>
      <c r="Q8001" s="26" t="str">
        <f>HYPERLINK("https://ictv.global/taxonomy/taxondetails?taxnode_id=202507365&amp;ictv_id=ICTV201907365","ICTV201907365")</f>
        <v>ICTV201907365</v>
      </c>
      <c r="R8001" t="s">
        <v>660</v>
      </c>
      <c r="S8001" t="s">
        <v>824</v>
      </c>
      <c r="T8001">
        <v>41</v>
      </c>
      <c r="U8001" s="26" t="str">
        <f t="shared" si="297"/>
        <v>2025.002G.Monodnaviria_reorg_4nr.zip</v>
      </c>
    </row>
    <row r="8002" spans="1:21">
      <c r="A8002">
        <v>8001</v>
      </c>
      <c r="B8002" s="27" t="s">
        <v>20779</v>
      </c>
      <c r="D8002" s="27" t="s">
        <v>1826</v>
      </c>
      <c r="F8002" s="27" t="s">
        <v>1844</v>
      </c>
      <c r="H8002" s="27" t="s">
        <v>1845</v>
      </c>
      <c r="J8002" s="27" t="s">
        <v>12601</v>
      </c>
      <c r="L8002" s="27" t="s">
        <v>12602</v>
      </c>
      <c r="N8002" s="27" t="s">
        <v>12603</v>
      </c>
      <c r="P8002" s="27" t="s">
        <v>12604</v>
      </c>
      <c r="Q8002" s="26" t="str">
        <f>HYPERLINK("https://ictv.global/taxonomy/taxondetails?taxnode_id=202518583&amp;ictv_id=ICTV202318583","ICTV202318583")</f>
        <v>ICTV202318583</v>
      </c>
      <c r="R8002" t="s">
        <v>660</v>
      </c>
      <c r="S8002" t="s">
        <v>824</v>
      </c>
      <c r="T8002">
        <v>41</v>
      </c>
      <c r="U8002" s="26" t="str">
        <f t="shared" si="297"/>
        <v>2025.002G.Monodnaviria_reorg_4nr.zip</v>
      </c>
    </row>
    <row r="8003" spans="1:21">
      <c r="A8003">
        <v>8002</v>
      </c>
      <c r="B8003" s="27" t="s">
        <v>20779</v>
      </c>
      <c r="D8003" s="27" t="s">
        <v>1826</v>
      </c>
      <c r="F8003" s="27" t="s">
        <v>1844</v>
      </c>
      <c r="H8003" s="27" t="s">
        <v>1845</v>
      </c>
      <c r="J8003" s="27" t="s">
        <v>12601</v>
      </c>
      <c r="L8003" s="27" t="s">
        <v>12602</v>
      </c>
      <c r="N8003" s="27" t="s">
        <v>12603</v>
      </c>
      <c r="P8003" s="27" t="s">
        <v>12605</v>
      </c>
      <c r="Q8003" s="26" t="str">
        <f>HYPERLINK("https://ictv.global/taxonomy/taxondetails?taxnode_id=202518584&amp;ictv_id=ICTV202318584","ICTV202318584")</f>
        <v>ICTV202318584</v>
      </c>
      <c r="R8003" t="s">
        <v>660</v>
      </c>
      <c r="S8003" t="s">
        <v>824</v>
      </c>
      <c r="T8003">
        <v>41</v>
      </c>
      <c r="U8003" s="26" t="str">
        <f t="shared" si="297"/>
        <v>2025.002G.Monodnaviria_reorg_4nr.zip</v>
      </c>
    </row>
    <row r="8004" spans="1:21">
      <c r="A8004">
        <v>8003</v>
      </c>
      <c r="B8004" s="27" t="s">
        <v>20779</v>
      </c>
      <c r="D8004" s="27" t="s">
        <v>1826</v>
      </c>
      <c r="F8004" s="27" t="s">
        <v>1844</v>
      </c>
      <c r="H8004" s="27" t="s">
        <v>1845</v>
      </c>
      <c r="J8004" s="27" t="s">
        <v>12601</v>
      </c>
      <c r="L8004" s="27" t="s">
        <v>12602</v>
      </c>
      <c r="N8004" s="27" t="s">
        <v>12603</v>
      </c>
      <c r="P8004" s="27" t="s">
        <v>12606</v>
      </c>
      <c r="Q8004" s="26" t="str">
        <f>HYPERLINK("https://ictv.global/taxonomy/taxondetails?taxnode_id=202518582&amp;ictv_id=ICTV202318582","ICTV202318582")</f>
        <v>ICTV202318582</v>
      </c>
      <c r="R8004" t="s">
        <v>660</v>
      </c>
      <c r="S8004" t="s">
        <v>824</v>
      </c>
      <c r="T8004">
        <v>41</v>
      </c>
      <c r="U8004" s="26" t="str">
        <f t="shared" si="297"/>
        <v>2025.002G.Monodnaviria_reorg_4nr.zip</v>
      </c>
    </row>
    <row r="8005" spans="1:21">
      <c r="A8005">
        <v>8004</v>
      </c>
      <c r="B8005" s="27" t="s">
        <v>20779</v>
      </c>
      <c r="D8005" s="27" t="s">
        <v>1826</v>
      </c>
      <c r="F8005" s="27" t="s">
        <v>1844</v>
      </c>
      <c r="H8005" s="27" t="s">
        <v>1845</v>
      </c>
      <c r="J8005" s="27" t="s">
        <v>12601</v>
      </c>
      <c r="L8005" s="27" t="s">
        <v>12602</v>
      </c>
      <c r="N8005" s="27" t="s">
        <v>12607</v>
      </c>
      <c r="P8005" s="27" t="s">
        <v>12608</v>
      </c>
      <c r="Q8005" s="26" t="str">
        <f>HYPERLINK("https://ictv.global/taxonomy/taxondetails?taxnode_id=202518588&amp;ictv_id=ICTV202318588","ICTV202318588")</f>
        <v>ICTV202318588</v>
      </c>
      <c r="R8005" t="s">
        <v>660</v>
      </c>
      <c r="S8005" t="s">
        <v>824</v>
      </c>
      <c r="T8005">
        <v>41</v>
      </c>
      <c r="U8005" s="26" t="str">
        <f t="shared" si="297"/>
        <v>2025.002G.Monodnaviria_reorg_4nr.zip</v>
      </c>
    </row>
    <row r="8006" spans="1:21">
      <c r="A8006">
        <v>8005</v>
      </c>
      <c r="B8006" s="27" t="s">
        <v>20779</v>
      </c>
      <c r="D8006" s="27" t="s">
        <v>1826</v>
      </c>
      <c r="F8006" s="27" t="s">
        <v>1844</v>
      </c>
      <c r="H8006" s="27" t="s">
        <v>1845</v>
      </c>
      <c r="J8006" s="27" t="s">
        <v>12601</v>
      </c>
      <c r="L8006" s="27" t="s">
        <v>12602</v>
      </c>
      <c r="N8006" s="27" t="s">
        <v>12607</v>
      </c>
      <c r="P8006" s="27" t="s">
        <v>12609</v>
      </c>
      <c r="Q8006" s="26" t="str">
        <f>HYPERLINK("https://ictv.global/taxonomy/taxondetails?taxnode_id=202518589&amp;ictv_id=ICTV202318589","ICTV202318589")</f>
        <v>ICTV202318589</v>
      </c>
      <c r="R8006" t="s">
        <v>660</v>
      </c>
      <c r="S8006" t="s">
        <v>824</v>
      </c>
      <c r="T8006">
        <v>41</v>
      </c>
      <c r="U8006" s="26" t="str">
        <f t="shared" si="297"/>
        <v>2025.002G.Monodnaviria_reorg_4nr.zip</v>
      </c>
    </row>
    <row r="8007" spans="1:21">
      <c r="A8007">
        <v>8006</v>
      </c>
      <c r="B8007" s="27" t="s">
        <v>20779</v>
      </c>
      <c r="D8007" s="27" t="s">
        <v>1826</v>
      </c>
      <c r="F8007" s="27" t="s">
        <v>1844</v>
      </c>
      <c r="H8007" s="27" t="s">
        <v>1845</v>
      </c>
      <c r="J8007" s="27" t="s">
        <v>12601</v>
      </c>
      <c r="L8007" s="27" t="s">
        <v>12602</v>
      </c>
      <c r="N8007" s="27" t="s">
        <v>12610</v>
      </c>
      <c r="P8007" s="27" t="s">
        <v>12611</v>
      </c>
      <c r="Q8007" s="26" t="str">
        <f>HYPERLINK("https://ictv.global/taxonomy/taxondetails?taxnode_id=202518578&amp;ictv_id=ICTV202318578","ICTV202318578")</f>
        <v>ICTV202318578</v>
      </c>
      <c r="R8007" t="s">
        <v>660</v>
      </c>
      <c r="S8007" t="s">
        <v>824</v>
      </c>
      <c r="T8007">
        <v>41</v>
      </c>
      <c r="U8007" s="26" t="str">
        <f t="shared" si="297"/>
        <v>2025.002G.Monodnaviria_reorg_4nr.zip</v>
      </c>
    </row>
    <row r="8008" spans="1:21">
      <c r="A8008">
        <v>8007</v>
      </c>
      <c r="B8008" s="27" t="s">
        <v>20779</v>
      </c>
      <c r="D8008" s="27" t="s">
        <v>1826</v>
      </c>
      <c r="F8008" s="27" t="s">
        <v>1844</v>
      </c>
      <c r="H8008" s="27" t="s">
        <v>1845</v>
      </c>
      <c r="J8008" s="27" t="s">
        <v>12601</v>
      </c>
      <c r="L8008" s="27" t="s">
        <v>12602</v>
      </c>
      <c r="N8008" s="27" t="s">
        <v>12610</v>
      </c>
      <c r="P8008" s="27" t="s">
        <v>12612</v>
      </c>
      <c r="Q8008" s="26" t="str">
        <f>HYPERLINK("https://ictv.global/taxonomy/taxondetails?taxnode_id=202518579&amp;ictv_id=ICTV202318579","ICTV202318579")</f>
        <v>ICTV202318579</v>
      </c>
      <c r="R8008" t="s">
        <v>660</v>
      </c>
      <c r="S8008" t="s">
        <v>824</v>
      </c>
      <c r="T8008">
        <v>41</v>
      </c>
      <c r="U8008" s="26" t="str">
        <f t="shared" si="297"/>
        <v>2025.002G.Monodnaviria_reorg_4nr.zip</v>
      </c>
    </row>
    <row r="8009" spans="1:21">
      <c r="A8009">
        <v>8008</v>
      </c>
      <c r="B8009" s="27" t="s">
        <v>20779</v>
      </c>
      <c r="D8009" s="27" t="s">
        <v>1826</v>
      </c>
      <c r="F8009" s="27" t="s">
        <v>1844</v>
      </c>
      <c r="H8009" s="27" t="s">
        <v>1845</v>
      </c>
      <c r="J8009" s="27" t="s">
        <v>12601</v>
      </c>
      <c r="L8009" s="27" t="s">
        <v>12602</v>
      </c>
      <c r="N8009" s="27" t="s">
        <v>12613</v>
      </c>
      <c r="P8009" s="27" t="s">
        <v>12614</v>
      </c>
      <c r="Q8009" s="26" t="str">
        <f>HYPERLINK("https://ictv.global/taxonomy/taxondetails?taxnode_id=202518576&amp;ictv_id=ICTV202318576","ICTV202318576")</f>
        <v>ICTV202318576</v>
      </c>
      <c r="R8009" t="s">
        <v>660</v>
      </c>
      <c r="S8009" t="s">
        <v>824</v>
      </c>
      <c r="T8009">
        <v>41</v>
      </c>
      <c r="U8009" s="26" t="str">
        <f t="shared" si="297"/>
        <v>2025.002G.Monodnaviria_reorg_4nr.zip</v>
      </c>
    </row>
    <row r="8010" spans="1:21">
      <c r="A8010">
        <v>8009</v>
      </c>
      <c r="B8010" s="27" t="s">
        <v>20779</v>
      </c>
      <c r="D8010" s="27" t="s">
        <v>1826</v>
      </c>
      <c r="F8010" s="27" t="s">
        <v>1844</v>
      </c>
      <c r="H8010" s="27" t="s">
        <v>1845</v>
      </c>
      <c r="J8010" s="27" t="s">
        <v>12601</v>
      </c>
      <c r="L8010" s="27" t="s">
        <v>12602</v>
      </c>
      <c r="N8010" s="27" t="s">
        <v>12613</v>
      </c>
      <c r="P8010" s="27" t="s">
        <v>12615</v>
      </c>
      <c r="Q8010" s="26" t="str">
        <f>HYPERLINK("https://ictv.global/taxonomy/taxondetails?taxnode_id=202518575&amp;ictv_id=ICTV202318575","ICTV202318575")</f>
        <v>ICTV202318575</v>
      </c>
      <c r="R8010" t="s">
        <v>660</v>
      </c>
      <c r="S8010" t="s">
        <v>824</v>
      </c>
      <c r="T8010">
        <v>41</v>
      </c>
      <c r="U8010" s="26" t="str">
        <f t="shared" si="297"/>
        <v>2025.002G.Monodnaviria_reorg_4nr.zip</v>
      </c>
    </row>
    <row r="8011" spans="1:21">
      <c r="A8011">
        <v>8010</v>
      </c>
      <c r="B8011" s="27" t="s">
        <v>20779</v>
      </c>
      <c r="D8011" s="27" t="s">
        <v>1826</v>
      </c>
      <c r="F8011" s="27" t="s">
        <v>1844</v>
      </c>
      <c r="H8011" s="27" t="s">
        <v>1845</v>
      </c>
      <c r="J8011" s="27" t="s">
        <v>12601</v>
      </c>
      <c r="L8011" s="27" t="s">
        <v>12602</v>
      </c>
      <c r="N8011" s="27" t="s">
        <v>12613</v>
      </c>
      <c r="P8011" s="27" t="s">
        <v>12616</v>
      </c>
      <c r="Q8011" s="26" t="str">
        <f>HYPERLINK("https://ictv.global/taxonomy/taxondetails?taxnode_id=202518577&amp;ictv_id=ICTV202318577","ICTV202318577")</f>
        <v>ICTV202318577</v>
      </c>
      <c r="R8011" t="s">
        <v>660</v>
      </c>
      <c r="S8011" t="s">
        <v>824</v>
      </c>
      <c r="T8011">
        <v>41</v>
      </c>
      <c r="U8011" s="26" t="str">
        <f t="shared" si="297"/>
        <v>2025.002G.Monodnaviria_reorg_4nr.zip</v>
      </c>
    </row>
    <row r="8012" spans="1:21">
      <c r="A8012">
        <v>8011</v>
      </c>
      <c r="B8012" s="27" t="s">
        <v>20779</v>
      </c>
      <c r="D8012" s="27" t="s">
        <v>1826</v>
      </c>
      <c r="F8012" s="27" t="s">
        <v>1844</v>
      </c>
      <c r="H8012" s="27" t="s">
        <v>1845</v>
      </c>
      <c r="J8012" s="27" t="s">
        <v>12601</v>
      </c>
      <c r="L8012" s="27" t="s">
        <v>12602</v>
      </c>
      <c r="N8012" s="27" t="s">
        <v>12617</v>
      </c>
      <c r="P8012" s="27" t="s">
        <v>12618</v>
      </c>
      <c r="Q8012" s="26" t="str">
        <f>HYPERLINK("https://ictv.global/taxonomy/taxondetails?taxnode_id=202518586&amp;ictv_id=ICTV202318586","ICTV202318586")</f>
        <v>ICTV202318586</v>
      </c>
      <c r="R8012" t="s">
        <v>660</v>
      </c>
      <c r="S8012" t="s">
        <v>824</v>
      </c>
      <c r="T8012">
        <v>41</v>
      </c>
      <c r="U8012" s="26" t="str">
        <f t="shared" si="297"/>
        <v>2025.002G.Monodnaviria_reorg_4nr.zip</v>
      </c>
    </row>
    <row r="8013" spans="1:21">
      <c r="A8013">
        <v>8012</v>
      </c>
      <c r="B8013" s="27" t="s">
        <v>20779</v>
      </c>
      <c r="D8013" s="27" t="s">
        <v>1826</v>
      </c>
      <c r="F8013" s="27" t="s">
        <v>1844</v>
      </c>
      <c r="H8013" s="27" t="s">
        <v>1845</v>
      </c>
      <c r="J8013" s="27" t="s">
        <v>12601</v>
      </c>
      <c r="L8013" s="27" t="s">
        <v>12602</v>
      </c>
      <c r="N8013" s="27" t="s">
        <v>12617</v>
      </c>
      <c r="P8013" s="27" t="s">
        <v>12619</v>
      </c>
      <c r="Q8013" s="26" t="str">
        <f>HYPERLINK("https://ictv.global/taxonomy/taxondetails?taxnode_id=202518587&amp;ictv_id=ICTV202318587","ICTV202318587")</f>
        <v>ICTV202318587</v>
      </c>
      <c r="R8013" t="s">
        <v>660</v>
      </c>
      <c r="S8013" t="s">
        <v>824</v>
      </c>
      <c r="T8013">
        <v>41</v>
      </c>
      <c r="U8013" s="26" t="str">
        <f t="shared" si="297"/>
        <v>2025.002G.Monodnaviria_reorg_4nr.zip</v>
      </c>
    </row>
    <row r="8014" spans="1:21">
      <c r="A8014">
        <v>8013</v>
      </c>
      <c r="B8014" s="27" t="s">
        <v>20779</v>
      </c>
      <c r="D8014" s="27" t="s">
        <v>1826</v>
      </c>
      <c r="F8014" s="27" t="s">
        <v>1844</v>
      </c>
      <c r="H8014" s="27" t="s">
        <v>1845</v>
      </c>
      <c r="J8014" s="27" t="s">
        <v>12601</v>
      </c>
      <c r="L8014" s="27" t="s">
        <v>12602</v>
      </c>
      <c r="N8014" s="27" t="s">
        <v>12620</v>
      </c>
      <c r="P8014" s="27" t="s">
        <v>12621</v>
      </c>
      <c r="Q8014" s="26" t="str">
        <f>HYPERLINK("https://ictv.global/taxonomy/taxondetails?taxnode_id=202518580&amp;ictv_id=ICTV202318580","ICTV202318580")</f>
        <v>ICTV202318580</v>
      </c>
      <c r="R8014" t="s">
        <v>660</v>
      </c>
      <c r="S8014" t="s">
        <v>824</v>
      </c>
      <c r="T8014">
        <v>41</v>
      </c>
      <c r="U8014" s="26" t="str">
        <f t="shared" si="297"/>
        <v>2025.002G.Monodnaviria_reorg_4nr.zip</v>
      </c>
    </row>
    <row r="8015" spans="1:21">
      <c r="A8015">
        <v>8014</v>
      </c>
      <c r="B8015" s="27" t="s">
        <v>20779</v>
      </c>
      <c r="D8015" s="27" t="s">
        <v>1826</v>
      </c>
      <c r="F8015" s="27" t="s">
        <v>1844</v>
      </c>
      <c r="H8015" s="27" t="s">
        <v>1845</v>
      </c>
      <c r="J8015" s="27" t="s">
        <v>12601</v>
      </c>
      <c r="L8015" s="27" t="s">
        <v>12602</v>
      </c>
      <c r="N8015" s="27" t="s">
        <v>12622</v>
      </c>
      <c r="P8015" s="27" t="s">
        <v>12623</v>
      </c>
      <c r="Q8015" s="26" t="str">
        <f>HYPERLINK("https://ictv.global/taxonomy/taxondetails?taxnode_id=202518581&amp;ictv_id=ICTV202318581","ICTV202318581")</f>
        <v>ICTV202318581</v>
      </c>
      <c r="R8015" t="s">
        <v>660</v>
      </c>
      <c r="S8015" t="s">
        <v>824</v>
      </c>
      <c r="T8015">
        <v>41</v>
      </c>
      <c r="U8015" s="26" t="str">
        <f t="shared" si="297"/>
        <v>2025.002G.Monodnaviria_reorg_4nr.zip</v>
      </c>
    </row>
    <row r="8016" spans="1:21">
      <c r="A8016">
        <v>8015</v>
      </c>
      <c r="B8016" s="27" t="s">
        <v>20779</v>
      </c>
      <c r="D8016" s="27" t="s">
        <v>1826</v>
      </c>
      <c r="F8016" s="27" t="s">
        <v>1844</v>
      </c>
      <c r="H8016" s="27" t="s">
        <v>1845</v>
      </c>
      <c r="J8016" s="27" t="s">
        <v>12601</v>
      </c>
      <c r="L8016" s="27" t="s">
        <v>12602</v>
      </c>
      <c r="N8016" s="27" t="s">
        <v>12624</v>
      </c>
      <c r="P8016" s="27" t="s">
        <v>12625</v>
      </c>
      <c r="Q8016" s="26" t="str">
        <f>HYPERLINK("https://ictv.global/taxonomy/taxondetails?taxnode_id=202518585&amp;ictv_id=ICTV202318585","ICTV202318585")</f>
        <v>ICTV202318585</v>
      </c>
      <c r="R8016" t="s">
        <v>660</v>
      </c>
      <c r="S8016" t="s">
        <v>824</v>
      </c>
      <c r="T8016">
        <v>41</v>
      </c>
      <c r="U8016" s="26" t="str">
        <f t="shared" si="297"/>
        <v>2025.002G.Monodnaviria_reorg_4nr.zip</v>
      </c>
    </row>
    <row r="8017" spans="1:21">
      <c r="A8017">
        <v>8016</v>
      </c>
      <c r="B8017" s="27" t="s">
        <v>20779</v>
      </c>
      <c r="D8017" s="27" t="s">
        <v>1826</v>
      </c>
      <c r="F8017" s="27" t="s">
        <v>1844</v>
      </c>
      <c r="H8017" s="27" t="s">
        <v>1845</v>
      </c>
      <c r="J8017" s="27" t="s">
        <v>8736</v>
      </c>
      <c r="L8017" s="27" t="s">
        <v>8737</v>
      </c>
      <c r="N8017" s="27" t="s">
        <v>12626</v>
      </c>
      <c r="P8017" s="27" t="s">
        <v>12627</v>
      </c>
      <c r="Q8017" s="26" t="str">
        <f>HYPERLINK("https://ictv.global/taxonomy/taxondetails?taxnode_id=202517900&amp;ictv_id=ICTV202317900","ICTV202317900")</f>
        <v>ICTV202317900</v>
      </c>
      <c r="R8017" t="s">
        <v>660</v>
      </c>
      <c r="S8017" t="s">
        <v>824</v>
      </c>
      <c r="T8017">
        <v>41</v>
      </c>
      <c r="U8017" s="26" t="str">
        <f t="shared" si="297"/>
        <v>2025.002G.Monodnaviria_reorg_4nr.zip</v>
      </c>
    </row>
    <row r="8018" spans="1:21">
      <c r="A8018">
        <v>8017</v>
      </c>
      <c r="B8018" s="27" t="s">
        <v>20779</v>
      </c>
      <c r="D8018" s="27" t="s">
        <v>1826</v>
      </c>
      <c r="F8018" s="27" t="s">
        <v>1844</v>
      </c>
      <c r="H8018" s="27" t="s">
        <v>1845</v>
      </c>
      <c r="J8018" s="27" t="s">
        <v>8736</v>
      </c>
      <c r="L8018" s="27" t="s">
        <v>8737</v>
      </c>
      <c r="N8018" s="27" t="s">
        <v>12628</v>
      </c>
      <c r="P8018" s="27" t="s">
        <v>12629</v>
      </c>
      <c r="Q8018" s="26" t="str">
        <f>HYPERLINK("https://ictv.global/taxonomy/taxondetails?taxnode_id=202517899&amp;ictv_id=ICTV202317899","ICTV202317899")</f>
        <v>ICTV202317899</v>
      </c>
      <c r="R8018" t="s">
        <v>660</v>
      </c>
      <c r="S8018" t="s">
        <v>824</v>
      </c>
      <c r="T8018">
        <v>41</v>
      </c>
      <c r="U8018" s="26" t="str">
        <f t="shared" si="297"/>
        <v>2025.002G.Monodnaviria_reorg_4nr.zip</v>
      </c>
    </row>
    <row r="8019" spans="1:21">
      <c r="A8019">
        <v>8018</v>
      </c>
      <c r="B8019" s="27" t="s">
        <v>20779</v>
      </c>
      <c r="D8019" s="27" t="s">
        <v>1826</v>
      </c>
      <c r="F8019" s="27" t="s">
        <v>1844</v>
      </c>
      <c r="H8019" s="27" t="s">
        <v>1845</v>
      </c>
      <c r="J8019" s="27" t="s">
        <v>8736</v>
      </c>
      <c r="L8019" s="27" t="s">
        <v>8737</v>
      </c>
      <c r="N8019" s="27" t="s">
        <v>12630</v>
      </c>
      <c r="P8019" s="27" t="s">
        <v>12631</v>
      </c>
      <c r="Q8019" s="26" t="str">
        <f>HYPERLINK("https://ictv.global/taxonomy/taxondetails?taxnode_id=202517903&amp;ictv_id=ICTV202317903","ICTV202317903")</f>
        <v>ICTV202317903</v>
      </c>
      <c r="R8019" t="s">
        <v>660</v>
      </c>
      <c r="S8019" t="s">
        <v>824</v>
      </c>
      <c r="T8019">
        <v>41</v>
      </c>
      <c r="U8019" s="26" t="str">
        <f t="shared" si="297"/>
        <v>2025.002G.Monodnaviria_reorg_4nr.zip</v>
      </c>
    </row>
    <row r="8020" spans="1:21">
      <c r="A8020">
        <v>8019</v>
      </c>
      <c r="B8020" s="27" t="s">
        <v>20779</v>
      </c>
      <c r="D8020" s="27" t="s">
        <v>1826</v>
      </c>
      <c r="F8020" s="27" t="s">
        <v>1844</v>
      </c>
      <c r="H8020" s="27" t="s">
        <v>1845</v>
      </c>
      <c r="J8020" s="27" t="s">
        <v>8736</v>
      </c>
      <c r="L8020" s="27" t="s">
        <v>8737</v>
      </c>
      <c r="N8020" s="27" t="s">
        <v>8738</v>
      </c>
      <c r="P8020" s="27" t="s">
        <v>8739</v>
      </c>
      <c r="Q8020" s="26" t="str">
        <f>HYPERLINK("https://ictv.global/taxonomy/taxondetails?taxnode_id=202513285&amp;ictv_id=ICTV202113285","ICTV202113285")</f>
        <v>ICTV202113285</v>
      </c>
      <c r="R8020" t="s">
        <v>660</v>
      </c>
      <c r="S8020" t="s">
        <v>824</v>
      </c>
      <c r="T8020">
        <v>41</v>
      </c>
      <c r="U8020" s="26" t="str">
        <f t="shared" si="297"/>
        <v>2025.002G.Monodnaviria_reorg_4nr.zip</v>
      </c>
    </row>
    <row r="8021" spans="1:21">
      <c r="A8021">
        <v>8020</v>
      </c>
      <c r="B8021" s="27" t="s">
        <v>20779</v>
      </c>
      <c r="D8021" s="27" t="s">
        <v>1826</v>
      </c>
      <c r="F8021" s="27" t="s">
        <v>1844</v>
      </c>
      <c r="H8021" s="27" t="s">
        <v>1845</v>
      </c>
      <c r="J8021" s="27" t="s">
        <v>8736</v>
      </c>
      <c r="L8021" s="27" t="s">
        <v>8737</v>
      </c>
      <c r="N8021" s="27" t="s">
        <v>12632</v>
      </c>
      <c r="P8021" s="27" t="s">
        <v>12633</v>
      </c>
      <c r="Q8021" s="26" t="str">
        <f>HYPERLINK("https://ictv.global/taxonomy/taxondetails?taxnode_id=202517901&amp;ictv_id=ICTV202317901","ICTV202317901")</f>
        <v>ICTV202317901</v>
      </c>
      <c r="R8021" t="s">
        <v>660</v>
      </c>
      <c r="S8021" t="s">
        <v>824</v>
      </c>
      <c r="T8021">
        <v>41</v>
      </c>
      <c r="U8021" s="26" t="str">
        <f t="shared" si="297"/>
        <v>2025.002G.Monodnaviria_reorg_4nr.zip</v>
      </c>
    </row>
    <row r="8022" spans="1:21">
      <c r="A8022">
        <v>8021</v>
      </c>
      <c r="B8022" s="27" t="s">
        <v>20779</v>
      </c>
      <c r="D8022" s="27" t="s">
        <v>1826</v>
      </c>
      <c r="F8022" s="27" t="s">
        <v>1844</v>
      </c>
      <c r="H8022" s="27" t="s">
        <v>1845</v>
      </c>
      <c r="J8022" s="27" t="s">
        <v>8736</v>
      </c>
      <c r="L8022" s="27" t="s">
        <v>8737</v>
      </c>
      <c r="N8022" s="27" t="s">
        <v>8740</v>
      </c>
      <c r="P8022" s="27" t="s">
        <v>8741</v>
      </c>
      <c r="Q8022" s="26" t="str">
        <f>HYPERLINK("https://ictv.global/taxonomy/taxondetails?taxnode_id=202513287&amp;ictv_id=ICTV202113287","ICTV202113287")</f>
        <v>ICTV202113287</v>
      </c>
      <c r="R8022" t="s">
        <v>660</v>
      </c>
      <c r="S8022" t="s">
        <v>824</v>
      </c>
      <c r="T8022">
        <v>41</v>
      </c>
      <c r="U8022" s="26" t="str">
        <f t="shared" si="297"/>
        <v>2025.002G.Monodnaviria_reorg_4nr.zip</v>
      </c>
    </row>
    <row r="8023" spans="1:21">
      <c r="A8023">
        <v>8022</v>
      </c>
      <c r="B8023" s="27" t="s">
        <v>20779</v>
      </c>
      <c r="D8023" s="27" t="s">
        <v>1826</v>
      </c>
      <c r="F8023" s="27" t="s">
        <v>1844</v>
      </c>
      <c r="H8023" s="27" t="s">
        <v>1845</v>
      </c>
      <c r="J8023" s="27" t="s">
        <v>8736</v>
      </c>
      <c r="L8023" s="27" t="s">
        <v>8737</v>
      </c>
      <c r="N8023" s="27" t="s">
        <v>8742</v>
      </c>
      <c r="P8023" s="27" t="s">
        <v>8743</v>
      </c>
      <c r="Q8023" s="26" t="str">
        <f>HYPERLINK("https://ictv.global/taxonomy/taxondetails?taxnode_id=202513290&amp;ictv_id=ICTV202113290","ICTV202113290")</f>
        <v>ICTV202113290</v>
      </c>
      <c r="R8023" t="s">
        <v>664</v>
      </c>
      <c r="S8023" t="s">
        <v>824</v>
      </c>
      <c r="T8023">
        <v>41</v>
      </c>
      <c r="U8023" s="26" t="str">
        <f t="shared" si="297"/>
        <v>2025.002G.Monodnaviria_reorg_4nr.zip</v>
      </c>
    </row>
    <row r="8024" spans="1:21">
      <c r="A8024">
        <v>8023</v>
      </c>
      <c r="B8024" s="27" t="s">
        <v>20779</v>
      </c>
      <c r="D8024" s="27" t="s">
        <v>1826</v>
      </c>
      <c r="F8024" s="27" t="s">
        <v>1844</v>
      </c>
      <c r="H8024" s="27" t="s">
        <v>1845</v>
      </c>
      <c r="J8024" s="27" t="s">
        <v>8736</v>
      </c>
      <c r="L8024" s="27" t="s">
        <v>8737</v>
      </c>
      <c r="N8024" s="27" t="s">
        <v>8742</v>
      </c>
      <c r="P8024" s="27" t="s">
        <v>8744</v>
      </c>
      <c r="Q8024" s="26" t="str">
        <f>HYPERLINK("https://ictv.global/taxonomy/taxondetails?taxnode_id=202513289&amp;ictv_id=ICTV202113289","ICTV202113289")</f>
        <v>ICTV202113289</v>
      </c>
      <c r="R8024" t="s">
        <v>664</v>
      </c>
      <c r="S8024" t="s">
        <v>824</v>
      </c>
      <c r="T8024">
        <v>41</v>
      </c>
      <c r="U8024" s="26" t="str">
        <f t="shared" ref="U8024:U8087" si="298">HYPERLINK("https://ictv.global/ictv/proposals/2025.002G.Monodnaviria_reorg_4nr.zip","2025.002G.Monodnaviria_reorg_4nr.zip")</f>
        <v>2025.002G.Monodnaviria_reorg_4nr.zip</v>
      </c>
    </row>
    <row r="8025" spans="1:21">
      <c r="A8025">
        <v>8024</v>
      </c>
      <c r="B8025" s="27" t="s">
        <v>20779</v>
      </c>
      <c r="D8025" s="27" t="s">
        <v>1826</v>
      </c>
      <c r="F8025" s="27" t="s">
        <v>1844</v>
      </c>
      <c r="H8025" s="27" t="s">
        <v>1845</v>
      </c>
      <c r="J8025" s="27" t="s">
        <v>8736</v>
      </c>
      <c r="L8025" s="27" t="s">
        <v>8737</v>
      </c>
      <c r="N8025" s="27" t="s">
        <v>8745</v>
      </c>
      <c r="P8025" s="27" t="s">
        <v>8746</v>
      </c>
      <c r="Q8025" s="26" t="str">
        <f>HYPERLINK("https://ictv.global/taxonomy/taxondetails?taxnode_id=202513292&amp;ictv_id=ICTV202113292","ICTV202113292")</f>
        <v>ICTV202113292</v>
      </c>
      <c r="R8025" t="s">
        <v>664</v>
      </c>
      <c r="S8025" t="s">
        <v>824</v>
      </c>
      <c r="T8025">
        <v>41</v>
      </c>
      <c r="U8025" s="26" t="str">
        <f t="shared" si="298"/>
        <v>2025.002G.Monodnaviria_reorg_4nr.zip</v>
      </c>
    </row>
    <row r="8026" spans="1:21">
      <c r="A8026">
        <v>8025</v>
      </c>
      <c r="B8026" s="27" t="s">
        <v>20779</v>
      </c>
      <c r="D8026" s="27" t="s">
        <v>1826</v>
      </c>
      <c r="F8026" s="27" t="s">
        <v>1844</v>
      </c>
      <c r="H8026" s="27" t="s">
        <v>1845</v>
      </c>
      <c r="J8026" s="27" t="s">
        <v>8736</v>
      </c>
      <c r="L8026" s="27" t="s">
        <v>8737</v>
      </c>
      <c r="N8026" s="27" t="s">
        <v>12634</v>
      </c>
      <c r="P8026" s="27" t="s">
        <v>12635</v>
      </c>
      <c r="Q8026" s="26" t="str">
        <f>HYPERLINK("https://ictv.global/taxonomy/taxondetails?taxnode_id=202517898&amp;ictv_id=ICTV202317898","ICTV202317898")</f>
        <v>ICTV202317898</v>
      </c>
      <c r="R8026" t="s">
        <v>660</v>
      </c>
      <c r="S8026" t="s">
        <v>824</v>
      </c>
      <c r="T8026">
        <v>41</v>
      </c>
      <c r="U8026" s="26" t="str">
        <f t="shared" si="298"/>
        <v>2025.002G.Monodnaviria_reorg_4nr.zip</v>
      </c>
    </row>
    <row r="8027" spans="1:21">
      <c r="A8027">
        <v>8026</v>
      </c>
      <c r="B8027" s="27" t="s">
        <v>20779</v>
      </c>
      <c r="D8027" s="27" t="s">
        <v>1826</v>
      </c>
      <c r="F8027" s="27" t="s">
        <v>1844</v>
      </c>
      <c r="H8027" s="27" t="s">
        <v>1845</v>
      </c>
      <c r="J8027" s="27" t="s">
        <v>8736</v>
      </c>
      <c r="L8027" s="27" t="s">
        <v>8737</v>
      </c>
      <c r="N8027" s="27" t="s">
        <v>12634</v>
      </c>
      <c r="P8027" s="27" t="s">
        <v>12636</v>
      </c>
      <c r="Q8027" s="26" t="str">
        <f>HYPERLINK("https://ictv.global/taxonomy/taxondetails?taxnode_id=202517897&amp;ictv_id=ICTV202317897","ICTV202317897")</f>
        <v>ICTV202317897</v>
      </c>
      <c r="R8027" t="s">
        <v>660</v>
      </c>
      <c r="S8027" t="s">
        <v>824</v>
      </c>
      <c r="T8027">
        <v>41</v>
      </c>
      <c r="U8027" s="26" t="str">
        <f t="shared" si="298"/>
        <v>2025.002G.Monodnaviria_reorg_4nr.zip</v>
      </c>
    </row>
    <row r="8028" spans="1:21">
      <c r="A8028">
        <v>8027</v>
      </c>
      <c r="B8028" s="27" t="s">
        <v>20779</v>
      </c>
      <c r="D8028" s="27" t="s">
        <v>1826</v>
      </c>
      <c r="F8028" s="27" t="s">
        <v>1844</v>
      </c>
      <c r="H8028" s="27" t="s">
        <v>1845</v>
      </c>
      <c r="J8028" s="27" t="s">
        <v>8736</v>
      </c>
      <c r="L8028" s="27" t="s">
        <v>8737</v>
      </c>
      <c r="N8028" s="27" t="s">
        <v>12637</v>
      </c>
      <c r="P8028" s="27" t="s">
        <v>12638</v>
      </c>
      <c r="Q8028" s="26" t="str">
        <f>HYPERLINK("https://ictv.global/taxonomy/taxondetails?taxnode_id=202517896&amp;ictv_id=ICTV202317896","ICTV202317896")</f>
        <v>ICTV202317896</v>
      </c>
      <c r="R8028" t="s">
        <v>660</v>
      </c>
      <c r="S8028" t="s">
        <v>824</v>
      </c>
      <c r="T8028">
        <v>41</v>
      </c>
      <c r="U8028" s="26" t="str">
        <f t="shared" si="298"/>
        <v>2025.002G.Monodnaviria_reorg_4nr.zip</v>
      </c>
    </row>
    <row r="8029" spans="1:21">
      <c r="A8029">
        <v>8028</v>
      </c>
      <c r="B8029" s="27" t="s">
        <v>20779</v>
      </c>
      <c r="D8029" s="27" t="s">
        <v>1826</v>
      </c>
      <c r="F8029" s="27" t="s">
        <v>1844</v>
      </c>
      <c r="H8029" s="27" t="s">
        <v>1845</v>
      </c>
      <c r="J8029" s="27" t="s">
        <v>8736</v>
      </c>
      <c r="L8029" s="27" t="s">
        <v>8737</v>
      </c>
      <c r="N8029" s="27" t="s">
        <v>12637</v>
      </c>
      <c r="P8029" s="27" t="s">
        <v>12639</v>
      </c>
      <c r="Q8029" s="26" t="str">
        <f>HYPERLINK("https://ictv.global/taxonomy/taxondetails?taxnode_id=202517895&amp;ictv_id=ICTV202317895","ICTV202317895")</f>
        <v>ICTV202317895</v>
      </c>
      <c r="R8029" t="s">
        <v>660</v>
      </c>
      <c r="S8029" t="s">
        <v>824</v>
      </c>
      <c r="T8029">
        <v>41</v>
      </c>
      <c r="U8029" s="26" t="str">
        <f t="shared" si="298"/>
        <v>2025.002G.Monodnaviria_reorg_4nr.zip</v>
      </c>
    </row>
    <row r="8030" spans="1:21">
      <c r="A8030">
        <v>8029</v>
      </c>
      <c r="B8030" s="27" t="s">
        <v>20779</v>
      </c>
      <c r="D8030" s="27" t="s">
        <v>1826</v>
      </c>
      <c r="F8030" s="27" t="s">
        <v>1844</v>
      </c>
      <c r="H8030" s="27" t="s">
        <v>1845</v>
      </c>
      <c r="J8030" s="27" t="s">
        <v>8736</v>
      </c>
      <c r="L8030" s="27" t="s">
        <v>8737</v>
      </c>
      <c r="N8030" s="27" t="s">
        <v>12640</v>
      </c>
      <c r="P8030" s="27" t="s">
        <v>12641</v>
      </c>
      <c r="Q8030" s="26" t="str">
        <f>HYPERLINK("https://ictv.global/taxonomy/taxondetails?taxnode_id=202517902&amp;ictv_id=ICTV202317902","ICTV202317902")</f>
        <v>ICTV202317902</v>
      </c>
      <c r="R8030" t="s">
        <v>660</v>
      </c>
      <c r="S8030" t="s">
        <v>824</v>
      </c>
      <c r="T8030">
        <v>41</v>
      </c>
      <c r="U8030" s="26" t="str">
        <f t="shared" si="298"/>
        <v>2025.002G.Monodnaviria_reorg_4nr.zip</v>
      </c>
    </row>
    <row r="8031" spans="1:21">
      <c r="A8031">
        <v>8030</v>
      </c>
      <c r="B8031" s="27" t="s">
        <v>20779</v>
      </c>
      <c r="D8031" s="27" t="s">
        <v>1826</v>
      </c>
      <c r="F8031" s="27" t="s">
        <v>1844</v>
      </c>
      <c r="H8031" s="27" t="s">
        <v>1845</v>
      </c>
      <c r="J8031" s="27" t="s">
        <v>8747</v>
      </c>
      <c r="L8031" s="27" t="s">
        <v>12642</v>
      </c>
      <c r="N8031" s="27" t="s">
        <v>12643</v>
      </c>
      <c r="P8031" s="27" t="s">
        <v>12644</v>
      </c>
      <c r="Q8031" s="26" t="str">
        <f>HYPERLINK("https://ictv.global/taxonomy/taxondetails?taxnode_id=202518516&amp;ictv_id=ICTV202318516","ICTV202318516")</f>
        <v>ICTV202318516</v>
      </c>
      <c r="R8031" t="s">
        <v>660</v>
      </c>
      <c r="S8031" t="s">
        <v>824</v>
      </c>
      <c r="T8031">
        <v>41</v>
      </c>
      <c r="U8031" s="26" t="str">
        <f t="shared" si="298"/>
        <v>2025.002G.Monodnaviria_reorg_4nr.zip</v>
      </c>
    </row>
    <row r="8032" spans="1:21">
      <c r="A8032">
        <v>8031</v>
      </c>
      <c r="B8032" s="27" t="s">
        <v>20779</v>
      </c>
      <c r="D8032" s="27" t="s">
        <v>1826</v>
      </c>
      <c r="F8032" s="27" t="s">
        <v>1844</v>
      </c>
      <c r="H8032" s="27" t="s">
        <v>1845</v>
      </c>
      <c r="J8032" s="27" t="s">
        <v>8747</v>
      </c>
      <c r="L8032" s="27" t="s">
        <v>12642</v>
      </c>
      <c r="N8032" s="27" t="s">
        <v>12643</v>
      </c>
      <c r="P8032" s="27" t="s">
        <v>12645</v>
      </c>
      <c r="Q8032" s="26" t="str">
        <f>HYPERLINK("https://ictv.global/taxonomy/taxondetails?taxnode_id=202518517&amp;ictv_id=ICTV202318517","ICTV202318517")</f>
        <v>ICTV202318517</v>
      </c>
      <c r="R8032" t="s">
        <v>660</v>
      </c>
      <c r="S8032" t="s">
        <v>824</v>
      </c>
      <c r="T8032">
        <v>41</v>
      </c>
      <c r="U8032" s="26" t="str">
        <f t="shared" si="298"/>
        <v>2025.002G.Monodnaviria_reorg_4nr.zip</v>
      </c>
    </row>
    <row r="8033" spans="1:21">
      <c r="A8033">
        <v>8032</v>
      </c>
      <c r="B8033" s="27" t="s">
        <v>20779</v>
      </c>
      <c r="D8033" s="27" t="s">
        <v>1826</v>
      </c>
      <c r="F8033" s="27" t="s">
        <v>1844</v>
      </c>
      <c r="H8033" s="27" t="s">
        <v>1845</v>
      </c>
      <c r="J8033" s="27" t="s">
        <v>8747</v>
      </c>
      <c r="L8033" s="27" t="s">
        <v>12642</v>
      </c>
      <c r="N8033" s="27" t="s">
        <v>12643</v>
      </c>
      <c r="P8033" s="27" t="s">
        <v>12646</v>
      </c>
      <c r="Q8033" s="26" t="str">
        <f>HYPERLINK("https://ictv.global/taxonomy/taxondetails?taxnode_id=202518515&amp;ictv_id=ICTV202318515","ICTV202318515")</f>
        <v>ICTV202318515</v>
      </c>
      <c r="R8033" t="s">
        <v>660</v>
      </c>
      <c r="S8033" t="s">
        <v>824</v>
      </c>
      <c r="T8033">
        <v>41</v>
      </c>
      <c r="U8033" s="26" t="str">
        <f t="shared" si="298"/>
        <v>2025.002G.Monodnaviria_reorg_4nr.zip</v>
      </c>
    </row>
    <row r="8034" spans="1:21">
      <c r="A8034">
        <v>8033</v>
      </c>
      <c r="B8034" s="27" t="s">
        <v>20779</v>
      </c>
      <c r="D8034" s="27" t="s">
        <v>1826</v>
      </c>
      <c r="F8034" s="27" t="s">
        <v>1844</v>
      </c>
      <c r="H8034" s="27" t="s">
        <v>1845</v>
      </c>
      <c r="J8034" s="27" t="s">
        <v>8747</v>
      </c>
      <c r="L8034" s="27" t="s">
        <v>12642</v>
      </c>
      <c r="N8034" s="27" t="s">
        <v>12647</v>
      </c>
      <c r="P8034" s="27" t="s">
        <v>12648</v>
      </c>
      <c r="Q8034" s="26" t="str">
        <f>HYPERLINK("https://ictv.global/taxonomy/taxondetails?taxnode_id=202518518&amp;ictv_id=ICTV202318518","ICTV202318518")</f>
        <v>ICTV202318518</v>
      </c>
      <c r="R8034" t="s">
        <v>660</v>
      </c>
      <c r="S8034" t="s">
        <v>824</v>
      </c>
      <c r="T8034">
        <v>41</v>
      </c>
      <c r="U8034" s="26" t="str">
        <f t="shared" si="298"/>
        <v>2025.002G.Monodnaviria_reorg_4nr.zip</v>
      </c>
    </row>
    <row r="8035" spans="1:21">
      <c r="A8035">
        <v>8034</v>
      </c>
      <c r="B8035" s="27" t="s">
        <v>20779</v>
      </c>
      <c r="D8035" s="27" t="s">
        <v>1826</v>
      </c>
      <c r="F8035" s="27" t="s">
        <v>1844</v>
      </c>
      <c r="H8035" s="27" t="s">
        <v>1845</v>
      </c>
      <c r="J8035" s="27" t="s">
        <v>8747</v>
      </c>
      <c r="L8035" s="27" t="s">
        <v>12642</v>
      </c>
      <c r="N8035" s="27" t="s">
        <v>12649</v>
      </c>
      <c r="P8035" s="27" t="s">
        <v>12650</v>
      </c>
      <c r="Q8035" s="26" t="str">
        <f>HYPERLINK("https://ictv.global/taxonomy/taxondetails?taxnode_id=202518519&amp;ictv_id=ICTV202318519","ICTV202318519")</f>
        <v>ICTV202318519</v>
      </c>
      <c r="R8035" t="s">
        <v>660</v>
      </c>
      <c r="S8035" t="s">
        <v>824</v>
      </c>
      <c r="T8035">
        <v>41</v>
      </c>
      <c r="U8035" s="26" t="str">
        <f t="shared" si="298"/>
        <v>2025.002G.Monodnaviria_reorg_4nr.zip</v>
      </c>
    </row>
    <row r="8036" spans="1:21">
      <c r="A8036">
        <v>8035</v>
      </c>
      <c r="B8036" s="27" t="s">
        <v>20779</v>
      </c>
      <c r="D8036" s="27" t="s">
        <v>1826</v>
      </c>
      <c r="F8036" s="27" t="s">
        <v>1844</v>
      </c>
      <c r="H8036" s="27" t="s">
        <v>1845</v>
      </c>
      <c r="J8036" s="27" t="s">
        <v>8747</v>
      </c>
      <c r="L8036" s="27" t="s">
        <v>12642</v>
      </c>
      <c r="N8036" s="27" t="s">
        <v>12651</v>
      </c>
      <c r="P8036" s="27" t="s">
        <v>12652</v>
      </c>
      <c r="Q8036" s="26" t="str">
        <f>HYPERLINK("https://ictv.global/taxonomy/taxondetails?taxnode_id=202518520&amp;ictv_id=ICTV202318520","ICTV202318520")</f>
        <v>ICTV202318520</v>
      </c>
      <c r="R8036" t="s">
        <v>660</v>
      </c>
      <c r="S8036" t="s">
        <v>824</v>
      </c>
      <c r="T8036">
        <v>41</v>
      </c>
      <c r="U8036" s="26" t="str">
        <f t="shared" si="298"/>
        <v>2025.002G.Monodnaviria_reorg_4nr.zip</v>
      </c>
    </row>
    <row r="8037" spans="1:21">
      <c r="A8037">
        <v>8036</v>
      </c>
      <c r="B8037" s="27" t="s">
        <v>20779</v>
      </c>
      <c r="D8037" s="27" t="s">
        <v>1826</v>
      </c>
      <c r="F8037" s="27" t="s">
        <v>1844</v>
      </c>
      <c r="H8037" s="27" t="s">
        <v>1845</v>
      </c>
      <c r="J8037" s="27" t="s">
        <v>8747</v>
      </c>
      <c r="L8037" s="27" t="s">
        <v>12642</v>
      </c>
      <c r="N8037" s="27" t="s">
        <v>12653</v>
      </c>
      <c r="P8037" s="27" t="s">
        <v>12654</v>
      </c>
      <c r="Q8037" s="26" t="str">
        <f>HYPERLINK("https://ictv.global/taxonomy/taxondetails?taxnode_id=202518521&amp;ictv_id=ICTV202318521","ICTV202318521")</f>
        <v>ICTV202318521</v>
      </c>
      <c r="R8037" t="s">
        <v>660</v>
      </c>
      <c r="S8037" t="s">
        <v>824</v>
      </c>
      <c r="T8037">
        <v>41</v>
      </c>
      <c r="U8037" s="26" t="str">
        <f t="shared" si="298"/>
        <v>2025.002G.Monodnaviria_reorg_4nr.zip</v>
      </c>
    </row>
    <row r="8038" spans="1:21">
      <c r="A8038">
        <v>8037</v>
      </c>
      <c r="B8038" s="27" t="s">
        <v>20779</v>
      </c>
      <c r="D8038" s="27" t="s">
        <v>1826</v>
      </c>
      <c r="F8038" s="27" t="s">
        <v>1844</v>
      </c>
      <c r="H8038" s="27" t="s">
        <v>1845</v>
      </c>
      <c r="J8038" s="27" t="s">
        <v>8747</v>
      </c>
      <c r="L8038" s="27" t="s">
        <v>12642</v>
      </c>
      <c r="N8038" s="27" t="s">
        <v>12655</v>
      </c>
      <c r="P8038" s="27" t="s">
        <v>12656</v>
      </c>
      <c r="Q8038" s="26" t="str">
        <f>HYPERLINK("https://ictv.global/taxonomy/taxondetails?taxnode_id=202518522&amp;ictv_id=ICTV202318522","ICTV202318522")</f>
        <v>ICTV202318522</v>
      </c>
      <c r="R8038" t="s">
        <v>660</v>
      </c>
      <c r="S8038" t="s">
        <v>824</v>
      </c>
      <c r="T8038">
        <v>41</v>
      </c>
      <c r="U8038" s="26" t="str">
        <f t="shared" si="298"/>
        <v>2025.002G.Monodnaviria_reorg_4nr.zip</v>
      </c>
    </row>
    <row r="8039" spans="1:21">
      <c r="A8039">
        <v>8038</v>
      </c>
      <c r="B8039" s="27" t="s">
        <v>20779</v>
      </c>
      <c r="D8039" s="27" t="s">
        <v>1826</v>
      </c>
      <c r="F8039" s="27" t="s">
        <v>1844</v>
      </c>
      <c r="H8039" s="27" t="s">
        <v>1845</v>
      </c>
      <c r="J8039" s="27" t="s">
        <v>8747</v>
      </c>
      <c r="L8039" s="27" t="s">
        <v>12642</v>
      </c>
      <c r="N8039" s="27" t="s">
        <v>12657</v>
      </c>
      <c r="P8039" s="27" t="s">
        <v>12658</v>
      </c>
      <c r="Q8039" s="26" t="str">
        <f>HYPERLINK("https://ictv.global/taxonomy/taxondetails?taxnode_id=202518523&amp;ictv_id=ICTV202318523","ICTV202318523")</f>
        <v>ICTV202318523</v>
      </c>
      <c r="R8039" t="s">
        <v>660</v>
      </c>
      <c r="S8039" t="s">
        <v>824</v>
      </c>
      <c r="T8039">
        <v>41</v>
      </c>
      <c r="U8039" s="26" t="str">
        <f t="shared" si="298"/>
        <v>2025.002G.Monodnaviria_reorg_4nr.zip</v>
      </c>
    </row>
    <row r="8040" spans="1:21">
      <c r="A8040">
        <v>8039</v>
      </c>
      <c r="B8040" s="27" t="s">
        <v>20779</v>
      </c>
      <c r="D8040" s="27" t="s">
        <v>1826</v>
      </c>
      <c r="F8040" s="27" t="s">
        <v>1844</v>
      </c>
      <c r="H8040" s="27" t="s">
        <v>1845</v>
      </c>
      <c r="J8040" s="27" t="s">
        <v>8747</v>
      </c>
      <c r="L8040" s="27" t="s">
        <v>12642</v>
      </c>
      <c r="N8040" s="27" t="s">
        <v>12657</v>
      </c>
      <c r="P8040" s="27" t="s">
        <v>12659</v>
      </c>
      <c r="Q8040" s="26" t="str">
        <f>HYPERLINK("https://ictv.global/taxonomy/taxondetails?taxnode_id=202518524&amp;ictv_id=ICTV202318524","ICTV202318524")</f>
        <v>ICTV202318524</v>
      </c>
      <c r="R8040" t="s">
        <v>660</v>
      </c>
      <c r="S8040" t="s">
        <v>824</v>
      </c>
      <c r="T8040">
        <v>41</v>
      </c>
      <c r="U8040" s="26" t="str">
        <f t="shared" si="298"/>
        <v>2025.002G.Monodnaviria_reorg_4nr.zip</v>
      </c>
    </row>
    <row r="8041" spans="1:21">
      <c r="A8041">
        <v>8040</v>
      </c>
      <c r="B8041" s="27" t="s">
        <v>20779</v>
      </c>
      <c r="D8041" s="27" t="s">
        <v>1826</v>
      </c>
      <c r="F8041" s="27" t="s">
        <v>1844</v>
      </c>
      <c r="H8041" s="27" t="s">
        <v>1845</v>
      </c>
      <c r="J8041" s="27" t="s">
        <v>8747</v>
      </c>
      <c r="L8041" s="27" t="s">
        <v>12642</v>
      </c>
      <c r="N8041" s="27" t="s">
        <v>12660</v>
      </c>
      <c r="P8041" s="27" t="s">
        <v>12661</v>
      </c>
      <c r="Q8041" s="26" t="str">
        <f>HYPERLINK("https://ictv.global/taxonomy/taxondetails?taxnode_id=202518530&amp;ictv_id=ICTV202318530","ICTV202318530")</f>
        <v>ICTV202318530</v>
      </c>
      <c r="R8041" t="s">
        <v>660</v>
      </c>
      <c r="S8041" t="s">
        <v>824</v>
      </c>
      <c r="T8041">
        <v>41</v>
      </c>
      <c r="U8041" s="26" t="str">
        <f t="shared" si="298"/>
        <v>2025.002G.Monodnaviria_reorg_4nr.zip</v>
      </c>
    </row>
    <row r="8042" spans="1:21">
      <c r="A8042">
        <v>8041</v>
      </c>
      <c r="B8042" s="27" t="s">
        <v>20779</v>
      </c>
      <c r="D8042" s="27" t="s">
        <v>1826</v>
      </c>
      <c r="F8042" s="27" t="s">
        <v>1844</v>
      </c>
      <c r="H8042" s="27" t="s">
        <v>1845</v>
      </c>
      <c r="J8042" s="27" t="s">
        <v>8747</v>
      </c>
      <c r="L8042" s="27" t="s">
        <v>12642</v>
      </c>
      <c r="N8042" s="27" t="s">
        <v>12662</v>
      </c>
      <c r="P8042" s="27" t="s">
        <v>12663</v>
      </c>
      <c r="Q8042" s="26" t="str">
        <f>HYPERLINK("https://ictv.global/taxonomy/taxondetails?taxnode_id=202518525&amp;ictv_id=ICTV202318525","ICTV202318525")</f>
        <v>ICTV202318525</v>
      </c>
      <c r="R8042" t="s">
        <v>660</v>
      </c>
      <c r="S8042" t="s">
        <v>824</v>
      </c>
      <c r="T8042">
        <v>41</v>
      </c>
      <c r="U8042" s="26" t="str">
        <f t="shared" si="298"/>
        <v>2025.002G.Monodnaviria_reorg_4nr.zip</v>
      </c>
    </row>
    <row r="8043" spans="1:21">
      <c r="A8043">
        <v>8042</v>
      </c>
      <c r="B8043" s="27" t="s">
        <v>20779</v>
      </c>
      <c r="D8043" s="27" t="s">
        <v>1826</v>
      </c>
      <c r="F8043" s="27" t="s">
        <v>1844</v>
      </c>
      <c r="H8043" s="27" t="s">
        <v>1845</v>
      </c>
      <c r="J8043" s="27" t="s">
        <v>8747</v>
      </c>
      <c r="L8043" s="27" t="s">
        <v>12642</v>
      </c>
      <c r="N8043" s="27" t="s">
        <v>12664</v>
      </c>
      <c r="P8043" s="27" t="s">
        <v>12665</v>
      </c>
      <c r="Q8043" s="26" t="str">
        <f>HYPERLINK("https://ictv.global/taxonomy/taxondetails?taxnode_id=202518526&amp;ictv_id=ICTV202318526","ICTV202318526")</f>
        <v>ICTV202318526</v>
      </c>
      <c r="R8043" t="s">
        <v>660</v>
      </c>
      <c r="S8043" t="s">
        <v>824</v>
      </c>
      <c r="T8043">
        <v>41</v>
      </c>
      <c r="U8043" s="26" t="str">
        <f t="shared" si="298"/>
        <v>2025.002G.Monodnaviria_reorg_4nr.zip</v>
      </c>
    </row>
    <row r="8044" spans="1:21">
      <c r="A8044">
        <v>8043</v>
      </c>
      <c r="B8044" s="27" t="s">
        <v>20779</v>
      </c>
      <c r="D8044" s="27" t="s">
        <v>1826</v>
      </c>
      <c r="F8044" s="27" t="s">
        <v>1844</v>
      </c>
      <c r="H8044" s="27" t="s">
        <v>1845</v>
      </c>
      <c r="J8044" s="27" t="s">
        <v>8747</v>
      </c>
      <c r="L8044" s="27" t="s">
        <v>12642</v>
      </c>
      <c r="N8044" s="27" t="s">
        <v>12666</v>
      </c>
      <c r="P8044" s="27" t="s">
        <v>12667</v>
      </c>
      <c r="Q8044" s="26" t="str">
        <f>HYPERLINK("https://ictv.global/taxonomy/taxondetails?taxnode_id=202518527&amp;ictv_id=ICTV202318527","ICTV202318527")</f>
        <v>ICTV202318527</v>
      </c>
      <c r="R8044" t="s">
        <v>660</v>
      </c>
      <c r="S8044" t="s">
        <v>824</v>
      </c>
      <c r="T8044">
        <v>41</v>
      </c>
      <c r="U8044" s="26" t="str">
        <f t="shared" si="298"/>
        <v>2025.002G.Monodnaviria_reorg_4nr.zip</v>
      </c>
    </row>
    <row r="8045" spans="1:21">
      <c r="A8045">
        <v>8044</v>
      </c>
      <c r="B8045" s="27" t="s">
        <v>20779</v>
      </c>
      <c r="D8045" s="27" t="s">
        <v>1826</v>
      </c>
      <c r="F8045" s="27" t="s">
        <v>1844</v>
      </c>
      <c r="H8045" s="27" t="s">
        <v>1845</v>
      </c>
      <c r="J8045" s="27" t="s">
        <v>8747</v>
      </c>
      <c r="L8045" s="27" t="s">
        <v>12642</v>
      </c>
      <c r="N8045" s="27" t="s">
        <v>12668</v>
      </c>
      <c r="P8045" s="27" t="s">
        <v>12669</v>
      </c>
      <c r="Q8045" s="26" t="str">
        <f>HYPERLINK("https://ictv.global/taxonomy/taxondetails?taxnode_id=202518528&amp;ictv_id=ICTV202318528","ICTV202318528")</f>
        <v>ICTV202318528</v>
      </c>
      <c r="R8045" t="s">
        <v>660</v>
      </c>
      <c r="S8045" t="s">
        <v>824</v>
      </c>
      <c r="T8045">
        <v>41</v>
      </c>
      <c r="U8045" s="26" t="str">
        <f t="shared" si="298"/>
        <v>2025.002G.Monodnaviria_reorg_4nr.zip</v>
      </c>
    </row>
    <row r="8046" spans="1:21">
      <c r="A8046">
        <v>8045</v>
      </c>
      <c r="B8046" s="27" t="s">
        <v>20779</v>
      </c>
      <c r="D8046" s="27" t="s">
        <v>1826</v>
      </c>
      <c r="F8046" s="27" t="s">
        <v>1844</v>
      </c>
      <c r="H8046" s="27" t="s">
        <v>1845</v>
      </c>
      <c r="J8046" s="27" t="s">
        <v>8747</v>
      </c>
      <c r="L8046" s="27" t="s">
        <v>12642</v>
      </c>
      <c r="N8046" s="27" t="s">
        <v>12670</v>
      </c>
      <c r="P8046" s="27" t="s">
        <v>12671</v>
      </c>
      <c r="Q8046" s="26" t="str">
        <f>HYPERLINK("https://ictv.global/taxonomy/taxondetails?taxnode_id=202518529&amp;ictv_id=ICTV202318529","ICTV202318529")</f>
        <v>ICTV202318529</v>
      </c>
      <c r="R8046" t="s">
        <v>660</v>
      </c>
      <c r="S8046" t="s">
        <v>824</v>
      </c>
      <c r="T8046">
        <v>41</v>
      </c>
      <c r="U8046" s="26" t="str">
        <f t="shared" si="298"/>
        <v>2025.002G.Monodnaviria_reorg_4nr.zip</v>
      </c>
    </row>
    <row r="8047" spans="1:21">
      <c r="A8047">
        <v>8046</v>
      </c>
      <c r="B8047" s="27" t="s">
        <v>20779</v>
      </c>
      <c r="D8047" s="27" t="s">
        <v>1826</v>
      </c>
      <c r="F8047" s="27" t="s">
        <v>1844</v>
      </c>
      <c r="H8047" s="27" t="s">
        <v>1845</v>
      </c>
      <c r="J8047" s="27" t="s">
        <v>8747</v>
      </c>
      <c r="L8047" s="27" t="s">
        <v>12642</v>
      </c>
      <c r="N8047" s="27" t="s">
        <v>12672</v>
      </c>
      <c r="P8047" s="27" t="s">
        <v>12673</v>
      </c>
      <c r="Q8047" s="26" t="str">
        <f>HYPERLINK("https://ictv.global/taxonomy/taxondetails?taxnode_id=202518531&amp;ictv_id=ICTV202318531","ICTV202318531")</f>
        <v>ICTV202318531</v>
      </c>
      <c r="R8047" t="s">
        <v>660</v>
      </c>
      <c r="S8047" t="s">
        <v>824</v>
      </c>
      <c r="T8047">
        <v>41</v>
      </c>
      <c r="U8047" s="26" t="str">
        <f t="shared" si="298"/>
        <v>2025.002G.Monodnaviria_reorg_4nr.zip</v>
      </c>
    </row>
    <row r="8048" spans="1:21">
      <c r="A8048">
        <v>8047</v>
      </c>
      <c r="B8048" s="27" t="s">
        <v>20779</v>
      </c>
      <c r="D8048" s="27" t="s">
        <v>1826</v>
      </c>
      <c r="F8048" s="27" t="s">
        <v>1844</v>
      </c>
      <c r="H8048" s="27" t="s">
        <v>1845</v>
      </c>
      <c r="J8048" s="27" t="s">
        <v>8747</v>
      </c>
      <c r="L8048" s="27" t="s">
        <v>12642</v>
      </c>
      <c r="N8048" s="27" t="s">
        <v>12674</v>
      </c>
      <c r="P8048" s="27" t="s">
        <v>12675</v>
      </c>
      <c r="Q8048" s="26" t="str">
        <f>HYPERLINK("https://ictv.global/taxonomy/taxondetails?taxnode_id=202518532&amp;ictv_id=ICTV202318532","ICTV202318532")</f>
        <v>ICTV202318532</v>
      </c>
      <c r="R8048" t="s">
        <v>660</v>
      </c>
      <c r="S8048" t="s">
        <v>824</v>
      </c>
      <c r="T8048">
        <v>41</v>
      </c>
      <c r="U8048" s="26" t="str">
        <f t="shared" si="298"/>
        <v>2025.002G.Monodnaviria_reorg_4nr.zip</v>
      </c>
    </row>
    <row r="8049" spans="1:21">
      <c r="A8049">
        <v>8048</v>
      </c>
      <c r="B8049" s="27" t="s">
        <v>20779</v>
      </c>
      <c r="D8049" s="27" t="s">
        <v>1826</v>
      </c>
      <c r="F8049" s="27" t="s">
        <v>1844</v>
      </c>
      <c r="H8049" s="27" t="s">
        <v>1845</v>
      </c>
      <c r="J8049" s="27" t="s">
        <v>8747</v>
      </c>
      <c r="L8049" s="27" t="s">
        <v>12642</v>
      </c>
      <c r="N8049" s="27" t="s">
        <v>12676</v>
      </c>
      <c r="P8049" s="27" t="s">
        <v>12677</v>
      </c>
      <c r="Q8049" s="26" t="str">
        <f>HYPERLINK("https://ictv.global/taxonomy/taxondetails?taxnode_id=202518533&amp;ictv_id=ICTV202318533","ICTV202318533")</f>
        <v>ICTV202318533</v>
      </c>
      <c r="R8049" t="s">
        <v>660</v>
      </c>
      <c r="S8049" t="s">
        <v>824</v>
      </c>
      <c r="T8049">
        <v>41</v>
      </c>
      <c r="U8049" s="26" t="str">
        <f t="shared" si="298"/>
        <v>2025.002G.Monodnaviria_reorg_4nr.zip</v>
      </c>
    </row>
    <row r="8050" spans="1:21">
      <c r="A8050">
        <v>8049</v>
      </c>
      <c r="B8050" s="27" t="s">
        <v>20779</v>
      </c>
      <c r="D8050" s="27" t="s">
        <v>1826</v>
      </c>
      <c r="F8050" s="27" t="s">
        <v>1844</v>
      </c>
      <c r="H8050" s="27" t="s">
        <v>1845</v>
      </c>
      <c r="J8050" s="27" t="s">
        <v>8747</v>
      </c>
      <c r="L8050" s="27" t="s">
        <v>12642</v>
      </c>
      <c r="N8050" s="27" t="s">
        <v>12678</v>
      </c>
      <c r="P8050" s="27" t="s">
        <v>12679</v>
      </c>
      <c r="Q8050" s="26" t="str">
        <f>HYPERLINK("https://ictv.global/taxonomy/taxondetails?taxnode_id=202518534&amp;ictv_id=ICTV202318534","ICTV202318534")</f>
        <v>ICTV202318534</v>
      </c>
      <c r="R8050" t="s">
        <v>660</v>
      </c>
      <c r="S8050" t="s">
        <v>824</v>
      </c>
      <c r="T8050">
        <v>41</v>
      </c>
      <c r="U8050" s="26" t="str">
        <f t="shared" si="298"/>
        <v>2025.002G.Monodnaviria_reorg_4nr.zip</v>
      </c>
    </row>
    <row r="8051" spans="1:21">
      <c r="A8051">
        <v>8050</v>
      </c>
      <c r="B8051" s="27" t="s">
        <v>20779</v>
      </c>
      <c r="D8051" s="27" t="s">
        <v>1826</v>
      </c>
      <c r="F8051" s="27" t="s">
        <v>1844</v>
      </c>
      <c r="H8051" s="27" t="s">
        <v>1845</v>
      </c>
      <c r="J8051" s="27" t="s">
        <v>8747</v>
      </c>
      <c r="L8051" s="27" t="s">
        <v>12642</v>
      </c>
      <c r="N8051" s="27" t="s">
        <v>12678</v>
      </c>
      <c r="P8051" s="27" t="s">
        <v>12680</v>
      </c>
      <c r="Q8051" s="26" t="str">
        <f>HYPERLINK("https://ictv.global/taxonomy/taxondetails?taxnode_id=202518535&amp;ictv_id=ICTV202318535","ICTV202318535")</f>
        <v>ICTV202318535</v>
      </c>
      <c r="R8051" t="s">
        <v>660</v>
      </c>
      <c r="S8051" t="s">
        <v>824</v>
      </c>
      <c r="T8051">
        <v>41</v>
      </c>
      <c r="U8051" s="26" t="str">
        <f t="shared" si="298"/>
        <v>2025.002G.Monodnaviria_reorg_4nr.zip</v>
      </c>
    </row>
    <row r="8052" spans="1:21">
      <c r="A8052">
        <v>8051</v>
      </c>
      <c r="B8052" s="27" t="s">
        <v>20779</v>
      </c>
      <c r="D8052" s="27" t="s">
        <v>1826</v>
      </c>
      <c r="F8052" s="27" t="s">
        <v>1844</v>
      </c>
      <c r="H8052" s="27" t="s">
        <v>1845</v>
      </c>
      <c r="J8052" s="27" t="s">
        <v>8747</v>
      </c>
      <c r="L8052" s="27" t="s">
        <v>12642</v>
      </c>
      <c r="N8052" s="27" t="s">
        <v>12681</v>
      </c>
      <c r="P8052" s="27" t="s">
        <v>12682</v>
      </c>
      <c r="Q8052" s="26" t="str">
        <f>HYPERLINK("https://ictv.global/taxonomy/taxondetails?taxnode_id=202518536&amp;ictv_id=ICTV202318536","ICTV202318536")</f>
        <v>ICTV202318536</v>
      </c>
      <c r="R8052" t="s">
        <v>660</v>
      </c>
      <c r="S8052" t="s">
        <v>824</v>
      </c>
      <c r="T8052">
        <v>41</v>
      </c>
      <c r="U8052" s="26" t="str">
        <f t="shared" si="298"/>
        <v>2025.002G.Monodnaviria_reorg_4nr.zip</v>
      </c>
    </row>
    <row r="8053" spans="1:21">
      <c r="A8053">
        <v>8052</v>
      </c>
      <c r="B8053" s="27" t="s">
        <v>20779</v>
      </c>
      <c r="D8053" s="27" t="s">
        <v>1826</v>
      </c>
      <c r="F8053" s="27" t="s">
        <v>1844</v>
      </c>
      <c r="H8053" s="27" t="s">
        <v>1845</v>
      </c>
      <c r="J8053" s="27" t="s">
        <v>8747</v>
      </c>
      <c r="L8053" s="27" t="s">
        <v>12683</v>
      </c>
      <c r="N8053" s="27" t="s">
        <v>12684</v>
      </c>
      <c r="P8053" s="27" t="s">
        <v>12685</v>
      </c>
      <c r="Q8053" s="26" t="str">
        <f>HYPERLINK("https://ictv.global/taxonomy/taxondetails?taxnode_id=202518503&amp;ictv_id=ICTV202318503","ICTV202318503")</f>
        <v>ICTV202318503</v>
      </c>
      <c r="R8053" t="s">
        <v>660</v>
      </c>
      <c r="S8053" t="s">
        <v>824</v>
      </c>
      <c r="T8053">
        <v>41</v>
      </c>
      <c r="U8053" s="26" t="str">
        <f t="shared" si="298"/>
        <v>2025.002G.Monodnaviria_reorg_4nr.zip</v>
      </c>
    </row>
    <row r="8054" spans="1:21">
      <c r="A8054">
        <v>8053</v>
      </c>
      <c r="B8054" s="27" t="s">
        <v>20779</v>
      </c>
      <c r="D8054" s="27" t="s">
        <v>1826</v>
      </c>
      <c r="F8054" s="27" t="s">
        <v>1844</v>
      </c>
      <c r="H8054" s="27" t="s">
        <v>1845</v>
      </c>
      <c r="J8054" s="27" t="s">
        <v>8747</v>
      </c>
      <c r="L8054" s="27" t="s">
        <v>12683</v>
      </c>
      <c r="N8054" s="27" t="s">
        <v>12686</v>
      </c>
      <c r="P8054" s="27" t="s">
        <v>12687</v>
      </c>
      <c r="Q8054" s="26" t="str">
        <f>HYPERLINK("https://ictv.global/taxonomy/taxondetails?taxnode_id=202518504&amp;ictv_id=ICTV202318504","ICTV202318504")</f>
        <v>ICTV202318504</v>
      </c>
      <c r="R8054" t="s">
        <v>660</v>
      </c>
      <c r="S8054" t="s">
        <v>824</v>
      </c>
      <c r="T8054">
        <v>41</v>
      </c>
      <c r="U8054" s="26" t="str">
        <f t="shared" si="298"/>
        <v>2025.002G.Monodnaviria_reorg_4nr.zip</v>
      </c>
    </row>
    <row r="8055" spans="1:21">
      <c r="A8055">
        <v>8054</v>
      </c>
      <c r="B8055" s="27" t="s">
        <v>20779</v>
      </c>
      <c r="D8055" s="27" t="s">
        <v>1826</v>
      </c>
      <c r="F8055" s="27" t="s">
        <v>1844</v>
      </c>
      <c r="H8055" s="27" t="s">
        <v>1845</v>
      </c>
      <c r="J8055" s="27" t="s">
        <v>8747</v>
      </c>
      <c r="L8055" s="27" t="s">
        <v>12683</v>
      </c>
      <c r="N8055" s="27" t="s">
        <v>12688</v>
      </c>
      <c r="P8055" s="27" t="s">
        <v>12689</v>
      </c>
      <c r="Q8055" s="26" t="str">
        <f>HYPERLINK("https://ictv.global/taxonomy/taxondetails?taxnode_id=202518505&amp;ictv_id=ICTV202318505","ICTV202318505")</f>
        <v>ICTV202318505</v>
      </c>
      <c r="R8055" t="s">
        <v>660</v>
      </c>
      <c r="S8055" t="s">
        <v>824</v>
      </c>
      <c r="T8055">
        <v>41</v>
      </c>
      <c r="U8055" s="26" t="str">
        <f t="shared" si="298"/>
        <v>2025.002G.Monodnaviria_reorg_4nr.zip</v>
      </c>
    </row>
    <row r="8056" spans="1:21">
      <c r="A8056">
        <v>8055</v>
      </c>
      <c r="B8056" s="27" t="s">
        <v>20779</v>
      </c>
      <c r="D8056" s="27" t="s">
        <v>1826</v>
      </c>
      <c r="F8056" s="27" t="s">
        <v>1844</v>
      </c>
      <c r="H8056" s="27" t="s">
        <v>1845</v>
      </c>
      <c r="J8056" s="27" t="s">
        <v>8747</v>
      </c>
      <c r="L8056" s="27" t="s">
        <v>12683</v>
      </c>
      <c r="N8056" s="27" t="s">
        <v>12690</v>
      </c>
      <c r="P8056" s="27" t="s">
        <v>12691</v>
      </c>
      <c r="Q8056" s="26" t="str">
        <f>HYPERLINK("https://ictv.global/taxonomy/taxondetails?taxnode_id=202518508&amp;ictv_id=ICTV202318508","ICTV202318508")</f>
        <v>ICTV202318508</v>
      </c>
      <c r="R8056" t="s">
        <v>660</v>
      </c>
      <c r="S8056" t="s">
        <v>824</v>
      </c>
      <c r="T8056">
        <v>41</v>
      </c>
      <c r="U8056" s="26" t="str">
        <f t="shared" si="298"/>
        <v>2025.002G.Monodnaviria_reorg_4nr.zip</v>
      </c>
    </row>
    <row r="8057" spans="1:21">
      <c r="A8057">
        <v>8056</v>
      </c>
      <c r="B8057" s="27" t="s">
        <v>20779</v>
      </c>
      <c r="D8057" s="27" t="s">
        <v>1826</v>
      </c>
      <c r="F8057" s="27" t="s">
        <v>1844</v>
      </c>
      <c r="H8057" s="27" t="s">
        <v>1845</v>
      </c>
      <c r="J8057" s="27" t="s">
        <v>8747</v>
      </c>
      <c r="L8057" s="27" t="s">
        <v>12683</v>
      </c>
      <c r="N8057" s="27" t="s">
        <v>12692</v>
      </c>
      <c r="P8057" s="27" t="s">
        <v>12693</v>
      </c>
      <c r="Q8057" s="26" t="str">
        <f>HYPERLINK("https://ictv.global/taxonomy/taxondetails?taxnode_id=202518509&amp;ictv_id=ICTV202318509","ICTV202318509")</f>
        <v>ICTV202318509</v>
      </c>
      <c r="R8057" t="s">
        <v>660</v>
      </c>
      <c r="S8057" t="s">
        <v>824</v>
      </c>
      <c r="T8057">
        <v>41</v>
      </c>
      <c r="U8057" s="26" t="str">
        <f t="shared" si="298"/>
        <v>2025.002G.Monodnaviria_reorg_4nr.zip</v>
      </c>
    </row>
    <row r="8058" spans="1:21">
      <c r="A8058">
        <v>8057</v>
      </c>
      <c r="B8058" s="27" t="s">
        <v>20779</v>
      </c>
      <c r="D8058" s="27" t="s">
        <v>1826</v>
      </c>
      <c r="F8058" s="27" t="s">
        <v>1844</v>
      </c>
      <c r="H8058" s="27" t="s">
        <v>1845</v>
      </c>
      <c r="J8058" s="27" t="s">
        <v>8747</v>
      </c>
      <c r="L8058" s="27" t="s">
        <v>12683</v>
      </c>
      <c r="N8058" s="27" t="s">
        <v>12694</v>
      </c>
      <c r="P8058" s="27" t="s">
        <v>12695</v>
      </c>
      <c r="Q8058" s="26" t="str">
        <f>HYPERLINK("https://ictv.global/taxonomy/taxondetails?taxnode_id=202518510&amp;ictv_id=ICTV202318510","ICTV202318510")</f>
        <v>ICTV202318510</v>
      </c>
      <c r="R8058" t="s">
        <v>660</v>
      </c>
      <c r="S8058" t="s">
        <v>824</v>
      </c>
      <c r="T8058">
        <v>41</v>
      </c>
      <c r="U8058" s="26" t="str">
        <f t="shared" si="298"/>
        <v>2025.002G.Monodnaviria_reorg_4nr.zip</v>
      </c>
    </row>
    <row r="8059" spans="1:21">
      <c r="A8059">
        <v>8058</v>
      </c>
      <c r="B8059" s="27" t="s">
        <v>20779</v>
      </c>
      <c r="D8059" s="27" t="s">
        <v>1826</v>
      </c>
      <c r="F8059" s="27" t="s">
        <v>1844</v>
      </c>
      <c r="H8059" s="27" t="s">
        <v>1845</v>
      </c>
      <c r="J8059" s="27" t="s">
        <v>8747</v>
      </c>
      <c r="L8059" s="27" t="s">
        <v>12683</v>
      </c>
      <c r="N8059" s="27" t="s">
        <v>12696</v>
      </c>
      <c r="P8059" s="27" t="s">
        <v>12697</v>
      </c>
      <c r="Q8059" s="26" t="str">
        <f>HYPERLINK("https://ictv.global/taxonomy/taxondetails?taxnode_id=202518511&amp;ictv_id=ICTV202318511","ICTV202318511")</f>
        <v>ICTV202318511</v>
      </c>
      <c r="R8059" t="s">
        <v>660</v>
      </c>
      <c r="S8059" t="s">
        <v>824</v>
      </c>
      <c r="T8059">
        <v>41</v>
      </c>
      <c r="U8059" s="26" t="str">
        <f t="shared" si="298"/>
        <v>2025.002G.Monodnaviria_reorg_4nr.zip</v>
      </c>
    </row>
    <row r="8060" spans="1:21">
      <c r="A8060">
        <v>8059</v>
      </c>
      <c r="B8060" s="27" t="s">
        <v>20779</v>
      </c>
      <c r="D8060" s="27" t="s">
        <v>1826</v>
      </c>
      <c r="F8060" s="27" t="s">
        <v>1844</v>
      </c>
      <c r="H8060" s="27" t="s">
        <v>1845</v>
      </c>
      <c r="J8060" s="27" t="s">
        <v>8747</v>
      </c>
      <c r="L8060" s="27" t="s">
        <v>12683</v>
      </c>
      <c r="N8060" s="27" t="s">
        <v>12696</v>
      </c>
      <c r="P8060" s="27" t="s">
        <v>12698</v>
      </c>
      <c r="Q8060" s="26" t="str">
        <f>HYPERLINK("https://ictv.global/taxonomy/taxondetails?taxnode_id=202518506&amp;ictv_id=ICTV202318506","ICTV202318506")</f>
        <v>ICTV202318506</v>
      </c>
      <c r="R8060" t="s">
        <v>660</v>
      </c>
      <c r="S8060" t="s">
        <v>824</v>
      </c>
      <c r="T8060">
        <v>41</v>
      </c>
      <c r="U8060" s="26" t="str">
        <f t="shared" si="298"/>
        <v>2025.002G.Monodnaviria_reorg_4nr.zip</v>
      </c>
    </row>
    <row r="8061" spans="1:21">
      <c r="A8061">
        <v>8060</v>
      </c>
      <c r="B8061" s="27" t="s">
        <v>20779</v>
      </c>
      <c r="D8061" s="27" t="s">
        <v>1826</v>
      </c>
      <c r="F8061" s="27" t="s">
        <v>1844</v>
      </c>
      <c r="H8061" s="27" t="s">
        <v>1845</v>
      </c>
      <c r="J8061" s="27" t="s">
        <v>8747</v>
      </c>
      <c r="L8061" s="27" t="s">
        <v>12683</v>
      </c>
      <c r="N8061" s="27" t="s">
        <v>12696</v>
      </c>
      <c r="P8061" s="27" t="s">
        <v>12699</v>
      </c>
      <c r="Q8061" s="26" t="str">
        <f>HYPERLINK("https://ictv.global/taxonomy/taxondetails?taxnode_id=202518507&amp;ictv_id=ICTV202318507","ICTV202318507")</f>
        <v>ICTV202318507</v>
      </c>
      <c r="R8061" t="s">
        <v>660</v>
      </c>
      <c r="S8061" t="s">
        <v>824</v>
      </c>
      <c r="T8061">
        <v>41</v>
      </c>
      <c r="U8061" s="26" t="str">
        <f t="shared" si="298"/>
        <v>2025.002G.Monodnaviria_reorg_4nr.zip</v>
      </c>
    </row>
    <row r="8062" spans="1:21">
      <c r="A8062">
        <v>8061</v>
      </c>
      <c r="B8062" s="27" t="s">
        <v>20779</v>
      </c>
      <c r="D8062" s="27" t="s">
        <v>1826</v>
      </c>
      <c r="F8062" s="27" t="s">
        <v>1844</v>
      </c>
      <c r="H8062" s="27" t="s">
        <v>1845</v>
      </c>
      <c r="J8062" s="27" t="s">
        <v>8747</v>
      </c>
      <c r="L8062" s="27" t="s">
        <v>12683</v>
      </c>
      <c r="N8062" s="27" t="s">
        <v>12700</v>
      </c>
      <c r="P8062" s="27" t="s">
        <v>12701</v>
      </c>
      <c r="Q8062" s="26" t="str">
        <f>HYPERLINK("https://ictv.global/taxonomy/taxondetails?taxnode_id=202518512&amp;ictv_id=ICTV202318512","ICTV202318512")</f>
        <v>ICTV202318512</v>
      </c>
      <c r="R8062" t="s">
        <v>660</v>
      </c>
      <c r="S8062" t="s">
        <v>824</v>
      </c>
      <c r="T8062">
        <v>41</v>
      </c>
      <c r="U8062" s="26" t="str">
        <f t="shared" si="298"/>
        <v>2025.002G.Monodnaviria_reorg_4nr.zip</v>
      </c>
    </row>
    <row r="8063" spans="1:21">
      <c r="A8063">
        <v>8062</v>
      </c>
      <c r="B8063" s="27" t="s">
        <v>20779</v>
      </c>
      <c r="D8063" s="27" t="s">
        <v>1826</v>
      </c>
      <c r="F8063" s="27" t="s">
        <v>1844</v>
      </c>
      <c r="H8063" s="27" t="s">
        <v>1845</v>
      </c>
      <c r="J8063" s="27" t="s">
        <v>8747</v>
      </c>
      <c r="L8063" s="27" t="s">
        <v>12683</v>
      </c>
      <c r="N8063" s="27" t="s">
        <v>12702</v>
      </c>
      <c r="P8063" s="27" t="s">
        <v>12703</v>
      </c>
      <c r="Q8063" s="26" t="str">
        <f>HYPERLINK("https://ictv.global/taxonomy/taxondetails?taxnode_id=202518513&amp;ictv_id=ICTV202318513","ICTV202318513")</f>
        <v>ICTV202318513</v>
      </c>
      <c r="R8063" t="s">
        <v>660</v>
      </c>
      <c r="S8063" t="s">
        <v>824</v>
      </c>
      <c r="T8063">
        <v>41</v>
      </c>
      <c r="U8063" s="26" t="str">
        <f t="shared" si="298"/>
        <v>2025.002G.Monodnaviria_reorg_4nr.zip</v>
      </c>
    </row>
    <row r="8064" spans="1:21">
      <c r="A8064">
        <v>8063</v>
      </c>
      <c r="B8064" s="27" t="s">
        <v>20779</v>
      </c>
      <c r="D8064" s="27" t="s">
        <v>1826</v>
      </c>
      <c r="F8064" s="27" t="s">
        <v>1844</v>
      </c>
      <c r="H8064" s="27" t="s">
        <v>1845</v>
      </c>
      <c r="J8064" s="27" t="s">
        <v>8747</v>
      </c>
      <c r="L8064" s="27" t="s">
        <v>12683</v>
      </c>
      <c r="N8064" s="27" t="s">
        <v>12704</v>
      </c>
      <c r="P8064" s="27" t="s">
        <v>12705</v>
      </c>
      <c r="Q8064" s="26" t="str">
        <f>HYPERLINK("https://ictv.global/taxonomy/taxondetails?taxnode_id=202518514&amp;ictv_id=ICTV202318514","ICTV202318514")</f>
        <v>ICTV202318514</v>
      </c>
      <c r="R8064" t="s">
        <v>660</v>
      </c>
      <c r="S8064" t="s">
        <v>824</v>
      </c>
      <c r="T8064">
        <v>41</v>
      </c>
      <c r="U8064" s="26" t="str">
        <f t="shared" si="298"/>
        <v>2025.002G.Monodnaviria_reorg_4nr.zip</v>
      </c>
    </row>
    <row r="8065" spans="1:21">
      <c r="A8065">
        <v>8064</v>
      </c>
      <c r="B8065" s="27" t="s">
        <v>20779</v>
      </c>
      <c r="D8065" s="27" t="s">
        <v>1826</v>
      </c>
      <c r="F8065" s="27" t="s">
        <v>1844</v>
      </c>
      <c r="H8065" s="27" t="s">
        <v>1845</v>
      </c>
      <c r="J8065" s="27" t="s">
        <v>8747</v>
      </c>
      <c r="L8065" s="27" t="s">
        <v>8748</v>
      </c>
      <c r="N8065" s="27" t="s">
        <v>8749</v>
      </c>
      <c r="P8065" s="27" t="s">
        <v>8750</v>
      </c>
      <c r="Q8065" s="26" t="str">
        <f>HYPERLINK("https://ictv.global/taxonomy/taxondetails?taxnode_id=202513296&amp;ictv_id=ICTV202113296","ICTV202113296")</f>
        <v>ICTV202113296</v>
      </c>
      <c r="R8065" t="s">
        <v>664</v>
      </c>
      <c r="S8065" t="s">
        <v>824</v>
      </c>
      <c r="T8065">
        <v>41</v>
      </c>
      <c r="U8065" s="26" t="str">
        <f t="shared" si="298"/>
        <v>2025.002G.Monodnaviria_reorg_4nr.zip</v>
      </c>
    </row>
    <row r="8066" spans="1:21">
      <c r="A8066">
        <v>8065</v>
      </c>
      <c r="B8066" s="27" t="s">
        <v>20779</v>
      </c>
      <c r="D8066" s="27" t="s">
        <v>1826</v>
      </c>
      <c r="F8066" s="27" t="s">
        <v>1844</v>
      </c>
      <c r="H8066" s="27" t="s">
        <v>1845</v>
      </c>
      <c r="J8066" s="27" t="s">
        <v>8747</v>
      </c>
      <c r="L8066" s="27" t="s">
        <v>8748</v>
      </c>
      <c r="N8066" s="27" t="s">
        <v>12706</v>
      </c>
      <c r="P8066" s="27" t="s">
        <v>12707</v>
      </c>
      <c r="Q8066" s="26" t="str">
        <f>HYPERLINK("https://ictv.global/taxonomy/taxondetails?taxnode_id=202517904&amp;ictv_id=ICTV202317904","ICTV202317904")</f>
        <v>ICTV202317904</v>
      </c>
      <c r="R8066" t="s">
        <v>664</v>
      </c>
      <c r="S8066" t="s">
        <v>824</v>
      </c>
      <c r="T8066">
        <v>41</v>
      </c>
      <c r="U8066" s="26" t="str">
        <f t="shared" si="298"/>
        <v>2025.002G.Monodnaviria_reorg_4nr.zip</v>
      </c>
    </row>
    <row r="8067" spans="1:21">
      <c r="A8067">
        <v>8066</v>
      </c>
      <c r="B8067" s="27" t="s">
        <v>20779</v>
      </c>
      <c r="D8067" s="27" t="s">
        <v>1826</v>
      </c>
      <c r="F8067" s="27" t="s">
        <v>1844</v>
      </c>
      <c r="H8067" s="27" t="s">
        <v>1845</v>
      </c>
      <c r="J8067" s="27" t="s">
        <v>8747</v>
      </c>
      <c r="L8067" s="27" t="s">
        <v>8748</v>
      </c>
      <c r="N8067" s="27" t="s">
        <v>8751</v>
      </c>
      <c r="P8067" s="27" t="s">
        <v>8752</v>
      </c>
      <c r="Q8067" s="26" t="str">
        <f>HYPERLINK("https://ictv.global/taxonomy/taxondetails?taxnode_id=202513298&amp;ictv_id=ICTV202113298","ICTV202113298")</f>
        <v>ICTV202113298</v>
      </c>
      <c r="R8067" t="s">
        <v>664</v>
      </c>
      <c r="S8067" t="s">
        <v>824</v>
      </c>
      <c r="T8067">
        <v>41</v>
      </c>
      <c r="U8067" s="26" t="str">
        <f t="shared" si="298"/>
        <v>2025.002G.Monodnaviria_reorg_4nr.zip</v>
      </c>
    </row>
    <row r="8068" spans="1:21">
      <c r="A8068">
        <v>8067</v>
      </c>
      <c r="B8068" s="27" t="s">
        <v>20779</v>
      </c>
      <c r="D8068" s="27" t="s">
        <v>1826</v>
      </c>
      <c r="F8068" s="27" t="s">
        <v>1844</v>
      </c>
      <c r="H8068" s="27" t="s">
        <v>1845</v>
      </c>
      <c r="J8068" s="27" t="s">
        <v>8747</v>
      </c>
      <c r="L8068" s="27" t="s">
        <v>8748</v>
      </c>
      <c r="N8068" s="27" t="s">
        <v>8753</v>
      </c>
      <c r="P8068" s="27" t="s">
        <v>8754</v>
      </c>
      <c r="Q8068" s="26" t="str">
        <f>HYPERLINK("https://ictv.global/taxonomy/taxondetails?taxnode_id=202513300&amp;ictv_id=ICTV202113300","ICTV202113300")</f>
        <v>ICTV202113300</v>
      </c>
      <c r="R8068" t="s">
        <v>664</v>
      </c>
      <c r="S8068" t="s">
        <v>824</v>
      </c>
      <c r="T8068">
        <v>41</v>
      </c>
      <c r="U8068" s="26" t="str">
        <f t="shared" si="298"/>
        <v>2025.002G.Monodnaviria_reorg_4nr.zip</v>
      </c>
    </row>
    <row r="8069" spans="1:21">
      <c r="A8069">
        <v>8068</v>
      </c>
      <c r="B8069" s="27" t="s">
        <v>20779</v>
      </c>
      <c r="D8069" s="27" t="s">
        <v>1826</v>
      </c>
      <c r="F8069" s="27" t="s">
        <v>1844</v>
      </c>
      <c r="H8069" s="27" t="s">
        <v>1845</v>
      </c>
      <c r="J8069" s="27" t="s">
        <v>8747</v>
      </c>
      <c r="L8069" s="27" t="s">
        <v>8748</v>
      </c>
      <c r="N8069" s="27" t="s">
        <v>8755</v>
      </c>
      <c r="P8069" s="27" t="s">
        <v>8756</v>
      </c>
      <c r="Q8069" s="26" t="str">
        <f>HYPERLINK("https://ictv.global/taxonomy/taxondetails?taxnode_id=202513302&amp;ictv_id=ICTV202113302","ICTV202113302")</f>
        <v>ICTV202113302</v>
      </c>
      <c r="R8069" t="s">
        <v>664</v>
      </c>
      <c r="S8069" t="s">
        <v>824</v>
      </c>
      <c r="T8069">
        <v>41</v>
      </c>
      <c r="U8069" s="26" t="str">
        <f t="shared" si="298"/>
        <v>2025.002G.Monodnaviria_reorg_4nr.zip</v>
      </c>
    </row>
    <row r="8070" spans="1:21">
      <c r="A8070">
        <v>8069</v>
      </c>
      <c r="B8070" s="27" t="s">
        <v>20779</v>
      </c>
      <c r="D8070" s="27" t="s">
        <v>1826</v>
      </c>
      <c r="F8070" s="27" t="s">
        <v>1844</v>
      </c>
      <c r="H8070" s="27" t="s">
        <v>1845</v>
      </c>
      <c r="J8070" s="27" t="s">
        <v>8747</v>
      </c>
      <c r="L8070" s="27" t="s">
        <v>8748</v>
      </c>
      <c r="N8070" s="27" t="s">
        <v>8757</v>
      </c>
      <c r="P8070" s="27" t="s">
        <v>8758</v>
      </c>
      <c r="Q8070" s="26" t="str">
        <f>HYPERLINK("https://ictv.global/taxonomy/taxondetails?taxnode_id=202513304&amp;ictv_id=ICTV202113304","ICTV202113304")</f>
        <v>ICTV202113304</v>
      </c>
      <c r="R8070" t="s">
        <v>664</v>
      </c>
      <c r="S8070" t="s">
        <v>824</v>
      </c>
      <c r="T8070">
        <v>41</v>
      </c>
      <c r="U8070" s="26" t="str">
        <f t="shared" si="298"/>
        <v>2025.002G.Monodnaviria_reorg_4nr.zip</v>
      </c>
    </row>
    <row r="8071" spans="1:21">
      <c r="A8071">
        <v>8070</v>
      </c>
      <c r="B8071" s="27" t="s">
        <v>20779</v>
      </c>
      <c r="D8071" s="27" t="s">
        <v>1826</v>
      </c>
      <c r="F8071" s="27" t="s">
        <v>1844</v>
      </c>
      <c r="H8071" s="27" t="s">
        <v>1845</v>
      </c>
      <c r="J8071" s="27" t="s">
        <v>8747</v>
      </c>
      <c r="L8071" s="27" t="s">
        <v>8748</v>
      </c>
      <c r="N8071" s="27" t="s">
        <v>8757</v>
      </c>
      <c r="P8071" s="27" t="s">
        <v>8759</v>
      </c>
      <c r="Q8071" s="26" t="str">
        <f>HYPERLINK("https://ictv.global/taxonomy/taxondetails?taxnode_id=202513305&amp;ictv_id=ICTV202113305","ICTV202113305")</f>
        <v>ICTV202113305</v>
      </c>
      <c r="R8071" t="s">
        <v>664</v>
      </c>
      <c r="S8071" t="s">
        <v>824</v>
      </c>
      <c r="T8071">
        <v>41</v>
      </c>
      <c r="U8071" s="26" t="str">
        <f t="shared" si="298"/>
        <v>2025.002G.Monodnaviria_reorg_4nr.zip</v>
      </c>
    </row>
    <row r="8072" spans="1:21">
      <c r="A8072">
        <v>8071</v>
      </c>
      <c r="B8072" s="27" t="s">
        <v>20779</v>
      </c>
      <c r="D8072" s="27" t="s">
        <v>1826</v>
      </c>
      <c r="F8072" s="27" t="s">
        <v>1844</v>
      </c>
      <c r="H8072" s="27" t="s">
        <v>1845</v>
      </c>
      <c r="J8072" s="27" t="s">
        <v>12708</v>
      </c>
      <c r="L8072" s="27" t="s">
        <v>12709</v>
      </c>
      <c r="N8072" s="27" t="s">
        <v>12710</v>
      </c>
      <c r="P8072" s="27" t="s">
        <v>12711</v>
      </c>
      <c r="Q8072" s="26" t="str">
        <f>HYPERLINK("https://ictv.global/taxonomy/taxondetails?taxnode_id=202518858&amp;ictv_id=ICTV202318858","ICTV202318858")</f>
        <v>ICTV202318858</v>
      </c>
      <c r="R8072" t="s">
        <v>660</v>
      </c>
      <c r="S8072" t="s">
        <v>824</v>
      </c>
      <c r="T8072">
        <v>41</v>
      </c>
      <c r="U8072" s="26" t="str">
        <f t="shared" si="298"/>
        <v>2025.002G.Monodnaviria_reorg_4nr.zip</v>
      </c>
    </row>
    <row r="8073" spans="1:21">
      <c r="A8073">
        <v>8072</v>
      </c>
      <c r="B8073" s="27" t="s">
        <v>20779</v>
      </c>
      <c r="D8073" s="27" t="s">
        <v>1826</v>
      </c>
      <c r="F8073" s="27" t="s">
        <v>1844</v>
      </c>
      <c r="H8073" s="27" t="s">
        <v>1845</v>
      </c>
      <c r="J8073" s="27" t="s">
        <v>12708</v>
      </c>
      <c r="L8073" s="27" t="s">
        <v>12709</v>
      </c>
      <c r="N8073" s="27" t="s">
        <v>12712</v>
      </c>
      <c r="P8073" s="27" t="s">
        <v>12713</v>
      </c>
      <c r="Q8073" s="26" t="str">
        <f>HYPERLINK("https://ictv.global/taxonomy/taxondetails?taxnode_id=202518861&amp;ictv_id=ICTV202318861","ICTV202318861")</f>
        <v>ICTV202318861</v>
      </c>
      <c r="R8073" t="s">
        <v>660</v>
      </c>
      <c r="S8073" t="s">
        <v>824</v>
      </c>
      <c r="T8073">
        <v>41</v>
      </c>
      <c r="U8073" s="26" t="str">
        <f t="shared" si="298"/>
        <v>2025.002G.Monodnaviria_reorg_4nr.zip</v>
      </c>
    </row>
    <row r="8074" spans="1:21">
      <c r="A8074">
        <v>8073</v>
      </c>
      <c r="B8074" s="27" t="s">
        <v>20779</v>
      </c>
      <c r="D8074" s="27" t="s">
        <v>1826</v>
      </c>
      <c r="F8074" s="27" t="s">
        <v>1844</v>
      </c>
      <c r="H8074" s="27" t="s">
        <v>1845</v>
      </c>
      <c r="J8074" s="27" t="s">
        <v>12708</v>
      </c>
      <c r="L8074" s="27" t="s">
        <v>12709</v>
      </c>
      <c r="N8074" s="27" t="s">
        <v>12712</v>
      </c>
      <c r="P8074" s="27" t="s">
        <v>12714</v>
      </c>
      <c r="Q8074" s="26" t="str">
        <f>HYPERLINK("https://ictv.global/taxonomy/taxondetails?taxnode_id=202518862&amp;ictv_id=ICTV202318862","ICTV202318862")</f>
        <v>ICTV202318862</v>
      </c>
      <c r="R8074" t="s">
        <v>660</v>
      </c>
      <c r="S8074" t="s">
        <v>824</v>
      </c>
      <c r="T8074">
        <v>41</v>
      </c>
      <c r="U8074" s="26" t="str">
        <f t="shared" si="298"/>
        <v>2025.002G.Monodnaviria_reorg_4nr.zip</v>
      </c>
    </row>
    <row r="8075" spans="1:21">
      <c r="A8075">
        <v>8074</v>
      </c>
      <c r="B8075" s="27" t="s">
        <v>20779</v>
      </c>
      <c r="D8075" s="27" t="s">
        <v>1826</v>
      </c>
      <c r="F8075" s="27" t="s">
        <v>1844</v>
      </c>
      <c r="H8075" s="27" t="s">
        <v>1845</v>
      </c>
      <c r="J8075" s="27" t="s">
        <v>12708</v>
      </c>
      <c r="L8075" s="27" t="s">
        <v>12709</v>
      </c>
      <c r="N8075" s="27" t="s">
        <v>12712</v>
      </c>
      <c r="P8075" s="27" t="s">
        <v>12715</v>
      </c>
      <c r="Q8075" s="26" t="str">
        <f>HYPERLINK("https://ictv.global/taxonomy/taxondetails?taxnode_id=202518863&amp;ictv_id=ICTV202318863","ICTV202318863")</f>
        <v>ICTV202318863</v>
      </c>
      <c r="R8075" t="s">
        <v>660</v>
      </c>
      <c r="S8075" t="s">
        <v>824</v>
      </c>
      <c r="T8075">
        <v>41</v>
      </c>
      <c r="U8075" s="26" t="str">
        <f t="shared" si="298"/>
        <v>2025.002G.Monodnaviria_reorg_4nr.zip</v>
      </c>
    </row>
    <row r="8076" spans="1:21">
      <c r="A8076">
        <v>8075</v>
      </c>
      <c r="B8076" s="27" t="s">
        <v>20779</v>
      </c>
      <c r="D8076" s="27" t="s">
        <v>1826</v>
      </c>
      <c r="F8076" s="27" t="s">
        <v>1844</v>
      </c>
      <c r="H8076" s="27" t="s">
        <v>1845</v>
      </c>
      <c r="J8076" s="27" t="s">
        <v>12708</v>
      </c>
      <c r="L8076" s="27" t="s">
        <v>12709</v>
      </c>
      <c r="N8076" s="27" t="s">
        <v>12712</v>
      </c>
      <c r="P8076" s="27" t="s">
        <v>12716</v>
      </c>
      <c r="Q8076" s="26" t="str">
        <f>HYPERLINK("https://ictv.global/taxonomy/taxondetails?taxnode_id=202518860&amp;ictv_id=ICTV202318860","ICTV202318860")</f>
        <v>ICTV202318860</v>
      </c>
      <c r="R8076" t="s">
        <v>660</v>
      </c>
      <c r="S8076" t="s">
        <v>824</v>
      </c>
      <c r="T8076">
        <v>41</v>
      </c>
      <c r="U8076" s="26" t="str">
        <f t="shared" si="298"/>
        <v>2025.002G.Monodnaviria_reorg_4nr.zip</v>
      </c>
    </row>
    <row r="8077" spans="1:21">
      <c r="A8077">
        <v>8076</v>
      </c>
      <c r="B8077" s="27" t="s">
        <v>20779</v>
      </c>
      <c r="D8077" s="27" t="s">
        <v>1826</v>
      </c>
      <c r="F8077" s="27" t="s">
        <v>1844</v>
      </c>
      <c r="H8077" s="27" t="s">
        <v>1845</v>
      </c>
      <c r="J8077" s="27" t="s">
        <v>12708</v>
      </c>
      <c r="L8077" s="27" t="s">
        <v>12709</v>
      </c>
      <c r="N8077" s="27" t="s">
        <v>12712</v>
      </c>
      <c r="P8077" s="27" t="s">
        <v>12717</v>
      </c>
      <c r="Q8077" s="26" t="str">
        <f>HYPERLINK("https://ictv.global/taxonomy/taxondetails?taxnode_id=202518859&amp;ictv_id=ICTV202318859","ICTV202318859")</f>
        <v>ICTV202318859</v>
      </c>
      <c r="R8077" t="s">
        <v>660</v>
      </c>
      <c r="S8077" t="s">
        <v>824</v>
      </c>
      <c r="T8077">
        <v>41</v>
      </c>
      <c r="U8077" s="26" t="str">
        <f t="shared" si="298"/>
        <v>2025.002G.Monodnaviria_reorg_4nr.zip</v>
      </c>
    </row>
    <row r="8078" spans="1:21">
      <c r="A8078">
        <v>8077</v>
      </c>
      <c r="B8078" s="27" t="s">
        <v>20779</v>
      </c>
      <c r="D8078" s="27" t="s">
        <v>1826</v>
      </c>
      <c r="F8078" s="27" t="s">
        <v>1844</v>
      </c>
      <c r="H8078" s="27" t="s">
        <v>1845</v>
      </c>
      <c r="J8078" s="27" t="s">
        <v>12708</v>
      </c>
      <c r="L8078" s="27" t="s">
        <v>12709</v>
      </c>
      <c r="N8078" s="27" t="s">
        <v>12718</v>
      </c>
      <c r="P8078" s="27" t="s">
        <v>12719</v>
      </c>
      <c r="Q8078" s="26" t="str">
        <f>HYPERLINK("https://ictv.global/taxonomy/taxondetails?taxnode_id=202518864&amp;ictv_id=ICTV202318864","ICTV202318864")</f>
        <v>ICTV202318864</v>
      </c>
      <c r="R8078" t="s">
        <v>660</v>
      </c>
      <c r="S8078" t="s">
        <v>824</v>
      </c>
      <c r="T8078">
        <v>41</v>
      </c>
      <c r="U8078" s="26" t="str">
        <f t="shared" si="298"/>
        <v>2025.002G.Monodnaviria_reorg_4nr.zip</v>
      </c>
    </row>
    <row r="8079" spans="1:21">
      <c r="A8079">
        <v>8078</v>
      </c>
      <c r="B8079" s="27" t="s">
        <v>20779</v>
      </c>
      <c r="D8079" s="27" t="s">
        <v>1826</v>
      </c>
      <c r="F8079" s="27" t="s">
        <v>1844</v>
      </c>
      <c r="H8079" s="27" t="s">
        <v>1845</v>
      </c>
      <c r="J8079" s="27" t="s">
        <v>12708</v>
      </c>
      <c r="L8079" s="27" t="s">
        <v>12709</v>
      </c>
      <c r="N8079" s="27" t="s">
        <v>12720</v>
      </c>
      <c r="P8079" s="27" t="s">
        <v>12721</v>
      </c>
      <c r="Q8079" s="26" t="str">
        <f>HYPERLINK("https://ictv.global/taxonomy/taxondetails?taxnode_id=202518865&amp;ictv_id=ICTV202318865","ICTV202318865")</f>
        <v>ICTV202318865</v>
      </c>
      <c r="R8079" t="s">
        <v>660</v>
      </c>
      <c r="S8079" t="s">
        <v>824</v>
      </c>
      <c r="T8079">
        <v>41</v>
      </c>
      <c r="U8079" s="26" t="str">
        <f t="shared" si="298"/>
        <v>2025.002G.Monodnaviria_reorg_4nr.zip</v>
      </c>
    </row>
    <row r="8080" spans="1:21">
      <c r="A8080">
        <v>8079</v>
      </c>
      <c r="B8080" s="27" t="s">
        <v>20779</v>
      </c>
      <c r="D8080" s="27" t="s">
        <v>1826</v>
      </c>
      <c r="F8080" s="27" t="s">
        <v>1844</v>
      </c>
      <c r="H8080" s="27" t="s">
        <v>1845</v>
      </c>
      <c r="J8080" s="27" t="s">
        <v>12708</v>
      </c>
      <c r="L8080" s="27" t="s">
        <v>12709</v>
      </c>
      <c r="N8080" s="27" t="s">
        <v>12720</v>
      </c>
      <c r="P8080" s="27" t="s">
        <v>12722</v>
      </c>
      <c r="Q8080" s="26" t="str">
        <f>HYPERLINK("https://ictv.global/taxonomy/taxondetails?taxnode_id=202518866&amp;ictv_id=ICTV202318866","ICTV202318866")</f>
        <v>ICTV202318866</v>
      </c>
      <c r="R8080" t="s">
        <v>660</v>
      </c>
      <c r="S8080" t="s">
        <v>824</v>
      </c>
      <c r="T8080">
        <v>41</v>
      </c>
      <c r="U8080" s="26" t="str">
        <f t="shared" si="298"/>
        <v>2025.002G.Monodnaviria_reorg_4nr.zip</v>
      </c>
    </row>
    <row r="8081" spans="1:21">
      <c r="A8081">
        <v>8080</v>
      </c>
      <c r="B8081" s="27" t="s">
        <v>20779</v>
      </c>
      <c r="D8081" s="27" t="s">
        <v>1826</v>
      </c>
      <c r="F8081" s="27" t="s">
        <v>1844</v>
      </c>
      <c r="H8081" s="27" t="s">
        <v>1845</v>
      </c>
      <c r="J8081" s="27" t="s">
        <v>12708</v>
      </c>
      <c r="L8081" s="27" t="s">
        <v>12709</v>
      </c>
      <c r="N8081" s="27" t="s">
        <v>12723</v>
      </c>
      <c r="P8081" s="27" t="s">
        <v>12724</v>
      </c>
      <c r="Q8081" s="26" t="str">
        <f>HYPERLINK("https://ictv.global/taxonomy/taxondetails?taxnode_id=202518868&amp;ictv_id=ICTV202318868","ICTV202318868")</f>
        <v>ICTV202318868</v>
      </c>
      <c r="R8081" t="s">
        <v>660</v>
      </c>
      <c r="S8081" t="s">
        <v>824</v>
      </c>
      <c r="T8081">
        <v>41</v>
      </c>
      <c r="U8081" s="26" t="str">
        <f t="shared" si="298"/>
        <v>2025.002G.Monodnaviria_reorg_4nr.zip</v>
      </c>
    </row>
    <row r="8082" spans="1:21">
      <c r="A8082">
        <v>8081</v>
      </c>
      <c r="B8082" s="27" t="s">
        <v>20779</v>
      </c>
      <c r="D8082" s="27" t="s">
        <v>1826</v>
      </c>
      <c r="F8082" s="27" t="s">
        <v>1844</v>
      </c>
      <c r="H8082" s="27" t="s">
        <v>1845</v>
      </c>
      <c r="J8082" s="27" t="s">
        <v>12708</v>
      </c>
      <c r="L8082" s="27" t="s">
        <v>12709</v>
      </c>
      <c r="N8082" s="27" t="s">
        <v>12723</v>
      </c>
      <c r="P8082" s="27" t="s">
        <v>12725</v>
      </c>
      <c r="Q8082" s="26" t="str">
        <f>HYPERLINK("https://ictv.global/taxonomy/taxondetails?taxnode_id=202518867&amp;ictv_id=ICTV202318867","ICTV202318867")</f>
        <v>ICTV202318867</v>
      </c>
      <c r="R8082" t="s">
        <v>660</v>
      </c>
      <c r="S8082" t="s">
        <v>824</v>
      </c>
      <c r="T8082">
        <v>41</v>
      </c>
      <c r="U8082" s="26" t="str">
        <f t="shared" si="298"/>
        <v>2025.002G.Monodnaviria_reorg_4nr.zip</v>
      </c>
    </row>
    <row r="8083" spans="1:21">
      <c r="A8083">
        <v>8082</v>
      </c>
      <c r="B8083" s="27" t="s">
        <v>20779</v>
      </c>
      <c r="D8083" s="27" t="s">
        <v>1826</v>
      </c>
      <c r="F8083" s="27" t="s">
        <v>1844</v>
      </c>
      <c r="H8083" s="27" t="s">
        <v>1845</v>
      </c>
      <c r="J8083" s="27" t="s">
        <v>12708</v>
      </c>
      <c r="L8083" s="27" t="s">
        <v>12709</v>
      </c>
      <c r="N8083" s="27" t="s">
        <v>12723</v>
      </c>
      <c r="P8083" s="27" t="s">
        <v>12726</v>
      </c>
      <c r="Q8083" s="26" t="str">
        <f>HYPERLINK("https://ictv.global/taxonomy/taxondetails?taxnode_id=202518870&amp;ictv_id=ICTV202318870","ICTV202318870")</f>
        <v>ICTV202318870</v>
      </c>
      <c r="R8083" t="s">
        <v>660</v>
      </c>
      <c r="S8083" t="s">
        <v>824</v>
      </c>
      <c r="T8083">
        <v>41</v>
      </c>
      <c r="U8083" s="26" t="str">
        <f t="shared" si="298"/>
        <v>2025.002G.Monodnaviria_reorg_4nr.zip</v>
      </c>
    </row>
    <row r="8084" spans="1:21">
      <c r="A8084">
        <v>8083</v>
      </c>
      <c r="B8084" s="27" t="s">
        <v>20779</v>
      </c>
      <c r="D8084" s="27" t="s">
        <v>1826</v>
      </c>
      <c r="F8084" s="27" t="s">
        <v>1844</v>
      </c>
      <c r="H8084" s="27" t="s">
        <v>1845</v>
      </c>
      <c r="J8084" s="27" t="s">
        <v>12708</v>
      </c>
      <c r="L8084" s="27" t="s">
        <v>12709</v>
      </c>
      <c r="N8084" s="27" t="s">
        <v>12723</v>
      </c>
      <c r="P8084" s="27" t="s">
        <v>12727</v>
      </c>
      <c r="Q8084" s="26" t="str">
        <f>HYPERLINK("https://ictv.global/taxonomy/taxondetails?taxnode_id=202518869&amp;ictv_id=ICTV202318869","ICTV202318869")</f>
        <v>ICTV202318869</v>
      </c>
      <c r="R8084" t="s">
        <v>660</v>
      </c>
      <c r="S8084" t="s">
        <v>824</v>
      </c>
      <c r="T8084">
        <v>41</v>
      </c>
      <c r="U8084" s="26" t="str">
        <f t="shared" si="298"/>
        <v>2025.002G.Monodnaviria_reorg_4nr.zip</v>
      </c>
    </row>
    <row r="8085" spans="1:21">
      <c r="A8085">
        <v>8084</v>
      </c>
      <c r="B8085" s="27" t="s">
        <v>20779</v>
      </c>
      <c r="D8085" s="27" t="s">
        <v>1826</v>
      </c>
      <c r="F8085" s="27" t="s">
        <v>1844</v>
      </c>
      <c r="H8085" s="27" t="s">
        <v>1845</v>
      </c>
      <c r="J8085" s="27" t="s">
        <v>12708</v>
      </c>
      <c r="L8085" s="27" t="s">
        <v>12709</v>
      </c>
      <c r="N8085" s="27" t="s">
        <v>12723</v>
      </c>
      <c r="P8085" s="27" t="s">
        <v>12728</v>
      </c>
      <c r="Q8085" s="26" t="str">
        <f>HYPERLINK("https://ictv.global/taxonomy/taxondetails?taxnode_id=202518871&amp;ictv_id=ICTV202318871","ICTV202318871")</f>
        <v>ICTV202318871</v>
      </c>
      <c r="R8085" t="s">
        <v>660</v>
      </c>
      <c r="S8085" t="s">
        <v>824</v>
      </c>
      <c r="T8085">
        <v>41</v>
      </c>
      <c r="U8085" s="26" t="str">
        <f t="shared" si="298"/>
        <v>2025.002G.Monodnaviria_reorg_4nr.zip</v>
      </c>
    </row>
    <row r="8086" spans="1:21">
      <c r="A8086">
        <v>8085</v>
      </c>
      <c r="B8086" s="27" t="s">
        <v>20779</v>
      </c>
      <c r="D8086" s="27" t="s">
        <v>1826</v>
      </c>
      <c r="F8086" s="27" t="s">
        <v>1844</v>
      </c>
      <c r="H8086" s="27" t="s">
        <v>1845</v>
      </c>
      <c r="J8086" s="27" t="s">
        <v>12708</v>
      </c>
      <c r="L8086" s="27" t="s">
        <v>12709</v>
      </c>
      <c r="N8086" s="27" t="s">
        <v>12729</v>
      </c>
      <c r="P8086" s="27" t="s">
        <v>12730</v>
      </c>
      <c r="Q8086" s="26" t="str">
        <f>HYPERLINK("https://ictv.global/taxonomy/taxondetails?taxnode_id=202518872&amp;ictv_id=ICTV202318872","ICTV202318872")</f>
        <v>ICTV202318872</v>
      </c>
      <c r="R8086" t="s">
        <v>660</v>
      </c>
      <c r="S8086" t="s">
        <v>824</v>
      </c>
      <c r="T8086">
        <v>41</v>
      </c>
      <c r="U8086" s="26" t="str">
        <f t="shared" si="298"/>
        <v>2025.002G.Monodnaviria_reorg_4nr.zip</v>
      </c>
    </row>
    <row r="8087" spans="1:21">
      <c r="A8087">
        <v>8086</v>
      </c>
      <c r="B8087" s="27" t="s">
        <v>20779</v>
      </c>
      <c r="D8087" s="27" t="s">
        <v>1826</v>
      </c>
      <c r="F8087" s="27" t="s">
        <v>1844</v>
      </c>
      <c r="H8087" s="27" t="s">
        <v>1845</v>
      </c>
      <c r="J8087" s="27" t="s">
        <v>12708</v>
      </c>
      <c r="L8087" s="27" t="s">
        <v>12709</v>
      </c>
      <c r="N8087" s="27" t="s">
        <v>12731</v>
      </c>
      <c r="P8087" s="27" t="s">
        <v>12732</v>
      </c>
      <c r="Q8087" s="26" t="str">
        <f>HYPERLINK("https://ictv.global/taxonomy/taxondetails?taxnode_id=202518894&amp;ictv_id=ICTV202318894","ICTV202318894")</f>
        <v>ICTV202318894</v>
      </c>
      <c r="R8087" t="s">
        <v>660</v>
      </c>
      <c r="S8087" t="s">
        <v>824</v>
      </c>
      <c r="T8087">
        <v>41</v>
      </c>
      <c r="U8087" s="26" t="str">
        <f t="shared" si="298"/>
        <v>2025.002G.Monodnaviria_reorg_4nr.zip</v>
      </c>
    </row>
    <row r="8088" spans="1:21">
      <c r="A8088">
        <v>8087</v>
      </c>
      <c r="B8088" s="27" t="s">
        <v>20779</v>
      </c>
      <c r="D8088" s="27" t="s">
        <v>1826</v>
      </c>
      <c r="F8088" s="27" t="s">
        <v>1844</v>
      </c>
      <c r="H8088" s="27" t="s">
        <v>1845</v>
      </c>
      <c r="J8088" s="27" t="s">
        <v>12708</v>
      </c>
      <c r="L8088" s="27" t="s">
        <v>12709</v>
      </c>
      <c r="N8088" s="27" t="s">
        <v>12731</v>
      </c>
      <c r="P8088" s="27" t="s">
        <v>12733</v>
      </c>
      <c r="Q8088" s="26" t="str">
        <f>HYPERLINK("https://ictv.global/taxonomy/taxondetails?taxnode_id=202518877&amp;ictv_id=ICTV202318877","ICTV202318877")</f>
        <v>ICTV202318877</v>
      </c>
      <c r="R8088" t="s">
        <v>660</v>
      </c>
      <c r="S8088" t="s">
        <v>824</v>
      </c>
      <c r="T8088">
        <v>41</v>
      </c>
      <c r="U8088" s="26" t="str">
        <f t="shared" ref="U8088:U8151" si="299">HYPERLINK("https://ictv.global/ictv/proposals/2025.002G.Monodnaviria_reorg_4nr.zip","2025.002G.Monodnaviria_reorg_4nr.zip")</f>
        <v>2025.002G.Monodnaviria_reorg_4nr.zip</v>
      </c>
    </row>
    <row r="8089" spans="1:21">
      <c r="A8089">
        <v>8088</v>
      </c>
      <c r="B8089" s="27" t="s">
        <v>20779</v>
      </c>
      <c r="D8089" s="27" t="s">
        <v>1826</v>
      </c>
      <c r="F8089" s="27" t="s">
        <v>1844</v>
      </c>
      <c r="H8089" s="27" t="s">
        <v>1845</v>
      </c>
      <c r="J8089" s="27" t="s">
        <v>12708</v>
      </c>
      <c r="L8089" s="27" t="s">
        <v>12709</v>
      </c>
      <c r="N8089" s="27" t="s">
        <v>12731</v>
      </c>
      <c r="P8089" s="27" t="s">
        <v>12734</v>
      </c>
      <c r="Q8089" s="26" t="str">
        <f>HYPERLINK("https://ictv.global/taxonomy/taxondetails?taxnode_id=202518896&amp;ictv_id=ICTV202318896","ICTV202318896")</f>
        <v>ICTV202318896</v>
      </c>
      <c r="R8089" t="s">
        <v>660</v>
      </c>
      <c r="S8089" t="s">
        <v>824</v>
      </c>
      <c r="T8089">
        <v>41</v>
      </c>
      <c r="U8089" s="26" t="str">
        <f t="shared" si="299"/>
        <v>2025.002G.Monodnaviria_reorg_4nr.zip</v>
      </c>
    </row>
    <row r="8090" spans="1:21">
      <c r="A8090">
        <v>8089</v>
      </c>
      <c r="B8090" s="27" t="s">
        <v>20779</v>
      </c>
      <c r="D8090" s="27" t="s">
        <v>1826</v>
      </c>
      <c r="F8090" s="27" t="s">
        <v>1844</v>
      </c>
      <c r="H8090" s="27" t="s">
        <v>1845</v>
      </c>
      <c r="J8090" s="27" t="s">
        <v>12708</v>
      </c>
      <c r="L8090" s="27" t="s">
        <v>12709</v>
      </c>
      <c r="N8090" s="27" t="s">
        <v>12731</v>
      </c>
      <c r="P8090" s="27" t="s">
        <v>12735</v>
      </c>
      <c r="Q8090" s="26" t="str">
        <f>HYPERLINK("https://ictv.global/taxonomy/taxondetails?taxnode_id=202518891&amp;ictv_id=ICTV202318891","ICTV202318891")</f>
        <v>ICTV202318891</v>
      </c>
      <c r="R8090" t="s">
        <v>660</v>
      </c>
      <c r="S8090" t="s">
        <v>824</v>
      </c>
      <c r="T8090">
        <v>41</v>
      </c>
      <c r="U8090" s="26" t="str">
        <f t="shared" si="299"/>
        <v>2025.002G.Monodnaviria_reorg_4nr.zip</v>
      </c>
    </row>
    <row r="8091" spans="1:21">
      <c r="A8091">
        <v>8090</v>
      </c>
      <c r="B8091" s="27" t="s">
        <v>20779</v>
      </c>
      <c r="D8091" s="27" t="s">
        <v>1826</v>
      </c>
      <c r="F8091" s="27" t="s">
        <v>1844</v>
      </c>
      <c r="H8091" s="27" t="s">
        <v>1845</v>
      </c>
      <c r="J8091" s="27" t="s">
        <v>12708</v>
      </c>
      <c r="L8091" s="27" t="s">
        <v>12709</v>
      </c>
      <c r="N8091" s="27" t="s">
        <v>12731</v>
      </c>
      <c r="P8091" s="27" t="s">
        <v>12736</v>
      </c>
      <c r="Q8091" s="26" t="str">
        <f>HYPERLINK("https://ictv.global/taxonomy/taxondetails?taxnode_id=202518874&amp;ictv_id=ICTV202318874","ICTV202318874")</f>
        <v>ICTV202318874</v>
      </c>
      <c r="R8091" t="s">
        <v>660</v>
      </c>
      <c r="S8091" t="s">
        <v>824</v>
      </c>
      <c r="T8091">
        <v>41</v>
      </c>
      <c r="U8091" s="26" t="str">
        <f t="shared" si="299"/>
        <v>2025.002G.Monodnaviria_reorg_4nr.zip</v>
      </c>
    </row>
    <row r="8092" spans="1:21">
      <c r="A8092">
        <v>8091</v>
      </c>
      <c r="B8092" s="27" t="s">
        <v>20779</v>
      </c>
      <c r="D8092" s="27" t="s">
        <v>1826</v>
      </c>
      <c r="F8092" s="27" t="s">
        <v>1844</v>
      </c>
      <c r="H8092" s="27" t="s">
        <v>1845</v>
      </c>
      <c r="J8092" s="27" t="s">
        <v>12708</v>
      </c>
      <c r="L8092" s="27" t="s">
        <v>12709</v>
      </c>
      <c r="N8092" s="27" t="s">
        <v>12731</v>
      </c>
      <c r="P8092" s="27" t="s">
        <v>12737</v>
      </c>
      <c r="Q8092" s="26" t="str">
        <f>HYPERLINK("https://ictv.global/taxonomy/taxondetails?taxnode_id=202518876&amp;ictv_id=ICTV202318876","ICTV202318876")</f>
        <v>ICTV202318876</v>
      </c>
      <c r="R8092" t="s">
        <v>660</v>
      </c>
      <c r="S8092" t="s">
        <v>824</v>
      </c>
      <c r="T8092">
        <v>41</v>
      </c>
      <c r="U8092" s="26" t="str">
        <f t="shared" si="299"/>
        <v>2025.002G.Monodnaviria_reorg_4nr.zip</v>
      </c>
    </row>
    <row r="8093" spans="1:21">
      <c r="A8093">
        <v>8092</v>
      </c>
      <c r="B8093" s="27" t="s">
        <v>20779</v>
      </c>
      <c r="D8093" s="27" t="s">
        <v>1826</v>
      </c>
      <c r="F8093" s="27" t="s">
        <v>1844</v>
      </c>
      <c r="H8093" s="27" t="s">
        <v>1845</v>
      </c>
      <c r="J8093" s="27" t="s">
        <v>12708</v>
      </c>
      <c r="L8093" s="27" t="s">
        <v>12709</v>
      </c>
      <c r="N8093" s="27" t="s">
        <v>12731</v>
      </c>
      <c r="P8093" s="27" t="s">
        <v>12738</v>
      </c>
      <c r="Q8093" s="26" t="str">
        <f>HYPERLINK("https://ictv.global/taxonomy/taxondetails?taxnode_id=202518875&amp;ictv_id=ICTV202318875","ICTV202318875")</f>
        <v>ICTV202318875</v>
      </c>
      <c r="R8093" t="s">
        <v>660</v>
      </c>
      <c r="S8093" t="s">
        <v>824</v>
      </c>
      <c r="T8093">
        <v>41</v>
      </c>
      <c r="U8093" s="26" t="str">
        <f t="shared" si="299"/>
        <v>2025.002G.Monodnaviria_reorg_4nr.zip</v>
      </c>
    </row>
    <row r="8094" spans="1:21">
      <c r="A8094">
        <v>8093</v>
      </c>
      <c r="B8094" s="27" t="s">
        <v>20779</v>
      </c>
      <c r="D8094" s="27" t="s">
        <v>1826</v>
      </c>
      <c r="F8094" s="27" t="s">
        <v>1844</v>
      </c>
      <c r="H8094" s="27" t="s">
        <v>1845</v>
      </c>
      <c r="J8094" s="27" t="s">
        <v>12708</v>
      </c>
      <c r="L8094" s="27" t="s">
        <v>12709</v>
      </c>
      <c r="N8094" s="27" t="s">
        <v>12731</v>
      </c>
      <c r="P8094" s="27" t="s">
        <v>12739</v>
      </c>
      <c r="Q8094" s="26" t="str">
        <f>HYPERLINK("https://ictv.global/taxonomy/taxondetails?taxnode_id=202518890&amp;ictv_id=ICTV202318890","ICTV202318890")</f>
        <v>ICTV202318890</v>
      </c>
      <c r="R8094" t="s">
        <v>660</v>
      </c>
      <c r="S8094" t="s">
        <v>824</v>
      </c>
      <c r="T8094">
        <v>41</v>
      </c>
      <c r="U8094" s="26" t="str">
        <f t="shared" si="299"/>
        <v>2025.002G.Monodnaviria_reorg_4nr.zip</v>
      </c>
    </row>
    <row r="8095" spans="1:21">
      <c r="A8095">
        <v>8094</v>
      </c>
      <c r="B8095" s="27" t="s">
        <v>20779</v>
      </c>
      <c r="D8095" s="27" t="s">
        <v>1826</v>
      </c>
      <c r="F8095" s="27" t="s">
        <v>1844</v>
      </c>
      <c r="H8095" s="27" t="s">
        <v>1845</v>
      </c>
      <c r="J8095" s="27" t="s">
        <v>12708</v>
      </c>
      <c r="L8095" s="27" t="s">
        <v>12709</v>
      </c>
      <c r="N8095" s="27" t="s">
        <v>12731</v>
      </c>
      <c r="P8095" s="27" t="s">
        <v>12740</v>
      </c>
      <c r="Q8095" s="26" t="str">
        <f>HYPERLINK("https://ictv.global/taxonomy/taxondetails?taxnode_id=202518888&amp;ictv_id=ICTV202318888","ICTV202318888")</f>
        <v>ICTV202318888</v>
      </c>
      <c r="R8095" t="s">
        <v>660</v>
      </c>
      <c r="S8095" t="s">
        <v>824</v>
      </c>
      <c r="T8095">
        <v>41</v>
      </c>
      <c r="U8095" s="26" t="str">
        <f t="shared" si="299"/>
        <v>2025.002G.Monodnaviria_reorg_4nr.zip</v>
      </c>
    </row>
    <row r="8096" spans="1:21">
      <c r="A8096">
        <v>8095</v>
      </c>
      <c r="B8096" s="27" t="s">
        <v>20779</v>
      </c>
      <c r="D8096" s="27" t="s">
        <v>1826</v>
      </c>
      <c r="F8096" s="27" t="s">
        <v>1844</v>
      </c>
      <c r="H8096" s="27" t="s">
        <v>1845</v>
      </c>
      <c r="J8096" s="27" t="s">
        <v>12708</v>
      </c>
      <c r="L8096" s="27" t="s">
        <v>12709</v>
      </c>
      <c r="N8096" s="27" t="s">
        <v>12731</v>
      </c>
      <c r="P8096" s="27" t="s">
        <v>12741</v>
      </c>
      <c r="Q8096" s="26" t="str">
        <f>HYPERLINK("https://ictv.global/taxonomy/taxondetails?taxnode_id=202518878&amp;ictv_id=ICTV202318878","ICTV202318878")</f>
        <v>ICTV202318878</v>
      </c>
      <c r="R8096" t="s">
        <v>660</v>
      </c>
      <c r="S8096" t="s">
        <v>824</v>
      </c>
      <c r="T8096">
        <v>41</v>
      </c>
      <c r="U8096" s="26" t="str">
        <f t="shared" si="299"/>
        <v>2025.002G.Monodnaviria_reorg_4nr.zip</v>
      </c>
    </row>
    <row r="8097" spans="1:21">
      <c r="A8097">
        <v>8096</v>
      </c>
      <c r="B8097" s="27" t="s">
        <v>20779</v>
      </c>
      <c r="D8097" s="27" t="s">
        <v>1826</v>
      </c>
      <c r="F8097" s="27" t="s">
        <v>1844</v>
      </c>
      <c r="H8097" s="27" t="s">
        <v>1845</v>
      </c>
      <c r="J8097" s="27" t="s">
        <v>12708</v>
      </c>
      <c r="L8097" s="27" t="s">
        <v>12709</v>
      </c>
      <c r="N8097" s="27" t="s">
        <v>12731</v>
      </c>
      <c r="P8097" s="27" t="s">
        <v>12742</v>
      </c>
      <c r="Q8097" s="26" t="str">
        <f>HYPERLINK("https://ictv.global/taxonomy/taxondetails?taxnode_id=202518880&amp;ictv_id=ICTV202318880","ICTV202318880")</f>
        <v>ICTV202318880</v>
      </c>
      <c r="R8097" t="s">
        <v>660</v>
      </c>
      <c r="S8097" t="s">
        <v>824</v>
      </c>
      <c r="T8097">
        <v>41</v>
      </c>
      <c r="U8097" s="26" t="str">
        <f t="shared" si="299"/>
        <v>2025.002G.Monodnaviria_reorg_4nr.zip</v>
      </c>
    </row>
    <row r="8098" spans="1:21">
      <c r="A8098">
        <v>8097</v>
      </c>
      <c r="B8098" s="27" t="s">
        <v>20779</v>
      </c>
      <c r="D8098" s="27" t="s">
        <v>1826</v>
      </c>
      <c r="F8098" s="27" t="s">
        <v>1844</v>
      </c>
      <c r="H8098" s="27" t="s">
        <v>1845</v>
      </c>
      <c r="J8098" s="27" t="s">
        <v>12708</v>
      </c>
      <c r="L8098" s="27" t="s">
        <v>12709</v>
      </c>
      <c r="N8098" s="27" t="s">
        <v>12731</v>
      </c>
      <c r="P8098" s="27" t="s">
        <v>12743</v>
      </c>
      <c r="Q8098" s="26" t="str">
        <f>HYPERLINK("https://ictv.global/taxonomy/taxondetails?taxnode_id=202518873&amp;ictv_id=ICTV202318873","ICTV202318873")</f>
        <v>ICTV202318873</v>
      </c>
      <c r="R8098" t="s">
        <v>660</v>
      </c>
      <c r="S8098" t="s">
        <v>824</v>
      </c>
      <c r="T8098">
        <v>41</v>
      </c>
      <c r="U8098" s="26" t="str">
        <f t="shared" si="299"/>
        <v>2025.002G.Monodnaviria_reorg_4nr.zip</v>
      </c>
    </row>
    <row r="8099" spans="1:21">
      <c r="A8099">
        <v>8098</v>
      </c>
      <c r="B8099" s="27" t="s">
        <v>20779</v>
      </c>
      <c r="D8099" s="27" t="s">
        <v>1826</v>
      </c>
      <c r="F8099" s="27" t="s">
        <v>1844</v>
      </c>
      <c r="H8099" s="27" t="s">
        <v>1845</v>
      </c>
      <c r="J8099" s="27" t="s">
        <v>12708</v>
      </c>
      <c r="L8099" s="27" t="s">
        <v>12709</v>
      </c>
      <c r="N8099" s="27" t="s">
        <v>12731</v>
      </c>
      <c r="P8099" s="27" t="s">
        <v>12744</v>
      </c>
      <c r="Q8099" s="26" t="str">
        <f>HYPERLINK("https://ictv.global/taxonomy/taxondetails?taxnode_id=202518886&amp;ictv_id=ICTV202318886","ICTV202318886")</f>
        <v>ICTV202318886</v>
      </c>
      <c r="R8099" t="s">
        <v>660</v>
      </c>
      <c r="S8099" t="s">
        <v>824</v>
      </c>
      <c r="T8099">
        <v>41</v>
      </c>
      <c r="U8099" s="26" t="str">
        <f t="shared" si="299"/>
        <v>2025.002G.Monodnaviria_reorg_4nr.zip</v>
      </c>
    </row>
    <row r="8100" spans="1:21">
      <c r="A8100">
        <v>8099</v>
      </c>
      <c r="B8100" s="27" t="s">
        <v>20779</v>
      </c>
      <c r="D8100" s="27" t="s">
        <v>1826</v>
      </c>
      <c r="F8100" s="27" t="s">
        <v>1844</v>
      </c>
      <c r="H8100" s="27" t="s">
        <v>1845</v>
      </c>
      <c r="J8100" s="27" t="s">
        <v>12708</v>
      </c>
      <c r="L8100" s="27" t="s">
        <v>12709</v>
      </c>
      <c r="N8100" s="27" t="s">
        <v>12731</v>
      </c>
      <c r="P8100" s="27" t="s">
        <v>12745</v>
      </c>
      <c r="Q8100" s="26" t="str">
        <f>HYPERLINK("https://ictv.global/taxonomy/taxondetails?taxnode_id=202518885&amp;ictv_id=ICTV202318885","ICTV202318885")</f>
        <v>ICTV202318885</v>
      </c>
      <c r="R8100" t="s">
        <v>660</v>
      </c>
      <c r="S8100" t="s">
        <v>824</v>
      </c>
      <c r="T8100">
        <v>41</v>
      </c>
      <c r="U8100" s="26" t="str">
        <f t="shared" si="299"/>
        <v>2025.002G.Monodnaviria_reorg_4nr.zip</v>
      </c>
    </row>
    <row r="8101" spans="1:21">
      <c r="A8101">
        <v>8100</v>
      </c>
      <c r="B8101" s="27" t="s">
        <v>20779</v>
      </c>
      <c r="D8101" s="27" t="s">
        <v>1826</v>
      </c>
      <c r="F8101" s="27" t="s">
        <v>1844</v>
      </c>
      <c r="H8101" s="27" t="s">
        <v>1845</v>
      </c>
      <c r="J8101" s="27" t="s">
        <v>12708</v>
      </c>
      <c r="L8101" s="27" t="s">
        <v>12709</v>
      </c>
      <c r="N8101" s="27" t="s">
        <v>12731</v>
      </c>
      <c r="P8101" s="27" t="s">
        <v>12746</v>
      </c>
      <c r="Q8101" s="26" t="str">
        <f>HYPERLINK("https://ictv.global/taxonomy/taxondetails?taxnode_id=202518887&amp;ictv_id=ICTV202318887","ICTV202318887")</f>
        <v>ICTV202318887</v>
      </c>
      <c r="R8101" t="s">
        <v>660</v>
      </c>
      <c r="S8101" t="s">
        <v>824</v>
      </c>
      <c r="T8101">
        <v>41</v>
      </c>
      <c r="U8101" s="26" t="str">
        <f t="shared" si="299"/>
        <v>2025.002G.Monodnaviria_reorg_4nr.zip</v>
      </c>
    </row>
    <row r="8102" spans="1:21">
      <c r="A8102">
        <v>8101</v>
      </c>
      <c r="B8102" s="27" t="s">
        <v>20779</v>
      </c>
      <c r="D8102" s="27" t="s">
        <v>1826</v>
      </c>
      <c r="F8102" s="27" t="s">
        <v>1844</v>
      </c>
      <c r="H8102" s="27" t="s">
        <v>1845</v>
      </c>
      <c r="J8102" s="27" t="s">
        <v>12708</v>
      </c>
      <c r="L8102" s="27" t="s">
        <v>12709</v>
      </c>
      <c r="N8102" s="27" t="s">
        <v>12731</v>
      </c>
      <c r="P8102" s="27" t="s">
        <v>12747</v>
      </c>
      <c r="Q8102" s="26" t="str">
        <f>HYPERLINK("https://ictv.global/taxonomy/taxondetails?taxnode_id=202518895&amp;ictv_id=ICTV202318895","ICTV202318895")</f>
        <v>ICTV202318895</v>
      </c>
      <c r="R8102" t="s">
        <v>660</v>
      </c>
      <c r="S8102" t="s">
        <v>824</v>
      </c>
      <c r="T8102">
        <v>41</v>
      </c>
      <c r="U8102" s="26" t="str">
        <f t="shared" si="299"/>
        <v>2025.002G.Monodnaviria_reorg_4nr.zip</v>
      </c>
    </row>
    <row r="8103" spans="1:21">
      <c r="A8103">
        <v>8102</v>
      </c>
      <c r="B8103" s="27" t="s">
        <v>20779</v>
      </c>
      <c r="D8103" s="27" t="s">
        <v>1826</v>
      </c>
      <c r="F8103" s="27" t="s">
        <v>1844</v>
      </c>
      <c r="H8103" s="27" t="s">
        <v>1845</v>
      </c>
      <c r="J8103" s="27" t="s">
        <v>12708</v>
      </c>
      <c r="L8103" s="27" t="s">
        <v>12709</v>
      </c>
      <c r="N8103" s="27" t="s">
        <v>12731</v>
      </c>
      <c r="P8103" s="27" t="s">
        <v>12748</v>
      </c>
      <c r="Q8103" s="26" t="str">
        <f>HYPERLINK("https://ictv.global/taxonomy/taxondetails?taxnode_id=202518883&amp;ictv_id=ICTV202318883","ICTV202318883")</f>
        <v>ICTV202318883</v>
      </c>
      <c r="R8103" t="s">
        <v>660</v>
      </c>
      <c r="S8103" t="s">
        <v>824</v>
      </c>
      <c r="T8103">
        <v>41</v>
      </c>
      <c r="U8103" s="26" t="str">
        <f t="shared" si="299"/>
        <v>2025.002G.Monodnaviria_reorg_4nr.zip</v>
      </c>
    </row>
    <row r="8104" spans="1:21">
      <c r="A8104">
        <v>8103</v>
      </c>
      <c r="B8104" s="27" t="s">
        <v>20779</v>
      </c>
      <c r="D8104" s="27" t="s">
        <v>1826</v>
      </c>
      <c r="F8104" s="27" t="s">
        <v>1844</v>
      </c>
      <c r="H8104" s="27" t="s">
        <v>1845</v>
      </c>
      <c r="J8104" s="27" t="s">
        <v>12708</v>
      </c>
      <c r="L8104" s="27" t="s">
        <v>12709</v>
      </c>
      <c r="N8104" s="27" t="s">
        <v>12731</v>
      </c>
      <c r="P8104" s="27" t="s">
        <v>12749</v>
      </c>
      <c r="Q8104" s="26" t="str">
        <f>HYPERLINK("https://ictv.global/taxonomy/taxondetails?taxnode_id=202518879&amp;ictv_id=ICTV202318879","ICTV202318879")</f>
        <v>ICTV202318879</v>
      </c>
      <c r="R8104" t="s">
        <v>660</v>
      </c>
      <c r="S8104" t="s">
        <v>824</v>
      </c>
      <c r="T8104">
        <v>41</v>
      </c>
      <c r="U8104" s="26" t="str">
        <f t="shared" si="299"/>
        <v>2025.002G.Monodnaviria_reorg_4nr.zip</v>
      </c>
    </row>
    <row r="8105" spans="1:21">
      <c r="A8105">
        <v>8104</v>
      </c>
      <c r="B8105" s="27" t="s">
        <v>20779</v>
      </c>
      <c r="D8105" s="27" t="s">
        <v>1826</v>
      </c>
      <c r="F8105" s="27" t="s">
        <v>1844</v>
      </c>
      <c r="H8105" s="27" t="s">
        <v>1845</v>
      </c>
      <c r="J8105" s="27" t="s">
        <v>12708</v>
      </c>
      <c r="L8105" s="27" t="s">
        <v>12709</v>
      </c>
      <c r="N8105" s="27" t="s">
        <v>12731</v>
      </c>
      <c r="P8105" s="27" t="s">
        <v>12750</v>
      </c>
      <c r="Q8105" s="26" t="str">
        <f>HYPERLINK("https://ictv.global/taxonomy/taxondetails?taxnode_id=202518892&amp;ictv_id=ICTV202318892","ICTV202318892")</f>
        <v>ICTV202318892</v>
      </c>
      <c r="R8105" t="s">
        <v>660</v>
      </c>
      <c r="S8105" t="s">
        <v>824</v>
      </c>
      <c r="T8105">
        <v>41</v>
      </c>
      <c r="U8105" s="26" t="str">
        <f t="shared" si="299"/>
        <v>2025.002G.Monodnaviria_reorg_4nr.zip</v>
      </c>
    </row>
    <row r="8106" spans="1:21">
      <c r="A8106">
        <v>8105</v>
      </c>
      <c r="B8106" s="27" t="s">
        <v>20779</v>
      </c>
      <c r="D8106" s="27" t="s">
        <v>1826</v>
      </c>
      <c r="F8106" s="27" t="s">
        <v>1844</v>
      </c>
      <c r="H8106" s="27" t="s">
        <v>1845</v>
      </c>
      <c r="J8106" s="27" t="s">
        <v>12708</v>
      </c>
      <c r="L8106" s="27" t="s">
        <v>12709</v>
      </c>
      <c r="N8106" s="27" t="s">
        <v>12731</v>
      </c>
      <c r="P8106" s="27" t="s">
        <v>12751</v>
      </c>
      <c r="Q8106" s="26" t="str">
        <f>HYPERLINK("https://ictv.global/taxonomy/taxondetails?taxnode_id=202518889&amp;ictv_id=ICTV202318889","ICTV202318889")</f>
        <v>ICTV202318889</v>
      </c>
      <c r="R8106" t="s">
        <v>660</v>
      </c>
      <c r="S8106" t="s">
        <v>824</v>
      </c>
      <c r="T8106">
        <v>41</v>
      </c>
      <c r="U8106" s="26" t="str">
        <f t="shared" si="299"/>
        <v>2025.002G.Monodnaviria_reorg_4nr.zip</v>
      </c>
    </row>
    <row r="8107" spans="1:21">
      <c r="A8107">
        <v>8106</v>
      </c>
      <c r="B8107" s="27" t="s">
        <v>20779</v>
      </c>
      <c r="D8107" s="27" t="s">
        <v>1826</v>
      </c>
      <c r="F8107" s="27" t="s">
        <v>1844</v>
      </c>
      <c r="H8107" s="27" t="s">
        <v>1845</v>
      </c>
      <c r="J8107" s="27" t="s">
        <v>12708</v>
      </c>
      <c r="L8107" s="27" t="s">
        <v>12709</v>
      </c>
      <c r="N8107" s="27" t="s">
        <v>12731</v>
      </c>
      <c r="P8107" s="27" t="s">
        <v>12752</v>
      </c>
      <c r="Q8107" s="26" t="str">
        <f>HYPERLINK("https://ictv.global/taxonomy/taxondetails?taxnode_id=202518881&amp;ictv_id=ICTV202318881","ICTV202318881")</f>
        <v>ICTV202318881</v>
      </c>
      <c r="R8107" t="s">
        <v>660</v>
      </c>
      <c r="S8107" t="s">
        <v>824</v>
      </c>
      <c r="T8107">
        <v>41</v>
      </c>
      <c r="U8107" s="26" t="str">
        <f t="shared" si="299"/>
        <v>2025.002G.Monodnaviria_reorg_4nr.zip</v>
      </c>
    </row>
    <row r="8108" spans="1:21">
      <c r="A8108">
        <v>8107</v>
      </c>
      <c r="B8108" s="27" t="s">
        <v>20779</v>
      </c>
      <c r="D8108" s="27" t="s">
        <v>1826</v>
      </c>
      <c r="F8108" s="27" t="s">
        <v>1844</v>
      </c>
      <c r="H8108" s="27" t="s">
        <v>1845</v>
      </c>
      <c r="J8108" s="27" t="s">
        <v>12708</v>
      </c>
      <c r="L8108" s="27" t="s">
        <v>12709</v>
      </c>
      <c r="N8108" s="27" t="s">
        <v>12731</v>
      </c>
      <c r="P8108" s="27" t="s">
        <v>12753</v>
      </c>
      <c r="Q8108" s="26" t="str">
        <f>HYPERLINK("https://ictv.global/taxonomy/taxondetails?taxnode_id=202518893&amp;ictv_id=ICTV202318893","ICTV202318893")</f>
        <v>ICTV202318893</v>
      </c>
      <c r="R8108" t="s">
        <v>660</v>
      </c>
      <c r="S8108" t="s">
        <v>824</v>
      </c>
      <c r="T8108">
        <v>41</v>
      </c>
      <c r="U8108" s="26" t="str">
        <f t="shared" si="299"/>
        <v>2025.002G.Monodnaviria_reorg_4nr.zip</v>
      </c>
    </row>
    <row r="8109" spans="1:21">
      <c r="A8109">
        <v>8108</v>
      </c>
      <c r="B8109" s="27" t="s">
        <v>20779</v>
      </c>
      <c r="D8109" s="27" t="s">
        <v>1826</v>
      </c>
      <c r="F8109" s="27" t="s">
        <v>1844</v>
      </c>
      <c r="H8109" s="27" t="s">
        <v>1845</v>
      </c>
      <c r="J8109" s="27" t="s">
        <v>12708</v>
      </c>
      <c r="L8109" s="27" t="s">
        <v>12709</v>
      </c>
      <c r="N8109" s="27" t="s">
        <v>12731</v>
      </c>
      <c r="P8109" s="27" t="s">
        <v>12754</v>
      </c>
      <c r="Q8109" s="26" t="str">
        <f>HYPERLINK("https://ictv.global/taxonomy/taxondetails?taxnode_id=202518884&amp;ictv_id=ICTV202318884","ICTV202318884")</f>
        <v>ICTV202318884</v>
      </c>
      <c r="R8109" t="s">
        <v>660</v>
      </c>
      <c r="S8109" t="s">
        <v>824</v>
      </c>
      <c r="T8109">
        <v>41</v>
      </c>
      <c r="U8109" s="26" t="str">
        <f t="shared" si="299"/>
        <v>2025.002G.Monodnaviria_reorg_4nr.zip</v>
      </c>
    </row>
    <row r="8110" spans="1:21">
      <c r="A8110">
        <v>8109</v>
      </c>
      <c r="B8110" s="27" t="s">
        <v>20779</v>
      </c>
      <c r="D8110" s="27" t="s">
        <v>1826</v>
      </c>
      <c r="F8110" s="27" t="s">
        <v>1844</v>
      </c>
      <c r="H8110" s="27" t="s">
        <v>1845</v>
      </c>
      <c r="J8110" s="27" t="s">
        <v>12708</v>
      </c>
      <c r="L8110" s="27" t="s">
        <v>12709</v>
      </c>
      <c r="N8110" s="27" t="s">
        <v>12731</v>
      </c>
      <c r="P8110" s="27" t="s">
        <v>12755</v>
      </c>
      <c r="Q8110" s="26" t="str">
        <f>HYPERLINK("https://ictv.global/taxonomy/taxondetails?taxnode_id=202518882&amp;ictv_id=ICTV202318882","ICTV202318882")</f>
        <v>ICTV202318882</v>
      </c>
      <c r="R8110" t="s">
        <v>660</v>
      </c>
      <c r="S8110" t="s">
        <v>824</v>
      </c>
      <c r="T8110">
        <v>41</v>
      </c>
      <c r="U8110" s="26" t="str">
        <f t="shared" si="299"/>
        <v>2025.002G.Monodnaviria_reorg_4nr.zip</v>
      </c>
    </row>
    <row r="8111" spans="1:21">
      <c r="A8111">
        <v>8110</v>
      </c>
      <c r="B8111" s="27" t="s">
        <v>20779</v>
      </c>
      <c r="D8111" s="27" t="s">
        <v>1826</v>
      </c>
      <c r="F8111" s="27" t="s">
        <v>1844</v>
      </c>
      <c r="H8111" s="27" t="s">
        <v>1845</v>
      </c>
      <c r="J8111" s="27" t="s">
        <v>12708</v>
      </c>
      <c r="L8111" s="27" t="s">
        <v>12709</v>
      </c>
      <c r="N8111" s="27" t="s">
        <v>12756</v>
      </c>
      <c r="P8111" s="27" t="s">
        <v>12757</v>
      </c>
      <c r="Q8111" s="26" t="str">
        <f>HYPERLINK("https://ictv.global/taxonomy/taxondetails?taxnode_id=202518897&amp;ictv_id=ICTV202318897","ICTV202318897")</f>
        <v>ICTV202318897</v>
      </c>
      <c r="R8111" t="s">
        <v>660</v>
      </c>
      <c r="S8111" t="s">
        <v>824</v>
      </c>
      <c r="T8111">
        <v>41</v>
      </c>
      <c r="U8111" s="26" t="str">
        <f t="shared" si="299"/>
        <v>2025.002G.Monodnaviria_reorg_4nr.zip</v>
      </c>
    </row>
    <row r="8112" spans="1:21">
      <c r="A8112">
        <v>8111</v>
      </c>
      <c r="B8112" s="27" t="s">
        <v>20779</v>
      </c>
      <c r="D8112" s="27" t="s">
        <v>1826</v>
      </c>
      <c r="F8112" s="27" t="s">
        <v>1844</v>
      </c>
      <c r="H8112" s="27" t="s">
        <v>1845</v>
      </c>
      <c r="J8112" s="27" t="s">
        <v>12708</v>
      </c>
      <c r="L8112" s="27" t="s">
        <v>12709</v>
      </c>
      <c r="N8112" s="27" t="s">
        <v>12756</v>
      </c>
      <c r="P8112" s="27" t="s">
        <v>12758</v>
      </c>
      <c r="Q8112" s="26" t="str">
        <f>HYPERLINK("https://ictv.global/taxonomy/taxondetails?taxnode_id=202518898&amp;ictv_id=ICTV202318898","ICTV202318898")</f>
        <v>ICTV202318898</v>
      </c>
      <c r="R8112" t="s">
        <v>660</v>
      </c>
      <c r="S8112" t="s">
        <v>824</v>
      </c>
      <c r="T8112">
        <v>41</v>
      </c>
      <c r="U8112" s="26" t="str">
        <f t="shared" si="299"/>
        <v>2025.002G.Monodnaviria_reorg_4nr.zip</v>
      </c>
    </row>
    <row r="8113" spans="1:21">
      <c r="A8113">
        <v>8112</v>
      </c>
      <c r="B8113" s="27" t="s">
        <v>20779</v>
      </c>
      <c r="D8113" s="27" t="s">
        <v>1826</v>
      </c>
      <c r="F8113" s="27" t="s">
        <v>1844</v>
      </c>
      <c r="H8113" s="27" t="s">
        <v>1845</v>
      </c>
      <c r="J8113" s="27" t="s">
        <v>12708</v>
      </c>
      <c r="L8113" s="27" t="s">
        <v>12709</v>
      </c>
      <c r="N8113" s="27" t="s">
        <v>12756</v>
      </c>
      <c r="P8113" s="27" t="s">
        <v>12759</v>
      </c>
      <c r="Q8113" s="26" t="str">
        <f>HYPERLINK("https://ictv.global/taxonomy/taxondetails?taxnode_id=202518899&amp;ictv_id=ICTV202318899","ICTV202318899")</f>
        <v>ICTV202318899</v>
      </c>
      <c r="R8113" t="s">
        <v>660</v>
      </c>
      <c r="S8113" t="s">
        <v>824</v>
      </c>
      <c r="T8113">
        <v>41</v>
      </c>
      <c r="U8113" s="26" t="str">
        <f t="shared" si="299"/>
        <v>2025.002G.Monodnaviria_reorg_4nr.zip</v>
      </c>
    </row>
    <row r="8114" spans="1:21">
      <c r="A8114">
        <v>8113</v>
      </c>
      <c r="B8114" s="27" t="s">
        <v>20779</v>
      </c>
      <c r="D8114" s="27" t="s">
        <v>1826</v>
      </c>
      <c r="F8114" s="27" t="s">
        <v>1844</v>
      </c>
      <c r="H8114" s="27" t="s">
        <v>1845</v>
      </c>
      <c r="J8114" s="27" t="s">
        <v>12708</v>
      </c>
      <c r="L8114" s="27" t="s">
        <v>12709</v>
      </c>
      <c r="N8114" s="27" t="s">
        <v>12760</v>
      </c>
      <c r="P8114" s="27" t="s">
        <v>12761</v>
      </c>
      <c r="Q8114" s="26" t="str">
        <f>HYPERLINK("https://ictv.global/taxonomy/taxondetails?taxnode_id=202518900&amp;ictv_id=ICTV202318900","ICTV202318900")</f>
        <v>ICTV202318900</v>
      </c>
      <c r="R8114" t="s">
        <v>660</v>
      </c>
      <c r="S8114" t="s">
        <v>824</v>
      </c>
      <c r="T8114">
        <v>41</v>
      </c>
      <c r="U8114" s="26" t="str">
        <f t="shared" si="299"/>
        <v>2025.002G.Monodnaviria_reorg_4nr.zip</v>
      </c>
    </row>
    <row r="8115" spans="1:21">
      <c r="A8115">
        <v>8114</v>
      </c>
      <c r="B8115" s="27" t="s">
        <v>20779</v>
      </c>
      <c r="D8115" s="27" t="s">
        <v>1826</v>
      </c>
      <c r="F8115" s="27" t="s">
        <v>1844</v>
      </c>
      <c r="H8115" s="27" t="s">
        <v>1845</v>
      </c>
      <c r="J8115" s="27" t="s">
        <v>12708</v>
      </c>
      <c r="L8115" s="27" t="s">
        <v>12709</v>
      </c>
      <c r="N8115" s="27" t="s">
        <v>12762</v>
      </c>
      <c r="P8115" s="27" t="s">
        <v>12763</v>
      </c>
      <c r="Q8115" s="26" t="str">
        <f>HYPERLINK("https://ictv.global/taxonomy/taxondetails?taxnode_id=202518901&amp;ictv_id=ICTV202318901","ICTV202318901")</f>
        <v>ICTV202318901</v>
      </c>
      <c r="R8115" t="s">
        <v>660</v>
      </c>
      <c r="S8115" t="s">
        <v>824</v>
      </c>
      <c r="T8115">
        <v>41</v>
      </c>
      <c r="U8115" s="26" t="str">
        <f t="shared" si="299"/>
        <v>2025.002G.Monodnaviria_reorg_4nr.zip</v>
      </c>
    </row>
    <row r="8116" spans="1:21">
      <c r="A8116">
        <v>8115</v>
      </c>
      <c r="B8116" s="27" t="s">
        <v>20779</v>
      </c>
      <c r="D8116" s="27" t="s">
        <v>1826</v>
      </c>
      <c r="F8116" s="27" t="s">
        <v>1844</v>
      </c>
      <c r="H8116" s="27" t="s">
        <v>1845</v>
      </c>
      <c r="J8116" s="27" t="s">
        <v>12708</v>
      </c>
      <c r="L8116" s="27" t="s">
        <v>12709</v>
      </c>
      <c r="N8116" s="27" t="s">
        <v>12764</v>
      </c>
      <c r="P8116" s="27" t="s">
        <v>12765</v>
      </c>
      <c r="Q8116" s="26" t="str">
        <f>HYPERLINK("https://ictv.global/taxonomy/taxondetails?taxnode_id=202518903&amp;ictv_id=ICTV202318903","ICTV202318903")</f>
        <v>ICTV202318903</v>
      </c>
      <c r="R8116" t="s">
        <v>660</v>
      </c>
      <c r="S8116" t="s">
        <v>824</v>
      </c>
      <c r="T8116">
        <v>41</v>
      </c>
      <c r="U8116" s="26" t="str">
        <f t="shared" si="299"/>
        <v>2025.002G.Monodnaviria_reorg_4nr.zip</v>
      </c>
    </row>
    <row r="8117" spans="1:21">
      <c r="A8117">
        <v>8116</v>
      </c>
      <c r="B8117" s="27" t="s">
        <v>20779</v>
      </c>
      <c r="D8117" s="27" t="s">
        <v>1826</v>
      </c>
      <c r="F8117" s="27" t="s">
        <v>1844</v>
      </c>
      <c r="H8117" s="27" t="s">
        <v>1845</v>
      </c>
      <c r="J8117" s="27" t="s">
        <v>12708</v>
      </c>
      <c r="L8117" s="27" t="s">
        <v>12709</v>
      </c>
      <c r="N8117" s="27" t="s">
        <v>12764</v>
      </c>
      <c r="P8117" s="27" t="s">
        <v>12766</v>
      </c>
      <c r="Q8117" s="26" t="str">
        <f>HYPERLINK("https://ictv.global/taxonomy/taxondetails?taxnode_id=202518902&amp;ictv_id=ICTV202318902","ICTV202318902")</f>
        <v>ICTV202318902</v>
      </c>
      <c r="R8117" t="s">
        <v>660</v>
      </c>
      <c r="S8117" t="s">
        <v>824</v>
      </c>
      <c r="T8117">
        <v>41</v>
      </c>
      <c r="U8117" s="26" t="str">
        <f t="shared" si="299"/>
        <v>2025.002G.Monodnaviria_reorg_4nr.zip</v>
      </c>
    </row>
    <row r="8118" spans="1:21">
      <c r="A8118">
        <v>8117</v>
      </c>
      <c r="B8118" s="27" t="s">
        <v>20779</v>
      </c>
      <c r="D8118" s="27" t="s">
        <v>1826</v>
      </c>
      <c r="F8118" s="27" t="s">
        <v>1844</v>
      </c>
      <c r="H8118" s="27" t="s">
        <v>1845</v>
      </c>
      <c r="J8118" s="27" t="s">
        <v>12708</v>
      </c>
      <c r="L8118" s="27" t="s">
        <v>12709</v>
      </c>
      <c r="N8118" s="27" t="s">
        <v>12767</v>
      </c>
      <c r="P8118" s="27" t="s">
        <v>12768</v>
      </c>
      <c r="Q8118" s="26" t="str">
        <f>HYPERLINK("https://ictv.global/taxonomy/taxondetails?taxnode_id=202518906&amp;ictv_id=ICTV202318906","ICTV202318906")</f>
        <v>ICTV202318906</v>
      </c>
      <c r="R8118" t="s">
        <v>660</v>
      </c>
      <c r="S8118" t="s">
        <v>824</v>
      </c>
      <c r="T8118">
        <v>41</v>
      </c>
      <c r="U8118" s="26" t="str">
        <f t="shared" si="299"/>
        <v>2025.002G.Monodnaviria_reorg_4nr.zip</v>
      </c>
    </row>
    <row r="8119" spans="1:21">
      <c r="A8119">
        <v>8118</v>
      </c>
      <c r="B8119" s="27" t="s">
        <v>20779</v>
      </c>
      <c r="D8119" s="27" t="s">
        <v>1826</v>
      </c>
      <c r="F8119" s="27" t="s">
        <v>1844</v>
      </c>
      <c r="H8119" s="27" t="s">
        <v>1845</v>
      </c>
      <c r="J8119" s="27" t="s">
        <v>12708</v>
      </c>
      <c r="L8119" s="27" t="s">
        <v>12709</v>
      </c>
      <c r="N8119" s="27" t="s">
        <v>12767</v>
      </c>
      <c r="P8119" s="27" t="s">
        <v>12769</v>
      </c>
      <c r="Q8119" s="26" t="str">
        <f>HYPERLINK("https://ictv.global/taxonomy/taxondetails?taxnode_id=202518908&amp;ictv_id=ICTV202318908","ICTV202318908")</f>
        <v>ICTV202318908</v>
      </c>
      <c r="R8119" t="s">
        <v>660</v>
      </c>
      <c r="S8119" t="s">
        <v>824</v>
      </c>
      <c r="T8119">
        <v>41</v>
      </c>
      <c r="U8119" s="26" t="str">
        <f t="shared" si="299"/>
        <v>2025.002G.Monodnaviria_reorg_4nr.zip</v>
      </c>
    </row>
    <row r="8120" spans="1:21">
      <c r="A8120">
        <v>8119</v>
      </c>
      <c r="B8120" s="27" t="s">
        <v>20779</v>
      </c>
      <c r="D8120" s="27" t="s">
        <v>1826</v>
      </c>
      <c r="F8120" s="27" t="s">
        <v>1844</v>
      </c>
      <c r="H8120" s="27" t="s">
        <v>1845</v>
      </c>
      <c r="J8120" s="27" t="s">
        <v>12708</v>
      </c>
      <c r="L8120" s="27" t="s">
        <v>12709</v>
      </c>
      <c r="N8120" s="27" t="s">
        <v>12767</v>
      </c>
      <c r="P8120" s="27" t="s">
        <v>12770</v>
      </c>
      <c r="Q8120" s="26" t="str">
        <f>HYPERLINK("https://ictv.global/taxonomy/taxondetails?taxnode_id=202518907&amp;ictv_id=ICTV202318907","ICTV202318907")</f>
        <v>ICTV202318907</v>
      </c>
      <c r="R8120" t="s">
        <v>660</v>
      </c>
      <c r="S8120" t="s">
        <v>824</v>
      </c>
      <c r="T8120">
        <v>41</v>
      </c>
      <c r="U8120" s="26" t="str">
        <f t="shared" si="299"/>
        <v>2025.002G.Monodnaviria_reorg_4nr.zip</v>
      </c>
    </row>
    <row r="8121" spans="1:21">
      <c r="A8121">
        <v>8120</v>
      </c>
      <c r="B8121" s="27" t="s">
        <v>20779</v>
      </c>
      <c r="D8121" s="27" t="s">
        <v>1826</v>
      </c>
      <c r="F8121" s="27" t="s">
        <v>1844</v>
      </c>
      <c r="H8121" s="27" t="s">
        <v>1845</v>
      </c>
      <c r="J8121" s="27" t="s">
        <v>12708</v>
      </c>
      <c r="L8121" s="27" t="s">
        <v>12709</v>
      </c>
      <c r="N8121" s="27" t="s">
        <v>12767</v>
      </c>
      <c r="P8121" s="27" t="s">
        <v>12771</v>
      </c>
      <c r="Q8121" s="26" t="str">
        <f>HYPERLINK("https://ictv.global/taxonomy/taxondetails?taxnode_id=202518905&amp;ictv_id=ICTV202318905","ICTV202318905")</f>
        <v>ICTV202318905</v>
      </c>
      <c r="R8121" t="s">
        <v>660</v>
      </c>
      <c r="S8121" t="s">
        <v>824</v>
      </c>
      <c r="T8121">
        <v>41</v>
      </c>
      <c r="U8121" s="26" t="str">
        <f t="shared" si="299"/>
        <v>2025.002G.Monodnaviria_reorg_4nr.zip</v>
      </c>
    </row>
    <row r="8122" spans="1:21">
      <c r="A8122">
        <v>8121</v>
      </c>
      <c r="B8122" s="27" t="s">
        <v>20779</v>
      </c>
      <c r="D8122" s="27" t="s">
        <v>1826</v>
      </c>
      <c r="F8122" s="27" t="s">
        <v>1844</v>
      </c>
      <c r="H8122" s="27" t="s">
        <v>1845</v>
      </c>
      <c r="J8122" s="27" t="s">
        <v>12708</v>
      </c>
      <c r="L8122" s="27" t="s">
        <v>12709</v>
      </c>
      <c r="N8122" s="27" t="s">
        <v>12767</v>
      </c>
      <c r="P8122" s="27" t="s">
        <v>12772</v>
      </c>
      <c r="Q8122" s="26" t="str">
        <f>HYPERLINK("https://ictv.global/taxonomy/taxondetails?taxnode_id=202518904&amp;ictv_id=ICTV202318904","ICTV202318904")</f>
        <v>ICTV202318904</v>
      </c>
      <c r="R8122" t="s">
        <v>660</v>
      </c>
      <c r="S8122" t="s">
        <v>824</v>
      </c>
      <c r="T8122">
        <v>41</v>
      </c>
      <c r="U8122" s="26" t="str">
        <f t="shared" si="299"/>
        <v>2025.002G.Monodnaviria_reorg_4nr.zip</v>
      </c>
    </row>
    <row r="8123" spans="1:21">
      <c r="A8123">
        <v>8122</v>
      </c>
      <c r="B8123" s="27" t="s">
        <v>20779</v>
      </c>
      <c r="D8123" s="27" t="s">
        <v>1826</v>
      </c>
      <c r="F8123" s="27" t="s">
        <v>1844</v>
      </c>
      <c r="H8123" s="27" t="s">
        <v>1845</v>
      </c>
      <c r="J8123" s="27" t="s">
        <v>12708</v>
      </c>
      <c r="L8123" s="27" t="s">
        <v>12709</v>
      </c>
      <c r="N8123" s="27" t="s">
        <v>18535</v>
      </c>
      <c r="P8123" s="27" t="s">
        <v>18536</v>
      </c>
      <c r="Q8123" s="26" t="str">
        <f>HYPERLINK("https://ictv.global/taxonomy/taxondetails?taxnode_id=202518909&amp;ictv_id=ICTV202318909","ICTV202318909")</f>
        <v>ICTV202318909</v>
      </c>
      <c r="R8123" t="s">
        <v>660</v>
      </c>
      <c r="S8123" t="s">
        <v>824</v>
      </c>
      <c r="T8123">
        <v>41</v>
      </c>
      <c r="U8123" s="26" t="str">
        <f t="shared" si="299"/>
        <v>2025.002G.Monodnaviria_reorg_4nr.zip</v>
      </c>
    </row>
    <row r="8124" spans="1:21">
      <c r="A8124">
        <v>8123</v>
      </c>
      <c r="B8124" s="27" t="s">
        <v>20779</v>
      </c>
      <c r="D8124" s="27" t="s">
        <v>1826</v>
      </c>
      <c r="F8124" s="27" t="s">
        <v>1844</v>
      </c>
      <c r="H8124" s="27" t="s">
        <v>1845</v>
      </c>
      <c r="J8124" s="27" t="s">
        <v>12708</v>
      </c>
      <c r="L8124" s="27" t="s">
        <v>12709</v>
      </c>
      <c r="N8124" s="27" t="s">
        <v>12773</v>
      </c>
      <c r="P8124" s="27" t="s">
        <v>12774</v>
      </c>
      <c r="Q8124" s="26" t="str">
        <f>HYPERLINK("https://ictv.global/taxonomy/taxondetails?taxnode_id=202518910&amp;ictv_id=ICTV202318910","ICTV202318910")</f>
        <v>ICTV202318910</v>
      </c>
      <c r="R8124" t="s">
        <v>660</v>
      </c>
      <c r="S8124" t="s">
        <v>824</v>
      </c>
      <c r="T8124">
        <v>41</v>
      </c>
      <c r="U8124" s="26" t="str">
        <f t="shared" si="299"/>
        <v>2025.002G.Monodnaviria_reorg_4nr.zip</v>
      </c>
    </row>
    <row r="8125" spans="1:21">
      <c r="A8125">
        <v>8124</v>
      </c>
      <c r="B8125" s="27" t="s">
        <v>20779</v>
      </c>
      <c r="D8125" s="27" t="s">
        <v>1826</v>
      </c>
      <c r="F8125" s="27" t="s">
        <v>1844</v>
      </c>
      <c r="H8125" s="27" t="s">
        <v>1845</v>
      </c>
      <c r="J8125" s="27" t="s">
        <v>12708</v>
      </c>
      <c r="L8125" s="27" t="s">
        <v>12709</v>
      </c>
      <c r="N8125" s="27" t="s">
        <v>12773</v>
      </c>
      <c r="P8125" s="27" t="s">
        <v>12775</v>
      </c>
      <c r="Q8125" s="26" t="str">
        <f>HYPERLINK("https://ictv.global/taxonomy/taxondetails?taxnode_id=202518911&amp;ictv_id=ICTV202318911","ICTV202318911")</f>
        <v>ICTV202318911</v>
      </c>
      <c r="R8125" t="s">
        <v>660</v>
      </c>
      <c r="S8125" t="s">
        <v>824</v>
      </c>
      <c r="T8125">
        <v>41</v>
      </c>
      <c r="U8125" s="26" t="str">
        <f t="shared" si="299"/>
        <v>2025.002G.Monodnaviria_reorg_4nr.zip</v>
      </c>
    </row>
    <row r="8126" spans="1:21">
      <c r="A8126">
        <v>8125</v>
      </c>
      <c r="B8126" s="27" t="s">
        <v>20779</v>
      </c>
      <c r="D8126" s="27" t="s">
        <v>1826</v>
      </c>
      <c r="F8126" s="27" t="s">
        <v>1844</v>
      </c>
      <c r="H8126" s="27" t="s">
        <v>1845</v>
      </c>
      <c r="J8126" s="27" t="s">
        <v>12708</v>
      </c>
      <c r="L8126" s="27" t="s">
        <v>12709</v>
      </c>
      <c r="N8126" s="27" t="s">
        <v>12776</v>
      </c>
      <c r="P8126" s="27" t="s">
        <v>12777</v>
      </c>
      <c r="Q8126" s="26" t="str">
        <f>HYPERLINK("https://ictv.global/taxonomy/taxondetails?taxnode_id=202518914&amp;ictv_id=ICTV202318914","ICTV202318914")</f>
        <v>ICTV202318914</v>
      </c>
      <c r="R8126" t="s">
        <v>660</v>
      </c>
      <c r="S8126" t="s">
        <v>824</v>
      </c>
      <c r="T8126">
        <v>41</v>
      </c>
      <c r="U8126" s="26" t="str">
        <f t="shared" si="299"/>
        <v>2025.002G.Monodnaviria_reorg_4nr.zip</v>
      </c>
    </row>
    <row r="8127" spans="1:21">
      <c r="A8127">
        <v>8126</v>
      </c>
      <c r="B8127" s="27" t="s">
        <v>20779</v>
      </c>
      <c r="D8127" s="27" t="s">
        <v>1826</v>
      </c>
      <c r="F8127" s="27" t="s">
        <v>1844</v>
      </c>
      <c r="H8127" s="27" t="s">
        <v>1845</v>
      </c>
      <c r="J8127" s="27" t="s">
        <v>12708</v>
      </c>
      <c r="L8127" s="27" t="s">
        <v>12709</v>
      </c>
      <c r="N8127" s="27" t="s">
        <v>12776</v>
      </c>
      <c r="P8127" s="27" t="s">
        <v>12778</v>
      </c>
      <c r="Q8127" s="26" t="str">
        <f>HYPERLINK("https://ictv.global/taxonomy/taxondetails?taxnode_id=202518915&amp;ictv_id=ICTV202318915","ICTV202318915")</f>
        <v>ICTV202318915</v>
      </c>
      <c r="R8127" t="s">
        <v>660</v>
      </c>
      <c r="S8127" t="s">
        <v>824</v>
      </c>
      <c r="T8127">
        <v>41</v>
      </c>
      <c r="U8127" s="26" t="str">
        <f t="shared" si="299"/>
        <v>2025.002G.Monodnaviria_reorg_4nr.zip</v>
      </c>
    </row>
    <row r="8128" spans="1:21">
      <c r="A8128">
        <v>8127</v>
      </c>
      <c r="B8128" s="27" t="s">
        <v>20779</v>
      </c>
      <c r="D8128" s="27" t="s">
        <v>1826</v>
      </c>
      <c r="F8128" s="27" t="s">
        <v>1844</v>
      </c>
      <c r="H8128" s="27" t="s">
        <v>1845</v>
      </c>
      <c r="J8128" s="27" t="s">
        <v>12708</v>
      </c>
      <c r="L8128" s="27" t="s">
        <v>12709</v>
      </c>
      <c r="N8128" s="27" t="s">
        <v>12776</v>
      </c>
      <c r="P8128" s="27" t="s">
        <v>12779</v>
      </c>
      <c r="Q8128" s="26" t="str">
        <f>HYPERLINK("https://ictv.global/taxonomy/taxondetails?taxnode_id=202518912&amp;ictv_id=ICTV202318912","ICTV202318912")</f>
        <v>ICTV202318912</v>
      </c>
      <c r="R8128" t="s">
        <v>660</v>
      </c>
      <c r="S8128" t="s">
        <v>824</v>
      </c>
      <c r="T8128">
        <v>41</v>
      </c>
      <c r="U8128" s="26" t="str">
        <f t="shared" si="299"/>
        <v>2025.002G.Monodnaviria_reorg_4nr.zip</v>
      </c>
    </row>
    <row r="8129" spans="1:21">
      <c r="A8129">
        <v>8128</v>
      </c>
      <c r="B8129" s="27" t="s">
        <v>20779</v>
      </c>
      <c r="D8129" s="27" t="s">
        <v>1826</v>
      </c>
      <c r="F8129" s="27" t="s">
        <v>1844</v>
      </c>
      <c r="H8129" s="27" t="s">
        <v>1845</v>
      </c>
      <c r="J8129" s="27" t="s">
        <v>12708</v>
      </c>
      <c r="L8129" s="27" t="s">
        <v>12709</v>
      </c>
      <c r="N8129" s="27" t="s">
        <v>12776</v>
      </c>
      <c r="P8129" s="27" t="s">
        <v>12780</v>
      </c>
      <c r="Q8129" s="26" t="str">
        <f>HYPERLINK("https://ictv.global/taxonomy/taxondetails?taxnode_id=202518917&amp;ictv_id=ICTV202318917","ICTV202318917")</f>
        <v>ICTV202318917</v>
      </c>
      <c r="R8129" t="s">
        <v>660</v>
      </c>
      <c r="S8129" t="s">
        <v>824</v>
      </c>
      <c r="T8129">
        <v>41</v>
      </c>
      <c r="U8129" s="26" t="str">
        <f t="shared" si="299"/>
        <v>2025.002G.Monodnaviria_reorg_4nr.zip</v>
      </c>
    </row>
    <row r="8130" spans="1:21">
      <c r="A8130">
        <v>8129</v>
      </c>
      <c r="B8130" s="27" t="s">
        <v>20779</v>
      </c>
      <c r="D8130" s="27" t="s">
        <v>1826</v>
      </c>
      <c r="F8130" s="27" t="s">
        <v>1844</v>
      </c>
      <c r="H8130" s="27" t="s">
        <v>1845</v>
      </c>
      <c r="J8130" s="27" t="s">
        <v>12708</v>
      </c>
      <c r="L8130" s="27" t="s">
        <v>12709</v>
      </c>
      <c r="N8130" s="27" t="s">
        <v>12776</v>
      </c>
      <c r="P8130" s="27" t="s">
        <v>12781</v>
      </c>
      <c r="Q8130" s="26" t="str">
        <f>HYPERLINK("https://ictv.global/taxonomy/taxondetails?taxnode_id=202518913&amp;ictv_id=ICTV202318913","ICTV202318913")</f>
        <v>ICTV202318913</v>
      </c>
      <c r="R8130" t="s">
        <v>660</v>
      </c>
      <c r="S8130" t="s">
        <v>824</v>
      </c>
      <c r="T8130">
        <v>41</v>
      </c>
      <c r="U8130" s="26" t="str">
        <f t="shared" si="299"/>
        <v>2025.002G.Monodnaviria_reorg_4nr.zip</v>
      </c>
    </row>
    <row r="8131" spans="1:21">
      <c r="A8131">
        <v>8130</v>
      </c>
      <c r="B8131" s="27" t="s">
        <v>20779</v>
      </c>
      <c r="D8131" s="27" t="s">
        <v>1826</v>
      </c>
      <c r="F8131" s="27" t="s">
        <v>1844</v>
      </c>
      <c r="H8131" s="27" t="s">
        <v>1845</v>
      </c>
      <c r="J8131" s="27" t="s">
        <v>12708</v>
      </c>
      <c r="L8131" s="27" t="s">
        <v>12709</v>
      </c>
      <c r="N8131" s="27" t="s">
        <v>12776</v>
      </c>
      <c r="P8131" s="27" t="s">
        <v>12782</v>
      </c>
      <c r="Q8131" s="26" t="str">
        <f>HYPERLINK("https://ictv.global/taxonomy/taxondetails?taxnode_id=202518916&amp;ictv_id=ICTV202318916","ICTV202318916")</f>
        <v>ICTV202318916</v>
      </c>
      <c r="R8131" t="s">
        <v>660</v>
      </c>
      <c r="S8131" t="s">
        <v>824</v>
      </c>
      <c r="T8131">
        <v>41</v>
      </c>
      <c r="U8131" s="26" t="str">
        <f t="shared" si="299"/>
        <v>2025.002G.Monodnaviria_reorg_4nr.zip</v>
      </c>
    </row>
    <row r="8132" spans="1:21">
      <c r="A8132">
        <v>8131</v>
      </c>
      <c r="B8132" s="27" t="s">
        <v>20779</v>
      </c>
      <c r="D8132" s="27" t="s">
        <v>1826</v>
      </c>
      <c r="F8132" s="27" t="s">
        <v>1844</v>
      </c>
      <c r="H8132" s="27" t="s">
        <v>1845</v>
      </c>
      <c r="J8132" s="27" t="s">
        <v>12708</v>
      </c>
      <c r="L8132" s="27" t="s">
        <v>12709</v>
      </c>
      <c r="N8132" s="27" t="s">
        <v>12783</v>
      </c>
      <c r="P8132" s="27" t="s">
        <v>12784</v>
      </c>
      <c r="Q8132" s="26" t="str">
        <f>HYPERLINK("https://ictv.global/taxonomy/taxondetails?taxnode_id=202518918&amp;ictv_id=ICTV202318918","ICTV202318918")</f>
        <v>ICTV202318918</v>
      </c>
      <c r="R8132" t="s">
        <v>660</v>
      </c>
      <c r="S8132" t="s">
        <v>824</v>
      </c>
      <c r="T8132">
        <v>41</v>
      </c>
      <c r="U8132" s="26" t="str">
        <f t="shared" si="299"/>
        <v>2025.002G.Monodnaviria_reorg_4nr.zip</v>
      </c>
    </row>
    <row r="8133" spans="1:21">
      <c r="A8133">
        <v>8132</v>
      </c>
      <c r="B8133" s="27" t="s">
        <v>20779</v>
      </c>
      <c r="D8133" s="27" t="s">
        <v>1826</v>
      </c>
      <c r="F8133" s="27" t="s">
        <v>1844</v>
      </c>
      <c r="H8133" s="27" t="s">
        <v>1845</v>
      </c>
      <c r="J8133" s="27" t="s">
        <v>12708</v>
      </c>
      <c r="L8133" s="27" t="s">
        <v>12709</v>
      </c>
      <c r="N8133" s="27" t="s">
        <v>12785</v>
      </c>
      <c r="P8133" s="27" t="s">
        <v>12786</v>
      </c>
      <c r="Q8133" s="26" t="str">
        <f>HYPERLINK("https://ictv.global/taxonomy/taxondetails?taxnode_id=202518920&amp;ictv_id=ICTV202318920","ICTV202318920")</f>
        <v>ICTV202318920</v>
      </c>
      <c r="R8133" t="s">
        <v>660</v>
      </c>
      <c r="S8133" t="s">
        <v>824</v>
      </c>
      <c r="T8133">
        <v>41</v>
      </c>
      <c r="U8133" s="26" t="str">
        <f t="shared" si="299"/>
        <v>2025.002G.Monodnaviria_reorg_4nr.zip</v>
      </c>
    </row>
    <row r="8134" spans="1:21">
      <c r="A8134">
        <v>8133</v>
      </c>
      <c r="B8134" s="27" t="s">
        <v>20779</v>
      </c>
      <c r="D8134" s="27" t="s">
        <v>1826</v>
      </c>
      <c r="F8134" s="27" t="s">
        <v>1844</v>
      </c>
      <c r="H8134" s="27" t="s">
        <v>1845</v>
      </c>
      <c r="J8134" s="27" t="s">
        <v>12708</v>
      </c>
      <c r="L8134" s="27" t="s">
        <v>12709</v>
      </c>
      <c r="N8134" s="27" t="s">
        <v>12785</v>
      </c>
      <c r="P8134" s="27" t="s">
        <v>12787</v>
      </c>
      <c r="Q8134" s="26" t="str">
        <f>HYPERLINK("https://ictv.global/taxonomy/taxondetails?taxnode_id=202518921&amp;ictv_id=ICTV202318921","ICTV202318921")</f>
        <v>ICTV202318921</v>
      </c>
      <c r="R8134" t="s">
        <v>660</v>
      </c>
      <c r="S8134" t="s">
        <v>824</v>
      </c>
      <c r="T8134">
        <v>41</v>
      </c>
      <c r="U8134" s="26" t="str">
        <f t="shared" si="299"/>
        <v>2025.002G.Monodnaviria_reorg_4nr.zip</v>
      </c>
    </row>
    <row r="8135" spans="1:21">
      <c r="A8135">
        <v>8134</v>
      </c>
      <c r="B8135" s="27" t="s">
        <v>20779</v>
      </c>
      <c r="D8135" s="27" t="s">
        <v>1826</v>
      </c>
      <c r="F8135" s="27" t="s">
        <v>1844</v>
      </c>
      <c r="H8135" s="27" t="s">
        <v>1845</v>
      </c>
      <c r="J8135" s="27" t="s">
        <v>12708</v>
      </c>
      <c r="L8135" s="27" t="s">
        <v>12709</v>
      </c>
      <c r="N8135" s="27" t="s">
        <v>12785</v>
      </c>
      <c r="P8135" s="27" t="s">
        <v>12788</v>
      </c>
      <c r="Q8135" s="26" t="str">
        <f>HYPERLINK("https://ictv.global/taxonomy/taxondetails?taxnode_id=202518922&amp;ictv_id=ICTV202318922","ICTV202318922")</f>
        <v>ICTV202318922</v>
      </c>
      <c r="R8135" t="s">
        <v>660</v>
      </c>
      <c r="S8135" t="s">
        <v>824</v>
      </c>
      <c r="T8135">
        <v>41</v>
      </c>
      <c r="U8135" s="26" t="str">
        <f t="shared" si="299"/>
        <v>2025.002G.Monodnaviria_reorg_4nr.zip</v>
      </c>
    </row>
    <row r="8136" spans="1:21">
      <c r="A8136">
        <v>8135</v>
      </c>
      <c r="B8136" s="27" t="s">
        <v>20779</v>
      </c>
      <c r="D8136" s="27" t="s">
        <v>1826</v>
      </c>
      <c r="F8136" s="27" t="s">
        <v>1844</v>
      </c>
      <c r="H8136" s="27" t="s">
        <v>1845</v>
      </c>
      <c r="J8136" s="27" t="s">
        <v>12708</v>
      </c>
      <c r="L8136" s="27" t="s">
        <v>12709</v>
      </c>
      <c r="N8136" s="27" t="s">
        <v>12785</v>
      </c>
      <c r="P8136" s="27" t="s">
        <v>12789</v>
      </c>
      <c r="Q8136" s="26" t="str">
        <f>HYPERLINK("https://ictv.global/taxonomy/taxondetails?taxnode_id=202518919&amp;ictv_id=ICTV202318919","ICTV202318919")</f>
        <v>ICTV202318919</v>
      </c>
      <c r="R8136" t="s">
        <v>660</v>
      </c>
      <c r="S8136" t="s">
        <v>824</v>
      </c>
      <c r="T8136">
        <v>41</v>
      </c>
      <c r="U8136" s="26" t="str">
        <f t="shared" si="299"/>
        <v>2025.002G.Monodnaviria_reorg_4nr.zip</v>
      </c>
    </row>
    <row r="8137" spans="1:21">
      <c r="A8137">
        <v>8136</v>
      </c>
      <c r="B8137" s="27" t="s">
        <v>20779</v>
      </c>
      <c r="D8137" s="27" t="s">
        <v>1826</v>
      </c>
      <c r="F8137" s="27" t="s">
        <v>1844</v>
      </c>
      <c r="H8137" s="27" t="s">
        <v>1845</v>
      </c>
      <c r="J8137" s="27" t="s">
        <v>12708</v>
      </c>
      <c r="L8137" s="27" t="s">
        <v>12709</v>
      </c>
      <c r="N8137" s="27" t="s">
        <v>12785</v>
      </c>
      <c r="P8137" s="27" t="s">
        <v>12790</v>
      </c>
      <c r="Q8137" s="26" t="str">
        <f>HYPERLINK("https://ictv.global/taxonomy/taxondetails?taxnode_id=202518924&amp;ictv_id=ICTV202318924","ICTV202318924")</f>
        <v>ICTV202318924</v>
      </c>
      <c r="R8137" t="s">
        <v>660</v>
      </c>
      <c r="S8137" t="s">
        <v>824</v>
      </c>
      <c r="T8137">
        <v>41</v>
      </c>
      <c r="U8137" s="26" t="str">
        <f t="shared" si="299"/>
        <v>2025.002G.Monodnaviria_reorg_4nr.zip</v>
      </c>
    </row>
    <row r="8138" spans="1:21">
      <c r="A8138">
        <v>8137</v>
      </c>
      <c r="B8138" s="27" t="s">
        <v>20779</v>
      </c>
      <c r="D8138" s="27" t="s">
        <v>1826</v>
      </c>
      <c r="F8138" s="27" t="s">
        <v>1844</v>
      </c>
      <c r="H8138" s="27" t="s">
        <v>1845</v>
      </c>
      <c r="J8138" s="27" t="s">
        <v>12708</v>
      </c>
      <c r="L8138" s="27" t="s">
        <v>12709</v>
      </c>
      <c r="N8138" s="27" t="s">
        <v>12785</v>
      </c>
      <c r="P8138" s="27" t="s">
        <v>12791</v>
      </c>
      <c r="Q8138" s="26" t="str">
        <f>HYPERLINK("https://ictv.global/taxonomy/taxondetails?taxnode_id=202518923&amp;ictv_id=ICTV202318923","ICTV202318923")</f>
        <v>ICTV202318923</v>
      </c>
      <c r="R8138" t="s">
        <v>660</v>
      </c>
      <c r="S8138" t="s">
        <v>824</v>
      </c>
      <c r="T8138">
        <v>41</v>
      </c>
      <c r="U8138" s="26" t="str">
        <f t="shared" si="299"/>
        <v>2025.002G.Monodnaviria_reorg_4nr.zip</v>
      </c>
    </row>
    <row r="8139" spans="1:21">
      <c r="A8139">
        <v>8138</v>
      </c>
      <c r="B8139" s="27" t="s">
        <v>20779</v>
      </c>
      <c r="D8139" s="27" t="s">
        <v>1826</v>
      </c>
      <c r="F8139" s="27" t="s">
        <v>1844</v>
      </c>
      <c r="H8139" s="27" t="s">
        <v>1845</v>
      </c>
      <c r="J8139" s="27" t="s">
        <v>12708</v>
      </c>
      <c r="L8139" s="27" t="s">
        <v>12709</v>
      </c>
      <c r="N8139" s="27" t="s">
        <v>12792</v>
      </c>
      <c r="P8139" s="27" t="s">
        <v>12793</v>
      </c>
      <c r="Q8139" s="26" t="str">
        <f>HYPERLINK("https://ictv.global/taxonomy/taxondetails?taxnode_id=202518925&amp;ictv_id=ICTV202318925","ICTV202318925")</f>
        <v>ICTV202318925</v>
      </c>
      <c r="R8139" t="s">
        <v>660</v>
      </c>
      <c r="S8139" t="s">
        <v>824</v>
      </c>
      <c r="T8139">
        <v>41</v>
      </c>
      <c r="U8139" s="26" t="str">
        <f t="shared" si="299"/>
        <v>2025.002G.Monodnaviria_reorg_4nr.zip</v>
      </c>
    </row>
    <row r="8140" spans="1:21">
      <c r="A8140">
        <v>8139</v>
      </c>
      <c r="B8140" s="27" t="s">
        <v>20779</v>
      </c>
      <c r="D8140" s="27" t="s">
        <v>1826</v>
      </c>
      <c r="F8140" s="27" t="s">
        <v>1844</v>
      </c>
      <c r="H8140" s="27" t="s">
        <v>1845</v>
      </c>
      <c r="J8140" s="27" t="s">
        <v>12708</v>
      </c>
      <c r="L8140" s="27" t="s">
        <v>12709</v>
      </c>
      <c r="N8140" s="27" t="s">
        <v>12794</v>
      </c>
      <c r="P8140" s="27" t="s">
        <v>12795</v>
      </c>
      <c r="Q8140" s="26" t="str">
        <f>HYPERLINK("https://ictv.global/taxonomy/taxondetails?taxnode_id=202518927&amp;ictv_id=ICTV202318927","ICTV202318927")</f>
        <v>ICTV202318927</v>
      </c>
      <c r="R8140" t="s">
        <v>660</v>
      </c>
      <c r="S8140" t="s">
        <v>824</v>
      </c>
      <c r="T8140">
        <v>41</v>
      </c>
      <c r="U8140" s="26" t="str">
        <f t="shared" si="299"/>
        <v>2025.002G.Monodnaviria_reorg_4nr.zip</v>
      </c>
    </row>
    <row r="8141" spans="1:21">
      <c r="A8141">
        <v>8140</v>
      </c>
      <c r="B8141" s="27" t="s">
        <v>20779</v>
      </c>
      <c r="D8141" s="27" t="s">
        <v>1826</v>
      </c>
      <c r="F8141" s="27" t="s">
        <v>1844</v>
      </c>
      <c r="H8141" s="27" t="s">
        <v>1845</v>
      </c>
      <c r="J8141" s="27" t="s">
        <v>12708</v>
      </c>
      <c r="L8141" s="27" t="s">
        <v>12709</v>
      </c>
      <c r="N8141" s="27" t="s">
        <v>12794</v>
      </c>
      <c r="P8141" s="27" t="s">
        <v>12796</v>
      </c>
      <c r="Q8141" s="26" t="str">
        <f>HYPERLINK("https://ictv.global/taxonomy/taxondetails?taxnode_id=202518926&amp;ictv_id=ICTV202318926","ICTV202318926")</f>
        <v>ICTV202318926</v>
      </c>
      <c r="R8141" t="s">
        <v>660</v>
      </c>
      <c r="S8141" t="s">
        <v>824</v>
      </c>
      <c r="T8141">
        <v>41</v>
      </c>
      <c r="U8141" s="26" t="str">
        <f t="shared" si="299"/>
        <v>2025.002G.Monodnaviria_reorg_4nr.zip</v>
      </c>
    </row>
    <row r="8142" spans="1:21">
      <c r="A8142">
        <v>8141</v>
      </c>
      <c r="B8142" s="27" t="s">
        <v>20779</v>
      </c>
      <c r="D8142" s="27" t="s">
        <v>1826</v>
      </c>
      <c r="F8142" s="27" t="s">
        <v>1844</v>
      </c>
      <c r="H8142" s="27" t="s">
        <v>1845</v>
      </c>
      <c r="J8142" s="27" t="s">
        <v>12708</v>
      </c>
      <c r="L8142" s="27" t="s">
        <v>12709</v>
      </c>
      <c r="N8142" s="27" t="s">
        <v>12797</v>
      </c>
      <c r="P8142" s="27" t="s">
        <v>12798</v>
      </c>
      <c r="Q8142" s="26" t="str">
        <f>HYPERLINK("https://ictv.global/taxonomy/taxondetails?taxnode_id=202518941&amp;ictv_id=ICTV202318941","ICTV202318941")</f>
        <v>ICTV202318941</v>
      </c>
      <c r="R8142" t="s">
        <v>660</v>
      </c>
      <c r="S8142" t="s">
        <v>824</v>
      </c>
      <c r="T8142">
        <v>41</v>
      </c>
      <c r="U8142" s="26" t="str">
        <f t="shared" si="299"/>
        <v>2025.002G.Monodnaviria_reorg_4nr.zip</v>
      </c>
    </row>
    <row r="8143" spans="1:21">
      <c r="A8143">
        <v>8142</v>
      </c>
      <c r="B8143" s="27" t="s">
        <v>20779</v>
      </c>
      <c r="D8143" s="27" t="s">
        <v>1826</v>
      </c>
      <c r="F8143" s="27" t="s">
        <v>1844</v>
      </c>
      <c r="H8143" s="27" t="s">
        <v>1845</v>
      </c>
      <c r="J8143" s="27" t="s">
        <v>12708</v>
      </c>
      <c r="L8143" s="27" t="s">
        <v>12709</v>
      </c>
      <c r="N8143" s="27" t="s">
        <v>12797</v>
      </c>
      <c r="P8143" s="27" t="s">
        <v>12799</v>
      </c>
      <c r="Q8143" s="26" t="str">
        <f>HYPERLINK("https://ictv.global/taxonomy/taxondetails?taxnode_id=202518937&amp;ictv_id=ICTV202318937","ICTV202318937")</f>
        <v>ICTV202318937</v>
      </c>
      <c r="R8143" t="s">
        <v>660</v>
      </c>
      <c r="S8143" t="s">
        <v>824</v>
      </c>
      <c r="T8143">
        <v>41</v>
      </c>
      <c r="U8143" s="26" t="str">
        <f t="shared" si="299"/>
        <v>2025.002G.Monodnaviria_reorg_4nr.zip</v>
      </c>
    </row>
    <row r="8144" spans="1:21">
      <c r="A8144">
        <v>8143</v>
      </c>
      <c r="B8144" s="27" t="s">
        <v>20779</v>
      </c>
      <c r="D8144" s="27" t="s">
        <v>1826</v>
      </c>
      <c r="F8144" s="27" t="s">
        <v>1844</v>
      </c>
      <c r="H8144" s="27" t="s">
        <v>1845</v>
      </c>
      <c r="J8144" s="27" t="s">
        <v>12708</v>
      </c>
      <c r="L8144" s="27" t="s">
        <v>12709</v>
      </c>
      <c r="N8144" s="27" t="s">
        <v>12797</v>
      </c>
      <c r="P8144" s="27" t="s">
        <v>12800</v>
      </c>
      <c r="Q8144" s="26" t="str">
        <f>HYPERLINK("https://ictv.global/taxonomy/taxondetails?taxnode_id=202518940&amp;ictv_id=ICTV202318940","ICTV202318940")</f>
        <v>ICTV202318940</v>
      </c>
      <c r="R8144" t="s">
        <v>660</v>
      </c>
      <c r="S8144" t="s">
        <v>824</v>
      </c>
      <c r="T8144">
        <v>41</v>
      </c>
      <c r="U8144" s="26" t="str">
        <f t="shared" si="299"/>
        <v>2025.002G.Monodnaviria_reorg_4nr.zip</v>
      </c>
    </row>
    <row r="8145" spans="1:21">
      <c r="A8145">
        <v>8144</v>
      </c>
      <c r="B8145" s="27" t="s">
        <v>20779</v>
      </c>
      <c r="D8145" s="27" t="s">
        <v>1826</v>
      </c>
      <c r="F8145" s="27" t="s">
        <v>1844</v>
      </c>
      <c r="H8145" s="27" t="s">
        <v>1845</v>
      </c>
      <c r="J8145" s="27" t="s">
        <v>12708</v>
      </c>
      <c r="L8145" s="27" t="s">
        <v>12709</v>
      </c>
      <c r="N8145" s="27" t="s">
        <v>12797</v>
      </c>
      <c r="P8145" s="27" t="s">
        <v>12801</v>
      </c>
      <c r="Q8145" s="26" t="str">
        <f>HYPERLINK("https://ictv.global/taxonomy/taxondetails?taxnode_id=202518929&amp;ictv_id=ICTV202318929","ICTV202318929")</f>
        <v>ICTV202318929</v>
      </c>
      <c r="R8145" t="s">
        <v>660</v>
      </c>
      <c r="S8145" t="s">
        <v>824</v>
      </c>
      <c r="T8145">
        <v>41</v>
      </c>
      <c r="U8145" s="26" t="str">
        <f t="shared" si="299"/>
        <v>2025.002G.Monodnaviria_reorg_4nr.zip</v>
      </c>
    </row>
    <row r="8146" spans="1:21">
      <c r="A8146">
        <v>8145</v>
      </c>
      <c r="B8146" s="27" t="s">
        <v>20779</v>
      </c>
      <c r="D8146" s="27" t="s">
        <v>1826</v>
      </c>
      <c r="F8146" s="27" t="s">
        <v>1844</v>
      </c>
      <c r="H8146" s="27" t="s">
        <v>1845</v>
      </c>
      <c r="J8146" s="27" t="s">
        <v>12708</v>
      </c>
      <c r="L8146" s="27" t="s">
        <v>12709</v>
      </c>
      <c r="N8146" s="27" t="s">
        <v>12797</v>
      </c>
      <c r="P8146" s="27" t="s">
        <v>12802</v>
      </c>
      <c r="Q8146" s="26" t="str">
        <f>HYPERLINK("https://ictv.global/taxonomy/taxondetails?taxnode_id=202518931&amp;ictv_id=ICTV202318931","ICTV202318931")</f>
        <v>ICTV202318931</v>
      </c>
      <c r="R8146" t="s">
        <v>660</v>
      </c>
      <c r="S8146" t="s">
        <v>824</v>
      </c>
      <c r="T8146">
        <v>41</v>
      </c>
      <c r="U8146" s="26" t="str">
        <f t="shared" si="299"/>
        <v>2025.002G.Monodnaviria_reorg_4nr.zip</v>
      </c>
    </row>
    <row r="8147" spans="1:21">
      <c r="A8147">
        <v>8146</v>
      </c>
      <c r="B8147" s="27" t="s">
        <v>20779</v>
      </c>
      <c r="D8147" s="27" t="s">
        <v>1826</v>
      </c>
      <c r="F8147" s="27" t="s">
        <v>1844</v>
      </c>
      <c r="H8147" s="27" t="s">
        <v>1845</v>
      </c>
      <c r="J8147" s="27" t="s">
        <v>12708</v>
      </c>
      <c r="L8147" s="27" t="s">
        <v>12709</v>
      </c>
      <c r="N8147" s="27" t="s">
        <v>12797</v>
      </c>
      <c r="P8147" s="27" t="s">
        <v>12803</v>
      </c>
      <c r="Q8147" s="26" t="str">
        <f>HYPERLINK("https://ictv.global/taxonomy/taxondetails?taxnode_id=202518934&amp;ictv_id=ICTV202318934","ICTV202318934")</f>
        <v>ICTV202318934</v>
      </c>
      <c r="R8147" t="s">
        <v>660</v>
      </c>
      <c r="S8147" t="s">
        <v>824</v>
      </c>
      <c r="T8147">
        <v>41</v>
      </c>
      <c r="U8147" s="26" t="str">
        <f t="shared" si="299"/>
        <v>2025.002G.Monodnaviria_reorg_4nr.zip</v>
      </c>
    </row>
    <row r="8148" spans="1:21">
      <c r="A8148">
        <v>8147</v>
      </c>
      <c r="B8148" s="27" t="s">
        <v>20779</v>
      </c>
      <c r="D8148" s="27" t="s">
        <v>1826</v>
      </c>
      <c r="F8148" s="27" t="s">
        <v>1844</v>
      </c>
      <c r="H8148" s="27" t="s">
        <v>1845</v>
      </c>
      <c r="J8148" s="27" t="s">
        <v>12708</v>
      </c>
      <c r="L8148" s="27" t="s">
        <v>12709</v>
      </c>
      <c r="N8148" s="27" t="s">
        <v>12797</v>
      </c>
      <c r="P8148" s="27" t="s">
        <v>12804</v>
      </c>
      <c r="Q8148" s="26" t="str">
        <f>HYPERLINK("https://ictv.global/taxonomy/taxondetails?taxnode_id=202518928&amp;ictv_id=ICTV202318928","ICTV202318928")</f>
        <v>ICTV202318928</v>
      </c>
      <c r="R8148" t="s">
        <v>660</v>
      </c>
      <c r="S8148" t="s">
        <v>824</v>
      </c>
      <c r="T8148">
        <v>41</v>
      </c>
      <c r="U8148" s="26" t="str">
        <f t="shared" si="299"/>
        <v>2025.002G.Monodnaviria_reorg_4nr.zip</v>
      </c>
    </row>
    <row r="8149" spans="1:21">
      <c r="A8149">
        <v>8148</v>
      </c>
      <c r="B8149" s="27" t="s">
        <v>20779</v>
      </c>
      <c r="D8149" s="27" t="s">
        <v>1826</v>
      </c>
      <c r="F8149" s="27" t="s">
        <v>1844</v>
      </c>
      <c r="H8149" s="27" t="s">
        <v>1845</v>
      </c>
      <c r="J8149" s="27" t="s">
        <v>12708</v>
      </c>
      <c r="L8149" s="27" t="s">
        <v>12709</v>
      </c>
      <c r="N8149" s="27" t="s">
        <v>12797</v>
      </c>
      <c r="P8149" s="27" t="s">
        <v>12805</v>
      </c>
      <c r="Q8149" s="26" t="str">
        <f>HYPERLINK("https://ictv.global/taxonomy/taxondetails?taxnode_id=202518930&amp;ictv_id=ICTV202318930","ICTV202318930")</f>
        <v>ICTV202318930</v>
      </c>
      <c r="R8149" t="s">
        <v>660</v>
      </c>
      <c r="S8149" t="s">
        <v>824</v>
      </c>
      <c r="T8149">
        <v>41</v>
      </c>
      <c r="U8149" s="26" t="str">
        <f t="shared" si="299"/>
        <v>2025.002G.Monodnaviria_reorg_4nr.zip</v>
      </c>
    </row>
    <row r="8150" spans="1:21">
      <c r="A8150">
        <v>8149</v>
      </c>
      <c r="B8150" s="27" t="s">
        <v>20779</v>
      </c>
      <c r="D8150" s="27" t="s">
        <v>1826</v>
      </c>
      <c r="F8150" s="27" t="s">
        <v>1844</v>
      </c>
      <c r="H8150" s="27" t="s">
        <v>1845</v>
      </c>
      <c r="J8150" s="27" t="s">
        <v>12708</v>
      </c>
      <c r="L8150" s="27" t="s">
        <v>12709</v>
      </c>
      <c r="N8150" s="27" t="s">
        <v>12797</v>
      </c>
      <c r="P8150" s="27" t="s">
        <v>12806</v>
      </c>
      <c r="Q8150" s="26" t="str">
        <f>HYPERLINK("https://ictv.global/taxonomy/taxondetails?taxnode_id=202518936&amp;ictv_id=ICTV202318936","ICTV202318936")</f>
        <v>ICTV202318936</v>
      </c>
      <c r="R8150" t="s">
        <v>660</v>
      </c>
      <c r="S8150" t="s">
        <v>824</v>
      </c>
      <c r="T8150">
        <v>41</v>
      </c>
      <c r="U8150" s="26" t="str">
        <f t="shared" si="299"/>
        <v>2025.002G.Monodnaviria_reorg_4nr.zip</v>
      </c>
    </row>
    <row r="8151" spans="1:21">
      <c r="A8151">
        <v>8150</v>
      </c>
      <c r="B8151" s="27" t="s">
        <v>20779</v>
      </c>
      <c r="D8151" s="27" t="s">
        <v>1826</v>
      </c>
      <c r="F8151" s="27" t="s">
        <v>1844</v>
      </c>
      <c r="H8151" s="27" t="s">
        <v>1845</v>
      </c>
      <c r="J8151" s="27" t="s">
        <v>12708</v>
      </c>
      <c r="L8151" s="27" t="s">
        <v>12709</v>
      </c>
      <c r="N8151" s="27" t="s">
        <v>12797</v>
      </c>
      <c r="P8151" s="27" t="s">
        <v>12807</v>
      </c>
      <c r="Q8151" s="26" t="str">
        <f>HYPERLINK("https://ictv.global/taxonomy/taxondetails?taxnode_id=202518939&amp;ictv_id=ICTV202318939","ICTV202318939")</f>
        <v>ICTV202318939</v>
      </c>
      <c r="R8151" t="s">
        <v>660</v>
      </c>
      <c r="S8151" t="s">
        <v>824</v>
      </c>
      <c r="T8151">
        <v>41</v>
      </c>
      <c r="U8151" s="26" t="str">
        <f t="shared" si="299"/>
        <v>2025.002G.Monodnaviria_reorg_4nr.zip</v>
      </c>
    </row>
    <row r="8152" spans="1:21">
      <c r="A8152">
        <v>8151</v>
      </c>
      <c r="B8152" s="27" t="s">
        <v>20779</v>
      </c>
      <c r="D8152" s="27" t="s">
        <v>1826</v>
      </c>
      <c r="F8152" s="27" t="s">
        <v>1844</v>
      </c>
      <c r="H8152" s="27" t="s">
        <v>1845</v>
      </c>
      <c r="J8152" s="27" t="s">
        <v>12708</v>
      </c>
      <c r="L8152" s="27" t="s">
        <v>12709</v>
      </c>
      <c r="N8152" s="27" t="s">
        <v>12797</v>
      </c>
      <c r="P8152" s="27" t="s">
        <v>12808</v>
      </c>
      <c r="Q8152" s="26" t="str">
        <f>HYPERLINK("https://ictv.global/taxonomy/taxondetails?taxnode_id=202518938&amp;ictv_id=ICTV202318938","ICTV202318938")</f>
        <v>ICTV202318938</v>
      </c>
      <c r="R8152" t="s">
        <v>660</v>
      </c>
      <c r="S8152" t="s">
        <v>824</v>
      </c>
      <c r="T8152">
        <v>41</v>
      </c>
      <c r="U8152" s="26" t="str">
        <f t="shared" ref="U8152:U8215" si="300">HYPERLINK("https://ictv.global/ictv/proposals/2025.002G.Monodnaviria_reorg_4nr.zip","2025.002G.Monodnaviria_reorg_4nr.zip")</f>
        <v>2025.002G.Monodnaviria_reorg_4nr.zip</v>
      </c>
    </row>
    <row r="8153" spans="1:21">
      <c r="A8153">
        <v>8152</v>
      </c>
      <c r="B8153" s="27" t="s">
        <v>20779</v>
      </c>
      <c r="D8153" s="27" t="s">
        <v>1826</v>
      </c>
      <c r="F8153" s="27" t="s">
        <v>1844</v>
      </c>
      <c r="H8153" s="27" t="s">
        <v>1845</v>
      </c>
      <c r="J8153" s="27" t="s">
        <v>12708</v>
      </c>
      <c r="L8153" s="27" t="s">
        <v>12709</v>
      </c>
      <c r="N8153" s="27" t="s">
        <v>12797</v>
      </c>
      <c r="P8153" s="27" t="s">
        <v>12809</v>
      </c>
      <c r="Q8153" s="26" t="str">
        <f>HYPERLINK("https://ictv.global/taxonomy/taxondetails?taxnode_id=202518932&amp;ictv_id=ICTV202318932","ICTV202318932")</f>
        <v>ICTV202318932</v>
      </c>
      <c r="R8153" t="s">
        <v>660</v>
      </c>
      <c r="S8153" t="s">
        <v>824</v>
      </c>
      <c r="T8153">
        <v>41</v>
      </c>
      <c r="U8153" s="26" t="str">
        <f t="shared" si="300"/>
        <v>2025.002G.Monodnaviria_reorg_4nr.zip</v>
      </c>
    </row>
    <row r="8154" spans="1:21">
      <c r="A8154">
        <v>8153</v>
      </c>
      <c r="B8154" s="27" t="s">
        <v>20779</v>
      </c>
      <c r="D8154" s="27" t="s">
        <v>1826</v>
      </c>
      <c r="F8154" s="27" t="s">
        <v>1844</v>
      </c>
      <c r="H8154" s="27" t="s">
        <v>1845</v>
      </c>
      <c r="J8154" s="27" t="s">
        <v>12708</v>
      </c>
      <c r="L8154" s="27" t="s">
        <v>12709</v>
      </c>
      <c r="N8154" s="27" t="s">
        <v>12797</v>
      </c>
      <c r="P8154" s="27" t="s">
        <v>12810</v>
      </c>
      <c r="Q8154" s="26" t="str">
        <f>HYPERLINK("https://ictv.global/taxonomy/taxondetails?taxnode_id=202518935&amp;ictv_id=ICTV202318935","ICTV202318935")</f>
        <v>ICTV202318935</v>
      </c>
      <c r="R8154" t="s">
        <v>660</v>
      </c>
      <c r="S8154" t="s">
        <v>824</v>
      </c>
      <c r="T8154">
        <v>41</v>
      </c>
      <c r="U8154" s="26" t="str">
        <f t="shared" si="300"/>
        <v>2025.002G.Monodnaviria_reorg_4nr.zip</v>
      </c>
    </row>
    <row r="8155" spans="1:21">
      <c r="A8155">
        <v>8154</v>
      </c>
      <c r="B8155" s="27" t="s">
        <v>20779</v>
      </c>
      <c r="D8155" s="27" t="s">
        <v>1826</v>
      </c>
      <c r="F8155" s="27" t="s">
        <v>1844</v>
      </c>
      <c r="H8155" s="27" t="s">
        <v>1845</v>
      </c>
      <c r="J8155" s="27" t="s">
        <v>12708</v>
      </c>
      <c r="L8155" s="27" t="s">
        <v>12709</v>
      </c>
      <c r="N8155" s="27" t="s">
        <v>12797</v>
      </c>
      <c r="P8155" s="27" t="s">
        <v>12811</v>
      </c>
      <c r="Q8155" s="26" t="str">
        <f>HYPERLINK("https://ictv.global/taxonomy/taxondetails?taxnode_id=202518933&amp;ictv_id=ICTV202318933","ICTV202318933")</f>
        <v>ICTV202318933</v>
      </c>
      <c r="R8155" t="s">
        <v>660</v>
      </c>
      <c r="S8155" t="s">
        <v>824</v>
      </c>
      <c r="T8155">
        <v>41</v>
      </c>
      <c r="U8155" s="26" t="str">
        <f t="shared" si="300"/>
        <v>2025.002G.Monodnaviria_reorg_4nr.zip</v>
      </c>
    </row>
    <row r="8156" spans="1:21">
      <c r="A8156">
        <v>8155</v>
      </c>
      <c r="B8156" s="27" t="s">
        <v>20779</v>
      </c>
      <c r="D8156" s="27" t="s">
        <v>1826</v>
      </c>
      <c r="F8156" s="27" t="s">
        <v>1844</v>
      </c>
      <c r="H8156" s="27" t="s">
        <v>1845</v>
      </c>
      <c r="J8156" s="27" t="s">
        <v>12708</v>
      </c>
      <c r="L8156" s="27" t="s">
        <v>12709</v>
      </c>
      <c r="N8156" s="27" t="s">
        <v>12812</v>
      </c>
      <c r="P8156" s="27" t="s">
        <v>12813</v>
      </c>
      <c r="Q8156" s="26" t="str">
        <f>HYPERLINK("https://ictv.global/taxonomy/taxondetails?taxnode_id=202518943&amp;ictv_id=ICTV202318943","ICTV202318943")</f>
        <v>ICTV202318943</v>
      </c>
      <c r="R8156" t="s">
        <v>660</v>
      </c>
      <c r="S8156" t="s">
        <v>824</v>
      </c>
      <c r="T8156">
        <v>41</v>
      </c>
      <c r="U8156" s="26" t="str">
        <f t="shared" si="300"/>
        <v>2025.002G.Monodnaviria_reorg_4nr.zip</v>
      </c>
    </row>
    <row r="8157" spans="1:21">
      <c r="A8157">
        <v>8156</v>
      </c>
      <c r="B8157" s="27" t="s">
        <v>20779</v>
      </c>
      <c r="D8157" s="27" t="s">
        <v>1826</v>
      </c>
      <c r="F8157" s="27" t="s">
        <v>1844</v>
      </c>
      <c r="H8157" s="27" t="s">
        <v>1845</v>
      </c>
      <c r="J8157" s="27" t="s">
        <v>12708</v>
      </c>
      <c r="L8157" s="27" t="s">
        <v>12709</v>
      </c>
      <c r="N8157" s="27" t="s">
        <v>12812</v>
      </c>
      <c r="P8157" s="27" t="s">
        <v>12814</v>
      </c>
      <c r="Q8157" s="26" t="str">
        <f>HYPERLINK("https://ictv.global/taxonomy/taxondetails?taxnode_id=202518942&amp;ictv_id=ICTV202318942","ICTV202318942")</f>
        <v>ICTV202318942</v>
      </c>
      <c r="R8157" t="s">
        <v>660</v>
      </c>
      <c r="S8157" t="s">
        <v>824</v>
      </c>
      <c r="T8157">
        <v>41</v>
      </c>
      <c r="U8157" s="26" t="str">
        <f t="shared" si="300"/>
        <v>2025.002G.Monodnaviria_reorg_4nr.zip</v>
      </c>
    </row>
    <row r="8158" spans="1:21">
      <c r="A8158">
        <v>8157</v>
      </c>
      <c r="B8158" s="27" t="s">
        <v>20779</v>
      </c>
      <c r="D8158" s="27" t="s">
        <v>1826</v>
      </c>
      <c r="F8158" s="27" t="s">
        <v>1844</v>
      </c>
      <c r="H8158" s="27" t="s">
        <v>1845</v>
      </c>
      <c r="J8158" s="27" t="s">
        <v>12708</v>
      </c>
      <c r="L8158" s="27" t="s">
        <v>12709</v>
      </c>
      <c r="N8158" s="27" t="s">
        <v>12815</v>
      </c>
      <c r="P8158" s="27" t="s">
        <v>12816</v>
      </c>
      <c r="Q8158" s="26" t="str">
        <f>HYPERLINK("https://ictv.global/taxonomy/taxondetails?taxnode_id=202518944&amp;ictv_id=ICTV202318944","ICTV202318944")</f>
        <v>ICTV202318944</v>
      </c>
      <c r="R8158" t="s">
        <v>660</v>
      </c>
      <c r="S8158" t="s">
        <v>824</v>
      </c>
      <c r="T8158">
        <v>41</v>
      </c>
      <c r="U8158" s="26" t="str">
        <f t="shared" si="300"/>
        <v>2025.002G.Monodnaviria_reorg_4nr.zip</v>
      </c>
    </row>
    <row r="8159" spans="1:21">
      <c r="A8159">
        <v>8158</v>
      </c>
      <c r="B8159" s="27" t="s">
        <v>20779</v>
      </c>
      <c r="D8159" s="27" t="s">
        <v>1826</v>
      </c>
      <c r="F8159" s="27" t="s">
        <v>1844</v>
      </c>
      <c r="H8159" s="27" t="s">
        <v>1845</v>
      </c>
      <c r="J8159" s="27" t="s">
        <v>12708</v>
      </c>
      <c r="L8159" s="27" t="s">
        <v>12709</v>
      </c>
      <c r="N8159" s="27" t="s">
        <v>18537</v>
      </c>
      <c r="P8159" s="27" t="s">
        <v>18538</v>
      </c>
      <c r="Q8159" s="26" t="str">
        <f>HYPERLINK("https://ictv.global/taxonomy/taxondetails?taxnode_id=202518945&amp;ictv_id=ICTV202318945","ICTV202318945")</f>
        <v>ICTV202318945</v>
      </c>
      <c r="R8159" t="s">
        <v>660</v>
      </c>
      <c r="S8159" t="s">
        <v>824</v>
      </c>
      <c r="T8159">
        <v>41</v>
      </c>
      <c r="U8159" s="26" t="str">
        <f t="shared" si="300"/>
        <v>2025.002G.Monodnaviria_reorg_4nr.zip</v>
      </c>
    </row>
    <row r="8160" spans="1:21">
      <c r="A8160">
        <v>8159</v>
      </c>
      <c r="B8160" s="27" t="s">
        <v>20779</v>
      </c>
      <c r="D8160" s="27" t="s">
        <v>1826</v>
      </c>
      <c r="F8160" s="27" t="s">
        <v>1844</v>
      </c>
      <c r="H8160" s="27" t="s">
        <v>1845</v>
      </c>
      <c r="J8160" s="27" t="s">
        <v>12708</v>
      </c>
      <c r="L8160" s="27" t="s">
        <v>12709</v>
      </c>
      <c r="N8160" s="27" t="s">
        <v>12817</v>
      </c>
      <c r="P8160" s="27" t="s">
        <v>12818</v>
      </c>
      <c r="Q8160" s="26" t="str">
        <f>HYPERLINK("https://ictv.global/taxonomy/taxondetails?taxnode_id=202518946&amp;ictv_id=ICTV202318946","ICTV202318946")</f>
        <v>ICTV202318946</v>
      </c>
      <c r="R8160" t="s">
        <v>660</v>
      </c>
      <c r="S8160" t="s">
        <v>824</v>
      </c>
      <c r="T8160">
        <v>41</v>
      </c>
      <c r="U8160" s="26" t="str">
        <f t="shared" si="300"/>
        <v>2025.002G.Monodnaviria_reorg_4nr.zip</v>
      </c>
    </row>
    <row r="8161" spans="1:21">
      <c r="A8161">
        <v>8160</v>
      </c>
      <c r="B8161" s="27" t="s">
        <v>20779</v>
      </c>
      <c r="D8161" s="27" t="s">
        <v>1826</v>
      </c>
      <c r="F8161" s="27" t="s">
        <v>1844</v>
      </c>
      <c r="H8161" s="27" t="s">
        <v>1845</v>
      </c>
      <c r="J8161" s="27" t="s">
        <v>12708</v>
      </c>
      <c r="L8161" s="27" t="s">
        <v>12819</v>
      </c>
      <c r="N8161" s="27" t="s">
        <v>12820</v>
      </c>
      <c r="P8161" s="27" t="s">
        <v>12821</v>
      </c>
      <c r="Q8161" s="26" t="str">
        <f>HYPERLINK("https://ictv.global/taxonomy/taxondetails?taxnode_id=202518947&amp;ictv_id=ICTV202318947","ICTV202318947")</f>
        <v>ICTV202318947</v>
      </c>
      <c r="R8161" t="s">
        <v>660</v>
      </c>
      <c r="S8161" t="s">
        <v>824</v>
      </c>
      <c r="T8161">
        <v>41</v>
      </c>
      <c r="U8161" s="26" t="str">
        <f t="shared" si="300"/>
        <v>2025.002G.Monodnaviria_reorg_4nr.zip</v>
      </c>
    </row>
    <row r="8162" spans="1:21">
      <c r="A8162">
        <v>8161</v>
      </c>
      <c r="B8162" s="27" t="s">
        <v>20779</v>
      </c>
      <c r="D8162" s="27" t="s">
        <v>1826</v>
      </c>
      <c r="F8162" s="27" t="s">
        <v>1844</v>
      </c>
      <c r="H8162" s="27" t="s">
        <v>1845</v>
      </c>
      <c r="J8162" s="27" t="s">
        <v>12708</v>
      </c>
      <c r="L8162" s="27" t="s">
        <v>12819</v>
      </c>
      <c r="N8162" s="27" t="s">
        <v>12820</v>
      </c>
      <c r="P8162" s="27" t="s">
        <v>12822</v>
      </c>
      <c r="Q8162" s="26" t="str">
        <f>HYPERLINK("https://ictv.global/taxonomy/taxondetails?taxnode_id=202518948&amp;ictv_id=ICTV202318948","ICTV202318948")</f>
        <v>ICTV202318948</v>
      </c>
      <c r="R8162" t="s">
        <v>660</v>
      </c>
      <c r="S8162" t="s">
        <v>824</v>
      </c>
      <c r="T8162">
        <v>41</v>
      </c>
      <c r="U8162" s="26" t="str">
        <f t="shared" si="300"/>
        <v>2025.002G.Monodnaviria_reorg_4nr.zip</v>
      </c>
    </row>
    <row r="8163" spans="1:21">
      <c r="A8163">
        <v>8162</v>
      </c>
      <c r="B8163" s="27" t="s">
        <v>20779</v>
      </c>
      <c r="D8163" s="27" t="s">
        <v>1826</v>
      </c>
      <c r="F8163" s="27" t="s">
        <v>1844</v>
      </c>
      <c r="H8163" s="27" t="s">
        <v>1845</v>
      </c>
      <c r="J8163" s="27" t="s">
        <v>12708</v>
      </c>
      <c r="L8163" s="27" t="s">
        <v>12819</v>
      </c>
      <c r="N8163" s="27" t="s">
        <v>12820</v>
      </c>
      <c r="P8163" s="27" t="s">
        <v>12823</v>
      </c>
      <c r="Q8163" s="26" t="str">
        <f>HYPERLINK("https://ictv.global/taxonomy/taxondetails?taxnode_id=202518949&amp;ictv_id=ICTV202318949","ICTV202318949")</f>
        <v>ICTV202318949</v>
      </c>
      <c r="R8163" t="s">
        <v>660</v>
      </c>
      <c r="S8163" t="s">
        <v>824</v>
      </c>
      <c r="T8163">
        <v>41</v>
      </c>
      <c r="U8163" s="26" t="str">
        <f t="shared" si="300"/>
        <v>2025.002G.Monodnaviria_reorg_4nr.zip</v>
      </c>
    </row>
    <row r="8164" spans="1:21">
      <c r="A8164">
        <v>8163</v>
      </c>
      <c r="B8164" s="27" t="s">
        <v>20779</v>
      </c>
      <c r="D8164" s="27" t="s">
        <v>1826</v>
      </c>
      <c r="F8164" s="27" t="s">
        <v>1844</v>
      </c>
      <c r="H8164" s="27" t="s">
        <v>1845</v>
      </c>
      <c r="J8164" s="27" t="s">
        <v>12708</v>
      </c>
      <c r="L8164" s="27" t="s">
        <v>12819</v>
      </c>
      <c r="N8164" s="27" t="s">
        <v>12820</v>
      </c>
      <c r="P8164" s="27" t="s">
        <v>12824</v>
      </c>
      <c r="Q8164" s="26" t="str">
        <f>HYPERLINK("https://ictv.global/taxonomy/taxondetails?taxnode_id=202518950&amp;ictv_id=ICTV202318950","ICTV202318950")</f>
        <v>ICTV202318950</v>
      </c>
      <c r="R8164" t="s">
        <v>660</v>
      </c>
      <c r="S8164" t="s">
        <v>824</v>
      </c>
      <c r="T8164">
        <v>41</v>
      </c>
      <c r="U8164" s="26" t="str">
        <f t="shared" si="300"/>
        <v>2025.002G.Monodnaviria_reorg_4nr.zip</v>
      </c>
    </row>
    <row r="8165" spans="1:21">
      <c r="A8165">
        <v>8164</v>
      </c>
      <c r="B8165" s="27" t="s">
        <v>20779</v>
      </c>
      <c r="D8165" s="27" t="s">
        <v>1826</v>
      </c>
      <c r="F8165" s="27" t="s">
        <v>1844</v>
      </c>
      <c r="H8165" s="27" t="s">
        <v>1845</v>
      </c>
      <c r="J8165" s="27" t="s">
        <v>12708</v>
      </c>
      <c r="L8165" s="27" t="s">
        <v>12819</v>
      </c>
      <c r="N8165" s="27" t="s">
        <v>12820</v>
      </c>
      <c r="P8165" s="27" t="s">
        <v>12825</v>
      </c>
      <c r="Q8165" s="26" t="str">
        <f>HYPERLINK("https://ictv.global/taxonomy/taxondetails?taxnode_id=202518951&amp;ictv_id=ICTV202318951","ICTV202318951")</f>
        <v>ICTV202318951</v>
      </c>
      <c r="R8165" t="s">
        <v>660</v>
      </c>
      <c r="S8165" t="s">
        <v>824</v>
      </c>
      <c r="T8165">
        <v>41</v>
      </c>
      <c r="U8165" s="26" t="str">
        <f t="shared" si="300"/>
        <v>2025.002G.Monodnaviria_reorg_4nr.zip</v>
      </c>
    </row>
    <row r="8166" spans="1:21">
      <c r="A8166">
        <v>8165</v>
      </c>
      <c r="B8166" s="27" t="s">
        <v>20779</v>
      </c>
      <c r="D8166" s="27" t="s">
        <v>1826</v>
      </c>
      <c r="F8166" s="27" t="s">
        <v>1844</v>
      </c>
      <c r="H8166" s="27" t="s">
        <v>1845</v>
      </c>
      <c r="J8166" s="27" t="s">
        <v>12708</v>
      </c>
      <c r="L8166" s="27" t="s">
        <v>12819</v>
      </c>
      <c r="N8166" s="27" t="s">
        <v>12820</v>
      </c>
      <c r="P8166" s="27" t="s">
        <v>12826</v>
      </c>
      <c r="Q8166" s="26" t="str">
        <f>HYPERLINK("https://ictv.global/taxonomy/taxondetails?taxnode_id=202518952&amp;ictv_id=ICTV202318952","ICTV202318952")</f>
        <v>ICTV202318952</v>
      </c>
      <c r="R8166" t="s">
        <v>660</v>
      </c>
      <c r="S8166" t="s">
        <v>824</v>
      </c>
      <c r="T8166">
        <v>41</v>
      </c>
      <c r="U8166" s="26" t="str">
        <f t="shared" si="300"/>
        <v>2025.002G.Monodnaviria_reorg_4nr.zip</v>
      </c>
    </row>
    <row r="8167" spans="1:21">
      <c r="A8167">
        <v>8166</v>
      </c>
      <c r="B8167" s="27" t="s">
        <v>20779</v>
      </c>
      <c r="D8167" s="27" t="s">
        <v>1826</v>
      </c>
      <c r="F8167" s="27" t="s">
        <v>1844</v>
      </c>
      <c r="H8167" s="27" t="s">
        <v>1845</v>
      </c>
      <c r="J8167" s="27" t="s">
        <v>12708</v>
      </c>
      <c r="L8167" s="27" t="s">
        <v>12819</v>
      </c>
      <c r="N8167" s="27" t="s">
        <v>12820</v>
      </c>
      <c r="P8167" s="27" t="s">
        <v>12827</v>
      </c>
      <c r="Q8167" s="26" t="str">
        <f>HYPERLINK("https://ictv.global/taxonomy/taxondetails?taxnode_id=202518953&amp;ictv_id=ICTV202318953","ICTV202318953")</f>
        <v>ICTV202318953</v>
      </c>
      <c r="R8167" t="s">
        <v>660</v>
      </c>
      <c r="S8167" t="s">
        <v>824</v>
      </c>
      <c r="T8167">
        <v>41</v>
      </c>
      <c r="U8167" s="26" t="str">
        <f t="shared" si="300"/>
        <v>2025.002G.Monodnaviria_reorg_4nr.zip</v>
      </c>
    </row>
    <row r="8168" spans="1:21">
      <c r="A8168">
        <v>8167</v>
      </c>
      <c r="B8168" s="27" t="s">
        <v>20779</v>
      </c>
      <c r="D8168" s="27" t="s">
        <v>1826</v>
      </c>
      <c r="F8168" s="27" t="s">
        <v>1844</v>
      </c>
      <c r="H8168" s="27" t="s">
        <v>1845</v>
      </c>
      <c r="J8168" s="27" t="s">
        <v>12708</v>
      </c>
      <c r="L8168" s="27" t="s">
        <v>12819</v>
      </c>
      <c r="N8168" s="27" t="s">
        <v>12820</v>
      </c>
      <c r="P8168" s="27" t="s">
        <v>12828</v>
      </c>
      <c r="Q8168" s="26" t="str">
        <f>HYPERLINK("https://ictv.global/taxonomy/taxondetails?taxnode_id=202518954&amp;ictv_id=ICTV202318954","ICTV202318954")</f>
        <v>ICTV202318954</v>
      </c>
      <c r="R8168" t="s">
        <v>660</v>
      </c>
      <c r="S8168" t="s">
        <v>824</v>
      </c>
      <c r="T8168">
        <v>41</v>
      </c>
      <c r="U8168" s="26" t="str">
        <f t="shared" si="300"/>
        <v>2025.002G.Monodnaviria_reorg_4nr.zip</v>
      </c>
    </row>
    <row r="8169" spans="1:21">
      <c r="A8169">
        <v>8168</v>
      </c>
      <c r="B8169" s="27" t="s">
        <v>20779</v>
      </c>
      <c r="D8169" s="27" t="s">
        <v>1826</v>
      </c>
      <c r="F8169" s="27" t="s">
        <v>1844</v>
      </c>
      <c r="H8169" s="27" t="s">
        <v>1845</v>
      </c>
      <c r="J8169" s="27" t="s">
        <v>12708</v>
      </c>
      <c r="L8169" s="27" t="s">
        <v>12819</v>
      </c>
      <c r="N8169" s="27" t="s">
        <v>12829</v>
      </c>
      <c r="P8169" s="27" t="s">
        <v>12830</v>
      </c>
      <c r="Q8169" s="26" t="str">
        <f>HYPERLINK("https://ictv.global/taxonomy/taxondetails?taxnode_id=202518955&amp;ictv_id=ICTV202318955","ICTV202318955")</f>
        <v>ICTV202318955</v>
      </c>
      <c r="R8169" t="s">
        <v>660</v>
      </c>
      <c r="S8169" t="s">
        <v>824</v>
      </c>
      <c r="T8169">
        <v>41</v>
      </c>
      <c r="U8169" s="26" t="str">
        <f t="shared" si="300"/>
        <v>2025.002G.Monodnaviria_reorg_4nr.zip</v>
      </c>
    </row>
    <row r="8170" spans="1:21">
      <c r="A8170">
        <v>8169</v>
      </c>
      <c r="B8170" s="27" t="s">
        <v>20779</v>
      </c>
      <c r="D8170" s="27" t="s">
        <v>1826</v>
      </c>
      <c r="F8170" s="27" t="s">
        <v>1844</v>
      </c>
      <c r="H8170" s="27" t="s">
        <v>1845</v>
      </c>
      <c r="J8170" s="27" t="s">
        <v>12708</v>
      </c>
      <c r="L8170" s="27" t="s">
        <v>12819</v>
      </c>
      <c r="N8170" s="27" t="s">
        <v>12831</v>
      </c>
      <c r="P8170" s="27" t="s">
        <v>12832</v>
      </c>
      <c r="Q8170" s="26" t="str">
        <f>HYPERLINK("https://ictv.global/taxonomy/taxondetails?taxnode_id=202518956&amp;ictv_id=ICTV202318956","ICTV202318956")</f>
        <v>ICTV202318956</v>
      </c>
      <c r="R8170" t="s">
        <v>660</v>
      </c>
      <c r="S8170" t="s">
        <v>824</v>
      </c>
      <c r="T8170">
        <v>41</v>
      </c>
      <c r="U8170" s="26" t="str">
        <f t="shared" si="300"/>
        <v>2025.002G.Monodnaviria_reorg_4nr.zip</v>
      </c>
    </row>
    <row r="8171" spans="1:21">
      <c r="A8171">
        <v>8170</v>
      </c>
      <c r="B8171" s="27" t="s">
        <v>20779</v>
      </c>
      <c r="D8171" s="27" t="s">
        <v>1826</v>
      </c>
      <c r="F8171" s="27" t="s">
        <v>1844</v>
      </c>
      <c r="H8171" s="27" t="s">
        <v>1845</v>
      </c>
      <c r="J8171" s="27" t="s">
        <v>12708</v>
      </c>
      <c r="L8171" s="27" t="s">
        <v>12819</v>
      </c>
      <c r="N8171" s="27" t="s">
        <v>12831</v>
      </c>
      <c r="P8171" s="27" t="s">
        <v>12833</v>
      </c>
      <c r="Q8171" s="26" t="str">
        <f>HYPERLINK("https://ictv.global/taxonomy/taxondetails?taxnode_id=202518957&amp;ictv_id=ICTV202318957","ICTV202318957")</f>
        <v>ICTV202318957</v>
      </c>
      <c r="R8171" t="s">
        <v>660</v>
      </c>
      <c r="S8171" t="s">
        <v>824</v>
      </c>
      <c r="T8171">
        <v>41</v>
      </c>
      <c r="U8171" s="26" t="str">
        <f t="shared" si="300"/>
        <v>2025.002G.Monodnaviria_reorg_4nr.zip</v>
      </c>
    </row>
    <row r="8172" spans="1:21">
      <c r="A8172">
        <v>8171</v>
      </c>
      <c r="B8172" s="27" t="s">
        <v>20779</v>
      </c>
      <c r="D8172" s="27" t="s">
        <v>1826</v>
      </c>
      <c r="F8172" s="27" t="s">
        <v>1844</v>
      </c>
      <c r="H8172" s="27" t="s">
        <v>1845</v>
      </c>
      <c r="J8172" s="27" t="s">
        <v>12708</v>
      </c>
      <c r="L8172" s="27" t="s">
        <v>12819</v>
      </c>
      <c r="N8172" s="27" t="s">
        <v>12831</v>
      </c>
      <c r="P8172" s="27" t="s">
        <v>12834</v>
      </c>
      <c r="Q8172" s="26" t="str">
        <f>HYPERLINK("https://ictv.global/taxonomy/taxondetails?taxnode_id=202518958&amp;ictv_id=ICTV202318958","ICTV202318958")</f>
        <v>ICTV202318958</v>
      </c>
      <c r="R8172" t="s">
        <v>660</v>
      </c>
      <c r="S8172" t="s">
        <v>824</v>
      </c>
      <c r="T8172">
        <v>41</v>
      </c>
      <c r="U8172" s="26" t="str">
        <f t="shared" si="300"/>
        <v>2025.002G.Monodnaviria_reorg_4nr.zip</v>
      </c>
    </row>
    <row r="8173" spans="1:21">
      <c r="A8173">
        <v>8172</v>
      </c>
      <c r="B8173" s="27" t="s">
        <v>20779</v>
      </c>
      <c r="D8173" s="27" t="s">
        <v>1826</v>
      </c>
      <c r="F8173" s="27" t="s">
        <v>1844</v>
      </c>
      <c r="H8173" s="27" t="s">
        <v>1845</v>
      </c>
      <c r="J8173" s="27" t="s">
        <v>12708</v>
      </c>
      <c r="L8173" s="27" t="s">
        <v>12819</v>
      </c>
      <c r="N8173" s="27" t="s">
        <v>12831</v>
      </c>
      <c r="P8173" s="27" t="s">
        <v>12835</v>
      </c>
      <c r="Q8173" s="26" t="str">
        <f>HYPERLINK("https://ictv.global/taxonomy/taxondetails?taxnode_id=202518959&amp;ictv_id=ICTV202318959","ICTV202318959")</f>
        <v>ICTV202318959</v>
      </c>
      <c r="R8173" t="s">
        <v>660</v>
      </c>
      <c r="S8173" t="s">
        <v>824</v>
      </c>
      <c r="T8173">
        <v>41</v>
      </c>
      <c r="U8173" s="26" t="str">
        <f t="shared" si="300"/>
        <v>2025.002G.Monodnaviria_reorg_4nr.zip</v>
      </c>
    </row>
    <row r="8174" spans="1:21">
      <c r="A8174">
        <v>8173</v>
      </c>
      <c r="B8174" s="27" t="s">
        <v>20779</v>
      </c>
      <c r="D8174" s="27" t="s">
        <v>1826</v>
      </c>
      <c r="F8174" s="27" t="s">
        <v>1844</v>
      </c>
      <c r="H8174" s="27" t="s">
        <v>1845</v>
      </c>
      <c r="J8174" s="27" t="s">
        <v>12708</v>
      </c>
      <c r="L8174" s="27" t="s">
        <v>12819</v>
      </c>
      <c r="N8174" s="27" t="s">
        <v>12831</v>
      </c>
      <c r="P8174" s="27" t="s">
        <v>12836</v>
      </c>
      <c r="Q8174" s="26" t="str">
        <f>HYPERLINK("https://ictv.global/taxonomy/taxondetails?taxnode_id=202518960&amp;ictv_id=ICTV202318960","ICTV202318960")</f>
        <v>ICTV202318960</v>
      </c>
      <c r="R8174" t="s">
        <v>660</v>
      </c>
      <c r="S8174" t="s">
        <v>824</v>
      </c>
      <c r="T8174">
        <v>41</v>
      </c>
      <c r="U8174" s="26" t="str">
        <f t="shared" si="300"/>
        <v>2025.002G.Monodnaviria_reorg_4nr.zip</v>
      </c>
    </row>
    <row r="8175" spans="1:21">
      <c r="A8175">
        <v>8174</v>
      </c>
      <c r="B8175" s="27" t="s">
        <v>20779</v>
      </c>
      <c r="D8175" s="27" t="s">
        <v>1826</v>
      </c>
      <c r="F8175" s="27" t="s">
        <v>1844</v>
      </c>
      <c r="H8175" s="27" t="s">
        <v>1845</v>
      </c>
      <c r="J8175" s="27" t="s">
        <v>12708</v>
      </c>
      <c r="L8175" s="27" t="s">
        <v>12819</v>
      </c>
      <c r="N8175" s="27" t="s">
        <v>12831</v>
      </c>
      <c r="P8175" s="27" t="s">
        <v>12837</v>
      </c>
      <c r="Q8175" s="26" t="str">
        <f>HYPERLINK("https://ictv.global/taxonomy/taxondetails?taxnode_id=202518961&amp;ictv_id=ICTV202318961","ICTV202318961")</f>
        <v>ICTV202318961</v>
      </c>
      <c r="R8175" t="s">
        <v>660</v>
      </c>
      <c r="S8175" t="s">
        <v>824</v>
      </c>
      <c r="T8175">
        <v>41</v>
      </c>
      <c r="U8175" s="26" t="str">
        <f t="shared" si="300"/>
        <v>2025.002G.Monodnaviria_reorg_4nr.zip</v>
      </c>
    </row>
    <row r="8176" spans="1:21">
      <c r="A8176">
        <v>8175</v>
      </c>
      <c r="B8176" s="27" t="s">
        <v>20779</v>
      </c>
      <c r="D8176" s="27" t="s">
        <v>1826</v>
      </c>
      <c r="F8176" s="27" t="s">
        <v>1844</v>
      </c>
      <c r="H8176" s="27" t="s">
        <v>1845</v>
      </c>
      <c r="J8176" s="27" t="s">
        <v>12708</v>
      </c>
      <c r="L8176" s="27" t="s">
        <v>12819</v>
      </c>
      <c r="N8176" s="27" t="s">
        <v>12831</v>
      </c>
      <c r="P8176" s="27" t="s">
        <v>12838</v>
      </c>
      <c r="Q8176" s="26" t="str">
        <f>HYPERLINK("https://ictv.global/taxonomy/taxondetails?taxnode_id=202518962&amp;ictv_id=ICTV202318962","ICTV202318962")</f>
        <v>ICTV202318962</v>
      </c>
      <c r="R8176" t="s">
        <v>660</v>
      </c>
      <c r="S8176" t="s">
        <v>824</v>
      </c>
      <c r="T8176">
        <v>41</v>
      </c>
      <c r="U8176" s="26" t="str">
        <f t="shared" si="300"/>
        <v>2025.002G.Monodnaviria_reorg_4nr.zip</v>
      </c>
    </row>
    <row r="8177" spans="1:21">
      <c r="A8177">
        <v>8176</v>
      </c>
      <c r="B8177" s="27" t="s">
        <v>20779</v>
      </c>
      <c r="D8177" s="27" t="s">
        <v>1826</v>
      </c>
      <c r="F8177" s="27" t="s">
        <v>1844</v>
      </c>
      <c r="H8177" s="27" t="s">
        <v>1845</v>
      </c>
      <c r="J8177" s="27" t="s">
        <v>12708</v>
      </c>
      <c r="L8177" s="27" t="s">
        <v>12819</v>
      </c>
      <c r="N8177" s="27" t="s">
        <v>12839</v>
      </c>
      <c r="P8177" s="27" t="s">
        <v>12840</v>
      </c>
      <c r="Q8177" s="26" t="str">
        <f>HYPERLINK("https://ictv.global/taxonomy/taxondetails?taxnode_id=202518963&amp;ictv_id=ICTV202318963","ICTV202318963")</f>
        <v>ICTV202318963</v>
      </c>
      <c r="R8177" t="s">
        <v>660</v>
      </c>
      <c r="S8177" t="s">
        <v>824</v>
      </c>
      <c r="T8177">
        <v>41</v>
      </c>
      <c r="U8177" s="26" t="str">
        <f t="shared" si="300"/>
        <v>2025.002G.Monodnaviria_reorg_4nr.zip</v>
      </c>
    </row>
    <row r="8178" spans="1:21">
      <c r="A8178">
        <v>8177</v>
      </c>
      <c r="B8178" s="27" t="s">
        <v>20779</v>
      </c>
      <c r="D8178" s="27" t="s">
        <v>1826</v>
      </c>
      <c r="F8178" s="27" t="s">
        <v>1844</v>
      </c>
      <c r="H8178" s="27" t="s">
        <v>1845</v>
      </c>
      <c r="J8178" s="27" t="s">
        <v>12708</v>
      </c>
      <c r="L8178" s="27" t="s">
        <v>12819</v>
      </c>
      <c r="N8178" s="27" t="s">
        <v>12839</v>
      </c>
      <c r="P8178" s="27" t="s">
        <v>12841</v>
      </c>
      <c r="Q8178" s="26" t="str">
        <f>HYPERLINK("https://ictv.global/taxonomy/taxondetails?taxnode_id=202518964&amp;ictv_id=ICTV202318964","ICTV202318964")</f>
        <v>ICTV202318964</v>
      </c>
      <c r="R8178" t="s">
        <v>660</v>
      </c>
      <c r="S8178" t="s">
        <v>824</v>
      </c>
      <c r="T8178">
        <v>41</v>
      </c>
      <c r="U8178" s="26" t="str">
        <f t="shared" si="300"/>
        <v>2025.002G.Monodnaviria_reorg_4nr.zip</v>
      </c>
    </row>
    <row r="8179" spans="1:21">
      <c r="A8179">
        <v>8178</v>
      </c>
      <c r="B8179" s="27" t="s">
        <v>20779</v>
      </c>
      <c r="D8179" s="27" t="s">
        <v>1826</v>
      </c>
      <c r="F8179" s="27" t="s">
        <v>1844</v>
      </c>
      <c r="H8179" s="27" t="s">
        <v>1845</v>
      </c>
      <c r="J8179" s="27" t="s">
        <v>12708</v>
      </c>
      <c r="L8179" s="27" t="s">
        <v>12819</v>
      </c>
      <c r="N8179" s="27" t="s">
        <v>12839</v>
      </c>
      <c r="P8179" s="27" t="s">
        <v>12842</v>
      </c>
      <c r="Q8179" s="26" t="str">
        <f>HYPERLINK("https://ictv.global/taxonomy/taxondetails?taxnode_id=202518965&amp;ictv_id=ICTV202318965","ICTV202318965")</f>
        <v>ICTV202318965</v>
      </c>
      <c r="R8179" t="s">
        <v>660</v>
      </c>
      <c r="S8179" t="s">
        <v>824</v>
      </c>
      <c r="T8179">
        <v>41</v>
      </c>
      <c r="U8179" s="26" t="str">
        <f t="shared" si="300"/>
        <v>2025.002G.Monodnaviria_reorg_4nr.zip</v>
      </c>
    </row>
    <row r="8180" spans="1:21">
      <c r="A8180">
        <v>8179</v>
      </c>
      <c r="B8180" s="27" t="s">
        <v>20779</v>
      </c>
      <c r="D8180" s="27" t="s">
        <v>1826</v>
      </c>
      <c r="F8180" s="27" t="s">
        <v>1844</v>
      </c>
      <c r="H8180" s="27" t="s">
        <v>1845</v>
      </c>
      <c r="J8180" s="27" t="s">
        <v>12708</v>
      </c>
      <c r="L8180" s="27" t="s">
        <v>12819</v>
      </c>
      <c r="N8180" s="27" t="s">
        <v>12843</v>
      </c>
      <c r="P8180" s="27" t="s">
        <v>12844</v>
      </c>
      <c r="Q8180" s="26" t="str">
        <f>HYPERLINK("https://ictv.global/taxonomy/taxondetails?taxnode_id=202518966&amp;ictv_id=ICTV202318966","ICTV202318966")</f>
        <v>ICTV202318966</v>
      </c>
      <c r="R8180" t="s">
        <v>660</v>
      </c>
      <c r="S8180" t="s">
        <v>824</v>
      </c>
      <c r="T8180">
        <v>41</v>
      </c>
      <c r="U8180" s="26" t="str">
        <f t="shared" si="300"/>
        <v>2025.002G.Monodnaviria_reorg_4nr.zip</v>
      </c>
    </row>
    <row r="8181" spans="1:21">
      <c r="A8181">
        <v>8180</v>
      </c>
      <c r="B8181" s="27" t="s">
        <v>20779</v>
      </c>
      <c r="D8181" s="27" t="s">
        <v>1826</v>
      </c>
      <c r="F8181" s="27" t="s">
        <v>1844</v>
      </c>
      <c r="H8181" s="27" t="s">
        <v>1845</v>
      </c>
      <c r="J8181" s="27" t="s">
        <v>12708</v>
      </c>
      <c r="L8181" s="27" t="s">
        <v>12819</v>
      </c>
      <c r="N8181" s="27" t="s">
        <v>12845</v>
      </c>
      <c r="P8181" s="27" t="s">
        <v>12846</v>
      </c>
      <c r="Q8181" s="26" t="str">
        <f>HYPERLINK("https://ictv.global/taxonomy/taxondetails?taxnode_id=202518967&amp;ictv_id=ICTV202318967","ICTV202318967")</f>
        <v>ICTV202318967</v>
      </c>
      <c r="R8181" t="s">
        <v>660</v>
      </c>
      <c r="S8181" t="s">
        <v>824</v>
      </c>
      <c r="T8181">
        <v>41</v>
      </c>
      <c r="U8181" s="26" t="str">
        <f t="shared" si="300"/>
        <v>2025.002G.Monodnaviria_reorg_4nr.zip</v>
      </c>
    </row>
    <row r="8182" spans="1:21">
      <c r="A8182">
        <v>8181</v>
      </c>
      <c r="B8182" s="27" t="s">
        <v>20779</v>
      </c>
      <c r="D8182" s="27" t="s">
        <v>1826</v>
      </c>
      <c r="F8182" s="27" t="s">
        <v>1844</v>
      </c>
      <c r="H8182" s="27" t="s">
        <v>1845</v>
      </c>
      <c r="J8182" s="27" t="s">
        <v>12708</v>
      </c>
      <c r="L8182" s="27" t="s">
        <v>12819</v>
      </c>
      <c r="N8182" s="27" t="s">
        <v>12847</v>
      </c>
      <c r="P8182" s="27" t="s">
        <v>12848</v>
      </c>
      <c r="Q8182" s="26" t="str">
        <f>HYPERLINK("https://ictv.global/taxonomy/taxondetails?taxnode_id=202518968&amp;ictv_id=ICTV202318968","ICTV202318968")</f>
        <v>ICTV202318968</v>
      </c>
      <c r="R8182" t="s">
        <v>660</v>
      </c>
      <c r="S8182" t="s">
        <v>824</v>
      </c>
      <c r="T8182">
        <v>41</v>
      </c>
      <c r="U8182" s="26" t="str">
        <f t="shared" si="300"/>
        <v>2025.002G.Monodnaviria_reorg_4nr.zip</v>
      </c>
    </row>
    <row r="8183" spans="1:21">
      <c r="A8183">
        <v>8182</v>
      </c>
      <c r="B8183" s="27" t="s">
        <v>20779</v>
      </c>
      <c r="D8183" s="27" t="s">
        <v>1826</v>
      </c>
      <c r="F8183" s="27" t="s">
        <v>1844</v>
      </c>
      <c r="H8183" s="27" t="s">
        <v>1845</v>
      </c>
      <c r="J8183" s="27" t="s">
        <v>12708</v>
      </c>
      <c r="L8183" s="27" t="s">
        <v>12819</v>
      </c>
      <c r="N8183" s="27" t="s">
        <v>12847</v>
      </c>
      <c r="P8183" s="27" t="s">
        <v>12849</v>
      </c>
      <c r="Q8183" s="26" t="str">
        <f>HYPERLINK("https://ictv.global/taxonomy/taxondetails?taxnode_id=202518969&amp;ictv_id=ICTV202318969","ICTV202318969")</f>
        <v>ICTV202318969</v>
      </c>
      <c r="R8183" t="s">
        <v>660</v>
      </c>
      <c r="S8183" t="s">
        <v>824</v>
      </c>
      <c r="T8183">
        <v>41</v>
      </c>
      <c r="U8183" s="26" t="str">
        <f t="shared" si="300"/>
        <v>2025.002G.Monodnaviria_reorg_4nr.zip</v>
      </c>
    </row>
    <row r="8184" spans="1:21">
      <c r="A8184">
        <v>8183</v>
      </c>
      <c r="B8184" s="27" t="s">
        <v>20779</v>
      </c>
      <c r="D8184" s="27" t="s">
        <v>1826</v>
      </c>
      <c r="F8184" s="27" t="s">
        <v>1844</v>
      </c>
      <c r="H8184" s="27" t="s">
        <v>1845</v>
      </c>
      <c r="J8184" s="27" t="s">
        <v>12708</v>
      </c>
      <c r="L8184" s="27" t="s">
        <v>12819</v>
      </c>
      <c r="N8184" s="27" t="s">
        <v>12850</v>
      </c>
      <c r="P8184" s="27" t="s">
        <v>12851</v>
      </c>
      <c r="Q8184" s="26" t="str">
        <f>HYPERLINK("https://ictv.global/taxonomy/taxondetails?taxnode_id=202518970&amp;ictv_id=ICTV202318970","ICTV202318970")</f>
        <v>ICTV202318970</v>
      </c>
      <c r="R8184" t="s">
        <v>660</v>
      </c>
      <c r="S8184" t="s">
        <v>824</v>
      </c>
      <c r="T8184">
        <v>41</v>
      </c>
      <c r="U8184" s="26" t="str">
        <f t="shared" si="300"/>
        <v>2025.002G.Monodnaviria_reorg_4nr.zip</v>
      </c>
    </row>
    <row r="8185" spans="1:21">
      <c r="A8185">
        <v>8184</v>
      </c>
      <c r="B8185" s="27" t="s">
        <v>20779</v>
      </c>
      <c r="D8185" s="27" t="s">
        <v>1826</v>
      </c>
      <c r="F8185" s="27" t="s">
        <v>1844</v>
      </c>
      <c r="H8185" s="27" t="s">
        <v>1845</v>
      </c>
      <c r="J8185" s="27" t="s">
        <v>12708</v>
      </c>
      <c r="L8185" s="27" t="s">
        <v>12819</v>
      </c>
      <c r="N8185" s="27" t="s">
        <v>12852</v>
      </c>
      <c r="P8185" s="27" t="s">
        <v>12853</v>
      </c>
      <c r="Q8185" s="26" t="str">
        <f>HYPERLINK("https://ictv.global/taxonomy/taxondetails?taxnode_id=202518971&amp;ictv_id=ICTV202318971","ICTV202318971")</f>
        <v>ICTV202318971</v>
      </c>
      <c r="R8185" t="s">
        <v>660</v>
      </c>
      <c r="S8185" t="s">
        <v>824</v>
      </c>
      <c r="T8185">
        <v>41</v>
      </c>
      <c r="U8185" s="26" t="str">
        <f t="shared" si="300"/>
        <v>2025.002G.Monodnaviria_reorg_4nr.zip</v>
      </c>
    </row>
    <row r="8186" spans="1:21">
      <c r="A8186">
        <v>8185</v>
      </c>
      <c r="B8186" s="27" t="s">
        <v>20779</v>
      </c>
      <c r="D8186" s="27" t="s">
        <v>1826</v>
      </c>
      <c r="F8186" s="27" t="s">
        <v>1844</v>
      </c>
      <c r="H8186" s="27" t="s">
        <v>1845</v>
      </c>
      <c r="J8186" s="27" t="s">
        <v>12708</v>
      </c>
      <c r="L8186" s="27" t="s">
        <v>12819</v>
      </c>
      <c r="N8186" s="27" t="s">
        <v>12852</v>
      </c>
      <c r="P8186" s="27" t="s">
        <v>12854</v>
      </c>
      <c r="Q8186" s="26" t="str">
        <f>HYPERLINK("https://ictv.global/taxonomy/taxondetails?taxnode_id=202518972&amp;ictv_id=ICTV202318972","ICTV202318972")</f>
        <v>ICTV202318972</v>
      </c>
      <c r="R8186" t="s">
        <v>660</v>
      </c>
      <c r="S8186" t="s">
        <v>824</v>
      </c>
      <c r="T8186">
        <v>41</v>
      </c>
      <c r="U8186" s="26" t="str">
        <f t="shared" si="300"/>
        <v>2025.002G.Monodnaviria_reorg_4nr.zip</v>
      </c>
    </row>
    <row r="8187" spans="1:21">
      <c r="A8187">
        <v>8186</v>
      </c>
      <c r="B8187" s="27" t="s">
        <v>20779</v>
      </c>
      <c r="D8187" s="27" t="s">
        <v>1826</v>
      </c>
      <c r="F8187" s="27" t="s">
        <v>1844</v>
      </c>
      <c r="H8187" s="27" t="s">
        <v>1845</v>
      </c>
      <c r="J8187" s="27" t="s">
        <v>12708</v>
      </c>
      <c r="L8187" s="27" t="s">
        <v>12819</v>
      </c>
      <c r="N8187" s="27" t="s">
        <v>12852</v>
      </c>
      <c r="P8187" s="27" t="s">
        <v>12855</v>
      </c>
      <c r="Q8187" s="26" t="str">
        <f>HYPERLINK("https://ictv.global/taxonomy/taxondetails?taxnode_id=202518973&amp;ictv_id=ICTV202318973","ICTV202318973")</f>
        <v>ICTV202318973</v>
      </c>
      <c r="R8187" t="s">
        <v>660</v>
      </c>
      <c r="S8187" t="s">
        <v>824</v>
      </c>
      <c r="T8187">
        <v>41</v>
      </c>
      <c r="U8187" s="26" t="str">
        <f t="shared" si="300"/>
        <v>2025.002G.Monodnaviria_reorg_4nr.zip</v>
      </c>
    </row>
    <row r="8188" spans="1:21">
      <c r="A8188">
        <v>8187</v>
      </c>
      <c r="B8188" s="27" t="s">
        <v>20779</v>
      </c>
      <c r="D8188" s="27" t="s">
        <v>1826</v>
      </c>
      <c r="F8188" s="27" t="s">
        <v>1844</v>
      </c>
      <c r="H8188" s="27" t="s">
        <v>1845</v>
      </c>
      <c r="J8188" s="27" t="s">
        <v>12708</v>
      </c>
      <c r="L8188" s="27" t="s">
        <v>12819</v>
      </c>
      <c r="N8188" s="27" t="s">
        <v>12852</v>
      </c>
      <c r="P8188" s="27" t="s">
        <v>12856</v>
      </c>
      <c r="Q8188" s="26" t="str">
        <f>HYPERLINK("https://ictv.global/taxonomy/taxondetails?taxnode_id=202518974&amp;ictv_id=ICTV202318974","ICTV202318974")</f>
        <v>ICTV202318974</v>
      </c>
      <c r="R8188" t="s">
        <v>660</v>
      </c>
      <c r="S8188" t="s">
        <v>824</v>
      </c>
      <c r="T8188">
        <v>41</v>
      </c>
      <c r="U8188" s="26" t="str">
        <f t="shared" si="300"/>
        <v>2025.002G.Monodnaviria_reorg_4nr.zip</v>
      </c>
    </row>
    <row r="8189" spans="1:21">
      <c r="A8189">
        <v>8188</v>
      </c>
      <c r="B8189" s="27" t="s">
        <v>20779</v>
      </c>
      <c r="D8189" s="27" t="s">
        <v>1826</v>
      </c>
      <c r="F8189" s="27" t="s">
        <v>1844</v>
      </c>
      <c r="H8189" s="27" t="s">
        <v>1845</v>
      </c>
      <c r="J8189" s="27" t="s">
        <v>12708</v>
      </c>
      <c r="L8189" s="27" t="s">
        <v>12819</v>
      </c>
      <c r="N8189" s="27" t="s">
        <v>12857</v>
      </c>
      <c r="P8189" s="27" t="s">
        <v>12858</v>
      </c>
      <c r="Q8189" s="26" t="str">
        <f>HYPERLINK("https://ictv.global/taxonomy/taxondetails?taxnode_id=202518975&amp;ictv_id=ICTV202318975","ICTV202318975")</f>
        <v>ICTV202318975</v>
      </c>
      <c r="R8189" t="s">
        <v>660</v>
      </c>
      <c r="S8189" t="s">
        <v>824</v>
      </c>
      <c r="T8189">
        <v>41</v>
      </c>
      <c r="U8189" s="26" t="str">
        <f t="shared" si="300"/>
        <v>2025.002G.Monodnaviria_reorg_4nr.zip</v>
      </c>
    </row>
    <row r="8190" spans="1:21">
      <c r="A8190">
        <v>8189</v>
      </c>
      <c r="B8190" s="27" t="s">
        <v>20779</v>
      </c>
      <c r="D8190" s="27" t="s">
        <v>1826</v>
      </c>
      <c r="F8190" s="27" t="s">
        <v>1844</v>
      </c>
      <c r="H8190" s="27" t="s">
        <v>1845</v>
      </c>
      <c r="J8190" s="27" t="s">
        <v>12708</v>
      </c>
      <c r="L8190" s="27" t="s">
        <v>12819</v>
      </c>
      <c r="N8190" s="27" t="s">
        <v>12857</v>
      </c>
      <c r="P8190" s="27" t="s">
        <v>12859</v>
      </c>
      <c r="Q8190" s="26" t="str">
        <f>HYPERLINK("https://ictv.global/taxonomy/taxondetails?taxnode_id=202518976&amp;ictv_id=ICTV202318976","ICTV202318976")</f>
        <v>ICTV202318976</v>
      </c>
      <c r="R8190" t="s">
        <v>660</v>
      </c>
      <c r="S8190" t="s">
        <v>824</v>
      </c>
      <c r="T8190">
        <v>41</v>
      </c>
      <c r="U8190" s="26" t="str">
        <f t="shared" si="300"/>
        <v>2025.002G.Monodnaviria_reorg_4nr.zip</v>
      </c>
    </row>
    <row r="8191" spans="1:21">
      <c r="A8191">
        <v>8190</v>
      </c>
      <c r="B8191" s="27" t="s">
        <v>20779</v>
      </c>
      <c r="D8191" s="27" t="s">
        <v>1826</v>
      </c>
      <c r="F8191" s="27" t="s">
        <v>1844</v>
      </c>
      <c r="H8191" s="27" t="s">
        <v>1845</v>
      </c>
      <c r="J8191" s="27" t="s">
        <v>12708</v>
      </c>
      <c r="L8191" s="27" t="s">
        <v>12819</v>
      </c>
      <c r="N8191" s="27" t="s">
        <v>12860</v>
      </c>
      <c r="P8191" s="27" t="s">
        <v>12861</v>
      </c>
      <c r="Q8191" s="26" t="str">
        <f>HYPERLINK("https://ictv.global/taxonomy/taxondetails?taxnode_id=202518977&amp;ictv_id=ICTV202318977","ICTV202318977")</f>
        <v>ICTV202318977</v>
      </c>
      <c r="R8191" t="s">
        <v>660</v>
      </c>
      <c r="S8191" t="s">
        <v>824</v>
      </c>
      <c r="T8191">
        <v>41</v>
      </c>
      <c r="U8191" s="26" t="str">
        <f t="shared" si="300"/>
        <v>2025.002G.Monodnaviria_reorg_4nr.zip</v>
      </c>
    </row>
    <row r="8192" spans="1:21">
      <c r="A8192">
        <v>8191</v>
      </c>
      <c r="B8192" s="27" t="s">
        <v>20779</v>
      </c>
      <c r="D8192" s="27" t="s">
        <v>1826</v>
      </c>
      <c r="F8192" s="27" t="s">
        <v>1844</v>
      </c>
      <c r="H8192" s="27" t="s">
        <v>1853</v>
      </c>
      <c r="J8192" s="27" t="s">
        <v>1854</v>
      </c>
      <c r="L8192" s="27" t="s">
        <v>461</v>
      </c>
      <c r="N8192" s="27" t="s">
        <v>482</v>
      </c>
      <c r="P8192" s="27" t="s">
        <v>12862</v>
      </c>
      <c r="Q8192" s="26" t="str">
        <f>HYPERLINK("https://ictv.global/taxonomy/taxondetails?taxnode_id=202503172&amp;ictv_id=ICTV20093819","ICTV20093819")</f>
        <v>ICTV20093819</v>
      </c>
      <c r="R8192" t="s">
        <v>660</v>
      </c>
      <c r="S8192" t="s">
        <v>824</v>
      </c>
      <c r="T8192">
        <v>41</v>
      </c>
      <c r="U8192" s="26" t="str">
        <f t="shared" si="300"/>
        <v>2025.002G.Monodnaviria_reorg_4nr.zip</v>
      </c>
    </row>
    <row r="8193" spans="1:21">
      <c r="A8193">
        <v>8192</v>
      </c>
      <c r="B8193" s="27" t="s">
        <v>20779</v>
      </c>
      <c r="D8193" s="27" t="s">
        <v>1826</v>
      </c>
      <c r="F8193" s="27" t="s">
        <v>1844</v>
      </c>
      <c r="H8193" s="27" t="s">
        <v>1853</v>
      </c>
      <c r="J8193" s="27" t="s">
        <v>1854</v>
      </c>
      <c r="L8193" s="27" t="s">
        <v>461</v>
      </c>
      <c r="N8193" s="27" t="s">
        <v>482</v>
      </c>
      <c r="P8193" s="27" t="s">
        <v>12863</v>
      </c>
      <c r="Q8193" s="26" t="str">
        <f>HYPERLINK("https://ictv.global/taxonomy/taxondetails?taxnode_id=202506688&amp;ictv_id=ICTV201856688","ICTV201856688")</f>
        <v>ICTV201856688</v>
      </c>
      <c r="R8193" t="s">
        <v>660</v>
      </c>
      <c r="S8193" t="s">
        <v>824</v>
      </c>
      <c r="T8193">
        <v>41</v>
      </c>
      <c r="U8193" s="26" t="str">
        <f t="shared" si="300"/>
        <v>2025.002G.Monodnaviria_reorg_4nr.zip</v>
      </c>
    </row>
    <row r="8194" spans="1:21">
      <c r="A8194">
        <v>8193</v>
      </c>
      <c r="B8194" s="27" t="s">
        <v>20779</v>
      </c>
      <c r="D8194" s="27" t="s">
        <v>1826</v>
      </c>
      <c r="F8194" s="27" t="s">
        <v>1844</v>
      </c>
      <c r="H8194" s="27" t="s">
        <v>1853</v>
      </c>
      <c r="J8194" s="27" t="s">
        <v>1854</v>
      </c>
      <c r="L8194" s="27" t="s">
        <v>461</v>
      </c>
      <c r="N8194" s="27" t="s">
        <v>482</v>
      </c>
      <c r="P8194" s="27" t="s">
        <v>12864</v>
      </c>
      <c r="Q8194" s="26" t="str">
        <f>HYPERLINK("https://ictv.global/taxonomy/taxondetails?taxnode_id=202503173&amp;ictv_id=ICTV20125760","ICTV20125760")</f>
        <v>ICTV20125760</v>
      </c>
      <c r="R8194" t="s">
        <v>660</v>
      </c>
      <c r="S8194" t="s">
        <v>824</v>
      </c>
      <c r="T8194">
        <v>41</v>
      </c>
      <c r="U8194" s="26" t="str">
        <f t="shared" si="300"/>
        <v>2025.002G.Monodnaviria_reorg_4nr.zip</v>
      </c>
    </row>
    <row r="8195" spans="1:21">
      <c r="A8195">
        <v>8194</v>
      </c>
      <c r="B8195" s="27" t="s">
        <v>20779</v>
      </c>
      <c r="D8195" s="27" t="s">
        <v>1826</v>
      </c>
      <c r="F8195" s="27" t="s">
        <v>1844</v>
      </c>
      <c r="H8195" s="27" t="s">
        <v>1853</v>
      </c>
      <c r="J8195" s="27" t="s">
        <v>1854</v>
      </c>
      <c r="L8195" s="27" t="s">
        <v>461</v>
      </c>
      <c r="N8195" s="27" t="s">
        <v>462</v>
      </c>
      <c r="P8195" s="27" t="s">
        <v>12865</v>
      </c>
      <c r="Q8195" s="26" t="str">
        <f>HYPERLINK("https://ictv.global/taxonomy/taxondetails?taxnode_id=202503193&amp;ictv_id=ICTV20131896","ICTV20131896")</f>
        <v>ICTV20131896</v>
      </c>
      <c r="R8195" t="s">
        <v>660</v>
      </c>
      <c r="S8195" t="s">
        <v>824</v>
      </c>
      <c r="T8195">
        <v>41</v>
      </c>
      <c r="U8195" s="26" t="str">
        <f t="shared" si="300"/>
        <v>2025.002G.Monodnaviria_reorg_4nr.zip</v>
      </c>
    </row>
    <row r="8196" spans="1:21">
      <c r="A8196">
        <v>8195</v>
      </c>
      <c r="B8196" s="27" t="s">
        <v>20779</v>
      </c>
      <c r="D8196" s="27" t="s">
        <v>1826</v>
      </c>
      <c r="F8196" s="27" t="s">
        <v>1844</v>
      </c>
      <c r="H8196" s="27" t="s">
        <v>1853</v>
      </c>
      <c r="J8196" s="27" t="s">
        <v>1854</v>
      </c>
      <c r="L8196" s="27" t="s">
        <v>461</v>
      </c>
      <c r="N8196" s="27" t="s">
        <v>462</v>
      </c>
      <c r="P8196" s="27" t="s">
        <v>12866</v>
      </c>
      <c r="Q8196" s="26" t="str">
        <f>HYPERLINK("https://ictv.global/taxonomy/taxondetails?taxnode_id=202506703&amp;ictv_id=ICTV201856703","ICTV201856703")</f>
        <v>ICTV201856703</v>
      </c>
      <c r="R8196" t="s">
        <v>660</v>
      </c>
      <c r="S8196" t="s">
        <v>824</v>
      </c>
      <c r="T8196">
        <v>41</v>
      </c>
      <c r="U8196" s="26" t="str">
        <f t="shared" si="300"/>
        <v>2025.002G.Monodnaviria_reorg_4nr.zip</v>
      </c>
    </row>
    <row r="8197" spans="1:21">
      <c r="A8197">
        <v>8196</v>
      </c>
      <c r="B8197" s="27" t="s">
        <v>20779</v>
      </c>
      <c r="D8197" s="27" t="s">
        <v>1826</v>
      </c>
      <c r="F8197" s="27" t="s">
        <v>1844</v>
      </c>
      <c r="H8197" s="27" t="s">
        <v>1853</v>
      </c>
      <c r="J8197" s="27" t="s">
        <v>1854</v>
      </c>
      <c r="L8197" s="27" t="s">
        <v>461</v>
      </c>
      <c r="N8197" s="27" t="s">
        <v>462</v>
      </c>
      <c r="P8197" s="27" t="s">
        <v>20743</v>
      </c>
      <c r="Q8197" s="26" t="str">
        <f>HYPERLINK("https://ictv.global/taxonomy/taxondetails?taxnode_id=202503296&amp;ictv_id=ICTV20131924","ICTV20131924")</f>
        <v>ICTV20131924</v>
      </c>
      <c r="R8197" t="s">
        <v>660</v>
      </c>
      <c r="S8197" t="s">
        <v>824</v>
      </c>
      <c r="T8197">
        <v>41</v>
      </c>
      <c r="U8197" s="26" t="str">
        <f t="shared" si="300"/>
        <v>2025.002G.Monodnaviria_reorg_4nr.zip</v>
      </c>
    </row>
    <row r="8198" spans="1:21">
      <c r="A8198">
        <v>8197</v>
      </c>
      <c r="B8198" s="27" t="s">
        <v>20779</v>
      </c>
      <c r="D8198" s="27" t="s">
        <v>1826</v>
      </c>
      <c r="F8198" s="27" t="s">
        <v>1844</v>
      </c>
      <c r="H8198" s="27" t="s">
        <v>1853</v>
      </c>
      <c r="J8198" s="27" t="s">
        <v>1854</v>
      </c>
      <c r="L8198" s="27" t="s">
        <v>461</v>
      </c>
      <c r="N8198" s="27" t="s">
        <v>462</v>
      </c>
      <c r="P8198" s="27" t="s">
        <v>12867</v>
      </c>
      <c r="Q8198" s="26" t="str">
        <f>HYPERLINK("https://ictv.global/taxonomy/taxondetails?taxnode_id=202503195&amp;ictv_id=ICTV19950968","ICTV19950968")</f>
        <v>ICTV19950968</v>
      </c>
      <c r="R8198" t="s">
        <v>660</v>
      </c>
      <c r="S8198" t="s">
        <v>824</v>
      </c>
      <c r="T8198">
        <v>41</v>
      </c>
      <c r="U8198" s="26" t="str">
        <f t="shared" si="300"/>
        <v>2025.002G.Monodnaviria_reorg_4nr.zip</v>
      </c>
    </row>
    <row r="8199" spans="1:21">
      <c r="A8199">
        <v>8198</v>
      </c>
      <c r="B8199" s="27" t="s">
        <v>20779</v>
      </c>
      <c r="D8199" s="27" t="s">
        <v>1826</v>
      </c>
      <c r="F8199" s="27" t="s">
        <v>1844</v>
      </c>
      <c r="H8199" s="27" t="s">
        <v>1853</v>
      </c>
      <c r="J8199" s="27" t="s">
        <v>1854</v>
      </c>
      <c r="L8199" s="27" t="s">
        <v>461</v>
      </c>
      <c r="N8199" s="27" t="s">
        <v>462</v>
      </c>
      <c r="P8199" s="27" t="s">
        <v>12868</v>
      </c>
      <c r="Q8199" s="26" t="str">
        <f>HYPERLINK("https://ictv.global/taxonomy/taxondetails?taxnode_id=202503194&amp;ictv_id=ICTV20131899","ICTV20131899")</f>
        <v>ICTV20131899</v>
      </c>
      <c r="R8199" t="s">
        <v>660</v>
      </c>
      <c r="S8199" t="s">
        <v>824</v>
      </c>
      <c r="T8199">
        <v>41</v>
      </c>
      <c r="U8199" s="26" t="str">
        <f t="shared" si="300"/>
        <v>2025.002G.Monodnaviria_reorg_4nr.zip</v>
      </c>
    </row>
    <row r="8200" spans="1:21">
      <c r="A8200">
        <v>8199</v>
      </c>
      <c r="B8200" s="27" t="s">
        <v>20779</v>
      </c>
      <c r="D8200" s="27" t="s">
        <v>1826</v>
      </c>
      <c r="F8200" s="27" t="s">
        <v>1844</v>
      </c>
      <c r="H8200" s="27" t="s">
        <v>1853</v>
      </c>
      <c r="J8200" s="27" t="s">
        <v>1854</v>
      </c>
      <c r="L8200" s="27" t="s">
        <v>461</v>
      </c>
      <c r="N8200" s="27" t="s">
        <v>462</v>
      </c>
      <c r="P8200" s="27" t="s">
        <v>20745</v>
      </c>
      <c r="Q8200" s="26" t="str">
        <f>HYPERLINK("https://ictv.global/taxonomy/taxondetails?taxnode_id=202503297&amp;ictv_id=ICTV20131926","ICTV20131926")</f>
        <v>ICTV20131926</v>
      </c>
      <c r="R8200" t="s">
        <v>660</v>
      </c>
      <c r="S8200" t="s">
        <v>824</v>
      </c>
      <c r="T8200">
        <v>41</v>
      </c>
      <c r="U8200" s="26" t="str">
        <f t="shared" si="300"/>
        <v>2025.002G.Monodnaviria_reorg_4nr.zip</v>
      </c>
    </row>
    <row r="8201" spans="1:21">
      <c r="A8201">
        <v>8200</v>
      </c>
      <c r="B8201" s="27" t="s">
        <v>20779</v>
      </c>
      <c r="D8201" s="27" t="s">
        <v>1826</v>
      </c>
      <c r="F8201" s="27" t="s">
        <v>1844</v>
      </c>
      <c r="H8201" s="27" t="s">
        <v>1853</v>
      </c>
      <c r="J8201" s="27" t="s">
        <v>1854</v>
      </c>
      <c r="L8201" s="27" t="s">
        <v>461</v>
      </c>
      <c r="N8201" s="27" t="s">
        <v>462</v>
      </c>
      <c r="P8201" s="27" t="s">
        <v>20747</v>
      </c>
      <c r="Q8201" s="26" t="str">
        <f>HYPERLINK("https://ictv.global/taxonomy/taxondetails?taxnode_id=202503299&amp;ictv_id=ICTV20083898","ICTV20083898")</f>
        <v>ICTV20083898</v>
      </c>
      <c r="R8201" t="s">
        <v>660</v>
      </c>
      <c r="S8201" t="s">
        <v>824</v>
      </c>
      <c r="T8201">
        <v>41</v>
      </c>
      <c r="U8201" s="26" t="str">
        <f t="shared" si="300"/>
        <v>2025.002G.Monodnaviria_reorg_4nr.zip</v>
      </c>
    </row>
    <row r="8202" spans="1:21">
      <c r="A8202">
        <v>8201</v>
      </c>
      <c r="B8202" s="27" t="s">
        <v>20779</v>
      </c>
      <c r="D8202" s="27" t="s">
        <v>1826</v>
      </c>
      <c r="F8202" s="27" t="s">
        <v>1844</v>
      </c>
      <c r="H8202" s="27" t="s">
        <v>1853</v>
      </c>
      <c r="J8202" s="27" t="s">
        <v>1854</v>
      </c>
      <c r="L8202" s="27" t="s">
        <v>461</v>
      </c>
      <c r="N8202" s="27" t="s">
        <v>462</v>
      </c>
      <c r="P8202" s="27" t="s">
        <v>20744</v>
      </c>
      <c r="Q8202" s="26" t="str">
        <f>HYPERLINK("https://ictv.global/taxonomy/taxondetails?taxnode_id=202505815&amp;ictv_id=ICTV20175815","ICTV20175815")</f>
        <v>ICTV20175815</v>
      </c>
      <c r="R8202" t="s">
        <v>660</v>
      </c>
      <c r="S8202" t="s">
        <v>824</v>
      </c>
      <c r="T8202">
        <v>41</v>
      </c>
      <c r="U8202" s="26" t="str">
        <f t="shared" si="300"/>
        <v>2025.002G.Monodnaviria_reorg_4nr.zip</v>
      </c>
    </row>
    <row r="8203" spans="1:21">
      <c r="A8203">
        <v>8202</v>
      </c>
      <c r="B8203" s="27" t="s">
        <v>20779</v>
      </c>
      <c r="D8203" s="27" t="s">
        <v>1826</v>
      </c>
      <c r="F8203" s="27" t="s">
        <v>1844</v>
      </c>
      <c r="H8203" s="27" t="s">
        <v>1853</v>
      </c>
      <c r="J8203" s="27" t="s">
        <v>1854</v>
      </c>
      <c r="L8203" s="27" t="s">
        <v>461</v>
      </c>
      <c r="N8203" s="27" t="s">
        <v>462</v>
      </c>
      <c r="P8203" s="27" t="s">
        <v>20746</v>
      </c>
      <c r="Q8203" s="26" t="str">
        <f>HYPERLINK("https://ictv.global/taxonomy/taxondetails?taxnode_id=202503298&amp;ictv_id=ICTV20083897","ICTV20083897")</f>
        <v>ICTV20083897</v>
      </c>
      <c r="R8203" t="s">
        <v>660</v>
      </c>
      <c r="S8203" t="s">
        <v>824</v>
      </c>
      <c r="T8203">
        <v>41</v>
      </c>
      <c r="U8203" s="26" t="str">
        <f t="shared" si="300"/>
        <v>2025.002G.Monodnaviria_reorg_4nr.zip</v>
      </c>
    </row>
    <row r="8204" spans="1:21">
      <c r="A8204">
        <v>8203</v>
      </c>
      <c r="B8204" s="27" t="s">
        <v>20779</v>
      </c>
      <c r="D8204" s="27" t="s">
        <v>1826</v>
      </c>
      <c r="F8204" s="27" t="s">
        <v>1844</v>
      </c>
      <c r="H8204" s="27" t="s">
        <v>1853</v>
      </c>
      <c r="J8204" s="27" t="s">
        <v>1854</v>
      </c>
      <c r="L8204" s="27" t="s">
        <v>461</v>
      </c>
      <c r="N8204" s="27" t="s">
        <v>462</v>
      </c>
      <c r="P8204" s="27" t="s">
        <v>12869</v>
      </c>
      <c r="Q8204" s="26" t="str">
        <f>HYPERLINK("https://ictv.global/taxonomy/taxondetails?taxnode_id=202503177&amp;ictv_id=ICTV20131890","ICTV20131890")</f>
        <v>ICTV20131890</v>
      </c>
      <c r="R8204" t="s">
        <v>660</v>
      </c>
      <c r="S8204" t="s">
        <v>824</v>
      </c>
      <c r="T8204">
        <v>41</v>
      </c>
      <c r="U8204" s="26" t="str">
        <f t="shared" si="300"/>
        <v>2025.002G.Monodnaviria_reorg_4nr.zip</v>
      </c>
    </row>
    <row r="8205" spans="1:21">
      <c r="A8205">
        <v>8204</v>
      </c>
      <c r="B8205" s="27" t="s">
        <v>20779</v>
      </c>
      <c r="D8205" s="27" t="s">
        <v>1826</v>
      </c>
      <c r="F8205" s="27" t="s">
        <v>1844</v>
      </c>
      <c r="H8205" s="27" t="s">
        <v>1853</v>
      </c>
      <c r="J8205" s="27" t="s">
        <v>1854</v>
      </c>
      <c r="L8205" s="27" t="s">
        <v>461</v>
      </c>
      <c r="N8205" s="27" t="s">
        <v>462</v>
      </c>
      <c r="P8205" s="27" t="s">
        <v>12870</v>
      </c>
      <c r="Q8205" s="26" t="str">
        <f>HYPERLINK("https://ictv.global/taxonomy/taxondetails?taxnode_id=202503175&amp;ictv_id=ICTV20152811","ICTV20152811")</f>
        <v>ICTV20152811</v>
      </c>
      <c r="R8205" t="s">
        <v>660</v>
      </c>
      <c r="S8205" t="s">
        <v>824</v>
      </c>
      <c r="T8205">
        <v>41</v>
      </c>
      <c r="U8205" s="26" t="str">
        <f t="shared" si="300"/>
        <v>2025.002G.Monodnaviria_reorg_4nr.zip</v>
      </c>
    </row>
    <row r="8206" spans="1:21">
      <c r="A8206">
        <v>8205</v>
      </c>
      <c r="B8206" s="27" t="s">
        <v>20779</v>
      </c>
      <c r="D8206" s="27" t="s">
        <v>1826</v>
      </c>
      <c r="F8206" s="27" t="s">
        <v>1844</v>
      </c>
      <c r="H8206" s="27" t="s">
        <v>1853</v>
      </c>
      <c r="J8206" s="27" t="s">
        <v>1854</v>
      </c>
      <c r="L8206" s="27" t="s">
        <v>461</v>
      </c>
      <c r="N8206" s="27" t="s">
        <v>462</v>
      </c>
      <c r="P8206" s="27" t="s">
        <v>12871</v>
      </c>
      <c r="Q8206" s="26" t="str">
        <f>HYPERLINK("https://ictv.global/taxonomy/taxondetails?taxnode_id=202503182&amp;ictv_id=ICTV20083827","ICTV20083827")</f>
        <v>ICTV20083827</v>
      </c>
      <c r="R8206" t="s">
        <v>660</v>
      </c>
      <c r="S8206" t="s">
        <v>824</v>
      </c>
      <c r="T8206">
        <v>41</v>
      </c>
      <c r="U8206" s="26" t="str">
        <f t="shared" si="300"/>
        <v>2025.002G.Monodnaviria_reorg_4nr.zip</v>
      </c>
    </row>
    <row r="8207" spans="1:21">
      <c r="A8207">
        <v>8206</v>
      </c>
      <c r="B8207" s="27" t="s">
        <v>20779</v>
      </c>
      <c r="D8207" s="27" t="s">
        <v>1826</v>
      </c>
      <c r="F8207" s="27" t="s">
        <v>1844</v>
      </c>
      <c r="H8207" s="27" t="s">
        <v>1853</v>
      </c>
      <c r="J8207" s="27" t="s">
        <v>1854</v>
      </c>
      <c r="L8207" s="27" t="s">
        <v>461</v>
      </c>
      <c r="N8207" s="27" t="s">
        <v>462</v>
      </c>
      <c r="P8207" s="27" t="s">
        <v>12872</v>
      </c>
      <c r="Q8207" s="26" t="str">
        <f>HYPERLINK("https://ictv.global/taxonomy/taxondetails?taxnode_id=202503181&amp;ictv_id=ICTV20083826","ICTV20083826")</f>
        <v>ICTV20083826</v>
      </c>
      <c r="R8207" t="s">
        <v>660</v>
      </c>
      <c r="S8207" t="s">
        <v>824</v>
      </c>
      <c r="T8207">
        <v>41</v>
      </c>
      <c r="U8207" s="26" t="str">
        <f t="shared" si="300"/>
        <v>2025.002G.Monodnaviria_reorg_4nr.zip</v>
      </c>
    </row>
    <row r="8208" spans="1:21">
      <c r="A8208">
        <v>8207</v>
      </c>
      <c r="B8208" s="27" t="s">
        <v>20779</v>
      </c>
      <c r="D8208" s="27" t="s">
        <v>1826</v>
      </c>
      <c r="F8208" s="27" t="s">
        <v>1844</v>
      </c>
      <c r="H8208" s="27" t="s">
        <v>1853</v>
      </c>
      <c r="J8208" s="27" t="s">
        <v>1854</v>
      </c>
      <c r="L8208" s="27" t="s">
        <v>461</v>
      </c>
      <c r="N8208" s="27" t="s">
        <v>462</v>
      </c>
      <c r="P8208" s="27" t="s">
        <v>12873</v>
      </c>
      <c r="Q8208" s="26" t="str">
        <f>HYPERLINK("https://ictv.global/taxonomy/taxondetails?taxnode_id=202507518&amp;ictv_id=ICTV201907518","ICTV201907518")</f>
        <v>ICTV201907518</v>
      </c>
      <c r="R8208" t="s">
        <v>660</v>
      </c>
      <c r="S8208" t="s">
        <v>824</v>
      </c>
      <c r="T8208">
        <v>41</v>
      </c>
      <c r="U8208" s="26" t="str">
        <f t="shared" si="300"/>
        <v>2025.002G.Monodnaviria_reorg_4nr.zip</v>
      </c>
    </row>
    <row r="8209" spans="1:21">
      <c r="A8209">
        <v>8208</v>
      </c>
      <c r="B8209" s="27" t="s">
        <v>20779</v>
      </c>
      <c r="D8209" s="27" t="s">
        <v>1826</v>
      </c>
      <c r="F8209" s="27" t="s">
        <v>1844</v>
      </c>
      <c r="H8209" s="27" t="s">
        <v>1853</v>
      </c>
      <c r="J8209" s="27" t="s">
        <v>1854</v>
      </c>
      <c r="L8209" s="27" t="s">
        <v>461</v>
      </c>
      <c r="N8209" s="27" t="s">
        <v>462</v>
      </c>
      <c r="P8209" s="27" t="s">
        <v>12874</v>
      </c>
      <c r="Q8209" s="26" t="str">
        <f>HYPERLINK("https://ictv.global/taxonomy/taxondetails?taxnode_id=202503183&amp;ictv_id=ICTV20041113","ICTV20041113")</f>
        <v>ICTV20041113</v>
      </c>
      <c r="R8209" t="s">
        <v>660</v>
      </c>
      <c r="S8209" t="s">
        <v>824</v>
      </c>
      <c r="T8209">
        <v>41</v>
      </c>
      <c r="U8209" s="26" t="str">
        <f t="shared" si="300"/>
        <v>2025.002G.Monodnaviria_reorg_4nr.zip</v>
      </c>
    </row>
    <row r="8210" spans="1:21">
      <c r="A8210">
        <v>8209</v>
      </c>
      <c r="B8210" s="27" t="s">
        <v>20779</v>
      </c>
      <c r="D8210" s="27" t="s">
        <v>1826</v>
      </c>
      <c r="F8210" s="27" t="s">
        <v>1844</v>
      </c>
      <c r="H8210" s="27" t="s">
        <v>1853</v>
      </c>
      <c r="J8210" s="27" t="s">
        <v>1854</v>
      </c>
      <c r="L8210" s="27" t="s">
        <v>461</v>
      </c>
      <c r="N8210" s="27" t="s">
        <v>462</v>
      </c>
      <c r="P8210" s="27" t="s">
        <v>12875</v>
      </c>
      <c r="Q8210" s="26" t="str">
        <f>HYPERLINK("https://ictv.global/taxonomy/taxondetails?taxnode_id=202503180&amp;ictv_id=ICTV20041111","ICTV20041111")</f>
        <v>ICTV20041111</v>
      </c>
      <c r="R8210" t="s">
        <v>660</v>
      </c>
      <c r="S8210" t="s">
        <v>824</v>
      </c>
      <c r="T8210">
        <v>41</v>
      </c>
      <c r="U8210" s="26" t="str">
        <f t="shared" si="300"/>
        <v>2025.002G.Monodnaviria_reorg_4nr.zip</v>
      </c>
    </row>
    <row r="8211" spans="1:21">
      <c r="A8211">
        <v>8210</v>
      </c>
      <c r="B8211" s="27" t="s">
        <v>20779</v>
      </c>
      <c r="D8211" s="27" t="s">
        <v>1826</v>
      </c>
      <c r="F8211" s="27" t="s">
        <v>1844</v>
      </c>
      <c r="H8211" s="27" t="s">
        <v>1853</v>
      </c>
      <c r="J8211" s="27" t="s">
        <v>1854</v>
      </c>
      <c r="L8211" s="27" t="s">
        <v>461</v>
      </c>
      <c r="N8211" s="27" t="s">
        <v>462</v>
      </c>
      <c r="P8211" s="27" t="s">
        <v>12876</v>
      </c>
      <c r="Q8211" s="26" t="str">
        <f>HYPERLINK("https://ictv.global/taxonomy/taxondetails?taxnode_id=202503184&amp;ictv_id=ICTV20083829","ICTV20083829")</f>
        <v>ICTV20083829</v>
      </c>
      <c r="R8211" t="s">
        <v>660</v>
      </c>
      <c r="S8211" t="s">
        <v>824</v>
      </c>
      <c r="T8211">
        <v>41</v>
      </c>
      <c r="U8211" s="26" t="str">
        <f t="shared" si="300"/>
        <v>2025.002G.Monodnaviria_reorg_4nr.zip</v>
      </c>
    </row>
    <row r="8212" spans="1:21">
      <c r="A8212">
        <v>8211</v>
      </c>
      <c r="B8212" s="27" t="s">
        <v>20779</v>
      </c>
      <c r="D8212" s="27" t="s">
        <v>1826</v>
      </c>
      <c r="F8212" s="27" t="s">
        <v>1844</v>
      </c>
      <c r="H8212" s="27" t="s">
        <v>1853</v>
      </c>
      <c r="J8212" s="27" t="s">
        <v>1854</v>
      </c>
      <c r="L8212" s="27" t="s">
        <v>461</v>
      </c>
      <c r="N8212" s="27" t="s">
        <v>462</v>
      </c>
      <c r="P8212" s="27" t="s">
        <v>20065</v>
      </c>
      <c r="Q8212" s="26" t="str">
        <f>HYPERLINK("https://ictv.global/taxonomy/taxondetails?taxnode_id=202520481&amp;ictv_id=ICTV202420481","ICTV202420481")</f>
        <v>ICTV202420481</v>
      </c>
      <c r="R8212" t="s">
        <v>582</v>
      </c>
      <c r="S8212" t="s">
        <v>824</v>
      </c>
      <c r="T8212">
        <v>41</v>
      </c>
      <c r="U8212" s="26" t="str">
        <f t="shared" si="300"/>
        <v>2025.002G.Monodnaviria_reorg_4nr.zip</v>
      </c>
    </row>
    <row r="8213" spans="1:21">
      <c r="A8213">
        <v>8212</v>
      </c>
      <c r="B8213" s="27" t="s">
        <v>20779</v>
      </c>
      <c r="D8213" s="27" t="s">
        <v>1826</v>
      </c>
      <c r="F8213" s="27" t="s">
        <v>1844</v>
      </c>
      <c r="H8213" s="27" t="s">
        <v>1853</v>
      </c>
      <c r="J8213" s="27" t="s">
        <v>1854</v>
      </c>
      <c r="L8213" s="27" t="s">
        <v>461</v>
      </c>
      <c r="N8213" s="27" t="s">
        <v>462</v>
      </c>
      <c r="P8213" s="27" t="s">
        <v>12877</v>
      </c>
      <c r="Q8213" s="26" t="str">
        <f>HYPERLINK("https://ictv.global/taxonomy/taxondetails?taxnode_id=202503256&amp;ictv_id=ICTV20131909","ICTV20131909")</f>
        <v>ICTV20131909</v>
      </c>
      <c r="R8213" t="s">
        <v>660</v>
      </c>
      <c r="S8213" t="s">
        <v>824</v>
      </c>
      <c r="T8213">
        <v>41</v>
      </c>
      <c r="U8213" s="26" t="str">
        <f t="shared" si="300"/>
        <v>2025.002G.Monodnaviria_reorg_4nr.zip</v>
      </c>
    </row>
    <row r="8214" spans="1:21">
      <c r="A8214">
        <v>8213</v>
      </c>
      <c r="B8214" s="27" t="s">
        <v>20779</v>
      </c>
      <c r="D8214" s="27" t="s">
        <v>1826</v>
      </c>
      <c r="F8214" s="27" t="s">
        <v>1844</v>
      </c>
      <c r="H8214" s="27" t="s">
        <v>1853</v>
      </c>
      <c r="J8214" s="27" t="s">
        <v>1854</v>
      </c>
      <c r="L8214" s="27" t="s">
        <v>461</v>
      </c>
      <c r="N8214" s="27" t="s">
        <v>462</v>
      </c>
      <c r="P8214" s="27" t="s">
        <v>12878</v>
      </c>
      <c r="Q8214" s="26" t="str">
        <f>HYPERLINK("https://ictv.global/taxonomy/taxondetails?taxnode_id=202505802&amp;ictv_id=ICTV20175802","ICTV20175802")</f>
        <v>ICTV20175802</v>
      </c>
      <c r="R8214" t="s">
        <v>660</v>
      </c>
      <c r="S8214" t="s">
        <v>824</v>
      </c>
      <c r="T8214">
        <v>41</v>
      </c>
      <c r="U8214" s="26" t="str">
        <f t="shared" si="300"/>
        <v>2025.002G.Monodnaviria_reorg_4nr.zip</v>
      </c>
    </row>
    <row r="8215" spans="1:21">
      <c r="A8215">
        <v>8214</v>
      </c>
      <c r="B8215" s="27" t="s">
        <v>20779</v>
      </c>
      <c r="D8215" s="27" t="s">
        <v>1826</v>
      </c>
      <c r="F8215" s="27" t="s">
        <v>1844</v>
      </c>
      <c r="H8215" s="27" t="s">
        <v>1853</v>
      </c>
      <c r="J8215" s="27" t="s">
        <v>1854</v>
      </c>
      <c r="L8215" s="27" t="s">
        <v>461</v>
      </c>
      <c r="N8215" s="27" t="s">
        <v>462</v>
      </c>
      <c r="P8215" s="27" t="s">
        <v>12879</v>
      </c>
      <c r="Q8215" s="26" t="str">
        <f>HYPERLINK("https://ictv.global/taxonomy/taxondetails?taxnode_id=202507524&amp;ictv_id=ICTV201907524","ICTV201907524")</f>
        <v>ICTV201907524</v>
      </c>
      <c r="R8215" t="s">
        <v>660</v>
      </c>
      <c r="S8215" t="s">
        <v>824</v>
      </c>
      <c r="T8215">
        <v>41</v>
      </c>
      <c r="U8215" s="26" t="str">
        <f t="shared" si="300"/>
        <v>2025.002G.Monodnaviria_reorg_4nr.zip</v>
      </c>
    </row>
    <row r="8216" spans="1:21">
      <c r="A8216">
        <v>8215</v>
      </c>
      <c r="B8216" s="27" t="s">
        <v>20779</v>
      </c>
      <c r="D8216" s="27" t="s">
        <v>1826</v>
      </c>
      <c r="F8216" s="27" t="s">
        <v>1844</v>
      </c>
      <c r="H8216" s="27" t="s">
        <v>1853</v>
      </c>
      <c r="J8216" s="27" t="s">
        <v>1854</v>
      </c>
      <c r="L8216" s="27" t="s">
        <v>461</v>
      </c>
      <c r="N8216" s="27" t="s">
        <v>462</v>
      </c>
      <c r="P8216" s="27" t="s">
        <v>12880</v>
      </c>
      <c r="Q8216" s="26" t="str">
        <f>HYPERLINK("https://ictv.global/taxonomy/taxondetails?taxnode_id=202503185&amp;ictv_id=ICTV20131893","ICTV20131893")</f>
        <v>ICTV20131893</v>
      </c>
      <c r="R8216" t="s">
        <v>660</v>
      </c>
      <c r="S8216" t="s">
        <v>824</v>
      </c>
      <c r="T8216">
        <v>41</v>
      </c>
      <c r="U8216" s="26" t="str">
        <f t="shared" ref="U8216:U8274" si="301">HYPERLINK("https://ictv.global/ictv/proposals/2025.002G.Monodnaviria_reorg_4nr.zip","2025.002G.Monodnaviria_reorg_4nr.zip")</f>
        <v>2025.002G.Monodnaviria_reorg_4nr.zip</v>
      </c>
    </row>
    <row r="8217" spans="1:21">
      <c r="A8217">
        <v>8216</v>
      </c>
      <c r="B8217" s="27" t="s">
        <v>20779</v>
      </c>
      <c r="D8217" s="27" t="s">
        <v>1826</v>
      </c>
      <c r="F8217" s="27" t="s">
        <v>1844</v>
      </c>
      <c r="H8217" s="27" t="s">
        <v>1853</v>
      </c>
      <c r="J8217" s="27" t="s">
        <v>1854</v>
      </c>
      <c r="L8217" s="27" t="s">
        <v>461</v>
      </c>
      <c r="N8217" s="27" t="s">
        <v>462</v>
      </c>
      <c r="P8217" s="27" t="s">
        <v>12881</v>
      </c>
      <c r="Q8217" s="26" t="str">
        <f>HYPERLINK("https://ictv.global/taxonomy/taxondetails?taxnode_id=202503186&amp;ictv_id=ICTV20083830","ICTV20083830")</f>
        <v>ICTV20083830</v>
      </c>
      <c r="R8217" t="s">
        <v>660</v>
      </c>
      <c r="S8217" t="s">
        <v>824</v>
      </c>
      <c r="T8217">
        <v>41</v>
      </c>
      <c r="U8217" s="26" t="str">
        <f t="shared" si="301"/>
        <v>2025.002G.Monodnaviria_reorg_4nr.zip</v>
      </c>
    </row>
    <row r="8218" spans="1:21">
      <c r="A8218">
        <v>8217</v>
      </c>
      <c r="B8218" s="27" t="s">
        <v>20779</v>
      </c>
      <c r="D8218" s="27" t="s">
        <v>1826</v>
      </c>
      <c r="F8218" s="27" t="s">
        <v>1844</v>
      </c>
      <c r="H8218" s="27" t="s">
        <v>1853</v>
      </c>
      <c r="J8218" s="27" t="s">
        <v>1854</v>
      </c>
      <c r="L8218" s="27" t="s">
        <v>461</v>
      </c>
      <c r="N8218" s="27" t="s">
        <v>462</v>
      </c>
      <c r="P8218" s="27" t="s">
        <v>12882</v>
      </c>
      <c r="Q8218" s="26" t="str">
        <f>HYPERLINK("https://ictv.global/taxonomy/taxondetails?taxnode_id=202505788&amp;ictv_id=ICTV20175788","ICTV20175788")</f>
        <v>ICTV20175788</v>
      </c>
      <c r="R8218" t="s">
        <v>660</v>
      </c>
      <c r="S8218" t="s">
        <v>824</v>
      </c>
      <c r="T8218">
        <v>41</v>
      </c>
      <c r="U8218" s="26" t="str">
        <f t="shared" si="301"/>
        <v>2025.002G.Monodnaviria_reorg_4nr.zip</v>
      </c>
    </row>
    <row r="8219" spans="1:21">
      <c r="A8219">
        <v>8218</v>
      </c>
      <c r="B8219" s="27" t="s">
        <v>20779</v>
      </c>
      <c r="D8219" s="27" t="s">
        <v>1826</v>
      </c>
      <c r="F8219" s="27" t="s">
        <v>1844</v>
      </c>
      <c r="H8219" s="27" t="s">
        <v>1853</v>
      </c>
      <c r="J8219" s="27" t="s">
        <v>1854</v>
      </c>
      <c r="L8219" s="27" t="s">
        <v>461</v>
      </c>
      <c r="N8219" s="27" t="s">
        <v>462</v>
      </c>
      <c r="P8219" s="27" t="s">
        <v>12883</v>
      </c>
      <c r="Q8219" s="26" t="str">
        <f>HYPERLINK("https://ictv.global/taxonomy/taxondetails?taxnode_id=202505789&amp;ictv_id=ICTV20175789","ICTV20175789")</f>
        <v>ICTV20175789</v>
      </c>
      <c r="R8219" t="s">
        <v>660</v>
      </c>
      <c r="S8219" t="s">
        <v>824</v>
      </c>
      <c r="T8219">
        <v>41</v>
      </c>
      <c r="U8219" s="26" t="str">
        <f t="shared" si="301"/>
        <v>2025.002G.Monodnaviria_reorg_4nr.zip</v>
      </c>
    </row>
    <row r="8220" spans="1:21">
      <c r="A8220">
        <v>8219</v>
      </c>
      <c r="B8220" s="27" t="s">
        <v>20779</v>
      </c>
      <c r="D8220" s="27" t="s">
        <v>1826</v>
      </c>
      <c r="F8220" s="27" t="s">
        <v>1844</v>
      </c>
      <c r="H8220" s="27" t="s">
        <v>1853</v>
      </c>
      <c r="J8220" s="27" t="s">
        <v>1854</v>
      </c>
      <c r="L8220" s="27" t="s">
        <v>461</v>
      </c>
      <c r="N8220" s="27" t="s">
        <v>462</v>
      </c>
      <c r="P8220" s="27" t="s">
        <v>12884</v>
      </c>
      <c r="Q8220" s="26" t="str">
        <f>HYPERLINK("https://ictv.global/taxonomy/taxondetails?taxnode_id=202503494&amp;ictv_id=ICTV20131986","ICTV20131986")</f>
        <v>ICTV20131986</v>
      </c>
      <c r="R8220" t="s">
        <v>660</v>
      </c>
      <c r="S8220" t="s">
        <v>824</v>
      </c>
      <c r="T8220">
        <v>41</v>
      </c>
      <c r="U8220" s="26" t="str">
        <f t="shared" si="301"/>
        <v>2025.002G.Monodnaviria_reorg_4nr.zip</v>
      </c>
    </row>
    <row r="8221" spans="1:21">
      <c r="A8221">
        <v>8220</v>
      </c>
      <c r="B8221" s="27" t="s">
        <v>20779</v>
      </c>
      <c r="D8221" s="27" t="s">
        <v>1826</v>
      </c>
      <c r="F8221" s="27" t="s">
        <v>1844</v>
      </c>
      <c r="H8221" s="27" t="s">
        <v>1853</v>
      </c>
      <c r="J8221" s="27" t="s">
        <v>1854</v>
      </c>
      <c r="L8221" s="27" t="s">
        <v>461</v>
      </c>
      <c r="N8221" s="27" t="s">
        <v>462</v>
      </c>
      <c r="P8221" s="27" t="s">
        <v>12885</v>
      </c>
      <c r="Q8221" s="26" t="str">
        <f>HYPERLINK("https://ictv.global/taxonomy/taxondetails?taxnode_id=202503495&amp;ictv_id=ICTV20131987","ICTV20131987")</f>
        <v>ICTV20131987</v>
      </c>
      <c r="R8221" t="s">
        <v>660</v>
      </c>
      <c r="S8221" t="s">
        <v>824</v>
      </c>
      <c r="T8221">
        <v>41</v>
      </c>
      <c r="U8221" s="26" t="str">
        <f t="shared" si="301"/>
        <v>2025.002G.Monodnaviria_reorg_4nr.zip</v>
      </c>
    </row>
    <row r="8222" spans="1:21">
      <c r="A8222">
        <v>8221</v>
      </c>
      <c r="B8222" s="27" t="s">
        <v>20779</v>
      </c>
      <c r="D8222" s="27" t="s">
        <v>1826</v>
      </c>
      <c r="F8222" s="27" t="s">
        <v>1844</v>
      </c>
      <c r="H8222" s="27" t="s">
        <v>1853</v>
      </c>
      <c r="J8222" s="27" t="s">
        <v>1854</v>
      </c>
      <c r="L8222" s="27" t="s">
        <v>461</v>
      </c>
      <c r="N8222" s="27" t="s">
        <v>462</v>
      </c>
      <c r="P8222" s="27" t="s">
        <v>12886</v>
      </c>
      <c r="Q8222" s="26" t="str">
        <f>HYPERLINK("https://ictv.global/taxonomy/taxondetails?taxnode_id=202506718&amp;ictv_id=ICTV201856718","ICTV201856718")</f>
        <v>ICTV201856718</v>
      </c>
      <c r="R8222" t="s">
        <v>660</v>
      </c>
      <c r="S8222" t="s">
        <v>824</v>
      </c>
      <c r="T8222">
        <v>41</v>
      </c>
      <c r="U8222" s="26" t="str">
        <f t="shared" si="301"/>
        <v>2025.002G.Monodnaviria_reorg_4nr.zip</v>
      </c>
    </row>
    <row r="8223" spans="1:21">
      <c r="A8223">
        <v>8222</v>
      </c>
      <c r="B8223" s="27" t="s">
        <v>20779</v>
      </c>
      <c r="D8223" s="27" t="s">
        <v>1826</v>
      </c>
      <c r="F8223" s="27" t="s">
        <v>1844</v>
      </c>
      <c r="H8223" s="27" t="s">
        <v>1853</v>
      </c>
      <c r="J8223" s="27" t="s">
        <v>1854</v>
      </c>
      <c r="L8223" s="27" t="s">
        <v>461</v>
      </c>
      <c r="N8223" s="27" t="s">
        <v>462</v>
      </c>
      <c r="P8223" s="27" t="s">
        <v>12887</v>
      </c>
      <c r="Q8223" s="26" t="str">
        <f>HYPERLINK("https://ictv.global/taxonomy/taxondetails?taxnode_id=202503178&amp;ictv_id=ICTV19911639","ICTV19911639")</f>
        <v>ICTV19911639</v>
      </c>
      <c r="R8223" t="s">
        <v>660</v>
      </c>
      <c r="S8223" t="s">
        <v>824</v>
      </c>
      <c r="T8223">
        <v>41</v>
      </c>
      <c r="U8223" s="26" t="str">
        <f t="shared" si="301"/>
        <v>2025.002G.Monodnaviria_reorg_4nr.zip</v>
      </c>
    </row>
    <row r="8224" spans="1:21">
      <c r="A8224">
        <v>8223</v>
      </c>
      <c r="B8224" s="27" t="s">
        <v>20779</v>
      </c>
      <c r="D8224" s="27" t="s">
        <v>1826</v>
      </c>
      <c r="F8224" s="27" t="s">
        <v>1844</v>
      </c>
      <c r="H8224" s="27" t="s">
        <v>1853</v>
      </c>
      <c r="J8224" s="27" t="s">
        <v>1854</v>
      </c>
      <c r="L8224" s="27" t="s">
        <v>461</v>
      </c>
      <c r="N8224" s="27" t="s">
        <v>462</v>
      </c>
      <c r="P8224" s="27" t="s">
        <v>12888</v>
      </c>
      <c r="Q8224" s="26" t="str">
        <f>HYPERLINK("https://ictv.global/taxonomy/taxondetails?taxnode_id=202505846&amp;ictv_id=ICTV20175846","ICTV20175846")</f>
        <v>ICTV20175846</v>
      </c>
      <c r="R8224" t="s">
        <v>660</v>
      </c>
      <c r="S8224" t="s">
        <v>824</v>
      </c>
      <c r="T8224">
        <v>41</v>
      </c>
      <c r="U8224" s="26" t="str">
        <f t="shared" si="301"/>
        <v>2025.002G.Monodnaviria_reorg_4nr.zip</v>
      </c>
    </row>
    <row r="8225" spans="1:21">
      <c r="A8225">
        <v>8224</v>
      </c>
      <c r="B8225" s="27" t="s">
        <v>20779</v>
      </c>
      <c r="D8225" s="27" t="s">
        <v>1826</v>
      </c>
      <c r="F8225" s="27" t="s">
        <v>1844</v>
      </c>
      <c r="H8225" s="27" t="s">
        <v>1853</v>
      </c>
      <c r="J8225" s="27" t="s">
        <v>1854</v>
      </c>
      <c r="L8225" s="27" t="s">
        <v>461</v>
      </c>
      <c r="N8225" s="27" t="s">
        <v>462</v>
      </c>
      <c r="P8225" s="27" t="s">
        <v>12889</v>
      </c>
      <c r="Q8225" s="26" t="str">
        <f>HYPERLINK("https://ictv.global/taxonomy/taxondetails?taxnode_id=202505849&amp;ictv_id=ICTV20175849","ICTV20175849")</f>
        <v>ICTV20175849</v>
      </c>
      <c r="R8225" t="s">
        <v>660</v>
      </c>
      <c r="S8225" t="s">
        <v>824</v>
      </c>
      <c r="T8225">
        <v>41</v>
      </c>
      <c r="U8225" s="26" t="str">
        <f t="shared" si="301"/>
        <v>2025.002G.Monodnaviria_reorg_4nr.zip</v>
      </c>
    </row>
    <row r="8226" spans="1:21">
      <c r="A8226">
        <v>8225</v>
      </c>
      <c r="B8226" s="27" t="s">
        <v>20779</v>
      </c>
      <c r="D8226" s="27" t="s">
        <v>1826</v>
      </c>
      <c r="F8226" s="27" t="s">
        <v>1844</v>
      </c>
      <c r="H8226" s="27" t="s">
        <v>1853</v>
      </c>
      <c r="J8226" s="27" t="s">
        <v>1854</v>
      </c>
      <c r="L8226" s="27" t="s">
        <v>461</v>
      </c>
      <c r="N8226" s="27" t="s">
        <v>462</v>
      </c>
      <c r="P8226" s="27" t="s">
        <v>12890</v>
      </c>
      <c r="Q8226" s="26" t="str">
        <f>HYPERLINK("https://ictv.global/taxonomy/taxondetails?taxnode_id=202505847&amp;ictv_id=ICTV20175847","ICTV20175847")</f>
        <v>ICTV20175847</v>
      </c>
      <c r="R8226" t="s">
        <v>660</v>
      </c>
      <c r="S8226" t="s">
        <v>824</v>
      </c>
      <c r="T8226">
        <v>41</v>
      </c>
      <c r="U8226" s="26" t="str">
        <f t="shared" si="301"/>
        <v>2025.002G.Monodnaviria_reorg_4nr.zip</v>
      </c>
    </row>
    <row r="8227" spans="1:21">
      <c r="A8227">
        <v>8226</v>
      </c>
      <c r="B8227" s="27" t="s">
        <v>20779</v>
      </c>
      <c r="D8227" s="27" t="s">
        <v>1826</v>
      </c>
      <c r="F8227" s="27" t="s">
        <v>1844</v>
      </c>
      <c r="H8227" s="27" t="s">
        <v>1853</v>
      </c>
      <c r="J8227" s="27" t="s">
        <v>1854</v>
      </c>
      <c r="L8227" s="27" t="s">
        <v>461</v>
      </c>
      <c r="N8227" s="27" t="s">
        <v>462</v>
      </c>
      <c r="P8227" s="27" t="s">
        <v>12891</v>
      </c>
      <c r="Q8227" s="26" t="str">
        <f>HYPERLINK("https://ictv.global/taxonomy/taxondetails?taxnode_id=202505851&amp;ictv_id=ICTV20175851","ICTV20175851")</f>
        <v>ICTV20175851</v>
      </c>
      <c r="R8227" t="s">
        <v>660</v>
      </c>
      <c r="S8227" t="s">
        <v>824</v>
      </c>
      <c r="T8227">
        <v>41</v>
      </c>
      <c r="U8227" s="26" t="str">
        <f t="shared" si="301"/>
        <v>2025.002G.Monodnaviria_reorg_4nr.zip</v>
      </c>
    </row>
    <row r="8228" spans="1:21">
      <c r="A8228">
        <v>8227</v>
      </c>
      <c r="B8228" s="27" t="s">
        <v>20779</v>
      </c>
      <c r="D8228" s="27" t="s">
        <v>1826</v>
      </c>
      <c r="F8228" s="27" t="s">
        <v>1844</v>
      </c>
      <c r="H8228" s="27" t="s">
        <v>1853</v>
      </c>
      <c r="J8228" s="27" t="s">
        <v>1854</v>
      </c>
      <c r="L8228" s="27" t="s">
        <v>461</v>
      </c>
      <c r="N8228" s="27" t="s">
        <v>462</v>
      </c>
      <c r="P8228" s="27" t="s">
        <v>12892</v>
      </c>
      <c r="Q8228" s="26" t="str">
        <f>HYPERLINK("https://ictv.global/taxonomy/taxondetails?taxnode_id=202505850&amp;ictv_id=ICTV20175850","ICTV20175850")</f>
        <v>ICTV20175850</v>
      </c>
      <c r="R8228" t="s">
        <v>660</v>
      </c>
      <c r="S8228" t="s">
        <v>824</v>
      </c>
      <c r="T8228">
        <v>41</v>
      </c>
      <c r="U8228" s="26" t="str">
        <f t="shared" si="301"/>
        <v>2025.002G.Monodnaviria_reorg_4nr.zip</v>
      </c>
    </row>
    <row r="8229" spans="1:21">
      <c r="A8229">
        <v>8228</v>
      </c>
      <c r="B8229" s="27" t="s">
        <v>20779</v>
      </c>
      <c r="D8229" s="27" t="s">
        <v>1826</v>
      </c>
      <c r="F8229" s="27" t="s">
        <v>1844</v>
      </c>
      <c r="H8229" s="27" t="s">
        <v>1853</v>
      </c>
      <c r="J8229" s="27" t="s">
        <v>1854</v>
      </c>
      <c r="L8229" s="27" t="s">
        <v>461</v>
      </c>
      <c r="N8229" s="27" t="s">
        <v>462</v>
      </c>
      <c r="P8229" s="27" t="s">
        <v>12893</v>
      </c>
      <c r="Q8229" s="26" t="str">
        <f>HYPERLINK("https://ictv.global/taxonomy/taxondetails?taxnode_id=202505848&amp;ictv_id=ICTV20175848","ICTV20175848")</f>
        <v>ICTV20175848</v>
      </c>
      <c r="R8229" t="s">
        <v>660</v>
      </c>
      <c r="S8229" t="s">
        <v>824</v>
      </c>
      <c r="T8229">
        <v>41</v>
      </c>
      <c r="U8229" s="26" t="str">
        <f t="shared" si="301"/>
        <v>2025.002G.Monodnaviria_reorg_4nr.zip</v>
      </c>
    </row>
    <row r="8230" spans="1:21">
      <c r="A8230">
        <v>8229</v>
      </c>
      <c r="B8230" s="27" t="s">
        <v>20779</v>
      </c>
      <c r="D8230" s="27" t="s">
        <v>1826</v>
      </c>
      <c r="F8230" s="27" t="s">
        <v>1844</v>
      </c>
      <c r="H8230" s="27" t="s">
        <v>1853</v>
      </c>
      <c r="J8230" s="27" t="s">
        <v>1854</v>
      </c>
      <c r="L8230" s="27" t="s">
        <v>461</v>
      </c>
      <c r="N8230" s="27" t="s">
        <v>462</v>
      </c>
      <c r="P8230" s="27" t="s">
        <v>12894</v>
      </c>
      <c r="Q8230" s="26" t="str">
        <f>HYPERLINK("https://ictv.global/taxonomy/taxondetails?taxnode_id=202503191&amp;ictv_id=ICTV19981381","ICTV19981381")</f>
        <v>ICTV19981381</v>
      </c>
      <c r="R8230" t="s">
        <v>660</v>
      </c>
      <c r="S8230" t="s">
        <v>824</v>
      </c>
      <c r="T8230">
        <v>41</v>
      </c>
      <c r="U8230" s="26" t="str">
        <f t="shared" si="301"/>
        <v>2025.002G.Monodnaviria_reorg_4nr.zip</v>
      </c>
    </row>
    <row r="8231" spans="1:21">
      <c r="A8231">
        <v>8230</v>
      </c>
      <c r="B8231" s="27" t="s">
        <v>20779</v>
      </c>
      <c r="D8231" s="27" t="s">
        <v>1826</v>
      </c>
      <c r="F8231" s="27" t="s">
        <v>1844</v>
      </c>
      <c r="H8231" s="27" t="s">
        <v>1853</v>
      </c>
      <c r="J8231" s="27" t="s">
        <v>1854</v>
      </c>
      <c r="L8231" s="27" t="s">
        <v>461</v>
      </c>
      <c r="N8231" s="27" t="s">
        <v>462</v>
      </c>
      <c r="P8231" s="27" t="s">
        <v>12895</v>
      </c>
      <c r="Q8231" s="26" t="str">
        <f>HYPERLINK("https://ictv.global/taxonomy/taxondetails?taxnode_id=202503196&amp;ictv_id=ICTV20131898","ICTV20131898")</f>
        <v>ICTV20131898</v>
      </c>
      <c r="R8231" t="s">
        <v>660</v>
      </c>
      <c r="S8231" t="s">
        <v>824</v>
      </c>
      <c r="T8231">
        <v>41</v>
      </c>
      <c r="U8231" s="26" t="str">
        <f t="shared" si="301"/>
        <v>2025.002G.Monodnaviria_reorg_4nr.zip</v>
      </c>
    </row>
    <row r="8232" spans="1:21">
      <c r="A8232">
        <v>8231</v>
      </c>
      <c r="B8232" s="27" t="s">
        <v>20779</v>
      </c>
      <c r="D8232" s="27" t="s">
        <v>1826</v>
      </c>
      <c r="F8232" s="27" t="s">
        <v>1844</v>
      </c>
      <c r="H8232" s="27" t="s">
        <v>1853</v>
      </c>
      <c r="J8232" s="27" t="s">
        <v>1854</v>
      </c>
      <c r="L8232" s="27" t="s">
        <v>461</v>
      </c>
      <c r="N8232" s="27" t="s">
        <v>462</v>
      </c>
      <c r="P8232" s="27" t="s">
        <v>12896</v>
      </c>
      <c r="Q8232" s="26" t="str">
        <f>HYPERLINK("https://ictv.global/taxonomy/taxondetails?taxnode_id=202503197&amp;ictv_id=ICTV20131900","ICTV20131900")</f>
        <v>ICTV20131900</v>
      </c>
      <c r="R8232" t="s">
        <v>660</v>
      </c>
      <c r="S8232" t="s">
        <v>824</v>
      </c>
      <c r="T8232">
        <v>41</v>
      </c>
      <c r="U8232" s="26" t="str">
        <f t="shared" si="301"/>
        <v>2025.002G.Monodnaviria_reorg_4nr.zip</v>
      </c>
    </row>
    <row r="8233" spans="1:21">
      <c r="A8233">
        <v>8232</v>
      </c>
      <c r="B8233" s="27" t="s">
        <v>20779</v>
      </c>
      <c r="D8233" s="27" t="s">
        <v>1826</v>
      </c>
      <c r="F8233" s="27" t="s">
        <v>1844</v>
      </c>
      <c r="H8233" s="27" t="s">
        <v>1853</v>
      </c>
      <c r="J8233" s="27" t="s">
        <v>1854</v>
      </c>
      <c r="L8233" s="27" t="s">
        <v>461</v>
      </c>
      <c r="N8233" s="27" t="s">
        <v>462</v>
      </c>
      <c r="P8233" s="27" t="s">
        <v>12897</v>
      </c>
      <c r="Q8233" s="26" t="str">
        <f>HYPERLINK("https://ictv.global/taxonomy/taxondetails?taxnode_id=202506695&amp;ictv_id=ICTV201856695","ICTV201856695")</f>
        <v>ICTV201856695</v>
      </c>
      <c r="R8233" t="s">
        <v>660</v>
      </c>
      <c r="S8233" t="s">
        <v>824</v>
      </c>
      <c r="T8233">
        <v>41</v>
      </c>
      <c r="U8233" s="26" t="str">
        <f t="shared" si="301"/>
        <v>2025.002G.Monodnaviria_reorg_4nr.zip</v>
      </c>
    </row>
    <row r="8234" spans="1:21">
      <c r="A8234">
        <v>8233</v>
      </c>
      <c r="B8234" s="27" t="s">
        <v>20779</v>
      </c>
      <c r="D8234" s="27" t="s">
        <v>1826</v>
      </c>
      <c r="F8234" s="27" t="s">
        <v>1844</v>
      </c>
      <c r="H8234" s="27" t="s">
        <v>1853</v>
      </c>
      <c r="J8234" s="27" t="s">
        <v>1854</v>
      </c>
      <c r="L8234" s="27" t="s">
        <v>461</v>
      </c>
      <c r="N8234" s="27" t="s">
        <v>462</v>
      </c>
      <c r="P8234" s="27" t="s">
        <v>12898</v>
      </c>
      <c r="Q8234" s="26" t="str">
        <f>HYPERLINK("https://ictv.global/taxonomy/taxondetails?taxnode_id=202503198&amp;ictv_id=ICTV20083837","ICTV20083837")</f>
        <v>ICTV20083837</v>
      </c>
      <c r="R8234" t="s">
        <v>660</v>
      </c>
      <c r="S8234" t="s">
        <v>824</v>
      </c>
      <c r="T8234">
        <v>41</v>
      </c>
      <c r="U8234" s="26" t="str">
        <f t="shared" si="301"/>
        <v>2025.002G.Monodnaviria_reorg_4nr.zip</v>
      </c>
    </row>
    <row r="8235" spans="1:21">
      <c r="A8235">
        <v>8234</v>
      </c>
      <c r="B8235" s="27" t="s">
        <v>20779</v>
      </c>
      <c r="D8235" s="27" t="s">
        <v>1826</v>
      </c>
      <c r="F8235" s="27" t="s">
        <v>1844</v>
      </c>
      <c r="H8235" s="27" t="s">
        <v>1853</v>
      </c>
      <c r="J8235" s="27" t="s">
        <v>1854</v>
      </c>
      <c r="L8235" s="27" t="s">
        <v>461</v>
      </c>
      <c r="N8235" s="27" t="s">
        <v>462</v>
      </c>
      <c r="P8235" s="27" t="s">
        <v>12899</v>
      </c>
      <c r="Q8235" s="26" t="str">
        <f>HYPERLINK("https://ictv.global/taxonomy/taxondetails?taxnode_id=202503200&amp;ictv_id=ICTV20041121","ICTV20041121")</f>
        <v>ICTV20041121</v>
      </c>
      <c r="R8235" t="s">
        <v>660</v>
      </c>
      <c r="S8235" t="s">
        <v>824</v>
      </c>
      <c r="T8235">
        <v>41</v>
      </c>
      <c r="U8235" s="26" t="str">
        <f t="shared" si="301"/>
        <v>2025.002G.Monodnaviria_reorg_4nr.zip</v>
      </c>
    </row>
    <row r="8236" spans="1:21">
      <c r="A8236">
        <v>8235</v>
      </c>
      <c r="B8236" s="27" t="s">
        <v>20779</v>
      </c>
      <c r="D8236" s="27" t="s">
        <v>1826</v>
      </c>
      <c r="F8236" s="27" t="s">
        <v>1844</v>
      </c>
      <c r="H8236" s="27" t="s">
        <v>1853</v>
      </c>
      <c r="J8236" s="27" t="s">
        <v>1854</v>
      </c>
      <c r="L8236" s="27" t="s">
        <v>461</v>
      </c>
      <c r="N8236" s="27" t="s">
        <v>462</v>
      </c>
      <c r="P8236" s="27" t="s">
        <v>12900</v>
      </c>
      <c r="Q8236" s="26" t="str">
        <f>HYPERLINK("https://ictv.global/taxonomy/taxondetails?taxnode_id=202503199&amp;ictv_id=ICTV20083838","ICTV20083838")</f>
        <v>ICTV20083838</v>
      </c>
      <c r="R8236" t="s">
        <v>660</v>
      </c>
      <c r="S8236" t="s">
        <v>824</v>
      </c>
      <c r="T8236">
        <v>41</v>
      </c>
      <c r="U8236" s="26" t="str">
        <f t="shared" si="301"/>
        <v>2025.002G.Monodnaviria_reorg_4nr.zip</v>
      </c>
    </row>
    <row r="8237" spans="1:21">
      <c r="A8237">
        <v>8236</v>
      </c>
      <c r="B8237" s="27" t="s">
        <v>20779</v>
      </c>
      <c r="D8237" s="27" t="s">
        <v>1826</v>
      </c>
      <c r="F8237" s="27" t="s">
        <v>1844</v>
      </c>
      <c r="H8237" s="27" t="s">
        <v>1853</v>
      </c>
      <c r="J8237" s="27" t="s">
        <v>1854</v>
      </c>
      <c r="L8237" s="27" t="s">
        <v>461</v>
      </c>
      <c r="N8237" s="27" t="s">
        <v>462</v>
      </c>
      <c r="P8237" s="27" t="s">
        <v>20066</v>
      </c>
      <c r="Q8237" s="26" t="str">
        <f>HYPERLINK("https://ictv.global/taxonomy/taxondetails?taxnode_id=202520477&amp;ictv_id=ICTV202420477","ICTV202420477")</f>
        <v>ICTV202420477</v>
      </c>
      <c r="R8237" t="s">
        <v>582</v>
      </c>
      <c r="S8237" t="s">
        <v>824</v>
      </c>
      <c r="T8237">
        <v>41</v>
      </c>
      <c r="U8237" s="26" t="str">
        <f t="shared" si="301"/>
        <v>2025.002G.Monodnaviria_reorg_4nr.zip</v>
      </c>
    </row>
    <row r="8238" spans="1:21">
      <c r="A8238">
        <v>8237</v>
      </c>
      <c r="B8238" s="27" t="s">
        <v>20779</v>
      </c>
      <c r="D8238" s="27" t="s">
        <v>1826</v>
      </c>
      <c r="F8238" s="27" t="s">
        <v>1844</v>
      </c>
      <c r="H8238" s="27" t="s">
        <v>1853</v>
      </c>
      <c r="J8238" s="27" t="s">
        <v>1854</v>
      </c>
      <c r="L8238" s="27" t="s">
        <v>461</v>
      </c>
      <c r="N8238" s="27" t="s">
        <v>462</v>
      </c>
      <c r="P8238" s="27" t="s">
        <v>20067</v>
      </c>
      <c r="Q8238" s="26" t="str">
        <f>HYPERLINK("https://ictv.global/taxonomy/taxondetails?taxnode_id=202520471&amp;ictv_id=ICTV202420471","ICTV202420471")</f>
        <v>ICTV202420471</v>
      </c>
      <c r="R8238" t="s">
        <v>582</v>
      </c>
      <c r="S8238" t="s">
        <v>824</v>
      </c>
      <c r="T8238">
        <v>41</v>
      </c>
      <c r="U8238" s="26" t="str">
        <f t="shared" si="301"/>
        <v>2025.002G.Monodnaviria_reorg_4nr.zip</v>
      </c>
    </row>
    <row r="8239" spans="1:21">
      <c r="A8239">
        <v>8238</v>
      </c>
      <c r="B8239" s="27" t="s">
        <v>20779</v>
      </c>
      <c r="D8239" s="27" t="s">
        <v>1826</v>
      </c>
      <c r="F8239" s="27" t="s">
        <v>1844</v>
      </c>
      <c r="H8239" s="27" t="s">
        <v>1853</v>
      </c>
      <c r="J8239" s="27" t="s">
        <v>1854</v>
      </c>
      <c r="L8239" s="27" t="s">
        <v>461</v>
      </c>
      <c r="N8239" s="27" t="s">
        <v>462</v>
      </c>
      <c r="P8239" s="27" t="s">
        <v>12901</v>
      </c>
      <c r="Q8239" s="26" t="str">
        <f>HYPERLINK("https://ictv.global/taxonomy/taxondetails?taxnode_id=202503201&amp;ictv_id=ICTV20152812","ICTV20152812")</f>
        <v>ICTV20152812</v>
      </c>
      <c r="R8239" t="s">
        <v>660</v>
      </c>
      <c r="S8239" t="s">
        <v>824</v>
      </c>
      <c r="T8239">
        <v>41</v>
      </c>
      <c r="U8239" s="26" t="str">
        <f t="shared" si="301"/>
        <v>2025.002G.Monodnaviria_reorg_4nr.zip</v>
      </c>
    </row>
    <row r="8240" spans="1:21">
      <c r="A8240">
        <v>8239</v>
      </c>
      <c r="B8240" s="27" t="s">
        <v>20779</v>
      </c>
      <c r="D8240" s="27" t="s">
        <v>1826</v>
      </c>
      <c r="F8240" s="27" t="s">
        <v>1844</v>
      </c>
      <c r="H8240" s="27" t="s">
        <v>1853</v>
      </c>
      <c r="J8240" s="27" t="s">
        <v>1854</v>
      </c>
      <c r="L8240" s="27" t="s">
        <v>461</v>
      </c>
      <c r="N8240" s="27" t="s">
        <v>462</v>
      </c>
      <c r="P8240" s="27" t="s">
        <v>12902</v>
      </c>
      <c r="Q8240" s="26" t="str">
        <f>HYPERLINK("https://ictv.global/taxonomy/taxondetails?taxnode_id=202506696&amp;ictv_id=ICTV201856696","ICTV201856696")</f>
        <v>ICTV201856696</v>
      </c>
      <c r="R8240" t="s">
        <v>660</v>
      </c>
      <c r="S8240" t="s">
        <v>824</v>
      </c>
      <c r="T8240">
        <v>41</v>
      </c>
      <c r="U8240" s="26" t="str">
        <f t="shared" si="301"/>
        <v>2025.002G.Monodnaviria_reorg_4nr.zip</v>
      </c>
    </row>
    <row r="8241" spans="1:21">
      <c r="A8241">
        <v>8240</v>
      </c>
      <c r="B8241" s="27" t="s">
        <v>20779</v>
      </c>
      <c r="D8241" s="27" t="s">
        <v>1826</v>
      </c>
      <c r="F8241" s="27" t="s">
        <v>1844</v>
      </c>
      <c r="H8241" s="27" t="s">
        <v>1853</v>
      </c>
      <c r="J8241" s="27" t="s">
        <v>1854</v>
      </c>
      <c r="L8241" s="27" t="s">
        <v>461</v>
      </c>
      <c r="N8241" s="27" t="s">
        <v>462</v>
      </c>
      <c r="P8241" s="27" t="s">
        <v>12903</v>
      </c>
      <c r="Q8241" s="26" t="str">
        <f>HYPERLINK("https://ictv.global/taxonomy/taxondetails?taxnode_id=202506697&amp;ictv_id=ICTV201856697","ICTV201856697")</f>
        <v>ICTV201856697</v>
      </c>
      <c r="R8241" t="s">
        <v>660</v>
      </c>
      <c r="S8241" t="s">
        <v>824</v>
      </c>
      <c r="T8241">
        <v>41</v>
      </c>
      <c r="U8241" s="26" t="str">
        <f t="shared" si="301"/>
        <v>2025.002G.Monodnaviria_reorg_4nr.zip</v>
      </c>
    </row>
    <row r="8242" spans="1:21">
      <c r="A8242">
        <v>8241</v>
      </c>
      <c r="B8242" s="27" t="s">
        <v>20779</v>
      </c>
      <c r="D8242" s="27" t="s">
        <v>1826</v>
      </c>
      <c r="F8242" s="27" t="s">
        <v>1844</v>
      </c>
      <c r="H8242" s="27" t="s">
        <v>1853</v>
      </c>
      <c r="J8242" s="27" t="s">
        <v>1854</v>
      </c>
      <c r="L8242" s="27" t="s">
        <v>461</v>
      </c>
      <c r="N8242" s="27" t="s">
        <v>462</v>
      </c>
      <c r="P8242" s="27" t="s">
        <v>12904</v>
      </c>
      <c r="Q8242" s="26" t="str">
        <f>HYPERLINK("https://ictv.global/taxonomy/taxondetails?taxnode_id=202503310&amp;ictv_id=ICTV19981409","ICTV19981409")</f>
        <v>ICTV19981409</v>
      </c>
      <c r="R8242" t="s">
        <v>660</v>
      </c>
      <c r="S8242" t="s">
        <v>824</v>
      </c>
      <c r="T8242">
        <v>41</v>
      </c>
      <c r="U8242" s="26" t="str">
        <f t="shared" si="301"/>
        <v>2025.002G.Monodnaviria_reorg_4nr.zip</v>
      </c>
    </row>
    <row r="8243" spans="1:21">
      <c r="A8243">
        <v>8242</v>
      </c>
      <c r="B8243" s="27" t="s">
        <v>20779</v>
      </c>
      <c r="D8243" s="27" t="s">
        <v>1826</v>
      </c>
      <c r="F8243" s="27" t="s">
        <v>1844</v>
      </c>
      <c r="H8243" s="27" t="s">
        <v>1853</v>
      </c>
      <c r="J8243" s="27" t="s">
        <v>1854</v>
      </c>
      <c r="L8243" s="27" t="s">
        <v>461</v>
      </c>
      <c r="N8243" s="27" t="s">
        <v>462</v>
      </c>
      <c r="P8243" s="27" t="s">
        <v>12905</v>
      </c>
      <c r="Q8243" s="26" t="str">
        <f>HYPERLINK("https://ictv.global/taxonomy/taxondetails?taxnode_id=202507528&amp;ictv_id=ICTV201907528","ICTV201907528")</f>
        <v>ICTV201907528</v>
      </c>
      <c r="R8243" t="s">
        <v>660</v>
      </c>
      <c r="S8243" t="s">
        <v>824</v>
      </c>
      <c r="T8243">
        <v>41</v>
      </c>
      <c r="U8243" s="26" t="str">
        <f t="shared" si="301"/>
        <v>2025.002G.Monodnaviria_reorg_4nr.zip</v>
      </c>
    </row>
    <row r="8244" spans="1:21">
      <c r="A8244">
        <v>8243</v>
      </c>
      <c r="B8244" s="27" t="s">
        <v>20779</v>
      </c>
      <c r="D8244" s="27" t="s">
        <v>1826</v>
      </c>
      <c r="F8244" s="27" t="s">
        <v>1844</v>
      </c>
      <c r="H8244" s="27" t="s">
        <v>1853</v>
      </c>
      <c r="J8244" s="27" t="s">
        <v>1854</v>
      </c>
      <c r="L8244" s="27" t="s">
        <v>461</v>
      </c>
      <c r="N8244" s="27" t="s">
        <v>462</v>
      </c>
      <c r="P8244" s="27" t="s">
        <v>12906</v>
      </c>
      <c r="Q8244" s="26" t="str">
        <f>HYPERLINK("https://ictv.global/taxonomy/taxondetails?taxnode_id=202509129&amp;ictv_id=ICTV202009129","ICTV202009129")</f>
        <v>ICTV202009129</v>
      </c>
      <c r="R8244" t="s">
        <v>660</v>
      </c>
      <c r="S8244" t="s">
        <v>824</v>
      </c>
      <c r="T8244">
        <v>41</v>
      </c>
      <c r="U8244" s="26" t="str">
        <f t="shared" si="301"/>
        <v>2025.002G.Monodnaviria_reorg_4nr.zip</v>
      </c>
    </row>
    <row r="8245" spans="1:21">
      <c r="A8245">
        <v>8244</v>
      </c>
      <c r="B8245" s="27" t="s">
        <v>20779</v>
      </c>
      <c r="D8245" s="27" t="s">
        <v>1826</v>
      </c>
      <c r="F8245" s="27" t="s">
        <v>1844</v>
      </c>
      <c r="H8245" s="27" t="s">
        <v>1853</v>
      </c>
      <c r="J8245" s="27" t="s">
        <v>1854</v>
      </c>
      <c r="L8245" s="27" t="s">
        <v>461</v>
      </c>
      <c r="N8245" s="27" t="s">
        <v>462</v>
      </c>
      <c r="P8245" s="27" t="s">
        <v>12907</v>
      </c>
      <c r="Q8245" s="26" t="str">
        <f>HYPERLINK("https://ictv.global/taxonomy/taxondetails?taxnode_id=202503308&amp;ictv_id=ICTV20041158","ICTV20041158")</f>
        <v>ICTV20041158</v>
      </c>
      <c r="R8245" t="s">
        <v>660</v>
      </c>
      <c r="S8245" t="s">
        <v>824</v>
      </c>
      <c r="T8245">
        <v>41</v>
      </c>
      <c r="U8245" s="26" t="str">
        <f t="shared" si="301"/>
        <v>2025.002G.Monodnaviria_reorg_4nr.zip</v>
      </c>
    </row>
    <row r="8246" spans="1:21">
      <c r="A8246">
        <v>8245</v>
      </c>
      <c r="B8246" s="27" t="s">
        <v>20779</v>
      </c>
      <c r="D8246" s="27" t="s">
        <v>1826</v>
      </c>
      <c r="F8246" s="27" t="s">
        <v>1844</v>
      </c>
      <c r="H8246" s="27" t="s">
        <v>1853</v>
      </c>
      <c r="J8246" s="27" t="s">
        <v>1854</v>
      </c>
      <c r="L8246" s="27" t="s">
        <v>461</v>
      </c>
      <c r="N8246" s="27" t="s">
        <v>462</v>
      </c>
      <c r="P8246" s="27" t="s">
        <v>12908</v>
      </c>
      <c r="Q8246" s="26" t="str">
        <f>HYPERLINK("https://ictv.global/taxonomy/taxondetails?taxnode_id=202503313&amp;ictv_id=ICTV20152835","ICTV20152835")</f>
        <v>ICTV20152835</v>
      </c>
      <c r="R8246" t="s">
        <v>660</v>
      </c>
      <c r="S8246" t="s">
        <v>824</v>
      </c>
      <c r="T8246">
        <v>41</v>
      </c>
      <c r="U8246" s="26" t="str">
        <f t="shared" si="301"/>
        <v>2025.002G.Monodnaviria_reorg_4nr.zip</v>
      </c>
    </row>
    <row r="8247" spans="1:21">
      <c r="A8247">
        <v>8246</v>
      </c>
      <c r="B8247" s="27" t="s">
        <v>20779</v>
      </c>
      <c r="D8247" s="27" t="s">
        <v>1826</v>
      </c>
      <c r="F8247" s="27" t="s">
        <v>1844</v>
      </c>
      <c r="H8247" s="27" t="s">
        <v>1853</v>
      </c>
      <c r="J8247" s="27" t="s">
        <v>1854</v>
      </c>
      <c r="L8247" s="27" t="s">
        <v>461</v>
      </c>
      <c r="N8247" s="27" t="s">
        <v>462</v>
      </c>
      <c r="P8247" s="27" t="s">
        <v>12909</v>
      </c>
      <c r="Q8247" s="26" t="str">
        <f>HYPERLINK("https://ictv.global/taxonomy/taxondetails?taxnode_id=202506705&amp;ictv_id=ICTV201856705","ICTV201856705")</f>
        <v>ICTV201856705</v>
      </c>
      <c r="R8247" t="s">
        <v>660</v>
      </c>
      <c r="S8247" t="s">
        <v>824</v>
      </c>
      <c r="T8247">
        <v>41</v>
      </c>
      <c r="U8247" s="26" t="str">
        <f t="shared" si="301"/>
        <v>2025.002G.Monodnaviria_reorg_4nr.zip</v>
      </c>
    </row>
    <row r="8248" spans="1:21">
      <c r="A8248">
        <v>8247</v>
      </c>
      <c r="B8248" s="27" t="s">
        <v>20779</v>
      </c>
      <c r="D8248" s="27" t="s">
        <v>1826</v>
      </c>
      <c r="F8248" s="27" t="s">
        <v>1844</v>
      </c>
      <c r="H8248" s="27" t="s">
        <v>1853</v>
      </c>
      <c r="J8248" s="27" t="s">
        <v>1854</v>
      </c>
      <c r="L8248" s="27" t="s">
        <v>461</v>
      </c>
      <c r="N8248" s="27" t="s">
        <v>462</v>
      </c>
      <c r="P8248" s="27" t="s">
        <v>12910</v>
      </c>
      <c r="Q8248" s="26" t="str">
        <f>HYPERLINK("https://ictv.global/taxonomy/taxondetails?taxnode_id=202503307&amp;ictv_id=ICTV19950986","ICTV19950986")</f>
        <v>ICTV19950986</v>
      </c>
      <c r="R8248" t="s">
        <v>660</v>
      </c>
      <c r="S8248" t="s">
        <v>824</v>
      </c>
      <c r="T8248">
        <v>41</v>
      </c>
      <c r="U8248" s="26" t="str">
        <f t="shared" si="301"/>
        <v>2025.002G.Monodnaviria_reorg_4nr.zip</v>
      </c>
    </row>
    <row r="8249" spans="1:21">
      <c r="A8249">
        <v>8248</v>
      </c>
      <c r="B8249" s="27" t="s">
        <v>20779</v>
      </c>
      <c r="D8249" s="27" t="s">
        <v>1826</v>
      </c>
      <c r="F8249" s="27" t="s">
        <v>1844</v>
      </c>
      <c r="H8249" s="27" t="s">
        <v>1853</v>
      </c>
      <c r="J8249" s="27" t="s">
        <v>1854</v>
      </c>
      <c r="L8249" s="27" t="s">
        <v>461</v>
      </c>
      <c r="N8249" s="27" t="s">
        <v>462</v>
      </c>
      <c r="P8249" s="27" t="s">
        <v>12911</v>
      </c>
      <c r="Q8249" s="26" t="str">
        <f>HYPERLINK("https://ictv.global/taxonomy/taxondetails?taxnode_id=202503312&amp;ictv_id=ICTV20083911","ICTV20083911")</f>
        <v>ICTV20083911</v>
      </c>
      <c r="R8249" t="s">
        <v>660</v>
      </c>
      <c r="S8249" t="s">
        <v>824</v>
      </c>
      <c r="T8249">
        <v>41</v>
      </c>
      <c r="U8249" s="26" t="str">
        <f t="shared" si="301"/>
        <v>2025.002G.Monodnaviria_reorg_4nr.zip</v>
      </c>
    </row>
    <row r="8250" spans="1:21">
      <c r="A8250">
        <v>8249</v>
      </c>
      <c r="B8250" s="27" t="s">
        <v>20779</v>
      </c>
      <c r="D8250" s="27" t="s">
        <v>1826</v>
      </c>
      <c r="F8250" s="27" t="s">
        <v>1844</v>
      </c>
      <c r="H8250" s="27" t="s">
        <v>1853</v>
      </c>
      <c r="J8250" s="27" t="s">
        <v>1854</v>
      </c>
      <c r="L8250" s="27" t="s">
        <v>461</v>
      </c>
      <c r="N8250" s="27" t="s">
        <v>462</v>
      </c>
      <c r="P8250" s="27" t="s">
        <v>12912</v>
      </c>
      <c r="Q8250" s="26" t="str">
        <f>HYPERLINK("https://ictv.global/taxonomy/taxondetails?taxnode_id=202506706&amp;ictv_id=ICTV201856706","ICTV201856706")</f>
        <v>ICTV201856706</v>
      </c>
      <c r="R8250" t="s">
        <v>660</v>
      </c>
      <c r="S8250" t="s">
        <v>824</v>
      </c>
      <c r="T8250">
        <v>41</v>
      </c>
      <c r="U8250" s="26" t="str">
        <f t="shared" si="301"/>
        <v>2025.002G.Monodnaviria_reorg_4nr.zip</v>
      </c>
    </row>
    <row r="8251" spans="1:21">
      <c r="A8251">
        <v>8250</v>
      </c>
      <c r="B8251" s="27" t="s">
        <v>20779</v>
      </c>
      <c r="D8251" s="27" t="s">
        <v>1826</v>
      </c>
      <c r="F8251" s="27" t="s">
        <v>1844</v>
      </c>
      <c r="H8251" s="27" t="s">
        <v>1853</v>
      </c>
      <c r="J8251" s="27" t="s">
        <v>1854</v>
      </c>
      <c r="L8251" s="27" t="s">
        <v>461</v>
      </c>
      <c r="N8251" s="27" t="s">
        <v>462</v>
      </c>
      <c r="P8251" s="27" t="s">
        <v>12913</v>
      </c>
      <c r="Q8251" s="26" t="str">
        <f>HYPERLINK("https://ictv.global/taxonomy/taxondetails?taxnode_id=202503309&amp;ictv_id=ICTV20083908","ICTV20083908")</f>
        <v>ICTV20083908</v>
      </c>
      <c r="R8251" t="s">
        <v>660</v>
      </c>
      <c r="S8251" t="s">
        <v>824</v>
      </c>
      <c r="T8251">
        <v>41</v>
      </c>
      <c r="U8251" s="26" t="str">
        <f t="shared" si="301"/>
        <v>2025.002G.Monodnaviria_reorg_4nr.zip</v>
      </c>
    </row>
    <row r="8252" spans="1:21">
      <c r="A8252">
        <v>8251</v>
      </c>
      <c r="B8252" s="27" t="s">
        <v>20779</v>
      </c>
      <c r="D8252" s="27" t="s">
        <v>1826</v>
      </c>
      <c r="F8252" s="27" t="s">
        <v>1844</v>
      </c>
      <c r="H8252" s="27" t="s">
        <v>1853</v>
      </c>
      <c r="J8252" s="27" t="s">
        <v>1854</v>
      </c>
      <c r="L8252" s="27" t="s">
        <v>461</v>
      </c>
      <c r="N8252" s="27" t="s">
        <v>462</v>
      </c>
      <c r="P8252" s="27" t="s">
        <v>12914</v>
      </c>
      <c r="Q8252" s="26" t="str">
        <f>HYPERLINK("https://ictv.global/taxonomy/taxondetails?taxnode_id=202503314&amp;ictv_id=ICTV20083912","ICTV20083912")</f>
        <v>ICTV20083912</v>
      </c>
      <c r="R8252" t="s">
        <v>660</v>
      </c>
      <c r="S8252" t="s">
        <v>824</v>
      </c>
      <c r="T8252">
        <v>41</v>
      </c>
      <c r="U8252" s="26" t="str">
        <f t="shared" si="301"/>
        <v>2025.002G.Monodnaviria_reorg_4nr.zip</v>
      </c>
    </row>
    <row r="8253" spans="1:21">
      <c r="A8253">
        <v>8252</v>
      </c>
      <c r="B8253" s="27" t="s">
        <v>20779</v>
      </c>
      <c r="D8253" s="27" t="s">
        <v>1826</v>
      </c>
      <c r="F8253" s="27" t="s">
        <v>1844</v>
      </c>
      <c r="H8253" s="27" t="s">
        <v>1853</v>
      </c>
      <c r="J8253" s="27" t="s">
        <v>1854</v>
      </c>
      <c r="L8253" s="27" t="s">
        <v>461</v>
      </c>
      <c r="N8253" s="27" t="s">
        <v>462</v>
      </c>
      <c r="P8253" s="27" t="s">
        <v>12915</v>
      </c>
      <c r="Q8253" s="26" t="str">
        <f>HYPERLINK("https://ictv.global/taxonomy/taxondetails?taxnode_id=202503306&amp;ictv_id=ICTV19981414","ICTV19981414")</f>
        <v>ICTV19981414</v>
      </c>
      <c r="R8253" t="s">
        <v>660</v>
      </c>
      <c r="S8253" t="s">
        <v>824</v>
      </c>
      <c r="T8253">
        <v>41</v>
      </c>
      <c r="U8253" s="26" t="str">
        <f t="shared" si="301"/>
        <v>2025.002G.Monodnaviria_reorg_4nr.zip</v>
      </c>
    </row>
    <row r="8254" spans="1:21">
      <c r="A8254">
        <v>8253</v>
      </c>
      <c r="B8254" s="27" t="s">
        <v>20779</v>
      </c>
      <c r="D8254" s="27" t="s">
        <v>1826</v>
      </c>
      <c r="F8254" s="27" t="s">
        <v>1844</v>
      </c>
      <c r="H8254" s="27" t="s">
        <v>1853</v>
      </c>
      <c r="J8254" s="27" t="s">
        <v>1854</v>
      </c>
      <c r="L8254" s="27" t="s">
        <v>461</v>
      </c>
      <c r="N8254" s="27" t="s">
        <v>462</v>
      </c>
      <c r="P8254" s="27" t="s">
        <v>12916</v>
      </c>
      <c r="Q8254" s="26" t="str">
        <f>HYPERLINK("https://ictv.global/taxonomy/taxondetails?taxnode_id=202505821&amp;ictv_id=ICTV20175821","ICTV20175821")</f>
        <v>ICTV20175821</v>
      </c>
      <c r="R8254" t="s">
        <v>660</v>
      </c>
      <c r="S8254" t="s">
        <v>824</v>
      </c>
      <c r="T8254">
        <v>41</v>
      </c>
      <c r="U8254" s="26" t="str">
        <f t="shared" si="301"/>
        <v>2025.002G.Monodnaviria_reorg_4nr.zip</v>
      </c>
    </row>
    <row r="8255" spans="1:21">
      <c r="A8255">
        <v>8254</v>
      </c>
      <c r="B8255" s="27" t="s">
        <v>20779</v>
      </c>
      <c r="D8255" s="27" t="s">
        <v>1826</v>
      </c>
      <c r="F8255" s="27" t="s">
        <v>1844</v>
      </c>
      <c r="H8255" s="27" t="s">
        <v>1853</v>
      </c>
      <c r="J8255" s="27" t="s">
        <v>1854</v>
      </c>
      <c r="L8255" s="27" t="s">
        <v>461</v>
      </c>
      <c r="N8255" s="27" t="s">
        <v>462</v>
      </c>
      <c r="P8255" s="27" t="s">
        <v>12917</v>
      </c>
      <c r="Q8255" s="26" t="str">
        <f>HYPERLINK("https://ictv.global/taxonomy/taxondetails?taxnode_id=202503311&amp;ictv_id=ICTV20131929","ICTV20131929")</f>
        <v>ICTV20131929</v>
      </c>
      <c r="R8255" t="s">
        <v>660</v>
      </c>
      <c r="S8255" t="s">
        <v>824</v>
      </c>
      <c r="T8255">
        <v>41</v>
      </c>
      <c r="U8255" s="26" t="str">
        <f t="shared" si="301"/>
        <v>2025.002G.Monodnaviria_reorg_4nr.zip</v>
      </c>
    </row>
    <row r="8256" spans="1:21">
      <c r="A8256">
        <v>8255</v>
      </c>
      <c r="B8256" s="27" t="s">
        <v>20779</v>
      </c>
      <c r="D8256" s="27" t="s">
        <v>1826</v>
      </c>
      <c r="F8256" s="27" t="s">
        <v>1844</v>
      </c>
      <c r="H8256" s="27" t="s">
        <v>1853</v>
      </c>
      <c r="J8256" s="27" t="s">
        <v>1854</v>
      </c>
      <c r="L8256" s="27" t="s">
        <v>461</v>
      </c>
      <c r="N8256" s="27" t="s">
        <v>462</v>
      </c>
      <c r="P8256" s="27" t="s">
        <v>12918</v>
      </c>
      <c r="Q8256" s="26" t="str">
        <f>HYPERLINK("https://ictv.global/taxonomy/taxondetails?taxnode_id=202506698&amp;ictv_id=ICTV201856698","ICTV201856698")</f>
        <v>ICTV201856698</v>
      </c>
      <c r="R8256" t="s">
        <v>660</v>
      </c>
      <c r="S8256" t="s">
        <v>824</v>
      </c>
      <c r="T8256">
        <v>41</v>
      </c>
      <c r="U8256" s="26" t="str">
        <f t="shared" si="301"/>
        <v>2025.002G.Monodnaviria_reorg_4nr.zip</v>
      </c>
    </row>
    <row r="8257" spans="1:21">
      <c r="A8257">
        <v>8256</v>
      </c>
      <c r="B8257" s="27" t="s">
        <v>20779</v>
      </c>
      <c r="D8257" s="27" t="s">
        <v>1826</v>
      </c>
      <c r="F8257" s="27" t="s">
        <v>1844</v>
      </c>
      <c r="H8257" s="27" t="s">
        <v>1853</v>
      </c>
      <c r="J8257" s="27" t="s">
        <v>1854</v>
      </c>
      <c r="L8257" s="27" t="s">
        <v>461</v>
      </c>
      <c r="N8257" s="27" t="s">
        <v>462</v>
      </c>
      <c r="P8257" s="27" t="s">
        <v>12919</v>
      </c>
      <c r="Q8257" s="26" t="str">
        <f>HYPERLINK("https://ictv.global/taxonomy/taxondetails?taxnode_id=202503208&amp;ictv_id=ICTV20152817","ICTV20152817")</f>
        <v>ICTV20152817</v>
      </c>
      <c r="R8257" t="s">
        <v>660</v>
      </c>
      <c r="S8257" t="s">
        <v>824</v>
      </c>
      <c r="T8257">
        <v>41</v>
      </c>
      <c r="U8257" s="26" t="str">
        <f t="shared" si="301"/>
        <v>2025.002G.Monodnaviria_reorg_4nr.zip</v>
      </c>
    </row>
    <row r="8258" spans="1:21">
      <c r="A8258">
        <v>8257</v>
      </c>
      <c r="B8258" s="27" t="s">
        <v>20779</v>
      </c>
      <c r="D8258" s="27" t="s">
        <v>1826</v>
      </c>
      <c r="F8258" s="27" t="s">
        <v>1844</v>
      </c>
      <c r="H8258" s="27" t="s">
        <v>1853</v>
      </c>
      <c r="J8258" s="27" t="s">
        <v>1854</v>
      </c>
      <c r="L8258" s="27" t="s">
        <v>461</v>
      </c>
      <c r="N8258" s="27" t="s">
        <v>462</v>
      </c>
      <c r="P8258" s="27" t="s">
        <v>12920</v>
      </c>
      <c r="Q8258" s="26" t="str">
        <f>HYPERLINK("https://ictv.global/taxonomy/taxondetails?taxnode_id=202503207&amp;ictv_id=ICTV20152816","ICTV20152816")</f>
        <v>ICTV20152816</v>
      </c>
      <c r="R8258" t="s">
        <v>660</v>
      </c>
      <c r="S8258" t="s">
        <v>824</v>
      </c>
      <c r="T8258">
        <v>41</v>
      </c>
      <c r="U8258" s="26" t="str">
        <f t="shared" si="301"/>
        <v>2025.002G.Monodnaviria_reorg_4nr.zip</v>
      </c>
    </row>
    <row r="8259" spans="1:21">
      <c r="A8259">
        <v>8258</v>
      </c>
      <c r="B8259" s="27" t="s">
        <v>20779</v>
      </c>
      <c r="D8259" s="27" t="s">
        <v>1826</v>
      </c>
      <c r="F8259" s="27" t="s">
        <v>1844</v>
      </c>
      <c r="H8259" s="27" t="s">
        <v>1853</v>
      </c>
      <c r="J8259" s="27" t="s">
        <v>1854</v>
      </c>
      <c r="L8259" s="27" t="s">
        <v>461</v>
      </c>
      <c r="N8259" s="27" t="s">
        <v>462</v>
      </c>
      <c r="P8259" s="27" t="s">
        <v>12921</v>
      </c>
      <c r="Q8259" s="26" t="str">
        <f>HYPERLINK("https://ictv.global/taxonomy/taxondetails?taxnode_id=202506699&amp;ictv_id=ICTV201856699","ICTV201856699")</f>
        <v>ICTV201856699</v>
      </c>
      <c r="R8259" t="s">
        <v>660</v>
      </c>
      <c r="S8259" t="s">
        <v>824</v>
      </c>
      <c r="T8259">
        <v>41</v>
      </c>
      <c r="U8259" s="26" t="str">
        <f t="shared" si="301"/>
        <v>2025.002G.Monodnaviria_reorg_4nr.zip</v>
      </c>
    </row>
    <row r="8260" spans="1:21">
      <c r="A8260">
        <v>8259</v>
      </c>
      <c r="B8260" s="27" t="s">
        <v>20779</v>
      </c>
      <c r="D8260" s="27" t="s">
        <v>1826</v>
      </c>
      <c r="F8260" s="27" t="s">
        <v>1844</v>
      </c>
      <c r="H8260" s="27" t="s">
        <v>1853</v>
      </c>
      <c r="J8260" s="27" t="s">
        <v>1854</v>
      </c>
      <c r="L8260" s="27" t="s">
        <v>461</v>
      </c>
      <c r="N8260" s="27" t="s">
        <v>462</v>
      </c>
      <c r="P8260" s="27" t="s">
        <v>12922</v>
      </c>
      <c r="Q8260" s="26" t="str">
        <f>HYPERLINK("https://ictv.global/taxonomy/taxondetails?taxnode_id=202503209&amp;ictv_id=ICTV20152818","ICTV20152818")</f>
        <v>ICTV20152818</v>
      </c>
      <c r="R8260" t="s">
        <v>660</v>
      </c>
      <c r="S8260" t="s">
        <v>824</v>
      </c>
      <c r="T8260">
        <v>41</v>
      </c>
      <c r="U8260" s="26" t="str">
        <f t="shared" si="301"/>
        <v>2025.002G.Monodnaviria_reorg_4nr.zip</v>
      </c>
    </row>
    <row r="8261" spans="1:21">
      <c r="A8261">
        <v>8260</v>
      </c>
      <c r="B8261" s="27" t="s">
        <v>20779</v>
      </c>
      <c r="D8261" s="27" t="s">
        <v>1826</v>
      </c>
      <c r="F8261" s="27" t="s">
        <v>1844</v>
      </c>
      <c r="H8261" s="27" t="s">
        <v>1853</v>
      </c>
      <c r="J8261" s="27" t="s">
        <v>1854</v>
      </c>
      <c r="L8261" s="27" t="s">
        <v>461</v>
      </c>
      <c r="N8261" s="27" t="s">
        <v>462</v>
      </c>
      <c r="P8261" s="27" t="s">
        <v>12923</v>
      </c>
      <c r="Q8261" s="26" t="str">
        <f>HYPERLINK("https://ictv.global/taxonomy/taxondetails?taxnode_id=202503301&amp;ictv_id=ICTV20041154","ICTV20041154")</f>
        <v>ICTV20041154</v>
      </c>
      <c r="R8261" t="s">
        <v>660</v>
      </c>
      <c r="S8261" t="s">
        <v>824</v>
      </c>
      <c r="T8261">
        <v>41</v>
      </c>
      <c r="U8261" s="26" t="str">
        <f t="shared" si="301"/>
        <v>2025.002G.Monodnaviria_reorg_4nr.zip</v>
      </c>
    </row>
    <row r="8262" spans="1:21">
      <c r="A8262">
        <v>8261</v>
      </c>
      <c r="B8262" s="27" t="s">
        <v>20779</v>
      </c>
      <c r="D8262" s="27" t="s">
        <v>1826</v>
      </c>
      <c r="F8262" s="27" t="s">
        <v>1844</v>
      </c>
      <c r="H8262" s="27" t="s">
        <v>1853</v>
      </c>
      <c r="J8262" s="27" t="s">
        <v>1854</v>
      </c>
      <c r="L8262" s="27" t="s">
        <v>461</v>
      </c>
      <c r="N8262" s="27" t="s">
        <v>462</v>
      </c>
      <c r="P8262" s="27" t="s">
        <v>12924</v>
      </c>
      <c r="Q8262" s="26" t="str">
        <f>HYPERLINK("https://ictv.global/taxonomy/taxondetails?taxnode_id=202503303&amp;ictv_id=ICTV19981407","ICTV19981407")</f>
        <v>ICTV19981407</v>
      </c>
      <c r="R8262" t="s">
        <v>660</v>
      </c>
      <c r="S8262" t="s">
        <v>824</v>
      </c>
      <c r="T8262">
        <v>41</v>
      </c>
      <c r="U8262" s="26" t="str">
        <f t="shared" si="301"/>
        <v>2025.002G.Monodnaviria_reorg_4nr.zip</v>
      </c>
    </row>
    <row r="8263" spans="1:21">
      <c r="A8263">
        <v>8262</v>
      </c>
      <c r="B8263" s="27" t="s">
        <v>20779</v>
      </c>
      <c r="D8263" s="27" t="s">
        <v>1826</v>
      </c>
      <c r="F8263" s="27" t="s">
        <v>1844</v>
      </c>
      <c r="H8263" s="27" t="s">
        <v>1853</v>
      </c>
      <c r="J8263" s="27" t="s">
        <v>1854</v>
      </c>
      <c r="L8263" s="27" t="s">
        <v>461</v>
      </c>
      <c r="N8263" s="27" t="s">
        <v>462</v>
      </c>
      <c r="P8263" s="27" t="s">
        <v>12925</v>
      </c>
      <c r="Q8263" s="26" t="str">
        <f>HYPERLINK("https://ictv.global/taxonomy/taxondetails?taxnode_id=202509128&amp;ictv_id=ICTV202009128","ICTV202009128")</f>
        <v>ICTV202009128</v>
      </c>
      <c r="R8263" t="s">
        <v>660</v>
      </c>
      <c r="S8263" t="s">
        <v>824</v>
      </c>
      <c r="T8263">
        <v>41</v>
      </c>
      <c r="U8263" s="26" t="str">
        <f t="shared" si="301"/>
        <v>2025.002G.Monodnaviria_reorg_4nr.zip</v>
      </c>
    </row>
    <row r="8264" spans="1:21">
      <c r="A8264">
        <v>8263</v>
      </c>
      <c r="B8264" s="27" t="s">
        <v>20779</v>
      </c>
      <c r="D8264" s="27" t="s">
        <v>1826</v>
      </c>
      <c r="F8264" s="27" t="s">
        <v>1844</v>
      </c>
      <c r="H8264" s="27" t="s">
        <v>1853</v>
      </c>
      <c r="J8264" s="27" t="s">
        <v>1854</v>
      </c>
      <c r="L8264" s="27" t="s">
        <v>461</v>
      </c>
      <c r="N8264" s="27" t="s">
        <v>462</v>
      </c>
      <c r="P8264" s="27" t="s">
        <v>12926</v>
      </c>
      <c r="Q8264" s="26" t="str">
        <f>HYPERLINK("https://ictv.global/taxonomy/taxondetails?taxnode_id=202503302&amp;ictv_id=ICTV20041155","ICTV20041155")</f>
        <v>ICTV20041155</v>
      </c>
      <c r="R8264" t="s">
        <v>660</v>
      </c>
      <c r="S8264" t="s">
        <v>824</v>
      </c>
      <c r="T8264">
        <v>41</v>
      </c>
      <c r="U8264" s="26" t="str">
        <f t="shared" si="301"/>
        <v>2025.002G.Monodnaviria_reorg_4nr.zip</v>
      </c>
    </row>
    <row r="8265" spans="1:21">
      <c r="A8265">
        <v>8264</v>
      </c>
      <c r="B8265" s="27" t="s">
        <v>20779</v>
      </c>
      <c r="D8265" s="27" t="s">
        <v>1826</v>
      </c>
      <c r="F8265" s="27" t="s">
        <v>1844</v>
      </c>
      <c r="H8265" s="27" t="s">
        <v>1853</v>
      </c>
      <c r="J8265" s="27" t="s">
        <v>1854</v>
      </c>
      <c r="L8265" s="27" t="s">
        <v>461</v>
      </c>
      <c r="N8265" s="27" t="s">
        <v>462</v>
      </c>
      <c r="P8265" s="27" t="s">
        <v>12927</v>
      </c>
      <c r="Q8265" s="26" t="str">
        <f>HYPERLINK("https://ictv.global/taxonomy/taxondetails?taxnode_id=202509126&amp;ictv_id=ICTV202009126","ICTV202009126")</f>
        <v>ICTV202009126</v>
      </c>
      <c r="R8265" t="s">
        <v>660</v>
      </c>
      <c r="S8265" t="s">
        <v>824</v>
      </c>
      <c r="T8265">
        <v>41</v>
      </c>
      <c r="U8265" s="26" t="str">
        <f t="shared" si="301"/>
        <v>2025.002G.Monodnaviria_reorg_4nr.zip</v>
      </c>
    </row>
    <row r="8266" spans="1:21">
      <c r="A8266">
        <v>8265</v>
      </c>
      <c r="B8266" s="27" t="s">
        <v>20779</v>
      </c>
      <c r="D8266" s="27" t="s">
        <v>1826</v>
      </c>
      <c r="F8266" s="27" t="s">
        <v>1844</v>
      </c>
      <c r="H8266" s="27" t="s">
        <v>1853</v>
      </c>
      <c r="J8266" s="27" t="s">
        <v>1854</v>
      </c>
      <c r="L8266" s="27" t="s">
        <v>461</v>
      </c>
      <c r="N8266" s="27" t="s">
        <v>462</v>
      </c>
      <c r="P8266" s="27" t="s">
        <v>12928</v>
      </c>
      <c r="Q8266" s="26" t="str">
        <f>HYPERLINK("https://ictv.global/taxonomy/taxondetails?taxnode_id=202509127&amp;ictv_id=ICTV202009127","ICTV202009127")</f>
        <v>ICTV202009127</v>
      </c>
      <c r="R8266" t="s">
        <v>660</v>
      </c>
      <c r="S8266" t="s">
        <v>824</v>
      </c>
      <c r="T8266">
        <v>41</v>
      </c>
      <c r="U8266" s="26" t="str">
        <f t="shared" si="301"/>
        <v>2025.002G.Monodnaviria_reorg_4nr.zip</v>
      </c>
    </row>
    <row r="8267" spans="1:21">
      <c r="A8267">
        <v>8266</v>
      </c>
      <c r="B8267" s="27" t="s">
        <v>20779</v>
      </c>
      <c r="D8267" s="27" t="s">
        <v>1826</v>
      </c>
      <c r="F8267" s="27" t="s">
        <v>1844</v>
      </c>
      <c r="H8267" s="27" t="s">
        <v>1853</v>
      </c>
      <c r="J8267" s="27" t="s">
        <v>1854</v>
      </c>
      <c r="L8267" s="27" t="s">
        <v>461</v>
      </c>
      <c r="N8267" s="27" t="s">
        <v>462</v>
      </c>
      <c r="P8267" s="27" t="s">
        <v>12929</v>
      </c>
      <c r="Q8267" s="26" t="str">
        <f>HYPERLINK("https://ictv.global/taxonomy/taxondetails?taxnode_id=202503203&amp;ictv_id=ICTV20152814","ICTV20152814")</f>
        <v>ICTV20152814</v>
      </c>
      <c r="R8267" t="s">
        <v>660</v>
      </c>
      <c r="S8267" t="s">
        <v>824</v>
      </c>
      <c r="T8267">
        <v>41</v>
      </c>
      <c r="U8267" s="26" t="str">
        <f t="shared" si="301"/>
        <v>2025.002G.Monodnaviria_reorg_4nr.zip</v>
      </c>
    </row>
    <row r="8268" spans="1:21">
      <c r="A8268">
        <v>8267</v>
      </c>
      <c r="B8268" s="27" t="s">
        <v>20779</v>
      </c>
      <c r="D8268" s="27" t="s">
        <v>1826</v>
      </c>
      <c r="F8268" s="27" t="s">
        <v>1844</v>
      </c>
      <c r="H8268" s="27" t="s">
        <v>1853</v>
      </c>
      <c r="J8268" s="27" t="s">
        <v>1854</v>
      </c>
      <c r="L8268" s="27" t="s">
        <v>461</v>
      </c>
      <c r="N8268" s="27" t="s">
        <v>462</v>
      </c>
      <c r="P8268" s="27" t="s">
        <v>12930</v>
      </c>
      <c r="Q8268" s="26" t="str">
        <f>HYPERLINK("https://ictv.global/taxonomy/taxondetails?taxnode_id=202505787&amp;ictv_id=ICTV20175787","ICTV20175787")</f>
        <v>ICTV20175787</v>
      </c>
      <c r="R8268" t="s">
        <v>660</v>
      </c>
      <c r="S8268" t="s">
        <v>824</v>
      </c>
      <c r="T8268">
        <v>41</v>
      </c>
      <c r="U8268" s="26" t="str">
        <f t="shared" si="301"/>
        <v>2025.002G.Monodnaviria_reorg_4nr.zip</v>
      </c>
    </row>
    <row r="8269" spans="1:21">
      <c r="A8269">
        <v>8268</v>
      </c>
      <c r="B8269" s="27" t="s">
        <v>20779</v>
      </c>
      <c r="D8269" s="27" t="s">
        <v>1826</v>
      </c>
      <c r="F8269" s="27" t="s">
        <v>1844</v>
      </c>
      <c r="H8269" s="27" t="s">
        <v>1853</v>
      </c>
      <c r="J8269" s="27" t="s">
        <v>1854</v>
      </c>
      <c r="L8269" s="27" t="s">
        <v>461</v>
      </c>
      <c r="N8269" s="27" t="s">
        <v>462</v>
      </c>
      <c r="P8269" s="27" t="s">
        <v>12931</v>
      </c>
      <c r="Q8269" s="26" t="str">
        <f>HYPERLINK("https://ictv.global/taxonomy/taxondetails?taxnode_id=202503204&amp;ictv_id=ICTV20131901","ICTV20131901")</f>
        <v>ICTV20131901</v>
      </c>
      <c r="R8269" t="s">
        <v>660</v>
      </c>
      <c r="S8269" t="s">
        <v>824</v>
      </c>
      <c r="T8269">
        <v>41</v>
      </c>
      <c r="U8269" s="26" t="str">
        <f t="shared" si="301"/>
        <v>2025.002G.Monodnaviria_reorg_4nr.zip</v>
      </c>
    </row>
    <row r="8270" spans="1:21">
      <c r="A8270">
        <v>8269</v>
      </c>
      <c r="B8270" s="27" t="s">
        <v>20779</v>
      </c>
      <c r="D8270" s="27" t="s">
        <v>1826</v>
      </c>
      <c r="F8270" s="27" t="s">
        <v>1844</v>
      </c>
      <c r="H8270" s="27" t="s">
        <v>1853</v>
      </c>
      <c r="J8270" s="27" t="s">
        <v>1854</v>
      </c>
      <c r="L8270" s="27" t="s">
        <v>461</v>
      </c>
      <c r="N8270" s="27" t="s">
        <v>462</v>
      </c>
      <c r="P8270" s="27" t="s">
        <v>12932</v>
      </c>
      <c r="Q8270" s="26" t="str">
        <f>HYPERLINK("https://ictv.global/taxonomy/taxondetails?taxnode_id=202503205&amp;ictv_id=ICTV20041122","ICTV20041122")</f>
        <v>ICTV20041122</v>
      </c>
      <c r="R8270" t="s">
        <v>660</v>
      </c>
      <c r="S8270" t="s">
        <v>824</v>
      </c>
      <c r="T8270">
        <v>41</v>
      </c>
      <c r="U8270" s="26" t="str">
        <f t="shared" si="301"/>
        <v>2025.002G.Monodnaviria_reorg_4nr.zip</v>
      </c>
    </row>
    <row r="8271" spans="1:21">
      <c r="A8271">
        <v>8270</v>
      </c>
      <c r="B8271" s="27" t="s">
        <v>20779</v>
      </c>
      <c r="D8271" s="27" t="s">
        <v>1826</v>
      </c>
      <c r="F8271" s="27" t="s">
        <v>1844</v>
      </c>
      <c r="H8271" s="27" t="s">
        <v>1853</v>
      </c>
      <c r="J8271" s="27" t="s">
        <v>1854</v>
      </c>
      <c r="L8271" s="27" t="s">
        <v>461</v>
      </c>
      <c r="N8271" s="27" t="s">
        <v>462</v>
      </c>
      <c r="P8271" s="27" t="s">
        <v>12933</v>
      </c>
      <c r="Q8271" s="26" t="str">
        <f>HYPERLINK("https://ictv.global/taxonomy/taxondetails?taxnode_id=202503206&amp;ictv_id=ICTV20152815","ICTV20152815")</f>
        <v>ICTV20152815</v>
      </c>
      <c r="R8271" t="s">
        <v>660</v>
      </c>
      <c r="S8271" t="s">
        <v>824</v>
      </c>
      <c r="T8271">
        <v>41</v>
      </c>
      <c r="U8271" s="26" t="str">
        <f t="shared" si="301"/>
        <v>2025.002G.Monodnaviria_reorg_4nr.zip</v>
      </c>
    </row>
    <row r="8272" spans="1:21">
      <c r="A8272">
        <v>8271</v>
      </c>
      <c r="B8272" s="27" t="s">
        <v>20779</v>
      </c>
      <c r="D8272" s="27" t="s">
        <v>1826</v>
      </c>
      <c r="F8272" s="27" t="s">
        <v>1844</v>
      </c>
      <c r="H8272" s="27" t="s">
        <v>1853</v>
      </c>
      <c r="J8272" s="27" t="s">
        <v>1854</v>
      </c>
      <c r="L8272" s="27" t="s">
        <v>461</v>
      </c>
      <c r="N8272" s="27" t="s">
        <v>462</v>
      </c>
      <c r="P8272" s="27" t="s">
        <v>12934</v>
      </c>
      <c r="Q8272" s="26" t="str">
        <f>HYPERLINK("https://ictv.global/taxonomy/taxondetails?taxnode_id=202503210&amp;ictv_id=ICTV20041123","ICTV20041123")</f>
        <v>ICTV20041123</v>
      </c>
      <c r="R8272" t="s">
        <v>660</v>
      </c>
      <c r="S8272" t="s">
        <v>824</v>
      </c>
      <c r="T8272">
        <v>41</v>
      </c>
      <c r="U8272" s="26" t="str">
        <f t="shared" si="301"/>
        <v>2025.002G.Monodnaviria_reorg_4nr.zip</v>
      </c>
    </row>
    <row r="8273" spans="1:21">
      <c r="A8273">
        <v>8272</v>
      </c>
      <c r="B8273" s="27" t="s">
        <v>20779</v>
      </c>
      <c r="D8273" s="27" t="s">
        <v>1826</v>
      </c>
      <c r="F8273" s="27" t="s">
        <v>1844</v>
      </c>
      <c r="H8273" s="27" t="s">
        <v>1853</v>
      </c>
      <c r="J8273" s="27" t="s">
        <v>1854</v>
      </c>
      <c r="L8273" s="27" t="s">
        <v>461</v>
      </c>
      <c r="N8273" s="27" t="s">
        <v>462</v>
      </c>
      <c r="P8273" s="27" t="s">
        <v>12935</v>
      </c>
      <c r="Q8273" s="26" t="str">
        <f>HYPERLINK("https://ictv.global/taxonomy/taxondetails?taxnode_id=202503287&amp;ictv_id=ICTV20041150","ICTV20041150")</f>
        <v>ICTV20041150</v>
      </c>
      <c r="R8273" t="s">
        <v>660</v>
      </c>
      <c r="S8273" t="s">
        <v>824</v>
      </c>
      <c r="T8273">
        <v>41</v>
      </c>
      <c r="U8273" s="26" t="str">
        <f t="shared" si="301"/>
        <v>2025.002G.Monodnaviria_reorg_4nr.zip</v>
      </c>
    </row>
    <row r="8274" spans="1:21">
      <c r="A8274">
        <v>8273</v>
      </c>
      <c r="B8274" s="27" t="s">
        <v>20779</v>
      </c>
      <c r="D8274" s="27" t="s">
        <v>1826</v>
      </c>
      <c r="F8274" s="27" t="s">
        <v>1844</v>
      </c>
      <c r="H8274" s="27" t="s">
        <v>1853</v>
      </c>
      <c r="J8274" s="27" t="s">
        <v>1854</v>
      </c>
      <c r="L8274" s="27" t="s">
        <v>461</v>
      </c>
      <c r="N8274" s="27" t="s">
        <v>462</v>
      </c>
      <c r="P8274" s="27" t="s">
        <v>20068</v>
      </c>
      <c r="Q8274" s="26" t="str">
        <f>HYPERLINK("https://ictv.global/taxonomy/taxondetails?taxnode_id=202520466&amp;ictv_id=ICTV202420466","ICTV202420466")</f>
        <v>ICTV202420466</v>
      </c>
      <c r="R8274" t="s">
        <v>582</v>
      </c>
      <c r="S8274" t="s">
        <v>824</v>
      </c>
      <c r="T8274">
        <v>41</v>
      </c>
      <c r="U8274" s="26" t="str">
        <f t="shared" si="301"/>
        <v>2025.002G.Monodnaviria_reorg_4nr.zip</v>
      </c>
    </row>
    <row r="8275" spans="1:21">
      <c r="A8275">
        <v>8274</v>
      </c>
      <c r="B8275" s="27" t="s">
        <v>20779</v>
      </c>
      <c r="D8275" s="27" t="s">
        <v>1826</v>
      </c>
      <c r="F8275" s="27" t="s">
        <v>1844</v>
      </c>
      <c r="H8275" s="27" t="s">
        <v>1853</v>
      </c>
      <c r="J8275" s="27" t="s">
        <v>1854</v>
      </c>
      <c r="L8275" s="27" t="s">
        <v>461</v>
      </c>
      <c r="N8275" s="27" t="s">
        <v>462</v>
      </c>
      <c r="P8275" s="27" t="s">
        <v>21608</v>
      </c>
      <c r="Q8275" s="26" t="str">
        <f>HYPERLINK("https://ictv.global/taxonomy/taxondetails?taxnode_id=202522474&amp;ictv_id=ICTV202522474","ICTV202522474")</f>
        <v>ICTV202522474</v>
      </c>
      <c r="R8275" t="s">
        <v>582</v>
      </c>
      <c r="S8275" t="s">
        <v>823</v>
      </c>
      <c r="T8275">
        <v>41</v>
      </c>
      <c r="U8275" s="26" t="str">
        <f>HYPERLINK("https://ictv.global/ictv/proposals/2025.010P.Geminiviridae_Begomovirus_3nsp.zip","2025.010P.Geminiviridae_Begomovirus_3nsp.zip")</f>
        <v>2025.010P.Geminiviridae_Begomovirus_3nsp.zip</v>
      </c>
    </row>
    <row r="8276" spans="1:21">
      <c r="A8276">
        <v>8275</v>
      </c>
      <c r="B8276" s="27" t="s">
        <v>20779</v>
      </c>
      <c r="D8276" s="27" t="s">
        <v>1826</v>
      </c>
      <c r="F8276" s="27" t="s">
        <v>1844</v>
      </c>
      <c r="H8276" s="27" t="s">
        <v>1853</v>
      </c>
      <c r="J8276" s="27" t="s">
        <v>1854</v>
      </c>
      <c r="L8276" s="27" t="s">
        <v>461</v>
      </c>
      <c r="N8276" s="27" t="s">
        <v>462</v>
      </c>
      <c r="P8276" s="27" t="s">
        <v>12936</v>
      </c>
      <c r="Q8276" s="26" t="str">
        <f>HYPERLINK("https://ictv.global/taxonomy/taxondetails?taxnode_id=202503493&amp;ictv_id=ICTV19911662","ICTV19911662")</f>
        <v>ICTV19911662</v>
      </c>
      <c r="R8276" t="s">
        <v>660</v>
      </c>
      <c r="S8276" t="s">
        <v>824</v>
      </c>
      <c r="T8276">
        <v>41</v>
      </c>
      <c r="U8276" s="26" t="str">
        <f t="shared" ref="U8276:U8282" si="302">HYPERLINK("https://ictv.global/ictv/proposals/2025.002G.Monodnaviria_reorg_4nr.zip","2025.002G.Monodnaviria_reorg_4nr.zip")</f>
        <v>2025.002G.Monodnaviria_reorg_4nr.zip</v>
      </c>
    </row>
    <row r="8277" spans="1:21">
      <c r="A8277">
        <v>8276</v>
      </c>
      <c r="B8277" s="27" t="s">
        <v>20779</v>
      </c>
      <c r="D8277" s="27" t="s">
        <v>1826</v>
      </c>
      <c r="F8277" s="27" t="s">
        <v>1844</v>
      </c>
      <c r="H8277" s="27" t="s">
        <v>1853</v>
      </c>
      <c r="J8277" s="27" t="s">
        <v>1854</v>
      </c>
      <c r="L8277" s="27" t="s">
        <v>461</v>
      </c>
      <c r="N8277" s="27" t="s">
        <v>462</v>
      </c>
      <c r="P8277" s="27" t="s">
        <v>12937</v>
      </c>
      <c r="Q8277" s="26" t="str">
        <f>HYPERLINK("https://ictv.global/taxonomy/taxondetails?taxnode_id=202503213&amp;ictv_id=ICTV20131903","ICTV20131903")</f>
        <v>ICTV20131903</v>
      </c>
      <c r="R8277" t="s">
        <v>660</v>
      </c>
      <c r="S8277" t="s">
        <v>824</v>
      </c>
      <c r="T8277">
        <v>41</v>
      </c>
      <c r="U8277" s="26" t="str">
        <f t="shared" si="302"/>
        <v>2025.002G.Monodnaviria_reorg_4nr.zip</v>
      </c>
    </row>
    <row r="8278" spans="1:21">
      <c r="A8278">
        <v>8277</v>
      </c>
      <c r="B8278" s="27" t="s">
        <v>20779</v>
      </c>
      <c r="D8278" s="27" t="s">
        <v>1826</v>
      </c>
      <c r="F8278" s="27" t="s">
        <v>1844</v>
      </c>
      <c r="H8278" s="27" t="s">
        <v>1853</v>
      </c>
      <c r="J8278" s="27" t="s">
        <v>1854</v>
      </c>
      <c r="L8278" s="27" t="s">
        <v>461</v>
      </c>
      <c r="N8278" s="27" t="s">
        <v>462</v>
      </c>
      <c r="P8278" s="27" t="s">
        <v>12938</v>
      </c>
      <c r="Q8278" s="26" t="str">
        <f>HYPERLINK("https://ictv.global/taxonomy/taxondetails?taxnode_id=202503214&amp;ictv_id=ICTV20131904","ICTV20131904")</f>
        <v>ICTV20131904</v>
      </c>
      <c r="R8278" t="s">
        <v>660</v>
      </c>
      <c r="S8278" t="s">
        <v>824</v>
      </c>
      <c r="T8278">
        <v>41</v>
      </c>
      <c r="U8278" s="26" t="str">
        <f t="shared" si="302"/>
        <v>2025.002G.Monodnaviria_reorg_4nr.zip</v>
      </c>
    </row>
    <row r="8279" spans="1:21">
      <c r="A8279">
        <v>8278</v>
      </c>
      <c r="B8279" s="27" t="s">
        <v>20779</v>
      </c>
      <c r="D8279" s="27" t="s">
        <v>1826</v>
      </c>
      <c r="F8279" s="27" t="s">
        <v>1844</v>
      </c>
      <c r="H8279" s="27" t="s">
        <v>1853</v>
      </c>
      <c r="J8279" s="27" t="s">
        <v>1854</v>
      </c>
      <c r="L8279" s="27" t="s">
        <v>461</v>
      </c>
      <c r="N8279" s="27" t="s">
        <v>462</v>
      </c>
      <c r="P8279" s="27" t="s">
        <v>12939</v>
      </c>
      <c r="Q8279" s="26" t="str">
        <f>HYPERLINK("https://ictv.global/taxonomy/taxondetails?taxnode_id=202503216&amp;ictv_id=ICTV20152819","ICTV20152819")</f>
        <v>ICTV20152819</v>
      </c>
      <c r="R8279" t="s">
        <v>660</v>
      </c>
      <c r="S8279" t="s">
        <v>824</v>
      </c>
      <c r="T8279">
        <v>41</v>
      </c>
      <c r="U8279" s="26" t="str">
        <f t="shared" si="302"/>
        <v>2025.002G.Monodnaviria_reorg_4nr.zip</v>
      </c>
    </row>
    <row r="8280" spans="1:21">
      <c r="A8280">
        <v>8279</v>
      </c>
      <c r="B8280" s="27" t="s">
        <v>20779</v>
      </c>
      <c r="D8280" s="27" t="s">
        <v>1826</v>
      </c>
      <c r="F8280" s="27" t="s">
        <v>1844</v>
      </c>
      <c r="H8280" s="27" t="s">
        <v>1853</v>
      </c>
      <c r="J8280" s="27" t="s">
        <v>1854</v>
      </c>
      <c r="L8280" s="27" t="s">
        <v>461</v>
      </c>
      <c r="N8280" s="27" t="s">
        <v>462</v>
      </c>
      <c r="P8280" s="27" t="s">
        <v>12940</v>
      </c>
      <c r="Q8280" s="26" t="str">
        <f>HYPERLINK("https://ictv.global/taxonomy/taxondetails?taxnode_id=202503215&amp;ictv_id=ICTV20083843","ICTV20083843")</f>
        <v>ICTV20083843</v>
      </c>
      <c r="R8280" t="s">
        <v>660</v>
      </c>
      <c r="S8280" t="s">
        <v>824</v>
      </c>
      <c r="T8280">
        <v>41</v>
      </c>
      <c r="U8280" s="26" t="str">
        <f t="shared" si="302"/>
        <v>2025.002G.Monodnaviria_reorg_4nr.zip</v>
      </c>
    </row>
    <row r="8281" spans="1:21">
      <c r="A8281">
        <v>8280</v>
      </c>
      <c r="B8281" s="27" t="s">
        <v>20779</v>
      </c>
      <c r="D8281" s="27" t="s">
        <v>1826</v>
      </c>
      <c r="F8281" s="27" t="s">
        <v>1844</v>
      </c>
      <c r="H8281" s="27" t="s">
        <v>1853</v>
      </c>
      <c r="J8281" s="27" t="s">
        <v>1854</v>
      </c>
      <c r="L8281" s="27" t="s">
        <v>461</v>
      </c>
      <c r="N8281" s="27" t="s">
        <v>462</v>
      </c>
      <c r="P8281" s="27" t="s">
        <v>12941</v>
      </c>
      <c r="Q8281" s="26" t="str">
        <f>HYPERLINK("https://ictv.global/taxonomy/taxondetails?taxnode_id=202503217&amp;ictv_id=ICTV20152820","ICTV20152820")</f>
        <v>ICTV20152820</v>
      </c>
      <c r="R8281" t="s">
        <v>660</v>
      </c>
      <c r="S8281" t="s">
        <v>824</v>
      </c>
      <c r="T8281">
        <v>41</v>
      </c>
      <c r="U8281" s="26" t="str">
        <f t="shared" si="302"/>
        <v>2025.002G.Monodnaviria_reorg_4nr.zip</v>
      </c>
    </row>
    <row r="8282" spans="1:21">
      <c r="A8282">
        <v>8281</v>
      </c>
      <c r="B8282" s="27" t="s">
        <v>20779</v>
      </c>
      <c r="D8282" s="27" t="s">
        <v>1826</v>
      </c>
      <c r="F8282" s="27" t="s">
        <v>1844</v>
      </c>
      <c r="H8282" s="27" t="s">
        <v>1853</v>
      </c>
      <c r="J8282" s="27" t="s">
        <v>1854</v>
      </c>
      <c r="L8282" s="27" t="s">
        <v>461</v>
      </c>
      <c r="N8282" s="27" t="s">
        <v>462</v>
      </c>
      <c r="P8282" s="27" t="s">
        <v>12942</v>
      </c>
      <c r="Q8282" s="26" t="str">
        <f>HYPERLINK("https://ictv.global/taxonomy/taxondetails?taxnode_id=202503218&amp;ictv_id=ICTV20152821","ICTV20152821")</f>
        <v>ICTV20152821</v>
      </c>
      <c r="R8282" t="s">
        <v>660</v>
      </c>
      <c r="S8282" t="s">
        <v>824</v>
      </c>
      <c r="T8282">
        <v>41</v>
      </c>
      <c r="U8282" s="26" t="str">
        <f t="shared" si="302"/>
        <v>2025.002G.Monodnaviria_reorg_4nr.zip</v>
      </c>
    </row>
    <row r="8283" spans="1:21">
      <c r="A8283">
        <v>8282</v>
      </c>
      <c r="B8283" s="27" t="s">
        <v>20779</v>
      </c>
      <c r="D8283" s="27" t="s">
        <v>1826</v>
      </c>
      <c r="F8283" s="27" t="s">
        <v>1844</v>
      </c>
      <c r="H8283" s="27" t="s">
        <v>1853</v>
      </c>
      <c r="J8283" s="27" t="s">
        <v>1854</v>
      </c>
      <c r="L8283" s="27" t="s">
        <v>461</v>
      </c>
      <c r="N8283" s="27" t="s">
        <v>462</v>
      </c>
      <c r="P8283" s="27" t="s">
        <v>21606</v>
      </c>
      <c r="Q8283" s="26" t="str">
        <f>HYPERLINK("https://ictv.global/taxonomy/taxondetails?taxnode_id=202522472&amp;ictv_id=ICTV202522472","ICTV202522472")</f>
        <v>ICTV202522472</v>
      </c>
      <c r="R8283" t="s">
        <v>582</v>
      </c>
      <c r="S8283" t="s">
        <v>823</v>
      </c>
      <c r="T8283">
        <v>41</v>
      </c>
      <c r="U8283" s="26" t="str">
        <f>HYPERLINK("https://ictv.global/ictv/proposals/2025.010P.Geminiviridae_Begomovirus_3nsp.zip","2025.010P.Geminiviridae_Begomovirus_3nsp.zip")</f>
        <v>2025.010P.Geminiviridae_Begomovirus_3nsp.zip</v>
      </c>
    </row>
    <row r="8284" spans="1:21">
      <c r="A8284">
        <v>8283</v>
      </c>
      <c r="B8284" s="27" t="s">
        <v>20779</v>
      </c>
      <c r="D8284" s="27" t="s">
        <v>1826</v>
      </c>
      <c r="F8284" s="27" t="s">
        <v>1844</v>
      </c>
      <c r="H8284" s="27" t="s">
        <v>1853</v>
      </c>
      <c r="J8284" s="27" t="s">
        <v>1854</v>
      </c>
      <c r="L8284" s="27" t="s">
        <v>461</v>
      </c>
      <c r="N8284" s="27" t="s">
        <v>462</v>
      </c>
      <c r="P8284" s="27" t="s">
        <v>12943</v>
      </c>
      <c r="Q8284" s="26" t="str">
        <f>HYPERLINK("https://ictv.global/taxonomy/taxondetails?taxnode_id=202505791&amp;ictv_id=ICTV20175791","ICTV20175791")</f>
        <v>ICTV20175791</v>
      </c>
      <c r="R8284" t="s">
        <v>660</v>
      </c>
      <c r="S8284" t="s">
        <v>824</v>
      </c>
      <c r="T8284">
        <v>41</v>
      </c>
      <c r="U8284" s="26" t="str">
        <f t="shared" ref="U8284:U8315" si="303">HYPERLINK("https://ictv.global/ictv/proposals/2025.002G.Monodnaviria_reorg_4nr.zip","2025.002G.Monodnaviria_reorg_4nr.zip")</f>
        <v>2025.002G.Monodnaviria_reorg_4nr.zip</v>
      </c>
    </row>
    <row r="8285" spans="1:21">
      <c r="A8285">
        <v>8284</v>
      </c>
      <c r="B8285" s="27" t="s">
        <v>20779</v>
      </c>
      <c r="D8285" s="27" t="s">
        <v>1826</v>
      </c>
      <c r="F8285" s="27" t="s">
        <v>1844</v>
      </c>
      <c r="H8285" s="27" t="s">
        <v>1853</v>
      </c>
      <c r="J8285" s="27" t="s">
        <v>1854</v>
      </c>
      <c r="L8285" s="27" t="s">
        <v>461</v>
      </c>
      <c r="N8285" s="27" t="s">
        <v>462</v>
      </c>
      <c r="P8285" s="27" t="s">
        <v>12944</v>
      </c>
      <c r="Q8285" s="26" t="str">
        <f>HYPERLINK("https://ictv.global/taxonomy/taxondetails?taxnode_id=202505792&amp;ictv_id=ICTV20175792","ICTV20175792")</f>
        <v>ICTV20175792</v>
      </c>
      <c r="R8285" t="s">
        <v>660</v>
      </c>
      <c r="S8285" t="s">
        <v>824</v>
      </c>
      <c r="T8285">
        <v>41</v>
      </c>
      <c r="U8285" s="26" t="str">
        <f t="shared" si="303"/>
        <v>2025.002G.Monodnaviria_reorg_4nr.zip</v>
      </c>
    </row>
    <row r="8286" spans="1:21">
      <c r="A8286">
        <v>8285</v>
      </c>
      <c r="B8286" s="27" t="s">
        <v>20779</v>
      </c>
      <c r="D8286" s="27" t="s">
        <v>1826</v>
      </c>
      <c r="F8286" s="27" t="s">
        <v>1844</v>
      </c>
      <c r="H8286" s="27" t="s">
        <v>1853</v>
      </c>
      <c r="J8286" s="27" t="s">
        <v>1854</v>
      </c>
      <c r="L8286" s="27" t="s">
        <v>461</v>
      </c>
      <c r="N8286" s="27" t="s">
        <v>462</v>
      </c>
      <c r="P8286" s="27" t="s">
        <v>12945</v>
      </c>
      <c r="Q8286" s="26" t="str">
        <f>HYPERLINK("https://ictv.global/taxonomy/taxondetails?taxnode_id=202503484&amp;ictv_id=ICTV20073780","ICTV20073780")</f>
        <v>ICTV20073780</v>
      </c>
      <c r="R8286" t="s">
        <v>660</v>
      </c>
      <c r="S8286" t="s">
        <v>824</v>
      </c>
      <c r="T8286">
        <v>41</v>
      </c>
      <c r="U8286" s="26" t="str">
        <f t="shared" si="303"/>
        <v>2025.002G.Monodnaviria_reorg_4nr.zip</v>
      </c>
    </row>
    <row r="8287" spans="1:21">
      <c r="A8287">
        <v>8286</v>
      </c>
      <c r="B8287" s="27" t="s">
        <v>20779</v>
      </c>
      <c r="D8287" s="27" t="s">
        <v>1826</v>
      </c>
      <c r="F8287" s="27" t="s">
        <v>1844</v>
      </c>
      <c r="H8287" s="27" t="s">
        <v>1853</v>
      </c>
      <c r="J8287" s="27" t="s">
        <v>1854</v>
      </c>
      <c r="L8287" s="27" t="s">
        <v>461</v>
      </c>
      <c r="N8287" s="27" t="s">
        <v>462</v>
      </c>
      <c r="P8287" s="27" t="s">
        <v>12946</v>
      </c>
      <c r="Q8287" s="26" t="str">
        <f>HYPERLINK("https://ictv.global/taxonomy/taxondetails?taxnode_id=202509119&amp;ictv_id=ICTV202009119","ICTV202009119")</f>
        <v>ICTV202009119</v>
      </c>
      <c r="R8287" t="s">
        <v>660</v>
      </c>
      <c r="S8287" t="s">
        <v>824</v>
      </c>
      <c r="T8287">
        <v>41</v>
      </c>
      <c r="U8287" s="26" t="str">
        <f t="shared" si="303"/>
        <v>2025.002G.Monodnaviria_reorg_4nr.zip</v>
      </c>
    </row>
    <row r="8288" spans="1:21">
      <c r="A8288">
        <v>8287</v>
      </c>
      <c r="B8288" s="27" t="s">
        <v>20779</v>
      </c>
      <c r="D8288" s="27" t="s">
        <v>1826</v>
      </c>
      <c r="F8288" s="27" t="s">
        <v>1844</v>
      </c>
      <c r="H8288" s="27" t="s">
        <v>1853</v>
      </c>
      <c r="J8288" s="27" t="s">
        <v>1854</v>
      </c>
      <c r="L8288" s="27" t="s">
        <v>461</v>
      </c>
      <c r="N8288" s="27" t="s">
        <v>462</v>
      </c>
      <c r="P8288" s="27" t="s">
        <v>12947</v>
      </c>
      <c r="Q8288" s="26" t="str">
        <f>HYPERLINK("https://ictv.global/taxonomy/taxondetails?taxnode_id=202503220&amp;ictv_id=ICTV20083845","ICTV20083845")</f>
        <v>ICTV20083845</v>
      </c>
      <c r="R8288" t="s">
        <v>660</v>
      </c>
      <c r="S8288" t="s">
        <v>824</v>
      </c>
      <c r="T8288">
        <v>41</v>
      </c>
      <c r="U8288" s="26" t="str">
        <f t="shared" si="303"/>
        <v>2025.002G.Monodnaviria_reorg_4nr.zip</v>
      </c>
    </row>
    <row r="8289" spans="1:21">
      <c r="A8289">
        <v>8288</v>
      </c>
      <c r="B8289" s="27" t="s">
        <v>20779</v>
      </c>
      <c r="D8289" s="27" t="s">
        <v>1826</v>
      </c>
      <c r="F8289" s="27" t="s">
        <v>1844</v>
      </c>
      <c r="H8289" s="27" t="s">
        <v>1853</v>
      </c>
      <c r="J8289" s="27" t="s">
        <v>1854</v>
      </c>
      <c r="L8289" s="27" t="s">
        <v>461</v>
      </c>
      <c r="N8289" s="27" t="s">
        <v>462</v>
      </c>
      <c r="P8289" s="27" t="s">
        <v>12948</v>
      </c>
      <c r="Q8289" s="26" t="str">
        <f>HYPERLINK("https://ictv.global/taxonomy/taxondetails?taxnode_id=202503221&amp;ictv_id=ICTV20152822","ICTV20152822")</f>
        <v>ICTV20152822</v>
      </c>
      <c r="R8289" t="s">
        <v>660</v>
      </c>
      <c r="S8289" t="s">
        <v>824</v>
      </c>
      <c r="T8289">
        <v>41</v>
      </c>
      <c r="U8289" s="26" t="str">
        <f t="shared" si="303"/>
        <v>2025.002G.Monodnaviria_reorg_4nr.zip</v>
      </c>
    </row>
    <row r="8290" spans="1:21">
      <c r="A8290">
        <v>8289</v>
      </c>
      <c r="B8290" s="27" t="s">
        <v>20779</v>
      </c>
      <c r="D8290" s="27" t="s">
        <v>1826</v>
      </c>
      <c r="F8290" s="27" t="s">
        <v>1844</v>
      </c>
      <c r="H8290" s="27" t="s">
        <v>1853</v>
      </c>
      <c r="J8290" s="27" t="s">
        <v>1854</v>
      </c>
      <c r="L8290" s="27" t="s">
        <v>461</v>
      </c>
      <c r="N8290" s="27" t="s">
        <v>462</v>
      </c>
      <c r="P8290" s="27" t="s">
        <v>12949</v>
      </c>
      <c r="Q8290" s="26" t="str">
        <f>HYPERLINK("https://ictv.global/taxonomy/taxondetails?taxnode_id=202503219&amp;ictv_id=ICTV20083844","ICTV20083844")</f>
        <v>ICTV20083844</v>
      </c>
      <c r="R8290" t="s">
        <v>660</v>
      </c>
      <c r="S8290" t="s">
        <v>824</v>
      </c>
      <c r="T8290">
        <v>41</v>
      </c>
      <c r="U8290" s="26" t="str">
        <f t="shared" si="303"/>
        <v>2025.002G.Monodnaviria_reorg_4nr.zip</v>
      </c>
    </row>
    <row r="8291" spans="1:21">
      <c r="A8291">
        <v>8290</v>
      </c>
      <c r="B8291" s="27" t="s">
        <v>20779</v>
      </c>
      <c r="D8291" s="27" t="s">
        <v>1826</v>
      </c>
      <c r="F8291" s="27" t="s">
        <v>1844</v>
      </c>
      <c r="H8291" s="27" t="s">
        <v>1853</v>
      </c>
      <c r="J8291" s="27" t="s">
        <v>1854</v>
      </c>
      <c r="L8291" s="27" t="s">
        <v>461</v>
      </c>
      <c r="N8291" s="27" t="s">
        <v>462</v>
      </c>
      <c r="P8291" s="27" t="s">
        <v>12950</v>
      </c>
      <c r="Q8291" s="26" t="str">
        <f>HYPERLINK("https://ictv.global/taxonomy/taxondetails?taxnode_id=202503222&amp;ictv_id=ICTV20083846","ICTV20083846")</f>
        <v>ICTV20083846</v>
      </c>
      <c r="R8291" t="s">
        <v>660</v>
      </c>
      <c r="S8291" t="s">
        <v>824</v>
      </c>
      <c r="T8291">
        <v>41</v>
      </c>
      <c r="U8291" s="26" t="str">
        <f t="shared" si="303"/>
        <v>2025.002G.Monodnaviria_reorg_4nr.zip</v>
      </c>
    </row>
    <row r="8292" spans="1:21">
      <c r="A8292">
        <v>8291</v>
      </c>
      <c r="B8292" s="27" t="s">
        <v>20779</v>
      </c>
      <c r="D8292" s="27" t="s">
        <v>1826</v>
      </c>
      <c r="F8292" s="27" t="s">
        <v>1844</v>
      </c>
      <c r="H8292" s="27" t="s">
        <v>1853</v>
      </c>
      <c r="J8292" s="27" t="s">
        <v>1854</v>
      </c>
      <c r="L8292" s="27" t="s">
        <v>461</v>
      </c>
      <c r="N8292" s="27" t="s">
        <v>462</v>
      </c>
      <c r="P8292" s="27" t="s">
        <v>12951</v>
      </c>
      <c r="Q8292" s="26" t="str">
        <f>HYPERLINK("https://ictv.global/taxonomy/taxondetails?taxnode_id=202503190&amp;ictv_id=ICTV19981380","ICTV19981380")</f>
        <v>ICTV19981380</v>
      </c>
      <c r="R8292" t="s">
        <v>660</v>
      </c>
      <c r="S8292" t="s">
        <v>824</v>
      </c>
      <c r="T8292">
        <v>41</v>
      </c>
      <c r="U8292" s="26" t="str">
        <f t="shared" si="303"/>
        <v>2025.002G.Monodnaviria_reorg_4nr.zip</v>
      </c>
    </row>
    <row r="8293" spans="1:21">
      <c r="A8293">
        <v>8292</v>
      </c>
      <c r="B8293" s="27" t="s">
        <v>20779</v>
      </c>
      <c r="D8293" s="27" t="s">
        <v>1826</v>
      </c>
      <c r="F8293" s="27" t="s">
        <v>1844</v>
      </c>
      <c r="H8293" s="27" t="s">
        <v>1853</v>
      </c>
      <c r="J8293" s="27" t="s">
        <v>1854</v>
      </c>
      <c r="L8293" s="27" t="s">
        <v>461</v>
      </c>
      <c r="N8293" s="27" t="s">
        <v>462</v>
      </c>
      <c r="P8293" s="27" t="s">
        <v>12952</v>
      </c>
      <c r="Q8293" s="26" t="str">
        <f>HYPERLINK("https://ictv.global/taxonomy/taxondetails?taxnode_id=202503231&amp;ictv_id=ICTV20152824","ICTV20152824")</f>
        <v>ICTV20152824</v>
      </c>
      <c r="R8293" t="s">
        <v>660</v>
      </c>
      <c r="S8293" t="s">
        <v>824</v>
      </c>
      <c r="T8293">
        <v>41</v>
      </c>
      <c r="U8293" s="26" t="str">
        <f t="shared" si="303"/>
        <v>2025.002G.Monodnaviria_reorg_4nr.zip</v>
      </c>
    </row>
    <row r="8294" spans="1:21">
      <c r="A8294">
        <v>8293</v>
      </c>
      <c r="B8294" s="27" t="s">
        <v>20779</v>
      </c>
      <c r="D8294" s="27" t="s">
        <v>1826</v>
      </c>
      <c r="F8294" s="27" t="s">
        <v>1844</v>
      </c>
      <c r="H8294" s="27" t="s">
        <v>1853</v>
      </c>
      <c r="J8294" s="27" t="s">
        <v>1854</v>
      </c>
      <c r="L8294" s="27" t="s">
        <v>461</v>
      </c>
      <c r="N8294" s="27" t="s">
        <v>462</v>
      </c>
      <c r="P8294" s="27" t="s">
        <v>12953</v>
      </c>
      <c r="Q8294" s="26" t="str">
        <f>HYPERLINK("https://ictv.global/taxonomy/taxondetails?taxnode_id=202503378&amp;ictv_id=ICTV20152849","ICTV20152849")</f>
        <v>ICTV20152849</v>
      </c>
      <c r="R8294" t="s">
        <v>660</v>
      </c>
      <c r="S8294" t="s">
        <v>824</v>
      </c>
      <c r="T8294">
        <v>41</v>
      </c>
      <c r="U8294" s="26" t="str">
        <f t="shared" si="303"/>
        <v>2025.002G.Monodnaviria_reorg_4nr.zip</v>
      </c>
    </row>
    <row r="8295" spans="1:21">
      <c r="A8295">
        <v>8294</v>
      </c>
      <c r="B8295" s="27" t="s">
        <v>20779</v>
      </c>
      <c r="D8295" s="27" t="s">
        <v>1826</v>
      </c>
      <c r="F8295" s="27" t="s">
        <v>1844</v>
      </c>
      <c r="H8295" s="27" t="s">
        <v>1853</v>
      </c>
      <c r="J8295" s="27" t="s">
        <v>1854</v>
      </c>
      <c r="L8295" s="27" t="s">
        <v>461</v>
      </c>
      <c r="N8295" s="27" t="s">
        <v>462</v>
      </c>
      <c r="P8295" s="27" t="s">
        <v>12954</v>
      </c>
      <c r="Q8295" s="26" t="str">
        <f>HYPERLINK("https://ictv.global/taxonomy/taxondetails?taxnode_id=202503232&amp;ictv_id=ICTV20041132","ICTV20041132")</f>
        <v>ICTV20041132</v>
      </c>
      <c r="R8295" t="s">
        <v>660</v>
      </c>
      <c r="S8295" t="s">
        <v>824</v>
      </c>
      <c r="T8295">
        <v>41</v>
      </c>
      <c r="U8295" s="26" t="str">
        <f t="shared" si="303"/>
        <v>2025.002G.Monodnaviria_reorg_4nr.zip</v>
      </c>
    </row>
    <row r="8296" spans="1:21">
      <c r="A8296">
        <v>8295</v>
      </c>
      <c r="B8296" s="27" t="s">
        <v>20779</v>
      </c>
      <c r="D8296" s="27" t="s">
        <v>1826</v>
      </c>
      <c r="F8296" s="27" t="s">
        <v>1844</v>
      </c>
      <c r="H8296" s="27" t="s">
        <v>1853</v>
      </c>
      <c r="J8296" s="27" t="s">
        <v>1854</v>
      </c>
      <c r="L8296" s="27" t="s">
        <v>461</v>
      </c>
      <c r="N8296" s="27" t="s">
        <v>462</v>
      </c>
      <c r="P8296" s="27" t="s">
        <v>12955</v>
      </c>
      <c r="Q8296" s="26" t="str">
        <f>HYPERLINK("https://ictv.global/taxonomy/taxondetails?taxnode_id=202507521&amp;ictv_id=ICTV201907521","ICTV201907521")</f>
        <v>ICTV201907521</v>
      </c>
      <c r="R8296" t="s">
        <v>660</v>
      </c>
      <c r="S8296" t="s">
        <v>824</v>
      </c>
      <c r="T8296">
        <v>41</v>
      </c>
      <c r="U8296" s="26" t="str">
        <f t="shared" si="303"/>
        <v>2025.002G.Monodnaviria_reorg_4nr.zip</v>
      </c>
    </row>
    <row r="8297" spans="1:21">
      <c r="A8297">
        <v>8296</v>
      </c>
      <c r="B8297" s="27" t="s">
        <v>20779</v>
      </c>
      <c r="D8297" s="27" t="s">
        <v>1826</v>
      </c>
      <c r="F8297" s="27" t="s">
        <v>1844</v>
      </c>
      <c r="H8297" s="27" t="s">
        <v>1853</v>
      </c>
      <c r="J8297" s="27" t="s">
        <v>1854</v>
      </c>
      <c r="L8297" s="27" t="s">
        <v>461</v>
      </c>
      <c r="N8297" s="27" t="s">
        <v>462</v>
      </c>
      <c r="P8297" s="27" t="s">
        <v>12956</v>
      </c>
      <c r="Q8297" s="26" t="str">
        <f>HYPERLINK("https://ictv.global/taxonomy/taxondetails?taxnode_id=202509120&amp;ictv_id=ICTV202009120","ICTV202009120")</f>
        <v>ICTV202009120</v>
      </c>
      <c r="R8297" t="s">
        <v>660</v>
      </c>
      <c r="S8297" t="s">
        <v>824</v>
      </c>
      <c r="T8297">
        <v>41</v>
      </c>
      <c r="U8297" s="26" t="str">
        <f t="shared" si="303"/>
        <v>2025.002G.Monodnaviria_reorg_4nr.zip</v>
      </c>
    </row>
    <row r="8298" spans="1:21">
      <c r="A8298">
        <v>8297</v>
      </c>
      <c r="B8298" s="27" t="s">
        <v>20779</v>
      </c>
      <c r="D8298" s="27" t="s">
        <v>1826</v>
      </c>
      <c r="F8298" s="27" t="s">
        <v>1844</v>
      </c>
      <c r="H8298" s="27" t="s">
        <v>1853</v>
      </c>
      <c r="J8298" s="27" t="s">
        <v>1854</v>
      </c>
      <c r="L8298" s="27" t="s">
        <v>461</v>
      </c>
      <c r="N8298" s="27" t="s">
        <v>462</v>
      </c>
      <c r="P8298" s="27" t="s">
        <v>12957</v>
      </c>
      <c r="Q8298" s="26" t="str">
        <f>HYPERLINK("https://ictv.global/taxonomy/taxondetails?taxnode_id=202507526&amp;ictv_id=ICTV201907526","ICTV201907526")</f>
        <v>ICTV201907526</v>
      </c>
      <c r="R8298" t="s">
        <v>660</v>
      </c>
      <c r="S8298" t="s">
        <v>824</v>
      </c>
      <c r="T8298">
        <v>41</v>
      </c>
      <c r="U8298" s="26" t="str">
        <f t="shared" si="303"/>
        <v>2025.002G.Monodnaviria_reorg_4nr.zip</v>
      </c>
    </row>
    <row r="8299" spans="1:21">
      <c r="A8299">
        <v>8298</v>
      </c>
      <c r="B8299" s="27" t="s">
        <v>20779</v>
      </c>
      <c r="D8299" s="27" t="s">
        <v>1826</v>
      </c>
      <c r="F8299" s="27" t="s">
        <v>1844</v>
      </c>
      <c r="H8299" s="27" t="s">
        <v>1853</v>
      </c>
      <c r="J8299" s="27" t="s">
        <v>1854</v>
      </c>
      <c r="L8299" s="27" t="s">
        <v>461</v>
      </c>
      <c r="N8299" s="27" t="s">
        <v>462</v>
      </c>
      <c r="P8299" s="27" t="s">
        <v>12958</v>
      </c>
      <c r="Q8299" s="26" t="str">
        <f>HYPERLINK("https://ictv.global/taxonomy/taxondetails?taxnode_id=202503288&amp;ictv_id=ICTV20131922","ICTV20131922")</f>
        <v>ICTV20131922</v>
      </c>
      <c r="R8299" t="s">
        <v>660</v>
      </c>
      <c r="S8299" t="s">
        <v>824</v>
      </c>
      <c r="T8299">
        <v>41</v>
      </c>
      <c r="U8299" s="26" t="str">
        <f t="shared" si="303"/>
        <v>2025.002G.Monodnaviria_reorg_4nr.zip</v>
      </c>
    </row>
    <row r="8300" spans="1:21">
      <c r="A8300">
        <v>8299</v>
      </c>
      <c r="B8300" s="27" t="s">
        <v>20779</v>
      </c>
      <c r="D8300" s="27" t="s">
        <v>1826</v>
      </c>
      <c r="F8300" s="27" t="s">
        <v>1844</v>
      </c>
      <c r="H8300" s="27" t="s">
        <v>1853</v>
      </c>
      <c r="J8300" s="27" t="s">
        <v>1854</v>
      </c>
      <c r="L8300" s="27" t="s">
        <v>461</v>
      </c>
      <c r="N8300" s="27" t="s">
        <v>462</v>
      </c>
      <c r="P8300" s="27" t="s">
        <v>12959</v>
      </c>
      <c r="Q8300" s="26" t="str">
        <f>HYPERLINK("https://ictv.global/taxonomy/taxondetails?taxnode_id=202503371&amp;ictv_id=ICTV19981421","ICTV19981421")</f>
        <v>ICTV19981421</v>
      </c>
      <c r="R8300" t="s">
        <v>660</v>
      </c>
      <c r="S8300" t="s">
        <v>824</v>
      </c>
      <c r="T8300">
        <v>41</v>
      </c>
      <c r="U8300" s="26" t="str">
        <f t="shared" si="303"/>
        <v>2025.002G.Monodnaviria_reorg_4nr.zip</v>
      </c>
    </row>
    <row r="8301" spans="1:21">
      <c r="A8301">
        <v>8300</v>
      </c>
      <c r="B8301" s="27" t="s">
        <v>20779</v>
      </c>
      <c r="D8301" s="27" t="s">
        <v>1826</v>
      </c>
      <c r="F8301" s="27" t="s">
        <v>1844</v>
      </c>
      <c r="H8301" s="27" t="s">
        <v>1853</v>
      </c>
      <c r="J8301" s="27" t="s">
        <v>1854</v>
      </c>
      <c r="L8301" s="27" t="s">
        <v>461</v>
      </c>
      <c r="N8301" s="27" t="s">
        <v>462</v>
      </c>
      <c r="P8301" s="27" t="s">
        <v>12960</v>
      </c>
      <c r="Q8301" s="26" t="str">
        <f>HYPERLINK("https://ictv.global/taxonomy/taxondetails?taxnode_id=202503233&amp;ictv_id=ICTV20041133","ICTV20041133")</f>
        <v>ICTV20041133</v>
      </c>
      <c r="R8301" t="s">
        <v>660</v>
      </c>
      <c r="S8301" t="s">
        <v>824</v>
      </c>
      <c r="T8301">
        <v>41</v>
      </c>
      <c r="U8301" s="26" t="str">
        <f t="shared" si="303"/>
        <v>2025.002G.Monodnaviria_reorg_4nr.zip</v>
      </c>
    </row>
    <row r="8302" spans="1:21">
      <c r="A8302">
        <v>8301</v>
      </c>
      <c r="B8302" s="27" t="s">
        <v>20779</v>
      </c>
      <c r="D8302" s="27" t="s">
        <v>1826</v>
      </c>
      <c r="F8302" s="27" t="s">
        <v>1844</v>
      </c>
      <c r="H8302" s="27" t="s">
        <v>1853</v>
      </c>
      <c r="J8302" s="27" t="s">
        <v>1854</v>
      </c>
      <c r="L8302" s="27" t="s">
        <v>461</v>
      </c>
      <c r="N8302" s="27" t="s">
        <v>462</v>
      </c>
      <c r="P8302" s="27" t="s">
        <v>12961</v>
      </c>
      <c r="Q8302" s="26" t="str">
        <f>HYPERLINK("https://ictv.global/taxonomy/taxondetails?taxnode_id=202503320&amp;ictv_id=ICTV20083915","ICTV20083915")</f>
        <v>ICTV20083915</v>
      </c>
      <c r="R8302" t="s">
        <v>660</v>
      </c>
      <c r="S8302" t="s">
        <v>824</v>
      </c>
      <c r="T8302">
        <v>41</v>
      </c>
      <c r="U8302" s="26" t="str">
        <f t="shared" si="303"/>
        <v>2025.002G.Monodnaviria_reorg_4nr.zip</v>
      </c>
    </row>
    <row r="8303" spans="1:21">
      <c r="A8303">
        <v>8302</v>
      </c>
      <c r="B8303" s="27" t="s">
        <v>20779</v>
      </c>
      <c r="D8303" s="27" t="s">
        <v>1826</v>
      </c>
      <c r="F8303" s="27" t="s">
        <v>1844</v>
      </c>
      <c r="H8303" s="27" t="s">
        <v>1853</v>
      </c>
      <c r="J8303" s="27" t="s">
        <v>1854</v>
      </c>
      <c r="L8303" s="27" t="s">
        <v>461</v>
      </c>
      <c r="N8303" s="27" t="s">
        <v>462</v>
      </c>
      <c r="P8303" s="27" t="s">
        <v>12962</v>
      </c>
      <c r="Q8303" s="26" t="str">
        <f>HYPERLINK("https://ictv.global/taxonomy/taxondetails?taxnode_id=202503373&amp;ictv_id=ICTV19871307","ICTV19871307")</f>
        <v>ICTV19871307</v>
      </c>
      <c r="R8303" t="s">
        <v>660</v>
      </c>
      <c r="S8303" t="s">
        <v>824</v>
      </c>
      <c r="T8303">
        <v>41</v>
      </c>
      <c r="U8303" s="26" t="str">
        <f t="shared" si="303"/>
        <v>2025.002G.Monodnaviria_reorg_4nr.zip</v>
      </c>
    </row>
    <row r="8304" spans="1:21">
      <c r="A8304">
        <v>8303</v>
      </c>
      <c r="B8304" s="27" t="s">
        <v>20779</v>
      </c>
      <c r="D8304" s="27" t="s">
        <v>1826</v>
      </c>
      <c r="F8304" s="27" t="s">
        <v>1844</v>
      </c>
      <c r="H8304" s="27" t="s">
        <v>1853</v>
      </c>
      <c r="J8304" s="27" t="s">
        <v>1854</v>
      </c>
      <c r="L8304" s="27" t="s">
        <v>461</v>
      </c>
      <c r="N8304" s="27" t="s">
        <v>462</v>
      </c>
      <c r="P8304" s="27" t="s">
        <v>12963</v>
      </c>
      <c r="Q8304" s="26" t="str">
        <f>HYPERLINK("https://ictv.global/taxonomy/taxondetails?taxnode_id=202503372&amp;ictv_id=ICTV20073733","ICTV20073733")</f>
        <v>ICTV20073733</v>
      </c>
      <c r="R8304" t="s">
        <v>660</v>
      </c>
      <c r="S8304" t="s">
        <v>824</v>
      </c>
      <c r="T8304">
        <v>41</v>
      </c>
      <c r="U8304" s="26" t="str">
        <f t="shared" si="303"/>
        <v>2025.002G.Monodnaviria_reorg_4nr.zip</v>
      </c>
    </row>
    <row r="8305" spans="1:21">
      <c r="A8305">
        <v>8304</v>
      </c>
      <c r="B8305" s="27" t="s">
        <v>20779</v>
      </c>
      <c r="D8305" s="27" t="s">
        <v>1826</v>
      </c>
      <c r="F8305" s="27" t="s">
        <v>1844</v>
      </c>
      <c r="H8305" s="27" t="s">
        <v>1853</v>
      </c>
      <c r="J8305" s="27" t="s">
        <v>1854</v>
      </c>
      <c r="L8305" s="27" t="s">
        <v>461</v>
      </c>
      <c r="N8305" s="27" t="s">
        <v>462</v>
      </c>
      <c r="P8305" s="27" t="s">
        <v>12964</v>
      </c>
      <c r="Q8305" s="26" t="str">
        <f>HYPERLINK("https://ictv.global/taxonomy/taxondetails?taxnode_id=202503375&amp;ictv_id=ICTV20041181","ICTV20041181")</f>
        <v>ICTV20041181</v>
      </c>
      <c r="R8305" t="s">
        <v>660</v>
      </c>
      <c r="S8305" t="s">
        <v>824</v>
      </c>
      <c r="T8305">
        <v>41</v>
      </c>
      <c r="U8305" s="26" t="str">
        <f t="shared" si="303"/>
        <v>2025.002G.Monodnaviria_reorg_4nr.zip</v>
      </c>
    </row>
    <row r="8306" spans="1:21">
      <c r="A8306">
        <v>8305</v>
      </c>
      <c r="B8306" s="27" t="s">
        <v>20779</v>
      </c>
      <c r="D8306" s="27" t="s">
        <v>1826</v>
      </c>
      <c r="F8306" s="27" t="s">
        <v>1844</v>
      </c>
      <c r="H8306" s="27" t="s">
        <v>1853</v>
      </c>
      <c r="J8306" s="27" t="s">
        <v>1854</v>
      </c>
      <c r="L8306" s="27" t="s">
        <v>461</v>
      </c>
      <c r="N8306" s="27" t="s">
        <v>462</v>
      </c>
      <c r="P8306" s="27" t="s">
        <v>12965</v>
      </c>
      <c r="Q8306" s="26" t="str">
        <f>HYPERLINK("https://ictv.global/taxonomy/taxondetails?taxnode_id=202503374&amp;ictv_id=ICTV20041180","ICTV20041180")</f>
        <v>ICTV20041180</v>
      </c>
      <c r="R8306" t="s">
        <v>660</v>
      </c>
      <c r="S8306" t="s">
        <v>824</v>
      </c>
      <c r="T8306">
        <v>41</v>
      </c>
      <c r="U8306" s="26" t="str">
        <f t="shared" si="303"/>
        <v>2025.002G.Monodnaviria_reorg_4nr.zip</v>
      </c>
    </row>
    <row r="8307" spans="1:21">
      <c r="A8307">
        <v>8306</v>
      </c>
      <c r="B8307" s="27" t="s">
        <v>20779</v>
      </c>
      <c r="D8307" s="27" t="s">
        <v>1826</v>
      </c>
      <c r="F8307" s="27" t="s">
        <v>1844</v>
      </c>
      <c r="H8307" s="27" t="s">
        <v>1853</v>
      </c>
      <c r="J8307" s="27" t="s">
        <v>1854</v>
      </c>
      <c r="L8307" s="27" t="s">
        <v>461</v>
      </c>
      <c r="N8307" s="27" t="s">
        <v>462</v>
      </c>
      <c r="P8307" s="27" t="s">
        <v>12966</v>
      </c>
      <c r="Q8307" s="26" t="str">
        <f>HYPERLINK("https://ictv.global/taxonomy/taxondetails?taxnode_id=202503234&amp;ictv_id=ICTV20131905","ICTV20131905")</f>
        <v>ICTV20131905</v>
      </c>
      <c r="R8307" t="s">
        <v>660</v>
      </c>
      <c r="S8307" t="s">
        <v>824</v>
      </c>
      <c r="T8307">
        <v>41</v>
      </c>
      <c r="U8307" s="26" t="str">
        <f t="shared" si="303"/>
        <v>2025.002G.Monodnaviria_reorg_4nr.zip</v>
      </c>
    </row>
    <row r="8308" spans="1:21">
      <c r="A8308">
        <v>8307</v>
      </c>
      <c r="B8308" s="27" t="s">
        <v>20779</v>
      </c>
      <c r="D8308" s="27" t="s">
        <v>1826</v>
      </c>
      <c r="F8308" s="27" t="s">
        <v>1844</v>
      </c>
      <c r="H8308" s="27" t="s">
        <v>1853</v>
      </c>
      <c r="J8308" s="27" t="s">
        <v>1854</v>
      </c>
      <c r="L8308" s="27" t="s">
        <v>461</v>
      </c>
      <c r="N8308" s="27" t="s">
        <v>462</v>
      </c>
      <c r="P8308" s="27" t="s">
        <v>12967</v>
      </c>
      <c r="Q8308" s="26" t="str">
        <f>HYPERLINK("https://ictv.global/taxonomy/taxondetails?taxnode_id=202503235&amp;ictv_id=ICTV20131906","ICTV20131906")</f>
        <v>ICTV20131906</v>
      </c>
      <c r="R8308" t="s">
        <v>660</v>
      </c>
      <c r="S8308" t="s">
        <v>824</v>
      </c>
      <c r="T8308">
        <v>41</v>
      </c>
      <c r="U8308" s="26" t="str">
        <f t="shared" si="303"/>
        <v>2025.002G.Monodnaviria_reorg_4nr.zip</v>
      </c>
    </row>
    <row r="8309" spans="1:21">
      <c r="A8309">
        <v>8308</v>
      </c>
      <c r="B8309" s="27" t="s">
        <v>20779</v>
      </c>
      <c r="D8309" s="27" t="s">
        <v>1826</v>
      </c>
      <c r="F8309" s="27" t="s">
        <v>1844</v>
      </c>
      <c r="H8309" s="27" t="s">
        <v>1853</v>
      </c>
      <c r="J8309" s="27" t="s">
        <v>1854</v>
      </c>
      <c r="L8309" s="27" t="s">
        <v>461</v>
      </c>
      <c r="N8309" s="27" t="s">
        <v>462</v>
      </c>
      <c r="P8309" s="27" t="s">
        <v>12968</v>
      </c>
      <c r="Q8309" s="26" t="str">
        <f>HYPERLINK("https://ictv.global/taxonomy/taxondetails?taxnode_id=202506700&amp;ictv_id=ICTV201856700","ICTV201856700")</f>
        <v>ICTV201856700</v>
      </c>
      <c r="R8309" t="s">
        <v>660</v>
      </c>
      <c r="S8309" t="s">
        <v>824</v>
      </c>
      <c r="T8309">
        <v>41</v>
      </c>
      <c r="U8309" s="26" t="str">
        <f t="shared" si="303"/>
        <v>2025.002G.Monodnaviria_reorg_4nr.zip</v>
      </c>
    </row>
    <row r="8310" spans="1:21">
      <c r="A8310">
        <v>8309</v>
      </c>
      <c r="B8310" s="27" t="s">
        <v>20779</v>
      </c>
      <c r="D8310" s="27" t="s">
        <v>1826</v>
      </c>
      <c r="F8310" s="27" t="s">
        <v>1844</v>
      </c>
      <c r="H8310" s="27" t="s">
        <v>1853</v>
      </c>
      <c r="J8310" s="27" t="s">
        <v>1854</v>
      </c>
      <c r="L8310" s="27" t="s">
        <v>461</v>
      </c>
      <c r="N8310" s="27" t="s">
        <v>462</v>
      </c>
      <c r="P8310" s="27" t="s">
        <v>12969</v>
      </c>
      <c r="Q8310" s="26" t="str">
        <f>HYPERLINK("https://ictv.global/taxonomy/taxondetails?taxnode_id=202505797&amp;ictv_id=ICTV20175797","ICTV20175797")</f>
        <v>ICTV20175797</v>
      </c>
      <c r="R8310" t="s">
        <v>660</v>
      </c>
      <c r="S8310" t="s">
        <v>824</v>
      </c>
      <c r="T8310">
        <v>41</v>
      </c>
      <c r="U8310" s="26" t="str">
        <f t="shared" si="303"/>
        <v>2025.002G.Monodnaviria_reorg_4nr.zip</v>
      </c>
    </row>
    <row r="8311" spans="1:21">
      <c r="A8311">
        <v>8310</v>
      </c>
      <c r="B8311" s="27" t="s">
        <v>20779</v>
      </c>
      <c r="D8311" s="27" t="s">
        <v>1826</v>
      </c>
      <c r="F8311" s="27" t="s">
        <v>1844</v>
      </c>
      <c r="H8311" s="27" t="s">
        <v>1853</v>
      </c>
      <c r="J8311" s="27" t="s">
        <v>1854</v>
      </c>
      <c r="L8311" s="27" t="s">
        <v>461</v>
      </c>
      <c r="N8311" s="27" t="s">
        <v>462</v>
      </c>
      <c r="P8311" s="27" t="s">
        <v>12970</v>
      </c>
      <c r="Q8311" s="26" t="str">
        <f>HYPERLINK("https://ictv.global/taxonomy/taxondetails?taxnode_id=202505798&amp;ictv_id=ICTV20175798","ICTV20175798")</f>
        <v>ICTV20175798</v>
      </c>
      <c r="R8311" t="s">
        <v>660</v>
      </c>
      <c r="S8311" t="s">
        <v>824</v>
      </c>
      <c r="T8311">
        <v>41</v>
      </c>
      <c r="U8311" s="26" t="str">
        <f t="shared" si="303"/>
        <v>2025.002G.Monodnaviria_reorg_4nr.zip</v>
      </c>
    </row>
    <row r="8312" spans="1:21">
      <c r="A8312">
        <v>8311</v>
      </c>
      <c r="B8312" s="27" t="s">
        <v>20779</v>
      </c>
      <c r="D8312" s="27" t="s">
        <v>1826</v>
      </c>
      <c r="F8312" s="27" t="s">
        <v>1844</v>
      </c>
      <c r="H8312" s="27" t="s">
        <v>1853</v>
      </c>
      <c r="J8312" s="27" t="s">
        <v>1854</v>
      </c>
      <c r="L8312" s="27" t="s">
        <v>461</v>
      </c>
      <c r="N8312" s="27" t="s">
        <v>462</v>
      </c>
      <c r="P8312" s="27" t="s">
        <v>12971</v>
      </c>
      <c r="Q8312" s="26" t="str">
        <f>HYPERLINK("https://ictv.global/taxonomy/taxondetails?taxnode_id=202503236&amp;ictv_id=ICTV20083856","ICTV20083856")</f>
        <v>ICTV20083856</v>
      </c>
      <c r="R8312" t="s">
        <v>660</v>
      </c>
      <c r="S8312" t="s">
        <v>824</v>
      </c>
      <c r="T8312">
        <v>41</v>
      </c>
      <c r="U8312" s="26" t="str">
        <f t="shared" si="303"/>
        <v>2025.002G.Monodnaviria_reorg_4nr.zip</v>
      </c>
    </row>
    <row r="8313" spans="1:21">
      <c r="A8313">
        <v>8312</v>
      </c>
      <c r="B8313" s="27" t="s">
        <v>20779</v>
      </c>
      <c r="D8313" s="27" t="s">
        <v>1826</v>
      </c>
      <c r="F8313" s="27" t="s">
        <v>1844</v>
      </c>
      <c r="H8313" s="27" t="s">
        <v>1853</v>
      </c>
      <c r="J8313" s="27" t="s">
        <v>1854</v>
      </c>
      <c r="L8313" s="27" t="s">
        <v>461</v>
      </c>
      <c r="N8313" s="27" t="s">
        <v>462</v>
      </c>
      <c r="P8313" s="27" t="s">
        <v>12972</v>
      </c>
      <c r="Q8313" s="26" t="str">
        <f>HYPERLINK("https://ictv.global/taxonomy/taxondetails?taxnode_id=202503237&amp;ictv_id=ICTV20083857","ICTV20083857")</f>
        <v>ICTV20083857</v>
      </c>
      <c r="R8313" t="s">
        <v>660</v>
      </c>
      <c r="S8313" t="s">
        <v>824</v>
      </c>
      <c r="T8313">
        <v>41</v>
      </c>
      <c r="U8313" s="26" t="str">
        <f t="shared" si="303"/>
        <v>2025.002G.Monodnaviria_reorg_4nr.zip</v>
      </c>
    </row>
    <row r="8314" spans="1:21">
      <c r="A8314">
        <v>8313</v>
      </c>
      <c r="B8314" s="27" t="s">
        <v>20779</v>
      </c>
      <c r="D8314" s="27" t="s">
        <v>1826</v>
      </c>
      <c r="F8314" s="27" t="s">
        <v>1844</v>
      </c>
      <c r="H8314" s="27" t="s">
        <v>1853</v>
      </c>
      <c r="J8314" s="27" t="s">
        <v>1854</v>
      </c>
      <c r="L8314" s="27" t="s">
        <v>461</v>
      </c>
      <c r="N8314" s="27" t="s">
        <v>462</v>
      </c>
      <c r="P8314" s="27" t="s">
        <v>12973</v>
      </c>
      <c r="Q8314" s="26" t="str">
        <f>HYPERLINK("https://ictv.global/taxonomy/taxondetails?taxnode_id=202503238&amp;ictv_id=ICTV20041134","ICTV20041134")</f>
        <v>ICTV20041134</v>
      </c>
      <c r="R8314" t="s">
        <v>660</v>
      </c>
      <c r="S8314" t="s">
        <v>824</v>
      </c>
      <c r="T8314">
        <v>41</v>
      </c>
      <c r="U8314" s="26" t="str">
        <f t="shared" si="303"/>
        <v>2025.002G.Monodnaviria_reorg_4nr.zip</v>
      </c>
    </row>
    <row r="8315" spans="1:21">
      <c r="A8315">
        <v>8314</v>
      </c>
      <c r="B8315" s="27" t="s">
        <v>20779</v>
      </c>
      <c r="D8315" s="27" t="s">
        <v>1826</v>
      </c>
      <c r="F8315" s="27" t="s">
        <v>1844</v>
      </c>
      <c r="H8315" s="27" t="s">
        <v>1853</v>
      </c>
      <c r="J8315" s="27" t="s">
        <v>1854</v>
      </c>
      <c r="L8315" s="27" t="s">
        <v>461</v>
      </c>
      <c r="N8315" s="27" t="s">
        <v>462</v>
      </c>
      <c r="P8315" s="27" t="s">
        <v>12974</v>
      </c>
      <c r="Q8315" s="26" t="str">
        <f>HYPERLINK("https://ictv.global/taxonomy/taxondetails?taxnode_id=202503239&amp;ictv_id=ICTV20073690","ICTV20073690")</f>
        <v>ICTV20073690</v>
      </c>
      <c r="R8315" t="s">
        <v>660</v>
      </c>
      <c r="S8315" t="s">
        <v>824</v>
      </c>
      <c r="T8315">
        <v>41</v>
      </c>
      <c r="U8315" s="26" t="str">
        <f t="shared" si="303"/>
        <v>2025.002G.Monodnaviria_reorg_4nr.zip</v>
      </c>
    </row>
    <row r="8316" spans="1:21">
      <c r="A8316">
        <v>8315</v>
      </c>
      <c r="B8316" s="27" t="s">
        <v>20779</v>
      </c>
      <c r="D8316" s="27" t="s">
        <v>1826</v>
      </c>
      <c r="F8316" s="27" t="s">
        <v>1844</v>
      </c>
      <c r="H8316" s="27" t="s">
        <v>1853</v>
      </c>
      <c r="J8316" s="27" t="s">
        <v>1854</v>
      </c>
      <c r="L8316" s="27" t="s">
        <v>461</v>
      </c>
      <c r="N8316" s="27" t="s">
        <v>462</v>
      </c>
      <c r="P8316" s="27" t="s">
        <v>12975</v>
      </c>
      <c r="Q8316" s="26" t="str">
        <f>HYPERLINK("https://ictv.global/taxonomy/taxondetails?taxnode_id=202505799&amp;ictv_id=ICTV20175799","ICTV20175799")</f>
        <v>ICTV20175799</v>
      </c>
      <c r="R8316" t="s">
        <v>660</v>
      </c>
      <c r="S8316" t="s">
        <v>824</v>
      </c>
      <c r="T8316">
        <v>41</v>
      </c>
      <c r="U8316" s="26" t="str">
        <f t="shared" ref="U8316:U8347" si="304">HYPERLINK("https://ictv.global/ictv/proposals/2025.002G.Monodnaviria_reorg_4nr.zip","2025.002G.Monodnaviria_reorg_4nr.zip")</f>
        <v>2025.002G.Monodnaviria_reorg_4nr.zip</v>
      </c>
    </row>
    <row r="8317" spans="1:21">
      <c r="A8317">
        <v>8316</v>
      </c>
      <c r="B8317" s="27" t="s">
        <v>20779</v>
      </c>
      <c r="D8317" s="27" t="s">
        <v>1826</v>
      </c>
      <c r="F8317" s="27" t="s">
        <v>1844</v>
      </c>
      <c r="H8317" s="27" t="s">
        <v>1853</v>
      </c>
      <c r="J8317" s="27" t="s">
        <v>1854</v>
      </c>
      <c r="L8317" s="27" t="s">
        <v>461</v>
      </c>
      <c r="N8317" s="27" t="s">
        <v>462</v>
      </c>
      <c r="P8317" s="27" t="s">
        <v>12976</v>
      </c>
      <c r="Q8317" s="26" t="str">
        <f>HYPERLINK("https://ictv.global/taxonomy/taxondetails?taxnode_id=202506701&amp;ictv_id=ICTV201856701","ICTV201856701")</f>
        <v>ICTV201856701</v>
      </c>
      <c r="R8317" t="s">
        <v>660</v>
      </c>
      <c r="S8317" t="s">
        <v>824</v>
      </c>
      <c r="T8317">
        <v>41</v>
      </c>
      <c r="U8317" s="26" t="str">
        <f t="shared" si="304"/>
        <v>2025.002G.Monodnaviria_reorg_4nr.zip</v>
      </c>
    </row>
    <row r="8318" spans="1:21">
      <c r="A8318">
        <v>8317</v>
      </c>
      <c r="B8318" s="27" t="s">
        <v>20779</v>
      </c>
      <c r="D8318" s="27" t="s">
        <v>1826</v>
      </c>
      <c r="F8318" s="27" t="s">
        <v>1844</v>
      </c>
      <c r="H8318" s="27" t="s">
        <v>1853</v>
      </c>
      <c r="J8318" s="27" t="s">
        <v>1854</v>
      </c>
      <c r="L8318" s="27" t="s">
        <v>461</v>
      </c>
      <c r="N8318" s="27" t="s">
        <v>462</v>
      </c>
      <c r="P8318" s="27" t="s">
        <v>12977</v>
      </c>
      <c r="Q8318" s="26" t="str">
        <f>HYPERLINK("https://ictv.global/taxonomy/taxondetails?taxnode_id=202503245&amp;ictv_id=ICTV20152825","ICTV20152825")</f>
        <v>ICTV20152825</v>
      </c>
      <c r="R8318" t="s">
        <v>660</v>
      </c>
      <c r="S8318" t="s">
        <v>824</v>
      </c>
      <c r="T8318">
        <v>41</v>
      </c>
      <c r="U8318" s="26" t="str">
        <f t="shared" si="304"/>
        <v>2025.002G.Monodnaviria_reorg_4nr.zip</v>
      </c>
    </row>
    <row r="8319" spans="1:21">
      <c r="A8319">
        <v>8318</v>
      </c>
      <c r="B8319" s="27" t="s">
        <v>20779</v>
      </c>
      <c r="D8319" s="27" t="s">
        <v>1826</v>
      </c>
      <c r="F8319" s="27" t="s">
        <v>1844</v>
      </c>
      <c r="H8319" s="27" t="s">
        <v>1853</v>
      </c>
      <c r="J8319" s="27" t="s">
        <v>1854</v>
      </c>
      <c r="L8319" s="27" t="s">
        <v>461</v>
      </c>
      <c r="N8319" s="27" t="s">
        <v>462</v>
      </c>
      <c r="P8319" s="27" t="s">
        <v>12978</v>
      </c>
      <c r="Q8319" s="26" t="str">
        <f>HYPERLINK("https://ictv.global/taxonomy/taxondetails?taxnode_id=202507522&amp;ictv_id=ICTV201907522","ICTV201907522")</f>
        <v>ICTV201907522</v>
      </c>
      <c r="R8319" t="s">
        <v>660</v>
      </c>
      <c r="S8319" t="s">
        <v>824</v>
      </c>
      <c r="T8319">
        <v>41</v>
      </c>
      <c r="U8319" s="26" t="str">
        <f t="shared" si="304"/>
        <v>2025.002G.Monodnaviria_reorg_4nr.zip</v>
      </c>
    </row>
    <row r="8320" spans="1:21">
      <c r="A8320">
        <v>8319</v>
      </c>
      <c r="B8320" s="27" t="s">
        <v>20779</v>
      </c>
      <c r="D8320" s="27" t="s">
        <v>1826</v>
      </c>
      <c r="F8320" s="27" t="s">
        <v>1844</v>
      </c>
      <c r="H8320" s="27" t="s">
        <v>1853</v>
      </c>
      <c r="J8320" s="27" t="s">
        <v>1854</v>
      </c>
      <c r="L8320" s="27" t="s">
        <v>461</v>
      </c>
      <c r="N8320" s="27" t="s">
        <v>462</v>
      </c>
      <c r="P8320" s="27" t="s">
        <v>12979</v>
      </c>
      <c r="Q8320" s="26" t="str">
        <f>HYPERLINK("https://ictv.global/taxonomy/taxondetails?taxnode_id=202506702&amp;ictv_id=ICTV201856702","ICTV201856702")</f>
        <v>ICTV201856702</v>
      </c>
      <c r="R8320" t="s">
        <v>660</v>
      </c>
      <c r="S8320" t="s">
        <v>824</v>
      </c>
      <c r="T8320">
        <v>41</v>
      </c>
      <c r="U8320" s="26" t="str">
        <f t="shared" si="304"/>
        <v>2025.002G.Monodnaviria_reorg_4nr.zip</v>
      </c>
    </row>
    <row r="8321" spans="1:21">
      <c r="A8321">
        <v>8320</v>
      </c>
      <c r="B8321" s="27" t="s">
        <v>20779</v>
      </c>
      <c r="D8321" s="27" t="s">
        <v>1826</v>
      </c>
      <c r="F8321" s="27" t="s">
        <v>1844</v>
      </c>
      <c r="H8321" s="27" t="s">
        <v>1853</v>
      </c>
      <c r="J8321" s="27" t="s">
        <v>1854</v>
      </c>
      <c r="L8321" s="27" t="s">
        <v>461</v>
      </c>
      <c r="N8321" s="27" t="s">
        <v>462</v>
      </c>
      <c r="P8321" s="27" t="s">
        <v>12980</v>
      </c>
      <c r="Q8321" s="26" t="str">
        <f>HYPERLINK("https://ictv.global/taxonomy/taxondetails?taxnode_id=202503246&amp;ictv_id=ICTV20083865","ICTV20083865")</f>
        <v>ICTV20083865</v>
      </c>
      <c r="R8321" t="s">
        <v>660</v>
      </c>
      <c r="S8321" t="s">
        <v>824</v>
      </c>
      <c r="T8321">
        <v>41</v>
      </c>
      <c r="U8321" s="26" t="str">
        <f t="shared" si="304"/>
        <v>2025.002G.Monodnaviria_reorg_4nr.zip</v>
      </c>
    </row>
    <row r="8322" spans="1:21">
      <c r="A8322">
        <v>8321</v>
      </c>
      <c r="B8322" s="27" t="s">
        <v>20779</v>
      </c>
      <c r="D8322" s="27" t="s">
        <v>1826</v>
      </c>
      <c r="F8322" s="27" t="s">
        <v>1844</v>
      </c>
      <c r="H8322" s="27" t="s">
        <v>1853</v>
      </c>
      <c r="J8322" s="27" t="s">
        <v>1854</v>
      </c>
      <c r="L8322" s="27" t="s">
        <v>461</v>
      </c>
      <c r="N8322" s="27" t="s">
        <v>462</v>
      </c>
      <c r="P8322" s="27" t="s">
        <v>12981</v>
      </c>
      <c r="Q8322" s="26" t="str">
        <f>HYPERLINK("https://ictv.global/taxonomy/taxondetails?taxnode_id=202503248&amp;ictv_id=ICTV20041140","ICTV20041140")</f>
        <v>ICTV20041140</v>
      </c>
      <c r="R8322" t="s">
        <v>660</v>
      </c>
      <c r="S8322" t="s">
        <v>824</v>
      </c>
      <c r="T8322">
        <v>41</v>
      </c>
      <c r="U8322" s="26" t="str">
        <f t="shared" si="304"/>
        <v>2025.002G.Monodnaviria_reorg_4nr.zip</v>
      </c>
    </row>
    <row r="8323" spans="1:21">
      <c r="A8323">
        <v>8322</v>
      </c>
      <c r="B8323" s="27" t="s">
        <v>20779</v>
      </c>
      <c r="D8323" s="27" t="s">
        <v>1826</v>
      </c>
      <c r="F8323" s="27" t="s">
        <v>1844</v>
      </c>
      <c r="H8323" s="27" t="s">
        <v>1853</v>
      </c>
      <c r="J8323" s="27" t="s">
        <v>1854</v>
      </c>
      <c r="L8323" s="27" t="s">
        <v>461</v>
      </c>
      <c r="N8323" s="27" t="s">
        <v>462</v>
      </c>
      <c r="P8323" s="27" t="s">
        <v>12982</v>
      </c>
      <c r="Q8323" s="26" t="str">
        <f>HYPERLINK("https://ictv.global/taxonomy/taxondetails?taxnode_id=202503250&amp;ictv_id=ICTV20074906","ICTV20074906")</f>
        <v>ICTV20074906</v>
      </c>
      <c r="R8323" t="s">
        <v>660</v>
      </c>
      <c r="S8323" t="s">
        <v>824</v>
      </c>
      <c r="T8323">
        <v>41</v>
      </c>
      <c r="U8323" s="26" t="str">
        <f t="shared" si="304"/>
        <v>2025.002G.Monodnaviria_reorg_4nr.zip</v>
      </c>
    </row>
    <row r="8324" spans="1:21">
      <c r="A8324">
        <v>8323</v>
      </c>
      <c r="B8324" s="27" t="s">
        <v>20779</v>
      </c>
      <c r="D8324" s="27" t="s">
        <v>1826</v>
      </c>
      <c r="F8324" s="27" t="s">
        <v>1844</v>
      </c>
      <c r="H8324" s="27" t="s">
        <v>1853</v>
      </c>
      <c r="J8324" s="27" t="s">
        <v>1854</v>
      </c>
      <c r="L8324" s="27" t="s">
        <v>461</v>
      </c>
      <c r="N8324" s="27" t="s">
        <v>462</v>
      </c>
      <c r="P8324" s="27" t="s">
        <v>12983</v>
      </c>
      <c r="Q8324" s="26" t="str">
        <f>HYPERLINK("https://ictv.global/taxonomy/taxondetails?taxnode_id=202505801&amp;ictv_id=ICTV20175801","ICTV20175801")</f>
        <v>ICTV20175801</v>
      </c>
      <c r="R8324" t="s">
        <v>660</v>
      </c>
      <c r="S8324" t="s">
        <v>824</v>
      </c>
      <c r="T8324">
        <v>41</v>
      </c>
      <c r="U8324" s="26" t="str">
        <f t="shared" si="304"/>
        <v>2025.002G.Monodnaviria_reorg_4nr.zip</v>
      </c>
    </row>
    <row r="8325" spans="1:21">
      <c r="A8325">
        <v>8324</v>
      </c>
      <c r="B8325" s="27" t="s">
        <v>20779</v>
      </c>
      <c r="D8325" s="27" t="s">
        <v>1826</v>
      </c>
      <c r="F8325" s="27" t="s">
        <v>1844</v>
      </c>
      <c r="H8325" s="27" t="s">
        <v>1853</v>
      </c>
      <c r="J8325" s="27" t="s">
        <v>1854</v>
      </c>
      <c r="L8325" s="27" t="s">
        <v>461</v>
      </c>
      <c r="N8325" s="27" t="s">
        <v>462</v>
      </c>
      <c r="P8325" s="27" t="s">
        <v>12984</v>
      </c>
      <c r="Q8325" s="26" t="str">
        <f>HYPERLINK("https://ictv.global/taxonomy/taxondetails?taxnode_id=202503249&amp;ictv_id=ICTV20083868","ICTV20083868")</f>
        <v>ICTV20083868</v>
      </c>
      <c r="R8325" t="s">
        <v>660</v>
      </c>
      <c r="S8325" t="s">
        <v>824</v>
      </c>
      <c r="T8325">
        <v>41</v>
      </c>
      <c r="U8325" s="26" t="str">
        <f t="shared" si="304"/>
        <v>2025.002G.Monodnaviria_reorg_4nr.zip</v>
      </c>
    </row>
    <row r="8326" spans="1:21">
      <c r="A8326">
        <v>8325</v>
      </c>
      <c r="B8326" s="27" t="s">
        <v>20779</v>
      </c>
      <c r="D8326" s="27" t="s">
        <v>1826</v>
      </c>
      <c r="F8326" s="27" t="s">
        <v>1844</v>
      </c>
      <c r="H8326" s="27" t="s">
        <v>1853</v>
      </c>
      <c r="J8326" s="27" t="s">
        <v>1854</v>
      </c>
      <c r="L8326" s="27" t="s">
        <v>461</v>
      </c>
      <c r="N8326" s="27" t="s">
        <v>462</v>
      </c>
      <c r="P8326" s="27" t="s">
        <v>12985</v>
      </c>
      <c r="Q8326" s="26" t="str">
        <f>HYPERLINK("https://ictv.global/taxonomy/taxondetails?taxnode_id=202503251&amp;ictv_id=ICTV20083870","ICTV20083870")</f>
        <v>ICTV20083870</v>
      </c>
      <c r="R8326" t="s">
        <v>660</v>
      </c>
      <c r="S8326" t="s">
        <v>824</v>
      </c>
      <c r="T8326">
        <v>41</v>
      </c>
      <c r="U8326" s="26" t="str">
        <f t="shared" si="304"/>
        <v>2025.002G.Monodnaviria_reorg_4nr.zip</v>
      </c>
    </row>
    <row r="8327" spans="1:21">
      <c r="A8327">
        <v>8326</v>
      </c>
      <c r="B8327" s="27" t="s">
        <v>20779</v>
      </c>
      <c r="D8327" s="27" t="s">
        <v>1826</v>
      </c>
      <c r="F8327" s="27" t="s">
        <v>1844</v>
      </c>
      <c r="H8327" s="27" t="s">
        <v>1853</v>
      </c>
      <c r="J8327" s="27" t="s">
        <v>1854</v>
      </c>
      <c r="L8327" s="27" t="s">
        <v>461</v>
      </c>
      <c r="N8327" s="27" t="s">
        <v>462</v>
      </c>
      <c r="P8327" s="27" t="s">
        <v>12986</v>
      </c>
      <c r="Q8327" s="26" t="str">
        <f>HYPERLINK("https://ictv.global/taxonomy/taxondetails?taxnode_id=202503252&amp;ictv_id=ICTV20131908","ICTV20131908")</f>
        <v>ICTV20131908</v>
      </c>
      <c r="R8327" t="s">
        <v>660</v>
      </c>
      <c r="S8327" t="s">
        <v>824</v>
      </c>
      <c r="T8327">
        <v>41</v>
      </c>
      <c r="U8327" s="26" t="str">
        <f t="shared" si="304"/>
        <v>2025.002G.Monodnaviria_reorg_4nr.zip</v>
      </c>
    </row>
    <row r="8328" spans="1:21">
      <c r="A8328">
        <v>8327</v>
      </c>
      <c r="B8328" s="27" t="s">
        <v>20779</v>
      </c>
      <c r="D8328" s="27" t="s">
        <v>1826</v>
      </c>
      <c r="F8328" s="27" t="s">
        <v>1844</v>
      </c>
      <c r="H8328" s="27" t="s">
        <v>1853</v>
      </c>
      <c r="J8328" s="27" t="s">
        <v>1854</v>
      </c>
      <c r="L8328" s="27" t="s">
        <v>461</v>
      </c>
      <c r="N8328" s="27" t="s">
        <v>462</v>
      </c>
      <c r="P8328" s="27" t="s">
        <v>12987</v>
      </c>
      <c r="Q8328" s="26" t="str">
        <f>HYPERLINK("https://ictv.global/taxonomy/taxondetails?taxnode_id=202505800&amp;ictv_id=ICTV20175800","ICTV20175800")</f>
        <v>ICTV20175800</v>
      </c>
      <c r="R8328" t="s">
        <v>660</v>
      </c>
      <c r="S8328" t="s">
        <v>824</v>
      </c>
      <c r="T8328">
        <v>41</v>
      </c>
      <c r="U8328" s="26" t="str">
        <f t="shared" si="304"/>
        <v>2025.002G.Monodnaviria_reorg_4nr.zip</v>
      </c>
    </row>
    <row r="8329" spans="1:21">
      <c r="A8329">
        <v>8328</v>
      </c>
      <c r="B8329" s="27" t="s">
        <v>20779</v>
      </c>
      <c r="D8329" s="27" t="s">
        <v>1826</v>
      </c>
      <c r="F8329" s="27" t="s">
        <v>1844</v>
      </c>
      <c r="H8329" s="27" t="s">
        <v>1853</v>
      </c>
      <c r="J8329" s="27" t="s">
        <v>1854</v>
      </c>
      <c r="L8329" s="27" t="s">
        <v>461</v>
      </c>
      <c r="N8329" s="27" t="s">
        <v>462</v>
      </c>
      <c r="P8329" s="27" t="s">
        <v>20069</v>
      </c>
      <c r="Q8329" s="26" t="str">
        <f>HYPERLINK("https://ictv.global/taxonomy/taxondetails?taxnode_id=202520483&amp;ictv_id=ICTV202420483","ICTV202420483")</f>
        <v>ICTV202420483</v>
      </c>
      <c r="R8329" t="s">
        <v>582</v>
      </c>
      <c r="S8329" t="s">
        <v>824</v>
      </c>
      <c r="T8329">
        <v>41</v>
      </c>
      <c r="U8329" s="26" t="str">
        <f t="shared" si="304"/>
        <v>2025.002G.Monodnaviria_reorg_4nr.zip</v>
      </c>
    </row>
    <row r="8330" spans="1:21">
      <c r="A8330">
        <v>8329</v>
      </c>
      <c r="B8330" s="27" t="s">
        <v>20779</v>
      </c>
      <c r="D8330" s="27" t="s">
        <v>1826</v>
      </c>
      <c r="F8330" s="27" t="s">
        <v>1844</v>
      </c>
      <c r="H8330" s="27" t="s">
        <v>1853</v>
      </c>
      <c r="J8330" s="27" t="s">
        <v>1854</v>
      </c>
      <c r="L8330" s="27" t="s">
        <v>461</v>
      </c>
      <c r="N8330" s="27" t="s">
        <v>462</v>
      </c>
      <c r="P8330" s="27" t="s">
        <v>20070</v>
      </c>
      <c r="Q8330" s="26" t="str">
        <f>HYPERLINK("https://ictv.global/taxonomy/taxondetails?taxnode_id=202520475&amp;ictv_id=ICTV202420475","ICTV202420475")</f>
        <v>ICTV202420475</v>
      </c>
      <c r="R8330" t="s">
        <v>582</v>
      </c>
      <c r="S8330" t="s">
        <v>824</v>
      </c>
      <c r="T8330">
        <v>41</v>
      </c>
      <c r="U8330" s="26" t="str">
        <f t="shared" si="304"/>
        <v>2025.002G.Monodnaviria_reorg_4nr.zip</v>
      </c>
    </row>
    <row r="8331" spans="1:21">
      <c r="A8331">
        <v>8330</v>
      </c>
      <c r="B8331" s="27" t="s">
        <v>20779</v>
      </c>
      <c r="D8331" s="27" t="s">
        <v>1826</v>
      </c>
      <c r="F8331" s="27" t="s">
        <v>1844</v>
      </c>
      <c r="H8331" s="27" t="s">
        <v>1853</v>
      </c>
      <c r="J8331" s="27" t="s">
        <v>1854</v>
      </c>
      <c r="L8331" s="27" t="s">
        <v>461</v>
      </c>
      <c r="N8331" s="27" t="s">
        <v>462</v>
      </c>
      <c r="P8331" s="27" t="s">
        <v>12988</v>
      </c>
      <c r="Q8331" s="26" t="str">
        <f>HYPERLINK("https://ictv.global/taxonomy/taxondetails?taxnode_id=202503367&amp;ictv_id=ICTV20152847","ICTV20152847")</f>
        <v>ICTV20152847</v>
      </c>
      <c r="R8331" t="s">
        <v>660</v>
      </c>
      <c r="S8331" t="s">
        <v>824</v>
      </c>
      <c r="T8331">
        <v>41</v>
      </c>
      <c r="U8331" s="26" t="str">
        <f t="shared" si="304"/>
        <v>2025.002G.Monodnaviria_reorg_4nr.zip</v>
      </c>
    </row>
    <row r="8332" spans="1:21">
      <c r="A8332">
        <v>8331</v>
      </c>
      <c r="B8332" s="27" t="s">
        <v>20779</v>
      </c>
      <c r="D8332" s="27" t="s">
        <v>1826</v>
      </c>
      <c r="F8332" s="27" t="s">
        <v>1844</v>
      </c>
      <c r="H8332" s="27" t="s">
        <v>1853</v>
      </c>
      <c r="J8332" s="27" t="s">
        <v>1854</v>
      </c>
      <c r="L8332" s="27" t="s">
        <v>461</v>
      </c>
      <c r="N8332" s="27" t="s">
        <v>462</v>
      </c>
      <c r="P8332" s="27" t="s">
        <v>12989</v>
      </c>
      <c r="Q8332" s="26" t="str">
        <f>HYPERLINK("https://ictv.global/taxonomy/taxondetails?taxnode_id=202503368&amp;ictv_id=ICTV20131950","ICTV20131950")</f>
        <v>ICTV20131950</v>
      </c>
      <c r="R8332" t="s">
        <v>660</v>
      </c>
      <c r="S8332" t="s">
        <v>824</v>
      </c>
      <c r="T8332">
        <v>41</v>
      </c>
      <c r="U8332" s="26" t="str">
        <f t="shared" si="304"/>
        <v>2025.002G.Monodnaviria_reorg_4nr.zip</v>
      </c>
    </row>
    <row r="8333" spans="1:21">
      <c r="A8333">
        <v>8332</v>
      </c>
      <c r="B8333" s="27" t="s">
        <v>20779</v>
      </c>
      <c r="D8333" s="27" t="s">
        <v>1826</v>
      </c>
      <c r="F8333" s="27" t="s">
        <v>1844</v>
      </c>
      <c r="H8333" s="27" t="s">
        <v>1853</v>
      </c>
      <c r="J8333" s="27" t="s">
        <v>1854</v>
      </c>
      <c r="L8333" s="27" t="s">
        <v>461</v>
      </c>
      <c r="N8333" s="27" t="s">
        <v>462</v>
      </c>
      <c r="P8333" s="27" t="s">
        <v>12990</v>
      </c>
      <c r="Q8333" s="26" t="str">
        <f>HYPERLINK("https://ictv.global/taxonomy/taxondetails?taxnode_id=202503366&amp;ictv_id=ICTV20083937","ICTV20083937")</f>
        <v>ICTV20083937</v>
      </c>
      <c r="R8333" t="s">
        <v>660</v>
      </c>
      <c r="S8333" t="s">
        <v>824</v>
      </c>
      <c r="T8333">
        <v>41</v>
      </c>
      <c r="U8333" s="26" t="str">
        <f t="shared" si="304"/>
        <v>2025.002G.Monodnaviria_reorg_4nr.zip</v>
      </c>
    </row>
    <row r="8334" spans="1:21">
      <c r="A8334">
        <v>8333</v>
      </c>
      <c r="B8334" s="27" t="s">
        <v>20779</v>
      </c>
      <c r="D8334" s="27" t="s">
        <v>1826</v>
      </c>
      <c r="F8334" s="27" t="s">
        <v>1844</v>
      </c>
      <c r="H8334" s="27" t="s">
        <v>1853</v>
      </c>
      <c r="J8334" s="27" t="s">
        <v>1854</v>
      </c>
      <c r="L8334" s="27" t="s">
        <v>461</v>
      </c>
      <c r="N8334" s="27" t="s">
        <v>462</v>
      </c>
      <c r="P8334" s="27" t="s">
        <v>12991</v>
      </c>
      <c r="Q8334" s="26" t="str">
        <f>HYPERLINK("https://ictv.global/taxonomy/taxondetails?taxnode_id=202503225&amp;ictv_id=ICTV20041126","ICTV20041126")</f>
        <v>ICTV20041126</v>
      </c>
      <c r="R8334" t="s">
        <v>660</v>
      </c>
      <c r="S8334" t="s">
        <v>824</v>
      </c>
      <c r="T8334">
        <v>41</v>
      </c>
      <c r="U8334" s="26" t="str">
        <f t="shared" si="304"/>
        <v>2025.002G.Monodnaviria_reorg_4nr.zip</v>
      </c>
    </row>
    <row r="8335" spans="1:21">
      <c r="A8335">
        <v>8334</v>
      </c>
      <c r="B8335" s="27" t="s">
        <v>20779</v>
      </c>
      <c r="D8335" s="27" t="s">
        <v>1826</v>
      </c>
      <c r="F8335" s="27" t="s">
        <v>1844</v>
      </c>
      <c r="H8335" s="27" t="s">
        <v>1853</v>
      </c>
      <c r="J8335" s="27" t="s">
        <v>1854</v>
      </c>
      <c r="L8335" s="27" t="s">
        <v>461</v>
      </c>
      <c r="N8335" s="27" t="s">
        <v>462</v>
      </c>
      <c r="P8335" s="27" t="s">
        <v>12992</v>
      </c>
      <c r="Q8335" s="26" t="str">
        <f>HYPERLINK("https://ictv.global/taxonomy/taxondetails?taxnode_id=202503226&amp;ictv_id=ICTV20083849","ICTV20083849")</f>
        <v>ICTV20083849</v>
      </c>
      <c r="R8335" t="s">
        <v>660</v>
      </c>
      <c r="S8335" t="s">
        <v>824</v>
      </c>
      <c r="T8335">
        <v>41</v>
      </c>
      <c r="U8335" s="26" t="str">
        <f t="shared" si="304"/>
        <v>2025.002G.Monodnaviria_reorg_4nr.zip</v>
      </c>
    </row>
    <row r="8336" spans="1:21">
      <c r="A8336">
        <v>8335</v>
      </c>
      <c r="B8336" s="27" t="s">
        <v>20779</v>
      </c>
      <c r="D8336" s="27" t="s">
        <v>1826</v>
      </c>
      <c r="F8336" s="27" t="s">
        <v>1844</v>
      </c>
      <c r="H8336" s="27" t="s">
        <v>1853</v>
      </c>
      <c r="J8336" s="27" t="s">
        <v>1854</v>
      </c>
      <c r="L8336" s="27" t="s">
        <v>461</v>
      </c>
      <c r="N8336" s="27" t="s">
        <v>462</v>
      </c>
      <c r="P8336" s="27" t="s">
        <v>12993</v>
      </c>
      <c r="Q8336" s="26" t="str">
        <f>HYPERLINK("https://ictv.global/taxonomy/taxondetails?taxnode_id=202505795&amp;ictv_id=ICTV20175795","ICTV20175795")</f>
        <v>ICTV20175795</v>
      </c>
      <c r="R8336" t="s">
        <v>660</v>
      </c>
      <c r="S8336" t="s">
        <v>824</v>
      </c>
      <c r="T8336">
        <v>41</v>
      </c>
      <c r="U8336" s="26" t="str">
        <f t="shared" si="304"/>
        <v>2025.002G.Monodnaviria_reorg_4nr.zip</v>
      </c>
    </row>
    <row r="8337" spans="1:21">
      <c r="A8337">
        <v>8336</v>
      </c>
      <c r="B8337" s="27" t="s">
        <v>20779</v>
      </c>
      <c r="D8337" s="27" t="s">
        <v>1826</v>
      </c>
      <c r="F8337" s="27" t="s">
        <v>1844</v>
      </c>
      <c r="H8337" s="27" t="s">
        <v>1853</v>
      </c>
      <c r="J8337" s="27" t="s">
        <v>1854</v>
      </c>
      <c r="L8337" s="27" t="s">
        <v>461</v>
      </c>
      <c r="N8337" s="27" t="s">
        <v>462</v>
      </c>
      <c r="P8337" s="27" t="s">
        <v>12994</v>
      </c>
      <c r="Q8337" s="26" t="str">
        <f>HYPERLINK("https://ictv.global/taxonomy/taxondetails?taxnode_id=202505796&amp;ictv_id=ICTV20175796","ICTV20175796")</f>
        <v>ICTV20175796</v>
      </c>
      <c r="R8337" t="s">
        <v>660</v>
      </c>
      <c r="S8337" t="s">
        <v>824</v>
      </c>
      <c r="T8337">
        <v>41</v>
      </c>
      <c r="U8337" s="26" t="str">
        <f t="shared" si="304"/>
        <v>2025.002G.Monodnaviria_reorg_4nr.zip</v>
      </c>
    </row>
    <row r="8338" spans="1:21">
      <c r="A8338">
        <v>8337</v>
      </c>
      <c r="B8338" s="27" t="s">
        <v>20779</v>
      </c>
      <c r="D8338" s="27" t="s">
        <v>1826</v>
      </c>
      <c r="F8338" s="27" t="s">
        <v>1844</v>
      </c>
      <c r="H8338" s="27" t="s">
        <v>1853</v>
      </c>
      <c r="J8338" s="27" t="s">
        <v>1854</v>
      </c>
      <c r="L8338" s="27" t="s">
        <v>461</v>
      </c>
      <c r="N8338" s="27" t="s">
        <v>462</v>
      </c>
      <c r="P8338" s="27" t="s">
        <v>12995</v>
      </c>
      <c r="Q8338" s="26" t="str">
        <f>HYPERLINK("https://ictv.global/taxonomy/taxondetails?taxnode_id=202503227&amp;ictv_id=ICTV20041127","ICTV20041127")</f>
        <v>ICTV20041127</v>
      </c>
      <c r="R8338" t="s">
        <v>660</v>
      </c>
      <c r="S8338" t="s">
        <v>824</v>
      </c>
      <c r="T8338">
        <v>41</v>
      </c>
      <c r="U8338" s="26" t="str">
        <f t="shared" si="304"/>
        <v>2025.002G.Monodnaviria_reorg_4nr.zip</v>
      </c>
    </row>
    <row r="8339" spans="1:21">
      <c r="A8339">
        <v>8338</v>
      </c>
      <c r="B8339" s="27" t="s">
        <v>20779</v>
      </c>
      <c r="D8339" s="27" t="s">
        <v>1826</v>
      </c>
      <c r="F8339" s="27" t="s">
        <v>1844</v>
      </c>
      <c r="H8339" s="27" t="s">
        <v>1853</v>
      </c>
      <c r="J8339" s="27" t="s">
        <v>1854</v>
      </c>
      <c r="L8339" s="27" t="s">
        <v>461</v>
      </c>
      <c r="N8339" s="27" t="s">
        <v>462</v>
      </c>
      <c r="P8339" s="27" t="s">
        <v>12996</v>
      </c>
      <c r="Q8339" s="26" t="str">
        <f>HYPERLINK("https://ictv.global/taxonomy/taxondetails?taxnode_id=202503224&amp;ictv_id=ICTV19911642","ICTV19911642")</f>
        <v>ICTV19911642</v>
      </c>
      <c r="R8339" t="s">
        <v>660</v>
      </c>
      <c r="S8339" t="s">
        <v>824</v>
      </c>
      <c r="T8339">
        <v>41</v>
      </c>
      <c r="U8339" s="26" t="str">
        <f t="shared" si="304"/>
        <v>2025.002G.Monodnaviria_reorg_4nr.zip</v>
      </c>
    </row>
    <row r="8340" spans="1:21">
      <c r="A8340">
        <v>8339</v>
      </c>
      <c r="B8340" s="27" t="s">
        <v>20779</v>
      </c>
      <c r="D8340" s="27" t="s">
        <v>1826</v>
      </c>
      <c r="F8340" s="27" t="s">
        <v>1844</v>
      </c>
      <c r="H8340" s="27" t="s">
        <v>1853</v>
      </c>
      <c r="J8340" s="27" t="s">
        <v>1854</v>
      </c>
      <c r="L8340" s="27" t="s">
        <v>461</v>
      </c>
      <c r="N8340" s="27" t="s">
        <v>462</v>
      </c>
      <c r="P8340" s="27" t="s">
        <v>12997</v>
      </c>
      <c r="Q8340" s="26" t="str">
        <f>HYPERLINK("https://ictv.global/taxonomy/taxondetails?taxnode_id=202503228&amp;ictv_id=ICTV20041128","ICTV20041128")</f>
        <v>ICTV20041128</v>
      </c>
      <c r="R8340" t="s">
        <v>660</v>
      </c>
      <c r="S8340" t="s">
        <v>824</v>
      </c>
      <c r="T8340">
        <v>41</v>
      </c>
      <c r="U8340" s="26" t="str">
        <f t="shared" si="304"/>
        <v>2025.002G.Monodnaviria_reorg_4nr.zip</v>
      </c>
    </row>
    <row r="8341" spans="1:21">
      <c r="A8341">
        <v>8340</v>
      </c>
      <c r="B8341" s="27" t="s">
        <v>20779</v>
      </c>
      <c r="D8341" s="27" t="s">
        <v>1826</v>
      </c>
      <c r="F8341" s="27" t="s">
        <v>1844</v>
      </c>
      <c r="H8341" s="27" t="s">
        <v>1853</v>
      </c>
      <c r="J8341" s="27" t="s">
        <v>1854</v>
      </c>
      <c r="L8341" s="27" t="s">
        <v>461</v>
      </c>
      <c r="N8341" s="27" t="s">
        <v>462</v>
      </c>
      <c r="P8341" s="27" t="s">
        <v>12998</v>
      </c>
      <c r="Q8341" s="26" t="str">
        <f>HYPERLINK("https://ictv.global/taxonomy/taxondetails?taxnode_id=202503223&amp;ictv_id=ICTV20152823","ICTV20152823")</f>
        <v>ICTV20152823</v>
      </c>
      <c r="R8341" t="s">
        <v>660</v>
      </c>
      <c r="S8341" t="s">
        <v>824</v>
      </c>
      <c r="T8341">
        <v>41</v>
      </c>
      <c r="U8341" s="26" t="str">
        <f t="shared" si="304"/>
        <v>2025.002G.Monodnaviria_reorg_4nr.zip</v>
      </c>
    </row>
    <row r="8342" spans="1:21">
      <c r="A8342">
        <v>8341</v>
      </c>
      <c r="B8342" s="27" t="s">
        <v>20779</v>
      </c>
      <c r="D8342" s="27" t="s">
        <v>1826</v>
      </c>
      <c r="F8342" s="27" t="s">
        <v>1844</v>
      </c>
      <c r="H8342" s="27" t="s">
        <v>1853</v>
      </c>
      <c r="J8342" s="27" t="s">
        <v>1854</v>
      </c>
      <c r="L8342" s="27" t="s">
        <v>461</v>
      </c>
      <c r="N8342" s="27" t="s">
        <v>462</v>
      </c>
      <c r="P8342" s="27" t="s">
        <v>12999</v>
      </c>
      <c r="Q8342" s="26" t="str">
        <f>HYPERLINK("https://ictv.global/taxonomy/taxondetails?taxnode_id=202503229&amp;ictv_id=ICTV20083852","ICTV20083852")</f>
        <v>ICTV20083852</v>
      </c>
      <c r="R8342" t="s">
        <v>660</v>
      </c>
      <c r="S8342" t="s">
        <v>824</v>
      </c>
      <c r="T8342">
        <v>41</v>
      </c>
      <c r="U8342" s="26" t="str">
        <f t="shared" si="304"/>
        <v>2025.002G.Monodnaviria_reorg_4nr.zip</v>
      </c>
    </row>
    <row r="8343" spans="1:21">
      <c r="A8343">
        <v>8342</v>
      </c>
      <c r="B8343" s="27" t="s">
        <v>20779</v>
      </c>
      <c r="D8343" s="27" t="s">
        <v>1826</v>
      </c>
      <c r="F8343" s="27" t="s">
        <v>1844</v>
      </c>
      <c r="H8343" s="27" t="s">
        <v>1853</v>
      </c>
      <c r="J8343" s="27" t="s">
        <v>1854</v>
      </c>
      <c r="L8343" s="27" t="s">
        <v>461</v>
      </c>
      <c r="N8343" s="27" t="s">
        <v>462</v>
      </c>
      <c r="P8343" s="27" t="s">
        <v>13000</v>
      </c>
      <c r="Q8343" s="26" t="str">
        <f>HYPERLINK("https://ictv.global/taxonomy/taxondetails?taxnode_id=202503254&amp;ictv_id=ICTV20152827","ICTV20152827")</f>
        <v>ICTV20152827</v>
      </c>
      <c r="R8343" t="s">
        <v>660</v>
      </c>
      <c r="S8343" t="s">
        <v>824</v>
      </c>
      <c r="T8343">
        <v>41</v>
      </c>
      <c r="U8343" s="26" t="str">
        <f t="shared" si="304"/>
        <v>2025.002G.Monodnaviria_reorg_4nr.zip</v>
      </c>
    </row>
    <row r="8344" spans="1:21">
      <c r="A8344">
        <v>8343</v>
      </c>
      <c r="B8344" s="27" t="s">
        <v>20779</v>
      </c>
      <c r="D8344" s="27" t="s">
        <v>1826</v>
      </c>
      <c r="F8344" s="27" t="s">
        <v>1844</v>
      </c>
      <c r="H8344" s="27" t="s">
        <v>1853</v>
      </c>
      <c r="J8344" s="27" t="s">
        <v>1854</v>
      </c>
      <c r="L8344" s="27" t="s">
        <v>461</v>
      </c>
      <c r="N8344" s="27" t="s">
        <v>462</v>
      </c>
      <c r="P8344" s="27" t="s">
        <v>13001</v>
      </c>
      <c r="Q8344" s="26" t="str">
        <f>HYPERLINK("https://ictv.global/taxonomy/taxondetails?taxnode_id=202503255&amp;ictv_id=ICTV20152828","ICTV20152828")</f>
        <v>ICTV20152828</v>
      </c>
      <c r="R8344" t="s">
        <v>660</v>
      </c>
      <c r="S8344" t="s">
        <v>824</v>
      </c>
      <c r="T8344">
        <v>41</v>
      </c>
      <c r="U8344" s="26" t="str">
        <f t="shared" si="304"/>
        <v>2025.002G.Monodnaviria_reorg_4nr.zip</v>
      </c>
    </row>
    <row r="8345" spans="1:21">
      <c r="A8345">
        <v>8344</v>
      </c>
      <c r="B8345" s="27" t="s">
        <v>20779</v>
      </c>
      <c r="D8345" s="27" t="s">
        <v>1826</v>
      </c>
      <c r="F8345" s="27" t="s">
        <v>1844</v>
      </c>
      <c r="H8345" s="27" t="s">
        <v>1853</v>
      </c>
      <c r="J8345" s="27" t="s">
        <v>1854</v>
      </c>
      <c r="L8345" s="27" t="s">
        <v>461</v>
      </c>
      <c r="N8345" s="27" t="s">
        <v>462</v>
      </c>
      <c r="P8345" s="27" t="s">
        <v>13002</v>
      </c>
      <c r="Q8345" s="26" t="str">
        <f>HYPERLINK("https://ictv.global/taxonomy/taxondetails?taxnode_id=202507523&amp;ictv_id=ICTV201907523","ICTV201907523")</f>
        <v>ICTV201907523</v>
      </c>
      <c r="R8345" t="s">
        <v>660</v>
      </c>
      <c r="S8345" t="s">
        <v>824</v>
      </c>
      <c r="T8345">
        <v>41</v>
      </c>
      <c r="U8345" s="26" t="str">
        <f t="shared" si="304"/>
        <v>2025.002G.Monodnaviria_reorg_4nr.zip</v>
      </c>
    </row>
    <row r="8346" spans="1:21">
      <c r="A8346">
        <v>8345</v>
      </c>
      <c r="B8346" s="27" t="s">
        <v>20779</v>
      </c>
      <c r="D8346" s="27" t="s">
        <v>1826</v>
      </c>
      <c r="F8346" s="27" t="s">
        <v>1844</v>
      </c>
      <c r="H8346" s="27" t="s">
        <v>1853</v>
      </c>
      <c r="J8346" s="27" t="s">
        <v>1854</v>
      </c>
      <c r="L8346" s="27" t="s">
        <v>461</v>
      </c>
      <c r="N8346" s="27" t="s">
        <v>462</v>
      </c>
      <c r="P8346" s="27" t="s">
        <v>13003</v>
      </c>
      <c r="Q8346" s="26" t="str">
        <f>HYPERLINK("https://ictv.global/taxonomy/taxondetails?taxnode_id=202509121&amp;ictv_id=ICTV202009121","ICTV202009121")</f>
        <v>ICTV202009121</v>
      </c>
      <c r="R8346" t="s">
        <v>660</v>
      </c>
      <c r="S8346" t="s">
        <v>824</v>
      </c>
      <c r="T8346">
        <v>41</v>
      </c>
      <c r="U8346" s="26" t="str">
        <f t="shared" si="304"/>
        <v>2025.002G.Monodnaviria_reorg_4nr.zip</v>
      </c>
    </row>
    <row r="8347" spans="1:21">
      <c r="A8347">
        <v>8346</v>
      </c>
      <c r="B8347" s="27" t="s">
        <v>20779</v>
      </c>
      <c r="D8347" s="27" t="s">
        <v>1826</v>
      </c>
      <c r="F8347" s="27" t="s">
        <v>1844</v>
      </c>
      <c r="H8347" s="27" t="s">
        <v>1853</v>
      </c>
      <c r="J8347" s="27" t="s">
        <v>1854</v>
      </c>
      <c r="L8347" s="27" t="s">
        <v>461</v>
      </c>
      <c r="N8347" s="27" t="s">
        <v>462</v>
      </c>
      <c r="P8347" s="27" t="s">
        <v>20071</v>
      </c>
      <c r="Q8347" s="26" t="str">
        <f>HYPERLINK("https://ictv.global/taxonomy/taxondetails?taxnode_id=202520472&amp;ictv_id=ICTV202420472","ICTV202420472")</f>
        <v>ICTV202420472</v>
      </c>
      <c r="R8347" t="s">
        <v>582</v>
      </c>
      <c r="S8347" t="s">
        <v>824</v>
      </c>
      <c r="T8347">
        <v>41</v>
      </c>
      <c r="U8347" s="26" t="str">
        <f t="shared" si="304"/>
        <v>2025.002G.Monodnaviria_reorg_4nr.zip</v>
      </c>
    </row>
    <row r="8348" spans="1:21">
      <c r="A8348">
        <v>8347</v>
      </c>
      <c r="B8348" s="27" t="s">
        <v>20779</v>
      </c>
      <c r="D8348" s="27" t="s">
        <v>1826</v>
      </c>
      <c r="F8348" s="27" t="s">
        <v>1844</v>
      </c>
      <c r="H8348" s="27" t="s">
        <v>1853</v>
      </c>
      <c r="J8348" s="27" t="s">
        <v>1854</v>
      </c>
      <c r="L8348" s="27" t="s">
        <v>461</v>
      </c>
      <c r="N8348" s="27" t="s">
        <v>462</v>
      </c>
      <c r="P8348" s="27" t="s">
        <v>13004</v>
      </c>
      <c r="Q8348" s="26" t="str">
        <f>HYPERLINK("https://ictv.global/taxonomy/taxondetails?taxnode_id=202509122&amp;ictv_id=ICTV202009122","ICTV202009122")</f>
        <v>ICTV202009122</v>
      </c>
      <c r="R8348" t="s">
        <v>660</v>
      </c>
      <c r="S8348" t="s">
        <v>824</v>
      </c>
      <c r="T8348">
        <v>41</v>
      </c>
      <c r="U8348" s="26" t="str">
        <f t="shared" ref="U8348:U8379" si="305">HYPERLINK("https://ictv.global/ictv/proposals/2025.002G.Monodnaviria_reorg_4nr.zip","2025.002G.Monodnaviria_reorg_4nr.zip")</f>
        <v>2025.002G.Monodnaviria_reorg_4nr.zip</v>
      </c>
    </row>
    <row r="8349" spans="1:21">
      <c r="A8349">
        <v>8348</v>
      </c>
      <c r="B8349" s="27" t="s">
        <v>20779</v>
      </c>
      <c r="D8349" s="27" t="s">
        <v>1826</v>
      </c>
      <c r="F8349" s="27" t="s">
        <v>1844</v>
      </c>
      <c r="H8349" s="27" t="s">
        <v>1853</v>
      </c>
      <c r="J8349" s="27" t="s">
        <v>1854</v>
      </c>
      <c r="L8349" s="27" t="s">
        <v>461</v>
      </c>
      <c r="N8349" s="27" t="s">
        <v>462</v>
      </c>
      <c r="P8349" s="27" t="s">
        <v>20072</v>
      </c>
      <c r="Q8349" s="26" t="str">
        <f>HYPERLINK("https://ictv.global/taxonomy/taxondetails?taxnode_id=202520474&amp;ictv_id=ICTV202420474","ICTV202420474")</f>
        <v>ICTV202420474</v>
      </c>
      <c r="R8349" t="s">
        <v>582</v>
      </c>
      <c r="S8349" t="s">
        <v>824</v>
      </c>
      <c r="T8349">
        <v>41</v>
      </c>
      <c r="U8349" s="26" t="str">
        <f t="shared" si="305"/>
        <v>2025.002G.Monodnaviria_reorg_4nr.zip</v>
      </c>
    </row>
    <row r="8350" spans="1:21">
      <c r="A8350">
        <v>8349</v>
      </c>
      <c r="B8350" s="27" t="s">
        <v>20779</v>
      </c>
      <c r="D8350" s="27" t="s">
        <v>1826</v>
      </c>
      <c r="F8350" s="27" t="s">
        <v>1844</v>
      </c>
      <c r="H8350" s="27" t="s">
        <v>1853</v>
      </c>
      <c r="J8350" s="27" t="s">
        <v>1854</v>
      </c>
      <c r="L8350" s="27" t="s">
        <v>461</v>
      </c>
      <c r="N8350" s="27" t="s">
        <v>462</v>
      </c>
      <c r="P8350" s="27" t="s">
        <v>13005</v>
      </c>
      <c r="Q8350" s="26" t="str">
        <f>HYPERLINK("https://ictv.global/taxonomy/taxondetails?taxnode_id=202503379&amp;ictv_id=ICTV20083948","ICTV20083948")</f>
        <v>ICTV20083948</v>
      </c>
      <c r="R8350" t="s">
        <v>660</v>
      </c>
      <c r="S8350" t="s">
        <v>824</v>
      </c>
      <c r="T8350">
        <v>41</v>
      </c>
      <c r="U8350" s="26" t="str">
        <f t="shared" si="305"/>
        <v>2025.002G.Monodnaviria_reorg_4nr.zip</v>
      </c>
    </row>
    <row r="8351" spans="1:21">
      <c r="A8351">
        <v>8350</v>
      </c>
      <c r="B8351" s="27" t="s">
        <v>20779</v>
      </c>
      <c r="D8351" s="27" t="s">
        <v>1826</v>
      </c>
      <c r="F8351" s="27" t="s">
        <v>1844</v>
      </c>
      <c r="H8351" s="27" t="s">
        <v>1853</v>
      </c>
      <c r="J8351" s="27" t="s">
        <v>1854</v>
      </c>
      <c r="L8351" s="27" t="s">
        <v>461</v>
      </c>
      <c r="N8351" s="27" t="s">
        <v>462</v>
      </c>
      <c r="P8351" s="27" t="s">
        <v>13006</v>
      </c>
      <c r="Q8351" s="26" t="str">
        <f>HYPERLINK("https://ictv.global/taxonomy/taxondetails?taxnode_id=202503380&amp;ictv_id=ICTV20083949","ICTV20083949")</f>
        <v>ICTV20083949</v>
      </c>
      <c r="R8351" t="s">
        <v>660</v>
      </c>
      <c r="S8351" t="s">
        <v>824</v>
      </c>
      <c r="T8351">
        <v>41</v>
      </c>
      <c r="U8351" s="26" t="str">
        <f t="shared" si="305"/>
        <v>2025.002G.Monodnaviria_reorg_4nr.zip</v>
      </c>
    </row>
    <row r="8352" spans="1:21">
      <c r="A8352">
        <v>8351</v>
      </c>
      <c r="B8352" s="27" t="s">
        <v>20779</v>
      </c>
      <c r="D8352" s="27" t="s">
        <v>1826</v>
      </c>
      <c r="F8352" s="27" t="s">
        <v>1844</v>
      </c>
      <c r="H8352" s="27" t="s">
        <v>1853</v>
      </c>
      <c r="J8352" s="27" t="s">
        <v>1854</v>
      </c>
      <c r="L8352" s="27" t="s">
        <v>461</v>
      </c>
      <c r="N8352" s="27" t="s">
        <v>462</v>
      </c>
      <c r="P8352" s="27" t="s">
        <v>13007</v>
      </c>
      <c r="Q8352" s="26" t="str">
        <f>HYPERLINK("https://ictv.global/taxonomy/taxondetails?taxnode_id=202503388&amp;ictv_id=ICTV20041185","ICTV20041185")</f>
        <v>ICTV20041185</v>
      </c>
      <c r="R8352" t="s">
        <v>660</v>
      </c>
      <c r="S8352" t="s">
        <v>824</v>
      </c>
      <c r="T8352">
        <v>41</v>
      </c>
      <c r="U8352" s="26" t="str">
        <f t="shared" si="305"/>
        <v>2025.002G.Monodnaviria_reorg_4nr.zip</v>
      </c>
    </row>
    <row r="8353" spans="1:21">
      <c r="A8353">
        <v>8352</v>
      </c>
      <c r="B8353" s="27" t="s">
        <v>20779</v>
      </c>
      <c r="D8353" s="27" t="s">
        <v>1826</v>
      </c>
      <c r="F8353" s="27" t="s">
        <v>1844</v>
      </c>
      <c r="H8353" s="27" t="s">
        <v>1853</v>
      </c>
      <c r="J8353" s="27" t="s">
        <v>1854</v>
      </c>
      <c r="L8353" s="27" t="s">
        <v>461</v>
      </c>
      <c r="N8353" s="27" t="s">
        <v>462</v>
      </c>
      <c r="P8353" s="27" t="s">
        <v>13008</v>
      </c>
      <c r="Q8353" s="26" t="str">
        <f>HYPERLINK("https://ictv.global/taxonomy/taxondetails?taxnode_id=202503381&amp;ictv_id=ICTV20073740","ICTV20073740")</f>
        <v>ICTV20073740</v>
      </c>
      <c r="R8353" t="s">
        <v>660</v>
      </c>
      <c r="S8353" t="s">
        <v>824</v>
      </c>
      <c r="T8353">
        <v>41</v>
      </c>
      <c r="U8353" s="26" t="str">
        <f t="shared" si="305"/>
        <v>2025.002G.Monodnaviria_reorg_4nr.zip</v>
      </c>
    </row>
    <row r="8354" spans="1:21">
      <c r="A8354">
        <v>8353</v>
      </c>
      <c r="B8354" s="27" t="s">
        <v>20779</v>
      </c>
      <c r="D8354" s="27" t="s">
        <v>1826</v>
      </c>
      <c r="F8354" s="27" t="s">
        <v>1844</v>
      </c>
      <c r="H8354" s="27" t="s">
        <v>1853</v>
      </c>
      <c r="J8354" s="27" t="s">
        <v>1854</v>
      </c>
      <c r="L8354" s="27" t="s">
        <v>461</v>
      </c>
      <c r="N8354" s="27" t="s">
        <v>462</v>
      </c>
      <c r="P8354" s="27" t="s">
        <v>13009</v>
      </c>
      <c r="Q8354" s="26" t="str">
        <f>HYPERLINK("https://ictv.global/taxonomy/taxondetails?taxnode_id=202505831&amp;ictv_id=ICTV20175831","ICTV20175831")</f>
        <v>ICTV20175831</v>
      </c>
      <c r="R8354" t="s">
        <v>660</v>
      </c>
      <c r="S8354" t="s">
        <v>824</v>
      </c>
      <c r="T8354">
        <v>41</v>
      </c>
      <c r="U8354" s="26" t="str">
        <f t="shared" si="305"/>
        <v>2025.002G.Monodnaviria_reorg_4nr.zip</v>
      </c>
    </row>
    <row r="8355" spans="1:21">
      <c r="A8355">
        <v>8354</v>
      </c>
      <c r="B8355" s="27" t="s">
        <v>20779</v>
      </c>
      <c r="D8355" s="27" t="s">
        <v>1826</v>
      </c>
      <c r="F8355" s="27" t="s">
        <v>1844</v>
      </c>
      <c r="H8355" s="27" t="s">
        <v>1853</v>
      </c>
      <c r="J8355" s="27" t="s">
        <v>1854</v>
      </c>
      <c r="L8355" s="27" t="s">
        <v>461</v>
      </c>
      <c r="N8355" s="27" t="s">
        <v>462</v>
      </c>
      <c r="P8355" s="27" t="s">
        <v>13010</v>
      </c>
      <c r="Q8355" s="26" t="str">
        <f>HYPERLINK("https://ictv.global/taxonomy/taxondetails?taxnode_id=202503382&amp;ictv_id=ICTV20152850","ICTV20152850")</f>
        <v>ICTV20152850</v>
      </c>
      <c r="R8355" t="s">
        <v>660</v>
      </c>
      <c r="S8355" t="s">
        <v>824</v>
      </c>
      <c r="T8355">
        <v>41</v>
      </c>
      <c r="U8355" s="26" t="str">
        <f t="shared" si="305"/>
        <v>2025.002G.Monodnaviria_reorg_4nr.zip</v>
      </c>
    </row>
    <row r="8356" spans="1:21">
      <c r="A8356">
        <v>8355</v>
      </c>
      <c r="B8356" s="27" t="s">
        <v>20779</v>
      </c>
      <c r="D8356" s="27" t="s">
        <v>1826</v>
      </c>
      <c r="F8356" s="27" t="s">
        <v>1844</v>
      </c>
      <c r="H8356" s="27" t="s">
        <v>1853</v>
      </c>
      <c r="J8356" s="27" t="s">
        <v>1854</v>
      </c>
      <c r="L8356" s="27" t="s">
        <v>461</v>
      </c>
      <c r="N8356" s="27" t="s">
        <v>462</v>
      </c>
      <c r="P8356" s="27" t="s">
        <v>13011</v>
      </c>
      <c r="Q8356" s="26" t="str">
        <f>HYPERLINK("https://ictv.global/taxonomy/taxondetails?taxnode_id=202507533&amp;ictv_id=ICTV201907533","ICTV201907533")</f>
        <v>ICTV201907533</v>
      </c>
      <c r="R8356" t="s">
        <v>660</v>
      </c>
      <c r="S8356" t="s">
        <v>824</v>
      </c>
      <c r="T8356">
        <v>41</v>
      </c>
      <c r="U8356" s="26" t="str">
        <f t="shared" si="305"/>
        <v>2025.002G.Monodnaviria_reorg_4nr.zip</v>
      </c>
    </row>
    <row r="8357" spans="1:21">
      <c r="A8357">
        <v>8356</v>
      </c>
      <c r="B8357" s="27" t="s">
        <v>20779</v>
      </c>
      <c r="D8357" s="27" t="s">
        <v>1826</v>
      </c>
      <c r="F8357" s="27" t="s">
        <v>1844</v>
      </c>
      <c r="H8357" s="27" t="s">
        <v>1853</v>
      </c>
      <c r="J8357" s="27" t="s">
        <v>1854</v>
      </c>
      <c r="L8357" s="27" t="s">
        <v>461</v>
      </c>
      <c r="N8357" s="27" t="s">
        <v>462</v>
      </c>
      <c r="P8357" s="27" t="s">
        <v>13012</v>
      </c>
      <c r="Q8357" s="26" t="str">
        <f>HYPERLINK("https://ictv.global/taxonomy/taxondetails?taxnode_id=202505830&amp;ictv_id=ICTV20175830","ICTV20175830")</f>
        <v>ICTV20175830</v>
      </c>
      <c r="R8357" t="s">
        <v>660</v>
      </c>
      <c r="S8357" t="s">
        <v>824</v>
      </c>
      <c r="T8357">
        <v>41</v>
      </c>
      <c r="U8357" s="26" t="str">
        <f t="shared" si="305"/>
        <v>2025.002G.Monodnaviria_reorg_4nr.zip</v>
      </c>
    </row>
    <row r="8358" spans="1:21">
      <c r="A8358">
        <v>8357</v>
      </c>
      <c r="B8358" s="27" t="s">
        <v>20779</v>
      </c>
      <c r="D8358" s="27" t="s">
        <v>1826</v>
      </c>
      <c r="F8358" s="27" t="s">
        <v>1844</v>
      </c>
      <c r="H8358" s="27" t="s">
        <v>1853</v>
      </c>
      <c r="J8358" s="27" t="s">
        <v>1854</v>
      </c>
      <c r="L8358" s="27" t="s">
        <v>461</v>
      </c>
      <c r="N8358" s="27" t="s">
        <v>462</v>
      </c>
      <c r="P8358" s="27" t="s">
        <v>13013</v>
      </c>
      <c r="Q8358" s="26" t="str">
        <f>HYPERLINK("https://ictv.global/taxonomy/taxondetails?taxnode_id=202503389&amp;ictv_id=ICTV20131954","ICTV20131954")</f>
        <v>ICTV20131954</v>
      </c>
      <c r="R8358" t="s">
        <v>660</v>
      </c>
      <c r="S8358" t="s">
        <v>824</v>
      </c>
      <c r="T8358">
        <v>41</v>
      </c>
      <c r="U8358" s="26" t="str">
        <f t="shared" si="305"/>
        <v>2025.002G.Monodnaviria_reorg_4nr.zip</v>
      </c>
    </row>
    <row r="8359" spans="1:21">
      <c r="A8359">
        <v>8358</v>
      </c>
      <c r="B8359" s="27" t="s">
        <v>20779</v>
      </c>
      <c r="D8359" s="27" t="s">
        <v>1826</v>
      </c>
      <c r="F8359" s="27" t="s">
        <v>1844</v>
      </c>
      <c r="H8359" s="27" t="s">
        <v>1853</v>
      </c>
      <c r="J8359" s="27" t="s">
        <v>1854</v>
      </c>
      <c r="L8359" s="27" t="s">
        <v>461</v>
      </c>
      <c r="N8359" s="27" t="s">
        <v>462</v>
      </c>
      <c r="P8359" s="27" t="s">
        <v>13014</v>
      </c>
      <c r="Q8359" s="26" t="str">
        <f>HYPERLINK("https://ictv.global/taxonomy/taxondetails?taxnode_id=202503383&amp;ictv_id=ICTV20131951","ICTV20131951")</f>
        <v>ICTV20131951</v>
      </c>
      <c r="R8359" t="s">
        <v>660</v>
      </c>
      <c r="S8359" t="s">
        <v>824</v>
      </c>
      <c r="T8359">
        <v>41</v>
      </c>
      <c r="U8359" s="26" t="str">
        <f t="shared" si="305"/>
        <v>2025.002G.Monodnaviria_reorg_4nr.zip</v>
      </c>
    </row>
    <row r="8360" spans="1:21">
      <c r="A8360">
        <v>8359</v>
      </c>
      <c r="B8360" s="27" t="s">
        <v>20779</v>
      </c>
      <c r="D8360" s="27" t="s">
        <v>1826</v>
      </c>
      <c r="F8360" s="27" t="s">
        <v>1844</v>
      </c>
      <c r="H8360" s="27" t="s">
        <v>1853</v>
      </c>
      <c r="J8360" s="27" t="s">
        <v>1854</v>
      </c>
      <c r="L8360" s="27" t="s">
        <v>461</v>
      </c>
      <c r="N8360" s="27" t="s">
        <v>462</v>
      </c>
      <c r="P8360" s="27" t="s">
        <v>13015</v>
      </c>
      <c r="Q8360" s="26" t="str">
        <f>HYPERLINK("https://ictv.global/taxonomy/taxondetails?taxnode_id=202506708&amp;ictv_id=ICTV201856708","ICTV201856708")</f>
        <v>ICTV201856708</v>
      </c>
      <c r="R8360" t="s">
        <v>660</v>
      </c>
      <c r="S8360" t="s">
        <v>824</v>
      </c>
      <c r="T8360">
        <v>41</v>
      </c>
      <c r="U8360" s="26" t="str">
        <f t="shared" si="305"/>
        <v>2025.002G.Monodnaviria_reorg_4nr.zip</v>
      </c>
    </row>
    <row r="8361" spans="1:21">
      <c r="A8361">
        <v>8360</v>
      </c>
      <c r="B8361" s="27" t="s">
        <v>20779</v>
      </c>
      <c r="D8361" s="27" t="s">
        <v>1826</v>
      </c>
      <c r="F8361" s="27" t="s">
        <v>1844</v>
      </c>
      <c r="H8361" s="27" t="s">
        <v>1853</v>
      </c>
      <c r="J8361" s="27" t="s">
        <v>1854</v>
      </c>
      <c r="L8361" s="27" t="s">
        <v>461</v>
      </c>
      <c r="N8361" s="27" t="s">
        <v>462</v>
      </c>
      <c r="P8361" s="27" t="s">
        <v>13016</v>
      </c>
      <c r="Q8361" s="26" t="str">
        <f>HYPERLINK("https://ictv.global/taxonomy/taxondetails?taxnode_id=202503384&amp;ictv_id=ICTV20152851","ICTV20152851")</f>
        <v>ICTV20152851</v>
      </c>
      <c r="R8361" t="s">
        <v>660</v>
      </c>
      <c r="S8361" t="s">
        <v>824</v>
      </c>
      <c r="T8361">
        <v>41</v>
      </c>
      <c r="U8361" s="26" t="str">
        <f t="shared" si="305"/>
        <v>2025.002G.Monodnaviria_reorg_4nr.zip</v>
      </c>
    </row>
    <row r="8362" spans="1:21">
      <c r="A8362">
        <v>8361</v>
      </c>
      <c r="B8362" s="27" t="s">
        <v>20779</v>
      </c>
      <c r="D8362" s="27" t="s">
        <v>1826</v>
      </c>
      <c r="F8362" s="27" t="s">
        <v>1844</v>
      </c>
      <c r="H8362" s="27" t="s">
        <v>1853</v>
      </c>
      <c r="J8362" s="27" t="s">
        <v>1854</v>
      </c>
      <c r="L8362" s="27" t="s">
        <v>461</v>
      </c>
      <c r="N8362" s="27" t="s">
        <v>462</v>
      </c>
      <c r="P8362" s="27" t="s">
        <v>13017</v>
      </c>
      <c r="Q8362" s="26" t="str">
        <f>HYPERLINK("https://ictv.global/taxonomy/taxondetails?taxnode_id=202503385&amp;ictv_id=ICTV20152852","ICTV20152852")</f>
        <v>ICTV20152852</v>
      </c>
      <c r="R8362" t="s">
        <v>660</v>
      </c>
      <c r="S8362" t="s">
        <v>824</v>
      </c>
      <c r="T8362">
        <v>41</v>
      </c>
      <c r="U8362" s="26" t="str">
        <f t="shared" si="305"/>
        <v>2025.002G.Monodnaviria_reorg_4nr.zip</v>
      </c>
    </row>
    <row r="8363" spans="1:21">
      <c r="A8363">
        <v>8362</v>
      </c>
      <c r="B8363" s="27" t="s">
        <v>20779</v>
      </c>
      <c r="D8363" s="27" t="s">
        <v>1826</v>
      </c>
      <c r="F8363" s="27" t="s">
        <v>1844</v>
      </c>
      <c r="H8363" s="27" t="s">
        <v>1853</v>
      </c>
      <c r="J8363" s="27" t="s">
        <v>1854</v>
      </c>
      <c r="L8363" s="27" t="s">
        <v>461</v>
      </c>
      <c r="N8363" s="27" t="s">
        <v>462</v>
      </c>
      <c r="P8363" s="27" t="s">
        <v>13018</v>
      </c>
      <c r="Q8363" s="26" t="str">
        <f>HYPERLINK("https://ictv.global/taxonomy/taxondetails?taxnode_id=202503386&amp;ictv_id=ICTV20131952","ICTV20131952")</f>
        <v>ICTV20131952</v>
      </c>
      <c r="R8363" t="s">
        <v>660</v>
      </c>
      <c r="S8363" t="s">
        <v>824</v>
      </c>
      <c r="T8363">
        <v>41</v>
      </c>
      <c r="U8363" s="26" t="str">
        <f t="shared" si="305"/>
        <v>2025.002G.Monodnaviria_reorg_4nr.zip</v>
      </c>
    </row>
    <row r="8364" spans="1:21">
      <c r="A8364">
        <v>8363</v>
      </c>
      <c r="B8364" s="27" t="s">
        <v>20779</v>
      </c>
      <c r="D8364" s="27" t="s">
        <v>1826</v>
      </c>
      <c r="F8364" s="27" t="s">
        <v>1844</v>
      </c>
      <c r="H8364" s="27" t="s">
        <v>1853</v>
      </c>
      <c r="J8364" s="27" t="s">
        <v>1854</v>
      </c>
      <c r="L8364" s="27" t="s">
        <v>461</v>
      </c>
      <c r="N8364" s="27" t="s">
        <v>462</v>
      </c>
      <c r="P8364" s="27" t="s">
        <v>13019</v>
      </c>
      <c r="Q8364" s="26" t="str">
        <f>HYPERLINK("https://ictv.global/taxonomy/taxondetails?taxnode_id=202505803&amp;ictv_id=ICTV20175803","ICTV20175803")</f>
        <v>ICTV20175803</v>
      </c>
      <c r="R8364" t="s">
        <v>660</v>
      </c>
      <c r="S8364" t="s">
        <v>824</v>
      </c>
      <c r="T8364">
        <v>41</v>
      </c>
      <c r="U8364" s="26" t="str">
        <f t="shared" si="305"/>
        <v>2025.002G.Monodnaviria_reorg_4nr.zip</v>
      </c>
    </row>
    <row r="8365" spans="1:21">
      <c r="A8365">
        <v>8364</v>
      </c>
      <c r="B8365" s="27" t="s">
        <v>20779</v>
      </c>
      <c r="D8365" s="27" t="s">
        <v>1826</v>
      </c>
      <c r="F8365" s="27" t="s">
        <v>1844</v>
      </c>
      <c r="H8365" s="27" t="s">
        <v>1853</v>
      </c>
      <c r="J8365" s="27" t="s">
        <v>1854</v>
      </c>
      <c r="L8365" s="27" t="s">
        <v>461</v>
      </c>
      <c r="N8365" s="27" t="s">
        <v>462</v>
      </c>
      <c r="P8365" s="27" t="s">
        <v>13020</v>
      </c>
      <c r="Q8365" s="26" t="str">
        <f>HYPERLINK("https://ictv.global/taxonomy/taxondetails?taxnode_id=202506704&amp;ictv_id=ICTV201856704","ICTV201856704")</f>
        <v>ICTV201856704</v>
      </c>
      <c r="R8365" t="s">
        <v>660</v>
      </c>
      <c r="S8365" t="s">
        <v>824</v>
      </c>
      <c r="T8365">
        <v>41</v>
      </c>
      <c r="U8365" s="26" t="str">
        <f t="shared" si="305"/>
        <v>2025.002G.Monodnaviria_reorg_4nr.zip</v>
      </c>
    </row>
    <row r="8366" spans="1:21">
      <c r="A8366">
        <v>8365</v>
      </c>
      <c r="B8366" s="27" t="s">
        <v>20779</v>
      </c>
      <c r="D8366" s="27" t="s">
        <v>1826</v>
      </c>
      <c r="F8366" s="27" t="s">
        <v>1844</v>
      </c>
      <c r="H8366" s="27" t="s">
        <v>1853</v>
      </c>
      <c r="J8366" s="27" t="s">
        <v>1854</v>
      </c>
      <c r="L8366" s="27" t="s">
        <v>461</v>
      </c>
      <c r="N8366" s="27" t="s">
        <v>462</v>
      </c>
      <c r="P8366" s="27" t="s">
        <v>13021</v>
      </c>
      <c r="Q8366" s="26" t="str">
        <f>HYPERLINK("https://ictv.global/taxonomy/taxondetails?taxnode_id=202503261&amp;ictv_id=ICTV20131910","ICTV20131910")</f>
        <v>ICTV20131910</v>
      </c>
      <c r="R8366" t="s">
        <v>660</v>
      </c>
      <c r="S8366" t="s">
        <v>824</v>
      </c>
      <c r="T8366">
        <v>41</v>
      </c>
      <c r="U8366" s="26" t="str">
        <f t="shared" si="305"/>
        <v>2025.002G.Monodnaviria_reorg_4nr.zip</v>
      </c>
    </row>
    <row r="8367" spans="1:21">
      <c r="A8367">
        <v>8366</v>
      </c>
      <c r="B8367" s="27" t="s">
        <v>20779</v>
      </c>
      <c r="D8367" s="27" t="s">
        <v>1826</v>
      </c>
      <c r="F8367" s="27" t="s">
        <v>1844</v>
      </c>
      <c r="H8367" s="27" t="s">
        <v>1853</v>
      </c>
      <c r="J8367" s="27" t="s">
        <v>1854</v>
      </c>
      <c r="L8367" s="27" t="s">
        <v>461</v>
      </c>
      <c r="N8367" s="27" t="s">
        <v>462</v>
      </c>
      <c r="P8367" s="27" t="s">
        <v>13022</v>
      </c>
      <c r="Q8367" s="26" t="str">
        <f>HYPERLINK("https://ictv.global/taxonomy/taxondetails?taxnode_id=202503262&amp;ictv_id=ICTV20152829","ICTV20152829")</f>
        <v>ICTV20152829</v>
      </c>
      <c r="R8367" t="s">
        <v>660</v>
      </c>
      <c r="S8367" t="s">
        <v>824</v>
      </c>
      <c r="T8367">
        <v>41</v>
      </c>
      <c r="U8367" s="26" t="str">
        <f t="shared" si="305"/>
        <v>2025.002G.Monodnaviria_reorg_4nr.zip</v>
      </c>
    </row>
    <row r="8368" spans="1:21">
      <c r="A8368">
        <v>8367</v>
      </c>
      <c r="B8368" s="27" t="s">
        <v>20779</v>
      </c>
      <c r="D8368" s="27" t="s">
        <v>1826</v>
      </c>
      <c r="F8368" s="27" t="s">
        <v>1844</v>
      </c>
      <c r="H8368" s="27" t="s">
        <v>1853</v>
      </c>
      <c r="J8368" s="27" t="s">
        <v>1854</v>
      </c>
      <c r="L8368" s="27" t="s">
        <v>461</v>
      </c>
      <c r="N8368" s="27" t="s">
        <v>462</v>
      </c>
      <c r="P8368" s="27" t="s">
        <v>13023</v>
      </c>
      <c r="Q8368" s="26" t="str">
        <f>HYPERLINK("https://ictv.global/taxonomy/taxondetails?taxnode_id=202503266&amp;ictv_id=ICTV20152832","ICTV20152832")</f>
        <v>ICTV20152832</v>
      </c>
      <c r="R8368" t="s">
        <v>660</v>
      </c>
      <c r="S8368" t="s">
        <v>824</v>
      </c>
      <c r="T8368">
        <v>41</v>
      </c>
      <c r="U8368" s="26" t="str">
        <f t="shared" si="305"/>
        <v>2025.002G.Monodnaviria_reorg_4nr.zip</v>
      </c>
    </row>
    <row r="8369" spans="1:21">
      <c r="A8369">
        <v>8368</v>
      </c>
      <c r="B8369" s="27" t="s">
        <v>20779</v>
      </c>
      <c r="D8369" s="27" t="s">
        <v>1826</v>
      </c>
      <c r="F8369" s="27" t="s">
        <v>1844</v>
      </c>
      <c r="H8369" s="27" t="s">
        <v>1853</v>
      </c>
      <c r="J8369" s="27" t="s">
        <v>1854</v>
      </c>
      <c r="L8369" s="27" t="s">
        <v>461</v>
      </c>
      <c r="N8369" s="27" t="s">
        <v>462</v>
      </c>
      <c r="P8369" s="27" t="s">
        <v>13024</v>
      </c>
      <c r="Q8369" s="26" t="str">
        <f>HYPERLINK("https://ictv.global/taxonomy/taxondetails?taxnode_id=202505805&amp;ictv_id=ICTV20175805","ICTV20175805")</f>
        <v>ICTV20175805</v>
      </c>
      <c r="R8369" t="s">
        <v>660</v>
      </c>
      <c r="S8369" t="s">
        <v>824</v>
      </c>
      <c r="T8369">
        <v>41</v>
      </c>
      <c r="U8369" s="26" t="str">
        <f t="shared" si="305"/>
        <v>2025.002G.Monodnaviria_reorg_4nr.zip</v>
      </c>
    </row>
    <row r="8370" spans="1:21">
      <c r="A8370">
        <v>8369</v>
      </c>
      <c r="B8370" s="27" t="s">
        <v>20779</v>
      </c>
      <c r="D8370" s="27" t="s">
        <v>1826</v>
      </c>
      <c r="F8370" s="27" t="s">
        <v>1844</v>
      </c>
      <c r="H8370" s="27" t="s">
        <v>1853</v>
      </c>
      <c r="J8370" s="27" t="s">
        <v>1854</v>
      </c>
      <c r="L8370" s="27" t="s">
        <v>461</v>
      </c>
      <c r="N8370" s="27" t="s">
        <v>462</v>
      </c>
      <c r="P8370" s="27" t="s">
        <v>13025</v>
      </c>
      <c r="Q8370" s="26" t="str">
        <f>HYPERLINK("https://ictv.global/taxonomy/taxondetails?taxnode_id=202505804&amp;ictv_id=ICTV20175804","ICTV20175804")</f>
        <v>ICTV20175804</v>
      </c>
      <c r="R8370" t="s">
        <v>660</v>
      </c>
      <c r="S8370" t="s">
        <v>824</v>
      </c>
      <c r="T8370">
        <v>41</v>
      </c>
      <c r="U8370" s="26" t="str">
        <f t="shared" si="305"/>
        <v>2025.002G.Monodnaviria_reorg_4nr.zip</v>
      </c>
    </row>
    <row r="8371" spans="1:21">
      <c r="A8371">
        <v>8370</v>
      </c>
      <c r="B8371" s="27" t="s">
        <v>20779</v>
      </c>
      <c r="D8371" s="27" t="s">
        <v>1826</v>
      </c>
      <c r="F8371" s="27" t="s">
        <v>1844</v>
      </c>
      <c r="H8371" s="27" t="s">
        <v>1853</v>
      </c>
      <c r="J8371" s="27" t="s">
        <v>1854</v>
      </c>
      <c r="L8371" s="27" t="s">
        <v>461</v>
      </c>
      <c r="N8371" s="27" t="s">
        <v>462</v>
      </c>
      <c r="P8371" s="27" t="s">
        <v>20073</v>
      </c>
      <c r="Q8371" s="26" t="str">
        <f>HYPERLINK("https://ictv.global/taxonomy/taxondetails?taxnode_id=202520473&amp;ictv_id=ICTV202420473","ICTV202420473")</f>
        <v>ICTV202420473</v>
      </c>
      <c r="R8371" t="s">
        <v>582</v>
      </c>
      <c r="S8371" t="s">
        <v>824</v>
      </c>
      <c r="T8371">
        <v>41</v>
      </c>
      <c r="U8371" s="26" t="str">
        <f t="shared" si="305"/>
        <v>2025.002G.Monodnaviria_reorg_4nr.zip</v>
      </c>
    </row>
    <row r="8372" spans="1:21">
      <c r="A8372">
        <v>8371</v>
      </c>
      <c r="B8372" s="27" t="s">
        <v>20779</v>
      </c>
      <c r="D8372" s="27" t="s">
        <v>1826</v>
      </c>
      <c r="F8372" s="27" t="s">
        <v>1844</v>
      </c>
      <c r="H8372" s="27" t="s">
        <v>1853</v>
      </c>
      <c r="J8372" s="27" t="s">
        <v>1854</v>
      </c>
      <c r="L8372" s="27" t="s">
        <v>461</v>
      </c>
      <c r="N8372" s="27" t="s">
        <v>462</v>
      </c>
      <c r="P8372" s="27" t="s">
        <v>13026</v>
      </c>
      <c r="Q8372" s="26" t="str">
        <f>HYPERLINK("https://ictv.global/taxonomy/taxondetails?taxnode_id=202503263&amp;ictv_id=ICTV20131911","ICTV20131911")</f>
        <v>ICTV20131911</v>
      </c>
      <c r="R8372" t="s">
        <v>660</v>
      </c>
      <c r="S8372" t="s">
        <v>824</v>
      </c>
      <c r="T8372">
        <v>41</v>
      </c>
      <c r="U8372" s="26" t="str">
        <f t="shared" si="305"/>
        <v>2025.002G.Monodnaviria_reorg_4nr.zip</v>
      </c>
    </row>
    <row r="8373" spans="1:21">
      <c r="A8373">
        <v>8372</v>
      </c>
      <c r="B8373" s="27" t="s">
        <v>20779</v>
      </c>
      <c r="D8373" s="27" t="s">
        <v>1826</v>
      </c>
      <c r="F8373" s="27" t="s">
        <v>1844</v>
      </c>
      <c r="H8373" s="27" t="s">
        <v>1853</v>
      </c>
      <c r="J8373" s="27" t="s">
        <v>1854</v>
      </c>
      <c r="L8373" s="27" t="s">
        <v>461</v>
      </c>
      <c r="N8373" s="27" t="s">
        <v>462</v>
      </c>
      <c r="P8373" s="27" t="s">
        <v>13027</v>
      </c>
      <c r="Q8373" s="26" t="str">
        <f>HYPERLINK("https://ictv.global/taxonomy/taxondetails?taxnode_id=202503265&amp;ictv_id=ICTV20152831","ICTV20152831")</f>
        <v>ICTV20152831</v>
      </c>
      <c r="R8373" t="s">
        <v>660</v>
      </c>
      <c r="S8373" t="s">
        <v>824</v>
      </c>
      <c r="T8373">
        <v>41</v>
      </c>
      <c r="U8373" s="26" t="str">
        <f t="shared" si="305"/>
        <v>2025.002G.Monodnaviria_reorg_4nr.zip</v>
      </c>
    </row>
    <row r="8374" spans="1:21">
      <c r="A8374">
        <v>8373</v>
      </c>
      <c r="B8374" s="27" t="s">
        <v>20779</v>
      </c>
      <c r="D8374" s="27" t="s">
        <v>1826</v>
      </c>
      <c r="F8374" s="27" t="s">
        <v>1844</v>
      </c>
      <c r="H8374" s="27" t="s">
        <v>1853</v>
      </c>
      <c r="J8374" s="27" t="s">
        <v>1854</v>
      </c>
      <c r="L8374" s="27" t="s">
        <v>461</v>
      </c>
      <c r="N8374" s="27" t="s">
        <v>462</v>
      </c>
      <c r="P8374" s="27" t="s">
        <v>13028</v>
      </c>
      <c r="Q8374" s="26" t="str">
        <f>HYPERLINK("https://ictv.global/taxonomy/taxondetails?taxnode_id=202503264&amp;ictv_id=ICTV20152830","ICTV20152830")</f>
        <v>ICTV20152830</v>
      </c>
      <c r="R8374" t="s">
        <v>660</v>
      </c>
      <c r="S8374" t="s">
        <v>824</v>
      </c>
      <c r="T8374">
        <v>41</v>
      </c>
      <c r="U8374" s="26" t="str">
        <f t="shared" si="305"/>
        <v>2025.002G.Monodnaviria_reorg_4nr.zip</v>
      </c>
    </row>
    <row r="8375" spans="1:21">
      <c r="A8375">
        <v>8374</v>
      </c>
      <c r="B8375" s="27" t="s">
        <v>20779</v>
      </c>
      <c r="D8375" s="27" t="s">
        <v>1826</v>
      </c>
      <c r="F8375" s="27" t="s">
        <v>1844</v>
      </c>
      <c r="H8375" s="27" t="s">
        <v>1853</v>
      </c>
      <c r="J8375" s="27" t="s">
        <v>1854</v>
      </c>
      <c r="L8375" s="27" t="s">
        <v>461</v>
      </c>
      <c r="N8375" s="27" t="s">
        <v>462</v>
      </c>
      <c r="P8375" s="27" t="s">
        <v>13029</v>
      </c>
      <c r="Q8375" s="26" t="str">
        <f>HYPERLINK("https://ictv.global/taxonomy/taxondetails?taxnode_id=202503176&amp;ictv_id=ICTV20131892","ICTV20131892")</f>
        <v>ICTV20131892</v>
      </c>
      <c r="R8375" t="s">
        <v>660</v>
      </c>
      <c r="S8375" t="s">
        <v>824</v>
      </c>
      <c r="T8375">
        <v>41</v>
      </c>
      <c r="U8375" s="26" t="str">
        <f t="shared" si="305"/>
        <v>2025.002G.Monodnaviria_reorg_4nr.zip</v>
      </c>
    </row>
    <row r="8376" spans="1:21">
      <c r="A8376">
        <v>8375</v>
      </c>
      <c r="B8376" s="27" t="s">
        <v>20779</v>
      </c>
      <c r="D8376" s="27" t="s">
        <v>1826</v>
      </c>
      <c r="F8376" s="27" t="s">
        <v>1844</v>
      </c>
      <c r="H8376" s="27" t="s">
        <v>1853</v>
      </c>
      <c r="J8376" s="27" t="s">
        <v>1854</v>
      </c>
      <c r="L8376" s="27" t="s">
        <v>461</v>
      </c>
      <c r="N8376" s="27" t="s">
        <v>462</v>
      </c>
      <c r="P8376" s="27" t="s">
        <v>13030</v>
      </c>
      <c r="Q8376" s="26" t="str">
        <f>HYPERLINK("https://ictv.global/taxonomy/taxondetails?taxnode_id=202503247&amp;ictv_id=ICTV20083866","ICTV20083866")</f>
        <v>ICTV20083866</v>
      </c>
      <c r="R8376" t="s">
        <v>660</v>
      </c>
      <c r="S8376" t="s">
        <v>824</v>
      </c>
      <c r="T8376">
        <v>41</v>
      </c>
      <c r="U8376" s="26" t="str">
        <f t="shared" si="305"/>
        <v>2025.002G.Monodnaviria_reorg_4nr.zip</v>
      </c>
    </row>
    <row r="8377" spans="1:21">
      <c r="A8377">
        <v>8376</v>
      </c>
      <c r="B8377" s="27" t="s">
        <v>20779</v>
      </c>
      <c r="D8377" s="27" t="s">
        <v>1826</v>
      </c>
      <c r="F8377" s="27" t="s">
        <v>1844</v>
      </c>
      <c r="H8377" s="27" t="s">
        <v>1853</v>
      </c>
      <c r="J8377" s="27" t="s">
        <v>1854</v>
      </c>
      <c r="L8377" s="27" t="s">
        <v>461</v>
      </c>
      <c r="N8377" s="27" t="s">
        <v>462</v>
      </c>
      <c r="P8377" s="27" t="s">
        <v>13031</v>
      </c>
      <c r="Q8377" s="26" t="str">
        <f>HYPERLINK("https://ictv.global/taxonomy/taxondetails?taxnode_id=202503268&amp;ictv_id=ICTV20131913","ICTV20131913")</f>
        <v>ICTV20131913</v>
      </c>
      <c r="R8377" t="s">
        <v>660</v>
      </c>
      <c r="S8377" t="s">
        <v>824</v>
      </c>
      <c r="T8377">
        <v>41</v>
      </c>
      <c r="U8377" s="26" t="str">
        <f t="shared" si="305"/>
        <v>2025.002G.Monodnaviria_reorg_4nr.zip</v>
      </c>
    </row>
    <row r="8378" spans="1:21">
      <c r="A8378">
        <v>8377</v>
      </c>
      <c r="B8378" s="27" t="s">
        <v>20779</v>
      </c>
      <c r="D8378" s="27" t="s">
        <v>1826</v>
      </c>
      <c r="F8378" s="27" t="s">
        <v>1844</v>
      </c>
      <c r="H8378" s="27" t="s">
        <v>1853</v>
      </c>
      <c r="J8378" s="27" t="s">
        <v>1854</v>
      </c>
      <c r="L8378" s="27" t="s">
        <v>461</v>
      </c>
      <c r="N8378" s="27" t="s">
        <v>462</v>
      </c>
      <c r="P8378" s="27" t="s">
        <v>13032</v>
      </c>
      <c r="Q8378" s="26" t="str">
        <f>HYPERLINK("https://ictv.global/taxonomy/taxondetails?taxnode_id=202503269&amp;ictv_id=ICTV20083879","ICTV20083879")</f>
        <v>ICTV20083879</v>
      </c>
      <c r="R8378" t="s">
        <v>660</v>
      </c>
      <c r="S8378" t="s">
        <v>824</v>
      </c>
      <c r="T8378">
        <v>41</v>
      </c>
      <c r="U8378" s="26" t="str">
        <f t="shared" si="305"/>
        <v>2025.002G.Monodnaviria_reorg_4nr.zip</v>
      </c>
    </row>
    <row r="8379" spans="1:21">
      <c r="A8379">
        <v>8378</v>
      </c>
      <c r="B8379" s="27" t="s">
        <v>20779</v>
      </c>
      <c r="D8379" s="27" t="s">
        <v>1826</v>
      </c>
      <c r="F8379" s="27" t="s">
        <v>1844</v>
      </c>
      <c r="H8379" s="27" t="s">
        <v>1853</v>
      </c>
      <c r="J8379" s="27" t="s">
        <v>1854</v>
      </c>
      <c r="L8379" s="27" t="s">
        <v>461</v>
      </c>
      <c r="N8379" s="27" t="s">
        <v>462</v>
      </c>
      <c r="P8379" s="27" t="s">
        <v>13033</v>
      </c>
      <c r="Q8379" s="26" t="str">
        <f>HYPERLINK("https://ictv.global/taxonomy/taxondetails?taxnode_id=202505806&amp;ictv_id=ICTV20175806","ICTV20175806")</f>
        <v>ICTV20175806</v>
      </c>
      <c r="R8379" t="s">
        <v>660</v>
      </c>
      <c r="S8379" t="s">
        <v>824</v>
      </c>
      <c r="T8379">
        <v>41</v>
      </c>
      <c r="U8379" s="26" t="str">
        <f t="shared" si="305"/>
        <v>2025.002G.Monodnaviria_reorg_4nr.zip</v>
      </c>
    </row>
    <row r="8380" spans="1:21">
      <c r="A8380">
        <v>8379</v>
      </c>
      <c r="B8380" s="27" t="s">
        <v>20779</v>
      </c>
      <c r="D8380" s="27" t="s">
        <v>1826</v>
      </c>
      <c r="F8380" s="27" t="s">
        <v>1844</v>
      </c>
      <c r="H8380" s="27" t="s">
        <v>1853</v>
      </c>
      <c r="J8380" s="27" t="s">
        <v>1854</v>
      </c>
      <c r="L8380" s="27" t="s">
        <v>461</v>
      </c>
      <c r="N8380" s="27" t="s">
        <v>462</v>
      </c>
      <c r="P8380" s="27" t="s">
        <v>13034</v>
      </c>
      <c r="Q8380" s="26" t="str">
        <f>HYPERLINK("https://ictv.global/taxonomy/taxondetails?taxnode_id=202503259&amp;ictv_id=ICTV20083875","ICTV20083875")</f>
        <v>ICTV20083875</v>
      </c>
      <c r="R8380" t="s">
        <v>660</v>
      </c>
      <c r="S8380" t="s">
        <v>824</v>
      </c>
      <c r="T8380">
        <v>41</v>
      </c>
      <c r="U8380" s="26" t="str">
        <f t="shared" ref="U8380:U8415" si="306">HYPERLINK("https://ictv.global/ictv/proposals/2025.002G.Monodnaviria_reorg_4nr.zip","2025.002G.Monodnaviria_reorg_4nr.zip")</f>
        <v>2025.002G.Monodnaviria_reorg_4nr.zip</v>
      </c>
    </row>
    <row r="8381" spans="1:21">
      <c r="A8381">
        <v>8380</v>
      </c>
      <c r="B8381" s="27" t="s">
        <v>20779</v>
      </c>
      <c r="D8381" s="27" t="s">
        <v>1826</v>
      </c>
      <c r="F8381" s="27" t="s">
        <v>1844</v>
      </c>
      <c r="H8381" s="27" t="s">
        <v>1853</v>
      </c>
      <c r="J8381" s="27" t="s">
        <v>1854</v>
      </c>
      <c r="L8381" s="27" t="s">
        <v>461</v>
      </c>
      <c r="N8381" s="27" t="s">
        <v>462</v>
      </c>
      <c r="P8381" s="27" t="s">
        <v>13035</v>
      </c>
      <c r="Q8381" s="26" t="str">
        <f>HYPERLINK("https://ictv.global/taxonomy/taxondetails?taxnode_id=202503271&amp;ictv_id=ICTV20083881","ICTV20083881")</f>
        <v>ICTV20083881</v>
      </c>
      <c r="R8381" t="s">
        <v>660</v>
      </c>
      <c r="S8381" t="s">
        <v>824</v>
      </c>
      <c r="T8381">
        <v>41</v>
      </c>
      <c r="U8381" s="26" t="str">
        <f t="shared" si="306"/>
        <v>2025.002G.Monodnaviria_reorg_4nr.zip</v>
      </c>
    </row>
    <row r="8382" spans="1:21">
      <c r="A8382">
        <v>8381</v>
      </c>
      <c r="B8382" s="27" t="s">
        <v>20779</v>
      </c>
      <c r="D8382" s="27" t="s">
        <v>1826</v>
      </c>
      <c r="F8382" s="27" t="s">
        <v>1844</v>
      </c>
      <c r="H8382" s="27" t="s">
        <v>1853</v>
      </c>
      <c r="J8382" s="27" t="s">
        <v>1854</v>
      </c>
      <c r="L8382" s="27" t="s">
        <v>461</v>
      </c>
      <c r="N8382" s="27" t="s">
        <v>462</v>
      </c>
      <c r="P8382" s="27" t="s">
        <v>13036</v>
      </c>
      <c r="Q8382" s="26" t="str">
        <f>HYPERLINK("https://ictv.global/taxonomy/taxondetails?taxnode_id=202503270&amp;ictv_id=ICTV20083880","ICTV20083880")</f>
        <v>ICTV20083880</v>
      </c>
      <c r="R8382" t="s">
        <v>660</v>
      </c>
      <c r="S8382" t="s">
        <v>824</v>
      </c>
      <c r="T8382">
        <v>41</v>
      </c>
      <c r="U8382" s="26" t="str">
        <f t="shared" si="306"/>
        <v>2025.002G.Monodnaviria_reorg_4nr.zip</v>
      </c>
    </row>
    <row r="8383" spans="1:21">
      <c r="A8383">
        <v>8382</v>
      </c>
      <c r="B8383" s="27" t="s">
        <v>20779</v>
      </c>
      <c r="D8383" s="27" t="s">
        <v>1826</v>
      </c>
      <c r="F8383" s="27" t="s">
        <v>1844</v>
      </c>
      <c r="H8383" s="27" t="s">
        <v>1853</v>
      </c>
      <c r="J8383" s="27" t="s">
        <v>1854</v>
      </c>
      <c r="L8383" s="27" t="s">
        <v>461</v>
      </c>
      <c r="N8383" s="27" t="s">
        <v>462</v>
      </c>
      <c r="P8383" s="27" t="s">
        <v>13037</v>
      </c>
      <c r="Q8383" s="26" t="str">
        <f>HYPERLINK("https://ictv.global/taxonomy/taxondetails?taxnode_id=202503272&amp;ictv_id=ICTV20073702","ICTV20073702")</f>
        <v>ICTV20073702</v>
      </c>
      <c r="R8383" t="s">
        <v>660</v>
      </c>
      <c r="S8383" t="s">
        <v>824</v>
      </c>
      <c r="T8383">
        <v>41</v>
      </c>
      <c r="U8383" s="26" t="str">
        <f t="shared" si="306"/>
        <v>2025.002G.Monodnaviria_reorg_4nr.zip</v>
      </c>
    </row>
    <row r="8384" spans="1:21">
      <c r="A8384">
        <v>8383</v>
      </c>
      <c r="B8384" s="27" t="s">
        <v>20779</v>
      </c>
      <c r="D8384" s="27" t="s">
        <v>1826</v>
      </c>
      <c r="F8384" s="27" t="s">
        <v>1844</v>
      </c>
      <c r="H8384" s="27" t="s">
        <v>1853</v>
      </c>
      <c r="J8384" s="27" t="s">
        <v>1854</v>
      </c>
      <c r="L8384" s="27" t="s">
        <v>461</v>
      </c>
      <c r="N8384" s="27" t="s">
        <v>462</v>
      </c>
      <c r="P8384" s="27" t="s">
        <v>13038</v>
      </c>
      <c r="Q8384" s="26" t="str">
        <f>HYPERLINK("https://ictv.global/taxonomy/taxondetails?taxnode_id=202505807&amp;ictv_id=ICTV20175807","ICTV20175807")</f>
        <v>ICTV20175807</v>
      </c>
      <c r="R8384" t="s">
        <v>660</v>
      </c>
      <c r="S8384" t="s">
        <v>824</v>
      </c>
      <c r="T8384">
        <v>41</v>
      </c>
      <c r="U8384" s="26" t="str">
        <f t="shared" si="306"/>
        <v>2025.002G.Monodnaviria_reorg_4nr.zip</v>
      </c>
    </row>
    <row r="8385" spans="1:21">
      <c r="A8385">
        <v>8384</v>
      </c>
      <c r="B8385" s="27" t="s">
        <v>20779</v>
      </c>
      <c r="D8385" s="27" t="s">
        <v>1826</v>
      </c>
      <c r="F8385" s="27" t="s">
        <v>1844</v>
      </c>
      <c r="H8385" s="27" t="s">
        <v>1853</v>
      </c>
      <c r="J8385" s="27" t="s">
        <v>1854</v>
      </c>
      <c r="L8385" s="27" t="s">
        <v>461</v>
      </c>
      <c r="N8385" s="27" t="s">
        <v>462</v>
      </c>
      <c r="P8385" s="27" t="s">
        <v>13039</v>
      </c>
      <c r="Q8385" s="26" t="str">
        <f>HYPERLINK("https://ictv.global/taxonomy/taxondetails?taxnode_id=202503273&amp;ictv_id=ICTV20131914","ICTV20131914")</f>
        <v>ICTV20131914</v>
      </c>
      <c r="R8385" t="s">
        <v>660</v>
      </c>
      <c r="S8385" t="s">
        <v>824</v>
      </c>
      <c r="T8385">
        <v>41</v>
      </c>
      <c r="U8385" s="26" t="str">
        <f t="shared" si="306"/>
        <v>2025.002G.Monodnaviria_reorg_4nr.zip</v>
      </c>
    </row>
    <row r="8386" spans="1:21">
      <c r="A8386">
        <v>8385</v>
      </c>
      <c r="B8386" s="27" t="s">
        <v>20779</v>
      </c>
      <c r="D8386" s="27" t="s">
        <v>1826</v>
      </c>
      <c r="F8386" s="27" t="s">
        <v>1844</v>
      </c>
      <c r="H8386" s="27" t="s">
        <v>1853</v>
      </c>
      <c r="J8386" s="27" t="s">
        <v>1854</v>
      </c>
      <c r="L8386" s="27" t="s">
        <v>461</v>
      </c>
      <c r="N8386" s="27" t="s">
        <v>462</v>
      </c>
      <c r="P8386" s="27" t="s">
        <v>13040</v>
      </c>
      <c r="Q8386" s="26" t="str">
        <f>HYPERLINK("https://ictv.global/taxonomy/taxondetails?taxnode_id=202505809&amp;ictv_id=ICTV20175809","ICTV20175809")</f>
        <v>ICTV20175809</v>
      </c>
      <c r="R8386" t="s">
        <v>660</v>
      </c>
      <c r="S8386" t="s">
        <v>824</v>
      </c>
      <c r="T8386">
        <v>41</v>
      </c>
      <c r="U8386" s="26" t="str">
        <f t="shared" si="306"/>
        <v>2025.002G.Monodnaviria_reorg_4nr.zip</v>
      </c>
    </row>
    <row r="8387" spans="1:21">
      <c r="A8387">
        <v>8386</v>
      </c>
      <c r="B8387" s="27" t="s">
        <v>20779</v>
      </c>
      <c r="D8387" s="27" t="s">
        <v>1826</v>
      </c>
      <c r="F8387" s="27" t="s">
        <v>1844</v>
      </c>
      <c r="H8387" s="27" t="s">
        <v>1853</v>
      </c>
      <c r="J8387" s="27" t="s">
        <v>1854</v>
      </c>
      <c r="L8387" s="27" t="s">
        <v>461</v>
      </c>
      <c r="N8387" s="27" t="s">
        <v>462</v>
      </c>
      <c r="P8387" s="27" t="s">
        <v>13041</v>
      </c>
      <c r="Q8387" s="26" t="str">
        <f>HYPERLINK("https://ictv.global/taxonomy/taxondetails?taxnode_id=202503275&amp;ictv_id=ICTV20041147","ICTV20041147")</f>
        <v>ICTV20041147</v>
      </c>
      <c r="R8387" t="s">
        <v>660</v>
      </c>
      <c r="S8387" t="s">
        <v>824</v>
      </c>
      <c r="T8387">
        <v>41</v>
      </c>
      <c r="U8387" s="26" t="str">
        <f t="shared" si="306"/>
        <v>2025.002G.Monodnaviria_reorg_4nr.zip</v>
      </c>
    </row>
    <row r="8388" spans="1:21">
      <c r="A8388">
        <v>8387</v>
      </c>
      <c r="B8388" s="27" t="s">
        <v>20779</v>
      </c>
      <c r="D8388" s="27" t="s">
        <v>1826</v>
      </c>
      <c r="F8388" s="27" t="s">
        <v>1844</v>
      </c>
      <c r="H8388" s="27" t="s">
        <v>1853</v>
      </c>
      <c r="J8388" s="27" t="s">
        <v>1854</v>
      </c>
      <c r="L8388" s="27" t="s">
        <v>461</v>
      </c>
      <c r="N8388" s="27" t="s">
        <v>462</v>
      </c>
      <c r="P8388" s="27" t="s">
        <v>13042</v>
      </c>
      <c r="Q8388" s="26" t="str">
        <f>HYPERLINK("https://ictv.global/taxonomy/taxondetails?taxnode_id=202503276&amp;ictv_id=ICTV20041148","ICTV20041148")</f>
        <v>ICTV20041148</v>
      </c>
      <c r="R8388" t="s">
        <v>660</v>
      </c>
      <c r="S8388" t="s">
        <v>824</v>
      </c>
      <c r="T8388">
        <v>41</v>
      </c>
      <c r="U8388" s="26" t="str">
        <f t="shared" si="306"/>
        <v>2025.002G.Monodnaviria_reorg_4nr.zip</v>
      </c>
    </row>
    <row r="8389" spans="1:21">
      <c r="A8389">
        <v>8388</v>
      </c>
      <c r="B8389" s="27" t="s">
        <v>20779</v>
      </c>
      <c r="D8389" s="27" t="s">
        <v>1826</v>
      </c>
      <c r="F8389" s="27" t="s">
        <v>1844</v>
      </c>
      <c r="H8389" s="27" t="s">
        <v>1853</v>
      </c>
      <c r="J8389" s="27" t="s">
        <v>1854</v>
      </c>
      <c r="L8389" s="27" t="s">
        <v>461</v>
      </c>
      <c r="N8389" s="27" t="s">
        <v>462</v>
      </c>
      <c r="P8389" s="27" t="s">
        <v>13043</v>
      </c>
      <c r="Q8389" s="26" t="str">
        <f>HYPERLINK("https://ictv.global/taxonomy/taxondetails?taxnode_id=202503277&amp;ictv_id=ICTV20131916","ICTV20131916")</f>
        <v>ICTV20131916</v>
      </c>
      <c r="R8389" t="s">
        <v>660</v>
      </c>
      <c r="S8389" t="s">
        <v>824</v>
      </c>
      <c r="T8389">
        <v>41</v>
      </c>
      <c r="U8389" s="26" t="str">
        <f t="shared" si="306"/>
        <v>2025.002G.Monodnaviria_reorg_4nr.zip</v>
      </c>
    </row>
    <row r="8390" spans="1:21">
      <c r="A8390">
        <v>8389</v>
      </c>
      <c r="B8390" s="27" t="s">
        <v>20779</v>
      </c>
      <c r="D8390" s="27" t="s">
        <v>1826</v>
      </c>
      <c r="F8390" s="27" t="s">
        <v>1844</v>
      </c>
      <c r="H8390" s="27" t="s">
        <v>1853</v>
      </c>
      <c r="J8390" s="27" t="s">
        <v>1854</v>
      </c>
      <c r="L8390" s="27" t="s">
        <v>461</v>
      </c>
      <c r="N8390" s="27" t="s">
        <v>462</v>
      </c>
      <c r="P8390" s="27" t="s">
        <v>13044</v>
      </c>
      <c r="Q8390" s="26" t="str">
        <f>HYPERLINK("https://ictv.global/taxonomy/taxondetails?taxnode_id=202505808&amp;ictv_id=ICTV20175808","ICTV20175808")</f>
        <v>ICTV20175808</v>
      </c>
      <c r="R8390" t="s">
        <v>660</v>
      </c>
      <c r="S8390" t="s">
        <v>824</v>
      </c>
      <c r="T8390">
        <v>41</v>
      </c>
      <c r="U8390" s="26" t="str">
        <f t="shared" si="306"/>
        <v>2025.002G.Monodnaviria_reorg_4nr.zip</v>
      </c>
    </row>
    <row r="8391" spans="1:21">
      <c r="A8391">
        <v>8390</v>
      </c>
      <c r="B8391" s="27" t="s">
        <v>20779</v>
      </c>
      <c r="D8391" s="27" t="s">
        <v>1826</v>
      </c>
      <c r="F8391" s="27" t="s">
        <v>1844</v>
      </c>
      <c r="H8391" s="27" t="s">
        <v>1853</v>
      </c>
      <c r="J8391" s="27" t="s">
        <v>1854</v>
      </c>
      <c r="L8391" s="27" t="s">
        <v>461</v>
      </c>
      <c r="N8391" s="27" t="s">
        <v>462</v>
      </c>
      <c r="P8391" s="27" t="s">
        <v>13045</v>
      </c>
      <c r="Q8391" s="26" t="str">
        <f>HYPERLINK("https://ictv.global/taxonomy/taxondetails?taxnode_id=202503274&amp;ictv_id=ICTV20041146","ICTV20041146")</f>
        <v>ICTV20041146</v>
      </c>
      <c r="R8391" t="s">
        <v>660</v>
      </c>
      <c r="S8391" t="s">
        <v>824</v>
      </c>
      <c r="T8391">
        <v>41</v>
      </c>
      <c r="U8391" s="26" t="str">
        <f t="shared" si="306"/>
        <v>2025.002G.Monodnaviria_reorg_4nr.zip</v>
      </c>
    </row>
    <row r="8392" spans="1:21">
      <c r="A8392">
        <v>8391</v>
      </c>
      <c r="B8392" s="27" t="s">
        <v>20779</v>
      </c>
      <c r="D8392" s="27" t="s">
        <v>1826</v>
      </c>
      <c r="F8392" s="27" t="s">
        <v>1844</v>
      </c>
      <c r="H8392" s="27" t="s">
        <v>1853</v>
      </c>
      <c r="J8392" s="27" t="s">
        <v>1854</v>
      </c>
      <c r="L8392" s="27" t="s">
        <v>461</v>
      </c>
      <c r="N8392" s="27" t="s">
        <v>462</v>
      </c>
      <c r="P8392" s="27" t="s">
        <v>13046</v>
      </c>
      <c r="Q8392" s="26" t="str">
        <f>HYPERLINK("https://ictv.global/taxonomy/taxondetails?taxnode_id=202503278&amp;ictv_id=ICTV20131917","ICTV20131917")</f>
        <v>ICTV20131917</v>
      </c>
      <c r="R8392" t="s">
        <v>660</v>
      </c>
      <c r="S8392" t="s">
        <v>824</v>
      </c>
      <c r="T8392">
        <v>41</v>
      </c>
      <c r="U8392" s="26" t="str">
        <f t="shared" si="306"/>
        <v>2025.002G.Monodnaviria_reorg_4nr.zip</v>
      </c>
    </row>
    <row r="8393" spans="1:21">
      <c r="A8393">
        <v>8392</v>
      </c>
      <c r="B8393" s="27" t="s">
        <v>20779</v>
      </c>
      <c r="D8393" s="27" t="s">
        <v>1826</v>
      </c>
      <c r="F8393" s="27" t="s">
        <v>1844</v>
      </c>
      <c r="H8393" s="27" t="s">
        <v>1853</v>
      </c>
      <c r="J8393" s="27" t="s">
        <v>1854</v>
      </c>
      <c r="L8393" s="27" t="s">
        <v>461</v>
      </c>
      <c r="N8393" s="27" t="s">
        <v>462</v>
      </c>
      <c r="P8393" s="27" t="s">
        <v>13047</v>
      </c>
      <c r="Q8393" s="26" t="str">
        <f>HYPERLINK("https://ictv.global/taxonomy/taxondetails?taxnode_id=202503258&amp;ictv_id=ICTV20083874","ICTV20083874")</f>
        <v>ICTV20083874</v>
      </c>
      <c r="R8393" t="s">
        <v>660</v>
      </c>
      <c r="S8393" t="s">
        <v>824</v>
      </c>
      <c r="T8393">
        <v>41</v>
      </c>
      <c r="U8393" s="26" t="str">
        <f t="shared" si="306"/>
        <v>2025.002G.Monodnaviria_reorg_4nr.zip</v>
      </c>
    </row>
    <row r="8394" spans="1:21">
      <c r="A8394">
        <v>8393</v>
      </c>
      <c r="B8394" s="27" t="s">
        <v>20779</v>
      </c>
      <c r="D8394" s="27" t="s">
        <v>1826</v>
      </c>
      <c r="F8394" s="27" t="s">
        <v>1844</v>
      </c>
      <c r="H8394" s="27" t="s">
        <v>1853</v>
      </c>
      <c r="J8394" s="27" t="s">
        <v>1854</v>
      </c>
      <c r="L8394" s="27" t="s">
        <v>461</v>
      </c>
      <c r="N8394" s="27" t="s">
        <v>462</v>
      </c>
      <c r="P8394" s="27" t="s">
        <v>13048</v>
      </c>
      <c r="Q8394" s="26" t="str">
        <f>HYPERLINK("https://ictv.global/taxonomy/taxondetails?taxnode_id=202503280&amp;ictv_id=ICTV20083887","ICTV20083887")</f>
        <v>ICTV20083887</v>
      </c>
      <c r="R8394" t="s">
        <v>660</v>
      </c>
      <c r="S8394" t="s">
        <v>824</v>
      </c>
      <c r="T8394">
        <v>41</v>
      </c>
      <c r="U8394" s="26" t="str">
        <f t="shared" si="306"/>
        <v>2025.002G.Monodnaviria_reorg_4nr.zip</v>
      </c>
    </row>
    <row r="8395" spans="1:21">
      <c r="A8395">
        <v>8394</v>
      </c>
      <c r="B8395" s="27" t="s">
        <v>20779</v>
      </c>
      <c r="D8395" s="27" t="s">
        <v>1826</v>
      </c>
      <c r="F8395" s="27" t="s">
        <v>1844</v>
      </c>
      <c r="H8395" s="27" t="s">
        <v>1853</v>
      </c>
      <c r="J8395" s="27" t="s">
        <v>1854</v>
      </c>
      <c r="L8395" s="27" t="s">
        <v>461</v>
      </c>
      <c r="N8395" s="27" t="s">
        <v>462</v>
      </c>
      <c r="P8395" s="27" t="s">
        <v>13049</v>
      </c>
      <c r="Q8395" s="26" t="str">
        <f>HYPERLINK("https://ictv.global/taxonomy/taxondetails?taxnode_id=202505811&amp;ictv_id=ICTV20175811","ICTV20175811")</f>
        <v>ICTV20175811</v>
      </c>
      <c r="R8395" t="s">
        <v>660</v>
      </c>
      <c r="S8395" t="s">
        <v>824</v>
      </c>
      <c r="T8395">
        <v>41</v>
      </c>
      <c r="U8395" s="26" t="str">
        <f t="shared" si="306"/>
        <v>2025.002G.Monodnaviria_reorg_4nr.zip</v>
      </c>
    </row>
    <row r="8396" spans="1:21">
      <c r="A8396">
        <v>8395</v>
      </c>
      <c r="B8396" s="27" t="s">
        <v>20779</v>
      </c>
      <c r="D8396" s="27" t="s">
        <v>1826</v>
      </c>
      <c r="F8396" s="27" t="s">
        <v>1844</v>
      </c>
      <c r="H8396" s="27" t="s">
        <v>1853</v>
      </c>
      <c r="J8396" s="27" t="s">
        <v>1854</v>
      </c>
      <c r="L8396" s="27" t="s">
        <v>461</v>
      </c>
      <c r="N8396" s="27" t="s">
        <v>462</v>
      </c>
      <c r="P8396" s="27" t="s">
        <v>13050</v>
      </c>
      <c r="Q8396" s="26" t="str">
        <f>HYPERLINK("https://ictv.global/taxonomy/taxondetails?taxnode_id=202505810&amp;ictv_id=ICTV20175810","ICTV20175810")</f>
        <v>ICTV20175810</v>
      </c>
      <c r="R8396" t="s">
        <v>660</v>
      </c>
      <c r="S8396" t="s">
        <v>824</v>
      </c>
      <c r="T8396">
        <v>41</v>
      </c>
      <c r="U8396" s="26" t="str">
        <f t="shared" si="306"/>
        <v>2025.002G.Monodnaviria_reorg_4nr.zip</v>
      </c>
    </row>
    <row r="8397" spans="1:21">
      <c r="A8397">
        <v>8396</v>
      </c>
      <c r="B8397" s="27" t="s">
        <v>20779</v>
      </c>
      <c r="D8397" s="27" t="s">
        <v>1826</v>
      </c>
      <c r="F8397" s="27" t="s">
        <v>1844</v>
      </c>
      <c r="H8397" s="27" t="s">
        <v>1853</v>
      </c>
      <c r="J8397" s="27" t="s">
        <v>1854</v>
      </c>
      <c r="L8397" s="27" t="s">
        <v>461</v>
      </c>
      <c r="N8397" s="27" t="s">
        <v>462</v>
      </c>
      <c r="P8397" s="27" t="s">
        <v>13051</v>
      </c>
      <c r="Q8397" s="26" t="str">
        <f>HYPERLINK("https://ictv.global/taxonomy/taxondetails?taxnode_id=202503281&amp;ictv_id=ICTV20131918","ICTV20131918")</f>
        <v>ICTV20131918</v>
      </c>
      <c r="R8397" t="s">
        <v>660</v>
      </c>
      <c r="S8397" t="s">
        <v>824</v>
      </c>
      <c r="T8397">
        <v>41</v>
      </c>
      <c r="U8397" s="26" t="str">
        <f t="shared" si="306"/>
        <v>2025.002G.Monodnaviria_reorg_4nr.zip</v>
      </c>
    </row>
    <row r="8398" spans="1:21">
      <c r="A8398">
        <v>8397</v>
      </c>
      <c r="B8398" s="27" t="s">
        <v>20779</v>
      </c>
      <c r="D8398" s="27" t="s">
        <v>1826</v>
      </c>
      <c r="F8398" s="27" t="s">
        <v>1844</v>
      </c>
      <c r="H8398" s="27" t="s">
        <v>1853</v>
      </c>
      <c r="J8398" s="27" t="s">
        <v>1854</v>
      </c>
      <c r="L8398" s="27" t="s">
        <v>461</v>
      </c>
      <c r="N8398" s="27" t="s">
        <v>462</v>
      </c>
      <c r="P8398" s="27" t="s">
        <v>13052</v>
      </c>
      <c r="Q8398" s="26" t="str">
        <f>HYPERLINK("https://ictv.global/taxonomy/taxondetails?taxnode_id=202503284&amp;ictv_id=ICTV20131921","ICTV20131921")</f>
        <v>ICTV20131921</v>
      </c>
      <c r="R8398" t="s">
        <v>660</v>
      </c>
      <c r="S8398" t="s">
        <v>824</v>
      </c>
      <c r="T8398">
        <v>41</v>
      </c>
      <c r="U8398" s="26" t="str">
        <f t="shared" si="306"/>
        <v>2025.002G.Monodnaviria_reorg_4nr.zip</v>
      </c>
    </row>
    <row r="8399" spans="1:21">
      <c r="A8399">
        <v>8398</v>
      </c>
      <c r="B8399" s="27" t="s">
        <v>20779</v>
      </c>
      <c r="D8399" s="27" t="s">
        <v>1826</v>
      </c>
      <c r="F8399" s="27" t="s">
        <v>1844</v>
      </c>
      <c r="H8399" s="27" t="s">
        <v>1853</v>
      </c>
      <c r="J8399" s="27" t="s">
        <v>1854</v>
      </c>
      <c r="L8399" s="27" t="s">
        <v>461</v>
      </c>
      <c r="N8399" s="27" t="s">
        <v>462</v>
      </c>
      <c r="P8399" s="27" t="s">
        <v>13053</v>
      </c>
      <c r="Q8399" s="26" t="str">
        <f>HYPERLINK("https://ictv.global/taxonomy/taxondetails?taxnode_id=202503282&amp;ictv_id=ICTV20131919","ICTV20131919")</f>
        <v>ICTV20131919</v>
      </c>
      <c r="R8399" t="s">
        <v>660</v>
      </c>
      <c r="S8399" t="s">
        <v>824</v>
      </c>
      <c r="T8399">
        <v>41</v>
      </c>
      <c r="U8399" s="26" t="str">
        <f t="shared" si="306"/>
        <v>2025.002G.Monodnaviria_reorg_4nr.zip</v>
      </c>
    </row>
    <row r="8400" spans="1:21">
      <c r="A8400">
        <v>8399</v>
      </c>
      <c r="B8400" s="27" t="s">
        <v>20779</v>
      </c>
      <c r="D8400" s="27" t="s">
        <v>1826</v>
      </c>
      <c r="F8400" s="27" t="s">
        <v>1844</v>
      </c>
      <c r="H8400" s="27" t="s">
        <v>1853</v>
      </c>
      <c r="J8400" s="27" t="s">
        <v>1854</v>
      </c>
      <c r="L8400" s="27" t="s">
        <v>461</v>
      </c>
      <c r="N8400" s="27" t="s">
        <v>462</v>
      </c>
      <c r="P8400" s="27" t="s">
        <v>13054</v>
      </c>
      <c r="Q8400" s="26" t="str">
        <f>HYPERLINK("https://ictv.global/taxonomy/taxondetails?taxnode_id=202507525&amp;ictv_id=ICTV201907525","ICTV201907525")</f>
        <v>ICTV201907525</v>
      </c>
      <c r="R8400" t="s">
        <v>660</v>
      </c>
      <c r="S8400" t="s">
        <v>824</v>
      </c>
      <c r="T8400">
        <v>41</v>
      </c>
      <c r="U8400" s="26" t="str">
        <f t="shared" si="306"/>
        <v>2025.002G.Monodnaviria_reorg_4nr.zip</v>
      </c>
    </row>
    <row r="8401" spans="1:21">
      <c r="A8401">
        <v>8400</v>
      </c>
      <c r="B8401" s="27" t="s">
        <v>20779</v>
      </c>
      <c r="D8401" s="27" t="s">
        <v>1826</v>
      </c>
      <c r="F8401" s="27" t="s">
        <v>1844</v>
      </c>
      <c r="H8401" s="27" t="s">
        <v>1853</v>
      </c>
      <c r="J8401" s="27" t="s">
        <v>1854</v>
      </c>
      <c r="L8401" s="27" t="s">
        <v>461</v>
      </c>
      <c r="N8401" s="27" t="s">
        <v>462</v>
      </c>
      <c r="P8401" s="27" t="s">
        <v>13055</v>
      </c>
      <c r="Q8401" s="26" t="str">
        <f>HYPERLINK("https://ictv.global/taxonomy/taxondetails?taxnode_id=202503283&amp;ictv_id=ICTV20083889","ICTV20083889")</f>
        <v>ICTV20083889</v>
      </c>
      <c r="R8401" t="s">
        <v>660</v>
      </c>
      <c r="S8401" t="s">
        <v>824</v>
      </c>
      <c r="T8401">
        <v>41</v>
      </c>
      <c r="U8401" s="26" t="str">
        <f t="shared" si="306"/>
        <v>2025.002G.Monodnaviria_reorg_4nr.zip</v>
      </c>
    </row>
    <row r="8402" spans="1:21">
      <c r="A8402">
        <v>8401</v>
      </c>
      <c r="B8402" s="27" t="s">
        <v>20779</v>
      </c>
      <c r="D8402" s="27" t="s">
        <v>1826</v>
      </c>
      <c r="F8402" s="27" t="s">
        <v>1844</v>
      </c>
      <c r="H8402" s="27" t="s">
        <v>1853</v>
      </c>
      <c r="J8402" s="27" t="s">
        <v>1854</v>
      </c>
      <c r="L8402" s="27" t="s">
        <v>461</v>
      </c>
      <c r="N8402" s="27" t="s">
        <v>462</v>
      </c>
      <c r="P8402" s="27" t="s">
        <v>13056</v>
      </c>
      <c r="Q8402" s="26" t="str">
        <f>HYPERLINK("https://ictv.global/taxonomy/taxondetails?taxnode_id=202503279&amp;ictv_id=ICTV20152833","ICTV20152833")</f>
        <v>ICTV20152833</v>
      </c>
      <c r="R8402" t="s">
        <v>660</v>
      </c>
      <c r="S8402" t="s">
        <v>824</v>
      </c>
      <c r="T8402">
        <v>41</v>
      </c>
      <c r="U8402" s="26" t="str">
        <f t="shared" si="306"/>
        <v>2025.002G.Monodnaviria_reorg_4nr.zip</v>
      </c>
    </row>
    <row r="8403" spans="1:21">
      <c r="A8403">
        <v>8402</v>
      </c>
      <c r="B8403" s="27" t="s">
        <v>20779</v>
      </c>
      <c r="D8403" s="27" t="s">
        <v>1826</v>
      </c>
      <c r="F8403" s="27" t="s">
        <v>1844</v>
      </c>
      <c r="H8403" s="27" t="s">
        <v>1853</v>
      </c>
      <c r="J8403" s="27" t="s">
        <v>1854</v>
      </c>
      <c r="L8403" s="27" t="s">
        <v>461</v>
      </c>
      <c r="N8403" s="27" t="s">
        <v>462</v>
      </c>
      <c r="P8403" s="27" t="s">
        <v>13057</v>
      </c>
      <c r="Q8403" s="26" t="str">
        <f>HYPERLINK("https://ictv.global/taxonomy/taxondetails?taxnode_id=202503286&amp;ictv_id=ICTV20083891","ICTV20083891")</f>
        <v>ICTV20083891</v>
      </c>
      <c r="R8403" t="s">
        <v>660</v>
      </c>
      <c r="S8403" t="s">
        <v>824</v>
      </c>
      <c r="T8403">
        <v>41</v>
      </c>
      <c r="U8403" s="26" t="str">
        <f t="shared" si="306"/>
        <v>2025.002G.Monodnaviria_reorg_4nr.zip</v>
      </c>
    </row>
    <row r="8404" spans="1:21">
      <c r="A8404">
        <v>8403</v>
      </c>
      <c r="B8404" s="27" t="s">
        <v>20779</v>
      </c>
      <c r="D8404" s="27" t="s">
        <v>1826</v>
      </c>
      <c r="F8404" s="27" t="s">
        <v>1844</v>
      </c>
      <c r="H8404" s="27" t="s">
        <v>1853</v>
      </c>
      <c r="J8404" s="27" t="s">
        <v>1854</v>
      </c>
      <c r="L8404" s="27" t="s">
        <v>461</v>
      </c>
      <c r="N8404" s="27" t="s">
        <v>462</v>
      </c>
      <c r="P8404" s="27" t="s">
        <v>13058</v>
      </c>
      <c r="Q8404" s="26" t="str">
        <f>HYPERLINK("https://ictv.global/taxonomy/taxondetails?taxnode_id=202503285&amp;ictv_id=ICTV20041149","ICTV20041149")</f>
        <v>ICTV20041149</v>
      </c>
      <c r="R8404" t="s">
        <v>660</v>
      </c>
      <c r="S8404" t="s">
        <v>824</v>
      </c>
      <c r="T8404">
        <v>41</v>
      </c>
      <c r="U8404" s="26" t="str">
        <f t="shared" si="306"/>
        <v>2025.002G.Monodnaviria_reorg_4nr.zip</v>
      </c>
    </row>
    <row r="8405" spans="1:21">
      <c r="A8405">
        <v>8404</v>
      </c>
      <c r="B8405" s="27" t="s">
        <v>20779</v>
      </c>
      <c r="D8405" s="27" t="s">
        <v>1826</v>
      </c>
      <c r="F8405" s="27" t="s">
        <v>1844</v>
      </c>
      <c r="H8405" s="27" t="s">
        <v>1853</v>
      </c>
      <c r="J8405" s="27" t="s">
        <v>1854</v>
      </c>
      <c r="L8405" s="27" t="s">
        <v>461</v>
      </c>
      <c r="N8405" s="27" t="s">
        <v>462</v>
      </c>
      <c r="P8405" s="27" t="s">
        <v>13059</v>
      </c>
      <c r="Q8405" s="26" t="str">
        <f>HYPERLINK("https://ictv.global/taxonomy/taxondetails?taxnode_id=202503179&amp;ictv_id=ICTV19790994","ICTV19790994")</f>
        <v>ICTV19790994</v>
      </c>
      <c r="R8405" t="s">
        <v>660</v>
      </c>
      <c r="S8405" t="s">
        <v>824</v>
      </c>
      <c r="T8405">
        <v>41</v>
      </c>
      <c r="U8405" s="26" t="str">
        <f t="shared" si="306"/>
        <v>2025.002G.Monodnaviria_reorg_4nr.zip</v>
      </c>
    </row>
    <row r="8406" spans="1:21">
      <c r="A8406">
        <v>8405</v>
      </c>
      <c r="B8406" s="27" t="s">
        <v>20779</v>
      </c>
      <c r="D8406" s="27" t="s">
        <v>1826</v>
      </c>
      <c r="F8406" s="27" t="s">
        <v>1844</v>
      </c>
      <c r="H8406" s="27" t="s">
        <v>1853</v>
      </c>
      <c r="J8406" s="27" t="s">
        <v>1854</v>
      </c>
      <c r="L8406" s="27" t="s">
        <v>461</v>
      </c>
      <c r="N8406" s="27" t="s">
        <v>462</v>
      </c>
      <c r="P8406" s="27" t="s">
        <v>13060</v>
      </c>
      <c r="Q8406" s="26" t="str">
        <f>HYPERLINK("https://ictv.global/taxonomy/taxondetails?taxnode_id=202503243&amp;ictv_id=ICTV19981390","ICTV19981390")</f>
        <v>ICTV19981390</v>
      </c>
      <c r="R8406" t="s">
        <v>660</v>
      </c>
      <c r="S8406" t="s">
        <v>824</v>
      </c>
      <c r="T8406">
        <v>41</v>
      </c>
      <c r="U8406" s="26" t="str">
        <f t="shared" si="306"/>
        <v>2025.002G.Monodnaviria_reorg_4nr.zip</v>
      </c>
    </row>
    <row r="8407" spans="1:21">
      <c r="A8407">
        <v>8406</v>
      </c>
      <c r="B8407" s="27" t="s">
        <v>20779</v>
      </c>
      <c r="D8407" s="27" t="s">
        <v>1826</v>
      </c>
      <c r="F8407" s="27" t="s">
        <v>1844</v>
      </c>
      <c r="H8407" s="27" t="s">
        <v>1853</v>
      </c>
      <c r="J8407" s="27" t="s">
        <v>1854</v>
      </c>
      <c r="L8407" s="27" t="s">
        <v>461</v>
      </c>
      <c r="N8407" s="27" t="s">
        <v>462</v>
      </c>
      <c r="P8407" s="27" t="s">
        <v>13061</v>
      </c>
      <c r="Q8407" s="26" t="str">
        <f>HYPERLINK("https://ictv.global/taxonomy/taxondetails?taxnode_id=202506693&amp;ictv_id=ICTV201856693","ICTV201856693")</f>
        <v>ICTV201856693</v>
      </c>
      <c r="R8407" t="s">
        <v>660</v>
      </c>
      <c r="S8407" t="s">
        <v>824</v>
      </c>
      <c r="T8407">
        <v>41</v>
      </c>
      <c r="U8407" s="26" t="str">
        <f t="shared" si="306"/>
        <v>2025.002G.Monodnaviria_reorg_4nr.zip</v>
      </c>
    </row>
    <row r="8408" spans="1:21">
      <c r="A8408">
        <v>8407</v>
      </c>
      <c r="B8408" s="27" t="s">
        <v>20779</v>
      </c>
      <c r="D8408" s="27" t="s">
        <v>1826</v>
      </c>
      <c r="F8408" s="27" t="s">
        <v>1844</v>
      </c>
      <c r="H8408" s="27" t="s">
        <v>1853</v>
      </c>
      <c r="J8408" s="27" t="s">
        <v>1854</v>
      </c>
      <c r="L8408" s="27" t="s">
        <v>461</v>
      </c>
      <c r="N8408" s="27" t="s">
        <v>462</v>
      </c>
      <c r="P8408" s="27" t="s">
        <v>13062</v>
      </c>
      <c r="Q8408" s="26" t="str">
        <f>HYPERLINK("https://ictv.global/taxonomy/taxondetails?taxnode_id=202503240&amp;ictv_id=ICTV20041135","ICTV20041135")</f>
        <v>ICTV20041135</v>
      </c>
      <c r="R8408" t="s">
        <v>660</v>
      </c>
      <c r="S8408" t="s">
        <v>824</v>
      </c>
      <c r="T8408">
        <v>41</v>
      </c>
      <c r="U8408" s="26" t="str">
        <f t="shared" si="306"/>
        <v>2025.002G.Monodnaviria_reorg_4nr.zip</v>
      </c>
    </row>
    <row r="8409" spans="1:21">
      <c r="A8409">
        <v>8408</v>
      </c>
      <c r="B8409" s="27" t="s">
        <v>20779</v>
      </c>
      <c r="D8409" s="27" t="s">
        <v>1826</v>
      </c>
      <c r="F8409" s="27" t="s">
        <v>1844</v>
      </c>
      <c r="H8409" s="27" t="s">
        <v>1853</v>
      </c>
      <c r="J8409" s="27" t="s">
        <v>1854</v>
      </c>
      <c r="L8409" s="27" t="s">
        <v>461</v>
      </c>
      <c r="N8409" s="27" t="s">
        <v>462</v>
      </c>
      <c r="P8409" s="27" t="s">
        <v>13063</v>
      </c>
      <c r="Q8409" s="26" t="str">
        <f>HYPERLINK("https://ictv.global/taxonomy/taxondetails?taxnode_id=202503260&amp;ictv_id=ICTV19911646","ICTV19911646")</f>
        <v>ICTV19911646</v>
      </c>
      <c r="R8409" t="s">
        <v>660</v>
      </c>
      <c r="S8409" t="s">
        <v>824</v>
      </c>
      <c r="T8409">
        <v>41</v>
      </c>
      <c r="U8409" s="26" t="str">
        <f t="shared" si="306"/>
        <v>2025.002G.Monodnaviria_reorg_4nr.zip</v>
      </c>
    </row>
    <row r="8410" spans="1:21">
      <c r="A8410">
        <v>8409</v>
      </c>
      <c r="B8410" s="27" t="s">
        <v>20779</v>
      </c>
      <c r="D8410" s="27" t="s">
        <v>1826</v>
      </c>
      <c r="F8410" s="27" t="s">
        <v>1844</v>
      </c>
      <c r="H8410" s="27" t="s">
        <v>1853</v>
      </c>
      <c r="J8410" s="27" t="s">
        <v>1854</v>
      </c>
      <c r="L8410" s="27" t="s">
        <v>461</v>
      </c>
      <c r="N8410" s="27" t="s">
        <v>462</v>
      </c>
      <c r="P8410" s="27" t="s">
        <v>13064</v>
      </c>
      <c r="Q8410" s="26" t="str">
        <f>HYPERLINK("https://ictv.global/taxonomy/taxondetails?taxnode_id=202503241&amp;ictv_id=ICTV20083861","ICTV20083861")</f>
        <v>ICTV20083861</v>
      </c>
      <c r="R8410" t="s">
        <v>660</v>
      </c>
      <c r="S8410" t="s">
        <v>824</v>
      </c>
      <c r="T8410">
        <v>41</v>
      </c>
      <c r="U8410" s="26" t="str">
        <f t="shared" si="306"/>
        <v>2025.002G.Monodnaviria_reorg_4nr.zip</v>
      </c>
    </row>
    <row r="8411" spans="1:21">
      <c r="A8411">
        <v>8410</v>
      </c>
      <c r="B8411" s="27" t="s">
        <v>20779</v>
      </c>
      <c r="D8411" s="27" t="s">
        <v>1826</v>
      </c>
      <c r="F8411" s="27" t="s">
        <v>1844</v>
      </c>
      <c r="H8411" s="27" t="s">
        <v>1853</v>
      </c>
      <c r="J8411" s="27" t="s">
        <v>1854</v>
      </c>
      <c r="L8411" s="27" t="s">
        <v>461</v>
      </c>
      <c r="N8411" s="27" t="s">
        <v>462</v>
      </c>
      <c r="P8411" s="27" t="s">
        <v>13065</v>
      </c>
      <c r="Q8411" s="26" t="str">
        <f>HYPERLINK("https://ictv.global/taxonomy/taxondetails?taxnode_id=202503202&amp;ictv_id=ICTV20152813","ICTV20152813")</f>
        <v>ICTV20152813</v>
      </c>
      <c r="R8411" t="s">
        <v>660</v>
      </c>
      <c r="S8411" t="s">
        <v>824</v>
      </c>
      <c r="T8411">
        <v>41</v>
      </c>
      <c r="U8411" s="26" t="str">
        <f t="shared" si="306"/>
        <v>2025.002G.Monodnaviria_reorg_4nr.zip</v>
      </c>
    </row>
    <row r="8412" spans="1:21">
      <c r="A8412">
        <v>8411</v>
      </c>
      <c r="B8412" s="27" t="s">
        <v>20779</v>
      </c>
      <c r="D8412" s="27" t="s">
        <v>1826</v>
      </c>
      <c r="F8412" s="27" t="s">
        <v>1844</v>
      </c>
      <c r="H8412" s="27" t="s">
        <v>1853</v>
      </c>
      <c r="J8412" s="27" t="s">
        <v>1854</v>
      </c>
      <c r="L8412" s="27" t="s">
        <v>461</v>
      </c>
      <c r="N8412" s="27" t="s">
        <v>462</v>
      </c>
      <c r="P8412" s="27" t="s">
        <v>13066</v>
      </c>
      <c r="Q8412" s="26" t="str">
        <f>HYPERLINK("https://ictv.global/taxonomy/taxondetails?taxnode_id=202503242&amp;ictv_id=ICTV20041136","ICTV20041136")</f>
        <v>ICTV20041136</v>
      </c>
      <c r="R8412" t="s">
        <v>660</v>
      </c>
      <c r="S8412" t="s">
        <v>824</v>
      </c>
      <c r="T8412">
        <v>41</v>
      </c>
      <c r="U8412" s="26" t="str">
        <f t="shared" si="306"/>
        <v>2025.002G.Monodnaviria_reorg_4nr.zip</v>
      </c>
    </row>
    <row r="8413" spans="1:21">
      <c r="A8413">
        <v>8412</v>
      </c>
      <c r="B8413" s="27" t="s">
        <v>20779</v>
      </c>
      <c r="D8413" s="27" t="s">
        <v>1826</v>
      </c>
      <c r="F8413" s="27" t="s">
        <v>1844</v>
      </c>
      <c r="H8413" s="27" t="s">
        <v>1853</v>
      </c>
      <c r="J8413" s="27" t="s">
        <v>1854</v>
      </c>
      <c r="L8413" s="27" t="s">
        <v>461</v>
      </c>
      <c r="N8413" s="27" t="s">
        <v>462</v>
      </c>
      <c r="P8413" s="27" t="s">
        <v>13067</v>
      </c>
      <c r="Q8413" s="26" t="str">
        <f>HYPERLINK("https://ictv.global/taxonomy/taxondetails?taxnode_id=202503244&amp;ictv_id=ICTV20041138","ICTV20041138")</f>
        <v>ICTV20041138</v>
      </c>
      <c r="R8413" t="s">
        <v>660</v>
      </c>
      <c r="S8413" t="s">
        <v>824</v>
      </c>
      <c r="T8413">
        <v>41</v>
      </c>
      <c r="U8413" s="26" t="str">
        <f t="shared" si="306"/>
        <v>2025.002G.Monodnaviria_reorg_4nr.zip</v>
      </c>
    </row>
    <row r="8414" spans="1:21">
      <c r="A8414">
        <v>8413</v>
      </c>
      <c r="B8414" s="27" t="s">
        <v>20779</v>
      </c>
      <c r="D8414" s="27" t="s">
        <v>1826</v>
      </c>
      <c r="F8414" s="27" t="s">
        <v>1844</v>
      </c>
      <c r="H8414" s="27" t="s">
        <v>1853</v>
      </c>
      <c r="J8414" s="27" t="s">
        <v>1854</v>
      </c>
      <c r="L8414" s="27" t="s">
        <v>461</v>
      </c>
      <c r="N8414" s="27" t="s">
        <v>462</v>
      </c>
      <c r="P8414" s="27" t="s">
        <v>13068</v>
      </c>
      <c r="Q8414" s="26" t="str">
        <f>HYPERLINK("https://ictv.global/taxonomy/taxondetails?taxnode_id=202505812&amp;ictv_id=ICTV20175812","ICTV20175812")</f>
        <v>ICTV20175812</v>
      </c>
      <c r="R8414" t="s">
        <v>660</v>
      </c>
      <c r="S8414" t="s">
        <v>824</v>
      </c>
      <c r="T8414">
        <v>41</v>
      </c>
      <c r="U8414" s="26" t="str">
        <f t="shared" si="306"/>
        <v>2025.002G.Monodnaviria_reorg_4nr.zip</v>
      </c>
    </row>
    <row r="8415" spans="1:21">
      <c r="A8415">
        <v>8414</v>
      </c>
      <c r="B8415" s="27" t="s">
        <v>20779</v>
      </c>
      <c r="D8415" s="27" t="s">
        <v>1826</v>
      </c>
      <c r="F8415" s="27" t="s">
        <v>1844</v>
      </c>
      <c r="H8415" s="27" t="s">
        <v>1853</v>
      </c>
      <c r="J8415" s="27" t="s">
        <v>1854</v>
      </c>
      <c r="L8415" s="27" t="s">
        <v>461</v>
      </c>
      <c r="N8415" s="27" t="s">
        <v>462</v>
      </c>
      <c r="P8415" s="27" t="s">
        <v>13069</v>
      </c>
      <c r="Q8415" s="26" t="str">
        <f>HYPERLINK("https://ictv.global/taxonomy/taxondetails?taxnode_id=202505813&amp;ictv_id=ICTV20175813","ICTV20175813")</f>
        <v>ICTV20175813</v>
      </c>
      <c r="R8415" t="s">
        <v>660</v>
      </c>
      <c r="S8415" t="s">
        <v>824</v>
      </c>
      <c r="T8415">
        <v>41</v>
      </c>
      <c r="U8415" s="26" t="str">
        <f t="shared" si="306"/>
        <v>2025.002G.Monodnaviria_reorg_4nr.zip</v>
      </c>
    </row>
    <row r="8416" spans="1:21">
      <c r="A8416">
        <v>8415</v>
      </c>
      <c r="B8416" s="27" t="s">
        <v>20779</v>
      </c>
      <c r="D8416" s="27" t="s">
        <v>1826</v>
      </c>
      <c r="F8416" s="27" t="s">
        <v>1844</v>
      </c>
      <c r="H8416" s="27" t="s">
        <v>1853</v>
      </c>
      <c r="J8416" s="27" t="s">
        <v>1854</v>
      </c>
      <c r="L8416" s="27" t="s">
        <v>461</v>
      </c>
      <c r="N8416" s="27" t="s">
        <v>462</v>
      </c>
      <c r="P8416" s="27" t="s">
        <v>21607</v>
      </c>
      <c r="Q8416" s="26" t="str">
        <f>HYPERLINK("https://ictv.global/taxonomy/taxondetails?taxnode_id=202522473&amp;ictv_id=ICTV202522473","ICTV202522473")</f>
        <v>ICTV202522473</v>
      </c>
      <c r="R8416" t="s">
        <v>582</v>
      </c>
      <c r="S8416" t="s">
        <v>823</v>
      </c>
      <c r="T8416">
        <v>41</v>
      </c>
      <c r="U8416" s="26" t="str">
        <f>HYPERLINK("https://ictv.global/ictv/proposals/2025.010P.Geminiviridae_Begomovirus_3nsp.zip","2025.010P.Geminiviridae_Begomovirus_3nsp.zip")</f>
        <v>2025.010P.Geminiviridae_Begomovirus_3nsp.zip</v>
      </c>
    </row>
    <row r="8417" spans="1:21">
      <c r="A8417">
        <v>8416</v>
      </c>
      <c r="B8417" s="27" t="s">
        <v>20779</v>
      </c>
      <c r="D8417" s="27" t="s">
        <v>1826</v>
      </c>
      <c r="F8417" s="27" t="s">
        <v>1844</v>
      </c>
      <c r="H8417" s="27" t="s">
        <v>1853</v>
      </c>
      <c r="J8417" s="27" t="s">
        <v>1854</v>
      </c>
      <c r="L8417" s="27" t="s">
        <v>461</v>
      </c>
      <c r="N8417" s="27" t="s">
        <v>462</v>
      </c>
      <c r="P8417" s="27" t="s">
        <v>13070</v>
      </c>
      <c r="Q8417" s="26" t="str">
        <f>HYPERLINK("https://ictv.global/taxonomy/taxondetails?taxnode_id=202503290&amp;ictv_id=ICTV20083997","ICTV20083997")</f>
        <v>ICTV20083997</v>
      </c>
      <c r="R8417" t="s">
        <v>660</v>
      </c>
      <c r="S8417" t="s">
        <v>824</v>
      </c>
      <c r="T8417">
        <v>41</v>
      </c>
      <c r="U8417" s="26" t="str">
        <f t="shared" ref="U8417:U8480" si="307">HYPERLINK("https://ictv.global/ictv/proposals/2025.002G.Monodnaviria_reorg_4nr.zip","2025.002G.Monodnaviria_reorg_4nr.zip")</f>
        <v>2025.002G.Monodnaviria_reorg_4nr.zip</v>
      </c>
    </row>
    <row r="8418" spans="1:21">
      <c r="A8418">
        <v>8417</v>
      </c>
      <c r="B8418" s="27" t="s">
        <v>20779</v>
      </c>
      <c r="D8418" s="27" t="s">
        <v>1826</v>
      </c>
      <c r="F8418" s="27" t="s">
        <v>1844</v>
      </c>
      <c r="H8418" s="27" t="s">
        <v>1853</v>
      </c>
      <c r="J8418" s="27" t="s">
        <v>1854</v>
      </c>
      <c r="L8418" s="27" t="s">
        <v>461</v>
      </c>
      <c r="N8418" s="27" t="s">
        <v>462</v>
      </c>
      <c r="P8418" s="27" t="s">
        <v>13071</v>
      </c>
      <c r="Q8418" s="26" t="str">
        <f>HYPERLINK("https://ictv.global/taxonomy/taxondetails?taxnode_id=202503289&amp;ictv_id=ICTV20131923","ICTV20131923")</f>
        <v>ICTV20131923</v>
      </c>
      <c r="R8418" t="s">
        <v>660</v>
      </c>
      <c r="S8418" t="s">
        <v>824</v>
      </c>
      <c r="T8418">
        <v>41</v>
      </c>
      <c r="U8418" s="26" t="str">
        <f t="shared" si="307"/>
        <v>2025.002G.Monodnaviria_reorg_4nr.zip</v>
      </c>
    </row>
    <row r="8419" spans="1:21">
      <c r="A8419">
        <v>8418</v>
      </c>
      <c r="B8419" s="27" t="s">
        <v>20779</v>
      </c>
      <c r="D8419" s="27" t="s">
        <v>1826</v>
      </c>
      <c r="F8419" s="27" t="s">
        <v>1844</v>
      </c>
      <c r="H8419" s="27" t="s">
        <v>1853</v>
      </c>
      <c r="J8419" s="27" t="s">
        <v>1854</v>
      </c>
      <c r="L8419" s="27" t="s">
        <v>461</v>
      </c>
      <c r="N8419" s="27" t="s">
        <v>462</v>
      </c>
      <c r="P8419" s="27" t="s">
        <v>13072</v>
      </c>
      <c r="Q8419" s="26" t="str">
        <f>HYPERLINK("https://ictv.global/taxonomy/taxondetails?taxnode_id=202503291&amp;ictv_id=ICTV20152834","ICTV20152834")</f>
        <v>ICTV20152834</v>
      </c>
      <c r="R8419" t="s">
        <v>660</v>
      </c>
      <c r="S8419" t="s">
        <v>824</v>
      </c>
      <c r="T8419">
        <v>41</v>
      </c>
      <c r="U8419" s="26" t="str">
        <f t="shared" si="307"/>
        <v>2025.002G.Monodnaviria_reorg_4nr.zip</v>
      </c>
    </row>
    <row r="8420" spans="1:21">
      <c r="A8420">
        <v>8419</v>
      </c>
      <c r="B8420" s="27" t="s">
        <v>20779</v>
      </c>
      <c r="D8420" s="27" t="s">
        <v>1826</v>
      </c>
      <c r="F8420" s="27" t="s">
        <v>1844</v>
      </c>
      <c r="H8420" s="27" t="s">
        <v>1853</v>
      </c>
      <c r="J8420" s="27" t="s">
        <v>1854</v>
      </c>
      <c r="L8420" s="27" t="s">
        <v>461</v>
      </c>
      <c r="N8420" s="27" t="s">
        <v>462</v>
      </c>
      <c r="P8420" s="27" t="s">
        <v>13073</v>
      </c>
      <c r="Q8420" s="26" t="str">
        <f>HYPERLINK("https://ictv.global/taxonomy/taxondetails?taxnode_id=202503293&amp;ictv_id=ICTV20083894","ICTV20083894")</f>
        <v>ICTV20083894</v>
      </c>
      <c r="R8420" t="s">
        <v>660</v>
      </c>
      <c r="S8420" t="s">
        <v>824</v>
      </c>
      <c r="T8420">
        <v>41</v>
      </c>
      <c r="U8420" s="26" t="str">
        <f t="shared" si="307"/>
        <v>2025.002G.Monodnaviria_reorg_4nr.zip</v>
      </c>
    </row>
    <row r="8421" spans="1:21">
      <c r="A8421">
        <v>8420</v>
      </c>
      <c r="B8421" s="27" t="s">
        <v>20779</v>
      </c>
      <c r="D8421" s="27" t="s">
        <v>1826</v>
      </c>
      <c r="F8421" s="27" t="s">
        <v>1844</v>
      </c>
      <c r="H8421" s="27" t="s">
        <v>1853</v>
      </c>
      <c r="J8421" s="27" t="s">
        <v>1854</v>
      </c>
      <c r="L8421" s="27" t="s">
        <v>461</v>
      </c>
      <c r="N8421" s="27" t="s">
        <v>462</v>
      </c>
      <c r="P8421" s="27" t="s">
        <v>13074</v>
      </c>
      <c r="Q8421" s="26" t="str">
        <f>HYPERLINK("https://ictv.global/taxonomy/taxondetails?taxnode_id=202505814&amp;ictv_id=ICTV20175814","ICTV20175814")</f>
        <v>ICTV20175814</v>
      </c>
      <c r="R8421" t="s">
        <v>660</v>
      </c>
      <c r="S8421" t="s">
        <v>824</v>
      </c>
      <c r="T8421">
        <v>41</v>
      </c>
      <c r="U8421" s="26" t="str">
        <f t="shared" si="307"/>
        <v>2025.002G.Monodnaviria_reorg_4nr.zip</v>
      </c>
    </row>
    <row r="8422" spans="1:21">
      <c r="A8422">
        <v>8421</v>
      </c>
      <c r="B8422" s="27" t="s">
        <v>20779</v>
      </c>
      <c r="D8422" s="27" t="s">
        <v>1826</v>
      </c>
      <c r="F8422" s="27" t="s">
        <v>1844</v>
      </c>
      <c r="H8422" s="27" t="s">
        <v>1853</v>
      </c>
      <c r="J8422" s="27" t="s">
        <v>1854</v>
      </c>
      <c r="L8422" s="27" t="s">
        <v>461</v>
      </c>
      <c r="N8422" s="27" t="s">
        <v>462</v>
      </c>
      <c r="P8422" s="27" t="s">
        <v>13075</v>
      </c>
      <c r="Q8422" s="26" t="str">
        <f>HYPERLINK("https://ictv.global/taxonomy/taxondetails?taxnode_id=202507519&amp;ictv_id=ICTV201907519","ICTV201907519")</f>
        <v>ICTV201907519</v>
      </c>
      <c r="R8422" t="s">
        <v>660</v>
      </c>
      <c r="S8422" t="s">
        <v>824</v>
      </c>
      <c r="T8422">
        <v>41</v>
      </c>
      <c r="U8422" s="26" t="str">
        <f t="shared" si="307"/>
        <v>2025.002G.Monodnaviria_reorg_4nr.zip</v>
      </c>
    </row>
    <row r="8423" spans="1:21">
      <c r="A8423">
        <v>8422</v>
      </c>
      <c r="B8423" s="27" t="s">
        <v>20779</v>
      </c>
      <c r="D8423" s="27" t="s">
        <v>1826</v>
      </c>
      <c r="F8423" s="27" t="s">
        <v>1844</v>
      </c>
      <c r="H8423" s="27" t="s">
        <v>1853</v>
      </c>
      <c r="J8423" s="27" t="s">
        <v>1854</v>
      </c>
      <c r="L8423" s="27" t="s">
        <v>461</v>
      </c>
      <c r="N8423" s="27" t="s">
        <v>462</v>
      </c>
      <c r="P8423" s="27" t="s">
        <v>13076</v>
      </c>
      <c r="Q8423" s="26" t="str">
        <f>HYPERLINK("https://ictv.global/taxonomy/taxondetails?taxnode_id=202503189&amp;ictv_id=ICTV19950966","ICTV19950966")</f>
        <v>ICTV19950966</v>
      </c>
      <c r="R8423" t="s">
        <v>660</v>
      </c>
      <c r="S8423" t="s">
        <v>824</v>
      </c>
      <c r="T8423">
        <v>41</v>
      </c>
      <c r="U8423" s="26" t="str">
        <f t="shared" si="307"/>
        <v>2025.002G.Monodnaviria_reorg_4nr.zip</v>
      </c>
    </row>
    <row r="8424" spans="1:21">
      <c r="A8424">
        <v>8423</v>
      </c>
      <c r="B8424" s="27" t="s">
        <v>20779</v>
      </c>
      <c r="D8424" s="27" t="s">
        <v>1826</v>
      </c>
      <c r="F8424" s="27" t="s">
        <v>1844</v>
      </c>
      <c r="H8424" s="27" t="s">
        <v>1853</v>
      </c>
      <c r="J8424" s="27" t="s">
        <v>1854</v>
      </c>
      <c r="L8424" s="27" t="s">
        <v>461</v>
      </c>
      <c r="N8424" s="27" t="s">
        <v>462</v>
      </c>
      <c r="P8424" s="27" t="s">
        <v>13077</v>
      </c>
      <c r="Q8424" s="26" t="str">
        <f>HYPERLINK("https://ictv.global/taxonomy/taxondetails?taxnode_id=202503490&amp;ictv_id=ICTV20152865","ICTV20152865")</f>
        <v>ICTV20152865</v>
      </c>
      <c r="R8424" t="s">
        <v>660</v>
      </c>
      <c r="S8424" t="s">
        <v>824</v>
      </c>
      <c r="T8424">
        <v>41</v>
      </c>
      <c r="U8424" s="26" t="str">
        <f t="shared" si="307"/>
        <v>2025.002G.Monodnaviria_reorg_4nr.zip</v>
      </c>
    </row>
    <row r="8425" spans="1:21">
      <c r="A8425">
        <v>8424</v>
      </c>
      <c r="B8425" s="27" t="s">
        <v>20779</v>
      </c>
      <c r="D8425" s="27" t="s">
        <v>1826</v>
      </c>
      <c r="F8425" s="27" t="s">
        <v>1844</v>
      </c>
      <c r="H8425" s="27" t="s">
        <v>1853</v>
      </c>
      <c r="J8425" s="27" t="s">
        <v>1854</v>
      </c>
      <c r="L8425" s="27" t="s">
        <v>461</v>
      </c>
      <c r="N8425" s="27" t="s">
        <v>462</v>
      </c>
      <c r="P8425" s="27" t="s">
        <v>13078</v>
      </c>
      <c r="Q8425" s="26" t="str">
        <f>HYPERLINK("https://ictv.global/taxonomy/taxondetails?taxnode_id=202505843&amp;ictv_id=ICTV20175843","ICTV20175843")</f>
        <v>ICTV20175843</v>
      </c>
      <c r="R8425" t="s">
        <v>660</v>
      </c>
      <c r="S8425" t="s">
        <v>824</v>
      </c>
      <c r="T8425">
        <v>41</v>
      </c>
      <c r="U8425" s="26" t="str">
        <f t="shared" si="307"/>
        <v>2025.002G.Monodnaviria_reorg_4nr.zip</v>
      </c>
    </row>
    <row r="8426" spans="1:21">
      <c r="A8426">
        <v>8425</v>
      </c>
      <c r="B8426" s="27" t="s">
        <v>20779</v>
      </c>
      <c r="D8426" s="27" t="s">
        <v>1826</v>
      </c>
      <c r="F8426" s="27" t="s">
        <v>1844</v>
      </c>
      <c r="H8426" s="27" t="s">
        <v>1853</v>
      </c>
      <c r="J8426" s="27" t="s">
        <v>1854</v>
      </c>
      <c r="L8426" s="27" t="s">
        <v>461</v>
      </c>
      <c r="N8426" s="27" t="s">
        <v>462</v>
      </c>
      <c r="P8426" s="27" t="s">
        <v>20074</v>
      </c>
      <c r="Q8426" s="26" t="str">
        <f>HYPERLINK("https://ictv.global/taxonomy/taxondetails?taxnode_id=202520482&amp;ictv_id=ICTV202420482","ICTV202420482")</f>
        <v>ICTV202420482</v>
      </c>
      <c r="R8426" t="s">
        <v>582</v>
      </c>
      <c r="S8426" t="s">
        <v>824</v>
      </c>
      <c r="T8426">
        <v>41</v>
      </c>
      <c r="U8426" s="26" t="str">
        <f t="shared" si="307"/>
        <v>2025.002G.Monodnaviria_reorg_4nr.zip</v>
      </c>
    </row>
    <row r="8427" spans="1:21">
      <c r="A8427">
        <v>8426</v>
      </c>
      <c r="B8427" s="27" t="s">
        <v>20779</v>
      </c>
      <c r="D8427" s="27" t="s">
        <v>1826</v>
      </c>
      <c r="F8427" s="27" t="s">
        <v>1844</v>
      </c>
      <c r="H8427" s="27" t="s">
        <v>1853</v>
      </c>
      <c r="J8427" s="27" t="s">
        <v>1854</v>
      </c>
      <c r="L8427" s="27" t="s">
        <v>461</v>
      </c>
      <c r="N8427" s="27" t="s">
        <v>462</v>
      </c>
      <c r="P8427" s="27" t="s">
        <v>20075</v>
      </c>
      <c r="Q8427" s="26" t="str">
        <f>HYPERLINK("https://ictv.global/taxonomy/taxondetails?taxnode_id=202520476&amp;ictv_id=ICTV202420476","ICTV202420476")</f>
        <v>ICTV202420476</v>
      </c>
      <c r="R8427" t="s">
        <v>582</v>
      </c>
      <c r="S8427" t="s">
        <v>824</v>
      </c>
      <c r="T8427">
        <v>41</v>
      </c>
      <c r="U8427" s="26" t="str">
        <f t="shared" si="307"/>
        <v>2025.002G.Monodnaviria_reorg_4nr.zip</v>
      </c>
    </row>
    <row r="8428" spans="1:21">
      <c r="A8428">
        <v>8427</v>
      </c>
      <c r="B8428" s="27" t="s">
        <v>20779</v>
      </c>
      <c r="D8428" s="27" t="s">
        <v>1826</v>
      </c>
      <c r="F8428" s="27" t="s">
        <v>1844</v>
      </c>
      <c r="H8428" s="27" t="s">
        <v>1853</v>
      </c>
      <c r="J8428" s="27" t="s">
        <v>1854</v>
      </c>
      <c r="L8428" s="27" t="s">
        <v>461</v>
      </c>
      <c r="N8428" s="27" t="s">
        <v>462</v>
      </c>
      <c r="P8428" s="27" t="s">
        <v>13079</v>
      </c>
      <c r="Q8428" s="26" t="str">
        <f>HYPERLINK("https://ictv.global/taxonomy/taxondetails?taxnode_id=202503391&amp;ictv_id=ICTV20152853","ICTV20152853")</f>
        <v>ICTV20152853</v>
      </c>
      <c r="R8428" t="s">
        <v>660</v>
      </c>
      <c r="S8428" t="s">
        <v>824</v>
      </c>
      <c r="T8428">
        <v>41</v>
      </c>
      <c r="U8428" s="26" t="str">
        <f t="shared" si="307"/>
        <v>2025.002G.Monodnaviria_reorg_4nr.zip</v>
      </c>
    </row>
    <row r="8429" spans="1:21">
      <c r="A8429">
        <v>8428</v>
      </c>
      <c r="B8429" s="27" t="s">
        <v>20779</v>
      </c>
      <c r="D8429" s="27" t="s">
        <v>1826</v>
      </c>
      <c r="F8429" s="27" t="s">
        <v>1844</v>
      </c>
      <c r="H8429" s="27" t="s">
        <v>1853</v>
      </c>
      <c r="J8429" s="27" t="s">
        <v>1854</v>
      </c>
      <c r="L8429" s="27" t="s">
        <v>461</v>
      </c>
      <c r="N8429" s="27" t="s">
        <v>462</v>
      </c>
      <c r="P8429" s="27" t="s">
        <v>13080</v>
      </c>
      <c r="Q8429" s="26" t="str">
        <f>HYPERLINK("https://ictv.global/taxonomy/taxondetails?taxnode_id=202503392&amp;ictv_id=ICTV20083955","ICTV20083955")</f>
        <v>ICTV20083955</v>
      </c>
      <c r="R8429" t="s">
        <v>660</v>
      </c>
      <c r="S8429" t="s">
        <v>824</v>
      </c>
      <c r="T8429">
        <v>41</v>
      </c>
      <c r="U8429" s="26" t="str">
        <f t="shared" si="307"/>
        <v>2025.002G.Monodnaviria_reorg_4nr.zip</v>
      </c>
    </row>
    <row r="8430" spans="1:21">
      <c r="A8430">
        <v>8429</v>
      </c>
      <c r="B8430" s="27" t="s">
        <v>20779</v>
      </c>
      <c r="D8430" s="27" t="s">
        <v>1826</v>
      </c>
      <c r="F8430" s="27" t="s">
        <v>1844</v>
      </c>
      <c r="H8430" s="27" t="s">
        <v>1853</v>
      </c>
      <c r="J8430" s="27" t="s">
        <v>1854</v>
      </c>
      <c r="L8430" s="27" t="s">
        <v>461</v>
      </c>
      <c r="N8430" s="27" t="s">
        <v>462</v>
      </c>
      <c r="P8430" s="27" t="s">
        <v>13081</v>
      </c>
      <c r="Q8430" s="26" t="str">
        <f>HYPERLINK("https://ictv.global/taxonomy/taxondetails?taxnode_id=202507529&amp;ictv_id=ICTV201907529","ICTV201907529")</f>
        <v>ICTV201907529</v>
      </c>
      <c r="R8430" t="s">
        <v>660</v>
      </c>
      <c r="S8430" t="s">
        <v>824</v>
      </c>
      <c r="T8430">
        <v>41</v>
      </c>
      <c r="U8430" s="26" t="str">
        <f t="shared" si="307"/>
        <v>2025.002G.Monodnaviria_reorg_4nr.zip</v>
      </c>
    </row>
    <row r="8431" spans="1:21">
      <c r="A8431">
        <v>8430</v>
      </c>
      <c r="B8431" s="27" t="s">
        <v>20779</v>
      </c>
      <c r="D8431" s="27" t="s">
        <v>1826</v>
      </c>
      <c r="F8431" s="27" t="s">
        <v>1844</v>
      </c>
      <c r="H8431" s="27" t="s">
        <v>1853</v>
      </c>
      <c r="J8431" s="27" t="s">
        <v>1854</v>
      </c>
      <c r="L8431" s="27" t="s">
        <v>461</v>
      </c>
      <c r="N8431" s="27" t="s">
        <v>462</v>
      </c>
      <c r="P8431" s="27" t="s">
        <v>13082</v>
      </c>
      <c r="Q8431" s="26" t="str">
        <f>HYPERLINK("https://ictv.global/taxonomy/taxondetails?taxnode_id=202503390&amp;ictv_id=ICTV20041187","ICTV20041187")</f>
        <v>ICTV20041187</v>
      </c>
      <c r="R8431" t="s">
        <v>660</v>
      </c>
      <c r="S8431" t="s">
        <v>824</v>
      </c>
      <c r="T8431">
        <v>41</v>
      </c>
      <c r="U8431" s="26" t="str">
        <f t="shared" si="307"/>
        <v>2025.002G.Monodnaviria_reorg_4nr.zip</v>
      </c>
    </row>
    <row r="8432" spans="1:21">
      <c r="A8432">
        <v>8431</v>
      </c>
      <c r="B8432" s="27" t="s">
        <v>20779</v>
      </c>
      <c r="D8432" s="27" t="s">
        <v>1826</v>
      </c>
      <c r="F8432" s="27" t="s">
        <v>1844</v>
      </c>
      <c r="H8432" s="27" t="s">
        <v>1853</v>
      </c>
      <c r="J8432" s="27" t="s">
        <v>1854</v>
      </c>
      <c r="L8432" s="27" t="s">
        <v>461</v>
      </c>
      <c r="N8432" s="27" t="s">
        <v>462</v>
      </c>
      <c r="P8432" s="27" t="s">
        <v>13083</v>
      </c>
      <c r="Q8432" s="26" t="str">
        <f>HYPERLINK("https://ictv.global/taxonomy/taxondetails?taxnode_id=202503400&amp;ictv_id=ICTV20131959","ICTV20131959")</f>
        <v>ICTV20131959</v>
      </c>
      <c r="R8432" t="s">
        <v>660</v>
      </c>
      <c r="S8432" t="s">
        <v>824</v>
      </c>
      <c r="T8432">
        <v>41</v>
      </c>
      <c r="U8432" s="26" t="str">
        <f t="shared" si="307"/>
        <v>2025.002G.Monodnaviria_reorg_4nr.zip</v>
      </c>
    </row>
    <row r="8433" spans="1:21">
      <c r="A8433">
        <v>8432</v>
      </c>
      <c r="B8433" s="27" t="s">
        <v>20779</v>
      </c>
      <c r="D8433" s="27" t="s">
        <v>1826</v>
      </c>
      <c r="F8433" s="27" t="s">
        <v>1844</v>
      </c>
      <c r="H8433" s="27" t="s">
        <v>1853</v>
      </c>
      <c r="J8433" s="27" t="s">
        <v>1854</v>
      </c>
      <c r="L8433" s="27" t="s">
        <v>461</v>
      </c>
      <c r="N8433" s="27" t="s">
        <v>462</v>
      </c>
      <c r="P8433" s="27" t="s">
        <v>13084</v>
      </c>
      <c r="Q8433" s="26" t="str">
        <f>HYPERLINK("https://ictv.global/taxonomy/taxondetails?taxnode_id=202503394&amp;ictv_id=ICTV20131955","ICTV20131955")</f>
        <v>ICTV20131955</v>
      </c>
      <c r="R8433" t="s">
        <v>660</v>
      </c>
      <c r="S8433" t="s">
        <v>824</v>
      </c>
      <c r="T8433">
        <v>41</v>
      </c>
      <c r="U8433" s="26" t="str">
        <f t="shared" si="307"/>
        <v>2025.002G.Monodnaviria_reorg_4nr.zip</v>
      </c>
    </row>
    <row r="8434" spans="1:21">
      <c r="A8434">
        <v>8433</v>
      </c>
      <c r="B8434" s="27" t="s">
        <v>20779</v>
      </c>
      <c r="D8434" s="27" t="s">
        <v>1826</v>
      </c>
      <c r="F8434" s="27" t="s">
        <v>1844</v>
      </c>
      <c r="H8434" s="27" t="s">
        <v>1853</v>
      </c>
      <c r="J8434" s="27" t="s">
        <v>1854</v>
      </c>
      <c r="L8434" s="27" t="s">
        <v>461</v>
      </c>
      <c r="N8434" s="27" t="s">
        <v>462</v>
      </c>
      <c r="P8434" s="27" t="s">
        <v>13085</v>
      </c>
      <c r="Q8434" s="26" t="str">
        <f>HYPERLINK("https://ictv.global/taxonomy/taxondetails?taxnode_id=202503398&amp;ictv_id=ICTV20131957","ICTV20131957")</f>
        <v>ICTV20131957</v>
      </c>
      <c r="R8434" t="s">
        <v>660</v>
      </c>
      <c r="S8434" t="s">
        <v>824</v>
      </c>
      <c r="T8434">
        <v>41</v>
      </c>
      <c r="U8434" s="26" t="str">
        <f t="shared" si="307"/>
        <v>2025.002G.Monodnaviria_reorg_4nr.zip</v>
      </c>
    </row>
    <row r="8435" spans="1:21">
      <c r="A8435">
        <v>8434</v>
      </c>
      <c r="B8435" s="27" t="s">
        <v>20779</v>
      </c>
      <c r="D8435" s="27" t="s">
        <v>1826</v>
      </c>
      <c r="F8435" s="27" t="s">
        <v>1844</v>
      </c>
      <c r="H8435" s="27" t="s">
        <v>1853</v>
      </c>
      <c r="J8435" s="27" t="s">
        <v>1854</v>
      </c>
      <c r="L8435" s="27" t="s">
        <v>461</v>
      </c>
      <c r="N8435" s="27" t="s">
        <v>462</v>
      </c>
      <c r="P8435" s="27" t="s">
        <v>13086</v>
      </c>
      <c r="Q8435" s="26" t="str">
        <f>HYPERLINK("https://ictv.global/taxonomy/taxondetails?taxnode_id=202503395&amp;ictv_id=ICTV20131956","ICTV20131956")</f>
        <v>ICTV20131956</v>
      </c>
      <c r="R8435" t="s">
        <v>660</v>
      </c>
      <c r="S8435" t="s">
        <v>824</v>
      </c>
      <c r="T8435">
        <v>41</v>
      </c>
      <c r="U8435" s="26" t="str">
        <f t="shared" si="307"/>
        <v>2025.002G.Monodnaviria_reorg_4nr.zip</v>
      </c>
    </row>
    <row r="8436" spans="1:21">
      <c r="A8436">
        <v>8435</v>
      </c>
      <c r="B8436" s="27" t="s">
        <v>20779</v>
      </c>
      <c r="D8436" s="27" t="s">
        <v>1826</v>
      </c>
      <c r="F8436" s="27" t="s">
        <v>1844</v>
      </c>
      <c r="H8436" s="27" t="s">
        <v>1853</v>
      </c>
      <c r="J8436" s="27" t="s">
        <v>1854</v>
      </c>
      <c r="L8436" s="27" t="s">
        <v>461</v>
      </c>
      <c r="N8436" s="27" t="s">
        <v>462</v>
      </c>
      <c r="P8436" s="27" t="s">
        <v>13087</v>
      </c>
      <c r="Q8436" s="26" t="str">
        <f>HYPERLINK("https://ictv.global/taxonomy/taxondetails?taxnode_id=202503399&amp;ictv_id=ICTV20131958","ICTV20131958")</f>
        <v>ICTV20131958</v>
      </c>
      <c r="R8436" t="s">
        <v>660</v>
      </c>
      <c r="S8436" t="s">
        <v>824</v>
      </c>
      <c r="T8436">
        <v>41</v>
      </c>
      <c r="U8436" s="26" t="str">
        <f t="shared" si="307"/>
        <v>2025.002G.Monodnaviria_reorg_4nr.zip</v>
      </c>
    </row>
    <row r="8437" spans="1:21">
      <c r="A8437">
        <v>8436</v>
      </c>
      <c r="B8437" s="27" t="s">
        <v>20779</v>
      </c>
      <c r="D8437" s="27" t="s">
        <v>1826</v>
      </c>
      <c r="F8437" s="27" t="s">
        <v>1844</v>
      </c>
      <c r="H8437" s="27" t="s">
        <v>1853</v>
      </c>
      <c r="J8437" s="27" t="s">
        <v>1854</v>
      </c>
      <c r="L8437" s="27" t="s">
        <v>461</v>
      </c>
      <c r="N8437" s="27" t="s">
        <v>462</v>
      </c>
      <c r="P8437" s="27" t="s">
        <v>13088</v>
      </c>
      <c r="Q8437" s="26" t="str">
        <f>HYPERLINK("https://ictv.global/taxonomy/taxondetails?taxnode_id=202503396&amp;ictv_id=ICTV20041191","ICTV20041191")</f>
        <v>ICTV20041191</v>
      </c>
      <c r="R8437" t="s">
        <v>660</v>
      </c>
      <c r="S8437" t="s">
        <v>824</v>
      </c>
      <c r="T8437">
        <v>41</v>
      </c>
      <c r="U8437" s="26" t="str">
        <f t="shared" si="307"/>
        <v>2025.002G.Monodnaviria_reorg_4nr.zip</v>
      </c>
    </row>
    <row r="8438" spans="1:21">
      <c r="A8438">
        <v>8437</v>
      </c>
      <c r="B8438" s="27" t="s">
        <v>20779</v>
      </c>
      <c r="D8438" s="27" t="s">
        <v>1826</v>
      </c>
      <c r="F8438" s="27" t="s">
        <v>1844</v>
      </c>
      <c r="H8438" s="27" t="s">
        <v>1853</v>
      </c>
      <c r="J8438" s="27" t="s">
        <v>1854</v>
      </c>
      <c r="L8438" s="27" t="s">
        <v>461</v>
      </c>
      <c r="N8438" s="27" t="s">
        <v>462</v>
      </c>
      <c r="P8438" s="27" t="s">
        <v>13089</v>
      </c>
      <c r="Q8438" s="26" t="str">
        <f>HYPERLINK("https://ictv.global/taxonomy/taxondetails?taxnode_id=202503397&amp;ictv_id=ICTV20073746","ICTV20073746")</f>
        <v>ICTV20073746</v>
      </c>
      <c r="R8438" t="s">
        <v>660</v>
      </c>
      <c r="S8438" t="s">
        <v>824</v>
      </c>
      <c r="T8438">
        <v>41</v>
      </c>
      <c r="U8438" s="26" t="str">
        <f t="shared" si="307"/>
        <v>2025.002G.Monodnaviria_reorg_4nr.zip</v>
      </c>
    </row>
    <row r="8439" spans="1:21">
      <c r="A8439">
        <v>8438</v>
      </c>
      <c r="B8439" s="27" t="s">
        <v>20779</v>
      </c>
      <c r="D8439" s="27" t="s">
        <v>1826</v>
      </c>
      <c r="F8439" s="27" t="s">
        <v>1844</v>
      </c>
      <c r="H8439" s="27" t="s">
        <v>1853</v>
      </c>
      <c r="J8439" s="27" t="s">
        <v>1854</v>
      </c>
      <c r="L8439" s="27" t="s">
        <v>461</v>
      </c>
      <c r="N8439" s="27" t="s">
        <v>462</v>
      </c>
      <c r="P8439" s="27" t="s">
        <v>13090</v>
      </c>
      <c r="Q8439" s="26" t="str">
        <f>HYPERLINK("https://ictv.global/taxonomy/taxondetails?taxnode_id=202509125&amp;ictv_id=ICTV202009125","ICTV202009125")</f>
        <v>ICTV202009125</v>
      </c>
      <c r="R8439" t="s">
        <v>660</v>
      </c>
      <c r="S8439" t="s">
        <v>824</v>
      </c>
      <c r="T8439">
        <v>41</v>
      </c>
      <c r="U8439" s="26" t="str">
        <f t="shared" si="307"/>
        <v>2025.002G.Monodnaviria_reorg_4nr.zip</v>
      </c>
    </row>
    <row r="8440" spans="1:21">
      <c r="A8440">
        <v>8439</v>
      </c>
      <c r="B8440" s="27" t="s">
        <v>20779</v>
      </c>
      <c r="D8440" s="27" t="s">
        <v>1826</v>
      </c>
      <c r="F8440" s="27" t="s">
        <v>1844</v>
      </c>
      <c r="H8440" s="27" t="s">
        <v>1853</v>
      </c>
      <c r="J8440" s="27" t="s">
        <v>1854</v>
      </c>
      <c r="L8440" s="27" t="s">
        <v>461</v>
      </c>
      <c r="N8440" s="27" t="s">
        <v>462</v>
      </c>
      <c r="P8440" s="27" t="s">
        <v>13091</v>
      </c>
      <c r="Q8440" s="26" t="str">
        <f>HYPERLINK("https://ictv.global/taxonomy/taxondetails?taxnode_id=202509124&amp;ictv_id=ICTV202009124","ICTV202009124")</f>
        <v>ICTV202009124</v>
      </c>
      <c r="R8440" t="s">
        <v>660</v>
      </c>
      <c r="S8440" t="s">
        <v>824</v>
      </c>
      <c r="T8440">
        <v>41</v>
      </c>
      <c r="U8440" s="26" t="str">
        <f t="shared" si="307"/>
        <v>2025.002G.Monodnaviria_reorg_4nr.zip</v>
      </c>
    </row>
    <row r="8441" spans="1:21">
      <c r="A8441">
        <v>8440</v>
      </c>
      <c r="B8441" s="27" t="s">
        <v>20779</v>
      </c>
      <c r="D8441" s="27" t="s">
        <v>1826</v>
      </c>
      <c r="F8441" s="27" t="s">
        <v>1844</v>
      </c>
      <c r="H8441" s="27" t="s">
        <v>1853</v>
      </c>
      <c r="J8441" s="27" t="s">
        <v>1854</v>
      </c>
      <c r="L8441" s="27" t="s">
        <v>461</v>
      </c>
      <c r="N8441" s="27" t="s">
        <v>462</v>
      </c>
      <c r="P8441" s="27" t="s">
        <v>13092</v>
      </c>
      <c r="Q8441" s="26" t="str">
        <f>HYPERLINK("https://ictv.global/taxonomy/taxondetails?taxnode_id=202509123&amp;ictv_id=ICTV202009123","ICTV202009123")</f>
        <v>ICTV202009123</v>
      </c>
      <c r="R8441" t="s">
        <v>660</v>
      </c>
      <c r="S8441" t="s">
        <v>824</v>
      </c>
      <c r="T8441">
        <v>41</v>
      </c>
      <c r="U8441" s="26" t="str">
        <f t="shared" si="307"/>
        <v>2025.002G.Monodnaviria_reorg_4nr.zip</v>
      </c>
    </row>
    <row r="8442" spans="1:21">
      <c r="A8442">
        <v>8441</v>
      </c>
      <c r="B8442" s="27" t="s">
        <v>20779</v>
      </c>
      <c r="D8442" s="27" t="s">
        <v>1826</v>
      </c>
      <c r="F8442" s="27" t="s">
        <v>1844</v>
      </c>
      <c r="H8442" s="27" t="s">
        <v>1853</v>
      </c>
      <c r="J8442" s="27" t="s">
        <v>1854</v>
      </c>
      <c r="L8442" s="27" t="s">
        <v>461</v>
      </c>
      <c r="N8442" s="27" t="s">
        <v>462</v>
      </c>
      <c r="P8442" s="27" t="s">
        <v>18512</v>
      </c>
      <c r="Q8442" s="26" t="str">
        <f>HYPERLINK("https://ictv.global/taxonomy/taxondetails?taxnode_id=202505816&amp;ictv_id=ICTV20175816","ICTV20175816")</f>
        <v>ICTV20175816</v>
      </c>
      <c r="R8442" t="s">
        <v>660</v>
      </c>
      <c r="S8442" t="s">
        <v>824</v>
      </c>
      <c r="T8442">
        <v>41</v>
      </c>
      <c r="U8442" s="26" t="str">
        <f t="shared" si="307"/>
        <v>2025.002G.Monodnaviria_reorg_4nr.zip</v>
      </c>
    </row>
    <row r="8443" spans="1:21">
      <c r="A8443">
        <v>8442</v>
      </c>
      <c r="B8443" s="27" t="s">
        <v>20779</v>
      </c>
      <c r="D8443" s="27" t="s">
        <v>1826</v>
      </c>
      <c r="F8443" s="27" t="s">
        <v>1844</v>
      </c>
      <c r="H8443" s="27" t="s">
        <v>1853</v>
      </c>
      <c r="J8443" s="27" t="s">
        <v>1854</v>
      </c>
      <c r="L8443" s="27" t="s">
        <v>461</v>
      </c>
      <c r="N8443" s="27" t="s">
        <v>462</v>
      </c>
      <c r="P8443" s="27" t="s">
        <v>13093</v>
      </c>
      <c r="Q8443" s="26" t="str">
        <f>HYPERLINK("https://ictv.global/taxonomy/taxondetails?taxnode_id=202503300&amp;ictv_id=ICTV20131927","ICTV20131927")</f>
        <v>ICTV20131927</v>
      </c>
      <c r="R8443" t="s">
        <v>660</v>
      </c>
      <c r="S8443" t="s">
        <v>824</v>
      </c>
      <c r="T8443">
        <v>41</v>
      </c>
      <c r="U8443" s="26" t="str">
        <f t="shared" si="307"/>
        <v>2025.002G.Monodnaviria_reorg_4nr.zip</v>
      </c>
    </row>
    <row r="8444" spans="1:21">
      <c r="A8444">
        <v>8443</v>
      </c>
      <c r="B8444" s="27" t="s">
        <v>20779</v>
      </c>
      <c r="D8444" s="27" t="s">
        <v>1826</v>
      </c>
      <c r="F8444" s="27" t="s">
        <v>1844</v>
      </c>
      <c r="H8444" s="27" t="s">
        <v>1853</v>
      </c>
      <c r="J8444" s="27" t="s">
        <v>1854</v>
      </c>
      <c r="L8444" s="27" t="s">
        <v>461</v>
      </c>
      <c r="N8444" s="27" t="s">
        <v>462</v>
      </c>
      <c r="P8444" s="27" t="s">
        <v>13094</v>
      </c>
      <c r="Q8444" s="26" t="str">
        <f>HYPERLINK("https://ictv.global/taxonomy/taxondetails?taxnode_id=202505817&amp;ictv_id=ICTV20175817","ICTV20175817")</f>
        <v>ICTV20175817</v>
      </c>
      <c r="R8444" t="s">
        <v>660</v>
      </c>
      <c r="S8444" t="s">
        <v>824</v>
      </c>
      <c r="T8444">
        <v>41</v>
      </c>
      <c r="U8444" s="26" t="str">
        <f t="shared" si="307"/>
        <v>2025.002G.Monodnaviria_reorg_4nr.zip</v>
      </c>
    </row>
    <row r="8445" spans="1:21">
      <c r="A8445">
        <v>8444</v>
      </c>
      <c r="B8445" s="27" t="s">
        <v>20779</v>
      </c>
      <c r="D8445" s="27" t="s">
        <v>1826</v>
      </c>
      <c r="F8445" s="27" t="s">
        <v>1844</v>
      </c>
      <c r="H8445" s="27" t="s">
        <v>1853</v>
      </c>
      <c r="J8445" s="27" t="s">
        <v>1854</v>
      </c>
      <c r="L8445" s="27" t="s">
        <v>461</v>
      </c>
      <c r="N8445" s="27" t="s">
        <v>462</v>
      </c>
      <c r="P8445" s="27" t="s">
        <v>13095</v>
      </c>
      <c r="Q8445" s="26" t="str">
        <f>HYPERLINK("https://ictv.global/taxonomy/taxondetails?taxnode_id=202507527&amp;ictv_id=ICTV201907527","ICTV201907527")</f>
        <v>ICTV201907527</v>
      </c>
      <c r="R8445" t="s">
        <v>660</v>
      </c>
      <c r="S8445" t="s">
        <v>824</v>
      </c>
      <c r="T8445">
        <v>41</v>
      </c>
      <c r="U8445" s="26" t="str">
        <f t="shared" si="307"/>
        <v>2025.002G.Monodnaviria_reorg_4nr.zip</v>
      </c>
    </row>
    <row r="8446" spans="1:21">
      <c r="A8446">
        <v>8445</v>
      </c>
      <c r="B8446" s="27" t="s">
        <v>20779</v>
      </c>
      <c r="D8446" s="27" t="s">
        <v>1826</v>
      </c>
      <c r="F8446" s="27" t="s">
        <v>1844</v>
      </c>
      <c r="H8446" s="27" t="s">
        <v>1853</v>
      </c>
      <c r="J8446" s="27" t="s">
        <v>1854</v>
      </c>
      <c r="L8446" s="27" t="s">
        <v>461</v>
      </c>
      <c r="N8446" s="27" t="s">
        <v>462</v>
      </c>
      <c r="P8446" s="27" t="s">
        <v>13096</v>
      </c>
      <c r="Q8446" s="26" t="str">
        <f>HYPERLINK("https://ictv.global/taxonomy/taxondetails?taxnode_id=202503304&amp;ictv_id=ICTV20131928","ICTV20131928")</f>
        <v>ICTV20131928</v>
      </c>
      <c r="R8446" t="s">
        <v>660</v>
      </c>
      <c r="S8446" t="s">
        <v>824</v>
      </c>
      <c r="T8446">
        <v>41</v>
      </c>
      <c r="U8446" s="26" t="str">
        <f t="shared" si="307"/>
        <v>2025.002G.Monodnaviria_reorg_4nr.zip</v>
      </c>
    </row>
    <row r="8447" spans="1:21">
      <c r="A8447">
        <v>8446</v>
      </c>
      <c r="B8447" s="27" t="s">
        <v>20779</v>
      </c>
      <c r="D8447" s="27" t="s">
        <v>1826</v>
      </c>
      <c r="F8447" s="27" t="s">
        <v>1844</v>
      </c>
      <c r="H8447" s="27" t="s">
        <v>1853</v>
      </c>
      <c r="J8447" s="27" t="s">
        <v>1854</v>
      </c>
      <c r="L8447" s="27" t="s">
        <v>461</v>
      </c>
      <c r="N8447" s="27" t="s">
        <v>462</v>
      </c>
      <c r="P8447" s="27" t="s">
        <v>13097</v>
      </c>
      <c r="Q8447" s="26" t="str">
        <f>HYPERLINK("https://ictv.global/taxonomy/taxondetails?taxnode_id=202505818&amp;ictv_id=ICTV20175818","ICTV20175818")</f>
        <v>ICTV20175818</v>
      </c>
      <c r="R8447" t="s">
        <v>660</v>
      </c>
      <c r="S8447" t="s">
        <v>824</v>
      </c>
      <c r="T8447">
        <v>41</v>
      </c>
      <c r="U8447" s="26" t="str">
        <f t="shared" si="307"/>
        <v>2025.002G.Monodnaviria_reorg_4nr.zip</v>
      </c>
    </row>
    <row r="8448" spans="1:21">
      <c r="A8448">
        <v>8447</v>
      </c>
      <c r="B8448" s="27" t="s">
        <v>20779</v>
      </c>
      <c r="D8448" s="27" t="s">
        <v>1826</v>
      </c>
      <c r="F8448" s="27" t="s">
        <v>1844</v>
      </c>
      <c r="H8448" s="27" t="s">
        <v>1853</v>
      </c>
      <c r="J8448" s="27" t="s">
        <v>1854</v>
      </c>
      <c r="L8448" s="27" t="s">
        <v>461</v>
      </c>
      <c r="N8448" s="27" t="s">
        <v>462</v>
      </c>
      <c r="P8448" s="27" t="s">
        <v>13098</v>
      </c>
      <c r="Q8448" s="26" t="str">
        <f>HYPERLINK("https://ictv.global/taxonomy/taxondetails?taxnode_id=202505819&amp;ictv_id=ICTV20175819","ICTV20175819")</f>
        <v>ICTV20175819</v>
      </c>
      <c r="R8448" t="s">
        <v>660</v>
      </c>
      <c r="S8448" t="s">
        <v>824</v>
      </c>
      <c r="T8448">
        <v>41</v>
      </c>
      <c r="U8448" s="26" t="str">
        <f t="shared" si="307"/>
        <v>2025.002G.Monodnaviria_reorg_4nr.zip</v>
      </c>
    </row>
    <row r="8449" spans="1:21">
      <c r="A8449">
        <v>8448</v>
      </c>
      <c r="B8449" s="27" t="s">
        <v>20779</v>
      </c>
      <c r="D8449" s="27" t="s">
        <v>1826</v>
      </c>
      <c r="F8449" s="27" t="s">
        <v>1844</v>
      </c>
      <c r="H8449" s="27" t="s">
        <v>1853</v>
      </c>
      <c r="J8449" s="27" t="s">
        <v>1854</v>
      </c>
      <c r="L8449" s="27" t="s">
        <v>461</v>
      </c>
      <c r="N8449" s="27" t="s">
        <v>462</v>
      </c>
      <c r="P8449" s="27" t="s">
        <v>13099</v>
      </c>
      <c r="Q8449" s="26" t="str">
        <f>HYPERLINK("https://ictv.global/taxonomy/taxondetails?taxnode_id=202503305&amp;ictv_id=ICTV20083904","ICTV20083904")</f>
        <v>ICTV20083904</v>
      </c>
      <c r="R8449" t="s">
        <v>660</v>
      </c>
      <c r="S8449" t="s">
        <v>824</v>
      </c>
      <c r="T8449">
        <v>41</v>
      </c>
      <c r="U8449" s="26" t="str">
        <f t="shared" si="307"/>
        <v>2025.002G.Monodnaviria_reorg_4nr.zip</v>
      </c>
    </row>
    <row r="8450" spans="1:21">
      <c r="A8450">
        <v>8449</v>
      </c>
      <c r="B8450" s="27" t="s">
        <v>20779</v>
      </c>
      <c r="D8450" s="27" t="s">
        <v>1826</v>
      </c>
      <c r="F8450" s="27" t="s">
        <v>1844</v>
      </c>
      <c r="H8450" s="27" t="s">
        <v>1853</v>
      </c>
      <c r="J8450" s="27" t="s">
        <v>1854</v>
      </c>
      <c r="L8450" s="27" t="s">
        <v>461</v>
      </c>
      <c r="N8450" s="27" t="s">
        <v>462</v>
      </c>
      <c r="P8450" s="27" t="s">
        <v>13100</v>
      </c>
      <c r="Q8450" s="26" t="str">
        <f>HYPERLINK("https://ictv.global/taxonomy/taxondetails?taxnode_id=202506694&amp;ictv_id=ICTV201856694","ICTV201856694")</f>
        <v>ICTV201856694</v>
      </c>
      <c r="R8450" t="s">
        <v>660</v>
      </c>
      <c r="S8450" t="s">
        <v>824</v>
      </c>
      <c r="T8450">
        <v>41</v>
      </c>
      <c r="U8450" s="26" t="str">
        <f t="shared" si="307"/>
        <v>2025.002G.Monodnaviria_reorg_4nr.zip</v>
      </c>
    </row>
    <row r="8451" spans="1:21">
      <c r="A8451">
        <v>8450</v>
      </c>
      <c r="B8451" s="27" t="s">
        <v>20779</v>
      </c>
      <c r="D8451" s="27" t="s">
        <v>1826</v>
      </c>
      <c r="F8451" s="27" t="s">
        <v>1844</v>
      </c>
      <c r="H8451" s="27" t="s">
        <v>1853</v>
      </c>
      <c r="J8451" s="27" t="s">
        <v>1854</v>
      </c>
      <c r="L8451" s="27" t="s">
        <v>461</v>
      </c>
      <c r="N8451" s="27" t="s">
        <v>462</v>
      </c>
      <c r="P8451" s="27" t="s">
        <v>13101</v>
      </c>
      <c r="Q8451" s="26" t="str">
        <f>HYPERLINK("https://ictv.global/taxonomy/taxondetails?taxnode_id=202505790&amp;ictv_id=ICTV20175790","ICTV20175790")</f>
        <v>ICTV20175790</v>
      </c>
      <c r="R8451" t="s">
        <v>660</v>
      </c>
      <c r="S8451" t="s">
        <v>824</v>
      </c>
      <c r="T8451">
        <v>41</v>
      </c>
      <c r="U8451" s="26" t="str">
        <f t="shared" si="307"/>
        <v>2025.002G.Monodnaviria_reorg_4nr.zip</v>
      </c>
    </row>
    <row r="8452" spans="1:21">
      <c r="A8452">
        <v>8451</v>
      </c>
      <c r="B8452" s="27" t="s">
        <v>20779</v>
      </c>
      <c r="D8452" s="27" t="s">
        <v>1826</v>
      </c>
      <c r="F8452" s="27" t="s">
        <v>1844</v>
      </c>
      <c r="H8452" s="27" t="s">
        <v>1853</v>
      </c>
      <c r="J8452" s="27" t="s">
        <v>1854</v>
      </c>
      <c r="L8452" s="27" t="s">
        <v>461</v>
      </c>
      <c r="N8452" s="27" t="s">
        <v>462</v>
      </c>
      <c r="P8452" s="27" t="s">
        <v>13102</v>
      </c>
      <c r="Q8452" s="26" t="str">
        <f>HYPERLINK("https://ictv.global/taxonomy/taxondetails?taxnode_id=202503187&amp;ictv_id=ICTV19950965","ICTV19950965")</f>
        <v>ICTV19950965</v>
      </c>
      <c r="R8452" t="s">
        <v>660</v>
      </c>
      <c r="S8452" t="s">
        <v>824</v>
      </c>
      <c r="T8452">
        <v>41</v>
      </c>
      <c r="U8452" s="26" t="str">
        <f t="shared" si="307"/>
        <v>2025.002G.Monodnaviria_reorg_4nr.zip</v>
      </c>
    </row>
    <row r="8453" spans="1:21">
      <c r="A8453">
        <v>8452</v>
      </c>
      <c r="B8453" s="27" t="s">
        <v>20779</v>
      </c>
      <c r="D8453" s="27" t="s">
        <v>1826</v>
      </c>
      <c r="F8453" s="27" t="s">
        <v>1844</v>
      </c>
      <c r="H8453" s="27" t="s">
        <v>1853</v>
      </c>
      <c r="J8453" s="27" t="s">
        <v>1854</v>
      </c>
      <c r="L8453" s="27" t="s">
        <v>461</v>
      </c>
      <c r="N8453" s="27" t="s">
        <v>462</v>
      </c>
      <c r="P8453" s="27" t="s">
        <v>13103</v>
      </c>
      <c r="Q8453" s="26" t="str">
        <f>HYPERLINK("https://ictv.global/taxonomy/taxondetails?taxnode_id=202503188&amp;ictv_id=ICTV20131894","ICTV20131894")</f>
        <v>ICTV20131894</v>
      </c>
      <c r="R8453" t="s">
        <v>660</v>
      </c>
      <c r="S8453" t="s">
        <v>824</v>
      </c>
      <c r="T8453">
        <v>41</v>
      </c>
      <c r="U8453" s="26" t="str">
        <f t="shared" si="307"/>
        <v>2025.002G.Monodnaviria_reorg_4nr.zip</v>
      </c>
    </row>
    <row r="8454" spans="1:21">
      <c r="A8454">
        <v>8453</v>
      </c>
      <c r="B8454" s="27" t="s">
        <v>20779</v>
      </c>
      <c r="D8454" s="27" t="s">
        <v>1826</v>
      </c>
      <c r="F8454" s="27" t="s">
        <v>1844</v>
      </c>
      <c r="H8454" s="27" t="s">
        <v>1853</v>
      </c>
      <c r="J8454" s="27" t="s">
        <v>1854</v>
      </c>
      <c r="L8454" s="27" t="s">
        <v>461</v>
      </c>
      <c r="N8454" s="27" t="s">
        <v>462</v>
      </c>
      <c r="P8454" s="27" t="s">
        <v>13104</v>
      </c>
      <c r="Q8454" s="26" t="str">
        <f>HYPERLINK("https://ictv.global/taxonomy/taxondetails?taxnode_id=202503253&amp;ictv_id=ICTV20152826","ICTV20152826")</f>
        <v>ICTV20152826</v>
      </c>
      <c r="R8454" t="s">
        <v>660</v>
      </c>
      <c r="S8454" t="s">
        <v>824</v>
      </c>
      <c r="T8454">
        <v>41</v>
      </c>
      <c r="U8454" s="26" t="str">
        <f t="shared" si="307"/>
        <v>2025.002G.Monodnaviria_reorg_4nr.zip</v>
      </c>
    </row>
    <row r="8455" spans="1:21">
      <c r="A8455">
        <v>8454</v>
      </c>
      <c r="B8455" s="27" t="s">
        <v>20779</v>
      </c>
      <c r="D8455" s="27" t="s">
        <v>1826</v>
      </c>
      <c r="F8455" s="27" t="s">
        <v>1844</v>
      </c>
      <c r="H8455" s="27" t="s">
        <v>1853</v>
      </c>
      <c r="J8455" s="27" t="s">
        <v>1854</v>
      </c>
      <c r="L8455" s="27" t="s">
        <v>461</v>
      </c>
      <c r="N8455" s="27" t="s">
        <v>462</v>
      </c>
      <c r="P8455" s="27" t="s">
        <v>13105</v>
      </c>
      <c r="Q8455" s="26" t="str">
        <f>HYPERLINK("https://ictv.global/taxonomy/taxondetails?taxnode_id=202509118&amp;ictv_id=ICTV202009118","ICTV202009118")</f>
        <v>ICTV202009118</v>
      </c>
      <c r="R8455" t="s">
        <v>660</v>
      </c>
      <c r="S8455" t="s">
        <v>824</v>
      </c>
      <c r="T8455">
        <v>41</v>
      </c>
      <c r="U8455" s="26" t="str">
        <f t="shared" si="307"/>
        <v>2025.002G.Monodnaviria_reorg_4nr.zip</v>
      </c>
    </row>
    <row r="8456" spans="1:21">
      <c r="A8456">
        <v>8455</v>
      </c>
      <c r="B8456" s="27" t="s">
        <v>20779</v>
      </c>
      <c r="D8456" s="27" t="s">
        <v>1826</v>
      </c>
      <c r="F8456" s="27" t="s">
        <v>1844</v>
      </c>
      <c r="H8456" s="27" t="s">
        <v>1853</v>
      </c>
      <c r="J8456" s="27" t="s">
        <v>1854</v>
      </c>
      <c r="L8456" s="27" t="s">
        <v>461</v>
      </c>
      <c r="N8456" s="27" t="s">
        <v>462</v>
      </c>
      <c r="P8456" s="27" t="s">
        <v>13106</v>
      </c>
      <c r="Q8456" s="26" t="str">
        <f>HYPERLINK("https://ictv.global/taxonomy/taxondetails?taxnode_id=202503192&amp;ictv_id=ICTV20131895","ICTV20131895")</f>
        <v>ICTV20131895</v>
      </c>
      <c r="R8456" t="s">
        <v>660</v>
      </c>
      <c r="S8456" t="s">
        <v>824</v>
      </c>
      <c r="T8456">
        <v>41</v>
      </c>
      <c r="U8456" s="26" t="str">
        <f t="shared" si="307"/>
        <v>2025.002G.Monodnaviria_reorg_4nr.zip</v>
      </c>
    </row>
    <row r="8457" spans="1:21">
      <c r="A8457">
        <v>8456</v>
      </c>
      <c r="B8457" s="27" t="s">
        <v>20779</v>
      </c>
      <c r="D8457" s="27" t="s">
        <v>1826</v>
      </c>
      <c r="F8457" s="27" t="s">
        <v>1844</v>
      </c>
      <c r="H8457" s="27" t="s">
        <v>1853</v>
      </c>
      <c r="J8457" s="27" t="s">
        <v>1854</v>
      </c>
      <c r="L8457" s="27" t="s">
        <v>461</v>
      </c>
      <c r="N8457" s="27" t="s">
        <v>462</v>
      </c>
      <c r="P8457" s="27" t="s">
        <v>13107</v>
      </c>
      <c r="Q8457" s="26" t="str">
        <f>HYPERLINK("https://ictv.global/taxonomy/taxondetails?taxnode_id=202509117&amp;ictv_id=ICTV202009117","ICTV202009117")</f>
        <v>ICTV202009117</v>
      </c>
      <c r="R8457" t="s">
        <v>660</v>
      </c>
      <c r="S8457" t="s">
        <v>824</v>
      </c>
      <c r="T8457">
        <v>41</v>
      </c>
      <c r="U8457" s="26" t="str">
        <f t="shared" si="307"/>
        <v>2025.002G.Monodnaviria_reorg_4nr.zip</v>
      </c>
    </row>
    <row r="8458" spans="1:21">
      <c r="A8458">
        <v>8457</v>
      </c>
      <c r="B8458" s="27" t="s">
        <v>20779</v>
      </c>
      <c r="D8458" s="27" t="s">
        <v>1826</v>
      </c>
      <c r="F8458" s="27" t="s">
        <v>1844</v>
      </c>
      <c r="H8458" s="27" t="s">
        <v>1853</v>
      </c>
      <c r="J8458" s="27" t="s">
        <v>1854</v>
      </c>
      <c r="L8458" s="27" t="s">
        <v>461</v>
      </c>
      <c r="N8458" s="27" t="s">
        <v>462</v>
      </c>
      <c r="P8458" s="27" t="s">
        <v>13108</v>
      </c>
      <c r="Q8458" s="26" t="str">
        <f>HYPERLINK("https://ictv.global/taxonomy/taxondetails?taxnode_id=202505793&amp;ictv_id=ICTV20175793","ICTV20175793")</f>
        <v>ICTV20175793</v>
      </c>
      <c r="R8458" t="s">
        <v>660</v>
      </c>
      <c r="S8458" t="s">
        <v>824</v>
      </c>
      <c r="T8458">
        <v>41</v>
      </c>
      <c r="U8458" s="26" t="str">
        <f t="shared" si="307"/>
        <v>2025.002G.Monodnaviria_reorg_4nr.zip</v>
      </c>
    </row>
    <row r="8459" spans="1:21">
      <c r="A8459">
        <v>8458</v>
      </c>
      <c r="B8459" s="27" t="s">
        <v>20779</v>
      </c>
      <c r="D8459" s="27" t="s">
        <v>1826</v>
      </c>
      <c r="F8459" s="27" t="s">
        <v>1844</v>
      </c>
      <c r="H8459" s="27" t="s">
        <v>1853</v>
      </c>
      <c r="J8459" s="27" t="s">
        <v>1854</v>
      </c>
      <c r="L8459" s="27" t="s">
        <v>461</v>
      </c>
      <c r="N8459" s="27" t="s">
        <v>462</v>
      </c>
      <c r="P8459" s="27" t="s">
        <v>13109</v>
      </c>
      <c r="Q8459" s="26" t="str">
        <f>HYPERLINK("https://ictv.global/taxonomy/taxondetails?taxnode_id=202505820&amp;ictv_id=ICTV20175820","ICTV20175820")</f>
        <v>ICTV20175820</v>
      </c>
      <c r="R8459" t="s">
        <v>660</v>
      </c>
      <c r="S8459" t="s">
        <v>824</v>
      </c>
      <c r="T8459">
        <v>41</v>
      </c>
      <c r="U8459" s="26" t="str">
        <f t="shared" si="307"/>
        <v>2025.002G.Monodnaviria_reorg_4nr.zip</v>
      </c>
    </row>
    <row r="8460" spans="1:21">
      <c r="A8460">
        <v>8459</v>
      </c>
      <c r="B8460" s="27" t="s">
        <v>20779</v>
      </c>
      <c r="D8460" s="27" t="s">
        <v>1826</v>
      </c>
      <c r="F8460" s="27" t="s">
        <v>1844</v>
      </c>
      <c r="H8460" s="27" t="s">
        <v>1853</v>
      </c>
      <c r="J8460" s="27" t="s">
        <v>1854</v>
      </c>
      <c r="L8460" s="27" t="s">
        <v>461</v>
      </c>
      <c r="N8460" s="27" t="s">
        <v>462</v>
      </c>
      <c r="P8460" s="27" t="s">
        <v>13110</v>
      </c>
      <c r="Q8460" s="26" t="str">
        <f>HYPERLINK("https://ictv.global/taxonomy/taxondetails?taxnode_id=202509130&amp;ictv_id=ICTV202009130","ICTV202009130")</f>
        <v>ICTV202009130</v>
      </c>
      <c r="R8460" t="s">
        <v>660</v>
      </c>
      <c r="S8460" t="s">
        <v>824</v>
      </c>
      <c r="T8460">
        <v>41</v>
      </c>
      <c r="U8460" s="26" t="str">
        <f t="shared" si="307"/>
        <v>2025.002G.Monodnaviria_reorg_4nr.zip</v>
      </c>
    </row>
    <row r="8461" spans="1:21">
      <c r="A8461">
        <v>8460</v>
      </c>
      <c r="B8461" s="27" t="s">
        <v>20779</v>
      </c>
      <c r="D8461" s="27" t="s">
        <v>1826</v>
      </c>
      <c r="F8461" s="27" t="s">
        <v>1844</v>
      </c>
      <c r="H8461" s="27" t="s">
        <v>1853</v>
      </c>
      <c r="J8461" s="27" t="s">
        <v>1854</v>
      </c>
      <c r="L8461" s="27" t="s">
        <v>461</v>
      </c>
      <c r="N8461" s="27" t="s">
        <v>462</v>
      </c>
      <c r="P8461" s="27" t="s">
        <v>13111</v>
      </c>
      <c r="Q8461" s="26" t="str">
        <f>HYPERLINK("https://ictv.global/taxonomy/taxondetails?taxnode_id=202503317&amp;ictv_id=ICTV20152836","ICTV20152836")</f>
        <v>ICTV20152836</v>
      </c>
      <c r="R8461" t="s">
        <v>660</v>
      </c>
      <c r="S8461" t="s">
        <v>824</v>
      </c>
      <c r="T8461">
        <v>41</v>
      </c>
      <c r="U8461" s="26" t="str">
        <f t="shared" si="307"/>
        <v>2025.002G.Monodnaviria_reorg_4nr.zip</v>
      </c>
    </row>
    <row r="8462" spans="1:21">
      <c r="A8462">
        <v>8461</v>
      </c>
      <c r="B8462" s="27" t="s">
        <v>20779</v>
      </c>
      <c r="D8462" s="27" t="s">
        <v>1826</v>
      </c>
      <c r="F8462" s="27" t="s">
        <v>1844</v>
      </c>
      <c r="H8462" s="27" t="s">
        <v>1853</v>
      </c>
      <c r="J8462" s="27" t="s">
        <v>1854</v>
      </c>
      <c r="L8462" s="27" t="s">
        <v>461</v>
      </c>
      <c r="N8462" s="27" t="s">
        <v>462</v>
      </c>
      <c r="P8462" s="27" t="s">
        <v>13112</v>
      </c>
      <c r="Q8462" s="26" t="str">
        <f>HYPERLINK("https://ictv.global/taxonomy/taxondetails?taxnode_id=202506707&amp;ictv_id=ICTV201856707","ICTV201856707")</f>
        <v>ICTV201856707</v>
      </c>
      <c r="R8462" t="s">
        <v>660</v>
      </c>
      <c r="S8462" t="s">
        <v>824</v>
      </c>
      <c r="T8462">
        <v>41</v>
      </c>
      <c r="U8462" s="26" t="str">
        <f t="shared" si="307"/>
        <v>2025.002G.Monodnaviria_reorg_4nr.zip</v>
      </c>
    </row>
    <row r="8463" spans="1:21">
      <c r="A8463">
        <v>8462</v>
      </c>
      <c r="B8463" s="27" t="s">
        <v>20779</v>
      </c>
      <c r="D8463" s="27" t="s">
        <v>1826</v>
      </c>
      <c r="F8463" s="27" t="s">
        <v>1844</v>
      </c>
      <c r="H8463" s="27" t="s">
        <v>1853</v>
      </c>
      <c r="J8463" s="27" t="s">
        <v>1854</v>
      </c>
      <c r="L8463" s="27" t="s">
        <v>461</v>
      </c>
      <c r="N8463" s="27" t="s">
        <v>462</v>
      </c>
      <c r="P8463" s="27" t="s">
        <v>13113</v>
      </c>
      <c r="Q8463" s="26" t="str">
        <f>HYPERLINK("https://ictv.global/taxonomy/taxondetails?taxnode_id=202503318&amp;ictv_id=ICTV20152837","ICTV20152837")</f>
        <v>ICTV20152837</v>
      </c>
      <c r="R8463" t="s">
        <v>660</v>
      </c>
      <c r="S8463" t="s">
        <v>824</v>
      </c>
      <c r="T8463">
        <v>41</v>
      </c>
      <c r="U8463" s="26" t="str">
        <f t="shared" si="307"/>
        <v>2025.002G.Monodnaviria_reorg_4nr.zip</v>
      </c>
    </row>
    <row r="8464" spans="1:21">
      <c r="A8464">
        <v>8463</v>
      </c>
      <c r="B8464" s="27" t="s">
        <v>20779</v>
      </c>
      <c r="D8464" s="27" t="s">
        <v>1826</v>
      </c>
      <c r="F8464" s="27" t="s">
        <v>1844</v>
      </c>
      <c r="H8464" s="27" t="s">
        <v>1853</v>
      </c>
      <c r="J8464" s="27" t="s">
        <v>1854</v>
      </c>
      <c r="L8464" s="27" t="s">
        <v>461</v>
      </c>
      <c r="N8464" s="27" t="s">
        <v>462</v>
      </c>
      <c r="P8464" s="27" t="s">
        <v>13114</v>
      </c>
      <c r="Q8464" s="26" t="str">
        <f>HYPERLINK("https://ictv.global/taxonomy/taxondetails?taxnode_id=202503319&amp;ictv_id=ICTV20152838","ICTV20152838")</f>
        <v>ICTV20152838</v>
      </c>
      <c r="R8464" t="s">
        <v>660</v>
      </c>
      <c r="S8464" t="s">
        <v>824</v>
      </c>
      <c r="T8464">
        <v>41</v>
      </c>
      <c r="U8464" s="26" t="str">
        <f t="shared" si="307"/>
        <v>2025.002G.Monodnaviria_reorg_4nr.zip</v>
      </c>
    </row>
    <row r="8465" spans="1:21">
      <c r="A8465">
        <v>8464</v>
      </c>
      <c r="B8465" s="27" t="s">
        <v>20779</v>
      </c>
      <c r="D8465" s="27" t="s">
        <v>1826</v>
      </c>
      <c r="F8465" s="27" t="s">
        <v>1844</v>
      </c>
      <c r="H8465" s="27" t="s">
        <v>1853</v>
      </c>
      <c r="J8465" s="27" t="s">
        <v>1854</v>
      </c>
      <c r="L8465" s="27" t="s">
        <v>461</v>
      </c>
      <c r="N8465" s="27" t="s">
        <v>462</v>
      </c>
      <c r="P8465" s="27" t="s">
        <v>13115</v>
      </c>
      <c r="Q8465" s="26" t="str">
        <f>HYPERLINK("https://ictv.global/taxonomy/taxondetails?taxnode_id=202503267&amp;ictv_id=ICTV20083878","ICTV20083878")</f>
        <v>ICTV20083878</v>
      </c>
      <c r="R8465" t="s">
        <v>660</v>
      </c>
      <c r="S8465" t="s">
        <v>824</v>
      </c>
      <c r="T8465">
        <v>41</v>
      </c>
      <c r="U8465" s="26" t="str">
        <f t="shared" si="307"/>
        <v>2025.002G.Monodnaviria_reorg_4nr.zip</v>
      </c>
    </row>
    <row r="8466" spans="1:21">
      <c r="A8466">
        <v>8465</v>
      </c>
      <c r="B8466" s="27" t="s">
        <v>20779</v>
      </c>
      <c r="D8466" s="27" t="s">
        <v>1826</v>
      </c>
      <c r="F8466" s="27" t="s">
        <v>1844</v>
      </c>
      <c r="H8466" s="27" t="s">
        <v>1853</v>
      </c>
      <c r="J8466" s="27" t="s">
        <v>1854</v>
      </c>
      <c r="L8466" s="27" t="s">
        <v>461</v>
      </c>
      <c r="N8466" s="27" t="s">
        <v>462</v>
      </c>
      <c r="P8466" s="27" t="s">
        <v>20076</v>
      </c>
      <c r="Q8466" s="26" t="str">
        <f>HYPERLINK("https://ictv.global/taxonomy/taxondetails?taxnode_id=202520479&amp;ictv_id=ICTV202420479","ICTV202420479")</f>
        <v>ICTV202420479</v>
      </c>
      <c r="R8466" t="s">
        <v>582</v>
      </c>
      <c r="S8466" t="s">
        <v>824</v>
      </c>
      <c r="T8466">
        <v>41</v>
      </c>
      <c r="U8466" s="26" t="str">
        <f t="shared" si="307"/>
        <v>2025.002G.Monodnaviria_reorg_4nr.zip</v>
      </c>
    </row>
    <row r="8467" spans="1:21">
      <c r="A8467">
        <v>8466</v>
      </c>
      <c r="B8467" s="27" t="s">
        <v>20779</v>
      </c>
      <c r="D8467" s="27" t="s">
        <v>1826</v>
      </c>
      <c r="F8467" s="27" t="s">
        <v>1844</v>
      </c>
      <c r="H8467" s="27" t="s">
        <v>1853</v>
      </c>
      <c r="J8467" s="27" t="s">
        <v>1854</v>
      </c>
      <c r="L8467" s="27" t="s">
        <v>461</v>
      </c>
      <c r="N8467" s="27" t="s">
        <v>462</v>
      </c>
      <c r="P8467" s="27" t="s">
        <v>20077</v>
      </c>
      <c r="Q8467" s="26" t="str">
        <f>HYPERLINK("https://ictv.global/taxonomy/taxondetails?taxnode_id=202520478&amp;ictv_id=ICTV202420478","ICTV202420478")</f>
        <v>ICTV202420478</v>
      </c>
      <c r="R8467" t="s">
        <v>582</v>
      </c>
      <c r="S8467" t="s">
        <v>824</v>
      </c>
      <c r="T8467">
        <v>41</v>
      </c>
      <c r="U8467" s="26" t="str">
        <f t="shared" si="307"/>
        <v>2025.002G.Monodnaviria_reorg_4nr.zip</v>
      </c>
    </row>
    <row r="8468" spans="1:21">
      <c r="A8468">
        <v>8467</v>
      </c>
      <c r="B8468" s="27" t="s">
        <v>20779</v>
      </c>
      <c r="D8468" s="27" t="s">
        <v>1826</v>
      </c>
      <c r="F8468" s="27" t="s">
        <v>1844</v>
      </c>
      <c r="H8468" s="27" t="s">
        <v>1853</v>
      </c>
      <c r="J8468" s="27" t="s">
        <v>1854</v>
      </c>
      <c r="L8468" s="27" t="s">
        <v>461</v>
      </c>
      <c r="N8468" s="27" t="s">
        <v>462</v>
      </c>
      <c r="P8468" s="27" t="s">
        <v>13116</v>
      </c>
      <c r="Q8468" s="26" t="str">
        <f>HYPERLINK("https://ictv.global/taxonomy/taxondetails?taxnode_id=202505822&amp;ictv_id=ICTV20175822","ICTV20175822")</f>
        <v>ICTV20175822</v>
      </c>
      <c r="R8468" t="s">
        <v>660</v>
      </c>
      <c r="S8468" t="s">
        <v>824</v>
      </c>
      <c r="T8468">
        <v>41</v>
      </c>
      <c r="U8468" s="26" t="str">
        <f t="shared" si="307"/>
        <v>2025.002G.Monodnaviria_reorg_4nr.zip</v>
      </c>
    </row>
    <row r="8469" spans="1:21">
      <c r="A8469">
        <v>8468</v>
      </c>
      <c r="B8469" s="27" t="s">
        <v>20779</v>
      </c>
      <c r="D8469" s="27" t="s">
        <v>1826</v>
      </c>
      <c r="F8469" s="27" t="s">
        <v>1844</v>
      </c>
      <c r="H8469" s="27" t="s">
        <v>1853</v>
      </c>
      <c r="J8469" s="27" t="s">
        <v>1854</v>
      </c>
      <c r="L8469" s="27" t="s">
        <v>461</v>
      </c>
      <c r="N8469" s="27" t="s">
        <v>462</v>
      </c>
      <c r="P8469" s="27" t="s">
        <v>13117</v>
      </c>
      <c r="Q8469" s="26" t="str">
        <f>HYPERLINK("https://ictv.global/taxonomy/taxondetails?taxnode_id=202503326&amp;ictv_id=ICTV20131932","ICTV20131932")</f>
        <v>ICTV20131932</v>
      </c>
      <c r="R8469" t="s">
        <v>660</v>
      </c>
      <c r="S8469" t="s">
        <v>824</v>
      </c>
      <c r="T8469">
        <v>41</v>
      </c>
      <c r="U8469" s="26" t="str">
        <f t="shared" si="307"/>
        <v>2025.002G.Monodnaviria_reorg_4nr.zip</v>
      </c>
    </row>
    <row r="8470" spans="1:21">
      <c r="A8470">
        <v>8469</v>
      </c>
      <c r="B8470" s="27" t="s">
        <v>20779</v>
      </c>
      <c r="D8470" s="27" t="s">
        <v>1826</v>
      </c>
      <c r="F8470" s="27" t="s">
        <v>1844</v>
      </c>
      <c r="H8470" s="27" t="s">
        <v>1853</v>
      </c>
      <c r="J8470" s="27" t="s">
        <v>1854</v>
      </c>
      <c r="L8470" s="27" t="s">
        <v>461</v>
      </c>
      <c r="N8470" s="27" t="s">
        <v>462</v>
      </c>
      <c r="P8470" s="27" t="s">
        <v>13118</v>
      </c>
      <c r="Q8470" s="26" t="str">
        <f>HYPERLINK("https://ictv.global/taxonomy/taxondetails?taxnode_id=202503329&amp;ictv_id=ICTV20131934","ICTV20131934")</f>
        <v>ICTV20131934</v>
      </c>
      <c r="R8470" t="s">
        <v>660</v>
      </c>
      <c r="S8470" t="s">
        <v>824</v>
      </c>
      <c r="T8470">
        <v>41</v>
      </c>
      <c r="U8470" s="26" t="str">
        <f t="shared" si="307"/>
        <v>2025.002G.Monodnaviria_reorg_4nr.zip</v>
      </c>
    </row>
    <row r="8471" spans="1:21">
      <c r="A8471">
        <v>8470</v>
      </c>
      <c r="B8471" s="27" t="s">
        <v>20779</v>
      </c>
      <c r="D8471" s="27" t="s">
        <v>1826</v>
      </c>
      <c r="F8471" s="27" t="s">
        <v>1844</v>
      </c>
      <c r="H8471" s="27" t="s">
        <v>1853</v>
      </c>
      <c r="J8471" s="27" t="s">
        <v>1854</v>
      </c>
      <c r="L8471" s="27" t="s">
        <v>461</v>
      </c>
      <c r="N8471" s="27" t="s">
        <v>462</v>
      </c>
      <c r="P8471" s="27" t="s">
        <v>13119</v>
      </c>
      <c r="Q8471" s="26" t="str">
        <f>HYPERLINK("https://ictv.global/taxonomy/taxondetails?taxnode_id=202503322&amp;ictv_id=ICTV20131930","ICTV20131930")</f>
        <v>ICTV20131930</v>
      </c>
      <c r="R8471" t="s">
        <v>660</v>
      </c>
      <c r="S8471" t="s">
        <v>824</v>
      </c>
      <c r="T8471">
        <v>41</v>
      </c>
      <c r="U8471" s="26" t="str">
        <f t="shared" si="307"/>
        <v>2025.002G.Monodnaviria_reorg_4nr.zip</v>
      </c>
    </row>
    <row r="8472" spans="1:21">
      <c r="A8472">
        <v>8471</v>
      </c>
      <c r="B8472" s="27" t="s">
        <v>20779</v>
      </c>
      <c r="D8472" s="27" t="s">
        <v>1826</v>
      </c>
      <c r="F8472" s="27" t="s">
        <v>1844</v>
      </c>
      <c r="H8472" s="27" t="s">
        <v>1853</v>
      </c>
      <c r="J8472" s="27" t="s">
        <v>1854</v>
      </c>
      <c r="L8472" s="27" t="s">
        <v>461</v>
      </c>
      <c r="N8472" s="27" t="s">
        <v>462</v>
      </c>
      <c r="P8472" s="27" t="s">
        <v>13120</v>
      </c>
      <c r="Q8472" s="26" t="str">
        <f>HYPERLINK("https://ictv.global/taxonomy/taxondetails?taxnode_id=202503328&amp;ictv_id=ICTV20152839","ICTV20152839")</f>
        <v>ICTV20152839</v>
      </c>
      <c r="R8472" t="s">
        <v>660</v>
      </c>
      <c r="S8472" t="s">
        <v>824</v>
      </c>
      <c r="T8472">
        <v>41</v>
      </c>
      <c r="U8472" s="26" t="str">
        <f t="shared" si="307"/>
        <v>2025.002G.Monodnaviria_reorg_4nr.zip</v>
      </c>
    </row>
    <row r="8473" spans="1:21">
      <c r="A8473">
        <v>8472</v>
      </c>
      <c r="B8473" s="27" t="s">
        <v>20779</v>
      </c>
      <c r="D8473" s="27" t="s">
        <v>1826</v>
      </c>
      <c r="F8473" s="27" t="s">
        <v>1844</v>
      </c>
      <c r="H8473" s="27" t="s">
        <v>1853</v>
      </c>
      <c r="J8473" s="27" t="s">
        <v>1854</v>
      </c>
      <c r="L8473" s="27" t="s">
        <v>461</v>
      </c>
      <c r="N8473" s="27" t="s">
        <v>462</v>
      </c>
      <c r="P8473" s="27" t="s">
        <v>13121</v>
      </c>
      <c r="Q8473" s="26" t="str">
        <f>HYPERLINK("https://ictv.global/taxonomy/taxondetails?taxnode_id=202503327&amp;ictv_id=ICTV20131933","ICTV20131933")</f>
        <v>ICTV20131933</v>
      </c>
      <c r="R8473" t="s">
        <v>660</v>
      </c>
      <c r="S8473" t="s">
        <v>824</v>
      </c>
      <c r="T8473">
        <v>41</v>
      </c>
      <c r="U8473" s="26" t="str">
        <f t="shared" si="307"/>
        <v>2025.002G.Monodnaviria_reorg_4nr.zip</v>
      </c>
    </row>
    <row r="8474" spans="1:21">
      <c r="A8474">
        <v>8473</v>
      </c>
      <c r="B8474" s="27" t="s">
        <v>20779</v>
      </c>
      <c r="D8474" s="27" t="s">
        <v>1826</v>
      </c>
      <c r="F8474" s="27" t="s">
        <v>1844</v>
      </c>
      <c r="H8474" s="27" t="s">
        <v>1853</v>
      </c>
      <c r="J8474" s="27" t="s">
        <v>1854</v>
      </c>
      <c r="L8474" s="27" t="s">
        <v>461</v>
      </c>
      <c r="N8474" s="27" t="s">
        <v>462</v>
      </c>
      <c r="P8474" s="27" t="s">
        <v>13122</v>
      </c>
      <c r="Q8474" s="26" t="str">
        <f>HYPERLINK("https://ictv.global/taxonomy/taxondetails?taxnode_id=202503323&amp;ictv_id=ICTV20083917","ICTV20083917")</f>
        <v>ICTV20083917</v>
      </c>
      <c r="R8474" t="s">
        <v>660</v>
      </c>
      <c r="S8474" t="s">
        <v>824</v>
      </c>
      <c r="T8474">
        <v>41</v>
      </c>
      <c r="U8474" s="26" t="str">
        <f t="shared" si="307"/>
        <v>2025.002G.Monodnaviria_reorg_4nr.zip</v>
      </c>
    </row>
    <row r="8475" spans="1:21">
      <c r="A8475">
        <v>8474</v>
      </c>
      <c r="B8475" s="27" t="s">
        <v>20779</v>
      </c>
      <c r="D8475" s="27" t="s">
        <v>1826</v>
      </c>
      <c r="F8475" s="27" t="s">
        <v>1844</v>
      </c>
      <c r="H8475" s="27" t="s">
        <v>1853</v>
      </c>
      <c r="J8475" s="27" t="s">
        <v>1854</v>
      </c>
      <c r="L8475" s="27" t="s">
        <v>461</v>
      </c>
      <c r="N8475" s="27" t="s">
        <v>462</v>
      </c>
      <c r="P8475" s="27" t="s">
        <v>13123</v>
      </c>
      <c r="Q8475" s="26" t="str">
        <f>HYPERLINK("https://ictv.global/taxonomy/taxondetails?taxnode_id=202503324&amp;ictv_id=ICTV20041163","ICTV20041163")</f>
        <v>ICTV20041163</v>
      </c>
      <c r="R8475" t="s">
        <v>660</v>
      </c>
      <c r="S8475" t="s">
        <v>824</v>
      </c>
      <c r="T8475">
        <v>41</v>
      </c>
      <c r="U8475" s="26" t="str">
        <f t="shared" si="307"/>
        <v>2025.002G.Monodnaviria_reorg_4nr.zip</v>
      </c>
    </row>
    <row r="8476" spans="1:21">
      <c r="A8476">
        <v>8475</v>
      </c>
      <c r="B8476" s="27" t="s">
        <v>20779</v>
      </c>
      <c r="D8476" s="27" t="s">
        <v>1826</v>
      </c>
      <c r="F8476" s="27" t="s">
        <v>1844</v>
      </c>
      <c r="H8476" s="27" t="s">
        <v>1853</v>
      </c>
      <c r="J8476" s="27" t="s">
        <v>1854</v>
      </c>
      <c r="L8476" s="27" t="s">
        <v>461</v>
      </c>
      <c r="N8476" s="27" t="s">
        <v>462</v>
      </c>
      <c r="P8476" s="27" t="s">
        <v>13124</v>
      </c>
      <c r="Q8476" s="26" t="str">
        <f>HYPERLINK("https://ictv.global/taxonomy/taxondetails?taxnode_id=202503330&amp;ictv_id=ICTV20131935","ICTV20131935")</f>
        <v>ICTV20131935</v>
      </c>
      <c r="R8476" t="s">
        <v>660</v>
      </c>
      <c r="S8476" t="s">
        <v>824</v>
      </c>
      <c r="T8476">
        <v>41</v>
      </c>
      <c r="U8476" s="26" t="str">
        <f t="shared" si="307"/>
        <v>2025.002G.Monodnaviria_reorg_4nr.zip</v>
      </c>
    </row>
    <row r="8477" spans="1:21">
      <c r="A8477">
        <v>8476</v>
      </c>
      <c r="B8477" s="27" t="s">
        <v>20779</v>
      </c>
      <c r="D8477" s="27" t="s">
        <v>1826</v>
      </c>
      <c r="F8477" s="27" t="s">
        <v>1844</v>
      </c>
      <c r="H8477" s="27" t="s">
        <v>1853</v>
      </c>
      <c r="J8477" s="27" t="s">
        <v>1854</v>
      </c>
      <c r="L8477" s="27" t="s">
        <v>461</v>
      </c>
      <c r="N8477" s="27" t="s">
        <v>462</v>
      </c>
      <c r="P8477" s="27" t="s">
        <v>13125</v>
      </c>
      <c r="Q8477" s="26" t="str">
        <f>HYPERLINK("https://ictv.global/taxonomy/taxondetails?taxnode_id=202503331&amp;ictv_id=ICTV20152840","ICTV20152840")</f>
        <v>ICTV20152840</v>
      </c>
      <c r="R8477" t="s">
        <v>660</v>
      </c>
      <c r="S8477" t="s">
        <v>824</v>
      </c>
      <c r="T8477">
        <v>41</v>
      </c>
      <c r="U8477" s="26" t="str">
        <f t="shared" si="307"/>
        <v>2025.002G.Monodnaviria_reorg_4nr.zip</v>
      </c>
    </row>
    <row r="8478" spans="1:21">
      <c r="A8478">
        <v>8477</v>
      </c>
      <c r="B8478" s="27" t="s">
        <v>20779</v>
      </c>
      <c r="D8478" s="27" t="s">
        <v>1826</v>
      </c>
      <c r="F8478" s="27" t="s">
        <v>1844</v>
      </c>
      <c r="H8478" s="27" t="s">
        <v>1853</v>
      </c>
      <c r="J8478" s="27" t="s">
        <v>1854</v>
      </c>
      <c r="L8478" s="27" t="s">
        <v>461</v>
      </c>
      <c r="N8478" s="27" t="s">
        <v>462</v>
      </c>
      <c r="P8478" s="27" t="s">
        <v>13126</v>
      </c>
      <c r="Q8478" s="26" t="str">
        <f>HYPERLINK("https://ictv.global/taxonomy/taxondetails?taxnode_id=202503332&amp;ictv_id=ICTV20083919","ICTV20083919")</f>
        <v>ICTV20083919</v>
      </c>
      <c r="R8478" t="s">
        <v>660</v>
      </c>
      <c r="S8478" t="s">
        <v>824</v>
      </c>
      <c r="T8478">
        <v>41</v>
      </c>
      <c r="U8478" s="26" t="str">
        <f t="shared" si="307"/>
        <v>2025.002G.Monodnaviria_reorg_4nr.zip</v>
      </c>
    </row>
    <row r="8479" spans="1:21">
      <c r="A8479">
        <v>8478</v>
      </c>
      <c r="B8479" s="27" t="s">
        <v>20779</v>
      </c>
      <c r="D8479" s="27" t="s">
        <v>1826</v>
      </c>
      <c r="F8479" s="27" t="s">
        <v>1844</v>
      </c>
      <c r="H8479" s="27" t="s">
        <v>1853</v>
      </c>
      <c r="J8479" s="27" t="s">
        <v>1854</v>
      </c>
      <c r="L8479" s="27" t="s">
        <v>461</v>
      </c>
      <c r="N8479" s="27" t="s">
        <v>462</v>
      </c>
      <c r="P8479" s="27" t="s">
        <v>13127</v>
      </c>
      <c r="Q8479" s="26" t="str">
        <f>HYPERLINK("https://ictv.global/taxonomy/taxondetails?taxnode_id=202505823&amp;ictv_id=ICTV20175823","ICTV20175823")</f>
        <v>ICTV20175823</v>
      </c>
      <c r="R8479" t="s">
        <v>660</v>
      </c>
      <c r="S8479" t="s">
        <v>824</v>
      </c>
      <c r="T8479">
        <v>41</v>
      </c>
      <c r="U8479" s="26" t="str">
        <f t="shared" si="307"/>
        <v>2025.002G.Monodnaviria_reorg_4nr.zip</v>
      </c>
    </row>
    <row r="8480" spans="1:21">
      <c r="A8480">
        <v>8479</v>
      </c>
      <c r="B8480" s="27" t="s">
        <v>20779</v>
      </c>
      <c r="D8480" s="27" t="s">
        <v>1826</v>
      </c>
      <c r="F8480" s="27" t="s">
        <v>1844</v>
      </c>
      <c r="H8480" s="27" t="s">
        <v>1853</v>
      </c>
      <c r="J8480" s="27" t="s">
        <v>1854</v>
      </c>
      <c r="L8480" s="27" t="s">
        <v>461</v>
      </c>
      <c r="N8480" s="27" t="s">
        <v>462</v>
      </c>
      <c r="P8480" s="27" t="s">
        <v>13128</v>
      </c>
      <c r="Q8480" s="26" t="str">
        <f>HYPERLINK("https://ictv.global/taxonomy/taxondetails?taxnode_id=202503346&amp;ictv_id=ICTV20131940","ICTV20131940")</f>
        <v>ICTV20131940</v>
      </c>
      <c r="R8480" t="s">
        <v>660</v>
      </c>
      <c r="S8480" t="s">
        <v>824</v>
      </c>
      <c r="T8480">
        <v>41</v>
      </c>
      <c r="U8480" s="26" t="str">
        <f t="shared" si="307"/>
        <v>2025.002G.Monodnaviria_reorg_4nr.zip</v>
      </c>
    </row>
    <row r="8481" spans="1:21">
      <c r="A8481">
        <v>8480</v>
      </c>
      <c r="B8481" s="27" t="s">
        <v>20779</v>
      </c>
      <c r="D8481" s="27" t="s">
        <v>1826</v>
      </c>
      <c r="F8481" s="27" t="s">
        <v>1844</v>
      </c>
      <c r="H8481" s="27" t="s">
        <v>1853</v>
      </c>
      <c r="J8481" s="27" t="s">
        <v>1854</v>
      </c>
      <c r="L8481" s="27" t="s">
        <v>461</v>
      </c>
      <c r="N8481" s="27" t="s">
        <v>462</v>
      </c>
      <c r="P8481" s="27" t="s">
        <v>13129</v>
      </c>
      <c r="Q8481" s="26" t="str">
        <f>HYPERLINK("https://ictv.global/taxonomy/taxondetails?taxnode_id=202503348&amp;ictv_id=ICTV20131942","ICTV20131942")</f>
        <v>ICTV20131942</v>
      </c>
      <c r="R8481" t="s">
        <v>660</v>
      </c>
      <c r="S8481" t="s">
        <v>824</v>
      </c>
      <c r="T8481">
        <v>41</v>
      </c>
      <c r="U8481" s="26" t="str">
        <f t="shared" ref="U8481:U8544" si="308">HYPERLINK("https://ictv.global/ictv/proposals/2025.002G.Monodnaviria_reorg_4nr.zip","2025.002G.Monodnaviria_reorg_4nr.zip")</f>
        <v>2025.002G.Monodnaviria_reorg_4nr.zip</v>
      </c>
    </row>
    <row r="8482" spans="1:21">
      <c r="A8482">
        <v>8481</v>
      </c>
      <c r="B8482" s="27" t="s">
        <v>20779</v>
      </c>
      <c r="D8482" s="27" t="s">
        <v>1826</v>
      </c>
      <c r="F8482" s="27" t="s">
        <v>1844</v>
      </c>
      <c r="H8482" s="27" t="s">
        <v>1853</v>
      </c>
      <c r="J8482" s="27" t="s">
        <v>1854</v>
      </c>
      <c r="L8482" s="27" t="s">
        <v>461</v>
      </c>
      <c r="N8482" s="27" t="s">
        <v>462</v>
      </c>
      <c r="P8482" s="27" t="s">
        <v>13130</v>
      </c>
      <c r="Q8482" s="26" t="str">
        <f>HYPERLINK("https://ictv.global/taxonomy/taxondetails?taxnode_id=202503347&amp;ictv_id=ICTV20131941","ICTV20131941")</f>
        <v>ICTV20131941</v>
      </c>
      <c r="R8482" t="s">
        <v>660</v>
      </c>
      <c r="S8482" t="s">
        <v>824</v>
      </c>
      <c r="T8482">
        <v>41</v>
      </c>
      <c r="U8482" s="26" t="str">
        <f t="shared" si="308"/>
        <v>2025.002G.Monodnaviria_reorg_4nr.zip</v>
      </c>
    </row>
    <row r="8483" spans="1:21">
      <c r="A8483">
        <v>8482</v>
      </c>
      <c r="B8483" s="27" t="s">
        <v>20779</v>
      </c>
      <c r="D8483" s="27" t="s">
        <v>1826</v>
      </c>
      <c r="F8483" s="27" t="s">
        <v>1844</v>
      </c>
      <c r="H8483" s="27" t="s">
        <v>1853</v>
      </c>
      <c r="J8483" s="27" t="s">
        <v>1854</v>
      </c>
      <c r="L8483" s="27" t="s">
        <v>461</v>
      </c>
      <c r="N8483" s="27" t="s">
        <v>462</v>
      </c>
      <c r="P8483" s="27" t="s">
        <v>13131</v>
      </c>
      <c r="Q8483" s="26" t="str">
        <f>HYPERLINK("https://ictv.global/taxonomy/taxondetails?taxnode_id=202503333&amp;ictv_id=ICTV20152841","ICTV20152841")</f>
        <v>ICTV20152841</v>
      </c>
      <c r="R8483" t="s">
        <v>660</v>
      </c>
      <c r="S8483" t="s">
        <v>824</v>
      </c>
      <c r="T8483">
        <v>41</v>
      </c>
      <c r="U8483" s="26" t="str">
        <f t="shared" si="308"/>
        <v>2025.002G.Monodnaviria_reorg_4nr.zip</v>
      </c>
    </row>
    <row r="8484" spans="1:21">
      <c r="A8484">
        <v>8483</v>
      </c>
      <c r="B8484" s="27" t="s">
        <v>20779</v>
      </c>
      <c r="D8484" s="27" t="s">
        <v>1826</v>
      </c>
      <c r="F8484" s="27" t="s">
        <v>1844</v>
      </c>
      <c r="H8484" s="27" t="s">
        <v>1853</v>
      </c>
      <c r="J8484" s="27" t="s">
        <v>1854</v>
      </c>
      <c r="L8484" s="27" t="s">
        <v>461</v>
      </c>
      <c r="N8484" s="27" t="s">
        <v>462</v>
      </c>
      <c r="P8484" s="27" t="s">
        <v>13132</v>
      </c>
      <c r="Q8484" s="26" t="str">
        <f>HYPERLINK("https://ictv.global/taxonomy/taxondetails?taxnode_id=202503344&amp;ictv_id=ICTV20083925","ICTV20083925")</f>
        <v>ICTV20083925</v>
      </c>
      <c r="R8484" t="s">
        <v>660</v>
      </c>
      <c r="S8484" t="s">
        <v>824</v>
      </c>
      <c r="T8484">
        <v>41</v>
      </c>
      <c r="U8484" s="26" t="str">
        <f t="shared" si="308"/>
        <v>2025.002G.Monodnaviria_reorg_4nr.zip</v>
      </c>
    </row>
    <row r="8485" spans="1:21">
      <c r="A8485">
        <v>8484</v>
      </c>
      <c r="B8485" s="27" t="s">
        <v>20779</v>
      </c>
      <c r="D8485" s="27" t="s">
        <v>1826</v>
      </c>
      <c r="F8485" s="27" t="s">
        <v>1844</v>
      </c>
      <c r="H8485" s="27" t="s">
        <v>1853</v>
      </c>
      <c r="J8485" s="27" t="s">
        <v>1854</v>
      </c>
      <c r="L8485" s="27" t="s">
        <v>461</v>
      </c>
      <c r="N8485" s="27" t="s">
        <v>462</v>
      </c>
      <c r="P8485" s="27" t="s">
        <v>13133</v>
      </c>
      <c r="Q8485" s="26" t="str">
        <f>HYPERLINK("https://ictv.global/taxonomy/taxondetails?taxnode_id=202503355&amp;ictv_id=ICTV20083928","ICTV20083928")</f>
        <v>ICTV20083928</v>
      </c>
      <c r="R8485" t="s">
        <v>660</v>
      </c>
      <c r="S8485" t="s">
        <v>824</v>
      </c>
      <c r="T8485">
        <v>41</v>
      </c>
      <c r="U8485" s="26" t="str">
        <f t="shared" si="308"/>
        <v>2025.002G.Monodnaviria_reorg_4nr.zip</v>
      </c>
    </row>
    <row r="8486" spans="1:21">
      <c r="A8486">
        <v>8485</v>
      </c>
      <c r="B8486" s="27" t="s">
        <v>20779</v>
      </c>
      <c r="D8486" s="27" t="s">
        <v>1826</v>
      </c>
      <c r="F8486" s="27" t="s">
        <v>1844</v>
      </c>
      <c r="H8486" s="27" t="s">
        <v>1853</v>
      </c>
      <c r="J8486" s="27" t="s">
        <v>1854</v>
      </c>
      <c r="L8486" s="27" t="s">
        <v>461</v>
      </c>
      <c r="N8486" s="27" t="s">
        <v>462</v>
      </c>
      <c r="P8486" s="27" t="s">
        <v>13134</v>
      </c>
      <c r="Q8486" s="26" t="str">
        <f>HYPERLINK("https://ictv.global/taxonomy/taxondetails?taxnode_id=202503353&amp;ictv_id=ICTV20152845","ICTV20152845")</f>
        <v>ICTV20152845</v>
      </c>
      <c r="R8486" t="s">
        <v>660</v>
      </c>
      <c r="S8486" t="s">
        <v>824</v>
      </c>
      <c r="T8486">
        <v>41</v>
      </c>
      <c r="U8486" s="26" t="str">
        <f t="shared" si="308"/>
        <v>2025.002G.Monodnaviria_reorg_4nr.zip</v>
      </c>
    </row>
    <row r="8487" spans="1:21">
      <c r="A8487">
        <v>8486</v>
      </c>
      <c r="B8487" s="27" t="s">
        <v>20779</v>
      </c>
      <c r="D8487" s="27" t="s">
        <v>1826</v>
      </c>
      <c r="F8487" s="27" t="s">
        <v>1844</v>
      </c>
      <c r="H8487" s="27" t="s">
        <v>1853</v>
      </c>
      <c r="J8487" s="27" t="s">
        <v>1854</v>
      </c>
      <c r="L8487" s="27" t="s">
        <v>461</v>
      </c>
      <c r="N8487" s="27" t="s">
        <v>462</v>
      </c>
      <c r="P8487" s="27" t="s">
        <v>13135</v>
      </c>
      <c r="Q8487" s="26" t="str">
        <f>HYPERLINK("https://ictv.global/taxonomy/taxondetails?taxnode_id=202503354&amp;ictv_id=ICTV20131946","ICTV20131946")</f>
        <v>ICTV20131946</v>
      </c>
      <c r="R8487" t="s">
        <v>660</v>
      </c>
      <c r="S8487" t="s">
        <v>824</v>
      </c>
      <c r="T8487">
        <v>41</v>
      </c>
      <c r="U8487" s="26" t="str">
        <f t="shared" si="308"/>
        <v>2025.002G.Monodnaviria_reorg_4nr.zip</v>
      </c>
    </row>
    <row r="8488" spans="1:21">
      <c r="A8488">
        <v>8487</v>
      </c>
      <c r="B8488" s="27" t="s">
        <v>20779</v>
      </c>
      <c r="D8488" s="27" t="s">
        <v>1826</v>
      </c>
      <c r="F8488" s="27" t="s">
        <v>1844</v>
      </c>
      <c r="H8488" s="27" t="s">
        <v>1853</v>
      </c>
      <c r="J8488" s="27" t="s">
        <v>1854</v>
      </c>
      <c r="L8488" s="27" t="s">
        <v>461</v>
      </c>
      <c r="N8488" s="27" t="s">
        <v>462</v>
      </c>
      <c r="P8488" s="27" t="s">
        <v>13136</v>
      </c>
      <c r="Q8488" s="26" t="str">
        <f>HYPERLINK("https://ictv.global/taxonomy/taxondetails?taxnode_id=202503352&amp;ictv_id=ICTV20131945","ICTV20131945")</f>
        <v>ICTV20131945</v>
      </c>
      <c r="R8488" t="s">
        <v>660</v>
      </c>
      <c r="S8488" t="s">
        <v>824</v>
      </c>
      <c r="T8488">
        <v>41</v>
      </c>
      <c r="U8488" s="26" t="str">
        <f t="shared" si="308"/>
        <v>2025.002G.Monodnaviria_reorg_4nr.zip</v>
      </c>
    </row>
    <row r="8489" spans="1:21">
      <c r="A8489">
        <v>8488</v>
      </c>
      <c r="B8489" s="27" t="s">
        <v>20779</v>
      </c>
      <c r="D8489" s="27" t="s">
        <v>1826</v>
      </c>
      <c r="F8489" s="27" t="s">
        <v>1844</v>
      </c>
      <c r="H8489" s="27" t="s">
        <v>1853</v>
      </c>
      <c r="J8489" s="27" t="s">
        <v>1854</v>
      </c>
      <c r="L8489" s="27" t="s">
        <v>461</v>
      </c>
      <c r="N8489" s="27" t="s">
        <v>462</v>
      </c>
      <c r="P8489" s="27" t="s">
        <v>13137</v>
      </c>
      <c r="Q8489" s="26" t="str">
        <f>HYPERLINK("https://ictv.global/taxonomy/taxondetails?taxnode_id=202503356&amp;ictv_id=ICTV20041172","ICTV20041172")</f>
        <v>ICTV20041172</v>
      </c>
      <c r="R8489" t="s">
        <v>660</v>
      </c>
      <c r="S8489" t="s">
        <v>824</v>
      </c>
      <c r="T8489">
        <v>41</v>
      </c>
      <c r="U8489" s="26" t="str">
        <f t="shared" si="308"/>
        <v>2025.002G.Monodnaviria_reorg_4nr.zip</v>
      </c>
    </row>
    <row r="8490" spans="1:21">
      <c r="A8490">
        <v>8489</v>
      </c>
      <c r="B8490" s="27" t="s">
        <v>20779</v>
      </c>
      <c r="D8490" s="27" t="s">
        <v>1826</v>
      </c>
      <c r="F8490" s="27" t="s">
        <v>1844</v>
      </c>
      <c r="H8490" s="27" t="s">
        <v>1853</v>
      </c>
      <c r="J8490" s="27" t="s">
        <v>1854</v>
      </c>
      <c r="L8490" s="27" t="s">
        <v>461</v>
      </c>
      <c r="N8490" s="27" t="s">
        <v>462</v>
      </c>
      <c r="P8490" s="27" t="s">
        <v>13138</v>
      </c>
      <c r="Q8490" s="26" t="str">
        <f>HYPERLINK("https://ictv.global/taxonomy/taxondetails?taxnode_id=202503359&amp;ictv_id=ICTV20131948","ICTV20131948")</f>
        <v>ICTV20131948</v>
      </c>
      <c r="R8490" t="s">
        <v>660</v>
      </c>
      <c r="S8490" t="s">
        <v>824</v>
      </c>
      <c r="T8490">
        <v>41</v>
      </c>
      <c r="U8490" s="26" t="str">
        <f t="shared" si="308"/>
        <v>2025.002G.Monodnaviria_reorg_4nr.zip</v>
      </c>
    </row>
    <row r="8491" spans="1:21">
      <c r="A8491">
        <v>8490</v>
      </c>
      <c r="B8491" s="27" t="s">
        <v>20779</v>
      </c>
      <c r="D8491" s="27" t="s">
        <v>1826</v>
      </c>
      <c r="F8491" s="27" t="s">
        <v>1844</v>
      </c>
      <c r="H8491" s="27" t="s">
        <v>1853</v>
      </c>
      <c r="J8491" s="27" t="s">
        <v>1854</v>
      </c>
      <c r="L8491" s="27" t="s">
        <v>461</v>
      </c>
      <c r="N8491" s="27" t="s">
        <v>462</v>
      </c>
      <c r="P8491" s="27" t="s">
        <v>13139</v>
      </c>
      <c r="Q8491" s="26" t="str">
        <f>HYPERLINK("https://ictv.global/taxonomy/taxondetails?taxnode_id=202509133&amp;ictv_id=ICTV202009133","ICTV202009133")</f>
        <v>ICTV202009133</v>
      </c>
      <c r="R8491" t="s">
        <v>660</v>
      </c>
      <c r="S8491" t="s">
        <v>824</v>
      </c>
      <c r="T8491">
        <v>41</v>
      </c>
      <c r="U8491" s="26" t="str">
        <f t="shared" si="308"/>
        <v>2025.002G.Monodnaviria_reorg_4nr.zip</v>
      </c>
    </row>
    <row r="8492" spans="1:21">
      <c r="A8492">
        <v>8491</v>
      </c>
      <c r="B8492" s="27" t="s">
        <v>20779</v>
      </c>
      <c r="D8492" s="27" t="s">
        <v>1826</v>
      </c>
      <c r="F8492" s="27" t="s">
        <v>1844</v>
      </c>
      <c r="H8492" s="27" t="s">
        <v>1853</v>
      </c>
      <c r="J8492" s="27" t="s">
        <v>1854</v>
      </c>
      <c r="L8492" s="27" t="s">
        <v>461</v>
      </c>
      <c r="N8492" s="27" t="s">
        <v>462</v>
      </c>
      <c r="P8492" s="27" t="s">
        <v>13140</v>
      </c>
      <c r="Q8492" s="26" t="str">
        <f>HYPERLINK("https://ictv.global/taxonomy/taxondetails?taxnode_id=202503358&amp;ictv_id=ICTV20131947","ICTV20131947")</f>
        <v>ICTV20131947</v>
      </c>
      <c r="R8492" t="s">
        <v>660</v>
      </c>
      <c r="S8492" t="s">
        <v>824</v>
      </c>
      <c r="T8492">
        <v>41</v>
      </c>
      <c r="U8492" s="26" t="str">
        <f t="shared" si="308"/>
        <v>2025.002G.Monodnaviria_reorg_4nr.zip</v>
      </c>
    </row>
    <row r="8493" spans="1:21">
      <c r="A8493">
        <v>8492</v>
      </c>
      <c r="B8493" s="27" t="s">
        <v>20779</v>
      </c>
      <c r="D8493" s="27" t="s">
        <v>1826</v>
      </c>
      <c r="F8493" s="27" t="s">
        <v>1844</v>
      </c>
      <c r="H8493" s="27" t="s">
        <v>1853</v>
      </c>
      <c r="J8493" s="27" t="s">
        <v>1854</v>
      </c>
      <c r="L8493" s="27" t="s">
        <v>461</v>
      </c>
      <c r="N8493" s="27" t="s">
        <v>462</v>
      </c>
      <c r="P8493" s="27" t="s">
        <v>13141</v>
      </c>
      <c r="Q8493" s="26" t="str">
        <f>HYPERLINK("https://ictv.global/taxonomy/taxondetails?taxnode_id=202503361&amp;ictv_id=ICTV20041173","ICTV20041173")</f>
        <v>ICTV20041173</v>
      </c>
      <c r="R8493" t="s">
        <v>660</v>
      </c>
      <c r="S8493" t="s">
        <v>824</v>
      </c>
      <c r="T8493">
        <v>41</v>
      </c>
      <c r="U8493" s="26" t="str">
        <f t="shared" si="308"/>
        <v>2025.002G.Monodnaviria_reorg_4nr.zip</v>
      </c>
    </row>
    <row r="8494" spans="1:21">
      <c r="A8494">
        <v>8493</v>
      </c>
      <c r="B8494" s="27" t="s">
        <v>20779</v>
      </c>
      <c r="D8494" s="27" t="s">
        <v>1826</v>
      </c>
      <c r="F8494" s="27" t="s">
        <v>1844</v>
      </c>
      <c r="H8494" s="27" t="s">
        <v>1853</v>
      </c>
      <c r="J8494" s="27" t="s">
        <v>1854</v>
      </c>
      <c r="L8494" s="27" t="s">
        <v>461</v>
      </c>
      <c r="N8494" s="27" t="s">
        <v>462</v>
      </c>
      <c r="P8494" s="27" t="s">
        <v>13142</v>
      </c>
      <c r="Q8494" s="26" t="str">
        <f>HYPERLINK("https://ictv.global/taxonomy/taxondetails?taxnode_id=202503360&amp;ictv_id=ICTV20083932","ICTV20083932")</f>
        <v>ICTV20083932</v>
      </c>
      <c r="R8494" t="s">
        <v>660</v>
      </c>
      <c r="S8494" t="s">
        <v>824</v>
      </c>
      <c r="T8494">
        <v>41</v>
      </c>
      <c r="U8494" s="26" t="str">
        <f t="shared" si="308"/>
        <v>2025.002G.Monodnaviria_reorg_4nr.zip</v>
      </c>
    </row>
    <row r="8495" spans="1:21">
      <c r="A8495">
        <v>8494</v>
      </c>
      <c r="B8495" s="27" t="s">
        <v>20779</v>
      </c>
      <c r="D8495" s="27" t="s">
        <v>1826</v>
      </c>
      <c r="F8495" s="27" t="s">
        <v>1844</v>
      </c>
      <c r="H8495" s="27" t="s">
        <v>1853</v>
      </c>
      <c r="J8495" s="27" t="s">
        <v>1854</v>
      </c>
      <c r="L8495" s="27" t="s">
        <v>461</v>
      </c>
      <c r="N8495" s="27" t="s">
        <v>462</v>
      </c>
      <c r="P8495" s="27" t="s">
        <v>13143</v>
      </c>
      <c r="Q8495" s="26" t="str">
        <f>HYPERLINK("https://ictv.global/taxonomy/taxondetails?taxnode_id=202503357&amp;ictv_id=ICTV20083930","ICTV20083930")</f>
        <v>ICTV20083930</v>
      </c>
      <c r="R8495" t="s">
        <v>660</v>
      </c>
      <c r="S8495" t="s">
        <v>824</v>
      </c>
      <c r="T8495">
        <v>41</v>
      </c>
      <c r="U8495" s="26" t="str">
        <f t="shared" si="308"/>
        <v>2025.002G.Monodnaviria_reorg_4nr.zip</v>
      </c>
    </row>
    <row r="8496" spans="1:21">
      <c r="A8496">
        <v>8495</v>
      </c>
      <c r="B8496" s="27" t="s">
        <v>20779</v>
      </c>
      <c r="D8496" s="27" t="s">
        <v>1826</v>
      </c>
      <c r="F8496" s="27" t="s">
        <v>1844</v>
      </c>
      <c r="H8496" s="27" t="s">
        <v>1853</v>
      </c>
      <c r="J8496" s="27" t="s">
        <v>1854</v>
      </c>
      <c r="L8496" s="27" t="s">
        <v>461</v>
      </c>
      <c r="N8496" s="27" t="s">
        <v>462</v>
      </c>
      <c r="P8496" s="27" t="s">
        <v>13144</v>
      </c>
      <c r="Q8496" s="26" t="str">
        <f>HYPERLINK("https://ictv.global/taxonomy/taxondetails?taxnode_id=202505825&amp;ictv_id=ICTV20175825","ICTV20175825")</f>
        <v>ICTV20175825</v>
      </c>
      <c r="R8496" t="s">
        <v>660</v>
      </c>
      <c r="S8496" t="s">
        <v>824</v>
      </c>
      <c r="T8496">
        <v>41</v>
      </c>
      <c r="U8496" s="26" t="str">
        <f t="shared" si="308"/>
        <v>2025.002G.Monodnaviria_reorg_4nr.zip</v>
      </c>
    </row>
    <row r="8497" spans="1:21">
      <c r="A8497">
        <v>8496</v>
      </c>
      <c r="B8497" s="27" t="s">
        <v>20779</v>
      </c>
      <c r="D8497" s="27" t="s">
        <v>1826</v>
      </c>
      <c r="F8497" s="27" t="s">
        <v>1844</v>
      </c>
      <c r="H8497" s="27" t="s">
        <v>1853</v>
      </c>
      <c r="J8497" s="27" t="s">
        <v>1854</v>
      </c>
      <c r="L8497" s="27" t="s">
        <v>461</v>
      </c>
      <c r="N8497" s="27" t="s">
        <v>462</v>
      </c>
      <c r="P8497" s="27" t="s">
        <v>20078</v>
      </c>
      <c r="Q8497" s="26" t="str">
        <f>HYPERLINK("https://ictv.global/taxonomy/taxondetails?taxnode_id=202520484&amp;ictv_id=ICTV202420484","ICTV202420484")</f>
        <v>ICTV202420484</v>
      </c>
      <c r="R8497" t="s">
        <v>582</v>
      </c>
      <c r="S8497" t="s">
        <v>824</v>
      </c>
      <c r="T8497">
        <v>41</v>
      </c>
      <c r="U8497" s="26" t="str">
        <f t="shared" si="308"/>
        <v>2025.002G.Monodnaviria_reorg_4nr.zip</v>
      </c>
    </row>
    <row r="8498" spans="1:21">
      <c r="A8498">
        <v>8497</v>
      </c>
      <c r="B8498" s="27" t="s">
        <v>20779</v>
      </c>
      <c r="D8498" s="27" t="s">
        <v>1826</v>
      </c>
      <c r="F8498" s="27" t="s">
        <v>1844</v>
      </c>
      <c r="H8498" s="27" t="s">
        <v>1853</v>
      </c>
      <c r="J8498" s="27" t="s">
        <v>1854</v>
      </c>
      <c r="L8498" s="27" t="s">
        <v>461</v>
      </c>
      <c r="N8498" s="27" t="s">
        <v>462</v>
      </c>
      <c r="P8498" s="27" t="s">
        <v>13145</v>
      </c>
      <c r="Q8498" s="26" t="str">
        <f>HYPERLINK("https://ictv.global/taxonomy/taxondetails?taxnode_id=202509132&amp;ictv_id=ICTV202009132","ICTV202009132")</f>
        <v>ICTV202009132</v>
      </c>
      <c r="R8498" t="s">
        <v>660</v>
      </c>
      <c r="S8498" t="s">
        <v>824</v>
      </c>
      <c r="T8498">
        <v>41</v>
      </c>
      <c r="U8498" s="26" t="str">
        <f t="shared" si="308"/>
        <v>2025.002G.Monodnaviria_reorg_4nr.zip</v>
      </c>
    </row>
    <row r="8499" spans="1:21">
      <c r="A8499">
        <v>8498</v>
      </c>
      <c r="B8499" s="27" t="s">
        <v>20779</v>
      </c>
      <c r="D8499" s="27" t="s">
        <v>1826</v>
      </c>
      <c r="F8499" s="27" t="s">
        <v>1844</v>
      </c>
      <c r="H8499" s="27" t="s">
        <v>1853</v>
      </c>
      <c r="J8499" s="27" t="s">
        <v>1854</v>
      </c>
      <c r="L8499" s="27" t="s">
        <v>461</v>
      </c>
      <c r="N8499" s="27" t="s">
        <v>462</v>
      </c>
      <c r="P8499" s="27" t="s">
        <v>13146</v>
      </c>
      <c r="Q8499" s="26" t="str">
        <f>HYPERLINK("https://ictv.global/taxonomy/taxondetails?taxnode_id=202503345&amp;ictv_id=ICTV20083926","ICTV20083926")</f>
        <v>ICTV20083926</v>
      </c>
      <c r="R8499" t="s">
        <v>660</v>
      </c>
      <c r="S8499" t="s">
        <v>824</v>
      </c>
      <c r="T8499">
        <v>41</v>
      </c>
      <c r="U8499" s="26" t="str">
        <f t="shared" si="308"/>
        <v>2025.002G.Monodnaviria_reorg_4nr.zip</v>
      </c>
    </row>
    <row r="8500" spans="1:21">
      <c r="A8500">
        <v>8499</v>
      </c>
      <c r="B8500" s="27" t="s">
        <v>20779</v>
      </c>
      <c r="D8500" s="27" t="s">
        <v>1826</v>
      </c>
      <c r="F8500" s="27" t="s">
        <v>1844</v>
      </c>
      <c r="H8500" s="27" t="s">
        <v>1853</v>
      </c>
      <c r="J8500" s="27" t="s">
        <v>1854</v>
      </c>
      <c r="L8500" s="27" t="s">
        <v>461</v>
      </c>
      <c r="N8500" s="27" t="s">
        <v>462</v>
      </c>
      <c r="P8500" s="27" t="s">
        <v>13147</v>
      </c>
      <c r="Q8500" s="26" t="str">
        <f>HYPERLINK("https://ictv.global/taxonomy/taxondetails?taxnode_id=202505824&amp;ictv_id=ICTV20175824","ICTV20175824")</f>
        <v>ICTV20175824</v>
      </c>
      <c r="R8500" t="s">
        <v>660</v>
      </c>
      <c r="S8500" t="s">
        <v>824</v>
      </c>
      <c r="T8500">
        <v>41</v>
      </c>
      <c r="U8500" s="26" t="str">
        <f t="shared" si="308"/>
        <v>2025.002G.Monodnaviria_reorg_4nr.zip</v>
      </c>
    </row>
    <row r="8501" spans="1:21">
      <c r="A8501">
        <v>8500</v>
      </c>
      <c r="B8501" s="27" t="s">
        <v>20779</v>
      </c>
      <c r="D8501" s="27" t="s">
        <v>1826</v>
      </c>
      <c r="F8501" s="27" t="s">
        <v>1844</v>
      </c>
      <c r="H8501" s="27" t="s">
        <v>1853</v>
      </c>
      <c r="J8501" s="27" t="s">
        <v>1854</v>
      </c>
      <c r="L8501" s="27" t="s">
        <v>461</v>
      </c>
      <c r="N8501" s="27" t="s">
        <v>462</v>
      </c>
      <c r="P8501" s="27" t="s">
        <v>13148</v>
      </c>
      <c r="Q8501" s="26" t="str">
        <f>HYPERLINK("https://ictv.global/taxonomy/taxondetails?taxnode_id=202509131&amp;ictv_id=ICTV202009131","ICTV202009131")</f>
        <v>ICTV202009131</v>
      </c>
      <c r="R8501" t="s">
        <v>660</v>
      </c>
      <c r="S8501" t="s">
        <v>824</v>
      </c>
      <c r="T8501">
        <v>41</v>
      </c>
      <c r="U8501" s="26" t="str">
        <f t="shared" si="308"/>
        <v>2025.002G.Monodnaviria_reorg_4nr.zip</v>
      </c>
    </row>
    <row r="8502" spans="1:21">
      <c r="A8502">
        <v>8501</v>
      </c>
      <c r="B8502" s="27" t="s">
        <v>20779</v>
      </c>
      <c r="D8502" s="27" t="s">
        <v>1826</v>
      </c>
      <c r="F8502" s="27" t="s">
        <v>1844</v>
      </c>
      <c r="H8502" s="27" t="s">
        <v>1853</v>
      </c>
      <c r="J8502" s="27" t="s">
        <v>1854</v>
      </c>
      <c r="L8502" s="27" t="s">
        <v>461</v>
      </c>
      <c r="N8502" s="27" t="s">
        <v>462</v>
      </c>
      <c r="P8502" s="27" t="s">
        <v>13149</v>
      </c>
      <c r="Q8502" s="26" t="str">
        <f>HYPERLINK("https://ictv.global/taxonomy/taxondetails?taxnode_id=202505826&amp;ictv_id=ICTV20175826","ICTV20175826")</f>
        <v>ICTV20175826</v>
      </c>
      <c r="R8502" t="s">
        <v>660</v>
      </c>
      <c r="S8502" t="s">
        <v>824</v>
      </c>
      <c r="T8502">
        <v>41</v>
      </c>
      <c r="U8502" s="26" t="str">
        <f t="shared" si="308"/>
        <v>2025.002G.Monodnaviria_reorg_4nr.zip</v>
      </c>
    </row>
    <row r="8503" spans="1:21">
      <c r="A8503">
        <v>8502</v>
      </c>
      <c r="B8503" s="27" t="s">
        <v>20779</v>
      </c>
      <c r="D8503" s="27" t="s">
        <v>1826</v>
      </c>
      <c r="F8503" s="27" t="s">
        <v>1844</v>
      </c>
      <c r="H8503" s="27" t="s">
        <v>1853</v>
      </c>
      <c r="J8503" s="27" t="s">
        <v>1854</v>
      </c>
      <c r="L8503" s="27" t="s">
        <v>461</v>
      </c>
      <c r="N8503" s="27" t="s">
        <v>462</v>
      </c>
      <c r="P8503" s="27" t="s">
        <v>13150</v>
      </c>
      <c r="Q8503" s="26" t="str">
        <f>HYPERLINK("https://ictv.global/taxonomy/taxondetails?taxnode_id=202503349&amp;ictv_id=ICTV20131943","ICTV20131943")</f>
        <v>ICTV20131943</v>
      </c>
      <c r="R8503" t="s">
        <v>660</v>
      </c>
      <c r="S8503" t="s">
        <v>824</v>
      </c>
      <c r="T8503">
        <v>41</v>
      </c>
      <c r="U8503" s="26" t="str">
        <f t="shared" si="308"/>
        <v>2025.002G.Monodnaviria_reorg_4nr.zip</v>
      </c>
    </row>
    <row r="8504" spans="1:21">
      <c r="A8504">
        <v>8503</v>
      </c>
      <c r="B8504" s="27" t="s">
        <v>20779</v>
      </c>
      <c r="D8504" s="27" t="s">
        <v>1826</v>
      </c>
      <c r="F8504" s="27" t="s">
        <v>1844</v>
      </c>
      <c r="H8504" s="27" t="s">
        <v>1853</v>
      </c>
      <c r="J8504" s="27" t="s">
        <v>1854</v>
      </c>
      <c r="L8504" s="27" t="s">
        <v>461</v>
      </c>
      <c r="N8504" s="27" t="s">
        <v>462</v>
      </c>
      <c r="P8504" s="27" t="s">
        <v>13151</v>
      </c>
      <c r="Q8504" s="26" t="str">
        <f>HYPERLINK("https://ictv.global/taxonomy/taxondetails?taxnode_id=202503362&amp;ictv_id=ICTV20152846","ICTV20152846")</f>
        <v>ICTV20152846</v>
      </c>
      <c r="R8504" t="s">
        <v>660</v>
      </c>
      <c r="S8504" t="s">
        <v>824</v>
      </c>
      <c r="T8504">
        <v>41</v>
      </c>
      <c r="U8504" s="26" t="str">
        <f t="shared" si="308"/>
        <v>2025.002G.Monodnaviria_reorg_4nr.zip</v>
      </c>
    </row>
    <row r="8505" spans="1:21">
      <c r="A8505">
        <v>8504</v>
      </c>
      <c r="B8505" s="27" t="s">
        <v>20779</v>
      </c>
      <c r="D8505" s="27" t="s">
        <v>1826</v>
      </c>
      <c r="F8505" s="27" t="s">
        <v>1844</v>
      </c>
      <c r="H8505" s="27" t="s">
        <v>1853</v>
      </c>
      <c r="J8505" s="27" t="s">
        <v>1854</v>
      </c>
      <c r="L8505" s="27" t="s">
        <v>461</v>
      </c>
      <c r="N8505" s="27" t="s">
        <v>462</v>
      </c>
      <c r="P8505" s="27" t="s">
        <v>13152</v>
      </c>
      <c r="Q8505" s="26" t="str">
        <f>HYPERLINK("https://ictv.global/taxonomy/taxondetails?taxnode_id=202503335&amp;ictv_id=ICTV20131936","ICTV20131936")</f>
        <v>ICTV20131936</v>
      </c>
      <c r="R8505" t="s">
        <v>660</v>
      </c>
      <c r="S8505" t="s">
        <v>824</v>
      </c>
      <c r="T8505">
        <v>41</v>
      </c>
      <c r="U8505" s="26" t="str">
        <f t="shared" si="308"/>
        <v>2025.002G.Monodnaviria_reorg_4nr.zip</v>
      </c>
    </row>
    <row r="8506" spans="1:21">
      <c r="A8506">
        <v>8505</v>
      </c>
      <c r="B8506" s="27" t="s">
        <v>20779</v>
      </c>
      <c r="D8506" s="27" t="s">
        <v>1826</v>
      </c>
      <c r="F8506" s="27" t="s">
        <v>1844</v>
      </c>
      <c r="H8506" s="27" t="s">
        <v>1853</v>
      </c>
      <c r="J8506" s="27" t="s">
        <v>1854</v>
      </c>
      <c r="L8506" s="27" t="s">
        <v>461</v>
      </c>
      <c r="N8506" s="27" t="s">
        <v>462</v>
      </c>
      <c r="P8506" s="27" t="s">
        <v>13153</v>
      </c>
      <c r="Q8506" s="26" t="str">
        <f>HYPERLINK("https://ictv.global/taxonomy/taxondetails?taxnode_id=202503336&amp;ictv_id=ICTV20152843","ICTV20152843")</f>
        <v>ICTV20152843</v>
      </c>
      <c r="R8506" t="s">
        <v>660</v>
      </c>
      <c r="S8506" t="s">
        <v>824</v>
      </c>
      <c r="T8506">
        <v>41</v>
      </c>
      <c r="U8506" s="26" t="str">
        <f t="shared" si="308"/>
        <v>2025.002G.Monodnaviria_reorg_4nr.zip</v>
      </c>
    </row>
    <row r="8507" spans="1:21">
      <c r="A8507">
        <v>8506</v>
      </c>
      <c r="B8507" s="27" t="s">
        <v>20779</v>
      </c>
      <c r="D8507" s="27" t="s">
        <v>1826</v>
      </c>
      <c r="F8507" s="27" t="s">
        <v>1844</v>
      </c>
      <c r="H8507" s="27" t="s">
        <v>1853</v>
      </c>
      <c r="J8507" s="27" t="s">
        <v>1854</v>
      </c>
      <c r="L8507" s="27" t="s">
        <v>461</v>
      </c>
      <c r="N8507" s="27" t="s">
        <v>462</v>
      </c>
      <c r="P8507" s="27" t="s">
        <v>13154</v>
      </c>
      <c r="Q8507" s="26" t="str">
        <f>HYPERLINK("https://ictv.global/taxonomy/taxondetails?taxnode_id=202503337&amp;ictv_id=ICTV20131937","ICTV20131937")</f>
        <v>ICTV20131937</v>
      </c>
      <c r="R8507" t="s">
        <v>660</v>
      </c>
      <c r="S8507" t="s">
        <v>824</v>
      </c>
      <c r="T8507">
        <v>41</v>
      </c>
      <c r="U8507" s="26" t="str">
        <f t="shared" si="308"/>
        <v>2025.002G.Monodnaviria_reorg_4nr.zip</v>
      </c>
    </row>
    <row r="8508" spans="1:21">
      <c r="A8508">
        <v>8507</v>
      </c>
      <c r="B8508" s="27" t="s">
        <v>20779</v>
      </c>
      <c r="D8508" s="27" t="s">
        <v>1826</v>
      </c>
      <c r="F8508" s="27" t="s">
        <v>1844</v>
      </c>
      <c r="H8508" s="27" t="s">
        <v>1853</v>
      </c>
      <c r="J8508" s="27" t="s">
        <v>1854</v>
      </c>
      <c r="L8508" s="27" t="s">
        <v>461</v>
      </c>
      <c r="N8508" s="27" t="s">
        <v>462</v>
      </c>
      <c r="P8508" s="27" t="s">
        <v>13155</v>
      </c>
      <c r="Q8508" s="26" t="str">
        <f>HYPERLINK("https://ictv.global/taxonomy/taxondetails?taxnode_id=202503338&amp;ictv_id=ICTV20041166","ICTV20041166")</f>
        <v>ICTV20041166</v>
      </c>
      <c r="R8508" t="s">
        <v>660</v>
      </c>
      <c r="S8508" t="s">
        <v>824</v>
      </c>
      <c r="T8508">
        <v>41</v>
      </c>
      <c r="U8508" s="26" t="str">
        <f t="shared" si="308"/>
        <v>2025.002G.Monodnaviria_reorg_4nr.zip</v>
      </c>
    </row>
    <row r="8509" spans="1:21">
      <c r="A8509">
        <v>8508</v>
      </c>
      <c r="B8509" s="27" t="s">
        <v>20779</v>
      </c>
      <c r="D8509" s="27" t="s">
        <v>1826</v>
      </c>
      <c r="F8509" s="27" t="s">
        <v>1844</v>
      </c>
      <c r="H8509" s="27" t="s">
        <v>1853</v>
      </c>
      <c r="J8509" s="27" t="s">
        <v>1854</v>
      </c>
      <c r="L8509" s="27" t="s">
        <v>461</v>
      </c>
      <c r="N8509" s="27" t="s">
        <v>462</v>
      </c>
      <c r="P8509" s="27" t="s">
        <v>13156</v>
      </c>
      <c r="Q8509" s="26" t="str">
        <f>HYPERLINK("https://ictv.global/taxonomy/taxondetails?taxnode_id=202503341&amp;ictv_id=ICTV19950992","ICTV19950992")</f>
        <v>ICTV19950992</v>
      </c>
      <c r="R8509" t="s">
        <v>660</v>
      </c>
      <c r="S8509" t="s">
        <v>824</v>
      </c>
      <c r="T8509">
        <v>41</v>
      </c>
      <c r="U8509" s="26" t="str">
        <f t="shared" si="308"/>
        <v>2025.002G.Monodnaviria_reorg_4nr.zip</v>
      </c>
    </row>
    <row r="8510" spans="1:21">
      <c r="A8510">
        <v>8509</v>
      </c>
      <c r="B8510" s="27" t="s">
        <v>20779</v>
      </c>
      <c r="D8510" s="27" t="s">
        <v>1826</v>
      </c>
      <c r="F8510" s="27" t="s">
        <v>1844</v>
      </c>
      <c r="H8510" s="27" t="s">
        <v>1853</v>
      </c>
      <c r="J8510" s="27" t="s">
        <v>1854</v>
      </c>
      <c r="L8510" s="27" t="s">
        <v>461</v>
      </c>
      <c r="N8510" s="27" t="s">
        <v>462</v>
      </c>
      <c r="P8510" s="27" t="s">
        <v>13157</v>
      </c>
      <c r="Q8510" s="26" t="str">
        <f>HYPERLINK("https://ictv.global/taxonomy/taxondetails?taxnode_id=202503339&amp;ictv_id=ICTV20041167","ICTV20041167")</f>
        <v>ICTV20041167</v>
      </c>
      <c r="R8510" t="s">
        <v>660</v>
      </c>
      <c r="S8510" t="s">
        <v>824</v>
      </c>
      <c r="T8510">
        <v>41</v>
      </c>
      <c r="U8510" s="26" t="str">
        <f t="shared" si="308"/>
        <v>2025.002G.Monodnaviria_reorg_4nr.zip</v>
      </c>
    </row>
    <row r="8511" spans="1:21">
      <c r="A8511">
        <v>8510</v>
      </c>
      <c r="B8511" s="27" t="s">
        <v>20779</v>
      </c>
      <c r="D8511" s="27" t="s">
        <v>1826</v>
      </c>
      <c r="F8511" s="27" t="s">
        <v>1844</v>
      </c>
      <c r="H8511" s="27" t="s">
        <v>1853</v>
      </c>
      <c r="J8511" s="27" t="s">
        <v>1854</v>
      </c>
      <c r="L8511" s="27" t="s">
        <v>461</v>
      </c>
      <c r="N8511" s="27" t="s">
        <v>462</v>
      </c>
      <c r="P8511" s="27" t="s">
        <v>13158</v>
      </c>
      <c r="Q8511" s="26" t="str">
        <f>HYPERLINK("https://ictv.global/taxonomy/taxondetails?taxnode_id=202503340&amp;ictv_id=ICTV20152844","ICTV20152844")</f>
        <v>ICTV20152844</v>
      </c>
      <c r="R8511" t="s">
        <v>660</v>
      </c>
      <c r="S8511" t="s">
        <v>824</v>
      </c>
      <c r="T8511">
        <v>41</v>
      </c>
      <c r="U8511" s="26" t="str">
        <f t="shared" si="308"/>
        <v>2025.002G.Monodnaviria_reorg_4nr.zip</v>
      </c>
    </row>
    <row r="8512" spans="1:21">
      <c r="A8512">
        <v>8511</v>
      </c>
      <c r="B8512" s="27" t="s">
        <v>20779</v>
      </c>
      <c r="D8512" s="27" t="s">
        <v>1826</v>
      </c>
      <c r="F8512" s="27" t="s">
        <v>1844</v>
      </c>
      <c r="H8512" s="27" t="s">
        <v>1853</v>
      </c>
      <c r="J8512" s="27" t="s">
        <v>1854</v>
      </c>
      <c r="L8512" s="27" t="s">
        <v>461</v>
      </c>
      <c r="N8512" s="27" t="s">
        <v>462</v>
      </c>
      <c r="P8512" s="27" t="s">
        <v>13159</v>
      </c>
      <c r="Q8512" s="26" t="str">
        <f>HYPERLINK("https://ictv.global/taxonomy/taxondetails?taxnode_id=202505828&amp;ictv_id=ICTV20175828","ICTV20175828")</f>
        <v>ICTV20175828</v>
      </c>
      <c r="R8512" t="s">
        <v>660</v>
      </c>
      <c r="S8512" t="s">
        <v>824</v>
      </c>
      <c r="T8512">
        <v>41</v>
      </c>
      <c r="U8512" s="26" t="str">
        <f t="shared" si="308"/>
        <v>2025.002G.Monodnaviria_reorg_4nr.zip</v>
      </c>
    </row>
    <row r="8513" spans="1:21">
      <c r="A8513">
        <v>8512</v>
      </c>
      <c r="B8513" s="27" t="s">
        <v>20779</v>
      </c>
      <c r="D8513" s="27" t="s">
        <v>1826</v>
      </c>
      <c r="F8513" s="27" t="s">
        <v>1844</v>
      </c>
      <c r="H8513" s="27" t="s">
        <v>1853</v>
      </c>
      <c r="J8513" s="27" t="s">
        <v>1854</v>
      </c>
      <c r="L8513" s="27" t="s">
        <v>461</v>
      </c>
      <c r="N8513" s="27" t="s">
        <v>462</v>
      </c>
      <c r="P8513" s="27" t="s">
        <v>13160</v>
      </c>
      <c r="Q8513" s="26" t="str">
        <f>HYPERLINK("https://ictv.global/taxonomy/taxondetails?taxnode_id=202503342&amp;ictv_id=ICTV20131939","ICTV20131939")</f>
        <v>ICTV20131939</v>
      </c>
      <c r="R8513" t="s">
        <v>660</v>
      </c>
      <c r="S8513" t="s">
        <v>824</v>
      </c>
      <c r="T8513">
        <v>41</v>
      </c>
      <c r="U8513" s="26" t="str">
        <f t="shared" si="308"/>
        <v>2025.002G.Monodnaviria_reorg_4nr.zip</v>
      </c>
    </row>
    <row r="8514" spans="1:21">
      <c r="A8514">
        <v>8513</v>
      </c>
      <c r="B8514" s="27" t="s">
        <v>20779</v>
      </c>
      <c r="D8514" s="27" t="s">
        <v>1826</v>
      </c>
      <c r="F8514" s="27" t="s">
        <v>1844</v>
      </c>
      <c r="H8514" s="27" t="s">
        <v>1853</v>
      </c>
      <c r="J8514" s="27" t="s">
        <v>1854</v>
      </c>
      <c r="L8514" s="27" t="s">
        <v>461</v>
      </c>
      <c r="N8514" s="27" t="s">
        <v>462</v>
      </c>
      <c r="P8514" s="27" t="s">
        <v>13161</v>
      </c>
      <c r="Q8514" s="26" t="str">
        <f>HYPERLINK("https://ictv.global/taxonomy/taxondetails?taxnode_id=202503343&amp;ictv_id=ICTV20041170","ICTV20041170")</f>
        <v>ICTV20041170</v>
      </c>
      <c r="R8514" t="s">
        <v>660</v>
      </c>
      <c r="S8514" t="s">
        <v>824</v>
      </c>
      <c r="T8514">
        <v>41</v>
      </c>
      <c r="U8514" s="26" t="str">
        <f t="shared" si="308"/>
        <v>2025.002G.Monodnaviria_reorg_4nr.zip</v>
      </c>
    </row>
    <row r="8515" spans="1:21">
      <c r="A8515">
        <v>8514</v>
      </c>
      <c r="B8515" s="27" t="s">
        <v>20779</v>
      </c>
      <c r="D8515" s="27" t="s">
        <v>1826</v>
      </c>
      <c r="F8515" s="27" t="s">
        <v>1844</v>
      </c>
      <c r="H8515" s="27" t="s">
        <v>1853</v>
      </c>
      <c r="J8515" s="27" t="s">
        <v>1854</v>
      </c>
      <c r="L8515" s="27" t="s">
        <v>461</v>
      </c>
      <c r="N8515" s="27" t="s">
        <v>462</v>
      </c>
      <c r="P8515" s="27" t="s">
        <v>13162</v>
      </c>
      <c r="Q8515" s="26" t="str">
        <f>HYPERLINK("https://ictv.global/taxonomy/taxondetails?taxnode_id=202503351&amp;ictv_id=ICTV20041171","ICTV20041171")</f>
        <v>ICTV20041171</v>
      </c>
      <c r="R8515" t="s">
        <v>660</v>
      </c>
      <c r="S8515" t="s">
        <v>824</v>
      </c>
      <c r="T8515">
        <v>41</v>
      </c>
      <c r="U8515" s="26" t="str">
        <f t="shared" si="308"/>
        <v>2025.002G.Monodnaviria_reorg_4nr.zip</v>
      </c>
    </row>
    <row r="8516" spans="1:21">
      <c r="A8516">
        <v>8515</v>
      </c>
      <c r="B8516" s="27" t="s">
        <v>20779</v>
      </c>
      <c r="D8516" s="27" t="s">
        <v>1826</v>
      </c>
      <c r="F8516" s="27" t="s">
        <v>1844</v>
      </c>
      <c r="H8516" s="27" t="s">
        <v>1853</v>
      </c>
      <c r="J8516" s="27" t="s">
        <v>1854</v>
      </c>
      <c r="L8516" s="27" t="s">
        <v>461</v>
      </c>
      <c r="N8516" s="27" t="s">
        <v>462</v>
      </c>
      <c r="P8516" s="27" t="s">
        <v>13163</v>
      </c>
      <c r="Q8516" s="26" t="str">
        <f>HYPERLINK("https://ictv.global/taxonomy/taxondetails?taxnode_id=202503350&amp;ictv_id=ICTV20131944","ICTV20131944")</f>
        <v>ICTV20131944</v>
      </c>
      <c r="R8516" t="s">
        <v>660</v>
      </c>
      <c r="S8516" t="s">
        <v>824</v>
      </c>
      <c r="T8516">
        <v>41</v>
      </c>
      <c r="U8516" s="26" t="str">
        <f t="shared" si="308"/>
        <v>2025.002G.Monodnaviria_reorg_4nr.zip</v>
      </c>
    </row>
    <row r="8517" spans="1:21">
      <c r="A8517">
        <v>8516</v>
      </c>
      <c r="B8517" s="27" t="s">
        <v>20779</v>
      </c>
      <c r="D8517" s="27" t="s">
        <v>1826</v>
      </c>
      <c r="F8517" s="27" t="s">
        <v>1844</v>
      </c>
      <c r="H8517" s="27" t="s">
        <v>1853</v>
      </c>
      <c r="J8517" s="27" t="s">
        <v>1854</v>
      </c>
      <c r="L8517" s="27" t="s">
        <v>461</v>
      </c>
      <c r="N8517" s="27" t="s">
        <v>462</v>
      </c>
      <c r="P8517" s="27" t="s">
        <v>13164</v>
      </c>
      <c r="Q8517" s="26" t="str">
        <f>HYPERLINK("https://ictv.global/taxonomy/taxondetails?taxnode_id=202505827&amp;ictv_id=ICTV20175827","ICTV20175827")</f>
        <v>ICTV20175827</v>
      </c>
      <c r="R8517" t="s">
        <v>660</v>
      </c>
      <c r="S8517" t="s">
        <v>824</v>
      </c>
      <c r="T8517">
        <v>41</v>
      </c>
      <c r="U8517" s="26" t="str">
        <f t="shared" si="308"/>
        <v>2025.002G.Monodnaviria_reorg_4nr.zip</v>
      </c>
    </row>
    <row r="8518" spans="1:21">
      <c r="A8518">
        <v>8517</v>
      </c>
      <c r="B8518" s="27" t="s">
        <v>20779</v>
      </c>
      <c r="D8518" s="27" t="s">
        <v>1826</v>
      </c>
      <c r="F8518" s="27" t="s">
        <v>1844</v>
      </c>
      <c r="H8518" s="27" t="s">
        <v>1853</v>
      </c>
      <c r="J8518" s="27" t="s">
        <v>1854</v>
      </c>
      <c r="L8518" s="27" t="s">
        <v>461</v>
      </c>
      <c r="N8518" s="27" t="s">
        <v>462</v>
      </c>
      <c r="P8518" s="27" t="s">
        <v>13165</v>
      </c>
      <c r="Q8518" s="26" t="str">
        <f>HYPERLINK("https://ictv.global/taxonomy/taxondetails?taxnode_id=202503334&amp;ictv_id=ICTV20152842","ICTV20152842")</f>
        <v>ICTV20152842</v>
      </c>
      <c r="R8518" t="s">
        <v>660</v>
      </c>
      <c r="S8518" t="s">
        <v>824</v>
      </c>
      <c r="T8518">
        <v>41</v>
      </c>
      <c r="U8518" s="26" t="str">
        <f t="shared" si="308"/>
        <v>2025.002G.Monodnaviria_reorg_4nr.zip</v>
      </c>
    </row>
    <row r="8519" spans="1:21">
      <c r="A8519">
        <v>8518</v>
      </c>
      <c r="B8519" s="27" t="s">
        <v>20779</v>
      </c>
      <c r="D8519" s="27" t="s">
        <v>1826</v>
      </c>
      <c r="F8519" s="27" t="s">
        <v>1844</v>
      </c>
      <c r="H8519" s="27" t="s">
        <v>1853</v>
      </c>
      <c r="J8519" s="27" t="s">
        <v>1854</v>
      </c>
      <c r="L8519" s="27" t="s">
        <v>461</v>
      </c>
      <c r="N8519" s="27" t="s">
        <v>462</v>
      </c>
      <c r="P8519" s="27" t="s">
        <v>13166</v>
      </c>
      <c r="Q8519" s="26" t="str">
        <f>HYPERLINK("https://ictv.global/taxonomy/taxondetails?taxnode_id=202503364&amp;ictv_id=ICTV20083935","ICTV20083935")</f>
        <v>ICTV20083935</v>
      </c>
      <c r="R8519" t="s">
        <v>660</v>
      </c>
      <c r="S8519" t="s">
        <v>824</v>
      </c>
      <c r="T8519">
        <v>41</v>
      </c>
      <c r="U8519" s="26" t="str">
        <f t="shared" si="308"/>
        <v>2025.002G.Monodnaviria_reorg_4nr.zip</v>
      </c>
    </row>
    <row r="8520" spans="1:21">
      <c r="A8520">
        <v>8519</v>
      </c>
      <c r="B8520" s="27" t="s">
        <v>20779</v>
      </c>
      <c r="D8520" s="27" t="s">
        <v>1826</v>
      </c>
      <c r="F8520" s="27" t="s">
        <v>1844</v>
      </c>
      <c r="H8520" s="27" t="s">
        <v>1853</v>
      </c>
      <c r="J8520" s="27" t="s">
        <v>1854</v>
      </c>
      <c r="L8520" s="27" t="s">
        <v>461</v>
      </c>
      <c r="N8520" s="27" t="s">
        <v>462</v>
      </c>
      <c r="P8520" s="27" t="s">
        <v>13167</v>
      </c>
      <c r="Q8520" s="26" t="str">
        <f>HYPERLINK("https://ictv.global/taxonomy/taxondetails?taxnode_id=202503363&amp;ictv_id=ICTV20083934","ICTV20083934")</f>
        <v>ICTV20083934</v>
      </c>
      <c r="R8520" t="s">
        <v>660</v>
      </c>
      <c r="S8520" t="s">
        <v>824</v>
      </c>
      <c r="T8520">
        <v>41</v>
      </c>
      <c r="U8520" s="26" t="str">
        <f t="shared" si="308"/>
        <v>2025.002G.Monodnaviria_reorg_4nr.zip</v>
      </c>
    </row>
    <row r="8521" spans="1:21">
      <c r="A8521">
        <v>8520</v>
      </c>
      <c r="B8521" s="27" t="s">
        <v>20779</v>
      </c>
      <c r="D8521" s="27" t="s">
        <v>1826</v>
      </c>
      <c r="F8521" s="27" t="s">
        <v>1844</v>
      </c>
      <c r="H8521" s="27" t="s">
        <v>1853</v>
      </c>
      <c r="J8521" s="27" t="s">
        <v>1854</v>
      </c>
      <c r="L8521" s="27" t="s">
        <v>461</v>
      </c>
      <c r="N8521" s="27" t="s">
        <v>462</v>
      </c>
      <c r="P8521" s="27" t="s">
        <v>13168</v>
      </c>
      <c r="Q8521" s="26" t="str">
        <f>HYPERLINK("https://ictv.global/taxonomy/taxondetails?taxnode_id=202503211&amp;ictv_id=ICTV20131902","ICTV20131902")</f>
        <v>ICTV20131902</v>
      </c>
      <c r="R8521" t="s">
        <v>660</v>
      </c>
      <c r="S8521" t="s">
        <v>824</v>
      </c>
      <c r="T8521">
        <v>41</v>
      </c>
      <c r="U8521" s="26" t="str">
        <f t="shared" si="308"/>
        <v>2025.002G.Monodnaviria_reorg_4nr.zip</v>
      </c>
    </row>
    <row r="8522" spans="1:21">
      <c r="A8522">
        <v>8521</v>
      </c>
      <c r="B8522" s="27" t="s">
        <v>20779</v>
      </c>
      <c r="D8522" s="27" t="s">
        <v>1826</v>
      </c>
      <c r="F8522" s="27" t="s">
        <v>1844</v>
      </c>
      <c r="H8522" s="27" t="s">
        <v>1853</v>
      </c>
      <c r="J8522" s="27" t="s">
        <v>1854</v>
      </c>
      <c r="L8522" s="27" t="s">
        <v>461</v>
      </c>
      <c r="N8522" s="27" t="s">
        <v>462</v>
      </c>
      <c r="P8522" s="27" t="s">
        <v>13169</v>
      </c>
      <c r="Q8522" s="26" t="str">
        <f>HYPERLINK("https://ictv.global/taxonomy/taxondetails?taxnode_id=202503414&amp;ictv_id=ICTV20131964","ICTV20131964")</f>
        <v>ICTV20131964</v>
      </c>
      <c r="R8522" t="s">
        <v>660</v>
      </c>
      <c r="S8522" t="s">
        <v>824</v>
      </c>
      <c r="T8522">
        <v>41</v>
      </c>
      <c r="U8522" s="26" t="str">
        <f t="shared" si="308"/>
        <v>2025.002G.Monodnaviria_reorg_4nr.zip</v>
      </c>
    </row>
    <row r="8523" spans="1:21">
      <c r="A8523">
        <v>8522</v>
      </c>
      <c r="B8523" s="27" t="s">
        <v>20779</v>
      </c>
      <c r="D8523" s="27" t="s">
        <v>1826</v>
      </c>
      <c r="F8523" s="27" t="s">
        <v>1844</v>
      </c>
      <c r="H8523" s="27" t="s">
        <v>1853</v>
      </c>
      <c r="J8523" s="27" t="s">
        <v>1854</v>
      </c>
      <c r="L8523" s="27" t="s">
        <v>461</v>
      </c>
      <c r="N8523" s="27" t="s">
        <v>462</v>
      </c>
      <c r="P8523" s="27" t="s">
        <v>13170</v>
      </c>
      <c r="Q8523" s="26" t="str">
        <f>HYPERLINK("https://ictv.global/taxonomy/taxondetails?taxnode_id=202503465&amp;ictv_id=ICTV20083995","ICTV20083995")</f>
        <v>ICTV20083995</v>
      </c>
      <c r="R8523" t="s">
        <v>660</v>
      </c>
      <c r="S8523" t="s">
        <v>824</v>
      </c>
      <c r="T8523">
        <v>41</v>
      </c>
      <c r="U8523" s="26" t="str">
        <f t="shared" si="308"/>
        <v>2025.002G.Monodnaviria_reorg_4nr.zip</v>
      </c>
    </row>
    <row r="8524" spans="1:21">
      <c r="A8524">
        <v>8523</v>
      </c>
      <c r="B8524" s="27" t="s">
        <v>20779</v>
      </c>
      <c r="D8524" s="27" t="s">
        <v>1826</v>
      </c>
      <c r="F8524" s="27" t="s">
        <v>1844</v>
      </c>
      <c r="H8524" s="27" t="s">
        <v>1853</v>
      </c>
      <c r="J8524" s="27" t="s">
        <v>1854</v>
      </c>
      <c r="L8524" s="27" t="s">
        <v>461</v>
      </c>
      <c r="N8524" s="27" t="s">
        <v>462</v>
      </c>
      <c r="P8524" s="27" t="s">
        <v>13171</v>
      </c>
      <c r="Q8524" s="26" t="str">
        <f>HYPERLINK("https://ictv.global/taxonomy/taxondetails?taxnode_id=202505839&amp;ictv_id=ICTV20175839","ICTV20175839")</f>
        <v>ICTV20175839</v>
      </c>
      <c r="R8524" t="s">
        <v>660</v>
      </c>
      <c r="S8524" t="s">
        <v>824</v>
      </c>
      <c r="T8524">
        <v>41</v>
      </c>
      <c r="U8524" s="26" t="str">
        <f t="shared" si="308"/>
        <v>2025.002G.Monodnaviria_reorg_4nr.zip</v>
      </c>
    </row>
    <row r="8525" spans="1:21">
      <c r="A8525">
        <v>8524</v>
      </c>
      <c r="B8525" s="27" t="s">
        <v>20779</v>
      </c>
      <c r="D8525" s="27" t="s">
        <v>1826</v>
      </c>
      <c r="F8525" s="27" t="s">
        <v>1844</v>
      </c>
      <c r="H8525" s="27" t="s">
        <v>1853</v>
      </c>
      <c r="J8525" s="27" t="s">
        <v>1854</v>
      </c>
      <c r="L8525" s="27" t="s">
        <v>461</v>
      </c>
      <c r="N8525" s="27" t="s">
        <v>462</v>
      </c>
      <c r="P8525" s="27" t="s">
        <v>13172</v>
      </c>
      <c r="Q8525" s="26" t="str">
        <f>HYPERLINK("https://ictv.global/taxonomy/taxondetails?taxnode_id=202503415&amp;ictv_id=ICTV20083964","ICTV20083964")</f>
        <v>ICTV20083964</v>
      </c>
      <c r="R8525" t="s">
        <v>660</v>
      </c>
      <c r="S8525" t="s">
        <v>824</v>
      </c>
      <c r="T8525">
        <v>41</v>
      </c>
      <c r="U8525" s="26" t="str">
        <f t="shared" si="308"/>
        <v>2025.002G.Monodnaviria_reorg_4nr.zip</v>
      </c>
    </row>
    <row r="8526" spans="1:21">
      <c r="A8526">
        <v>8525</v>
      </c>
      <c r="B8526" s="27" t="s">
        <v>20779</v>
      </c>
      <c r="D8526" s="27" t="s">
        <v>1826</v>
      </c>
      <c r="F8526" s="27" t="s">
        <v>1844</v>
      </c>
      <c r="H8526" s="27" t="s">
        <v>1853</v>
      </c>
      <c r="J8526" s="27" t="s">
        <v>1854</v>
      </c>
      <c r="L8526" s="27" t="s">
        <v>461</v>
      </c>
      <c r="N8526" s="27" t="s">
        <v>462</v>
      </c>
      <c r="P8526" s="27" t="s">
        <v>13173</v>
      </c>
      <c r="Q8526" s="26" t="str">
        <f>HYPERLINK("https://ictv.global/taxonomy/taxondetails?taxnode_id=202503409&amp;ictv_id=ICTV20152856","ICTV20152856")</f>
        <v>ICTV20152856</v>
      </c>
      <c r="R8526" t="s">
        <v>660</v>
      </c>
      <c r="S8526" t="s">
        <v>824</v>
      </c>
      <c r="T8526">
        <v>41</v>
      </c>
      <c r="U8526" s="26" t="str">
        <f t="shared" si="308"/>
        <v>2025.002G.Monodnaviria_reorg_4nr.zip</v>
      </c>
    </row>
    <row r="8527" spans="1:21">
      <c r="A8527">
        <v>8526</v>
      </c>
      <c r="B8527" s="27" t="s">
        <v>20779</v>
      </c>
      <c r="D8527" s="27" t="s">
        <v>1826</v>
      </c>
      <c r="F8527" s="27" t="s">
        <v>1844</v>
      </c>
      <c r="H8527" s="27" t="s">
        <v>1853</v>
      </c>
      <c r="J8527" s="27" t="s">
        <v>1854</v>
      </c>
      <c r="L8527" s="27" t="s">
        <v>461</v>
      </c>
      <c r="N8527" s="27" t="s">
        <v>462</v>
      </c>
      <c r="P8527" s="27" t="s">
        <v>13174</v>
      </c>
      <c r="Q8527" s="26" t="str">
        <f>HYPERLINK("https://ictv.global/taxonomy/taxondetails?taxnode_id=202505836&amp;ictv_id=ICTV20175836","ICTV20175836")</f>
        <v>ICTV20175836</v>
      </c>
      <c r="R8527" t="s">
        <v>660</v>
      </c>
      <c r="S8527" t="s">
        <v>824</v>
      </c>
      <c r="T8527">
        <v>41</v>
      </c>
      <c r="U8527" s="26" t="str">
        <f t="shared" si="308"/>
        <v>2025.002G.Monodnaviria_reorg_4nr.zip</v>
      </c>
    </row>
    <row r="8528" spans="1:21">
      <c r="A8528">
        <v>8527</v>
      </c>
      <c r="B8528" s="27" t="s">
        <v>20779</v>
      </c>
      <c r="D8528" s="27" t="s">
        <v>1826</v>
      </c>
      <c r="F8528" s="27" t="s">
        <v>1844</v>
      </c>
      <c r="H8528" s="27" t="s">
        <v>1853</v>
      </c>
      <c r="J8528" s="27" t="s">
        <v>1854</v>
      </c>
      <c r="L8528" s="27" t="s">
        <v>461</v>
      </c>
      <c r="N8528" s="27" t="s">
        <v>462</v>
      </c>
      <c r="P8528" s="27" t="s">
        <v>13175</v>
      </c>
      <c r="Q8528" s="26" t="str">
        <f>HYPERLINK("https://ictv.global/taxonomy/taxondetails?taxnode_id=202503410&amp;ictv_id=ICTV19821210","ICTV19821210")</f>
        <v>ICTV19821210</v>
      </c>
      <c r="R8528" t="s">
        <v>660</v>
      </c>
      <c r="S8528" t="s">
        <v>824</v>
      </c>
      <c r="T8528">
        <v>41</v>
      </c>
      <c r="U8528" s="26" t="str">
        <f t="shared" si="308"/>
        <v>2025.002G.Monodnaviria_reorg_4nr.zip</v>
      </c>
    </row>
    <row r="8529" spans="1:21">
      <c r="A8529">
        <v>8528</v>
      </c>
      <c r="B8529" s="27" t="s">
        <v>20779</v>
      </c>
      <c r="D8529" s="27" t="s">
        <v>1826</v>
      </c>
      <c r="F8529" s="27" t="s">
        <v>1844</v>
      </c>
      <c r="H8529" s="27" t="s">
        <v>1853</v>
      </c>
      <c r="J8529" s="27" t="s">
        <v>1854</v>
      </c>
      <c r="L8529" s="27" t="s">
        <v>461</v>
      </c>
      <c r="N8529" s="27" t="s">
        <v>462</v>
      </c>
      <c r="P8529" s="27" t="s">
        <v>13176</v>
      </c>
      <c r="Q8529" s="26" t="str">
        <f>HYPERLINK("https://ictv.global/taxonomy/taxondetails?taxnode_id=202503411&amp;ictv_id=ICTV20041195","ICTV20041195")</f>
        <v>ICTV20041195</v>
      </c>
      <c r="R8529" t="s">
        <v>660</v>
      </c>
      <c r="S8529" t="s">
        <v>824</v>
      </c>
      <c r="T8529">
        <v>41</v>
      </c>
      <c r="U8529" s="26" t="str">
        <f t="shared" si="308"/>
        <v>2025.002G.Monodnaviria_reorg_4nr.zip</v>
      </c>
    </row>
    <row r="8530" spans="1:21">
      <c r="A8530">
        <v>8529</v>
      </c>
      <c r="B8530" s="27" t="s">
        <v>20779</v>
      </c>
      <c r="D8530" s="27" t="s">
        <v>1826</v>
      </c>
      <c r="F8530" s="27" t="s">
        <v>1844</v>
      </c>
      <c r="H8530" s="27" t="s">
        <v>1853</v>
      </c>
      <c r="J8530" s="27" t="s">
        <v>1854</v>
      </c>
      <c r="L8530" s="27" t="s">
        <v>461</v>
      </c>
      <c r="N8530" s="27" t="s">
        <v>462</v>
      </c>
      <c r="P8530" s="27" t="s">
        <v>13177</v>
      </c>
      <c r="Q8530" s="26" t="str">
        <f>HYPERLINK("https://ictv.global/taxonomy/taxondetails?taxnode_id=202503412&amp;ictv_id=ICTV20131963","ICTV20131963")</f>
        <v>ICTV20131963</v>
      </c>
      <c r="R8530" t="s">
        <v>660</v>
      </c>
      <c r="S8530" t="s">
        <v>824</v>
      </c>
      <c r="T8530">
        <v>41</v>
      </c>
      <c r="U8530" s="26" t="str">
        <f t="shared" si="308"/>
        <v>2025.002G.Monodnaviria_reorg_4nr.zip</v>
      </c>
    </row>
    <row r="8531" spans="1:21">
      <c r="A8531">
        <v>8530</v>
      </c>
      <c r="B8531" s="27" t="s">
        <v>20779</v>
      </c>
      <c r="D8531" s="27" t="s">
        <v>1826</v>
      </c>
      <c r="F8531" s="27" t="s">
        <v>1844</v>
      </c>
      <c r="H8531" s="27" t="s">
        <v>1853</v>
      </c>
      <c r="J8531" s="27" t="s">
        <v>1854</v>
      </c>
      <c r="L8531" s="27" t="s">
        <v>461</v>
      </c>
      <c r="N8531" s="27" t="s">
        <v>462</v>
      </c>
      <c r="P8531" s="27" t="s">
        <v>20079</v>
      </c>
      <c r="Q8531" s="26" t="str">
        <f>HYPERLINK("https://ictv.global/taxonomy/taxondetails?taxnode_id=202520467&amp;ictv_id=ICTV202420467","ICTV202420467")</f>
        <v>ICTV202420467</v>
      </c>
      <c r="R8531" t="s">
        <v>582</v>
      </c>
      <c r="S8531" t="s">
        <v>824</v>
      </c>
      <c r="T8531">
        <v>41</v>
      </c>
      <c r="U8531" s="26" t="str">
        <f t="shared" si="308"/>
        <v>2025.002G.Monodnaviria_reorg_4nr.zip</v>
      </c>
    </row>
    <row r="8532" spans="1:21">
      <c r="A8532">
        <v>8531</v>
      </c>
      <c r="B8532" s="27" t="s">
        <v>20779</v>
      </c>
      <c r="D8532" s="27" t="s">
        <v>1826</v>
      </c>
      <c r="F8532" s="27" t="s">
        <v>1844</v>
      </c>
      <c r="H8532" s="27" t="s">
        <v>1853</v>
      </c>
      <c r="J8532" s="27" t="s">
        <v>1854</v>
      </c>
      <c r="L8532" s="27" t="s">
        <v>461</v>
      </c>
      <c r="N8532" s="27" t="s">
        <v>462</v>
      </c>
      <c r="P8532" s="27" t="s">
        <v>13178</v>
      </c>
      <c r="Q8532" s="26" t="str">
        <f>HYPERLINK("https://ictv.global/taxonomy/taxondetails?taxnode_id=202503461&amp;ictv_id=ICTV19950998","ICTV19950998")</f>
        <v>ICTV19950998</v>
      </c>
      <c r="R8532" t="s">
        <v>660</v>
      </c>
      <c r="S8532" t="s">
        <v>824</v>
      </c>
      <c r="T8532">
        <v>41</v>
      </c>
      <c r="U8532" s="26" t="str">
        <f t="shared" si="308"/>
        <v>2025.002G.Monodnaviria_reorg_4nr.zip</v>
      </c>
    </row>
    <row r="8533" spans="1:21">
      <c r="A8533">
        <v>8532</v>
      </c>
      <c r="B8533" s="27" t="s">
        <v>20779</v>
      </c>
      <c r="D8533" s="27" t="s">
        <v>1826</v>
      </c>
      <c r="F8533" s="27" t="s">
        <v>1844</v>
      </c>
      <c r="H8533" s="27" t="s">
        <v>1853</v>
      </c>
      <c r="J8533" s="27" t="s">
        <v>1854</v>
      </c>
      <c r="L8533" s="27" t="s">
        <v>461</v>
      </c>
      <c r="N8533" s="27" t="s">
        <v>462</v>
      </c>
      <c r="P8533" s="27" t="s">
        <v>13179</v>
      </c>
      <c r="Q8533" s="26" t="str">
        <f>HYPERLINK("https://ictv.global/taxonomy/taxondetails?taxnode_id=202503416&amp;ictv_id=ICTV19981426","ICTV19981426")</f>
        <v>ICTV19981426</v>
      </c>
      <c r="R8533" t="s">
        <v>660</v>
      </c>
      <c r="S8533" t="s">
        <v>824</v>
      </c>
      <c r="T8533">
        <v>41</v>
      </c>
      <c r="U8533" s="26" t="str">
        <f t="shared" si="308"/>
        <v>2025.002G.Monodnaviria_reorg_4nr.zip</v>
      </c>
    </row>
    <row r="8534" spans="1:21">
      <c r="A8534">
        <v>8533</v>
      </c>
      <c r="B8534" s="27" t="s">
        <v>20779</v>
      </c>
      <c r="D8534" s="27" t="s">
        <v>1826</v>
      </c>
      <c r="F8534" s="27" t="s">
        <v>1844</v>
      </c>
      <c r="H8534" s="27" t="s">
        <v>1853</v>
      </c>
      <c r="J8534" s="27" t="s">
        <v>1854</v>
      </c>
      <c r="L8534" s="27" t="s">
        <v>461</v>
      </c>
      <c r="N8534" s="27" t="s">
        <v>462</v>
      </c>
      <c r="P8534" s="27" t="s">
        <v>13180</v>
      </c>
      <c r="Q8534" s="26" t="str">
        <f>HYPERLINK("https://ictv.global/taxonomy/taxondetails?taxnode_id=202503417&amp;ictv_id=ICTV20041196","ICTV20041196")</f>
        <v>ICTV20041196</v>
      </c>
      <c r="R8534" t="s">
        <v>660</v>
      </c>
      <c r="S8534" t="s">
        <v>824</v>
      </c>
      <c r="T8534">
        <v>41</v>
      </c>
      <c r="U8534" s="26" t="str">
        <f t="shared" si="308"/>
        <v>2025.002G.Monodnaviria_reorg_4nr.zip</v>
      </c>
    </row>
    <row r="8535" spans="1:21">
      <c r="A8535">
        <v>8534</v>
      </c>
      <c r="B8535" s="27" t="s">
        <v>20779</v>
      </c>
      <c r="D8535" s="27" t="s">
        <v>1826</v>
      </c>
      <c r="F8535" s="27" t="s">
        <v>1844</v>
      </c>
      <c r="H8535" s="27" t="s">
        <v>1853</v>
      </c>
      <c r="J8535" s="27" t="s">
        <v>1854</v>
      </c>
      <c r="L8535" s="27" t="s">
        <v>461</v>
      </c>
      <c r="N8535" s="27" t="s">
        <v>462</v>
      </c>
      <c r="P8535" s="27" t="s">
        <v>13181</v>
      </c>
      <c r="Q8535" s="26" t="str">
        <f>HYPERLINK("https://ictv.global/taxonomy/taxondetails?taxnode_id=202505829&amp;ictv_id=ICTV20175829","ICTV20175829")</f>
        <v>ICTV20175829</v>
      </c>
      <c r="R8535" t="s">
        <v>660</v>
      </c>
      <c r="S8535" t="s">
        <v>824</v>
      </c>
      <c r="T8535">
        <v>41</v>
      </c>
      <c r="U8535" s="26" t="str">
        <f t="shared" si="308"/>
        <v>2025.002G.Monodnaviria_reorg_4nr.zip</v>
      </c>
    </row>
    <row r="8536" spans="1:21">
      <c r="A8536">
        <v>8535</v>
      </c>
      <c r="B8536" s="27" t="s">
        <v>20779</v>
      </c>
      <c r="D8536" s="27" t="s">
        <v>1826</v>
      </c>
      <c r="F8536" s="27" t="s">
        <v>1844</v>
      </c>
      <c r="H8536" s="27" t="s">
        <v>1853</v>
      </c>
      <c r="J8536" s="27" t="s">
        <v>1854</v>
      </c>
      <c r="L8536" s="27" t="s">
        <v>461</v>
      </c>
      <c r="N8536" s="27" t="s">
        <v>462</v>
      </c>
      <c r="P8536" s="27" t="s">
        <v>13182</v>
      </c>
      <c r="Q8536" s="26" t="str">
        <f>HYPERLINK("https://ictv.global/taxonomy/taxondetails?taxnode_id=202505838&amp;ictv_id=ICTV20175838","ICTV20175838")</f>
        <v>ICTV20175838</v>
      </c>
      <c r="R8536" t="s">
        <v>660</v>
      </c>
      <c r="S8536" t="s">
        <v>824</v>
      </c>
      <c r="T8536">
        <v>41</v>
      </c>
      <c r="U8536" s="26" t="str">
        <f t="shared" si="308"/>
        <v>2025.002G.Monodnaviria_reorg_4nr.zip</v>
      </c>
    </row>
    <row r="8537" spans="1:21">
      <c r="A8537">
        <v>8536</v>
      </c>
      <c r="B8537" s="27" t="s">
        <v>20779</v>
      </c>
      <c r="D8537" s="27" t="s">
        <v>1826</v>
      </c>
      <c r="F8537" s="27" t="s">
        <v>1844</v>
      </c>
      <c r="H8537" s="27" t="s">
        <v>1853</v>
      </c>
      <c r="J8537" s="27" t="s">
        <v>1854</v>
      </c>
      <c r="L8537" s="27" t="s">
        <v>461</v>
      </c>
      <c r="N8537" s="27" t="s">
        <v>462</v>
      </c>
      <c r="P8537" s="27" t="s">
        <v>13183</v>
      </c>
      <c r="Q8537" s="26" t="str">
        <f>HYPERLINK("https://ictv.global/taxonomy/taxondetails?taxnode_id=202503418&amp;ictv_id=ICTV20131965","ICTV20131965")</f>
        <v>ICTV20131965</v>
      </c>
      <c r="R8537" t="s">
        <v>660</v>
      </c>
      <c r="S8537" t="s">
        <v>824</v>
      </c>
      <c r="T8537">
        <v>41</v>
      </c>
      <c r="U8537" s="26" t="str">
        <f t="shared" si="308"/>
        <v>2025.002G.Monodnaviria_reorg_4nr.zip</v>
      </c>
    </row>
    <row r="8538" spans="1:21">
      <c r="A8538">
        <v>8537</v>
      </c>
      <c r="B8538" s="27" t="s">
        <v>20779</v>
      </c>
      <c r="D8538" s="27" t="s">
        <v>1826</v>
      </c>
      <c r="F8538" s="27" t="s">
        <v>1844</v>
      </c>
      <c r="H8538" s="27" t="s">
        <v>1853</v>
      </c>
      <c r="J8538" s="27" t="s">
        <v>1854</v>
      </c>
      <c r="L8538" s="27" t="s">
        <v>461</v>
      </c>
      <c r="N8538" s="27" t="s">
        <v>462</v>
      </c>
      <c r="P8538" s="27" t="s">
        <v>13184</v>
      </c>
      <c r="Q8538" s="26" t="str">
        <f>HYPERLINK("https://ictv.global/taxonomy/taxondetails?taxnode_id=202503419&amp;ictv_id=ICTV20041197","ICTV20041197")</f>
        <v>ICTV20041197</v>
      </c>
      <c r="R8538" t="s">
        <v>660</v>
      </c>
      <c r="S8538" t="s">
        <v>824</v>
      </c>
      <c r="T8538">
        <v>41</v>
      </c>
      <c r="U8538" s="26" t="str">
        <f t="shared" si="308"/>
        <v>2025.002G.Monodnaviria_reorg_4nr.zip</v>
      </c>
    </row>
    <row r="8539" spans="1:21">
      <c r="A8539">
        <v>8538</v>
      </c>
      <c r="B8539" s="27" t="s">
        <v>20779</v>
      </c>
      <c r="D8539" s="27" t="s">
        <v>1826</v>
      </c>
      <c r="F8539" s="27" t="s">
        <v>1844</v>
      </c>
      <c r="H8539" s="27" t="s">
        <v>1853</v>
      </c>
      <c r="J8539" s="27" t="s">
        <v>1854</v>
      </c>
      <c r="L8539" s="27" t="s">
        <v>461</v>
      </c>
      <c r="N8539" s="27" t="s">
        <v>462</v>
      </c>
      <c r="P8539" s="27" t="s">
        <v>13185</v>
      </c>
      <c r="Q8539" s="26" t="str">
        <f>HYPERLINK("https://ictv.global/taxonomy/taxondetails?taxnode_id=202503420&amp;ictv_id=ICTV20083968","ICTV20083968")</f>
        <v>ICTV20083968</v>
      </c>
      <c r="R8539" t="s">
        <v>660</v>
      </c>
      <c r="S8539" t="s">
        <v>824</v>
      </c>
      <c r="T8539">
        <v>41</v>
      </c>
      <c r="U8539" s="26" t="str">
        <f t="shared" si="308"/>
        <v>2025.002G.Monodnaviria_reorg_4nr.zip</v>
      </c>
    </row>
    <row r="8540" spans="1:21">
      <c r="A8540">
        <v>8539</v>
      </c>
      <c r="B8540" s="27" t="s">
        <v>20779</v>
      </c>
      <c r="D8540" s="27" t="s">
        <v>1826</v>
      </c>
      <c r="F8540" s="27" t="s">
        <v>1844</v>
      </c>
      <c r="H8540" s="27" t="s">
        <v>1853</v>
      </c>
      <c r="J8540" s="27" t="s">
        <v>1854</v>
      </c>
      <c r="L8540" s="27" t="s">
        <v>461</v>
      </c>
      <c r="N8540" s="27" t="s">
        <v>462</v>
      </c>
      <c r="P8540" s="27" t="s">
        <v>13186</v>
      </c>
      <c r="Q8540" s="26" t="str">
        <f>HYPERLINK("https://ictv.global/taxonomy/taxondetails?taxnode_id=202503463&amp;ictv_id=ICTV20131979","ICTV20131979")</f>
        <v>ICTV20131979</v>
      </c>
      <c r="R8540" t="s">
        <v>660</v>
      </c>
      <c r="S8540" t="s">
        <v>824</v>
      </c>
      <c r="T8540">
        <v>41</v>
      </c>
      <c r="U8540" s="26" t="str">
        <f t="shared" si="308"/>
        <v>2025.002G.Monodnaviria_reorg_4nr.zip</v>
      </c>
    </row>
    <row r="8541" spans="1:21">
      <c r="A8541">
        <v>8540</v>
      </c>
      <c r="B8541" s="27" t="s">
        <v>20779</v>
      </c>
      <c r="D8541" s="27" t="s">
        <v>1826</v>
      </c>
      <c r="F8541" s="27" t="s">
        <v>1844</v>
      </c>
      <c r="H8541" s="27" t="s">
        <v>1853</v>
      </c>
      <c r="J8541" s="27" t="s">
        <v>1854</v>
      </c>
      <c r="L8541" s="27" t="s">
        <v>461</v>
      </c>
      <c r="N8541" s="27" t="s">
        <v>462</v>
      </c>
      <c r="P8541" s="27" t="s">
        <v>13187</v>
      </c>
      <c r="Q8541" s="26" t="str">
        <f>HYPERLINK("https://ictv.global/taxonomy/taxondetails?taxnode_id=202506716&amp;ictv_id=ICTV201856716","ICTV201856716")</f>
        <v>ICTV201856716</v>
      </c>
      <c r="R8541" t="s">
        <v>660</v>
      </c>
      <c r="S8541" t="s">
        <v>824</v>
      </c>
      <c r="T8541">
        <v>41</v>
      </c>
      <c r="U8541" s="26" t="str">
        <f t="shared" si="308"/>
        <v>2025.002G.Monodnaviria_reorg_4nr.zip</v>
      </c>
    </row>
    <row r="8542" spans="1:21">
      <c r="A8542">
        <v>8541</v>
      </c>
      <c r="B8542" s="27" t="s">
        <v>20779</v>
      </c>
      <c r="D8542" s="27" t="s">
        <v>1826</v>
      </c>
      <c r="F8542" s="27" t="s">
        <v>1844</v>
      </c>
      <c r="H8542" s="27" t="s">
        <v>1853</v>
      </c>
      <c r="J8542" s="27" t="s">
        <v>1854</v>
      </c>
      <c r="L8542" s="27" t="s">
        <v>461</v>
      </c>
      <c r="N8542" s="27" t="s">
        <v>462</v>
      </c>
      <c r="P8542" s="27" t="s">
        <v>13188</v>
      </c>
      <c r="Q8542" s="26" t="str">
        <f>HYPERLINK("https://ictv.global/taxonomy/taxondetails?taxnode_id=202503442&amp;ictv_id=ICTV19990926","ICTV19990926")</f>
        <v>ICTV19990926</v>
      </c>
      <c r="R8542" t="s">
        <v>660</v>
      </c>
      <c r="S8542" t="s">
        <v>824</v>
      </c>
      <c r="T8542">
        <v>41</v>
      </c>
      <c r="U8542" s="26" t="str">
        <f t="shared" si="308"/>
        <v>2025.002G.Monodnaviria_reorg_4nr.zip</v>
      </c>
    </row>
    <row r="8543" spans="1:21">
      <c r="A8543">
        <v>8542</v>
      </c>
      <c r="B8543" s="27" t="s">
        <v>20779</v>
      </c>
      <c r="D8543" s="27" t="s">
        <v>1826</v>
      </c>
      <c r="F8543" s="27" t="s">
        <v>1844</v>
      </c>
      <c r="H8543" s="27" t="s">
        <v>1853</v>
      </c>
      <c r="J8543" s="27" t="s">
        <v>1854</v>
      </c>
      <c r="L8543" s="27" t="s">
        <v>461</v>
      </c>
      <c r="N8543" s="27" t="s">
        <v>462</v>
      </c>
      <c r="P8543" s="27" t="s">
        <v>13189</v>
      </c>
      <c r="Q8543" s="26" t="str">
        <f>HYPERLINK("https://ictv.global/taxonomy/taxondetails?taxnode_id=202503444&amp;ictv_id=ICTV20152860","ICTV20152860")</f>
        <v>ICTV20152860</v>
      </c>
      <c r="R8543" t="s">
        <v>660</v>
      </c>
      <c r="S8543" t="s">
        <v>824</v>
      </c>
      <c r="T8543">
        <v>41</v>
      </c>
      <c r="U8543" s="26" t="str">
        <f t="shared" si="308"/>
        <v>2025.002G.Monodnaviria_reorg_4nr.zip</v>
      </c>
    </row>
    <row r="8544" spans="1:21">
      <c r="A8544">
        <v>8543</v>
      </c>
      <c r="B8544" s="27" t="s">
        <v>20779</v>
      </c>
      <c r="D8544" s="27" t="s">
        <v>1826</v>
      </c>
      <c r="F8544" s="27" t="s">
        <v>1844</v>
      </c>
      <c r="H8544" s="27" t="s">
        <v>1853</v>
      </c>
      <c r="J8544" s="27" t="s">
        <v>1854</v>
      </c>
      <c r="L8544" s="27" t="s">
        <v>461</v>
      </c>
      <c r="N8544" s="27" t="s">
        <v>462</v>
      </c>
      <c r="P8544" s="27" t="s">
        <v>13190</v>
      </c>
      <c r="Q8544" s="26" t="str">
        <f>HYPERLINK("https://ictv.global/taxonomy/taxondetails?taxnode_id=202506711&amp;ictv_id=ICTV201856711","ICTV201856711")</f>
        <v>ICTV201856711</v>
      </c>
      <c r="R8544" t="s">
        <v>660</v>
      </c>
      <c r="S8544" t="s">
        <v>824</v>
      </c>
      <c r="T8544">
        <v>41</v>
      </c>
      <c r="U8544" s="26" t="str">
        <f t="shared" si="308"/>
        <v>2025.002G.Monodnaviria_reorg_4nr.zip</v>
      </c>
    </row>
    <row r="8545" spans="1:21">
      <c r="A8545">
        <v>8544</v>
      </c>
      <c r="B8545" s="27" t="s">
        <v>20779</v>
      </c>
      <c r="D8545" s="27" t="s">
        <v>1826</v>
      </c>
      <c r="F8545" s="27" t="s">
        <v>1844</v>
      </c>
      <c r="H8545" s="27" t="s">
        <v>1853</v>
      </c>
      <c r="J8545" s="27" t="s">
        <v>1854</v>
      </c>
      <c r="L8545" s="27" t="s">
        <v>461</v>
      </c>
      <c r="N8545" s="27" t="s">
        <v>462</v>
      </c>
      <c r="P8545" s="27" t="s">
        <v>13191</v>
      </c>
      <c r="Q8545" s="26" t="str">
        <f>HYPERLINK("https://ictv.global/taxonomy/taxondetails?taxnode_id=202503443&amp;ictv_id=ICTV20152859","ICTV20152859")</f>
        <v>ICTV20152859</v>
      </c>
      <c r="R8545" t="s">
        <v>660</v>
      </c>
      <c r="S8545" t="s">
        <v>824</v>
      </c>
      <c r="T8545">
        <v>41</v>
      </c>
      <c r="U8545" s="26" t="str">
        <f t="shared" ref="U8545:U8608" si="309">HYPERLINK("https://ictv.global/ictv/proposals/2025.002G.Monodnaviria_reorg_4nr.zip","2025.002G.Monodnaviria_reorg_4nr.zip")</f>
        <v>2025.002G.Monodnaviria_reorg_4nr.zip</v>
      </c>
    </row>
    <row r="8546" spans="1:21">
      <c r="A8546">
        <v>8545</v>
      </c>
      <c r="B8546" s="27" t="s">
        <v>20779</v>
      </c>
      <c r="D8546" s="27" t="s">
        <v>1826</v>
      </c>
      <c r="F8546" s="27" t="s">
        <v>1844</v>
      </c>
      <c r="H8546" s="27" t="s">
        <v>1853</v>
      </c>
      <c r="J8546" s="27" t="s">
        <v>1854</v>
      </c>
      <c r="L8546" s="27" t="s">
        <v>461</v>
      </c>
      <c r="N8546" s="27" t="s">
        <v>462</v>
      </c>
      <c r="P8546" s="27" t="s">
        <v>13192</v>
      </c>
      <c r="Q8546" s="26" t="str">
        <f>HYPERLINK("https://ictv.global/taxonomy/taxondetails?taxnode_id=202503462&amp;ictv_id=ICTV20131978","ICTV20131978")</f>
        <v>ICTV20131978</v>
      </c>
      <c r="R8546" t="s">
        <v>660</v>
      </c>
      <c r="S8546" t="s">
        <v>824</v>
      </c>
      <c r="T8546">
        <v>41</v>
      </c>
      <c r="U8546" s="26" t="str">
        <f t="shared" si="309"/>
        <v>2025.002G.Monodnaviria_reorg_4nr.zip</v>
      </c>
    </row>
    <row r="8547" spans="1:21">
      <c r="A8547">
        <v>8546</v>
      </c>
      <c r="B8547" s="27" t="s">
        <v>20779</v>
      </c>
      <c r="D8547" s="27" t="s">
        <v>1826</v>
      </c>
      <c r="F8547" s="27" t="s">
        <v>1844</v>
      </c>
      <c r="H8547" s="27" t="s">
        <v>1853</v>
      </c>
      <c r="J8547" s="27" t="s">
        <v>1854</v>
      </c>
      <c r="L8547" s="27" t="s">
        <v>461</v>
      </c>
      <c r="N8547" s="27" t="s">
        <v>462</v>
      </c>
      <c r="P8547" s="27" t="s">
        <v>13193</v>
      </c>
      <c r="Q8547" s="26" t="str">
        <f>HYPERLINK("https://ictv.global/taxonomy/taxondetails?taxnode_id=202503421&amp;ictv_id=ICTV20131966","ICTV20131966")</f>
        <v>ICTV20131966</v>
      </c>
      <c r="R8547" t="s">
        <v>660</v>
      </c>
      <c r="S8547" t="s">
        <v>824</v>
      </c>
      <c r="T8547">
        <v>41</v>
      </c>
      <c r="U8547" s="26" t="str">
        <f t="shared" si="309"/>
        <v>2025.002G.Monodnaviria_reorg_4nr.zip</v>
      </c>
    </row>
    <row r="8548" spans="1:21">
      <c r="A8548">
        <v>8547</v>
      </c>
      <c r="B8548" s="27" t="s">
        <v>20779</v>
      </c>
      <c r="D8548" s="27" t="s">
        <v>1826</v>
      </c>
      <c r="F8548" s="27" t="s">
        <v>1844</v>
      </c>
      <c r="H8548" s="27" t="s">
        <v>1853</v>
      </c>
      <c r="J8548" s="27" t="s">
        <v>1854</v>
      </c>
      <c r="L8548" s="27" t="s">
        <v>461</v>
      </c>
      <c r="N8548" s="27" t="s">
        <v>462</v>
      </c>
      <c r="P8548" s="27" t="s">
        <v>20080</v>
      </c>
      <c r="Q8548" s="26" t="str">
        <f>HYPERLINK("https://ictv.global/taxonomy/taxondetails?taxnode_id=202520480&amp;ictv_id=ICTV202420480","ICTV202420480")</f>
        <v>ICTV202420480</v>
      </c>
      <c r="R8548" t="s">
        <v>582</v>
      </c>
      <c r="S8548" t="s">
        <v>824</v>
      </c>
      <c r="T8548">
        <v>41</v>
      </c>
      <c r="U8548" s="26" t="str">
        <f t="shared" si="309"/>
        <v>2025.002G.Monodnaviria_reorg_4nr.zip</v>
      </c>
    </row>
    <row r="8549" spans="1:21">
      <c r="A8549">
        <v>8548</v>
      </c>
      <c r="B8549" s="27" t="s">
        <v>20779</v>
      </c>
      <c r="D8549" s="27" t="s">
        <v>1826</v>
      </c>
      <c r="F8549" s="27" t="s">
        <v>1844</v>
      </c>
      <c r="H8549" s="27" t="s">
        <v>1853</v>
      </c>
      <c r="J8549" s="27" t="s">
        <v>1854</v>
      </c>
      <c r="L8549" s="27" t="s">
        <v>461</v>
      </c>
      <c r="N8549" s="27" t="s">
        <v>462</v>
      </c>
      <c r="P8549" s="27" t="s">
        <v>13194</v>
      </c>
      <c r="Q8549" s="26" t="str">
        <f>HYPERLINK("https://ictv.global/taxonomy/taxondetails?taxnode_id=202503402&amp;ictv_id=ICTV20152855","ICTV20152855")</f>
        <v>ICTV20152855</v>
      </c>
      <c r="R8549" t="s">
        <v>660</v>
      </c>
      <c r="S8549" t="s">
        <v>824</v>
      </c>
      <c r="T8549">
        <v>41</v>
      </c>
      <c r="U8549" s="26" t="str">
        <f t="shared" si="309"/>
        <v>2025.002G.Monodnaviria_reorg_4nr.zip</v>
      </c>
    </row>
    <row r="8550" spans="1:21">
      <c r="A8550">
        <v>8549</v>
      </c>
      <c r="B8550" s="27" t="s">
        <v>20779</v>
      </c>
      <c r="D8550" s="27" t="s">
        <v>1826</v>
      </c>
      <c r="F8550" s="27" t="s">
        <v>1844</v>
      </c>
      <c r="H8550" s="27" t="s">
        <v>1853</v>
      </c>
      <c r="J8550" s="27" t="s">
        <v>1854</v>
      </c>
      <c r="L8550" s="27" t="s">
        <v>461</v>
      </c>
      <c r="N8550" s="27" t="s">
        <v>462</v>
      </c>
      <c r="P8550" s="27" t="s">
        <v>13195</v>
      </c>
      <c r="Q8550" s="26" t="str">
        <f>HYPERLINK("https://ictv.global/taxonomy/taxondetails?taxnode_id=202503212&amp;ictv_id=ICTV19981383","ICTV19981383")</f>
        <v>ICTV19981383</v>
      </c>
      <c r="R8550" t="s">
        <v>660</v>
      </c>
      <c r="S8550" t="s">
        <v>824</v>
      </c>
      <c r="T8550">
        <v>41</v>
      </c>
      <c r="U8550" s="26" t="str">
        <f t="shared" si="309"/>
        <v>2025.002G.Monodnaviria_reorg_4nr.zip</v>
      </c>
    </row>
    <row r="8551" spans="1:21">
      <c r="A8551">
        <v>8550</v>
      </c>
      <c r="B8551" s="27" t="s">
        <v>20779</v>
      </c>
      <c r="D8551" s="27" t="s">
        <v>1826</v>
      </c>
      <c r="F8551" s="27" t="s">
        <v>1844</v>
      </c>
      <c r="H8551" s="27" t="s">
        <v>1853</v>
      </c>
      <c r="J8551" s="27" t="s">
        <v>1854</v>
      </c>
      <c r="L8551" s="27" t="s">
        <v>461</v>
      </c>
      <c r="N8551" s="27" t="s">
        <v>462</v>
      </c>
      <c r="P8551" s="27" t="s">
        <v>13196</v>
      </c>
      <c r="Q8551" s="26" t="str">
        <f>HYPERLINK("https://ictv.global/taxonomy/taxondetails?taxnode_id=202503481&amp;ictv_id=ICTV19951003","ICTV19951003")</f>
        <v>ICTV19951003</v>
      </c>
      <c r="R8551" t="s">
        <v>660</v>
      </c>
      <c r="S8551" t="s">
        <v>824</v>
      </c>
      <c r="T8551">
        <v>41</v>
      </c>
      <c r="U8551" s="26" t="str">
        <f t="shared" si="309"/>
        <v>2025.002G.Monodnaviria_reorg_4nr.zip</v>
      </c>
    </row>
    <row r="8552" spans="1:21">
      <c r="A8552">
        <v>8551</v>
      </c>
      <c r="B8552" s="27" t="s">
        <v>20779</v>
      </c>
      <c r="D8552" s="27" t="s">
        <v>1826</v>
      </c>
      <c r="F8552" s="27" t="s">
        <v>1844</v>
      </c>
      <c r="H8552" s="27" t="s">
        <v>1853</v>
      </c>
      <c r="J8552" s="27" t="s">
        <v>1854</v>
      </c>
      <c r="L8552" s="27" t="s">
        <v>461</v>
      </c>
      <c r="N8552" s="27" t="s">
        <v>462</v>
      </c>
      <c r="P8552" s="27" t="s">
        <v>13197</v>
      </c>
      <c r="Q8552" s="26" t="str">
        <f>HYPERLINK("https://ictv.global/taxonomy/taxondetails?taxnode_id=202503474&amp;ictv_id=ICTV20084003","ICTV20084003")</f>
        <v>ICTV20084003</v>
      </c>
      <c r="R8552" t="s">
        <v>660</v>
      </c>
      <c r="S8552" t="s">
        <v>824</v>
      </c>
      <c r="T8552">
        <v>41</v>
      </c>
      <c r="U8552" s="26" t="str">
        <f t="shared" si="309"/>
        <v>2025.002G.Monodnaviria_reorg_4nr.zip</v>
      </c>
    </row>
    <row r="8553" spans="1:21">
      <c r="A8553">
        <v>8552</v>
      </c>
      <c r="B8553" s="27" t="s">
        <v>20779</v>
      </c>
      <c r="D8553" s="27" t="s">
        <v>1826</v>
      </c>
      <c r="F8553" s="27" t="s">
        <v>1844</v>
      </c>
      <c r="H8553" s="27" t="s">
        <v>1853</v>
      </c>
      <c r="J8553" s="27" t="s">
        <v>1854</v>
      </c>
      <c r="L8553" s="27" t="s">
        <v>461</v>
      </c>
      <c r="N8553" s="27" t="s">
        <v>462</v>
      </c>
      <c r="P8553" s="27" t="s">
        <v>13198</v>
      </c>
      <c r="Q8553" s="26" t="str">
        <f>HYPERLINK("https://ictv.global/taxonomy/taxondetails?taxnode_id=202503475&amp;ictv_id=ICTV19981434","ICTV19981434")</f>
        <v>ICTV19981434</v>
      </c>
      <c r="R8553" t="s">
        <v>660</v>
      </c>
      <c r="S8553" t="s">
        <v>824</v>
      </c>
      <c r="T8553">
        <v>41</v>
      </c>
      <c r="U8553" s="26" t="str">
        <f t="shared" si="309"/>
        <v>2025.002G.Monodnaviria_reorg_4nr.zip</v>
      </c>
    </row>
    <row r="8554" spans="1:21">
      <c r="A8554">
        <v>8553</v>
      </c>
      <c r="B8554" s="27" t="s">
        <v>20779</v>
      </c>
      <c r="D8554" s="27" t="s">
        <v>1826</v>
      </c>
      <c r="F8554" s="27" t="s">
        <v>1844</v>
      </c>
      <c r="H8554" s="27" t="s">
        <v>1853</v>
      </c>
      <c r="J8554" s="27" t="s">
        <v>1854</v>
      </c>
      <c r="L8554" s="27" t="s">
        <v>461</v>
      </c>
      <c r="N8554" s="27" t="s">
        <v>462</v>
      </c>
      <c r="P8554" s="27" t="s">
        <v>13199</v>
      </c>
      <c r="Q8554" s="26" t="str">
        <f>HYPERLINK("https://ictv.global/taxonomy/taxondetails?taxnode_id=202503485&amp;ictv_id=ICTV20131984","ICTV20131984")</f>
        <v>ICTV20131984</v>
      </c>
      <c r="R8554" t="s">
        <v>660</v>
      </c>
      <c r="S8554" t="s">
        <v>824</v>
      </c>
      <c r="T8554">
        <v>41</v>
      </c>
      <c r="U8554" s="26" t="str">
        <f t="shared" si="309"/>
        <v>2025.002G.Monodnaviria_reorg_4nr.zip</v>
      </c>
    </row>
    <row r="8555" spans="1:21">
      <c r="A8555">
        <v>8554</v>
      </c>
      <c r="B8555" s="27" t="s">
        <v>20779</v>
      </c>
      <c r="D8555" s="27" t="s">
        <v>1826</v>
      </c>
      <c r="F8555" s="27" t="s">
        <v>1844</v>
      </c>
      <c r="H8555" s="27" t="s">
        <v>1853</v>
      </c>
      <c r="J8555" s="27" t="s">
        <v>1854</v>
      </c>
      <c r="L8555" s="27" t="s">
        <v>461</v>
      </c>
      <c r="N8555" s="27" t="s">
        <v>462</v>
      </c>
      <c r="P8555" s="27" t="s">
        <v>13200</v>
      </c>
      <c r="Q8555" s="26" t="str">
        <f>HYPERLINK("https://ictv.global/taxonomy/taxondetails?taxnode_id=202509137&amp;ictv_id=ICTV202009137","ICTV202009137")</f>
        <v>ICTV202009137</v>
      </c>
      <c r="R8555" t="s">
        <v>660</v>
      </c>
      <c r="S8555" t="s">
        <v>824</v>
      </c>
      <c r="T8555">
        <v>41</v>
      </c>
      <c r="U8555" s="26" t="str">
        <f t="shared" si="309"/>
        <v>2025.002G.Monodnaviria_reorg_4nr.zip</v>
      </c>
    </row>
    <row r="8556" spans="1:21">
      <c r="A8556">
        <v>8555</v>
      </c>
      <c r="B8556" s="27" t="s">
        <v>20779</v>
      </c>
      <c r="D8556" s="27" t="s">
        <v>1826</v>
      </c>
      <c r="F8556" s="27" t="s">
        <v>1844</v>
      </c>
      <c r="H8556" s="27" t="s">
        <v>1853</v>
      </c>
      <c r="J8556" s="27" t="s">
        <v>1854</v>
      </c>
      <c r="L8556" s="27" t="s">
        <v>461</v>
      </c>
      <c r="N8556" s="27" t="s">
        <v>462</v>
      </c>
      <c r="P8556" s="27" t="s">
        <v>13201</v>
      </c>
      <c r="Q8556" s="26" t="str">
        <f>HYPERLINK("https://ictv.global/taxonomy/taxondetails?taxnode_id=202503476&amp;ictv_id=ICTV20084005","ICTV20084005")</f>
        <v>ICTV20084005</v>
      </c>
      <c r="R8556" t="s">
        <v>660</v>
      </c>
      <c r="S8556" t="s">
        <v>824</v>
      </c>
      <c r="T8556">
        <v>41</v>
      </c>
      <c r="U8556" s="26" t="str">
        <f t="shared" si="309"/>
        <v>2025.002G.Monodnaviria_reorg_4nr.zip</v>
      </c>
    </row>
    <row r="8557" spans="1:21">
      <c r="A8557">
        <v>8556</v>
      </c>
      <c r="B8557" s="27" t="s">
        <v>20779</v>
      </c>
      <c r="D8557" s="27" t="s">
        <v>1826</v>
      </c>
      <c r="F8557" s="27" t="s">
        <v>1844</v>
      </c>
      <c r="H8557" s="27" t="s">
        <v>1853</v>
      </c>
      <c r="J8557" s="27" t="s">
        <v>1854</v>
      </c>
      <c r="L8557" s="27" t="s">
        <v>461</v>
      </c>
      <c r="N8557" s="27" t="s">
        <v>462</v>
      </c>
      <c r="P8557" s="27" t="s">
        <v>13202</v>
      </c>
      <c r="Q8557" s="26" t="str">
        <f>HYPERLINK("https://ictv.global/taxonomy/taxondetails?taxnode_id=202505840&amp;ictv_id=ICTV20175840","ICTV20175840")</f>
        <v>ICTV20175840</v>
      </c>
      <c r="R8557" t="s">
        <v>660</v>
      </c>
      <c r="S8557" t="s">
        <v>824</v>
      </c>
      <c r="T8557">
        <v>41</v>
      </c>
      <c r="U8557" s="26" t="str">
        <f t="shared" si="309"/>
        <v>2025.002G.Monodnaviria_reorg_4nr.zip</v>
      </c>
    </row>
    <row r="8558" spans="1:21">
      <c r="A8558">
        <v>8557</v>
      </c>
      <c r="B8558" s="27" t="s">
        <v>20779</v>
      </c>
      <c r="D8558" s="27" t="s">
        <v>1826</v>
      </c>
      <c r="F8558" s="27" t="s">
        <v>1844</v>
      </c>
      <c r="H8558" s="27" t="s">
        <v>1853</v>
      </c>
      <c r="J8558" s="27" t="s">
        <v>1854</v>
      </c>
      <c r="L8558" s="27" t="s">
        <v>461</v>
      </c>
      <c r="N8558" s="27" t="s">
        <v>462</v>
      </c>
      <c r="P8558" s="27" t="s">
        <v>13203</v>
      </c>
      <c r="Q8558" s="26" t="str">
        <f>HYPERLINK("https://ictv.global/taxonomy/taxondetails?taxnode_id=202503477&amp;ictv_id=ICTV20084006","ICTV20084006")</f>
        <v>ICTV20084006</v>
      </c>
      <c r="R8558" t="s">
        <v>660</v>
      </c>
      <c r="S8558" t="s">
        <v>824</v>
      </c>
      <c r="T8558">
        <v>41</v>
      </c>
      <c r="U8558" s="26" t="str">
        <f t="shared" si="309"/>
        <v>2025.002G.Monodnaviria_reorg_4nr.zip</v>
      </c>
    </row>
    <row r="8559" spans="1:21">
      <c r="A8559">
        <v>8558</v>
      </c>
      <c r="B8559" s="27" t="s">
        <v>20779</v>
      </c>
      <c r="D8559" s="27" t="s">
        <v>1826</v>
      </c>
      <c r="F8559" s="27" t="s">
        <v>1844</v>
      </c>
      <c r="H8559" s="27" t="s">
        <v>1853</v>
      </c>
      <c r="J8559" s="27" t="s">
        <v>1854</v>
      </c>
      <c r="L8559" s="27" t="s">
        <v>461</v>
      </c>
      <c r="N8559" s="27" t="s">
        <v>462</v>
      </c>
      <c r="P8559" s="27" t="s">
        <v>13204</v>
      </c>
      <c r="Q8559" s="26" t="str">
        <f>HYPERLINK("https://ictv.global/taxonomy/taxondetails?taxnode_id=202503478&amp;ictv_id=ICTV20073776","ICTV20073776")</f>
        <v>ICTV20073776</v>
      </c>
      <c r="R8559" t="s">
        <v>660</v>
      </c>
      <c r="S8559" t="s">
        <v>824</v>
      </c>
      <c r="T8559">
        <v>41</v>
      </c>
      <c r="U8559" s="26" t="str">
        <f t="shared" si="309"/>
        <v>2025.002G.Monodnaviria_reorg_4nr.zip</v>
      </c>
    </row>
    <row r="8560" spans="1:21">
      <c r="A8560">
        <v>8559</v>
      </c>
      <c r="B8560" s="27" t="s">
        <v>20779</v>
      </c>
      <c r="D8560" s="27" t="s">
        <v>1826</v>
      </c>
      <c r="F8560" s="27" t="s">
        <v>1844</v>
      </c>
      <c r="H8560" s="27" t="s">
        <v>1853</v>
      </c>
      <c r="J8560" s="27" t="s">
        <v>1854</v>
      </c>
      <c r="L8560" s="27" t="s">
        <v>461</v>
      </c>
      <c r="N8560" s="27" t="s">
        <v>462</v>
      </c>
      <c r="P8560" s="27" t="s">
        <v>13205</v>
      </c>
      <c r="Q8560" s="26" t="str">
        <f>HYPERLINK("https://ictv.global/taxonomy/taxondetails?taxnode_id=202503488&amp;ictv_id=ICTV20084015","ICTV20084015")</f>
        <v>ICTV20084015</v>
      </c>
      <c r="R8560" t="s">
        <v>660</v>
      </c>
      <c r="S8560" t="s">
        <v>824</v>
      </c>
      <c r="T8560">
        <v>41</v>
      </c>
      <c r="U8560" s="26" t="str">
        <f t="shared" si="309"/>
        <v>2025.002G.Monodnaviria_reorg_4nr.zip</v>
      </c>
    </row>
    <row r="8561" spans="1:21">
      <c r="A8561">
        <v>8560</v>
      </c>
      <c r="B8561" s="27" t="s">
        <v>20779</v>
      </c>
      <c r="D8561" s="27" t="s">
        <v>1826</v>
      </c>
      <c r="F8561" s="27" t="s">
        <v>1844</v>
      </c>
      <c r="H8561" s="27" t="s">
        <v>1853</v>
      </c>
      <c r="J8561" s="27" t="s">
        <v>1854</v>
      </c>
      <c r="L8561" s="27" t="s">
        <v>461</v>
      </c>
      <c r="N8561" s="27" t="s">
        <v>462</v>
      </c>
      <c r="P8561" s="27" t="s">
        <v>13206</v>
      </c>
      <c r="Q8561" s="26" t="str">
        <f>HYPERLINK("https://ictv.global/taxonomy/taxondetails?taxnode_id=202503479&amp;ictv_id=ICTV20073777","ICTV20073777")</f>
        <v>ICTV20073777</v>
      </c>
      <c r="R8561" t="s">
        <v>660</v>
      </c>
      <c r="S8561" t="s">
        <v>824</v>
      </c>
      <c r="T8561">
        <v>41</v>
      </c>
      <c r="U8561" s="26" t="str">
        <f t="shared" si="309"/>
        <v>2025.002G.Monodnaviria_reorg_4nr.zip</v>
      </c>
    </row>
    <row r="8562" spans="1:21">
      <c r="A8562">
        <v>8561</v>
      </c>
      <c r="B8562" s="27" t="s">
        <v>20779</v>
      </c>
      <c r="D8562" s="27" t="s">
        <v>1826</v>
      </c>
      <c r="F8562" s="27" t="s">
        <v>1844</v>
      </c>
      <c r="H8562" s="27" t="s">
        <v>1853</v>
      </c>
      <c r="J8562" s="27" t="s">
        <v>1854</v>
      </c>
      <c r="L8562" s="27" t="s">
        <v>461</v>
      </c>
      <c r="N8562" s="27" t="s">
        <v>462</v>
      </c>
      <c r="P8562" s="27" t="s">
        <v>13207</v>
      </c>
      <c r="Q8562" s="26" t="str">
        <f>HYPERLINK("https://ictv.global/taxonomy/taxondetails?taxnode_id=202503480&amp;ictv_id=ICTV20084009","ICTV20084009")</f>
        <v>ICTV20084009</v>
      </c>
      <c r="R8562" t="s">
        <v>660</v>
      </c>
      <c r="S8562" t="s">
        <v>824</v>
      </c>
      <c r="T8562">
        <v>41</v>
      </c>
      <c r="U8562" s="26" t="str">
        <f t="shared" si="309"/>
        <v>2025.002G.Monodnaviria_reorg_4nr.zip</v>
      </c>
    </row>
    <row r="8563" spans="1:21">
      <c r="A8563">
        <v>8562</v>
      </c>
      <c r="B8563" s="27" t="s">
        <v>20779</v>
      </c>
      <c r="D8563" s="27" t="s">
        <v>1826</v>
      </c>
      <c r="F8563" s="27" t="s">
        <v>1844</v>
      </c>
      <c r="H8563" s="27" t="s">
        <v>1853</v>
      </c>
      <c r="J8563" s="27" t="s">
        <v>1854</v>
      </c>
      <c r="L8563" s="27" t="s">
        <v>461</v>
      </c>
      <c r="N8563" s="27" t="s">
        <v>462</v>
      </c>
      <c r="P8563" s="27" t="s">
        <v>13208</v>
      </c>
      <c r="Q8563" s="26" t="str">
        <f>HYPERLINK("https://ictv.global/taxonomy/taxondetails?taxnode_id=202503486&amp;ictv_id=ICTV20084014","ICTV20084014")</f>
        <v>ICTV20084014</v>
      </c>
      <c r="R8563" t="s">
        <v>660</v>
      </c>
      <c r="S8563" t="s">
        <v>824</v>
      </c>
      <c r="T8563">
        <v>41</v>
      </c>
      <c r="U8563" s="26" t="str">
        <f t="shared" si="309"/>
        <v>2025.002G.Monodnaviria_reorg_4nr.zip</v>
      </c>
    </row>
    <row r="8564" spans="1:21">
      <c r="A8564">
        <v>8563</v>
      </c>
      <c r="B8564" s="27" t="s">
        <v>20779</v>
      </c>
      <c r="D8564" s="27" t="s">
        <v>1826</v>
      </c>
      <c r="F8564" s="27" t="s">
        <v>1844</v>
      </c>
      <c r="H8564" s="27" t="s">
        <v>1853</v>
      </c>
      <c r="J8564" s="27" t="s">
        <v>1854</v>
      </c>
      <c r="L8564" s="27" t="s">
        <v>461</v>
      </c>
      <c r="N8564" s="27" t="s">
        <v>462</v>
      </c>
      <c r="P8564" s="27" t="s">
        <v>20081</v>
      </c>
      <c r="Q8564" s="26" t="str">
        <f>HYPERLINK("https://ictv.global/taxonomy/taxondetails?taxnode_id=202520468&amp;ictv_id=ICTV202420468","ICTV202420468")</f>
        <v>ICTV202420468</v>
      </c>
      <c r="R8564" t="s">
        <v>582</v>
      </c>
      <c r="S8564" t="s">
        <v>824</v>
      </c>
      <c r="T8564">
        <v>41</v>
      </c>
      <c r="U8564" s="26" t="str">
        <f t="shared" si="309"/>
        <v>2025.002G.Monodnaviria_reorg_4nr.zip</v>
      </c>
    </row>
    <row r="8565" spans="1:21">
      <c r="A8565">
        <v>8564</v>
      </c>
      <c r="B8565" s="27" t="s">
        <v>20779</v>
      </c>
      <c r="D8565" s="27" t="s">
        <v>1826</v>
      </c>
      <c r="F8565" s="27" t="s">
        <v>1844</v>
      </c>
      <c r="H8565" s="27" t="s">
        <v>1853</v>
      </c>
      <c r="J8565" s="27" t="s">
        <v>1854</v>
      </c>
      <c r="L8565" s="27" t="s">
        <v>461</v>
      </c>
      <c r="N8565" s="27" t="s">
        <v>462</v>
      </c>
      <c r="P8565" s="27" t="s">
        <v>13209</v>
      </c>
      <c r="Q8565" s="26" t="str">
        <f>HYPERLINK("https://ictv.global/taxonomy/taxondetails?taxnode_id=202503482&amp;ictv_id=ICTV19951004","ICTV19951004")</f>
        <v>ICTV19951004</v>
      </c>
      <c r="R8565" t="s">
        <v>660</v>
      </c>
      <c r="S8565" t="s">
        <v>824</v>
      </c>
      <c r="T8565">
        <v>41</v>
      </c>
      <c r="U8565" s="26" t="str">
        <f t="shared" si="309"/>
        <v>2025.002G.Monodnaviria_reorg_4nr.zip</v>
      </c>
    </row>
    <row r="8566" spans="1:21">
      <c r="A8566">
        <v>8565</v>
      </c>
      <c r="B8566" s="27" t="s">
        <v>20779</v>
      </c>
      <c r="D8566" s="27" t="s">
        <v>1826</v>
      </c>
      <c r="F8566" s="27" t="s">
        <v>1844</v>
      </c>
      <c r="H8566" s="27" t="s">
        <v>1853</v>
      </c>
      <c r="J8566" s="27" t="s">
        <v>1854</v>
      </c>
      <c r="L8566" s="27" t="s">
        <v>461</v>
      </c>
      <c r="N8566" s="27" t="s">
        <v>462</v>
      </c>
      <c r="P8566" s="27" t="s">
        <v>13210</v>
      </c>
      <c r="Q8566" s="26" t="str">
        <f>HYPERLINK("https://ictv.global/taxonomy/taxondetails?taxnode_id=202503487&amp;ictv_id=ICTV20131985","ICTV20131985")</f>
        <v>ICTV20131985</v>
      </c>
      <c r="R8566" t="s">
        <v>660</v>
      </c>
      <c r="S8566" t="s">
        <v>824</v>
      </c>
      <c r="T8566">
        <v>41</v>
      </c>
      <c r="U8566" s="26" t="str">
        <f t="shared" si="309"/>
        <v>2025.002G.Monodnaviria_reorg_4nr.zip</v>
      </c>
    </row>
    <row r="8567" spans="1:21">
      <c r="A8567">
        <v>8566</v>
      </c>
      <c r="B8567" s="27" t="s">
        <v>20779</v>
      </c>
      <c r="D8567" s="27" t="s">
        <v>1826</v>
      </c>
      <c r="F8567" s="27" t="s">
        <v>1844</v>
      </c>
      <c r="H8567" s="27" t="s">
        <v>1853</v>
      </c>
      <c r="J8567" s="27" t="s">
        <v>1854</v>
      </c>
      <c r="L8567" s="27" t="s">
        <v>461</v>
      </c>
      <c r="N8567" s="27" t="s">
        <v>462</v>
      </c>
      <c r="P8567" s="27" t="s">
        <v>13211</v>
      </c>
      <c r="Q8567" s="26" t="str">
        <f>HYPERLINK("https://ictv.global/taxonomy/taxondetails?taxnode_id=202503489&amp;ictv_id=ICTV20084016","ICTV20084016")</f>
        <v>ICTV20084016</v>
      </c>
      <c r="R8567" t="s">
        <v>660</v>
      </c>
      <c r="S8567" t="s">
        <v>824</v>
      </c>
      <c r="T8567">
        <v>41</v>
      </c>
      <c r="U8567" s="26" t="str">
        <f t="shared" si="309"/>
        <v>2025.002G.Monodnaviria_reorg_4nr.zip</v>
      </c>
    </row>
    <row r="8568" spans="1:21">
      <c r="A8568">
        <v>8567</v>
      </c>
      <c r="B8568" s="27" t="s">
        <v>20779</v>
      </c>
      <c r="D8568" s="27" t="s">
        <v>1826</v>
      </c>
      <c r="F8568" s="27" t="s">
        <v>1844</v>
      </c>
      <c r="H8568" s="27" t="s">
        <v>1853</v>
      </c>
      <c r="J8568" s="27" t="s">
        <v>1854</v>
      </c>
      <c r="L8568" s="27" t="s">
        <v>461</v>
      </c>
      <c r="N8568" s="27" t="s">
        <v>462</v>
      </c>
      <c r="P8568" s="27" t="s">
        <v>13212</v>
      </c>
      <c r="Q8568" s="26" t="str">
        <f>HYPERLINK("https://ictv.global/taxonomy/taxondetails?taxnode_id=202503483&amp;ictv_id=ICTV20084012","ICTV20084012")</f>
        <v>ICTV20084012</v>
      </c>
      <c r="R8568" t="s">
        <v>660</v>
      </c>
      <c r="S8568" t="s">
        <v>824</v>
      </c>
      <c r="T8568">
        <v>41</v>
      </c>
      <c r="U8568" s="26" t="str">
        <f t="shared" si="309"/>
        <v>2025.002G.Monodnaviria_reorg_4nr.zip</v>
      </c>
    </row>
    <row r="8569" spans="1:21">
      <c r="A8569">
        <v>8568</v>
      </c>
      <c r="B8569" s="27" t="s">
        <v>20779</v>
      </c>
      <c r="D8569" s="27" t="s">
        <v>1826</v>
      </c>
      <c r="F8569" s="27" t="s">
        <v>1844</v>
      </c>
      <c r="H8569" s="27" t="s">
        <v>1853</v>
      </c>
      <c r="J8569" s="27" t="s">
        <v>1854</v>
      </c>
      <c r="L8569" s="27" t="s">
        <v>461</v>
      </c>
      <c r="N8569" s="27" t="s">
        <v>462</v>
      </c>
      <c r="P8569" s="27" t="s">
        <v>13213</v>
      </c>
      <c r="Q8569" s="26" t="str">
        <f>HYPERLINK("https://ictv.global/taxonomy/taxondetails?taxnode_id=202505841&amp;ictv_id=ICTV20175841","ICTV20175841")</f>
        <v>ICTV20175841</v>
      </c>
      <c r="R8569" t="s">
        <v>660</v>
      </c>
      <c r="S8569" t="s">
        <v>824</v>
      </c>
      <c r="T8569">
        <v>41</v>
      </c>
      <c r="U8569" s="26" t="str">
        <f t="shared" si="309"/>
        <v>2025.002G.Monodnaviria_reorg_4nr.zip</v>
      </c>
    </row>
    <row r="8570" spans="1:21">
      <c r="A8570">
        <v>8569</v>
      </c>
      <c r="B8570" s="27" t="s">
        <v>20779</v>
      </c>
      <c r="D8570" s="27" t="s">
        <v>1826</v>
      </c>
      <c r="F8570" s="27" t="s">
        <v>1844</v>
      </c>
      <c r="H8570" s="27" t="s">
        <v>1853</v>
      </c>
      <c r="J8570" s="27" t="s">
        <v>1854</v>
      </c>
      <c r="L8570" s="27" t="s">
        <v>461</v>
      </c>
      <c r="N8570" s="27" t="s">
        <v>462</v>
      </c>
      <c r="P8570" s="27" t="s">
        <v>13214</v>
      </c>
      <c r="Q8570" s="26" t="str">
        <f>HYPERLINK("https://ictv.global/taxonomy/taxondetails?taxnode_id=202503422&amp;ictv_id=ICTV20131967","ICTV20131967")</f>
        <v>ICTV20131967</v>
      </c>
      <c r="R8570" t="s">
        <v>660</v>
      </c>
      <c r="S8570" t="s">
        <v>824</v>
      </c>
      <c r="T8570">
        <v>41</v>
      </c>
      <c r="U8570" s="26" t="str">
        <f t="shared" si="309"/>
        <v>2025.002G.Monodnaviria_reorg_4nr.zip</v>
      </c>
    </row>
    <row r="8571" spans="1:21">
      <c r="A8571">
        <v>8570</v>
      </c>
      <c r="B8571" s="27" t="s">
        <v>20779</v>
      </c>
      <c r="D8571" s="27" t="s">
        <v>1826</v>
      </c>
      <c r="F8571" s="27" t="s">
        <v>1844</v>
      </c>
      <c r="H8571" s="27" t="s">
        <v>1853</v>
      </c>
      <c r="J8571" s="27" t="s">
        <v>1854</v>
      </c>
      <c r="L8571" s="27" t="s">
        <v>461</v>
      </c>
      <c r="N8571" s="27" t="s">
        <v>462</v>
      </c>
      <c r="P8571" s="27" t="s">
        <v>13215</v>
      </c>
      <c r="Q8571" s="26" t="str">
        <f>HYPERLINK("https://ictv.global/taxonomy/taxondetails?taxnode_id=202503423&amp;ictv_id=ICTV20083969","ICTV20083969")</f>
        <v>ICTV20083969</v>
      </c>
      <c r="R8571" t="s">
        <v>660</v>
      </c>
      <c r="S8571" t="s">
        <v>824</v>
      </c>
      <c r="T8571">
        <v>41</v>
      </c>
      <c r="U8571" s="26" t="str">
        <f t="shared" si="309"/>
        <v>2025.002G.Monodnaviria_reorg_4nr.zip</v>
      </c>
    </row>
    <row r="8572" spans="1:21">
      <c r="A8572">
        <v>8571</v>
      </c>
      <c r="B8572" s="27" t="s">
        <v>20779</v>
      </c>
      <c r="D8572" s="27" t="s">
        <v>1826</v>
      </c>
      <c r="F8572" s="27" t="s">
        <v>1844</v>
      </c>
      <c r="H8572" s="27" t="s">
        <v>1853</v>
      </c>
      <c r="J8572" s="27" t="s">
        <v>1854</v>
      </c>
      <c r="L8572" s="27" t="s">
        <v>461</v>
      </c>
      <c r="N8572" s="27" t="s">
        <v>462</v>
      </c>
      <c r="P8572" s="27" t="s">
        <v>13216</v>
      </c>
      <c r="Q8572" s="26" t="str">
        <f>HYPERLINK("https://ictv.global/taxonomy/taxondetails?taxnode_id=202503424&amp;ictv_id=ICTV20083970","ICTV20083970")</f>
        <v>ICTV20083970</v>
      </c>
      <c r="R8572" t="s">
        <v>660</v>
      </c>
      <c r="S8572" t="s">
        <v>824</v>
      </c>
      <c r="T8572">
        <v>41</v>
      </c>
      <c r="U8572" s="26" t="str">
        <f t="shared" si="309"/>
        <v>2025.002G.Monodnaviria_reorg_4nr.zip</v>
      </c>
    </row>
    <row r="8573" spans="1:21">
      <c r="A8573">
        <v>8572</v>
      </c>
      <c r="B8573" s="27" t="s">
        <v>20779</v>
      </c>
      <c r="D8573" s="27" t="s">
        <v>1826</v>
      </c>
      <c r="F8573" s="27" t="s">
        <v>1844</v>
      </c>
      <c r="H8573" s="27" t="s">
        <v>1853</v>
      </c>
      <c r="J8573" s="27" t="s">
        <v>1854</v>
      </c>
      <c r="L8573" s="27" t="s">
        <v>461</v>
      </c>
      <c r="N8573" s="27" t="s">
        <v>462</v>
      </c>
      <c r="P8573" s="27" t="s">
        <v>13217</v>
      </c>
      <c r="Q8573" s="26" t="str">
        <f>HYPERLINK("https://ictv.global/taxonomy/taxondetails?taxnode_id=202503425&amp;ictv_id=ICTV20041198","ICTV20041198")</f>
        <v>ICTV20041198</v>
      </c>
      <c r="R8573" t="s">
        <v>660</v>
      </c>
      <c r="S8573" t="s">
        <v>824</v>
      </c>
      <c r="T8573">
        <v>41</v>
      </c>
      <c r="U8573" s="26" t="str">
        <f t="shared" si="309"/>
        <v>2025.002G.Monodnaviria_reorg_4nr.zip</v>
      </c>
    </row>
    <row r="8574" spans="1:21">
      <c r="A8574">
        <v>8573</v>
      </c>
      <c r="B8574" s="27" t="s">
        <v>20779</v>
      </c>
      <c r="D8574" s="27" t="s">
        <v>1826</v>
      </c>
      <c r="F8574" s="27" t="s">
        <v>1844</v>
      </c>
      <c r="H8574" s="27" t="s">
        <v>1853</v>
      </c>
      <c r="J8574" s="27" t="s">
        <v>1854</v>
      </c>
      <c r="L8574" s="27" t="s">
        <v>461</v>
      </c>
      <c r="N8574" s="27" t="s">
        <v>462</v>
      </c>
      <c r="P8574" s="27" t="s">
        <v>13218</v>
      </c>
      <c r="Q8574" s="26" t="str">
        <f>HYPERLINK("https://ictv.global/taxonomy/taxondetails?taxnode_id=202503426&amp;ictv_id=ICTV20131968","ICTV20131968")</f>
        <v>ICTV20131968</v>
      </c>
      <c r="R8574" t="s">
        <v>660</v>
      </c>
      <c r="S8574" t="s">
        <v>824</v>
      </c>
      <c r="T8574">
        <v>41</v>
      </c>
      <c r="U8574" s="26" t="str">
        <f t="shared" si="309"/>
        <v>2025.002G.Monodnaviria_reorg_4nr.zip</v>
      </c>
    </row>
    <row r="8575" spans="1:21">
      <c r="A8575">
        <v>8574</v>
      </c>
      <c r="B8575" s="27" t="s">
        <v>20779</v>
      </c>
      <c r="D8575" s="27" t="s">
        <v>1826</v>
      </c>
      <c r="F8575" s="27" t="s">
        <v>1844</v>
      </c>
      <c r="H8575" s="27" t="s">
        <v>1853</v>
      </c>
      <c r="J8575" s="27" t="s">
        <v>1854</v>
      </c>
      <c r="L8575" s="27" t="s">
        <v>461</v>
      </c>
      <c r="N8575" s="27" t="s">
        <v>462</v>
      </c>
      <c r="P8575" s="27" t="s">
        <v>13219</v>
      </c>
      <c r="Q8575" s="26" t="str">
        <f>HYPERLINK("https://ictv.global/taxonomy/taxondetails?taxnode_id=202503427&amp;ictv_id=ICTV20131969","ICTV20131969")</f>
        <v>ICTV20131969</v>
      </c>
      <c r="R8575" t="s">
        <v>660</v>
      </c>
      <c r="S8575" t="s">
        <v>824</v>
      </c>
      <c r="T8575">
        <v>41</v>
      </c>
      <c r="U8575" s="26" t="str">
        <f t="shared" si="309"/>
        <v>2025.002G.Monodnaviria_reorg_4nr.zip</v>
      </c>
    </row>
    <row r="8576" spans="1:21">
      <c r="A8576">
        <v>8575</v>
      </c>
      <c r="B8576" s="27" t="s">
        <v>20779</v>
      </c>
      <c r="D8576" s="27" t="s">
        <v>1826</v>
      </c>
      <c r="F8576" s="27" t="s">
        <v>1844</v>
      </c>
      <c r="H8576" s="27" t="s">
        <v>1853</v>
      </c>
      <c r="J8576" s="27" t="s">
        <v>1854</v>
      </c>
      <c r="L8576" s="27" t="s">
        <v>461</v>
      </c>
      <c r="N8576" s="27" t="s">
        <v>462</v>
      </c>
      <c r="P8576" s="27" t="s">
        <v>13220</v>
      </c>
      <c r="Q8576" s="26" t="str">
        <f>HYPERLINK("https://ictv.global/taxonomy/taxondetails?taxnode_id=202503466&amp;ictv_id=ICTV20041209","ICTV20041209")</f>
        <v>ICTV20041209</v>
      </c>
      <c r="R8576" t="s">
        <v>660</v>
      </c>
      <c r="S8576" t="s">
        <v>824</v>
      </c>
      <c r="T8576">
        <v>41</v>
      </c>
      <c r="U8576" s="26" t="str">
        <f t="shared" si="309"/>
        <v>2025.002G.Monodnaviria_reorg_4nr.zip</v>
      </c>
    </row>
    <row r="8577" spans="1:21">
      <c r="A8577">
        <v>8576</v>
      </c>
      <c r="B8577" s="27" t="s">
        <v>20779</v>
      </c>
      <c r="D8577" s="27" t="s">
        <v>1826</v>
      </c>
      <c r="F8577" s="27" t="s">
        <v>1844</v>
      </c>
      <c r="H8577" s="27" t="s">
        <v>1853</v>
      </c>
      <c r="J8577" s="27" t="s">
        <v>1854</v>
      </c>
      <c r="L8577" s="27" t="s">
        <v>461</v>
      </c>
      <c r="N8577" s="27" t="s">
        <v>462</v>
      </c>
      <c r="P8577" s="27" t="s">
        <v>13221</v>
      </c>
      <c r="Q8577" s="26" t="str">
        <f>HYPERLINK("https://ictv.global/taxonomy/taxondetails?taxnode_id=202503428&amp;ictv_id=ICTV20083972","ICTV20083972")</f>
        <v>ICTV20083972</v>
      </c>
      <c r="R8577" t="s">
        <v>660</v>
      </c>
      <c r="S8577" t="s">
        <v>824</v>
      </c>
      <c r="T8577">
        <v>41</v>
      </c>
      <c r="U8577" s="26" t="str">
        <f t="shared" si="309"/>
        <v>2025.002G.Monodnaviria_reorg_4nr.zip</v>
      </c>
    </row>
    <row r="8578" spans="1:21">
      <c r="A8578">
        <v>8577</v>
      </c>
      <c r="B8578" s="27" t="s">
        <v>20779</v>
      </c>
      <c r="D8578" s="27" t="s">
        <v>1826</v>
      </c>
      <c r="F8578" s="27" t="s">
        <v>1844</v>
      </c>
      <c r="H8578" s="27" t="s">
        <v>1853</v>
      </c>
      <c r="J8578" s="27" t="s">
        <v>1854</v>
      </c>
      <c r="L8578" s="27" t="s">
        <v>461</v>
      </c>
      <c r="N8578" s="27" t="s">
        <v>462</v>
      </c>
      <c r="P8578" s="27" t="s">
        <v>13222</v>
      </c>
      <c r="Q8578" s="26" t="str">
        <f>HYPERLINK("https://ictv.global/taxonomy/taxondetails?taxnode_id=202503413&amp;ictv_id=ICTV20152857","ICTV20152857")</f>
        <v>ICTV20152857</v>
      </c>
      <c r="R8578" t="s">
        <v>660</v>
      </c>
      <c r="S8578" t="s">
        <v>824</v>
      </c>
      <c r="T8578">
        <v>41</v>
      </c>
      <c r="U8578" s="26" t="str">
        <f t="shared" si="309"/>
        <v>2025.002G.Monodnaviria_reorg_4nr.zip</v>
      </c>
    </row>
    <row r="8579" spans="1:21">
      <c r="A8579">
        <v>8578</v>
      </c>
      <c r="B8579" s="27" t="s">
        <v>20779</v>
      </c>
      <c r="D8579" s="27" t="s">
        <v>1826</v>
      </c>
      <c r="F8579" s="27" t="s">
        <v>1844</v>
      </c>
      <c r="H8579" s="27" t="s">
        <v>1853</v>
      </c>
      <c r="J8579" s="27" t="s">
        <v>1854</v>
      </c>
      <c r="L8579" s="27" t="s">
        <v>461</v>
      </c>
      <c r="N8579" s="27" t="s">
        <v>462</v>
      </c>
      <c r="P8579" s="27" t="s">
        <v>13223</v>
      </c>
      <c r="Q8579" s="26" t="str">
        <f>HYPERLINK("https://ictv.global/taxonomy/taxondetails?taxnode_id=202503429&amp;ictv_id=ICTV20131970","ICTV20131970")</f>
        <v>ICTV20131970</v>
      </c>
      <c r="R8579" t="s">
        <v>660</v>
      </c>
      <c r="S8579" t="s">
        <v>824</v>
      </c>
      <c r="T8579">
        <v>41</v>
      </c>
      <c r="U8579" s="26" t="str">
        <f t="shared" si="309"/>
        <v>2025.002G.Monodnaviria_reorg_4nr.zip</v>
      </c>
    </row>
    <row r="8580" spans="1:21">
      <c r="A8580">
        <v>8579</v>
      </c>
      <c r="B8580" s="27" t="s">
        <v>20779</v>
      </c>
      <c r="D8580" s="27" t="s">
        <v>1826</v>
      </c>
      <c r="F8580" s="27" t="s">
        <v>1844</v>
      </c>
      <c r="H8580" s="27" t="s">
        <v>1853</v>
      </c>
      <c r="J8580" s="27" t="s">
        <v>1854</v>
      </c>
      <c r="L8580" s="27" t="s">
        <v>461</v>
      </c>
      <c r="N8580" s="27" t="s">
        <v>462</v>
      </c>
      <c r="P8580" s="27" t="s">
        <v>13224</v>
      </c>
      <c r="Q8580" s="26" t="str">
        <f>HYPERLINK("https://ictv.global/taxonomy/taxondetails?taxnode_id=202506709&amp;ictv_id=ICTV201856709","ICTV201856709")</f>
        <v>ICTV201856709</v>
      </c>
      <c r="R8580" t="s">
        <v>660</v>
      </c>
      <c r="S8580" t="s">
        <v>824</v>
      </c>
      <c r="T8580">
        <v>41</v>
      </c>
      <c r="U8580" s="26" t="str">
        <f t="shared" si="309"/>
        <v>2025.002G.Monodnaviria_reorg_4nr.zip</v>
      </c>
    </row>
    <row r="8581" spans="1:21">
      <c r="A8581">
        <v>8580</v>
      </c>
      <c r="B8581" s="27" t="s">
        <v>20779</v>
      </c>
      <c r="D8581" s="27" t="s">
        <v>1826</v>
      </c>
      <c r="F8581" s="27" t="s">
        <v>1844</v>
      </c>
      <c r="H8581" s="27" t="s">
        <v>1853</v>
      </c>
      <c r="J8581" s="27" t="s">
        <v>1854</v>
      </c>
      <c r="L8581" s="27" t="s">
        <v>461</v>
      </c>
      <c r="N8581" s="27" t="s">
        <v>462</v>
      </c>
      <c r="P8581" s="27" t="s">
        <v>13225</v>
      </c>
      <c r="Q8581" s="26" t="str">
        <f>HYPERLINK("https://ictv.global/taxonomy/taxondetails?taxnode_id=202503430&amp;ictv_id=ICTV20083974","ICTV20083974")</f>
        <v>ICTV20083974</v>
      </c>
      <c r="R8581" t="s">
        <v>660</v>
      </c>
      <c r="S8581" t="s">
        <v>824</v>
      </c>
      <c r="T8581">
        <v>41</v>
      </c>
      <c r="U8581" s="26" t="str">
        <f t="shared" si="309"/>
        <v>2025.002G.Monodnaviria_reorg_4nr.zip</v>
      </c>
    </row>
    <row r="8582" spans="1:21">
      <c r="A8582">
        <v>8581</v>
      </c>
      <c r="B8582" s="27" t="s">
        <v>20779</v>
      </c>
      <c r="D8582" s="27" t="s">
        <v>1826</v>
      </c>
      <c r="F8582" s="27" t="s">
        <v>1844</v>
      </c>
      <c r="H8582" s="27" t="s">
        <v>1853</v>
      </c>
      <c r="J8582" s="27" t="s">
        <v>1854</v>
      </c>
      <c r="L8582" s="27" t="s">
        <v>461</v>
      </c>
      <c r="N8582" s="27" t="s">
        <v>462</v>
      </c>
      <c r="P8582" s="27" t="s">
        <v>13226</v>
      </c>
      <c r="Q8582" s="26" t="str">
        <f>HYPERLINK("https://ictv.global/taxonomy/taxondetails?taxnode_id=202503431&amp;ictv_id=ICTV20083975","ICTV20083975")</f>
        <v>ICTV20083975</v>
      </c>
      <c r="R8582" t="s">
        <v>660</v>
      </c>
      <c r="S8582" t="s">
        <v>824</v>
      </c>
      <c r="T8582">
        <v>41</v>
      </c>
      <c r="U8582" s="26" t="str">
        <f t="shared" si="309"/>
        <v>2025.002G.Monodnaviria_reorg_4nr.zip</v>
      </c>
    </row>
    <row r="8583" spans="1:21">
      <c r="A8583">
        <v>8582</v>
      </c>
      <c r="B8583" s="27" t="s">
        <v>20779</v>
      </c>
      <c r="D8583" s="27" t="s">
        <v>1826</v>
      </c>
      <c r="F8583" s="27" t="s">
        <v>1844</v>
      </c>
      <c r="H8583" s="27" t="s">
        <v>1853</v>
      </c>
      <c r="J8583" s="27" t="s">
        <v>1854</v>
      </c>
      <c r="L8583" s="27" t="s">
        <v>461</v>
      </c>
      <c r="N8583" s="27" t="s">
        <v>462</v>
      </c>
      <c r="P8583" s="27" t="s">
        <v>13227</v>
      </c>
      <c r="Q8583" s="26" t="str">
        <f>HYPERLINK("https://ictv.global/taxonomy/taxondetails?taxnode_id=202506715&amp;ictv_id=ICTV201856715","ICTV201856715")</f>
        <v>ICTV201856715</v>
      </c>
      <c r="R8583" t="s">
        <v>660</v>
      </c>
      <c r="S8583" t="s">
        <v>824</v>
      </c>
      <c r="T8583">
        <v>41</v>
      </c>
      <c r="U8583" s="26" t="str">
        <f t="shared" si="309"/>
        <v>2025.002G.Monodnaviria_reorg_4nr.zip</v>
      </c>
    </row>
    <row r="8584" spans="1:21">
      <c r="A8584">
        <v>8583</v>
      </c>
      <c r="B8584" s="27" t="s">
        <v>20779</v>
      </c>
      <c r="D8584" s="27" t="s">
        <v>1826</v>
      </c>
      <c r="F8584" s="27" t="s">
        <v>1844</v>
      </c>
      <c r="H8584" s="27" t="s">
        <v>1853</v>
      </c>
      <c r="J8584" s="27" t="s">
        <v>1854</v>
      </c>
      <c r="L8584" s="27" t="s">
        <v>461</v>
      </c>
      <c r="N8584" s="27" t="s">
        <v>462</v>
      </c>
      <c r="P8584" s="27" t="s">
        <v>13228</v>
      </c>
      <c r="Q8584" s="26" t="str">
        <f>HYPERLINK("https://ictv.global/taxonomy/taxondetails?taxnode_id=202503432&amp;ictv_id=ICTV20083976","ICTV20083976")</f>
        <v>ICTV20083976</v>
      </c>
      <c r="R8584" t="s">
        <v>660</v>
      </c>
      <c r="S8584" t="s">
        <v>824</v>
      </c>
      <c r="T8584">
        <v>41</v>
      </c>
      <c r="U8584" s="26" t="str">
        <f t="shared" si="309"/>
        <v>2025.002G.Monodnaviria_reorg_4nr.zip</v>
      </c>
    </row>
    <row r="8585" spans="1:21">
      <c r="A8585">
        <v>8584</v>
      </c>
      <c r="B8585" s="27" t="s">
        <v>20779</v>
      </c>
      <c r="D8585" s="27" t="s">
        <v>1826</v>
      </c>
      <c r="F8585" s="27" t="s">
        <v>1844</v>
      </c>
      <c r="H8585" s="27" t="s">
        <v>1853</v>
      </c>
      <c r="J8585" s="27" t="s">
        <v>1854</v>
      </c>
      <c r="L8585" s="27" t="s">
        <v>461</v>
      </c>
      <c r="N8585" s="27" t="s">
        <v>462</v>
      </c>
      <c r="P8585" s="27" t="s">
        <v>13229</v>
      </c>
      <c r="Q8585" s="26" t="str">
        <f>HYPERLINK("https://ictv.global/taxonomy/taxondetails?taxnode_id=202506713&amp;ictv_id=ICTV201856713","ICTV201856713")</f>
        <v>ICTV201856713</v>
      </c>
      <c r="R8585" t="s">
        <v>660</v>
      </c>
      <c r="S8585" t="s">
        <v>824</v>
      </c>
      <c r="T8585">
        <v>41</v>
      </c>
      <c r="U8585" s="26" t="str">
        <f t="shared" si="309"/>
        <v>2025.002G.Monodnaviria_reorg_4nr.zip</v>
      </c>
    </row>
    <row r="8586" spans="1:21">
      <c r="A8586">
        <v>8585</v>
      </c>
      <c r="B8586" s="27" t="s">
        <v>20779</v>
      </c>
      <c r="D8586" s="27" t="s">
        <v>1826</v>
      </c>
      <c r="F8586" s="27" t="s">
        <v>1844</v>
      </c>
      <c r="H8586" s="27" t="s">
        <v>1853</v>
      </c>
      <c r="J8586" s="27" t="s">
        <v>1854</v>
      </c>
      <c r="L8586" s="27" t="s">
        <v>461</v>
      </c>
      <c r="N8586" s="27" t="s">
        <v>462</v>
      </c>
      <c r="P8586" s="27" t="s">
        <v>13230</v>
      </c>
      <c r="Q8586" s="26" t="str">
        <f>HYPERLINK("https://ictv.global/taxonomy/taxondetails?taxnode_id=202506714&amp;ictv_id=ICTV201856714","ICTV201856714")</f>
        <v>ICTV201856714</v>
      </c>
      <c r="R8586" t="s">
        <v>660</v>
      </c>
      <c r="S8586" t="s">
        <v>824</v>
      </c>
      <c r="T8586">
        <v>41</v>
      </c>
      <c r="U8586" s="26" t="str">
        <f t="shared" si="309"/>
        <v>2025.002G.Monodnaviria_reorg_4nr.zip</v>
      </c>
    </row>
    <row r="8587" spans="1:21">
      <c r="A8587">
        <v>8586</v>
      </c>
      <c r="B8587" s="27" t="s">
        <v>20779</v>
      </c>
      <c r="D8587" s="27" t="s">
        <v>1826</v>
      </c>
      <c r="F8587" s="27" t="s">
        <v>1844</v>
      </c>
      <c r="H8587" s="27" t="s">
        <v>1853</v>
      </c>
      <c r="J8587" s="27" t="s">
        <v>1854</v>
      </c>
      <c r="L8587" s="27" t="s">
        <v>461</v>
      </c>
      <c r="N8587" s="27" t="s">
        <v>462</v>
      </c>
      <c r="P8587" s="27" t="s">
        <v>13231</v>
      </c>
      <c r="Q8587" s="26" t="str">
        <f>HYPERLINK("https://ictv.global/taxonomy/taxondetails?taxnode_id=202503433&amp;ictv_id=ICTV20083977","ICTV20083977")</f>
        <v>ICTV20083977</v>
      </c>
      <c r="R8587" t="s">
        <v>660</v>
      </c>
      <c r="S8587" t="s">
        <v>824</v>
      </c>
      <c r="T8587">
        <v>41</v>
      </c>
      <c r="U8587" s="26" t="str">
        <f t="shared" si="309"/>
        <v>2025.002G.Monodnaviria_reorg_4nr.zip</v>
      </c>
    </row>
    <row r="8588" spans="1:21">
      <c r="A8588">
        <v>8587</v>
      </c>
      <c r="B8588" s="27" t="s">
        <v>20779</v>
      </c>
      <c r="D8588" s="27" t="s">
        <v>1826</v>
      </c>
      <c r="F8588" s="27" t="s">
        <v>1844</v>
      </c>
      <c r="H8588" s="27" t="s">
        <v>1853</v>
      </c>
      <c r="J8588" s="27" t="s">
        <v>1854</v>
      </c>
      <c r="L8588" s="27" t="s">
        <v>461</v>
      </c>
      <c r="N8588" s="27" t="s">
        <v>462</v>
      </c>
      <c r="P8588" s="27" t="s">
        <v>13232</v>
      </c>
      <c r="Q8588" s="26" t="str">
        <f>HYPERLINK("https://ictv.global/taxonomy/taxondetails?taxnode_id=202509134&amp;ictv_id=ICTV202009134","ICTV202009134")</f>
        <v>ICTV202009134</v>
      </c>
      <c r="R8588" t="s">
        <v>660</v>
      </c>
      <c r="S8588" t="s">
        <v>824</v>
      </c>
      <c r="T8588">
        <v>41</v>
      </c>
      <c r="U8588" s="26" t="str">
        <f t="shared" si="309"/>
        <v>2025.002G.Monodnaviria_reorg_4nr.zip</v>
      </c>
    </row>
    <row r="8589" spans="1:21">
      <c r="A8589">
        <v>8588</v>
      </c>
      <c r="B8589" s="27" t="s">
        <v>20779</v>
      </c>
      <c r="D8589" s="27" t="s">
        <v>1826</v>
      </c>
      <c r="F8589" s="27" t="s">
        <v>1844</v>
      </c>
      <c r="H8589" s="27" t="s">
        <v>1853</v>
      </c>
      <c r="J8589" s="27" t="s">
        <v>1854</v>
      </c>
      <c r="L8589" s="27" t="s">
        <v>461</v>
      </c>
      <c r="N8589" s="27" t="s">
        <v>462</v>
      </c>
      <c r="P8589" s="27" t="s">
        <v>13233</v>
      </c>
      <c r="Q8589" s="26" t="str">
        <f>HYPERLINK("https://ictv.global/taxonomy/taxondetails?taxnode_id=202503434&amp;ictv_id=ICTV20041200","ICTV20041200")</f>
        <v>ICTV20041200</v>
      </c>
      <c r="R8589" t="s">
        <v>660</v>
      </c>
      <c r="S8589" t="s">
        <v>824</v>
      </c>
      <c r="T8589">
        <v>41</v>
      </c>
      <c r="U8589" s="26" t="str">
        <f t="shared" si="309"/>
        <v>2025.002G.Monodnaviria_reorg_4nr.zip</v>
      </c>
    </row>
    <row r="8590" spans="1:21">
      <c r="A8590">
        <v>8589</v>
      </c>
      <c r="B8590" s="27" t="s">
        <v>20779</v>
      </c>
      <c r="D8590" s="27" t="s">
        <v>1826</v>
      </c>
      <c r="F8590" s="27" t="s">
        <v>1844</v>
      </c>
      <c r="H8590" s="27" t="s">
        <v>1853</v>
      </c>
      <c r="J8590" s="27" t="s">
        <v>1854</v>
      </c>
      <c r="L8590" s="27" t="s">
        <v>461</v>
      </c>
      <c r="N8590" s="27" t="s">
        <v>462</v>
      </c>
      <c r="P8590" s="27" t="s">
        <v>13234</v>
      </c>
      <c r="Q8590" s="26" t="str">
        <f>HYPERLINK("https://ictv.global/taxonomy/taxondetails?taxnode_id=202503403&amp;ictv_id=ICTV20073747","ICTV20073747")</f>
        <v>ICTV20073747</v>
      </c>
      <c r="R8590" t="s">
        <v>660</v>
      </c>
      <c r="S8590" t="s">
        <v>824</v>
      </c>
      <c r="T8590">
        <v>41</v>
      </c>
      <c r="U8590" s="26" t="str">
        <f t="shared" si="309"/>
        <v>2025.002G.Monodnaviria_reorg_4nr.zip</v>
      </c>
    </row>
    <row r="8591" spans="1:21">
      <c r="A8591">
        <v>8590</v>
      </c>
      <c r="B8591" s="27" t="s">
        <v>20779</v>
      </c>
      <c r="D8591" s="27" t="s">
        <v>1826</v>
      </c>
      <c r="F8591" s="27" t="s">
        <v>1844</v>
      </c>
      <c r="H8591" s="27" t="s">
        <v>1853</v>
      </c>
      <c r="J8591" s="27" t="s">
        <v>1854</v>
      </c>
      <c r="L8591" s="27" t="s">
        <v>461</v>
      </c>
      <c r="N8591" s="27" t="s">
        <v>462</v>
      </c>
      <c r="P8591" s="27" t="s">
        <v>13235</v>
      </c>
      <c r="Q8591" s="26" t="str">
        <f>HYPERLINK("https://ictv.global/taxonomy/taxondetails?taxnode_id=202505837&amp;ictv_id=ICTV20175837","ICTV20175837")</f>
        <v>ICTV20175837</v>
      </c>
      <c r="R8591" t="s">
        <v>660</v>
      </c>
      <c r="S8591" t="s">
        <v>824</v>
      </c>
      <c r="T8591">
        <v>41</v>
      </c>
      <c r="U8591" s="26" t="str">
        <f t="shared" si="309"/>
        <v>2025.002G.Monodnaviria_reorg_4nr.zip</v>
      </c>
    </row>
    <row r="8592" spans="1:21">
      <c r="A8592">
        <v>8591</v>
      </c>
      <c r="B8592" s="27" t="s">
        <v>20779</v>
      </c>
      <c r="D8592" s="27" t="s">
        <v>1826</v>
      </c>
      <c r="F8592" s="27" t="s">
        <v>1844</v>
      </c>
      <c r="H8592" s="27" t="s">
        <v>1853</v>
      </c>
      <c r="J8592" s="27" t="s">
        <v>1854</v>
      </c>
      <c r="L8592" s="27" t="s">
        <v>461</v>
      </c>
      <c r="N8592" s="27" t="s">
        <v>462</v>
      </c>
      <c r="P8592" s="27" t="s">
        <v>13236</v>
      </c>
      <c r="Q8592" s="26" t="str">
        <f>HYPERLINK("https://ictv.global/taxonomy/taxondetails?taxnode_id=202503435&amp;ictv_id=ICTV20152858","ICTV20152858")</f>
        <v>ICTV20152858</v>
      </c>
      <c r="R8592" t="s">
        <v>660</v>
      </c>
      <c r="S8592" t="s">
        <v>824</v>
      </c>
      <c r="T8592">
        <v>41</v>
      </c>
      <c r="U8592" s="26" t="str">
        <f t="shared" si="309"/>
        <v>2025.002G.Monodnaviria_reorg_4nr.zip</v>
      </c>
    </row>
    <row r="8593" spans="1:21">
      <c r="A8593">
        <v>8592</v>
      </c>
      <c r="B8593" s="27" t="s">
        <v>20779</v>
      </c>
      <c r="D8593" s="27" t="s">
        <v>1826</v>
      </c>
      <c r="F8593" s="27" t="s">
        <v>1844</v>
      </c>
      <c r="H8593" s="27" t="s">
        <v>1853</v>
      </c>
      <c r="J8593" s="27" t="s">
        <v>1854</v>
      </c>
      <c r="L8593" s="27" t="s">
        <v>461</v>
      </c>
      <c r="N8593" s="27" t="s">
        <v>462</v>
      </c>
      <c r="P8593" s="27" t="s">
        <v>13237</v>
      </c>
      <c r="Q8593" s="26" t="str">
        <f>HYPERLINK("https://ictv.global/taxonomy/taxondetails?taxnode_id=202503436&amp;ictv_id=ICTV20083979","ICTV20083979")</f>
        <v>ICTV20083979</v>
      </c>
      <c r="R8593" t="s">
        <v>660</v>
      </c>
      <c r="S8593" t="s">
        <v>824</v>
      </c>
      <c r="T8593">
        <v>41</v>
      </c>
      <c r="U8593" s="26" t="str">
        <f t="shared" si="309"/>
        <v>2025.002G.Monodnaviria_reorg_4nr.zip</v>
      </c>
    </row>
    <row r="8594" spans="1:21">
      <c r="A8594">
        <v>8593</v>
      </c>
      <c r="B8594" s="27" t="s">
        <v>20779</v>
      </c>
      <c r="D8594" s="27" t="s">
        <v>1826</v>
      </c>
      <c r="F8594" s="27" t="s">
        <v>1844</v>
      </c>
      <c r="H8594" s="27" t="s">
        <v>1853</v>
      </c>
      <c r="J8594" s="27" t="s">
        <v>1854</v>
      </c>
      <c r="L8594" s="27" t="s">
        <v>461</v>
      </c>
      <c r="N8594" s="27" t="s">
        <v>462</v>
      </c>
      <c r="P8594" s="27" t="s">
        <v>13238</v>
      </c>
      <c r="Q8594" s="26" t="str">
        <f>HYPERLINK("https://ictv.global/taxonomy/taxondetails?taxnode_id=202507531&amp;ictv_id=ICTV201907531","ICTV201907531")</f>
        <v>ICTV201907531</v>
      </c>
      <c r="R8594" t="s">
        <v>660</v>
      </c>
      <c r="S8594" t="s">
        <v>824</v>
      </c>
      <c r="T8594">
        <v>41</v>
      </c>
      <c r="U8594" s="26" t="str">
        <f t="shared" si="309"/>
        <v>2025.002G.Monodnaviria_reorg_4nr.zip</v>
      </c>
    </row>
    <row r="8595" spans="1:21">
      <c r="A8595">
        <v>8594</v>
      </c>
      <c r="B8595" s="27" t="s">
        <v>20779</v>
      </c>
      <c r="D8595" s="27" t="s">
        <v>1826</v>
      </c>
      <c r="F8595" s="27" t="s">
        <v>1844</v>
      </c>
      <c r="H8595" s="27" t="s">
        <v>1853</v>
      </c>
      <c r="J8595" s="27" t="s">
        <v>1854</v>
      </c>
      <c r="L8595" s="27" t="s">
        <v>461</v>
      </c>
      <c r="N8595" s="27" t="s">
        <v>462</v>
      </c>
      <c r="P8595" s="27" t="s">
        <v>13239</v>
      </c>
      <c r="Q8595" s="26" t="str">
        <f>HYPERLINK("https://ictv.global/taxonomy/taxondetails?taxnode_id=202503437&amp;ictv_id=ICTV20041201","ICTV20041201")</f>
        <v>ICTV20041201</v>
      </c>
      <c r="R8595" t="s">
        <v>660</v>
      </c>
      <c r="S8595" t="s">
        <v>824</v>
      </c>
      <c r="T8595">
        <v>41</v>
      </c>
      <c r="U8595" s="26" t="str">
        <f t="shared" si="309"/>
        <v>2025.002G.Monodnaviria_reorg_4nr.zip</v>
      </c>
    </row>
    <row r="8596" spans="1:21">
      <c r="A8596">
        <v>8595</v>
      </c>
      <c r="B8596" s="27" t="s">
        <v>20779</v>
      </c>
      <c r="D8596" s="27" t="s">
        <v>1826</v>
      </c>
      <c r="F8596" s="27" t="s">
        <v>1844</v>
      </c>
      <c r="H8596" s="27" t="s">
        <v>1853</v>
      </c>
      <c r="J8596" s="27" t="s">
        <v>1854</v>
      </c>
      <c r="L8596" s="27" t="s">
        <v>461</v>
      </c>
      <c r="N8596" s="27" t="s">
        <v>462</v>
      </c>
      <c r="P8596" s="27" t="s">
        <v>13240</v>
      </c>
      <c r="Q8596" s="26" t="str">
        <f>HYPERLINK("https://ictv.global/taxonomy/taxondetails?taxnode_id=202503438&amp;ictv_id=ICTV20083981","ICTV20083981")</f>
        <v>ICTV20083981</v>
      </c>
      <c r="R8596" t="s">
        <v>660</v>
      </c>
      <c r="S8596" t="s">
        <v>824</v>
      </c>
      <c r="T8596">
        <v>41</v>
      </c>
      <c r="U8596" s="26" t="str">
        <f t="shared" si="309"/>
        <v>2025.002G.Monodnaviria_reorg_4nr.zip</v>
      </c>
    </row>
    <row r="8597" spans="1:21">
      <c r="A8597">
        <v>8596</v>
      </c>
      <c r="B8597" s="27" t="s">
        <v>20779</v>
      </c>
      <c r="D8597" s="27" t="s">
        <v>1826</v>
      </c>
      <c r="F8597" s="27" t="s">
        <v>1844</v>
      </c>
      <c r="H8597" s="27" t="s">
        <v>1853</v>
      </c>
      <c r="J8597" s="27" t="s">
        <v>1854</v>
      </c>
      <c r="L8597" s="27" t="s">
        <v>461</v>
      </c>
      <c r="N8597" s="27" t="s">
        <v>462</v>
      </c>
      <c r="P8597" s="27" t="s">
        <v>13241</v>
      </c>
      <c r="Q8597" s="26" t="str">
        <f>HYPERLINK("https://ictv.global/taxonomy/taxondetails?taxnode_id=202503439&amp;ictv_id=ICTV20131972","ICTV20131972")</f>
        <v>ICTV20131972</v>
      </c>
      <c r="R8597" t="s">
        <v>660</v>
      </c>
      <c r="S8597" t="s">
        <v>824</v>
      </c>
      <c r="T8597">
        <v>41</v>
      </c>
      <c r="U8597" s="26" t="str">
        <f t="shared" si="309"/>
        <v>2025.002G.Monodnaviria_reorg_4nr.zip</v>
      </c>
    </row>
    <row r="8598" spans="1:21">
      <c r="A8598">
        <v>8597</v>
      </c>
      <c r="B8598" s="27" t="s">
        <v>20779</v>
      </c>
      <c r="D8598" s="27" t="s">
        <v>1826</v>
      </c>
      <c r="F8598" s="27" t="s">
        <v>1844</v>
      </c>
      <c r="H8598" s="27" t="s">
        <v>1853</v>
      </c>
      <c r="J8598" s="27" t="s">
        <v>1854</v>
      </c>
      <c r="L8598" s="27" t="s">
        <v>461</v>
      </c>
      <c r="N8598" s="27" t="s">
        <v>462</v>
      </c>
      <c r="P8598" s="27" t="s">
        <v>13242</v>
      </c>
      <c r="Q8598" s="26" t="str">
        <f>HYPERLINK("https://ictv.global/taxonomy/taxondetails?taxnode_id=202503440&amp;ictv_id=ICTV20131973","ICTV20131973")</f>
        <v>ICTV20131973</v>
      </c>
      <c r="R8598" t="s">
        <v>660</v>
      </c>
      <c r="S8598" t="s">
        <v>824</v>
      </c>
      <c r="T8598">
        <v>41</v>
      </c>
      <c r="U8598" s="26" t="str">
        <f t="shared" si="309"/>
        <v>2025.002G.Monodnaviria_reorg_4nr.zip</v>
      </c>
    </row>
    <row r="8599" spans="1:21">
      <c r="A8599">
        <v>8598</v>
      </c>
      <c r="B8599" s="27" t="s">
        <v>20779</v>
      </c>
      <c r="D8599" s="27" t="s">
        <v>1826</v>
      </c>
      <c r="F8599" s="27" t="s">
        <v>1844</v>
      </c>
      <c r="H8599" s="27" t="s">
        <v>1853</v>
      </c>
      <c r="J8599" s="27" t="s">
        <v>1854</v>
      </c>
      <c r="L8599" s="27" t="s">
        <v>461</v>
      </c>
      <c r="N8599" s="27" t="s">
        <v>462</v>
      </c>
      <c r="P8599" s="27" t="s">
        <v>13243</v>
      </c>
      <c r="Q8599" s="26" t="str">
        <f>HYPERLINK("https://ictv.global/taxonomy/taxondetails?taxnode_id=202503401&amp;ictv_id=ICTV20152854","ICTV20152854")</f>
        <v>ICTV20152854</v>
      </c>
      <c r="R8599" t="s">
        <v>660</v>
      </c>
      <c r="S8599" t="s">
        <v>824</v>
      </c>
      <c r="T8599">
        <v>41</v>
      </c>
      <c r="U8599" s="26" t="str">
        <f t="shared" si="309"/>
        <v>2025.002G.Monodnaviria_reorg_4nr.zip</v>
      </c>
    </row>
    <row r="8600" spans="1:21">
      <c r="A8600">
        <v>8599</v>
      </c>
      <c r="B8600" s="27" t="s">
        <v>20779</v>
      </c>
      <c r="D8600" s="27" t="s">
        <v>1826</v>
      </c>
      <c r="F8600" s="27" t="s">
        <v>1844</v>
      </c>
      <c r="H8600" s="27" t="s">
        <v>1853</v>
      </c>
      <c r="J8600" s="27" t="s">
        <v>1854</v>
      </c>
      <c r="L8600" s="27" t="s">
        <v>461</v>
      </c>
      <c r="N8600" s="27" t="s">
        <v>462</v>
      </c>
      <c r="P8600" s="27" t="s">
        <v>13244</v>
      </c>
      <c r="Q8600" s="26" t="str">
        <f>HYPERLINK("https://ictv.global/taxonomy/taxondetails?taxnode_id=202503441&amp;ictv_id=ICTV20131974","ICTV20131974")</f>
        <v>ICTV20131974</v>
      </c>
      <c r="R8600" t="s">
        <v>660</v>
      </c>
      <c r="S8600" t="s">
        <v>824</v>
      </c>
      <c r="T8600">
        <v>41</v>
      </c>
      <c r="U8600" s="26" t="str">
        <f t="shared" si="309"/>
        <v>2025.002G.Monodnaviria_reorg_4nr.zip</v>
      </c>
    </row>
    <row r="8601" spans="1:21">
      <c r="A8601">
        <v>8600</v>
      </c>
      <c r="B8601" s="27" t="s">
        <v>20779</v>
      </c>
      <c r="D8601" s="27" t="s">
        <v>1826</v>
      </c>
      <c r="F8601" s="27" t="s">
        <v>1844</v>
      </c>
      <c r="H8601" s="27" t="s">
        <v>1853</v>
      </c>
      <c r="J8601" s="27" t="s">
        <v>1854</v>
      </c>
      <c r="L8601" s="27" t="s">
        <v>461</v>
      </c>
      <c r="N8601" s="27" t="s">
        <v>462</v>
      </c>
      <c r="P8601" s="27" t="s">
        <v>13245</v>
      </c>
      <c r="Q8601" s="26" t="str">
        <f>HYPERLINK("https://ictv.global/taxonomy/taxondetails?taxnode_id=202503445&amp;ictv_id=ICTV20131975","ICTV20131975")</f>
        <v>ICTV20131975</v>
      </c>
      <c r="R8601" t="s">
        <v>660</v>
      </c>
      <c r="S8601" t="s">
        <v>824</v>
      </c>
      <c r="T8601">
        <v>41</v>
      </c>
      <c r="U8601" s="26" t="str">
        <f t="shared" si="309"/>
        <v>2025.002G.Monodnaviria_reorg_4nr.zip</v>
      </c>
    </row>
    <row r="8602" spans="1:21">
      <c r="A8602">
        <v>8601</v>
      </c>
      <c r="B8602" s="27" t="s">
        <v>20779</v>
      </c>
      <c r="D8602" s="27" t="s">
        <v>1826</v>
      </c>
      <c r="F8602" s="27" t="s">
        <v>1844</v>
      </c>
      <c r="H8602" s="27" t="s">
        <v>1853</v>
      </c>
      <c r="J8602" s="27" t="s">
        <v>1854</v>
      </c>
      <c r="L8602" s="27" t="s">
        <v>461</v>
      </c>
      <c r="N8602" s="27" t="s">
        <v>462</v>
      </c>
      <c r="P8602" s="27" t="s">
        <v>13246</v>
      </c>
      <c r="Q8602" s="26" t="str">
        <f>HYPERLINK("https://ictv.global/taxonomy/taxondetails?taxnode_id=202503447&amp;ictv_id=ICTV20152861","ICTV20152861")</f>
        <v>ICTV20152861</v>
      </c>
      <c r="R8602" t="s">
        <v>660</v>
      </c>
      <c r="S8602" t="s">
        <v>824</v>
      </c>
      <c r="T8602">
        <v>41</v>
      </c>
      <c r="U8602" s="26" t="str">
        <f t="shared" si="309"/>
        <v>2025.002G.Monodnaviria_reorg_4nr.zip</v>
      </c>
    </row>
    <row r="8603" spans="1:21">
      <c r="A8603">
        <v>8602</v>
      </c>
      <c r="B8603" s="27" t="s">
        <v>20779</v>
      </c>
      <c r="D8603" s="27" t="s">
        <v>1826</v>
      </c>
      <c r="F8603" s="27" t="s">
        <v>1844</v>
      </c>
      <c r="H8603" s="27" t="s">
        <v>1853</v>
      </c>
      <c r="J8603" s="27" t="s">
        <v>1854</v>
      </c>
      <c r="L8603" s="27" t="s">
        <v>461</v>
      </c>
      <c r="N8603" s="27" t="s">
        <v>462</v>
      </c>
      <c r="P8603" s="27" t="s">
        <v>13247</v>
      </c>
      <c r="Q8603" s="26" t="str">
        <f>HYPERLINK("https://ictv.global/taxonomy/taxondetails?taxnode_id=202507530&amp;ictv_id=ICTV201907530","ICTV201907530")</f>
        <v>ICTV201907530</v>
      </c>
      <c r="R8603" t="s">
        <v>660</v>
      </c>
      <c r="S8603" t="s">
        <v>824</v>
      </c>
      <c r="T8603">
        <v>41</v>
      </c>
      <c r="U8603" s="26" t="str">
        <f t="shared" si="309"/>
        <v>2025.002G.Monodnaviria_reorg_4nr.zip</v>
      </c>
    </row>
    <row r="8604" spans="1:21">
      <c r="A8604">
        <v>8603</v>
      </c>
      <c r="B8604" s="27" t="s">
        <v>20779</v>
      </c>
      <c r="D8604" s="27" t="s">
        <v>1826</v>
      </c>
      <c r="F8604" s="27" t="s">
        <v>1844</v>
      </c>
      <c r="H8604" s="27" t="s">
        <v>1853</v>
      </c>
      <c r="J8604" s="27" t="s">
        <v>1854</v>
      </c>
      <c r="L8604" s="27" t="s">
        <v>461</v>
      </c>
      <c r="N8604" s="27" t="s">
        <v>462</v>
      </c>
      <c r="P8604" s="27" t="s">
        <v>13248</v>
      </c>
      <c r="Q8604" s="26" t="str">
        <f>HYPERLINK("https://ictv.global/taxonomy/taxondetails?taxnode_id=202503404&amp;ictv_id=ICTV20131960","ICTV20131960")</f>
        <v>ICTV20131960</v>
      </c>
      <c r="R8604" t="s">
        <v>660</v>
      </c>
      <c r="S8604" t="s">
        <v>824</v>
      </c>
      <c r="T8604">
        <v>41</v>
      </c>
      <c r="U8604" s="26" t="str">
        <f t="shared" si="309"/>
        <v>2025.002G.Monodnaviria_reorg_4nr.zip</v>
      </c>
    </row>
    <row r="8605" spans="1:21">
      <c r="A8605">
        <v>8604</v>
      </c>
      <c r="B8605" s="27" t="s">
        <v>20779</v>
      </c>
      <c r="D8605" s="27" t="s">
        <v>1826</v>
      </c>
      <c r="F8605" s="27" t="s">
        <v>1844</v>
      </c>
      <c r="H8605" s="27" t="s">
        <v>1853</v>
      </c>
      <c r="J8605" s="27" t="s">
        <v>1854</v>
      </c>
      <c r="L8605" s="27" t="s">
        <v>461</v>
      </c>
      <c r="N8605" s="27" t="s">
        <v>462</v>
      </c>
      <c r="P8605" s="27" t="s">
        <v>13249</v>
      </c>
      <c r="Q8605" s="26" t="str">
        <f>HYPERLINK("https://ictv.global/taxonomy/taxondetails?taxnode_id=202505834&amp;ictv_id=ICTV20175834","ICTV20175834")</f>
        <v>ICTV20175834</v>
      </c>
      <c r="R8605" t="s">
        <v>660</v>
      </c>
      <c r="S8605" t="s">
        <v>824</v>
      </c>
      <c r="T8605">
        <v>41</v>
      </c>
      <c r="U8605" s="26" t="str">
        <f t="shared" si="309"/>
        <v>2025.002G.Monodnaviria_reorg_4nr.zip</v>
      </c>
    </row>
    <row r="8606" spans="1:21">
      <c r="A8606">
        <v>8605</v>
      </c>
      <c r="B8606" s="27" t="s">
        <v>20779</v>
      </c>
      <c r="D8606" s="27" t="s">
        <v>1826</v>
      </c>
      <c r="F8606" s="27" t="s">
        <v>1844</v>
      </c>
      <c r="H8606" s="27" t="s">
        <v>1853</v>
      </c>
      <c r="J8606" s="27" t="s">
        <v>1854</v>
      </c>
      <c r="L8606" s="27" t="s">
        <v>461</v>
      </c>
      <c r="N8606" s="27" t="s">
        <v>462</v>
      </c>
      <c r="P8606" s="27" t="s">
        <v>13250</v>
      </c>
      <c r="Q8606" s="26" t="str">
        <f>HYPERLINK("https://ictv.global/taxonomy/taxondetails?taxnode_id=202503405&amp;ictv_id=ICTV20041192","ICTV20041192")</f>
        <v>ICTV20041192</v>
      </c>
      <c r="R8606" t="s">
        <v>660</v>
      </c>
      <c r="S8606" t="s">
        <v>824</v>
      </c>
      <c r="T8606">
        <v>41</v>
      </c>
      <c r="U8606" s="26" t="str">
        <f t="shared" si="309"/>
        <v>2025.002G.Monodnaviria_reorg_4nr.zip</v>
      </c>
    </row>
    <row r="8607" spans="1:21">
      <c r="A8607">
        <v>8606</v>
      </c>
      <c r="B8607" s="27" t="s">
        <v>20779</v>
      </c>
      <c r="D8607" s="27" t="s">
        <v>1826</v>
      </c>
      <c r="F8607" s="27" t="s">
        <v>1844</v>
      </c>
      <c r="H8607" s="27" t="s">
        <v>1853</v>
      </c>
      <c r="J8607" s="27" t="s">
        <v>1854</v>
      </c>
      <c r="L8607" s="27" t="s">
        <v>461</v>
      </c>
      <c r="N8607" s="27" t="s">
        <v>462</v>
      </c>
      <c r="P8607" s="27" t="s">
        <v>13251</v>
      </c>
      <c r="Q8607" s="26" t="str">
        <f>HYPERLINK("https://ictv.global/taxonomy/taxondetails?taxnode_id=202503408&amp;ictv_id=ICTV20131962","ICTV20131962")</f>
        <v>ICTV20131962</v>
      </c>
      <c r="R8607" t="s">
        <v>660</v>
      </c>
      <c r="S8607" t="s">
        <v>824</v>
      </c>
      <c r="T8607">
        <v>41</v>
      </c>
      <c r="U8607" s="26" t="str">
        <f t="shared" si="309"/>
        <v>2025.002G.Monodnaviria_reorg_4nr.zip</v>
      </c>
    </row>
    <row r="8608" spans="1:21">
      <c r="A8608">
        <v>8607</v>
      </c>
      <c r="B8608" s="27" t="s">
        <v>20779</v>
      </c>
      <c r="D8608" s="27" t="s">
        <v>1826</v>
      </c>
      <c r="F8608" s="27" t="s">
        <v>1844</v>
      </c>
      <c r="H8608" s="27" t="s">
        <v>1853</v>
      </c>
      <c r="J8608" s="27" t="s">
        <v>1854</v>
      </c>
      <c r="L8608" s="27" t="s">
        <v>461</v>
      </c>
      <c r="N8608" s="27" t="s">
        <v>462</v>
      </c>
      <c r="P8608" s="27" t="s">
        <v>13252</v>
      </c>
      <c r="Q8608" s="26" t="str">
        <f>HYPERLINK("https://ictv.global/taxonomy/taxondetails?taxnode_id=202503448&amp;ictv_id=ICTV20152862","ICTV20152862")</f>
        <v>ICTV20152862</v>
      </c>
      <c r="R8608" t="s">
        <v>660</v>
      </c>
      <c r="S8608" t="s">
        <v>824</v>
      </c>
      <c r="T8608">
        <v>41</v>
      </c>
      <c r="U8608" s="26" t="str">
        <f t="shared" si="309"/>
        <v>2025.002G.Monodnaviria_reorg_4nr.zip</v>
      </c>
    </row>
    <row r="8609" spans="1:21">
      <c r="A8609">
        <v>8608</v>
      </c>
      <c r="B8609" s="27" t="s">
        <v>20779</v>
      </c>
      <c r="D8609" s="27" t="s">
        <v>1826</v>
      </c>
      <c r="F8609" s="27" t="s">
        <v>1844</v>
      </c>
      <c r="H8609" s="27" t="s">
        <v>1853</v>
      </c>
      <c r="J8609" s="27" t="s">
        <v>1854</v>
      </c>
      <c r="L8609" s="27" t="s">
        <v>461</v>
      </c>
      <c r="N8609" s="27" t="s">
        <v>462</v>
      </c>
      <c r="P8609" s="27" t="s">
        <v>13253</v>
      </c>
      <c r="Q8609" s="26" t="str">
        <f>HYPERLINK("https://ictv.global/taxonomy/taxondetails?taxnode_id=202503449&amp;ictv_id=ICTV20041202","ICTV20041202")</f>
        <v>ICTV20041202</v>
      </c>
      <c r="R8609" t="s">
        <v>660</v>
      </c>
      <c r="S8609" t="s">
        <v>824</v>
      </c>
      <c r="T8609">
        <v>41</v>
      </c>
      <c r="U8609" s="26" t="str">
        <f t="shared" ref="U8609:U8660" si="310">HYPERLINK("https://ictv.global/ictv/proposals/2025.002G.Monodnaviria_reorg_4nr.zip","2025.002G.Monodnaviria_reorg_4nr.zip")</f>
        <v>2025.002G.Monodnaviria_reorg_4nr.zip</v>
      </c>
    </row>
    <row r="8610" spans="1:21">
      <c r="A8610">
        <v>8609</v>
      </c>
      <c r="B8610" s="27" t="s">
        <v>20779</v>
      </c>
      <c r="D8610" s="27" t="s">
        <v>1826</v>
      </c>
      <c r="F8610" s="27" t="s">
        <v>1844</v>
      </c>
      <c r="H8610" s="27" t="s">
        <v>1853</v>
      </c>
      <c r="J8610" s="27" t="s">
        <v>1854</v>
      </c>
      <c r="L8610" s="27" t="s">
        <v>461</v>
      </c>
      <c r="N8610" s="27" t="s">
        <v>462</v>
      </c>
      <c r="P8610" s="27" t="s">
        <v>13254</v>
      </c>
      <c r="Q8610" s="26" t="str">
        <f>HYPERLINK("https://ictv.global/taxonomy/taxondetails?taxnode_id=202503450&amp;ictv_id=ICTV20083986","ICTV20083986")</f>
        <v>ICTV20083986</v>
      </c>
      <c r="R8610" t="s">
        <v>660</v>
      </c>
      <c r="S8610" t="s">
        <v>824</v>
      </c>
      <c r="T8610">
        <v>41</v>
      </c>
      <c r="U8610" s="26" t="str">
        <f t="shared" si="310"/>
        <v>2025.002G.Monodnaviria_reorg_4nr.zip</v>
      </c>
    </row>
    <row r="8611" spans="1:21">
      <c r="A8611">
        <v>8610</v>
      </c>
      <c r="B8611" s="27" t="s">
        <v>20779</v>
      </c>
      <c r="D8611" s="27" t="s">
        <v>1826</v>
      </c>
      <c r="F8611" s="27" t="s">
        <v>1844</v>
      </c>
      <c r="H8611" s="27" t="s">
        <v>1853</v>
      </c>
      <c r="J8611" s="27" t="s">
        <v>1854</v>
      </c>
      <c r="L8611" s="27" t="s">
        <v>461</v>
      </c>
      <c r="N8611" s="27" t="s">
        <v>462</v>
      </c>
      <c r="P8611" s="27" t="s">
        <v>13255</v>
      </c>
      <c r="Q8611" s="26" t="str">
        <f>HYPERLINK("https://ictv.global/taxonomy/taxondetails?taxnode_id=202503451&amp;ictv_id=ICTV20152863","ICTV20152863")</f>
        <v>ICTV20152863</v>
      </c>
      <c r="R8611" t="s">
        <v>660</v>
      </c>
      <c r="S8611" t="s">
        <v>824</v>
      </c>
      <c r="T8611">
        <v>41</v>
      </c>
      <c r="U8611" s="26" t="str">
        <f t="shared" si="310"/>
        <v>2025.002G.Monodnaviria_reorg_4nr.zip</v>
      </c>
    </row>
    <row r="8612" spans="1:21">
      <c r="A8612">
        <v>8611</v>
      </c>
      <c r="B8612" s="27" t="s">
        <v>20779</v>
      </c>
      <c r="D8612" s="27" t="s">
        <v>1826</v>
      </c>
      <c r="F8612" s="27" t="s">
        <v>1844</v>
      </c>
      <c r="H8612" s="27" t="s">
        <v>1853</v>
      </c>
      <c r="J8612" s="27" t="s">
        <v>1854</v>
      </c>
      <c r="L8612" s="27" t="s">
        <v>461</v>
      </c>
      <c r="N8612" s="27" t="s">
        <v>462</v>
      </c>
      <c r="P8612" s="27" t="s">
        <v>13256</v>
      </c>
      <c r="Q8612" s="26" t="str">
        <f>HYPERLINK("https://ictv.global/taxonomy/taxondetails?taxnode_id=202503407&amp;ictv_id=ICTV20041193","ICTV20041193")</f>
        <v>ICTV20041193</v>
      </c>
      <c r="R8612" t="s">
        <v>660</v>
      </c>
      <c r="S8612" t="s">
        <v>824</v>
      </c>
      <c r="T8612">
        <v>41</v>
      </c>
      <c r="U8612" s="26" t="str">
        <f t="shared" si="310"/>
        <v>2025.002G.Monodnaviria_reorg_4nr.zip</v>
      </c>
    </row>
    <row r="8613" spans="1:21">
      <c r="A8613">
        <v>8612</v>
      </c>
      <c r="B8613" s="27" t="s">
        <v>20779</v>
      </c>
      <c r="D8613" s="27" t="s">
        <v>1826</v>
      </c>
      <c r="F8613" s="27" t="s">
        <v>1844</v>
      </c>
      <c r="H8613" s="27" t="s">
        <v>1853</v>
      </c>
      <c r="J8613" s="27" t="s">
        <v>1854</v>
      </c>
      <c r="L8613" s="27" t="s">
        <v>461</v>
      </c>
      <c r="N8613" s="27" t="s">
        <v>462</v>
      </c>
      <c r="P8613" s="27" t="s">
        <v>13257</v>
      </c>
      <c r="Q8613" s="26" t="str">
        <f>HYPERLINK("https://ictv.global/taxonomy/taxondetails?taxnode_id=202503470&amp;ictv_id=ICTV20041211","ICTV20041211")</f>
        <v>ICTV20041211</v>
      </c>
      <c r="R8613" t="s">
        <v>660</v>
      </c>
      <c r="S8613" t="s">
        <v>824</v>
      </c>
      <c r="T8613">
        <v>41</v>
      </c>
      <c r="U8613" s="26" t="str">
        <f t="shared" si="310"/>
        <v>2025.002G.Monodnaviria_reorg_4nr.zip</v>
      </c>
    </row>
    <row r="8614" spans="1:21">
      <c r="A8614">
        <v>8613</v>
      </c>
      <c r="B8614" s="27" t="s">
        <v>20779</v>
      </c>
      <c r="D8614" s="27" t="s">
        <v>1826</v>
      </c>
      <c r="F8614" s="27" t="s">
        <v>1844</v>
      </c>
      <c r="H8614" s="27" t="s">
        <v>1853</v>
      </c>
      <c r="J8614" s="27" t="s">
        <v>1854</v>
      </c>
      <c r="L8614" s="27" t="s">
        <v>461</v>
      </c>
      <c r="N8614" s="27" t="s">
        <v>462</v>
      </c>
      <c r="P8614" s="27" t="s">
        <v>13258</v>
      </c>
      <c r="Q8614" s="26" t="str">
        <f>HYPERLINK("https://ictv.global/taxonomy/taxondetails?taxnode_id=202503471&amp;ictv_id=ICTV20131983","ICTV20131983")</f>
        <v>ICTV20131983</v>
      </c>
      <c r="R8614" t="s">
        <v>660</v>
      </c>
      <c r="S8614" t="s">
        <v>824</v>
      </c>
      <c r="T8614">
        <v>41</v>
      </c>
      <c r="U8614" s="26" t="str">
        <f t="shared" si="310"/>
        <v>2025.002G.Monodnaviria_reorg_4nr.zip</v>
      </c>
    </row>
    <row r="8615" spans="1:21">
      <c r="A8615">
        <v>8614</v>
      </c>
      <c r="B8615" s="27" t="s">
        <v>20779</v>
      </c>
      <c r="D8615" s="27" t="s">
        <v>1826</v>
      </c>
      <c r="F8615" s="27" t="s">
        <v>1844</v>
      </c>
      <c r="H8615" s="27" t="s">
        <v>1853</v>
      </c>
      <c r="J8615" s="27" t="s">
        <v>1854</v>
      </c>
      <c r="L8615" s="27" t="s">
        <v>461</v>
      </c>
      <c r="N8615" s="27" t="s">
        <v>462</v>
      </c>
      <c r="P8615" s="27" t="s">
        <v>13259</v>
      </c>
      <c r="Q8615" s="26" t="str">
        <f>HYPERLINK("https://ictv.global/taxonomy/taxondetails?taxnode_id=202503472&amp;ictv_id=ICTV19981432","ICTV19981432")</f>
        <v>ICTV19981432</v>
      </c>
      <c r="R8615" t="s">
        <v>660</v>
      </c>
      <c r="S8615" t="s">
        <v>824</v>
      </c>
      <c r="T8615">
        <v>41</v>
      </c>
      <c r="U8615" s="26" t="str">
        <f t="shared" si="310"/>
        <v>2025.002G.Monodnaviria_reorg_4nr.zip</v>
      </c>
    </row>
    <row r="8616" spans="1:21">
      <c r="A8616">
        <v>8615</v>
      </c>
      <c r="B8616" s="27" t="s">
        <v>20779</v>
      </c>
      <c r="D8616" s="27" t="s">
        <v>1826</v>
      </c>
      <c r="F8616" s="27" t="s">
        <v>1844</v>
      </c>
      <c r="H8616" s="27" t="s">
        <v>1853</v>
      </c>
      <c r="J8616" s="27" t="s">
        <v>1854</v>
      </c>
      <c r="L8616" s="27" t="s">
        <v>461</v>
      </c>
      <c r="N8616" s="27" t="s">
        <v>462</v>
      </c>
      <c r="P8616" s="27" t="s">
        <v>13260</v>
      </c>
      <c r="Q8616" s="26" t="str">
        <f>HYPERLINK("https://ictv.global/taxonomy/taxondetails?taxnode_id=202509135&amp;ictv_id=ICTV202009135","ICTV202009135")</f>
        <v>ICTV202009135</v>
      </c>
      <c r="R8616" t="s">
        <v>660</v>
      </c>
      <c r="S8616" t="s">
        <v>824</v>
      </c>
      <c r="T8616">
        <v>41</v>
      </c>
      <c r="U8616" s="26" t="str">
        <f t="shared" si="310"/>
        <v>2025.002G.Monodnaviria_reorg_4nr.zip</v>
      </c>
    </row>
    <row r="8617" spans="1:21">
      <c r="A8617">
        <v>8616</v>
      </c>
      <c r="B8617" s="27" t="s">
        <v>20779</v>
      </c>
      <c r="D8617" s="27" t="s">
        <v>1826</v>
      </c>
      <c r="F8617" s="27" t="s">
        <v>1844</v>
      </c>
      <c r="H8617" s="27" t="s">
        <v>1853</v>
      </c>
      <c r="J8617" s="27" t="s">
        <v>1854</v>
      </c>
      <c r="L8617" s="27" t="s">
        <v>461</v>
      </c>
      <c r="N8617" s="27" t="s">
        <v>462</v>
      </c>
      <c r="P8617" s="27" t="s">
        <v>13261</v>
      </c>
      <c r="Q8617" s="26" t="str">
        <f>HYPERLINK("https://ictv.global/taxonomy/taxondetails?taxnode_id=202503473&amp;ictv_id=ICTV20041213","ICTV20041213")</f>
        <v>ICTV20041213</v>
      </c>
      <c r="R8617" t="s">
        <v>660</v>
      </c>
      <c r="S8617" t="s">
        <v>824</v>
      </c>
      <c r="T8617">
        <v>41</v>
      </c>
      <c r="U8617" s="26" t="str">
        <f t="shared" si="310"/>
        <v>2025.002G.Monodnaviria_reorg_4nr.zip</v>
      </c>
    </row>
    <row r="8618" spans="1:21">
      <c r="A8618">
        <v>8617</v>
      </c>
      <c r="B8618" s="27" t="s">
        <v>20779</v>
      </c>
      <c r="D8618" s="27" t="s">
        <v>1826</v>
      </c>
      <c r="F8618" s="27" t="s">
        <v>1844</v>
      </c>
      <c r="H8618" s="27" t="s">
        <v>1853</v>
      </c>
      <c r="J8618" s="27" t="s">
        <v>1854</v>
      </c>
      <c r="L8618" s="27" t="s">
        <v>461</v>
      </c>
      <c r="N8618" s="27" t="s">
        <v>462</v>
      </c>
      <c r="P8618" s="27" t="s">
        <v>13262</v>
      </c>
      <c r="Q8618" s="26" t="str">
        <f>HYPERLINK("https://ictv.global/taxonomy/taxondetails?taxnode_id=202503452&amp;ictv_id=ICTV20083987","ICTV20083987")</f>
        <v>ICTV20083987</v>
      </c>
      <c r="R8618" t="s">
        <v>660</v>
      </c>
      <c r="S8618" t="s">
        <v>824</v>
      </c>
      <c r="T8618">
        <v>41</v>
      </c>
      <c r="U8618" s="26" t="str">
        <f t="shared" si="310"/>
        <v>2025.002G.Monodnaviria_reorg_4nr.zip</v>
      </c>
    </row>
    <row r="8619" spans="1:21">
      <c r="A8619">
        <v>8618</v>
      </c>
      <c r="B8619" s="27" t="s">
        <v>20779</v>
      </c>
      <c r="D8619" s="27" t="s">
        <v>1826</v>
      </c>
      <c r="F8619" s="27" t="s">
        <v>1844</v>
      </c>
      <c r="H8619" s="27" t="s">
        <v>1853</v>
      </c>
      <c r="J8619" s="27" t="s">
        <v>1854</v>
      </c>
      <c r="L8619" s="27" t="s">
        <v>461</v>
      </c>
      <c r="N8619" s="27" t="s">
        <v>462</v>
      </c>
      <c r="P8619" s="27" t="s">
        <v>13263</v>
      </c>
      <c r="Q8619" s="26" t="str">
        <f>HYPERLINK("https://ictv.global/taxonomy/taxondetails?taxnode_id=202503453&amp;ictv_id=ICTV20083988","ICTV20083988")</f>
        <v>ICTV20083988</v>
      </c>
      <c r="R8619" t="s">
        <v>660</v>
      </c>
      <c r="S8619" t="s">
        <v>824</v>
      </c>
      <c r="T8619">
        <v>41</v>
      </c>
      <c r="U8619" s="26" t="str">
        <f t="shared" si="310"/>
        <v>2025.002G.Monodnaviria_reorg_4nr.zip</v>
      </c>
    </row>
    <row r="8620" spans="1:21">
      <c r="A8620">
        <v>8619</v>
      </c>
      <c r="B8620" s="27" t="s">
        <v>20779</v>
      </c>
      <c r="D8620" s="27" t="s">
        <v>1826</v>
      </c>
      <c r="F8620" s="27" t="s">
        <v>1844</v>
      </c>
      <c r="H8620" s="27" t="s">
        <v>1853</v>
      </c>
      <c r="J8620" s="27" t="s">
        <v>1854</v>
      </c>
      <c r="L8620" s="27" t="s">
        <v>461</v>
      </c>
      <c r="N8620" s="27" t="s">
        <v>462</v>
      </c>
      <c r="P8620" s="27" t="s">
        <v>13264</v>
      </c>
      <c r="Q8620" s="26" t="str">
        <f>HYPERLINK("https://ictv.global/taxonomy/taxondetails?taxnode_id=202503454&amp;ictv_id=ICTV20041203","ICTV20041203")</f>
        <v>ICTV20041203</v>
      </c>
      <c r="R8620" t="s">
        <v>660</v>
      </c>
      <c r="S8620" t="s">
        <v>824</v>
      </c>
      <c r="T8620">
        <v>41</v>
      </c>
      <c r="U8620" s="26" t="str">
        <f t="shared" si="310"/>
        <v>2025.002G.Monodnaviria_reorg_4nr.zip</v>
      </c>
    </row>
    <row r="8621" spans="1:21">
      <c r="A8621">
        <v>8620</v>
      </c>
      <c r="B8621" s="27" t="s">
        <v>20779</v>
      </c>
      <c r="D8621" s="27" t="s">
        <v>1826</v>
      </c>
      <c r="F8621" s="27" t="s">
        <v>1844</v>
      </c>
      <c r="H8621" s="27" t="s">
        <v>1853</v>
      </c>
      <c r="J8621" s="27" t="s">
        <v>1854</v>
      </c>
      <c r="L8621" s="27" t="s">
        <v>461</v>
      </c>
      <c r="N8621" s="27" t="s">
        <v>462</v>
      </c>
      <c r="P8621" s="27" t="s">
        <v>13265</v>
      </c>
      <c r="Q8621" s="26" t="str">
        <f>HYPERLINK("https://ictv.global/taxonomy/taxondetails?taxnode_id=202503455&amp;ictv_id=ICTV20073764","ICTV20073764")</f>
        <v>ICTV20073764</v>
      </c>
      <c r="R8621" t="s">
        <v>660</v>
      </c>
      <c r="S8621" t="s">
        <v>824</v>
      </c>
      <c r="T8621">
        <v>41</v>
      </c>
      <c r="U8621" s="26" t="str">
        <f t="shared" si="310"/>
        <v>2025.002G.Monodnaviria_reorg_4nr.zip</v>
      </c>
    </row>
    <row r="8622" spans="1:21">
      <c r="A8622">
        <v>8621</v>
      </c>
      <c r="B8622" s="27" t="s">
        <v>20779</v>
      </c>
      <c r="D8622" s="27" t="s">
        <v>1826</v>
      </c>
      <c r="F8622" s="27" t="s">
        <v>1844</v>
      </c>
      <c r="H8622" s="27" t="s">
        <v>1853</v>
      </c>
      <c r="J8622" s="27" t="s">
        <v>1854</v>
      </c>
      <c r="L8622" s="27" t="s">
        <v>461</v>
      </c>
      <c r="N8622" s="27" t="s">
        <v>462</v>
      </c>
      <c r="P8622" s="27" t="s">
        <v>13266</v>
      </c>
      <c r="Q8622" s="26" t="str">
        <f>HYPERLINK("https://ictv.global/taxonomy/taxondetails?taxnode_id=202503456&amp;ictv_id=ICTV20152864","ICTV20152864")</f>
        <v>ICTV20152864</v>
      </c>
      <c r="R8622" t="s">
        <v>660</v>
      </c>
      <c r="S8622" t="s">
        <v>824</v>
      </c>
      <c r="T8622">
        <v>41</v>
      </c>
      <c r="U8622" s="26" t="str">
        <f t="shared" si="310"/>
        <v>2025.002G.Monodnaviria_reorg_4nr.zip</v>
      </c>
    </row>
    <row r="8623" spans="1:21">
      <c r="A8623">
        <v>8622</v>
      </c>
      <c r="B8623" s="27" t="s">
        <v>20779</v>
      </c>
      <c r="D8623" s="27" t="s">
        <v>1826</v>
      </c>
      <c r="F8623" s="27" t="s">
        <v>1844</v>
      </c>
      <c r="H8623" s="27" t="s">
        <v>1853</v>
      </c>
      <c r="J8623" s="27" t="s">
        <v>1854</v>
      </c>
      <c r="L8623" s="27" t="s">
        <v>461</v>
      </c>
      <c r="N8623" s="27" t="s">
        <v>462</v>
      </c>
      <c r="P8623" s="27" t="s">
        <v>13267</v>
      </c>
      <c r="Q8623" s="26" t="str">
        <f>HYPERLINK("https://ictv.global/taxonomy/taxondetails?taxnode_id=202503468&amp;ictv_id=ICTV19981422","ICTV19981422")</f>
        <v>ICTV19981422</v>
      </c>
      <c r="R8623" t="s">
        <v>660</v>
      </c>
      <c r="S8623" t="s">
        <v>824</v>
      </c>
      <c r="T8623">
        <v>41</v>
      </c>
      <c r="U8623" s="26" t="str">
        <f t="shared" si="310"/>
        <v>2025.002G.Monodnaviria_reorg_4nr.zip</v>
      </c>
    </row>
    <row r="8624" spans="1:21">
      <c r="A8624">
        <v>8623</v>
      </c>
      <c r="B8624" s="27" t="s">
        <v>20779</v>
      </c>
      <c r="D8624" s="27" t="s">
        <v>1826</v>
      </c>
      <c r="F8624" s="27" t="s">
        <v>1844</v>
      </c>
      <c r="H8624" s="27" t="s">
        <v>1853</v>
      </c>
      <c r="J8624" s="27" t="s">
        <v>1854</v>
      </c>
      <c r="L8624" s="27" t="s">
        <v>461</v>
      </c>
      <c r="N8624" s="27" t="s">
        <v>462</v>
      </c>
      <c r="P8624" s="27" t="s">
        <v>13268</v>
      </c>
      <c r="Q8624" s="26" t="str">
        <f>HYPERLINK("https://ictv.global/taxonomy/taxondetails?taxnode_id=202503457&amp;ictv_id=ICTV19981429","ICTV19981429")</f>
        <v>ICTV19981429</v>
      </c>
      <c r="R8624" t="s">
        <v>660</v>
      </c>
      <c r="S8624" t="s">
        <v>824</v>
      </c>
      <c r="T8624">
        <v>41</v>
      </c>
      <c r="U8624" s="26" t="str">
        <f t="shared" si="310"/>
        <v>2025.002G.Monodnaviria_reorg_4nr.zip</v>
      </c>
    </row>
    <row r="8625" spans="1:21">
      <c r="A8625">
        <v>8624</v>
      </c>
      <c r="B8625" s="27" t="s">
        <v>20779</v>
      </c>
      <c r="D8625" s="27" t="s">
        <v>1826</v>
      </c>
      <c r="F8625" s="27" t="s">
        <v>1844</v>
      </c>
      <c r="H8625" s="27" t="s">
        <v>1853</v>
      </c>
      <c r="J8625" s="27" t="s">
        <v>1854</v>
      </c>
      <c r="L8625" s="27" t="s">
        <v>461</v>
      </c>
      <c r="N8625" s="27" t="s">
        <v>462</v>
      </c>
      <c r="P8625" s="27" t="s">
        <v>13269</v>
      </c>
      <c r="Q8625" s="26" t="str">
        <f>HYPERLINK("https://ictv.global/taxonomy/taxondetails?taxnode_id=202506712&amp;ictv_id=ICTV201856712","ICTV201856712")</f>
        <v>ICTV201856712</v>
      </c>
      <c r="R8625" t="s">
        <v>660</v>
      </c>
      <c r="S8625" t="s">
        <v>824</v>
      </c>
      <c r="T8625">
        <v>41</v>
      </c>
      <c r="U8625" s="26" t="str">
        <f t="shared" si="310"/>
        <v>2025.002G.Monodnaviria_reorg_4nr.zip</v>
      </c>
    </row>
    <row r="8626" spans="1:21">
      <c r="A8626">
        <v>8625</v>
      </c>
      <c r="B8626" s="27" t="s">
        <v>20779</v>
      </c>
      <c r="D8626" s="27" t="s">
        <v>1826</v>
      </c>
      <c r="F8626" s="27" t="s">
        <v>1844</v>
      </c>
      <c r="H8626" s="27" t="s">
        <v>1853</v>
      </c>
      <c r="J8626" s="27" t="s">
        <v>1854</v>
      </c>
      <c r="L8626" s="27" t="s">
        <v>461</v>
      </c>
      <c r="N8626" s="27" t="s">
        <v>462</v>
      </c>
      <c r="P8626" s="27" t="s">
        <v>13270</v>
      </c>
      <c r="Q8626" s="26" t="str">
        <f>HYPERLINK("https://ictv.global/taxonomy/taxondetails?taxnode_id=202503464&amp;ictv_id=ICTV20131980","ICTV20131980")</f>
        <v>ICTV20131980</v>
      </c>
      <c r="R8626" t="s">
        <v>660</v>
      </c>
      <c r="S8626" t="s">
        <v>824</v>
      </c>
      <c r="T8626">
        <v>41</v>
      </c>
      <c r="U8626" s="26" t="str">
        <f t="shared" si="310"/>
        <v>2025.002G.Monodnaviria_reorg_4nr.zip</v>
      </c>
    </row>
    <row r="8627" spans="1:21">
      <c r="A8627">
        <v>8626</v>
      </c>
      <c r="B8627" s="27" t="s">
        <v>20779</v>
      </c>
      <c r="D8627" s="27" t="s">
        <v>1826</v>
      </c>
      <c r="F8627" s="27" t="s">
        <v>1844</v>
      </c>
      <c r="H8627" s="27" t="s">
        <v>1853</v>
      </c>
      <c r="J8627" s="27" t="s">
        <v>1854</v>
      </c>
      <c r="L8627" s="27" t="s">
        <v>461</v>
      </c>
      <c r="N8627" s="27" t="s">
        <v>462</v>
      </c>
      <c r="P8627" s="27" t="s">
        <v>13271</v>
      </c>
      <c r="Q8627" s="26" t="str">
        <f>HYPERLINK("https://ictv.global/taxonomy/taxondetails?taxnode_id=202503458&amp;ictv_id=ICTV20131977","ICTV20131977")</f>
        <v>ICTV20131977</v>
      </c>
      <c r="R8627" t="s">
        <v>660</v>
      </c>
      <c r="S8627" t="s">
        <v>824</v>
      </c>
      <c r="T8627">
        <v>41</v>
      </c>
      <c r="U8627" s="26" t="str">
        <f t="shared" si="310"/>
        <v>2025.002G.Monodnaviria_reorg_4nr.zip</v>
      </c>
    </row>
    <row r="8628" spans="1:21">
      <c r="A8628">
        <v>8627</v>
      </c>
      <c r="B8628" s="27" t="s">
        <v>20779</v>
      </c>
      <c r="D8628" s="27" t="s">
        <v>1826</v>
      </c>
      <c r="F8628" s="27" t="s">
        <v>1844</v>
      </c>
      <c r="H8628" s="27" t="s">
        <v>1853</v>
      </c>
      <c r="J8628" s="27" t="s">
        <v>1854</v>
      </c>
      <c r="L8628" s="27" t="s">
        <v>461</v>
      </c>
      <c r="N8628" s="27" t="s">
        <v>462</v>
      </c>
      <c r="P8628" s="27" t="s">
        <v>13272</v>
      </c>
      <c r="Q8628" s="26" t="str">
        <f>HYPERLINK("https://ictv.global/taxonomy/taxondetails?taxnode_id=202507532&amp;ictv_id=ICTV201907532","ICTV201907532")</f>
        <v>ICTV201907532</v>
      </c>
      <c r="R8628" t="s">
        <v>660</v>
      </c>
      <c r="S8628" t="s">
        <v>824</v>
      </c>
      <c r="T8628">
        <v>41</v>
      </c>
      <c r="U8628" s="26" t="str">
        <f t="shared" si="310"/>
        <v>2025.002G.Monodnaviria_reorg_4nr.zip</v>
      </c>
    </row>
    <row r="8629" spans="1:21">
      <c r="A8629">
        <v>8628</v>
      </c>
      <c r="B8629" s="27" t="s">
        <v>20779</v>
      </c>
      <c r="D8629" s="27" t="s">
        <v>1826</v>
      </c>
      <c r="F8629" s="27" t="s">
        <v>1844</v>
      </c>
      <c r="H8629" s="27" t="s">
        <v>1853</v>
      </c>
      <c r="J8629" s="27" t="s">
        <v>1854</v>
      </c>
      <c r="L8629" s="27" t="s">
        <v>461</v>
      </c>
      <c r="N8629" s="27" t="s">
        <v>462</v>
      </c>
      <c r="P8629" s="27" t="s">
        <v>13273</v>
      </c>
      <c r="Q8629" s="26" t="str">
        <f>HYPERLINK("https://ictv.global/taxonomy/taxondetails?taxnode_id=202505835&amp;ictv_id=ICTV20175835","ICTV20175835")</f>
        <v>ICTV20175835</v>
      </c>
      <c r="R8629" t="s">
        <v>660</v>
      </c>
      <c r="S8629" t="s">
        <v>824</v>
      </c>
      <c r="T8629">
        <v>41</v>
      </c>
      <c r="U8629" s="26" t="str">
        <f t="shared" si="310"/>
        <v>2025.002G.Monodnaviria_reorg_4nr.zip</v>
      </c>
    </row>
    <row r="8630" spans="1:21">
      <c r="A8630">
        <v>8629</v>
      </c>
      <c r="B8630" s="27" t="s">
        <v>20779</v>
      </c>
      <c r="D8630" s="27" t="s">
        <v>1826</v>
      </c>
      <c r="F8630" s="27" t="s">
        <v>1844</v>
      </c>
      <c r="H8630" s="27" t="s">
        <v>1853</v>
      </c>
      <c r="J8630" s="27" t="s">
        <v>1854</v>
      </c>
      <c r="L8630" s="27" t="s">
        <v>461</v>
      </c>
      <c r="N8630" s="27" t="s">
        <v>462</v>
      </c>
      <c r="P8630" s="27" t="s">
        <v>13274</v>
      </c>
      <c r="Q8630" s="26" t="str">
        <f>HYPERLINK("https://ictv.global/taxonomy/taxondetails?taxnode_id=202503459&amp;ictv_id=ICTV20083992","ICTV20083992")</f>
        <v>ICTV20083992</v>
      </c>
      <c r="R8630" t="s">
        <v>660</v>
      </c>
      <c r="S8630" t="s">
        <v>824</v>
      </c>
      <c r="T8630">
        <v>41</v>
      </c>
      <c r="U8630" s="26" t="str">
        <f t="shared" si="310"/>
        <v>2025.002G.Monodnaviria_reorg_4nr.zip</v>
      </c>
    </row>
    <row r="8631" spans="1:21">
      <c r="A8631">
        <v>8630</v>
      </c>
      <c r="B8631" s="27" t="s">
        <v>20779</v>
      </c>
      <c r="D8631" s="27" t="s">
        <v>1826</v>
      </c>
      <c r="F8631" s="27" t="s">
        <v>1844</v>
      </c>
      <c r="H8631" s="27" t="s">
        <v>1853</v>
      </c>
      <c r="J8631" s="27" t="s">
        <v>1854</v>
      </c>
      <c r="L8631" s="27" t="s">
        <v>461</v>
      </c>
      <c r="N8631" s="27" t="s">
        <v>462</v>
      </c>
      <c r="P8631" s="27" t="s">
        <v>13275</v>
      </c>
      <c r="Q8631" s="26" t="str">
        <f>HYPERLINK("https://ictv.global/taxonomy/taxondetails?taxnode_id=202503469&amp;ictv_id=ICTV19951000","ICTV19951000")</f>
        <v>ICTV19951000</v>
      </c>
      <c r="R8631" t="s">
        <v>660</v>
      </c>
      <c r="S8631" t="s">
        <v>824</v>
      </c>
      <c r="T8631">
        <v>41</v>
      </c>
      <c r="U8631" s="26" t="str">
        <f t="shared" si="310"/>
        <v>2025.002G.Monodnaviria_reorg_4nr.zip</v>
      </c>
    </row>
    <row r="8632" spans="1:21">
      <c r="A8632">
        <v>8631</v>
      </c>
      <c r="B8632" s="27" t="s">
        <v>20779</v>
      </c>
      <c r="D8632" s="27" t="s">
        <v>1826</v>
      </c>
      <c r="F8632" s="27" t="s">
        <v>1844</v>
      </c>
      <c r="H8632" s="27" t="s">
        <v>1853</v>
      </c>
      <c r="J8632" s="27" t="s">
        <v>1854</v>
      </c>
      <c r="L8632" s="27" t="s">
        <v>461</v>
      </c>
      <c r="N8632" s="27" t="s">
        <v>462</v>
      </c>
      <c r="P8632" s="27" t="s">
        <v>13276</v>
      </c>
      <c r="Q8632" s="26" t="str">
        <f>HYPERLINK("https://ictv.global/taxonomy/taxondetails?taxnode_id=202503467&amp;ictv_id=ICTV20131982","ICTV20131982")</f>
        <v>ICTV20131982</v>
      </c>
      <c r="R8632" t="s">
        <v>660</v>
      </c>
      <c r="S8632" t="s">
        <v>824</v>
      </c>
      <c r="T8632">
        <v>41</v>
      </c>
      <c r="U8632" s="26" t="str">
        <f t="shared" si="310"/>
        <v>2025.002G.Monodnaviria_reorg_4nr.zip</v>
      </c>
    </row>
    <row r="8633" spans="1:21">
      <c r="A8633">
        <v>8632</v>
      </c>
      <c r="B8633" s="27" t="s">
        <v>20779</v>
      </c>
      <c r="D8633" s="27" t="s">
        <v>1826</v>
      </c>
      <c r="F8633" s="27" t="s">
        <v>1844</v>
      </c>
      <c r="H8633" s="27" t="s">
        <v>1853</v>
      </c>
      <c r="J8633" s="27" t="s">
        <v>1854</v>
      </c>
      <c r="L8633" s="27" t="s">
        <v>461</v>
      </c>
      <c r="N8633" s="27" t="s">
        <v>462</v>
      </c>
      <c r="P8633" s="27" t="s">
        <v>13277</v>
      </c>
      <c r="Q8633" s="26" t="str">
        <f>HYPERLINK("https://ictv.global/taxonomy/taxondetails?taxnode_id=202509136&amp;ictv_id=ICTV202009136","ICTV202009136")</f>
        <v>ICTV202009136</v>
      </c>
      <c r="R8633" t="s">
        <v>660</v>
      </c>
      <c r="S8633" t="s">
        <v>824</v>
      </c>
      <c r="T8633">
        <v>41</v>
      </c>
      <c r="U8633" s="26" t="str">
        <f t="shared" si="310"/>
        <v>2025.002G.Monodnaviria_reorg_4nr.zip</v>
      </c>
    </row>
    <row r="8634" spans="1:21">
      <c r="A8634">
        <v>8633</v>
      </c>
      <c r="B8634" s="27" t="s">
        <v>20779</v>
      </c>
      <c r="D8634" s="27" t="s">
        <v>1826</v>
      </c>
      <c r="F8634" s="27" t="s">
        <v>1844</v>
      </c>
      <c r="H8634" s="27" t="s">
        <v>1853</v>
      </c>
      <c r="J8634" s="27" t="s">
        <v>1854</v>
      </c>
      <c r="L8634" s="27" t="s">
        <v>461</v>
      </c>
      <c r="N8634" s="27" t="s">
        <v>462</v>
      </c>
      <c r="P8634" s="27" t="s">
        <v>13278</v>
      </c>
      <c r="Q8634" s="26" t="str">
        <f>HYPERLINK("https://ictv.global/taxonomy/taxondetails?taxnode_id=202503460&amp;ictv_id=ICTV20041204","ICTV20041204")</f>
        <v>ICTV20041204</v>
      </c>
      <c r="R8634" t="s">
        <v>660</v>
      </c>
      <c r="S8634" t="s">
        <v>824</v>
      </c>
      <c r="T8634">
        <v>41</v>
      </c>
      <c r="U8634" s="26" t="str">
        <f t="shared" si="310"/>
        <v>2025.002G.Monodnaviria_reorg_4nr.zip</v>
      </c>
    </row>
    <row r="8635" spans="1:21">
      <c r="A8635">
        <v>8634</v>
      </c>
      <c r="B8635" s="27" t="s">
        <v>20779</v>
      </c>
      <c r="D8635" s="27" t="s">
        <v>1826</v>
      </c>
      <c r="F8635" s="27" t="s">
        <v>1844</v>
      </c>
      <c r="H8635" s="27" t="s">
        <v>1853</v>
      </c>
      <c r="J8635" s="27" t="s">
        <v>1854</v>
      </c>
      <c r="L8635" s="27" t="s">
        <v>461</v>
      </c>
      <c r="N8635" s="27" t="s">
        <v>462</v>
      </c>
      <c r="P8635" s="27" t="s">
        <v>13279</v>
      </c>
      <c r="Q8635" s="26" t="str">
        <f>HYPERLINK("https://ictv.global/taxonomy/taxondetails?taxnode_id=202506710&amp;ictv_id=ICTV201856710","ICTV201856710")</f>
        <v>ICTV201856710</v>
      </c>
      <c r="R8635" t="s">
        <v>660</v>
      </c>
      <c r="S8635" t="s">
        <v>824</v>
      </c>
      <c r="T8635">
        <v>41</v>
      </c>
      <c r="U8635" s="26" t="str">
        <f t="shared" si="310"/>
        <v>2025.002G.Monodnaviria_reorg_4nr.zip</v>
      </c>
    </row>
    <row r="8636" spans="1:21">
      <c r="A8636">
        <v>8635</v>
      </c>
      <c r="B8636" s="27" t="s">
        <v>20779</v>
      </c>
      <c r="D8636" s="27" t="s">
        <v>1826</v>
      </c>
      <c r="F8636" s="27" t="s">
        <v>1844</v>
      </c>
      <c r="H8636" s="27" t="s">
        <v>1853</v>
      </c>
      <c r="J8636" s="27" t="s">
        <v>1854</v>
      </c>
      <c r="L8636" s="27" t="s">
        <v>461</v>
      </c>
      <c r="N8636" s="27" t="s">
        <v>462</v>
      </c>
      <c r="P8636" s="27" t="s">
        <v>13280</v>
      </c>
      <c r="Q8636" s="26" t="str">
        <f>HYPERLINK("https://ictv.global/taxonomy/taxondetails?taxnode_id=202503406&amp;ictv_id=ICTV20131961","ICTV20131961")</f>
        <v>ICTV20131961</v>
      </c>
      <c r="R8636" t="s">
        <v>660</v>
      </c>
      <c r="S8636" t="s">
        <v>824</v>
      </c>
      <c r="T8636">
        <v>41</v>
      </c>
      <c r="U8636" s="26" t="str">
        <f t="shared" si="310"/>
        <v>2025.002G.Monodnaviria_reorg_4nr.zip</v>
      </c>
    </row>
    <row r="8637" spans="1:21">
      <c r="A8637">
        <v>8636</v>
      </c>
      <c r="B8637" s="27" t="s">
        <v>20779</v>
      </c>
      <c r="D8637" s="27" t="s">
        <v>1826</v>
      </c>
      <c r="F8637" s="27" t="s">
        <v>1844</v>
      </c>
      <c r="H8637" s="27" t="s">
        <v>1853</v>
      </c>
      <c r="J8637" s="27" t="s">
        <v>1854</v>
      </c>
      <c r="L8637" s="27" t="s">
        <v>461</v>
      </c>
      <c r="N8637" s="27" t="s">
        <v>462</v>
      </c>
      <c r="P8637" s="27" t="s">
        <v>13281</v>
      </c>
      <c r="Q8637" s="26" t="str">
        <f>HYPERLINK("https://ictv.global/taxonomy/taxondetails?taxnode_id=202503369&amp;ictv_id=ICTV20083939","ICTV20083939")</f>
        <v>ICTV20083939</v>
      </c>
      <c r="R8637" t="s">
        <v>660</v>
      </c>
      <c r="S8637" t="s">
        <v>824</v>
      </c>
      <c r="T8637">
        <v>41</v>
      </c>
      <c r="U8637" s="26" t="str">
        <f t="shared" si="310"/>
        <v>2025.002G.Monodnaviria_reorg_4nr.zip</v>
      </c>
    </row>
    <row r="8638" spans="1:21">
      <c r="A8638">
        <v>8637</v>
      </c>
      <c r="B8638" s="27" t="s">
        <v>20779</v>
      </c>
      <c r="D8638" s="27" t="s">
        <v>1826</v>
      </c>
      <c r="F8638" s="27" t="s">
        <v>1844</v>
      </c>
      <c r="H8638" s="27" t="s">
        <v>1853</v>
      </c>
      <c r="J8638" s="27" t="s">
        <v>1854</v>
      </c>
      <c r="L8638" s="27" t="s">
        <v>461</v>
      </c>
      <c r="N8638" s="27" t="s">
        <v>462</v>
      </c>
      <c r="P8638" s="27" t="s">
        <v>13282</v>
      </c>
      <c r="Q8638" s="26" t="str">
        <f>HYPERLINK("https://ictv.global/taxonomy/taxondetails?taxnode_id=202503370&amp;ictv_id=ICTV20152848","ICTV20152848")</f>
        <v>ICTV20152848</v>
      </c>
      <c r="R8638" t="s">
        <v>660</v>
      </c>
      <c r="S8638" t="s">
        <v>824</v>
      </c>
      <c r="T8638">
        <v>41</v>
      </c>
      <c r="U8638" s="26" t="str">
        <f t="shared" si="310"/>
        <v>2025.002G.Monodnaviria_reorg_4nr.zip</v>
      </c>
    </row>
    <row r="8639" spans="1:21">
      <c r="A8639">
        <v>8638</v>
      </c>
      <c r="B8639" s="27" t="s">
        <v>20779</v>
      </c>
      <c r="D8639" s="27" t="s">
        <v>1826</v>
      </c>
      <c r="F8639" s="27" t="s">
        <v>1844</v>
      </c>
      <c r="H8639" s="27" t="s">
        <v>1853</v>
      </c>
      <c r="J8639" s="27" t="s">
        <v>1854</v>
      </c>
      <c r="L8639" s="27" t="s">
        <v>461</v>
      </c>
      <c r="N8639" s="27" t="s">
        <v>462</v>
      </c>
      <c r="P8639" s="27" t="s">
        <v>13283</v>
      </c>
      <c r="Q8639" s="26" t="str">
        <f>HYPERLINK("https://ictv.global/taxonomy/taxondetails?taxnode_id=202503377&amp;ictv_id=ICTV20041184","ICTV20041184")</f>
        <v>ICTV20041184</v>
      </c>
      <c r="R8639" t="s">
        <v>660</v>
      </c>
      <c r="S8639" t="s">
        <v>824</v>
      </c>
      <c r="T8639">
        <v>41</v>
      </c>
      <c r="U8639" s="26" t="str">
        <f t="shared" si="310"/>
        <v>2025.002G.Monodnaviria_reorg_4nr.zip</v>
      </c>
    </row>
    <row r="8640" spans="1:21">
      <c r="A8640">
        <v>8639</v>
      </c>
      <c r="B8640" s="27" t="s">
        <v>20779</v>
      </c>
      <c r="D8640" s="27" t="s">
        <v>1826</v>
      </c>
      <c r="F8640" s="27" t="s">
        <v>1844</v>
      </c>
      <c r="H8640" s="27" t="s">
        <v>1853</v>
      </c>
      <c r="J8640" s="27" t="s">
        <v>1854</v>
      </c>
      <c r="L8640" s="27" t="s">
        <v>461</v>
      </c>
      <c r="N8640" s="27" t="s">
        <v>462</v>
      </c>
      <c r="P8640" s="27" t="s">
        <v>13284</v>
      </c>
      <c r="Q8640" s="26" t="str">
        <f>HYPERLINK("https://ictv.global/taxonomy/taxondetails?taxnode_id=202503376&amp;ictv_id=ICTV20041183","ICTV20041183")</f>
        <v>ICTV20041183</v>
      </c>
      <c r="R8640" t="s">
        <v>660</v>
      </c>
      <c r="S8640" t="s">
        <v>824</v>
      </c>
      <c r="T8640">
        <v>41</v>
      </c>
      <c r="U8640" s="26" t="str">
        <f t="shared" si="310"/>
        <v>2025.002G.Monodnaviria_reorg_4nr.zip</v>
      </c>
    </row>
    <row r="8641" spans="1:21">
      <c r="A8641">
        <v>8640</v>
      </c>
      <c r="B8641" s="27" t="s">
        <v>20779</v>
      </c>
      <c r="D8641" s="27" t="s">
        <v>1826</v>
      </c>
      <c r="F8641" s="27" t="s">
        <v>1844</v>
      </c>
      <c r="H8641" s="27" t="s">
        <v>1853</v>
      </c>
      <c r="J8641" s="27" t="s">
        <v>1854</v>
      </c>
      <c r="L8641" s="27" t="s">
        <v>461</v>
      </c>
      <c r="N8641" s="27" t="s">
        <v>462</v>
      </c>
      <c r="P8641" s="27" t="s">
        <v>13285</v>
      </c>
      <c r="Q8641" s="26" t="str">
        <f>HYPERLINK("https://ictv.global/taxonomy/taxondetails?taxnode_id=202505832&amp;ictv_id=ICTV20175832","ICTV20175832")</f>
        <v>ICTV20175832</v>
      </c>
      <c r="R8641" t="s">
        <v>660</v>
      </c>
      <c r="S8641" t="s">
        <v>824</v>
      </c>
      <c r="T8641">
        <v>41</v>
      </c>
      <c r="U8641" s="26" t="str">
        <f t="shared" si="310"/>
        <v>2025.002G.Monodnaviria_reorg_4nr.zip</v>
      </c>
    </row>
    <row r="8642" spans="1:21">
      <c r="A8642">
        <v>8641</v>
      </c>
      <c r="B8642" s="27" t="s">
        <v>20779</v>
      </c>
      <c r="D8642" s="27" t="s">
        <v>1826</v>
      </c>
      <c r="F8642" s="27" t="s">
        <v>1844</v>
      </c>
      <c r="H8642" s="27" t="s">
        <v>1853</v>
      </c>
      <c r="J8642" s="27" t="s">
        <v>1854</v>
      </c>
      <c r="L8642" s="27" t="s">
        <v>461</v>
      </c>
      <c r="N8642" s="27" t="s">
        <v>462</v>
      </c>
      <c r="P8642" s="27" t="s">
        <v>13286</v>
      </c>
      <c r="Q8642" s="26" t="str">
        <f>HYPERLINK("https://ictv.global/taxonomy/taxondetails?taxnode_id=202505833&amp;ictv_id=ICTV20175833","ICTV20175833")</f>
        <v>ICTV20175833</v>
      </c>
      <c r="R8642" t="s">
        <v>660</v>
      </c>
      <c r="S8642" t="s">
        <v>824</v>
      </c>
      <c r="T8642">
        <v>41</v>
      </c>
      <c r="U8642" s="26" t="str">
        <f t="shared" si="310"/>
        <v>2025.002G.Monodnaviria_reorg_4nr.zip</v>
      </c>
    </row>
    <row r="8643" spans="1:21">
      <c r="A8643">
        <v>8642</v>
      </c>
      <c r="B8643" s="27" t="s">
        <v>20779</v>
      </c>
      <c r="D8643" s="27" t="s">
        <v>1826</v>
      </c>
      <c r="F8643" s="27" t="s">
        <v>1844</v>
      </c>
      <c r="H8643" s="27" t="s">
        <v>1853</v>
      </c>
      <c r="J8643" s="27" t="s">
        <v>1854</v>
      </c>
      <c r="L8643" s="27" t="s">
        <v>461</v>
      </c>
      <c r="N8643" s="27" t="s">
        <v>462</v>
      </c>
      <c r="P8643" s="27" t="s">
        <v>13287</v>
      </c>
      <c r="Q8643" s="26" t="str">
        <f>HYPERLINK("https://ictv.global/taxonomy/taxondetails?taxnode_id=202505842&amp;ictv_id=ICTV20175842","ICTV20175842")</f>
        <v>ICTV20175842</v>
      </c>
      <c r="R8643" t="s">
        <v>660</v>
      </c>
      <c r="S8643" t="s">
        <v>824</v>
      </c>
      <c r="T8643">
        <v>41</v>
      </c>
      <c r="U8643" s="26" t="str">
        <f t="shared" si="310"/>
        <v>2025.002G.Monodnaviria_reorg_4nr.zip</v>
      </c>
    </row>
    <row r="8644" spans="1:21">
      <c r="A8644">
        <v>8643</v>
      </c>
      <c r="B8644" s="27" t="s">
        <v>20779</v>
      </c>
      <c r="D8644" s="27" t="s">
        <v>1826</v>
      </c>
      <c r="F8644" s="27" t="s">
        <v>1844</v>
      </c>
      <c r="H8644" s="27" t="s">
        <v>1853</v>
      </c>
      <c r="J8644" s="27" t="s">
        <v>1854</v>
      </c>
      <c r="L8644" s="27" t="s">
        <v>461</v>
      </c>
      <c r="N8644" s="27" t="s">
        <v>462</v>
      </c>
      <c r="P8644" s="27" t="s">
        <v>13288</v>
      </c>
      <c r="Q8644" s="26" t="str">
        <f>HYPERLINK("https://ictv.global/taxonomy/taxondetails?taxnode_id=202503316&amp;ictv_id=ICTV20083914","ICTV20083914")</f>
        <v>ICTV20083914</v>
      </c>
      <c r="R8644" t="s">
        <v>660</v>
      </c>
      <c r="S8644" t="s">
        <v>824</v>
      </c>
      <c r="T8644">
        <v>41</v>
      </c>
      <c r="U8644" s="26" t="str">
        <f t="shared" si="310"/>
        <v>2025.002G.Monodnaviria_reorg_4nr.zip</v>
      </c>
    </row>
    <row r="8645" spans="1:21">
      <c r="A8645">
        <v>8644</v>
      </c>
      <c r="B8645" s="27" t="s">
        <v>20779</v>
      </c>
      <c r="D8645" s="27" t="s">
        <v>1826</v>
      </c>
      <c r="F8645" s="27" t="s">
        <v>1844</v>
      </c>
      <c r="H8645" s="27" t="s">
        <v>1853</v>
      </c>
      <c r="J8645" s="27" t="s">
        <v>1854</v>
      </c>
      <c r="L8645" s="27" t="s">
        <v>461</v>
      </c>
      <c r="N8645" s="27" t="s">
        <v>462</v>
      </c>
      <c r="P8645" s="27" t="s">
        <v>13289</v>
      </c>
      <c r="Q8645" s="26" t="str">
        <f>HYPERLINK("https://ictv.global/taxonomy/taxondetails?taxnode_id=202503315&amp;ictv_id=ICTV20041160","ICTV20041160")</f>
        <v>ICTV20041160</v>
      </c>
      <c r="R8645" t="s">
        <v>660</v>
      </c>
      <c r="S8645" t="s">
        <v>824</v>
      </c>
      <c r="T8645">
        <v>41</v>
      </c>
      <c r="U8645" s="26" t="str">
        <f t="shared" si="310"/>
        <v>2025.002G.Monodnaviria_reorg_4nr.zip</v>
      </c>
    </row>
    <row r="8646" spans="1:21">
      <c r="A8646">
        <v>8645</v>
      </c>
      <c r="B8646" s="27" t="s">
        <v>20779</v>
      </c>
      <c r="D8646" s="27" t="s">
        <v>1826</v>
      </c>
      <c r="F8646" s="27" t="s">
        <v>1844</v>
      </c>
      <c r="H8646" s="27" t="s">
        <v>1853</v>
      </c>
      <c r="J8646" s="27" t="s">
        <v>1854</v>
      </c>
      <c r="L8646" s="27" t="s">
        <v>461</v>
      </c>
      <c r="N8646" s="27" t="s">
        <v>462</v>
      </c>
      <c r="P8646" s="27" t="s">
        <v>13290</v>
      </c>
      <c r="Q8646" s="26" t="str">
        <f>HYPERLINK("https://ictv.global/taxonomy/taxondetails?taxnode_id=202509138&amp;ictv_id=ICTV202009138","ICTV202009138")</f>
        <v>ICTV202009138</v>
      </c>
      <c r="R8646" t="s">
        <v>660</v>
      </c>
      <c r="S8646" t="s">
        <v>824</v>
      </c>
      <c r="T8646">
        <v>41</v>
      </c>
      <c r="U8646" s="26" t="str">
        <f t="shared" si="310"/>
        <v>2025.002G.Monodnaviria_reorg_4nr.zip</v>
      </c>
    </row>
    <row r="8647" spans="1:21">
      <c r="A8647">
        <v>8646</v>
      </c>
      <c r="B8647" s="27" t="s">
        <v>20779</v>
      </c>
      <c r="D8647" s="27" t="s">
        <v>1826</v>
      </c>
      <c r="F8647" s="27" t="s">
        <v>1844</v>
      </c>
      <c r="H8647" s="27" t="s">
        <v>1853</v>
      </c>
      <c r="J8647" s="27" t="s">
        <v>1854</v>
      </c>
      <c r="L8647" s="27" t="s">
        <v>461</v>
      </c>
      <c r="N8647" s="27" t="s">
        <v>462</v>
      </c>
      <c r="P8647" s="27" t="s">
        <v>13291</v>
      </c>
      <c r="Q8647" s="26" t="str">
        <f>HYPERLINK("https://ictv.global/taxonomy/taxondetails?taxnode_id=202505844&amp;ictv_id=ICTV20175844","ICTV20175844")</f>
        <v>ICTV20175844</v>
      </c>
      <c r="R8647" t="s">
        <v>660</v>
      </c>
      <c r="S8647" t="s">
        <v>824</v>
      </c>
      <c r="T8647">
        <v>41</v>
      </c>
      <c r="U8647" s="26" t="str">
        <f t="shared" si="310"/>
        <v>2025.002G.Monodnaviria_reorg_4nr.zip</v>
      </c>
    </row>
    <row r="8648" spans="1:21">
      <c r="A8648">
        <v>8647</v>
      </c>
      <c r="B8648" s="27" t="s">
        <v>20779</v>
      </c>
      <c r="D8648" s="27" t="s">
        <v>1826</v>
      </c>
      <c r="F8648" s="27" t="s">
        <v>1844</v>
      </c>
      <c r="H8648" s="27" t="s">
        <v>1853</v>
      </c>
      <c r="J8648" s="27" t="s">
        <v>1854</v>
      </c>
      <c r="L8648" s="27" t="s">
        <v>461</v>
      </c>
      <c r="N8648" s="27" t="s">
        <v>462</v>
      </c>
      <c r="P8648" s="27" t="s">
        <v>13292</v>
      </c>
      <c r="Q8648" s="26" t="str">
        <f>HYPERLINK("https://ictv.global/taxonomy/taxondetails?taxnode_id=202506717&amp;ictv_id=ICTV201856717","ICTV201856717")</f>
        <v>ICTV201856717</v>
      </c>
      <c r="R8648" t="s">
        <v>660</v>
      </c>
      <c r="S8648" t="s">
        <v>824</v>
      </c>
      <c r="T8648">
        <v>41</v>
      </c>
      <c r="U8648" s="26" t="str">
        <f t="shared" si="310"/>
        <v>2025.002G.Monodnaviria_reorg_4nr.zip</v>
      </c>
    </row>
    <row r="8649" spans="1:21">
      <c r="A8649">
        <v>8648</v>
      </c>
      <c r="B8649" s="27" t="s">
        <v>20779</v>
      </c>
      <c r="D8649" s="27" t="s">
        <v>1826</v>
      </c>
      <c r="F8649" s="27" t="s">
        <v>1844</v>
      </c>
      <c r="H8649" s="27" t="s">
        <v>1853</v>
      </c>
      <c r="J8649" s="27" t="s">
        <v>1854</v>
      </c>
      <c r="L8649" s="27" t="s">
        <v>461</v>
      </c>
      <c r="N8649" s="27" t="s">
        <v>462</v>
      </c>
      <c r="P8649" s="27" t="s">
        <v>13293</v>
      </c>
      <c r="Q8649" s="26" t="str">
        <f>HYPERLINK("https://ictv.global/taxonomy/taxondetails?taxnode_id=202503491&amp;ictv_id=ICTV20084017","ICTV20084017")</f>
        <v>ICTV20084017</v>
      </c>
      <c r="R8649" t="s">
        <v>660</v>
      </c>
      <c r="S8649" t="s">
        <v>824</v>
      </c>
      <c r="T8649">
        <v>41</v>
      </c>
      <c r="U8649" s="26" t="str">
        <f t="shared" si="310"/>
        <v>2025.002G.Monodnaviria_reorg_4nr.zip</v>
      </c>
    </row>
    <row r="8650" spans="1:21">
      <c r="A8650">
        <v>8649</v>
      </c>
      <c r="B8650" s="27" t="s">
        <v>20779</v>
      </c>
      <c r="D8650" s="27" t="s">
        <v>1826</v>
      </c>
      <c r="F8650" s="27" t="s">
        <v>1844</v>
      </c>
      <c r="H8650" s="27" t="s">
        <v>1853</v>
      </c>
      <c r="J8650" s="27" t="s">
        <v>1854</v>
      </c>
      <c r="L8650" s="27" t="s">
        <v>461</v>
      </c>
      <c r="N8650" s="27" t="s">
        <v>462</v>
      </c>
      <c r="P8650" s="27" t="s">
        <v>13294</v>
      </c>
      <c r="Q8650" s="26" t="str">
        <f>HYPERLINK("https://ictv.global/taxonomy/taxondetails?taxnode_id=202503492&amp;ictv_id=ICTV20152866","ICTV20152866")</f>
        <v>ICTV20152866</v>
      </c>
      <c r="R8650" t="s">
        <v>660</v>
      </c>
      <c r="S8650" t="s">
        <v>824</v>
      </c>
      <c r="T8650">
        <v>41</v>
      </c>
      <c r="U8650" s="26" t="str">
        <f t="shared" si="310"/>
        <v>2025.002G.Monodnaviria_reorg_4nr.zip</v>
      </c>
    </row>
    <row r="8651" spans="1:21">
      <c r="A8651">
        <v>8650</v>
      </c>
      <c r="B8651" s="27" t="s">
        <v>20779</v>
      </c>
      <c r="D8651" s="27" t="s">
        <v>1826</v>
      </c>
      <c r="F8651" s="27" t="s">
        <v>1844</v>
      </c>
      <c r="H8651" s="27" t="s">
        <v>1853</v>
      </c>
      <c r="J8651" s="27" t="s">
        <v>1854</v>
      </c>
      <c r="L8651" s="27" t="s">
        <v>461</v>
      </c>
      <c r="N8651" s="27" t="s">
        <v>462</v>
      </c>
      <c r="P8651" s="27" t="s">
        <v>13295</v>
      </c>
      <c r="Q8651" s="26" t="str">
        <f>HYPERLINK("https://ictv.global/taxonomy/taxondetails?taxnode_id=202507520&amp;ictv_id=ICTV201907520","ICTV201907520")</f>
        <v>ICTV201907520</v>
      </c>
      <c r="R8651" t="s">
        <v>660</v>
      </c>
      <c r="S8651" t="s">
        <v>824</v>
      </c>
      <c r="T8651">
        <v>41</v>
      </c>
      <c r="U8651" s="26" t="str">
        <f t="shared" si="310"/>
        <v>2025.002G.Monodnaviria_reorg_4nr.zip</v>
      </c>
    </row>
    <row r="8652" spans="1:21">
      <c r="A8652">
        <v>8651</v>
      </c>
      <c r="B8652" s="27" t="s">
        <v>20779</v>
      </c>
      <c r="D8652" s="27" t="s">
        <v>1826</v>
      </c>
      <c r="F8652" s="27" t="s">
        <v>1844</v>
      </c>
      <c r="H8652" s="27" t="s">
        <v>1853</v>
      </c>
      <c r="J8652" s="27" t="s">
        <v>1854</v>
      </c>
      <c r="L8652" s="27" t="s">
        <v>461</v>
      </c>
      <c r="N8652" s="27" t="s">
        <v>462</v>
      </c>
      <c r="P8652" s="27" t="s">
        <v>13296</v>
      </c>
      <c r="Q8652" s="26" t="str">
        <f>HYPERLINK("https://ictv.global/taxonomy/taxondetails?taxnode_id=202503230&amp;ictv_id=ICTV19981387","ICTV19981387")</f>
        <v>ICTV19981387</v>
      </c>
      <c r="R8652" t="s">
        <v>660</v>
      </c>
      <c r="S8652" t="s">
        <v>824</v>
      </c>
      <c r="T8652">
        <v>41</v>
      </c>
      <c r="U8652" s="26" t="str">
        <f t="shared" si="310"/>
        <v>2025.002G.Monodnaviria_reorg_4nr.zip</v>
      </c>
    </row>
    <row r="8653" spans="1:21">
      <c r="A8653">
        <v>8652</v>
      </c>
      <c r="B8653" s="27" t="s">
        <v>20779</v>
      </c>
      <c r="D8653" s="27" t="s">
        <v>1826</v>
      </c>
      <c r="F8653" s="27" t="s">
        <v>1844</v>
      </c>
      <c r="H8653" s="27" t="s">
        <v>1853</v>
      </c>
      <c r="J8653" s="27" t="s">
        <v>1854</v>
      </c>
      <c r="L8653" s="27" t="s">
        <v>461</v>
      </c>
      <c r="N8653" s="27" t="s">
        <v>462</v>
      </c>
      <c r="P8653" s="27" t="s">
        <v>13297</v>
      </c>
      <c r="Q8653" s="26" t="str">
        <f>HYPERLINK("https://ictv.global/taxonomy/taxondetails?taxnode_id=202503295&amp;ictv_id=ICTV19871306","ICTV19871306")</f>
        <v>ICTV19871306</v>
      </c>
      <c r="R8653" t="s">
        <v>660</v>
      </c>
      <c r="S8653" t="s">
        <v>824</v>
      </c>
      <c r="T8653">
        <v>41</v>
      </c>
      <c r="U8653" s="26" t="str">
        <f t="shared" si="310"/>
        <v>2025.002G.Monodnaviria_reorg_4nr.zip</v>
      </c>
    </row>
    <row r="8654" spans="1:21">
      <c r="A8654">
        <v>8653</v>
      </c>
      <c r="B8654" s="27" t="s">
        <v>20779</v>
      </c>
      <c r="D8654" s="27" t="s">
        <v>1826</v>
      </c>
      <c r="F8654" s="27" t="s">
        <v>1844</v>
      </c>
      <c r="H8654" s="27" t="s">
        <v>1853</v>
      </c>
      <c r="J8654" s="27" t="s">
        <v>1854</v>
      </c>
      <c r="L8654" s="27" t="s">
        <v>461</v>
      </c>
      <c r="N8654" s="27" t="s">
        <v>462</v>
      </c>
      <c r="P8654" s="27" t="s">
        <v>13298</v>
      </c>
      <c r="Q8654" s="26" t="str">
        <f>HYPERLINK("https://ictv.global/taxonomy/taxondetails?taxnode_id=202503294&amp;ictv_id=ICTV20041151","ICTV20041151")</f>
        <v>ICTV20041151</v>
      </c>
      <c r="R8654" t="s">
        <v>660</v>
      </c>
      <c r="S8654" t="s">
        <v>824</v>
      </c>
      <c r="T8654">
        <v>41</v>
      </c>
      <c r="U8654" s="26" t="str">
        <f t="shared" si="310"/>
        <v>2025.002G.Monodnaviria_reorg_4nr.zip</v>
      </c>
    </row>
    <row r="8655" spans="1:21">
      <c r="A8655">
        <v>8654</v>
      </c>
      <c r="B8655" s="27" t="s">
        <v>20779</v>
      </c>
      <c r="D8655" s="27" t="s">
        <v>1826</v>
      </c>
      <c r="F8655" s="27" t="s">
        <v>1844</v>
      </c>
      <c r="H8655" s="27" t="s">
        <v>1853</v>
      </c>
      <c r="J8655" s="27" t="s">
        <v>1854</v>
      </c>
      <c r="L8655" s="27" t="s">
        <v>461</v>
      </c>
      <c r="N8655" s="27" t="s">
        <v>462</v>
      </c>
      <c r="P8655" s="27" t="s">
        <v>13299</v>
      </c>
      <c r="Q8655" s="26" t="str">
        <f>HYPERLINK("https://ictv.global/taxonomy/taxondetails?taxnode_id=202505845&amp;ictv_id=ICTV20175845","ICTV20175845")</f>
        <v>ICTV20175845</v>
      </c>
      <c r="R8655" t="s">
        <v>660</v>
      </c>
      <c r="S8655" t="s">
        <v>824</v>
      </c>
      <c r="T8655">
        <v>41</v>
      </c>
      <c r="U8655" s="26" t="str">
        <f t="shared" si="310"/>
        <v>2025.002G.Monodnaviria_reorg_4nr.zip</v>
      </c>
    </row>
    <row r="8656" spans="1:21">
      <c r="A8656">
        <v>8655</v>
      </c>
      <c r="B8656" s="27" t="s">
        <v>20779</v>
      </c>
      <c r="D8656" s="27" t="s">
        <v>1826</v>
      </c>
      <c r="F8656" s="27" t="s">
        <v>1844</v>
      </c>
      <c r="H8656" s="27" t="s">
        <v>1853</v>
      </c>
      <c r="J8656" s="27" t="s">
        <v>1854</v>
      </c>
      <c r="L8656" s="27" t="s">
        <v>461</v>
      </c>
      <c r="N8656" s="27" t="s">
        <v>462</v>
      </c>
      <c r="P8656" s="27" t="s">
        <v>13300</v>
      </c>
      <c r="Q8656" s="26" t="str">
        <f>HYPERLINK("https://ictv.global/taxonomy/taxondetails?taxnode_id=202505794&amp;ictv_id=ICTV20175794","ICTV20175794")</f>
        <v>ICTV20175794</v>
      </c>
      <c r="R8656" t="s">
        <v>660</v>
      </c>
      <c r="S8656" t="s">
        <v>824</v>
      </c>
      <c r="T8656">
        <v>41</v>
      </c>
      <c r="U8656" s="26" t="str">
        <f t="shared" si="310"/>
        <v>2025.002G.Monodnaviria_reorg_4nr.zip</v>
      </c>
    </row>
    <row r="8657" spans="1:21">
      <c r="A8657">
        <v>8656</v>
      </c>
      <c r="B8657" s="27" t="s">
        <v>20779</v>
      </c>
      <c r="D8657" s="27" t="s">
        <v>1826</v>
      </c>
      <c r="F8657" s="27" t="s">
        <v>1844</v>
      </c>
      <c r="H8657" s="27" t="s">
        <v>1853</v>
      </c>
      <c r="J8657" s="27" t="s">
        <v>1854</v>
      </c>
      <c r="L8657" s="27" t="s">
        <v>461</v>
      </c>
      <c r="N8657" s="27" t="s">
        <v>462</v>
      </c>
      <c r="P8657" s="27" t="s">
        <v>13301</v>
      </c>
      <c r="Q8657" s="26" t="str">
        <f>HYPERLINK("https://ictv.global/taxonomy/taxondetails?taxnode_id=202503365&amp;ictv_id=ICTV19981419","ICTV19981419")</f>
        <v>ICTV19981419</v>
      </c>
      <c r="R8657" t="s">
        <v>660</v>
      </c>
      <c r="S8657" t="s">
        <v>824</v>
      </c>
      <c r="T8657">
        <v>41</v>
      </c>
      <c r="U8657" s="26" t="str">
        <f t="shared" si="310"/>
        <v>2025.002G.Monodnaviria_reorg_4nr.zip</v>
      </c>
    </row>
    <row r="8658" spans="1:21">
      <c r="A8658">
        <v>8657</v>
      </c>
      <c r="B8658" s="27" t="s">
        <v>20779</v>
      </c>
      <c r="D8658" s="27" t="s">
        <v>1826</v>
      </c>
      <c r="F8658" s="27" t="s">
        <v>1844</v>
      </c>
      <c r="H8658" s="27" t="s">
        <v>1853</v>
      </c>
      <c r="J8658" s="27" t="s">
        <v>1854</v>
      </c>
      <c r="L8658" s="27" t="s">
        <v>461</v>
      </c>
      <c r="N8658" s="27" t="s">
        <v>462</v>
      </c>
      <c r="P8658" s="27" t="s">
        <v>20082</v>
      </c>
      <c r="Q8658" s="26" t="str">
        <f>HYPERLINK("https://ictv.global/taxonomy/taxondetails?taxnode_id=202520469&amp;ictv_id=ICTV202420469","ICTV202420469")</f>
        <v>ICTV202420469</v>
      </c>
      <c r="R8658" t="s">
        <v>582</v>
      </c>
      <c r="S8658" t="s">
        <v>824</v>
      </c>
      <c r="T8658">
        <v>41</v>
      </c>
      <c r="U8658" s="26" t="str">
        <f t="shared" si="310"/>
        <v>2025.002G.Monodnaviria_reorg_4nr.zip</v>
      </c>
    </row>
    <row r="8659" spans="1:21">
      <c r="A8659">
        <v>8658</v>
      </c>
      <c r="B8659" s="27" t="s">
        <v>20779</v>
      </c>
      <c r="D8659" s="27" t="s">
        <v>1826</v>
      </c>
      <c r="F8659" s="27" t="s">
        <v>1844</v>
      </c>
      <c r="H8659" s="27" t="s">
        <v>1853</v>
      </c>
      <c r="J8659" s="27" t="s">
        <v>1854</v>
      </c>
      <c r="L8659" s="27" t="s">
        <v>461</v>
      </c>
      <c r="N8659" s="27" t="s">
        <v>462</v>
      </c>
      <c r="P8659" s="27" t="s">
        <v>13302</v>
      </c>
      <c r="Q8659" s="26" t="str">
        <f>HYPERLINK("https://ictv.global/taxonomy/taxondetails?taxnode_id=202503496&amp;ictv_id=ICTV20131988","ICTV20131988")</f>
        <v>ICTV20131988</v>
      </c>
      <c r="R8659" t="s">
        <v>660</v>
      </c>
      <c r="S8659" t="s">
        <v>824</v>
      </c>
      <c r="T8659">
        <v>41</v>
      </c>
      <c r="U8659" s="26" t="str">
        <f t="shared" si="310"/>
        <v>2025.002G.Monodnaviria_reorg_4nr.zip</v>
      </c>
    </row>
    <row r="8660" spans="1:21">
      <c r="A8660">
        <v>8659</v>
      </c>
      <c r="B8660" s="27" t="s">
        <v>20779</v>
      </c>
      <c r="D8660" s="27" t="s">
        <v>1826</v>
      </c>
      <c r="F8660" s="27" t="s">
        <v>1844</v>
      </c>
      <c r="H8660" s="27" t="s">
        <v>1853</v>
      </c>
      <c r="J8660" s="27" t="s">
        <v>1854</v>
      </c>
      <c r="L8660" s="27" t="s">
        <v>461</v>
      </c>
      <c r="N8660" s="27" t="s">
        <v>462</v>
      </c>
      <c r="P8660" s="27" t="s">
        <v>13303</v>
      </c>
      <c r="Q8660" s="26" t="str">
        <f>HYPERLINK("https://ictv.global/taxonomy/taxondetails?taxnode_id=202505852&amp;ictv_id=ICTV20175852","ICTV20175852")</f>
        <v>ICTV20175852</v>
      </c>
      <c r="R8660" t="s">
        <v>660</v>
      </c>
      <c r="S8660" t="s">
        <v>824</v>
      </c>
      <c r="T8660">
        <v>41</v>
      </c>
      <c r="U8660" s="26" t="str">
        <f t="shared" si="310"/>
        <v>2025.002G.Monodnaviria_reorg_4nr.zip</v>
      </c>
    </row>
    <row r="8661" spans="1:21">
      <c r="A8661">
        <v>8660</v>
      </c>
      <c r="B8661" s="27" t="s">
        <v>20779</v>
      </c>
      <c r="D8661" s="27" t="s">
        <v>1826</v>
      </c>
      <c r="F8661" s="27" t="s">
        <v>1844</v>
      </c>
      <c r="H8661" s="27" t="s">
        <v>1853</v>
      </c>
      <c r="J8661" s="27" t="s">
        <v>1854</v>
      </c>
      <c r="L8661" s="27" t="s">
        <v>461</v>
      </c>
      <c r="N8661" s="27" t="s">
        <v>803</v>
      </c>
      <c r="P8661" s="27" t="s">
        <v>21645</v>
      </c>
      <c r="Q8661" s="26" t="str">
        <f>HYPERLINK("https://ictv.global/taxonomy/taxondetails?taxnode_id=202522501&amp;ictv_id=ICTV202522501","ICTV202522501")</f>
        <v>ICTV202522501</v>
      </c>
      <c r="R8661" t="s">
        <v>582</v>
      </c>
      <c r="S8661" t="s">
        <v>823</v>
      </c>
      <c r="T8661">
        <v>41</v>
      </c>
      <c r="U8661" s="26" t="str">
        <f>HYPERLINK("https://ictv.global/ictv/proposals/2025.011P.Geminiviridae_Capulavirus_1nsp.zip","2025.011P.Geminiviridae_Capulavirus_1nsp.zip")</f>
        <v>2025.011P.Geminiviridae_Capulavirus_1nsp.zip</v>
      </c>
    </row>
    <row r="8662" spans="1:21">
      <c r="A8662">
        <v>8661</v>
      </c>
      <c r="B8662" s="27" t="s">
        <v>20779</v>
      </c>
      <c r="D8662" s="27" t="s">
        <v>1826</v>
      </c>
      <c r="F8662" s="27" t="s">
        <v>1844</v>
      </c>
      <c r="H8662" s="27" t="s">
        <v>1853</v>
      </c>
      <c r="J8662" s="27" t="s">
        <v>1854</v>
      </c>
      <c r="L8662" s="27" t="s">
        <v>461</v>
      </c>
      <c r="N8662" s="27" t="s">
        <v>803</v>
      </c>
      <c r="P8662" s="27" t="s">
        <v>13304</v>
      </c>
      <c r="Q8662" s="26" t="str">
        <f>HYPERLINK("https://ictv.global/taxonomy/taxondetails?taxnode_id=202503499&amp;ictv_id=ICTV20165306","ICTV20165306")</f>
        <v>ICTV20165306</v>
      </c>
      <c r="R8662" t="s">
        <v>660</v>
      </c>
      <c r="S8662" t="s">
        <v>824</v>
      </c>
      <c r="T8662">
        <v>41</v>
      </c>
      <c r="U8662" s="26" t="str">
        <f t="shared" ref="U8662:U8672" si="311">HYPERLINK("https://ictv.global/ictv/proposals/2025.002G.Monodnaviria_reorg_4nr.zip","2025.002G.Monodnaviria_reorg_4nr.zip")</f>
        <v>2025.002G.Monodnaviria_reorg_4nr.zip</v>
      </c>
    </row>
    <row r="8663" spans="1:21">
      <c r="A8663">
        <v>8662</v>
      </c>
      <c r="B8663" s="27" t="s">
        <v>20779</v>
      </c>
      <c r="D8663" s="27" t="s">
        <v>1826</v>
      </c>
      <c r="F8663" s="27" t="s">
        <v>1844</v>
      </c>
      <c r="H8663" s="27" t="s">
        <v>1853</v>
      </c>
      <c r="J8663" s="27" t="s">
        <v>1854</v>
      </c>
      <c r="L8663" s="27" t="s">
        <v>461</v>
      </c>
      <c r="N8663" s="27" t="s">
        <v>803</v>
      </c>
      <c r="P8663" s="27" t="s">
        <v>13305</v>
      </c>
      <c r="Q8663" s="26" t="str">
        <f>HYPERLINK("https://ictv.global/taxonomy/taxondetails?taxnode_id=202503498&amp;ictv_id=ICTV20165305","ICTV20165305")</f>
        <v>ICTV20165305</v>
      </c>
      <c r="R8663" t="s">
        <v>660</v>
      </c>
      <c r="S8663" t="s">
        <v>824</v>
      </c>
      <c r="T8663">
        <v>41</v>
      </c>
      <c r="U8663" s="26" t="str">
        <f t="shared" si="311"/>
        <v>2025.002G.Monodnaviria_reorg_4nr.zip</v>
      </c>
    </row>
    <row r="8664" spans="1:21">
      <c r="A8664">
        <v>8663</v>
      </c>
      <c r="B8664" s="27" t="s">
        <v>20779</v>
      </c>
      <c r="D8664" s="27" t="s">
        <v>1826</v>
      </c>
      <c r="F8664" s="27" t="s">
        <v>1844</v>
      </c>
      <c r="H8664" s="27" t="s">
        <v>1853</v>
      </c>
      <c r="J8664" s="27" t="s">
        <v>1854</v>
      </c>
      <c r="L8664" s="27" t="s">
        <v>461</v>
      </c>
      <c r="N8664" s="27" t="s">
        <v>803</v>
      </c>
      <c r="P8664" s="27" t="s">
        <v>13306</v>
      </c>
      <c r="Q8664" s="26" t="str">
        <f>HYPERLINK("https://ictv.global/taxonomy/taxondetails?taxnode_id=202503500&amp;ictv_id=ICTV20165307","ICTV20165307")</f>
        <v>ICTV20165307</v>
      </c>
      <c r="R8664" t="s">
        <v>660</v>
      </c>
      <c r="S8664" t="s">
        <v>824</v>
      </c>
      <c r="T8664">
        <v>41</v>
      </c>
      <c r="U8664" s="26" t="str">
        <f t="shared" si="311"/>
        <v>2025.002G.Monodnaviria_reorg_4nr.zip</v>
      </c>
    </row>
    <row r="8665" spans="1:21">
      <c r="A8665">
        <v>8664</v>
      </c>
      <c r="B8665" s="27" t="s">
        <v>20779</v>
      </c>
      <c r="D8665" s="27" t="s">
        <v>1826</v>
      </c>
      <c r="F8665" s="27" t="s">
        <v>1844</v>
      </c>
      <c r="H8665" s="27" t="s">
        <v>1853</v>
      </c>
      <c r="J8665" s="27" t="s">
        <v>1854</v>
      </c>
      <c r="L8665" s="27" t="s">
        <v>461</v>
      </c>
      <c r="N8665" s="27" t="s">
        <v>803</v>
      </c>
      <c r="P8665" s="27" t="s">
        <v>13307</v>
      </c>
      <c r="Q8665" s="26" t="str">
        <f>HYPERLINK("https://ictv.global/taxonomy/taxondetails?taxnode_id=202503501&amp;ictv_id=ICTV20165308","ICTV20165308")</f>
        <v>ICTV20165308</v>
      </c>
      <c r="R8665" t="s">
        <v>660</v>
      </c>
      <c r="S8665" t="s">
        <v>824</v>
      </c>
      <c r="T8665">
        <v>41</v>
      </c>
      <c r="U8665" s="26" t="str">
        <f t="shared" si="311"/>
        <v>2025.002G.Monodnaviria_reorg_4nr.zip</v>
      </c>
    </row>
    <row r="8666" spans="1:21">
      <c r="A8666">
        <v>8665</v>
      </c>
      <c r="B8666" s="27" t="s">
        <v>20779</v>
      </c>
      <c r="D8666" s="27" t="s">
        <v>1826</v>
      </c>
      <c r="F8666" s="27" t="s">
        <v>1844</v>
      </c>
      <c r="H8666" s="27" t="s">
        <v>1853</v>
      </c>
      <c r="J8666" s="27" t="s">
        <v>1854</v>
      </c>
      <c r="L8666" s="27" t="s">
        <v>461</v>
      </c>
      <c r="N8666" s="27" t="s">
        <v>803</v>
      </c>
      <c r="P8666" s="27" t="s">
        <v>20083</v>
      </c>
      <c r="Q8666" s="26" t="str">
        <f>HYPERLINK("https://ictv.global/taxonomy/taxondetails?taxnode_id=202520258&amp;ictv_id=ICTV202420258","ICTV202420258")</f>
        <v>ICTV202420258</v>
      </c>
      <c r="R8666" t="s">
        <v>660</v>
      </c>
      <c r="S8666" t="s">
        <v>824</v>
      </c>
      <c r="T8666">
        <v>41</v>
      </c>
      <c r="U8666" s="26" t="str">
        <f t="shared" si="311"/>
        <v>2025.002G.Monodnaviria_reorg_4nr.zip</v>
      </c>
    </row>
    <row r="8667" spans="1:21">
      <c r="A8667">
        <v>8666</v>
      </c>
      <c r="B8667" s="27" t="s">
        <v>20779</v>
      </c>
      <c r="D8667" s="27" t="s">
        <v>1826</v>
      </c>
      <c r="F8667" s="27" t="s">
        <v>1844</v>
      </c>
      <c r="H8667" s="27" t="s">
        <v>1853</v>
      </c>
      <c r="J8667" s="27" t="s">
        <v>1854</v>
      </c>
      <c r="L8667" s="27" t="s">
        <v>461</v>
      </c>
      <c r="N8667" s="27" t="s">
        <v>2432</v>
      </c>
      <c r="P8667" s="27" t="s">
        <v>20084</v>
      </c>
      <c r="Q8667" s="26" t="str">
        <f>HYPERLINK("https://ictv.global/taxonomy/taxondetails?taxnode_id=202520359&amp;ictv_id=ICTV202420359","ICTV202420359")</f>
        <v>ICTV202420359</v>
      </c>
      <c r="R8667" t="s">
        <v>660</v>
      </c>
      <c r="S8667" t="s">
        <v>824</v>
      </c>
      <c r="T8667">
        <v>41</v>
      </c>
      <c r="U8667" s="26" t="str">
        <f t="shared" si="311"/>
        <v>2025.002G.Monodnaviria_reorg_4nr.zip</v>
      </c>
    </row>
    <row r="8668" spans="1:21">
      <c r="A8668">
        <v>8667</v>
      </c>
      <c r="B8668" s="27" t="s">
        <v>20779</v>
      </c>
      <c r="D8668" s="27" t="s">
        <v>1826</v>
      </c>
      <c r="F8668" s="27" t="s">
        <v>1844</v>
      </c>
      <c r="H8668" s="27" t="s">
        <v>1853</v>
      </c>
      <c r="J8668" s="27" t="s">
        <v>1854</v>
      </c>
      <c r="L8668" s="27" t="s">
        <v>461</v>
      </c>
      <c r="N8668" s="27" t="s">
        <v>2432</v>
      </c>
      <c r="P8668" s="27" t="s">
        <v>13308</v>
      </c>
      <c r="Q8668" s="26" t="str">
        <f>HYPERLINK("https://ictv.global/taxonomy/taxondetails?taxnode_id=202509792&amp;ictv_id=ICTV202009792","ICTV202009792")</f>
        <v>ICTV202009792</v>
      </c>
      <c r="R8668" t="s">
        <v>660</v>
      </c>
      <c r="S8668" t="s">
        <v>824</v>
      </c>
      <c r="T8668">
        <v>41</v>
      </c>
      <c r="U8668" s="26" t="str">
        <f t="shared" si="311"/>
        <v>2025.002G.Monodnaviria_reorg_4nr.zip</v>
      </c>
    </row>
    <row r="8669" spans="1:21">
      <c r="A8669">
        <v>8668</v>
      </c>
      <c r="B8669" s="27" t="s">
        <v>20779</v>
      </c>
      <c r="D8669" s="27" t="s">
        <v>1826</v>
      </c>
      <c r="F8669" s="27" t="s">
        <v>1844</v>
      </c>
      <c r="H8669" s="27" t="s">
        <v>1853</v>
      </c>
      <c r="J8669" s="27" t="s">
        <v>1854</v>
      </c>
      <c r="L8669" s="27" t="s">
        <v>461</v>
      </c>
      <c r="N8669" s="27" t="s">
        <v>2432</v>
      </c>
      <c r="P8669" s="27" t="s">
        <v>13309</v>
      </c>
      <c r="Q8669" s="26" t="str">
        <f>HYPERLINK("https://ictv.global/taxonomy/taxondetails?taxnode_id=202509175&amp;ictv_id=ICTV202009175","ICTV202009175")</f>
        <v>ICTV202009175</v>
      </c>
      <c r="R8669" t="s">
        <v>660</v>
      </c>
      <c r="S8669" t="s">
        <v>824</v>
      </c>
      <c r="T8669">
        <v>41</v>
      </c>
      <c r="U8669" s="26" t="str">
        <f t="shared" si="311"/>
        <v>2025.002G.Monodnaviria_reorg_4nr.zip</v>
      </c>
    </row>
    <row r="8670" spans="1:21">
      <c r="A8670">
        <v>8669</v>
      </c>
      <c r="B8670" s="27" t="s">
        <v>20779</v>
      </c>
      <c r="D8670" s="27" t="s">
        <v>1826</v>
      </c>
      <c r="F8670" s="27" t="s">
        <v>1844</v>
      </c>
      <c r="H8670" s="27" t="s">
        <v>1853</v>
      </c>
      <c r="J8670" s="27" t="s">
        <v>1854</v>
      </c>
      <c r="L8670" s="27" t="s">
        <v>461</v>
      </c>
      <c r="N8670" s="27" t="s">
        <v>2432</v>
      </c>
      <c r="P8670" s="27" t="s">
        <v>13310</v>
      </c>
      <c r="Q8670" s="26" t="str">
        <f>HYPERLINK("https://ictv.global/taxonomy/taxondetails?taxnode_id=202503548&amp;ictv_id=ICTV20165310","ICTV20165310")</f>
        <v>ICTV20165310</v>
      </c>
      <c r="R8670" t="s">
        <v>660</v>
      </c>
      <c r="S8670" t="s">
        <v>824</v>
      </c>
      <c r="T8670">
        <v>41</v>
      </c>
      <c r="U8670" s="26" t="str">
        <f t="shared" si="311"/>
        <v>2025.002G.Monodnaviria_reorg_4nr.zip</v>
      </c>
    </row>
    <row r="8671" spans="1:21">
      <c r="A8671">
        <v>8670</v>
      </c>
      <c r="B8671" s="27" t="s">
        <v>20779</v>
      </c>
      <c r="D8671" s="27" t="s">
        <v>1826</v>
      </c>
      <c r="F8671" s="27" t="s">
        <v>1844</v>
      </c>
      <c r="H8671" s="27" t="s">
        <v>1853</v>
      </c>
      <c r="J8671" s="27" t="s">
        <v>1854</v>
      </c>
      <c r="L8671" s="27" t="s">
        <v>461</v>
      </c>
      <c r="N8671" s="27" t="s">
        <v>2432</v>
      </c>
      <c r="P8671" s="27" t="s">
        <v>20085</v>
      </c>
      <c r="Q8671" s="26" t="str">
        <f>HYPERLINK("https://ictv.global/taxonomy/taxondetails?taxnode_id=202520360&amp;ictv_id=ICTV202420360","ICTV202420360")</f>
        <v>ICTV202420360</v>
      </c>
      <c r="R8671" t="s">
        <v>660</v>
      </c>
      <c r="S8671" t="s">
        <v>824</v>
      </c>
      <c r="T8671">
        <v>41</v>
      </c>
      <c r="U8671" s="26" t="str">
        <f t="shared" si="311"/>
        <v>2025.002G.Monodnaviria_reorg_4nr.zip</v>
      </c>
    </row>
    <row r="8672" spans="1:21">
      <c r="A8672">
        <v>8671</v>
      </c>
      <c r="B8672" s="27" t="s">
        <v>20779</v>
      </c>
      <c r="D8672" s="27" t="s">
        <v>1826</v>
      </c>
      <c r="F8672" s="27" t="s">
        <v>1844</v>
      </c>
      <c r="H8672" s="27" t="s">
        <v>1853</v>
      </c>
      <c r="J8672" s="27" t="s">
        <v>1854</v>
      </c>
      <c r="L8672" s="27" t="s">
        <v>461</v>
      </c>
      <c r="N8672" s="27" t="s">
        <v>2432</v>
      </c>
      <c r="P8672" s="27" t="s">
        <v>13311</v>
      </c>
      <c r="Q8672" s="26" t="str">
        <f>HYPERLINK("https://ictv.global/taxonomy/taxondetails?taxnode_id=202509176&amp;ictv_id=ICTV202009176","ICTV202009176")</f>
        <v>ICTV202009176</v>
      </c>
      <c r="R8672" t="s">
        <v>660</v>
      </c>
      <c r="S8672" t="s">
        <v>824</v>
      </c>
      <c r="T8672">
        <v>41</v>
      </c>
      <c r="U8672" s="26" t="str">
        <f t="shared" si="311"/>
        <v>2025.002G.Monodnaviria_reorg_4nr.zip</v>
      </c>
    </row>
    <row r="8673" spans="1:21">
      <c r="A8673">
        <v>8672</v>
      </c>
      <c r="B8673" s="27" t="s">
        <v>20779</v>
      </c>
      <c r="D8673" s="27" t="s">
        <v>1826</v>
      </c>
      <c r="F8673" s="27" t="s">
        <v>1844</v>
      </c>
      <c r="H8673" s="27" t="s">
        <v>1853</v>
      </c>
      <c r="J8673" s="27" t="s">
        <v>1854</v>
      </c>
      <c r="L8673" s="27" t="s">
        <v>461</v>
      </c>
      <c r="N8673" s="27" t="s">
        <v>21866</v>
      </c>
      <c r="P8673" s="27" t="s">
        <v>21867</v>
      </c>
      <c r="Q8673" s="26" t="str">
        <f>HYPERLINK("https://ictv.global/taxonomy/taxondetails?taxnode_id=202522679&amp;ictv_id=ICTV202522679","ICTV202522679")</f>
        <v>ICTV202522679</v>
      </c>
      <c r="R8673" t="s">
        <v>582</v>
      </c>
      <c r="S8673" t="s">
        <v>823</v>
      </c>
      <c r="T8673">
        <v>41</v>
      </c>
      <c r="U8673" s="26" t="str">
        <f>HYPERLINK("https://ictv.global/ictv/proposals/2025.016P.Geminiviridae_3ng_3nsp.zip","2025.016P.Geminiviridae_3ng_3nsp.zip")</f>
        <v>2025.016P.Geminiviridae_3ng_3nsp.zip</v>
      </c>
    </row>
    <row r="8674" spans="1:21">
      <c r="A8674">
        <v>8673</v>
      </c>
      <c r="B8674" s="27" t="s">
        <v>20779</v>
      </c>
      <c r="D8674" s="27" t="s">
        <v>1826</v>
      </c>
      <c r="F8674" s="27" t="s">
        <v>1844</v>
      </c>
      <c r="H8674" s="27" t="s">
        <v>1853</v>
      </c>
      <c r="J8674" s="27" t="s">
        <v>1854</v>
      </c>
      <c r="L8674" s="27" t="s">
        <v>461</v>
      </c>
      <c r="N8674" s="27" t="s">
        <v>281</v>
      </c>
      <c r="P8674" s="27" t="s">
        <v>13312</v>
      </c>
      <c r="Q8674" s="26" t="str">
        <f>HYPERLINK("https://ictv.global/taxonomy/taxondetails?taxnode_id=202503504&amp;ictv_id=ICTV19990949","ICTV19990949")</f>
        <v>ICTV19990949</v>
      </c>
      <c r="R8674" t="s">
        <v>660</v>
      </c>
      <c r="S8674" t="s">
        <v>824</v>
      </c>
      <c r="T8674">
        <v>41</v>
      </c>
      <c r="U8674" s="26" t="str">
        <f t="shared" ref="U8674:U8691" si="312">HYPERLINK("https://ictv.global/ictv/proposals/2025.002G.Monodnaviria_reorg_4nr.zip","2025.002G.Monodnaviria_reorg_4nr.zip")</f>
        <v>2025.002G.Monodnaviria_reorg_4nr.zip</v>
      </c>
    </row>
    <row r="8675" spans="1:21">
      <c r="A8675">
        <v>8674</v>
      </c>
      <c r="B8675" s="27" t="s">
        <v>20779</v>
      </c>
      <c r="D8675" s="27" t="s">
        <v>1826</v>
      </c>
      <c r="F8675" s="27" t="s">
        <v>1844</v>
      </c>
      <c r="H8675" s="27" t="s">
        <v>1853</v>
      </c>
      <c r="J8675" s="27" t="s">
        <v>1854</v>
      </c>
      <c r="L8675" s="27" t="s">
        <v>461</v>
      </c>
      <c r="N8675" s="27" t="s">
        <v>281</v>
      </c>
      <c r="P8675" s="27" t="s">
        <v>13313</v>
      </c>
      <c r="Q8675" s="26" t="str">
        <f>HYPERLINK("https://ictv.global/taxonomy/taxondetails?taxnode_id=202503503&amp;ictv_id=ICTV19990948","ICTV19990948")</f>
        <v>ICTV19990948</v>
      </c>
      <c r="R8675" t="s">
        <v>660</v>
      </c>
      <c r="S8675" t="s">
        <v>824</v>
      </c>
      <c r="T8675">
        <v>41</v>
      </c>
      <c r="U8675" s="26" t="str">
        <f t="shared" si="312"/>
        <v>2025.002G.Monodnaviria_reorg_4nr.zip</v>
      </c>
    </row>
    <row r="8676" spans="1:21">
      <c r="A8676">
        <v>8675</v>
      </c>
      <c r="B8676" s="27" t="s">
        <v>20779</v>
      </c>
      <c r="D8676" s="27" t="s">
        <v>1826</v>
      </c>
      <c r="F8676" s="27" t="s">
        <v>1844</v>
      </c>
      <c r="H8676" s="27" t="s">
        <v>1853</v>
      </c>
      <c r="J8676" s="27" t="s">
        <v>1854</v>
      </c>
      <c r="L8676" s="27" t="s">
        <v>461</v>
      </c>
      <c r="N8676" s="27" t="s">
        <v>281</v>
      </c>
      <c r="P8676" s="27" t="s">
        <v>13314</v>
      </c>
      <c r="Q8676" s="26" t="str">
        <f>HYPERLINK("https://ictv.global/taxonomy/taxondetails?taxnode_id=202503505&amp;ictv_id=ICTV20125759","ICTV20125759")</f>
        <v>ICTV20125759</v>
      </c>
      <c r="R8676" t="s">
        <v>660</v>
      </c>
      <c r="S8676" t="s">
        <v>824</v>
      </c>
      <c r="T8676">
        <v>41</v>
      </c>
      <c r="U8676" s="26" t="str">
        <f t="shared" si="312"/>
        <v>2025.002G.Monodnaviria_reorg_4nr.zip</v>
      </c>
    </row>
    <row r="8677" spans="1:21">
      <c r="A8677">
        <v>8676</v>
      </c>
      <c r="B8677" s="27" t="s">
        <v>20779</v>
      </c>
      <c r="D8677" s="27" t="s">
        <v>1826</v>
      </c>
      <c r="F8677" s="27" t="s">
        <v>1844</v>
      </c>
      <c r="H8677" s="27" t="s">
        <v>1853</v>
      </c>
      <c r="J8677" s="27" t="s">
        <v>1854</v>
      </c>
      <c r="L8677" s="27" t="s">
        <v>461</v>
      </c>
      <c r="N8677" s="27" t="s">
        <v>483</v>
      </c>
      <c r="P8677" s="27" t="s">
        <v>13315</v>
      </c>
      <c r="Q8677" s="26" t="str">
        <f>HYPERLINK("https://ictv.global/taxonomy/taxondetails?taxnode_id=202503507&amp;ictv_id=ICTV20125762","ICTV20125762")</f>
        <v>ICTV20125762</v>
      </c>
      <c r="R8677" t="s">
        <v>660</v>
      </c>
      <c r="S8677" t="s">
        <v>824</v>
      </c>
      <c r="T8677">
        <v>41</v>
      </c>
      <c r="U8677" s="26" t="str">
        <f t="shared" si="312"/>
        <v>2025.002G.Monodnaviria_reorg_4nr.zip</v>
      </c>
    </row>
    <row r="8678" spans="1:21">
      <c r="A8678">
        <v>8677</v>
      </c>
      <c r="B8678" s="27" t="s">
        <v>20779</v>
      </c>
      <c r="D8678" s="27" t="s">
        <v>1826</v>
      </c>
      <c r="F8678" s="27" t="s">
        <v>1844</v>
      </c>
      <c r="H8678" s="27" t="s">
        <v>1853</v>
      </c>
      <c r="J8678" s="27" t="s">
        <v>1854</v>
      </c>
      <c r="L8678" s="27" t="s">
        <v>461</v>
      </c>
      <c r="N8678" s="27" t="s">
        <v>804</v>
      </c>
      <c r="P8678" s="27" t="s">
        <v>13316</v>
      </c>
      <c r="Q8678" s="26" t="str">
        <f>HYPERLINK("https://ictv.global/taxonomy/taxondetails?taxnode_id=202506690&amp;ictv_id=ICTV201856690","ICTV201856690")</f>
        <v>ICTV201856690</v>
      </c>
      <c r="R8678" t="s">
        <v>660</v>
      </c>
      <c r="S8678" t="s">
        <v>824</v>
      </c>
      <c r="T8678">
        <v>41</v>
      </c>
      <c r="U8678" s="26" t="str">
        <f t="shared" si="312"/>
        <v>2025.002G.Monodnaviria_reorg_4nr.zip</v>
      </c>
    </row>
    <row r="8679" spans="1:21">
      <c r="A8679">
        <v>8678</v>
      </c>
      <c r="B8679" s="27" t="s">
        <v>20779</v>
      </c>
      <c r="D8679" s="27" t="s">
        <v>1826</v>
      </c>
      <c r="F8679" s="27" t="s">
        <v>1844</v>
      </c>
      <c r="H8679" s="27" t="s">
        <v>1853</v>
      </c>
      <c r="J8679" s="27" t="s">
        <v>1854</v>
      </c>
      <c r="L8679" s="27" t="s">
        <v>461</v>
      </c>
      <c r="N8679" s="27" t="s">
        <v>804</v>
      </c>
      <c r="P8679" s="27" t="s">
        <v>13317</v>
      </c>
      <c r="Q8679" s="26" t="str">
        <f>HYPERLINK("https://ictv.global/taxonomy/taxondetails?taxnode_id=202506689&amp;ictv_id=ICTV201856689","ICTV201856689")</f>
        <v>ICTV201856689</v>
      </c>
      <c r="R8679" t="s">
        <v>660</v>
      </c>
      <c r="S8679" t="s">
        <v>824</v>
      </c>
      <c r="T8679">
        <v>41</v>
      </c>
      <c r="U8679" s="26" t="str">
        <f t="shared" si="312"/>
        <v>2025.002G.Monodnaviria_reorg_4nr.zip</v>
      </c>
    </row>
    <row r="8680" spans="1:21">
      <c r="A8680">
        <v>8679</v>
      </c>
      <c r="B8680" s="27" t="s">
        <v>20779</v>
      </c>
      <c r="D8680" s="27" t="s">
        <v>1826</v>
      </c>
      <c r="F8680" s="27" t="s">
        <v>1844</v>
      </c>
      <c r="H8680" s="27" t="s">
        <v>1853</v>
      </c>
      <c r="J8680" s="27" t="s">
        <v>1854</v>
      </c>
      <c r="L8680" s="27" t="s">
        <v>461</v>
      </c>
      <c r="N8680" s="27" t="s">
        <v>804</v>
      </c>
      <c r="P8680" s="27" t="s">
        <v>13318</v>
      </c>
      <c r="Q8680" s="26" t="str">
        <f>HYPERLINK("https://ictv.global/taxonomy/taxondetails?taxnode_id=202503509&amp;ictv_id=ICTV20165309","ICTV20165309")</f>
        <v>ICTV20165309</v>
      </c>
      <c r="R8680" t="s">
        <v>660</v>
      </c>
      <c r="S8680" t="s">
        <v>824</v>
      </c>
      <c r="T8680">
        <v>41</v>
      </c>
      <c r="U8680" s="26" t="str">
        <f t="shared" si="312"/>
        <v>2025.002G.Monodnaviria_reorg_4nr.zip</v>
      </c>
    </row>
    <row r="8681" spans="1:21">
      <c r="A8681">
        <v>8680</v>
      </c>
      <c r="B8681" s="27" t="s">
        <v>20779</v>
      </c>
      <c r="D8681" s="27" t="s">
        <v>1826</v>
      </c>
      <c r="F8681" s="27" t="s">
        <v>1844</v>
      </c>
      <c r="H8681" s="27" t="s">
        <v>1853</v>
      </c>
      <c r="J8681" s="27" t="s">
        <v>1854</v>
      </c>
      <c r="L8681" s="27" t="s">
        <v>461</v>
      </c>
      <c r="N8681" s="27" t="s">
        <v>2433</v>
      </c>
      <c r="P8681" s="27" t="s">
        <v>13319</v>
      </c>
      <c r="Q8681" s="26" t="str">
        <f>HYPERLINK("https://ictv.global/taxonomy/taxondetails?taxnode_id=202509171&amp;ictv_id=ICTV202009171","ICTV202009171")</f>
        <v>ICTV202009171</v>
      </c>
      <c r="R8681" t="s">
        <v>660</v>
      </c>
      <c r="S8681" t="s">
        <v>824</v>
      </c>
      <c r="T8681">
        <v>41</v>
      </c>
      <c r="U8681" s="26" t="str">
        <f t="shared" si="312"/>
        <v>2025.002G.Monodnaviria_reorg_4nr.zip</v>
      </c>
    </row>
    <row r="8682" spans="1:21">
      <c r="A8682">
        <v>8681</v>
      </c>
      <c r="B8682" s="27" t="s">
        <v>20779</v>
      </c>
      <c r="D8682" s="27" t="s">
        <v>1826</v>
      </c>
      <c r="F8682" s="27" t="s">
        <v>1844</v>
      </c>
      <c r="H8682" s="27" t="s">
        <v>1853</v>
      </c>
      <c r="J8682" s="27" t="s">
        <v>1854</v>
      </c>
      <c r="L8682" s="27" t="s">
        <v>461</v>
      </c>
      <c r="N8682" s="27" t="s">
        <v>2433</v>
      </c>
      <c r="P8682" s="27" t="s">
        <v>13320</v>
      </c>
      <c r="Q8682" s="26" t="str">
        <f>HYPERLINK("https://ictv.global/taxonomy/taxondetails?taxnode_id=202509169&amp;ictv_id=ICTV202009169","ICTV202009169")</f>
        <v>ICTV202009169</v>
      </c>
      <c r="R8682" t="s">
        <v>660</v>
      </c>
      <c r="S8682" t="s">
        <v>824</v>
      </c>
      <c r="T8682">
        <v>41</v>
      </c>
      <c r="U8682" s="26" t="str">
        <f t="shared" si="312"/>
        <v>2025.002G.Monodnaviria_reorg_4nr.zip</v>
      </c>
    </row>
    <row r="8683" spans="1:21">
      <c r="A8683">
        <v>8682</v>
      </c>
      <c r="B8683" s="27" t="s">
        <v>20779</v>
      </c>
      <c r="D8683" s="27" t="s">
        <v>1826</v>
      </c>
      <c r="F8683" s="27" t="s">
        <v>1844</v>
      </c>
      <c r="H8683" s="27" t="s">
        <v>1853</v>
      </c>
      <c r="J8683" s="27" t="s">
        <v>1854</v>
      </c>
      <c r="L8683" s="27" t="s">
        <v>461</v>
      </c>
      <c r="N8683" s="27" t="s">
        <v>2433</v>
      </c>
      <c r="P8683" s="27" t="s">
        <v>13321</v>
      </c>
      <c r="Q8683" s="26" t="str">
        <f>HYPERLINK("https://ictv.global/taxonomy/taxondetails?taxnode_id=202509170&amp;ictv_id=ICTV202009170","ICTV202009170")</f>
        <v>ICTV202009170</v>
      </c>
      <c r="R8683" t="s">
        <v>660</v>
      </c>
      <c r="S8683" t="s">
        <v>824</v>
      </c>
      <c r="T8683">
        <v>41</v>
      </c>
      <c r="U8683" s="26" t="str">
        <f t="shared" si="312"/>
        <v>2025.002G.Monodnaviria_reorg_4nr.zip</v>
      </c>
    </row>
    <row r="8684" spans="1:21">
      <c r="A8684">
        <v>8683</v>
      </c>
      <c r="B8684" s="27" t="s">
        <v>20779</v>
      </c>
      <c r="D8684" s="27" t="s">
        <v>1826</v>
      </c>
      <c r="F8684" s="27" t="s">
        <v>1844</v>
      </c>
      <c r="H8684" s="27" t="s">
        <v>1853</v>
      </c>
      <c r="J8684" s="27" t="s">
        <v>1854</v>
      </c>
      <c r="L8684" s="27" t="s">
        <v>461</v>
      </c>
      <c r="N8684" s="27" t="s">
        <v>178</v>
      </c>
      <c r="P8684" s="27" t="s">
        <v>13322</v>
      </c>
      <c r="Q8684" s="26" t="str">
        <f>HYPERLINK("https://ictv.global/taxonomy/taxondetails?taxnode_id=202503513&amp;ictv_id=ICTV20125768","ICTV20125768")</f>
        <v>ICTV20125768</v>
      </c>
      <c r="R8684" t="s">
        <v>660</v>
      </c>
      <c r="S8684" t="s">
        <v>824</v>
      </c>
      <c r="T8684">
        <v>41</v>
      </c>
      <c r="U8684" s="26" t="str">
        <f t="shared" si="312"/>
        <v>2025.002G.Monodnaviria_reorg_4nr.zip</v>
      </c>
    </row>
    <row r="8685" spans="1:21">
      <c r="A8685">
        <v>8684</v>
      </c>
      <c r="B8685" s="27" t="s">
        <v>20779</v>
      </c>
      <c r="D8685" s="27" t="s">
        <v>1826</v>
      </c>
      <c r="F8685" s="27" t="s">
        <v>1844</v>
      </c>
      <c r="H8685" s="27" t="s">
        <v>1853</v>
      </c>
      <c r="J8685" s="27" t="s">
        <v>1854</v>
      </c>
      <c r="L8685" s="27" t="s">
        <v>461</v>
      </c>
      <c r="N8685" s="27" t="s">
        <v>178</v>
      </c>
      <c r="P8685" s="27" t="s">
        <v>13323</v>
      </c>
      <c r="Q8685" s="26" t="str">
        <f>HYPERLINK("https://ictv.global/taxonomy/taxondetails?taxnode_id=202503527&amp;ictv_id=ICTV20125766","ICTV20125766")</f>
        <v>ICTV20125766</v>
      </c>
      <c r="R8685" t="s">
        <v>660</v>
      </c>
      <c r="S8685" t="s">
        <v>824</v>
      </c>
      <c r="T8685">
        <v>41</v>
      </c>
      <c r="U8685" s="26" t="str">
        <f t="shared" si="312"/>
        <v>2025.002G.Monodnaviria_reorg_4nr.zip</v>
      </c>
    </row>
    <row r="8686" spans="1:21">
      <c r="A8686">
        <v>8685</v>
      </c>
      <c r="B8686" s="27" t="s">
        <v>20779</v>
      </c>
      <c r="D8686" s="27" t="s">
        <v>1826</v>
      </c>
      <c r="F8686" s="27" t="s">
        <v>1844</v>
      </c>
      <c r="H8686" s="27" t="s">
        <v>1853</v>
      </c>
      <c r="J8686" s="27" t="s">
        <v>1854</v>
      </c>
      <c r="L8686" s="27" t="s">
        <v>461</v>
      </c>
      <c r="N8686" s="27" t="s">
        <v>178</v>
      </c>
      <c r="P8686" s="27" t="s">
        <v>13324</v>
      </c>
      <c r="Q8686" s="26" t="str">
        <f>HYPERLINK("https://ictv.global/taxonomy/taxondetails?taxnode_id=202503511&amp;ictv_id=ICTV20152904","ICTV20152904")</f>
        <v>ICTV20152904</v>
      </c>
      <c r="R8686" t="s">
        <v>660</v>
      </c>
      <c r="S8686" t="s">
        <v>824</v>
      </c>
      <c r="T8686">
        <v>41</v>
      </c>
      <c r="U8686" s="26" t="str">
        <f t="shared" si="312"/>
        <v>2025.002G.Monodnaviria_reorg_4nr.zip</v>
      </c>
    </row>
    <row r="8687" spans="1:21">
      <c r="A8687">
        <v>8686</v>
      </c>
      <c r="B8687" s="27" t="s">
        <v>20779</v>
      </c>
      <c r="D8687" s="27" t="s">
        <v>1826</v>
      </c>
      <c r="F8687" s="27" t="s">
        <v>1844</v>
      </c>
      <c r="H8687" s="27" t="s">
        <v>1853</v>
      </c>
      <c r="J8687" s="27" t="s">
        <v>1854</v>
      </c>
      <c r="L8687" s="27" t="s">
        <v>461</v>
      </c>
      <c r="N8687" s="27" t="s">
        <v>178</v>
      </c>
      <c r="P8687" s="27" t="s">
        <v>20086</v>
      </c>
      <c r="Q8687" s="26" t="str">
        <f>HYPERLINK("https://ictv.global/taxonomy/taxondetails?taxnode_id=202520447&amp;ictv_id=ICTV202420447","ICTV202420447")</f>
        <v>ICTV202420447</v>
      </c>
      <c r="R8687" t="s">
        <v>660</v>
      </c>
      <c r="S8687" t="s">
        <v>824</v>
      </c>
      <c r="T8687">
        <v>41</v>
      </c>
      <c r="U8687" s="26" t="str">
        <f t="shared" si="312"/>
        <v>2025.002G.Monodnaviria_reorg_4nr.zip</v>
      </c>
    </row>
    <row r="8688" spans="1:21">
      <c r="A8688">
        <v>8687</v>
      </c>
      <c r="B8688" s="27" t="s">
        <v>20779</v>
      </c>
      <c r="D8688" s="27" t="s">
        <v>1826</v>
      </c>
      <c r="F8688" s="27" t="s">
        <v>1844</v>
      </c>
      <c r="H8688" s="27" t="s">
        <v>1853</v>
      </c>
      <c r="J8688" s="27" t="s">
        <v>1854</v>
      </c>
      <c r="L8688" s="27" t="s">
        <v>461</v>
      </c>
      <c r="N8688" s="27" t="s">
        <v>178</v>
      </c>
      <c r="P8688" s="27" t="s">
        <v>13325</v>
      </c>
      <c r="Q8688" s="26" t="str">
        <f>HYPERLINK("https://ictv.global/taxonomy/taxondetails?taxnode_id=202503524&amp;ictv_id=ICTV20125774","ICTV20125774")</f>
        <v>ICTV20125774</v>
      </c>
      <c r="R8688" t="s">
        <v>660</v>
      </c>
      <c r="S8688" t="s">
        <v>824</v>
      </c>
      <c r="T8688">
        <v>41</v>
      </c>
      <c r="U8688" s="26" t="str">
        <f t="shared" si="312"/>
        <v>2025.002G.Monodnaviria_reorg_4nr.zip</v>
      </c>
    </row>
    <row r="8689" spans="1:21">
      <c r="A8689">
        <v>8688</v>
      </c>
      <c r="B8689" s="27" t="s">
        <v>20779</v>
      </c>
      <c r="D8689" s="27" t="s">
        <v>1826</v>
      </c>
      <c r="F8689" s="27" t="s">
        <v>1844</v>
      </c>
      <c r="H8689" s="27" t="s">
        <v>1853</v>
      </c>
      <c r="J8689" s="27" t="s">
        <v>1854</v>
      </c>
      <c r="L8689" s="27" t="s">
        <v>461</v>
      </c>
      <c r="N8689" s="27" t="s">
        <v>178</v>
      </c>
      <c r="P8689" s="27" t="s">
        <v>20087</v>
      </c>
      <c r="Q8689" s="26" t="str">
        <f>HYPERLINK("https://ictv.global/taxonomy/taxondetails?taxnode_id=202520446&amp;ictv_id=ICTV202420446","ICTV202420446")</f>
        <v>ICTV202420446</v>
      </c>
      <c r="R8689" t="s">
        <v>660</v>
      </c>
      <c r="S8689" t="s">
        <v>824</v>
      </c>
      <c r="T8689">
        <v>41</v>
      </c>
      <c r="U8689" s="26" t="str">
        <f t="shared" si="312"/>
        <v>2025.002G.Monodnaviria_reorg_4nr.zip</v>
      </c>
    </row>
    <row r="8690" spans="1:21">
      <c r="A8690">
        <v>8689</v>
      </c>
      <c r="B8690" s="27" t="s">
        <v>20779</v>
      </c>
      <c r="D8690" s="27" t="s">
        <v>1826</v>
      </c>
      <c r="F8690" s="27" t="s">
        <v>1844</v>
      </c>
      <c r="H8690" s="27" t="s">
        <v>1853</v>
      </c>
      <c r="J8690" s="27" t="s">
        <v>1854</v>
      </c>
      <c r="L8690" s="27" t="s">
        <v>461</v>
      </c>
      <c r="N8690" s="27" t="s">
        <v>178</v>
      </c>
      <c r="P8690" s="27" t="s">
        <v>20088</v>
      </c>
      <c r="Q8690" s="26" t="str">
        <f>HYPERLINK("https://ictv.global/taxonomy/taxondetails?taxnode_id=202520448&amp;ictv_id=ICTV202420448","ICTV202420448")</f>
        <v>ICTV202420448</v>
      </c>
      <c r="R8690" t="s">
        <v>660</v>
      </c>
      <c r="S8690" t="s">
        <v>824</v>
      </c>
      <c r="T8690">
        <v>41</v>
      </c>
      <c r="U8690" s="26" t="str">
        <f t="shared" si="312"/>
        <v>2025.002G.Monodnaviria_reorg_4nr.zip</v>
      </c>
    </row>
    <row r="8691" spans="1:21">
      <c r="A8691">
        <v>8690</v>
      </c>
      <c r="B8691" s="27" t="s">
        <v>20779</v>
      </c>
      <c r="D8691" s="27" t="s">
        <v>1826</v>
      </c>
      <c r="F8691" s="27" t="s">
        <v>1844</v>
      </c>
      <c r="H8691" s="27" t="s">
        <v>1853</v>
      </c>
      <c r="J8691" s="27" t="s">
        <v>1854</v>
      </c>
      <c r="L8691" s="27" t="s">
        <v>461</v>
      </c>
      <c r="N8691" s="27" t="s">
        <v>178</v>
      </c>
      <c r="P8691" s="27" t="s">
        <v>13326</v>
      </c>
      <c r="Q8691" s="26" t="str">
        <f>HYPERLINK("https://ictv.global/taxonomy/taxondetails?taxnode_id=202503512&amp;ictv_id=ICTV20125763","ICTV20125763")</f>
        <v>ICTV20125763</v>
      </c>
      <c r="R8691" t="s">
        <v>660</v>
      </c>
      <c r="S8691" t="s">
        <v>824</v>
      </c>
      <c r="T8691">
        <v>41</v>
      </c>
      <c r="U8691" s="26" t="str">
        <f t="shared" si="312"/>
        <v>2025.002G.Monodnaviria_reorg_4nr.zip</v>
      </c>
    </row>
    <row r="8692" spans="1:21">
      <c r="A8692">
        <v>8691</v>
      </c>
      <c r="B8692" s="27" t="s">
        <v>20779</v>
      </c>
      <c r="D8692" s="27" t="s">
        <v>1826</v>
      </c>
      <c r="F8692" s="27" t="s">
        <v>1844</v>
      </c>
      <c r="H8692" s="27" t="s">
        <v>1853</v>
      </c>
      <c r="J8692" s="27" t="s">
        <v>1854</v>
      </c>
      <c r="L8692" s="27" t="s">
        <v>461</v>
      </c>
      <c r="N8692" s="27" t="s">
        <v>178</v>
      </c>
      <c r="P8692" s="27" t="s">
        <v>21703</v>
      </c>
      <c r="Q8692" s="26" t="str">
        <f>HYPERLINK("https://ictv.global/taxonomy/taxondetails?taxnode_id=202522556&amp;ictv_id=ICTV202522556","ICTV202522556")</f>
        <v>ICTV202522556</v>
      </c>
      <c r="R8692" t="s">
        <v>660</v>
      </c>
      <c r="S8692" t="s">
        <v>823</v>
      </c>
      <c r="T8692">
        <v>41</v>
      </c>
      <c r="U8692" s="26" t="str">
        <f>HYPERLINK("https://ictv.global/ictv/proposals/2025.012P.Geminiviridae_Mastrevirus_5nsp.zip","2025.012P.Geminiviridae_Mastrevirus_5nsp.zip")</f>
        <v>2025.012P.Geminiviridae_Mastrevirus_5nsp.zip</v>
      </c>
    </row>
    <row r="8693" spans="1:21">
      <c r="A8693">
        <v>8692</v>
      </c>
      <c r="B8693" s="27" t="s">
        <v>20779</v>
      </c>
      <c r="D8693" s="27" t="s">
        <v>1826</v>
      </c>
      <c r="F8693" s="27" t="s">
        <v>1844</v>
      </c>
      <c r="H8693" s="27" t="s">
        <v>1853</v>
      </c>
      <c r="J8693" s="27" t="s">
        <v>1854</v>
      </c>
      <c r="L8693" s="27" t="s">
        <v>461</v>
      </c>
      <c r="N8693" s="27" t="s">
        <v>178</v>
      </c>
      <c r="P8693" s="27" t="s">
        <v>13327</v>
      </c>
      <c r="Q8693" s="26" t="str">
        <f>HYPERLINK("https://ictv.global/taxonomy/taxondetails?taxnode_id=202503518&amp;ictv_id=ICTV19790995","ICTV19790995")</f>
        <v>ICTV19790995</v>
      </c>
      <c r="R8693" t="s">
        <v>660</v>
      </c>
      <c r="S8693" t="s">
        <v>824</v>
      </c>
      <c r="T8693">
        <v>41</v>
      </c>
      <c r="U8693" s="26" t="str">
        <f>HYPERLINK("https://ictv.global/ictv/proposals/2025.002G.Monodnaviria_reorg_4nr.zip","2025.002G.Monodnaviria_reorg_4nr.zip")</f>
        <v>2025.002G.Monodnaviria_reorg_4nr.zip</v>
      </c>
    </row>
    <row r="8694" spans="1:21">
      <c r="A8694">
        <v>8693</v>
      </c>
      <c r="B8694" s="27" t="s">
        <v>20779</v>
      </c>
      <c r="D8694" s="27" t="s">
        <v>1826</v>
      </c>
      <c r="F8694" s="27" t="s">
        <v>1844</v>
      </c>
      <c r="H8694" s="27" t="s">
        <v>1853</v>
      </c>
      <c r="J8694" s="27" t="s">
        <v>1854</v>
      </c>
      <c r="L8694" s="27" t="s">
        <v>461</v>
      </c>
      <c r="N8694" s="27" t="s">
        <v>178</v>
      </c>
      <c r="P8694" s="27" t="s">
        <v>13328</v>
      </c>
      <c r="Q8694" s="26" t="str">
        <f>HYPERLINK("https://ictv.global/taxonomy/taxondetails?taxnode_id=202503514&amp;ictv_id=ICTV20125767","ICTV20125767")</f>
        <v>ICTV20125767</v>
      </c>
      <c r="R8694" t="s">
        <v>660</v>
      </c>
      <c r="S8694" t="s">
        <v>824</v>
      </c>
      <c r="T8694">
        <v>41</v>
      </c>
      <c r="U8694" s="26" t="str">
        <f>HYPERLINK("https://ictv.global/ictv/proposals/2025.002G.Monodnaviria_reorg_4nr.zip","2025.002G.Monodnaviria_reorg_4nr.zip")</f>
        <v>2025.002G.Monodnaviria_reorg_4nr.zip</v>
      </c>
    </row>
    <row r="8695" spans="1:21">
      <c r="A8695">
        <v>8694</v>
      </c>
      <c r="B8695" s="27" t="s">
        <v>20779</v>
      </c>
      <c r="D8695" s="27" t="s">
        <v>1826</v>
      </c>
      <c r="F8695" s="27" t="s">
        <v>1844</v>
      </c>
      <c r="H8695" s="27" t="s">
        <v>1853</v>
      </c>
      <c r="J8695" s="27" t="s">
        <v>1854</v>
      </c>
      <c r="L8695" s="27" t="s">
        <v>461</v>
      </c>
      <c r="N8695" s="27" t="s">
        <v>178</v>
      </c>
      <c r="P8695" s="27" t="s">
        <v>13329</v>
      </c>
      <c r="Q8695" s="26" t="str">
        <f>HYPERLINK("https://ictv.global/taxonomy/taxondetails?taxnode_id=202503515&amp;ictv_id=ICTV20125773","ICTV20125773")</f>
        <v>ICTV20125773</v>
      </c>
      <c r="R8695" t="s">
        <v>660</v>
      </c>
      <c r="S8695" t="s">
        <v>824</v>
      </c>
      <c r="T8695">
        <v>41</v>
      </c>
      <c r="U8695" s="26" t="str">
        <f>HYPERLINK("https://ictv.global/ictv/proposals/2025.002G.Monodnaviria_reorg_4nr.zip","2025.002G.Monodnaviria_reorg_4nr.zip")</f>
        <v>2025.002G.Monodnaviria_reorg_4nr.zip</v>
      </c>
    </row>
    <row r="8696" spans="1:21">
      <c r="A8696">
        <v>8695</v>
      </c>
      <c r="B8696" s="27" t="s">
        <v>20779</v>
      </c>
      <c r="D8696" s="27" t="s">
        <v>1826</v>
      </c>
      <c r="F8696" s="27" t="s">
        <v>1844</v>
      </c>
      <c r="H8696" s="27" t="s">
        <v>1853</v>
      </c>
      <c r="J8696" s="27" t="s">
        <v>1854</v>
      </c>
      <c r="L8696" s="27" t="s">
        <v>461</v>
      </c>
      <c r="N8696" s="27" t="s">
        <v>178</v>
      </c>
      <c r="P8696" s="27" t="s">
        <v>13330</v>
      </c>
      <c r="Q8696" s="26" t="str">
        <f>HYPERLINK("https://ictv.global/taxonomy/taxondetails?taxnode_id=202503519&amp;ictv_id=ICTV20125764","ICTV20125764")</f>
        <v>ICTV20125764</v>
      </c>
      <c r="R8696" t="s">
        <v>660</v>
      </c>
      <c r="S8696" t="s">
        <v>824</v>
      </c>
      <c r="T8696">
        <v>41</v>
      </c>
      <c r="U8696" s="26" t="str">
        <f>HYPERLINK("https://ictv.global/ictv/proposals/2025.002G.Monodnaviria_reorg_4nr.zip","2025.002G.Monodnaviria_reorg_4nr.zip")</f>
        <v>2025.002G.Monodnaviria_reorg_4nr.zip</v>
      </c>
    </row>
    <row r="8697" spans="1:21">
      <c r="A8697">
        <v>8696</v>
      </c>
      <c r="B8697" s="27" t="s">
        <v>20779</v>
      </c>
      <c r="D8697" s="27" t="s">
        <v>1826</v>
      </c>
      <c r="F8697" s="27" t="s">
        <v>1844</v>
      </c>
      <c r="H8697" s="27" t="s">
        <v>1853</v>
      </c>
      <c r="J8697" s="27" t="s">
        <v>1854</v>
      </c>
      <c r="L8697" s="27" t="s">
        <v>461</v>
      </c>
      <c r="N8697" s="27" t="s">
        <v>178</v>
      </c>
      <c r="P8697" s="27" t="s">
        <v>21704</v>
      </c>
      <c r="Q8697" s="26" t="str">
        <f>HYPERLINK("https://ictv.global/taxonomy/taxondetails?taxnode_id=202522557&amp;ictv_id=ICTV202522557","ICTV202522557")</f>
        <v>ICTV202522557</v>
      </c>
      <c r="R8697" t="s">
        <v>660</v>
      </c>
      <c r="S8697" t="s">
        <v>823</v>
      </c>
      <c r="T8697">
        <v>41</v>
      </c>
      <c r="U8697" s="26" t="str">
        <f>HYPERLINK("https://ictv.global/ictv/proposals/2025.012P.Geminiviridae_Mastrevirus_5nsp.zip","2025.012P.Geminiviridae_Mastrevirus_5nsp.zip")</f>
        <v>2025.012P.Geminiviridae_Mastrevirus_5nsp.zip</v>
      </c>
    </row>
    <row r="8698" spans="1:21">
      <c r="A8698">
        <v>8697</v>
      </c>
      <c r="B8698" s="27" t="s">
        <v>20779</v>
      </c>
      <c r="D8698" s="27" t="s">
        <v>1826</v>
      </c>
      <c r="F8698" s="27" t="s">
        <v>1844</v>
      </c>
      <c r="H8698" s="27" t="s">
        <v>1853</v>
      </c>
      <c r="J8698" s="27" t="s">
        <v>1854</v>
      </c>
      <c r="L8698" s="27" t="s">
        <v>461</v>
      </c>
      <c r="N8698" s="27" t="s">
        <v>178</v>
      </c>
      <c r="P8698" s="27" t="s">
        <v>13331</v>
      </c>
      <c r="Q8698" s="26" t="str">
        <f>HYPERLINK("https://ictv.global/taxonomy/taxondetails?taxnode_id=202503520&amp;ictv_id=ICTV20125772","ICTV20125772")</f>
        <v>ICTV20125772</v>
      </c>
      <c r="R8698" t="s">
        <v>660</v>
      </c>
      <c r="S8698" t="s">
        <v>824</v>
      </c>
      <c r="T8698">
        <v>41</v>
      </c>
      <c r="U8698" s="26" t="str">
        <f t="shared" ref="U8698:U8710" si="313">HYPERLINK("https://ictv.global/ictv/proposals/2025.002G.Monodnaviria_reorg_4nr.zip","2025.002G.Monodnaviria_reorg_4nr.zip")</f>
        <v>2025.002G.Monodnaviria_reorg_4nr.zip</v>
      </c>
    </row>
    <row r="8699" spans="1:21">
      <c r="A8699">
        <v>8698</v>
      </c>
      <c r="B8699" s="27" t="s">
        <v>20779</v>
      </c>
      <c r="D8699" s="27" t="s">
        <v>1826</v>
      </c>
      <c r="F8699" s="27" t="s">
        <v>1844</v>
      </c>
      <c r="H8699" s="27" t="s">
        <v>1853</v>
      </c>
      <c r="J8699" s="27" t="s">
        <v>1854</v>
      </c>
      <c r="L8699" s="27" t="s">
        <v>461</v>
      </c>
      <c r="N8699" s="27" t="s">
        <v>178</v>
      </c>
      <c r="P8699" s="27" t="s">
        <v>13332</v>
      </c>
      <c r="Q8699" s="26" t="str">
        <f>HYPERLINK("https://ictv.global/taxonomy/taxondetails?taxnode_id=202503521&amp;ictv_id=ICTV19871300","ICTV19871300")</f>
        <v>ICTV19871300</v>
      </c>
      <c r="R8699" t="s">
        <v>660</v>
      </c>
      <c r="S8699" t="s">
        <v>824</v>
      </c>
      <c r="T8699">
        <v>41</v>
      </c>
      <c r="U8699" s="26" t="str">
        <f t="shared" si="313"/>
        <v>2025.002G.Monodnaviria_reorg_4nr.zip</v>
      </c>
    </row>
    <row r="8700" spans="1:21">
      <c r="A8700">
        <v>8699</v>
      </c>
      <c r="B8700" s="27" t="s">
        <v>20779</v>
      </c>
      <c r="D8700" s="27" t="s">
        <v>1826</v>
      </c>
      <c r="F8700" s="27" t="s">
        <v>1844</v>
      </c>
      <c r="H8700" s="27" t="s">
        <v>1853</v>
      </c>
      <c r="J8700" s="27" t="s">
        <v>1854</v>
      </c>
      <c r="L8700" s="27" t="s">
        <v>461</v>
      </c>
      <c r="N8700" s="27" t="s">
        <v>178</v>
      </c>
      <c r="P8700" s="27" t="s">
        <v>13333</v>
      </c>
      <c r="Q8700" s="26" t="str">
        <f>HYPERLINK("https://ictv.global/taxonomy/taxondetails?taxnode_id=202503529&amp;ictv_id=ICTV20125765","ICTV20125765")</f>
        <v>ICTV20125765</v>
      </c>
      <c r="R8700" t="s">
        <v>660</v>
      </c>
      <c r="S8700" t="s">
        <v>824</v>
      </c>
      <c r="T8700">
        <v>41</v>
      </c>
      <c r="U8700" s="26" t="str">
        <f t="shared" si="313"/>
        <v>2025.002G.Monodnaviria_reorg_4nr.zip</v>
      </c>
    </row>
    <row r="8701" spans="1:21">
      <c r="A8701">
        <v>8700</v>
      </c>
      <c r="B8701" s="27" t="s">
        <v>20779</v>
      </c>
      <c r="D8701" s="27" t="s">
        <v>1826</v>
      </c>
      <c r="F8701" s="27" t="s">
        <v>1844</v>
      </c>
      <c r="H8701" s="27" t="s">
        <v>1853</v>
      </c>
      <c r="J8701" s="27" t="s">
        <v>1854</v>
      </c>
      <c r="L8701" s="27" t="s">
        <v>461</v>
      </c>
      <c r="N8701" s="27" t="s">
        <v>178</v>
      </c>
      <c r="P8701" s="27" t="s">
        <v>13334</v>
      </c>
      <c r="Q8701" s="26" t="str">
        <f>HYPERLINK("https://ictv.global/taxonomy/taxondetails?taxnode_id=202509105&amp;ictv_id=ICTV202009105","ICTV202009105")</f>
        <v>ICTV202009105</v>
      </c>
      <c r="R8701" t="s">
        <v>660</v>
      </c>
      <c r="S8701" t="s">
        <v>824</v>
      </c>
      <c r="T8701">
        <v>41</v>
      </c>
      <c r="U8701" s="26" t="str">
        <f t="shared" si="313"/>
        <v>2025.002G.Monodnaviria_reorg_4nr.zip</v>
      </c>
    </row>
    <row r="8702" spans="1:21">
      <c r="A8702">
        <v>8701</v>
      </c>
      <c r="B8702" s="27" t="s">
        <v>20779</v>
      </c>
      <c r="D8702" s="27" t="s">
        <v>1826</v>
      </c>
      <c r="F8702" s="27" t="s">
        <v>1844</v>
      </c>
      <c r="H8702" s="27" t="s">
        <v>1853</v>
      </c>
      <c r="J8702" s="27" t="s">
        <v>1854</v>
      </c>
      <c r="L8702" s="27" t="s">
        <v>461</v>
      </c>
      <c r="N8702" s="27" t="s">
        <v>178</v>
      </c>
      <c r="P8702" s="27" t="s">
        <v>13335</v>
      </c>
      <c r="Q8702" s="26" t="str">
        <f>HYPERLINK("https://ictv.global/taxonomy/taxondetails?taxnode_id=202503523&amp;ictv_id=ICTV20093829","ICTV20093829")</f>
        <v>ICTV20093829</v>
      </c>
      <c r="R8702" t="s">
        <v>660</v>
      </c>
      <c r="S8702" t="s">
        <v>824</v>
      </c>
      <c r="T8702">
        <v>41</v>
      </c>
      <c r="U8702" s="26" t="str">
        <f t="shared" si="313"/>
        <v>2025.002G.Monodnaviria_reorg_4nr.zip</v>
      </c>
    </row>
    <row r="8703" spans="1:21">
      <c r="A8703">
        <v>8702</v>
      </c>
      <c r="B8703" s="27" t="s">
        <v>20779</v>
      </c>
      <c r="D8703" s="27" t="s">
        <v>1826</v>
      </c>
      <c r="F8703" s="27" t="s">
        <v>1844</v>
      </c>
      <c r="H8703" s="27" t="s">
        <v>1853</v>
      </c>
      <c r="J8703" s="27" t="s">
        <v>1854</v>
      </c>
      <c r="L8703" s="27" t="s">
        <v>461</v>
      </c>
      <c r="N8703" s="27" t="s">
        <v>178</v>
      </c>
      <c r="P8703" s="27" t="s">
        <v>13336</v>
      </c>
      <c r="Q8703" s="26" t="str">
        <f>HYPERLINK("https://ictv.global/taxonomy/taxondetails?taxnode_id=202503522&amp;ictv_id=ICTV20125771","ICTV20125771")</f>
        <v>ICTV20125771</v>
      </c>
      <c r="R8703" t="s">
        <v>660</v>
      </c>
      <c r="S8703" t="s">
        <v>824</v>
      </c>
      <c r="T8703">
        <v>41</v>
      </c>
      <c r="U8703" s="26" t="str">
        <f t="shared" si="313"/>
        <v>2025.002G.Monodnaviria_reorg_4nr.zip</v>
      </c>
    </row>
    <row r="8704" spans="1:21">
      <c r="A8704">
        <v>8703</v>
      </c>
      <c r="B8704" s="27" t="s">
        <v>20779</v>
      </c>
      <c r="D8704" s="27" t="s">
        <v>1826</v>
      </c>
      <c r="F8704" s="27" t="s">
        <v>1844</v>
      </c>
      <c r="H8704" s="27" t="s">
        <v>1853</v>
      </c>
      <c r="J8704" s="27" t="s">
        <v>1854</v>
      </c>
      <c r="L8704" s="27" t="s">
        <v>461</v>
      </c>
      <c r="N8704" s="27" t="s">
        <v>178</v>
      </c>
      <c r="P8704" s="27" t="s">
        <v>13337</v>
      </c>
      <c r="Q8704" s="26" t="str">
        <f>HYPERLINK("https://ictv.global/taxonomy/taxondetails?taxnode_id=202505854&amp;ictv_id=ICTV20175854","ICTV20175854")</f>
        <v>ICTV20175854</v>
      </c>
      <c r="R8704" t="s">
        <v>660</v>
      </c>
      <c r="S8704" t="s">
        <v>824</v>
      </c>
      <c r="T8704">
        <v>41</v>
      </c>
      <c r="U8704" s="26" t="str">
        <f t="shared" si="313"/>
        <v>2025.002G.Monodnaviria_reorg_4nr.zip</v>
      </c>
    </row>
    <row r="8705" spans="1:21">
      <c r="A8705">
        <v>8704</v>
      </c>
      <c r="B8705" s="27" t="s">
        <v>20779</v>
      </c>
      <c r="D8705" s="27" t="s">
        <v>1826</v>
      </c>
      <c r="F8705" s="27" t="s">
        <v>1844</v>
      </c>
      <c r="H8705" s="27" t="s">
        <v>1853</v>
      </c>
      <c r="J8705" s="27" t="s">
        <v>1854</v>
      </c>
      <c r="L8705" s="27" t="s">
        <v>461</v>
      </c>
      <c r="N8705" s="27" t="s">
        <v>178</v>
      </c>
      <c r="P8705" s="27" t="s">
        <v>13338</v>
      </c>
      <c r="Q8705" s="26" t="str">
        <f>HYPERLINK("https://ictv.global/taxonomy/taxondetails?taxnode_id=202505853&amp;ictv_id=ICTV20175853","ICTV20175853")</f>
        <v>ICTV20175853</v>
      </c>
      <c r="R8705" t="s">
        <v>660</v>
      </c>
      <c r="S8705" t="s">
        <v>824</v>
      </c>
      <c r="T8705">
        <v>41</v>
      </c>
      <c r="U8705" s="26" t="str">
        <f t="shared" si="313"/>
        <v>2025.002G.Monodnaviria_reorg_4nr.zip</v>
      </c>
    </row>
    <row r="8706" spans="1:21">
      <c r="A8706">
        <v>8705</v>
      </c>
      <c r="B8706" s="27" t="s">
        <v>20779</v>
      </c>
      <c r="D8706" s="27" t="s">
        <v>1826</v>
      </c>
      <c r="F8706" s="27" t="s">
        <v>1844</v>
      </c>
      <c r="H8706" s="27" t="s">
        <v>1853</v>
      </c>
      <c r="J8706" s="27" t="s">
        <v>1854</v>
      </c>
      <c r="L8706" s="27" t="s">
        <v>461</v>
      </c>
      <c r="N8706" s="27" t="s">
        <v>178</v>
      </c>
      <c r="P8706" s="27" t="s">
        <v>13339</v>
      </c>
      <c r="Q8706" s="26" t="str">
        <f>HYPERLINK("https://ictv.global/taxonomy/taxondetails?taxnode_id=202503517&amp;ictv_id=ICTV20125770","ICTV20125770")</f>
        <v>ICTV20125770</v>
      </c>
      <c r="R8706" t="s">
        <v>660</v>
      </c>
      <c r="S8706" t="s">
        <v>824</v>
      </c>
      <c r="T8706">
        <v>41</v>
      </c>
      <c r="U8706" s="26" t="str">
        <f t="shared" si="313"/>
        <v>2025.002G.Monodnaviria_reorg_4nr.zip</v>
      </c>
    </row>
    <row r="8707" spans="1:21">
      <c r="A8707">
        <v>8706</v>
      </c>
      <c r="B8707" s="27" t="s">
        <v>20779</v>
      </c>
      <c r="D8707" s="27" t="s">
        <v>1826</v>
      </c>
      <c r="F8707" s="27" t="s">
        <v>1844</v>
      </c>
      <c r="H8707" s="27" t="s">
        <v>1853</v>
      </c>
      <c r="J8707" s="27" t="s">
        <v>1854</v>
      </c>
      <c r="L8707" s="27" t="s">
        <v>461</v>
      </c>
      <c r="N8707" s="27" t="s">
        <v>178</v>
      </c>
      <c r="P8707" s="27" t="s">
        <v>13340</v>
      </c>
      <c r="Q8707" s="26" t="str">
        <f>HYPERLINK("https://ictv.global/taxonomy/taxondetails?taxnode_id=202508695&amp;ictv_id=ICTV201908695","ICTV201908695")</f>
        <v>ICTV201908695</v>
      </c>
      <c r="R8707" t="s">
        <v>660</v>
      </c>
      <c r="S8707" t="s">
        <v>824</v>
      </c>
      <c r="T8707">
        <v>41</v>
      </c>
      <c r="U8707" s="26" t="str">
        <f t="shared" si="313"/>
        <v>2025.002G.Monodnaviria_reorg_4nr.zip</v>
      </c>
    </row>
    <row r="8708" spans="1:21">
      <c r="A8708">
        <v>8707</v>
      </c>
      <c r="B8708" s="27" t="s">
        <v>20779</v>
      </c>
      <c r="D8708" s="27" t="s">
        <v>1826</v>
      </c>
      <c r="F8708" s="27" t="s">
        <v>1844</v>
      </c>
      <c r="H8708" s="27" t="s">
        <v>1853</v>
      </c>
      <c r="J8708" s="27" t="s">
        <v>1854</v>
      </c>
      <c r="L8708" s="27" t="s">
        <v>461</v>
      </c>
      <c r="N8708" s="27" t="s">
        <v>178</v>
      </c>
      <c r="P8708" s="27" t="s">
        <v>13341</v>
      </c>
      <c r="Q8708" s="26" t="str">
        <f>HYPERLINK("https://ictv.global/taxonomy/taxondetails?taxnode_id=202503542&amp;ictv_id=ICTV19871302","ICTV19871302")</f>
        <v>ICTV19871302</v>
      </c>
      <c r="R8708" t="s">
        <v>660</v>
      </c>
      <c r="S8708" t="s">
        <v>824</v>
      </c>
      <c r="T8708">
        <v>41</v>
      </c>
      <c r="U8708" s="26" t="str">
        <f t="shared" si="313"/>
        <v>2025.002G.Monodnaviria_reorg_4nr.zip</v>
      </c>
    </row>
    <row r="8709" spans="1:21">
      <c r="A8709">
        <v>8708</v>
      </c>
      <c r="B8709" s="27" t="s">
        <v>20779</v>
      </c>
      <c r="D8709" s="27" t="s">
        <v>1826</v>
      </c>
      <c r="F8709" s="27" t="s">
        <v>1844</v>
      </c>
      <c r="H8709" s="27" t="s">
        <v>1853</v>
      </c>
      <c r="J8709" s="27" t="s">
        <v>1854</v>
      </c>
      <c r="L8709" s="27" t="s">
        <v>461</v>
      </c>
      <c r="N8709" s="27" t="s">
        <v>178</v>
      </c>
      <c r="P8709" s="27" t="s">
        <v>13342</v>
      </c>
      <c r="Q8709" s="26" t="str">
        <f>HYPERLINK("https://ictv.global/taxonomy/taxondetails?taxnode_id=202505857&amp;ictv_id=ICTV20175857","ICTV20175857")</f>
        <v>ICTV20175857</v>
      </c>
      <c r="R8709" t="s">
        <v>660</v>
      </c>
      <c r="S8709" t="s">
        <v>824</v>
      </c>
      <c r="T8709">
        <v>41</v>
      </c>
      <c r="U8709" s="26" t="str">
        <f t="shared" si="313"/>
        <v>2025.002G.Monodnaviria_reorg_4nr.zip</v>
      </c>
    </row>
    <row r="8710" spans="1:21">
      <c r="A8710">
        <v>8709</v>
      </c>
      <c r="B8710" s="27" t="s">
        <v>20779</v>
      </c>
      <c r="D8710" s="27" t="s">
        <v>1826</v>
      </c>
      <c r="F8710" s="27" t="s">
        <v>1844</v>
      </c>
      <c r="H8710" s="27" t="s">
        <v>1853</v>
      </c>
      <c r="J8710" s="27" t="s">
        <v>1854</v>
      </c>
      <c r="L8710" s="27" t="s">
        <v>461</v>
      </c>
      <c r="N8710" s="27" t="s">
        <v>178</v>
      </c>
      <c r="P8710" s="27" t="s">
        <v>13343</v>
      </c>
      <c r="Q8710" s="26" t="str">
        <f>HYPERLINK("https://ictv.global/taxonomy/taxondetails?taxnode_id=202509106&amp;ictv_id=ICTV202009106","ICTV202009106")</f>
        <v>ICTV202009106</v>
      </c>
      <c r="R8710" t="s">
        <v>660</v>
      </c>
      <c r="S8710" t="s">
        <v>824</v>
      </c>
      <c r="T8710">
        <v>41</v>
      </c>
      <c r="U8710" s="26" t="str">
        <f t="shared" si="313"/>
        <v>2025.002G.Monodnaviria_reorg_4nr.zip</v>
      </c>
    </row>
    <row r="8711" spans="1:21">
      <c r="A8711">
        <v>8710</v>
      </c>
      <c r="B8711" s="27" t="s">
        <v>20779</v>
      </c>
      <c r="D8711" s="27" t="s">
        <v>1826</v>
      </c>
      <c r="F8711" s="27" t="s">
        <v>1844</v>
      </c>
      <c r="H8711" s="27" t="s">
        <v>1853</v>
      </c>
      <c r="J8711" s="27" t="s">
        <v>1854</v>
      </c>
      <c r="L8711" s="27" t="s">
        <v>461</v>
      </c>
      <c r="N8711" s="27" t="s">
        <v>178</v>
      </c>
      <c r="P8711" s="27" t="s">
        <v>21705</v>
      </c>
      <c r="Q8711" s="26" t="str">
        <f>HYPERLINK("https://ictv.global/taxonomy/taxondetails?taxnode_id=202522558&amp;ictv_id=ICTV202522558","ICTV202522558")</f>
        <v>ICTV202522558</v>
      </c>
      <c r="R8711" t="s">
        <v>660</v>
      </c>
      <c r="S8711" t="s">
        <v>823</v>
      </c>
      <c r="T8711">
        <v>41</v>
      </c>
      <c r="U8711" s="26" t="str">
        <f>HYPERLINK("https://ictv.global/ictv/proposals/2025.012P.Geminiviridae_Mastrevirus_5nsp.zip","2025.012P.Geminiviridae_Mastrevirus_5nsp.zip")</f>
        <v>2025.012P.Geminiviridae_Mastrevirus_5nsp.zip</v>
      </c>
    </row>
    <row r="8712" spans="1:21">
      <c r="A8712">
        <v>8711</v>
      </c>
      <c r="B8712" s="27" t="s">
        <v>20779</v>
      </c>
      <c r="D8712" s="27" t="s">
        <v>1826</v>
      </c>
      <c r="F8712" s="27" t="s">
        <v>1844</v>
      </c>
      <c r="H8712" s="27" t="s">
        <v>1853</v>
      </c>
      <c r="J8712" s="27" t="s">
        <v>1854</v>
      </c>
      <c r="L8712" s="27" t="s">
        <v>461</v>
      </c>
      <c r="N8712" s="27" t="s">
        <v>178</v>
      </c>
      <c r="P8712" s="27" t="s">
        <v>13344</v>
      </c>
      <c r="Q8712" s="26" t="str">
        <f>HYPERLINK("https://ictv.global/taxonomy/taxondetails?taxnode_id=202503526&amp;ictv_id=ICTV19911632","ICTV19911632")</f>
        <v>ICTV19911632</v>
      </c>
      <c r="R8712" t="s">
        <v>660</v>
      </c>
      <c r="S8712" t="s">
        <v>824</v>
      </c>
      <c r="T8712">
        <v>41</v>
      </c>
      <c r="U8712" s="26" t="str">
        <f t="shared" ref="U8712:U8717" si="314">HYPERLINK("https://ictv.global/ictv/proposals/2025.002G.Monodnaviria_reorg_4nr.zip","2025.002G.Monodnaviria_reorg_4nr.zip")</f>
        <v>2025.002G.Monodnaviria_reorg_4nr.zip</v>
      </c>
    </row>
    <row r="8713" spans="1:21">
      <c r="A8713">
        <v>8712</v>
      </c>
      <c r="B8713" s="27" t="s">
        <v>20779</v>
      </c>
      <c r="D8713" s="27" t="s">
        <v>1826</v>
      </c>
      <c r="F8713" s="27" t="s">
        <v>1844</v>
      </c>
      <c r="H8713" s="27" t="s">
        <v>1853</v>
      </c>
      <c r="J8713" s="27" t="s">
        <v>1854</v>
      </c>
      <c r="L8713" s="27" t="s">
        <v>461</v>
      </c>
      <c r="N8713" s="27" t="s">
        <v>178</v>
      </c>
      <c r="P8713" s="27" t="s">
        <v>20089</v>
      </c>
      <c r="Q8713" s="26" t="str">
        <f>HYPERLINK("https://ictv.global/taxonomy/taxondetails?taxnode_id=202520445&amp;ictv_id=ICTV202420445","ICTV202420445")</f>
        <v>ICTV202420445</v>
      </c>
      <c r="R8713" t="s">
        <v>660</v>
      </c>
      <c r="S8713" t="s">
        <v>824</v>
      </c>
      <c r="T8713">
        <v>41</v>
      </c>
      <c r="U8713" s="26" t="str">
        <f t="shared" si="314"/>
        <v>2025.002G.Monodnaviria_reorg_4nr.zip</v>
      </c>
    </row>
    <row r="8714" spans="1:21">
      <c r="A8714">
        <v>8713</v>
      </c>
      <c r="B8714" s="27" t="s">
        <v>20779</v>
      </c>
      <c r="D8714" s="27" t="s">
        <v>1826</v>
      </c>
      <c r="F8714" s="27" t="s">
        <v>1844</v>
      </c>
      <c r="H8714" s="27" t="s">
        <v>1853</v>
      </c>
      <c r="J8714" s="27" t="s">
        <v>1854</v>
      </c>
      <c r="L8714" s="27" t="s">
        <v>461</v>
      </c>
      <c r="N8714" s="27" t="s">
        <v>178</v>
      </c>
      <c r="P8714" s="27" t="s">
        <v>13345</v>
      </c>
      <c r="Q8714" s="26" t="str">
        <f>HYPERLINK("https://ictv.global/taxonomy/taxondetails?taxnode_id=202506686&amp;ictv_id=ICTV201856686","ICTV201856686")</f>
        <v>ICTV201856686</v>
      </c>
      <c r="R8714" t="s">
        <v>660</v>
      </c>
      <c r="S8714" t="s">
        <v>824</v>
      </c>
      <c r="T8714">
        <v>41</v>
      </c>
      <c r="U8714" s="26" t="str">
        <f t="shared" si="314"/>
        <v>2025.002G.Monodnaviria_reorg_4nr.zip</v>
      </c>
    </row>
    <row r="8715" spans="1:21">
      <c r="A8715">
        <v>8714</v>
      </c>
      <c r="B8715" s="27" t="s">
        <v>20779</v>
      </c>
      <c r="D8715" s="27" t="s">
        <v>1826</v>
      </c>
      <c r="F8715" s="27" t="s">
        <v>1844</v>
      </c>
      <c r="H8715" s="27" t="s">
        <v>1853</v>
      </c>
      <c r="J8715" s="27" t="s">
        <v>1854</v>
      </c>
      <c r="L8715" s="27" t="s">
        <v>461</v>
      </c>
      <c r="N8715" s="27" t="s">
        <v>178</v>
      </c>
      <c r="P8715" s="27" t="s">
        <v>13346</v>
      </c>
      <c r="Q8715" s="26" t="str">
        <f>HYPERLINK("https://ictv.global/taxonomy/taxondetails?taxnode_id=202506687&amp;ictv_id=ICTV201856687","ICTV201856687")</f>
        <v>ICTV201856687</v>
      </c>
      <c r="R8715" t="s">
        <v>660</v>
      </c>
      <c r="S8715" t="s">
        <v>824</v>
      </c>
      <c r="T8715">
        <v>41</v>
      </c>
      <c r="U8715" s="26" t="str">
        <f t="shared" si="314"/>
        <v>2025.002G.Monodnaviria_reorg_4nr.zip</v>
      </c>
    </row>
    <row r="8716" spans="1:21">
      <c r="A8716">
        <v>8715</v>
      </c>
      <c r="B8716" s="27" t="s">
        <v>20779</v>
      </c>
      <c r="D8716" s="27" t="s">
        <v>1826</v>
      </c>
      <c r="F8716" s="27" t="s">
        <v>1844</v>
      </c>
      <c r="H8716" s="27" t="s">
        <v>1853</v>
      </c>
      <c r="J8716" s="27" t="s">
        <v>1854</v>
      </c>
      <c r="L8716" s="27" t="s">
        <v>461</v>
      </c>
      <c r="N8716" s="27" t="s">
        <v>178</v>
      </c>
      <c r="P8716" s="27" t="s">
        <v>13347</v>
      </c>
      <c r="Q8716" s="26" t="str">
        <f>HYPERLINK("https://ictv.global/taxonomy/taxondetails?taxnode_id=202503528&amp;ictv_id=ICTV19950952","ICTV19950952")</f>
        <v>ICTV19950952</v>
      </c>
      <c r="R8716" t="s">
        <v>660</v>
      </c>
      <c r="S8716" t="s">
        <v>824</v>
      </c>
      <c r="T8716">
        <v>41</v>
      </c>
      <c r="U8716" s="26" t="str">
        <f t="shared" si="314"/>
        <v>2025.002G.Monodnaviria_reorg_4nr.zip</v>
      </c>
    </row>
    <row r="8717" spans="1:21">
      <c r="A8717">
        <v>8716</v>
      </c>
      <c r="B8717" s="27" t="s">
        <v>20779</v>
      </c>
      <c r="D8717" s="27" t="s">
        <v>1826</v>
      </c>
      <c r="F8717" s="27" t="s">
        <v>1844</v>
      </c>
      <c r="H8717" s="27" t="s">
        <v>1853</v>
      </c>
      <c r="J8717" s="27" t="s">
        <v>1854</v>
      </c>
      <c r="L8717" s="27" t="s">
        <v>461</v>
      </c>
      <c r="N8717" s="27" t="s">
        <v>178</v>
      </c>
      <c r="P8717" s="27" t="s">
        <v>13348</v>
      </c>
      <c r="Q8717" s="26" t="str">
        <f>HYPERLINK("https://ictv.global/taxonomy/taxondetails?taxnode_id=202503530&amp;ictv_id=ICTV20125776","ICTV20125776")</f>
        <v>ICTV20125776</v>
      </c>
      <c r="R8717" t="s">
        <v>660</v>
      </c>
      <c r="S8717" t="s">
        <v>824</v>
      </c>
      <c r="T8717">
        <v>41</v>
      </c>
      <c r="U8717" s="26" t="str">
        <f t="shared" si="314"/>
        <v>2025.002G.Monodnaviria_reorg_4nr.zip</v>
      </c>
    </row>
    <row r="8718" spans="1:21">
      <c r="A8718">
        <v>8717</v>
      </c>
      <c r="B8718" s="27" t="s">
        <v>20779</v>
      </c>
      <c r="D8718" s="27" t="s">
        <v>1826</v>
      </c>
      <c r="F8718" s="27" t="s">
        <v>1844</v>
      </c>
      <c r="H8718" s="27" t="s">
        <v>1853</v>
      </c>
      <c r="J8718" s="27" t="s">
        <v>1854</v>
      </c>
      <c r="L8718" s="27" t="s">
        <v>461</v>
      </c>
      <c r="N8718" s="27" t="s">
        <v>178</v>
      </c>
      <c r="P8718" s="27" t="s">
        <v>21706</v>
      </c>
      <c r="Q8718" s="26" t="str">
        <f>HYPERLINK("https://ictv.global/taxonomy/taxondetails?taxnode_id=202522559&amp;ictv_id=ICTV202522559","ICTV202522559")</f>
        <v>ICTV202522559</v>
      </c>
      <c r="R8718" t="s">
        <v>660</v>
      </c>
      <c r="S8718" t="s">
        <v>823</v>
      </c>
      <c r="T8718">
        <v>41</v>
      </c>
      <c r="U8718" s="26" t="str">
        <f>HYPERLINK("https://ictv.global/ictv/proposals/2025.012P.Geminiviridae_Mastrevirus_5nsp.zip","2025.012P.Geminiviridae_Mastrevirus_5nsp.zip")</f>
        <v>2025.012P.Geminiviridae_Mastrevirus_5nsp.zip</v>
      </c>
    </row>
    <row r="8719" spans="1:21">
      <c r="A8719">
        <v>8718</v>
      </c>
      <c r="B8719" s="27" t="s">
        <v>20779</v>
      </c>
      <c r="D8719" s="27" t="s">
        <v>1826</v>
      </c>
      <c r="F8719" s="27" t="s">
        <v>1844</v>
      </c>
      <c r="H8719" s="27" t="s">
        <v>1853</v>
      </c>
      <c r="J8719" s="27" t="s">
        <v>1854</v>
      </c>
      <c r="L8719" s="27" t="s">
        <v>461</v>
      </c>
      <c r="N8719" s="27" t="s">
        <v>178</v>
      </c>
      <c r="P8719" s="27" t="s">
        <v>13349</v>
      </c>
      <c r="Q8719" s="26" t="str">
        <f>HYPERLINK("https://ictv.global/taxonomy/taxondetails?taxnode_id=202503516&amp;ictv_id=ICTV20125769","ICTV20125769")</f>
        <v>ICTV20125769</v>
      </c>
      <c r="R8719" t="s">
        <v>660</v>
      </c>
      <c r="S8719" t="s">
        <v>824</v>
      </c>
      <c r="T8719">
        <v>41</v>
      </c>
      <c r="U8719" s="26" t="str">
        <f t="shared" ref="U8719:U8733" si="315">HYPERLINK("https://ictv.global/ictv/proposals/2025.002G.Monodnaviria_reorg_4nr.zip","2025.002G.Monodnaviria_reorg_4nr.zip")</f>
        <v>2025.002G.Monodnaviria_reorg_4nr.zip</v>
      </c>
    </row>
    <row r="8720" spans="1:21">
      <c r="A8720">
        <v>8719</v>
      </c>
      <c r="B8720" s="27" t="s">
        <v>20779</v>
      </c>
      <c r="D8720" s="27" t="s">
        <v>1826</v>
      </c>
      <c r="F8720" s="27" t="s">
        <v>1844</v>
      </c>
      <c r="H8720" s="27" t="s">
        <v>1853</v>
      </c>
      <c r="J8720" s="27" t="s">
        <v>1854</v>
      </c>
      <c r="L8720" s="27" t="s">
        <v>461</v>
      </c>
      <c r="N8720" s="27" t="s">
        <v>178</v>
      </c>
      <c r="P8720" s="27" t="s">
        <v>13350</v>
      </c>
      <c r="Q8720" s="26" t="str">
        <f>HYPERLINK("https://ictv.global/taxonomy/taxondetails?taxnode_id=202509104&amp;ictv_id=ICTV202009104","ICTV202009104")</f>
        <v>ICTV202009104</v>
      </c>
      <c r="R8720" t="s">
        <v>660</v>
      </c>
      <c r="S8720" t="s">
        <v>824</v>
      </c>
      <c r="T8720">
        <v>41</v>
      </c>
      <c r="U8720" s="26" t="str">
        <f t="shared" si="315"/>
        <v>2025.002G.Monodnaviria_reorg_4nr.zip</v>
      </c>
    </row>
    <row r="8721" spans="1:21">
      <c r="A8721">
        <v>8720</v>
      </c>
      <c r="B8721" s="27" t="s">
        <v>20779</v>
      </c>
      <c r="D8721" s="27" t="s">
        <v>1826</v>
      </c>
      <c r="F8721" s="27" t="s">
        <v>1844</v>
      </c>
      <c r="H8721" s="27" t="s">
        <v>1853</v>
      </c>
      <c r="J8721" s="27" t="s">
        <v>1854</v>
      </c>
      <c r="L8721" s="27" t="s">
        <v>461</v>
      </c>
      <c r="N8721" s="27" t="s">
        <v>178</v>
      </c>
      <c r="P8721" s="27" t="s">
        <v>13351</v>
      </c>
      <c r="Q8721" s="26" t="str">
        <f>HYPERLINK("https://ictv.global/taxonomy/taxondetails?taxnode_id=202503531&amp;ictv_id=ICTV20125775","ICTV20125775")</f>
        <v>ICTV20125775</v>
      </c>
      <c r="R8721" t="s">
        <v>660</v>
      </c>
      <c r="S8721" t="s">
        <v>824</v>
      </c>
      <c r="T8721">
        <v>41</v>
      </c>
      <c r="U8721" s="26" t="str">
        <f t="shared" si="315"/>
        <v>2025.002G.Monodnaviria_reorg_4nr.zip</v>
      </c>
    </row>
    <row r="8722" spans="1:21">
      <c r="A8722">
        <v>8721</v>
      </c>
      <c r="B8722" s="27" t="s">
        <v>20779</v>
      </c>
      <c r="D8722" s="27" t="s">
        <v>1826</v>
      </c>
      <c r="F8722" s="27" t="s">
        <v>1844</v>
      </c>
      <c r="H8722" s="27" t="s">
        <v>1853</v>
      </c>
      <c r="J8722" s="27" t="s">
        <v>1854</v>
      </c>
      <c r="L8722" s="27" t="s">
        <v>461</v>
      </c>
      <c r="N8722" s="27" t="s">
        <v>178</v>
      </c>
      <c r="P8722" s="27" t="s">
        <v>13352</v>
      </c>
      <c r="Q8722" s="26" t="str">
        <f>HYPERLINK("https://ictv.global/taxonomy/taxondetails?taxnode_id=202503536&amp;ictv_id=ICTV19950954","ICTV19950954")</f>
        <v>ICTV19950954</v>
      </c>
      <c r="R8722" t="s">
        <v>660</v>
      </c>
      <c r="S8722" t="s">
        <v>824</v>
      </c>
      <c r="T8722">
        <v>41</v>
      </c>
      <c r="U8722" s="26" t="str">
        <f t="shared" si="315"/>
        <v>2025.002G.Monodnaviria_reorg_4nr.zip</v>
      </c>
    </row>
    <row r="8723" spans="1:21">
      <c r="A8723">
        <v>8722</v>
      </c>
      <c r="B8723" s="27" t="s">
        <v>20779</v>
      </c>
      <c r="D8723" s="27" t="s">
        <v>1826</v>
      </c>
      <c r="F8723" s="27" t="s">
        <v>1844</v>
      </c>
      <c r="H8723" s="27" t="s">
        <v>1853</v>
      </c>
      <c r="J8723" s="27" t="s">
        <v>1854</v>
      </c>
      <c r="L8723" s="27" t="s">
        <v>461</v>
      </c>
      <c r="N8723" s="27" t="s">
        <v>178</v>
      </c>
      <c r="P8723" s="27" t="s">
        <v>13353</v>
      </c>
      <c r="Q8723" s="26" t="str">
        <f>HYPERLINK("https://ictv.global/taxonomy/taxondetails?taxnode_id=202503537&amp;ictv_id=ICTV20152903","ICTV20152903")</f>
        <v>ICTV20152903</v>
      </c>
      <c r="R8723" t="s">
        <v>660</v>
      </c>
      <c r="S8723" t="s">
        <v>824</v>
      </c>
      <c r="T8723">
        <v>41</v>
      </c>
      <c r="U8723" s="26" t="str">
        <f t="shared" si="315"/>
        <v>2025.002G.Monodnaviria_reorg_4nr.zip</v>
      </c>
    </row>
    <row r="8724" spans="1:21">
      <c r="A8724">
        <v>8723</v>
      </c>
      <c r="B8724" s="27" t="s">
        <v>20779</v>
      </c>
      <c r="D8724" s="27" t="s">
        <v>1826</v>
      </c>
      <c r="F8724" s="27" t="s">
        <v>1844</v>
      </c>
      <c r="H8724" s="27" t="s">
        <v>1853</v>
      </c>
      <c r="J8724" s="27" t="s">
        <v>1854</v>
      </c>
      <c r="L8724" s="27" t="s">
        <v>461</v>
      </c>
      <c r="N8724" s="27" t="s">
        <v>178</v>
      </c>
      <c r="P8724" s="27" t="s">
        <v>13354</v>
      </c>
      <c r="Q8724" s="26" t="str">
        <f>HYPERLINK("https://ictv.global/taxonomy/taxondetails?taxnode_id=202503535&amp;ictv_id=ICTV20021030","ICTV20021030")</f>
        <v>ICTV20021030</v>
      </c>
      <c r="R8724" t="s">
        <v>660</v>
      </c>
      <c r="S8724" t="s">
        <v>824</v>
      </c>
      <c r="T8724">
        <v>41</v>
      </c>
      <c r="U8724" s="26" t="str">
        <f t="shared" si="315"/>
        <v>2025.002G.Monodnaviria_reorg_4nr.zip</v>
      </c>
    </row>
    <row r="8725" spans="1:21">
      <c r="A8725">
        <v>8724</v>
      </c>
      <c r="B8725" s="27" t="s">
        <v>20779</v>
      </c>
      <c r="D8725" s="27" t="s">
        <v>1826</v>
      </c>
      <c r="F8725" s="27" t="s">
        <v>1844</v>
      </c>
      <c r="H8725" s="27" t="s">
        <v>1853</v>
      </c>
      <c r="J8725" s="27" t="s">
        <v>1854</v>
      </c>
      <c r="L8725" s="27" t="s">
        <v>461</v>
      </c>
      <c r="N8725" s="27" t="s">
        <v>178</v>
      </c>
      <c r="P8725" s="27" t="s">
        <v>13355</v>
      </c>
      <c r="Q8725" s="26" t="str">
        <f>HYPERLINK("https://ictv.global/taxonomy/taxondetails?taxnode_id=202503534&amp;ictv_id=ICTV20021029","ICTV20021029")</f>
        <v>ICTV20021029</v>
      </c>
      <c r="R8725" t="s">
        <v>660</v>
      </c>
      <c r="S8725" t="s">
        <v>824</v>
      </c>
      <c r="T8725">
        <v>41</v>
      </c>
      <c r="U8725" s="26" t="str">
        <f t="shared" si="315"/>
        <v>2025.002G.Monodnaviria_reorg_4nr.zip</v>
      </c>
    </row>
    <row r="8726" spans="1:21">
      <c r="A8726">
        <v>8725</v>
      </c>
      <c r="B8726" s="27" t="s">
        <v>20779</v>
      </c>
      <c r="D8726" s="27" t="s">
        <v>1826</v>
      </c>
      <c r="F8726" s="27" t="s">
        <v>1844</v>
      </c>
      <c r="H8726" s="27" t="s">
        <v>1853</v>
      </c>
      <c r="J8726" s="27" t="s">
        <v>1854</v>
      </c>
      <c r="L8726" s="27" t="s">
        <v>461</v>
      </c>
      <c r="N8726" s="27" t="s">
        <v>178</v>
      </c>
      <c r="P8726" s="27" t="s">
        <v>13356</v>
      </c>
      <c r="Q8726" s="26" t="str">
        <f>HYPERLINK("https://ictv.global/taxonomy/taxondetails?taxnode_id=202505855&amp;ictv_id=ICTV20175855","ICTV20175855")</f>
        <v>ICTV20175855</v>
      </c>
      <c r="R8726" t="s">
        <v>660</v>
      </c>
      <c r="S8726" t="s">
        <v>824</v>
      </c>
      <c r="T8726">
        <v>41</v>
      </c>
      <c r="U8726" s="26" t="str">
        <f t="shared" si="315"/>
        <v>2025.002G.Monodnaviria_reorg_4nr.zip</v>
      </c>
    </row>
    <row r="8727" spans="1:21">
      <c r="A8727">
        <v>8726</v>
      </c>
      <c r="B8727" s="27" t="s">
        <v>20779</v>
      </c>
      <c r="D8727" s="27" t="s">
        <v>1826</v>
      </c>
      <c r="F8727" s="27" t="s">
        <v>1844</v>
      </c>
      <c r="H8727" s="27" t="s">
        <v>1853</v>
      </c>
      <c r="J8727" s="27" t="s">
        <v>1854</v>
      </c>
      <c r="L8727" s="27" t="s">
        <v>461</v>
      </c>
      <c r="N8727" s="27" t="s">
        <v>178</v>
      </c>
      <c r="P8727" s="27" t="s">
        <v>13357</v>
      </c>
      <c r="Q8727" s="26" t="str">
        <f>HYPERLINK("https://ictv.global/taxonomy/taxondetails?taxnode_id=202505856&amp;ictv_id=ICTV20175856","ICTV20175856")</f>
        <v>ICTV20175856</v>
      </c>
      <c r="R8727" t="s">
        <v>660</v>
      </c>
      <c r="S8727" t="s">
        <v>824</v>
      </c>
      <c r="T8727">
        <v>41</v>
      </c>
      <c r="U8727" s="26" t="str">
        <f t="shared" si="315"/>
        <v>2025.002G.Monodnaviria_reorg_4nr.zip</v>
      </c>
    </row>
    <row r="8728" spans="1:21">
      <c r="A8728">
        <v>8727</v>
      </c>
      <c r="B8728" s="27" t="s">
        <v>20779</v>
      </c>
      <c r="D8728" s="27" t="s">
        <v>1826</v>
      </c>
      <c r="F8728" s="27" t="s">
        <v>1844</v>
      </c>
      <c r="H8728" s="27" t="s">
        <v>1853</v>
      </c>
      <c r="J8728" s="27" t="s">
        <v>1854</v>
      </c>
      <c r="L8728" s="27" t="s">
        <v>461</v>
      </c>
      <c r="N8728" s="27" t="s">
        <v>178</v>
      </c>
      <c r="P8728" s="27" t="s">
        <v>13358</v>
      </c>
      <c r="Q8728" s="26" t="str">
        <f>HYPERLINK("https://ictv.global/taxonomy/taxondetails?taxnode_id=202509107&amp;ictv_id=ICTV202009107","ICTV202009107")</f>
        <v>ICTV202009107</v>
      </c>
      <c r="R8728" t="s">
        <v>660</v>
      </c>
      <c r="S8728" t="s">
        <v>824</v>
      </c>
      <c r="T8728">
        <v>41</v>
      </c>
      <c r="U8728" s="26" t="str">
        <f t="shared" si="315"/>
        <v>2025.002G.Monodnaviria_reorg_4nr.zip</v>
      </c>
    </row>
    <row r="8729" spans="1:21">
      <c r="A8729">
        <v>8728</v>
      </c>
      <c r="B8729" s="27" t="s">
        <v>20779</v>
      </c>
      <c r="D8729" s="27" t="s">
        <v>1826</v>
      </c>
      <c r="F8729" s="27" t="s">
        <v>1844</v>
      </c>
      <c r="H8729" s="27" t="s">
        <v>1853</v>
      </c>
      <c r="J8729" s="27" t="s">
        <v>1854</v>
      </c>
      <c r="L8729" s="27" t="s">
        <v>461</v>
      </c>
      <c r="N8729" s="27" t="s">
        <v>178</v>
      </c>
      <c r="P8729" s="27" t="s">
        <v>13359</v>
      </c>
      <c r="Q8729" s="26" t="str">
        <f>HYPERLINK("https://ictv.global/taxonomy/taxondetails?taxnode_id=202503532&amp;ictv_id=ICTV20125778","ICTV20125778")</f>
        <v>ICTV20125778</v>
      </c>
      <c r="R8729" t="s">
        <v>660</v>
      </c>
      <c r="S8729" t="s">
        <v>824</v>
      </c>
      <c r="T8729">
        <v>41</v>
      </c>
      <c r="U8729" s="26" t="str">
        <f t="shared" si="315"/>
        <v>2025.002G.Monodnaviria_reorg_4nr.zip</v>
      </c>
    </row>
    <row r="8730" spans="1:21">
      <c r="A8730">
        <v>8729</v>
      </c>
      <c r="B8730" s="27" t="s">
        <v>20779</v>
      </c>
      <c r="D8730" s="27" t="s">
        <v>1826</v>
      </c>
      <c r="F8730" s="27" t="s">
        <v>1844</v>
      </c>
      <c r="H8730" s="27" t="s">
        <v>1853</v>
      </c>
      <c r="J8730" s="27" t="s">
        <v>1854</v>
      </c>
      <c r="L8730" s="27" t="s">
        <v>461</v>
      </c>
      <c r="N8730" s="27" t="s">
        <v>178</v>
      </c>
      <c r="P8730" s="27" t="s">
        <v>13360</v>
      </c>
      <c r="Q8730" s="26" t="str">
        <f>HYPERLINK("https://ictv.global/taxonomy/taxondetails?taxnode_id=202503533&amp;ictv_id=ICTV20125779","ICTV20125779")</f>
        <v>ICTV20125779</v>
      </c>
      <c r="R8730" t="s">
        <v>660</v>
      </c>
      <c r="S8730" t="s">
        <v>824</v>
      </c>
      <c r="T8730">
        <v>41</v>
      </c>
      <c r="U8730" s="26" t="str">
        <f t="shared" si="315"/>
        <v>2025.002G.Monodnaviria_reorg_4nr.zip</v>
      </c>
    </row>
    <row r="8731" spans="1:21">
      <c r="A8731">
        <v>8730</v>
      </c>
      <c r="B8731" s="27" t="s">
        <v>20779</v>
      </c>
      <c r="D8731" s="27" t="s">
        <v>1826</v>
      </c>
      <c r="F8731" s="27" t="s">
        <v>1844</v>
      </c>
      <c r="H8731" s="27" t="s">
        <v>1853</v>
      </c>
      <c r="J8731" s="27" t="s">
        <v>1854</v>
      </c>
      <c r="L8731" s="27" t="s">
        <v>461</v>
      </c>
      <c r="N8731" s="27" t="s">
        <v>178</v>
      </c>
      <c r="P8731" s="27" t="s">
        <v>13361</v>
      </c>
      <c r="Q8731" s="26" t="str">
        <f>HYPERLINK("https://ictv.global/taxonomy/taxondetails?taxnode_id=202503525&amp;ictv_id=ICTV19780758","ICTV19780758")</f>
        <v>ICTV19780758</v>
      </c>
      <c r="R8731" t="s">
        <v>660</v>
      </c>
      <c r="S8731" t="s">
        <v>824</v>
      </c>
      <c r="T8731">
        <v>41</v>
      </c>
      <c r="U8731" s="26" t="str">
        <f t="shared" si="315"/>
        <v>2025.002G.Monodnaviria_reorg_4nr.zip</v>
      </c>
    </row>
    <row r="8732" spans="1:21">
      <c r="A8732">
        <v>8731</v>
      </c>
      <c r="B8732" s="27" t="s">
        <v>20779</v>
      </c>
      <c r="D8732" s="27" t="s">
        <v>1826</v>
      </c>
      <c r="F8732" s="27" t="s">
        <v>1844</v>
      </c>
      <c r="H8732" s="27" t="s">
        <v>1853</v>
      </c>
      <c r="J8732" s="27" t="s">
        <v>1854</v>
      </c>
      <c r="L8732" s="27" t="s">
        <v>461</v>
      </c>
      <c r="N8732" s="27" t="s">
        <v>178</v>
      </c>
      <c r="P8732" s="27" t="s">
        <v>13362</v>
      </c>
      <c r="Q8732" s="26" t="str">
        <f>HYPERLINK("https://ictv.global/taxonomy/taxondetails?taxnode_id=202506685&amp;ictv_id=ICTV201856685","ICTV201856685")</f>
        <v>ICTV201856685</v>
      </c>
      <c r="R8732" t="s">
        <v>660</v>
      </c>
      <c r="S8732" t="s">
        <v>824</v>
      </c>
      <c r="T8732">
        <v>41</v>
      </c>
      <c r="U8732" s="26" t="str">
        <f t="shared" si="315"/>
        <v>2025.002G.Monodnaviria_reorg_4nr.zip</v>
      </c>
    </row>
    <row r="8733" spans="1:21">
      <c r="A8733">
        <v>8732</v>
      </c>
      <c r="B8733" s="27" t="s">
        <v>20779</v>
      </c>
      <c r="D8733" s="27" t="s">
        <v>1826</v>
      </c>
      <c r="F8733" s="27" t="s">
        <v>1844</v>
      </c>
      <c r="H8733" s="27" t="s">
        <v>1853</v>
      </c>
      <c r="J8733" s="27" t="s">
        <v>1854</v>
      </c>
      <c r="L8733" s="27" t="s">
        <v>461</v>
      </c>
      <c r="N8733" s="27" t="s">
        <v>178</v>
      </c>
      <c r="P8733" s="27" t="s">
        <v>13363</v>
      </c>
      <c r="Q8733" s="26" t="str">
        <f>HYPERLINK("https://ictv.global/taxonomy/taxondetails?taxnode_id=202503539&amp;ictv_id=ICTV19911636","ICTV19911636")</f>
        <v>ICTV19911636</v>
      </c>
      <c r="R8733" t="s">
        <v>660</v>
      </c>
      <c r="S8733" t="s">
        <v>824</v>
      </c>
      <c r="T8733">
        <v>41</v>
      </c>
      <c r="U8733" s="26" t="str">
        <f t="shared" si="315"/>
        <v>2025.002G.Monodnaviria_reorg_4nr.zip</v>
      </c>
    </row>
    <row r="8734" spans="1:21">
      <c r="A8734">
        <v>8733</v>
      </c>
      <c r="B8734" s="27" t="s">
        <v>20779</v>
      </c>
      <c r="D8734" s="27" t="s">
        <v>1826</v>
      </c>
      <c r="F8734" s="27" t="s">
        <v>1844</v>
      </c>
      <c r="H8734" s="27" t="s">
        <v>1853</v>
      </c>
      <c r="J8734" s="27" t="s">
        <v>1854</v>
      </c>
      <c r="L8734" s="27" t="s">
        <v>461</v>
      </c>
      <c r="N8734" s="27" t="s">
        <v>178</v>
      </c>
      <c r="P8734" s="27" t="s">
        <v>21707</v>
      </c>
      <c r="Q8734" s="26" t="str">
        <f>HYPERLINK("https://ictv.global/taxonomy/taxondetails?taxnode_id=202522560&amp;ictv_id=ICTV202522560","ICTV202522560")</f>
        <v>ICTV202522560</v>
      </c>
      <c r="R8734" t="s">
        <v>660</v>
      </c>
      <c r="S8734" t="s">
        <v>823</v>
      </c>
      <c r="T8734">
        <v>41</v>
      </c>
      <c r="U8734" s="26" t="str">
        <f>HYPERLINK("https://ictv.global/ictv/proposals/2025.012P.Geminiviridae_Mastrevirus_5nsp.zip","2025.012P.Geminiviridae_Mastrevirus_5nsp.zip")</f>
        <v>2025.012P.Geminiviridae_Mastrevirus_5nsp.zip</v>
      </c>
    </row>
    <row r="8735" spans="1:21">
      <c r="A8735">
        <v>8734</v>
      </c>
      <c r="B8735" s="27" t="s">
        <v>20779</v>
      </c>
      <c r="D8735" s="27" t="s">
        <v>1826</v>
      </c>
      <c r="F8735" s="27" t="s">
        <v>1844</v>
      </c>
      <c r="H8735" s="27" t="s">
        <v>1853</v>
      </c>
      <c r="J8735" s="27" t="s">
        <v>1854</v>
      </c>
      <c r="L8735" s="27" t="s">
        <v>461</v>
      </c>
      <c r="N8735" s="27" t="s">
        <v>178</v>
      </c>
      <c r="P8735" s="27" t="s">
        <v>13364</v>
      </c>
      <c r="Q8735" s="26" t="str">
        <f>HYPERLINK("https://ictv.global/taxonomy/taxondetails?taxnode_id=202503541&amp;ictv_id=ICTV20125777","ICTV20125777")</f>
        <v>ICTV20125777</v>
      </c>
      <c r="R8735" t="s">
        <v>660</v>
      </c>
      <c r="S8735" t="s">
        <v>824</v>
      </c>
      <c r="T8735">
        <v>41</v>
      </c>
      <c r="U8735" s="26" t="str">
        <f t="shared" ref="U8735:U8740" si="316">HYPERLINK("https://ictv.global/ictv/proposals/2025.002G.Monodnaviria_reorg_4nr.zip","2025.002G.Monodnaviria_reorg_4nr.zip")</f>
        <v>2025.002G.Monodnaviria_reorg_4nr.zip</v>
      </c>
    </row>
    <row r="8736" spans="1:21">
      <c r="A8736">
        <v>8735</v>
      </c>
      <c r="B8736" s="27" t="s">
        <v>20779</v>
      </c>
      <c r="D8736" s="27" t="s">
        <v>1826</v>
      </c>
      <c r="F8736" s="27" t="s">
        <v>1844</v>
      </c>
      <c r="H8736" s="27" t="s">
        <v>1853</v>
      </c>
      <c r="J8736" s="27" t="s">
        <v>1854</v>
      </c>
      <c r="L8736" s="27" t="s">
        <v>461</v>
      </c>
      <c r="N8736" s="27" t="s">
        <v>178</v>
      </c>
      <c r="P8736" s="27" t="s">
        <v>13365</v>
      </c>
      <c r="Q8736" s="26" t="str">
        <f>HYPERLINK("https://ictv.global/taxonomy/taxondetails?taxnode_id=202503540&amp;ictv_id=ICTV20093838","ICTV20093838")</f>
        <v>ICTV20093838</v>
      </c>
      <c r="R8736" t="s">
        <v>660</v>
      </c>
      <c r="S8736" t="s">
        <v>824</v>
      </c>
      <c r="T8736">
        <v>41</v>
      </c>
      <c r="U8736" s="26" t="str">
        <f t="shared" si="316"/>
        <v>2025.002G.Monodnaviria_reorg_4nr.zip</v>
      </c>
    </row>
    <row r="8737" spans="1:21">
      <c r="A8737">
        <v>8736</v>
      </c>
      <c r="B8737" s="27" t="s">
        <v>20779</v>
      </c>
      <c r="D8737" s="27" t="s">
        <v>1826</v>
      </c>
      <c r="F8737" s="27" t="s">
        <v>1844</v>
      </c>
      <c r="H8737" s="27" t="s">
        <v>1853</v>
      </c>
      <c r="J8737" s="27" t="s">
        <v>1854</v>
      </c>
      <c r="L8737" s="27" t="s">
        <v>461</v>
      </c>
      <c r="N8737" s="27" t="s">
        <v>178</v>
      </c>
      <c r="P8737" s="27" t="s">
        <v>20090</v>
      </c>
      <c r="Q8737" s="26" t="str">
        <f>HYPERLINK("https://ictv.global/taxonomy/taxondetails?taxnode_id=202520444&amp;ictv_id=ICTV202420444","ICTV202420444")</f>
        <v>ICTV202420444</v>
      </c>
      <c r="R8737" t="s">
        <v>660</v>
      </c>
      <c r="S8737" t="s">
        <v>824</v>
      </c>
      <c r="T8737">
        <v>41</v>
      </c>
      <c r="U8737" s="26" t="str">
        <f t="shared" si="316"/>
        <v>2025.002G.Monodnaviria_reorg_4nr.zip</v>
      </c>
    </row>
    <row r="8738" spans="1:21">
      <c r="A8738">
        <v>8737</v>
      </c>
      <c r="B8738" s="27" t="s">
        <v>20779</v>
      </c>
      <c r="D8738" s="27" t="s">
        <v>1826</v>
      </c>
      <c r="F8738" s="27" t="s">
        <v>1844</v>
      </c>
      <c r="H8738" s="27" t="s">
        <v>1853</v>
      </c>
      <c r="J8738" s="27" t="s">
        <v>1854</v>
      </c>
      <c r="L8738" s="27" t="s">
        <v>461</v>
      </c>
      <c r="N8738" s="27" t="s">
        <v>178</v>
      </c>
      <c r="P8738" s="27" t="s">
        <v>13366</v>
      </c>
      <c r="Q8738" s="26" t="str">
        <f>HYPERLINK("https://ictv.global/taxonomy/taxondetails?taxnode_id=202503538&amp;ictv_id=ICTV20152905","ICTV20152905")</f>
        <v>ICTV20152905</v>
      </c>
      <c r="R8738" t="s">
        <v>660</v>
      </c>
      <c r="S8738" t="s">
        <v>824</v>
      </c>
      <c r="T8738">
        <v>41</v>
      </c>
      <c r="U8738" s="26" t="str">
        <f t="shared" si="316"/>
        <v>2025.002G.Monodnaviria_reorg_4nr.zip</v>
      </c>
    </row>
    <row r="8739" spans="1:21">
      <c r="A8739">
        <v>8738</v>
      </c>
      <c r="B8739" s="27" t="s">
        <v>20779</v>
      </c>
      <c r="D8739" s="27" t="s">
        <v>1826</v>
      </c>
      <c r="F8739" s="27" t="s">
        <v>1844</v>
      </c>
      <c r="H8739" s="27" t="s">
        <v>1853</v>
      </c>
      <c r="J8739" s="27" t="s">
        <v>1854</v>
      </c>
      <c r="L8739" s="27" t="s">
        <v>461</v>
      </c>
      <c r="N8739" s="27" t="s">
        <v>2434</v>
      </c>
      <c r="P8739" s="27" t="s">
        <v>13367</v>
      </c>
      <c r="Q8739" s="26" t="str">
        <f>HYPERLINK("https://ictv.global/taxonomy/taxondetails?taxnode_id=202509791&amp;ictv_id=ICTV202009791","ICTV202009791")</f>
        <v>ICTV202009791</v>
      </c>
      <c r="R8739" t="s">
        <v>660</v>
      </c>
      <c r="S8739" t="s">
        <v>824</v>
      </c>
      <c r="T8739">
        <v>41</v>
      </c>
      <c r="U8739" s="26" t="str">
        <f t="shared" si="316"/>
        <v>2025.002G.Monodnaviria_reorg_4nr.zip</v>
      </c>
    </row>
    <row r="8740" spans="1:21">
      <c r="A8740">
        <v>8739</v>
      </c>
      <c r="B8740" s="27" t="s">
        <v>20779</v>
      </c>
      <c r="D8740" s="27" t="s">
        <v>1826</v>
      </c>
      <c r="F8740" s="27" t="s">
        <v>1844</v>
      </c>
      <c r="H8740" s="27" t="s">
        <v>1853</v>
      </c>
      <c r="J8740" s="27" t="s">
        <v>1854</v>
      </c>
      <c r="L8740" s="27" t="s">
        <v>461</v>
      </c>
      <c r="N8740" s="27" t="s">
        <v>2434</v>
      </c>
      <c r="P8740" s="27" t="s">
        <v>13368</v>
      </c>
      <c r="Q8740" s="26" t="str">
        <f>HYPERLINK("https://ictv.global/taxonomy/taxondetails?taxnode_id=202509181&amp;ictv_id=ICTV202009181","ICTV202009181")</f>
        <v>ICTV202009181</v>
      </c>
      <c r="R8740" t="s">
        <v>660</v>
      </c>
      <c r="S8740" t="s">
        <v>824</v>
      </c>
      <c r="T8740">
        <v>41</v>
      </c>
      <c r="U8740" s="26" t="str">
        <f t="shared" si="316"/>
        <v>2025.002G.Monodnaviria_reorg_4nr.zip</v>
      </c>
    </row>
    <row r="8741" spans="1:21">
      <c r="A8741">
        <v>8740</v>
      </c>
      <c r="B8741" s="27" t="s">
        <v>20779</v>
      </c>
      <c r="D8741" s="27" t="s">
        <v>1826</v>
      </c>
      <c r="F8741" s="27" t="s">
        <v>1844</v>
      </c>
      <c r="H8741" s="27" t="s">
        <v>1853</v>
      </c>
      <c r="J8741" s="27" t="s">
        <v>1854</v>
      </c>
      <c r="L8741" s="27" t="s">
        <v>461</v>
      </c>
      <c r="N8741" s="27" t="s">
        <v>21868</v>
      </c>
      <c r="P8741" s="27" t="s">
        <v>21869</v>
      </c>
      <c r="Q8741" s="26" t="str">
        <f>HYPERLINK("https://ictv.global/taxonomy/taxondetails?taxnode_id=202522680&amp;ictv_id=ICTV202522680","ICTV202522680")</f>
        <v>ICTV202522680</v>
      </c>
      <c r="R8741" t="s">
        <v>582</v>
      </c>
      <c r="S8741" t="s">
        <v>823</v>
      </c>
      <c r="T8741">
        <v>41</v>
      </c>
      <c r="U8741" s="26" t="str">
        <f>HYPERLINK("https://ictv.global/ictv/proposals/2025.016P.Geminiviridae_3ng_3nsp.zip","2025.016P.Geminiviridae_3ng_3nsp.zip")</f>
        <v>2025.016P.Geminiviridae_3ng_3nsp.zip</v>
      </c>
    </row>
    <row r="8742" spans="1:21">
      <c r="A8742">
        <v>8741</v>
      </c>
      <c r="B8742" s="27" t="s">
        <v>20779</v>
      </c>
      <c r="D8742" s="27" t="s">
        <v>1826</v>
      </c>
      <c r="F8742" s="27" t="s">
        <v>1844</v>
      </c>
      <c r="H8742" s="27" t="s">
        <v>1853</v>
      </c>
      <c r="J8742" s="27" t="s">
        <v>1854</v>
      </c>
      <c r="L8742" s="27" t="s">
        <v>461</v>
      </c>
      <c r="N8742" s="27" t="s">
        <v>2435</v>
      </c>
      <c r="P8742" s="27" t="s">
        <v>13369</v>
      </c>
      <c r="Q8742" s="26" t="str">
        <f>HYPERLINK("https://ictv.global/taxonomy/taxondetails?taxnode_id=202509173&amp;ictv_id=ICTV202009173","ICTV202009173")</f>
        <v>ICTV202009173</v>
      </c>
      <c r="R8742" t="s">
        <v>660</v>
      </c>
      <c r="S8742" t="s">
        <v>824</v>
      </c>
      <c r="T8742">
        <v>41</v>
      </c>
      <c r="U8742" s="26" t="str">
        <f>HYPERLINK("https://ictv.global/ictv/proposals/2025.002G.Monodnaviria_reorg_4nr.zip","2025.002G.Monodnaviria_reorg_4nr.zip")</f>
        <v>2025.002G.Monodnaviria_reorg_4nr.zip</v>
      </c>
    </row>
    <row r="8743" spans="1:21">
      <c r="A8743">
        <v>8742</v>
      </c>
      <c r="B8743" s="27" t="s">
        <v>20779</v>
      </c>
      <c r="D8743" s="27" t="s">
        <v>1826</v>
      </c>
      <c r="F8743" s="27" t="s">
        <v>1844</v>
      </c>
      <c r="H8743" s="27" t="s">
        <v>1853</v>
      </c>
      <c r="J8743" s="27" t="s">
        <v>1854</v>
      </c>
      <c r="L8743" s="27" t="s">
        <v>461</v>
      </c>
      <c r="N8743" s="27" t="s">
        <v>21870</v>
      </c>
      <c r="P8743" s="27" t="s">
        <v>21871</v>
      </c>
      <c r="Q8743" s="26" t="str">
        <f>HYPERLINK("https://ictv.global/taxonomy/taxondetails?taxnode_id=202522681&amp;ictv_id=ICTV202522681","ICTV202522681")</f>
        <v>ICTV202522681</v>
      </c>
      <c r="R8743" t="s">
        <v>582</v>
      </c>
      <c r="S8743" t="s">
        <v>823</v>
      </c>
      <c r="T8743">
        <v>41</v>
      </c>
      <c r="U8743" s="26" t="str">
        <f>HYPERLINK("https://ictv.global/ictv/proposals/2025.016P.Geminiviridae_3ng_3nsp.zip","2025.016P.Geminiviridae_3ng_3nsp.zip")</f>
        <v>2025.016P.Geminiviridae_3ng_3nsp.zip</v>
      </c>
    </row>
    <row r="8744" spans="1:21">
      <c r="A8744">
        <v>8743</v>
      </c>
      <c r="B8744" s="27" t="s">
        <v>20779</v>
      </c>
      <c r="D8744" s="27" t="s">
        <v>1826</v>
      </c>
      <c r="F8744" s="27" t="s">
        <v>1844</v>
      </c>
      <c r="H8744" s="27" t="s">
        <v>1853</v>
      </c>
      <c r="J8744" s="27" t="s">
        <v>1854</v>
      </c>
      <c r="L8744" s="27" t="s">
        <v>461</v>
      </c>
      <c r="N8744" s="27" t="s">
        <v>2436</v>
      </c>
      <c r="P8744" s="27" t="s">
        <v>13370</v>
      </c>
      <c r="Q8744" s="26" t="str">
        <f>HYPERLINK("https://ictv.global/taxonomy/taxondetails?taxnode_id=202509179&amp;ictv_id=ICTV202009179","ICTV202009179")</f>
        <v>ICTV202009179</v>
      </c>
      <c r="R8744" t="s">
        <v>660</v>
      </c>
      <c r="S8744" t="s">
        <v>824</v>
      </c>
      <c r="T8744">
        <v>41</v>
      </c>
      <c r="U8744" s="26" t="str">
        <f t="shared" ref="U8744:U8807" si="317">HYPERLINK("https://ictv.global/ictv/proposals/2025.002G.Monodnaviria_reorg_4nr.zip","2025.002G.Monodnaviria_reorg_4nr.zip")</f>
        <v>2025.002G.Monodnaviria_reorg_4nr.zip</v>
      </c>
    </row>
    <row r="8745" spans="1:21">
      <c r="A8745">
        <v>8744</v>
      </c>
      <c r="B8745" s="27" t="s">
        <v>20779</v>
      </c>
      <c r="D8745" s="27" t="s">
        <v>1826</v>
      </c>
      <c r="F8745" s="27" t="s">
        <v>1844</v>
      </c>
      <c r="H8745" s="27" t="s">
        <v>1853</v>
      </c>
      <c r="J8745" s="27" t="s">
        <v>1854</v>
      </c>
      <c r="L8745" s="27" t="s">
        <v>461</v>
      </c>
      <c r="N8745" s="27" t="s">
        <v>2436</v>
      </c>
      <c r="P8745" s="27" t="s">
        <v>13371</v>
      </c>
      <c r="Q8745" s="26" t="str">
        <f>HYPERLINK("https://ictv.global/taxonomy/taxondetails?taxnode_id=202509178&amp;ictv_id=ICTV202009178","ICTV202009178")</f>
        <v>ICTV202009178</v>
      </c>
      <c r="R8745" t="s">
        <v>660</v>
      </c>
      <c r="S8745" t="s">
        <v>824</v>
      </c>
      <c r="T8745">
        <v>41</v>
      </c>
      <c r="U8745" s="26" t="str">
        <f t="shared" si="317"/>
        <v>2025.002G.Monodnaviria_reorg_4nr.zip</v>
      </c>
    </row>
    <row r="8746" spans="1:21">
      <c r="A8746">
        <v>8745</v>
      </c>
      <c r="B8746" s="27" t="s">
        <v>20779</v>
      </c>
      <c r="D8746" s="27" t="s">
        <v>1826</v>
      </c>
      <c r="F8746" s="27" t="s">
        <v>1844</v>
      </c>
      <c r="H8746" s="27" t="s">
        <v>1853</v>
      </c>
      <c r="J8746" s="27" t="s">
        <v>1854</v>
      </c>
      <c r="L8746" s="27" t="s">
        <v>461</v>
      </c>
      <c r="N8746" s="27" t="s">
        <v>135</v>
      </c>
      <c r="P8746" s="27" t="s">
        <v>13372</v>
      </c>
      <c r="Q8746" s="26" t="str">
        <f>HYPERLINK("https://ictv.global/taxonomy/taxondetails?taxnode_id=202503544&amp;ictv_id=ICTV19911638","ICTV19911638")</f>
        <v>ICTV19911638</v>
      </c>
      <c r="R8746" t="s">
        <v>660</v>
      </c>
      <c r="S8746" t="s">
        <v>824</v>
      </c>
      <c r="T8746">
        <v>41</v>
      </c>
      <c r="U8746" s="26" t="str">
        <f t="shared" si="317"/>
        <v>2025.002G.Monodnaviria_reorg_4nr.zip</v>
      </c>
    </row>
    <row r="8747" spans="1:21">
      <c r="A8747">
        <v>8746</v>
      </c>
      <c r="B8747" s="27" t="s">
        <v>20779</v>
      </c>
      <c r="D8747" s="27" t="s">
        <v>1826</v>
      </c>
      <c r="F8747" s="27" t="s">
        <v>1844</v>
      </c>
      <c r="H8747" s="27" t="s">
        <v>1853</v>
      </c>
      <c r="J8747" s="27" t="s">
        <v>1854</v>
      </c>
      <c r="L8747" s="27" t="s">
        <v>461</v>
      </c>
      <c r="N8747" s="27" t="s">
        <v>484</v>
      </c>
      <c r="P8747" s="27" t="s">
        <v>13373</v>
      </c>
      <c r="Q8747" s="26" t="str">
        <f>HYPERLINK("https://ictv.global/taxonomy/taxondetails?taxnode_id=202503546&amp;ictv_id=ICTV20125761","ICTV20125761")</f>
        <v>ICTV20125761</v>
      </c>
      <c r="R8747" t="s">
        <v>660</v>
      </c>
      <c r="S8747" t="s">
        <v>824</v>
      </c>
      <c r="T8747">
        <v>41</v>
      </c>
      <c r="U8747" s="26" t="str">
        <f t="shared" si="317"/>
        <v>2025.002G.Monodnaviria_reorg_4nr.zip</v>
      </c>
    </row>
    <row r="8748" spans="1:21">
      <c r="A8748">
        <v>8747</v>
      </c>
      <c r="B8748" s="27" t="s">
        <v>20779</v>
      </c>
      <c r="D8748" s="27" t="s">
        <v>1826</v>
      </c>
      <c r="F8748" s="27" t="s">
        <v>1844</v>
      </c>
      <c r="H8748" s="27" t="s">
        <v>1853</v>
      </c>
      <c r="J8748" s="27" t="s">
        <v>1854</v>
      </c>
      <c r="L8748" s="27" t="s">
        <v>461</v>
      </c>
      <c r="N8748" s="27" t="s">
        <v>484</v>
      </c>
      <c r="P8748" s="27" t="s">
        <v>13374</v>
      </c>
      <c r="Q8748" s="26" t="str">
        <f>HYPERLINK("https://ictv.global/taxonomy/taxondetails?taxnode_id=202505858&amp;ictv_id=ICTV20175858","ICTV20175858")</f>
        <v>ICTV20175858</v>
      </c>
      <c r="R8748" t="s">
        <v>660</v>
      </c>
      <c r="S8748" t="s">
        <v>824</v>
      </c>
      <c r="T8748">
        <v>41</v>
      </c>
      <c r="U8748" s="26" t="str">
        <f t="shared" si="317"/>
        <v>2025.002G.Monodnaviria_reorg_4nr.zip</v>
      </c>
    </row>
    <row r="8749" spans="1:21">
      <c r="A8749">
        <v>8748</v>
      </c>
      <c r="B8749" s="27" t="s">
        <v>20779</v>
      </c>
      <c r="D8749" s="27" t="s">
        <v>1826</v>
      </c>
      <c r="F8749" s="27" t="s">
        <v>1844</v>
      </c>
      <c r="H8749" s="27" t="s">
        <v>1853</v>
      </c>
      <c r="J8749" s="27" t="s">
        <v>1854</v>
      </c>
      <c r="L8749" s="27" t="s">
        <v>461</v>
      </c>
      <c r="N8749" s="27" t="s">
        <v>484</v>
      </c>
      <c r="P8749" s="27" t="s">
        <v>13375</v>
      </c>
      <c r="Q8749" s="26" t="str">
        <f>HYPERLINK("https://ictv.global/taxonomy/taxondetails?taxnode_id=202508673&amp;ictv_id=ICTV201908673","ICTV201908673")</f>
        <v>ICTV201908673</v>
      </c>
      <c r="R8749" t="s">
        <v>660</v>
      </c>
      <c r="S8749" t="s">
        <v>824</v>
      </c>
      <c r="T8749">
        <v>41</v>
      </c>
      <c r="U8749" s="26" t="str">
        <f t="shared" si="317"/>
        <v>2025.002G.Monodnaviria_reorg_4nr.zip</v>
      </c>
    </row>
    <row r="8750" spans="1:21">
      <c r="A8750">
        <v>8749</v>
      </c>
      <c r="B8750" s="27" t="s">
        <v>20779</v>
      </c>
      <c r="D8750" s="27" t="s">
        <v>1826</v>
      </c>
      <c r="F8750" s="27" t="s">
        <v>1844</v>
      </c>
      <c r="H8750" s="27" t="s">
        <v>1853</v>
      </c>
      <c r="J8750" s="27" t="s">
        <v>1854</v>
      </c>
      <c r="L8750" s="27" t="s">
        <v>461</v>
      </c>
      <c r="N8750" s="27" t="s">
        <v>13376</v>
      </c>
      <c r="P8750" s="27" t="s">
        <v>13377</v>
      </c>
      <c r="Q8750" s="26" t="str">
        <f>HYPERLINK("https://ictv.global/taxonomy/taxondetails?taxnode_id=202518096&amp;ictv_id=ICTV202318096","ICTV202318096")</f>
        <v>ICTV202318096</v>
      </c>
      <c r="R8750" t="s">
        <v>660</v>
      </c>
      <c r="S8750" t="s">
        <v>824</v>
      </c>
      <c r="T8750">
        <v>41</v>
      </c>
      <c r="U8750" s="26" t="str">
        <f t="shared" si="317"/>
        <v>2025.002G.Monodnaviria_reorg_4nr.zip</v>
      </c>
    </row>
    <row r="8751" spans="1:21">
      <c r="A8751">
        <v>8750</v>
      </c>
      <c r="B8751" s="27" t="s">
        <v>20779</v>
      </c>
      <c r="D8751" s="27" t="s">
        <v>1826</v>
      </c>
      <c r="F8751" s="27" t="s">
        <v>1844</v>
      </c>
      <c r="H8751" s="27" t="s">
        <v>1853</v>
      </c>
      <c r="J8751" s="27" t="s">
        <v>1854</v>
      </c>
      <c r="L8751" s="27" t="s">
        <v>461</v>
      </c>
      <c r="N8751" s="27" t="s">
        <v>13376</v>
      </c>
      <c r="P8751" s="27" t="s">
        <v>13378</v>
      </c>
      <c r="Q8751" s="26" t="str">
        <f>HYPERLINK("https://ictv.global/taxonomy/taxondetails?taxnode_id=202518095&amp;ictv_id=ICTV202318095","ICTV202318095")</f>
        <v>ICTV202318095</v>
      </c>
      <c r="R8751" t="s">
        <v>660</v>
      </c>
      <c r="S8751" t="s">
        <v>824</v>
      </c>
      <c r="T8751">
        <v>41</v>
      </c>
      <c r="U8751" s="26" t="str">
        <f t="shared" si="317"/>
        <v>2025.002G.Monodnaviria_reorg_4nr.zip</v>
      </c>
    </row>
    <row r="8752" spans="1:21">
      <c r="A8752">
        <v>8751</v>
      </c>
      <c r="B8752" s="27" t="s">
        <v>20779</v>
      </c>
      <c r="D8752" s="27" t="s">
        <v>1826</v>
      </c>
      <c r="F8752" s="27" t="s">
        <v>1844</v>
      </c>
      <c r="H8752" s="27" t="s">
        <v>1853</v>
      </c>
      <c r="J8752" s="27" t="s">
        <v>1854</v>
      </c>
      <c r="L8752" s="27" t="s">
        <v>662</v>
      </c>
      <c r="N8752" s="27" t="s">
        <v>663</v>
      </c>
      <c r="P8752" s="27" t="s">
        <v>2437</v>
      </c>
      <c r="Q8752" s="26" t="str">
        <f>HYPERLINK("https://ictv.global/taxonomy/taxondetails?taxnode_id=202508943&amp;ictv_id=ICTV202008943","ICTV202008943")</f>
        <v>ICTV202008943</v>
      </c>
      <c r="R8752" t="s">
        <v>660</v>
      </c>
      <c r="S8752" t="s">
        <v>824</v>
      </c>
      <c r="T8752">
        <v>41</v>
      </c>
      <c r="U8752" s="26" t="str">
        <f t="shared" si="317"/>
        <v>2025.002G.Monodnaviria_reorg_4nr.zip</v>
      </c>
    </row>
    <row r="8753" spans="1:21">
      <c r="A8753">
        <v>8752</v>
      </c>
      <c r="B8753" s="27" t="s">
        <v>20779</v>
      </c>
      <c r="D8753" s="27" t="s">
        <v>1826</v>
      </c>
      <c r="F8753" s="27" t="s">
        <v>1844</v>
      </c>
      <c r="H8753" s="27" t="s">
        <v>1853</v>
      </c>
      <c r="J8753" s="27" t="s">
        <v>1854</v>
      </c>
      <c r="L8753" s="27" t="s">
        <v>662</v>
      </c>
      <c r="N8753" s="27" t="s">
        <v>663</v>
      </c>
      <c r="P8753" s="27" t="s">
        <v>2438</v>
      </c>
      <c r="Q8753" s="26" t="str">
        <f>HYPERLINK("https://ictv.global/taxonomy/taxondetails?taxnode_id=202508968&amp;ictv_id=ICTV202008968","ICTV202008968")</f>
        <v>ICTV202008968</v>
      </c>
      <c r="R8753" t="s">
        <v>660</v>
      </c>
      <c r="S8753" t="s">
        <v>824</v>
      </c>
      <c r="T8753">
        <v>41</v>
      </c>
      <c r="U8753" s="26" t="str">
        <f t="shared" si="317"/>
        <v>2025.002G.Monodnaviria_reorg_4nr.zip</v>
      </c>
    </row>
    <row r="8754" spans="1:21">
      <c r="A8754">
        <v>8753</v>
      </c>
      <c r="B8754" s="27" t="s">
        <v>20779</v>
      </c>
      <c r="D8754" s="27" t="s">
        <v>1826</v>
      </c>
      <c r="F8754" s="27" t="s">
        <v>1844</v>
      </c>
      <c r="H8754" s="27" t="s">
        <v>1853</v>
      </c>
      <c r="J8754" s="27" t="s">
        <v>1854</v>
      </c>
      <c r="L8754" s="27" t="s">
        <v>662</v>
      </c>
      <c r="N8754" s="27" t="s">
        <v>663</v>
      </c>
      <c r="P8754" s="27" t="s">
        <v>2439</v>
      </c>
      <c r="Q8754" s="26" t="str">
        <f>HYPERLINK("https://ictv.global/taxonomy/taxondetails?taxnode_id=202508937&amp;ictv_id=ICTV202008937","ICTV202008937")</f>
        <v>ICTV202008937</v>
      </c>
      <c r="R8754" t="s">
        <v>660</v>
      </c>
      <c r="S8754" t="s">
        <v>824</v>
      </c>
      <c r="T8754">
        <v>41</v>
      </c>
      <c r="U8754" s="26" t="str">
        <f t="shared" si="317"/>
        <v>2025.002G.Monodnaviria_reorg_4nr.zip</v>
      </c>
    </row>
    <row r="8755" spans="1:21">
      <c r="A8755">
        <v>8754</v>
      </c>
      <c r="B8755" s="27" t="s">
        <v>20779</v>
      </c>
      <c r="D8755" s="27" t="s">
        <v>1826</v>
      </c>
      <c r="F8755" s="27" t="s">
        <v>1844</v>
      </c>
      <c r="H8755" s="27" t="s">
        <v>1853</v>
      </c>
      <c r="J8755" s="27" t="s">
        <v>1854</v>
      </c>
      <c r="L8755" s="27" t="s">
        <v>662</v>
      </c>
      <c r="N8755" s="27" t="s">
        <v>663</v>
      </c>
      <c r="P8755" s="27" t="s">
        <v>2440</v>
      </c>
      <c r="Q8755" s="26" t="str">
        <f>HYPERLINK("https://ictv.global/taxonomy/taxondetails?taxnode_id=202508994&amp;ictv_id=ICTV202008994","ICTV202008994")</f>
        <v>ICTV202008994</v>
      </c>
      <c r="R8755" t="s">
        <v>660</v>
      </c>
      <c r="S8755" t="s">
        <v>824</v>
      </c>
      <c r="T8755">
        <v>41</v>
      </c>
      <c r="U8755" s="26" t="str">
        <f t="shared" si="317"/>
        <v>2025.002G.Monodnaviria_reorg_4nr.zip</v>
      </c>
    </row>
    <row r="8756" spans="1:21">
      <c r="A8756">
        <v>8755</v>
      </c>
      <c r="B8756" s="27" t="s">
        <v>20779</v>
      </c>
      <c r="D8756" s="27" t="s">
        <v>1826</v>
      </c>
      <c r="F8756" s="27" t="s">
        <v>1844</v>
      </c>
      <c r="H8756" s="27" t="s">
        <v>1853</v>
      </c>
      <c r="J8756" s="27" t="s">
        <v>1854</v>
      </c>
      <c r="L8756" s="27" t="s">
        <v>662</v>
      </c>
      <c r="N8756" s="27" t="s">
        <v>663</v>
      </c>
      <c r="P8756" s="27" t="s">
        <v>2441</v>
      </c>
      <c r="Q8756" s="26" t="str">
        <f>HYPERLINK("https://ictv.global/taxonomy/taxondetails?taxnode_id=202508938&amp;ictv_id=ICTV202008938","ICTV202008938")</f>
        <v>ICTV202008938</v>
      </c>
      <c r="R8756" t="s">
        <v>660</v>
      </c>
      <c r="S8756" t="s">
        <v>824</v>
      </c>
      <c r="T8756">
        <v>41</v>
      </c>
      <c r="U8756" s="26" t="str">
        <f t="shared" si="317"/>
        <v>2025.002G.Monodnaviria_reorg_4nr.zip</v>
      </c>
    </row>
    <row r="8757" spans="1:21">
      <c r="A8757">
        <v>8756</v>
      </c>
      <c r="B8757" s="27" t="s">
        <v>20779</v>
      </c>
      <c r="D8757" s="27" t="s">
        <v>1826</v>
      </c>
      <c r="F8757" s="27" t="s">
        <v>1844</v>
      </c>
      <c r="H8757" s="27" t="s">
        <v>1853</v>
      </c>
      <c r="J8757" s="27" t="s">
        <v>1854</v>
      </c>
      <c r="L8757" s="27" t="s">
        <v>662</v>
      </c>
      <c r="N8757" s="27" t="s">
        <v>663</v>
      </c>
      <c r="P8757" s="27" t="s">
        <v>2442</v>
      </c>
      <c r="Q8757" s="26" t="str">
        <f>HYPERLINK("https://ictv.global/taxonomy/taxondetails?taxnode_id=202508960&amp;ictv_id=ICTV202008960","ICTV202008960")</f>
        <v>ICTV202008960</v>
      </c>
      <c r="R8757" t="s">
        <v>660</v>
      </c>
      <c r="S8757" t="s">
        <v>824</v>
      </c>
      <c r="T8757">
        <v>41</v>
      </c>
      <c r="U8757" s="26" t="str">
        <f t="shared" si="317"/>
        <v>2025.002G.Monodnaviria_reorg_4nr.zip</v>
      </c>
    </row>
    <row r="8758" spans="1:21">
      <c r="A8758">
        <v>8757</v>
      </c>
      <c r="B8758" s="27" t="s">
        <v>20779</v>
      </c>
      <c r="D8758" s="27" t="s">
        <v>1826</v>
      </c>
      <c r="F8758" s="27" t="s">
        <v>1844</v>
      </c>
      <c r="H8758" s="27" t="s">
        <v>1853</v>
      </c>
      <c r="J8758" s="27" t="s">
        <v>1854</v>
      </c>
      <c r="L8758" s="27" t="s">
        <v>662</v>
      </c>
      <c r="N8758" s="27" t="s">
        <v>663</v>
      </c>
      <c r="P8758" s="27" t="s">
        <v>2443</v>
      </c>
      <c r="Q8758" s="26" t="str">
        <f>HYPERLINK("https://ictv.global/taxonomy/taxondetails?taxnode_id=202508961&amp;ictv_id=ICTV202008961","ICTV202008961")</f>
        <v>ICTV202008961</v>
      </c>
      <c r="R8758" t="s">
        <v>660</v>
      </c>
      <c r="S8758" t="s">
        <v>824</v>
      </c>
      <c r="T8758">
        <v>41</v>
      </c>
      <c r="U8758" s="26" t="str">
        <f t="shared" si="317"/>
        <v>2025.002G.Monodnaviria_reorg_4nr.zip</v>
      </c>
    </row>
    <row r="8759" spans="1:21">
      <c r="A8759">
        <v>8758</v>
      </c>
      <c r="B8759" s="27" t="s">
        <v>20779</v>
      </c>
      <c r="D8759" s="27" t="s">
        <v>1826</v>
      </c>
      <c r="F8759" s="27" t="s">
        <v>1844</v>
      </c>
      <c r="H8759" s="27" t="s">
        <v>1853</v>
      </c>
      <c r="J8759" s="27" t="s">
        <v>1854</v>
      </c>
      <c r="L8759" s="27" t="s">
        <v>662</v>
      </c>
      <c r="N8759" s="27" t="s">
        <v>663</v>
      </c>
      <c r="P8759" s="27" t="s">
        <v>2444</v>
      </c>
      <c r="Q8759" s="26" t="str">
        <f>HYPERLINK("https://ictv.global/taxonomy/taxondetails?taxnode_id=202508999&amp;ictv_id=ICTV202008999","ICTV202008999")</f>
        <v>ICTV202008999</v>
      </c>
      <c r="R8759" t="s">
        <v>660</v>
      </c>
      <c r="S8759" t="s">
        <v>824</v>
      </c>
      <c r="T8759">
        <v>41</v>
      </c>
      <c r="U8759" s="26" t="str">
        <f t="shared" si="317"/>
        <v>2025.002G.Monodnaviria_reorg_4nr.zip</v>
      </c>
    </row>
    <row r="8760" spans="1:21">
      <c r="A8760">
        <v>8759</v>
      </c>
      <c r="B8760" s="27" t="s">
        <v>20779</v>
      </c>
      <c r="D8760" s="27" t="s">
        <v>1826</v>
      </c>
      <c r="F8760" s="27" t="s">
        <v>1844</v>
      </c>
      <c r="H8760" s="27" t="s">
        <v>1853</v>
      </c>
      <c r="J8760" s="27" t="s">
        <v>1854</v>
      </c>
      <c r="L8760" s="27" t="s">
        <v>662</v>
      </c>
      <c r="N8760" s="27" t="s">
        <v>663</v>
      </c>
      <c r="P8760" s="27" t="s">
        <v>2445</v>
      </c>
      <c r="Q8760" s="26" t="str">
        <f>HYPERLINK("https://ictv.global/taxonomy/taxondetails?taxnode_id=202508987&amp;ictv_id=ICTV202008987","ICTV202008987")</f>
        <v>ICTV202008987</v>
      </c>
      <c r="R8760" t="s">
        <v>660</v>
      </c>
      <c r="S8760" t="s">
        <v>824</v>
      </c>
      <c r="T8760">
        <v>41</v>
      </c>
      <c r="U8760" s="26" t="str">
        <f t="shared" si="317"/>
        <v>2025.002G.Monodnaviria_reorg_4nr.zip</v>
      </c>
    </row>
    <row r="8761" spans="1:21">
      <c r="A8761">
        <v>8760</v>
      </c>
      <c r="B8761" s="27" t="s">
        <v>20779</v>
      </c>
      <c r="D8761" s="27" t="s">
        <v>1826</v>
      </c>
      <c r="F8761" s="27" t="s">
        <v>1844</v>
      </c>
      <c r="H8761" s="27" t="s">
        <v>1853</v>
      </c>
      <c r="J8761" s="27" t="s">
        <v>1854</v>
      </c>
      <c r="L8761" s="27" t="s">
        <v>662</v>
      </c>
      <c r="N8761" s="27" t="s">
        <v>663</v>
      </c>
      <c r="P8761" s="27" t="s">
        <v>2446</v>
      </c>
      <c r="Q8761" s="26" t="str">
        <f>HYPERLINK("https://ictv.global/taxonomy/taxondetails?taxnode_id=202509011&amp;ictv_id=ICTV202009011","ICTV202009011")</f>
        <v>ICTV202009011</v>
      </c>
      <c r="R8761" t="s">
        <v>660</v>
      </c>
      <c r="S8761" t="s">
        <v>824</v>
      </c>
      <c r="T8761">
        <v>41</v>
      </c>
      <c r="U8761" s="26" t="str">
        <f t="shared" si="317"/>
        <v>2025.002G.Monodnaviria_reorg_4nr.zip</v>
      </c>
    </row>
    <row r="8762" spans="1:21">
      <c r="A8762">
        <v>8761</v>
      </c>
      <c r="B8762" s="27" t="s">
        <v>20779</v>
      </c>
      <c r="D8762" s="27" t="s">
        <v>1826</v>
      </c>
      <c r="F8762" s="27" t="s">
        <v>1844</v>
      </c>
      <c r="H8762" s="27" t="s">
        <v>1853</v>
      </c>
      <c r="J8762" s="27" t="s">
        <v>1854</v>
      </c>
      <c r="L8762" s="27" t="s">
        <v>662</v>
      </c>
      <c r="N8762" s="27" t="s">
        <v>663</v>
      </c>
      <c r="P8762" s="27" t="s">
        <v>2447</v>
      </c>
      <c r="Q8762" s="26" t="str">
        <f>HYPERLINK("https://ictv.global/taxonomy/taxondetails?taxnode_id=202508942&amp;ictv_id=ICTV202008942","ICTV202008942")</f>
        <v>ICTV202008942</v>
      </c>
      <c r="R8762" t="s">
        <v>660</v>
      </c>
      <c r="S8762" t="s">
        <v>824</v>
      </c>
      <c r="T8762">
        <v>41</v>
      </c>
      <c r="U8762" s="26" t="str">
        <f t="shared" si="317"/>
        <v>2025.002G.Monodnaviria_reorg_4nr.zip</v>
      </c>
    </row>
    <row r="8763" spans="1:21">
      <c r="A8763">
        <v>8762</v>
      </c>
      <c r="B8763" s="27" t="s">
        <v>20779</v>
      </c>
      <c r="D8763" s="27" t="s">
        <v>1826</v>
      </c>
      <c r="F8763" s="27" t="s">
        <v>1844</v>
      </c>
      <c r="H8763" s="27" t="s">
        <v>1853</v>
      </c>
      <c r="J8763" s="27" t="s">
        <v>1854</v>
      </c>
      <c r="L8763" s="27" t="s">
        <v>662</v>
      </c>
      <c r="N8763" s="27" t="s">
        <v>663</v>
      </c>
      <c r="P8763" s="27" t="s">
        <v>2448</v>
      </c>
      <c r="Q8763" s="26" t="str">
        <f>HYPERLINK("https://ictv.global/taxonomy/taxondetails?taxnode_id=202508973&amp;ictv_id=ICTV202008973","ICTV202008973")</f>
        <v>ICTV202008973</v>
      </c>
      <c r="R8763" t="s">
        <v>660</v>
      </c>
      <c r="S8763" t="s">
        <v>824</v>
      </c>
      <c r="T8763">
        <v>41</v>
      </c>
      <c r="U8763" s="26" t="str">
        <f t="shared" si="317"/>
        <v>2025.002G.Monodnaviria_reorg_4nr.zip</v>
      </c>
    </row>
    <row r="8764" spans="1:21">
      <c r="A8764">
        <v>8763</v>
      </c>
      <c r="B8764" s="27" t="s">
        <v>20779</v>
      </c>
      <c r="D8764" s="27" t="s">
        <v>1826</v>
      </c>
      <c r="F8764" s="27" t="s">
        <v>1844</v>
      </c>
      <c r="H8764" s="27" t="s">
        <v>1853</v>
      </c>
      <c r="J8764" s="27" t="s">
        <v>1854</v>
      </c>
      <c r="L8764" s="27" t="s">
        <v>662</v>
      </c>
      <c r="N8764" s="27" t="s">
        <v>663</v>
      </c>
      <c r="P8764" s="27" t="s">
        <v>2449</v>
      </c>
      <c r="Q8764" s="26" t="str">
        <f>HYPERLINK("https://ictv.global/taxonomy/taxondetails?taxnode_id=202503553&amp;ictv_id=ICTV20165312","ICTV20165312")</f>
        <v>ICTV20165312</v>
      </c>
      <c r="R8764" t="s">
        <v>660</v>
      </c>
      <c r="S8764" t="s">
        <v>824</v>
      </c>
      <c r="T8764">
        <v>41</v>
      </c>
      <c r="U8764" s="26" t="str">
        <f t="shared" si="317"/>
        <v>2025.002G.Monodnaviria_reorg_4nr.zip</v>
      </c>
    </row>
    <row r="8765" spans="1:21">
      <c r="A8765">
        <v>8764</v>
      </c>
      <c r="B8765" s="27" t="s">
        <v>20779</v>
      </c>
      <c r="D8765" s="27" t="s">
        <v>1826</v>
      </c>
      <c r="F8765" s="27" t="s">
        <v>1844</v>
      </c>
      <c r="H8765" s="27" t="s">
        <v>1853</v>
      </c>
      <c r="J8765" s="27" t="s">
        <v>1854</v>
      </c>
      <c r="L8765" s="27" t="s">
        <v>662</v>
      </c>
      <c r="N8765" s="27" t="s">
        <v>663</v>
      </c>
      <c r="P8765" s="27" t="s">
        <v>2450</v>
      </c>
      <c r="Q8765" s="26" t="str">
        <f>HYPERLINK("https://ictv.global/taxonomy/taxondetails?taxnode_id=202503554&amp;ictv_id=ICTV20165313","ICTV20165313")</f>
        <v>ICTV20165313</v>
      </c>
      <c r="R8765" t="s">
        <v>660</v>
      </c>
      <c r="S8765" t="s">
        <v>824</v>
      </c>
      <c r="T8765">
        <v>41</v>
      </c>
      <c r="U8765" s="26" t="str">
        <f t="shared" si="317"/>
        <v>2025.002G.Monodnaviria_reorg_4nr.zip</v>
      </c>
    </row>
    <row r="8766" spans="1:21">
      <c r="A8766">
        <v>8765</v>
      </c>
      <c r="B8766" s="27" t="s">
        <v>20779</v>
      </c>
      <c r="D8766" s="27" t="s">
        <v>1826</v>
      </c>
      <c r="F8766" s="27" t="s">
        <v>1844</v>
      </c>
      <c r="H8766" s="27" t="s">
        <v>1853</v>
      </c>
      <c r="J8766" s="27" t="s">
        <v>1854</v>
      </c>
      <c r="L8766" s="27" t="s">
        <v>662</v>
      </c>
      <c r="N8766" s="27" t="s">
        <v>663</v>
      </c>
      <c r="P8766" s="27" t="s">
        <v>2451</v>
      </c>
      <c r="Q8766" s="26" t="str">
        <f>HYPERLINK("https://ictv.global/taxonomy/taxondetails?taxnode_id=202503555&amp;ictv_id=ICTV20165314","ICTV20165314")</f>
        <v>ICTV20165314</v>
      </c>
      <c r="R8766" t="s">
        <v>660</v>
      </c>
      <c r="S8766" t="s">
        <v>824</v>
      </c>
      <c r="T8766">
        <v>41</v>
      </c>
      <c r="U8766" s="26" t="str">
        <f t="shared" si="317"/>
        <v>2025.002G.Monodnaviria_reorg_4nr.zip</v>
      </c>
    </row>
    <row r="8767" spans="1:21">
      <c r="A8767">
        <v>8766</v>
      </c>
      <c r="B8767" s="27" t="s">
        <v>20779</v>
      </c>
      <c r="D8767" s="27" t="s">
        <v>1826</v>
      </c>
      <c r="F8767" s="27" t="s">
        <v>1844</v>
      </c>
      <c r="H8767" s="27" t="s">
        <v>1853</v>
      </c>
      <c r="J8767" s="27" t="s">
        <v>1854</v>
      </c>
      <c r="L8767" s="27" t="s">
        <v>662</v>
      </c>
      <c r="N8767" s="27" t="s">
        <v>663</v>
      </c>
      <c r="P8767" s="27" t="s">
        <v>2452</v>
      </c>
      <c r="Q8767" s="26" t="str">
        <f>HYPERLINK("https://ictv.global/taxonomy/taxondetails?taxnode_id=202508984&amp;ictv_id=ICTV202008984","ICTV202008984")</f>
        <v>ICTV202008984</v>
      </c>
      <c r="R8767" t="s">
        <v>660</v>
      </c>
      <c r="S8767" t="s">
        <v>824</v>
      </c>
      <c r="T8767">
        <v>41</v>
      </c>
      <c r="U8767" s="26" t="str">
        <f t="shared" si="317"/>
        <v>2025.002G.Monodnaviria_reorg_4nr.zip</v>
      </c>
    </row>
    <row r="8768" spans="1:21">
      <c r="A8768">
        <v>8767</v>
      </c>
      <c r="B8768" s="27" t="s">
        <v>20779</v>
      </c>
      <c r="D8768" s="27" t="s">
        <v>1826</v>
      </c>
      <c r="F8768" s="27" t="s">
        <v>1844</v>
      </c>
      <c r="H8768" s="27" t="s">
        <v>1853</v>
      </c>
      <c r="J8768" s="27" t="s">
        <v>1854</v>
      </c>
      <c r="L8768" s="27" t="s">
        <v>662</v>
      </c>
      <c r="N8768" s="27" t="s">
        <v>663</v>
      </c>
      <c r="P8768" s="27" t="s">
        <v>2453</v>
      </c>
      <c r="Q8768" s="26" t="str">
        <f>HYPERLINK("https://ictv.global/taxonomy/taxondetails?taxnode_id=202503556&amp;ictv_id=ICTV20165315","ICTV20165315")</f>
        <v>ICTV20165315</v>
      </c>
      <c r="R8768" t="s">
        <v>660</v>
      </c>
      <c r="S8768" t="s">
        <v>824</v>
      </c>
      <c r="T8768">
        <v>41</v>
      </c>
      <c r="U8768" s="26" t="str">
        <f t="shared" si="317"/>
        <v>2025.002G.Monodnaviria_reorg_4nr.zip</v>
      </c>
    </row>
    <row r="8769" spans="1:21">
      <c r="A8769">
        <v>8768</v>
      </c>
      <c r="B8769" s="27" t="s">
        <v>20779</v>
      </c>
      <c r="D8769" s="27" t="s">
        <v>1826</v>
      </c>
      <c r="F8769" s="27" t="s">
        <v>1844</v>
      </c>
      <c r="H8769" s="27" t="s">
        <v>1853</v>
      </c>
      <c r="J8769" s="27" t="s">
        <v>1854</v>
      </c>
      <c r="L8769" s="27" t="s">
        <v>662</v>
      </c>
      <c r="N8769" s="27" t="s">
        <v>663</v>
      </c>
      <c r="P8769" s="27" t="s">
        <v>2454</v>
      </c>
      <c r="Q8769" s="26" t="str">
        <f>HYPERLINK("https://ictv.global/taxonomy/taxondetails?taxnode_id=202503558&amp;ictv_id=ICTV20165317","ICTV20165317")</f>
        <v>ICTV20165317</v>
      </c>
      <c r="R8769" t="s">
        <v>660</v>
      </c>
      <c r="S8769" t="s">
        <v>824</v>
      </c>
      <c r="T8769">
        <v>41</v>
      </c>
      <c r="U8769" s="26" t="str">
        <f t="shared" si="317"/>
        <v>2025.002G.Monodnaviria_reorg_4nr.zip</v>
      </c>
    </row>
    <row r="8770" spans="1:21">
      <c r="A8770">
        <v>8769</v>
      </c>
      <c r="B8770" s="27" t="s">
        <v>20779</v>
      </c>
      <c r="D8770" s="27" t="s">
        <v>1826</v>
      </c>
      <c r="F8770" s="27" t="s">
        <v>1844</v>
      </c>
      <c r="H8770" s="27" t="s">
        <v>1853</v>
      </c>
      <c r="J8770" s="27" t="s">
        <v>1854</v>
      </c>
      <c r="L8770" s="27" t="s">
        <v>662</v>
      </c>
      <c r="N8770" s="27" t="s">
        <v>663</v>
      </c>
      <c r="P8770" s="27" t="s">
        <v>2455</v>
      </c>
      <c r="Q8770" s="26" t="str">
        <f>HYPERLINK("https://ictv.global/taxonomy/taxondetails?taxnode_id=202503559&amp;ictv_id=ICTV20165318","ICTV20165318")</f>
        <v>ICTV20165318</v>
      </c>
      <c r="R8770" t="s">
        <v>660</v>
      </c>
      <c r="S8770" t="s">
        <v>824</v>
      </c>
      <c r="T8770">
        <v>41</v>
      </c>
      <c r="U8770" s="26" t="str">
        <f t="shared" si="317"/>
        <v>2025.002G.Monodnaviria_reorg_4nr.zip</v>
      </c>
    </row>
    <row r="8771" spans="1:21">
      <c r="A8771">
        <v>8770</v>
      </c>
      <c r="B8771" s="27" t="s">
        <v>20779</v>
      </c>
      <c r="D8771" s="27" t="s">
        <v>1826</v>
      </c>
      <c r="F8771" s="27" t="s">
        <v>1844</v>
      </c>
      <c r="H8771" s="27" t="s">
        <v>1853</v>
      </c>
      <c r="J8771" s="27" t="s">
        <v>1854</v>
      </c>
      <c r="L8771" s="27" t="s">
        <v>662</v>
      </c>
      <c r="N8771" s="27" t="s">
        <v>663</v>
      </c>
      <c r="P8771" s="27" t="s">
        <v>2456</v>
      </c>
      <c r="Q8771" s="26" t="str">
        <f>HYPERLINK("https://ictv.global/taxonomy/taxondetails?taxnode_id=202503557&amp;ictv_id=ICTV20165316","ICTV20165316")</f>
        <v>ICTV20165316</v>
      </c>
      <c r="R8771" t="s">
        <v>660</v>
      </c>
      <c r="S8771" t="s">
        <v>824</v>
      </c>
      <c r="T8771">
        <v>41</v>
      </c>
      <c r="U8771" s="26" t="str">
        <f t="shared" si="317"/>
        <v>2025.002G.Monodnaviria_reorg_4nr.zip</v>
      </c>
    </row>
    <row r="8772" spans="1:21">
      <c r="A8772">
        <v>8771</v>
      </c>
      <c r="B8772" s="27" t="s">
        <v>20779</v>
      </c>
      <c r="D8772" s="27" t="s">
        <v>1826</v>
      </c>
      <c r="F8772" s="27" t="s">
        <v>1844</v>
      </c>
      <c r="H8772" s="27" t="s">
        <v>1853</v>
      </c>
      <c r="J8772" s="27" t="s">
        <v>1854</v>
      </c>
      <c r="L8772" s="27" t="s">
        <v>662</v>
      </c>
      <c r="N8772" s="27" t="s">
        <v>663</v>
      </c>
      <c r="P8772" s="27" t="s">
        <v>2457</v>
      </c>
      <c r="Q8772" s="26" t="str">
        <f>HYPERLINK("https://ictv.global/taxonomy/taxondetails?taxnode_id=202508971&amp;ictv_id=ICTV202008971","ICTV202008971")</f>
        <v>ICTV202008971</v>
      </c>
      <c r="R8772" t="s">
        <v>660</v>
      </c>
      <c r="S8772" t="s">
        <v>824</v>
      </c>
      <c r="T8772">
        <v>41</v>
      </c>
      <c r="U8772" s="26" t="str">
        <f t="shared" si="317"/>
        <v>2025.002G.Monodnaviria_reorg_4nr.zip</v>
      </c>
    </row>
    <row r="8773" spans="1:21">
      <c r="A8773">
        <v>8772</v>
      </c>
      <c r="B8773" s="27" t="s">
        <v>20779</v>
      </c>
      <c r="D8773" s="27" t="s">
        <v>1826</v>
      </c>
      <c r="F8773" s="27" t="s">
        <v>1844</v>
      </c>
      <c r="H8773" s="27" t="s">
        <v>1853</v>
      </c>
      <c r="J8773" s="27" t="s">
        <v>1854</v>
      </c>
      <c r="L8773" s="27" t="s">
        <v>662</v>
      </c>
      <c r="N8773" s="27" t="s">
        <v>663</v>
      </c>
      <c r="P8773" s="27" t="s">
        <v>2458</v>
      </c>
      <c r="Q8773" s="26" t="str">
        <f>HYPERLINK("https://ictv.global/taxonomy/taxondetails?taxnode_id=202508964&amp;ictv_id=ICTV202008964","ICTV202008964")</f>
        <v>ICTV202008964</v>
      </c>
      <c r="R8773" t="s">
        <v>660</v>
      </c>
      <c r="S8773" t="s">
        <v>824</v>
      </c>
      <c r="T8773">
        <v>41</v>
      </c>
      <c r="U8773" s="26" t="str">
        <f t="shared" si="317"/>
        <v>2025.002G.Monodnaviria_reorg_4nr.zip</v>
      </c>
    </row>
    <row r="8774" spans="1:21">
      <c r="A8774">
        <v>8773</v>
      </c>
      <c r="B8774" s="27" t="s">
        <v>20779</v>
      </c>
      <c r="D8774" s="27" t="s">
        <v>1826</v>
      </c>
      <c r="F8774" s="27" t="s">
        <v>1844</v>
      </c>
      <c r="H8774" s="27" t="s">
        <v>1853</v>
      </c>
      <c r="J8774" s="27" t="s">
        <v>1854</v>
      </c>
      <c r="L8774" s="27" t="s">
        <v>662</v>
      </c>
      <c r="N8774" s="27" t="s">
        <v>663</v>
      </c>
      <c r="P8774" s="27" t="s">
        <v>2459</v>
      </c>
      <c r="Q8774" s="26" t="str">
        <f>HYPERLINK("https://ictv.global/taxonomy/taxondetails?taxnode_id=202509012&amp;ictv_id=ICTV202009012","ICTV202009012")</f>
        <v>ICTV202009012</v>
      </c>
      <c r="R8774" t="s">
        <v>660</v>
      </c>
      <c r="S8774" t="s">
        <v>824</v>
      </c>
      <c r="T8774">
        <v>41</v>
      </c>
      <c r="U8774" s="26" t="str">
        <f t="shared" si="317"/>
        <v>2025.002G.Monodnaviria_reorg_4nr.zip</v>
      </c>
    </row>
    <row r="8775" spans="1:21">
      <c r="A8775">
        <v>8774</v>
      </c>
      <c r="B8775" s="27" t="s">
        <v>20779</v>
      </c>
      <c r="D8775" s="27" t="s">
        <v>1826</v>
      </c>
      <c r="F8775" s="27" t="s">
        <v>1844</v>
      </c>
      <c r="H8775" s="27" t="s">
        <v>1853</v>
      </c>
      <c r="J8775" s="27" t="s">
        <v>1854</v>
      </c>
      <c r="L8775" s="27" t="s">
        <v>662</v>
      </c>
      <c r="N8775" s="27" t="s">
        <v>663</v>
      </c>
      <c r="P8775" s="27" t="s">
        <v>2460</v>
      </c>
      <c r="Q8775" s="26" t="str">
        <f>HYPERLINK("https://ictv.global/taxonomy/taxondetails?taxnode_id=202509013&amp;ictv_id=ICTV202009013","ICTV202009013")</f>
        <v>ICTV202009013</v>
      </c>
      <c r="R8775" t="s">
        <v>660</v>
      </c>
      <c r="S8775" t="s">
        <v>824</v>
      </c>
      <c r="T8775">
        <v>41</v>
      </c>
      <c r="U8775" s="26" t="str">
        <f t="shared" si="317"/>
        <v>2025.002G.Monodnaviria_reorg_4nr.zip</v>
      </c>
    </row>
    <row r="8776" spans="1:21">
      <c r="A8776">
        <v>8775</v>
      </c>
      <c r="B8776" s="27" t="s">
        <v>20779</v>
      </c>
      <c r="D8776" s="27" t="s">
        <v>1826</v>
      </c>
      <c r="F8776" s="27" t="s">
        <v>1844</v>
      </c>
      <c r="H8776" s="27" t="s">
        <v>1853</v>
      </c>
      <c r="J8776" s="27" t="s">
        <v>1854</v>
      </c>
      <c r="L8776" s="27" t="s">
        <v>662</v>
      </c>
      <c r="N8776" s="27" t="s">
        <v>663</v>
      </c>
      <c r="P8776" s="27" t="s">
        <v>2461</v>
      </c>
      <c r="Q8776" s="26" t="str">
        <f>HYPERLINK("https://ictv.global/taxonomy/taxondetails?taxnode_id=202509014&amp;ictv_id=ICTV202009014","ICTV202009014")</f>
        <v>ICTV202009014</v>
      </c>
      <c r="R8776" t="s">
        <v>660</v>
      </c>
      <c r="S8776" t="s">
        <v>824</v>
      </c>
      <c r="T8776">
        <v>41</v>
      </c>
      <c r="U8776" s="26" t="str">
        <f t="shared" si="317"/>
        <v>2025.002G.Monodnaviria_reorg_4nr.zip</v>
      </c>
    </row>
    <row r="8777" spans="1:21">
      <c r="A8777">
        <v>8776</v>
      </c>
      <c r="B8777" s="27" t="s">
        <v>20779</v>
      </c>
      <c r="D8777" s="27" t="s">
        <v>1826</v>
      </c>
      <c r="F8777" s="27" t="s">
        <v>1844</v>
      </c>
      <c r="H8777" s="27" t="s">
        <v>1853</v>
      </c>
      <c r="J8777" s="27" t="s">
        <v>1854</v>
      </c>
      <c r="L8777" s="27" t="s">
        <v>662</v>
      </c>
      <c r="N8777" s="27" t="s">
        <v>663</v>
      </c>
      <c r="P8777" s="27" t="s">
        <v>2462</v>
      </c>
      <c r="Q8777" s="26" t="str">
        <f>HYPERLINK("https://ictv.global/taxonomy/taxondetails?taxnode_id=202509017&amp;ictv_id=ICTV202009017","ICTV202009017")</f>
        <v>ICTV202009017</v>
      </c>
      <c r="R8777" t="s">
        <v>660</v>
      </c>
      <c r="S8777" t="s">
        <v>824</v>
      </c>
      <c r="T8777">
        <v>41</v>
      </c>
      <c r="U8777" s="26" t="str">
        <f t="shared" si="317"/>
        <v>2025.002G.Monodnaviria_reorg_4nr.zip</v>
      </c>
    </row>
    <row r="8778" spans="1:21">
      <c r="A8778">
        <v>8777</v>
      </c>
      <c r="B8778" s="27" t="s">
        <v>20779</v>
      </c>
      <c r="D8778" s="27" t="s">
        <v>1826</v>
      </c>
      <c r="F8778" s="27" t="s">
        <v>1844</v>
      </c>
      <c r="H8778" s="27" t="s">
        <v>1853</v>
      </c>
      <c r="J8778" s="27" t="s">
        <v>1854</v>
      </c>
      <c r="L8778" s="27" t="s">
        <v>662</v>
      </c>
      <c r="N8778" s="27" t="s">
        <v>663</v>
      </c>
      <c r="P8778" s="27" t="s">
        <v>2463</v>
      </c>
      <c r="Q8778" s="26" t="str">
        <f>HYPERLINK("https://ictv.global/taxonomy/taxondetails?taxnode_id=202508977&amp;ictv_id=ICTV202008977","ICTV202008977")</f>
        <v>ICTV202008977</v>
      </c>
      <c r="R8778" t="s">
        <v>660</v>
      </c>
      <c r="S8778" t="s">
        <v>824</v>
      </c>
      <c r="T8778">
        <v>41</v>
      </c>
      <c r="U8778" s="26" t="str">
        <f t="shared" si="317"/>
        <v>2025.002G.Monodnaviria_reorg_4nr.zip</v>
      </c>
    </row>
    <row r="8779" spans="1:21">
      <c r="A8779">
        <v>8778</v>
      </c>
      <c r="B8779" s="27" t="s">
        <v>20779</v>
      </c>
      <c r="D8779" s="27" t="s">
        <v>1826</v>
      </c>
      <c r="F8779" s="27" t="s">
        <v>1844</v>
      </c>
      <c r="H8779" s="27" t="s">
        <v>1853</v>
      </c>
      <c r="J8779" s="27" t="s">
        <v>1854</v>
      </c>
      <c r="L8779" s="27" t="s">
        <v>662</v>
      </c>
      <c r="N8779" s="27" t="s">
        <v>663</v>
      </c>
      <c r="P8779" s="27" t="s">
        <v>2464</v>
      </c>
      <c r="Q8779" s="26" t="str">
        <f>HYPERLINK("https://ictv.global/taxonomy/taxondetails?taxnode_id=202508980&amp;ictv_id=ICTV202008980","ICTV202008980")</f>
        <v>ICTV202008980</v>
      </c>
      <c r="R8779" t="s">
        <v>660</v>
      </c>
      <c r="S8779" t="s">
        <v>824</v>
      </c>
      <c r="T8779">
        <v>41</v>
      </c>
      <c r="U8779" s="26" t="str">
        <f t="shared" si="317"/>
        <v>2025.002G.Monodnaviria_reorg_4nr.zip</v>
      </c>
    </row>
    <row r="8780" spans="1:21">
      <c r="A8780">
        <v>8779</v>
      </c>
      <c r="B8780" s="27" t="s">
        <v>20779</v>
      </c>
      <c r="D8780" s="27" t="s">
        <v>1826</v>
      </c>
      <c r="F8780" s="27" t="s">
        <v>1844</v>
      </c>
      <c r="H8780" s="27" t="s">
        <v>1853</v>
      </c>
      <c r="J8780" s="27" t="s">
        <v>1854</v>
      </c>
      <c r="L8780" s="27" t="s">
        <v>662</v>
      </c>
      <c r="N8780" s="27" t="s">
        <v>663</v>
      </c>
      <c r="P8780" s="27" t="s">
        <v>2465</v>
      </c>
      <c r="Q8780" s="26" t="str">
        <f>HYPERLINK("https://ictv.global/taxonomy/taxondetails?taxnode_id=202508955&amp;ictv_id=ICTV202008955","ICTV202008955")</f>
        <v>ICTV202008955</v>
      </c>
      <c r="R8780" t="s">
        <v>660</v>
      </c>
      <c r="S8780" t="s">
        <v>824</v>
      </c>
      <c r="T8780">
        <v>41</v>
      </c>
      <c r="U8780" s="26" t="str">
        <f t="shared" si="317"/>
        <v>2025.002G.Monodnaviria_reorg_4nr.zip</v>
      </c>
    </row>
    <row r="8781" spans="1:21">
      <c r="A8781">
        <v>8780</v>
      </c>
      <c r="B8781" s="27" t="s">
        <v>20779</v>
      </c>
      <c r="D8781" s="27" t="s">
        <v>1826</v>
      </c>
      <c r="F8781" s="27" t="s">
        <v>1844</v>
      </c>
      <c r="H8781" s="27" t="s">
        <v>1853</v>
      </c>
      <c r="J8781" s="27" t="s">
        <v>1854</v>
      </c>
      <c r="L8781" s="27" t="s">
        <v>662</v>
      </c>
      <c r="N8781" s="27" t="s">
        <v>663</v>
      </c>
      <c r="P8781" s="27" t="s">
        <v>2466</v>
      </c>
      <c r="Q8781" s="26" t="str">
        <f>HYPERLINK("https://ictv.global/taxonomy/taxondetails?taxnode_id=202503560&amp;ictv_id=ICTV20165319","ICTV20165319")</f>
        <v>ICTV20165319</v>
      </c>
      <c r="R8781" t="s">
        <v>660</v>
      </c>
      <c r="S8781" t="s">
        <v>824</v>
      </c>
      <c r="T8781">
        <v>41</v>
      </c>
      <c r="U8781" s="26" t="str">
        <f t="shared" si="317"/>
        <v>2025.002G.Monodnaviria_reorg_4nr.zip</v>
      </c>
    </row>
    <row r="8782" spans="1:21">
      <c r="A8782">
        <v>8781</v>
      </c>
      <c r="B8782" s="27" t="s">
        <v>20779</v>
      </c>
      <c r="D8782" s="27" t="s">
        <v>1826</v>
      </c>
      <c r="F8782" s="27" t="s">
        <v>1844</v>
      </c>
      <c r="H8782" s="27" t="s">
        <v>1853</v>
      </c>
      <c r="J8782" s="27" t="s">
        <v>1854</v>
      </c>
      <c r="L8782" s="27" t="s">
        <v>662</v>
      </c>
      <c r="N8782" s="27" t="s">
        <v>663</v>
      </c>
      <c r="P8782" s="27" t="s">
        <v>2467</v>
      </c>
      <c r="Q8782" s="26" t="str">
        <f>HYPERLINK("https://ictv.global/taxonomy/taxondetails?taxnode_id=202508990&amp;ictv_id=ICTV202008990","ICTV202008990")</f>
        <v>ICTV202008990</v>
      </c>
      <c r="R8782" t="s">
        <v>660</v>
      </c>
      <c r="S8782" t="s">
        <v>824</v>
      </c>
      <c r="T8782">
        <v>41</v>
      </c>
      <c r="U8782" s="26" t="str">
        <f t="shared" si="317"/>
        <v>2025.002G.Monodnaviria_reorg_4nr.zip</v>
      </c>
    </row>
    <row r="8783" spans="1:21">
      <c r="A8783">
        <v>8782</v>
      </c>
      <c r="B8783" s="27" t="s">
        <v>20779</v>
      </c>
      <c r="D8783" s="27" t="s">
        <v>1826</v>
      </c>
      <c r="F8783" s="27" t="s">
        <v>1844</v>
      </c>
      <c r="H8783" s="27" t="s">
        <v>1853</v>
      </c>
      <c r="J8783" s="27" t="s">
        <v>1854</v>
      </c>
      <c r="L8783" s="27" t="s">
        <v>662</v>
      </c>
      <c r="N8783" s="27" t="s">
        <v>663</v>
      </c>
      <c r="P8783" s="27" t="s">
        <v>2468</v>
      </c>
      <c r="Q8783" s="26" t="str">
        <f>HYPERLINK("https://ictv.global/taxonomy/taxondetails?taxnode_id=202503561&amp;ictv_id=ICTV20165320","ICTV20165320")</f>
        <v>ICTV20165320</v>
      </c>
      <c r="R8783" t="s">
        <v>660</v>
      </c>
      <c r="S8783" t="s">
        <v>824</v>
      </c>
      <c r="T8783">
        <v>41</v>
      </c>
      <c r="U8783" s="26" t="str">
        <f t="shared" si="317"/>
        <v>2025.002G.Monodnaviria_reorg_4nr.zip</v>
      </c>
    </row>
    <row r="8784" spans="1:21">
      <c r="A8784">
        <v>8783</v>
      </c>
      <c r="B8784" s="27" t="s">
        <v>20779</v>
      </c>
      <c r="D8784" s="27" t="s">
        <v>1826</v>
      </c>
      <c r="F8784" s="27" t="s">
        <v>1844</v>
      </c>
      <c r="H8784" s="27" t="s">
        <v>1853</v>
      </c>
      <c r="J8784" s="27" t="s">
        <v>1854</v>
      </c>
      <c r="L8784" s="27" t="s">
        <v>662</v>
      </c>
      <c r="N8784" s="27" t="s">
        <v>663</v>
      </c>
      <c r="P8784" s="27" t="s">
        <v>2469</v>
      </c>
      <c r="Q8784" s="26" t="str">
        <f>HYPERLINK("https://ictv.global/taxonomy/taxondetails?taxnode_id=202508959&amp;ictv_id=ICTV202008959","ICTV202008959")</f>
        <v>ICTV202008959</v>
      </c>
      <c r="R8784" t="s">
        <v>660</v>
      </c>
      <c r="S8784" t="s">
        <v>824</v>
      </c>
      <c r="T8784">
        <v>41</v>
      </c>
      <c r="U8784" s="26" t="str">
        <f t="shared" si="317"/>
        <v>2025.002G.Monodnaviria_reorg_4nr.zip</v>
      </c>
    </row>
    <row r="8785" spans="1:21">
      <c r="A8785">
        <v>8784</v>
      </c>
      <c r="B8785" s="27" t="s">
        <v>20779</v>
      </c>
      <c r="D8785" s="27" t="s">
        <v>1826</v>
      </c>
      <c r="F8785" s="27" t="s">
        <v>1844</v>
      </c>
      <c r="H8785" s="27" t="s">
        <v>1853</v>
      </c>
      <c r="J8785" s="27" t="s">
        <v>1854</v>
      </c>
      <c r="L8785" s="27" t="s">
        <v>662</v>
      </c>
      <c r="N8785" s="27" t="s">
        <v>663</v>
      </c>
      <c r="P8785" s="27" t="s">
        <v>2470</v>
      </c>
      <c r="Q8785" s="26" t="str">
        <f>HYPERLINK("https://ictv.global/taxonomy/taxondetails?taxnode_id=202508970&amp;ictv_id=ICTV202008970","ICTV202008970")</f>
        <v>ICTV202008970</v>
      </c>
      <c r="R8785" t="s">
        <v>660</v>
      </c>
      <c r="S8785" t="s">
        <v>824</v>
      </c>
      <c r="T8785">
        <v>41</v>
      </c>
      <c r="U8785" s="26" t="str">
        <f t="shared" si="317"/>
        <v>2025.002G.Monodnaviria_reorg_4nr.zip</v>
      </c>
    </row>
    <row r="8786" spans="1:21">
      <c r="A8786">
        <v>8785</v>
      </c>
      <c r="B8786" s="27" t="s">
        <v>20779</v>
      </c>
      <c r="D8786" s="27" t="s">
        <v>1826</v>
      </c>
      <c r="F8786" s="27" t="s">
        <v>1844</v>
      </c>
      <c r="H8786" s="27" t="s">
        <v>1853</v>
      </c>
      <c r="J8786" s="27" t="s">
        <v>1854</v>
      </c>
      <c r="L8786" s="27" t="s">
        <v>662</v>
      </c>
      <c r="N8786" s="27" t="s">
        <v>663</v>
      </c>
      <c r="P8786" s="27" t="s">
        <v>2471</v>
      </c>
      <c r="Q8786" s="26" t="str">
        <f>HYPERLINK("https://ictv.global/taxonomy/taxondetails?taxnode_id=202503562&amp;ictv_id=ICTV20165321","ICTV20165321")</f>
        <v>ICTV20165321</v>
      </c>
      <c r="R8786" t="s">
        <v>660</v>
      </c>
      <c r="S8786" t="s">
        <v>824</v>
      </c>
      <c r="T8786">
        <v>41</v>
      </c>
      <c r="U8786" s="26" t="str">
        <f t="shared" si="317"/>
        <v>2025.002G.Monodnaviria_reorg_4nr.zip</v>
      </c>
    </row>
    <row r="8787" spans="1:21">
      <c r="A8787">
        <v>8786</v>
      </c>
      <c r="B8787" s="27" t="s">
        <v>20779</v>
      </c>
      <c r="D8787" s="27" t="s">
        <v>1826</v>
      </c>
      <c r="F8787" s="27" t="s">
        <v>1844</v>
      </c>
      <c r="H8787" s="27" t="s">
        <v>1853</v>
      </c>
      <c r="J8787" s="27" t="s">
        <v>1854</v>
      </c>
      <c r="L8787" s="27" t="s">
        <v>662</v>
      </c>
      <c r="N8787" s="27" t="s">
        <v>663</v>
      </c>
      <c r="P8787" s="27" t="s">
        <v>2472</v>
      </c>
      <c r="Q8787" s="26" t="str">
        <f>HYPERLINK("https://ictv.global/taxonomy/taxondetails?taxnode_id=202503563&amp;ictv_id=ICTV20165322","ICTV20165322")</f>
        <v>ICTV20165322</v>
      </c>
      <c r="R8787" t="s">
        <v>660</v>
      </c>
      <c r="S8787" t="s">
        <v>824</v>
      </c>
      <c r="T8787">
        <v>41</v>
      </c>
      <c r="U8787" s="26" t="str">
        <f t="shared" si="317"/>
        <v>2025.002G.Monodnaviria_reorg_4nr.zip</v>
      </c>
    </row>
    <row r="8788" spans="1:21">
      <c r="A8788">
        <v>8787</v>
      </c>
      <c r="B8788" s="27" t="s">
        <v>20779</v>
      </c>
      <c r="D8788" s="27" t="s">
        <v>1826</v>
      </c>
      <c r="F8788" s="27" t="s">
        <v>1844</v>
      </c>
      <c r="H8788" s="27" t="s">
        <v>1853</v>
      </c>
      <c r="J8788" s="27" t="s">
        <v>1854</v>
      </c>
      <c r="L8788" s="27" t="s">
        <v>662</v>
      </c>
      <c r="N8788" s="27" t="s">
        <v>663</v>
      </c>
      <c r="P8788" s="27" t="s">
        <v>2473</v>
      </c>
      <c r="Q8788" s="26" t="str">
        <f>HYPERLINK("https://ictv.global/taxonomy/taxondetails?taxnode_id=202503564&amp;ictv_id=ICTV20165323","ICTV20165323")</f>
        <v>ICTV20165323</v>
      </c>
      <c r="R8788" t="s">
        <v>660</v>
      </c>
      <c r="S8788" t="s">
        <v>824</v>
      </c>
      <c r="T8788">
        <v>41</v>
      </c>
      <c r="U8788" s="26" t="str">
        <f t="shared" si="317"/>
        <v>2025.002G.Monodnaviria_reorg_4nr.zip</v>
      </c>
    </row>
    <row r="8789" spans="1:21">
      <c r="A8789">
        <v>8788</v>
      </c>
      <c r="B8789" s="27" t="s">
        <v>20779</v>
      </c>
      <c r="D8789" s="27" t="s">
        <v>1826</v>
      </c>
      <c r="F8789" s="27" t="s">
        <v>1844</v>
      </c>
      <c r="H8789" s="27" t="s">
        <v>1853</v>
      </c>
      <c r="J8789" s="27" t="s">
        <v>1854</v>
      </c>
      <c r="L8789" s="27" t="s">
        <v>662</v>
      </c>
      <c r="N8789" s="27" t="s">
        <v>663</v>
      </c>
      <c r="P8789" s="27" t="s">
        <v>2474</v>
      </c>
      <c r="Q8789" s="26" t="str">
        <f>HYPERLINK("https://ictv.global/taxonomy/taxondetails?taxnode_id=202503565&amp;ictv_id=ICTV20165324","ICTV20165324")</f>
        <v>ICTV20165324</v>
      </c>
      <c r="R8789" t="s">
        <v>660</v>
      </c>
      <c r="S8789" t="s">
        <v>824</v>
      </c>
      <c r="T8789">
        <v>41</v>
      </c>
      <c r="U8789" s="26" t="str">
        <f t="shared" si="317"/>
        <v>2025.002G.Monodnaviria_reorg_4nr.zip</v>
      </c>
    </row>
    <row r="8790" spans="1:21">
      <c r="A8790">
        <v>8789</v>
      </c>
      <c r="B8790" s="27" t="s">
        <v>20779</v>
      </c>
      <c r="D8790" s="27" t="s">
        <v>1826</v>
      </c>
      <c r="F8790" s="27" t="s">
        <v>1844</v>
      </c>
      <c r="H8790" s="27" t="s">
        <v>1853</v>
      </c>
      <c r="J8790" s="27" t="s">
        <v>1854</v>
      </c>
      <c r="L8790" s="27" t="s">
        <v>662</v>
      </c>
      <c r="N8790" s="27" t="s">
        <v>663</v>
      </c>
      <c r="P8790" s="27" t="s">
        <v>2475</v>
      </c>
      <c r="Q8790" s="26" t="str">
        <f>HYPERLINK("https://ictv.global/taxonomy/taxondetails?taxnode_id=202508966&amp;ictv_id=ICTV202008966","ICTV202008966")</f>
        <v>ICTV202008966</v>
      </c>
      <c r="R8790" t="s">
        <v>660</v>
      </c>
      <c r="S8790" t="s">
        <v>824</v>
      </c>
      <c r="T8790">
        <v>41</v>
      </c>
      <c r="U8790" s="26" t="str">
        <f t="shared" si="317"/>
        <v>2025.002G.Monodnaviria_reorg_4nr.zip</v>
      </c>
    </row>
    <row r="8791" spans="1:21">
      <c r="A8791">
        <v>8790</v>
      </c>
      <c r="B8791" s="27" t="s">
        <v>20779</v>
      </c>
      <c r="D8791" s="27" t="s">
        <v>1826</v>
      </c>
      <c r="F8791" s="27" t="s">
        <v>1844</v>
      </c>
      <c r="H8791" s="27" t="s">
        <v>1853</v>
      </c>
      <c r="J8791" s="27" t="s">
        <v>1854</v>
      </c>
      <c r="L8791" s="27" t="s">
        <v>662</v>
      </c>
      <c r="N8791" s="27" t="s">
        <v>663</v>
      </c>
      <c r="P8791" s="27" t="s">
        <v>2476</v>
      </c>
      <c r="Q8791" s="26" t="str">
        <f>HYPERLINK("https://ictv.global/taxonomy/taxondetails?taxnode_id=202508983&amp;ictv_id=ICTV202008983","ICTV202008983")</f>
        <v>ICTV202008983</v>
      </c>
      <c r="R8791" t="s">
        <v>660</v>
      </c>
      <c r="S8791" t="s">
        <v>824</v>
      </c>
      <c r="T8791">
        <v>41</v>
      </c>
      <c r="U8791" s="26" t="str">
        <f t="shared" si="317"/>
        <v>2025.002G.Monodnaviria_reorg_4nr.zip</v>
      </c>
    </row>
    <row r="8792" spans="1:21">
      <c r="A8792">
        <v>8791</v>
      </c>
      <c r="B8792" s="27" t="s">
        <v>20779</v>
      </c>
      <c r="D8792" s="27" t="s">
        <v>1826</v>
      </c>
      <c r="F8792" s="27" t="s">
        <v>1844</v>
      </c>
      <c r="H8792" s="27" t="s">
        <v>1853</v>
      </c>
      <c r="J8792" s="27" t="s">
        <v>1854</v>
      </c>
      <c r="L8792" s="27" t="s">
        <v>662</v>
      </c>
      <c r="N8792" s="27" t="s">
        <v>663</v>
      </c>
      <c r="P8792" s="27" t="s">
        <v>2477</v>
      </c>
      <c r="Q8792" s="26" t="str">
        <f>HYPERLINK("https://ictv.global/taxonomy/taxondetails?taxnode_id=202508988&amp;ictv_id=ICTV202008988","ICTV202008988")</f>
        <v>ICTV202008988</v>
      </c>
      <c r="R8792" t="s">
        <v>660</v>
      </c>
      <c r="S8792" t="s">
        <v>824</v>
      </c>
      <c r="T8792">
        <v>41</v>
      </c>
      <c r="U8792" s="26" t="str">
        <f t="shared" si="317"/>
        <v>2025.002G.Monodnaviria_reorg_4nr.zip</v>
      </c>
    </row>
    <row r="8793" spans="1:21">
      <c r="A8793">
        <v>8792</v>
      </c>
      <c r="B8793" s="27" t="s">
        <v>20779</v>
      </c>
      <c r="D8793" s="27" t="s">
        <v>1826</v>
      </c>
      <c r="F8793" s="27" t="s">
        <v>1844</v>
      </c>
      <c r="H8793" s="27" t="s">
        <v>1853</v>
      </c>
      <c r="J8793" s="27" t="s">
        <v>1854</v>
      </c>
      <c r="L8793" s="27" t="s">
        <v>662</v>
      </c>
      <c r="N8793" s="27" t="s">
        <v>663</v>
      </c>
      <c r="P8793" s="27" t="s">
        <v>2478</v>
      </c>
      <c r="Q8793" s="26" t="str">
        <f>HYPERLINK("https://ictv.global/taxonomy/taxondetails?taxnode_id=202508991&amp;ictv_id=ICTV202008991","ICTV202008991")</f>
        <v>ICTV202008991</v>
      </c>
      <c r="R8793" t="s">
        <v>660</v>
      </c>
      <c r="S8793" t="s">
        <v>824</v>
      </c>
      <c r="T8793">
        <v>41</v>
      </c>
      <c r="U8793" s="26" t="str">
        <f t="shared" si="317"/>
        <v>2025.002G.Monodnaviria_reorg_4nr.zip</v>
      </c>
    </row>
    <row r="8794" spans="1:21">
      <c r="A8794">
        <v>8793</v>
      </c>
      <c r="B8794" s="27" t="s">
        <v>20779</v>
      </c>
      <c r="D8794" s="27" t="s">
        <v>1826</v>
      </c>
      <c r="F8794" s="27" t="s">
        <v>1844</v>
      </c>
      <c r="H8794" s="27" t="s">
        <v>1853</v>
      </c>
      <c r="J8794" s="27" t="s">
        <v>1854</v>
      </c>
      <c r="L8794" s="27" t="s">
        <v>662</v>
      </c>
      <c r="N8794" s="27" t="s">
        <v>663</v>
      </c>
      <c r="P8794" s="27" t="s">
        <v>2479</v>
      </c>
      <c r="Q8794" s="26" t="str">
        <f>HYPERLINK("https://ictv.global/taxonomy/taxondetails?taxnode_id=202508998&amp;ictv_id=ICTV202008998","ICTV202008998")</f>
        <v>ICTV202008998</v>
      </c>
      <c r="R8794" t="s">
        <v>660</v>
      </c>
      <c r="S8794" t="s">
        <v>824</v>
      </c>
      <c r="T8794">
        <v>41</v>
      </c>
      <c r="U8794" s="26" t="str">
        <f t="shared" si="317"/>
        <v>2025.002G.Monodnaviria_reorg_4nr.zip</v>
      </c>
    </row>
    <row r="8795" spans="1:21">
      <c r="A8795">
        <v>8794</v>
      </c>
      <c r="B8795" s="27" t="s">
        <v>20779</v>
      </c>
      <c r="D8795" s="27" t="s">
        <v>1826</v>
      </c>
      <c r="F8795" s="27" t="s">
        <v>1844</v>
      </c>
      <c r="H8795" s="27" t="s">
        <v>1853</v>
      </c>
      <c r="J8795" s="27" t="s">
        <v>1854</v>
      </c>
      <c r="L8795" s="27" t="s">
        <v>662</v>
      </c>
      <c r="N8795" s="27" t="s">
        <v>663</v>
      </c>
      <c r="P8795" s="27" t="s">
        <v>2480</v>
      </c>
      <c r="Q8795" s="26" t="str">
        <f>HYPERLINK("https://ictv.global/taxonomy/taxondetails?taxnode_id=202509008&amp;ictv_id=ICTV202009008","ICTV202009008")</f>
        <v>ICTV202009008</v>
      </c>
      <c r="R8795" t="s">
        <v>660</v>
      </c>
      <c r="S8795" t="s">
        <v>824</v>
      </c>
      <c r="T8795">
        <v>41</v>
      </c>
      <c r="U8795" s="26" t="str">
        <f t="shared" si="317"/>
        <v>2025.002G.Monodnaviria_reorg_4nr.zip</v>
      </c>
    </row>
    <row r="8796" spans="1:21">
      <c r="A8796">
        <v>8795</v>
      </c>
      <c r="B8796" s="27" t="s">
        <v>20779</v>
      </c>
      <c r="D8796" s="27" t="s">
        <v>1826</v>
      </c>
      <c r="F8796" s="27" t="s">
        <v>1844</v>
      </c>
      <c r="H8796" s="27" t="s">
        <v>1853</v>
      </c>
      <c r="J8796" s="27" t="s">
        <v>1854</v>
      </c>
      <c r="L8796" s="27" t="s">
        <v>662</v>
      </c>
      <c r="N8796" s="27" t="s">
        <v>663</v>
      </c>
      <c r="P8796" s="27" t="s">
        <v>2481</v>
      </c>
      <c r="Q8796" s="26" t="str">
        <f>HYPERLINK("https://ictv.global/taxonomy/taxondetails?taxnode_id=202509010&amp;ictv_id=ICTV202009010","ICTV202009010")</f>
        <v>ICTV202009010</v>
      </c>
      <c r="R8796" t="s">
        <v>660</v>
      </c>
      <c r="S8796" t="s">
        <v>824</v>
      </c>
      <c r="T8796">
        <v>41</v>
      </c>
      <c r="U8796" s="26" t="str">
        <f t="shared" si="317"/>
        <v>2025.002G.Monodnaviria_reorg_4nr.zip</v>
      </c>
    </row>
    <row r="8797" spans="1:21">
      <c r="A8797">
        <v>8796</v>
      </c>
      <c r="B8797" s="27" t="s">
        <v>20779</v>
      </c>
      <c r="D8797" s="27" t="s">
        <v>1826</v>
      </c>
      <c r="F8797" s="27" t="s">
        <v>1844</v>
      </c>
      <c r="H8797" s="27" t="s">
        <v>1853</v>
      </c>
      <c r="J8797" s="27" t="s">
        <v>1854</v>
      </c>
      <c r="L8797" s="27" t="s">
        <v>662</v>
      </c>
      <c r="N8797" s="27" t="s">
        <v>663</v>
      </c>
      <c r="P8797" s="27" t="s">
        <v>2482</v>
      </c>
      <c r="Q8797" s="26" t="str">
        <f>HYPERLINK("https://ictv.global/taxonomy/taxondetails?taxnode_id=202508946&amp;ictv_id=ICTV202008946","ICTV202008946")</f>
        <v>ICTV202008946</v>
      </c>
      <c r="R8797" t="s">
        <v>660</v>
      </c>
      <c r="S8797" t="s">
        <v>824</v>
      </c>
      <c r="T8797">
        <v>41</v>
      </c>
      <c r="U8797" s="26" t="str">
        <f t="shared" si="317"/>
        <v>2025.002G.Monodnaviria_reorg_4nr.zip</v>
      </c>
    </row>
    <row r="8798" spans="1:21">
      <c r="A8798">
        <v>8797</v>
      </c>
      <c r="B8798" s="27" t="s">
        <v>20779</v>
      </c>
      <c r="D8798" s="27" t="s">
        <v>1826</v>
      </c>
      <c r="F8798" s="27" t="s">
        <v>1844</v>
      </c>
      <c r="H8798" s="27" t="s">
        <v>1853</v>
      </c>
      <c r="J8798" s="27" t="s">
        <v>1854</v>
      </c>
      <c r="L8798" s="27" t="s">
        <v>662</v>
      </c>
      <c r="N8798" s="27" t="s">
        <v>663</v>
      </c>
      <c r="P8798" s="27" t="s">
        <v>2483</v>
      </c>
      <c r="Q8798" s="26" t="str">
        <f>HYPERLINK("https://ictv.global/taxonomy/taxondetails?taxnode_id=202508956&amp;ictv_id=ICTV202008956","ICTV202008956")</f>
        <v>ICTV202008956</v>
      </c>
      <c r="R8798" t="s">
        <v>660</v>
      </c>
      <c r="S8798" t="s">
        <v>824</v>
      </c>
      <c r="T8798">
        <v>41</v>
      </c>
      <c r="U8798" s="26" t="str">
        <f t="shared" si="317"/>
        <v>2025.002G.Monodnaviria_reorg_4nr.zip</v>
      </c>
    </row>
    <row r="8799" spans="1:21">
      <c r="A8799">
        <v>8798</v>
      </c>
      <c r="B8799" s="27" t="s">
        <v>20779</v>
      </c>
      <c r="D8799" s="27" t="s">
        <v>1826</v>
      </c>
      <c r="F8799" s="27" t="s">
        <v>1844</v>
      </c>
      <c r="H8799" s="27" t="s">
        <v>1853</v>
      </c>
      <c r="J8799" s="27" t="s">
        <v>1854</v>
      </c>
      <c r="L8799" s="27" t="s">
        <v>662</v>
      </c>
      <c r="N8799" s="27" t="s">
        <v>663</v>
      </c>
      <c r="P8799" s="27" t="s">
        <v>2484</v>
      </c>
      <c r="Q8799" s="26" t="str">
        <f>HYPERLINK("https://ictv.global/taxonomy/taxondetails?taxnode_id=202509005&amp;ictv_id=ICTV202009005","ICTV202009005")</f>
        <v>ICTV202009005</v>
      </c>
      <c r="R8799" t="s">
        <v>660</v>
      </c>
      <c r="S8799" t="s">
        <v>824</v>
      </c>
      <c r="T8799">
        <v>41</v>
      </c>
      <c r="U8799" s="26" t="str">
        <f t="shared" si="317"/>
        <v>2025.002G.Monodnaviria_reorg_4nr.zip</v>
      </c>
    </row>
    <row r="8800" spans="1:21">
      <c r="A8800">
        <v>8799</v>
      </c>
      <c r="B8800" s="27" t="s">
        <v>20779</v>
      </c>
      <c r="D8800" s="27" t="s">
        <v>1826</v>
      </c>
      <c r="F8800" s="27" t="s">
        <v>1844</v>
      </c>
      <c r="H8800" s="27" t="s">
        <v>1853</v>
      </c>
      <c r="J8800" s="27" t="s">
        <v>1854</v>
      </c>
      <c r="L8800" s="27" t="s">
        <v>662</v>
      </c>
      <c r="N8800" s="27" t="s">
        <v>663</v>
      </c>
      <c r="P8800" s="27" t="s">
        <v>2485</v>
      </c>
      <c r="Q8800" s="26" t="str">
        <f>HYPERLINK("https://ictv.global/taxonomy/taxondetails?taxnode_id=202509006&amp;ictv_id=ICTV202009006","ICTV202009006")</f>
        <v>ICTV202009006</v>
      </c>
      <c r="R8800" t="s">
        <v>660</v>
      </c>
      <c r="S8800" t="s">
        <v>824</v>
      </c>
      <c r="T8800">
        <v>41</v>
      </c>
      <c r="U8800" s="26" t="str">
        <f t="shared" si="317"/>
        <v>2025.002G.Monodnaviria_reorg_4nr.zip</v>
      </c>
    </row>
    <row r="8801" spans="1:21">
      <c r="A8801">
        <v>8800</v>
      </c>
      <c r="B8801" s="27" t="s">
        <v>20779</v>
      </c>
      <c r="D8801" s="27" t="s">
        <v>1826</v>
      </c>
      <c r="F8801" s="27" t="s">
        <v>1844</v>
      </c>
      <c r="H8801" s="27" t="s">
        <v>1853</v>
      </c>
      <c r="J8801" s="27" t="s">
        <v>1854</v>
      </c>
      <c r="L8801" s="27" t="s">
        <v>662</v>
      </c>
      <c r="N8801" s="27" t="s">
        <v>663</v>
      </c>
      <c r="P8801" s="27" t="s">
        <v>2486</v>
      </c>
      <c r="Q8801" s="26" t="str">
        <f>HYPERLINK("https://ictv.global/taxonomy/taxondetails?taxnode_id=202508954&amp;ictv_id=ICTV202008954","ICTV202008954")</f>
        <v>ICTV202008954</v>
      </c>
      <c r="R8801" t="s">
        <v>660</v>
      </c>
      <c r="S8801" t="s">
        <v>824</v>
      </c>
      <c r="T8801">
        <v>41</v>
      </c>
      <c r="U8801" s="26" t="str">
        <f t="shared" si="317"/>
        <v>2025.002G.Monodnaviria_reorg_4nr.zip</v>
      </c>
    </row>
    <row r="8802" spans="1:21">
      <c r="A8802">
        <v>8801</v>
      </c>
      <c r="B8802" s="27" t="s">
        <v>20779</v>
      </c>
      <c r="D8802" s="27" t="s">
        <v>1826</v>
      </c>
      <c r="F8802" s="27" t="s">
        <v>1844</v>
      </c>
      <c r="H8802" s="27" t="s">
        <v>1853</v>
      </c>
      <c r="J8802" s="27" t="s">
        <v>1854</v>
      </c>
      <c r="L8802" s="27" t="s">
        <v>662</v>
      </c>
      <c r="N8802" s="27" t="s">
        <v>663</v>
      </c>
      <c r="P8802" s="27" t="s">
        <v>2487</v>
      </c>
      <c r="Q8802" s="26" t="str">
        <f>HYPERLINK("https://ictv.global/taxonomy/taxondetails?taxnode_id=202508958&amp;ictv_id=ICTV202008958","ICTV202008958")</f>
        <v>ICTV202008958</v>
      </c>
      <c r="R8802" t="s">
        <v>660</v>
      </c>
      <c r="S8802" t="s">
        <v>824</v>
      </c>
      <c r="T8802">
        <v>41</v>
      </c>
      <c r="U8802" s="26" t="str">
        <f t="shared" si="317"/>
        <v>2025.002G.Monodnaviria_reorg_4nr.zip</v>
      </c>
    </row>
    <row r="8803" spans="1:21">
      <c r="A8803">
        <v>8802</v>
      </c>
      <c r="B8803" s="27" t="s">
        <v>20779</v>
      </c>
      <c r="D8803" s="27" t="s">
        <v>1826</v>
      </c>
      <c r="F8803" s="27" t="s">
        <v>1844</v>
      </c>
      <c r="H8803" s="27" t="s">
        <v>1853</v>
      </c>
      <c r="J8803" s="27" t="s">
        <v>1854</v>
      </c>
      <c r="L8803" s="27" t="s">
        <v>662</v>
      </c>
      <c r="N8803" s="27" t="s">
        <v>663</v>
      </c>
      <c r="P8803" s="27" t="s">
        <v>2488</v>
      </c>
      <c r="Q8803" s="26" t="str">
        <f>HYPERLINK("https://ictv.global/taxonomy/taxondetails?taxnode_id=202509002&amp;ictv_id=ICTV202009002","ICTV202009002")</f>
        <v>ICTV202009002</v>
      </c>
      <c r="R8803" t="s">
        <v>660</v>
      </c>
      <c r="S8803" t="s">
        <v>824</v>
      </c>
      <c r="T8803">
        <v>41</v>
      </c>
      <c r="U8803" s="26" t="str">
        <f t="shared" si="317"/>
        <v>2025.002G.Monodnaviria_reorg_4nr.zip</v>
      </c>
    </row>
    <row r="8804" spans="1:21">
      <c r="A8804">
        <v>8803</v>
      </c>
      <c r="B8804" s="27" t="s">
        <v>20779</v>
      </c>
      <c r="D8804" s="27" t="s">
        <v>1826</v>
      </c>
      <c r="F8804" s="27" t="s">
        <v>1844</v>
      </c>
      <c r="H8804" s="27" t="s">
        <v>1853</v>
      </c>
      <c r="J8804" s="27" t="s">
        <v>1854</v>
      </c>
      <c r="L8804" s="27" t="s">
        <v>662</v>
      </c>
      <c r="N8804" s="27" t="s">
        <v>663</v>
      </c>
      <c r="P8804" s="27" t="s">
        <v>2489</v>
      </c>
      <c r="Q8804" s="26" t="str">
        <f>HYPERLINK("https://ictv.global/taxonomy/taxondetails?taxnode_id=202508995&amp;ictv_id=ICTV202008995","ICTV202008995")</f>
        <v>ICTV202008995</v>
      </c>
      <c r="R8804" t="s">
        <v>660</v>
      </c>
      <c r="S8804" t="s">
        <v>824</v>
      </c>
      <c r="T8804">
        <v>41</v>
      </c>
      <c r="U8804" s="26" t="str">
        <f t="shared" si="317"/>
        <v>2025.002G.Monodnaviria_reorg_4nr.zip</v>
      </c>
    </row>
    <row r="8805" spans="1:21">
      <c r="A8805">
        <v>8804</v>
      </c>
      <c r="B8805" s="27" t="s">
        <v>20779</v>
      </c>
      <c r="D8805" s="27" t="s">
        <v>1826</v>
      </c>
      <c r="F8805" s="27" t="s">
        <v>1844</v>
      </c>
      <c r="H8805" s="27" t="s">
        <v>1853</v>
      </c>
      <c r="J8805" s="27" t="s">
        <v>1854</v>
      </c>
      <c r="L8805" s="27" t="s">
        <v>662</v>
      </c>
      <c r="N8805" s="27" t="s">
        <v>663</v>
      </c>
      <c r="P8805" s="27" t="s">
        <v>2490</v>
      </c>
      <c r="Q8805" s="26" t="str">
        <f>HYPERLINK("https://ictv.global/taxonomy/taxondetails?taxnode_id=202503566&amp;ictv_id=ICTV20165325","ICTV20165325")</f>
        <v>ICTV20165325</v>
      </c>
      <c r="R8805" t="s">
        <v>660</v>
      </c>
      <c r="S8805" t="s">
        <v>824</v>
      </c>
      <c r="T8805">
        <v>41</v>
      </c>
      <c r="U8805" s="26" t="str">
        <f t="shared" si="317"/>
        <v>2025.002G.Monodnaviria_reorg_4nr.zip</v>
      </c>
    </row>
    <row r="8806" spans="1:21">
      <c r="A8806">
        <v>8805</v>
      </c>
      <c r="B8806" s="27" t="s">
        <v>20779</v>
      </c>
      <c r="D8806" s="27" t="s">
        <v>1826</v>
      </c>
      <c r="F8806" s="27" t="s">
        <v>1844</v>
      </c>
      <c r="H8806" s="27" t="s">
        <v>1853</v>
      </c>
      <c r="J8806" s="27" t="s">
        <v>1854</v>
      </c>
      <c r="L8806" s="27" t="s">
        <v>662</v>
      </c>
      <c r="N8806" s="27" t="s">
        <v>663</v>
      </c>
      <c r="P8806" s="27" t="s">
        <v>2491</v>
      </c>
      <c r="Q8806" s="26" t="str">
        <f>HYPERLINK("https://ictv.global/taxonomy/taxondetails?taxnode_id=202508979&amp;ictv_id=ICTV202008979","ICTV202008979")</f>
        <v>ICTV202008979</v>
      </c>
      <c r="R8806" t="s">
        <v>660</v>
      </c>
      <c r="S8806" t="s">
        <v>824</v>
      </c>
      <c r="T8806">
        <v>41</v>
      </c>
      <c r="U8806" s="26" t="str">
        <f t="shared" si="317"/>
        <v>2025.002G.Monodnaviria_reorg_4nr.zip</v>
      </c>
    </row>
    <row r="8807" spans="1:21">
      <c r="A8807">
        <v>8806</v>
      </c>
      <c r="B8807" s="27" t="s">
        <v>20779</v>
      </c>
      <c r="D8807" s="27" t="s">
        <v>1826</v>
      </c>
      <c r="F8807" s="27" t="s">
        <v>1844</v>
      </c>
      <c r="H8807" s="27" t="s">
        <v>1853</v>
      </c>
      <c r="J8807" s="27" t="s">
        <v>1854</v>
      </c>
      <c r="L8807" s="27" t="s">
        <v>662</v>
      </c>
      <c r="N8807" s="27" t="s">
        <v>663</v>
      </c>
      <c r="P8807" s="27" t="s">
        <v>2492</v>
      </c>
      <c r="Q8807" s="26" t="str">
        <f>HYPERLINK("https://ictv.global/taxonomy/taxondetails?taxnode_id=202503567&amp;ictv_id=ICTV20165326","ICTV20165326")</f>
        <v>ICTV20165326</v>
      </c>
      <c r="R8807" t="s">
        <v>660</v>
      </c>
      <c r="S8807" t="s">
        <v>824</v>
      </c>
      <c r="T8807">
        <v>41</v>
      </c>
      <c r="U8807" s="26" t="str">
        <f t="shared" si="317"/>
        <v>2025.002G.Monodnaviria_reorg_4nr.zip</v>
      </c>
    </row>
    <row r="8808" spans="1:21">
      <c r="A8808">
        <v>8807</v>
      </c>
      <c r="B8808" s="27" t="s">
        <v>20779</v>
      </c>
      <c r="D8808" s="27" t="s">
        <v>1826</v>
      </c>
      <c r="F8808" s="27" t="s">
        <v>1844</v>
      </c>
      <c r="H8808" s="27" t="s">
        <v>1853</v>
      </c>
      <c r="J8808" s="27" t="s">
        <v>1854</v>
      </c>
      <c r="L8808" s="27" t="s">
        <v>662</v>
      </c>
      <c r="N8808" s="27" t="s">
        <v>663</v>
      </c>
      <c r="P8808" s="27" t="s">
        <v>2493</v>
      </c>
      <c r="Q8808" s="26" t="str">
        <f>HYPERLINK("https://ictv.global/taxonomy/taxondetails?taxnode_id=202508940&amp;ictv_id=ICTV202008940","ICTV202008940")</f>
        <v>ICTV202008940</v>
      </c>
      <c r="R8808" t="s">
        <v>660</v>
      </c>
      <c r="S8808" t="s">
        <v>824</v>
      </c>
      <c r="T8808">
        <v>41</v>
      </c>
      <c r="U8808" s="26" t="str">
        <f t="shared" ref="U8808:U8871" si="318">HYPERLINK("https://ictv.global/ictv/proposals/2025.002G.Monodnaviria_reorg_4nr.zip","2025.002G.Monodnaviria_reorg_4nr.zip")</f>
        <v>2025.002G.Monodnaviria_reorg_4nr.zip</v>
      </c>
    </row>
    <row r="8809" spans="1:21">
      <c r="A8809">
        <v>8808</v>
      </c>
      <c r="B8809" s="27" t="s">
        <v>20779</v>
      </c>
      <c r="D8809" s="27" t="s">
        <v>1826</v>
      </c>
      <c r="F8809" s="27" t="s">
        <v>1844</v>
      </c>
      <c r="H8809" s="27" t="s">
        <v>1853</v>
      </c>
      <c r="J8809" s="27" t="s">
        <v>1854</v>
      </c>
      <c r="L8809" s="27" t="s">
        <v>662</v>
      </c>
      <c r="N8809" s="27" t="s">
        <v>663</v>
      </c>
      <c r="P8809" s="27" t="s">
        <v>2494</v>
      </c>
      <c r="Q8809" s="26" t="str">
        <f>HYPERLINK("https://ictv.global/taxonomy/taxondetails?taxnode_id=202508965&amp;ictv_id=ICTV202008965","ICTV202008965")</f>
        <v>ICTV202008965</v>
      </c>
      <c r="R8809" t="s">
        <v>660</v>
      </c>
      <c r="S8809" t="s">
        <v>824</v>
      </c>
      <c r="T8809">
        <v>41</v>
      </c>
      <c r="U8809" s="26" t="str">
        <f t="shared" si="318"/>
        <v>2025.002G.Monodnaviria_reorg_4nr.zip</v>
      </c>
    </row>
    <row r="8810" spans="1:21">
      <c r="A8810">
        <v>8809</v>
      </c>
      <c r="B8810" s="27" t="s">
        <v>20779</v>
      </c>
      <c r="D8810" s="27" t="s">
        <v>1826</v>
      </c>
      <c r="F8810" s="27" t="s">
        <v>1844</v>
      </c>
      <c r="H8810" s="27" t="s">
        <v>1853</v>
      </c>
      <c r="J8810" s="27" t="s">
        <v>1854</v>
      </c>
      <c r="L8810" s="27" t="s">
        <v>662</v>
      </c>
      <c r="N8810" s="27" t="s">
        <v>663</v>
      </c>
      <c r="P8810" s="27" t="s">
        <v>2495</v>
      </c>
      <c r="Q8810" s="26" t="str">
        <f>HYPERLINK("https://ictv.global/taxonomy/taxondetails?taxnode_id=202509018&amp;ictv_id=ICTV202009018","ICTV202009018")</f>
        <v>ICTV202009018</v>
      </c>
      <c r="R8810" t="s">
        <v>660</v>
      </c>
      <c r="S8810" t="s">
        <v>824</v>
      </c>
      <c r="T8810">
        <v>41</v>
      </c>
      <c r="U8810" s="26" t="str">
        <f t="shared" si="318"/>
        <v>2025.002G.Monodnaviria_reorg_4nr.zip</v>
      </c>
    </row>
    <row r="8811" spans="1:21">
      <c r="A8811">
        <v>8810</v>
      </c>
      <c r="B8811" s="27" t="s">
        <v>20779</v>
      </c>
      <c r="D8811" s="27" t="s">
        <v>1826</v>
      </c>
      <c r="F8811" s="27" t="s">
        <v>1844</v>
      </c>
      <c r="H8811" s="27" t="s">
        <v>1853</v>
      </c>
      <c r="J8811" s="27" t="s">
        <v>1854</v>
      </c>
      <c r="L8811" s="27" t="s">
        <v>662</v>
      </c>
      <c r="N8811" s="27" t="s">
        <v>663</v>
      </c>
      <c r="P8811" s="27" t="s">
        <v>2496</v>
      </c>
      <c r="Q8811" s="26" t="str">
        <f>HYPERLINK("https://ictv.global/taxonomy/taxondetails?taxnode_id=202508936&amp;ictv_id=ICTV202008936","ICTV202008936")</f>
        <v>ICTV202008936</v>
      </c>
      <c r="R8811" t="s">
        <v>660</v>
      </c>
      <c r="S8811" t="s">
        <v>824</v>
      </c>
      <c r="T8811">
        <v>41</v>
      </c>
      <c r="U8811" s="26" t="str">
        <f t="shared" si="318"/>
        <v>2025.002G.Monodnaviria_reorg_4nr.zip</v>
      </c>
    </row>
    <row r="8812" spans="1:21">
      <c r="A8812">
        <v>8811</v>
      </c>
      <c r="B8812" s="27" t="s">
        <v>20779</v>
      </c>
      <c r="D8812" s="27" t="s">
        <v>1826</v>
      </c>
      <c r="F8812" s="27" t="s">
        <v>1844</v>
      </c>
      <c r="H8812" s="27" t="s">
        <v>1853</v>
      </c>
      <c r="J8812" s="27" t="s">
        <v>1854</v>
      </c>
      <c r="L8812" s="27" t="s">
        <v>662</v>
      </c>
      <c r="N8812" s="27" t="s">
        <v>663</v>
      </c>
      <c r="P8812" s="27" t="s">
        <v>2497</v>
      </c>
      <c r="Q8812" s="26" t="str">
        <f>HYPERLINK("https://ictv.global/taxonomy/taxondetails?taxnode_id=202509015&amp;ictv_id=ICTV202009015","ICTV202009015")</f>
        <v>ICTV202009015</v>
      </c>
      <c r="R8812" t="s">
        <v>660</v>
      </c>
      <c r="S8812" t="s">
        <v>824</v>
      </c>
      <c r="T8812">
        <v>41</v>
      </c>
      <c r="U8812" s="26" t="str">
        <f t="shared" si="318"/>
        <v>2025.002G.Monodnaviria_reorg_4nr.zip</v>
      </c>
    </row>
    <row r="8813" spans="1:21">
      <c r="A8813">
        <v>8812</v>
      </c>
      <c r="B8813" s="27" t="s">
        <v>20779</v>
      </c>
      <c r="D8813" s="27" t="s">
        <v>1826</v>
      </c>
      <c r="F8813" s="27" t="s">
        <v>1844</v>
      </c>
      <c r="H8813" s="27" t="s">
        <v>1853</v>
      </c>
      <c r="J8813" s="27" t="s">
        <v>1854</v>
      </c>
      <c r="L8813" s="27" t="s">
        <v>662</v>
      </c>
      <c r="N8813" s="27" t="s">
        <v>663</v>
      </c>
      <c r="P8813" s="27" t="s">
        <v>2498</v>
      </c>
      <c r="Q8813" s="26" t="str">
        <f>HYPERLINK("https://ictv.global/taxonomy/taxondetails?taxnode_id=202509016&amp;ictv_id=ICTV202009016","ICTV202009016")</f>
        <v>ICTV202009016</v>
      </c>
      <c r="R8813" t="s">
        <v>660</v>
      </c>
      <c r="S8813" t="s">
        <v>824</v>
      </c>
      <c r="T8813">
        <v>41</v>
      </c>
      <c r="U8813" s="26" t="str">
        <f t="shared" si="318"/>
        <v>2025.002G.Monodnaviria_reorg_4nr.zip</v>
      </c>
    </row>
    <row r="8814" spans="1:21">
      <c r="A8814">
        <v>8813</v>
      </c>
      <c r="B8814" s="27" t="s">
        <v>20779</v>
      </c>
      <c r="D8814" s="27" t="s">
        <v>1826</v>
      </c>
      <c r="F8814" s="27" t="s">
        <v>1844</v>
      </c>
      <c r="H8814" s="27" t="s">
        <v>1853</v>
      </c>
      <c r="J8814" s="27" t="s">
        <v>1854</v>
      </c>
      <c r="L8814" s="27" t="s">
        <v>662</v>
      </c>
      <c r="N8814" s="27" t="s">
        <v>663</v>
      </c>
      <c r="P8814" s="27" t="s">
        <v>2499</v>
      </c>
      <c r="Q8814" s="26" t="str">
        <f>HYPERLINK("https://ictv.global/taxonomy/taxondetails?taxnode_id=202508962&amp;ictv_id=ICTV202008962","ICTV202008962")</f>
        <v>ICTV202008962</v>
      </c>
      <c r="R8814" t="s">
        <v>660</v>
      </c>
      <c r="S8814" t="s">
        <v>824</v>
      </c>
      <c r="T8814">
        <v>41</v>
      </c>
      <c r="U8814" s="26" t="str">
        <f t="shared" si="318"/>
        <v>2025.002G.Monodnaviria_reorg_4nr.zip</v>
      </c>
    </row>
    <row r="8815" spans="1:21">
      <c r="A8815">
        <v>8814</v>
      </c>
      <c r="B8815" s="27" t="s">
        <v>20779</v>
      </c>
      <c r="D8815" s="27" t="s">
        <v>1826</v>
      </c>
      <c r="F8815" s="27" t="s">
        <v>1844</v>
      </c>
      <c r="H8815" s="27" t="s">
        <v>1853</v>
      </c>
      <c r="J8815" s="27" t="s">
        <v>1854</v>
      </c>
      <c r="L8815" s="27" t="s">
        <v>662</v>
      </c>
      <c r="N8815" s="27" t="s">
        <v>663</v>
      </c>
      <c r="P8815" s="27" t="s">
        <v>2500</v>
      </c>
      <c r="Q8815" s="26" t="str">
        <f>HYPERLINK("https://ictv.global/taxonomy/taxondetails?taxnode_id=202509000&amp;ictv_id=ICTV202009000","ICTV202009000")</f>
        <v>ICTV202009000</v>
      </c>
      <c r="R8815" t="s">
        <v>660</v>
      </c>
      <c r="S8815" t="s">
        <v>824</v>
      </c>
      <c r="T8815">
        <v>41</v>
      </c>
      <c r="U8815" s="26" t="str">
        <f t="shared" si="318"/>
        <v>2025.002G.Monodnaviria_reorg_4nr.zip</v>
      </c>
    </row>
    <row r="8816" spans="1:21">
      <c r="A8816">
        <v>8815</v>
      </c>
      <c r="B8816" s="27" t="s">
        <v>20779</v>
      </c>
      <c r="D8816" s="27" t="s">
        <v>1826</v>
      </c>
      <c r="F8816" s="27" t="s">
        <v>1844</v>
      </c>
      <c r="H8816" s="27" t="s">
        <v>1853</v>
      </c>
      <c r="J8816" s="27" t="s">
        <v>1854</v>
      </c>
      <c r="L8816" s="27" t="s">
        <v>662</v>
      </c>
      <c r="N8816" s="27" t="s">
        <v>663</v>
      </c>
      <c r="P8816" s="27" t="s">
        <v>2501</v>
      </c>
      <c r="Q8816" s="26" t="str">
        <f>HYPERLINK("https://ictv.global/taxonomy/taxondetails?taxnode_id=202508967&amp;ictv_id=ICTV202008967","ICTV202008967")</f>
        <v>ICTV202008967</v>
      </c>
      <c r="R8816" t="s">
        <v>660</v>
      </c>
      <c r="S8816" t="s">
        <v>824</v>
      </c>
      <c r="T8816">
        <v>41</v>
      </c>
      <c r="U8816" s="26" t="str">
        <f t="shared" si="318"/>
        <v>2025.002G.Monodnaviria_reorg_4nr.zip</v>
      </c>
    </row>
    <row r="8817" spans="1:21">
      <c r="A8817">
        <v>8816</v>
      </c>
      <c r="B8817" s="27" t="s">
        <v>20779</v>
      </c>
      <c r="D8817" s="27" t="s">
        <v>1826</v>
      </c>
      <c r="F8817" s="27" t="s">
        <v>1844</v>
      </c>
      <c r="H8817" s="27" t="s">
        <v>1853</v>
      </c>
      <c r="J8817" s="27" t="s">
        <v>1854</v>
      </c>
      <c r="L8817" s="27" t="s">
        <v>662</v>
      </c>
      <c r="N8817" s="27" t="s">
        <v>663</v>
      </c>
      <c r="P8817" s="27" t="s">
        <v>2502</v>
      </c>
      <c r="Q8817" s="26" t="str">
        <f>HYPERLINK("https://ictv.global/taxonomy/taxondetails?taxnode_id=202509001&amp;ictv_id=ICTV202009001","ICTV202009001")</f>
        <v>ICTV202009001</v>
      </c>
      <c r="R8817" t="s">
        <v>660</v>
      </c>
      <c r="S8817" t="s">
        <v>824</v>
      </c>
      <c r="T8817">
        <v>41</v>
      </c>
      <c r="U8817" s="26" t="str">
        <f t="shared" si="318"/>
        <v>2025.002G.Monodnaviria_reorg_4nr.zip</v>
      </c>
    </row>
    <row r="8818" spans="1:21">
      <c r="A8818">
        <v>8817</v>
      </c>
      <c r="B8818" s="27" t="s">
        <v>20779</v>
      </c>
      <c r="D8818" s="27" t="s">
        <v>1826</v>
      </c>
      <c r="F8818" s="27" t="s">
        <v>1844</v>
      </c>
      <c r="H8818" s="27" t="s">
        <v>1853</v>
      </c>
      <c r="J8818" s="27" t="s">
        <v>1854</v>
      </c>
      <c r="L8818" s="27" t="s">
        <v>662</v>
      </c>
      <c r="N8818" s="27" t="s">
        <v>663</v>
      </c>
      <c r="P8818" s="27" t="s">
        <v>2503</v>
      </c>
      <c r="Q8818" s="26" t="str">
        <f>HYPERLINK("https://ictv.global/taxonomy/taxondetails?taxnode_id=202503568&amp;ictv_id=ICTV20165327","ICTV20165327")</f>
        <v>ICTV20165327</v>
      </c>
      <c r="R8818" t="s">
        <v>660</v>
      </c>
      <c r="S8818" t="s">
        <v>824</v>
      </c>
      <c r="T8818">
        <v>41</v>
      </c>
      <c r="U8818" s="26" t="str">
        <f t="shared" si="318"/>
        <v>2025.002G.Monodnaviria_reorg_4nr.zip</v>
      </c>
    </row>
    <row r="8819" spans="1:21">
      <c r="A8819">
        <v>8818</v>
      </c>
      <c r="B8819" s="27" t="s">
        <v>20779</v>
      </c>
      <c r="D8819" s="27" t="s">
        <v>1826</v>
      </c>
      <c r="F8819" s="27" t="s">
        <v>1844</v>
      </c>
      <c r="H8819" s="27" t="s">
        <v>1853</v>
      </c>
      <c r="J8819" s="27" t="s">
        <v>1854</v>
      </c>
      <c r="L8819" s="27" t="s">
        <v>662</v>
      </c>
      <c r="N8819" s="27" t="s">
        <v>663</v>
      </c>
      <c r="P8819" s="27" t="s">
        <v>2504</v>
      </c>
      <c r="Q8819" s="26" t="str">
        <f>HYPERLINK("https://ictv.global/taxonomy/taxondetails?taxnode_id=202503569&amp;ictv_id=ICTV20165328","ICTV20165328")</f>
        <v>ICTV20165328</v>
      </c>
      <c r="R8819" t="s">
        <v>660</v>
      </c>
      <c r="S8819" t="s">
        <v>824</v>
      </c>
      <c r="T8819">
        <v>41</v>
      </c>
      <c r="U8819" s="26" t="str">
        <f t="shared" si="318"/>
        <v>2025.002G.Monodnaviria_reorg_4nr.zip</v>
      </c>
    </row>
    <row r="8820" spans="1:21">
      <c r="A8820">
        <v>8819</v>
      </c>
      <c r="B8820" s="27" t="s">
        <v>20779</v>
      </c>
      <c r="D8820" s="27" t="s">
        <v>1826</v>
      </c>
      <c r="F8820" s="27" t="s">
        <v>1844</v>
      </c>
      <c r="H8820" s="27" t="s">
        <v>1853</v>
      </c>
      <c r="J8820" s="27" t="s">
        <v>1854</v>
      </c>
      <c r="L8820" s="27" t="s">
        <v>662</v>
      </c>
      <c r="N8820" s="27" t="s">
        <v>663</v>
      </c>
      <c r="P8820" s="27" t="s">
        <v>2505</v>
      </c>
      <c r="Q8820" s="26" t="str">
        <f>HYPERLINK("https://ictv.global/taxonomy/taxondetails?taxnode_id=202509004&amp;ictv_id=ICTV202009004","ICTV202009004")</f>
        <v>ICTV202009004</v>
      </c>
      <c r="R8820" t="s">
        <v>660</v>
      </c>
      <c r="S8820" t="s">
        <v>824</v>
      </c>
      <c r="T8820">
        <v>41</v>
      </c>
      <c r="U8820" s="26" t="str">
        <f t="shared" si="318"/>
        <v>2025.002G.Monodnaviria_reorg_4nr.zip</v>
      </c>
    </row>
    <row r="8821" spans="1:21">
      <c r="A8821">
        <v>8820</v>
      </c>
      <c r="B8821" s="27" t="s">
        <v>20779</v>
      </c>
      <c r="D8821" s="27" t="s">
        <v>1826</v>
      </c>
      <c r="F8821" s="27" t="s">
        <v>1844</v>
      </c>
      <c r="H8821" s="27" t="s">
        <v>1853</v>
      </c>
      <c r="J8821" s="27" t="s">
        <v>1854</v>
      </c>
      <c r="L8821" s="27" t="s">
        <v>662</v>
      </c>
      <c r="N8821" s="27" t="s">
        <v>663</v>
      </c>
      <c r="P8821" s="27" t="s">
        <v>2506</v>
      </c>
      <c r="Q8821" s="26" t="str">
        <f>HYPERLINK("https://ictv.global/taxonomy/taxondetails?taxnode_id=202508947&amp;ictv_id=ICTV202008947","ICTV202008947")</f>
        <v>ICTV202008947</v>
      </c>
      <c r="R8821" t="s">
        <v>660</v>
      </c>
      <c r="S8821" t="s">
        <v>824</v>
      </c>
      <c r="T8821">
        <v>41</v>
      </c>
      <c r="U8821" s="26" t="str">
        <f t="shared" si="318"/>
        <v>2025.002G.Monodnaviria_reorg_4nr.zip</v>
      </c>
    </row>
    <row r="8822" spans="1:21">
      <c r="A8822">
        <v>8821</v>
      </c>
      <c r="B8822" s="27" t="s">
        <v>20779</v>
      </c>
      <c r="D8822" s="27" t="s">
        <v>1826</v>
      </c>
      <c r="F8822" s="27" t="s">
        <v>1844</v>
      </c>
      <c r="H8822" s="27" t="s">
        <v>1853</v>
      </c>
      <c r="J8822" s="27" t="s">
        <v>1854</v>
      </c>
      <c r="L8822" s="27" t="s">
        <v>662</v>
      </c>
      <c r="N8822" s="27" t="s">
        <v>663</v>
      </c>
      <c r="P8822" s="27" t="s">
        <v>2507</v>
      </c>
      <c r="Q8822" s="26" t="str">
        <f>HYPERLINK("https://ictv.global/taxonomy/taxondetails?taxnode_id=202508997&amp;ictv_id=ICTV202008997","ICTV202008997")</f>
        <v>ICTV202008997</v>
      </c>
      <c r="R8822" t="s">
        <v>660</v>
      </c>
      <c r="S8822" t="s">
        <v>824</v>
      </c>
      <c r="T8822">
        <v>41</v>
      </c>
      <c r="U8822" s="26" t="str">
        <f t="shared" si="318"/>
        <v>2025.002G.Monodnaviria_reorg_4nr.zip</v>
      </c>
    </row>
    <row r="8823" spans="1:21">
      <c r="A8823">
        <v>8822</v>
      </c>
      <c r="B8823" s="27" t="s">
        <v>20779</v>
      </c>
      <c r="D8823" s="27" t="s">
        <v>1826</v>
      </c>
      <c r="F8823" s="27" t="s">
        <v>1844</v>
      </c>
      <c r="H8823" s="27" t="s">
        <v>1853</v>
      </c>
      <c r="J8823" s="27" t="s">
        <v>1854</v>
      </c>
      <c r="L8823" s="27" t="s">
        <v>662</v>
      </c>
      <c r="N8823" s="27" t="s">
        <v>663</v>
      </c>
      <c r="P8823" s="27" t="s">
        <v>2508</v>
      </c>
      <c r="Q8823" s="26" t="str">
        <f>HYPERLINK("https://ictv.global/taxonomy/taxondetails?taxnode_id=202508945&amp;ictv_id=ICTV202008945","ICTV202008945")</f>
        <v>ICTV202008945</v>
      </c>
      <c r="R8823" t="s">
        <v>660</v>
      </c>
      <c r="S8823" t="s">
        <v>824</v>
      </c>
      <c r="T8823">
        <v>41</v>
      </c>
      <c r="U8823" s="26" t="str">
        <f t="shared" si="318"/>
        <v>2025.002G.Monodnaviria_reorg_4nr.zip</v>
      </c>
    </row>
    <row r="8824" spans="1:21">
      <c r="A8824">
        <v>8823</v>
      </c>
      <c r="B8824" s="27" t="s">
        <v>20779</v>
      </c>
      <c r="D8824" s="27" t="s">
        <v>1826</v>
      </c>
      <c r="F8824" s="27" t="s">
        <v>1844</v>
      </c>
      <c r="H8824" s="27" t="s">
        <v>1853</v>
      </c>
      <c r="J8824" s="27" t="s">
        <v>1854</v>
      </c>
      <c r="L8824" s="27" t="s">
        <v>662</v>
      </c>
      <c r="N8824" s="27" t="s">
        <v>663</v>
      </c>
      <c r="P8824" s="27" t="s">
        <v>2509</v>
      </c>
      <c r="Q8824" s="26" t="str">
        <f>HYPERLINK("https://ictv.global/taxonomy/taxondetails?taxnode_id=202508950&amp;ictv_id=ICTV202008950","ICTV202008950")</f>
        <v>ICTV202008950</v>
      </c>
      <c r="R8824" t="s">
        <v>660</v>
      </c>
      <c r="S8824" t="s">
        <v>824</v>
      </c>
      <c r="T8824">
        <v>41</v>
      </c>
      <c r="U8824" s="26" t="str">
        <f t="shared" si="318"/>
        <v>2025.002G.Monodnaviria_reorg_4nr.zip</v>
      </c>
    </row>
    <row r="8825" spans="1:21">
      <c r="A8825">
        <v>8824</v>
      </c>
      <c r="B8825" s="27" t="s">
        <v>20779</v>
      </c>
      <c r="D8825" s="27" t="s">
        <v>1826</v>
      </c>
      <c r="F8825" s="27" t="s">
        <v>1844</v>
      </c>
      <c r="H8825" s="27" t="s">
        <v>1853</v>
      </c>
      <c r="J8825" s="27" t="s">
        <v>1854</v>
      </c>
      <c r="L8825" s="27" t="s">
        <v>662</v>
      </c>
      <c r="N8825" s="27" t="s">
        <v>663</v>
      </c>
      <c r="P8825" s="27" t="s">
        <v>2510</v>
      </c>
      <c r="Q8825" s="26" t="str">
        <f>HYPERLINK("https://ictv.global/taxonomy/taxondetails?taxnode_id=202508975&amp;ictv_id=ICTV202008975","ICTV202008975")</f>
        <v>ICTV202008975</v>
      </c>
      <c r="R8825" t="s">
        <v>660</v>
      </c>
      <c r="S8825" t="s">
        <v>824</v>
      </c>
      <c r="T8825">
        <v>41</v>
      </c>
      <c r="U8825" s="26" t="str">
        <f t="shared" si="318"/>
        <v>2025.002G.Monodnaviria_reorg_4nr.zip</v>
      </c>
    </row>
    <row r="8826" spans="1:21">
      <c r="A8826">
        <v>8825</v>
      </c>
      <c r="B8826" s="27" t="s">
        <v>20779</v>
      </c>
      <c r="D8826" s="27" t="s">
        <v>1826</v>
      </c>
      <c r="F8826" s="27" t="s">
        <v>1844</v>
      </c>
      <c r="H8826" s="27" t="s">
        <v>1853</v>
      </c>
      <c r="J8826" s="27" t="s">
        <v>1854</v>
      </c>
      <c r="L8826" s="27" t="s">
        <v>662</v>
      </c>
      <c r="N8826" s="27" t="s">
        <v>663</v>
      </c>
      <c r="P8826" s="27" t="s">
        <v>2511</v>
      </c>
      <c r="Q8826" s="26" t="str">
        <f>HYPERLINK("https://ictv.global/taxonomy/taxondetails?taxnode_id=202503570&amp;ictv_id=ICTV20165329","ICTV20165329")</f>
        <v>ICTV20165329</v>
      </c>
      <c r="R8826" t="s">
        <v>660</v>
      </c>
      <c r="S8826" t="s">
        <v>824</v>
      </c>
      <c r="T8826">
        <v>41</v>
      </c>
      <c r="U8826" s="26" t="str">
        <f t="shared" si="318"/>
        <v>2025.002G.Monodnaviria_reorg_4nr.zip</v>
      </c>
    </row>
    <row r="8827" spans="1:21">
      <c r="A8827">
        <v>8826</v>
      </c>
      <c r="B8827" s="27" t="s">
        <v>20779</v>
      </c>
      <c r="D8827" s="27" t="s">
        <v>1826</v>
      </c>
      <c r="F8827" s="27" t="s">
        <v>1844</v>
      </c>
      <c r="H8827" s="27" t="s">
        <v>1853</v>
      </c>
      <c r="J8827" s="27" t="s">
        <v>1854</v>
      </c>
      <c r="L8827" s="27" t="s">
        <v>662</v>
      </c>
      <c r="N8827" s="27" t="s">
        <v>663</v>
      </c>
      <c r="P8827" s="27" t="s">
        <v>2512</v>
      </c>
      <c r="Q8827" s="26" t="str">
        <f>HYPERLINK("https://ictv.global/taxonomy/taxondetails?taxnode_id=202503571&amp;ictv_id=ICTV20165330","ICTV20165330")</f>
        <v>ICTV20165330</v>
      </c>
      <c r="R8827" t="s">
        <v>660</v>
      </c>
      <c r="S8827" t="s">
        <v>824</v>
      </c>
      <c r="T8827">
        <v>41</v>
      </c>
      <c r="U8827" s="26" t="str">
        <f t="shared" si="318"/>
        <v>2025.002G.Monodnaviria_reorg_4nr.zip</v>
      </c>
    </row>
    <row r="8828" spans="1:21">
      <c r="A8828">
        <v>8827</v>
      </c>
      <c r="B8828" s="27" t="s">
        <v>20779</v>
      </c>
      <c r="D8828" s="27" t="s">
        <v>1826</v>
      </c>
      <c r="F8828" s="27" t="s">
        <v>1844</v>
      </c>
      <c r="H8828" s="27" t="s">
        <v>1853</v>
      </c>
      <c r="J8828" s="27" t="s">
        <v>1854</v>
      </c>
      <c r="L8828" s="27" t="s">
        <v>662</v>
      </c>
      <c r="N8828" s="27" t="s">
        <v>663</v>
      </c>
      <c r="P8828" s="27" t="s">
        <v>2513</v>
      </c>
      <c r="Q8828" s="26" t="str">
        <f>HYPERLINK("https://ictv.global/taxonomy/taxondetails?taxnode_id=202508953&amp;ictv_id=ICTV202008953","ICTV202008953")</f>
        <v>ICTV202008953</v>
      </c>
      <c r="R8828" t="s">
        <v>660</v>
      </c>
      <c r="S8828" t="s">
        <v>824</v>
      </c>
      <c r="T8828">
        <v>41</v>
      </c>
      <c r="U8828" s="26" t="str">
        <f t="shared" si="318"/>
        <v>2025.002G.Monodnaviria_reorg_4nr.zip</v>
      </c>
    </row>
    <row r="8829" spans="1:21">
      <c r="A8829">
        <v>8828</v>
      </c>
      <c r="B8829" s="27" t="s">
        <v>20779</v>
      </c>
      <c r="D8829" s="27" t="s">
        <v>1826</v>
      </c>
      <c r="F8829" s="27" t="s">
        <v>1844</v>
      </c>
      <c r="H8829" s="27" t="s">
        <v>1853</v>
      </c>
      <c r="J8829" s="27" t="s">
        <v>1854</v>
      </c>
      <c r="L8829" s="27" t="s">
        <v>662</v>
      </c>
      <c r="N8829" s="27" t="s">
        <v>663</v>
      </c>
      <c r="P8829" s="27" t="s">
        <v>2514</v>
      </c>
      <c r="Q8829" s="26" t="str">
        <f>HYPERLINK("https://ictv.global/taxonomy/taxondetails?taxnode_id=202508976&amp;ictv_id=ICTV202008976","ICTV202008976")</f>
        <v>ICTV202008976</v>
      </c>
      <c r="R8829" t="s">
        <v>660</v>
      </c>
      <c r="S8829" t="s">
        <v>824</v>
      </c>
      <c r="T8829">
        <v>41</v>
      </c>
      <c r="U8829" s="26" t="str">
        <f t="shared" si="318"/>
        <v>2025.002G.Monodnaviria_reorg_4nr.zip</v>
      </c>
    </row>
    <row r="8830" spans="1:21">
      <c r="A8830">
        <v>8829</v>
      </c>
      <c r="B8830" s="27" t="s">
        <v>20779</v>
      </c>
      <c r="D8830" s="27" t="s">
        <v>1826</v>
      </c>
      <c r="F8830" s="27" t="s">
        <v>1844</v>
      </c>
      <c r="H8830" s="27" t="s">
        <v>1853</v>
      </c>
      <c r="J8830" s="27" t="s">
        <v>1854</v>
      </c>
      <c r="L8830" s="27" t="s">
        <v>662</v>
      </c>
      <c r="N8830" s="27" t="s">
        <v>663</v>
      </c>
      <c r="P8830" s="27" t="s">
        <v>2515</v>
      </c>
      <c r="Q8830" s="26" t="str">
        <f>HYPERLINK("https://ictv.global/taxonomy/taxondetails?taxnode_id=202508978&amp;ictv_id=ICTV202008978","ICTV202008978")</f>
        <v>ICTV202008978</v>
      </c>
      <c r="R8830" t="s">
        <v>660</v>
      </c>
      <c r="S8830" t="s">
        <v>824</v>
      </c>
      <c r="T8830">
        <v>41</v>
      </c>
      <c r="U8830" s="26" t="str">
        <f t="shared" si="318"/>
        <v>2025.002G.Monodnaviria_reorg_4nr.zip</v>
      </c>
    </row>
    <row r="8831" spans="1:21">
      <c r="A8831">
        <v>8830</v>
      </c>
      <c r="B8831" s="27" t="s">
        <v>20779</v>
      </c>
      <c r="D8831" s="27" t="s">
        <v>1826</v>
      </c>
      <c r="F8831" s="27" t="s">
        <v>1844</v>
      </c>
      <c r="H8831" s="27" t="s">
        <v>1853</v>
      </c>
      <c r="J8831" s="27" t="s">
        <v>1854</v>
      </c>
      <c r="L8831" s="27" t="s">
        <v>662</v>
      </c>
      <c r="N8831" s="27" t="s">
        <v>663</v>
      </c>
      <c r="P8831" s="27" t="s">
        <v>2516</v>
      </c>
      <c r="Q8831" s="26" t="str">
        <f>HYPERLINK("https://ictv.global/taxonomy/taxondetails?taxnode_id=202508982&amp;ictv_id=ICTV202008982","ICTV202008982")</f>
        <v>ICTV202008982</v>
      </c>
      <c r="R8831" t="s">
        <v>660</v>
      </c>
      <c r="S8831" t="s">
        <v>824</v>
      </c>
      <c r="T8831">
        <v>41</v>
      </c>
      <c r="U8831" s="26" t="str">
        <f t="shared" si="318"/>
        <v>2025.002G.Monodnaviria_reorg_4nr.zip</v>
      </c>
    </row>
    <row r="8832" spans="1:21">
      <c r="A8832">
        <v>8831</v>
      </c>
      <c r="B8832" s="27" t="s">
        <v>20779</v>
      </c>
      <c r="D8832" s="27" t="s">
        <v>1826</v>
      </c>
      <c r="F8832" s="27" t="s">
        <v>1844</v>
      </c>
      <c r="H8832" s="27" t="s">
        <v>1853</v>
      </c>
      <c r="J8832" s="27" t="s">
        <v>1854</v>
      </c>
      <c r="L8832" s="27" t="s">
        <v>662</v>
      </c>
      <c r="N8832" s="27" t="s">
        <v>663</v>
      </c>
      <c r="P8832" s="27" t="s">
        <v>2517</v>
      </c>
      <c r="Q8832" s="26" t="str">
        <f>HYPERLINK("https://ictv.global/taxonomy/taxondetails?taxnode_id=202508989&amp;ictv_id=ICTV202008989","ICTV202008989")</f>
        <v>ICTV202008989</v>
      </c>
      <c r="R8832" t="s">
        <v>660</v>
      </c>
      <c r="S8832" t="s">
        <v>824</v>
      </c>
      <c r="T8832">
        <v>41</v>
      </c>
      <c r="U8832" s="26" t="str">
        <f t="shared" si="318"/>
        <v>2025.002G.Monodnaviria_reorg_4nr.zip</v>
      </c>
    </row>
    <row r="8833" spans="1:21">
      <c r="A8833">
        <v>8832</v>
      </c>
      <c r="B8833" s="27" t="s">
        <v>20779</v>
      </c>
      <c r="D8833" s="27" t="s">
        <v>1826</v>
      </c>
      <c r="F8833" s="27" t="s">
        <v>1844</v>
      </c>
      <c r="H8833" s="27" t="s">
        <v>1853</v>
      </c>
      <c r="J8833" s="27" t="s">
        <v>1854</v>
      </c>
      <c r="L8833" s="27" t="s">
        <v>662</v>
      </c>
      <c r="N8833" s="27" t="s">
        <v>663</v>
      </c>
      <c r="P8833" s="27" t="s">
        <v>2518</v>
      </c>
      <c r="Q8833" s="26" t="str">
        <f>HYPERLINK("https://ictv.global/taxonomy/taxondetails?taxnode_id=202508993&amp;ictv_id=ICTV202008993","ICTV202008993")</f>
        <v>ICTV202008993</v>
      </c>
      <c r="R8833" t="s">
        <v>660</v>
      </c>
      <c r="S8833" t="s">
        <v>824</v>
      </c>
      <c r="T8833">
        <v>41</v>
      </c>
      <c r="U8833" s="26" t="str">
        <f t="shared" si="318"/>
        <v>2025.002G.Monodnaviria_reorg_4nr.zip</v>
      </c>
    </row>
    <row r="8834" spans="1:21">
      <c r="A8834">
        <v>8833</v>
      </c>
      <c r="B8834" s="27" t="s">
        <v>20779</v>
      </c>
      <c r="D8834" s="27" t="s">
        <v>1826</v>
      </c>
      <c r="F8834" s="27" t="s">
        <v>1844</v>
      </c>
      <c r="H8834" s="27" t="s">
        <v>1853</v>
      </c>
      <c r="J8834" s="27" t="s">
        <v>1854</v>
      </c>
      <c r="L8834" s="27" t="s">
        <v>662</v>
      </c>
      <c r="N8834" s="27" t="s">
        <v>663</v>
      </c>
      <c r="P8834" s="27" t="s">
        <v>2519</v>
      </c>
      <c r="Q8834" s="26" t="str">
        <f>HYPERLINK("https://ictv.global/taxonomy/taxondetails?taxnode_id=202509009&amp;ictv_id=ICTV202009009","ICTV202009009")</f>
        <v>ICTV202009009</v>
      </c>
      <c r="R8834" t="s">
        <v>660</v>
      </c>
      <c r="S8834" t="s">
        <v>824</v>
      </c>
      <c r="T8834">
        <v>41</v>
      </c>
      <c r="U8834" s="26" t="str">
        <f t="shared" si="318"/>
        <v>2025.002G.Monodnaviria_reorg_4nr.zip</v>
      </c>
    </row>
    <row r="8835" spans="1:21">
      <c r="A8835">
        <v>8834</v>
      </c>
      <c r="B8835" s="27" t="s">
        <v>20779</v>
      </c>
      <c r="D8835" s="27" t="s">
        <v>1826</v>
      </c>
      <c r="F8835" s="27" t="s">
        <v>1844</v>
      </c>
      <c r="H8835" s="27" t="s">
        <v>1853</v>
      </c>
      <c r="J8835" s="27" t="s">
        <v>1854</v>
      </c>
      <c r="L8835" s="27" t="s">
        <v>662</v>
      </c>
      <c r="N8835" s="27" t="s">
        <v>663</v>
      </c>
      <c r="P8835" s="27" t="s">
        <v>2520</v>
      </c>
      <c r="Q8835" s="26" t="str">
        <f>HYPERLINK("https://ictv.global/taxonomy/taxondetails?taxnode_id=202508941&amp;ictv_id=ICTV202008941","ICTV202008941")</f>
        <v>ICTV202008941</v>
      </c>
      <c r="R8835" t="s">
        <v>660</v>
      </c>
      <c r="S8835" t="s">
        <v>824</v>
      </c>
      <c r="T8835">
        <v>41</v>
      </c>
      <c r="U8835" s="26" t="str">
        <f t="shared" si="318"/>
        <v>2025.002G.Monodnaviria_reorg_4nr.zip</v>
      </c>
    </row>
    <row r="8836" spans="1:21">
      <c r="A8836">
        <v>8835</v>
      </c>
      <c r="B8836" s="27" t="s">
        <v>20779</v>
      </c>
      <c r="D8836" s="27" t="s">
        <v>1826</v>
      </c>
      <c r="F8836" s="27" t="s">
        <v>1844</v>
      </c>
      <c r="H8836" s="27" t="s">
        <v>1853</v>
      </c>
      <c r="J8836" s="27" t="s">
        <v>1854</v>
      </c>
      <c r="L8836" s="27" t="s">
        <v>662</v>
      </c>
      <c r="N8836" s="27" t="s">
        <v>663</v>
      </c>
      <c r="P8836" s="27" t="s">
        <v>2521</v>
      </c>
      <c r="Q8836" s="26" t="str">
        <f>HYPERLINK("https://ictv.global/taxonomy/taxondetails?taxnode_id=202508948&amp;ictv_id=ICTV202008948","ICTV202008948")</f>
        <v>ICTV202008948</v>
      </c>
      <c r="R8836" t="s">
        <v>660</v>
      </c>
      <c r="S8836" t="s">
        <v>824</v>
      </c>
      <c r="T8836">
        <v>41</v>
      </c>
      <c r="U8836" s="26" t="str">
        <f t="shared" si="318"/>
        <v>2025.002G.Monodnaviria_reorg_4nr.zip</v>
      </c>
    </row>
    <row r="8837" spans="1:21">
      <c r="A8837">
        <v>8836</v>
      </c>
      <c r="B8837" s="27" t="s">
        <v>20779</v>
      </c>
      <c r="D8837" s="27" t="s">
        <v>1826</v>
      </c>
      <c r="F8837" s="27" t="s">
        <v>1844</v>
      </c>
      <c r="H8837" s="27" t="s">
        <v>1853</v>
      </c>
      <c r="J8837" s="27" t="s">
        <v>1854</v>
      </c>
      <c r="L8837" s="27" t="s">
        <v>662</v>
      </c>
      <c r="N8837" s="27" t="s">
        <v>663</v>
      </c>
      <c r="P8837" s="27" t="s">
        <v>2522</v>
      </c>
      <c r="Q8837" s="26" t="str">
        <f>HYPERLINK("https://ictv.global/taxonomy/taxondetails?taxnode_id=202508951&amp;ictv_id=ICTV202008951","ICTV202008951")</f>
        <v>ICTV202008951</v>
      </c>
      <c r="R8837" t="s">
        <v>660</v>
      </c>
      <c r="S8837" t="s">
        <v>824</v>
      </c>
      <c r="T8837">
        <v>41</v>
      </c>
      <c r="U8837" s="26" t="str">
        <f t="shared" si="318"/>
        <v>2025.002G.Monodnaviria_reorg_4nr.zip</v>
      </c>
    </row>
    <row r="8838" spans="1:21">
      <c r="A8838">
        <v>8837</v>
      </c>
      <c r="B8838" s="27" t="s">
        <v>20779</v>
      </c>
      <c r="D8838" s="27" t="s">
        <v>1826</v>
      </c>
      <c r="F8838" s="27" t="s">
        <v>1844</v>
      </c>
      <c r="H8838" s="27" t="s">
        <v>1853</v>
      </c>
      <c r="J8838" s="27" t="s">
        <v>1854</v>
      </c>
      <c r="L8838" s="27" t="s">
        <v>662</v>
      </c>
      <c r="N8838" s="27" t="s">
        <v>663</v>
      </c>
      <c r="P8838" s="27" t="s">
        <v>2523</v>
      </c>
      <c r="Q8838" s="26" t="str">
        <f>HYPERLINK("https://ictv.global/taxonomy/taxondetails?taxnode_id=202508952&amp;ictv_id=ICTV202008952","ICTV202008952")</f>
        <v>ICTV202008952</v>
      </c>
      <c r="R8838" t="s">
        <v>660</v>
      </c>
      <c r="S8838" t="s">
        <v>824</v>
      </c>
      <c r="T8838">
        <v>41</v>
      </c>
      <c r="U8838" s="26" t="str">
        <f t="shared" si="318"/>
        <v>2025.002G.Monodnaviria_reorg_4nr.zip</v>
      </c>
    </row>
    <row r="8839" spans="1:21">
      <c r="A8839">
        <v>8838</v>
      </c>
      <c r="B8839" s="27" t="s">
        <v>20779</v>
      </c>
      <c r="D8839" s="27" t="s">
        <v>1826</v>
      </c>
      <c r="F8839" s="27" t="s">
        <v>1844</v>
      </c>
      <c r="H8839" s="27" t="s">
        <v>1853</v>
      </c>
      <c r="J8839" s="27" t="s">
        <v>1854</v>
      </c>
      <c r="L8839" s="27" t="s">
        <v>662</v>
      </c>
      <c r="N8839" s="27" t="s">
        <v>663</v>
      </c>
      <c r="P8839" s="27" t="s">
        <v>2524</v>
      </c>
      <c r="Q8839" s="26" t="str">
        <f>HYPERLINK("https://ictv.global/taxonomy/taxondetails?taxnode_id=202508985&amp;ictv_id=ICTV202008985","ICTV202008985")</f>
        <v>ICTV202008985</v>
      </c>
      <c r="R8839" t="s">
        <v>660</v>
      </c>
      <c r="S8839" t="s">
        <v>824</v>
      </c>
      <c r="T8839">
        <v>41</v>
      </c>
      <c r="U8839" s="26" t="str">
        <f t="shared" si="318"/>
        <v>2025.002G.Monodnaviria_reorg_4nr.zip</v>
      </c>
    </row>
    <row r="8840" spans="1:21">
      <c r="A8840">
        <v>8839</v>
      </c>
      <c r="B8840" s="27" t="s">
        <v>20779</v>
      </c>
      <c r="D8840" s="27" t="s">
        <v>1826</v>
      </c>
      <c r="F8840" s="27" t="s">
        <v>1844</v>
      </c>
      <c r="H8840" s="27" t="s">
        <v>1853</v>
      </c>
      <c r="J8840" s="27" t="s">
        <v>1854</v>
      </c>
      <c r="L8840" s="27" t="s">
        <v>662</v>
      </c>
      <c r="N8840" s="27" t="s">
        <v>663</v>
      </c>
      <c r="P8840" s="27" t="s">
        <v>2525</v>
      </c>
      <c r="Q8840" s="26" t="str">
        <f>HYPERLINK("https://ictv.global/taxonomy/taxondetails?taxnode_id=202503572&amp;ictv_id=ICTV20165331","ICTV20165331")</f>
        <v>ICTV20165331</v>
      </c>
      <c r="R8840" t="s">
        <v>660</v>
      </c>
      <c r="S8840" t="s">
        <v>824</v>
      </c>
      <c r="T8840">
        <v>41</v>
      </c>
      <c r="U8840" s="26" t="str">
        <f t="shared" si="318"/>
        <v>2025.002G.Monodnaviria_reorg_4nr.zip</v>
      </c>
    </row>
    <row r="8841" spans="1:21">
      <c r="A8841">
        <v>8840</v>
      </c>
      <c r="B8841" s="27" t="s">
        <v>20779</v>
      </c>
      <c r="D8841" s="27" t="s">
        <v>1826</v>
      </c>
      <c r="F8841" s="27" t="s">
        <v>1844</v>
      </c>
      <c r="H8841" s="27" t="s">
        <v>1853</v>
      </c>
      <c r="J8841" s="27" t="s">
        <v>1854</v>
      </c>
      <c r="L8841" s="27" t="s">
        <v>662</v>
      </c>
      <c r="N8841" s="27" t="s">
        <v>663</v>
      </c>
      <c r="P8841" s="27" t="s">
        <v>2526</v>
      </c>
      <c r="Q8841" s="26" t="str">
        <f>HYPERLINK("https://ictv.global/taxonomy/taxondetails?taxnode_id=202503573&amp;ictv_id=ICTV20165332","ICTV20165332")</f>
        <v>ICTV20165332</v>
      </c>
      <c r="R8841" t="s">
        <v>660</v>
      </c>
      <c r="S8841" t="s">
        <v>824</v>
      </c>
      <c r="T8841">
        <v>41</v>
      </c>
      <c r="U8841" s="26" t="str">
        <f t="shared" si="318"/>
        <v>2025.002G.Monodnaviria_reorg_4nr.zip</v>
      </c>
    </row>
    <row r="8842" spans="1:21">
      <c r="A8842">
        <v>8841</v>
      </c>
      <c r="B8842" s="27" t="s">
        <v>20779</v>
      </c>
      <c r="D8842" s="27" t="s">
        <v>1826</v>
      </c>
      <c r="F8842" s="27" t="s">
        <v>1844</v>
      </c>
      <c r="H8842" s="27" t="s">
        <v>1853</v>
      </c>
      <c r="J8842" s="27" t="s">
        <v>1854</v>
      </c>
      <c r="L8842" s="27" t="s">
        <v>662</v>
      </c>
      <c r="N8842" s="27" t="s">
        <v>663</v>
      </c>
      <c r="P8842" s="27" t="s">
        <v>2527</v>
      </c>
      <c r="Q8842" s="26" t="str">
        <f>HYPERLINK("https://ictv.global/taxonomy/taxondetails?taxnode_id=202508969&amp;ictv_id=ICTV202008969","ICTV202008969")</f>
        <v>ICTV202008969</v>
      </c>
      <c r="R8842" t="s">
        <v>660</v>
      </c>
      <c r="S8842" t="s">
        <v>824</v>
      </c>
      <c r="T8842">
        <v>41</v>
      </c>
      <c r="U8842" s="26" t="str">
        <f t="shared" si="318"/>
        <v>2025.002G.Monodnaviria_reorg_4nr.zip</v>
      </c>
    </row>
    <row r="8843" spans="1:21">
      <c r="A8843">
        <v>8842</v>
      </c>
      <c r="B8843" s="27" t="s">
        <v>20779</v>
      </c>
      <c r="D8843" s="27" t="s">
        <v>1826</v>
      </c>
      <c r="F8843" s="27" t="s">
        <v>1844</v>
      </c>
      <c r="H8843" s="27" t="s">
        <v>1853</v>
      </c>
      <c r="J8843" s="27" t="s">
        <v>1854</v>
      </c>
      <c r="L8843" s="27" t="s">
        <v>662</v>
      </c>
      <c r="N8843" s="27" t="s">
        <v>663</v>
      </c>
      <c r="P8843" s="27" t="s">
        <v>2528</v>
      </c>
      <c r="Q8843" s="26" t="str">
        <f>HYPERLINK("https://ictv.global/taxonomy/taxondetails?taxnode_id=202509007&amp;ictv_id=ICTV202009007","ICTV202009007")</f>
        <v>ICTV202009007</v>
      </c>
      <c r="R8843" t="s">
        <v>660</v>
      </c>
      <c r="S8843" t="s">
        <v>824</v>
      </c>
      <c r="T8843">
        <v>41</v>
      </c>
      <c r="U8843" s="26" t="str">
        <f t="shared" si="318"/>
        <v>2025.002G.Monodnaviria_reorg_4nr.zip</v>
      </c>
    </row>
    <row r="8844" spans="1:21">
      <c r="A8844">
        <v>8843</v>
      </c>
      <c r="B8844" s="27" t="s">
        <v>20779</v>
      </c>
      <c r="D8844" s="27" t="s">
        <v>1826</v>
      </c>
      <c r="F8844" s="27" t="s">
        <v>1844</v>
      </c>
      <c r="H8844" s="27" t="s">
        <v>1853</v>
      </c>
      <c r="J8844" s="27" t="s">
        <v>1854</v>
      </c>
      <c r="L8844" s="27" t="s">
        <v>662</v>
      </c>
      <c r="N8844" s="27" t="s">
        <v>663</v>
      </c>
      <c r="P8844" s="27" t="s">
        <v>2529</v>
      </c>
      <c r="Q8844" s="26" t="str">
        <f>HYPERLINK("https://ictv.global/taxonomy/taxondetails?taxnode_id=202508974&amp;ictv_id=ICTV202008974","ICTV202008974")</f>
        <v>ICTV202008974</v>
      </c>
      <c r="R8844" t="s">
        <v>660</v>
      </c>
      <c r="S8844" t="s">
        <v>824</v>
      </c>
      <c r="T8844">
        <v>41</v>
      </c>
      <c r="U8844" s="26" t="str">
        <f t="shared" si="318"/>
        <v>2025.002G.Monodnaviria_reorg_4nr.zip</v>
      </c>
    </row>
    <row r="8845" spans="1:21">
      <c r="A8845">
        <v>8844</v>
      </c>
      <c r="B8845" s="27" t="s">
        <v>20779</v>
      </c>
      <c r="D8845" s="27" t="s">
        <v>1826</v>
      </c>
      <c r="F8845" s="27" t="s">
        <v>1844</v>
      </c>
      <c r="H8845" s="27" t="s">
        <v>1853</v>
      </c>
      <c r="J8845" s="27" t="s">
        <v>1854</v>
      </c>
      <c r="L8845" s="27" t="s">
        <v>662</v>
      </c>
      <c r="N8845" s="27" t="s">
        <v>663</v>
      </c>
      <c r="P8845" s="27" t="s">
        <v>2530</v>
      </c>
      <c r="Q8845" s="26" t="str">
        <f>HYPERLINK("https://ictv.global/taxonomy/taxondetails?taxnode_id=202508986&amp;ictv_id=ICTV202008986","ICTV202008986")</f>
        <v>ICTV202008986</v>
      </c>
      <c r="R8845" t="s">
        <v>660</v>
      </c>
      <c r="S8845" t="s">
        <v>824</v>
      </c>
      <c r="T8845">
        <v>41</v>
      </c>
      <c r="U8845" s="26" t="str">
        <f t="shared" si="318"/>
        <v>2025.002G.Monodnaviria_reorg_4nr.zip</v>
      </c>
    </row>
    <row r="8846" spans="1:21">
      <c r="A8846">
        <v>8845</v>
      </c>
      <c r="B8846" s="27" t="s">
        <v>20779</v>
      </c>
      <c r="D8846" s="27" t="s">
        <v>1826</v>
      </c>
      <c r="F8846" s="27" t="s">
        <v>1844</v>
      </c>
      <c r="H8846" s="27" t="s">
        <v>1853</v>
      </c>
      <c r="J8846" s="27" t="s">
        <v>1854</v>
      </c>
      <c r="L8846" s="27" t="s">
        <v>662</v>
      </c>
      <c r="N8846" s="27" t="s">
        <v>663</v>
      </c>
      <c r="P8846" s="27" t="s">
        <v>2531</v>
      </c>
      <c r="Q8846" s="26" t="str">
        <f>HYPERLINK("https://ictv.global/taxonomy/taxondetails?taxnode_id=202503574&amp;ictv_id=ICTV20165333","ICTV20165333")</f>
        <v>ICTV20165333</v>
      </c>
      <c r="R8846" t="s">
        <v>660</v>
      </c>
      <c r="S8846" t="s">
        <v>824</v>
      </c>
      <c r="T8846">
        <v>41</v>
      </c>
      <c r="U8846" s="26" t="str">
        <f t="shared" si="318"/>
        <v>2025.002G.Monodnaviria_reorg_4nr.zip</v>
      </c>
    </row>
    <row r="8847" spans="1:21">
      <c r="A8847">
        <v>8846</v>
      </c>
      <c r="B8847" s="27" t="s">
        <v>20779</v>
      </c>
      <c r="D8847" s="27" t="s">
        <v>1826</v>
      </c>
      <c r="F8847" s="27" t="s">
        <v>1844</v>
      </c>
      <c r="H8847" s="27" t="s">
        <v>1853</v>
      </c>
      <c r="J8847" s="27" t="s">
        <v>1854</v>
      </c>
      <c r="L8847" s="27" t="s">
        <v>662</v>
      </c>
      <c r="N8847" s="27" t="s">
        <v>663</v>
      </c>
      <c r="P8847" s="27" t="s">
        <v>2532</v>
      </c>
      <c r="Q8847" s="26" t="str">
        <f>HYPERLINK("https://ictv.global/taxonomy/taxondetails?taxnode_id=202503575&amp;ictv_id=ICTV20165334","ICTV20165334")</f>
        <v>ICTV20165334</v>
      </c>
      <c r="R8847" t="s">
        <v>660</v>
      </c>
      <c r="S8847" t="s">
        <v>824</v>
      </c>
      <c r="T8847">
        <v>41</v>
      </c>
      <c r="U8847" s="26" t="str">
        <f t="shared" si="318"/>
        <v>2025.002G.Monodnaviria_reorg_4nr.zip</v>
      </c>
    </row>
    <row r="8848" spans="1:21">
      <c r="A8848">
        <v>8847</v>
      </c>
      <c r="B8848" s="27" t="s">
        <v>20779</v>
      </c>
      <c r="D8848" s="27" t="s">
        <v>1826</v>
      </c>
      <c r="F8848" s="27" t="s">
        <v>1844</v>
      </c>
      <c r="H8848" s="27" t="s">
        <v>1853</v>
      </c>
      <c r="J8848" s="27" t="s">
        <v>1854</v>
      </c>
      <c r="L8848" s="27" t="s">
        <v>662</v>
      </c>
      <c r="N8848" s="27" t="s">
        <v>663</v>
      </c>
      <c r="P8848" s="27" t="s">
        <v>2533</v>
      </c>
      <c r="Q8848" s="26" t="str">
        <f>HYPERLINK("https://ictv.global/taxonomy/taxondetails?taxnode_id=202503576&amp;ictv_id=ICTV20165335","ICTV20165335")</f>
        <v>ICTV20165335</v>
      </c>
      <c r="R8848" t="s">
        <v>660</v>
      </c>
      <c r="S8848" t="s">
        <v>824</v>
      </c>
      <c r="T8848">
        <v>41</v>
      </c>
      <c r="U8848" s="26" t="str">
        <f t="shared" si="318"/>
        <v>2025.002G.Monodnaviria_reorg_4nr.zip</v>
      </c>
    </row>
    <row r="8849" spans="1:21">
      <c r="A8849">
        <v>8848</v>
      </c>
      <c r="B8849" s="27" t="s">
        <v>20779</v>
      </c>
      <c r="D8849" s="27" t="s">
        <v>1826</v>
      </c>
      <c r="F8849" s="27" t="s">
        <v>1844</v>
      </c>
      <c r="H8849" s="27" t="s">
        <v>1853</v>
      </c>
      <c r="J8849" s="27" t="s">
        <v>1854</v>
      </c>
      <c r="L8849" s="27" t="s">
        <v>662</v>
      </c>
      <c r="N8849" s="27" t="s">
        <v>663</v>
      </c>
      <c r="P8849" s="27" t="s">
        <v>2534</v>
      </c>
      <c r="Q8849" s="26" t="str">
        <f>HYPERLINK("https://ictv.global/taxonomy/taxondetails?taxnode_id=202503577&amp;ictv_id=ICTV20165336","ICTV20165336")</f>
        <v>ICTV20165336</v>
      </c>
      <c r="R8849" t="s">
        <v>660</v>
      </c>
      <c r="S8849" t="s">
        <v>824</v>
      </c>
      <c r="T8849">
        <v>41</v>
      </c>
      <c r="U8849" s="26" t="str">
        <f t="shared" si="318"/>
        <v>2025.002G.Monodnaviria_reorg_4nr.zip</v>
      </c>
    </row>
    <row r="8850" spans="1:21">
      <c r="A8850">
        <v>8849</v>
      </c>
      <c r="B8850" s="27" t="s">
        <v>20779</v>
      </c>
      <c r="D8850" s="27" t="s">
        <v>1826</v>
      </c>
      <c r="F8850" s="27" t="s">
        <v>1844</v>
      </c>
      <c r="H8850" s="27" t="s">
        <v>1853</v>
      </c>
      <c r="J8850" s="27" t="s">
        <v>1854</v>
      </c>
      <c r="L8850" s="27" t="s">
        <v>662</v>
      </c>
      <c r="N8850" s="27" t="s">
        <v>663</v>
      </c>
      <c r="P8850" s="27" t="s">
        <v>2535</v>
      </c>
      <c r="Q8850" s="26" t="str">
        <f>HYPERLINK("https://ictv.global/taxonomy/taxondetails?taxnode_id=202503578&amp;ictv_id=ICTV20165338","ICTV20165338")</f>
        <v>ICTV20165338</v>
      </c>
      <c r="R8850" t="s">
        <v>660</v>
      </c>
      <c r="S8850" t="s">
        <v>824</v>
      </c>
      <c r="T8850">
        <v>41</v>
      </c>
      <c r="U8850" s="26" t="str">
        <f t="shared" si="318"/>
        <v>2025.002G.Monodnaviria_reorg_4nr.zip</v>
      </c>
    </row>
    <row r="8851" spans="1:21">
      <c r="A8851">
        <v>8850</v>
      </c>
      <c r="B8851" s="27" t="s">
        <v>20779</v>
      </c>
      <c r="D8851" s="27" t="s">
        <v>1826</v>
      </c>
      <c r="F8851" s="27" t="s">
        <v>1844</v>
      </c>
      <c r="H8851" s="27" t="s">
        <v>1853</v>
      </c>
      <c r="J8851" s="27" t="s">
        <v>1854</v>
      </c>
      <c r="L8851" s="27" t="s">
        <v>662</v>
      </c>
      <c r="N8851" s="27" t="s">
        <v>663</v>
      </c>
      <c r="P8851" s="27" t="s">
        <v>2536</v>
      </c>
      <c r="Q8851" s="26" t="str">
        <f>HYPERLINK("https://ictv.global/taxonomy/taxondetails?taxnode_id=202503579&amp;ictv_id=ICTV20165339","ICTV20165339")</f>
        <v>ICTV20165339</v>
      </c>
      <c r="R8851" t="s">
        <v>660</v>
      </c>
      <c r="S8851" t="s">
        <v>824</v>
      </c>
      <c r="T8851">
        <v>41</v>
      </c>
      <c r="U8851" s="26" t="str">
        <f t="shared" si="318"/>
        <v>2025.002G.Monodnaviria_reorg_4nr.zip</v>
      </c>
    </row>
    <row r="8852" spans="1:21">
      <c r="A8852">
        <v>8851</v>
      </c>
      <c r="B8852" s="27" t="s">
        <v>20779</v>
      </c>
      <c r="D8852" s="27" t="s">
        <v>1826</v>
      </c>
      <c r="F8852" s="27" t="s">
        <v>1844</v>
      </c>
      <c r="H8852" s="27" t="s">
        <v>1853</v>
      </c>
      <c r="J8852" s="27" t="s">
        <v>1854</v>
      </c>
      <c r="L8852" s="27" t="s">
        <v>662</v>
      </c>
      <c r="N8852" s="27" t="s">
        <v>663</v>
      </c>
      <c r="P8852" s="27" t="s">
        <v>2537</v>
      </c>
      <c r="Q8852" s="26" t="str">
        <f>HYPERLINK("https://ictv.global/taxonomy/taxondetails?taxnode_id=202503580&amp;ictv_id=ICTV20165340","ICTV20165340")</f>
        <v>ICTV20165340</v>
      </c>
      <c r="R8852" t="s">
        <v>660</v>
      </c>
      <c r="S8852" t="s">
        <v>824</v>
      </c>
      <c r="T8852">
        <v>41</v>
      </c>
      <c r="U8852" s="26" t="str">
        <f t="shared" si="318"/>
        <v>2025.002G.Monodnaviria_reorg_4nr.zip</v>
      </c>
    </row>
    <row r="8853" spans="1:21">
      <c r="A8853">
        <v>8852</v>
      </c>
      <c r="B8853" s="27" t="s">
        <v>20779</v>
      </c>
      <c r="D8853" s="27" t="s">
        <v>1826</v>
      </c>
      <c r="F8853" s="27" t="s">
        <v>1844</v>
      </c>
      <c r="H8853" s="27" t="s">
        <v>1853</v>
      </c>
      <c r="J8853" s="27" t="s">
        <v>1854</v>
      </c>
      <c r="L8853" s="27" t="s">
        <v>662</v>
      </c>
      <c r="N8853" s="27" t="s">
        <v>663</v>
      </c>
      <c r="P8853" s="27" t="s">
        <v>2538</v>
      </c>
      <c r="Q8853" s="26" t="str">
        <f>HYPERLINK("https://ictv.global/taxonomy/taxondetails?taxnode_id=202503581&amp;ictv_id=ICTV20165341","ICTV20165341")</f>
        <v>ICTV20165341</v>
      </c>
      <c r="R8853" t="s">
        <v>660</v>
      </c>
      <c r="S8853" t="s">
        <v>824</v>
      </c>
      <c r="T8853">
        <v>41</v>
      </c>
      <c r="U8853" s="26" t="str">
        <f t="shared" si="318"/>
        <v>2025.002G.Monodnaviria_reorg_4nr.zip</v>
      </c>
    </row>
    <row r="8854" spans="1:21">
      <c r="A8854">
        <v>8853</v>
      </c>
      <c r="B8854" s="27" t="s">
        <v>20779</v>
      </c>
      <c r="D8854" s="27" t="s">
        <v>1826</v>
      </c>
      <c r="F8854" s="27" t="s">
        <v>1844</v>
      </c>
      <c r="H8854" s="27" t="s">
        <v>1853</v>
      </c>
      <c r="J8854" s="27" t="s">
        <v>1854</v>
      </c>
      <c r="L8854" s="27" t="s">
        <v>662</v>
      </c>
      <c r="N8854" s="27" t="s">
        <v>663</v>
      </c>
      <c r="P8854" s="27" t="s">
        <v>2539</v>
      </c>
      <c r="Q8854" s="26" t="str">
        <f>HYPERLINK("https://ictv.global/taxonomy/taxondetails?taxnode_id=202503582&amp;ictv_id=ICTV20165342","ICTV20165342")</f>
        <v>ICTV20165342</v>
      </c>
      <c r="R8854" t="s">
        <v>660</v>
      </c>
      <c r="S8854" t="s">
        <v>824</v>
      </c>
      <c r="T8854">
        <v>41</v>
      </c>
      <c r="U8854" s="26" t="str">
        <f t="shared" si="318"/>
        <v>2025.002G.Monodnaviria_reorg_4nr.zip</v>
      </c>
    </row>
    <row r="8855" spans="1:21">
      <c r="A8855">
        <v>8854</v>
      </c>
      <c r="B8855" s="27" t="s">
        <v>20779</v>
      </c>
      <c r="D8855" s="27" t="s">
        <v>1826</v>
      </c>
      <c r="F8855" s="27" t="s">
        <v>1844</v>
      </c>
      <c r="H8855" s="27" t="s">
        <v>1853</v>
      </c>
      <c r="J8855" s="27" t="s">
        <v>1854</v>
      </c>
      <c r="L8855" s="27" t="s">
        <v>662</v>
      </c>
      <c r="N8855" s="27" t="s">
        <v>663</v>
      </c>
      <c r="P8855" s="27" t="s">
        <v>2540</v>
      </c>
      <c r="Q8855" s="26" t="str">
        <f>HYPERLINK("https://ictv.global/taxonomy/taxondetails?taxnode_id=202503583&amp;ictv_id=ICTV20165343","ICTV20165343")</f>
        <v>ICTV20165343</v>
      </c>
      <c r="R8855" t="s">
        <v>660</v>
      </c>
      <c r="S8855" t="s">
        <v>824</v>
      </c>
      <c r="T8855">
        <v>41</v>
      </c>
      <c r="U8855" s="26" t="str">
        <f t="shared" si="318"/>
        <v>2025.002G.Monodnaviria_reorg_4nr.zip</v>
      </c>
    </row>
    <row r="8856" spans="1:21">
      <c r="A8856">
        <v>8855</v>
      </c>
      <c r="B8856" s="27" t="s">
        <v>20779</v>
      </c>
      <c r="D8856" s="27" t="s">
        <v>1826</v>
      </c>
      <c r="F8856" s="27" t="s">
        <v>1844</v>
      </c>
      <c r="H8856" s="27" t="s">
        <v>1853</v>
      </c>
      <c r="J8856" s="27" t="s">
        <v>1854</v>
      </c>
      <c r="L8856" s="27" t="s">
        <v>662</v>
      </c>
      <c r="N8856" s="27" t="s">
        <v>663</v>
      </c>
      <c r="P8856" s="27" t="s">
        <v>2541</v>
      </c>
      <c r="Q8856" s="26" t="str">
        <f>HYPERLINK("https://ictv.global/taxonomy/taxondetails?taxnode_id=202503584&amp;ictv_id=ICTV20165344","ICTV20165344")</f>
        <v>ICTV20165344</v>
      </c>
      <c r="R8856" t="s">
        <v>660</v>
      </c>
      <c r="S8856" t="s">
        <v>824</v>
      </c>
      <c r="T8856">
        <v>41</v>
      </c>
      <c r="U8856" s="26" t="str">
        <f t="shared" si="318"/>
        <v>2025.002G.Monodnaviria_reorg_4nr.zip</v>
      </c>
    </row>
    <row r="8857" spans="1:21">
      <c r="A8857">
        <v>8856</v>
      </c>
      <c r="B8857" s="27" t="s">
        <v>20779</v>
      </c>
      <c r="D8857" s="27" t="s">
        <v>1826</v>
      </c>
      <c r="F8857" s="27" t="s">
        <v>1844</v>
      </c>
      <c r="H8857" s="27" t="s">
        <v>1853</v>
      </c>
      <c r="J8857" s="27" t="s">
        <v>1854</v>
      </c>
      <c r="L8857" s="27" t="s">
        <v>662</v>
      </c>
      <c r="N8857" s="27" t="s">
        <v>663</v>
      </c>
      <c r="P8857" s="27" t="s">
        <v>2542</v>
      </c>
      <c r="Q8857" s="26" t="str">
        <f>HYPERLINK("https://ictv.global/taxonomy/taxondetails?taxnode_id=202503585&amp;ictv_id=ICTV20165345","ICTV20165345")</f>
        <v>ICTV20165345</v>
      </c>
      <c r="R8857" t="s">
        <v>660</v>
      </c>
      <c r="S8857" t="s">
        <v>824</v>
      </c>
      <c r="T8857">
        <v>41</v>
      </c>
      <c r="U8857" s="26" t="str">
        <f t="shared" si="318"/>
        <v>2025.002G.Monodnaviria_reorg_4nr.zip</v>
      </c>
    </row>
    <row r="8858" spans="1:21">
      <c r="A8858">
        <v>8857</v>
      </c>
      <c r="B8858" s="27" t="s">
        <v>20779</v>
      </c>
      <c r="D8858" s="27" t="s">
        <v>1826</v>
      </c>
      <c r="F8858" s="27" t="s">
        <v>1844</v>
      </c>
      <c r="H8858" s="27" t="s">
        <v>1853</v>
      </c>
      <c r="J8858" s="27" t="s">
        <v>1854</v>
      </c>
      <c r="L8858" s="27" t="s">
        <v>662</v>
      </c>
      <c r="N8858" s="27" t="s">
        <v>663</v>
      </c>
      <c r="P8858" s="27" t="s">
        <v>2543</v>
      </c>
      <c r="Q8858" s="26" t="str">
        <f>HYPERLINK("https://ictv.global/taxonomy/taxondetails?taxnode_id=202503586&amp;ictv_id=ICTV20165337","ICTV20165337")</f>
        <v>ICTV20165337</v>
      </c>
      <c r="R8858" t="s">
        <v>660</v>
      </c>
      <c r="S8858" t="s">
        <v>824</v>
      </c>
      <c r="T8858">
        <v>41</v>
      </c>
      <c r="U8858" s="26" t="str">
        <f t="shared" si="318"/>
        <v>2025.002G.Monodnaviria_reorg_4nr.zip</v>
      </c>
    </row>
    <row r="8859" spans="1:21">
      <c r="A8859">
        <v>8858</v>
      </c>
      <c r="B8859" s="27" t="s">
        <v>20779</v>
      </c>
      <c r="D8859" s="27" t="s">
        <v>1826</v>
      </c>
      <c r="F8859" s="27" t="s">
        <v>1844</v>
      </c>
      <c r="H8859" s="27" t="s">
        <v>1853</v>
      </c>
      <c r="J8859" s="27" t="s">
        <v>1854</v>
      </c>
      <c r="L8859" s="27" t="s">
        <v>662</v>
      </c>
      <c r="N8859" s="27" t="s">
        <v>663</v>
      </c>
      <c r="P8859" s="27" t="s">
        <v>2544</v>
      </c>
      <c r="Q8859" s="26" t="str">
        <f>HYPERLINK("https://ictv.global/taxonomy/taxondetails?taxnode_id=202508957&amp;ictv_id=ICTV202008957","ICTV202008957")</f>
        <v>ICTV202008957</v>
      </c>
      <c r="R8859" t="s">
        <v>660</v>
      </c>
      <c r="S8859" t="s">
        <v>824</v>
      </c>
      <c r="T8859">
        <v>41</v>
      </c>
      <c r="U8859" s="26" t="str">
        <f t="shared" si="318"/>
        <v>2025.002G.Monodnaviria_reorg_4nr.zip</v>
      </c>
    </row>
    <row r="8860" spans="1:21">
      <c r="A8860">
        <v>8859</v>
      </c>
      <c r="B8860" s="27" t="s">
        <v>20779</v>
      </c>
      <c r="D8860" s="27" t="s">
        <v>1826</v>
      </c>
      <c r="F8860" s="27" t="s">
        <v>1844</v>
      </c>
      <c r="H8860" s="27" t="s">
        <v>1853</v>
      </c>
      <c r="J8860" s="27" t="s">
        <v>1854</v>
      </c>
      <c r="L8860" s="27" t="s">
        <v>662</v>
      </c>
      <c r="N8860" s="27" t="s">
        <v>663</v>
      </c>
      <c r="P8860" s="27" t="s">
        <v>2545</v>
      </c>
      <c r="Q8860" s="26" t="str">
        <f>HYPERLINK("https://ictv.global/taxonomy/taxondetails?taxnode_id=202503587&amp;ictv_id=ICTV20165346","ICTV20165346")</f>
        <v>ICTV20165346</v>
      </c>
      <c r="R8860" t="s">
        <v>660</v>
      </c>
      <c r="S8860" t="s">
        <v>824</v>
      </c>
      <c r="T8860">
        <v>41</v>
      </c>
      <c r="U8860" s="26" t="str">
        <f t="shared" si="318"/>
        <v>2025.002G.Monodnaviria_reorg_4nr.zip</v>
      </c>
    </row>
    <row r="8861" spans="1:21">
      <c r="A8861">
        <v>8860</v>
      </c>
      <c r="B8861" s="27" t="s">
        <v>20779</v>
      </c>
      <c r="D8861" s="27" t="s">
        <v>1826</v>
      </c>
      <c r="F8861" s="27" t="s">
        <v>1844</v>
      </c>
      <c r="H8861" s="27" t="s">
        <v>1853</v>
      </c>
      <c r="J8861" s="27" t="s">
        <v>1854</v>
      </c>
      <c r="L8861" s="27" t="s">
        <v>662</v>
      </c>
      <c r="N8861" s="27" t="s">
        <v>663</v>
      </c>
      <c r="P8861" s="27" t="s">
        <v>2546</v>
      </c>
      <c r="Q8861" s="26" t="str">
        <f>HYPERLINK("https://ictv.global/taxonomy/taxondetails?taxnode_id=202508949&amp;ictv_id=ICTV202008949","ICTV202008949")</f>
        <v>ICTV202008949</v>
      </c>
      <c r="R8861" t="s">
        <v>660</v>
      </c>
      <c r="S8861" t="s">
        <v>824</v>
      </c>
      <c r="T8861">
        <v>41</v>
      </c>
      <c r="U8861" s="26" t="str">
        <f t="shared" si="318"/>
        <v>2025.002G.Monodnaviria_reorg_4nr.zip</v>
      </c>
    </row>
    <row r="8862" spans="1:21">
      <c r="A8862">
        <v>8861</v>
      </c>
      <c r="B8862" s="27" t="s">
        <v>20779</v>
      </c>
      <c r="D8862" s="27" t="s">
        <v>1826</v>
      </c>
      <c r="F8862" s="27" t="s">
        <v>1844</v>
      </c>
      <c r="H8862" s="27" t="s">
        <v>1853</v>
      </c>
      <c r="J8862" s="27" t="s">
        <v>1854</v>
      </c>
      <c r="L8862" s="27" t="s">
        <v>662</v>
      </c>
      <c r="N8862" s="27" t="s">
        <v>663</v>
      </c>
      <c r="P8862" s="27" t="s">
        <v>2547</v>
      </c>
      <c r="Q8862" s="26" t="str">
        <f>HYPERLINK("https://ictv.global/taxonomy/taxondetails?taxnode_id=202508944&amp;ictv_id=ICTV202008944","ICTV202008944")</f>
        <v>ICTV202008944</v>
      </c>
      <c r="R8862" t="s">
        <v>660</v>
      </c>
      <c r="S8862" t="s">
        <v>824</v>
      </c>
      <c r="T8862">
        <v>41</v>
      </c>
      <c r="U8862" s="26" t="str">
        <f t="shared" si="318"/>
        <v>2025.002G.Monodnaviria_reorg_4nr.zip</v>
      </c>
    </row>
    <row r="8863" spans="1:21">
      <c r="A8863">
        <v>8862</v>
      </c>
      <c r="B8863" s="27" t="s">
        <v>20779</v>
      </c>
      <c r="D8863" s="27" t="s">
        <v>1826</v>
      </c>
      <c r="F8863" s="27" t="s">
        <v>1844</v>
      </c>
      <c r="H8863" s="27" t="s">
        <v>1853</v>
      </c>
      <c r="J8863" s="27" t="s">
        <v>1854</v>
      </c>
      <c r="L8863" s="27" t="s">
        <v>662</v>
      </c>
      <c r="N8863" s="27" t="s">
        <v>663</v>
      </c>
      <c r="P8863" s="27" t="s">
        <v>2548</v>
      </c>
      <c r="Q8863" s="26" t="str">
        <f>HYPERLINK("https://ictv.global/taxonomy/taxondetails?taxnode_id=202508972&amp;ictv_id=ICTV202008972","ICTV202008972")</f>
        <v>ICTV202008972</v>
      </c>
      <c r="R8863" t="s">
        <v>660</v>
      </c>
      <c r="S8863" t="s">
        <v>824</v>
      </c>
      <c r="T8863">
        <v>41</v>
      </c>
      <c r="U8863" s="26" t="str">
        <f t="shared" si="318"/>
        <v>2025.002G.Monodnaviria_reorg_4nr.zip</v>
      </c>
    </row>
    <row r="8864" spans="1:21">
      <c r="A8864">
        <v>8863</v>
      </c>
      <c r="B8864" s="27" t="s">
        <v>20779</v>
      </c>
      <c r="D8864" s="27" t="s">
        <v>1826</v>
      </c>
      <c r="F8864" s="27" t="s">
        <v>1844</v>
      </c>
      <c r="H8864" s="27" t="s">
        <v>1853</v>
      </c>
      <c r="J8864" s="27" t="s">
        <v>1854</v>
      </c>
      <c r="L8864" s="27" t="s">
        <v>662</v>
      </c>
      <c r="N8864" s="27" t="s">
        <v>663</v>
      </c>
      <c r="P8864" s="27" t="s">
        <v>2549</v>
      </c>
      <c r="Q8864" s="26" t="str">
        <f>HYPERLINK("https://ictv.global/taxonomy/taxondetails?taxnode_id=202503588&amp;ictv_id=ICTV20154640","ICTV20154640")</f>
        <v>ICTV20154640</v>
      </c>
      <c r="R8864" t="s">
        <v>660</v>
      </c>
      <c r="S8864" t="s">
        <v>824</v>
      </c>
      <c r="T8864">
        <v>41</v>
      </c>
      <c r="U8864" s="26" t="str">
        <f t="shared" si="318"/>
        <v>2025.002G.Monodnaviria_reorg_4nr.zip</v>
      </c>
    </row>
    <row r="8865" spans="1:21">
      <c r="A8865">
        <v>8864</v>
      </c>
      <c r="B8865" s="27" t="s">
        <v>20779</v>
      </c>
      <c r="D8865" s="27" t="s">
        <v>1826</v>
      </c>
      <c r="F8865" s="27" t="s">
        <v>1844</v>
      </c>
      <c r="H8865" s="27" t="s">
        <v>1853</v>
      </c>
      <c r="J8865" s="27" t="s">
        <v>1854</v>
      </c>
      <c r="L8865" s="27" t="s">
        <v>662</v>
      </c>
      <c r="N8865" s="27" t="s">
        <v>663</v>
      </c>
      <c r="P8865" s="27" t="s">
        <v>2550</v>
      </c>
      <c r="Q8865" s="26" t="str">
        <f>HYPERLINK("https://ictv.global/taxonomy/taxondetails?taxnode_id=202503589&amp;ictv_id=ICTV20165347","ICTV20165347")</f>
        <v>ICTV20165347</v>
      </c>
      <c r="R8865" t="s">
        <v>660</v>
      </c>
      <c r="S8865" t="s">
        <v>824</v>
      </c>
      <c r="T8865">
        <v>41</v>
      </c>
      <c r="U8865" s="26" t="str">
        <f t="shared" si="318"/>
        <v>2025.002G.Monodnaviria_reorg_4nr.zip</v>
      </c>
    </row>
    <row r="8866" spans="1:21">
      <c r="A8866">
        <v>8865</v>
      </c>
      <c r="B8866" s="27" t="s">
        <v>20779</v>
      </c>
      <c r="D8866" s="27" t="s">
        <v>1826</v>
      </c>
      <c r="F8866" s="27" t="s">
        <v>1844</v>
      </c>
      <c r="H8866" s="27" t="s">
        <v>1853</v>
      </c>
      <c r="J8866" s="27" t="s">
        <v>1854</v>
      </c>
      <c r="L8866" s="27" t="s">
        <v>662</v>
      </c>
      <c r="N8866" s="27" t="s">
        <v>663</v>
      </c>
      <c r="P8866" s="27" t="s">
        <v>2551</v>
      </c>
      <c r="Q8866" s="26" t="str">
        <f>HYPERLINK("https://ictv.global/taxonomy/taxondetails?taxnode_id=202503590&amp;ictv_id=ICTV20165348","ICTV20165348")</f>
        <v>ICTV20165348</v>
      </c>
      <c r="R8866" t="s">
        <v>660</v>
      </c>
      <c r="S8866" t="s">
        <v>824</v>
      </c>
      <c r="T8866">
        <v>41</v>
      </c>
      <c r="U8866" s="26" t="str">
        <f t="shared" si="318"/>
        <v>2025.002G.Monodnaviria_reorg_4nr.zip</v>
      </c>
    </row>
    <row r="8867" spans="1:21">
      <c r="A8867">
        <v>8866</v>
      </c>
      <c r="B8867" s="27" t="s">
        <v>20779</v>
      </c>
      <c r="D8867" s="27" t="s">
        <v>1826</v>
      </c>
      <c r="F8867" s="27" t="s">
        <v>1844</v>
      </c>
      <c r="H8867" s="27" t="s">
        <v>1853</v>
      </c>
      <c r="J8867" s="27" t="s">
        <v>1854</v>
      </c>
      <c r="L8867" s="27" t="s">
        <v>662</v>
      </c>
      <c r="N8867" s="27" t="s">
        <v>663</v>
      </c>
      <c r="P8867" s="27" t="s">
        <v>2552</v>
      </c>
      <c r="Q8867" s="26" t="str">
        <f>HYPERLINK("https://ictv.global/taxonomy/taxondetails?taxnode_id=202503591&amp;ictv_id=ICTV20165349","ICTV20165349")</f>
        <v>ICTV20165349</v>
      </c>
      <c r="R8867" t="s">
        <v>660</v>
      </c>
      <c r="S8867" t="s">
        <v>824</v>
      </c>
      <c r="T8867">
        <v>41</v>
      </c>
      <c r="U8867" s="26" t="str">
        <f t="shared" si="318"/>
        <v>2025.002G.Monodnaviria_reorg_4nr.zip</v>
      </c>
    </row>
    <row r="8868" spans="1:21">
      <c r="A8868">
        <v>8867</v>
      </c>
      <c r="B8868" s="27" t="s">
        <v>20779</v>
      </c>
      <c r="D8868" s="27" t="s">
        <v>1826</v>
      </c>
      <c r="F8868" s="27" t="s">
        <v>1844</v>
      </c>
      <c r="H8868" s="27" t="s">
        <v>1853</v>
      </c>
      <c r="J8868" s="27" t="s">
        <v>1854</v>
      </c>
      <c r="L8868" s="27" t="s">
        <v>662</v>
      </c>
      <c r="N8868" s="27" t="s">
        <v>663</v>
      </c>
      <c r="P8868" s="27" t="s">
        <v>2553</v>
      </c>
      <c r="Q8868" s="26" t="str">
        <f>HYPERLINK("https://ictv.global/taxonomy/taxondetails?taxnode_id=202503592&amp;ictv_id=ICTV20165350","ICTV20165350")</f>
        <v>ICTV20165350</v>
      </c>
      <c r="R8868" t="s">
        <v>660</v>
      </c>
      <c r="S8868" t="s">
        <v>824</v>
      </c>
      <c r="T8868">
        <v>41</v>
      </c>
      <c r="U8868" s="26" t="str">
        <f t="shared" si="318"/>
        <v>2025.002G.Monodnaviria_reorg_4nr.zip</v>
      </c>
    </row>
    <row r="8869" spans="1:21">
      <c r="A8869">
        <v>8868</v>
      </c>
      <c r="B8869" s="27" t="s">
        <v>20779</v>
      </c>
      <c r="D8869" s="27" t="s">
        <v>1826</v>
      </c>
      <c r="F8869" s="27" t="s">
        <v>1844</v>
      </c>
      <c r="H8869" s="27" t="s">
        <v>1853</v>
      </c>
      <c r="J8869" s="27" t="s">
        <v>1854</v>
      </c>
      <c r="L8869" s="27" t="s">
        <v>662</v>
      </c>
      <c r="N8869" s="27" t="s">
        <v>663</v>
      </c>
      <c r="P8869" s="27" t="s">
        <v>2554</v>
      </c>
      <c r="Q8869" s="26" t="str">
        <f>HYPERLINK("https://ictv.global/taxonomy/taxondetails?taxnode_id=202503593&amp;ictv_id=ICTV20165351","ICTV20165351")</f>
        <v>ICTV20165351</v>
      </c>
      <c r="R8869" t="s">
        <v>660</v>
      </c>
      <c r="S8869" t="s">
        <v>824</v>
      </c>
      <c r="T8869">
        <v>41</v>
      </c>
      <c r="U8869" s="26" t="str">
        <f t="shared" si="318"/>
        <v>2025.002G.Monodnaviria_reorg_4nr.zip</v>
      </c>
    </row>
    <row r="8870" spans="1:21">
      <c r="A8870">
        <v>8869</v>
      </c>
      <c r="B8870" s="27" t="s">
        <v>20779</v>
      </c>
      <c r="D8870" s="27" t="s">
        <v>1826</v>
      </c>
      <c r="F8870" s="27" t="s">
        <v>1844</v>
      </c>
      <c r="H8870" s="27" t="s">
        <v>1853</v>
      </c>
      <c r="J8870" s="27" t="s">
        <v>1854</v>
      </c>
      <c r="L8870" s="27" t="s">
        <v>662</v>
      </c>
      <c r="N8870" s="27" t="s">
        <v>663</v>
      </c>
      <c r="P8870" s="27" t="s">
        <v>2555</v>
      </c>
      <c r="Q8870" s="26" t="str">
        <f>HYPERLINK("https://ictv.global/taxonomy/taxondetails?taxnode_id=202503594&amp;ictv_id=ICTV20165352","ICTV20165352")</f>
        <v>ICTV20165352</v>
      </c>
      <c r="R8870" t="s">
        <v>660</v>
      </c>
      <c r="S8870" t="s">
        <v>824</v>
      </c>
      <c r="T8870">
        <v>41</v>
      </c>
      <c r="U8870" s="26" t="str">
        <f t="shared" si="318"/>
        <v>2025.002G.Monodnaviria_reorg_4nr.zip</v>
      </c>
    </row>
    <row r="8871" spans="1:21">
      <c r="A8871">
        <v>8870</v>
      </c>
      <c r="B8871" s="27" t="s">
        <v>20779</v>
      </c>
      <c r="D8871" s="27" t="s">
        <v>1826</v>
      </c>
      <c r="F8871" s="27" t="s">
        <v>1844</v>
      </c>
      <c r="H8871" s="27" t="s">
        <v>1853</v>
      </c>
      <c r="J8871" s="27" t="s">
        <v>1854</v>
      </c>
      <c r="L8871" s="27" t="s">
        <v>662</v>
      </c>
      <c r="N8871" s="27" t="s">
        <v>663</v>
      </c>
      <c r="P8871" s="27" t="s">
        <v>2556</v>
      </c>
      <c r="Q8871" s="26" t="str">
        <f>HYPERLINK("https://ictv.global/taxonomy/taxondetails?taxnode_id=202508981&amp;ictv_id=ICTV202008981","ICTV202008981")</f>
        <v>ICTV202008981</v>
      </c>
      <c r="R8871" t="s">
        <v>660</v>
      </c>
      <c r="S8871" t="s">
        <v>824</v>
      </c>
      <c r="T8871">
        <v>41</v>
      </c>
      <c r="U8871" s="26" t="str">
        <f t="shared" si="318"/>
        <v>2025.002G.Monodnaviria_reorg_4nr.zip</v>
      </c>
    </row>
    <row r="8872" spans="1:21">
      <c r="A8872">
        <v>8871</v>
      </c>
      <c r="B8872" s="27" t="s">
        <v>20779</v>
      </c>
      <c r="D8872" s="27" t="s">
        <v>1826</v>
      </c>
      <c r="F8872" s="27" t="s">
        <v>1844</v>
      </c>
      <c r="H8872" s="27" t="s">
        <v>1853</v>
      </c>
      <c r="J8872" s="27" t="s">
        <v>1854</v>
      </c>
      <c r="L8872" s="27" t="s">
        <v>662</v>
      </c>
      <c r="N8872" s="27" t="s">
        <v>663</v>
      </c>
      <c r="P8872" s="27" t="s">
        <v>2557</v>
      </c>
      <c r="Q8872" s="26" t="str">
        <f>HYPERLINK("https://ictv.global/taxonomy/taxondetails?taxnode_id=202509003&amp;ictv_id=ICTV202009003","ICTV202009003")</f>
        <v>ICTV202009003</v>
      </c>
      <c r="R8872" t="s">
        <v>660</v>
      </c>
      <c r="S8872" t="s">
        <v>824</v>
      </c>
      <c r="T8872">
        <v>41</v>
      </c>
      <c r="U8872" s="26" t="str">
        <f t="shared" ref="U8872:U8935" si="319">HYPERLINK("https://ictv.global/ictv/proposals/2025.002G.Monodnaviria_reorg_4nr.zip","2025.002G.Monodnaviria_reorg_4nr.zip")</f>
        <v>2025.002G.Monodnaviria_reorg_4nr.zip</v>
      </c>
    </row>
    <row r="8873" spans="1:21">
      <c r="A8873">
        <v>8872</v>
      </c>
      <c r="B8873" s="27" t="s">
        <v>20779</v>
      </c>
      <c r="D8873" s="27" t="s">
        <v>1826</v>
      </c>
      <c r="F8873" s="27" t="s">
        <v>1844</v>
      </c>
      <c r="H8873" s="27" t="s">
        <v>1853</v>
      </c>
      <c r="J8873" s="27" t="s">
        <v>1854</v>
      </c>
      <c r="L8873" s="27" t="s">
        <v>662</v>
      </c>
      <c r="N8873" s="27" t="s">
        <v>663</v>
      </c>
      <c r="P8873" s="27" t="s">
        <v>2558</v>
      </c>
      <c r="Q8873" s="26" t="str">
        <f>HYPERLINK("https://ictv.global/taxonomy/taxondetails?taxnode_id=202503595&amp;ictv_id=ICTV20165353","ICTV20165353")</f>
        <v>ICTV20165353</v>
      </c>
      <c r="R8873" t="s">
        <v>660</v>
      </c>
      <c r="S8873" t="s">
        <v>824</v>
      </c>
      <c r="T8873">
        <v>41</v>
      </c>
      <c r="U8873" s="26" t="str">
        <f t="shared" si="319"/>
        <v>2025.002G.Monodnaviria_reorg_4nr.zip</v>
      </c>
    </row>
    <row r="8874" spans="1:21">
      <c r="A8874">
        <v>8873</v>
      </c>
      <c r="B8874" s="27" t="s">
        <v>20779</v>
      </c>
      <c r="D8874" s="27" t="s">
        <v>1826</v>
      </c>
      <c r="F8874" s="27" t="s">
        <v>1844</v>
      </c>
      <c r="H8874" s="27" t="s">
        <v>1853</v>
      </c>
      <c r="J8874" s="27" t="s">
        <v>1854</v>
      </c>
      <c r="L8874" s="27" t="s">
        <v>662</v>
      </c>
      <c r="N8874" s="27" t="s">
        <v>663</v>
      </c>
      <c r="P8874" s="27" t="s">
        <v>2559</v>
      </c>
      <c r="Q8874" s="26" t="str">
        <f>HYPERLINK("https://ictv.global/taxonomy/taxondetails?taxnode_id=202508992&amp;ictv_id=ICTV202008992","ICTV202008992")</f>
        <v>ICTV202008992</v>
      </c>
      <c r="R8874" t="s">
        <v>660</v>
      </c>
      <c r="S8874" t="s">
        <v>824</v>
      </c>
      <c r="T8874">
        <v>41</v>
      </c>
      <c r="U8874" s="26" t="str">
        <f t="shared" si="319"/>
        <v>2025.002G.Monodnaviria_reorg_4nr.zip</v>
      </c>
    </row>
    <row r="8875" spans="1:21">
      <c r="A8875">
        <v>8874</v>
      </c>
      <c r="B8875" s="27" t="s">
        <v>20779</v>
      </c>
      <c r="D8875" s="27" t="s">
        <v>1826</v>
      </c>
      <c r="F8875" s="27" t="s">
        <v>1844</v>
      </c>
      <c r="H8875" s="27" t="s">
        <v>1853</v>
      </c>
      <c r="J8875" s="27" t="s">
        <v>1854</v>
      </c>
      <c r="L8875" s="27" t="s">
        <v>662</v>
      </c>
      <c r="N8875" s="27" t="s">
        <v>663</v>
      </c>
      <c r="P8875" s="27" t="s">
        <v>2560</v>
      </c>
      <c r="Q8875" s="26" t="str">
        <f>HYPERLINK("https://ictv.global/taxonomy/taxondetails?taxnode_id=202508939&amp;ictv_id=ICTV202008939","ICTV202008939")</f>
        <v>ICTV202008939</v>
      </c>
      <c r="R8875" t="s">
        <v>660</v>
      </c>
      <c r="S8875" t="s">
        <v>824</v>
      </c>
      <c r="T8875">
        <v>41</v>
      </c>
      <c r="U8875" s="26" t="str">
        <f t="shared" si="319"/>
        <v>2025.002G.Monodnaviria_reorg_4nr.zip</v>
      </c>
    </row>
    <row r="8876" spans="1:21">
      <c r="A8876">
        <v>8875</v>
      </c>
      <c r="B8876" s="27" t="s">
        <v>20779</v>
      </c>
      <c r="D8876" s="27" t="s">
        <v>1826</v>
      </c>
      <c r="F8876" s="27" t="s">
        <v>1844</v>
      </c>
      <c r="H8876" s="27" t="s">
        <v>1853</v>
      </c>
      <c r="J8876" s="27" t="s">
        <v>1854</v>
      </c>
      <c r="L8876" s="27" t="s">
        <v>662</v>
      </c>
      <c r="N8876" s="27" t="s">
        <v>663</v>
      </c>
      <c r="P8876" s="27" t="s">
        <v>2561</v>
      </c>
      <c r="Q8876" s="26" t="str">
        <f>HYPERLINK("https://ictv.global/taxonomy/taxondetails?taxnode_id=202508963&amp;ictv_id=ICTV202008963","ICTV202008963")</f>
        <v>ICTV202008963</v>
      </c>
      <c r="R8876" t="s">
        <v>660</v>
      </c>
      <c r="S8876" t="s">
        <v>824</v>
      </c>
      <c r="T8876">
        <v>41</v>
      </c>
      <c r="U8876" s="26" t="str">
        <f t="shared" si="319"/>
        <v>2025.002G.Monodnaviria_reorg_4nr.zip</v>
      </c>
    </row>
    <row r="8877" spans="1:21">
      <c r="A8877">
        <v>8876</v>
      </c>
      <c r="B8877" s="27" t="s">
        <v>20779</v>
      </c>
      <c r="D8877" s="27" t="s">
        <v>1826</v>
      </c>
      <c r="F8877" s="27" t="s">
        <v>1844</v>
      </c>
      <c r="H8877" s="27" t="s">
        <v>1853</v>
      </c>
      <c r="J8877" s="27" t="s">
        <v>1854</v>
      </c>
      <c r="L8877" s="27" t="s">
        <v>662</v>
      </c>
      <c r="N8877" s="27" t="s">
        <v>663</v>
      </c>
      <c r="P8877" s="27" t="s">
        <v>2562</v>
      </c>
      <c r="Q8877" s="26" t="str">
        <f>HYPERLINK("https://ictv.global/taxonomy/taxondetails?taxnode_id=202508996&amp;ictv_id=ICTV202008996","ICTV202008996")</f>
        <v>ICTV202008996</v>
      </c>
      <c r="R8877" t="s">
        <v>660</v>
      </c>
      <c r="S8877" t="s">
        <v>824</v>
      </c>
      <c r="T8877">
        <v>41</v>
      </c>
      <c r="U8877" s="26" t="str">
        <f t="shared" si="319"/>
        <v>2025.002G.Monodnaviria_reorg_4nr.zip</v>
      </c>
    </row>
    <row r="8878" spans="1:21">
      <c r="A8878">
        <v>8877</v>
      </c>
      <c r="B8878" s="27" t="s">
        <v>20779</v>
      </c>
      <c r="D8878" s="27" t="s">
        <v>1826</v>
      </c>
      <c r="F8878" s="27" t="s">
        <v>1844</v>
      </c>
      <c r="H8878" s="27" t="s">
        <v>1853</v>
      </c>
      <c r="J8878" s="27" t="s">
        <v>1854</v>
      </c>
      <c r="L8878" s="27" t="s">
        <v>662</v>
      </c>
      <c r="N8878" s="27" t="s">
        <v>805</v>
      </c>
      <c r="P8878" s="27" t="s">
        <v>2563</v>
      </c>
      <c r="Q8878" s="26" t="str">
        <f>HYPERLINK("https://ictv.global/taxonomy/taxondetails?taxnode_id=202509022&amp;ictv_id=ICTV202009022","ICTV202009022")</f>
        <v>ICTV202009022</v>
      </c>
      <c r="R8878" t="s">
        <v>660</v>
      </c>
      <c r="S8878" t="s">
        <v>824</v>
      </c>
      <c r="T8878">
        <v>41</v>
      </c>
      <c r="U8878" s="26" t="str">
        <f t="shared" si="319"/>
        <v>2025.002G.Monodnaviria_reorg_4nr.zip</v>
      </c>
    </row>
    <row r="8879" spans="1:21">
      <c r="A8879">
        <v>8878</v>
      </c>
      <c r="B8879" s="27" t="s">
        <v>20779</v>
      </c>
      <c r="D8879" s="27" t="s">
        <v>1826</v>
      </c>
      <c r="F8879" s="27" t="s">
        <v>1844</v>
      </c>
      <c r="H8879" s="27" t="s">
        <v>1853</v>
      </c>
      <c r="J8879" s="27" t="s">
        <v>1854</v>
      </c>
      <c r="L8879" s="27" t="s">
        <v>662</v>
      </c>
      <c r="N8879" s="27" t="s">
        <v>805</v>
      </c>
      <c r="P8879" s="27" t="s">
        <v>2564</v>
      </c>
      <c r="Q8879" s="26" t="str">
        <f>HYPERLINK("https://ictv.global/taxonomy/taxondetails?taxnode_id=202509029&amp;ictv_id=ICTV202009029","ICTV202009029")</f>
        <v>ICTV202009029</v>
      </c>
      <c r="R8879" t="s">
        <v>660</v>
      </c>
      <c r="S8879" t="s">
        <v>824</v>
      </c>
      <c r="T8879">
        <v>41</v>
      </c>
      <c r="U8879" s="26" t="str">
        <f t="shared" si="319"/>
        <v>2025.002G.Monodnaviria_reorg_4nr.zip</v>
      </c>
    </row>
    <row r="8880" spans="1:21">
      <c r="A8880">
        <v>8879</v>
      </c>
      <c r="B8880" s="27" t="s">
        <v>20779</v>
      </c>
      <c r="D8880" s="27" t="s">
        <v>1826</v>
      </c>
      <c r="F8880" s="27" t="s">
        <v>1844</v>
      </c>
      <c r="H8880" s="27" t="s">
        <v>1853</v>
      </c>
      <c r="J8880" s="27" t="s">
        <v>1854</v>
      </c>
      <c r="L8880" s="27" t="s">
        <v>662</v>
      </c>
      <c r="N8880" s="27" t="s">
        <v>805</v>
      </c>
      <c r="P8880" s="27" t="s">
        <v>2565</v>
      </c>
      <c r="Q8880" s="26" t="str">
        <f>HYPERLINK("https://ictv.global/taxonomy/taxondetails?taxnode_id=202509026&amp;ictv_id=ICTV202009026","ICTV202009026")</f>
        <v>ICTV202009026</v>
      </c>
      <c r="R8880" t="s">
        <v>660</v>
      </c>
      <c r="S8880" t="s">
        <v>824</v>
      </c>
      <c r="T8880">
        <v>41</v>
      </c>
      <c r="U8880" s="26" t="str">
        <f t="shared" si="319"/>
        <v>2025.002G.Monodnaviria_reorg_4nr.zip</v>
      </c>
    </row>
    <row r="8881" spans="1:21">
      <c r="A8881">
        <v>8880</v>
      </c>
      <c r="B8881" s="27" t="s">
        <v>20779</v>
      </c>
      <c r="D8881" s="27" t="s">
        <v>1826</v>
      </c>
      <c r="F8881" s="27" t="s">
        <v>1844</v>
      </c>
      <c r="H8881" s="27" t="s">
        <v>1853</v>
      </c>
      <c r="J8881" s="27" t="s">
        <v>1854</v>
      </c>
      <c r="L8881" s="27" t="s">
        <v>662</v>
      </c>
      <c r="N8881" s="27" t="s">
        <v>805</v>
      </c>
      <c r="P8881" s="27" t="s">
        <v>2566</v>
      </c>
      <c r="Q8881" s="26" t="str">
        <f>HYPERLINK("https://ictv.global/taxonomy/taxondetails?taxnode_id=202503597&amp;ictv_id=ICTV20165354","ICTV20165354")</f>
        <v>ICTV20165354</v>
      </c>
      <c r="R8881" t="s">
        <v>660</v>
      </c>
      <c r="S8881" t="s">
        <v>824</v>
      </c>
      <c r="T8881">
        <v>41</v>
      </c>
      <c r="U8881" s="26" t="str">
        <f t="shared" si="319"/>
        <v>2025.002G.Monodnaviria_reorg_4nr.zip</v>
      </c>
    </row>
    <row r="8882" spans="1:21">
      <c r="A8882">
        <v>8881</v>
      </c>
      <c r="B8882" s="27" t="s">
        <v>20779</v>
      </c>
      <c r="D8882" s="27" t="s">
        <v>1826</v>
      </c>
      <c r="F8882" s="27" t="s">
        <v>1844</v>
      </c>
      <c r="H8882" s="27" t="s">
        <v>1853</v>
      </c>
      <c r="J8882" s="27" t="s">
        <v>1854</v>
      </c>
      <c r="L8882" s="27" t="s">
        <v>662</v>
      </c>
      <c r="N8882" s="27" t="s">
        <v>805</v>
      </c>
      <c r="P8882" s="27" t="s">
        <v>2567</v>
      </c>
      <c r="Q8882" s="26" t="str">
        <f>HYPERLINK("https://ictv.global/taxonomy/taxondetails?taxnode_id=202509024&amp;ictv_id=ICTV202009024","ICTV202009024")</f>
        <v>ICTV202009024</v>
      </c>
      <c r="R8882" t="s">
        <v>660</v>
      </c>
      <c r="S8882" t="s">
        <v>824</v>
      </c>
      <c r="T8882">
        <v>41</v>
      </c>
      <c r="U8882" s="26" t="str">
        <f t="shared" si="319"/>
        <v>2025.002G.Monodnaviria_reorg_4nr.zip</v>
      </c>
    </row>
    <row r="8883" spans="1:21">
      <c r="A8883">
        <v>8882</v>
      </c>
      <c r="B8883" s="27" t="s">
        <v>20779</v>
      </c>
      <c r="D8883" s="27" t="s">
        <v>1826</v>
      </c>
      <c r="F8883" s="27" t="s">
        <v>1844</v>
      </c>
      <c r="H8883" s="27" t="s">
        <v>1853</v>
      </c>
      <c r="J8883" s="27" t="s">
        <v>1854</v>
      </c>
      <c r="L8883" s="27" t="s">
        <v>662</v>
      </c>
      <c r="N8883" s="27" t="s">
        <v>805</v>
      </c>
      <c r="P8883" s="27" t="s">
        <v>2568</v>
      </c>
      <c r="Q8883" s="26" t="str">
        <f>HYPERLINK("https://ictv.global/taxonomy/taxondetails?taxnode_id=202509025&amp;ictv_id=ICTV202009025","ICTV202009025")</f>
        <v>ICTV202009025</v>
      </c>
      <c r="R8883" t="s">
        <v>660</v>
      </c>
      <c r="S8883" t="s">
        <v>824</v>
      </c>
      <c r="T8883">
        <v>41</v>
      </c>
      <c r="U8883" s="26" t="str">
        <f t="shared" si="319"/>
        <v>2025.002G.Monodnaviria_reorg_4nr.zip</v>
      </c>
    </row>
    <row r="8884" spans="1:21">
      <c r="A8884">
        <v>8883</v>
      </c>
      <c r="B8884" s="27" t="s">
        <v>20779</v>
      </c>
      <c r="D8884" s="27" t="s">
        <v>1826</v>
      </c>
      <c r="F8884" s="27" t="s">
        <v>1844</v>
      </c>
      <c r="H8884" s="27" t="s">
        <v>1853</v>
      </c>
      <c r="J8884" s="27" t="s">
        <v>1854</v>
      </c>
      <c r="L8884" s="27" t="s">
        <v>662</v>
      </c>
      <c r="N8884" s="27" t="s">
        <v>805</v>
      </c>
      <c r="P8884" s="27" t="s">
        <v>2569</v>
      </c>
      <c r="Q8884" s="26" t="str">
        <f>HYPERLINK("https://ictv.global/taxonomy/taxondetails?taxnode_id=202509027&amp;ictv_id=ICTV202009027","ICTV202009027")</f>
        <v>ICTV202009027</v>
      </c>
      <c r="R8884" t="s">
        <v>660</v>
      </c>
      <c r="S8884" t="s">
        <v>824</v>
      </c>
      <c r="T8884">
        <v>41</v>
      </c>
      <c r="U8884" s="26" t="str">
        <f t="shared" si="319"/>
        <v>2025.002G.Monodnaviria_reorg_4nr.zip</v>
      </c>
    </row>
    <row r="8885" spans="1:21">
      <c r="A8885">
        <v>8884</v>
      </c>
      <c r="B8885" s="27" t="s">
        <v>20779</v>
      </c>
      <c r="D8885" s="27" t="s">
        <v>1826</v>
      </c>
      <c r="F8885" s="27" t="s">
        <v>1844</v>
      </c>
      <c r="H8885" s="27" t="s">
        <v>1853</v>
      </c>
      <c r="J8885" s="27" t="s">
        <v>1854</v>
      </c>
      <c r="L8885" s="27" t="s">
        <v>662</v>
      </c>
      <c r="N8885" s="27" t="s">
        <v>805</v>
      </c>
      <c r="P8885" s="27" t="s">
        <v>2570</v>
      </c>
      <c r="Q8885" s="26" t="str">
        <f>HYPERLINK("https://ictv.global/taxonomy/taxondetails?taxnode_id=202509021&amp;ictv_id=ICTV202009021","ICTV202009021")</f>
        <v>ICTV202009021</v>
      </c>
      <c r="R8885" t="s">
        <v>660</v>
      </c>
      <c r="S8885" t="s">
        <v>824</v>
      </c>
      <c r="T8885">
        <v>41</v>
      </c>
      <c r="U8885" s="26" t="str">
        <f t="shared" si="319"/>
        <v>2025.002G.Monodnaviria_reorg_4nr.zip</v>
      </c>
    </row>
    <row r="8886" spans="1:21">
      <c r="A8886">
        <v>8885</v>
      </c>
      <c r="B8886" s="27" t="s">
        <v>20779</v>
      </c>
      <c r="D8886" s="27" t="s">
        <v>1826</v>
      </c>
      <c r="F8886" s="27" t="s">
        <v>1844</v>
      </c>
      <c r="H8886" s="27" t="s">
        <v>1853</v>
      </c>
      <c r="J8886" s="27" t="s">
        <v>1854</v>
      </c>
      <c r="L8886" s="27" t="s">
        <v>662</v>
      </c>
      <c r="N8886" s="27" t="s">
        <v>805</v>
      </c>
      <c r="P8886" s="27" t="s">
        <v>2571</v>
      </c>
      <c r="Q8886" s="26" t="str">
        <f>HYPERLINK("https://ictv.global/taxonomy/taxondetails?taxnode_id=202509019&amp;ictv_id=ICTV202009019","ICTV202009019")</f>
        <v>ICTV202009019</v>
      </c>
      <c r="R8886" t="s">
        <v>660</v>
      </c>
      <c r="S8886" t="s">
        <v>824</v>
      </c>
      <c r="T8886">
        <v>41</v>
      </c>
      <c r="U8886" s="26" t="str">
        <f t="shared" si="319"/>
        <v>2025.002G.Monodnaviria_reorg_4nr.zip</v>
      </c>
    </row>
    <row r="8887" spans="1:21">
      <c r="A8887">
        <v>8886</v>
      </c>
      <c r="B8887" s="27" t="s">
        <v>20779</v>
      </c>
      <c r="D8887" s="27" t="s">
        <v>1826</v>
      </c>
      <c r="F8887" s="27" t="s">
        <v>1844</v>
      </c>
      <c r="H8887" s="27" t="s">
        <v>1853</v>
      </c>
      <c r="J8887" s="27" t="s">
        <v>1854</v>
      </c>
      <c r="L8887" s="27" t="s">
        <v>662</v>
      </c>
      <c r="N8887" s="27" t="s">
        <v>805</v>
      </c>
      <c r="P8887" s="27" t="s">
        <v>2572</v>
      </c>
      <c r="Q8887" s="26" t="str">
        <f>HYPERLINK("https://ictv.global/taxonomy/taxondetails?taxnode_id=202509023&amp;ictv_id=ICTV202009023","ICTV202009023")</f>
        <v>ICTV202009023</v>
      </c>
      <c r="R8887" t="s">
        <v>660</v>
      </c>
      <c r="S8887" t="s">
        <v>824</v>
      </c>
      <c r="T8887">
        <v>41</v>
      </c>
      <c r="U8887" s="26" t="str">
        <f t="shared" si="319"/>
        <v>2025.002G.Monodnaviria_reorg_4nr.zip</v>
      </c>
    </row>
    <row r="8888" spans="1:21">
      <c r="A8888">
        <v>8887</v>
      </c>
      <c r="B8888" s="27" t="s">
        <v>20779</v>
      </c>
      <c r="D8888" s="27" t="s">
        <v>1826</v>
      </c>
      <c r="F8888" s="27" t="s">
        <v>1844</v>
      </c>
      <c r="H8888" s="27" t="s">
        <v>1853</v>
      </c>
      <c r="J8888" s="27" t="s">
        <v>1854</v>
      </c>
      <c r="L8888" s="27" t="s">
        <v>662</v>
      </c>
      <c r="N8888" s="27" t="s">
        <v>805</v>
      </c>
      <c r="P8888" s="27" t="s">
        <v>2573</v>
      </c>
      <c r="Q8888" s="26" t="str">
        <f>HYPERLINK("https://ictv.global/taxonomy/taxondetails?taxnode_id=202509020&amp;ictv_id=ICTV202009020","ICTV202009020")</f>
        <v>ICTV202009020</v>
      </c>
      <c r="R8888" t="s">
        <v>660</v>
      </c>
      <c r="S8888" t="s">
        <v>824</v>
      </c>
      <c r="T8888">
        <v>41</v>
      </c>
      <c r="U8888" s="26" t="str">
        <f t="shared" si="319"/>
        <v>2025.002G.Monodnaviria_reorg_4nr.zip</v>
      </c>
    </row>
    <row r="8889" spans="1:21">
      <c r="A8889">
        <v>8888</v>
      </c>
      <c r="B8889" s="27" t="s">
        <v>20779</v>
      </c>
      <c r="D8889" s="27" t="s">
        <v>1826</v>
      </c>
      <c r="F8889" s="27" t="s">
        <v>1844</v>
      </c>
      <c r="H8889" s="27" t="s">
        <v>1853</v>
      </c>
      <c r="J8889" s="27" t="s">
        <v>1854</v>
      </c>
      <c r="L8889" s="27" t="s">
        <v>662</v>
      </c>
      <c r="N8889" s="27" t="s">
        <v>805</v>
      </c>
      <c r="P8889" s="27" t="s">
        <v>2574</v>
      </c>
      <c r="Q8889" s="26" t="str">
        <f>HYPERLINK("https://ictv.global/taxonomy/taxondetails?taxnode_id=202509028&amp;ictv_id=ICTV202009028","ICTV202009028")</f>
        <v>ICTV202009028</v>
      </c>
      <c r="R8889" t="s">
        <v>660</v>
      </c>
      <c r="S8889" t="s">
        <v>824</v>
      </c>
      <c r="T8889">
        <v>41</v>
      </c>
      <c r="U8889" s="26" t="str">
        <f t="shared" si="319"/>
        <v>2025.002G.Monodnaviria_reorg_4nr.zip</v>
      </c>
    </row>
    <row r="8890" spans="1:21">
      <c r="A8890">
        <v>8889</v>
      </c>
      <c r="B8890" s="27" t="s">
        <v>20779</v>
      </c>
      <c r="D8890" s="27" t="s">
        <v>1826</v>
      </c>
      <c r="F8890" s="27" t="s">
        <v>1844</v>
      </c>
      <c r="H8890" s="27" t="s">
        <v>1853</v>
      </c>
      <c r="J8890" s="27" t="s">
        <v>1854</v>
      </c>
      <c r="L8890" s="27" t="s">
        <v>662</v>
      </c>
      <c r="N8890" s="27" t="s">
        <v>806</v>
      </c>
      <c r="P8890" s="27" t="s">
        <v>2575</v>
      </c>
      <c r="Q8890" s="26" t="str">
        <f>HYPERLINK("https://ictv.global/taxonomy/taxondetails?taxnode_id=202503599&amp;ictv_id=ICTV20165355","ICTV20165355")</f>
        <v>ICTV20165355</v>
      </c>
      <c r="R8890" t="s">
        <v>660</v>
      </c>
      <c r="S8890" t="s">
        <v>824</v>
      </c>
      <c r="T8890">
        <v>41</v>
      </c>
      <c r="U8890" s="26" t="str">
        <f t="shared" si="319"/>
        <v>2025.002G.Monodnaviria_reorg_4nr.zip</v>
      </c>
    </row>
    <row r="8891" spans="1:21">
      <c r="A8891">
        <v>8890</v>
      </c>
      <c r="B8891" s="27" t="s">
        <v>20779</v>
      </c>
      <c r="D8891" s="27" t="s">
        <v>1826</v>
      </c>
      <c r="F8891" s="27" t="s">
        <v>1844</v>
      </c>
      <c r="H8891" s="27" t="s">
        <v>1853</v>
      </c>
      <c r="J8891" s="27" t="s">
        <v>1854</v>
      </c>
      <c r="L8891" s="27" t="s">
        <v>662</v>
      </c>
      <c r="N8891" s="27" t="s">
        <v>806</v>
      </c>
      <c r="P8891" s="27" t="s">
        <v>2576</v>
      </c>
      <c r="Q8891" s="26" t="str">
        <f>HYPERLINK("https://ictv.global/taxonomy/taxondetails?taxnode_id=202509031&amp;ictv_id=ICTV202009031","ICTV202009031")</f>
        <v>ICTV202009031</v>
      </c>
      <c r="R8891" t="s">
        <v>660</v>
      </c>
      <c r="S8891" t="s">
        <v>824</v>
      </c>
      <c r="T8891">
        <v>41</v>
      </c>
      <c r="U8891" s="26" t="str">
        <f t="shared" si="319"/>
        <v>2025.002G.Monodnaviria_reorg_4nr.zip</v>
      </c>
    </row>
    <row r="8892" spans="1:21">
      <c r="A8892">
        <v>8891</v>
      </c>
      <c r="B8892" s="27" t="s">
        <v>20779</v>
      </c>
      <c r="D8892" s="27" t="s">
        <v>1826</v>
      </c>
      <c r="F8892" s="27" t="s">
        <v>1844</v>
      </c>
      <c r="H8892" s="27" t="s">
        <v>1853</v>
      </c>
      <c r="J8892" s="27" t="s">
        <v>1854</v>
      </c>
      <c r="L8892" s="27" t="s">
        <v>662</v>
      </c>
      <c r="N8892" s="27" t="s">
        <v>806</v>
      </c>
      <c r="P8892" s="27" t="s">
        <v>2577</v>
      </c>
      <c r="Q8892" s="26" t="str">
        <f>HYPERLINK("https://ictv.global/taxonomy/taxondetails?taxnode_id=202503600&amp;ictv_id=ICTV20165356","ICTV20165356")</f>
        <v>ICTV20165356</v>
      </c>
      <c r="R8892" t="s">
        <v>660</v>
      </c>
      <c r="S8892" t="s">
        <v>824</v>
      </c>
      <c r="T8892">
        <v>41</v>
      </c>
      <c r="U8892" s="26" t="str">
        <f t="shared" si="319"/>
        <v>2025.002G.Monodnaviria_reorg_4nr.zip</v>
      </c>
    </row>
    <row r="8893" spans="1:21">
      <c r="A8893">
        <v>8892</v>
      </c>
      <c r="B8893" s="27" t="s">
        <v>20779</v>
      </c>
      <c r="D8893" s="27" t="s">
        <v>1826</v>
      </c>
      <c r="F8893" s="27" t="s">
        <v>1844</v>
      </c>
      <c r="H8893" s="27" t="s">
        <v>1853</v>
      </c>
      <c r="J8893" s="27" t="s">
        <v>1854</v>
      </c>
      <c r="L8893" s="27" t="s">
        <v>662</v>
      </c>
      <c r="N8893" s="27" t="s">
        <v>806</v>
      </c>
      <c r="P8893" s="27" t="s">
        <v>2578</v>
      </c>
      <c r="Q8893" s="26" t="str">
        <f>HYPERLINK("https://ictv.global/taxonomy/taxondetails?taxnode_id=202509032&amp;ictv_id=ICTV202009032","ICTV202009032")</f>
        <v>ICTV202009032</v>
      </c>
      <c r="R8893" t="s">
        <v>660</v>
      </c>
      <c r="S8893" t="s">
        <v>824</v>
      </c>
      <c r="T8893">
        <v>41</v>
      </c>
      <c r="U8893" s="26" t="str">
        <f t="shared" si="319"/>
        <v>2025.002G.Monodnaviria_reorg_4nr.zip</v>
      </c>
    </row>
    <row r="8894" spans="1:21">
      <c r="A8894">
        <v>8893</v>
      </c>
      <c r="B8894" s="27" t="s">
        <v>20779</v>
      </c>
      <c r="D8894" s="27" t="s">
        <v>1826</v>
      </c>
      <c r="F8894" s="27" t="s">
        <v>1844</v>
      </c>
      <c r="H8894" s="27" t="s">
        <v>1853</v>
      </c>
      <c r="J8894" s="27" t="s">
        <v>1854</v>
      </c>
      <c r="L8894" s="27" t="s">
        <v>662</v>
      </c>
      <c r="N8894" s="27" t="s">
        <v>806</v>
      </c>
      <c r="P8894" s="27" t="s">
        <v>2579</v>
      </c>
      <c r="Q8894" s="26" t="str">
        <f>HYPERLINK("https://ictv.global/taxonomy/taxondetails?taxnode_id=202509030&amp;ictv_id=ICTV202009030","ICTV202009030")</f>
        <v>ICTV202009030</v>
      </c>
      <c r="R8894" t="s">
        <v>660</v>
      </c>
      <c r="S8894" t="s">
        <v>824</v>
      </c>
      <c r="T8894">
        <v>41</v>
      </c>
      <c r="U8894" s="26" t="str">
        <f t="shared" si="319"/>
        <v>2025.002G.Monodnaviria_reorg_4nr.zip</v>
      </c>
    </row>
    <row r="8895" spans="1:21">
      <c r="A8895">
        <v>8894</v>
      </c>
      <c r="B8895" s="27" t="s">
        <v>20779</v>
      </c>
      <c r="D8895" s="27" t="s">
        <v>1826</v>
      </c>
      <c r="F8895" s="27" t="s">
        <v>1844</v>
      </c>
      <c r="H8895" s="27" t="s">
        <v>1853</v>
      </c>
      <c r="J8895" s="27" t="s">
        <v>1854</v>
      </c>
      <c r="L8895" s="27" t="s">
        <v>662</v>
      </c>
      <c r="N8895" s="27" t="s">
        <v>806</v>
      </c>
      <c r="P8895" s="27" t="s">
        <v>2580</v>
      </c>
      <c r="Q8895" s="26" t="str">
        <f>HYPERLINK("https://ictv.global/taxonomy/taxondetails?taxnode_id=202503601&amp;ictv_id=ICTV20165357","ICTV20165357")</f>
        <v>ICTV20165357</v>
      </c>
      <c r="R8895" t="s">
        <v>660</v>
      </c>
      <c r="S8895" t="s">
        <v>824</v>
      </c>
      <c r="T8895">
        <v>41</v>
      </c>
      <c r="U8895" s="26" t="str">
        <f t="shared" si="319"/>
        <v>2025.002G.Monodnaviria_reorg_4nr.zip</v>
      </c>
    </row>
    <row r="8896" spans="1:21">
      <c r="A8896">
        <v>8895</v>
      </c>
      <c r="B8896" s="27" t="s">
        <v>20779</v>
      </c>
      <c r="D8896" s="27" t="s">
        <v>1826</v>
      </c>
      <c r="F8896" s="27" t="s">
        <v>1844</v>
      </c>
      <c r="H8896" s="27" t="s">
        <v>1853</v>
      </c>
      <c r="J8896" s="27" t="s">
        <v>1854</v>
      </c>
      <c r="L8896" s="27" t="s">
        <v>662</v>
      </c>
      <c r="N8896" s="27" t="s">
        <v>806</v>
      </c>
      <c r="P8896" s="27" t="s">
        <v>2581</v>
      </c>
      <c r="Q8896" s="26" t="str">
        <f>HYPERLINK("https://ictv.global/taxonomy/taxondetails?taxnode_id=202503602&amp;ictv_id=ICTV20165358","ICTV20165358")</f>
        <v>ICTV20165358</v>
      </c>
      <c r="R8896" t="s">
        <v>660</v>
      </c>
      <c r="S8896" t="s">
        <v>824</v>
      </c>
      <c r="T8896">
        <v>41</v>
      </c>
      <c r="U8896" s="26" t="str">
        <f t="shared" si="319"/>
        <v>2025.002G.Monodnaviria_reorg_4nr.zip</v>
      </c>
    </row>
    <row r="8897" spans="1:21">
      <c r="A8897">
        <v>8896</v>
      </c>
      <c r="B8897" s="27" t="s">
        <v>20779</v>
      </c>
      <c r="D8897" s="27" t="s">
        <v>1826</v>
      </c>
      <c r="F8897" s="27" t="s">
        <v>1844</v>
      </c>
      <c r="H8897" s="27" t="s">
        <v>1853</v>
      </c>
      <c r="J8897" s="27" t="s">
        <v>1854</v>
      </c>
      <c r="L8897" s="27" t="s">
        <v>662</v>
      </c>
      <c r="N8897" s="27" t="s">
        <v>806</v>
      </c>
      <c r="P8897" s="27" t="s">
        <v>2582</v>
      </c>
      <c r="Q8897" s="26" t="str">
        <f>HYPERLINK("https://ictv.global/taxonomy/taxondetails?taxnode_id=202503603&amp;ictv_id=ICTV20165359","ICTV20165359")</f>
        <v>ICTV20165359</v>
      </c>
      <c r="R8897" t="s">
        <v>660</v>
      </c>
      <c r="S8897" t="s">
        <v>824</v>
      </c>
      <c r="T8897">
        <v>41</v>
      </c>
      <c r="U8897" s="26" t="str">
        <f t="shared" si="319"/>
        <v>2025.002G.Monodnaviria_reorg_4nr.zip</v>
      </c>
    </row>
    <row r="8898" spans="1:21">
      <c r="A8898">
        <v>8897</v>
      </c>
      <c r="B8898" s="27" t="s">
        <v>20779</v>
      </c>
      <c r="D8898" s="27" t="s">
        <v>1826</v>
      </c>
      <c r="F8898" s="27" t="s">
        <v>1844</v>
      </c>
      <c r="H8898" s="27" t="s">
        <v>1853</v>
      </c>
      <c r="J8898" s="27" t="s">
        <v>1854</v>
      </c>
      <c r="L8898" s="27" t="s">
        <v>662</v>
      </c>
      <c r="N8898" s="27" t="s">
        <v>807</v>
      </c>
      <c r="P8898" s="27" t="s">
        <v>2583</v>
      </c>
      <c r="Q8898" s="26" t="str">
        <f>HYPERLINK("https://ictv.global/taxonomy/taxondetails?taxnode_id=202509054&amp;ictv_id=ICTV202009054","ICTV202009054")</f>
        <v>ICTV202009054</v>
      </c>
      <c r="R8898" t="s">
        <v>660</v>
      </c>
      <c r="S8898" t="s">
        <v>824</v>
      </c>
      <c r="T8898">
        <v>41</v>
      </c>
      <c r="U8898" s="26" t="str">
        <f t="shared" si="319"/>
        <v>2025.002G.Monodnaviria_reorg_4nr.zip</v>
      </c>
    </row>
    <row r="8899" spans="1:21">
      <c r="A8899">
        <v>8898</v>
      </c>
      <c r="B8899" s="27" t="s">
        <v>20779</v>
      </c>
      <c r="D8899" s="27" t="s">
        <v>1826</v>
      </c>
      <c r="F8899" s="27" t="s">
        <v>1844</v>
      </c>
      <c r="H8899" s="27" t="s">
        <v>1853</v>
      </c>
      <c r="J8899" s="27" t="s">
        <v>1854</v>
      </c>
      <c r="L8899" s="27" t="s">
        <v>662</v>
      </c>
      <c r="N8899" s="27" t="s">
        <v>807</v>
      </c>
      <c r="P8899" s="27" t="s">
        <v>2584</v>
      </c>
      <c r="Q8899" s="26" t="str">
        <f>HYPERLINK("https://ictv.global/taxonomy/taxondetails?taxnode_id=202509055&amp;ictv_id=ICTV202009055","ICTV202009055")</f>
        <v>ICTV202009055</v>
      </c>
      <c r="R8899" t="s">
        <v>660</v>
      </c>
      <c r="S8899" t="s">
        <v>824</v>
      </c>
      <c r="T8899">
        <v>41</v>
      </c>
      <c r="U8899" s="26" t="str">
        <f t="shared" si="319"/>
        <v>2025.002G.Monodnaviria_reorg_4nr.zip</v>
      </c>
    </row>
    <row r="8900" spans="1:21">
      <c r="A8900">
        <v>8899</v>
      </c>
      <c r="B8900" s="27" t="s">
        <v>20779</v>
      </c>
      <c r="D8900" s="27" t="s">
        <v>1826</v>
      </c>
      <c r="F8900" s="27" t="s">
        <v>1844</v>
      </c>
      <c r="H8900" s="27" t="s">
        <v>1853</v>
      </c>
      <c r="J8900" s="27" t="s">
        <v>1854</v>
      </c>
      <c r="L8900" s="27" t="s">
        <v>662</v>
      </c>
      <c r="N8900" s="27" t="s">
        <v>807</v>
      </c>
      <c r="P8900" s="27" t="s">
        <v>2585</v>
      </c>
      <c r="Q8900" s="26" t="str">
        <f>HYPERLINK("https://ictv.global/taxonomy/taxondetails?taxnode_id=202509062&amp;ictv_id=ICTV202009062","ICTV202009062")</f>
        <v>ICTV202009062</v>
      </c>
      <c r="R8900" t="s">
        <v>660</v>
      </c>
      <c r="S8900" t="s">
        <v>824</v>
      </c>
      <c r="T8900">
        <v>41</v>
      </c>
      <c r="U8900" s="26" t="str">
        <f t="shared" si="319"/>
        <v>2025.002G.Monodnaviria_reorg_4nr.zip</v>
      </c>
    </row>
    <row r="8901" spans="1:21">
      <c r="A8901">
        <v>8900</v>
      </c>
      <c r="B8901" s="27" t="s">
        <v>20779</v>
      </c>
      <c r="D8901" s="27" t="s">
        <v>1826</v>
      </c>
      <c r="F8901" s="27" t="s">
        <v>1844</v>
      </c>
      <c r="H8901" s="27" t="s">
        <v>1853</v>
      </c>
      <c r="J8901" s="27" t="s">
        <v>1854</v>
      </c>
      <c r="L8901" s="27" t="s">
        <v>662</v>
      </c>
      <c r="N8901" s="27" t="s">
        <v>807</v>
      </c>
      <c r="P8901" s="27" t="s">
        <v>2586</v>
      </c>
      <c r="Q8901" s="26" t="str">
        <f>HYPERLINK("https://ictv.global/taxonomy/taxondetails?taxnode_id=202503605&amp;ictv_id=ICTV20165360","ICTV20165360")</f>
        <v>ICTV20165360</v>
      </c>
      <c r="R8901" t="s">
        <v>660</v>
      </c>
      <c r="S8901" t="s">
        <v>824</v>
      </c>
      <c r="T8901">
        <v>41</v>
      </c>
      <c r="U8901" s="26" t="str">
        <f t="shared" si="319"/>
        <v>2025.002G.Monodnaviria_reorg_4nr.zip</v>
      </c>
    </row>
    <row r="8902" spans="1:21">
      <c r="A8902">
        <v>8901</v>
      </c>
      <c r="B8902" s="27" t="s">
        <v>20779</v>
      </c>
      <c r="D8902" s="27" t="s">
        <v>1826</v>
      </c>
      <c r="F8902" s="27" t="s">
        <v>1844</v>
      </c>
      <c r="H8902" s="27" t="s">
        <v>1853</v>
      </c>
      <c r="J8902" s="27" t="s">
        <v>1854</v>
      </c>
      <c r="L8902" s="27" t="s">
        <v>662</v>
      </c>
      <c r="N8902" s="27" t="s">
        <v>807</v>
      </c>
      <c r="P8902" s="27" t="s">
        <v>2587</v>
      </c>
      <c r="Q8902" s="26" t="str">
        <f>HYPERLINK("https://ictv.global/taxonomy/taxondetails?taxnode_id=202509065&amp;ictv_id=ICTV202009065","ICTV202009065")</f>
        <v>ICTV202009065</v>
      </c>
      <c r="R8902" t="s">
        <v>660</v>
      </c>
      <c r="S8902" t="s">
        <v>824</v>
      </c>
      <c r="T8902">
        <v>41</v>
      </c>
      <c r="U8902" s="26" t="str">
        <f t="shared" si="319"/>
        <v>2025.002G.Monodnaviria_reorg_4nr.zip</v>
      </c>
    </row>
    <row r="8903" spans="1:21">
      <c r="A8903">
        <v>8902</v>
      </c>
      <c r="B8903" s="27" t="s">
        <v>20779</v>
      </c>
      <c r="D8903" s="27" t="s">
        <v>1826</v>
      </c>
      <c r="F8903" s="27" t="s">
        <v>1844</v>
      </c>
      <c r="H8903" s="27" t="s">
        <v>1853</v>
      </c>
      <c r="J8903" s="27" t="s">
        <v>1854</v>
      </c>
      <c r="L8903" s="27" t="s">
        <v>662</v>
      </c>
      <c r="N8903" s="27" t="s">
        <v>807</v>
      </c>
      <c r="P8903" s="27" t="s">
        <v>2588</v>
      </c>
      <c r="Q8903" s="26" t="str">
        <f>HYPERLINK("https://ictv.global/taxonomy/taxondetails?taxnode_id=202503607&amp;ictv_id=ICTV20165362","ICTV20165362")</f>
        <v>ICTV20165362</v>
      </c>
      <c r="R8903" t="s">
        <v>660</v>
      </c>
      <c r="S8903" t="s">
        <v>824</v>
      </c>
      <c r="T8903">
        <v>41</v>
      </c>
      <c r="U8903" s="26" t="str">
        <f t="shared" si="319"/>
        <v>2025.002G.Monodnaviria_reorg_4nr.zip</v>
      </c>
    </row>
    <row r="8904" spans="1:21">
      <c r="A8904">
        <v>8903</v>
      </c>
      <c r="B8904" s="27" t="s">
        <v>20779</v>
      </c>
      <c r="D8904" s="27" t="s">
        <v>1826</v>
      </c>
      <c r="F8904" s="27" t="s">
        <v>1844</v>
      </c>
      <c r="H8904" s="27" t="s">
        <v>1853</v>
      </c>
      <c r="J8904" s="27" t="s">
        <v>1854</v>
      </c>
      <c r="L8904" s="27" t="s">
        <v>662</v>
      </c>
      <c r="N8904" s="27" t="s">
        <v>807</v>
      </c>
      <c r="P8904" s="27" t="s">
        <v>2589</v>
      </c>
      <c r="Q8904" s="26" t="str">
        <f>HYPERLINK("https://ictv.global/taxonomy/taxondetails?taxnode_id=202503606&amp;ictv_id=ICTV20165361","ICTV20165361")</f>
        <v>ICTV20165361</v>
      </c>
      <c r="R8904" t="s">
        <v>660</v>
      </c>
      <c r="S8904" t="s">
        <v>824</v>
      </c>
      <c r="T8904">
        <v>41</v>
      </c>
      <c r="U8904" s="26" t="str">
        <f t="shared" si="319"/>
        <v>2025.002G.Monodnaviria_reorg_4nr.zip</v>
      </c>
    </row>
    <row r="8905" spans="1:21">
      <c r="A8905">
        <v>8904</v>
      </c>
      <c r="B8905" s="27" t="s">
        <v>20779</v>
      </c>
      <c r="D8905" s="27" t="s">
        <v>1826</v>
      </c>
      <c r="F8905" s="27" t="s">
        <v>1844</v>
      </c>
      <c r="H8905" s="27" t="s">
        <v>1853</v>
      </c>
      <c r="J8905" s="27" t="s">
        <v>1854</v>
      </c>
      <c r="L8905" s="27" t="s">
        <v>662</v>
      </c>
      <c r="N8905" s="27" t="s">
        <v>807</v>
      </c>
      <c r="P8905" s="27" t="s">
        <v>2590</v>
      </c>
      <c r="Q8905" s="26" t="str">
        <f>HYPERLINK("https://ictv.global/taxonomy/taxondetails?taxnode_id=202503608&amp;ictv_id=ICTV20165363","ICTV20165363")</f>
        <v>ICTV20165363</v>
      </c>
      <c r="R8905" t="s">
        <v>660</v>
      </c>
      <c r="S8905" t="s">
        <v>824</v>
      </c>
      <c r="T8905">
        <v>41</v>
      </c>
      <c r="U8905" s="26" t="str">
        <f t="shared" si="319"/>
        <v>2025.002G.Monodnaviria_reorg_4nr.zip</v>
      </c>
    </row>
    <row r="8906" spans="1:21">
      <c r="A8906">
        <v>8905</v>
      </c>
      <c r="B8906" s="27" t="s">
        <v>20779</v>
      </c>
      <c r="D8906" s="27" t="s">
        <v>1826</v>
      </c>
      <c r="F8906" s="27" t="s">
        <v>1844</v>
      </c>
      <c r="H8906" s="27" t="s">
        <v>1853</v>
      </c>
      <c r="J8906" s="27" t="s">
        <v>1854</v>
      </c>
      <c r="L8906" s="27" t="s">
        <v>662</v>
      </c>
      <c r="N8906" s="27" t="s">
        <v>807</v>
      </c>
      <c r="P8906" s="27" t="s">
        <v>2591</v>
      </c>
      <c r="Q8906" s="26" t="str">
        <f>HYPERLINK("https://ictv.global/taxonomy/taxondetails?taxnode_id=202509038&amp;ictv_id=ICTV202009038","ICTV202009038")</f>
        <v>ICTV202009038</v>
      </c>
      <c r="R8906" t="s">
        <v>660</v>
      </c>
      <c r="S8906" t="s">
        <v>824</v>
      </c>
      <c r="T8906">
        <v>41</v>
      </c>
      <c r="U8906" s="26" t="str">
        <f t="shared" si="319"/>
        <v>2025.002G.Monodnaviria_reorg_4nr.zip</v>
      </c>
    </row>
    <row r="8907" spans="1:21">
      <c r="A8907">
        <v>8906</v>
      </c>
      <c r="B8907" s="27" t="s">
        <v>20779</v>
      </c>
      <c r="D8907" s="27" t="s">
        <v>1826</v>
      </c>
      <c r="F8907" s="27" t="s">
        <v>1844</v>
      </c>
      <c r="H8907" s="27" t="s">
        <v>1853</v>
      </c>
      <c r="J8907" s="27" t="s">
        <v>1854</v>
      </c>
      <c r="L8907" s="27" t="s">
        <v>662</v>
      </c>
      <c r="N8907" s="27" t="s">
        <v>807</v>
      </c>
      <c r="P8907" s="27" t="s">
        <v>2592</v>
      </c>
      <c r="Q8907" s="26" t="str">
        <f>HYPERLINK("https://ictv.global/taxonomy/taxondetails?taxnode_id=202509061&amp;ictv_id=ICTV202009061","ICTV202009061")</f>
        <v>ICTV202009061</v>
      </c>
      <c r="R8907" t="s">
        <v>660</v>
      </c>
      <c r="S8907" t="s">
        <v>824</v>
      </c>
      <c r="T8907">
        <v>41</v>
      </c>
      <c r="U8907" s="26" t="str">
        <f t="shared" si="319"/>
        <v>2025.002G.Monodnaviria_reorg_4nr.zip</v>
      </c>
    </row>
    <row r="8908" spans="1:21">
      <c r="A8908">
        <v>8907</v>
      </c>
      <c r="B8908" s="27" t="s">
        <v>20779</v>
      </c>
      <c r="D8908" s="27" t="s">
        <v>1826</v>
      </c>
      <c r="F8908" s="27" t="s">
        <v>1844</v>
      </c>
      <c r="H8908" s="27" t="s">
        <v>1853</v>
      </c>
      <c r="J8908" s="27" t="s">
        <v>1854</v>
      </c>
      <c r="L8908" s="27" t="s">
        <v>662</v>
      </c>
      <c r="N8908" s="27" t="s">
        <v>807</v>
      </c>
      <c r="P8908" s="27" t="s">
        <v>2593</v>
      </c>
      <c r="Q8908" s="26" t="str">
        <f>HYPERLINK("https://ictv.global/taxonomy/taxondetails?taxnode_id=202509039&amp;ictv_id=ICTV202009039","ICTV202009039")</f>
        <v>ICTV202009039</v>
      </c>
      <c r="R8908" t="s">
        <v>660</v>
      </c>
      <c r="S8908" t="s">
        <v>824</v>
      </c>
      <c r="T8908">
        <v>41</v>
      </c>
      <c r="U8908" s="26" t="str">
        <f t="shared" si="319"/>
        <v>2025.002G.Monodnaviria_reorg_4nr.zip</v>
      </c>
    </row>
    <row r="8909" spans="1:21">
      <c r="A8909">
        <v>8908</v>
      </c>
      <c r="B8909" s="27" t="s">
        <v>20779</v>
      </c>
      <c r="D8909" s="27" t="s">
        <v>1826</v>
      </c>
      <c r="F8909" s="27" t="s">
        <v>1844</v>
      </c>
      <c r="H8909" s="27" t="s">
        <v>1853</v>
      </c>
      <c r="J8909" s="27" t="s">
        <v>1854</v>
      </c>
      <c r="L8909" s="27" t="s">
        <v>662</v>
      </c>
      <c r="N8909" s="27" t="s">
        <v>807</v>
      </c>
      <c r="P8909" s="27" t="s">
        <v>2594</v>
      </c>
      <c r="Q8909" s="26" t="str">
        <f>HYPERLINK("https://ictv.global/taxonomy/taxondetails?taxnode_id=202509040&amp;ictv_id=ICTV202009040","ICTV202009040")</f>
        <v>ICTV202009040</v>
      </c>
      <c r="R8909" t="s">
        <v>660</v>
      </c>
      <c r="S8909" t="s">
        <v>824</v>
      </c>
      <c r="T8909">
        <v>41</v>
      </c>
      <c r="U8909" s="26" t="str">
        <f t="shared" si="319"/>
        <v>2025.002G.Monodnaviria_reorg_4nr.zip</v>
      </c>
    </row>
    <row r="8910" spans="1:21">
      <c r="A8910">
        <v>8909</v>
      </c>
      <c r="B8910" s="27" t="s">
        <v>20779</v>
      </c>
      <c r="D8910" s="27" t="s">
        <v>1826</v>
      </c>
      <c r="F8910" s="27" t="s">
        <v>1844</v>
      </c>
      <c r="H8910" s="27" t="s">
        <v>1853</v>
      </c>
      <c r="J8910" s="27" t="s">
        <v>1854</v>
      </c>
      <c r="L8910" s="27" t="s">
        <v>662</v>
      </c>
      <c r="N8910" s="27" t="s">
        <v>807</v>
      </c>
      <c r="P8910" s="27" t="s">
        <v>2595</v>
      </c>
      <c r="Q8910" s="26" t="str">
        <f>HYPERLINK("https://ictv.global/taxonomy/taxondetails?taxnode_id=202503609&amp;ictv_id=ICTV20165364","ICTV20165364")</f>
        <v>ICTV20165364</v>
      </c>
      <c r="R8910" t="s">
        <v>660</v>
      </c>
      <c r="S8910" t="s">
        <v>824</v>
      </c>
      <c r="T8910">
        <v>41</v>
      </c>
      <c r="U8910" s="26" t="str">
        <f t="shared" si="319"/>
        <v>2025.002G.Monodnaviria_reorg_4nr.zip</v>
      </c>
    </row>
    <row r="8911" spans="1:21">
      <c r="A8911">
        <v>8910</v>
      </c>
      <c r="B8911" s="27" t="s">
        <v>20779</v>
      </c>
      <c r="D8911" s="27" t="s">
        <v>1826</v>
      </c>
      <c r="F8911" s="27" t="s">
        <v>1844</v>
      </c>
      <c r="H8911" s="27" t="s">
        <v>1853</v>
      </c>
      <c r="J8911" s="27" t="s">
        <v>1854</v>
      </c>
      <c r="L8911" s="27" t="s">
        <v>662</v>
      </c>
      <c r="N8911" s="27" t="s">
        <v>807</v>
      </c>
      <c r="P8911" s="27" t="s">
        <v>2596</v>
      </c>
      <c r="Q8911" s="26" t="str">
        <f>HYPERLINK("https://ictv.global/taxonomy/taxondetails?taxnode_id=202509035&amp;ictv_id=ICTV202009035","ICTV202009035")</f>
        <v>ICTV202009035</v>
      </c>
      <c r="R8911" t="s">
        <v>660</v>
      </c>
      <c r="S8911" t="s">
        <v>824</v>
      </c>
      <c r="T8911">
        <v>41</v>
      </c>
      <c r="U8911" s="26" t="str">
        <f t="shared" si="319"/>
        <v>2025.002G.Monodnaviria_reorg_4nr.zip</v>
      </c>
    </row>
    <row r="8912" spans="1:21">
      <c r="A8912">
        <v>8911</v>
      </c>
      <c r="B8912" s="27" t="s">
        <v>20779</v>
      </c>
      <c r="D8912" s="27" t="s">
        <v>1826</v>
      </c>
      <c r="F8912" s="27" t="s">
        <v>1844</v>
      </c>
      <c r="H8912" s="27" t="s">
        <v>1853</v>
      </c>
      <c r="J8912" s="27" t="s">
        <v>1854</v>
      </c>
      <c r="L8912" s="27" t="s">
        <v>662</v>
      </c>
      <c r="N8912" s="27" t="s">
        <v>807</v>
      </c>
      <c r="P8912" s="27" t="s">
        <v>2597</v>
      </c>
      <c r="Q8912" s="26" t="str">
        <f>HYPERLINK("https://ictv.global/taxonomy/taxondetails?taxnode_id=202509063&amp;ictv_id=ICTV202009063","ICTV202009063")</f>
        <v>ICTV202009063</v>
      </c>
      <c r="R8912" t="s">
        <v>660</v>
      </c>
      <c r="S8912" t="s">
        <v>824</v>
      </c>
      <c r="T8912">
        <v>41</v>
      </c>
      <c r="U8912" s="26" t="str">
        <f t="shared" si="319"/>
        <v>2025.002G.Monodnaviria_reorg_4nr.zip</v>
      </c>
    </row>
    <row r="8913" spans="1:21">
      <c r="A8913">
        <v>8912</v>
      </c>
      <c r="B8913" s="27" t="s">
        <v>20779</v>
      </c>
      <c r="D8913" s="27" t="s">
        <v>1826</v>
      </c>
      <c r="F8913" s="27" t="s">
        <v>1844</v>
      </c>
      <c r="H8913" s="27" t="s">
        <v>1853</v>
      </c>
      <c r="J8913" s="27" t="s">
        <v>1854</v>
      </c>
      <c r="L8913" s="27" t="s">
        <v>662</v>
      </c>
      <c r="N8913" s="27" t="s">
        <v>807</v>
      </c>
      <c r="P8913" s="27" t="s">
        <v>2598</v>
      </c>
      <c r="Q8913" s="26" t="str">
        <f>HYPERLINK("https://ictv.global/taxonomy/taxondetails?taxnode_id=202509064&amp;ictv_id=ICTV202009064","ICTV202009064")</f>
        <v>ICTV202009064</v>
      </c>
      <c r="R8913" t="s">
        <v>660</v>
      </c>
      <c r="S8913" t="s">
        <v>824</v>
      </c>
      <c r="T8913">
        <v>41</v>
      </c>
      <c r="U8913" s="26" t="str">
        <f t="shared" si="319"/>
        <v>2025.002G.Monodnaviria_reorg_4nr.zip</v>
      </c>
    </row>
    <row r="8914" spans="1:21">
      <c r="A8914">
        <v>8913</v>
      </c>
      <c r="B8914" s="27" t="s">
        <v>20779</v>
      </c>
      <c r="D8914" s="27" t="s">
        <v>1826</v>
      </c>
      <c r="F8914" s="27" t="s">
        <v>1844</v>
      </c>
      <c r="H8914" s="27" t="s">
        <v>1853</v>
      </c>
      <c r="J8914" s="27" t="s">
        <v>1854</v>
      </c>
      <c r="L8914" s="27" t="s">
        <v>662</v>
      </c>
      <c r="N8914" s="27" t="s">
        <v>807</v>
      </c>
      <c r="P8914" s="27" t="s">
        <v>2599</v>
      </c>
      <c r="Q8914" s="26" t="str">
        <f>HYPERLINK("https://ictv.global/taxonomy/taxondetails?taxnode_id=202509066&amp;ictv_id=ICTV202009066","ICTV202009066")</f>
        <v>ICTV202009066</v>
      </c>
      <c r="R8914" t="s">
        <v>660</v>
      </c>
      <c r="S8914" t="s">
        <v>824</v>
      </c>
      <c r="T8914">
        <v>41</v>
      </c>
      <c r="U8914" s="26" t="str">
        <f t="shared" si="319"/>
        <v>2025.002G.Monodnaviria_reorg_4nr.zip</v>
      </c>
    </row>
    <row r="8915" spans="1:21">
      <c r="A8915">
        <v>8914</v>
      </c>
      <c r="B8915" s="27" t="s">
        <v>20779</v>
      </c>
      <c r="D8915" s="27" t="s">
        <v>1826</v>
      </c>
      <c r="F8915" s="27" t="s">
        <v>1844</v>
      </c>
      <c r="H8915" s="27" t="s">
        <v>1853</v>
      </c>
      <c r="J8915" s="27" t="s">
        <v>1854</v>
      </c>
      <c r="L8915" s="27" t="s">
        <v>662</v>
      </c>
      <c r="N8915" s="27" t="s">
        <v>807</v>
      </c>
      <c r="P8915" s="27" t="s">
        <v>2600</v>
      </c>
      <c r="Q8915" s="26" t="str">
        <f>HYPERLINK("https://ictv.global/taxonomy/taxondetails?taxnode_id=202509043&amp;ictv_id=ICTV202009043","ICTV202009043")</f>
        <v>ICTV202009043</v>
      </c>
      <c r="R8915" t="s">
        <v>660</v>
      </c>
      <c r="S8915" t="s">
        <v>824</v>
      </c>
      <c r="T8915">
        <v>41</v>
      </c>
      <c r="U8915" s="26" t="str">
        <f t="shared" si="319"/>
        <v>2025.002G.Monodnaviria_reorg_4nr.zip</v>
      </c>
    </row>
    <row r="8916" spans="1:21">
      <c r="A8916">
        <v>8915</v>
      </c>
      <c r="B8916" s="27" t="s">
        <v>20779</v>
      </c>
      <c r="D8916" s="27" t="s">
        <v>1826</v>
      </c>
      <c r="F8916" s="27" t="s">
        <v>1844</v>
      </c>
      <c r="H8916" s="27" t="s">
        <v>1853</v>
      </c>
      <c r="J8916" s="27" t="s">
        <v>1854</v>
      </c>
      <c r="L8916" s="27" t="s">
        <v>662</v>
      </c>
      <c r="N8916" s="27" t="s">
        <v>807</v>
      </c>
      <c r="P8916" s="27" t="s">
        <v>2601</v>
      </c>
      <c r="Q8916" s="26" t="str">
        <f>HYPERLINK("https://ictv.global/taxonomy/taxondetails?taxnode_id=202509058&amp;ictv_id=ICTV202009058","ICTV202009058")</f>
        <v>ICTV202009058</v>
      </c>
      <c r="R8916" t="s">
        <v>660</v>
      </c>
      <c r="S8916" t="s">
        <v>824</v>
      </c>
      <c r="T8916">
        <v>41</v>
      </c>
      <c r="U8916" s="26" t="str">
        <f t="shared" si="319"/>
        <v>2025.002G.Monodnaviria_reorg_4nr.zip</v>
      </c>
    </row>
    <row r="8917" spans="1:21">
      <c r="A8917">
        <v>8916</v>
      </c>
      <c r="B8917" s="27" t="s">
        <v>20779</v>
      </c>
      <c r="D8917" s="27" t="s">
        <v>1826</v>
      </c>
      <c r="F8917" s="27" t="s">
        <v>1844</v>
      </c>
      <c r="H8917" s="27" t="s">
        <v>1853</v>
      </c>
      <c r="J8917" s="27" t="s">
        <v>1854</v>
      </c>
      <c r="L8917" s="27" t="s">
        <v>662</v>
      </c>
      <c r="N8917" s="27" t="s">
        <v>807</v>
      </c>
      <c r="P8917" s="27" t="s">
        <v>2602</v>
      </c>
      <c r="Q8917" s="26" t="str">
        <f>HYPERLINK("https://ictv.global/taxonomy/taxondetails?taxnode_id=202509044&amp;ictv_id=ICTV202009044","ICTV202009044")</f>
        <v>ICTV202009044</v>
      </c>
      <c r="R8917" t="s">
        <v>660</v>
      </c>
      <c r="S8917" t="s">
        <v>824</v>
      </c>
      <c r="T8917">
        <v>41</v>
      </c>
      <c r="U8917" s="26" t="str">
        <f t="shared" si="319"/>
        <v>2025.002G.Monodnaviria_reorg_4nr.zip</v>
      </c>
    </row>
    <row r="8918" spans="1:21">
      <c r="A8918">
        <v>8917</v>
      </c>
      <c r="B8918" s="27" t="s">
        <v>20779</v>
      </c>
      <c r="D8918" s="27" t="s">
        <v>1826</v>
      </c>
      <c r="F8918" s="27" t="s">
        <v>1844</v>
      </c>
      <c r="H8918" s="27" t="s">
        <v>1853</v>
      </c>
      <c r="J8918" s="27" t="s">
        <v>1854</v>
      </c>
      <c r="L8918" s="27" t="s">
        <v>662</v>
      </c>
      <c r="N8918" s="27" t="s">
        <v>807</v>
      </c>
      <c r="P8918" s="27" t="s">
        <v>2603</v>
      </c>
      <c r="Q8918" s="26" t="str">
        <f>HYPERLINK("https://ictv.global/taxonomy/taxondetails?taxnode_id=202509045&amp;ictv_id=ICTV202009045","ICTV202009045")</f>
        <v>ICTV202009045</v>
      </c>
      <c r="R8918" t="s">
        <v>660</v>
      </c>
      <c r="S8918" t="s">
        <v>824</v>
      </c>
      <c r="T8918">
        <v>41</v>
      </c>
      <c r="U8918" s="26" t="str">
        <f t="shared" si="319"/>
        <v>2025.002G.Monodnaviria_reorg_4nr.zip</v>
      </c>
    </row>
    <row r="8919" spans="1:21">
      <c r="A8919">
        <v>8918</v>
      </c>
      <c r="B8919" s="27" t="s">
        <v>20779</v>
      </c>
      <c r="D8919" s="27" t="s">
        <v>1826</v>
      </c>
      <c r="F8919" s="27" t="s">
        <v>1844</v>
      </c>
      <c r="H8919" s="27" t="s">
        <v>1853</v>
      </c>
      <c r="J8919" s="27" t="s">
        <v>1854</v>
      </c>
      <c r="L8919" s="27" t="s">
        <v>662</v>
      </c>
      <c r="N8919" s="27" t="s">
        <v>807</v>
      </c>
      <c r="P8919" s="27" t="s">
        <v>2604</v>
      </c>
      <c r="Q8919" s="26" t="str">
        <f>HYPERLINK("https://ictv.global/taxonomy/taxondetails?taxnode_id=202509046&amp;ictv_id=ICTV202009046","ICTV202009046")</f>
        <v>ICTV202009046</v>
      </c>
      <c r="R8919" t="s">
        <v>660</v>
      </c>
      <c r="S8919" t="s">
        <v>824</v>
      </c>
      <c r="T8919">
        <v>41</v>
      </c>
      <c r="U8919" s="26" t="str">
        <f t="shared" si="319"/>
        <v>2025.002G.Monodnaviria_reorg_4nr.zip</v>
      </c>
    </row>
    <row r="8920" spans="1:21">
      <c r="A8920">
        <v>8919</v>
      </c>
      <c r="B8920" s="27" t="s">
        <v>20779</v>
      </c>
      <c r="D8920" s="27" t="s">
        <v>1826</v>
      </c>
      <c r="F8920" s="27" t="s">
        <v>1844</v>
      </c>
      <c r="H8920" s="27" t="s">
        <v>1853</v>
      </c>
      <c r="J8920" s="27" t="s">
        <v>1854</v>
      </c>
      <c r="L8920" s="27" t="s">
        <v>662</v>
      </c>
      <c r="N8920" s="27" t="s">
        <v>807</v>
      </c>
      <c r="P8920" s="27" t="s">
        <v>2605</v>
      </c>
      <c r="Q8920" s="26" t="str">
        <f>HYPERLINK("https://ictv.global/taxonomy/taxondetails?taxnode_id=202509049&amp;ictv_id=ICTV202009049","ICTV202009049")</f>
        <v>ICTV202009049</v>
      </c>
      <c r="R8920" t="s">
        <v>660</v>
      </c>
      <c r="S8920" t="s">
        <v>824</v>
      </c>
      <c r="T8920">
        <v>41</v>
      </c>
      <c r="U8920" s="26" t="str">
        <f t="shared" si="319"/>
        <v>2025.002G.Monodnaviria_reorg_4nr.zip</v>
      </c>
    </row>
    <row r="8921" spans="1:21">
      <c r="A8921">
        <v>8920</v>
      </c>
      <c r="B8921" s="27" t="s">
        <v>20779</v>
      </c>
      <c r="D8921" s="27" t="s">
        <v>1826</v>
      </c>
      <c r="F8921" s="27" t="s">
        <v>1844</v>
      </c>
      <c r="H8921" s="27" t="s">
        <v>1853</v>
      </c>
      <c r="J8921" s="27" t="s">
        <v>1854</v>
      </c>
      <c r="L8921" s="27" t="s">
        <v>662</v>
      </c>
      <c r="N8921" s="27" t="s">
        <v>807</v>
      </c>
      <c r="P8921" s="27" t="s">
        <v>2606</v>
      </c>
      <c r="Q8921" s="26" t="str">
        <f>HYPERLINK("https://ictv.global/taxonomy/taxondetails?taxnode_id=202509053&amp;ictv_id=ICTV202009053","ICTV202009053")</f>
        <v>ICTV202009053</v>
      </c>
      <c r="R8921" t="s">
        <v>660</v>
      </c>
      <c r="S8921" t="s">
        <v>824</v>
      </c>
      <c r="T8921">
        <v>41</v>
      </c>
      <c r="U8921" s="26" t="str">
        <f t="shared" si="319"/>
        <v>2025.002G.Monodnaviria_reorg_4nr.zip</v>
      </c>
    </row>
    <row r="8922" spans="1:21">
      <c r="A8922">
        <v>8921</v>
      </c>
      <c r="B8922" s="27" t="s">
        <v>20779</v>
      </c>
      <c r="D8922" s="27" t="s">
        <v>1826</v>
      </c>
      <c r="F8922" s="27" t="s">
        <v>1844</v>
      </c>
      <c r="H8922" s="27" t="s">
        <v>1853</v>
      </c>
      <c r="J8922" s="27" t="s">
        <v>1854</v>
      </c>
      <c r="L8922" s="27" t="s">
        <v>662</v>
      </c>
      <c r="N8922" s="27" t="s">
        <v>807</v>
      </c>
      <c r="P8922" s="27" t="s">
        <v>2607</v>
      </c>
      <c r="Q8922" s="26" t="str">
        <f>HYPERLINK("https://ictv.global/taxonomy/taxondetails?taxnode_id=202509033&amp;ictv_id=ICTV202009033","ICTV202009033")</f>
        <v>ICTV202009033</v>
      </c>
      <c r="R8922" t="s">
        <v>660</v>
      </c>
      <c r="S8922" t="s">
        <v>824</v>
      </c>
      <c r="T8922">
        <v>41</v>
      </c>
      <c r="U8922" s="26" t="str">
        <f t="shared" si="319"/>
        <v>2025.002G.Monodnaviria_reorg_4nr.zip</v>
      </c>
    </row>
    <row r="8923" spans="1:21">
      <c r="A8923">
        <v>8922</v>
      </c>
      <c r="B8923" s="27" t="s">
        <v>20779</v>
      </c>
      <c r="D8923" s="27" t="s">
        <v>1826</v>
      </c>
      <c r="F8923" s="27" t="s">
        <v>1844</v>
      </c>
      <c r="H8923" s="27" t="s">
        <v>1853</v>
      </c>
      <c r="J8923" s="27" t="s">
        <v>1854</v>
      </c>
      <c r="L8923" s="27" t="s">
        <v>662</v>
      </c>
      <c r="N8923" s="27" t="s">
        <v>807</v>
      </c>
      <c r="P8923" s="27" t="s">
        <v>2608</v>
      </c>
      <c r="Q8923" s="26" t="str">
        <f>HYPERLINK("https://ictv.global/taxonomy/taxondetails?taxnode_id=202503610&amp;ictv_id=ICTV20165365","ICTV20165365")</f>
        <v>ICTV20165365</v>
      </c>
      <c r="R8923" t="s">
        <v>660</v>
      </c>
      <c r="S8923" t="s">
        <v>824</v>
      </c>
      <c r="T8923">
        <v>41</v>
      </c>
      <c r="U8923" s="26" t="str">
        <f t="shared" si="319"/>
        <v>2025.002G.Monodnaviria_reorg_4nr.zip</v>
      </c>
    </row>
    <row r="8924" spans="1:21">
      <c r="A8924">
        <v>8923</v>
      </c>
      <c r="B8924" s="27" t="s">
        <v>20779</v>
      </c>
      <c r="D8924" s="27" t="s">
        <v>1826</v>
      </c>
      <c r="F8924" s="27" t="s">
        <v>1844</v>
      </c>
      <c r="H8924" s="27" t="s">
        <v>1853</v>
      </c>
      <c r="J8924" s="27" t="s">
        <v>1854</v>
      </c>
      <c r="L8924" s="27" t="s">
        <v>662</v>
      </c>
      <c r="N8924" s="27" t="s">
        <v>807</v>
      </c>
      <c r="P8924" s="27" t="s">
        <v>2609</v>
      </c>
      <c r="Q8924" s="26" t="str">
        <f>HYPERLINK("https://ictv.global/taxonomy/taxondetails?taxnode_id=202503611&amp;ictv_id=ICTV20165366","ICTV20165366")</f>
        <v>ICTV20165366</v>
      </c>
      <c r="R8924" t="s">
        <v>660</v>
      </c>
      <c r="S8924" t="s">
        <v>824</v>
      </c>
      <c r="T8924">
        <v>41</v>
      </c>
      <c r="U8924" s="26" t="str">
        <f t="shared" si="319"/>
        <v>2025.002G.Monodnaviria_reorg_4nr.zip</v>
      </c>
    </row>
    <row r="8925" spans="1:21">
      <c r="A8925">
        <v>8924</v>
      </c>
      <c r="B8925" s="27" t="s">
        <v>20779</v>
      </c>
      <c r="D8925" s="27" t="s">
        <v>1826</v>
      </c>
      <c r="F8925" s="27" t="s">
        <v>1844</v>
      </c>
      <c r="H8925" s="27" t="s">
        <v>1853</v>
      </c>
      <c r="J8925" s="27" t="s">
        <v>1854</v>
      </c>
      <c r="L8925" s="27" t="s">
        <v>662</v>
      </c>
      <c r="N8925" s="27" t="s">
        <v>807</v>
      </c>
      <c r="P8925" s="27" t="s">
        <v>2610</v>
      </c>
      <c r="Q8925" s="26" t="str">
        <f>HYPERLINK("https://ictv.global/taxonomy/taxondetails?taxnode_id=202503612&amp;ictv_id=ICTV20165367","ICTV20165367")</f>
        <v>ICTV20165367</v>
      </c>
      <c r="R8925" t="s">
        <v>660</v>
      </c>
      <c r="S8925" t="s">
        <v>824</v>
      </c>
      <c r="T8925">
        <v>41</v>
      </c>
      <c r="U8925" s="26" t="str">
        <f t="shared" si="319"/>
        <v>2025.002G.Monodnaviria_reorg_4nr.zip</v>
      </c>
    </row>
    <row r="8926" spans="1:21">
      <c r="A8926">
        <v>8925</v>
      </c>
      <c r="B8926" s="27" t="s">
        <v>20779</v>
      </c>
      <c r="D8926" s="27" t="s">
        <v>1826</v>
      </c>
      <c r="F8926" s="27" t="s">
        <v>1844</v>
      </c>
      <c r="H8926" s="27" t="s">
        <v>1853</v>
      </c>
      <c r="J8926" s="27" t="s">
        <v>1854</v>
      </c>
      <c r="L8926" s="27" t="s">
        <v>662</v>
      </c>
      <c r="N8926" s="27" t="s">
        <v>807</v>
      </c>
      <c r="P8926" s="27" t="s">
        <v>2611</v>
      </c>
      <c r="Q8926" s="26" t="str">
        <f>HYPERLINK("https://ictv.global/taxonomy/taxondetails?taxnode_id=202503613&amp;ictv_id=ICTV20165368","ICTV20165368")</f>
        <v>ICTV20165368</v>
      </c>
      <c r="R8926" t="s">
        <v>660</v>
      </c>
      <c r="S8926" t="s">
        <v>824</v>
      </c>
      <c r="T8926">
        <v>41</v>
      </c>
      <c r="U8926" s="26" t="str">
        <f t="shared" si="319"/>
        <v>2025.002G.Monodnaviria_reorg_4nr.zip</v>
      </c>
    </row>
    <row r="8927" spans="1:21">
      <c r="A8927">
        <v>8926</v>
      </c>
      <c r="B8927" s="27" t="s">
        <v>20779</v>
      </c>
      <c r="D8927" s="27" t="s">
        <v>1826</v>
      </c>
      <c r="F8927" s="27" t="s">
        <v>1844</v>
      </c>
      <c r="H8927" s="27" t="s">
        <v>1853</v>
      </c>
      <c r="J8927" s="27" t="s">
        <v>1854</v>
      </c>
      <c r="L8927" s="27" t="s">
        <v>662</v>
      </c>
      <c r="N8927" s="27" t="s">
        <v>807</v>
      </c>
      <c r="P8927" s="27" t="s">
        <v>2612</v>
      </c>
      <c r="Q8927" s="26" t="str">
        <f>HYPERLINK("https://ictv.global/taxonomy/taxondetails?taxnode_id=202503614&amp;ictv_id=ICTV20165369","ICTV20165369")</f>
        <v>ICTV20165369</v>
      </c>
      <c r="R8927" t="s">
        <v>660</v>
      </c>
      <c r="S8927" t="s">
        <v>824</v>
      </c>
      <c r="T8927">
        <v>41</v>
      </c>
      <c r="U8927" s="26" t="str">
        <f t="shared" si="319"/>
        <v>2025.002G.Monodnaviria_reorg_4nr.zip</v>
      </c>
    </row>
    <row r="8928" spans="1:21">
      <c r="A8928">
        <v>8927</v>
      </c>
      <c r="B8928" s="27" t="s">
        <v>20779</v>
      </c>
      <c r="D8928" s="27" t="s">
        <v>1826</v>
      </c>
      <c r="F8928" s="27" t="s">
        <v>1844</v>
      </c>
      <c r="H8928" s="27" t="s">
        <v>1853</v>
      </c>
      <c r="J8928" s="27" t="s">
        <v>1854</v>
      </c>
      <c r="L8928" s="27" t="s">
        <v>662</v>
      </c>
      <c r="N8928" s="27" t="s">
        <v>807</v>
      </c>
      <c r="P8928" s="27" t="s">
        <v>2613</v>
      </c>
      <c r="Q8928" s="26" t="str">
        <f>HYPERLINK("https://ictv.global/taxonomy/taxondetails?taxnode_id=202509034&amp;ictv_id=ICTV202009034","ICTV202009034")</f>
        <v>ICTV202009034</v>
      </c>
      <c r="R8928" t="s">
        <v>660</v>
      </c>
      <c r="S8928" t="s">
        <v>824</v>
      </c>
      <c r="T8928">
        <v>41</v>
      </c>
      <c r="U8928" s="26" t="str">
        <f t="shared" si="319"/>
        <v>2025.002G.Monodnaviria_reorg_4nr.zip</v>
      </c>
    </row>
    <row r="8929" spans="1:21">
      <c r="A8929">
        <v>8928</v>
      </c>
      <c r="B8929" s="27" t="s">
        <v>20779</v>
      </c>
      <c r="D8929" s="27" t="s">
        <v>1826</v>
      </c>
      <c r="F8929" s="27" t="s">
        <v>1844</v>
      </c>
      <c r="H8929" s="27" t="s">
        <v>1853</v>
      </c>
      <c r="J8929" s="27" t="s">
        <v>1854</v>
      </c>
      <c r="L8929" s="27" t="s">
        <v>662</v>
      </c>
      <c r="N8929" s="27" t="s">
        <v>807</v>
      </c>
      <c r="P8929" s="27" t="s">
        <v>2614</v>
      </c>
      <c r="Q8929" s="26" t="str">
        <f>HYPERLINK("https://ictv.global/taxonomy/taxondetails?taxnode_id=202509036&amp;ictv_id=ICTV202009036","ICTV202009036")</f>
        <v>ICTV202009036</v>
      </c>
      <c r="R8929" t="s">
        <v>660</v>
      </c>
      <c r="S8929" t="s">
        <v>824</v>
      </c>
      <c r="T8929">
        <v>41</v>
      </c>
      <c r="U8929" s="26" t="str">
        <f t="shared" si="319"/>
        <v>2025.002G.Monodnaviria_reorg_4nr.zip</v>
      </c>
    </row>
    <row r="8930" spans="1:21">
      <c r="A8930">
        <v>8929</v>
      </c>
      <c r="B8930" s="27" t="s">
        <v>20779</v>
      </c>
      <c r="D8930" s="27" t="s">
        <v>1826</v>
      </c>
      <c r="F8930" s="27" t="s">
        <v>1844</v>
      </c>
      <c r="H8930" s="27" t="s">
        <v>1853</v>
      </c>
      <c r="J8930" s="27" t="s">
        <v>1854</v>
      </c>
      <c r="L8930" s="27" t="s">
        <v>662</v>
      </c>
      <c r="N8930" s="27" t="s">
        <v>807</v>
      </c>
      <c r="P8930" s="27" t="s">
        <v>2615</v>
      </c>
      <c r="Q8930" s="26" t="str">
        <f>HYPERLINK("https://ictv.global/taxonomy/taxondetails?taxnode_id=202509052&amp;ictv_id=ICTV202009052","ICTV202009052")</f>
        <v>ICTV202009052</v>
      </c>
      <c r="R8930" t="s">
        <v>660</v>
      </c>
      <c r="S8930" t="s">
        <v>824</v>
      </c>
      <c r="T8930">
        <v>41</v>
      </c>
      <c r="U8930" s="26" t="str">
        <f t="shared" si="319"/>
        <v>2025.002G.Monodnaviria_reorg_4nr.zip</v>
      </c>
    </row>
    <row r="8931" spans="1:21">
      <c r="A8931">
        <v>8930</v>
      </c>
      <c r="B8931" s="27" t="s">
        <v>20779</v>
      </c>
      <c r="D8931" s="27" t="s">
        <v>1826</v>
      </c>
      <c r="F8931" s="27" t="s">
        <v>1844</v>
      </c>
      <c r="H8931" s="27" t="s">
        <v>1853</v>
      </c>
      <c r="J8931" s="27" t="s">
        <v>1854</v>
      </c>
      <c r="L8931" s="27" t="s">
        <v>662</v>
      </c>
      <c r="N8931" s="27" t="s">
        <v>807</v>
      </c>
      <c r="P8931" s="27" t="s">
        <v>2616</v>
      </c>
      <c r="Q8931" s="26" t="str">
        <f>HYPERLINK("https://ictv.global/taxonomy/taxondetails?taxnode_id=202509056&amp;ictv_id=ICTV202009056","ICTV202009056")</f>
        <v>ICTV202009056</v>
      </c>
      <c r="R8931" t="s">
        <v>660</v>
      </c>
      <c r="S8931" t="s">
        <v>824</v>
      </c>
      <c r="T8931">
        <v>41</v>
      </c>
      <c r="U8931" s="26" t="str">
        <f t="shared" si="319"/>
        <v>2025.002G.Monodnaviria_reorg_4nr.zip</v>
      </c>
    </row>
    <row r="8932" spans="1:21">
      <c r="A8932">
        <v>8931</v>
      </c>
      <c r="B8932" s="27" t="s">
        <v>20779</v>
      </c>
      <c r="D8932" s="27" t="s">
        <v>1826</v>
      </c>
      <c r="F8932" s="27" t="s">
        <v>1844</v>
      </c>
      <c r="H8932" s="27" t="s">
        <v>1853</v>
      </c>
      <c r="J8932" s="27" t="s">
        <v>1854</v>
      </c>
      <c r="L8932" s="27" t="s">
        <v>662</v>
      </c>
      <c r="N8932" s="27" t="s">
        <v>807</v>
      </c>
      <c r="P8932" s="27" t="s">
        <v>2617</v>
      </c>
      <c r="Q8932" s="26" t="str">
        <f>HYPERLINK("https://ictv.global/taxonomy/taxondetails?taxnode_id=202503615&amp;ictv_id=ICTV20165370","ICTV20165370")</f>
        <v>ICTV20165370</v>
      </c>
      <c r="R8932" t="s">
        <v>660</v>
      </c>
      <c r="S8932" t="s">
        <v>824</v>
      </c>
      <c r="T8932">
        <v>41</v>
      </c>
      <c r="U8932" s="26" t="str">
        <f t="shared" si="319"/>
        <v>2025.002G.Monodnaviria_reorg_4nr.zip</v>
      </c>
    </row>
    <row r="8933" spans="1:21">
      <c r="A8933">
        <v>8932</v>
      </c>
      <c r="B8933" s="27" t="s">
        <v>20779</v>
      </c>
      <c r="D8933" s="27" t="s">
        <v>1826</v>
      </c>
      <c r="F8933" s="27" t="s">
        <v>1844</v>
      </c>
      <c r="H8933" s="27" t="s">
        <v>1853</v>
      </c>
      <c r="J8933" s="27" t="s">
        <v>1854</v>
      </c>
      <c r="L8933" s="27" t="s">
        <v>662</v>
      </c>
      <c r="N8933" s="27" t="s">
        <v>807</v>
      </c>
      <c r="P8933" s="27" t="s">
        <v>2618</v>
      </c>
      <c r="Q8933" s="26" t="str">
        <f>HYPERLINK("https://ictv.global/taxonomy/taxondetails?taxnode_id=202509047&amp;ictv_id=ICTV202009047","ICTV202009047")</f>
        <v>ICTV202009047</v>
      </c>
      <c r="R8933" t="s">
        <v>660</v>
      </c>
      <c r="S8933" t="s">
        <v>824</v>
      </c>
      <c r="T8933">
        <v>41</v>
      </c>
      <c r="U8933" s="26" t="str">
        <f t="shared" si="319"/>
        <v>2025.002G.Monodnaviria_reorg_4nr.zip</v>
      </c>
    </row>
    <row r="8934" spans="1:21">
      <c r="A8934">
        <v>8933</v>
      </c>
      <c r="B8934" s="27" t="s">
        <v>20779</v>
      </c>
      <c r="D8934" s="27" t="s">
        <v>1826</v>
      </c>
      <c r="F8934" s="27" t="s">
        <v>1844</v>
      </c>
      <c r="H8934" s="27" t="s">
        <v>1853</v>
      </c>
      <c r="J8934" s="27" t="s">
        <v>1854</v>
      </c>
      <c r="L8934" s="27" t="s">
        <v>662</v>
      </c>
      <c r="N8934" s="27" t="s">
        <v>807</v>
      </c>
      <c r="P8934" s="27" t="s">
        <v>2619</v>
      </c>
      <c r="Q8934" s="26" t="str">
        <f>HYPERLINK("https://ictv.global/taxonomy/taxondetails?taxnode_id=202509060&amp;ictv_id=ICTV202009060","ICTV202009060")</f>
        <v>ICTV202009060</v>
      </c>
      <c r="R8934" t="s">
        <v>660</v>
      </c>
      <c r="S8934" t="s">
        <v>824</v>
      </c>
      <c r="T8934">
        <v>41</v>
      </c>
      <c r="U8934" s="26" t="str">
        <f t="shared" si="319"/>
        <v>2025.002G.Monodnaviria_reorg_4nr.zip</v>
      </c>
    </row>
    <row r="8935" spans="1:21">
      <c r="A8935">
        <v>8934</v>
      </c>
      <c r="B8935" s="27" t="s">
        <v>20779</v>
      </c>
      <c r="D8935" s="27" t="s">
        <v>1826</v>
      </c>
      <c r="F8935" s="27" t="s">
        <v>1844</v>
      </c>
      <c r="H8935" s="27" t="s">
        <v>1853</v>
      </c>
      <c r="J8935" s="27" t="s">
        <v>1854</v>
      </c>
      <c r="L8935" s="27" t="s">
        <v>662</v>
      </c>
      <c r="N8935" s="27" t="s">
        <v>807</v>
      </c>
      <c r="P8935" s="27" t="s">
        <v>2620</v>
      </c>
      <c r="Q8935" s="26" t="str">
        <f>HYPERLINK("https://ictv.global/taxonomy/taxondetails?taxnode_id=202509048&amp;ictv_id=ICTV202009048","ICTV202009048")</f>
        <v>ICTV202009048</v>
      </c>
      <c r="R8935" t="s">
        <v>660</v>
      </c>
      <c r="S8935" t="s">
        <v>824</v>
      </c>
      <c r="T8935">
        <v>41</v>
      </c>
      <c r="U8935" s="26" t="str">
        <f t="shared" si="319"/>
        <v>2025.002G.Monodnaviria_reorg_4nr.zip</v>
      </c>
    </row>
    <row r="8936" spans="1:21">
      <c r="A8936">
        <v>8935</v>
      </c>
      <c r="B8936" s="27" t="s">
        <v>20779</v>
      </c>
      <c r="D8936" s="27" t="s">
        <v>1826</v>
      </c>
      <c r="F8936" s="27" t="s">
        <v>1844</v>
      </c>
      <c r="H8936" s="27" t="s">
        <v>1853</v>
      </c>
      <c r="J8936" s="27" t="s">
        <v>1854</v>
      </c>
      <c r="L8936" s="27" t="s">
        <v>662</v>
      </c>
      <c r="N8936" s="27" t="s">
        <v>807</v>
      </c>
      <c r="P8936" s="27" t="s">
        <v>2621</v>
      </c>
      <c r="Q8936" s="26" t="str">
        <f>HYPERLINK("https://ictv.global/taxonomy/taxondetails?taxnode_id=202509051&amp;ictv_id=ICTV202009051","ICTV202009051")</f>
        <v>ICTV202009051</v>
      </c>
      <c r="R8936" t="s">
        <v>660</v>
      </c>
      <c r="S8936" t="s">
        <v>824</v>
      </c>
      <c r="T8936">
        <v>41</v>
      </c>
      <c r="U8936" s="26" t="str">
        <f t="shared" ref="U8936:U8999" si="320">HYPERLINK("https://ictv.global/ictv/proposals/2025.002G.Monodnaviria_reorg_4nr.zip","2025.002G.Monodnaviria_reorg_4nr.zip")</f>
        <v>2025.002G.Monodnaviria_reorg_4nr.zip</v>
      </c>
    </row>
    <row r="8937" spans="1:21">
      <c r="A8937">
        <v>8936</v>
      </c>
      <c r="B8937" s="27" t="s">
        <v>20779</v>
      </c>
      <c r="D8937" s="27" t="s">
        <v>1826</v>
      </c>
      <c r="F8937" s="27" t="s">
        <v>1844</v>
      </c>
      <c r="H8937" s="27" t="s">
        <v>1853</v>
      </c>
      <c r="J8937" s="27" t="s">
        <v>1854</v>
      </c>
      <c r="L8937" s="27" t="s">
        <v>662</v>
      </c>
      <c r="N8937" s="27" t="s">
        <v>807</v>
      </c>
      <c r="P8937" s="27" t="s">
        <v>2622</v>
      </c>
      <c r="Q8937" s="26" t="str">
        <f>HYPERLINK("https://ictv.global/taxonomy/taxondetails?taxnode_id=202509037&amp;ictv_id=ICTV202009037","ICTV202009037")</f>
        <v>ICTV202009037</v>
      </c>
      <c r="R8937" t="s">
        <v>660</v>
      </c>
      <c r="S8937" t="s">
        <v>824</v>
      </c>
      <c r="T8937">
        <v>41</v>
      </c>
      <c r="U8937" s="26" t="str">
        <f t="shared" si="320"/>
        <v>2025.002G.Monodnaviria_reorg_4nr.zip</v>
      </c>
    </row>
    <row r="8938" spans="1:21">
      <c r="A8938">
        <v>8937</v>
      </c>
      <c r="B8938" s="27" t="s">
        <v>20779</v>
      </c>
      <c r="D8938" s="27" t="s">
        <v>1826</v>
      </c>
      <c r="F8938" s="27" t="s">
        <v>1844</v>
      </c>
      <c r="H8938" s="27" t="s">
        <v>1853</v>
      </c>
      <c r="J8938" s="27" t="s">
        <v>1854</v>
      </c>
      <c r="L8938" s="27" t="s">
        <v>662</v>
      </c>
      <c r="N8938" s="27" t="s">
        <v>807</v>
      </c>
      <c r="P8938" s="27" t="s">
        <v>2623</v>
      </c>
      <c r="Q8938" s="26" t="str">
        <f>HYPERLINK("https://ictv.global/taxonomy/taxondetails?taxnode_id=202509057&amp;ictv_id=ICTV202009057","ICTV202009057")</f>
        <v>ICTV202009057</v>
      </c>
      <c r="R8938" t="s">
        <v>660</v>
      </c>
      <c r="S8938" t="s">
        <v>824</v>
      </c>
      <c r="T8938">
        <v>41</v>
      </c>
      <c r="U8938" s="26" t="str">
        <f t="shared" si="320"/>
        <v>2025.002G.Monodnaviria_reorg_4nr.zip</v>
      </c>
    </row>
    <row r="8939" spans="1:21">
      <c r="A8939">
        <v>8938</v>
      </c>
      <c r="B8939" s="27" t="s">
        <v>20779</v>
      </c>
      <c r="D8939" s="27" t="s">
        <v>1826</v>
      </c>
      <c r="F8939" s="27" t="s">
        <v>1844</v>
      </c>
      <c r="H8939" s="27" t="s">
        <v>1853</v>
      </c>
      <c r="J8939" s="27" t="s">
        <v>1854</v>
      </c>
      <c r="L8939" s="27" t="s">
        <v>662</v>
      </c>
      <c r="N8939" s="27" t="s">
        <v>807</v>
      </c>
      <c r="P8939" s="27" t="s">
        <v>2624</v>
      </c>
      <c r="Q8939" s="26" t="str">
        <f>HYPERLINK("https://ictv.global/taxonomy/taxondetails?taxnode_id=202503616&amp;ictv_id=ICTV20165371","ICTV20165371")</f>
        <v>ICTV20165371</v>
      </c>
      <c r="R8939" t="s">
        <v>660</v>
      </c>
      <c r="S8939" t="s">
        <v>824</v>
      </c>
      <c r="T8939">
        <v>41</v>
      </c>
      <c r="U8939" s="26" t="str">
        <f t="shared" si="320"/>
        <v>2025.002G.Monodnaviria_reorg_4nr.zip</v>
      </c>
    </row>
    <row r="8940" spans="1:21">
      <c r="A8940">
        <v>8939</v>
      </c>
      <c r="B8940" s="27" t="s">
        <v>20779</v>
      </c>
      <c r="D8940" s="27" t="s">
        <v>1826</v>
      </c>
      <c r="F8940" s="27" t="s">
        <v>1844</v>
      </c>
      <c r="H8940" s="27" t="s">
        <v>1853</v>
      </c>
      <c r="J8940" s="27" t="s">
        <v>1854</v>
      </c>
      <c r="L8940" s="27" t="s">
        <v>662</v>
      </c>
      <c r="N8940" s="27" t="s">
        <v>807</v>
      </c>
      <c r="P8940" s="27" t="s">
        <v>2625</v>
      </c>
      <c r="Q8940" s="26" t="str">
        <f>HYPERLINK("https://ictv.global/taxonomy/taxondetails?taxnode_id=202509041&amp;ictv_id=ICTV202009041","ICTV202009041")</f>
        <v>ICTV202009041</v>
      </c>
      <c r="R8940" t="s">
        <v>660</v>
      </c>
      <c r="S8940" t="s">
        <v>824</v>
      </c>
      <c r="T8940">
        <v>41</v>
      </c>
      <c r="U8940" s="26" t="str">
        <f t="shared" si="320"/>
        <v>2025.002G.Monodnaviria_reorg_4nr.zip</v>
      </c>
    </row>
    <row r="8941" spans="1:21">
      <c r="A8941">
        <v>8940</v>
      </c>
      <c r="B8941" s="27" t="s">
        <v>20779</v>
      </c>
      <c r="D8941" s="27" t="s">
        <v>1826</v>
      </c>
      <c r="F8941" s="27" t="s">
        <v>1844</v>
      </c>
      <c r="H8941" s="27" t="s">
        <v>1853</v>
      </c>
      <c r="J8941" s="27" t="s">
        <v>1854</v>
      </c>
      <c r="L8941" s="27" t="s">
        <v>662</v>
      </c>
      <c r="N8941" s="27" t="s">
        <v>807</v>
      </c>
      <c r="P8941" s="27" t="s">
        <v>2626</v>
      </c>
      <c r="Q8941" s="26" t="str">
        <f>HYPERLINK("https://ictv.global/taxonomy/taxondetails?taxnode_id=202503617&amp;ictv_id=ICTV20165372","ICTV20165372")</f>
        <v>ICTV20165372</v>
      </c>
      <c r="R8941" t="s">
        <v>660</v>
      </c>
      <c r="S8941" t="s">
        <v>824</v>
      </c>
      <c r="T8941">
        <v>41</v>
      </c>
      <c r="U8941" s="26" t="str">
        <f t="shared" si="320"/>
        <v>2025.002G.Monodnaviria_reorg_4nr.zip</v>
      </c>
    </row>
    <row r="8942" spans="1:21">
      <c r="A8942">
        <v>8941</v>
      </c>
      <c r="B8942" s="27" t="s">
        <v>20779</v>
      </c>
      <c r="D8942" s="27" t="s">
        <v>1826</v>
      </c>
      <c r="F8942" s="27" t="s">
        <v>1844</v>
      </c>
      <c r="H8942" s="27" t="s">
        <v>1853</v>
      </c>
      <c r="J8942" s="27" t="s">
        <v>1854</v>
      </c>
      <c r="L8942" s="27" t="s">
        <v>662</v>
      </c>
      <c r="N8942" s="27" t="s">
        <v>807</v>
      </c>
      <c r="P8942" s="27" t="s">
        <v>2627</v>
      </c>
      <c r="Q8942" s="26" t="str">
        <f>HYPERLINK("https://ictv.global/taxonomy/taxondetails?taxnode_id=202503618&amp;ictv_id=ICTV20165373","ICTV20165373")</f>
        <v>ICTV20165373</v>
      </c>
      <c r="R8942" t="s">
        <v>660</v>
      </c>
      <c r="S8942" t="s">
        <v>824</v>
      </c>
      <c r="T8942">
        <v>41</v>
      </c>
      <c r="U8942" s="26" t="str">
        <f t="shared" si="320"/>
        <v>2025.002G.Monodnaviria_reorg_4nr.zip</v>
      </c>
    </row>
    <row r="8943" spans="1:21">
      <c r="A8943">
        <v>8942</v>
      </c>
      <c r="B8943" s="27" t="s">
        <v>20779</v>
      </c>
      <c r="D8943" s="27" t="s">
        <v>1826</v>
      </c>
      <c r="F8943" s="27" t="s">
        <v>1844</v>
      </c>
      <c r="H8943" s="27" t="s">
        <v>1853</v>
      </c>
      <c r="J8943" s="27" t="s">
        <v>1854</v>
      </c>
      <c r="L8943" s="27" t="s">
        <v>662</v>
      </c>
      <c r="N8943" s="27" t="s">
        <v>807</v>
      </c>
      <c r="P8943" s="27" t="s">
        <v>2628</v>
      </c>
      <c r="Q8943" s="26" t="str">
        <f>HYPERLINK("https://ictv.global/taxonomy/taxondetails?taxnode_id=202503619&amp;ictv_id=ICTV20165374","ICTV20165374")</f>
        <v>ICTV20165374</v>
      </c>
      <c r="R8943" t="s">
        <v>660</v>
      </c>
      <c r="S8943" t="s">
        <v>824</v>
      </c>
      <c r="T8943">
        <v>41</v>
      </c>
      <c r="U8943" s="26" t="str">
        <f t="shared" si="320"/>
        <v>2025.002G.Monodnaviria_reorg_4nr.zip</v>
      </c>
    </row>
    <row r="8944" spans="1:21">
      <c r="A8944">
        <v>8943</v>
      </c>
      <c r="B8944" s="27" t="s">
        <v>20779</v>
      </c>
      <c r="D8944" s="27" t="s">
        <v>1826</v>
      </c>
      <c r="F8944" s="27" t="s">
        <v>1844</v>
      </c>
      <c r="H8944" s="27" t="s">
        <v>1853</v>
      </c>
      <c r="J8944" s="27" t="s">
        <v>1854</v>
      </c>
      <c r="L8944" s="27" t="s">
        <v>662</v>
      </c>
      <c r="N8944" s="27" t="s">
        <v>807</v>
      </c>
      <c r="P8944" s="27" t="s">
        <v>2629</v>
      </c>
      <c r="Q8944" s="26" t="str">
        <f>HYPERLINK("https://ictv.global/taxonomy/taxondetails?taxnode_id=202503620&amp;ictv_id=ICTV20165375","ICTV20165375")</f>
        <v>ICTV20165375</v>
      </c>
      <c r="R8944" t="s">
        <v>660</v>
      </c>
      <c r="S8944" t="s">
        <v>824</v>
      </c>
      <c r="T8944">
        <v>41</v>
      </c>
      <c r="U8944" s="26" t="str">
        <f t="shared" si="320"/>
        <v>2025.002G.Monodnaviria_reorg_4nr.zip</v>
      </c>
    </row>
    <row r="8945" spans="1:21">
      <c r="A8945">
        <v>8944</v>
      </c>
      <c r="B8945" s="27" t="s">
        <v>20779</v>
      </c>
      <c r="D8945" s="27" t="s">
        <v>1826</v>
      </c>
      <c r="F8945" s="27" t="s">
        <v>1844</v>
      </c>
      <c r="H8945" s="27" t="s">
        <v>1853</v>
      </c>
      <c r="J8945" s="27" t="s">
        <v>1854</v>
      </c>
      <c r="L8945" s="27" t="s">
        <v>662</v>
      </c>
      <c r="N8945" s="27" t="s">
        <v>807</v>
      </c>
      <c r="P8945" s="27" t="s">
        <v>2630</v>
      </c>
      <c r="Q8945" s="26" t="str">
        <f>HYPERLINK("https://ictv.global/taxonomy/taxondetails?taxnode_id=202509050&amp;ictv_id=ICTV202009050","ICTV202009050")</f>
        <v>ICTV202009050</v>
      </c>
      <c r="R8945" t="s">
        <v>660</v>
      </c>
      <c r="S8945" t="s">
        <v>824</v>
      </c>
      <c r="T8945">
        <v>41</v>
      </c>
      <c r="U8945" s="26" t="str">
        <f t="shared" si="320"/>
        <v>2025.002G.Monodnaviria_reorg_4nr.zip</v>
      </c>
    </row>
    <row r="8946" spans="1:21">
      <c r="A8946">
        <v>8945</v>
      </c>
      <c r="B8946" s="27" t="s">
        <v>20779</v>
      </c>
      <c r="D8946" s="27" t="s">
        <v>1826</v>
      </c>
      <c r="F8946" s="27" t="s">
        <v>1844</v>
      </c>
      <c r="H8946" s="27" t="s">
        <v>1853</v>
      </c>
      <c r="J8946" s="27" t="s">
        <v>1854</v>
      </c>
      <c r="L8946" s="27" t="s">
        <v>662</v>
      </c>
      <c r="N8946" s="27" t="s">
        <v>807</v>
      </c>
      <c r="P8946" s="27" t="s">
        <v>2631</v>
      </c>
      <c r="Q8946" s="26" t="str">
        <f>HYPERLINK("https://ictv.global/taxonomy/taxondetails?taxnode_id=202509059&amp;ictv_id=ICTV202009059","ICTV202009059")</f>
        <v>ICTV202009059</v>
      </c>
      <c r="R8946" t="s">
        <v>660</v>
      </c>
      <c r="S8946" t="s">
        <v>824</v>
      </c>
      <c r="T8946">
        <v>41</v>
      </c>
      <c r="U8946" s="26" t="str">
        <f t="shared" si="320"/>
        <v>2025.002G.Monodnaviria_reorg_4nr.zip</v>
      </c>
    </row>
    <row r="8947" spans="1:21">
      <c r="A8947">
        <v>8946</v>
      </c>
      <c r="B8947" s="27" t="s">
        <v>20779</v>
      </c>
      <c r="D8947" s="27" t="s">
        <v>1826</v>
      </c>
      <c r="F8947" s="27" t="s">
        <v>1844</v>
      </c>
      <c r="H8947" s="27" t="s">
        <v>1853</v>
      </c>
      <c r="J8947" s="27" t="s">
        <v>1854</v>
      </c>
      <c r="L8947" s="27" t="s">
        <v>662</v>
      </c>
      <c r="N8947" s="27" t="s">
        <v>807</v>
      </c>
      <c r="P8947" s="27" t="s">
        <v>2632</v>
      </c>
      <c r="Q8947" s="26" t="str">
        <f>HYPERLINK("https://ictv.global/taxonomy/taxondetails?taxnode_id=202509042&amp;ictv_id=ICTV202009042","ICTV202009042")</f>
        <v>ICTV202009042</v>
      </c>
      <c r="R8947" t="s">
        <v>660</v>
      </c>
      <c r="S8947" t="s">
        <v>824</v>
      </c>
      <c r="T8947">
        <v>41</v>
      </c>
      <c r="U8947" s="26" t="str">
        <f t="shared" si="320"/>
        <v>2025.002G.Monodnaviria_reorg_4nr.zip</v>
      </c>
    </row>
    <row r="8948" spans="1:21">
      <c r="A8948">
        <v>8947</v>
      </c>
      <c r="B8948" s="27" t="s">
        <v>20779</v>
      </c>
      <c r="D8948" s="27" t="s">
        <v>1826</v>
      </c>
      <c r="F8948" s="27" t="s">
        <v>1844</v>
      </c>
      <c r="H8948" s="27" t="s">
        <v>1853</v>
      </c>
      <c r="J8948" s="27" t="s">
        <v>1854</v>
      </c>
      <c r="L8948" s="27" t="s">
        <v>662</v>
      </c>
      <c r="N8948" s="27" t="s">
        <v>808</v>
      </c>
      <c r="P8948" s="27" t="s">
        <v>2633</v>
      </c>
      <c r="Q8948" s="26" t="str">
        <f>HYPERLINK("https://ictv.global/taxonomy/taxondetails?taxnode_id=202509074&amp;ictv_id=ICTV202009074","ICTV202009074")</f>
        <v>ICTV202009074</v>
      </c>
      <c r="R8948" t="s">
        <v>660</v>
      </c>
      <c r="S8948" t="s">
        <v>824</v>
      </c>
      <c r="T8948">
        <v>41</v>
      </c>
      <c r="U8948" s="26" t="str">
        <f t="shared" si="320"/>
        <v>2025.002G.Monodnaviria_reorg_4nr.zip</v>
      </c>
    </row>
    <row r="8949" spans="1:21">
      <c r="A8949">
        <v>8948</v>
      </c>
      <c r="B8949" s="27" t="s">
        <v>20779</v>
      </c>
      <c r="D8949" s="27" t="s">
        <v>1826</v>
      </c>
      <c r="F8949" s="27" t="s">
        <v>1844</v>
      </c>
      <c r="H8949" s="27" t="s">
        <v>1853</v>
      </c>
      <c r="J8949" s="27" t="s">
        <v>1854</v>
      </c>
      <c r="L8949" s="27" t="s">
        <v>662</v>
      </c>
      <c r="N8949" s="27" t="s">
        <v>808</v>
      </c>
      <c r="P8949" s="27" t="s">
        <v>2634</v>
      </c>
      <c r="Q8949" s="26" t="str">
        <f>HYPERLINK("https://ictv.global/taxonomy/taxondetails?taxnode_id=202509076&amp;ictv_id=ICTV202009076","ICTV202009076")</f>
        <v>ICTV202009076</v>
      </c>
      <c r="R8949" t="s">
        <v>660</v>
      </c>
      <c r="S8949" t="s">
        <v>824</v>
      </c>
      <c r="T8949">
        <v>41</v>
      </c>
      <c r="U8949" s="26" t="str">
        <f t="shared" si="320"/>
        <v>2025.002G.Monodnaviria_reorg_4nr.zip</v>
      </c>
    </row>
    <row r="8950" spans="1:21">
      <c r="A8950">
        <v>8949</v>
      </c>
      <c r="B8950" s="27" t="s">
        <v>20779</v>
      </c>
      <c r="D8950" s="27" t="s">
        <v>1826</v>
      </c>
      <c r="F8950" s="27" t="s">
        <v>1844</v>
      </c>
      <c r="H8950" s="27" t="s">
        <v>1853</v>
      </c>
      <c r="J8950" s="27" t="s">
        <v>1854</v>
      </c>
      <c r="L8950" s="27" t="s">
        <v>662</v>
      </c>
      <c r="N8950" s="27" t="s">
        <v>808</v>
      </c>
      <c r="P8950" s="27" t="s">
        <v>2635</v>
      </c>
      <c r="Q8950" s="26" t="str">
        <f>HYPERLINK("https://ictv.global/taxonomy/taxondetails?taxnode_id=202509068&amp;ictv_id=ICTV202009068","ICTV202009068")</f>
        <v>ICTV202009068</v>
      </c>
      <c r="R8950" t="s">
        <v>660</v>
      </c>
      <c r="S8950" t="s">
        <v>824</v>
      </c>
      <c r="T8950">
        <v>41</v>
      </c>
      <c r="U8950" s="26" t="str">
        <f t="shared" si="320"/>
        <v>2025.002G.Monodnaviria_reorg_4nr.zip</v>
      </c>
    </row>
    <row r="8951" spans="1:21">
      <c r="A8951">
        <v>8950</v>
      </c>
      <c r="B8951" s="27" t="s">
        <v>20779</v>
      </c>
      <c r="D8951" s="27" t="s">
        <v>1826</v>
      </c>
      <c r="F8951" s="27" t="s">
        <v>1844</v>
      </c>
      <c r="H8951" s="27" t="s">
        <v>1853</v>
      </c>
      <c r="J8951" s="27" t="s">
        <v>1854</v>
      </c>
      <c r="L8951" s="27" t="s">
        <v>662</v>
      </c>
      <c r="N8951" s="27" t="s">
        <v>808</v>
      </c>
      <c r="P8951" s="27" t="s">
        <v>2636</v>
      </c>
      <c r="Q8951" s="26" t="str">
        <f>HYPERLINK("https://ictv.global/taxonomy/taxondetails?taxnode_id=202509071&amp;ictv_id=ICTV202009071","ICTV202009071")</f>
        <v>ICTV202009071</v>
      </c>
      <c r="R8951" t="s">
        <v>660</v>
      </c>
      <c r="S8951" t="s">
        <v>824</v>
      </c>
      <c r="T8951">
        <v>41</v>
      </c>
      <c r="U8951" s="26" t="str">
        <f t="shared" si="320"/>
        <v>2025.002G.Monodnaviria_reorg_4nr.zip</v>
      </c>
    </row>
    <row r="8952" spans="1:21">
      <c r="A8952">
        <v>8951</v>
      </c>
      <c r="B8952" s="27" t="s">
        <v>20779</v>
      </c>
      <c r="D8952" s="27" t="s">
        <v>1826</v>
      </c>
      <c r="F8952" s="27" t="s">
        <v>1844</v>
      </c>
      <c r="H8952" s="27" t="s">
        <v>1853</v>
      </c>
      <c r="J8952" s="27" t="s">
        <v>1854</v>
      </c>
      <c r="L8952" s="27" t="s">
        <v>662</v>
      </c>
      <c r="N8952" s="27" t="s">
        <v>808</v>
      </c>
      <c r="P8952" s="27" t="s">
        <v>2637</v>
      </c>
      <c r="Q8952" s="26" t="str">
        <f>HYPERLINK("https://ictv.global/taxonomy/taxondetails?taxnode_id=202509067&amp;ictv_id=ICTV202009067","ICTV202009067")</f>
        <v>ICTV202009067</v>
      </c>
      <c r="R8952" t="s">
        <v>660</v>
      </c>
      <c r="S8952" t="s">
        <v>824</v>
      </c>
      <c r="T8952">
        <v>41</v>
      </c>
      <c r="U8952" s="26" t="str">
        <f t="shared" si="320"/>
        <v>2025.002G.Monodnaviria_reorg_4nr.zip</v>
      </c>
    </row>
    <row r="8953" spans="1:21">
      <c r="A8953">
        <v>8952</v>
      </c>
      <c r="B8953" s="27" t="s">
        <v>20779</v>
      </c>
      <c r="D8953" s="27" t="s">
        <v>1826</v>
      </c>
      <c r="F8953" s="27" t="s">
        <v>1844</v>
      </c>
      <c r="H8953" s="27" t="s">
        <v>1853</v>
      </c>
      <c r="J8953" s="27" t="s">
        <v>1854</v>
      </c>
      <c r="L8953" s="27" t="s">
        <v>662</v>
      </c>
      <c r="N8953" s="27" t="s">
        <v>808</v>
      </c>
      <c r="P8953" s="27" t="s">
        <v>2638</v>
      </c>
      <c r="Q8953" s="26" t="str">
        <f>HYPERLINK("https://ictv.global/taxonomy/taxondetails?taxnode_id=202509075&amp;ictv_id=ICTV202009075","ICTV202009075")</f>
        <v>ICTV202009075</v>
      </c>
      <c r="R8953" t="s">
        <v>660</v>
      </c>
      <c r="S8953" t="s">
        <v>824</v>
      </c>
      <c r="T8953">
        <v>41</v>
      </c>
      <c r="U8953" s="26" t="str">
        <f t="shared" si="320"/>
        <v>2025.002G.Monodnaviria_reorg_4nr.zip</v>
      </c>
    </row>
    <row r="8954" spans="1:21">
      <c r="A8954">
        <v>8953</v>
      </c>
      <c r="B8954" s="27" t="s">
        <v>20779</v>
      </c>
      <c r="D8954" s="27" t="s">
        <v>1826</v>
      </c>
      <c r="F8954" s="27" t="s">
        <v>1844</v>
      </c>
      <c r="H8954" s="27" t="s">
        <v>1853</v>
      </c>
      <c r="J8954" s="27" t="s">
        <v>1854</v>
      </c>
      <c r="L8954" s="27" t="s">
        <v>662</v>
      </c>
      <c r="N8954" s="27" t="s">
        <v>808</v>
      </c>
      <c r="P8954" s="27" t="s">
        <v>2639</v>
      </c>
      <c r="Q8954" s="26" t="str">
        <f>HYPERLINK("https://ictv.global/taxonomy/taxondetails?taxnode_id=202509079&amp;ictv_id=ICTV202009079","ICTV202009079")</f>
        <v>ICTV202009079</v>
      </c>
      <c r="R8954" t="s">
        <v>660</v>
      </c>
      <c r="S8954" t="s">
        <v>824</v>
      </c>
      <c r="T8954">
        <v>41</v>
      </c>
      <c r="U8954" s="26" t="str">
        <f t="shared" si="320"/>
        <v>2025.002G.Monodnaviria_reorg_4nr.zip</v>
      </c>
    </row>
    <row r="8955" spans="1:21">
      <c r="A8955">
        <v>8954</v>
      </c>
      <c r="B8955" s="27" t="s">
        <v>20779</v>
      </c>
      <c r="D8955" s="27" t="s">
        <v>1826</v>
      </c>
      <c r="F8955" s="27" t="s">
        <v>1844</v>
      </c>
      <c r="H8955" s="27" t="s">
        <v>1853</v>
      </c>
      <c r="J8955" s="27" t="s">
        <v>1854</v>
      </c>
      <c r="L8955" s="27" t="s">
        <v>662</v>
      </c>
      <c r="N8955" s="27" t="s">
        <v>808</v>
      </c>
      <c r="P8955" s="27" t="s">
        <v>2640</v>
      </c>
      <c r="Q8955" s="26" t="str">
        <f>HYPERLINK("https://ictv.global/taxonomy/taxondetails?taxnode_id=202509073&amp;ictv_id=ICTV202009073","ICTV202009073")</f>
        <v>ICTV202009073</v>
      </c>
      <c r="R8955" t="s">
        <v>660</v>
      </c>
      <c r="S8955" t="s">
        <v>824</v>
      </c>
      <c r="T8955">
        <v>41</v>
      </c>
      <c r="U8955" s="26" t="str">
        <f t="shared" si="320"/>
        <v>2025.002G.Monodnaviria_reorg_4nr.zip</v>
      </c>
    </row>
    <row r="8956" spans="1:21">
      <c r="A8956">
        <v>8955</v>
      </c>
      <c r="B8956" s="27" t="s">
        <v>20779</v>
      </c>
      <c r="D8956" s="27" t="s">
        <v>1826</v>
      </c>
      <c r="F8956" s="27" t="s">
        <v>1844</v>
      </c>
      <c r="H8956" s="27" t="s">
        <v>1853</v>
      </c>
      <c r="J8956" s="27" t="s">
        <v>1854</v>
      </c>
      <c r="L8956" s="27" t="s">
        <v>662</v>
      </c>
      <c r="N8956" s="27" t="s">
        <v>808</v>
      </c>
      <c r="P8956" s="27" t="s">
        <v>2641</v>
      </c>
      <c r="Q8956" s="26" t="str">
        <f>HYPERLINK("https://ictv.global/taxonomy/taxondetails?taxnode_id=202509072&amp;ictv_id=ICTV202009072","ICTV202009072")</f>
        <v>ICTV202009072</v>
      </c>
      <c r="R8956" t="s">
        <v>660</v>
      </c>
      <c r="S8956" t="s">
        <v>824</v>
      </c>
      <c r="T8956">
        <v>41</v>
      </c>
      <c r="U8956" s="26" t="str">
        <f t="shared" si="320"/>
        <v>2025.002G.Monodnaviria_reorg_4nr.zip</v>
      </c>
    </row>
    <row r="8957" spans="1:21">
      <c r="A8957">
        <v>8956</v>
      </c>
      <c r="B8957" s="27" t="s">
        <v>20779</v>
      </c>
      <c r="D8957" s="27" t="s">
        <v>1826</v>
      </c>
      <c r="F8957" s="27" t="s">
        <v>1844</v>
      </c>
      <c r="H8957" s="27" t="s">
        <v>1853</v>
      </c>
      <c r="J8957" s="27" t="s">
        <v>1854</v>
      </c>
      <c r="L8957" s="27" t="s">
        <v>662</v>
      </c>
      <c r="N8957" s="27" t="s">
        <v>808</v>
      </c>
      <c r="P8957" s="27" t="s">
        <v>2642</v>
      </c>
      <c r="Q8957" s="26" t="str">
        <f>HYPERLINK("https://ictv.global/taxonomy/taxondetails?taxnode_id=202509070&amp;ictv_id=ICTV202009070","ICTV202009070")</f>
        <v>ICTV202009070</v>
      </c>
      <c r="R8957" t="s">
        <v>660</v>
      </c>
      <c r="S8957" t="s">
        <v>824</v>
      </c>
      <c r="T8957">
        <v>41</v>
      </c>
      <c r="U8957" s="26" t="str">
        <f t="shared" si="320"/>
        <v>2025.002G.Monodnaviria_reorg_4nr.zip</v>
      </c>
    </row>
    <row r="8958" spans="1:21">
      <c r="A8958">
        <v>8957</v>
      </c>
      <c r="B8958" s="27" t="s">
        <v>20779</v>
      </c>
      <c r="D8958" s="27" t="s">
        <v>1826</v>
      </c>
      <c r="F8958" s="27" t="s">
        <v>1844</v>
      </c>
      <c r="H8958" s="27" t="s">
        <v>1853</v>
      </c>
      <c r="J8958" s="27" t="s">
        <v>1854</v>
      </c>
      <c r="L8958" s="27" t="s">
        <v>662</v>
      </c>
      <c r="N8958" s="27" t="s">
        <v>808</v>
      </c>
      <c r="P8958" s="27" t="s">
        <v>2643</v>
      </c>
      <c r="Q8958" s="26" t="str">
        <f>HYPERLINK("https://ictv.global/taxonomy/taxondetails?taxnode_id=202509069&amp;ictv_id=ICTV202009069","ICTV202009069")</f>
        <v>ICTV202009069</v>
      </c>
      <c r="R8958" t="s">
        <v>660</v>
      </c>
      <c r="S8958" t="s">
        <v>824</v>
      </c>
      <c r="T8958">
        <v>41</v>
      </c>
      <c r="U8958" s="26" t="str">
        <f t="shared" si="320"/>
        <v>2025.002G.Monodnaviria_reorg_4nr.zip</v>
      </c>
    </row>
    <row r="8959" spans="1:21">
      <c r="A8959">
        <v>8958</v>
      </c>
      <c r="B8959" s="27" t="s">
        <v>20779</v>
      </c>
      <c r="D8959" s="27" t="s">
        <v>1826</v>
      </c>
      <c r="F8959" s="27" t="s">
        <v>1844</v>
      </c>
      <c r="H8959" s="27" t="s">
        <v>1853</v>
      </c>
      <c r="J8959" s="27" t="s">
        <v>1854</v>
      </c>
      <c r="L8959" s="27" t="s">
        <v>662</v>
      </c>
      <c r="N8959" s="27" t="s">
        <v>808</v>
      </c>
      <c r="P8959" s="27" t="s">
        <v>2644</v>
      </c>
      <c r="Q8959" s="26" t="str">
        <f>HYPERLINK("https://ictv.global/taxonomy/taxondetails?taxnode_id=202509077&amp;ictv_id=ICTV202009077","ICTV202009077")</f>
        <v>ICTV202009077</v>
      </c>
      <c r="R8959" t="s">
        <v>660</v>
      </c>
      <c r="S8959" t="s">
        <v>824</v>
      </c>
      <c r="T8959">
        <v>41</v>
      </c>
      <c r="U8959" s="26" t="str">
        <f t="shared" si="320"/>
        <v>2025.002G.Monodnaviria_reorg_4nr.zip</v>
      </c>
    </row>
    <row r="8960" spans="1:21">
      <c r="A8960">
        <v>8959</v>
      </c>
      <c r="B8960" s="27" t="s">
        <v>20779</v>
      </c>
      <c r="D8960" s="27" t="s">
        <v>1826</v>
      </c>
      <c r="F8960" s="27" t="s">
        <v>1844</v>
      </c>
      <c r="H8960" s="27" t="s">
        <v>1853</v>
      </c>
      <c r="J8960" s="27" t="s">
        <v>1854</v>
      </c>
      <c r="L8960" s="27" t="s">
        <v>662</v>
      </c>
      <c r="N8960" s="27" t="s">
        <v>808</v>
      </c>
      <c r="P8960" s="27" t="s">
        <v>2645</v>
      </c>
      <c r="Q8960" s="26" t="str">
        <f>HYPERLINK("https://ictv.global/taxonomy/taxondetails?taxnode_id=202503622&amp;ictv_id=ICTV20165376","ICTV20165376")</f>
        <v>ICTV20165376</v>
      </c>
      <c r="R8960" t="s">
        <v>660</v>
      </c>
      <c r="S8960" t="s">
        <v>824</v>
      </c>
      <c r="T8960">
        <v>41</v>
      </c>
      <c r="U8960" s="26" t="str">
        <f t="shared" si="320"/>
        <v>2025.002G.Monodnaviria_reorg_4nr.zip</v>
      </c>
    </row>
    <row r="8961" spans="1:21">
      <c r="A8961">
        <v>8960</v>
      </c>
      <c r="B8961" s="27" t="s">
        <v>20779</v>
      </c>
      <c r="D8961" s="27" t="s">
        <v>1826</v>
      </c>
      <c r="F8961" s="27" t="s">
        <v>1844</v>
      </c>
      <c r="H8961" s="27" t="s">
        <v>1853</v>
      </c>
      <c r="J8961" s="27" t="s">
        <v>1854</v>
      </c>
      <c r="L8961" s="27" t="s">
        <v>662</v>
      </c>
      <c r="N8961" s="27" t="s">
        <v>808</v>
      </c>
      <c r="P8961" s="27" t="s">
        <v>2646</v>
      </c>
      <c r="Q8961" s="26" t="str">
        <f>HYPERLINK("https://ictv.global/taxonomy/taxondetails?taxnode_id=202503623&amp;ictv_id=ICTV20165377","ICTV20165377")</f>
        <v>ICTV20165377</v>
      </c>
      <c r="R8961" t="s">
        <v>660</v>
      </c>
      <c r="S8961" t="s">
        <v>824</v>
      </c>
      <c r="T8961">
        <v>41</v>
      </c>
      <c r="U8961" s="26" t="str">
        <f t="shared" si="320"/>
        <v>2025.002G.Monodnaviria_reorg_4nr.zip</v>
      </c>
    </row>
    <row r="8962" spans="1:21">
      <c r="A8962">
        <v>8961</v>
      </c>
      <c r="B8962" s="27" t="s">
        <v>20779</v>
      </c>
      <c r="D8962" s="27" t="s">
        <v>1826</v>
      </c>
      <c r="F8962" s="27" t="s">
        <v>1844</v>
      </c>
      <c r="H8962" s="27" t="s">
        <v>1853</v>
      </c>
      <c r="J8962" s="27" t="s">
        <v>1854</v>
      </c>
      <c r="L8962" s="27" t="s">
        <v>662</v>
      </c>
      <c r="N8962" s="27" t="s">
        <v>808</v>
      </c>
      <c r="P8962" s="27" t="s">
        <v>2647</v>
      </c>
      <c r="Q8962" s="26" t="str">
        <f>HYPERLINK("https://ictv.global/taxonomy/taxondetails?taxnode_id=202509078&amp;ictv_id=ICTV202009078","ICTV202009078")</f>
        <v>ICTV202009078</v>
      </c>
      <c r="R8962" t="s">
        <v>660</v>
      </c>
      <c r="S8962" t="s">
        <v>824</v>
      </c>
      <c r="T8962">
        <v>41</v>
      </c>
      <c r="U8962" s="26" t="str">
        <f t="shared" si="320"/>
        <v>2025.002G.Monodnaviria_reorg_4nr.zip</v>
      </c>
    </row>
    <row r="8963" spans="1:21">
      <c r="A8963">
        <v>8962</v>
      </c>
      <c r="B8963" s="27" t="s">
        <v>20779</v>
      </c>
      <c r="D8963" s="27" t="s">
        <v>1826</v>
      </c>
      <c r="F8963" s="27" t="s">
        <v>1844</v>
      </c>
      <c r="H8963" s="27" t="s">
        <v>1853</v>
      </c>
      <c r="J8963" s="27" t="s">
        <v>1854</v>
      </c>
      <c r="L8963" s="27" t="s">
        <v>662</v>
      </c>
      <c r="N8963" s="27" t="s">
        <v>808</v>
      </c>
      <c r="P8963" s="27" t="s">
        <v>2648</v>
      </c>
      <c r="Q8963" s="26" t="str">
        <f>HYPERLINK("https://ictv.global/taxonomy/taxondetails?taxnode_id=202509080&amp;ictv_id=ICTV202009080","ICTV202009080")</f>
        <v>ICTV202009080</v>
      </c>
      <c r="R8963" t="s">
        <v>660</v>
      </c>
      <c r="S8963" t="s">
        <v>824</v>
      </c>
      <c r="T8963">
        <v>41</v>
      </c>
      <c r="U8963" s="26" t="str">
        <f t="shared" si="320"/>
        <v>2025.002G.Monodnaviria_reorg_4nr.zip</v>
      </c>
    </row>
    <row r="8964" spans="1:21">
      <c r="A8964">
        <v>8963</v>
      </c>
      <c r="B8964" s="27" t="s">
        <v>20779</v>
      </c>
      <c r="D8964" s="27" t="s">
        <v>1826</v>
      </c>
      <c r="F8964" s="27" t="s">
        <v>1844</v>
      </c>
      <c r="H8964" s="27" t="s">
        <v>1853</v>
      </c>
      <c r="J8964" s="27" t="s">
        <v>1854</v>
      </c>
      <c r="L8964" s="27" t="s">
        <v>662</v>
      </c>
      <c r="N8964" s="27" t="s">
        <v>809</v>
      </c>
      <c r="P8964" s="27" t="s">
        <v>2649</v>
      </c>
      <c r="Q8964" s="26" t="str">
        <f>HYPERLINK("https://ictv.global/taxonomy/taxondetails?taxnode_id=202509083&amp;ictv_id=ICTV202009083","ICTV202009083")</f>
        <v>ICTV202009083</v>
      </c>
      <c r="R8964" t="s">
        <v>660</v>
      </c>
      <c r="S8964" t="s">
        <v>824</v>
      </c>
      <c r="T8964">
        <v>41</v>
      </c>
      <c r="U8964" s="26" t="str">
        <f t="shared" si="320"/>
        <v>2025.002G.Monodnaviria_reorg_4nr.zip</v>
      </c>
    </row>
    <row r="8965" spans="1:21">
      <c r="A8965">
        <v>8964</v>
      </c>
      <c r="B8965" s="27" t="s">
        <v>20779</v>
      </c>
      <c r="D8965" s="27" t="s">
        <v>1826</v>
      </c>
      <c r="F8965" s="27" t="s">
        <v>1844</v>
      </c>
      <c r="H8965" s="27" t="s">
        <v>1853</v>
      </c>
      <c r="J8965" s="27" t="s">
        <v>1854</v>
      </c>
      <c r="L8965" s="27" t="s">
        <v>662</v>
      </c>
      <c r="N8965" s="27" t="s">
        <v>809</v>
      </c>
      <c r="P8965" s="27" t="s">
        <v>2650</v>
      </c>
      <c r="Q8965" s="26" t="str">
        <f>HYPERLINK("https://ictv.global/taxonomy/taxondetails?taxnode_id=202509087&amp;ictv_id=ICTV202009087","ICTV202009087")</f>
        <v>ICTV202009087</v>
      </c>
      <c r="R8965" t="s">
        <v>660</v>
      </c>
      <c r="S8965" t="s">
        <v>824</v>
      </c>
      <c r="T8965">
        <v>41</v>
      </c>
      <c r="U8965" s="26" t="str">
        <f t="shared" si="320"/>
        <v>2025.002G.Monodnaviria_reorg_4nr.zip</v>
      </c>
    </row>
    <row r="8966" spans="1:21">
      <c r="A8966">
        <v>8965</v>
      </c>
      <c r="B8966" s="27" t="s">
        <v>20779</v>
      </c>
      <c r="D8966" s="27" t="s">
        <v>1826</v>
      </c>
      <c r="F8966" s="27" t="s">
        <v>1844</v>
      </c>
      <c r="H8966" s="27" t="s">
        <v>1853</v>
      </c>
      <c r="J8966" s="27" t="s">
        <v>1854</v>
      </c>
      <c r="L8966" s="27" t="s">
        <v>662</v>
      </c>
      <c r="N8966" s="27" t="s">
        <v>809</v>
      </c>
      <c r="P8966" s="27" t="s">
        <v>2651</v>
      </c>
      <c r="Q8966" s="26" t="str">
        <f>HYPERLINK("https://ictv.global/taxonomy/taxondetails?taxnode_id=202503625&amp;ictv_id=ICTV20165378","ICTV20165378")</f>
        <v>ICTV20165378</v>
      </c>
      <c r="R8966" t="s">
        <v>660</v>
      </c>
      <c r="S8966" t="s">
        <v>824</v>
      </c>
      <c r="T8966">
        <v>41</v>
      </c>
      <c r="U8966" s="26" t="str">
        <f t="shared" si="320"/>
        <v>2025.002G.Monodnaviria_reorg_4nr.zip</v>
      </c>
    </row>
    <row r="8967" spans="1:21">
      <c r="A8967">
        <v>8966</v>
      </c>
      <c r="B8967" s="27" t="s">
        <v>20779</v>
      </c>
      <c r="D8967" s="27" t="s">
        <v>1826</v>
      </c>
      <c r="F8967" s="27" t="s">
        <v>1844</v>
      </c>
      <c r="H8967" s="27" t="s">
        <v>1853</v>
      </c>
      <c r="J8967" s="27" t="s">
        <v>1854</v>
      </c>
      <c r="L8967" s="27" t="s">
        <v>662</v>
      </c>
      <c r="N8967" s="27" t="s">
        <v>809</v>
      </c>
      <c r="P8967" s="27" t="s">
        <v>2652</v>
      </c>
      <c r="Q8967" s="26" t="str">
        <f>HYPERLINK("https://ictv.global/taxonomy/taxondetails?taxnode_id=202503626&amp;ictv_id=ICTV20165379","ICTV20165379")</f>
        <v>ICTV20165379</v>
      </c>
      <c r="R8967" t="s">
        <v>660</v>
      </c>
      <c r="S8967" t="s">
        <v>824</v>
      </c>
      <c r="T8967">
        <v>41</v>
      </c>
      <c r="U8967" s="26" t="str">
        <f t="shared" si="320"/>
        <v>2025.002G.Monodnaviria_reorg_4nr.zip</v>
      </c>
    </row>
    <row r="8968" spans="1:21">
      <c r="A8968">
        <v>8967</v>
      </c>
      <c r="B8968" s="27" t="s">
        <v>20779</v>
      </c>
      <c r="D8968" s="27" t="s">
        <v>1826</v>
      </c>
      <c r="F8968" s="27" t="s">
        <v>1844</v>
      </c>
      <c r="H8968" s="27" t="s">
        <v>1853</v>
      </c>
      <c r="J8968" s="27" t="s">
        <v>1854</v>
      </c>
      <c r="L8968" s="27" t="s">
        <v>662</v>
      </c>
      <c r="N8968" s="27" t="s">
        <v>809</v>
      </c>
      <c r="P8968" s="27" t="s">
        <v>2653</v>
      </c>
      <c r="Q8968" s="26" t="str">
        <f>HYPERLINK("https://ictv.global/taxonomy/taxondetails?taxnode_id=202509084&amp;ictv_id=ICTV202009084","ICTV202009084")</f>
        <v>ICTV202009084</v>
      </c>
      <c r="R8968" t="s">
        <v>660</v>
      </c>
      <c r="S8968" t="s">
        <v>824</v>
      </c>
      <c r="T8968">
        <v>41</v>
      </c>
      <c r="U8968" s="26" t="str">
        <f t="shared" si="320"/>
        <v>2025.002G.Monodnaviria_reorg_4nr.zip</v>
      </c>
    </row>
    <row r="8969" spans="1:21">
      <c r="A8969">
        <v>8968</v>
      </c>
      <c r="B8969" s="27" t="s">
        <v>20779</v>
      </c>
      <c r="D8969" s="27" t="s">
        <v>1826</v>
      </c>
      <c r="F8969" s="27" t="s">
        <v>1844</v>
      </c>
      <c r="H8969" s="27" t="s">
        <v>1853</v>
      </c>
      <c r="J8969" s="27" t="s">
        <v>1854</v>
      </c>
      <c r="L8969" s="27" t="s">
        <v>662</v>
      </c>
      <c r="N8969" s="27" t="s">
        <v>809</v>
      </c>
      <c r="P8969" s="27" t="s">
        <v>2654</v>
      </c>
      <c r="Q8969" s="26" t="str">
        <f>HYPERLINK("https://ictv.global/taxonomy/taxondetails?taxnode_id=202509086&amp;ictv_id=ICTV202009086","ICTV202009086")</f>
        <v>ICTV202009086</v>
      </c>
      <c r="R8969" t="s">
        <v>660</v>
      </c>
      <c r="S8969" t="s">
        <v>824</v>
      </c>
      <c r="T8969">
        <v>41</v>
      </c>
      <c r="U8969" s="26" t="str">
        <f t="shared" si="320"/>
        <v>2025.002G.Monodnaviria_reorg_4nr.zip</v>
      </c>
    </row>
    <row r="8970" spans="1:21">
      <c r="A8970">
        <v>8969</v>
      </c>
      <c r="B8970" s="27" t="s">
        <v>20779</v>
      </c>
      <c r="D8970" s="27" t="s">
        <v>1826</v>
      </c>
      <c r="F8970" s="27" t="s">
        <v>1844</v>
      </c>
      <c r="H8970" s="27" t="s">
        <v>1853</v>
      </c>
      <c r="J8970" s="27" t="s">
        <v>1854</v>
      </c>
      <c r="L8970" s="27" t="s">
        <v>662</v>
      </c>
      <c r="N8970" s="27" t="s">
        <v>809</v>
      </c>
      <c r="P8970" s="27" t="s">
        <v>2655</v>
      </c>
      <c r="Q8970" s="26" t="str">
        <f>HYPERLINK("https://ictv.global/taxonomy/taxondetails?taxnode_id=202509088&amp;ictv_id=ICTV202009088","ICTV202009088")</f>
        <v>ICTV202009088</v>
      </c>
      <c r="R8970" t="s">
        <v>660</v>
      </c>
      <c r="S8970" t="s">
        <v>824</v>
      </c>
      <c r="T8970">
        <v>41</v>
      </c>
      <c r="U8970" s="26" t="str">
        <f t="shared" si="320"/>
        <v>2025.002G.Monodnaviria_reorg_4nr.zip</v>
      </c>
    </row>
    <row r="8971" spans="1:21">
      <c r="A8971">
        <v>8970</v>
      </c>
      <c r="B8971" s="27" t="s">
        <v>20779</v>
      </c>
      <c r="D8971" s="27" t="s">
        <v>1826</v>
      </c>
      <c r="F8971" s="27" t="s">
        <v>1844</v>
      </c>
      <c r="H8971" s="27" t="s">
        <v>1853</v>
      </c>
      <c r="J8971" s="27" t="s">
        <v>1854</v>
      </c>
      <c r="L8971" s="27" t="s">
        <v>662</v>
      </c>
      <c r="N8971" s="27" t="s">
        <v>809</v>
      </c>
      <c r="P8971" s="27" t="s">
        <v>2656</v>
      </c>
      <c r="Q8971" s="26" t="str">
        <f>HYPERLINK("https://ictv.global/taxonomy/taxondetails?taxnode_id=202509089&amp;ictv_id=ICTV202009089","ICTV202009089")</f>
        <v>ICTV202009089</v>
      </c>
      <c r="R8971" t="s">
        <v>660</v>
      </c>
      <c r="S8971" t="s">
        <v>824</v>
      </c>
      <c r="T8971">
        <v>41</v>
      </c>
      <c r="U8971" s="26" t="str">
        <f t="shared" si="320"/>
        <v>2025.002G.Monodnaviria_reorg_4nr.zip</v>
      </c>
    </row>
    <row r="8972" spans="1:21">
      <c r="A8972">
        <v>8971</v>
      </c>
      <c r="B8972" s="27" t="s">
        <v>20779</v>
      </c>
      <c r="D8972" s="27" t="s">
        <v>1826</v>
      </c>
      <c r="F8972" s="27" t="s">
        <v>1844</v>
      </c>
      <c r="H8972" s="27" t="s">
        <v>1853</v>
      </c>
      <c r="J8972" s="27" t="s">
        <v>1854</v>
      </c>
      <c r="L8972" s="27" t="s">
        <v>662</v>
      </c>
      <c r="N8972" s="27" t="s">
        <v>809</v>
      </c>
      <c r="P8972" s="27" t="s">
        <v>2657</v>
      </c>
      <c r="Q8972" s="26" t="str">
        <f>HYPERLINK("https://ictv.global/taxonomy/taxondetails?taxnode_id=202509090&amp;ictv_id=ICTV202009090","ICTV202009090")</f>
        <v>ICTV202009090</v>
      </c>
      <c r="R8972" t="s">
        <v>660</v>
      </c>
      <c r="S8972" t="s">
        <v>824</v>
      </c>
      <c r="T8972">
        <v>41</v>
      </c>
      <c r="U8972" s="26" t="str">
        <f t="shared" si="320"/>
        <v>2025.002G.Monodnaviria_reorg_4nr.zip</v>
      </c>
    </row>
    <row r="8973" spans="1:21">
      <c r="A8973">
        <v>8972</v>
      </c>
      <c r="B8973" s="27" t="s">
        <v>20779</v>
      </c>
      <c r="D8973" s="27" t="s">
        <v>1826</v>
      </c>
      <c r="F8973" s="27" t="s">
        <v>1844</v>
      </c>
      <c r="H8973" s="27" t="s">
        <v>1853</v>
      </c>
      <c r="J8973" s="27" t="s">
        <v>1854</v>
      </c>
      <c r="L8973" s="27" t="s">
        <v>662</v>
      </c>
      <c r="N8973" s="27" t="s">
        <v>809</v>
      </c>
      <c r="P8973" s="27" t="s">
        <v>2658</v>
      </c>
      <c r="Q8973" s="26" t="str">
        <f>HYPERLINK("https://ictv.global/taxonomy/taxondetails?taxnode_id=202509082&amp;ictv_id=ICTV202009082","ICTV202009082")</f>
        <v>ICTV202009082</v>
      </c>
      <c r="R8973" t="s">
        <v>660</v>
      </c>
      <c r="S8973" t="s">
        <v>824</v>
      </c>
      <c r="T8973">
        <v>41</v>
      </c>
      <c r="U8973" s="26" t="str">
        <f t="shared" si="320"/>
        <v>2025.002G.Monodnaviria_reorg_4nr.zip</v>
      </c>
    </row>
    <row r="8974" spans="1:21">
      <c r="A8974">
        <v>8973</v>
      </c>
      <c r="B8974" s="27" t="s">
        <v>20779</v>
      </c>
      <c r="D8974" s="27" t="s">
        <v>1826</v>
      </c>
      <c r="F8974" s="27" t="s">
        <v>1844</v>
      </c>
      <c r="H8974" s="27" t="s">
        <v>1853</v>
      </c>
      <c r="J8974" s="27" t="s">
        <v>1854</v>
      </c>
      <c r="L8974" s="27" t="s">
        <v>662</v>
      </c>
      <c r="N8974" s="27" t="s">
        <v>809</v>
      </c>
      <c r="P8974" s="27" t="s">
        <v>2659</v>
      </c>
      <c r="Q8974" s="26" t="str">
        <f>HYPERLINK("https://ictv.global/taxonomy/taxondetails?taxnode_id=202509081&amp;ictv_id=ICTV202009081","ICTV202009081")</f>
        <v>ICTV202009081</v>
      </c>
      <c r="R8974" t="s">
        <v>660</v>
      </c>
      <c r="S8974" t="s">
        <v>824</v>
      </c>
      <c r="T8974">
        <v>41</v>
      </c>
      <c r="U8974" s="26" t="str">
        <f t="shared" si="320"/>
        <v>2025.002G.Monodnaviria_reorg_4nr.zip</v>
      </c>
    </row>
    <row r="8975" spans="1:21">
      <c r="A8975">
        <v>8974</v>
      </c>
      <c r="B8975" s="27" t="s">
        <v>20779</v>
      </c>
      <c r="D8975" s="27" t="s">
        <v>1826</v>
      </c>
      <c r="F8975" s="27" t="s">
        <v>1844</v>
      </c>
      <c r="H8975" s="27" t="s">
        <v>1853</v>
      </c>
      <c r="J8975" s="27" t="s">
        <v>1854</v>
      </c>
      <c r="L8975" s="27" t="s">
        <v>662</v>
      </c>
      <c r="N8975" s="27" t="s">
        <v>809</v>
      </c>
      <c r="P8975" s="27" t="s">
        <v>2660</v>
      </c>
      <c r="Q8975" s="26" t="str">
        <f>HYPERLINK("https://ictv.global/taxonomy/taxondetails?taxnode_id=202509085&amp;ictv_id=ICTV202009085","ICTV202009085")</f>
        <v>ICTV202009085</v>
      </c>
      <c r="R8975" t="s">
        <v>660</v>
      </c>
      <c r="S8975" t="s">
        <v>824</v>
      </c>
      <c r="T8975">
        <v>41</v>
      </c>
      <c r="U8975" s="26" t="str">
        <f t="shared" si="320"/>
        <v>2025.002G.Monodnaviria_reorg_4nr.zip</v>
      </c>
    </row>
    <row r="8976" spans="1:21">
      <c r="A8976">
        <v>8975</v>
      </c>
      <c r="B8976" s="27" t="s">
        <v>20779</v>
      </c>
      <c r="D8976" s="27" t="s">
        <v>1826</v>
      </c>
      <c r="F8976" s="27" t="s">
        <v>1844</v>
      </c>
      <c r="H8976" s="27" t="s">
        <v>1853</v>
      </c>
      <c r="J8976" s="27" t="s">
        <v>1854</v>
      </c>
      <c r="L8976" s="27" t="s">
        <v>662</v>
      </c>
      <c r="N8976" s="27" t="s">
        <v>809</v>
      </c>
      <c r="P8976" s="27" t="s">
        <v>2661</v>
      </c>
      <c r="Q8976" s="26" t="str">
        <f>HYPERLINK("https://ictv.global/taxonomy/taxondetails?taxnode_id=202503627&amp;ictv_id=ICTV20165380","ICTV20165380")</f>
        <v>ICTV20165380</v>
      </c>
      <c r="R8976" t="s">
        <v>660</v>
      </c>
      <c r="S8976" t="s">
        <v>824</v>
      </c>
      <c r="T8976">
        <v>41</v>
      </c>
      <c r="U8976" s="26" t="str">
        <f t="shared" si="320"/>
        <v>2025.002G.Monodnaviria_reorg_4nr.zip</v>
      </c>
    </row>
    <row r="8977" spans="1:21">
      <c r="A8977">
        <v>8976</v>
      </c>
      <c r="B8977" s="27" t="s">
        <v>20779</v>
      </c>
      <c r="D8977" s="27" t="s">
        <v>1826</v>
      </c>
      <c r="F8977" s="27" t="s">
        <v>1844</v>
      </c>
      <c r="H8977" s="27" t="s">
        <v>1853</v>
      </c>
      <c r="J8977" s="27" t="s">
        <v>1854</v>
      </c>
      <c r="L8977" s="27" t="s">
        <v>662</v>
      </c>
      <c r="N8977" s="27" t="s">
        <v>810</v>
      </c>
      <c r="P8977" s="27" t="s">
        <v>2662</v>
      </c>
      <c r="Q8977" s="26" t="str">
        <f>HYPERLINK("https://ictv.global/taxonomy/taxondetails?taxnode_id=202509094&amp;ictv_id=ICTV202009094","ICTV202009094")</f>
        <v>ICTV202009094</v>
      </c>
      <c r="R8977" t="s">
        <v>660</v>
      </c>
      <c r="S8977" t="s">
        <v>824</v>
      </c>
      <c r="T8977">
        <v>41</v>
      </c>
      <c r="U8977" s="26" t="str">
        <f t="shared" si="320"/>
        <v>2025.002G.Monodnaviria_reorg_4nr.zip</v>
      </c>
    </row>
    <row r="8978" spans="1:21">
      <c r="A8978">
        <v>8977</v>
      </c>
      <c r="B8978" s="27" t="s">
        <v>20779</v>
      </c>
      <c r="D8978" s="27" t="s">
        <v>1826</v>
      </c>
      <c r="F8978" s="27" t="s">
        <v>1844</v>
      </c>
      <c r="H8978" s="27" t="s">
        <v>1853</v>
      </c>
      <c r="J8978" s="27" t="s">
        <v>1854</v>
      </c>
      <c r="L8978" s="27" t="s">
        <v>662</v>
      </c>
      <c r="N8978" s="27" t="s">
        <v>810</v>
      </c>
      <c r="P8978" s="27" t="s">
        <v>2663</v>
      </c>
      <c r="Q8978" s="26" t="str">
        <f>HYPERLINK("https://ictv.global/taxonomy/taxondetails?taxnode_id=202509093&amp;ictv_id=ICTV202009093","ICTV202009093")</f>
        <v>ICTV202009093</v>
      </c>
      <c r="R8978" t="s">
        <v>660</v>
      </c>
      <c r="S8978" t="s">
        <v>824</v>
      </c>
      <c r="T8978">
        <v>41</v>
      </c>
      <c r="U8978" s="26" t="str">
        <f t="shared" si="320"/>
        <v>2025.002G.Monodnaviria_reorg_4nr.zip</v>
      </c>
    </row>
    <row r="8979" spans="1:21">
      <c r="A8979">
        <v>8978</v>
      </c>
      <c r="B8979" s="27" t="s">
        <v>20779</v>
      </c>
      <c r="D8979" s="27" t="s">
        <v>1826</v>
      </c>
      <c r="F8979" s="27" t="s">
        <v>1844</v>
      </c>
      <c r="H8979" s="27" t="s">
        <v>1853</v>
      </c>
      <c r="J8979" s="27" t="s">
        <v>1854</v>
      </c>
      <c r="L8979" s="27" t="s">
        <v>662</v>
      </c>
      <c r="N8979" s="27" t="s">
        <v>810</v>
      </c>
      <c r="P8979" s="27" t="s">
        <v>2664</v>
      </c>
      <c r="Q8979" s="26" t="str">
        <f>HYPERLINK("https://ictv.global/taxonomy/taxondetails?taxnode_id=202509095&amp;ictv_id=ICTV202009095","ICTV202009095")</f>
        <v>ICTV202009095</v>
      </c>
      <c r="R8979" t="s">
        <v>660</v>
      </c>
      <c r="S8979" t="s">
        <v>824</v>
      </c>
      <c r="T8979">
        <v>41</v>
      </c>
      <c r="U8979" s="26" t="str">
        <f t="shared" si="320"/>
        <v>2025.002G.Monodnaviria_reorg_4nr.zip</v>
      </c>
    </row>
    <row r="8980" spans="1:21">
      <c r="A8980">
        <v>8979</v>
      </c>
      <c r="B8980" s="27" t="s">
        <v>20779</v>
      </c>
      <c r="D8980" s="27" t="s">
        <v>1826</v>
      </c>
      <c r="F8980" s="27" t="s">
        <v>1844</v>
      </c>
      <c r="H8980" s="27" t="s">
        <v>1853</v>
      </c>
      <c r="J8980" s="27" t="s">
        <v>1854</v>
      </c>
      <c r="L8980" s="27" t="s">
        <v>662</v>
      </c>
      <c r="N8980" s="27" t="s">
        <v>810</v>
      </c>
      <c r="P8980" s="27" t="s">
        <v>2665</v>
      </c>
      <c r="Q8980" s="26" t="str">
        <f>HYPERLINK("https://ictv.global/taxonomy/taxondetails?taxnode_id=202509091&amp;ictv_id=ICTV202009091","ICTV202009091")</f>
        <v>ICTV202009091</v>
      </c>
      <c r="R8980" t="s">
        <v>660</v>
      </c>
      <c r="S8980" t="s">
        <v>824</v>
      </c>
      <c r="T8980">
        <v>41</v>
      </c>
      <c r="U8980" s="26" t="str">
        <f t="shared" si="320"/>
        <v>2025.002G.Monodnaviria_reorg_4nr.zip</v>
      </c>
    </row>
    <row r="8981" spans="1:21">
      <c r="A8981">
        <v>8980</v>
      </c>
      <c r="B8981" s="27" t="s">
        <v>20779</v>
      </c>
      <c r="D8981" s="27" t="s">
        <v>1826</v>
      </c>
      <c r="F8981" s="27" t="s">
        <v>1844</v>
      </c>
      <c r="H8981" s="27" t="s">
        <v>1853</v>
      </c>
      <c r="J8981" s="27" t="s">
        <v>1854</v>
      </c>
      <c r="L8981" s="27" t="s">
        <v>662</v>
      </c>
      <c r="N8981" s="27" t="s">
        <v>810</v>
      </c>
      <c r="P8981" s="27" t="s">
        <v>2666</v>
      </c>
      <c r="Q8981" s="26" t="str">
        <f>HYPERLINK("https://ictv.global/taxonomy/taxondetails?taxnode_id=202503629&amp;ictv_id=ICTV20165381","ICTV20165381")</f>
        <v>ICTV20165381</v>
      </c>
      <c r="R8981" t="s">
        <v>660</v>
      </c>
      <c r="S8981" t="s">
        <v>824</v>
      </c>
      <c r="T8981">
        <v>41</v>
      </c>
      <c r="U8981" s="26" t="str">
        <f t="shared" si="320"/>
        <v>2025.002G.Monodnaviria_reorg_4nr.zip</v>
      </c>
    </row>
    <row r="8982" spans="1:21">
      <c r="A8982">
        <v>8981</v>
      </c>
      <c r="B8982" s="27" t="s">
        <v>20779</v>
      </c>
      <c r="D8982" s="27" t="s">
        <v>1826</v>
      </c>
      <c r="F8982" s="27" t="s">
        <v>1844</v>
      </c>
      <c r="H8982" s="27" t="s">
        <v>1853</v>
      </c>
      <c r="J8982" s="27" t="s">
        <v>1854</v>
      </c>
      <c r="L8982" s="27" t="s">
        <v>662</v>
      </c>
      <c r="N8982" s="27" t="s">
        <v>810</v>
      </c>
      <c r="P8982" s="27" t="s">
        <v>2667</v>
      </c>
      <c r="Q8982" s="26" t="str">
        <f>HYPERLINK("https://ictv.global/taxonomy/taxondetails?taxnode_id=202509092&amp;ictv_id=ICTV202009092","ICTV202009092")</f>
        <v>ICTV202009092</v>
      </c>
      <c r="R8982" t="s">
        <v>660</v>
      </c>
      <c r="S8982" t="s">
        <v>824</v>
      </c>
      <c r="T8982">
        <v>41</v>
      </c>
      <c r="U8982" s="26" t="str">
        <f t="shared" si="320"/>
        <v>2025.002G.Monodnaviria_reorg_4nr.zip</v>
      </c>
    </row>
    <row r="8983" spans="1:21">
      <c r="A8983">
        <v>8982</v>
      </c>
      <c r="B8983" s="27" t="s">
        <v>20779</v>
      </c>
      <c r="D8983" s="27" t="s">
        <v>1826</v>
      </c>
      <c r="F8983" s="27" t="s">
        <v>1844</v>
      </c>
      <c r="H8983" s="27" t="s">
        <v>1853</v>
      </c>
      <c r="J8983" s="27" t="s">
        <v>1854</v>
      </c>
      <c r="L8983" s="27" t="s">
        <v>662</v>
      </c>
      <c r="N8983" s="27" t="s">
        <v>810</v>
      </c>
      <c r="P8983" s="27" t="s">
        <v>2668</v>
      </c>
      <c r="Q8983" s="26" t="str">
        <f>HYPERLINK("https://ictv.global/taxonomy/taxondetails?taxnode_id=202509096&amp;ictv_id=ICTV202009096","ICTV202009096")</f>
        <v>ICTV202009096</v>
      </c>
      <c r="R8983" t="s">
        <v>660</v>
      </c>
      <c r="S8983" t="s">
        <v>824</v>
      </c>
      <c r="T8983">
        <v>41</v>
      </c>
      <c r="U8983" s="26" t="str">
        <f t="shared" si="320"/>
        <v>2025.002G.Monodnaviria_reorg_4nr.zip</v>
      </c>
    </row>
    <row r="8984" spans="1:21">
      <c r="A8984">
        <v>8983</v>
      </c>
      <c r="B8984" s="27" t="s">
        <v>20779</v>
      </c>
      <c r="D8984" s="27" t="s">
        <v>1826</v>
      </c>
      <c r="F8984" s="27" t="s">
        <v>1844</v>
      </c>
      <c r="H8984" s="27" t="s">
        <v>1853</v>
      </c>
      <c r="J8984" s="27" t="s">
        <v>1854</v>
      </c>
      <c r="L8984" s="27" t="s">
        <v>662</v>
      </c>
      <c r="N8984" s="27" t="s">
        <v>811</v>
      </c>
      <c r="P8984" s="27" t="s">
        <v>2669</v>
      </c>
      <c r="Q8984" s="26" t="str">
        <f>HYPERLINK("https://ictv.global/taxonomy/taxondetails?taxnode_id=202503631&amp;ictv_id=ICTV20165382","ICTV20165382")</f>
        <v>ICTV20165382</v>
      </c>
      <c r="R8984" t="s">
        <v>660</v>
      </c>
      <c r="S8984" t="s">
        <v>824</v>
      </c>
      <c r="T8984">
        <v>41</v>
      </c>
      <c r="U8984" s="26" t="str">
        <f t="shared" si="320"/>
        <v>2025.002G.Monodnaviria_reorg_4nr.zip</v>
      </c>
    </row>
    <row r="8985" spans="1:21">
      <c r="A8985">
        <v>8984</v>
      </c>
      <c r="B8985" s="27" t="s">
        <v>20779</v>
      </c>
      <c r="D8985" s="27" t="s">
        <v>1826</v>
      </c>
      <c r="F8985" s="27" t="s">
        <v>1844</v>
      </c>
      <c r="H8985" s="27" t="s">
        <v>1853</v>
      </c>
      <c r="J8985" s="27" t="s">
        <v>1854</v>
      </c>
      <c r="L8985" s="27" t="s">
        <v>662</v>
      </c>
      <c r="N8985" s="27" t="s">
        <v>2670</v>
      </c>
      <c r="P8985" s="27" t="s">
        <v>2671</v>
      </c>
      <c r="Q8985" s="26" t="str">
        <f>HYPERLINK("https://ictv.global/taxonomy/taxondetails?taxnode_id=202509100&amp;ictv_id=ICTV202009100","ICTV202009100")</f>
        <v>ICTV202009100</v>
      </c>
      <c r="R8985" t="s">
        <v>660</v>
      </c>
      <c r="S8985" t="s">
        <v>824</v>
      </c>
      <c r="T8985">
        <v>41</v>
      </c>
      <c r="U8985" s="26" t="str">
        <f t="shared" si="320"/>
        <v>2025.002G.Monodnaviria_reorg_4nr.zip</v>
      </c>
    </row>
    <row r="8986" spans="1:21">
      <c r="A8986">
        <v>8985</v>
      </c>
      <c r="B8986" s="27" t="s">
        <v>20779</v>
      </c>
      <c r="D8986" s="27" t="s">
        <v>1826</v>
      </c>
      <c r="F8986" s="27" t="s">
        <v>1844</v>
      </c>
      <c r="H8986" s="27" t="s">
        <v>1853</v>
      </c>
      <c r="J8986" s="27" t="s">
        <v>1854</v>
      </c>
      <c r="L8986" s="27" t="s">
        <v>662</v>
      </c>
      <c r="N8986" s="27" t="s">
        <v>812</v>
      </c>
      <c r="P8986" s="27" t="s">
        <v>2672</v>
      </c>
      <c r="Q8986" s="26" t="str">
        <f>HYPERLINK("https://ictv.global/taxonomy/taxondetails?taxnode_id=202503633&amp;ictv_id=ICTV20165383","ICTV20165383")</f>
        <v>ICTV20165383</v>
      </c>
      <c r="R8986" t="s">
        <v>660</v>
      </c>
      <c r="S8986" t="s">
        <v>824</v>
      </c>
      <c r="T8986">
        <v>41</v>
      </c>
      <c r="U8986" s="26" t="str">
        <f t="shared" si="320"/>
        <v>2025.002G.Monodnaviria_reorg_4nr.zip</v>
      </c>
    </row>
    <row r="8987" spans="1:21">
      <c r="A8987">
        <v>8986</v>
      </c>
      <c r="B8987" s="27" t="s">
        <v>20779</v>
      </c>
      <c r="D8987" s="27" t="s">
        <v>1826</v>
      </c>
      <c r="F8987" s="27" t="s">
        <v>1844</v>
      </c>
      <c r="H8987" s="27" t="s">
        <v>1853</v>
      </c>
      <c r="J8987" s="27" t="s">
        <v>1854</v>
      </c>
      <c r="L8987" s="27" t="s">
        <v>662</v>
      </c>
      <c r="N8987" s="27" t="s">
        <v>812</v>
      </c>
      <c r="P8987" s="27" t="s">
        <v>2673</v>
      </c>
      <c r="Q8987" s="26" t="str">
        <f>HYPERLINK("https://ictv.global/taxonomy/taxondetails?taxnode_id=202509097&amp;ictv_id=ICTV202009097","ICTV202009097")</f>
        <v>ICTV202009097</v>
      </c>
      <c r="R8987" t="s">
        <v>660</v>
      </c>
      <c r="S8987" t="s">
        <v>824</v>
      </c>
      <c r="T8987">
        <v>41</v>
      </c>
      <c r="U8987" s="26" t="str">
        <f t="shared" si="320"/>
        <v>2025.002G.Monodnaviria_reorg_4nr.zip</v>
      </c>
    </row>
    <row r="8988" spans="1:21">
      <c r="A8988">
        <v>8987</v>
      </c>
      <c r="B8988" s="27" t="s">
        <v>20779</v>
      </c>
      <c r="D8988" s="27" t="s">
        <v>1826</v>
      </c>
      <c r="F8988" s="27" t="s">
        <v>1844</v>
      </c>
      <c r="H8988" s="27" t="s">
        <v>1853</v>
      </c>
      <c r="J8988" s="27" t="s">
        <v>1854</v>
      </c>
      <c r="L8988" s="27" t="s">
        <v>662</v>
      </c>
      <c r="N8988" s="27" t="s">
        <v>812</v>
      </c>
      <c r="P8988" s="27" t="s">
        <v>2674</v>
      </c>
      <c r="Q8988" s="26" t="str">
        <f>HYPERLINK("https://ictv.global/taxonomy/taxondetails?taxnode_id=202509098&amp;ictv_id=ICTV202009098","ICTV202009098")</f>
        <v>ICTV202009098</v>
      </c>
      <c r="R8988" t="s">
        <v>660</v>
      </c>
      <c r="S8988" t="s">
        <v>824</v>
      </c>
      <c r="T8988">
        <v>41</v>
      </c>
      <c r="U8988" s="26" t="str">
        <f t="shared" si="320"/>
        <v>2025.002G.Monodnaviria_reorg_4nr.zip</v>
      </c>
    </row>
    <row r="8989" spans="1:21">
      <c r="A8989">
        <v>8988</v>
      </c>
      <c r="B8989" s="27" t="s">
        <v>20779</v>
      </c>
      <c r="D8989" s="27" t="s">
        <v>1826</v>
      </c>
      <c r="F8989" s="27" t="s">
        <v>1844</v>
      </c>
      <c r="H8989" s="27" t="s">
        <v>1853</v>
      </c>
      <c r="J8989" s="27" t="s">
        <v>1854</v>
      </c>
      <c r="L8989" s="27" t="s">
        <v>13379</v>
      </c>
      <c r="N8989" s="27" t="s">
        <v>13380</v>
      </c>
      <c r="P8989" s="27" t="s">
        <v>13381</v>
      </c>
      <c r="Q8989" s="26" t="str">
        <f>HYPERLINK("https://ictv.global/taxonomy/taxondetails?taxnode_id=202518484&amp;ictv_id=ICTV202318484","ICTV202318484")</f>
        <v>ICTV202318484</v>
      </c>
      <c r="R8989" t="s">
        <v>660</v>
      </c>
      <c r="S8989" t="s">
        <v>824</v>
      </c>
      <c r="T8989">
        <v>41</v>
      </c>
      <c r="U8989" s="26" t="str">
        <f t="shared" si="320"/>
        <v>2025.002G.Monodnaviria_reorg_4nr.zip</v>
      </c>
    </row>
    <row r="8990" spans="1:21">
      <c r="A8990">
        <v>8989</v>
      </c>
      <c r="B8990" s="27" t="s">
        <v>20779</v>
      </c>
      <c r="D8990" s="27" t="s">
        <v>1826</v>
      </c>
      <c r="F8990" s="27" t="s">
        <v>1844</v>
      </c>
      <c r="H8990" s="27" t="s">
        <v>1853</v>
      </c>
      <c r="J8990" s="27" t="s">
        <v>1854</v>
      </c>
      <c r="L8990" s="27" t="s">
        <v>13379</v>
      </c>
      <c r="N8990" s="27" t="s">
        <v>13380</v>
      </c>
      <c r="P8990" s="27" t="s">
        <v>13382</v>
      </c>
      <c r="Q8990" s="26" t="str">
        <f>HYPERLINK("https://ictv.global/taxonomy/taxondetails?taxnode_id=202518485&amp;ictv_id=ICTV202318485","ICTV202318485")</f>
        <v>ICTV202318485</v>
      </c>
      <c r="R8990" t="s">
        <v>660</v>
      </c>
      <c r="S8990" t="s">
        <v>824</v>
      </c>
      <c r="T8990">
        <v>41</v>
      </c>
      <c r="U8990" s="26" t="str">
        <f t="shared" si="320"/>
        <v>2025.002G.Monodnaviria_reorg_4nr.zip</v>
      </c>
    </row>
    <row r="8991" spans="1:21">
      <c r="A8991">
        <v>8990</v>
      </c>
      <c r="B8991" s="27" t="s">
        <v>20779</v>
      </c>
      <c r="D8991" s="27" t="s">
        <v>1826</v>
      </c>
      <c r="F8991" s="27" t="s">
        <v>1844</v>
      </c>
      <c r="H8991" s="27" t="s">
        <v>1853</v>
      </c>
      <c r="J8991" s="27" t="s">
        <v>1854</v>
      </c>
      <c r="L8991" s="27" t="s">
        <v>13379</v>
      </c>
      <c r="N8991" s="27" t="s">
        <v>13383</v>
      </c>
      <c r="P8991" s="27" t="s">
        <v>13384</v>
      </c>
      <c r="Q8991" s="26" t="str">
        <f>HYPERLINK("https://ictv.global/taxonomy/taxondetails?taxnode_id=202518472&amp;ictv_id=ICTV202318472","ICTV202318472")</f>
        <v>ICTV202318472</v>
      </c>
      <c r="R8991" t="s">
        <v>660</v>
      </c>
      <c r="S8991" t="s">
        <v>824</v>
      </c>
      <c r="T8991">
        <v>41</v>
      </c>
      <c r="U8991" s="26" t="str">
        <f t="shared" si="320"/>
        <v>2025.002G.Monodnaviria_reorg_4nr.zip</v>
      </c>
    </row>
    <row r="8992" spans="1:21">
      <c r="A8992">
        <v>8991</v>
      </c>
      <c r="B8992" s="27" t="s">
        <v>20779</v>
      </c>
      <c r="D8992" s="27" t="s">
        <v>1826</v>
      </c>
      <c r="F8992" s="27" t="s">
        <v>1844</v>
      </c>
      <c r="H8992" s="27" t="s">
        <v>1853</v>
      </c>
      <c r="J8992" s="27" t="s">
        <v>1854</v>
      </c>
      <c r="L8992" s="27" t="s">
        <v>13379</v>
      </c>
      <c r="N8992" s="27" t="s">
        <v>13383</v>
      </c>
      <c r="P8992" s="27" t="s">
        <v>13385</v>
      </c>
      <c r="Q8992" s="26" t="str">
        <f>HYPERLINK("https://ictv.global/taxonomy/taxondetails?taxnode_id=202518471&amp;ictv_id=ICTV202318471","ICTV202318471")</f>
        <v>ICTV202318471</v>
      </c>
      <c r="R8992" t="s">
        <v>660</v>
      </c>
      <c r="S8992" t="s">
        <v>824</v>
      </c>
      <c r="T8992">
        <v>41</v>
      </c>
      <c r="U8992" s="26" t="str">
        <f t="shared" si="320"/>
        <v>2025.002G.Monodnaviria_reorg_4nr.zip</v>
      </c>
    </row>
    <row r="8993" spans="1:21">
      <c r="A8993">
        <v>8992</v>
      </c>
      <c r="B8993" s="27" t="s">
        <v>20779</v>
      </c>
      <c r="D8993" s="27" t="s">
        <v>1826</v>
      </c>
      <c r="F8993" s="27" t="s">
        <v>1844</v>
      </c>
      <c r="H8993" s="27" t="s">
        <v>1853</v>
      </c>
      <c r="J8993" s="27" t="s">
        <v>1854</v>
      </c>
      <c r="L8993" s="27" t="s">
        <v>13379</v>
      </c>
      <c r="N8993" s="27" t="s">
        <v>13386</v>
      </c>
      <c r="P8993" s="27" t="s">
        <v>13387</v>
      </c>
      <c r="Q8993" s="26" t="str">
        <f>HYPERLINK("https://ictv.global/taxonomy/taxondetails?taxnode_id=202518463&amp;ictv_id=ICTV202318463","ICTV202318463")</f>
        <v>ICTV202318463</v>
      </c>
      <c r="R8993" t="s">
        <v>660</v>
      </c>
      <c r="S8993" t="s">
        <v>824</v>
      </c>
      <c r="T8993">
        <v>41</v>
      </c>
      <c r="U8993" s="26" t="str">
        <f t="shared" si="320"/>
        <v>2025.002G.Monodnaviria_reorg_4nr.zip</v>
      </c>
    </row>
    <row r="8994" spans="1:21">
      <c r="A8994">
        <v>8993</v>
      </c>
      <c r="B8994" s="27" t="s">
        <v>20779</v>
      </c>
      <c r="D8994" s="27" t="s">
        <v>1826</v>
      </c>
      <c r="F8994" s="27" t="s">
        <v>1844</v>
      </c>
      <c r="H8994" s="27" t="s">
        <v>1853</v>
      </c>
      <c r="J8994" s="27" t="s">
        <v>1854</v>
      </c>
      <c r="L8994" s="27" t="s">
        <v>13379</v>
      </c>
      <c r="N8994" s="27" t="s">
        <v>13386</v>
      </c>
      <c r="P8994" s="27" t="s">
        <v>13388</v>
      </c>
      <c r="Q8994" s="26" t="str">
        <f>HYPERLINK("https://ictv.global/taxonomy/taxondetails?taxnode_id=202518464&amp;ictv_id=ICTV202318464","ICTV202318464")</f>
        <v>ICTV202318464</v>
      </c>
      <c r="R8994" t="s">
        <v>660</v>
      </c>
      <c r="S8994" t="s">
        <v>824</v>
      </c>
      <c r="T8994">
        <v>41</v>
      </c>
      <c r="U8994" s="26" t="str">
        <f t="shared" si="320"/>
        <v>2025.002G.Monodnaviria_reorg_4nr.zip</v>
      </c>
    </row>
    <row r="8995" spans="1:21">
      <c r="A8995">
        <v>8994</v>
      </c>
      <c r="B8995" s="27" t="s">
        <v>20779</v>
      </c>
      <c r="D8995" s="27" t="s">
        <v>1826</v>
      </c>
      <c r="F8995" s="27" t="s">
        <v>1844</v>
      </c>
      <c r="H8995" s="27" t="s">
        <v>1853</v>
      </c>
      <c r="J8995" s="27" t="s">
        <v>1854</v>
      </c>
      <c r="L8995" s="27" t="s">
        <v>13379</v>
      </c>
      <c r="N8995" s="27" t="s">
        <v>13386</v>
      </c>
      <c r="P8995" s="27" t="s">
        <v>13389</v>
      </c>
      <c r="Q8995" s="26" t="str">
        <f>HYPERLINK("https://ictv.global/taxonomy/taxondetails?taxnode_id=202518462&amp;ictv_id=ICTV202318462","ICTV202318462")</f>
        <v>ICTV202318462</v>
      </c>
      <c r="R8995" t="s">
        <v>660</v>
      </c>
      <c r="S8995" t="s">
        <v>824</v>
      </c>
      <c r="T8995">
        <v>41</v>
      </c>
      <c r="U8995" s="26" t="str">
        <f t="shared" si="320"/>
        <v>2025.002G.Monodnaviria_reorg_4nr.zip</v>
      </c>
    </row>
    <row r="8996" spans="1:21">
      <c r="A8996">
        <v>8995</v>
      </c>
      <c r="B8996" s="27" t="s">
        <v>20779</v>
      </c>
      <c r="D8996" s="27" t="s">
        <v>1826</v>
      </c>
      <c r="F8996" s="27" t="s">
        <v>1844</v>
      </c>
      <c r="H8996" s="27" t="s">
        <v>1853</v>
      </c>
      <c r="J8996" s="27" t="s">
        <v>1854</v>
      </c>
      <c r="L8996" s="27" t="s">
        <v>13379</v>
      </c>
      <c r="N8996" s="27" t="s">
        <v>13386</v>
      </c>
      <c r="P8996" s="27" t="s">
        <v>13390</v>
      </c>
      <c r="Q8996" s="26" t="str">
        <f>HYPERLINK("https://ictv.global/taxonomy/taxondetails?taxnode_id=202518465&amp;ictv_id=ICTV202318465","ICTV202318465")</f>
        <v>ICTV202318465</v>
      </c>
      <c r="R8996" t="s">
        <v>660</v>
      </c>
      <c r="S8996" t="s">
        <v>824</v>
      </c>
      <c r="T8996">
        <v>41</v>
      </c>
      <c r="U8996" s="26" t="str">
        <f t="shared" si="320"/>
        <v>2025.002G.Monodnaviria_reorg_4nr.zip</v>
      </c>
    </row>
    <row r="8997" spans="1:21">
      <c r="A8997">
        <v>8996</v>
      </c>
      <c r="B8997" s="27" t="s">
        <v>20779</v>
      </c>
      <c r="D8997" s="27" t="s">
        <v>1826</v>
      </c>
      <c r="F8997" s="27" t="s">
        <v>1844</v>
      </c>
      <c r="H8997" s="27" t="s">
        <v>1853</v>
      </c>
      <c r="J8997" s="27" t="s">
        <v>1854</v>
      </c>
      <c r="L8997" s="27" t="s">
        <v>13379</v>
      </c>
      <c r="N8997" s="27" t="s">
        <v>13391</v>
      </c>
      <c r="P8997" s="27" t="s">
        <v>13392</v>
      </c>
      <c r="Q8997" s="26" t="str">
        <f>HYPERLINK("https://ictv.global/taxonomy/taxondetails?taxnode_id=202518467&amp;ictv_id=ICTV202318467","ICTV202318467")</f>
        <v>ICTV202318467</v>
      </c>
      <c r="R8997" t="s">
        <v>660</v>
      </c>
      <c r="S8997" t="s">
        <v>824</v>
      </c>
      <c r="T8997">
        <v>41</v>
      </c>
      <c r="U8997" s="26" t="str">
        <f t="shared" si="320"/>
        <v>2025.002G.Monodnaviria_reorg_4nr.zip</v>
      </c>
    </row>
    <row r="8998" spans="1:21">
      <c r="A8998">
        <v>8997</v>
      </c>
      <c r="B8998" s="27" t="s">
        <v>20779</v>
      </c>
      <c r="D8998" s="27" t="s">
        <v>1826</v>
      </c>
      <c r="F8998" s="27" t="s">
        <v>1844</v>
      </c>
      <c r="H8998" s="27" t="s">
        <v>1853</v>
      </c>
      <c r="J8998" s="27" t="s">
        <v>1854</v>
      </c>
      <c r="L8998" s="27" t="s">
        <v>13379</v>
      </c>
      <c r="N8998" s="27" t="s">
        <v>13393</v>
      </c>
      <c r="P8998" s="27" t="s">
        <v>13394</v>
      </c>
      <c r="Q8998" s="26" t="str">
        <f>HYPERLINK("https://ictv.global/taxonomy/taxondetails?taxnode_id=202518461&amp;ictv_id=ICTV202318461","ICTV202318461")</f>
        <v>ICTV202318461</v>
      </c>
      <c r="R8998" t="s">
        <v>660</v>
      </c>
      <c r="S8998" t="s">
        <v>824</v>
      </c>
      <c r="T8998">
        <v>41</v>
      </c>
      <c r="U8998" s="26" t="str">
        <f t="shared" si="320"/>
        <v>2025.002G.Monodnaviria_reorg_4nr.zip</v>
      </c>
    </row>
    <row r="8999" spans="1:21">
      <c r="A8999">
        <v>8998</v>
      </c>
      <c r="B8999" s="27" t="s">
        <v>20779</v>
      </c>
      <c r="D8999" s="27" t="s">
        <v>1826</v>
      </c>
      <c r="F8999" s="27" t="s">
        <v>1844</v>
      </c>
      <c r="H8999" s="27" t="s">
        <v>1853</v>
      </c>
      <c r="J8999" s="27" t="s">
        <v>1854</v>
      </c>
      <c r="L8999" s="27" t="s">
        <v>13379</v>
      </c>
      <c r="N8999" s="27" t="s">
        <v>13395</v>
      </c>
      <c r="P8999" s="27" t="s">
        <v>13396</v>
      </c>
      <c r="Q8999" s="26" t="str">
        <f>HYPERLINK("https://ictv.global/taxonomy/taxondetails?taxnode_id=202518477&amp;ictv_id=ICTV202318477","ICTV202318477")</f>
        <v>ICTV202318477</v>
      </c>
      <c r="R8999" t="s">
        <v>660</v>
      </c>
      <c r="S8999" t="s">
        <v>824</v>
      </c>
      <c r="T8999">
        <v>41</v>
      </c>
      <c r="U8999" s="26" t="str">
        <f t="shared" si="320"/>
        <v>2025.002G.Monodnaviria_reorg_4nr.zip</v>
      </c>
    </row>
    <row r="9000" spans="1:21">
      <c r="A9000">
        <v>8999</v>
      </c>
      <c r="B9000" s="27" t="s">
        <v>20779</v>
      </c>
      <c r="D9000" s="27" t="s">
        <v>1826</v>
      </c>
      <c r="F9000" s="27" t="s">
        <v>1844</v>
      </c>
      <c r="H9000" s="27" t="s">
        <v>1853</v>
      </c>
      <c r="J9000" s="27" t="s">
        <v>1854</v>
      </c>
      <c r="L9000" s="27" t="s">
        <v>13379</v>
      </c>
      <c r="N9000" s="27" t="s">
        <v>13397</v>
      </c>
      <c r="P9000" s="27" t="s">
        <v>13398</v>
      </c>
      <c r="Q9000" s="26" t="str">
        <f>HYPERLINK("https://ictv.global/taxonomy/taxondetails?taxnode_id=202518460&amp;ictv_id=ICTV202318460","ICTV202318460")</f>
        <v>ICTV202318460</v>
      </c>
      <c r="R9000" t="s">
        <v>660</v>
      </c>
      <c r="S9000" t="s">
        <v>824</v>
      </c>
      <c r="T9000">
        <v>41</v>
      </c>
      <c r="U9000" s="26" t="str">
        <f t="shared" ref="U9000:U9023" si="321">HYPERLINK("https://ictv.global/ictv/proposals/2025.002G.Monodnaviria_reorg_4nr.zip","2025.002G.Monodnaviria_reorg_4nr.zip")</f>
        <v>2025.002G.Monodnaviria_reorg_4nr.zip</v>
      </c>
    </row>
    <row r="9001" spans="1:21">
      <c r="A9001">
        <v>9000</v>
      </c>
      <c r="B9001" s="27" t="s">
        <v>20779</v>
      </c>
      <c r="D9001" s="27" t="s">
        <v>1826</v>
      </c>
      <c r="F9001" s="27" t="s">
        <v>1844</v>
      </c>
      <c r="H9001" s="27" t="s">
        <v>1853</v>
      </c>
      <c r="J9001" s="27" t="s">
        <v>1854</v>
      </c>
      <c r="L9001" s="27" t="s">
        <v>13379</v>
      </c>
      <c r="N9001" s="27" t="s">
        <v>13399</v>
      </c>
      <c r="P9001" s="27" t="s">
        <v>13400</v>
      </c>
      <c r="Q9001" s="26" t="str">
        <f>HYPERLINK("https://ictv.global/taxonomy/taxondetails?taxnode_id=202518475&amp;ictv_id=ICTV202318475","ICTV202318475")</f>
        <v>ICTV202318475</v>
      </c>
      <c r="R9001" t="s">
        <v>660</v>
      </c>
      <c r="S9001" t="s">
        <v>824</v>
      </c>
      <c r="T9001">
        <v>41</v>
      </c>
      <c r="U9001" s="26" t="str">
        <f t="shared" si="321"/>
        <v>2025.002G.Monodnaviria_reorg_4nr.zip</v>
      </c>
    </row>
    <row r="9002" spans="1:21">
      <c r="A9002">
        <v>9001</v>
      </c>
      <c r="B9002" s="27" t="s">
        <v>20779</v>
      </c>
      <c r="D9002" s="27" t="s">
        <v>1826</v>
      </c>
      <c r="F9002" s="27" t="s">
        <v>1844</v>
      </c>
      <c r="H9002" s="27" t="s">
        <v>1853</v>
      </c>
      <c r="J9002" s="27" t="s">
        <v>1854</v>
      </c>
      <c r="L9002" s="27" t="s">
        <v>13379</v>
      </c>
      <c r="N9002" s="27" t="s">
        <v>13399</v>
      </c>
      <c r="P9002" s="27" t="s">
        <v>13401</v>
      </c>
      <c r="Q9002" s="26" t="str">
        <f>HYPERLINK("https://ictv.global/taxonomy/taxondetails?taxnode_id=202518476&amp;ictv_id=ICTV202318476","ICTV202318476")</f>
        <v>ICTV202318476</v>
      </c>
      <c r="R9002" t="s">
        <v>660</v>
      </c>
      <c r="S9002" t="s">
        <v>824</v>
      </c>
      <c r="T9002">
        <v>41</v>
      </c>
      <c r="U9002" s="26" t="str">
        <f t="shared" si="321"/>
        <v>2025.002G.Monodnaviria_reorg_4nr.zip</v>
      </c>
    </row>
    <row r="9003" spans="1:21">
      <c r="A9003">
        <v>9002</v>
      </c>
      <c r="B9003" s="27" t="s">
        <v>20779</v>
      </c>
      <c r="D9003" s="27" t="s">
        <v>1826</v>
      </c>
      <c r="F9003" s="27" t="s">
        <v>1844</v>
      </c>
      <c r="H9003" s="27" t="s">
        <v>1853</v>
      </c>
      <c r="J9003" s="27" t="s">
        <v>1854</v>
      </c>
      <c r="L9003" s="27" t="s">
        <v>13379</v>
      </c>
      <c r="N9003" s="27" t="s">
        <v>13402</v>
      </c>
      <c r="P9003" s="27" t="s">
        <v>13403</v>
      </c>
      <c r="Q9003" s="26" t="str">
        <f>HYPERLINK("https://ictv.global/taxonomy/taxondetails?taxnode_id=202518479&amp;ictv_id=ICTV202318479","ICTV202318479")</f>
        <v>ICTV202318479</v>
      </c>
      <c r="R9003" t="s">
        <v>660</v>
      </c>
      <c r="S9003" t="s">
        <v>824</v>
      </c>
      <c r="T9003">
        <v>41</v>
      </c>
      <c r="U9003" s="26" t="str">
        <f t="shared" si="321"/>
        <v>2025.002G.Monodnaviria_reorg_4nr.zip</v>
      </c>
    </row>
    <row r="9004" spans="1:21">
      <c r="A9004">
        <v>9003</v>
      </c>
      <c r="B9004" s="27" t="s">
        <v>20779</v>
      </c>
      <c r="D9004" s="27" t="s">
        <v>1826</v>
      </c>
      <c r="F9004" s="27" t="s">
        <v>1844</v>
      </c>
      <c r="H9004" s="27" t="s">
        <v>1853</v>
      </c>
      <c r="J9004" s="27" t="s">
        <v>1854</v>
      </c>
      <c r="L9004" s="27" t="s">
        <v>13379</v>
      </c>
      <c r="N9004" s="27" t="s">
        <v>13402</v>
      </c>
      <c r="P9004" s="27" t="s">
        <v>13404</v>
      </c>
      <c r="Q9004" s="26" t="str">
        <f>HYPERLINK("https://ictv.global/taxonomy/taxondetails?taxnode_id=202518478&amp;ictv_id=ICTV202318478","ICTV202318478")</f>
        <v>ICTV202318478</v>
      </c>
      <c r="R9004" t="s">
        <v>660</v>
      </c>
      <c r="S9004" t="s">
        <v>824</v>
      </c>
      <c r="T9004">
        <v>41</v>
      </c>
      <c r="U9004" s="26" t="str">
        <f t="shared" si="321"/>
        <v>2025.002G.Monodnaviria_reorg_4nr.zip</v>
      </c>
    </row>
    <row r="9005" spans="1:21">
      <c r="A9005">
        <v>9004</v>
      </c>
      <c r="B9005" s="27" t="s">
        <v>20779</v>
      </c>
      <c r="D9005" s="27" t="s">
        <v>1826</v>
      </c>
      <c r="F9005" s="27" t="s">
        <v>1844</v>
      </c>
      <c r="H9005" s="27" t="s">
        <v>1853</v>
      </c>
      <c r="J9005" s="27" t="s">
        <v>1854</v>
      </c>
      <c r="L9005" s="27" t="s">
        <v>13379</v>
      </c>
      <c r="N9005" s="27" t="s">
        <v>13405</v>
      </c>
      <c r="P9005" s="27" t="s">
        <v>13406</v>
      </c>
      <c r="Q9005" s="26" t="str">
        <f>HYPERLINK("https://ictv.global/taxonomy/taxondetails?taxnode_id=202518486&amp;ictv_id=ICTV202318486","ICTV202318486")</f>
        <v>ICTV202318486</v>
      </c>
      <c r="R9005" t="s">
        <v>660</v>
      </c>
      <c r="S9005" t="s">
        <v>824</v>
      </c>
      <c r="T9005">
        <v>41</v>
      </c>
      <c r="U9005" s="26" t="str">
        <f t="shared" si="321"/>
        <v>2025.002G.Monodnaviria_reorg_4nr.zip</v>
      </c>
    </row>
    <row r="9006" spans="1:21">
      <c r="A9006">
        <v>9005</v>
      </c>
      <c r="B9006" s="27" t="s">
        <v>20779</v>
      </c>
      <c r="D9006" s="27" t="s">
        <v>1826</v>
      </c>
      <c r="F9006" s="27" t="s">
        <v>1844</v>
      </c>
      <c r="H9006" s="27" t="s">
        <v>1853</v>
      </c>
      <c r="J9006" s="27" t="s">
        <v>1854</v>
      </c>
      <c r="L9006" s="27" t="s">
        <v>13379</v>
      </c>
      <c r="N9006" s="27" t="s">
        <v>13407</v>
      </c>
      <c r="P9006" s="27" t="s">
        <v>13408</v>
      </c>
      <c r="Q9006" s="26" t="str">
        <f>HYPERLINK("https://ictv.global/taxonomy/taxondetails?taxnode_id=202518469&amp;ictv_id=ICTV202318469","ICTV202318469")</f>
        <v>ICTV202318469</v>
      </c>
      <c r="R9006" t="s">
        <v>660</v>
      </c>
      <c r="S9006" t="s">
        <v>824</v>
      </c>
      <c r="T9006">
        <v>41</v>
      </c>
      <c r="U9006" s="26" t="str">
        <f t="shared" si="321"/>
        <v>2025.002G.Monodnaviria_reorg_4nr.zip</v>
      </c>
    </row>
    <row r="9007" spans="1:21">
      <c r="A9007">
        <v>9006</v>
      </c>
      <c r="B9007" s="27" t="s">
        <v>20779</v>
      </c>
      <c r="D9007" s="27" t="s">
        <v>1826</v>
      </c>
      <c r="F9007" s="27" t="s">
        <v>1844</v>
      </c>
      <c r="H9007" s="27" t="s">
        <v>1853</v>
      </c>
      <c r="J9007" s="27" t="s">
        <v>1854</v>
      </c>
      <c r="L9007" s="27" t="s">
        <v>13379</v>
      </c>
      <c r="N9007" s="27" t="s">
        <v>13407</v>
      </c>
      <c r="P9007" s="27" t="s">
        <v>13409</v>
      </c>
      <c r="Q9007" s="26" t="str">
        <f>HYPERLINK("https://ictv.global/taxonomy/taxondetails?taxnode_id=202518470&amp;ictv_id=ICTV202318470","ICTV202318470")</f>
        <v>ICTV202318470</v>
      </c>
      <c r="R9007" t="s">
        <v>660</v>
      </c>
      <c r="S9007" t="s">
        <v>824</v>
      </c>
      <c r="T9007">
        <v>41</v>
      </c>
      <c r="U9007" s="26" t="str">
        <f t="shared" si="321"/>
        <v>2025.002G.Monodnaviria_reorg_4nr.zip</v>
      </c>
    </row>
    <row r="9008" spans="1:21">
      <c r="A9008">
        <v>9007</v>
      </c>
      <c r="B9008" s="27" t="s">
        <v>20779</v>
      </c>
      <c r="D9008" s="27" t="s">
        <v>1826</v>
      </c>
      <c r="F9008" s="27" t="s">
        <v>1844</v>
      </c>
      <c r="H9008" s="27" t="s">
        <v>1853</v>
      </c>
      <c r="J9008" s="27" t="s">
        <v>1854</v>
      </c>
      <c r="L9008" s="27" t="s">
        <v>13379</v>
      </c>
      <c r="N9008" s="27" t="s">
        <v>13410</v>
      </c>
      <c r="P9008" s="27" t="s">
        <v>13411</v>
      </c>
      <c r="Q9008" s="26" t="str">
        <f>HYPERLINK("https://ictv.global/taxonomy/taxondetails?taxnode_id=202518468&amp;ictv_id=ICTV202318468","ICTV202318468")</f>
        <v>ICTV202318468</v>
      </c>
      <c r="R9008" t="s">
        <v>660</v>
      </c>
      <c r="S9008" t="s">
        <v>824</v>
      </c>
      <c r="T9008">
        <v>41</v>
      </c>
      <c r="U9008" s="26" t="str">
        <f t="shared" si="321"/>
        <v>2025.002G.Monodnaviria_reorg_4nr.zip</v>
      </c>
    </row>
    <row r="9009" spans="1:21">
      <c r="A9009">
        <v>9008</v>
      </c>
      <c r="B9009" s="27" t="s">
        <v>20779</v>
      </c>
      <c r="D9009" s="27" t="s">
        <v>1826</v>
      </c>
      <c r="F9009" s="27" t="s">
        <v>1844</v>
      </c>
      <c r="H9009" s="27" t="s">
        <v>1853</v>
      </c>
      <c r="J9009" s="27" t="s">
        <v>1854</v>
      </c>
      <c r="L9009" s="27" t="s">
        <v>13379</v>
      </c>
      <c r="N9009" s="27" t="s">
        <v>13412</v>
      </c>
      <c r="P9009" s="27" t="s">
        <v>13413</v>
      </c>
      <c r="Q9009" s="26" t="str">
        <f>HYPERLINK("https://ictv.global/taxonomy/taxondetails?taxnode_id=202518480&amp;ictv_id=ICTV202318480","ICTV202318480")</f>
        <v>ICTV202318480</v>
      </c>
      <c r="R9009" t="s">
        <v>660</v>
      </c>
      <c r="S9009" t="s">
        <v>824</v>
      </c>
      <c r="T9009">
        <v>41</v>
      </c>
      <c r="U9009" s="26" t="str">
        <f t="shared" si="321"/>
        <v>2025.002G.Monodnaviria_reorg_4nr.zip</v>
      </c>
    </row>
    <row r="9010" spans="1:21">
      <c r="A9010">
        <v>9009</v>
      </c>
      <c r="B9010" s="27" t="s">
        <v>20779</v>
      </c>
      <c r="D9010" s="27" t="s">
        <v>1826</v>
      </c>
      <c r="F9010" s="27" t="s">
        <v>1844</v>
      </c>
      <c r="H9010" s="27" t="s">
        <v>1853</v>
      </c>
      <c r="J9010" s="27" t="s">
        <v>1854</v>
      </c>
      <c r="L9010" s="27" t="s">
        <v>13379</v>
      </c>
      <c r="N9010" s="27" t="s">
        <v>13414</v>
      </c>
      <c r="P9010" s="27" t="s">
        <v>13415</v>
      </c>
      <c r="Q9010" s="26" t="str">
        <f>HYPERLINK("https://ictv.global/taxonomy/taxondetails?taxnode_id=202518483&amp;ictv_id=ICTV202318483","ICTV202318483")</f>
        <v>ICTV202318483</v>
      </c>
      <c r="R9010" t="s">
        <v>660</v>
      </c>
      <c r="S9010" t="s">
        <v>824</v>
      </c>
      <c r="T9010">
        <v>41</v>
      </c>
      <c r="U9010" s="26" t="str">
        <f t="shared" si="321"/>
        <v>2025.002G.Monodnaviria_reorg_4nr.zip</v>
      </c>
    </row>
    <row r="9011" spans="1:21">
      <c r="A9011">
        <v>9010</v>
      </c>
      <c r="B9011" s="27" t="s">
        <v>20779</v>
      </c>
      <c r="D9011" s="27" t="s">
        <v>1826</v>
      </c>
      <c r="F9011" s="27" t="s">
        <v>1844</v>
      </c>
      <c r="H9011" s="27" t="s">
        <v>1853</v>
      </c>
      <c r="J9011" s="27" t="s">
        <v>1854</v>
      </c>
      <c r="L9011" s="27" t="s">
        <v>13379</v>
      </c>
      <c r="N9011" s="27" t="s">
        <v>13416</v>
      </c>
      <c r="P9011" s="27" t="s">
        <v>13417</v>
      </c>
      <c r="Q9011" s="26" t="str">
        <f>HYPERLINK("https://ictv.global/taxonomy/taxondetails?taxnode_id=202518459&amp;ictv_id=ICTV202318459","ICTV202318459")</f>
        <v>ICTV202318459</v>
      </c>
      <c r="R9011" t="s">
        <v>660</v>
      </c>
      <c r="S9011" t="s">
        <v>824</v>
      </c>
      <c r="T9011">
        <v>41</v>
      </c>
      <c r="U9011" s="26" t="str">
        <f t="shared" si="321"/>
        <v>2025.002G.Monodnaviria_reorg_4nr.zip</v>
      </c>
    </row>
    <row r="9012" spans="1:21">
      <c r="A9012">
        <v>9011</v>
      </c>
      <c r="B9012" s="27" t="s">
        <v>20779</v>
      </c>
      <c r="D9012" s="27" t="s">
        <v>1826</v>
      </c>
      <c r="F9012" s="27" t="s">
        <v>1844</v>
      </c>
      <c r="H9012" s="27" t="s">
        <v>1853</v>
      </c>
      <c r="J9012" s="27" t="s">
        <v>1854</v>
      </c>
      <c r="L9012" s="27" t="s">
        <v>13379</v>
      </c>
      <c r="N9012" s="27" t="s">
        <v>13416</v>
      </c>
      <c r="P9012" s="27" t="s">
        <v>13418</v>
      </c>
      <c r="Q9012" s="26" t="str">
        <f>HYPERLINK("https://ictv.global/taxonomy/taxondetails?taxnode_id=202518458&amp;ictv_id=ICTV202318458","ICTV202318458")</f>
        <v>ICTV202318458</v>
      </c>
      <c r="R9012" t="s">
        <v>660</v>
      </c>
      <c r="S9012" t="s">
        <v>824</v>
      </c>
      <c r="T9012">
        <v>41</v>
      </c>
      <c r="U9012" s="26" t="str">
        <f t="shared" si="321"/>
        <v>2025.002G.Monodnaviria_reorg_4nr.zip</v>
      </c>
    </row>
    <row r="9013" spans="1:21">
      <c r="A9013">
        <v>9012</v>
      </c>
      <c r="B9013" s="27" t="s">
        <v>20779</v>
      </c>
      <c r="D9013" s="27" t="s">
        <v>1826</v>
      </c>
      <c r="F9013" s="27" t="s">
        <v>1844</v>
      </c>
      <c r="H9013" s="27" t="s">
        <v>1853</v>
      </c>
      <c r="J9013" s="27" t="s">
        <v>1854</v>
      </c>
      <c r="L9013" s="27" t="s">
        <v>13379</v>
      </c>
      <c r="N9013" s="27" t="s">
        <v>13416</v>
      </c>
      <c r="P9013" s="27" t="s">
        <v>13419</v>
      </c>
      <c r="Q9013" s="26" t="str">
        <f>HYPERLINK("https://ictv.global/taxonomy/taxondetails?taxnode_id=202518457&amp;ictv_id=ICTV202318457","ICTV202318457")</f>
        <v>ICTV202318457</v>
      </c>
      <c r="R9013" t="s">
        <v>660</v>
      </c>
      <c r="S9013" t="s">
        <v>824</v>
      </c>
      <c r="T9013">
        <v>41</v>
      </c>
      <c r="U9013" s="26" t="str">
        <f t="shared" si="321"/>
        <v>2025.002G.Monodnaviria_reorg_4nr.zip</v>
      </c>
    </row>
    <row r="9014" spans="1:21">
      <c r="A9014">
        <v>9013</v>
      </c>
      <c r="B9014" s="27" t="s">
        <v>20779</v>
      </c>
      <c r="D9014" s="27" t="s">
        <v>1826</v>
      </c>
      <c r="F9014" s="27" t="s">
        <v>1844</v>
      </c>
      <c r="H9014" s="27" t="s">
        <v>1853</v>
      </c>
      <c r="J9014" s="27" t="s">
        <v>1854</v>
      </c>
      <c r="L9014" s="27" t="s">
        <v>13379</v>
      </c>
      <c r="N9014" s="27" t="s">
        <v>13420</v>
      </c>
      <c r="P9014" s="27" t="s">
        <v>13421</v>
      </c>
      <c r="Q9014" s="26" t="str">
        <f>HYPERLINK("https://ictv.global/taxonomy/taxondetails?taxnode_id=202518482&amp;ictv_id=ICTV202318482","ICTV202318482")</f>
        <v>ICTV202318482</v>
      </c>
      <c r="R9014" t="s">
        <v>660</v>
      </c>
      <c r="S9014" t="s">
        <v>824</v>
      </c>
      <c r="T9014">
        <v>41</v>
      </c>
      <c r="U9014" s="26" t="str">
        <f t="shared" si="321"/>
        <v>2025.002G.Monodnaviria_reorg_4nr.zip</v>
      </c>
    </row>
    <row r="9015" spans="1:21">
      <c r="A9015">
        <v>9014</v>
      </c>
      <c r="B9015" s="27" t="s">
        <v>20779</v>
      </c>
      <c r="D9015" s="27" t="s">
        <v>1826</v>
      </c>
      <c r="F9015" s="27" t="s">
        <v>1844</v>
      </c>
      <c r="H9015" s="27" t="s">
        <v>1853</v>
      </c>
      <c r="J9015" s="27" t="s">
        <v>1854</v>
      </c>
      <c r="L9015" s="27" t="s">
        <v>13379</v>
      </c>
      <c r="N9015" s="27" t="s">
        <v>13420</v>
      </c>
      <c r="P9015" s="27" t="s">
        <v>13422</v>
      </c>
      <c r="Q9015" s="26" t="str">
        <f>HYPERLINK("https://ictv.global/taxonomy/taxondetails?taxnode_id=202518481&amp;ictv_id=ICTV202318481","ICTV202318481")</f>
        <v>ICTV202318481</v>
      </c>
      <c r="R9015" t="s">
        <v>660</v>
      </c>
      <c r="S9015" t="s">
        <v>824</v>
      </c>
      <c r="T9015">
        <v>41</v>
      </c>
      <c r="U9015" s="26" t="str">
        <f t="shared" si="321"/>
        <v>2025.002G.Monodnaviria_reorg_4nr.zip</v>
      </c>
    </row>
    <row r="9016" spans="1:21">
      <c r="A9016">
        <v>9015</v>
      </c>
      <c r="B9016" s="27" t="s">
        <v>20779</v>
      </c>
      <c r="D9016" s="27" t="s">
        <v>1826</v>
      </c>
      <c r="F9016" s="27" t="s">
        <v>1844</v>
      </c>
      <c r="H9016" s="27" t="s">
        <v>1853</v>
      </c>
      <c r="J9016" s="27" t="s">
        <v>1854</v>
      </c>
      <c r="L9016" s="27" t="s">
        <v>13379</v>
      </c>
      <c r="N9016" s="27" t="s">
        <v>13423</v>
      </c>
      <c r="P9016" s="27" t="s">
        <v>13424</v>
      </c>
      <c r="Q9016" s="26" t="str">
        <f>HYPERLINK("https://ictv.global/taxonomy/taxondetails?taxnode_id=202518466&amp;ictv_id=ICTV202318466","ICTV202318466")</f>
        <v>ICTV202318466</v>
      </c>
      <c r="R9016" t="s">
        <v>660</v>
      </c>
      <c r="S9016" t="s">
        <v>824</v>
      </c>
      <c r="T9016">
        <v>41</v>
      </c>
      <c r="U9016" s="26" t="str">
        <f t="shared" si="321"/>
        <v>2025.002G.Monodnaviria_reorg_4nr.zip</v>
      </c>
    </row>
    <row r="9017" spans="1:21">
      <c r="A9017">
        <v>9016</v>
      </c>
      <c r="B9017" s="27" t="s">
        <v>20779</v>
      </c>
      <c r="D9017" s="27" t="s">
        <v>1826</v>
      </c>
      <c r="F9017" s="27" t="s">
        <v>1844</v>
      </c>
      <c r="H9017" s="27" t="s">
        <v>1853</v>
      </c>
      <c r="J9017" s="27" t="s">
        <v>1854</v>
      </c>
      <c r="L9017" s="27" t="s">
        <v>13379</v>
      </c>
      <c r="N9017" s="27" t="s">
        <v>13425</v>
      </c>
      <c r="P9017" s="27" t="s">
        <v>13426</v>
      </c>
      <c r="Q9017" s="26" t="str">
        <f>HYPERLINK("https://ictv.global/taxonomy/taxondetails?taxnode_id=202518473&amp;ictv_id=ICTV202318473","ICTV202318473")</f>
        <v>ICTV202318473</v>
      </c>
      <c r="R9017" t="s">
        <v>660</v>
      </c>
      <c r="S9017" t="s">
        <v>824</v>
      </c>
      <c r="T9017">
        <v>41</v>
      </c>
      <c r="U9017" s="26" t="str">
        <f t="shared" si="321"/>
        <v>2025.002G.Monodnaviria_reorg_4nr.zip</v>
      </c>
    </row>
    <row r="9018" spans="1:21">
      <c r="A9018">
        <v>9017</v>
      </c>
      <c r="B9018" s="27" t="s">
        <v>20779</v>
      </c>
      <c r="D9018" s="27" t="s">
        <v>1826</v>
      </c>
      <c r="F9018" s="27" t="s">
        <v>1844</v>
      </c>
      <c r="H9018" s="27" t="s">
        <v>1853</v>
      </c>
      <c r="J9018" s="27" t="s">
        <v>1854</v>
      </c>
      <c r="L9018" s="27" t="s">
        <v>13379</v>
      </c>
      <c r="N9018" s="27" t="s">
        <v>13425</v>
      </c>
      <c r="P9018" s="27" t="s">
        <v>13427</v>
      </c>
      <c r="Q9018" s="26" t="str">
        <f>HYPERLINK("https://ictv.global/taxonomy/taxondetails?taxnode_id=202518474&amp;ictv_id=ICTV202318474","ICTV202318474")</f>
        <v>ICTV202318474</v>
      </c>
      <c r="R9018" t="s">
        <v>660</v>
      </c>
      <c r="S9018" t="s">
        <v>824</v>
      </c>
      <c r="T9018">
        <v>41</v>
      </c>
      <c r="U9018" s="26" t="str">
        <f t="shared" si="321"/>
        <v>2025.002G.Monodnaviria_reorg_4nr.zip</v>
      </c>
    </row>
    <row r="9019" spans="1:21">
      <c r="A9019">
        <v>9018</v>
      </c>
      <c r="B9019" s="27" t="s">
        <v>20843</v>
      </c>
      <c r="D9019" s="27" t="s">
        <v>1855</v>
      </c>
      <c r="F9019" s="27" t="s">
        <v>20091</v>
      </c>
      <c r="H9019" s="27" t="s">
        <v>20092</v>
      </c>
      <c r="J9019" s="27" t="s">
        <v>20093</v>
      </c>
      <c r="L9019" s="27" t="s">
        <v>20094</v>
      </c>
      <c r="N9019" s="27" t="s">
        <v>20095</v>
      </c>
      <c r="P9019" s="27" t="s">
        <v>20096</v>
      </c>
      <c r="Q9019" s="26" t="str">
        <f>HYPERLINK("https://ictv.global/taxonomy/taxondetails?taxnode_id=202520124&amp;ictv_id=ICTV202420124","ICTV202420124")</f>
        <v>ICTV202420124</v>
      </c>
      <c r="R9019" t="s">
        <v>579</v>
      </c>
      <c r="S9019" t="s">
        <v>22763</v>
      </c>
      <c r="T9019">
        <v>41</v>
      </c>
      <c r="U9019" s="26" t="str">
        <f t="shared" si="321"/>
        <v>2025.002G.Monodnaviria_reorg_4nr.zip</v>
      </c>
    </row>
    <row r="9020" spans="1:21">
      <c r="A9020">
        <v>9019</v>
      </c>
      <c r="B9020" s="27" t="s">
        <v>20843</v>
      </c>
      <c r="D9020" s="27" t="s">
        <v>1855</v>
      </c>
      <c r="F9020" s="27" t="s">
        <v>20091</v>
      </c>
      <c r="H9020" s="27" t="s">
        <v>20092</v>
      </c>
      <c r="J9020" s="27" t="s">
        <v>20093</v>
      </c>
      <c r="L9020" s="27" t="s">
        <v>20094</v>
      </c>
      <c r="N9020" s="27" t="s">
        <v>20097</v>
      </c>
      <c r="P9020" s="27" t="s">
        <v>20098</v>
      </c>
      <c r="Q9020" s="26" t="str">
        <f>HYPERLINK("https://ictv.global/taxonomy/taxondetails?taxnode_id=202520123&amp;ictv_id=ICTV202420123","ICTV202420123")</f>
        <v>ICTV202420123</v>
      </c>
      <c r="R9020" t="s">
        <v>579</v>
      </c>
      <c r="S9020" t="s">
        <v>22763</v>
      </c>
      <c r="T9020">
        <v>41</v>
      </c>
      <c r="U9020" s="26" t="str">
        <f t="shared" si="321"/>
        <v>2025.002G.Monodnaviria_reorg_4nr.zip</v>
      </c>
    </row>
    <row r="9021" spans="1:21">
      <c r="A9021">
        <v>9020</v>
      </c>
      <c r="B9021" s="27" t="s">
        <v>20843</v>
      </c>
      <c r="D9021" s="27" t="s">
        <v>1855</v>
      </c>
      <c r="F9021" s="27" t="s">
        <v>20091</v>
      </c>
      <c r="H9021" s="27" t="s">
        <v>20092</v>
      </c>
      <c r="J9021" s="27" t="s">
        <v>20093</v>
      </c>
      <c r="L9021" s="27" t="s">
        <v>20094</v>
      </c>
      <c r="N9021" s="27" t="s">
        <v>20099</v>
      </c>
      <c r="P9021" s="27" t="s">
        <v>20100</v>
      </c>
      <c r="Q9021" s="26" t="str">
        <f>HYPERLINK("https://ictv.global/taxonomy/taxondetails?taxnode_id=202520125&amp;ictv_id=ICTV202420125","ICTV202420125")</f>
        <v>ICTV202420125</v>
      </c>
      <c r="R9021" t="s">
        <v>579</v>
      </c>
      <c r="S9021" t="s">
        <v>22763</v>
      </c>
      <c r="T9021">
        <v>41</v>
      </c>
      <c r="U9021" s="26" t="str">
        <f t="shared" si="321"/>
        <v>2025.002G.Monodnaviria_reorg_4nr.zip</v>
      </c>
    </row>
    <row r="9022" spans="1:21">
      <c r="A9022">
        <v>9021</v>
      </c>
      <c r="B9022" s="27" t="s">
        <v>20843</v>
      </c>
      <c r="D9022" s="27" t="s">
        <v>1855</v>
      </c>
      <c r="F9022" s="27" t="s">
        <v>20091</v>
      </c>
      <c r="H9022" s="27" t="s">
        <v>20092</v>
      </c>
      <c r="J9022" s="27" t="s">
        <v>20093</v>
      </c>
      <c r="L9022" s="27" t="s">
        <v>20094</v>
      </c>
      <c r="N9022" s="27" t="s">
        <v>20099</v>
      </c>
      <c r="P9022" s="27" t="s">
        <v>20101</v>
      </c>
      <c r="Q9022" s="26" t="str">
        <f>HYPERLINK("https://ictv.global/taxonomy/taxondetails?taxnode_id=202520126&amp;ictv_id=ICTV202420126","ICTV202420126")</f>
        <v>ICTV202420126</v>
      </c>
      <c r="R9022" t="s">
        <v>579</v>
      </c>
      <c r="S9022" t="s">
        <v>22763</v>
      </c>
      <c r="T9022">
        <v>41</v>
      </c>
      <c r="U9022" s="26" t="str">
        <f t="shared" si="321"/>
        <v>2025.002G.Monodnaviria_reorg_4nr.zip</v>
      </c>
    </row>
    <row r="9023" spans="1:21">
      <c r="A9023">
        <v>9022</v>
      </c>
      <c r="B9023" s="27" t="s">
        <v>20843</v>
      </c>
      <c r="D9023" s="27" t="s">
        <v>1855</v>
      </c>
      <c r="F9023" s="27" t="s">
        <v>20091</v>
      </c>
      <c r="H9023" s="27" t="s">
        <v>20092</v>
      </c>
      <c r="J9023" s="27" t="s">
        <v>20093</v>
      </c>
      <c r="L9023" s="27" t="s">
        <v>20094</v>
      </c>
      <c r="N9023" s="27" t="s">
        <v>20099</v>
      </c>
      <c r="P9023" s="27" t="s">
        <v>20102</v>
      </c>
      <c r="Q9023" s="26" t="str">
        <f>HYPERLINK("https://ictv.global/taxonomy/taxondetails?taxnode_id=202520127&amp;ictv_id=ICTV202420127","ICTV202420127")</f>
        <v>ICTV202420127</v>
      </c>
      <c r="R9023" t="s">
        <v>579</v>
      </c>
      <c r="S9023" t="s">
        <v>22763</v>
      </c>
      <c r="T9023">
        <v>41</v>
      </c>
      <c r="U9023" s="26" t="str">
        <f t="shared" si="321"/>
        <v>2025.002G.Monodnaviria_reorg_4nr.zip</v>
      </c>
    </row>
    <row r="9024" spans="1:21">
      <c r="A9024">
        <v>9023</v>
      </c>
      <c r="B9024" s="27" t="s">
        <v>20843</v>
      </c>
      <c r="D9024" s="27" t="s">
        <v>1855</v>
      </c>
      <c r="F9024" s="27" t="s">
        <v>1856</v>
      </c>
      <c r="H9024" s="27" t="s">
        <v>1857</v>
      </c>
      <c r="J9024" s="27" t="s">
        <v>1858</v>
      </c>
      <c r="L9024" s="27" t="s">
        <v>21222</v>
      </c>
      <c r="N9024" s="27" t="s">
        <v>21223</v>
      </c>
      <c r="P9024" s="27" t="s">
        <v>21224</v>
      </c>
      <c r="Q9024" s="26" t="str">
        <f>HYPERLINK("https://ictv.global/taxonomy/taxondetails?taxnode_id=202522128&amp;ictv_id=ICTV202522128","ICTV202522128")</f>
        <v>ICTV202522128</v>
      </c>
      <c r="R9024" t="s">
        <v>579</v>
      </c>
      <c r="S9024" t="s">
        <v>823</v>
      </c>
      <c r="T9024">
        <v>41</v>
      </c>
      <c r="U9024" s="26" t="str">
        <f>HYPERLINK("https://ictv.global/ictv/proposals/2025.004A.Pleomorphic_1nf_2ns.zip","2025.004A.Pleomorphic_1nf_2ns.zip")</f>
        <v>2025.004A.Pleomorphic_1nf_2ns.zip</v>
      </c>
    </row>
    <row r="9025" spans="1:21">
      <c r="A9025">
        <v>9024</v>
      </c>
      <c r="B9025" s="27" t="s">
        <v>20843</v>
      </c>
      <c r="D9025" s="27" t="s">
        <v>1855</v>
      </c>
      <c r="F9025" s="27" t="s">
        <v>1856</v>
      </c>
      <c r="H9025" s="27" t="s">
        <v>1857</v>
      </c>
      <c r="J9025" s="27" t="s">
        <v>1858</v>
      </c>
      <c r="L9025" s="27" t="s">
        <v>697</v>
      </c>
      <c r="N9025" s="27" t="s">
        <v>698</v>
      </c>
      <c r="P9025" s="27" t="s">
        <v>13428</v>
      </c>
      <c r="Q9025" s="26" t="str">
        <f>HYPERLINK("https://ictv.global/taxonomy/taxondetails?taxnode_id=202504344&amp;ictv_id=ICTV20154622","ICTV20154622")</f>
        <v>ICTV20154622</v>
      </c>
      <c r="R9025" t="s">
        <v>582</v>
      </c>
      <c r="S9025" t="s">
        <v>22763</v>
      </c>
      <c r="T9025">
        <v>41</v>
      </c>
      <c r="U9025" s="26" t="str">
        <f>HYPERLINK("https://ictv.global/ictv/proposals/2025.002G.Monodnaviria_reorg_4nr.zip","2025.002G.Monodnaviria_reorg_4nr.zip")</f>
        <v>2025.002G.Monodnaviria_reorg_4nr.zip</v>
      </c>
    </row>
    <row r="9026" spans="1:21">
      <c r="A9026">
        <v>9025</v>
      </c>
      <c r="B9026" s="27" t="s">
        <v>20843</v>
      </c>
      <c r="D9026" s="27" t="s">
        <v>1855</v>
      </c>
      <c r="F9026" s="27" t="s">
        <v>1856</v>
      </c>
      <c r="H9026" s="27" t="s">
        <v>1857</v>
      </c>
      <c r="J9026" s="27" t="s">
        <v>1858</v>
      </c>
      <c r="L9026" s="27" t="s">
        <v>697</v>
      </c>
      <c r="N9026" s="27" t="s">
        <v>698</v>
      </c>
      <c r="P9026" s="27" t="s">
        <v>13429</v>
      </c>
      <c r="Q9026" s="26" t="str">
        <f>HYPERLINK("https://ictv.global/taxonomy/taxondetails?taxnode_id=202504343&amp;ictv_id=ICTV20154626","ICTV20154626")</f>
        <v>ICTV20154626</v>
      </c>
      <c r="R9026" t="s">
        <v>660</v>
      </c>
      <c r="S9026" t="s">
        <v>22763</v>
      </c>
      <c r="T9026">
        <v>41</v>
      </c>
      <c r="U9026" s="26" t="str">
        <f>HYPERLINK("https://ictv.global/ictv/proposals/2025.002G.Monodnaviria_reorg_4nr.zip","2025.002G.Monodnaviria_reorg_4nr.zip")</f>
        <v>2025.002G.Monodnaviria_reorg_4nr.zip</v>
      </c>
    </row>
    <row r="9027" spans="1:21">
      <c r="A9027">
        <v>9026</v>
      </c>
      <c r="B9027" s="27" t="s">
        <v>20843</v>
      </c>
      <c r="D9027" s="27" t="s">
        <v>1855</v>
      </c>
      <c r="F9027" s="27" t="s">
        <v>1856</v>
      </c>
      <c r="H9027" s="27" t="s">
        <v>1857</v>
      </c>
      <c r="J9027" s="27" t="s">
        <v>1858</v>
      </c>
      <c r="L9027" s="27" t="s">
        <v>697</v>
      </c>
      <c r="N9027" s="27" t="s">
        <v>698</v>
      </c>
      <c r="P9027" s="27" t="s">
        <v>13430</v>
      </c>
      <c r="Q9027" s="26" t="str">
        <f>HYPERLINK("https://ictv.global/taxonomy/taxondetails?taxnode_id=202504342&amp;ictv_id=ICTV20154625","ICTV20154625")</f>
        <v>ICTV20154625</v>
      </c>
      <c r="R9027" t="s">
        <v>579</v>
      </c>
      <c r="S9027" t="s">
        <v>22763</v>
      </c>
      <c r="T9027">
        <v>41</v>
      </c>
      <c r="U9027" s="26" t="str">
        <f>HYPERLINK("https://ictv.global/ictv/proposals/2025.002G.Monodnaviria_reorg_4nr.zip","2025.002G.Monodnaviria_reorg_4nr.zip")</f>
        <v>2025.002G.Monodnaviria_reorg_4nr.zip</v>
      </c>
    </row>
    <row r="9028" spans="1:21">
      <c r="A9028">
        <v>9027</v>
      </c>
      <c r="B9028" s="27" t="s">
        <v>20843</v>
      </c>
      <c r="D9028" s="27" t="s">
        <v>1855</v>
      </c>
      <c r="F9028" s="27" t="s">
        <v>1856</v>
      </c>
      <c r="H9028" s="27" t="s">
        <v>1857</v>
      </c>
      <c r="J9028" s="27" t="s">
        <v>1858</v>
      </c>
      <c r="L9028" s="27" t="s">
        <v>697</v>
      </c>
      <c r="N9028" s="27" t="s">
        <v>698</v>
      </c>
      <c r="P9028" s="27" t="s">
        <v>13431</v>
      </c>
      <c r="Q9028" s="26" t="str">
        <f>HYPERLINK("https://ictv.global/taxonomy/taxondetails?taxnode_id=202504346&amp;ictv_id=ICTV20154624","ICTV20154624")</f>
        <v>ICTV20154624</v>
      </c>
      <c r="R9028" t="s">
        <v>660</v>
      </c>
      <c r="S9028" t="s">
        <v>22763</v>
      </c>
      <c r="T9028">
        <v>41</v>
      </c>
      <c r="U9028" s="26" t="str">
        <f>HYPERLINK("https://ictv.global/ictv/proposals/2025.002G.Monodnaviria_reorg_4nr.zip","2025.002G.Monodnaviria_reorg_4nr.zip")</f>
        <v>2025.002G.Monodnaviria_reorg_4nr.zip</v>
      </c>
    </row>
    <row r="9029" spans="1:21">
      <c r="A9029">
        <v>9028</v>
      </c>
      <c r="B9029" s="27" t="s">
        <v>20843</v>
      </c>
      <c r="D9029" s="27" t="s">
        <v>1855</v>
      </c>
      <c r="F9029" s="27" t="s">
        <v>1856</v>
      </c>
      <c r="H9029" s="27" t="s">
        <v>1857</v>
      </c>
      <c r="J9029" s="27" t="s">
        <v>1858</v>
      </c>
      <c r="L9029" s="27" t="s">
        <v>697</v>
      </c>
      <c r="N9029" s="27" t="s">
        <v>698</v>
      </c>
      <c r="P9029" s="27" t="s">
        <v>13432</v>
      </c>
      <c r="Q9029" s="26" t="str">
        <f>HYPERLINK("https://ictv.global/taxonomy/taxondetails?taxnode_id=202504345&amp;ictv_id=ICTV20154623","ICTV20154623")</f>
        <v>ICTV20154623</v>
      </c>
      <c r="R9029" t="s">
        <v>660</v>
      </c>
      <c r="S9029" t="s">
        <v>22763</v>
      </c>
      <c r="T9029">
        <v>41</v>
      </c>
      <c r="U9029" s="26" t="str">
        <f>HYPERLINK("https://ictv.global/ictv/proposals/2025.002G.Monodnaviria_reorg_4nr.zip","2025.002G.Monodnaviria_reorg_4nr.zip")</f>
        <v>2025.002G.Monodnaviria_reorg_4nr.zip</v>
      </c>
    </row>
    <row r="9030" spans="1:21">
      <c r="A9030">
        <v>9029</v>
      </c>
      <c r="B9030" s="27" t="s">
        <v>20843</v>
      </c>
      <c r="D9030" s="27" t="s">
        <v>1855</v>
      </c>
      <c r="F9030" s="27" t="s">
        <v>1856</v>
      </c>
      <c r="H9030" s="27" t="s">
        <v>1857</v>
      </c>
      <c r="J9030" s="27" t="s">
        <v>1858</v>
      </c>
      <c r="L9030" s="27" t="s">
        <v>697</v>
      </c>
      <c r="N9030" s="27" t="s">
        <v>699</v>
      </c>
      <c r="P9030" s="27" t="s">
        <v>21221</v>
      </c>
      <c r="Q9030" s="26" t="str">
        <f>HYPERLINK("https://ictv.global/taxonomy/taxondetails?taxnode_id=202522127&amp;ictv_id=ICTV202522127","ICTV202522127")</f>
        <v>ICTV202522127</v>
      </c>
      <c r="R9030" t="s">
        <v>579</v>
      </c>
      <c r="S9030" t="s">
        <v>823</v>
      </c>
      <c r="T9030">
        <v>41</v>
      </c>
      <c r="U9030" s="26" t="str">
        <f>HYPERLINK("https://ictv.global/ictv/proposals/2025.004A.Pleomorphic_1nf_2ns.zip","2025.004A.Pleomorphic_1nf_2ns.zip")</f>
        <v>2025.004A.Pleomorphic_1nf_2ns.zip</v>
      </c>
    </row>
    <row r="9031" spans="1:21">
      <c r="A9031">
        <v>9030</v>
      </c>
      <c r="B9031" s="27" t="s">
        <v>20843</v>
      </c>
      <c r="D9031" s="27" t="s">
        <v>1855</v>
      </c>
      <c r="F9031" s="27" t="s">
        <v>1856</v>
      </c>
      <c r="H9031" s="27" t="s">
        <v>1857</v>
      </c>
      <c r="J9031" s="27" t="s">
        <v>1858</v>
      </c>
      <c r="L9031" s="27" t="s">
        <v>697</v>
      </c>
      <c r="N9031" s="27" t="s">
        <v>699</v>
      </c>
      <c r="P9031" s="27" t="s">
        <v>13433</v>
      </c>
      <c r="Q9031" s="26" t="str">
        <f>HYPERLINK("https://ictv.global/taxonomy/taxondetails?taxnode_id=202508637&amp;ictv_id=ICTV201908637","ICTV201908637")</f>
        <v>ICTV201908637</v>
      </c>
      <c r="R9031" t="s">
        <v>579</v>
      </c>
      <c r="S9031" t="s">
        <v>22763</v>
      </c>
      <c r="T9031">
        <v>41</v>
      </c>
      <c r="U9031" s="26" t="str">
        <f t="shared" ref="U9031:U9041" si="322">HYPERLINK("https://ictv.global/ictv/proposals/2025.002G.Monodnaviria_reorg_4nr.zip","2025.002G.Monodnaviria_reorg_4nr.zip")</f>
        <v>2025.002G.Monodnaviria_reorg_4nr.zip</v>
      </c>
    </row>
    <row r="9032" spans="1:21">
      <c r="A9032">
        <v>9031</v>
      </c>
      <c r="B9032" s="27" t="s">
        <v>20843</v>
      </c>
      <c r="D9032" s="27" t="s">
        <v>1855</v>
      </c>
      <c r="F9032" s="27" t="s">
        <v>1856</v>
      </c>
      <c r="H9032" s="27" t="s">
        <v>1857</v>
      </c>
      <c r="J9032" s="27" t="s">
        <v>1858</v>
      </c>
      <c r="L9032" s="27" t="s">
        <v>697</v>
      </c>
      <c r="N9032" s="27" t="s">
        <v>699</v>
      </c>
      <c r="P9032" s="27" t="s">
        <v>13434</v>
      </c>
      <c r="Q9032" s="26" t="str">
        <f>HYPERLINK("https://ictv.global/taxonomy/taxondetails?taxnode_id=202504348&amp;ictv_id=ICTV20154629","ICTV20154629")</f>
        <v>ICTV20154629</v>
      </c>
      <c r="R9032" t="s">
        <v>579</v>
      </c>
      <c r="S9032" t="s">
        <v>22763</v>
      </c>
      <c r="T9032">
        <v>41</v>
      </c>
      <c r="U9032" s="26" t="str">
        <f t="shared" si="322"/>
        <v>2025.002G.Monodnaviria_reorg_4nr.zip</v>
      </c>
    </row>
    <row r="9033" spans="1:21">
      <c r="A9033">
        <v>9032</v>
      </c>
      <c r="B9033" s="27" t="s">
        <v>20843</v>
      </c>
      <c r="D9033" s="27" t="s">
        <v>1855</v>
      </c>
      <c r="F9033" s="27" t="s">
        <v>1856</v>
      </c>
      <c r="H9033" s="27" t="s">
        <v>1857</v>
      </c>
      <c r="J9033" s="27" t="s">
        <v>1858</v>
      </c>
      <c r="L9033" s="27" t="s">
        <v>697</v>
      </c>
      <c r="N9033" s="27" t="s">
        <v>699</v>
      </c>
      <c r="P9033" s="27" t="s">
        <v>13435</v>
      </c>
      <c r="Q9033" s="26" t="str">
        <f>HYPERLINK("https://ictv.global/taxonomy/taxondetails?taxnode_id=202508641&amp;ictv_id=ICTV201908641","ICTV201908641")</f>
        <v>ICTV201908641</v>
      </c>
      <c r="R9033" t="s">
        <v>579</v>
      </c>
      <c r="S9033" t="s">
        <v>22763</v>
      </c>
      <c r="T9033">
        <v>41</v>
      </c>
      <c r="U9033" s="26" t="str">
        <f t="shared" si="322"/>
        <v>2025.002G.Monodnaviria_reorg_4nr.zip</v>
      </c>
    </row>
    <row r="9034" spans="1:21">
      <c r="A9034">
        <v>9033</v>
      </c>
      <c r="B9034" s="27" t="s">
        <v>20843</v>
      </c>
      <c r="D9034" s="27" t="s">
        <v>1855</v>
      </c>
      <c r="F9034" s="27" t="s">
        <v>1856</v>
      </c>
      <c r="H9034" s="27" t="s">
        <v>1857</v>
      </c>
      <c r="J9034" s="27" t="s">
        <v>1858</v>
      </c>
      <c r="L9034" s="27" t="s">
        <v>697</v>
      </c>
      <c r="N9034" s="27" t="s">
        <v>699</v>
      </c>
      <c r="P9034" s="27" t="s">
        <v>13436</v>
      </c>
      <c r="Q9034" s="26" t="str">
        <f>HYPERLINK("https://ictv.global/taxonomy/taxondetails?taxnode_id=202508636&amp;ictv_id=ICTV201908636","ICTV201908636")</f>
        <v>ICTV201908636</v>
      </c>
      <c r="R9034" t="s">
        <v>579</v>
      </c>
      <c r="S9034" t="s">
        <v>22763</v>
      </c>
      <c r="T9034">
        <v>41</v>
      </c>
      <c r="U9034" s="26" t="str">
        <f t="shared" si="322"/>
        <v>2025.002G.Monodnaviria_reorg_4nr.zip</v>
      </c>
    </row>
    <row r="9035" spans="1:21">
      <c r="A9035">
        <v>9034</v>
      </c>
      <c r="B9035" s="27" t="s">
        <v>20843</v>
      </c>
      <c r="D9035" s="27" t="s">
        <v>1855</v>
      </c>
      <c r="F9035" s="27" t="s">
        <v>1856</v>
      </c>
      <c r="H9035" s="27" t="s">
        <v>1857</v>
      </c>
      <c r="J9035" s="27" t="s">
        <v>1858</v>
      </c>
      <c r="L9035" s="27" t="s">
        <v>697</v>
      </c>
      <c r="N9035" s="27" t="s">
        <v>699</v>
      </c>
      <c r="P9035" s="27" t="s">
        <v>13437</v>
      </c>
      <c r="Q9035" s="26" t="str">
        <f>HYPERLINK("https://ictv.global/taxonomy/taxondetails?taxnode_id=202504349&amp;ictv_id=ICTV20154628","ICTV20154628")</f>
        <v>ICTV20154628</v>
      </c>
      <c r="R9035" t="s">
        <v>579</v>
      </c>
      <c r="S9035" t="s">
        <v>22763</v>
      </c>
      <c r="T9035">
        <v>41</v>
      </c>
      <c r="U9035" s="26" t="str">
        <f t="shared" si="322"/>
        <v>2025.002G.Monodnaviria_reorg_4nr.zip</v>
      </c>
    </row>
    <row r="9036" spans="1:21">
      <c r="A9036">
        <v>9035</v>
      </c>
      <c r="B9036" s="27" t="s">
        <v>20843</v>
      </c>
      <c r="D9036" s="27" t="s">
        <v>1855</v>
      </c>
      <c r="F9036" s="27" t="s">
        <v>1856</v>
      </c>
      <c r="H9036" s="27" t="s">
        <v>1857</v>
      </c>
      <c r="J9036" s="27" t="s">
        <v>1858</v>
      </c>
      <c r="L9036" s="27" t="s">
        <v>697</v>
      </c>
      <c r="N9036" s="27" t="s">
        <v>699</v>
      </c>
      <c r="P9036" s="27" t="s">
        <v>13438</v>
      </c>
      <c r="Q9036" s="26" t="str">
        <f>HYPERLINK("https://ictv.global/taxonomy/taxondetails?taxnode_id=202508639&amp;ictv_id=ICTV201908639","ICTV201908639")</f>
        <v>ICTV201908639</v>
      </c>
      <c r="R9036" t="s">
        <v>579</v>
      </c>
      <c r="S9036" t="s">
        <v>22763</v>
      </c>
      <c r="T9036">
        <v>41</v>
      </c>
      <c r="U9036" s="26" t="str">
        <f t="shared" si="322"/>
        <v>2025.002G.Monodnaviria_reorg_4nr.zip</v>
      </c>
    </row>
    <row r="9037" spans="1:21">
      <c r="A9037">
        <v>9036</v>
      </c>
      <c r="B9037" s="27" t="s">
        <v>20843</v>
      </c>
      <c r="D9037" s="27" t="s">
        <v>1855</v>
      </c>
      <c r="F9037" s="27" t="s">
        <v>1856</v>
      </c>
      <c r="H9037" s="27" t="s">
        <v>1857</v>
      </c>
      <c r="J9037" s="27" t="s">
        <v>1858</v>
      </c>
      <c r="L9037" s="27" t="s">
        <v>697</v>
      </c>
      <c r="N9037" s="27" t="s">
        <v>699</v>
      </c>
      <c r="P9037" s="27" t="s">
        <v>13439</v>
      </c>
      <c r="Q9037" s="26" t="str">
        <f>HYPERLINK("https://ictv.global/taxonomy/taxondetails?taxnode_id=202508640&amp;ictv_id=ICTV201908640","ICTV201908640")</f>
        <v>ICTV201908640</v>
      </c>
      <c r="R9037" t="s">
        <v>579</v>
      </c>
      <c r="S9037" t="s">
        <v>22763</v>
      </c>
      <c r="T9037">
        <v>41</v>
      </c>
      <c r="U9037" s="26" t="str">
        <f t="shared" si="322"/>
        <v>2025.002G.Monodnaviria_reorg_4nr.zip</v>
      </c>
    </row>
    <row r="9038" spans="1:21">
      <c r="A9038">
        <v>9037</v>
      </c>
      <c r="B9038" s="27" t="s">
        <v>20843</v>
      </c>
      <c r="D9038" s="27" t="s">
        <v>1855</v>
      </c>
      <c r="F9038" s="27" t="s">
        <v>1856</v>
      </c>
      <c r="H9038" s="27" t="s">
        <v>1857</v>
      </c>
      <c r="J9038" s="27" t="s">
        <v>1858</v>
      </c>
      <c r="L9038" s="27" t="s">
        <v>697</v>
      </c>
      <c r="N9038" s="27" t="s">
        <v>699</v>
      </c>
      <c r="P9038" s="27" t="s">
        <v>13440</v>
      </c>
      <c r="Q9038" s="26" t="str">
        <f>HYPERLINK("https://ictv.global/taxonomy/taxondetails?taxnode_id=202508638&amp;ictv_id=ICTV201908638","ICTV201908638")</f>
        <v>ICTV201908638</v>
      </c>
      <c r="R9038" t="s">
        <v>579</v>
      </c>
      <c r="S9038" t="s">
        <v>22763</v>
      </c>
      <c r="T9038">
        <v>41</v>
      </c>
      <c r="U9038" s="26" t="str">
        <f t="shared" si="322"/>
        <v>2025.002G.Monodnaviria_reorg_4nr.zip</v>
      </c>
    </row>
    <row r="9039" spans="1:21">
      <c r="A9039">
        <v>9038</v>
      </c>
      <c r="B9039" s="27" t="s">
        <v>20843</v>
      </c>
      <c r="D9039" s="27" t="s">
        <v>1855</v>
      </c>
      <c r="F9039" s="27" t="s">
        <v>1856</v>
      </c>
      <c r="H9039" s="27" t="s">
        <v>1857</v>
      </c>
      <c r="J9039" s="27" t="s">
        <v>1858</v>
      </c>
      <c r="L9039" s="27" t="s">
        <v>697</v>
      </c>
      <c r="N9039" s="27" t="s">
        <v>699</v>
      </c>
      <c r="P9039" s="27" t="s">
        <v>13441</v>
      </c>
      <c r="Q9039" s="26" t="str">
        <f>HYPERLINK("https://ictv.global/taxonomy/taxondetails?taxnode_id=202508635&amp;ictv_id=ICTV201908635","ICTV201908635")</f>
        <v>ICTV201908635</v>
      </c>
      <c r="R9039" t="s">
        <v>579</v>
      </c>
      <c r="S9039" t="s">
        <v>22763</v>
      </c>
      <c r="T9039">
        <v>41</v>
      </c>
      <c r="U9039" s="26" t="str">
        <f t="shared" si="322"/>
        <v>2025.002G.Monodnaviria_reorg_4nr.zip</v>
      </c>
    </row>
    <row r="9040" spans="1:21">
      <c r="A9040">
        <v>9039</v>
      </c>
      <c r="B9040" s="27" t="s">
        <v>20843</v>
      </c>
      <c r="D9040" s="27" t="s">
        <v>1855</v>
      </c>
      <c r="F9040" s="27" t="s">
        <v>1856</v>
      </c>
      <c r="H9040" s="27" t="s">
        <v>1857</v>
      </c>
      <c r="J9040" s="27" t="s">
        <v>1858</v>
      </c>
      <c r="L9040" s="27" t="s">
        <v>697</v>
      </c>
      <c r="N9040" s="27" t="s">
        <v>700</v>
      </c>
      <c r="P9040" s="27" t="s">
        <v>13442</v>
      </c>
      <c r="Q9040" s="26" t="str">
        <f>HYPERLINK("https://ictv.global/taxonomy/taxondetails?taxnode_id=202504351&amp;ictv_id=ICTV20154631","ICTV20154631")</f>
        <v>ICTV20154631</v>
      </c>
      <c r="R9040" t="s">
        <v>579</v>
      </c>
      <c r="S9040" t="s">
        <v>22763</v>
      </c>
      <c r="T9040">
        <v>41</v>
      </c>
      <c r="U9040" s="26" t="str">
        <f t="shared" si="322"/>
        <v>2025.002G.Monodnaviria_reorg_4nr.zip</v>
      </c>
    </row>
    <row r="9041" spans="1:21">
      <c r="A9041">
        <v>9040</v>
      </c>
      <c r="B9041" s="27" t="s">
        <v>20843</v>
      </c>
      <c r="D9041" s="27" t="s">
        <v>1855</v>
      </c>
      <c r="F9041" s="27" t="s">
        <v>1856</v>
      </c>
      <c r="H9041" s="27" t="s">
        <v>1857</v>
      </c>
      <c r="J9041" s="27" t="s">
        <v>1858</v>
      </c>
      <c r="L9041" s="27" t="s">
        <v>697</v>
      </c>
      <c r="N9041" s="27" t="s">
        <v>700</v>
      </c>
      <c r="P9041" s="27" t="s">
        <v>13443</v>
      </c>
      <c r="Q9041" s="26" t="str">
        <f>HYPERLINK("https://ictv.global/taxonomy/taxondetails?taxnode_id=202512215&amp;ictv_id=ICTV202112215","ICTV202112215")</f>
        <v>ICTV202112215</v>
      </c>
      <c r="R9041" t="s">
        <v>579</v>
      </c>
      <c r="S9041" t="s">
        <v>22763</v>
      </c>
      <c r="T9041">
        <v>41</v>
      </c>
      <c r="U9041" s="26" t="str">
        <f t="shared" si="322"/>
        <v>2025.002G.Monodnaviria_reorg_4nr.zip</v>
      </c>
    </row>
    <row r="9042" spans="1:21">
      <c r="A9042">
        <v>9041</v>
      </c>
      <c r="B9042" s="27" t="s">
        <v>1124</v>
      </c>
      <c r="D9042" s="27" t="s">
        <v>1859</v>
      </c>
      <c r="F9042" s="27" t="s">
        <v>13444</v>
      </c>
      <c r="H9042" s="27" t="s">
        <v>13445</v>
      </c>
      <c r="J9042" s="27" t="s">
        <v>13446</v>
      </c>
      <c r="L9042" s="27" t="s">
        <v>13447</v>
      </c>
      <c r="N9042" s="27" t="s">
        <v>13448</v>
      </c>
      <c r="P9042" s="27" t="s">
        <v>13449</v>
      </c>
      <c r="Q9042" s="26" t="str">
        <f>HYPERLINK("https://ictv.global/taxonomy/taxondetails?taxnode_id=202517860&amp;ictv_id=ICTV202317860","ICTV202317860")</f>
        <v>ICTV202317860</v>
      </c>
      <c r="R9042" t="s">
        <v>657</v>
      </c>
      <c r="S9042" t="s">
        <v>823</v>
      </c>
      <c r="T9042">
        <v>39</v>
      </c>
      <c r="U9042" s="26" t="str">
        <f t="shared" ref="U9042:U9061" si="323">HYPERLINK("https://ictv.global/ictv/proposals/2023.007F.Ambiviricota_nphy.zip","2023.007F.Ambiviricota_nphy.zip")</f>
        <v>2023.007F.Ambiviricota_nphy.zip</v>
      </c>
    </row>
    <row r="9043" spans="1:21">
      <c r="A9043">
        <v>9042</v>
      </c>
      <c r="B9043" s="27" t="s">
        <v>1124</v>
      </c>
      <c r="D9043" s="27" t="s">
        <v>1859</v>
      </c>
      <c r="F9043" s="27" t="s">
        <v>13444</v>
      </c>
      <c r="H9043" s="27" t="s">
        <v>13445</v>
      </c>
      <c r="J9043" s="27" t="s">
        <v>13446</v>
      </c>
      <c r="L9043" s="27" t="s">
        <v>13447</v>
      </c>
      <c r="N9043" s="27" t="s">
        <v>13448</v>
      </c>
      <c r="P9043" s="27" t="s">
        <v>13450</v>
      </c>
      <c r="Q9043" s="26" t="str">
        <f>HYPERLINK("https://ictv.global/taxonomy/taxondetails?taxnode_id=202517858&amp;ictv_id=ICTV202317858","ICTV202317858")</f>
        <v>ICTV202317858</v>
      </c>
      <c r="R9043" t="s">
        <v>657</v>
      </c>
      <c r="S9043" t="s">
        <v>823</v>
      </c>
      <c r="T9043">
        <v>39</v>
      </c>
      <c r="U9043" s="26" t="str">
        <f t="shared" si="323"/>
        <v>2023.007F.Ambiviricota_nphy.zip</v>
      </c>
    </row>
    <row r="9044" spans="1:21">
      <c r="A9044">
        <v>9043</v>
      </c>
      <c r="B9044" s="27" t="s">
        <v>1124</v>
      </c>
      <c r="D9044" s="27" t="s">
        <v>1859</v>
      </c>
      <c r="F9044" s="27" t="s">
        <v>13444</v>
      </c>
      <c r="H9044" s="27" t="s">
        <v>13445</v>
      </c>
      <c r="J9044" s="27" t="s">
        <v>13446</v>
      </c>
      <c r="L9044" s="27" t="s">
        <v>13447</v>
      </c>
      <c r="N9044" s="27" t="s">
        <v>13448</v>
      </c>
      <c r="P9044" s="27" t="s">
        <v>13451</v>
      </c>
      <c r="Q9044" s="26" t="str">
        <f>HYPERLINK("https://ictv.global/taxonomy/taxondetails?taxnode_id=202517857&amp;ictv_id=ICTV202317857","ICTV202317857")</f>
        <v>ICTV202317857</v>
      </c>
      <c r="R9044" t="s">
        <v>657</v>
      </c>
      <c r="S9044" t="s">
        <v>823</v>
      </c>
      <c r="T9044">
        <v>39</v>
      </c>
      <c r="U9044" s="26" t="str">
        <f t="shared" si="323"/>
        <v>2023.007F.Ambiviricota_nphy.zip</v>
      </c>
    </row>
    <row r="9045" spans="1:21">
      <c r="A9045">
        <v>9044</v>
      </c>
      <c r="B9045" s="27" t="s">
        <v>1124</v>
      </c>
      <c r="D9045" s="27" t="s">
        <v>1859</v>
      </c>
      <c r="F9045" s="27" t="s">
        <v>13444</v>
      </c>
      <c r="H9045" s="27" t="s">
        <v>13445</v>
      </c>
      <c r="J9045" s="27" t="s">
        <v>13446</v>
      </c>
      <c r="L9045" s="27" t="s">
        <v>13447</v>
      </c>
      <c r="N9045" s="27" t="s">
        <v>13448</v>
      </c>
      <c r="P9045" s="27" t="s">
        <v>13452</v>
      </c>
      <c r="Q9045" s="26" t="str">
        <f>HYPERLINK("https://ictv.global/taxonomy/taxondetails?taxnode_id=202517859&amp;ictv_id=ICTV202317859","ICTV202317859")</f>
        <v>ICTV202317859</v>
      </c>
      <c r="R9045" t="s">
        <v>657</v>
      </c>
      <c r="S9045" t="s">
        <v>823</v>
      </c>
      <c r="T9045">
        <v>39</v>
      </c>
      <c r="U9045" s="26" t="str">
        <f t="shared" si="323"/>
        <v>2023.007F.Ambiviricota_nphy.zip</v>
      </c>
    </row>
    <row r="9046" spans="1:21">
      <c r="A9046">
        <v>9045</v>
      </c>
      <c r="B9046" s="27" t="s">
        <v>1124</v>
      </c>
      <c r="D9046" s="27" t="s">
        <v>1859</v>
      </c>
      <c r="F9046" s="27" t="s">
        <v>13444</v>
      </c>
      <c r="H9046" s="27" t="s">
        <v>13445</v>
      </c>
      <c r="J9046" s="27" t="s">
        <v>13446</v>
      </c>
      <c r="L9046" s="27" t="s">
        <v>13447</v>
      </c>
      <c r="N9046" s="27" t="s">
        <v>13448</v>
      </c>
      <c r="P9046" s="27" t="s">
        <v>13453</v>
      </c>
      <c r="Q9046" s="26" t="str">
        <f>HYPERLINK("https://ictv.global/taxonomy/taxondetails?taxnode_id=202517855&amp;ictv_id=ICTV202317855","ICTV202317855")</f>
        <v>ICTV202317855</v>
      </c>
      <c r="R9046" t="s">
        <v>657</v>
      </c>
      <c r="S9046" t="s">
        <v>823</v>
      </c>
      <c r="T9046">
        <v>39</v>
      </c>
      <c r="U9046" s="26" t="str">
        <f t="shared" si="323"/>
        <v>2023.007F.Ambiviricota_nphy.zip</v>
      </c>
    </row>
    <row r="9047" spans="1:21">
      <c r="A9047">
        <v>9046</v>
      </c>
      <c r="B9047" s="27" t="s">
        <v>1124</v>
      </c>
      <c r="D9047" s="27" t="s">
        <v>1859</v>
      </c>
      <c r="F9047" s="27" t="s">
        <v>13444</v>
      </c>
      <c r="H9047" s="27" t="s">
        <v>13445</v>
      </c>
      <c r="J9047" s="27" t="s">
        <v>13446</v>
      </c>
      <c r="L9047" s="27" t="s">
        <v>13447</v>
      </c>
      <c r="N9047" s="27" t="s">
        <v>13448</v>
      </c>
      <c r="P9047" s="27" t="s">
        <v>13454</v>
      </c>
      <c r="Q9047" s="26" t="str">
        <f>HYPERLINK("https://ictv.global/taxonomy/taxondetails?taxnode_id=202517854&amp;ictv_id=ICTV202317854","ICTV202317854")</f>
        <v>ICTV202317854</v>
      </c>
      <c r="R9047" t="s">
        <v>657</v>
      </c>
      <c r="S9047" t="s">
        <v>823</v>
      </c>
      <c r="T9047">
        <v>39</v>
      </c>
      <c r="U9047" s="26" t="str">
        <f t="shared" si="323"/>
        <v>2023.007F.Ambiviricota_nphy.zip</v>
      </c>
    </row>
    <row r="9048" spans="1:21">
      <c r="A9048">
        <v>9047</v>
      </c>
      <c r="B9048" s="27" t="s">
        <v>1124</v>
      </c>
      <c r="D9048" s="27" t="s">
        <v>1859</v>
      </c>
      <c r="F9048" s="27" t="s">
        <v>13444</v>
      </c>
      <c r="H9048" s="27" t="s">
        <v>13445</v>
      </c>
      <c r="J9048" s="27" t="s">
        <v>13446</v>
      </c>
      <c r="L9048" s="27" t="s">
        <v>13447</v>
      </c>
      <c r="N9048" s="27" t="s">
        <v>13448</v>
      </c>
      <c r="P9048" s="27" t="s">
        <v>13455</v>
      </c>
      <c r="Q9048" s="26" t="str">
        <f>HYPERLINK("https://ictv.global/taxonomy/taxondetails?taxnode_id=202517856&amp;ictv_id=ICTV202317856","ICTV202317856")</f>
        <v>ICTV202317856</v>
      </c>
      <c r="R9048" t="s">
        <v>657</v>
      </c>
      <c r="S9048" t="s">
        <v>823</v>
      </c>
      <c r="T9048">
        <v>39</v>
      </c>
      <c r="U9048" s="26" t="str">
        <f t="shared" si="323"/>
        <v>2023.007F.Ambiviricota_nphy.zip</v>
      </c>
    </row>
    <row r="9049" spans="1:21">
      <c r="A9049">
        <v>9048</v>
      </c>
      <c r="B9049" s="27" t="s">
        <v>1124</v>
      </c>
      <c r="D9049" s="27" t="s">
        <v>1859</v>
      </c>
      <c r="F9049" s="27" t="s">
        <v>13444</v>
      </c>
      <c r="H9049" s="27" t="s">
        <v>13445</v>
      </c>
      <c r="J9049" s="27" t="s">
        <v>13446</v>
      </c>
      <c r="L9049" s="27" t="s">
        <v>13456</v>
      </c>
      <c r="N9049" s="27" t="s">
        <v>13457</v>
      </c>
      <c r="P9049" s="27" t="s">
        <v>13458</v>
      </c>
      <c r="Q9049" s="26" t="str">
        <f>HYPERLINK("https://ictv.global/taxonomy/taxondetails?taxnode_id=202517869&amp;ictv_id=ICTV202317869","ICTV202317869")</f>
        <v>ICTV202317869</v>
      </c>
      <c r="R9049" t="s">
        <v>657</v>
      </c>
      <c r="S9049" t="s">
        <v>823</v>
      </c>
      <c r="T9049">
        <v>39</v>
      </c>
      <c r="U9049" s="26" t="str">
        <f t="shared" si="323"/>
        <v>2023.007F.Ambiviricota_nphy.zip</v>
      </c>
    </row>
    <row r="9050" spans="1:21">
      <c r="A9050">
        <v>9049</v>
      </c>
      <c r="B9050" s="27" t="s">
        <v>1124</v>
      </c>
      <c r="D9050" s="27" t="s">
        <v>1859</v>
      </c>
      <c r="F9050" s="27" t="s">
        <v>13444</v>
      </c>
      <c r="H9050" s="27" t="s">
        <v>13445</v>
      </c>
      <c r="J9050" s="27" t="s">
        <v>13446</v>
      </c>
      <c r="L9050" s="27" t="s">
        <v>13456</v>
      </c>
      <c r="N9050" s="27" t="s">
        <v>13457</v>
      </c>
      <c r="P9050" s="27" t="s">
        <v>13459</v>
      </c>
      <c r="Q9050" s="26" t="str">
        <f>HYPERLINK("https://ictv.global/taxonomy/taxondetails?taxnode_id=202517867&amp;ictv_id=ICTV202317867","ICTV202317867")</f>
        <v>ICTV202317867</v>
      </c>
      <c r="R9050" t="s">
        <v>657</v>
      </c>
      <c r="S9050" t="s">
        <v>823</v>
      </c>
      <c r="T9050">
        <v>39</v>
      </c>
      <c r="U9050" s="26" t="str">
        <f t="shared" si="323"/>
        <v>2023.007F.Ambiviricota_nphy.zip</v>
      </c>
    </row>
    <row r="9051" spans="1:21">
      <c r="A9051">
        <v>9050</v>
      </c>
      <c r="B9051" s="27" t="s">
        <v>1124</v>
      </c>
      <c r="D9051" s="27" t="s">
        <v>1859</v>
      </c>
      <c r="F9051" s="27" t="s">
        <v>13444</v>
      </c>
      <c r="H9051" s="27" t="s">
        <v>13445</v>
      </c>
      <c r="J9051" s="27" t="s">
        <v>13446</v>
      </c>
      <c r="L9051" s="27" t="s">
        <v>13456</v>
      </c>
      <c r="N9051" s="27" t="s">
        <v>13457</v>
      </c>
      <c r="P9051" s="27" t="s">
        <v>13460</v>
      </c>
      <c r="Q9051" s="26" t="str">
        <f>HYPERLINK("https://ictv.global/taxonomy/taxondetails?taxnode_id=202517868&amp;ictv_id=ICTV202317868","ICTV202317868")</f>
        <v>ICTV202317868</v>
      </c>
      <c r="R9051" t="s">
        <v>657</v>
      </c>
      <c r="S9051" t="s">
        <v>823</v>
      </c>
      <c r="T9051">
        <v>39</v>
      </c>
      <c r="U9051" s="26" t="str">
        <f t="shared" si="323"/>
        <v>2023.007F.Ambiviricota_nphy.zip</v>
      </c>
    </row>
    <row r="9052" spans="1:21">
      <c r="A9052">
        <v>9051</v>
      </c>
      <c r="B9052" s="27" t="s">
        <v>1124</v>
      </c>
      <c r="D9052" s="27" t="s">
        <v>1859</v>
      </c>
      <c r="F9052" s="27" t="s">
        <v>13444</v>
      </c>
      <c r="H9052" s="27" t="s">
        <v>13445</v>
      </c>
      <c r="J9052" s="27" t="s">
        <v>13446</v>
      </c>
      <c r="L9052" s="27" t="s">
        <v>13456</v>
      </c>
      <c r="N9052" s="27" t="s">
        <v>13457</v>
      </c>
      <c r="P9052" s="27" t="s">
        <v>13461</v>
      </c>
      <c r="Q9052" s="26" t="str">
        <f>HYPERLINK("https://ictv.global/taxonomy/taxondetails?taxnode_id=202517866&amp;ictv_id=ICTV202317866","ICTV202317866")</f>
        <v>ICTV202317866</v>
      </c>
      <c r="R9052" t="s">
        <v>657</v>
      </c>
      <c r="S9052" t="s">
        <v>823</v>
      </c>
      <c r="T9052">
        <v>39</v>
      </c>
      <c r="U9052" s="26" t="str">
        <f t="shared" si="323"/>
        <v>2023.007F.Ambiviricota_nphy.zip</v>
      </c>
    </row>
    <row r="9053" spans="1:21">
      <c r="A9053">
        <v>9052</v>
      </c>
      <c r="B9053" s="27" t="s">
        <v>1124</v>
      </c>
      <c r="D9053" s="27" t="s">
        <v>1859</v>
      </c>
      <c r="F9053" s="27" t="s">
        <v>13444</v>
      </c>
      <c r="H9053" s="27" t="s">
        <v>13445</v>
      </c>
      <c r="J9053" s="27" t="s">
        <v>13446</v>
      </c>
      <c r="L9053" s="27" t="s">
        <v>13462</v>
      </c>
      <c r="N9053" s="27" t="s">
        <v>13463</v>
      </c>
      <c r="P9053" s="27" t="s">
        <v>13464</v>
      </c>
      <c r="Q9053" s="26" t="str">
        <f>HYPERLINK("https://ictv.global/taxonomy/taxondetails?taxnode_id=202517864&amp;ictv_id=ICTV202317864","ICTV202317864")</f>
        <v>ICTV202317864</v>
      </c>
      <c r="R9053" t="s">
        <v>657</v>
      </c>
      <c r="S9053" t="s">
        <v>823</v>
      </c>
      <c r="T9053">
        <v>39</v>
      </c>
      <c r="U9053" s="26" t="str">
        <f t="shared" si="323"/>
        <v>2023.007F.Ambiviricota_nphy.zip</v>
      </c>
    </row>
    <row r="9054" spans="1:21">
      <c r="A9054">
        <v>9053</v>
      </c>
      <c r="B9054" s="27" t="s">
        <v>1124</v>
      </c>
      <c r="D9054" s="27" t="s">
        <v>1859</v>
      </c>
      <c r="F9054" s="27" t="s">
        <v>13444</v>
      </c>
      <c r="H9054" s="27" t="s">
        <v>13445</v>
      </c>
      <c r="J9054" s="27" t="s">
        <v>13446</v>
      </c>
      <c r="L9054" s="27" t="s">
        <v>13462</v>
      </c>
      <c r="N9054" s="27" t="s">
        <v>13463</v>
      </c>
      <c r="P9054" s="27" t="s">
        <v>13465</v>
      </c>
      <c r="Q9054" s="26" t="str">
        <f>HYPERLINK("https://ictv.global/taxonomy/taxondetails?taxnode_id=202517863&amp;ictv_id=ICTV202317863","ICTV202317863")</f>
        <v>ICTV202317863</v>
      </c>
      <c r="R9054" t="s">
        <v>657</v>
      </c>
      <c r="S9054" t="s">
        <v>823</v>
      </c>
      <c r="T9054">
        <v>39</v>
      </c>
      <c r="U9054" s="26" t="str">
        <f t="shared" si="323"/>
        <v>2023.007F.Ambiviricota_nphy.zip</v>
      </c>
    </row>
    <row r="9055" spans="1:21">
      <c r="A9055">
        <v>9054</v>
      </c>
      <c r="B9055" s="27" t="s">
        <v>1124</v>
      </c>
      <c r="D9055" s="27" t="s">
        <v>1859</v>
      </c>
      <c r="F9055" s="27" t="s">
        <v>13444</v>
      </c>
      <c r="H9055" s="27" t="s">
        <v>13445</v>
      </c>
      <c r="J9055" s="27" t="s">
        <v>13446</v>
      </c>
      <c r="L9055" s="27" t="s">
        <v>13462</v>
      </c>
      <c r="N9055" s="27" t="s">
        <v>13463</v>
      </c>
      <c r="P9055" s="27" t="s">
        <v>13466</v>
      </c>
      <c r="Q9055" s="26" t="str">
        <f>HYPERLINK("https://ictv.global/taxonomy/taxondetails?taxnode_id=202517865&amp;ictv_id=ICTV202317865","ICTV202317865")</f>
        <v>ICTV202317865</v>
      </c>
      <c r="R9055" t="s">
        <v>657</v>
      </c>
      <c r="S9055" t="s">
        <v>823</v>
      </c>
      <c r="T9055">
        <v>39</v>
      </c>
      <c r="U9055" s="26" t="str">
        <f t="shared" si="323"/>
        <v>2023.007F.Ambiviricota_nphy.zip</v>
      </c>
    </row>
    <row r="9056" spans="1:21">
      <c r="A9056">
        <v>9055</v>
      </c>
      <c r="B9056" s="27" t="s">
        <v>1124</v>
      </c>
      <c r="D9056" s="27" t="s">
        <v>1859</v>
      </c>
      <c r="F9056" s="27" t="s">
        <v>13444</v>
      </c>
      <c r="H9056" s="27" t="s">
        <v>13445</v>
      </c>
      <c r="J9056" s="27" t="s">
        <v>13446</v>
      </c>
      <c r="L9056" s="27" t="s">
        <v>13462</v>
      </c>
      <c r="N9056" s="27" t="s">
        <v>13463</v>
      </c>
      <c r="P9056" s="27" t="s">
        <v>13467</v>
      </c>
      <c r="Q9056" s="26" t="str">
        <f>HYPERLINK("https://ictv.global/taxonomy/taxondetails?taxnode_id=202517861&amp;ictv_id=ICTV202317861","ICTV202317861")</f>
        <v>ICTV202317861</v>
      </c>
      <c r="R9056" t="s">
        <v>657</v>
      </c>
      <c r="S9056" t="s">
        <v>823</v>
      </c>
      <c r="T9056">
        <v>39</v>
      </c>
      <c r="U9056" s="26" t="str">
        <f t="shared" si="323"/>
        <v>2023.007F.Ambiviricota_nphy.zip</v>
      </c>
    </row>
    <row r="9057" spans="1:21">
      <c r="A9057">
        <v>9056</v>
      </c>
      <c r="B9057" s="27" t="s">
        <v>1124</v>
      </c>
      <c r="D9057" s="27" t="s">
        <v>1859</v>
      </c>
      <c r="F9057" s="27" t="s">
        <v>13444</v>
      </c>
      <c r="H9057" s="27" t="s">
        <v>13445</v>
      </c>
      <c r="J9057" s="27" t="s">
        <v>13446</v>
      </c>
      <c r="L9057" s="27" t="s">
        <v>13462</v>
      </c>
      <c r="N9057" s="27" t="s">
        <v>13463</v>
      </c>
      <c r="P9057" s="27" t="s">
        <v>13468</v>
      </c>
      <c r="Q9057" s="26" t="str">
        <f>HYPERLINK("https://ictv.global/taxonomy/taxondetails?taxnode_id=202517862&amp;ictv_id=ICTV202317862","ICTV202317862")</f>
        <v>ICTV202317862</v>
      </c>
      <c r="R9057" t="s">
        <v>657</v>
      </c>
      <c r="S9057" t="s">
        <v>823</v>
      </c>
      <c r="T9057">
        <v>39</v>
      </c>
      <c r="U9057" s="26" t="str">
        <f t="shared" si="323"/>
        <v>2023.007F.Ambiviricota_nphy.zip</v>
      </c>
    </row>
    <row r="9058" spans="1:21">
      <c r="A9058">
        <v>9057</v>
      </c>
      <c r="B9058" s="27" t="s">
        <v>1124</v>
      </c>
      <c r="D9058" s="27" t="s">
        <v>1859</v>
      </c>
      <c r="F9058" s="27" t="s">
        <v>13444</v>
      </c>
      <c r="H9058" s="27" t="s">
        <v>13445</v>
      </c>
      <c r="J9058" s="27" t="s">
        <v>13446</v>
      </c>
      <c r="L9058" s="27" t="s">
        <v>13469</v>
      </c>
      <c r="N9058" s="27" t="s">
        <v>13470</v>
      </c>
      <c r="P9058" s="27" t="s">
        <v>13471</v>
      </c>
      <c r="Q9058" s="26" t="str">
        <f>HYPERLINK("https://ictv.global/taxonomy/taxondetails?taxnode_id=202517850&amp;ictv_id=ICTV202317850","ICTV202317850")</f>
        <v>ICTV202317850</v>
      </c>
      <c r="R9058" t="s">
        <v>657</v>
      </c>
      <c r="S9058" t="s">
        <v>823</v>
      </c>
      <c r="T9058">
        <v>39</v>
      </c>
      <c r="U9058" s="26" t="str">
        <f t="shared" si="323"/>
        <v>2023.007F.Ambiviricota_nphy.zip</v>
      </c>
    </row>
    <row r="9059" spans="1:21">
      <c r="A9059">
        <v>9058</v>
      </c>
      <c r="B9059" s="27" t="s">
        <v>1124</v>
      </c>
      <c r="D9059" s="27" t="s">
        <v>1859</v>
      </c>
      <c r="F9059" s="27" t="s">
        <v>13444</v>
      </c>
      <c r="H9059" s="27" t="s">
        <v>13445</v>
      </c>
      <c r="J9059" s="27" t="s">
        <v>13446</v>
      </c>
      <c r="L9059" s="27" t="s">
        <v>13469</v>
      </c>
      <c r="N9059" s="27" t="s">
        <v>13470</v>
      </c>
      <c r="P9059" s="27" t="s">
        <v>13472</v>
      </c>
      <c r="Q9059" s="26" t="str">
        <f>HYPERLINK("https://ictv.global/taxonomy/taxondetails?taxnode_id=202517851&amp;ictv_id=ICTV202317851","ICTV202317851")</f>
        <v>ICTV202317851</v>
      </c>
      <c r="R9059" t="s">
        <v>657</v>
      </c>
      <c r="S9059" t="s">
        <v>823</v>
      </c>
      <c r="T9059">
        <v>39</v>
      </c>
      <c r="U9059" s="26" t="str">
        <f t="shared" si="323"/>
        <v>2023.007F.Ambiviricota_nphy.zip</v>
      </c>
    </row>
    <row r="9060" spans="1:21">
      <c r="A9060">
        <v>9059</v>
      </c>
      <c r="B9060" s="27" t="s">
        <v>1124</v>
      </c>
      <c r="D9060" s="27" t="s">
        <v>1859</v>
      </c>
      <c r="F9060" s="27" t="s">
        <v>13444</v>
      </c>
      <c r="H9060" s="27" t="s">
        <v>13445</v>
      </c>
      <c r="J9060" s="27" t="s">
        <v>13446</v>
      </c>
      <c r="L9060" s="27" t="s">
        <v>13469</v>
      </c>
      <c r="N9060" s="27" t="s">
        <v>13470</v>
      </c>
      <c r="P9060" s="27" t="s">
        <v>13473</v>
      </c>
      <c r="Q9060" s="26" t="str">
        <f>HYPERLINK("https://ictv.global/taxonomy/taxondetails?taxnode_id=202517852&amp;ictv_id=ICTV202317852","ICTV202317852")</f>
        <v>ICTV202317852</v>
      </c>
      <c r="R9060" t="s">
        <v>657</v>
      </c>
      <c r="S9060" t="s">
        <v>823</v>
      </c>
      <c r="T9060">
        <v>39</v>
      </c>
      <c r="U9060" s="26" t="str">
        <f t="shared" si="323"/>
        <v>2023.007F.Ambiviricota_nphy.zip</v>
      </c>
    </row>
    <row r="9061" spans="1:21">
      <c r="A9061">
        <v>9060</v>
      </c>
      <c r="B9061" s="27" t="s">
        <v>1124</v>
      </c>
      <c r="D9061" s="27" t="s">
        <v>1859</v>
      </c>
      <c r="F9061" s="27" t="s">
        <v>13444</v>
      </c>
      <c r="H9061" s="27" t="s">
        <v>13445</v>
      </c>
      <c r="J9061" s="27" t="s">
        <v>13446</v>
      </c>
      <c r="L9061" s="27" t="s">
        <v>13469</v>
      </c>
      <c r="N9061" s="27" t="s">
        <v>13470</v>
      </c>
      <c r="P9061" s="27" t="s">
        <v>13474</v>
      </c>
      <c r="Q9061" s="26" t="str">
        <f>HYPERLINK("https://ictv.global/taxonomy/taxondetails?taxnode_id=202517853&amp;ictv_id=ICTV202317853","ICTV202317853")</f>
        <v>ICTV202317853</v>
      </c>
      <c r="R9061" t="s">
        <v>657</v>
      </c>
      <c r="S9061" t="s">
        <v>823</v>
      </c>
      <c r="T9061">
        <v>39</v>
      </c>
      <c r="U9061" s="26" t="str">
        <f t="shared" si="323"/>
        <v>2023.007F.Ambiviricota_nphy.zip</v>
      </c>
    </row>
    <row r="9062" spans="1:21">
      <c r="A9062">
        <v>9061</v>
      </c>
      <c r="B9062" s="27" t="s">
        <v>1124</v>
      </c>
      <c r="D9062" s="27" t="s">
        <v>1859</v>
      </c>
      <c r="F9062" s="27" t="s">
        <v>20103</v>
      </c>
      <c r="H9062" s="27" t="s">
        <v>20104</v>
      </c>
      <c r="J9062" s="27" t="s">
        <v>20105</v>
      </c>
      <c r="L9062" s="27" t="s">
        <v>20106</v>
      </c>
      <c r="N9062" s="27" t="s">
        <v>20107</v>
      </c>
      <c r="P9062" s="27" t="s">
        <v>20108</v>
      </c>
      <c r="Q9062" s="26" t="str">
        <f>HYPERLINK("https://ictv.global/taxonomy/taxondetails?taxnode_id=202520873&amp;ictv_id=ICTV202420873","ICTV202420873")</f>
        <v>ICTV202420873</v>
      </c>
      <c r="R9062" t="s">
        <v>1106</v>
      </c>
      <c r="S9062" t="s">
        <v>823</v>
      </c>
      <c r="T9062">
        <v>40</v>
      </c>
      <c r="U9062" s="26" t="str">
        <f>HYPERLINK("https://ictv.global/ictv/proposals/2024.039D.Artimaviricota_np.zip","2024.039D.Artimaviricota_np.zip")</f>
        <v>2024.039D.Artimaviricota_np.zip</v>
      </c>
    </row>
    <row r="9063" spans="1:21">
      <c r="A9063">
        <v>9062</v>
      </c>
      <c r="B9063" s="27" t="s">
        <v>1124</v>
      </c>
      <c r="D9063" s="27" t="s">
        <v>1859</v>
      </c>
      <c r="F9063" s="27" t="s">
        <v>1860</v>
      </c>
      <c r="H9063" s="27" t="s">
        <v>1861</v>
      </c>
      <c r="J9063" s="27" t="s">
        <v>1862</v>
      </c>
      <c r="K9063" s="27" t="s">
        <v>13475</v>
      </c>
      <c r="L9063" s="27" t="s">
        <v>13476</v>
      </c>
      <c r="N9063" s="27" t="s">
        <v>713</v>
      </c>
      <c r="P9063" s="27" t="s">
        <v>13477</v>
      </c>
      <c r="Q9063" s="26" t="str">
        <f>HYPERLINK("https://ictv.global/taxonomy/taxondetails?taxnode_id=202518098&amp;ictv_id=ICTV202318098","ICTV202318098")</f>
        <v>ICTV202318098</v>
      </c>
      <c r="R9063" t="s">
        <v>583</v>
      </c>
      <c r="S9063" t="s">
        <v>823</v>
      </c>
      <c r="T9063">
        <v>39</v>
      </c>
      <c r="U9063" s="26" t="str">
        <f t="shared" ref="U9063:U9094" si="324">HYPERLINK("https://ictv.global/ictv/proposals/2023.015F.Ghabrivirales_reorg.zip","2023.015F.Ghabrivirales_reorg.zip")</f>
        <v>2023.015F.Ghabrivirales_reorg.zip</v>
      </c>
    </row>
    <row r="9064" spans="1:21">
      <c r="A9064">
        <v>9063</v>
      </c>
      <c r="B9064" s="27" t="s">
        <v>1124</v>
      </c>
      <c r="D9064" s="27" t="s">
        <v>1859</v>
      </c>
      <c r="F9064" s="27" t="s">
        <v>1860</v>
      </c>
      <c r="H9064" s="27" t="s">
        <v>1861</v>
      </c>
      <c r="J9064" s="27" t="s">
        <v>1862</v>
      </c>
      <c r="K9064" s="27" t="s">
        <v>13475</v>
      </c>
      <c r="L9064" s="27" t="s">
        <v>13476</v>
      </c>
      <c r="N9064" s="27" t="s">
        <v>713</v>
      </c>
      <c r="P9064" s="27" t="s">
        <v>13478</v>
      </c>
      <c r="Q9064" s="26" t="str">
        <f>HYPERLINK("https://ictv.global/taxonomy/taxondetails?taxnode_id=202518099&amp;ictv_id=ICTV202318099","ICTV202318099")</f>
        <v>ICTV202318099</v>
      </c>
      <c r="R9064" t="s">
        <v>583</v>
      </c>
      <c r="S9064" t="s">
        <v>823</v>
      </c>
      <c r="T9064">
        <v>39</v>
      </c>
      <c r="U9064" s="26" t="str">
        <f t="shared" si="324"/>
        <v>2023.015F.Ghabrivirales_reorg.zip</v>
      </c>
    </row>
    <row r="9065" spans="1:21">
      <c r="A9065">
        <v>9064</v>
      </c>
      <c r="B9065" s="27" t="s">
        <v>1124</v>
      </c>
      <c r="D9065" s="27" t="s">
        <v>1859</v>
      </c>
      <c r="F9065" s="27" t="s">
        <v>1860</v>
      </c>
      <c r="H9065" s="27" t="s">
        <v>1861</v>
      </c>
      <c r="J9065" s="27" t="s">
        <v>1862</v>
      </c>
      <c r="K9065" s="27" t="s">
        <v>13475</v>
      </c>
      <c r="L9065" s="27" t="s">
        <v>13476</v>
      </c>
      <c r="N9065" s="27" t="s">
        <v>713</v>
      </c>
      <c r="P9065" s="27" t="s">
        <v>13479</v>
      </c>
      <c r="Q9065" s="26" t="str">
        <f>HYPERLINK("https://ictv.global/taxonomy/taxondetails?taxnode_id=202505343&amp;ictv_id=ICTV20154547","ICTV20154547")</f>
        <v>ICTV20154547</v>
      </c>
      <c r="R9065" t="s">
        <v>583</v>
      </c>
      <c r="S9065" t="s">
        <v>824</v>
      </c>
      <c r="T9065">
        <v>39</v>
      </c>
      <c r="U9065" s="26" t="str">
        <f t="shared" si="324"/>
        <v>2023.015F.Ghabrivirales_reorg.zip</v>
      </c>
    </row>
    <row r="9066" spans="1:21">
      <c r="A9066">
        <v>9065</v>
      </c>
      <c r="B9066" s="27" t="s">
        <v>1124</v>
      </c>
      <c r="D9066" s="27" t="s">
        <v>1859</v>
      </c>
      <c r="F9066" s="27" t="s">
        <v>1860</v>
      </c>
      <c r="H9066" s="27" t="s">
        <v>1861</v>
      </c>
      <c r="J9066" s="27" t="s">
        <v>1862</v>
      </c>
      <c r="K9066" s="27" t="s">
        <v>13475</v>
      </c>
      <c r="L9066" s="27" t="s">
        <v>13476</v>
      </c>
      <c r="N9066" s="27" t="s">
        <v>713</v>
      </c>
      <c r="P9066" s="27" t="s">
        <v>13480</v>
      </c>
      <c r="Q9066" s="26" t="str">
        <f>HYPERLINK("https://ictv.global/taxonomy/taxondetails?taxnode_id=202518100&amp;ictv_id=ICTV202318100","ICTV202318100")</f>
        <v>ICTV202318100</v>
      </c>
      <c r="R9066" t="s">
        <v>583</v>
      </c>
      <c r="S9066" t="s">
        <v>823</v>
      </c>
      <c r="T9066">
        <v>39</v>
      </c>
      <c r="U9066" s="26" t="str">
        <f t="shared" si="324"/>
        <v>2023.015F.Ghabrivirales_reorg.zip</v>
      </c>
    </row>
    <row r="9067" spans="1:21">
      <c r="A9067">
        <v>9066</v>
      </c>
      <c r="B9067" s="27" t="s">
        <v>1124</v>
      </c>
      <c r="D9067" s="27" t="s">
        <v>1859</v>
      </c>
      <c r="F9067" s="27" t="s">
        <v>1860</v>
      </c>
      <c r="H9067" s="27" t="s">
        <v>1861</v>
      </c>
      <c r="J9067" s="27" t="s">
        <v>1862</v>
      </c>
      <c r="K9067" s="27" t="s">
        <v>13475</v>
      </c>
      <c r="L9067" s="27" t="s">
        <v>13476</v>
      </c>
      <c r="N9067" s="27" t="s">
        <v>713</v>
      </c>
      <c r="P9067" s="27" t="s">
        <v>13481</v>
      </c>
      <c r="Q9067" s="26" t="str">
        <f>HYPERLINK("https://ictv.global/taxonomy/taxondetails?taxnode_id=202518101&amp;ictv_id=ICTV202318101","ICTV202318101")</f>
        <v>ICTV202318101</v>
      </c>
      <c r="R9067" t="s">
        <v>583</v>
      </c>
      <c r="S9067" t="s">
        <v>823</v>
      </c>
      <c r="T9067">
        <v>39</v>
      </c>
      <c r="U9067" s="26" t="str">
        <f t="shared" si="324"/>
        <v>2023.015F.Ghabrivirales_reorg.zip</v>
      </c>
    </row>
    <row r="9068" spans="1:21">
      <c r="A9068">
        <v>9067</v>
      </c>
      <c r="B9068" s="27" t="s">
        <v>1124</v>
      </c>
      <c r="D9068" s="27" t="s">
        <v>1859</v>
      </c>
      <c r="F9068" s="27" t="s">
        <v>1860</v>
      </c>
      <c r="H9068" s="27" t="s">
        <v>1861</v>
      </c>
      <c r="J9068" s="27" t="s">
        <v>1862</v>
      </c>
      <c r="K9068" s="27" t="s">
        <v>13475</v>
      </c>
      <c r="L9068" s="27" t="s">
        <v>13476</v>
      </c>
      <c r="N9068" s="27" t="s">
        <v>713</v>
      </c>
      <c r="P9068" s="27" t="s">
        <v>13482</v>
      </c>
      <c r="Q9068" s="26" t="str">
        <f>HYPERLINK("https://ictv.global/taxonomy/taxondetails?taxnode_id=202518102&amp;ictv_id=ICTV202318102","ICTV202318102")</f>
        <v>ICTV202318102</v>
      </c>
      <c r="R9068" t="s">
        <v>583</v>
      </c>
      <c r="S9068" t="s">
        <v>823</v>
      </c>
      <c r="T9068">
        <v>39</v>
      </c>
      <c r="U9068" s="26" t="str">
        <f t="shared" si="324"/>
        <v>2023.015F.Ghabrivirales_reorg.zip</v>
      </c>
    </row>
    <row r="9069" spans="1:21">
      <c r="A9069">
        <v>9068</v>
      </c>
      <c r="B9069" s="27" t="s">
        <v>1124</v>
      </c>
      <c r="D9069" s="27" t="s">
        <v>1859</v>
      </c>
      <c r="F9069" s="27" t="s">
        <v>1860</v>
      </c>
      <c r="H9069" s="27" t="s">
        <v>1861</v>
      </c>
      <c r="J9069" s="27" t="s">
        <v>1862</v>
      </c>
      <c r="K9069" s="27" t="s">
        <v>13475</v>
      </c>
      <c r="L9069" s="27" t="s">
        <v>13476</v>
      </c>
      <c r="N9069" s="27" t="s">
        <v>713</v>
      </c>
      <c r="P9069" s="27" t="s">
        <v>13483</v>
      </c>
      <c r="Q9069" s="26" t="str">
        <f>HYPERLINK("https://ictv.global/taxonomy/taxondetails?taxnode_id=202518103&amp;ictv_id=ICTV202318103","ICTV202318103")</f>
        <v>ICTV202318103</v>
      </c>
      <c r="R9069" t="s">
        <v>583</v>
      </c>
      <c r="S9069" t="s">
        <v>823</v>
      </c>
      <c r="T9069">
        <v>39</v>
      </c>
      <c r="U9069" s="26" t="str">
        <f t="shared" si="324"/>
        <v>2023.015F.Ghabrivirales_reorg.zip</v>
      </c>
    </row>
    <row r="9070" spans="1:21">
      <c r="A9070">
        <v>9069</v>
      </c>
      <c r="B9070" s="27" t="s">
        <v>1124</v>
      </c>
      <c r="D9070" s="27" t="s">
        <v>1859</v>
      </c>
      <c r="F9070" s="27" t="s">
        <v>1860</v>
      </c>
      <c r="H9070" s="27" t="s">
        <v>1861</v>
      </c>
      <c r="J9070" s="27" t="s">
        <v>1862</v>
      </c>
      <c r="K9070" s="27" t="s">
        <v>13475</v>
      </c>
      <c r="L9070" s="27" t="s">
        <v>13476</v>
      </c>
      <c r="N9070" s="27" t="s">
        <v>713</v>
      </c>
      <c r="P9070" s="27" t="s">
        <v>13484</v>
      </c>
      <c r="Q9070" s="26" t="str">
        <f>HYPERLINK("https://ictv.global/taxonomy/taxondetails?taxnode_id=202518104&amp;ictv_id=ICTV202318104","ICTV202318104")</f>
        <v>ICTV202318104</v>
      </c>
      <c r="R9070" t="s">
        <v>583</v>
      </c>
      <c r="S9070" t="s">
        <v>823</v>
      </c>
      <c r="T9070">
        <v>39</v>
      </c>
      <c r="U9070" s="26" t="str">
        <f t="shared" si="324"/>
        <v>2023.015F.Ghabrivirales_reorg.zip</v>
      </c>
    </row>
    <row r="9071" spans="1:21">
      <c r="A9071">
        <v>9070</v>
      </c>
      <c r="B9071" s="27" t="s">
        <v>1124</v>
      </c>
      <c r="D9071" s="27" t="s">
        <v>1859</v>
      </c>
      <c r="F9071" s="27" t="s">
        <v>1860</v>
      </c>
      <c r="H9071" s="27" t="s">
        <v>1861</v>
      </c>
      <c r="J9071" s="27" t="s">
        <v>1862</v>
      </c>
      <c r="K9071" s="27" t="s">
        <v>13475</v>
      </c>
      <c r="L9071" s="27" t="s">
        <v>13476</v>
      </c>
      <c r="N9071" s="27" t="s">
        <v>713</v>
      </c>
      <c r="P9071" s="27" t="s">
        <v>13485</v>
      </c>
      <c r="Q9071" s="26" t="str">
        <f>HYPERLINK("https://ictv.global/taxonomy/taxondetails?taxnode_id=202518105&amp;ictv_id=ICTV202318105","ICTV202318105")</f>
        <v>ICTV202318105</v>
      </c>
      <c r="R9071" t="s">
        <v>583</v>
      </c>
      <c r="S9071" t="s">
        <v>823</v>
      </c>
      <c r="T9071">
        <v>39</v>
      </c>
      <c r="U9071" s="26" t="str">
        <f t="shared" si="324"/>
        <v>2023.015F.Ghabrivirales_reorg.zip</v>
      </c>
    </row>
    <row r="9072" spans="1:21">
      <c r="A9072">
        <v>9071</v>
      </c>
      <c r="B9072" s="27" t="s">
        <v>1124</v>
      </c>
      <c r="D9072" s="27" t="s">
        <v>1859</v>
      </c>
      <c r="F9072" s="27" t="s">
        <v>1860</v>
      </c>
      <c r="H9072" s="27" t="s">
        <v>1861</v>
      </c>
      <c r="J9072" s="27" t="s">
        <v>1862</v>
      </c>
      <c r="K9072" s="27" t="s">
        <v>13475</v>
      </c>
      <c r="L9072" s="27" t="s">
        <v>195</v>
      </c>
      <c r="N9072" s="27" t="s">
        <v>1183</v>
      </c>
      <c r="P9072" s="27" t="s">
        <v>8767</v>
      </c>
      <c r="Q9072" s="26" t="str">
        <f>HYPERLINK("https://ictv.global/taxonomy/taxondetails?taxnode_id=202506297&amp;ictv_id=ICTV201856297","ICTV201856297")</f>
        <v>ICTV201856297</v>
      </c>
      <c r="R9072" t="s">
        <v>583</v>
      </c>
      <c r="S9072" t="s">
        <v>22763</v>
      </c>
      <c r="T9072">
        <v>39</v>
      </c>
      <c r="U9072" s="26" t="str">
        <f t="shared" si="324"/>
        <v>2023.015F.Ghabrivirales_reorg.zip</v>
      </c>
    </row>
    <row r="9073" spans="1:21">
      <c r="A9073">
        <v>9072</v>
      </c>
      <c r="B9073" s="27" t="s">
        <v>1124</v>
      </c>
      <c r="D9073" s="27" t="s">
        <v>1859</v>
      </c>
      <c r="F9073" s="27" t="s">
        <v>1860</v>
      </c>
      <c r="H9073" s="27" t="s">
        <v>1861</v>
      </c>
      <c r="J9073" s="27" t="s">
        <v>1862</v>
      </c>
      <c r="K9073" s="27" t="s">
        <v>13475</v>
      </c>
      <c r="L9073" s="27" t="s">
        <v>195</v>
      </c>
      <c r="N9073" s="27" t="s">
        <v>1183</v>
      </c>
      <c r="P9073" s="27" t="s">
        <v>8768</v>
      </c>
      <c r="Q9073" s="26" t="str">
        <f>HYPERLINK("https://ictv.global/taxonomy/taxondetails?taxnode_id=202502892&amp;ictv_id=ICTV20125711","ICTV20125711")</f>
        <v>ICTV20125711</v>
      </c>
      <c r="R9073" t="s">
        <v>583</v>
      </c>
      <c r="S9073" t="s">
        <v>22763</v>
      </c>
      <c r="T9073">
        <v>39</v>
      </c>
      <c r="U9073" s="26" t="str">
        <f t="shared" si="324"/>
        <v>2023.015F.Ghabrivirales_reorg.zip</v>
      </c>
    </row>
    <row r="9074" spans="1:21">
      <c r="A9074">
        <v>9073</v>
      </c>
      <c r="B9074" s="27" t="s">
        <v>1124</v>
      </c>
      <c r="D9074" s="27" t="s">
        <v>1859</v>
      </c>
      <c r="F9074" s="27" t="s">
        <v>1860</v>
      </c>
      <c r="H9074" s="27" t="s">
        <v>1861</v>
      </c>
      <c r="J9074" s="27" t="s">
        <v>1862</v>
      </c>
      <c r="K9074" s="27" t="s">
        <v>13475</v>
      </c>
      <c r="L9074" s="27" t="s">
        <v>195</v>
      </c>
      <c r="N9074" s="27" t="s">
        <v>1183</v>
      </c>
      <c r="P9074" s="27" t="s">
        <v>8769</v>
      </c>
      <c r="Q9074" s="26" t="str">
        <f>HYPERLINK("https://ictv.global/taxonomy/taxondetails?taxnode_id=202506298&amp;ictv_id=ICTV201856298","ICTV201856298")</f>
        <v>ICTV201856298</v>
      </c>
      <c r="R9074" t="s">
        <v>583</v>
      </c>
      <c r="S9074" t="s">
        <v>22763</v>
      </c>
      <c r="T9074">
        <v>39</v>
      </c>
      <c r="U9074" s="26" t="str">
        <f t="shared" si="324"/>
        <v>2023.015F.Ghabrivirales_reorg.zip</v>
      </c>
    </row>
    <row r="9075" spans="1:21">
      <c r="A9075">
        <v>9074</v>
      </c>
      <c r="B9075" s="27" t="s">
        <v>1124</v>
      </c>
      <c r="D9075" s="27" t="s">
        <v>1859</v>
      </c>
      <c r="F9075" s="27" t="s">
        <v>1860</v>
      </c>
      <c r="H9075" s="27" t="s">
        <v>1861</v>
      </c>
      <c r="J9075" s="27" t="s">
        <v>1862</v>
      </c>
      <c r="K9075" s="27" t="s">
        <v>13475</v>
      </c>
      <c r="L9075" s="27" t="s">
        <v>195</v>
      </c>
      <c r="N9075" s="27" t="s">
        <v>1183</v>
      </c>
      <c r="P9075" s="27" t="s">
        <v>8770</v>
      </c>
      <c r="Q9075" s="26" t="str">
        <f>HYPERLINK("https://ictv.global/taxonomy/taxondetails?taxnode_id=202502891&amp;ictv_id=ICTV20125710","ICTV20125710")</f>
        <v>ICTV20125710</v>
      </c>
      <c r="R9075" t="s">
        <v>583</v>
      </c>
      <c r="S9075" t="s">
        <v>22763</v>
      </c>
      <c r="T9075">
        <v>39</v>
      </c>
      <c r="U9075" s="26" t="str">
        <f t="shared" si="324"/>
        <v>2023.015F.Ghabrivirales_reorg.zip</v>
      </c>
    </row>
    <row r="9076" spans="1:21">
      <c r="A9076">
        <v>9075</v>
      </c>
      <c r="B9076" s="27" t="s">
        <v>1124</v>
      </c>
      <c r="D9076" s="27" t="s">
        <v>1859</v>
      </c>
      <c r="F9076" s="27" t="s">
        <v>1860</v>
      </c>
      <c r="H9076" s="27" t="s">
        <v>1861</v>
      </c>
      <c r="J9076" s="27" t="s">
        <v>1862</v>
      </c>
      <c r="K9076" s="27" t="s">
        <v>13475</v>
      </c>
      <c r="L9076" s="27" t="s">
        <v>195</v>
      </c>
      <c r="N9076" s="27" t="s">
        <v>1183</v>
      </c>
      <c r="P9076" s="27" t="s">
        <v>8771</v>
      </c>
      <c r="Q9076" s="26" t="str">
        <f>HYPERLINK("https://ictv.global/taxonomy/taxondetails?taxnode_id=202508818&amp;ictv_id=ICTV202008818","ICTV202008818")</f>
        <v>ICTV202008818</v>
      </c>
      <c r="R9076" t="s">
        <v>583</v>
      </c>
      <c r="S9076" t="s">
        <v>22763</v>
      </c>
      <c r="T9076">
        <v>39</v>
      </c>
      <c r="U9076" s="26" t="str">
        <f t="shared" si="324"/>
        <v>2023.015F.Ghabrivirales_reorg.zip</v>
      </c>
    </row>
    <row r="9077" spans="1:21">
      <c r="A9077">
        <v>9076</v>
      </c>
      <c r="B9077" s="27" t="s">
        <v>1124</v>
      </c>
      <c r="D9077" s="27" t="s">
        <v>1859</v>
      </c>
      <c r="F9077" s="27" t="s">
        <v>1860</v>
      </c>
      <c r="H9077" s="27" t="s">
        <v>1861</v>
      </c>
      <c r="J9077" s="27" t="s">
        <v>1862</v>
      </c>
      <c r="K9077" s="27" t="s">
        <v>13475</v>
      </c>
      <c r="L9077" s="27" t="s">
        <v>195</v>
      </c>
      <c r="N9077" s="27" t="s">
        <v>1183</v>
      </c>
      <c r="P9077" s="27" t="s">
        <v>8772</v>
      </c>
      <c r="Q9077" s="26" t="str">
        <f>HYPERLINK("https://ictv.global/taxonomy/taxondetails?taxnode_id=202506299&amp;ictv_id=ICTV201856299","ICTV201856299")</f>
        <v>ICTV201856299</v>
      </c>
      <c r="R9077" t="s">
        <v>583</v>
      </c>
      <c r="S9077" t="s">
        <v>22763</v>
      </c>
      <c r="T9077">
        <v>39</v>
      </c>
      <c r="U9077" s="26" t="str">
        <f t="shared" si="324"/>
        <v>2023.015F.Ghabrivirales_reorg.zip</v>
      </c>
    </row>
    <row r="9078" spans="1:21">
      <c r="A9078">
        <v>9077</v>
      </c>
      <c r="B9078" s="27" t="s">
        <v>1124</v>
      </c>
      <c r="D9078" s="27" t="s">
        <v>1859</v>
      </c>
      <c r="F9078" s="27" t="s">
        <v>1860</v>
      </c>
      <c r="H9078" s="27" t="s">
        <v>1861</v>
      </c>
      <c r="J9078" s="27" t="s">
        <v>1862</v>
      </c>
      <c r="K9078" s="27" t="s">
        <v>13475</v>
      </c>
      <c r="L9078" s="27" t="s">
        <v>195</v>
      </c>
      <c r="N9078" s="27" t="s">
        <v>1183</v>
      </c>
      <c r="P9078" s="27" t="s">
        <v>8773</v>
      </c>
      <c r="Q9078" s="26" t="str">
        <f>HYPERLINK("https://ictv.global/taxonomy/taxondetails?taxnode_id=202502893&amp;ictv_id=ICTV20125712","ICTV20125712")</f>
        <v>ICTV20125712</v>
      </c>
      <c r="R9078" t="s">
        <v>583</v>
      </c>
      <c r="S9078" t="s">
        <v>22763</v>
      </c>
      <c r="T9078">
        <v>39</v>
      </c>
      <c r="U9078" s="26" t="str">
        <f t="shared" si="324"/>
        <v>2023.015F.Ghabrivirales_reorg.zip</v>
      </c>
    </row>
    <row r="9079" spans="1:21">
      <c r="A9079">
        <v>9078</v>
      </c>
      <c r="B9079" s="27" t="s">
        <v>1124</v>
      </c>
      <c r="D9079" s="27" t="s">
        <v>1859</v>
      </c>
      <c r="F9079" s="27" t="s">
        <v>1860</v>
      </c>
      <c r="H9079" s="27" t="s">
        <v>1861</v>
      </c>
      <c r="J9079" s="27" t="s">
        <v>1862</v>
      </c>
      <c r="K9079" s="27" t="s">
        <v>13475</v>
      </c>
      <c r="L9079" s="27" t="s">
        <v>195</v>
      </c>
      <c r="N9079" s="27" t="s">
        <v>1183</v>
      </c>
      <c r="P9079" s="27" t="s">
        <v>8774</v>
      </c>
      <c r="Q9079" s="26" t="str">
        <f>HYPERLINK("https://ictv.global/taxonomy/taxondetails?taxnode_id=202502894&amp;ictv_id=ICTV20125713","ICTV20125713")</f>
        <v>ICTV20125713</v>
      </c>
      <c r="R9079" t="s">
        <v>583</v>
      </c>
      <c r="S9079" t="s">
        <v>22763</v>
      </c>
      <c r="T9079">
        <v>39</v>
      </c>
      <c r="U9079" s="26" t="str">
        <f t="shared" si="324"/>
        <v>2023.015F.Ghabrivirales_reorg.zip</v>
      </c>
    </row>
    <row r="9080" spans="1:21">
      <c r="A9080">
        <v>9079</v>
      </c>
      <c r="B9080" s="27" t="s">
        <v>1124</v>
      </c>
      <c r="D9080" s="27" t="s">
        <v>1859</v>
      </c>
      <c r="F9080" s="27" t="s">
        <v>1860</v>
      </c>
      <c r="H9080" s="27" t="s">
        <v>1861</v>
      </c>
      <c r="J9080" s="27" t="s">
        <v>1862</v>
      </c>
      <c r="K9080" s="27" t="s">
        <v>13475</v>
      </c>
      <c r="L9080" s="27" t="s">
        <v>195</v>
      </c>
      <c r="N9080" s="27" t="s">
        <v>1183</v>
      </c>
      <c r="P9080" s="27" t="s">
        <v>8775</v>
      </c>
      <c r="Q9080" s="26" t="str">
        <f>HYPERLINK("https://ictv.global/taxonomy/taxondetails?taxnode_id=202502895&amp;ictv_id=ICTV20020786","ICTV20020786")</f>
        <v>ICTV20020786</v>
      </c>
      <c r="R9080" t="s">
        <v>583</v>
      </c>
      <c r="S9080" t="s">
        <v>22763</v>
      </c>
      <c r="T9080">
        <v>39</v>
      </c>
      <c r="U9080" s="26" t="str">
        <f t="shared" si="324"/>
        <v>2023.015F.Ghabrivirales_reorg.zip</v>
      </c>
    </row>
    <row r="9081" spans="1:21">
      <c r="A9081">
        <v>9080</v>
      </c>
      <c r="B9081" s="27" t="s">
        <v>1124</v>
      </c>
      <c r="D9081" s="27" t="s">
        <v>1859</v>
      </c>
      <c r="F9081" s="27" t="s">
        <v>1860</v>
      </c>
      <c r="H9081" s="27" t="s">
        <v>1861</v>
      </c>
      <c r="J9081" s="27" t="s">
        <v>1862</v>
      </c>
      <c r="K9081" s="27" t="s">
        <v>13475</v>
      </c>
      <c r="L9081" s="27" t="s">
        <v>195</v>
      </c>
      <c r="N9081" s="27" t="s">
        <v>1183</v>
      </c>
      <c r="P9081" s="27" t="s">
        <v>8776</v>
      </c>
      <c r="Q9081" s="26" t="str">
        <f>HYPERLINK("https://ictv.global/taxonomy/taxondetails?taxnode_id=202506300&amp;ictv_id=ICTV201856300","ICTV201856300")</f>
        <v>ICTV201856300</v>
      </c>
      <c r="R9081" t="s">
        <v>583</v>
      </c>
      <c r="S9081" t="s">
        <v>22763</v>
      </c>
      <c r="T9081">
        <v>39</v>
      </c>
      <c r="U9081" s="26" t="str">
        <f t="shared" si="324"/>
        <v>2023.015F.Ghabrivirales_reorg.zip</v>
      </c>
    </row>
    <row r="9082" spans="1:21">
      <c r="A9082">
        <v>9081</v>
      </c>
      <c r="B9082" s="27" t="s">
        <v>1124</v>
      </c>
      <c r="D9082" s="27" t="s">
        <v>1859</v>
      </c>
      <c r="F9082" s="27" t="s">
        <v>1860</v>
      </c>
      <c r="H9082" s="27" t="s">
        <v>1861</v>
      </c>
      <c r="J9082" s="27" t="s">
        <v>1862</v>
      </c>
      <c r="K9082" s="27" t="s">
        <v>13475</v>
      </c>
      <c r="L9082" s="27" t="s">
        <v>195</v>
      </c>
      <c r="N9082" s="27" t="s">
        <v>1183</v>
      </c>
      <c r="P9082" s="27" t="s">
        <v>8777</v>
      </c>
      <c r="Q9082" s="26" t="str">
        <f>HYPERLINK("https://ictv.global/taxonomy/taxondetails?taxnode_id=202506301&amp;ictv_id=ICTV201856301","ICTV201856301")</f>
        <v>ICTV201856301</v>
      </c>
      <c r="R9082" t="s">
        <v>583</v>
      </c>
      <c r="S9082" t="s">
        <v>22763</v>
      </c>
      <c r="T9082">
        <v>39</v>
      </c>
      <c r="U9082" s="26" t="str">
        <f t="shared" si="324"/>
        <v>2023.015F.Ghabrivirales_reorg.zip</v>
      </c>
    </row>
    <row r="9083" spans="1:21">
      <c r="A9083">
        <v>9082</v>
      </c>
      <c r="B9083" s="27" t="s">
        <v>1124</v>
      </c>
      <c r="D9083" s="27" t="s">
        <v>1859</v>
      </c>
      <c r="F9083" s="27" t="s">
        <v>1860</v>
      </c>
      <c r="H9083" s="27" t="s">
        <v>1861</v>
      </c>
      <c r="J9083" s="27" t="s">
        <v>1862</v>
      </c>
      <c r="K9083" s="27" t="s">
        <v>13475</v>
      </c>
      <c r="L9083" s="27" t="s">
        <v>195</v>
      </c>
      <c r="N9083" s="27" t="s">
        <v>1183</v>
      </c>
      <c r="P9083" s="27" t="s">
        <v>8778</v>
      </c>
      <c r="Q9083" s="26" t="str">
        <f>HYPERLINK("https://ictv.global/taxonomy/taxondetails?taxnode_id=202502897&amp;ictv_id=ICTV19791045","ICTV19791045")</f>
        <v>ICTV19791045</v>
      </c>
      <c r="R9083" t="s">
        <v>583</v>
      </c>
      <c r="S9083" t="s">
        <v>22763</v>
      </c>
      <c r="T9083">
        <v>39</v>
      </c>
      <c r="U9083" s="26" t="str">
        <f t="shared" si="324"/>
        <v>2023.015F.Ghabrivirales_reorg.zip</v>
      </c>
    </row>
    <row r="9084" spans="1:21">
      <c r="A9084">
        <v>9083</v>
      </c>
      <c r="B9084" s="27" t="s">
        <v>1124</v>
      </c>
      <c r="D9084" s="27" t="s">
        <v>1859</v>
      </c>
      <c r="F9084" s="27" t="s">
        <v>1860</v>
      </c>
      <c r="H9084" s="27" t="s">
        <v>1861</v>
      </c>
      <c r="J9084" s="27" t="s">
        <v>1862</v>
      </c>
      <c r="K9084" s="27" t="s">
        <v>13475</v>
      </c>
      <c r="L9084" s="27" t="s">
        <v>195</v>
      </c>
      <c r="N9084" s="27" t="s">
        <v>1183</v>
      </c>
      <c r="P9084" s="27" t="s">
        <v>8779</v>
      </c>
      <c r="Q9084" s="26" t="str">
        <f>HYPERLINK("https://ictv.global/taxonomy/taxondetails?taxnode_id=202502896&amp;ictv_id=ICTV19791044","ICTV19791044")</f>
        <v>ICTV19791044</v>
      </c>
      <c r="R9084" t="s">
        <v>583</v>
      </c>
      <c r="S9084" t="s">
        <v>22763</v>
      </c>
      <c r="T9084">
        <v>39</v>
      </c>
      <c r="U9084" s="26" t="str">
        <f t="shared" si="324"/>
        <v>2023.015F.Ghabrivirales_reorg.zip</v>
      </c>
    </row>
    <row r="9085" spans="1:21">
      <c r="A9085">
        <v>9084</v>
      </c>
      <c r="B9085" s="27" t="s">
        <v>1124</v>
      </c>
      <c r="D9085" s="27" t="s">
        <v>1859</v>
      </c>
      <c r="F9085" s="27" t="s">
        <v>1860</v>
      </c>
      <c r="H9085" s="27" t="s">
        <v>1861</v>
      </c>
      <c r="J9085" s="27" t="s">
        <v>1862</v>
      </c>
      <c r="K9085" s="27" t="s">
        <v>13475</v>
      </c>
      <c r="L9085" s="27" t="s">
        <v>195</v>
      </c>
      <c r="N9085" s="27" t="s">
        <v>1183</v>
      </c>
      <c r="P9085" s="27" t="s">
        <v>8780</v>
      </c>
      <c r="Q9085" s="26" t="str">
        <f>HYPERLINK("https://ictv.global/taxonomy/taxondetails?taxnode_id=202502898&amp;ictv_id=ICTV19791046","ICTV19791046")</f>
        <v>ICTV19791046</v>
      </c>
      <c r="R9085" t="s">
        <v>583</v>
      </c>
      <c r="S9085" t="s">
        <v>22763</v>
      </c>
      <c r="T9085">
        <v>39</v>
      </c>
      <c r="U9085" s="26" t="str">
        <f t="shared" si="324"/>
        <v>2023.015F.Ghabrivirales_reorg.zip</v>
      </c>
    </row>
    <row r="9086" spans="1:21">
      <c r="A9086">
        <v>9085</v>
      </c>
      <c r="B9086" s="27" t="s">
        <v>1124</v>
      </c>
      <c r="D9086" s="27" t="s">
        <v>1859</v>
      </c>
      <c r="F9086" s="27" t="s">
        <v>1860</v>
      </c>
      <c r="H9086" s="27" t="s">
        <v>1861</v>
      </c>
      <c r="J9086" s="27" t="s">
        <v>1862</v>
      </c>
      <c r="K9086" s="27" t="s">
        <v>13475</v>
      </c>
      <c r="L9086" s="27" t="s">
        <v>195</v>
      </c>
      <c r="N9086" s="27" t="s">
        <v>1183</v>
      </c>
      <c r="P9086" s="27" t="s">
        <v>8781</v>
      </c>
      <c r="Q9086" s="26" t="str">
        <f>HYPERLINK("https://ictv.global/taxonomy/taxondetails?taxnode_id=202506302&amp;ictv_id=ICTV201856302","ICTV201856302")</f>
        <v>ICTV201856302</v>
      </c>
      <c r="R9086" t="s">
        <v>583</v>
      </c>
      <c r="S9086" t="s">
        <v>22763</v>
      </c>
      <c r="T9086">
        <v>39</v>
      </c>
      <c r="U9086" s="26" t="str">
        <f t="shared" si="324"/>
        <v>2023.015F.Ghabrivirales_reorg.zip</v>
      </c>
    </row>
    <row r="9087" spans="1:21">
      <c r="A9087">
        <v>9086</v>
      </c>
      <c r="B9087" s="27" t="s">
        <v>1124</v>
      </c>
      <c r="D9087" s="27" t="s">
        <v>1859</v>
      </c>
      <c r="F9087" s="27" t="s">
        <v>1860</v>
      </c>
      <c r="H9087" s="27" t="s">
        <v>1861</v>
      </c>
      <c r="J9087" s="27" t="s">
        <v>1862</v>
      </c>
      <c r="K9087" s="27" t="s">
        <v>13475</v>
      </c>
      <c r="L9087" s="27" t="s">
        <v>195</v>
      </c>
      <c r="N9087" s="27" t="s">
        <v>1183</v>
      </c>
      <c r="P9087" s="27" t="s">
        <v>8782</v>
      </c>
      <c r="Q9087" s="26" t="str">
        <f>HYPERLINK("https://ictv.global/taxonomy/taxondetails?taxnode_id=202506303&amp;ictv_id=ICTV201856303","ICTV201856303")</f>
        <v>ICTV201856303</v>
      </c>
      <c r="R9087" t="s">
        <v>583</v>
      </c>
      <c r="S9087" t="s">
        <v>22763</v>
      </c>
      <c r="T9087">
        <v>39</v>
      </c>
      <c r="U9087" s="26" t="str">
        <f t="shared" si="324"/>
        <v>2023.015F.Ghabrivirales_reorg.zip</v>
      </c>
    </row>
    <row r="9088" spans="1:21">
      <c r="A9088">
        <v>9087</v>
      </c>
      <c r="B9088" s="27" t="s">
        <v>1124</v>
      </c>
      <c r="D9088" s="27" t="s">
        <v>1859</v>
      </c>
      <c r="F9088" s="27" t="s">
        <v>1860</v>
      </c>
      <c r="H9088" s="27" t="s">
        <v>1861</v>
      </c>
      <c r="J9088" s="27" t="s">
        <v>1862</v>
      </c>
      <c r="K9088" s="27" t="s">
        <v>13475</v>
      </c>
      <c r="L9088" s="27" t="s">
        <v>195</v>
      </c>
      <c r="N9088" s="27" t="s">
        <v>1183</v>
      </c>
      <c r="P9088" s="27" t="s">
        <v>8783</v>
      </c>
      <c r="Q9088" s="26" t="str">
        <f>HYPERLINK("https://ictv.global/taxonomy/taxondetails?taxnode_id=202508819&amp;ictv_id=ICTV202008819","ICTV202008819")</f>
        <v>ICTV202008819</v>
      </c>
      <c r="R9088" t="s">
        <v>583</v>
      </c>
      <c r="S9088" t="s">
        <v>22763</v>
      </c>
      <c r="T9088">
        <v>39</v>
      </c>
      <c r="U9088" s="26" t="str">
        <f t="shared" si="324"/>
        <v>2023.015F.Ghabrivirales_reorg.zip</v>
      </c>
    </row>
    <row r="9089" spans="1:21">
      <c r="A9089">
        <v>9088</v>
      </c>
      <c r="B9089" s="27" t="s">
        <v>1124</v>
      </c>
      <c r="D9089" s="27" t="s">
        <v>1859</v>
      </c>
      <c r="F9089" s="27" t="s">
        <v>1860</v>
      </c>
      <c r="H9089" s="27" t="s">
        <v>1861</v>
      </c>
      <c r="J9089" s="27" t="s">
        <v>1862</v>
      </c>
      <c r="K9089" s="27" t="s">
        <v>13475</v>
      </c>
      <c r="L9089" s="27" t="s">
        <v>195</v>
      </c>
      <c r="N9089" s="27" t="s">
        <v>1183</v>
      </c>
      <c r="P9089" s="27" t="s">
        <v>8784</v>
      </c>
      <c r="Q9089" s="26" t="str">
        <f>HYPERLINK("https://ictv.global/taxonomy/taxondetails?taxnode_id=202506304&amp;ictv_id=ICTV201856304","ICTV201856304")</f>
        <v>ICTV201856304</v>
      </c>
      <c r="R9089" t="s">
        <v>583</v>
      </c>
      <c r="S9089" t="s">
        <v>22763</v>
      </c>
      <c r="T9089">
        <v>39</v>
      </c>
      <c r="U9089" s="26" t="str">
        <f t="shared" si="324"/>
        <v>2023.015F.Ghabrivirales_reorg.zip</v>
      </c>
    </row>
    <row r="9090" spans="1:21">
      <c r="A9090">
        <v>9089</v>
      </c>
      <c r="B9090" s="27" t="s">
        <v>1124</v>
      </c>
      <c r="D9090" s="27" t="s">
        <v>1859</v>
      </c>
      <c r="F9090" s="27" t="s">
        <v>1860</v>
      </c>
      <c r="H9090" s="27" t="s">
        <v>1861</v>
      </c>
      <c r="J9090" s="27" t="s">
        <v>1862</v>
      </c>
      <c r="K9090" s="27" t="s">
        <v>13475</v>
      </c>
      <c r="L9090" s="27" t="s">
        <v>195</v>
      </c>
      <c r="N9090" s="27" t="s">
        <v>1183</v>
      </c>
      <c r="P9090" s="27" t="s">
        <v>8785</v>
      </c>
      <c r="Q9090" s="26" t="str">
        <f>HYPERLINK("https://ictv.global/taxonomy/taxondetails?taxnode_id=202502899&amp;ictv_id=ICTV20125714","ICTV20125714")</f>
        <v>ICTV20125714</v>
      </c>
      <c r="R9090" t="s">
        <v>583</v>
      </c>
      <c r="S9090" t="s">
        <v>22763</v>
      </c>
      <c r="T9090">
        <v>39</v>
      </c>
      <c r="U9090" s="26" t="str">
        <f t="shared" si="324"/>
        <v>2023.015F.Ghabrivirales_reorg.zip</v>
      </c>
    </row>
    <row r="9091" spans="1:21">
      <c r="A9091">
        <v>9090</v>
      </c>
      <c r="B9091" s="27" t="s">
        <v>1124</v>
      </c>
      <c r="D9091" s="27" t="s">
        <v>1859</v>
      </c>
      <c r="F9091" s="27" t="s">
        <v>1860</v>
      </c>
      <c r="H9091" s="27" t="s">
        <v>1861</v>
      </c>
      <c r="J9091" s="27" t="s">
        <v>1862</v>
      </c>
      <c r="K9091" s="27" t="s">
        <v>13475</v>
      </c>
      <c r="L9091" s="27" t="s">
        <v>195</v>
      </c>
      <c r="N9091" s="27" t="s">
        <v>1183</v>
      </c>
      <c r="P9091" s="27" t="s">
        <v>8786</v>
      </c>
      <c r="Q9091" s="26" t="str">
        <f>HYPERLINK("https://ictv.global/taxonomy/taxondetails?taxnode_id=202508820&amp;ictv_id=ICTV202008820","ICTV202008820")</f>
        <v>ICTV202008820</v>
      </c>
      <c r="R9091" t="s">
        <v>583</v>
      </c>
      <c r="S9091" t="s">
        <v>22763</v>
      </c>
      <c r="T9091">
        <v>39</v>
      </c>
      <c r="U9091" s="26" t="str">
        <f t="shared" si="324"/>
        <v>2023.015F.Ghabrivirales_reorg.zip</v>
      </c>
    </row>
    <row r="9092" spans="1:21">
      <c r="A9092">
        <v>9091</v>
      </c>
      <c r="B9092" s="27" t="s">
        <v>1124</v>
      </c>
      <c r="D9092" s="27" t="s">
        <v>1859</v>
      </c>
      <c r="F9092" s="27" t="s">
        <v>1860</v>
      </c>
      <c r="H9092" s="27" t="s">
        <v>1861</v>
      </c>
      <c r="J9092" s="27" t="s">
        <v>1862</v>
      </c>
      <c r="K9092" s="27" t="s">
        <v>13475</v>
      </c>
      <c r="L9092" s="27" t="s">
        <v>195</v>
      </c>
      <c r="N9092" s="27" t="s">
        <v>1184</v>
      </c>
      <c r="P9092" s="27" t="s">
        <v>8787</v>
      </c>
      <c r="Q9092" s="26" t="str">
        <f>HYPERLINK("https://ictv.global/taxonomy/taxondetails?taxnode_id=202506305&amp;ictv_id=ICTV201856305","ICTV201856305")</f>
        <v>ICTV201856305</v>
      </c>
      <c r="R9092" t="s">
        <v>583</v>
      </c>
      <c r="S9092" t="s">
        <v>22763</v>
      </c>
      <c r="T9092">
        <v>39</v>
      </c>
      <c r="U9092" s="26" t="str">
        <f t="shared" si="324"/>
        <v>2023.015F.Ghabrivirales_reorg.zip</v>
      </c>
    </row>
    <row r="9093" spans="1:21">
      <c r="A9093">
        <v>9092</v>
      </c>
      <c r="B9093" s="27" t="s">
        <v>1124</v>
      </c>
      <c r="D9093" s="27" t="s">
        <v>1859</v>
      </c>
      <c r="F9093" s="27" t="s">
        <v>1860</v>
      </c>
      <c r="H9093" s="27" t="s">
        <v>1861</v>
      </c>
      <c r="J9093" s="27" t="s">
        <v>1862</v>
      </c>
      <c r="K9093" s="27" t="s">
        <v>13475</v>
      </c>
      <c r="L9093" s="27" t="s">
        <v>195</v>
      </c>
      <c r="N9093" s="27" t="s">
        <v>1184</v>
      </c>
      <c r="P9093" s="27" t="s">
        <v>8788</v>
      </c>
      <c r="Q9093" s="26" t="str">
        <f>HYPERLINK("https://ictv.global/taxonomy/taxondetails?taxnode_id=202508821&amp;ictv_id=ICTV202008821","ICTV202008821")</f>
        <v>ICTV202008821</v>
      </c>
      <c r="R9093" t="s">
        <v>583</v>
      </c>
      <c r="S9093" t="s">
        <v>22763</v>
      </c>
      <c r="T9093">
        <v>39</v>
      </c>
      <c r="U9093" s="26" t="str">
        <f t="shared" si="324"/>
        <v>2023.015F.Ghabrivirales_reorg.zip</v>
      </c>
    </row>
    <row r="9094" spans="1:21">
      <c r="A9094">
        <v>9093</v>
      </c>
      <c r="B9094" s="27" t="s">
        <v>1124</v>
      </c>
      <c r="D9094" s="27" t="s">
        <v>1859</v>
      </c>
      <c r="F9094" s="27" t="s">
        <v>1860</v>
      </c>
      <c r="H9094" s="27" t="s">
        <v>1861</v>
      </c>
      <c r="J9094" s="27" t="s">
        <v>1862</v>
      </c>
      <c r="K9094" s="27" t="s">
        <v>13475</v>
      </c>
      <c r="L9094" s="27" t="s">
        <v>195</v>
      </c>
      <c r="N9094" s="27" t="s">
        <v>1184</v>
      </c>
      <c r="P9094" s="27" t="s">
        <v>8789</v>
      </c>
      <c r="Q9094" s="26" t="str">
        <f>HYPERLINK("https://ictv.global/taxonomy/taxondetails?taxnode_id=202506306&amp;ictv_id=ICTV201856306","ICTV201856306")</f>
        <v>ICTV201856306</v>
      </c>
      <c r="R9094" t="s">
        <v>583</v>
      </c>
      <c r="S9094" t="s">
        <v>22763</v>
      </c>
      <c r="T9094">
        <v>39</v>
      </c>
      <c r="U9094" s="26" t="str">
        <f t="shared" si="324"/>
        <v>2023.015F.Ghabrivirales_reorg.zip</v>
      </c>
    </row>
    <row r="9095" spans="1:21">
      <c r="A9095">
        <v>9094</v>
      </c>
      <c r="B9095" s="27" t="s">
        <v>1124</v>
      </c>
      <c r="D9095" s="27" t="s">
        <v>1859</v>
      </c>
      <c r="F9095" s="27" t="s">
        <v>1860</v>
      </c>
      <c r="H9095" s="27" t="s">
        <v>1861</v>
      </c>
      <c r="J9095" s="27" t="s">
        <v>1862</v>
      </c>
      <c r="K9095" s="27" t="s">
        <v>13475</v>
      </c>
      <c r="L9095" s="27" t="s">
        <v>195</v>
      </c>
      <c r="N9095" s="27" t="s">
        <v>1184</v>
      </c>
      <c r="P9095" s="27" t="s">
        <v>8790</v>
      </c>
      <c r="Q9095" s="26" t="str">
        <f>HYPERLINK("https://ictv.global/taxonomy/taxondetails?taxnode_id=202506307&amp;ictv_id=ICTV201856307","ICTV201856307")</f>
        <v>ICTV201856307</v>
      </c>
      <c r="R9095" t="s">
        <v>583</v>
      </c>
      <c r="S9095" t="s">
        <v>22763</v>
      </c>
      <c r="T9095">
        <v>39</v>
      </c>
      <c r="U9095" s="26" t="str">
        <f t="shared" ref="U9095:U9126" si="325">HYPERLINK("https://ictv.global/ictv/proposals/2023.015F.Ghabrivirales_reorg.zip","2023.015F.Ghabrivirales_reorg.zip")</f>
        <v>2023.015F.Ghabrivirales_reorg.zip</v>
      </c>
    </row>
    <row r="9096" spans="1:21">
      <c r="A9096">
        <v>9095</v>
      </c>
      <c r="B9096" s="27" t="s">
        <v>1124</v>
      </c>
      <c r="D9096" s="27" t="s">
        <v>1859</v>
      </c>
      <c r="F9096" s="27" t="s">
        <v>1860</v>
      </c>
      <c r="H9096" s="27" t="s">
        <v>1861</v>
      </c>
      <c r="J9096" s="27" t="s">
        <v>1862</v>
      </c>
      <c r="K9096" s="27" t="s">
        <v>13475</v>
      </c>
      <c r="L9096" s="27" t="s">
        <v>195</v>
      </c>
      <c r="N9096" s="27" t="s">
        <v>1184</v>
      </c>
      <c r="P9096" s="27" t="s">
        <v>8791</v>
      </c>
      <c r="Q9096" s="26" t="str">
        <f>HYPERLINK("https://ictv.global/taxonomy/taxondetails?taxnode_id=202508822&amp;ictv_id=ICTV202008822","ICTV202008822")</f>
        <v>ICTV202008822</v>
      </c>
      <c r="R9096" t="s">
        <v>583</v>
      </c>
      <c r="S9096" t="s">
        <v>22763</v>
      </c>
      <c r="T9096">
        <v>39</v>
      </c>
      <c r="U9096" s="26" t="str">
        <f t="shared" si="325"/>
        <v>2023.015F.Ghabrivirales_reorg.zip</v>
      </c>
    </row>
    <row r="9097" spans="1:21">
      <c r="A9097">
        <v>9096</v>
      </c>
      <c r="B9097" s="27" t="s">
        <v>1124</v>
      </c>
      <c r="D9097" s="27" t="s">
        <v>1859</v>
      </c>
      <c r="F9097" s="27" t="s">
        <v>1860</v>
      </c>
      <c r="H9097" s="27" t="s">
        <v>1861</v>
      </c>
      <c r="J9097" s="27" t="s">
        <v>1862</v>
      </c>
      <c r="K9097" s="27" t="s">
        <v>13475</v>
      </c>
      <c r="L9097" s="27" t="s">
        <v>195</v>
      </c>
      <c r="N9097" s="27" t="s">
        <v>1184</v>
      </c>
      <c r="P9097" s="27" t="s">
        <v>8792</v>
      </c>
      <c r="Q9097" s="26" t="str">
        <f>HYPERLINK("https://ictv.global/taxonomy/taxondetails?taxnode_id=202506309&amp;ictv_id=ICTV201856309","ICTV201856309")</f>
        <v>ICTV201856309</v>
      </c>
      <c r="R9097" t="s">
        <v>583</v>
      </c>
      <c r="S9097" t="s">
        <v>22763</v>
      </c>
      <c r="T9097">
        <v>39</v>
      </c>
      <c r="U9097" s="26" t="str">
        <f t="shared" si="325"/>
        <v>2023.015F.Ghabrivirales_reorg.zip</v>
      </c>
    </row>
    <row r="9098" spans="1:21">
      <c r="A9098">
        <v>9097</v>
      </c>
      <c r="B9098" s="27" t="s">
        <v>1124</v>
      </c>
      <c r="D9098" s="27" t="s">
        <v>1859</v>
      </c>
      <c r="F9098" s="27" t="s">
        <v>1860</v>
      </c>
      <c r="H9098" s="27" t="s">
        <v>1861</v>
      </c>
      <c r="J9098" s="27" t="s">
        <v>1862</v>
      </c>
      <c r="K9098" s="27" t="s">
        <v>13475</v>
      </c>
      <c r="L9098" s="27" t="s">
        <v>195</v>
      </c>
      <c r="N9098" s="27" t="s">
        <v>1184</v>
      </c>
      <c r="P9098" s="27" t="s">
        <v>8793</v>
      </c>
      <c r="Q9098" s="26" t="str">
        <f>HYPERLINK("https://ictv.global/taxonomy/taxondetails?taxnode_id=202506308&amp;ictv_id=ICTV201856308","ICTV201856308")</f>
        <v>ICTV201856308</v>
      </c>
      <c r="R9098" t="s">
        <v>583</v>
      </c>
      <c r="S9098" t="s">
        <v>22763</v>
      </c>
      <c r="T9098">
        <v>39</v>
      </c>
      <c r="U9098" s="26" t="str">
        <f t="shared" si="325"/>
        <v>2023.015F.Ghabrivirales_reorg.zip</v>
      </c>
    </row>
    <row r="9099" spans="1:21">
      <c r="A9099">
        <v>9098</v>
      </c>
      <c r="B9099" s="27" t="s">
        <v>1124</v>
      </c>
      <c r="D9099" s="27" t="s">
        <v>1859</v>
      </c>
      <c r="F9099" s="27" t="s">
        <v>1860</v>
      </c>
      <c r="H9099" s="27" t="s">
        <v>1861</v>
      </c>
      <c r="J9099" s="27" t="s">
        <v>1862</v>
      </c>
      <c r="K9099" s="27" t="s">
        <v>13475</v>
      </c>
      <c r="L9099" s="27" t="s">
        <v>195</v>
      </c>
      <c r="N9099" s="27" t="s">
        <v>1184</v>
      </c>
      <c r="P9099" s="27" t="s">
        <v>8794</v>
      </c>
      <c r="Q9099" s="26" t="str">
        <f>HYPERLINK("https://ictv.global/taxonomy/taxondetails?taxnode_id=202506310&amp;ictv_id=ICTV201856310","ICTV201856310")</f>
        <v>ICTV201856310</v>
      </c>
      <c r="R9099" t="s">
        <v>583</v>
      </c>
      <c r="S9099" t="s">
        <v>22763</v>
      </c>
      <c r="T9099">
        <v>39</v>
      </c>
      <c r="U9099" s="26" t="str">
        <f t="shared" si="325"/>
        <v>2023.015F.Ghabrivirales_reorg.zip</v>
      </c>
    </row>
    <row r="9100" spans="1:21">
      <c r="A9100">
        <v>9099</v>
      </c>
      <c r="B9100" s="27" t="s">
        <v>1124</v>
      </c>
      <c r="D9100" s="27" t="s">
        <v>1859</v>
      </c>
      <c r="F9100" s="27" t="s">
        <v>1860</v>
      </c>
      <c r="H9100" s="27" t="s">
        <v>1861</v>
      </c>
      <c r="J9100" s="27" t="s">
        <v>1862</v>
      </c>
      <c r="K9100" s="27" t="s">
        <v>13475</v>
      </c>
      <c r="L9100" s="27" t="s">
        <v>195</v>
      </c>
      <c r="N9100" s="27" t="s">
        <v>1184</v>
      </c>
      <c r="P9100" s="27" t="s">
        <v>8795</v>
      </c>
      <c r="Q9100" s="26" t="str">
        <f>HYPERLINK("https://ictv.global/taxonomy/taxondetails?taxnode_id=202508823&amp;ictv_id=ICTV202008823","ICTV202008823")</f>
        <v>ICTV202008823</v>
      </c>
      <c r="R9100" t="s">
        <v>583</v>
      </c>
      <c r="S9100" t="s">
        <v>22763</v>
      </c>
      <c r="T9100">
        <v>39</v>
      </c>
      <c r="U9100" s="26" t="str">
        <f t="shared" si="325"/>
        <v>2023.015F.Ghabrivirales_reorg.zip</v>
      </c>
    </row>
    <row r="9101" spans="1:21">
      <c r="A9101">
        <v>9100</v>
      </c>
      <c r="B9101" s="27" t="s">
        <v>1124</v>
      </c>
      <c r="D9101" s="27" t="s">
        <v>1859</v>
      </c>
      <c r="F9101" s="27" t="s">
        <v>1860</v>
      </c>
      <c r="H9101" s="27" t="s">
        <v>1861</v>
      </c>
      <c r="J9101" s="27" t="s">
        <v>1862</v>
      </c>
      <c r="K9101" s="27" t="s">
        <v>13475</v>
      </c>
      <c r="L9101" s="27" t="s">
        <v>195</v>
      </c>
      <c r="N9101" s="27" t="s">
        <v>1184</v>
      </c>
      <c r="P9101" s="27" t="s">
        <v>8796</v>
      </c>
      <c r="Q9101" s="26" t="str">
        <f>HYPERLINK("https://ictv.global/taxonomy/taxondetails?taxnode_id=202506311&amp;ictv_id=ICTV201856311","ICTV201856311")</f>
        <v>ICTV201856311</v>
      </c>
      <c r="R9101" t="s">
        <v>583</v>
      </c>
      <c r="S9101" t="s">
        <v>22763</v>
      </c>
      <c r="T9101">
        <v>39</v>
      </c>
      <c r="U9101" s="26" t="str">
        <f t="shared" si="325"/>
        <v>2023.015F.Ghabrivirales_reorg.zip</v>
      </c>
    </row>
    <row r="9102" spans="1:21">
      <c r="A9102">
        <v>9101</v>
      </c>
      <c r="B9102" s="27" t="s">
        <v>1124</v>
      </c>
      <c r="D9102" s="27" t="s">
        <v>1859</v>
      </c>
      <c r="F9102" s="27" t="s">
        <v>1860</v>
      </c>
      <c r="H9102" s="27" t="s">
        <v>1861</v>
      </c>
      <c r="J9102" s="27" t="s">
        <v>1862</v>
      </c>
      <c r="K9102" s="27" t="s">
        <v>13475</v>
      </c>
      <c r="L9102" s="27" t="s">
        <v>195</v>
      </c>
      <c r="N9102" s="27" t="s">
        <v>1184</v>
      </c>
      <c r="P9102" s="27" t="s">
        <v>8797</v>
      </c>
      <c r="Q9102" s="26" t="str">
        <f>HYPERLINK("https://ictv.global/taxonomy/taxondetails?taxnode_id=202506312&amp;ictv_id=ICTV201856312","ICTV201856312")</f>
        <v>ICTV201856312</v>
      </c>
      <c r="R9102" t="s">
        <v>583</v>
      </c>
      <c r="S9102" t="s">
        <v>22763</v>
      </c>
      <c r="T9102">
        <v>39</v>
      </c>
      <c r="U9102" s="26" t="str">
        <f t="shared" si="325"/>
        <v>2023.015F.Ghabrivirales_reorg.zip</v>
      </c>
    </row>
    <row r="9103" spans="1:21">
      <c r="A9103">
        <v>9102</v>
      </c>
      <c r="B9103" s="27" t="s">
        <v>1124</v>
      </c>
      <c r="D9103" s="27" t="s">
        <v>1859</v>
      </c>
      <c r="F9103" s="27" t="s">
        <v>1860</v>
      </c>
      <c r="H9103" s="27" t="s">
        <v>1861</v>
      </c>
      <c r="J9103" s="27" t="s">
        <v>1862</v>
      </c>
      <c r="K9103" s="27" t="s">
        <v>13475</v>
      </c>
      <c r="L9103" s="27" t="s">
        <v>13486</v>
      </c>
      <c r="N9103" s="27" t="s">
        <v>13487</v>
      </c>
      <c r="P9103" s="27" t="s">
        <v>13488</v>
      </c>
      <c r="Q9103" s="26" t="str">
        <f>HYPERLINK("https://ictv.global/taxonomy/taxondetails?taxnode_id=202518106&amp;ictv_id=ICTV202318106","ICTV202318106")</f>
        <v>ICTV202318106</v>
      </c>
      <c r="R9103" t="s">
        <v>583</v>
      </c>
      <c r="S9103" t="s">
        <v>823</v>
      </c>
      <c r="T9103">
        <v>39</v>
      </c>
      <c r="U9103" s="26" t="str">
        <f t="shared" si="325"/>
        <v>2023.015F.Ghabrivirales_reorg.zip</v>
      </c>
    </row>
    <row r="9104" spans="1:21">
      <c r="A9104">
        <v>9103</v>
      </c>
      <c r="B9104" s="27" t="s">
        <v>1124</v>
      </c>
      <c r="D9104" s="27" t="s">
        <v>1859</v>
      </c>
      <c r="F9104" s="27" t="s">
        <v>1860</v>
      </c>
      <c r="H9104" s="27" t="s">
        <v>1861</v>
      </c>
      <c r="J9104" s="27" t="s">
        <v>1862</v>
      </c>
      <c r="K9104" s="27" t="s">
        <v>13475</v>
      </c>
      <c r="L9104" s="27" t="s">
        <v>13486</v>
      </c>
      <c r="N9104" s="27" t="s">
        <v>13487</v>
      </c>
      <c r="P9104" s="27" t="s">
        <v>13489</v>
      </c>
      <c r="Q9104" s="26" t="str">
        <f>HYPERLINK("https://ictv.global/taxonomy/taxondetails?taxnode_id=202518107&amp;ictv_id=ICTV202318107","ICTV202318107")</f>
        <v>ICTV202318107</v>
      </c>
      <c r="R9104" t="s">
        <v>583</v>
      </c>
      <c r="S9104" t="s">
        <v>823</v>
      </c>
      <c r="T9104">
        <v>39</v>
      </c>
      <c r="U9104" s="26" t="str">
        <f t="shared" si="325"/>
        <v>2023.015F.Ghabrivirales_reorg.zip</v>
      </c>
    </row>
    <row r="9105" spans="1:21">
      <c r="A9105">
        <v>9104</v>
      </c>
      <c r="B9105" s="27" t="s">
        <v>1124</v>
      </c>
      <c r="D9105" s="27" t="s">
        <v>1859</v>
      </c>
      <c r="F9105" s="27" t="s">
        <v>1860</v>
      </c>
      <c r="H9105" s="27" t="s">
        <v>1861</v>
      </c>
      <c r="J9105" s="27" t="s">
        <v>1862</v>
      </c>
      <c r="K9105" s="27" t="s">
        <v>13475</v>
      </c>
      <c r="L9105" s="27" t="s">
        <v>13486</v>
      </c>
      <c r="N9105" s="27" t="s">
        <v>13487</v>
      </c>
      <c r="P9105" s="27" t="s">
        <v>13490</v>
      </c>
      <c r="Q9105" s="26" t="str">
        <f>HYPERLINK("https://ictv.global/taxonomy/taxondetails?taxnode_id=202518108&amp;ictv_id=ICTV202318108","ICTV202318108")</f>
        <v>ICTV202318108</v>
      </c>
      <c r="R9105" t="s">
        <v>583</v>
      </c>
      <c r="S9105" t="s">
        <v>823</v>
      </c>
      <c r="T9105">
        <v>39</v>
      </c>
      <c r="U9105" s="26" t="str">
        <f t="shared" si="325"/>
        <v>2023.015F.Ghabrivirales_reorg.zip</v>
      </c>
    </row>
    <row r="9106" spans="1:21">
      <c r="A9106">
        <v>9105</v>
      </c>
      <c r="B9106" s="27" t="s">
        <v>1124</v>
      </c>
      <c r="D9106" s="27" t="s">
        <v>1859</v>
      </c>
      <c r="F9106" s="27" t="s">
        <v>1860</v>
      </c>
      <c r="H9106" s="27" t="s">
        <v>1861</v>
      </c>
      <c r="J9106" s="27" t="s">
        <v>1862</v>
      </c>
      <c r="K9106" s="27" t="s">
        <v>13475</v>
      </c>
      <c r="L9106" s="27" t="s">
        <v>13486</v>
      </c>
      <c r="N9106" s="27" t="s">
        <v>13487</v>
      </c>
      <c r="P9106" s="27" t="s">
        <v>13491</v>
      </c>
      <c r="Q9106" s="26" t="str">
        <f>HYPERLINK("https://ictv.global/taxonomy/taxondetails?taxnode_id=202518109&amp;ictv_id=ICTV202318109","ICTV202318109")</f>
        <v>ICTV202318109</v>
      </c>
      <c r="R9106" t="s">
        <v>583</v>
      </c>
      <c r="S9106" t="s">
        <v>823</v>
      </c>
      <c r="T9106">
        <v>39</v>
      </c>
      <c r="U9106" s="26" t="str">
        <f t="shared" si="325"/>
        <v>2023.015F.Ghabrivirales_reorg.zip</v>
      </c>
    </row>
    <row r="9107" spans="1:21">
      <c r="A9107">
        <v>9106</v>
      </c>
      <c r="B9107" s="27" t="s">
        <v>1124</v>
      </c>
      <c r="D9107" s="27" t="s">
        <v>1859</v>
      </c>
      <c r="F9107" s="27" t="s">
        <v>1860</v>
      </c>
      <c r="H9107" s="27" t="s">
        <v>1861</v>
      </c>
      <c r="J9107" s="27" t="s">
        <v>1862</v>
      </c>
      <c r="K9107" s="27" t="s">
        <v>13475</v>
      </c>
      <c r="L9107" s="27" t="s">
        <v>13486</v>
      </c>
      <c r="N9107" s="27" t="s">
        <v>13487</v>
      </c>
      <c r="P9107" s="27" t="s">
        <v>13492</v>
      </c>
      <c r="Q9107" s="26" t="str">
        <f>HYPERLINK("https://ictv.global/taxonomy/taxondetails?taxnode_id=202518110&amp;ictv_id=ICTV202318110","ICTV202318110")</f>
        <v>ICTV202318110</v>
      </c>
      <c r="R9107" t="s">
        <v>583</v>
      </c>
      <c r="S9107" t="s">
        <v>823</v>
      </c>
      <c r="T9107">
        <v>39</v>
      </c>
      <c r="U9107" s="26" t="str">
        <f t="shared" si="325"/>
        <v>2023.015F.Ghabrivirales_reorg.zip</v>
      </c>
    </row>
    <row r="9108" spans="1:21">
      <c r="A9108">
        <v>9107</v>
      </c>
      <c r="B9108" s="27" t="s">
        <v>1124</v>
      </c>
      <c r="D9108" s="27" t="s">
        <v>1859</v>
      </c>
      <c r="F9108" s="27" t="s">
        <v>1860</v>
      </c>
      <c r="H9108" s="27" t="s">
        <v>1861</v>
      </c>
      <c r="J9108" s="27" t="s">
        <v>1862</v>
      </c>
      <c r="K9108" s="27" t="s">
        <v>13475</v>
      </c>
      <c r="L9108" s="27" t="s">
        <v>13486</v>
      </c>
      <c r="N9108" s="27" t="s">
        <v>13487</v>
      </c>
      <c r="P9108" s="27" t="s">
        <v>13493</v>
      </c>
      <c r="Q9108" s="26" t="str">
        <f>HYPERLINK("https://ictv.global/taxonomy/taxondetails?taxnode_id=202518111&amp;ictv_id=ICTV202318111","ICTV202318111")</f>
        <v>ICTV202318111</v>
      </c>
      <c r="R9108" t="s">
        <v>583</v>
      </c>
      <c r="S9108" t="s">
        <v>823</v>
      </c>
      <c r="T9108">
        <v>39</v>
      </c>
      <c r="U9108" s="26" t="str">
        <f t="shared" si="325"/>
        <v>2023.015F.Ghabrivirales_reorg.zip</v>
      </c>
    </row>
    <row r="9109" spans="1:21">
      <c r="A9109">
        <v>9108</v>
      </c>
      <c r="B9109" s="27" t="s">
        <v>1124</v>
      </c>
      <c r="D9109" s="27" t="s">
        <v>1859</v>
      </c>
      <c r="F9109" s="27" t="s">
        <v>1860</v>
      </c>
      <c r="H9109" s="27" t="s">
        <v>1861</v>
      </c>
      <c r="J9109" s="27" t="s">
        <v>1862</v>
      </c>
      <c r="K9109" s="27" t="s">
        <v>13475</v>
      </c>
      <c r="L9109" s="27" t="s">
        <v>13486</v>
      </c>
      <c r="N9109" s="27" t="s">
        <v>13487</v>
      </c>
      <c r="P9109" s="27" t="s">
        <v>13494</v>
      </c>
      <c r="Q9109" s="26" t="str">
        <f>HYPERLINK("https://ictv.global/taxonomy/taxondetails?taxnode_id=202518112&amp;ictv_id=ICTV202318112","ICTV202318112")</f>
        <v>ICTV202318112</v>
      </c>
      <c r="R9109" t="s">
        <v>583</v>
      </c>
      <c r="S9109" t="s">
        <v>823</v>
      </c>
      <c r="T9109">
        <v>39</v>
      </c>
      <c r="U9109" s="26" t="str">
        <f t="shared" si="325"/>
        <v>2023.015F.Ghabrivirales_reorg.zip</v>
      </c>
    </row>
    <row r="9110" spans="1:21">
      <c r="A9110">
        <v>9109</v>
      </c>
      <c r="B9110" s="27" t="s">
        <v>1124</v>
      </c>
      <c r="D9110" s="27" t="s">
        <v>1859</v>
      </c>
      <c r="F9110" s="27" t="s">
        <v>1860</v>
      </c>
      <c r="H9110" s="27" t="s">
        <v>1861</v>
      </c>
      <c r="J9110" s="27" t="s">
        <v>1862</v>
      </c>
      <c r="K9110" s="27" t="s">
        <v>13475</v>
      </c>
      <c r="L9110" s="27" t="s">
        <v>13486</v>
      </c>
      <c r="N9110" s="27" t="s">
        <v>13487</v>
      </c>
      <c r="P9110" s="27" t="s">
        <v>13495</v>
      </c>
      <c r="Q9110" s="26" t="str">
        <f>HYPERLINK("https://ictv.global/taxonomy/taxondetails?taxnode_id=202518113&amp;ictv_id=ICTV202318113","ICTV202318113")</f>
        <v>ICTV202318113</v>
      </c>
      <c r="R9110" t="s">
        <v>583</v>
      </c>
      <c r="S9110" t="s">
        <v>823</v>
      </c>
      <c r="T9110">
        <v>39</v>
      </c>
      <c r="U9110" s="26" t="str">
        <f t="shared" si="325"/>
        <v>2023.015F.Ghabrivirales_reorg.zip</v>
      </c>
    </row>
    <row r="9111" spans="1:21">
      <c r="A9111">
        <v>9110</v>
      </c>
      <c r="B9111" s="27" t="s">
        <v>1124</v>
      </c>
      <c r="D9111" s="27" t="s">
        <v>1859</v>
      </c>
      <c r="F9111" s="27" t="s">
        <v>1860</v>
      </c>
      <c r="H9111" s="27" t="s">
        <v>1861</v>
      </c>
      <c r="J9111" s="27" t="s">
        <v>1862</v>
      </c>
      <c r="K9111" s="27" t="s">
        <v>13475</v>
      </c>
      <c r="L9111" s="27" t="s">
        <v>13486</v>
      </c>
      <c r="N9111" s="27" t="s">
        <v>13487</v>
      </c>
      <c r="P9111" s="27" t="s">
        <v>13496</v>
      </c>
      <c r="Q9111" s="26" t="str">
        <f>HYPERLINK("https://ictv.global/taxonomy/taxondetails?taxnode_id=202518114&amp;ictv_id=ICTV202318114","ICTV202318114")</f>
        <v>ICTV202318114</v>
      </c>
      <c r="R9111" t="s">
        <v>583</v>
      </c>
      <c r="S9111" t="s">
        <v>823</v>
      </c>
      <c r="T9111">
        <v>39</v>
      </c>
      <c r="U9111" s="26" t="str">
        <f t="shared" si="325"/>
        <v>2023.015F.Ghabrivirales_reorg.zip</v>
      </c>
    </row>
    <row r="9112" spans="1:21">
      <c r="A9112">
        <v>9111</v>
      </c>
      <c r="B9112" s="27" t="s">
        <v>1124</v>
      </c>
      <c r="D9112" s="27" t="s">
        <v>1859</v>
      </c>
      <c r="F9112" s="27" t="s">
        <v>1860</v>
      </c>
      <c r="H9112" s="27" t="s">
        <v>1861</v>
      </c>
      <c r="J9112" s="27" t="s">
        <v>1862</v>
      </c>
      <c r="K9112" s="27" t="s">
        <v>13475</v>
      </c>
      <c r="L9112" s="27" t="s">
        <v>13486</v>
      </c>
      <c r="N9112" s="27" t="s">
        <v>13487</v>
      </c>
      <c r="P9112" s="27" t="s">
        <v>13497</v>
      </c>
      <c r="Q9112" s="26" t="str">
        <f>HYPERLINK("https://ictv.global/taxonomy/taxondetails?taxnode_id=202518115&amp;ictv_id=ICTV202318115","ICTV202318115")</f>
        <v>ICTV202318115</v>
      </c>
      <c r="R9112" t="s">
        <v>583</v>
      </c>
      <c r="S9112" t="s">
        <v>823</v>
      </c>
      <c r="T9112">
        <v>39</v>
      </c>
      <c r="U9112" s="26" t="str">
        <f t="shared" si="325"/>
        <v>2023.015F.Ghabrivirales_reorg.zip</v>
      </c>
    </row>
    <row r="9113" spans="1:21">
      <c r="A9113">
        <v>9112</v>
      </c>
      <c r="B9113" s="27" t="s">
        <v>1124</v>
      </c>
      <c r="D9113" s="27" t="s">
        <v>1859</v>
      </c>
      <c r="F9113" s="27" t="s">
        <v>1860</v>
      </c>
      <c r="H9113" s="27" t="s">
        <v>1861</v>
      </c>
      <c r="J9113" s="27" t="s">
        <v>1862</v>
      </c>
      <c r="K9113" s="27" t="s">
        <v>13475</v>
      </c>
      <c r="L9113" s="27" t="s">
        <v>13486</v>
      </c>
      <c r="N9113" s="27" t="s">
        <v>13487</v>
      </c>
      <c r="P9113" s="27" t="s">
        <v>13498</v>
      </c>
      <c r="Q9113" s="26" t="str">
        <f>HYPERLINK("https://ictv.global/taxonomy/taxondetails?taxnode_id=202518116&amp;ictv_id=ICTV202318116","ICTV202318116")</f>
        <v>ICTV202318116</v>
      </c>
      <c r="R9113" t="s">
        <v>583</v>
      </c>
      <c r="S9113" t="s">
        <v>823</v>
      </c>
      <c r="T9113">
        <v>39</v>
      </c>
      <c r="U9113" s="26" t="str">
        <f t="shared" si="325"/>
        <v>2023.015F.Ghabrivirales_reorg.zip</v>
      </c>
    </row>
    <row r="9114" spans="1:21">
      <c r="A9114">
        <v>9113</v>
      </c>
      <c r="B9114" s="27" t="s">
        <v>1124</v>
      </c>
      <c r="D9114" s="27" t="s">
        <v>1859</v>
      </c>
      <c r="F9114" s="27" t="s">
        <v>1860</v>
      </c>
      <c r="H9114" s="27" t="s">
        <v>1861</v>
      </c>
      <c r="J9114" s="27" t="s">
        <v>1862</v>
      </c>
      <c r="K9114" s="27" t="s">
        <v>13475</v>
      </c>
      <c r="L9114" s="27" t="s">
        <v>13486</v>
      </c>
      <c r="N9114" s="27" t="s">
        <v>13487</v>
      </c>
      <c r="P9114" s="27" t="s">
        <v>13499</v>
      </c>
      <c r="Q9114" s="26" t="str">
        <f>HYPERLINK("https://ictv.global/taxonomy/taxondetails?taxnode_id=202518117&amp;ictv_id=ICTV202318117","ICTV202318117")</f>
        <v>ICTV202318117</v>
      </c>
      <c r="R9114" t="s">
        <v>583</v>
      </c>
      <c r="S9114" t="s">
        <v>823</v>
      </c>
      <c r="T9114">
        <v>39</v>
      </c>
      <c r="U9114" s="26" t="str">
        <f t="shared" si="325"/>
        <v>2023.015F.Ghabrivirales_reorg.zip</v>
      </c>
    </row>
    <row r="9115" spans="1:21">
      <c r="A9115">
        <v>9114</v>
      </c>
      <c r="B9115" s="27" t="s">
        <v>1124</v>
      </c>
      <c r="D9115" s="27" t="s">
        <v>1859</v>
      </c>
      <c r="F9115" s="27" t="s">
        <v>1860</v>
      </c>
      <c r="H9115" s="27" t="s">
        <v>1861</v>
      </c>
      <c r="J9115" s="27" t="s">
        <v>1862</v>
      </c>
      <c r="K9115" s="27" t="s">
        <v>13475</v>
      </c>
      <c r="L9115" s="27" t="s">
        <v>13486</v>
      </c>
      <c r="N9115" s="27" t="s">
        <v>13487</v>
      </c>
      <c r="P9115" s="27" t="s">
        <v>13500</v>
      </c>
      <c r="Q9115" s="26" t="str">
        <f>HYPERLINK("https://ictv.global/taxonomy/taxondetails?taxnode_id=202518118&amp;ictv_id=ICTV202318118","ICTV202318118")</f>
        <v>ICTV202318118</v>
      </c>
      <c r="R9115" t="s">
        <v>583</v>
      </c>
      <c r="S9115" t="s">
        <v>823</v>
      </c>
      <c r="T9115">
        <v>39</v>
      </c>
      <c r="U9115" s="26" t="str">
        <f t="shared" si="325"/>
        <v>2023.015F.Ghabrivirales_reorg.zip</v>
      </c>
    </row>
    <row r="9116" spans="1:21">
      <c r="A9116">
        <v>9115</v>
      </c>
      <c r="B9116" s="27" t="s">
        <v>1124</v>
      </c>
      <c r="D9116" s="27" t="s">
        <v>1859</v>
      </c>
      <c r="F9116" s="27" t="s">
        <v>1860</v>
      </c>
      <c r="H9116" s="27" t="s">
        <v>1861</v>
      </c>
      <c r="J9116" s="27" t="s">
        <v>1862</v>
      </c>
      <c r="K9116" s="27" t="s">
        <v>13475</v>
      </c>
      <c r="L9116" s="27" t="s">
        <v>13486</v>
      </c>
      <c r="N9116" s="27" t="s">
        <v>13487</v>
      </c>
      <c r="P9116" s="27" t="s">
        <v>13501</v>
      </c>
      <c r="Q9116" s="26" t="str">
        <f>HYPERLINK("https://ictv.global/taxonomy/taxondetails?taxnode_id=202518119&amp;ictv_id=ICTV202318119","ICTV202318119")</f>
        <v>ICTV202318119</v>
      </c>
      <c r="R9116" t="s">
        <v>583</v>
      </c>
      <c r="S9116" t="s">
        <v>823</v>
      </c>
      <c r="T9116">
        <v>39</v>
      </c>
      <c r="U9116" s="26" t="str">
        <f t="shared" si="325"/>
        <v>2023.015F.Ghabrivirales_reorg.zip</v>
      </c>
    </row>
    <row r="9117" spans="1:21">
      <c r="A9117">
        <v>9116</v>
      </c>
      <c r="B9117" s="27" t="s">
        <v>1124</v>
      </c>
      <c r="D9117" s="27" t="s">
        <v>1859</v>
      </c>
      <c r="F9117" s="27" t="s">
        <v>1860</v>
      </c>
      <c r="H9117" s="27" t="s">
        <v>1861</v>
      </c>
      <c r="J9117" s="27" t="s">
        <v>1862</v>
      </c>
      <c r="K9117" s="27" t="s">
        <v>13475</v>
      </c>
      <c r="L9117" s="27" t="s">
        <v>13486</v>
      </c>
      <c r="N9117" s="27" t="s">
        <v>13487</v>
      </c>
      <c r="P9117" s="27" t="s">
        <v>13502</v>
      </c>
      <c r="Q9117" s="26" t="str">
        <f>HYPERLINK("https://ictv.global/taxonomy/taxondetails?taxnode_id=202518120&amp;ictv_id=ICTV202318120","ICTV202318120")</f>
        <v>ICTV202318120</v>
      </c>
      <c r="R9117" t="s">
        <v>583</v>
      </c>
      <c r="S9117" t="s">
        <v>823</v>
      </c>
      <c r="T9117">
        <v>39</v>
      </c>
      <c r="U9117" s="26" t="str">
        <f t="shared" si="325"/>
        <v>2023.015F.Ghabrivirales_reorg.zip</v>
      </c>
    </row>
    <row r="9118" spans="1:21">
      <c r="A9118">
        <v>9117</v>
      </c>
      <c r="B9118" s="27" t="s">
        <v>1124</v>
      </c>
      <c r="D9118" s="27" t="s">
        <v>1859</v>
      </c>
      <c r="F9118" s="27" t="s">
        <v>1860</v>
      </c>
      <c r="H9118" s="27" t="s">
        <v>1861</v>
      </c>
      <c r="J9118" s="27" t="s">
        <v>1862</v>
      </c>
      <c r="K9118" s="27" t="s">
        <v>13475</v>
      </c>
      <c r="L9118" s="27" t="s">
        <v>13486</v>
      </c>
      <c r="N9118" s="27" t="s">
        <v>13487</v>
      </c>
      <c r="P9118" s="27" t="s">
        <v>13503</v>
      </c>
      <c r="Q9118" s="26" t="str">
        <f>HYPERLINK("https://ictv.global/taxonomy/taxondetails?taxnode_id=202518121&amp;ictv_id=ICTV202318121","ICTV202318121")</f>
        <v>ICTV202318121</v>
      </c>
      <c r="R9118" t="s">
        <v>583</v>
      </c>
      <c r="S9118" t="s">
        <v>823</v>
      </c>
      <c r="T9118">
        <v>39</v>
      </c>
      <c r="U9118" s="26" t="str">
        <f t="shared" si="325"/>
        <v>2023.015F.Ghabrivirales_reorg.zip</v>
      </c>
    </row>
    <row r="9119" spans="1:21">
      <c r="A9119">
        <v>9118</v>
      </c>
      <c r="B9119" s="27" t="s">
        <v>1124</v>
      </c>
      <c r="D9119" s="27" t="s">
        <v>1859</v>
      </c>
      <c r="F9119" s="27" t="s">
        <v>1860</v>
      </c>
      <c r="H9119" s="27" t="s">
        <v>1861</v>
      </c>
      <c r="J9119" s="27" t="s">
        <v>1862</v>
      </c>
      <c r="K9119" s="27" t="s">
        <v>13475</v>
      </c>
      <c r="L9119" s="27" t="s">
        <v>13486</v>
      </c>
      <c r="N9119" s="27" t="s">
        <v>13487</v>
      </c>
      <c r="P9119" s="27" t="s">
        <v>13504</v>
      </c>
      <c r="Q9119" s="26" t="str">
        <f>HYPERLINK("https://ictv.global/taxonomy/taxondetails?taxnode_id=202518122&amp;ictv_id=ICTV202318122","ICTV202318122")</f>
        <v>ICTV202318122</v>
      </c>
      <c r="R9119" t="s">
        <v>583</v>
      </c>
      <c r="S9119" t="s">
        <v>823</v>
      </c>
      <c r="T9119">
        <v>39</v>
      </c>
      <c r="U9119" s="26" t="str">
        <f t="shared" si="325"/>
        <v>2023.015F.Ghabrivirales_reorg.zip</v>
      </c>
    </row>
    <row r="9120" spans="1:21">
      <c r="A9120">
        <v>9119</v>
      </c>
      <c r="B9120" s="27" t="s">
        <v>1124</v>
      </c>
      <c r="D9120" s="27" t="s">
        <v>1859</v>
      </c>
      <c r="F9120" s="27" t="s">
        <v>1860</v>
      </c>
      <c r="H9120" s="27" t="s">
        <v>1861</v>
      </c>
      <c r="J9120" s="27" t="s">
        <v>1862</v>
      </c>
      <c r="K9120" s="27" t="s">
        <v>13475</v>
      </c>
      <c r="L9120" s="27" t="s">
        <v>13486</v>
      </c>
      <c r="N9120" s="27" t="s">
        <v>13487</v>
      </c>
      <c r="P9120" s="27" t="s">
        <v>13505</v>
      </c>
      <c r="Q9120" s="26" t="str">
        <f>HYPERLINK("https://ictv.global/taxonomy/taxondetails?taxnode_id=202518123&amp;ictv_id=ICTV202318123","ICTV202318123")</f>
        <v>ICTV202318123</v>
      </c>
      <c r="R9120" t="s">
        <v>583</v>
      </c>
      <c r="S9120" t="s">
        <v>823</v>
      </c>
      <c r="T9120">
        <v>39</v>
      </c>
      <c r="U9120" s="26" t="str">
        <f t="shared" si="325"/>
        <v>2023.015F.Ghabrivirales_reorg.zip</v>
      </c>
    </row>
    <row r="9121" spans="1:21">
      <c r="A9121">
        <v>9120</v>
      </c>
      <c r="B9121" s="27" t="s">
        <v>1124</v>
      </c>
      <c r="D9121" s="27" t="s">
        <v>1859</v>
      </c>
      <c r="F9121" s="27" t="s">
        <v>1860</v>
      </c>
      <c r="H9121" s="27" t="s">
        <v>1861</v>
      </c>
      <c r="J9121" s="27" t="s">
        <v>1862</v>
      </c>
      <c r="K9121" s="27" t="s">
        <v>13475</v>
      </c>
      <c r="L9121" s="27" t="s">
        <v>13486</v>
      </c>
      <c r="N9121" s="27" t="s">
        <v>13487</v>
      </c>
      <c r="P9121" s="27" t="s">
        <v>13506</v>
      </c>
      <c r="Q9121" s="26" t="str">
        <f>HYPERLINK("https://ictv.global/taxonomy/taxondetails?taxnode_id=202518124&amp;ictv_id=ICTV202318124","ICTV202318124")</f>
        <v>ICTV202318124</v>
      </c>
      <c r="R9121" t="s">
        <v>583</v>
      </c>
      <c r="S9121" t="s">
        <v>823</v>
      </c>
      <c r="T9121">
        <v>39</v>
      </c>
      <c r="U9121" s="26" t="str">
        <f t="shared" si="325"/>
        <v>2023.015F.Ghabrivirales_reorg.zip</v>
      </c>
    </row>
    <row r="9122" spans="1:21">
      <c r="A9122">
        <v>9121</v>
      </c>
      <c r="B9122" s="27" t="s">
        <v>1124</v>
      </c>
      <c r="D9122" s="27" t="s">
        <v>1859</v>
      </c>
      <c r="F9122" s="27" t="s">
        <v>1860</v>
      </c>
      <c r="H9122" s="27" t="s">
        <v>1861</v>
      </c>
      <c r="J9122" s="27" t="s">
        <v>1862</v>
      </c>
      <c r="K9122" s="27" t="s">
        <v>13475</v>
      </c>
      <c r="L9122" s="27" t="s">
        <v>13486</v>
      </c>
      <c r="N9122" s="27" t="s">
        <v>13487</v>
      </c>
      <c r="P9122" s="27" t="s">
        <v>13507</v>
      </c>
      <c r="Q9122" s="26" t="str">
        <f>HYPERLINK("https://ictv.global/taxonomy/taxondetails?taxnode_id=202518125&amp;ictv_id=ICTV202318125","ICTV202318125")</f>
        <v>ICTV202318125</v>
      </c>
      <c r="R9122" t="s">
        <v>583</v>
      </c>
      <c r="S9122" t="s">
        <v>823</v>
      </c>
      <c r="T9122">
        <v>39</v>
      </c>
      <c r="U9122" s="26" t="str">
        <f t="shared" si="325"/>
        <v>2023.015F.Ghabrivirales_reorg.zip</v>
      </c>
    </row>
    <row r="9123" spans="1:21">
      <c r="A9123">
        <v>9122</v>
      </c>
      <c r="B9123" s="27" t="s">
        <v>1124</v>
      </c>
      <c r="D9123" s="27" t="s">
        <v>1859</v>
      </c>
      <c r="F9123" s="27" t="s">
        <v>1860</v>
      </c>
      <c r="H9123" s="27" t="s">
        <v>1861</v>
      </c>
      <c r="J9123" s="27" t="s">
        <v>1862</v>
      </c>
      <c r="K9123" s="27" t="s">
        <v>13475</v>
      </c>
      <c r="L9123" s="27" t="s">
        <v>19</v>
      </c>
      <c r="N9123" s="27" t="s">
        <v>20</v>
      </c>
      <c r="P9123" s="27" t="s">
        <v>13508</v>
      </c>
      <c r="Q9123" s="26" t="str">
        <f>HYPERLINK("https://ictv.global/taxonomy/taxondetails?taxnode_id=202518126&amp;ictv_id=ICTV202318126","ICTV202318126")</f>
        <v>ICTV202318126</v>
      </c>
      <c r="R9123" t="s">
        <v>583</v>
      </c>
      <c r="S9123" t="s">
        <v>823</v>
      </c>
      <c r="T9123">
        <v>39</v>
      </c>
      <c r="U9123" s="26" t="str">
        <f t="shared" si="325"/>
        <v>2023.015F.Ghabrivirales_reorg.zip</v>
      </c>
    </row>
    <row r="9124" spans="1:21">
      <c r="A9124">
        <v>9123</v>
      </c>
      <c r="B9124" s="27" t="s">
        <v>1124</v>
      </c>
      <c r="D9124" s="27" t="s">
        <v>1859</v>
      </c>
      <c r="F9124" s="27" t="s">
        <v>1860</v>
      </c>
      <c r="H9124" s="27" t="s">
        <v>1861</v>
      </c>
      <c r="J9124" s="27" t="s">
        <v>1862</v>
      </c>
      <c r="K9124" s="27" t="s">
        <v>13475</v>
      </c>
      <c r="L9124" s="27" t="s">
        <v>19</v>
      </c>
      <c r="N9124" s="27" t="s">
        <v>20</v>
      </c>
      <c r="P9124" s="27" t="s">
        <v>13509</v>
      </c>
      <c r="Q9124" s="26" t="str">
        <f>HYPERLINK("https://ictv.global/taxonomy/taxondetails?taxnode_id=202503810&amp;ictv_id=ICTV20115359","ICTV20115359")</f>
        <v>ICTV20115359</v>
      </c>
      <c r="R9124" t="s">
        <v>583</v>
      </c>
      <c r="S9124" t="s">
        <v>824</v>
      </c>
      <c r="T9124">
        <v>39</v>
      </c>
      <c r="U9124" s="26" t="str">
        <f t="shared" si="325"/>
        <v>2023.015F.Ghabrivirales_reorg.zip</v>
      </c>
    </row>
    <row r="9125" spans="1:21">
      <c r="A9125">
        <v>9124</v>
      </c>
      <c r="B9125" s="27" t="s">
        <v>1124</v>
      </c>
      <c r="D9125" s="27" t="s">
        <v>1859</v>
      </c>
      <c r="F9125" s="27" t="s">
        <v>1860</v>
      </c>
      <c r="H9125" s="27" t="s">
        <v>1861</v>
      </c>
      <c r="J9125" s="27" t="s">
        <v>1862</v>
      </c>
      <c r="K9125" s="27" t="s">
        <v>13475</v>
      </c>
      <c r="L9125" s="27" t="s">
        <v>19</v>
      </c>
      <c r="N9125" s="27" t="s">
        <v>20</v>
      </c>
      <c r="P9125" s="27" t="s">
        <v>13510</v>
      </c>
      <c r="Q9125" s="26" t="str">
        <f>HYPERLINK("https://ictv.global/taxonomy/taxondetails?taxnode_id=202518127&amp;ictv_id=ICTV202318127","ICTV202318127")</f>
        <v>ICTV202318127</v>
      </c>
      <c r="R9125" t="s">
        <v>583</v>
      </c>
      <c r="S9125" t="s">
        <v>823</v>
      </c>
      <c r="T9125">
        <v>39</v>
      </c>
      <c r="U9125" s="26" t="str">
        <f t="shared" si="325"/>
        <v>2023.015F.Ghabrivirales_reorg.zip</v>
      </c>
    </row>
    <row r="9126" spans="1:21">
      <c r="A9126">
        <v>9125</v>
      </c>
      <c r="B9126" s="27" t="s">
        <v>1124</v>
      </c>
      <c r="D9126" s="27" t="s">
        <v>1859</v>
      </c>
      <c r="F9126" s="27" t="s">
        <v>1860</v>
      </c>
      <c r="H9126" s="27" t="s">
        <v>1861</v>
      </c>
      <c r="J9126" s="27" t="s">
        <v>1862</v>
      </c>
      <c r="K9126" s="27" t="s">
        <v>13475</v>
      </c>
      <c r="L9126" s="27" t="s">
        <v>19</v>
      </c>
      <c r="N9126" s="27" t="s">
        <v>20</v>
      </c>
      <c r="P9126" s="27" t="s">
        <v>13511</v>
      </c>
      <c r="Q9126" s="26" t="str">
        <f>HYPERLINK("https://ictv.global/taxonomy/taxondetails?taxnode_id=202518128&amp;ictv_id=ICTV202318128","ICTV202318128")</f>
        <v>ICTV202318128</v>
      </c>
      <c r="R9126" t="s">
        <v>583</v>
      </c>
      <c r="S9126" t="s">
        <v>823</v>
      </c>
      <c r="T9126">
        <v>39</v>
      </c>
      <c r="U9126" s="26" t="str">
        <f t="shared" si="325"/>
        <v>2023.015F.Ghabrivirales_reorg.zip</v>
      </c>
    </row>
    <row r="9127" spans="1:21">
      <c r="A9127">
        <v>9126</v>
      </c>
      <c r="B9127" s="27" t="s">
        <v>1124</v>
      </c>
      <c r="D9127" s="27" t="s">
        <v>1859</v>
      </c>
      <c r="F9127" s="27" t="s">
        <v>1860</v>
      </c>
      <c r="H9127" s="27" t="s">
        <v>1861</v>
      </c>
      <c r="J9127" s="27" t="s">
        <v>1862</v>
      </c>
      <c r="K9127" s="27" t="s">
        <v>13475</v>
      </c>
      <c r="L9127" s="27" t="s">
        <v>19</v>
      </c>
      <c r="N9127" s="27" t="s">
        <v>20</v>
      </c>
      <c r="P9127" s="27" t="s">
        <v>13512</v>
      </c>
      <c r="Q9127" s="26" t="str">
        <f>HYPERLINK("https://ictv.global/taxonomy/taxondetails?taxnode_id=202518129&amp;ictv_id=ICTV202318129","ICTV202318129")</f>
        <v>ICTV202318129</v>
      </c>
      <c r="R9127" t="s">
        <v>583</v>
      </c>
      <c r="S9127" t="s">
        <v>823</v>
      </c>
      <c r="T9127">
        <v>39</v>
      </c>
      <c r="U9127" s="26" t="str">
        <f t="shared" ref="U9127:U9158" si="326">HYPERLINK("https://ictv.global/ictv/proposals/2023.015F.Ghabrivirales_reorg.zip","2023.015F.Ghabrivirales_reorg.zip")</f>
        <v>2023.015F.Ghabrivirales_reorg.zip</v>
      </c>
    </row>
    <row r="9128" spans="1:21">
      <c r="A9128">
        <v>9127</v>
      </c>
      <c r="B9128" s="27" t="s">
        <v>1124</v>
      </c>
      <c r="D9128" s="27" t="s">
        <v>1859</v>
      </c>
      <c r="F9128" s="27" t="s">
        <v>1860</v>
      </c>
      <c r="H9128" s="27" t="s">
        <v>1861</v>
      </c>
      <c r="J9128" s="27" t="s">
        <v>1862</v>
      </c>
      <c r="K9128" s="27" t="s">
        <v>13475</v>
      </c>
      <c r="L9128" s="27" t="s">
        <v>13513</v>
      </c>
      <c r="N9128" s="27" t="s">
        <v>13514</v>
      </c>
      <c r="P9128" s="27" t="s">
        <v>13515</v>
      </c>
      <c r="Q9128" s="26" t="str">
        <f>HYPERLINK("https://ictv.global/taxonomy/taxondetails?taxnode_id=202505297&amp;ictv_id=ICTV19911509","ICTV19911509")</f>
        <v>ICTV19911509</v>
      </c>
      <c r="R9128" t="s">
        <v>583</v>
      </c>
      <c r="S9128" t="s">
        <v>22764</v>
      </c>
      <c r="T9128">
        <v>39</v>
      </c>
      <c r="U9128" s="26" t="str">
        <f t="shared" si="326"/>
        <v>2023.015F.Ghabrivirales_reorg.zip</v>
      </c>
    </row>
    <row r="9129" spans="1:21">
      <c r="A9129">
        <v>9128</v>
      </c>
      <c r="B9129" s="27" t="s">
        <v>1124</v>
      </c>
      <c r="D9129" s="27" t="s">
        <v>1859</v>
      </c>
      <c r="F9129" s="27" t="s">
        <v>1860</v>
      </c>
      <c r="H9129" s="27" t="s">
        <v>1861</v>
      </c>
      <c r="J9129" s="27" t="s">
        <v>1862</v>
      </c>
      <c r="K9129" s="27" t="s">
        <v>13475</v>
      </c>
      <c r="L9129" s="27" t="s">
        <v>13653</v>
      </c>
      <c r="N9129" s="27" t="s">
        <v>319</v>
      </c>
      <c r="P9129" s="27" t="s">
        <v>13654</v>
      </c>
      <c r="Q9129" s="26" t="str">
        <f>HYPERLINK("https://ictv.global/taxonomy/taxondetails?taxnode_id=202505299&amp;ictv_id=ICTV20133422","ICTV20133422")</f>
        <v>ICTV20133422</v>
      </c>
      <c r="R9129" t="s">
        <v>583</v>
      </c>
      <c r="S9129" t="s">
        <v>824</v>
      </c>
      <c r="T9129">
        <v>39</v>
      </c>
      <c r="U9129" s="26" t="str">
        <f t="shared" si="326"/>
        <v>2023.015F.Ghabrivirales_reorg.zip</v>
      </c>
    </row>
    <row r="9130" spans="1:21">
      <c r="A9130">
        <v>9129</v>
      </c>
      <c r="B9130" s="27" t="s">
        <v>1124</v>
      </c>
      <c r="D9130" s="27" t="s">
        <v>1859</v>
      </c>
      <c r="F9130" s="27" t="s">
        <v>1860</v>
      </c>
      <c r="H9130" s="27" t="s">
        <v>1861</v>
      </c>
      <c r="J9130" s="27" t="s">
        <v>1862</v>
      </c>
      <c r="K9130" s="27" t="s">
        <v>13475</v>
      </c>
      <c r="L9130" s="27" t="s">
        <v>13653</v>
      </c>
      <c r="N9130" s="27" t="s">
        <v>319</v>
      </c>
      <c r="P9130" s="27" t="s">
        <v>13655</v>
      </c>
      <c r="Q9130" s="26" t="str">
        <f>HYPERLINK("https://ictv.global/taxonomy/taxondetails?taxnode_id=202518130&amp;ictv_id=ICTV202318130","ICTV202318130")</f>
        <v>ICTV202318130</v>
      </c>
      <c r="R9130" t="s">
        <v>583</v>
      </c>
      <c r="S9130" t="s">
        <v>823</v>
      </c>
      <c r="T9130">
        <v>39</v>
      </c>
      <c r="U9130" s="26" t="str">
        <f t="shared" si="326"/>
        <v>2023.015F.Ghabrivirales_reorg.zip</v>
      </c>
    </row>
    <row r="9131" spans="1:21">
      <c r="A9131">
        <v>9130</v>
      </c>
      <c r="B9131" s="27" t="s">
        <v>1124</v>
      </c>
      <c r="D9131" s="27" t="s">
        <v>1859</v>
      </c>
      <c r="F9131" s="27" t="s">
        <v>1860</v>
      </c>
      <c r="H9131" s="27" t="s">
        <v>1861</v>
      </c>
      <c r="J9131" s="27" t="s">
        <v>1862</v>
      </c>
      <c r="K9131" s="27" t="s">
        <v>13475</v>
      </c>
      <c r="L9131" s="27" t="s">
        <v>13653</v>
      </c>
      <c r="N9131" s="27" t="s">
        <v>319</v>
      </c>
      <c r="P9131" s="27" t="s">
        <v>13656</v>
      </c>
      <c r="Q9131" s="26" t="str">
        <f>HYPERLINK("https://ictv.global/taxonomy/taxondetails?taxnode_id=202505293&amp;ictv_id=ICTV19821337","ICTV19821337")</f>
        <v>ICTV19821337</v>
      </c>
      <c r="R9131" t="s">
        <v>583</v>
      </c>
      <c r="S9131" t="s">
        <v>824</v>
      </c>
      <c r="T9131">
        <v>39</v>
      </c>
      <c r="U9131" s="26" t="str">
        <f t="shared" si="326"/>
        <v>2023.015F.Ghabrivirales_reorg.zip</v>
      </c>
    </row>
    <row r="9132" spans="1:21">
      <c r="A9132">
        <v>9131</v>
      </c>
      <c r="B9132" s="27" t="s">
        <v>1124</v>
      </c>
      <c r="D9132" s="27" t="s">
        <v>1859</v>
      </c>
      <c r="F9132" s="27" t="s">
        <v>1860</v>
      </c>
      <c r="H9132" s="27" t="s">
        <v>1861</v>
      </c>
      <c r="J9132" s="27" t="s">
        <v>1862</v>
      </c>
      <c r="K9132" s="27" t="s">
        <v>13475</v>
      </c>
      <c r="L9132" s="27" t="s">
        <v>13653</v>
      </c>
      <c r="N9132" s="27" t="s">
        <v>319</v>
      </c>
      <c r="P9132" s="27" t="s">
        <v>13657</v>
      </c>
      <c r="Q9132" s="26" t="str">
        <f>HYPERLINK("https://ictv.global/taxonomy/taxondetails?taxnode_id=202518131&amp;ictv_id=ICTV202318131","ICTV202318131")</f>
        <v>ICTV202318131</v>
      </c>
      <c r="R9132" t="s">
        <v>583</v>
      </c>
      <c r="S9132" t="s">
        <v>823</v>
      </c>
      <c r="T9132">
        <v>39</v>
      </c>
      <c r="U9132" s="26" t="str">
        <f t="shared" si="326"/>
        <v>2023.015F.Ghabrivirales_reorg.zip</v>
      </c>
    </row>
    <row r="9133" spans="1:21">
      <c r="A9133">
        <v>9132</v>
      </c>
      <c r="B9133" s="27" t="s">
        <v>1124</v>
      </c>
      <c r="D9133" s="27" t="s">
        <v>1859</v>
      </c>
      <c r="F9133" s="27" t="s">
        <v>1860</v>
      </c>
      <c r="H9133" s="27" t="s">
        <v>1861</v>
      </c>
      <c r="J9133" s="27" t="s">
        <v>1862</v>
      </c>
      <c r="K9133" s="27" t="s">
        <v>13475</v>
      </c>
      <c r="L9133" s="27" t="s">
        <v>13653</v>
      </c>
      <c r="N9133" s="27" t="s">
        <v>319</v>
      </c>
      <c r="P9133" s="27" t="s">
        <v>13658</v>
      </c>
      <c r="Q9133" s="26" t="str">
        <f>HYPERLINK("https://ictv.global/taxonomy/taxondetails?taxnode_id=202518132&amp;ictv_id=ICTV202318132","ICTV202318132")</f>
        <v>ICTV202318132</v>
      </c>
      <c r="R9133" t="s">
        <v>583</v>
      </c>
      <c r="S9133" t="s">
        <v>823</v>
      </c>
      <c r="T9133">
        <v>39</v>
      </c>
      <c r="U9133" s="26" t="str">
        <f t="shared" si="326"/>
        <v>2023.015F.Ghabrivirales_reorg.zip</v>
      </c>
    </row>
    <row r="9134" spans="1:21">
      <c r="A9134">
        <v>9133</v>
      </c>
      <c r="B9134" s="27" t="s">
        <v>1124</v>
      </c>
      <c r="D9134" s="27" t="s">
        <v>1859</v>
      </c>
      <c r="F9134" s="27" t="s">
        <v>1860</v>
      </c>
      <c r="H9134" s="27" t="s">
        <v>1861</v>
      </c>
      <c r="J9134" s="27" t="s">
        <v>1862</v>
      </c>
      <c r="K9134" s="27" t="s">
        <v>13475</v>
      </c>
      <c r="L9134" s="27" t="s">
        <v>13653</v>
      </c>
      <c r="N9134" s="27" t="s">
        <v>319</v>
      </c>
      <c r="P9134" s="27" t="s">
        <v>13659</v>
      </c>
      <c r="Q9134" s="26" t="str">
        <f>HYPERLINK("https://ictv.global/taxonomy/taxondetails?taxnode_id=202518133&amp;ictv_id=ICTV202318133","ICTV202318133")</f>
        <v>ICTV202318133</v>
      </c>
      <c r="R9134" t="s">
        <v>583</v>
      </c>
      <c r="S9134" t="s">
        <v>823</v>
      </c>
      <c r="T9134">
        <v>39</v>
      </c>
      <c r="U9134" s="26" t="str">
        <f t="shared" si="326"/>
        <v>2023.015F.Ghabrivirales_reorg.zip</v>
      </c>
    </row>
    <row r="9135" spans="1:21">
      <c r="A9135">
        <v>9134</v>
      </c>
      <c r="B9135" s="27" t="s">
        <v>1124</v>
      </c>
      <c r="D9135" s="27" t="s">
        <v>1859</v>
      </c>
      <c r="F9135" s="27" t="s">
        <v>1860</v>
      </c>
      <c r="H9135" s="27" t="s">
        <v>1861</v>
      </c>
      <c r="J9135" s="27" t="s">
        <v>1862</v>
      </c>
      <c r="K9135" s="27" t="s">
        <v>13475</v>
      </c>
      <c r="L9135" s="27" t="s">
        <v>13653</v>
      </c>
      <c r="N9135" s="27" t="s">
        <v>319</v>
      </c>
      <c r="P9135" s="27" t="s">
        <v>13660</v>
      </c>
      <c r="Q9135" s="26" t="str">
        <f>HYPERLINK("https://ictv.global/taxonomy/taxondetails?taxnode_id=202518134&amp;ictv_id=ICTV202318134","ICTV202318134")</f>
        <v>ICTV202318134</v>
      </c>
      <c r="R9135" t="s">
        <v>583</v>
      </c>
      <c r="S9135" t="s">
        <v>823</v>
      </c>
      <c r="T9135">
        <v>39</v>
      </c>
      <c r="U9135" s="26" t="str">
        <f t="shared" si="326"/>
        <v>2023.015F.Ghabrivirales_reorg.zip</v>
      </c>
    </row>
    <row r="9136" spans="1:21">
      <c r="A9136">
        <v>9135</v>
      </c>
      <c r="B9136" s="27" t="s">
        <v>1124</v>
      </c>
      <c r="D9136" s="27" t="s">
        <v>1859</v>
      </c>
      <c r="F9136" s="27" t="s">
        <v>1860</v>
      </c>
      <c r="H9136" s="27" t="s">
        <v>1861</v>
      </c>
      <c r="J9136" s="27" t="s">
        <v>1862</v>
      </c>
      <c r="K9136" s="27" t="s">
        <v>13475</v>
      </c>
      <c r="L9136" s="27" t="s">
        <v>13653</v>
      </c>
      <c r="N9136" s="27" t="s">
        <v>319</v>
      </c>
      <c r="P9136" s="27" t="s">
        <v>13661</v>
      </c>
      <c r="Q9136" s="26" t="str">
        <f>HYPERLINK("https://ictv.global/taxonomy/taxondetails?taxnode_id=202518135&amp;ictv_id=ICTV202318135","ICTV202318135")</f>
        <v>ICTV202318135</v>
      </c>
      <c r="R9136" t="s">
        <v>583</v>
      </c>
      <c r="S9136" t="s">
        <v>823</v>
      </c>
      <c r="T9136">
        <v>39</v>
      </c>
      <c r="U9136" s="26" t="str">
        <f t="shared" si="326"/>
        <v>2023.015F.Ghabrivirales_reorg.zip</v>
      </c>
    </row>
    <row r="9137" spans="1:21">
      <c r="A9137">
        <v>9136</v>
      </c>
      <c r="B9137" s="27" t="s">
        <v>1124</v>
      </c>
      <c r="D9137" s="27" t="s">
        <v>1859</v>
      </c>
      <c r="F9137" s="27" t="s">
        <v>1860</v>
      </c>
      <c r="H9137" s="27" t="s">
        <v>1861</v>
      </c>
      <c r="J9137" s="27" t="s">
        <v>1862</v>
      </c>
      <c r="K9137" s="27" t="s">
        <v>13475</v>
      </c>
      <c r="L9137" s="27" t="s">
        <v>13653</v>
      </c>
      <c r="N9137" s="27" t="s">
        <v>319</v>
      </c>
      <c r="P9137" s="27" t="s">
        <v>13662</v>
      </c>
      <c r="Q9137" s="26" t="str">
        <f>HYPERLINK("https://ictv.global/taxonomy/taxondetails?taxnode_id=202518136&amp;ictv_id=ICTV202318136","ICTV202318136")</f>
        <v>ICTV202318136</v>
      </c>
      <c r="R9137" t="s">
        <v>583</v>
      </c>
      <c r="S9137" t="s">
        <v>823</v>
      </c>
      <c r="T9137">
        <v>39</v>
      </c>
      <c r="U9137" s="26" t="str">
        <f t="shared" si="326"/>
        <v>2023.015F.Ghabrivirales_reorg.zip</v>
      </c>
    </row>
    <row r="9138" spans="1:21">
      <c r="A9138">
        <v>9137</v>
      </c>
      <c r="B9138" s="27" t="s">
        <v>1124</v>
      </c>
      <c r="D9138" s="27" t="s">
        <v>1859</v>
      </c>
      <c r="F9138" s="27" t="s">
        <v>1860</v>
      </c>
      <c r="H9138" s="27" t="s">
        <v>1861</v>
      </c>
      <c r="J9138" s="27" t="s">
        <v>1862</v>
      </c>
      <c r="K9138" s="27" t="s">
        <v>13475</v>
      </c>
      <c r="L9138" s="27" t="s">
        <v>13653</v>
      </c>
      <c r="N9138" s="27" t="s">
        <v>319</v>
      </c>
      <c r="P9138" s="27" t="s">
        <v>13663</v>
      </c>
      <c r="Q9138" s="26" t="str">
        <f>HYPERLINK("https://ictv.global/taxonomy/taxondetails?taxnode_id=202518137&amp;ictv_id=ICTV202318137","ICTV202318137")</f>
        <v>ICTV202318137</v>
      </c>
      <c r="R9138" t="s">
        <v>583</v>
      </c>
      <c r="S9138" t="s">
        <v>823</v>
      </c>
      <c r="T9138">
        <v>39</v>
      </c>
      <c r="U9138" s="26" t="str">
        <f t="shared" si="326"/>
        <v>2023.015F.Ghabrivirales_reorg.zip</v>
      </c>
    </row>
    <row r="9139" spans="1:21">
      <c r="A9139">
        <v>9138</v>
      </c>
      <c r="B9139" s="27" t="s">
        <v>1124</v>
      </c>
      <c r="D9139" s="27" t="s">
        <v>1859</v>
      </c>
      <c r="F9139" s="27" t="s">
        <v>1860</v>
      </c>
      <c r="H9139" s="27" t="s">
        <v>1861</v>
      </c>
      <c r="J9139" s="27" t="s">
        <v>1862</v>
      </c>
      <c r="K9139" s="27" t="s">
        <v>13475</v>
      </c>
      <c r="L9139" s="27" t="s">
        <v>13653</v>
      </c>
      <c r="N9139" s="27" t="s">
        <v>319</v>
      </c>
      <c r="P9139" s="27" t="s">
        <v>13664</v>
      </c>
      <c r="Q9139" s="26" t="str">
        <f>HYPERLINK("https://ictv.global/taxonomy/taxondetails?taxnode_id=202518138&amp;ictv_id=ICTV202318138","ICTV202318138")</f>
        <v>ICTV202318138</v>
      </c>
      <c r="R9139" t="s">
        <v>583</v>
      </c>
      <c r="S9139" t="s">
        <v>823</v>
      </c>
      <c r="T9139">
        <v>39</v>
      </c>
      <c r="U9139" s="26" t="str">
        <f t="shared" si="326"/>
        <v>2023.015F.Ghabrivirales_reorg.zip</v>
      </c>
    </row>
    <row r="9140" spans="1:21">
      <c r="A9140">
        <v>9139</v>
      </c>
      <c r="B9140" s="27" t="s">
        <v>1124</v>
      </c>
      <c r="D9140" s="27" t="s">
        <v>1859</v>
      </c>
      <c r="F9140" s="27" t="s">
        <v>1860</v>
      </c>
      <c r="H9140" s="27" t="s">
        <v>1861</v>
      </c>
      <c r="J9140" s="27" t="s">
        <v>1862</v>
      </c>
      <c r="K9140" s="27" t="s">
        <v>13475</v>
      </c>
      <c r="L9140" s="27" t="s">
        <v>13653</v>
      </c>
      <c r="N9140" s="27" t="s">
        <v>319</v>
      </c>
      <c r="P9140" s="27" t="s">
        <v>13665</v>
      </c>
      <c r="Q9140" s="26" t="str">
        <f>HYPERLINK("https://ictv.global/taxonomy/taxondetails?taxnode_id=202518139&amp;ictv_id=ICTV202318139","ICTV202318139")</f>
        <v>ICTV202318139</v>
      </c>
      <c r="R9140" t="s">
        <v>583</v>
      </c>
      <c r="S9140" t="s">
        <v>823</v>
      </c>
      <c r="T9140">
        <v>39</v>
      </c>
      <c r="U9140" s="26" t="str">
        <f t="shared" si="326"/>
        <v>2023.015F.Ghabrivirales_reorg.zip</v>
      </c>
    </row>
    <row r="9141" spans="1:21">
      <c r="A9141">
        <v>9140</v>
      </c>
      <c r="B9141" s="27" t="s">
        <v>1124</v>
      </c>
      <c r="D9141" s="27" t="s">
        <v>1859</v>
      </c>
      <c r="F9141" s="27" t="s">
        <v>1860</v>
      </c>
      <c r="H9141" s="27" t="s">
        <v>1861</v>
      </c>
      <c r="J9141" s="27" t="s">
        <v>1862</v>
      </c>
      <c r="K9141" s="27" t="s">
        <v>13475</v>
      </c>
      <c r="L9141" s="27" t="s">
        <v>13653</v>
      </c>
      <c r="N9141" s="27" t="s">
        <v>319</v>
      </c>
      <c r="P9141" s="27" t="s">
        <v>13666</v>
      </c>
      <c r="Q9141" s="26" t="str">
        <f>HYPERLINK("https://ictv.global/taxonomy/taxondetails?taxnode_id=202518140&amp;ictv_id=ICTV202318140","ICTV202318140")</f>
        <v>ICTV202318140</v>
      </c>
      <c r="R9141" t="s">
        <v>583</v>
      </c>
      <c r="S9141" t="s">
        <v>823</v>
      </c>
      <c r="T9141">
        <v>39</v>
      </c>
      <c r="U9141" s="26" t="str">
        <f t="shared" si="326"/>
        <v>2023.015F.Ghabrivirales_reorg.zip</v>
      </c>
    </row>
    <row r="9142" spans="1:21">
      <c r="A9142">
        <v>9141</v>
      </c>
      <c r="B9142" s="27" t="s">
        <v>1124</v>
      </c>
      <c r="D9142" s="27" t="s">
        <v>1859</v>
      </c>
      <c r="F9142" s="27" t="s">
        <v>1860</v>
      </c>
      <c r="H9142" s="27" t="s">
        <v>1861</v>
      </c>
      <c r="J9142" s="27" t="s">
        <v>1862</v>
      </c>
      <c r="K9142" s="27" t="s">
        <v>13475</v>
      </c>
      <c r="L9142" s="27" t="s">
        <v>13653</v>
      </c>
      <c r="N9142" s="27" t="s">
        <v>319</v>
      </c>
      <c r="P9142" s="27" t="s">
        <v>13667</v>
      </c>
      <c r="Q9142" s="26" t="str">
        <f>HYPERLINK("https://ictv.global/taxonomy/taxondetails?taxnode_id=202518141&amp;ictv_id=ICTV202318141","ICTV202318141")</f>
        <v>ICTV202318141</v>
      </c>
      <c r="R9142" t="s">
        <v>583</v>
      </c>
      <c r="S9142" t="s">
        <v>823</v>
      </c>
      <c r="T9142">
        <v>39</v>
      </c>
      <c r="U9142" s="26" t="str">
        <f t="shared" si="326"/>
        <v>2023.015F.Ghabrivirales_reorg.zip</v>
      </c>
    </row>
    <row r="9143" spans="1:21">
      <c r="A9143">
        <v>9142</v>
      </c>
      <c r="B9143" s="27" t="s">
        <v>1124</v>
      </c>
      <c r="D9143" s="27" t="s">
        <v>1859</v>
      </c>
      <c r="F9143" s="27" t="s">
        <v>1860</v>
      </c>
      <c r="H9143" s="27" t="s">
        <v>1861</v>
      </c>
      <c r="J9143" s="27" t="s">
        <v>1862</v>
      </c>
      <c r="K9143" s="27" t="s">
        <v>13475</v>
      </c>
      <c r="L9143" s="27" t="s">
        <v>13653</v>
      </c>
      <c r="N9143" s="27" t="s">
        <v>319</v>
      </c>
      <c r="P9143" s="27" t="s">
        <v>13668</v>
      </c>
      <c r="Q9143" s="26" t="str">
        <f>HYPERLINK("https://ictv.global/taxonomy/taxondetails?taxnode_id=202505294&amp;ictv_id=ICTV19991751","ICTV19991751")</f>
        <v>ICTV19991751</v>
      </c>
      <c r="R9143" t="s">
        <v>583</v>
      </c>
      <c r="S9143" t="s">
        <v>824</v>
      </c>
      <c r="T9143">
        <v>39</v>
      </c>
      <c r="U9143" s="26" t="str">
        <f t="shared" si="326"/>
        <v>2023.015F.Ghabrivirales_reorg.zip</v>
      </c>
    </row>
    <row r="9144" spans="1:21">
      <c r="A9144">
        <v>9143</v>
      </c>
      <c r="B9144" s="27" t="s">
        <v>1124</v>
      </c>
      <c r="D9144" s="27" t="s">
        <v>1859</v>
      </c>
      <c r="F9144" s="27" t="s">
        <v>1860</v>
      </c>
      <c r="H9144" s="27" t="s">
        <v>1861</v>
      </c>
      <c r="J9144" s="27" t="s">
        <v>1862</v>
      </c>
      <c r="K9144" s="27" t="s">
        <v>13475</v>
      </c>
      <c r="L9144" s="27" t="s">
        <v>13653</v>
      </c>
      <c r="N9144" s="27" t="s">
        <v>319</v>
      </c>
      <c r="P9144" s="27" t="s">
        <v>13669</v>
      </c>
      <c r="Q9144" s="26" t="str">
        <f>HYPERLINK("https://ictv.global/taxonomy/taxondetails?taxnode_id=202518142&amp;ictv_id=ICTV202318142","ICTV202318142")</f>
        <v>ICTV202318142</v>
      </c>
      <c r="R9144" t="s">
        <v>583</v>
      </c>
      <c r="S9144" t="s">
        <v>823</v>
      </c>
      <c r="T9144">
        <v>39</v>
      </c>
      <c r="U9144" s="26" t="str">
        <f t="shared" si="326"/>
        <v>2023.015F.Ghabrivirales_reorg.zip</v>
      </c>
    </row>
    <row r="9145" spans="1:21">
      <c r="A9145">
        <v>9144</v>
      </c>
      <c r="B9145" s="27" t="s">
        <v>1124</v>
      </c>
      <c r="D9145" s="27" t="s">
        <v>1859</v>
      </c>
      <c r="F9145" s="27" t="s">
        <v>1860</v>
      </c>
      <c r="H9145" s="27" t="s">
        <v>1861</v>
      </c>
      <c r="J9145" s="27" t="s">
        <v>1862</v>
      </c>
      <c r="K9145" s="27" t="s">
        <v>13475</v>
      </c>
      <c r="L9145" s="27" t="s">
        <v>13653</v>
      </c>
      <c r="N9145" s="27" t="s">
        <v>319</v>
      </c>
      <c r="P9145" s="27" t="s">
        <v>13670</v>
      </c>
      <c r="Q9145" s="26" t="str">
        <f>HYPERLINK("https://ictv.global/taxonomy/taxondetails?taxnode_id=202518143&amp;ictv_id=ICTV202318143","ICTV202318143")</f>
        <v>ICTV202318143</v>
      </c>
      <c r="R9145" t="s">
        <v>583</v>
      </c>
      <c r="S9145" t="s">
        <v>823</v>
      </c>
      <c r="T9145">
        <v>39</v>
      </c>
      <c r="U9145" s="26" t="str">
        <f t="shared" si="326"/>
        <v>2023.015F.Ghabrivirales_reorg.zip</v>
      </c>
    </row>
    <row r="9146" spans="1:21">
      <c r="A9146">
        <v>9145</v>
      </c>
      <c r="B9146" s="27" t="s">
        <v>1124</v>
      </c>
      <c r="D9146" s="27" t="s">
        <v>1859</v>
      </c>
      <c r="F9146" s="27" t="s">
        <v>1860</v>
      </c>
      <c r="H9146" s="27" t="s">
        <v>1861</v>
      </c>
      <c r="J9146" s="27" t="s">
        <v>1862</v>
      </c>
      <c r="K9146" s="27" t="s">
        <v>13475</v>
      </c>
      <c r="L9146" s="27" t="s">
        <v>13653</v>
      </c>
      <c r="N9146" s="27" t="s">
        <v>319</v>
      </c>
      <c r="P9146" s="27" t="s">
        <v>13671</v>
      </c>
      <c r="Q9146" s="26" t="str">
        <f>HYPERLINK("https://ictv.global/taxonomy/taxondetails?taxnode_id=202518144&amp;ictv_id=ICTV202318144","ICTV202318144")</f>
        <v>ICTV202318144</v>
      </c>
      <c r="R9146" t="s">
        <v>583</v>
      </c>
      <c r="S9146" t="s">
        <v>823</v>
      </c>
      <c r="T9146">
        <v>39</v>
      </c>
      <c r="U9146" s="26" t="str">
        <f t="shared" si="326"/>
        <v>2023.015F.Ghabrivirales_reorg.zip</v>
      </c>
    </row>
    <row r="9147" spans="1:21">
      <c r="A9147">
        <v>9146</v>
      </c>
      <c r="B9147" s="27" t="s">
        <v>1124</v>
      </c>
      <c r="D9147" s="27" t="s">
        <v>1859</v>
      </c>
      <c r="F9147" s="27" t="s">
        <v>1860</v>
      </c>
      <c r="H9147" s="27" t="s">
        <v>1861</v>
      </c>
      <c r="J9147" s="27" t="s">
        <v>1862</v>
      </c>
      <c r="K9147" s="27" t="s">
        <v>13475</v>
      </c>
      <c r="L9147" s="27" t="s">
        <v>13653</v>
      </c>
      <c r="N9147" s="27" t="s">
        <v>319</v>
      </c>
      <c r="P9147" s="27" t="s">
        <v>13672</v>
      </c>
      <c r="Q9147" s="26" t="str">
        <f>HYPERLINK("https://ictv.global/taxonomy/taxondetails?taxnode_id=202518145&amp;ictv_id=ICTV202318145","ICTV202318145")</f>
        <v>ICTV202318145</v>
      </c>
      <c r="R9147" t="s">
        <v>583</v>
      </c>
      <c r="S9147" t="s">
        <v>823</v>
      </c>
      <c r="T9147">
        <v>39</v>
      </c>
      <c r="U9147" s="26" t="str">
        <f t="shared" si="326"/>
        <v>2023.015F.Ghabrivirales_reorg.zip</v>
      </c>
    </row>
    <row r="9148" spans="1:21">
      <c r="A9148">
        <v>9147</v>
      </c>
      <c r="B9148" s="27" t="s">
        <v>1124</v>
      </c>
      <c r="D9148" s="27" t="s">
        <v>1859</v>
      </c>
      <c r="F9148" s="27" t="s">
        <v>1860</v>
      </c>
      <c r="H9148" s="27" t="s">
        <v>1861</v>
      </c>
      <c r="J9148" s="27" t="s">
        <v>1862</v>
      </c>
      <c r="K9148" s="27" t="s">
        <v>13475</v>
      </c>
      <c r="L9148" s="27" t="s">
        <v>13653</v>
      </c>
      <c r="N9148" s="27" t="s">
        <v>319</v>
      </c>
      <c r="P9148" s="27" t="s">
        <v>13673</v>
      </c>
      <c r="Q9148" s="26" t="str">
        <f>HYPERLINK("https://ictv.global/taxonomy/taxondetails?taxnode_id=202518146&amp;ictv_id=ICTV202318146","ICTV202318146")</f>
        <v>ICTV202318146</v>
      </c>
      <c r="R9148" t="s">
        <v>583</v>
      </c>
      <c r="S9148" t="s">
        <v>823</v>
      </c>
      <c r="T9148">
        <v>39</v>
      </c>
      <c r="U9148" s="26" t="str">
        <f t="shared" si="326"/>
        <v>2023.015F.Ghabrivirales_reorg.zip</v>
      </c>
    </row>
    <row r="9149" spans="1:21">
      <c r="A9149">
        <v>9148</v>
      </c>
      <c r="B9149" s="27" t="s">
        <v>1124</v>
      </c>
      <c r="D9149" s="27" t="s">
        <v>1859</v>
      </c>
      <c r="F9149" s="27" t="s">
        <v>1860</v>
      </c>
      <c r="H9149" s="27" t="s">
        <v>1861</v>
      </c>
      <c r="J9149" s="27" t="s">
        <v>1862</v>
      </c>
      <c r="K9149" s="27" t="s">
        <v>13475</v>
      </c>
      <c r="L9149" s="27" t="s">
        <v>13653</v>
      </c>
      <c r="N9149" s="27" t="s">
        <v>319</v>
      </c>
      <c r="P9149" s="27" t="s">
        <v>13674</v>
      </c>
      <c r="Q9149" s="26" t="str">
        <f>HYPERLINK("https://ictv.global/taxonomy/taxondetails?taxnode_id=202518147&amp;ictv_id=ICTV202318147","ICTV202318147")</f>
        <v>ICTV202318147</v>
      </c>
      <c r="R9149" t="s">
        <v>583</v>
      </c>
      <c r="S9149" t="s">
        <v>823</v>
      </c>
      <c r="T9149">
        <v>39</v>
      </c>
      <c r="U9149" s="26" t="str">
        <f t="shared" si="326"/>
        <v>2023.015F.Ghabrivirales_reorg.zip</v>
      </c>
    </row>
    <row r="9150" spans="1:21">
      <c r="A9150">
        <v>9149</v>
      </c>
      <c r="B9150" s="27" t="s">
        <v>1124</v>
      </c>
      <c r="D9150" s="27" t="s">
        <v>1859</v>
      </c>
      <c r="F9150" s="27" t="s">
        <v>1860</v>
      </c>
      <c r="H9150" s="27" t="s">
        <v>1861</v>
      </c>
      <c r="J9150" s="27" t="s">
        <v>1862</v>
      </c>
      <c r="K9150" s="27" t="s">
        <v>13475</v>
      </c>
      <c r="L9150" s="27" t="s">
        <v>13653</v>
      </c>
      <c r="N9150" s="27" t="s">
        <v>319</v>
      </c>
      <c r="P9150" s="27" t="s">
        <v>13675</v>
      </c>
      <c r="Q9150" s="26" t="str">
        <f>HYPERLINK("https://ictv.global/taxonomy/taxondetails?taxnode_id=202518148&amp;ictv_id=ICTV202318148","ICTV202318148")</f>
        <v>ICTV202318148</v>
      </c>
      <c r="R9150" t="s">
        <v>583</v>
      </c>
      <c r="S9150" t="s">
        <v>823</v>
      </c>
      <c r="T9150">
        <v>39</v>
      </c>
      <c r="U9150" s="26" t="str">
        <f t="shared" si="326"/>
        <v>2023.015F.Ghabrivirales_reorg.zip</v>
      </c>
    </row>
    <row r="9151" spans="1:21">
      <c r="A9151">
        <v>9150</v>
      </c>
      <c r="B9151" s="27" t="s">
        <v>1124</v>
      </c>
      <c r="D9151" s="27" t="s">
        <v>1859</v>
      </c>
      <c r="F9151" s="27" t="s">
        <v>1860</v>
      </c>
      <c r="H9151" s="27" t="s">
        <v>1861</v>
      </c>
      <c r="J9151" s="27" t="s">
        <v>1862</v>
      </c>
      <c r="K9151" s="27" t="s">
        <v>13475</v>
      </c>
      <c r="L9151" s="27" t="s">
        <v>13653</v>
      </c>
      <c r="N9151" s="27" t="s">
        <v>319</v>
      </c>
      <c r="P9151" s="27" t="s">
        <v>13676</v>
      </c>
      <c r="Q9151" s="26" t="str">
        <f>HYPERLINK("https://ictv.global/taxonomy/taxondetails?taxnode_id=202518149&amp;ictv_id=ICTV202318149","ICTV202318149")</f>
        <v>ICTV202318149</v>
      </c>
      <c r="R9151" t="s">
        <v>583</v>
      </c>
      <c r="S9151" t="s">
        <v>823</v>
      </c>
      <c r="T9151">
        <v>39</v>
      </c>
      <c r="U9151" s="26" t="str">
        <f t="shared" si="326"/>
        <v>2023.015F.Ghabrivirales_reorg.zip</v>
      </c>
    </row>
    <row r="9152" spans="1:21">
      <c r="A9152">
        <v>9151</v>
      </c>
      <c r="B9152" s="27" t="s">
        <v>1124</v>
      </c>
      <c r="D9152" s="27" t="s">
        <v>1859</v>
      </c>
      <c r="F9152" s="27" t="s">
        <v>1860</v>
      </c>
      <c r="H9152" s="27" t="s">
        <v>1861</v>
      </c>
      <c r="J9152" s="27" t="s">
        <v>1862</v>
      </c>
      <c r="K9152" s="27" t="s">
        <v>13475</v>
      </c>
      <c r="L9152" s="27" t="s">
        <v>13653</v>
      </c>
      <c r="N9152" s="27" t="s">
        <v>319</v>
      </c>
      <c r="P9152" s="27" t="s">
        <v>13677</v>
      </c>
      <c r="Q9152" s="26" t="str">
        <f>HYPERLINK("https://ictv.global/taxonomy/taxondetails?taxnode_id=202518150&amp;ictv_id=ICTV202318150","ICTV202318150")</f>
        <v>ICTV202318150</v>
      </c>
      <c r="R9152" t="s">
        <v>583</v>
      </c>
      <c r="S9152" t="s">
        <v>823</v>
      </c>
      <c r="T9152">
        <v>39</v>
      </c>
      <c r="U9152" s="26" t="str">
        <f t="shared" si="326"/>
        <v>2023.015F.Ghabrivirales_reorg.zip</v>
      </c>
    </row>
    <row r="9153" spans="1:21">
      <c r="A9153">
        <v>9152</v>
      </c>
      <c r="B9153" s="27" t="s">
        <v>1124</v>
      </c>
      <c r="D9153" s="27" t="s">
        <v>1859</v>
      </c>
      <c r="F9153" s="27" t="s">
        <v>1860</v>
      </c>
      <c r="H9153" s="27" t="s">
        <v>1861</v>
      </c>
      <c r="J9153" s="27" t="s">
        <v>1862</v>
      </c>
      <c r="K9153" s="27" t="s">
        <v>13475</v>
      </c>
      <c r="L9153" s="27" t="s">
        <v>13653</v>
      </c>
      <c r="N9153" s="27" t="s">
        <v>319</v>
      </c>
      <c r="P9153" s="27" t="s">
        <v>13678</v>
      </c>
      <c r="Q9153" s="26" t="str">
        <f>HYPERLINK("https://ictv.global/taxonomy/taxondetails?taxnode_id=202518151&amp;ictv_id=ICTV202318151","ICTV202318151")</f>
        <v>ICTV202318151</v>
      </c>
      <c r="R9153" t="s">
        <v>583</v>
      </c>
      <c r="S9153" t="s">
        <v>823</v>
      </c>
      <c r="T9153">
        <v>39</v>
      </c>
      <c r="U9153" s="26" t="str">
        <f t="shared" si="326"/>
        <v>2023.015F.Ghabrivirales_reorg.zip</v>
      </c>
    </row>
    <row r="9154" spans="1:21">
      <c r="A9154">
        <v>9153</v>
      </c>
      <c r="B9154" s="27" t="s">
        <v>1124</v>
      </c>
      <c r="D9154" s="27" t="s">
        <v>1859</v>
      </c>
      <c r="F9154" s="27" t="s">
        <v>1860</v>
      </c>
      <c r="H9154" s="27" t="s">
        <v>1861</v>
      </c>
      <c r="J9154" s="27" t="s">
        <v>1862</v>
      </c>
      <c r="K9154" s="27" t="s">
        <v>13475</v>
      </c>
      <c r="L9154" s="27" t="s">
        <v>13653</v>
      </c>
      <c r="N9154" s="27" t="s">
        <v>319</v>
      </c>
      <c r="P9154" s="27" t="s">
        <v>13679</v>
      </c>
      <c r="Q9154" s="26" t="str">
        <f>HYPERLINK("https://ictv.global/taxonomy/taxondetails?taxnode_id=202505295&amp;ictv_id=ICTV20133419","ICTV20133419")</f>
        <v>ICTV20133419</v>
      </c>
      <c r="R9154" t="s">
        <v>583</v>
      </c>
      <c r="S9154" t="s">
        <v>824</v>
      </c>
      <c r="T9154">
        <v>39</v>
      </c>
      <c r="U9154" s="26" t="str">
        <f t="shared" si="326"/>
        <v>2023.015F.Ghabrivirales_reorg.zip</v>
      </c>
    </row>
    <row r="9155" spans="1:21">
      <c r="A9155">
        <v>9154</v>
      </c>
      <c r="B9155" s="27" t="s">
        <v>1124</v>
      </c>
      <c r="D9155" s="27" t="s">
        <v>1859</v>
      </c>
      <c r="F9155" s="27" t="s">
        <v>1860</v>
      </c>
      <c r="H9155" s="27" t="s">
        <v>1861</v>
      </c>
      <c r="J9155" s="27" t="s">
        <v>1862</v>
      </c>
      <c r="K9155" s="27" t="s">
        <v>13475</v>
      </c>
      <c r="L9155" s="27" t="s">
        <v>13653</v>
      </c>
      <c r="N9155" s="27" t="s">
        <v>319</v>
      </c>
      <c r="P9155" s="27" t="s">
        <v>13680</v>
      </c>
      <c r="Q9155" s="26" t="str">
        <f>HYPERLINK("https://ictv.global/taxonomy/taxondetails?taxnode_id=202505296&amp;ictv_id=ICTV20133420","ICTV20133420")</f>
        <v>ICTV20133420</v>
      </c>
      <c r="R9155" t="s">
        <v>583</v>
      </c>
      <c r="S9155" t="s">
        <v>824</v>
      </c>
      <c r="T9155">
        <v>39</v>
      </c>
      <c r="U9155" s="26" t="str">
        <f t="shared" si="326"/>
        <v>2023.015F.Ghabrivirales_reorg.zip</v>
      </c>
    </row>
    <row r="9156" spans="1:21">
      <c r="A9156">
        <v>9155</v>
      </c>
      <c r="B9156" s="27" t="s">
        <v>1124</v>
      </c>
      <c r="D9156" s="27" t="s">
        <v>1859</v>
      </c>
      <c r="F9156" s="27" t="s">
        <v>1860</v>
      </c>
      <c r="H9156" s="27" t="s">
        <v>1861</v>
      </c>
      <c r="J9156" s="27" t="s">
        <v>1862</v>
      </c>
      <c r="K9156" s="27" t="s">
        <v>13475</v>
      </c>
      <c r="L9156" s="27" t="s">
        <v>13653</v>
      </c>
      <c r="N9156" s="27" t="s">
        <v>319</v>
      </c>
      <c r="P9156" s="27" t="s">
        <v>13681</v>
      </c>
      <c r="Q9156" s="26" t="str">
        <f>HYPERLINK("https://ictv.global/taxonomy/taxondetails?taxnode_id=202518152&amp;ictv_id=ICTV202318152","ICTV202318152")</f>
        <v>ICTV202318152</v>
      </c>
      <c r="R9156" t="s">
        <v>583</v>
      </c>
      <c r="S9156" t="s">
        <v>823</v>
      </c>
      <c r="T9156">
        <v>39</v>
      </c>
      <c r="U9156" s="26" t="str">
        <f t="shared" si="326"/>
        <v>2023.015F.Ghabrivirales_reorg.zip</v>
      </c>
    </row>
    <row r="9157" spans="1:21">
      <c r="A9157">
        <v>9156</v>
      </c>
      <c r="B9157" s="27" t="s">
        <v>1124</v>
      </c>
      <c r="D9157" s="27" t="s">
        <v>1859</v>
      </c>
      <c r="F9157" s="27" t="s">
        <v>1860</v>
      </c>
      <c r="H9157" s="27" t="s">
        <v>1861</v>
      </c>
      <c r="J9157" s="27" t="s">
        <v>1862</v>
      </c>
      <c r="K9157" s="27" t="s">
        <v>13475</v>
      </c>
      <c r="L9157" s="27" t="s">
        <v>13653</v>
      </c>
      <c r="N9157" s="27" t="s">
        <v>319</v>
      </c>
      <c r="P9157" s="27" t="s">
        <v>13682</v>
      </c>
      <c r="Q9157" s="26" t="str">
        <f>HYPERLINK("https://ictv.global/taxonomy/taxondetails?taxnode_id=202518153&amp;ictv_id=ICTV202318153","ICTV202318153")</f>
        <v>ICTV202318153</v>
      </c>
      <c r="R9157" t="s">
        <v>583</v>
      </c>
      <c r="S9157" t="s">
        <v>823</v>
      </c>
      <c r="T9157">
        <v>39</v>
      </c>
      <c r="U9157" s="26" t="str">
        <f t="shared" si="326"/>
        <v>2023.015F.Ghabrivirales_reorg.zip</v>
      </c>
    </row>
    <row r="9158" spans="1:21">
      <c r="A9158">
        <v>9157</v>
      </c>
      <c r="B9158" s="27" t="s">
        <v>1124</v>
      </c>
      <c r="D9158" s="27" t="s">
        <v>1859</v>
      </c>
      <c r="F9158" s="27" t="s">
        <v>1860</v>
      </c>
      <c r="H9158" s="27" t="s">
        <v>1861</v>
      </c>
      <c r="J9158" s="27" t="s">
        <v>1862</v>
      </c>
      <c r="K9158" s="27" t="s">
        <v>13475</v>
      </c>
      <c r="L9158" s="27" t="s">
        <v>13653</v>
      </c>
      <c r="N9158" s="27" t="s">
        <v>319</v>
      </c>
      <c r="P9158" s="27" t="s">
        <v>13683</v>
      </c>
      <c r="Q9158" s="26" t="str">
        <f>HYPERLINK("https://ictv.global/taxonomy/taxondetails?taxnode_id=202518154&amp;ictv_id=ICTV202318154","ICTV202318154")</f>
        <v>ICTV202318154</v>
      </c>
      <c r="R9158" t="s">
        <v>583</v>
      </c>
      <c r="S9158" t="s">
        <v>823</v>
      </c>
      <c r="T9158">
        <v>39</v>
      </c>
      <c r="U9158" s="26" t="str">
        <f t="shared" si="326"/>
        <v>2023.015F.Ghabrivirales_reorg.zip</v>
      </c>
    </row>
    <row r="9159" spans="1:21">
      <c r="A9159">
        <v>9158</v>
      </c>
      <c r="B9159" s="27" t="s">
        <v>1124</v>
      </c>
      <c r="D9159" s="27" t="s">
        <v>1859</v>
      </c>
      <c r="F9159" s="27" t="s">
        <v>1860</v>
      </c>
      <c r="H9159" s="27" t="s">
        <v>1861</v>
      </c>
      <c r="J9159" s="27" t="s">
        <v>1862</v>
      </c>
      <c r="K9159" s="27" t="s">
        <v>13475</v>
      </c>
      <c r="L9159" s="27" t="s">
        <v>13653</v>
      </c>
      <c r="N9159" s="27" t="s">
        <v>319</v>
      </c>
      <c r="P9159" s="27" t="s">
        <v>13684</v>
      </c>
      <c r="Q9159" s="26" t="str">
        <f>HYPERLINK("https://ictv.global/taxonomy/taxondetails?taxnode_id=202505298&amp;ictv_id=ICTV20133421","ICTV20133421")</f>
        <v>ICTV20133421</v>
      </c>
      <c r="R9159" t="s">
        <v>583</v>
      </c>
      <c r="S9159" t="s">
        <v>824</v>
      </c>
      <c r="T9159">
        <v>39</v>
      </c>
      <c r="U9159" s="26" t="str">
        <f t="shared" ref="U9159:U9173" si="327">HYPERLINK("https://ictv.global/ictv/proposals/2023.015F.Ghabrivirales_reorg.zip","2023.015F.Ghabrivirales_reorg.zip")</f>
        <v>2023.015F.Ghabrivirales_reorg.zip</v>
      </c>
    </row>
    <row r="9160" spans="1:21">
      <c r="A9160">
        <v>9159</v>
      </c>
      <c r="B9160" s="27" t="s">
        <v>1124</v>
      </c>
      <c r="D9160" s="27" t="s">
        <v>1859</v>
      </c>
      <c r="F9160" s="27" t="s">
        <v>1860</v>
      </c>
      <c r="H9160" s="27" t="s">
        <v>1861</v>
      </c>
      <c r="J9160" s="27" t="s">
        <v>1862</v>
      </c>
      <c r="K9160" s="27" t="s">
        <v>13475</v>
      </c>
      <c r="L9160" s="27" t="s">
        <v>13653</v>
      </c>
      <c r="N9160" s="27" t="s">
        <v>319</v>
      </c>
      <c r="P9160" s="27" t="s">
        <v>13685</v>
      </c>
      <c r="Q9160" s="26" t="str">
        <f>HYPERLINK("https://ictv.global/taxonomy/taxondetails?taxnode_id=202518155&amp;ictv_id=ICTV202318155","ICTV202318155")</f>
        <v>ICTV202318155</v>
      </c>
      <c r="R9160" t="s">
        <v>583</v>
      </c>
      <c r="S9160" t="s">
        <v>823</v>
      </c>
      <c r="T9160">
        <v>39</v>
      </c>
      <c r="U9160" s="26" t="str">
        <f t="shared" si="327"/>
        <v>2023.015F.Ghabrivirales_reorg.zip</v>
      </c>
    </row>
    <row r="9161" spans="1:21">
      <c r="A9161">
        <v>9160</v>
      </c>
      <c r="B9161" s="27" t="s">
        <v>1124</v>
      </c>
      <c r="D9161" s="27" t="s">
        <v>1859</v>
      </c>
      <c r="F9161" s="27" t="s">
        <v>1860</v>
      </c>
      <c r="H9161" s="27" t="s">
        <v>1861</v>
      </c>
      <c r="J9161" s="27" t="s">
        <v>1862</v>
      </c>
      <c r="K9161" s="27" t="s">
        <v>13475</v>
      </c>
      <c r="L9161" s="27" t="s">
        <v>13516</v>
      </c>
      <c r="N9161" s="27" t="s">
        <v>13517</v>
      </c>
      <c r="P9161" s="27" t="s">
        <v>13518</v>
      </c>
      <c r="Q9161" s="26" t="str">
        <f>HYPERLINK("https://ictv.global/taxonomy/taxondetails?taxnode_id=202518156&amp;ictv_id=ICTV202318156","ICTV202318156")</f>
        <v>ICTV202318156</v>
      </c>
      <c r="R9161" t="s">
        <v>583</v>
      </c>
      <c r="S9161" t="s">
        <v>823</v>
      </c>
      <c r="T9161">
        <v>39</v>
      </c>
      <c r="U9161" s="26" t="str">
        <f t="shared" si="327"/>
        <v>2023.015F.Ghabrivirales_reorg.zip</v>
      </c>
    </row>
    <row r="9162" spans="1:21">
      <c r="A9162">
        <v>9161</v>
      </c>
      <c r="B9162" s="27" t="s">
        <v>1124</v>
      </c>
      <c r="D9162" s="27" t="s">
        <v>1859</v>
      </c>
      <c r="F9162" s="27" t="s">
        <v>1860</v>
      </c>
      <c r="H9162" s="27" t="s">
        <v>1861</v>
      </c>
      <c r="J9162" s="27" t="s">
        <v>1862</v>
      </c>
      <c r="K9162" s="27" t="s">
        <v>13475</v>
      </c>
      <c r="L9162" s="27" t="s">
        <v>13516</v>
      </c>
      <c r="N9162" s="27" t="s">
        <v>13517</v>
      </c>
      <c r="P9162" s="27" t="s">
        <v>13519</v>
      </c>
      <c r="Q9162" s="26" t="str">
        <f>HYPERLINK("https://ictv.global/taxonomy/taxondetails?taxnode_id=202518157&amp;ictv_id=ICTV202318157","ICTV202318157")</f>
        <v>ICTV202318157</v>
      </c>
      <c r="R9162" t="s">
        <v>583</v>
      </c>
      <c r="S9162" t="s">
        <v>823</v>
      </c>
      <c r="T9162">
        <v>39</v>
      </c>
      <c r="U9162" s="26" t="str">
        <f t="shared" si="327"/>
        <v>2023.015F.Ghabrivirales_reorg.zip</v>
      </c>
    </row>
    <row r="9163" spans="1:21">
      <c r="A9163">
        <v>9162</v>
      </c>
      <c r="B9163" s="27" t="s">
        <v>1124</v>
      </c>
      <c r="D9163" s="27" t="s">
        <v>1859</v>
      </c>
      <c r="F9163" s="27" t="s">
        <v>1860</v>
      </c>
      <c r="H9163" s="27" t="s">
        <v>1861</v>
      </c>
      <c r="J9163" s="27" t="s">
        <v>1862</v>
      </c>
      <c r="K9163" s="27" t="s">
        <v>13475</v>
      </c>
      <c r="L9163" s="27" t="s">
        <v>13516</v>
      </c>
      <c r="N9163" s="27" t="s">
        <v>13517</v>
      </c>
      <c r="P9163" s="27" t="s">
        <v>13520</v>
      </c>
      <c r="Q9163" s="26" t="str">
        <f>HYPERLINK("https://ictv.global/taxonomy/taxondetails?taxnode_id=202518158&amp;ictv_id=ICTV202318158","ICTV202318158")</f>
        <v>ICTV202318158</v>
      </c>
      <c r="R9163" t="s">
        <v>583</v>
      </c>
      <c r="S9163" t="s">
        <v>823</v>
      </c>
      <c r="T9163">
        <v>39</v>
      </c>
      <c r="U9163" s="26" t="str">
        <f t="shared" si="327"/>
        <v>2023.015F.Ghabrivirales_reorg.zip</v>
      </c>
    </row>
    <row r="9164" spans="1:21">
      <c r="A9164">
        <v>9163</v>
      </c>
      <c r="B9164" s="27" t="s">
        <v>1124</v>
      </c>
      <c r="D9164" s="27" t="s">
        <v>1859</v>
      </c>
      <c r="F9164" s="27" t="s">
        <v>1860</v>
      </c>
      <c r="H9164" s="27" t="s">
        <v>1861</v>
      </c>
      <c r="J9164" s="27" t="s">
        <v>1862</v>
      </c>
      <c r="K9164" s="27" t="s">
        <v>13475</v>
      </c>
      <c r="L9164" s="27" t="s">
        <v>13516</v>
      </c>
      <c r="N9164" s="27" t="s">
        <v>13517</v>
      </c>
      <c r="P9164" s="27" t="s">
        <v>13521</v>
      </c>
      <c r="Q9164" s="26" t="str">
        <f>HYPERLINK("https://ictv.global/taxonomy/taxondetails?taxnode_id=202518159&amp;ictv_id=ICTV202318159","ICTV202318159")</f>
        <v>ICTV202318159</v>
      </c>
      <c r="R9164" t="s">
        <v>583</v>
      </c>
      <c r="S9164" t="s">
        <v>823</v>
      </c>
      <c r="T9164">
        <v>39</v>
      </c>
      <c r="U9164" s="26" t="str">
        <f t="shared" si="327"/>
        <v>2023.015F.Ghabrivirales_reorg.zip</v>
      </c>
    </row>
    <row r="9165" spans="1:21">
      <c r="A9165">
        <v>9164</v>
      </c>
      <c r="B9165" s="27" t="s">
        <v>1124</v>
      </c>
      <c r="D9165" s="27" t="s">
        <v>1859</v>
      </c>
      <c r="F9165" s="27" t="s">
        <v>1860</v>
      </c>
      <c r="H9165" s="27" t="s">
        <v>1861</v>
      </c>
      <c r="J9165" s="27" t="s">
        <v>1862</v>
      </c>
      <c r="K9165" s="27" t="s">
        <v>13475</v>
      </c>
      <c r="L9165" s="27" t="s">
        <v>13522</v>
      </c>
      <c r="N9165" s="27" t="s">
        <v>13523</v>
      </c>
      <c r="P9165" s="27" t="s">
        <v>13524</v>
      </c>
      <c r="Q9165" s="26" t="str">
        <f>HYPERLINK("https://ictv.global/taxonomy/taxondetails?taxnode_id=202518160&amp;ictv_id=ICTV202318160","ICTV202318160")</f>
        <v>ICTV202318160</v>
      </c>
      <c r="R9165" t="s">
        <v>583</v>
      </c>
      <c r="S9165" t="s">
        <v>823</v>
      </c>
      <c r="T9165">
        <v>39</v>
      </c>
      <c r="U9165" s="26" t="str">
        <f t="shared" si="327"/>
        <v>2023.015F.Ghabrivirales_reorg.zip</v>
      </c>
    </row>
    <row r="9166" spans="1:21">
      <c r="A9166">
        <v>9165</v>
      </c>
      <c r="B9166" s="27" t="s">
        <v>1124</v>
      </c>
      <c r="D9166" s="27" t="s">
        <v>1859</v>
      </c>
      <c r="F9166" s="27" t="s">
        <v>1860</v>
      </c>
      <c r="H9166" s="27" t="s">
        <v>1861</v>
      </c>
      <c r="J9166" s="27" t="s">
        <v>1862</v>
      </c>
      <c r="K9166" s="27" t="s">
        <v>13475</v>
      </c>
      <c r="L9166" s="27" t="s">
        <v>13522</v>
      </c>
      <c r="N9166" s="27" t="s">
        <v>13523</v>
      </c>
      <c r="P9166" s="27" t="s">
        <v>13525</v>
      </c>
      <c r="Q9166" s="26" t="str">
        <f>HYPERLINK("https://ictv.global/taxonomy/taxondetails?taxnode_id=202518161&amp;ictv_id=ICTV202318161","ICTV202318161")</f>
        <v>ICTV202318161</v>
      </c>
      <c r="R9166" t="s">
        <v>583</v>
      </c>
      <c r="S9166" t="s">
        <v>823</v>
      </c>
      <c r="T9166">
        <v>39</v>
      </c>
      <c r="U9166" s="26" t="str">
        <f t="shared" si="327"/>
        <v>2023.015F.Ghabrivirales_reorg.zip</v>
      </c>
    </row>
    <row r="9167" spans="1:21">
      <c r="A9167">
        <v>9166</v>
      </c>
      <c r="B9167" s="27" t="s">
        <v>1124</v>
      </c>
      <c r="D9167" s="27" t="s">
        <v>1859</v>
      </c>
      <c r="F9167" s="27" t="s">
        <v>1860</v>
      </c>
      <c r="H9167" s="27" t="s">
        <v>1861</v>
      </c>
      <c r="J9167" s="27" t="s">
        <v>1862</v>
      </c>
      <c r="K9167" s="27" t="s">
        <v>13475</v>
      </c>
      <c r="L9167" s="27" t="s">
        <v>13522</v>
      </c>
      <c r="N9167" s="27" t="s">
        <v>13523</v>
      </c>
      <c r="P9167" s="27" t="s">
        <v>13526</v>
      </c>
      <c r="Q9167" s="26" t="str">
        <f>HYPERLINK("https://ictv.global/taxonomy/taxondetails?taxnode_id=202518162&amp;ictv_id=ICTV202318162","ICTV202318162")</f>
        <v>ICTV202318162</v>
      </c>
      <c r="R9167" t="s">
        <v>583</v>
      </c>
      <c r="S9167" t="s">
        <v>823</v>
      </c>
      <c r="T9167">
        <v>39</v>
      </c>
      <c r="U9167" s="26" t="str">
        <f t="shared" si="327"/>
        <v>2023.015F.Ghabrivirales_reorg.zip</v>
      </c>
    </row>
    <row r="9168" spans="1:21">
      <c r="A9168">
        <v>9167</v>
      </c>
      <c r="B9168" s="27" t="s">
        <v>1124</v>
      </c>
      <c r="D9168" s="27" t="s">
        <v>1859</v>
      </c>
      <c r="F9168" s="27" t="s">
        <v>1860</v>
      </c>
      <c r="H9168" s="27" t="s">
        <v>1861</v>
      </c>
      <c r="J9168" s="27" t="s">
        <v>1862</v>
      </c>
      <c r="K9168" s="27" t="s">
        <v>13475</v>
      </c>
      <c r="L9168" s="27" t="s">
        <v>13522</v>
      </c>
      <c r="N9168" s="27" t="s">
        <v>359</v>
      </c>
      <c r="P9168" s="27" t="s">
        <v>13527</v>
      </c>
      <c r="Q9168" s="26" t="str">
        <f>HYPERLINK("https://ictv.global/taxonomy/taxondetails?taxnode_id=202518163&amp;ictv_id=ICTV202318163","ICTV202318163")</f>
        <v>ICTV202318163</v>
      </c>
      <c r="R9168" t="s">
        <v>583</v>
      </c>
      <c r="S9168" t="s">
        <v>823</v>
      </c>
      <c r="T9168">
        <v>39</v>
      </c>
      <c r="U9168" s="26" t="str">
        <f t="shared" si="327"/>
        <v>2023.015F.Ghabrivirales_reorg.zip</v>
      </c>
    </row>
    <row r="9169" spans="1:21">
      <c r="A9169">
        <v>9168</v>
      </c>
      <c r="B9169" s="27" t="s">
        <v>1124</v>
      </c>
      <c r="D9169" s="27" t="s">
        <v>1859</v>
      </c>
      <c r="F9169" s="27" t="s">
        <v>1860</v>
      </c>
      <c r="H9169" s="27" t="s">
        <v>1861</v>
      </c>
      <c r="J9169" s="27" t="s">
        <v>1862</v>
      </c>
      <c r="K9169" s="27" t="s">
        <v>13475</v>
      </c>
      <c r="L9169" s="27" t="s">
        <v>13522</v>
      </c>
      <c r="N9169" s="27" t="s">
        <v>359</v>
      </c>
      <c r="P9169" s="27" t="s">
        <v>13528</v>
      </c>
      <c r="Q9169" s="26" t="str">
        <f>HYPERLINK("https://ictv.global/taxonomy/taxondetails?taxnode_id=202505290&amp;ictv_id=ICTV19931791","ICTV19931791")</f>
        <v>ICTV19931791</v>
      </c>
      <c r="R9169" t="s">
        <v>583</v>
      </c>
      <c r="S9169" t="s">
        <v>824</v>
      </c>
      <c r="T9169">
        <v>39</v>
      </c>
      <c r="U9169" s="26" t="str">
        <f t="shared" si="327"/>
        <v>2023.015F.Ghabrivirales_reorg.zip</v>
      </c>
    </row>
    <row r="9170" spans="1:21">
      <c r="A9170">
        <v>9169</v>
      </c>
      <c r="B9170" s="27" t="s">
        <v>1124</v>
      </c>
      <c r="D9170" s="27" t="s">
        <v>1859</v>
      </c>
      <c r="F9170" s="27" t="s">
        <v>1860</v>
      </c>
      <c r="H9170" s="27" t="s">
        <v>1861</v>
      </c>
      <c r="J9170" s="27" t="s">
        <v>1862</v>
      </c>
      <c r="K9170" s="27" t="s">
        <v>13475</v>
      </c>
      <c r="L9170" s="27" t="s">
        <v>13522</v>
      </c>
      <c r="N9170" s="27" t="s">
        <v>359</v>
      </c>
      <c r="P9170" s="27" t="s">
        <v>13529</v>
      </c>
      <c r="Q9170" s="26" t="str">
        <f>HYPERLINK("https://ictv.global/taxonomy/taxondetails?taxnode_id=202505291&amp;ictv_id=ICTV19952301","ICTV19952301")</f>
        <v>ICTV19952301</v>
      </c>
      <c r="R9170" t="s">
        <v>583</v>
      </c>
      <c r="S9170" t="s">
        <v>824</v>
      </c>
      <c r="T9170">
        <v>39</v>
      </c>
      <c r="U9170" s="26" t="str">
        <f t="shared" si="327"/>
        <v>2023.015F.Ghabrivirales_reorg.zip</v>
      </c>
    </row>
    <row r="9171" spans="1:21">
      <c r="A9171">
        <v>9170</v>
      </c>
      <c r="B9171" s="27" t="s">
        <v>1124</v>
      </c>
      <c r="D9171" s="27" t="s">
        <v>1859</v>
      </c>
      <c r="F9171" s="27" t="s">
        <v>1860</v>
      </c>
      <c r="H9171" s="27" t="s">
        <v>1861</v>
      </c>
      <c r="J9171" s="27" t="s">
        <v>1862</v>
      </c>
      <c r="K9171" s="27" t="s">
        <v>13475</v>
      </c>
      <c r="L9171" s="27" t="s">
        <v>13522</v>
      </c>
      <c r="N9171" s="27" t="s">
        <v>359</v>
      </c>
      <c r="P9171" s="27" t="s">
        <v>13530</v>
      </c>
      <c r="Q9171" s="26" t="str">
        <f>HYPERLINK("https://ictv.global/taxonomy/taxondetails?taxnode_id=202518164&amp;ictv_id=ICTV202318164","ICTV202318164")</f>
        <v>ICTV202318164</v>
      </c>
      <c r="R9171" t="s">
        <v>583</v>
      </c>
      <c r="S9171" t="s">
        <v>823</v>
      </c>
      <c r="T9171">
        <v>39</v>
      </c>
      <c r="U9171" s="26" t="str">
        <f t="shared" si="327"/>
        <v>2023.015F.Ghabrivirales_reorg.zip</v>
      </c>
    </row>
    <row r="9172" spans="1:21">
      <c r="A9172">
        <v>9171</v>
      </c>
      <c r="B9172" s="27" t="s">
        <v>1124</v>
      </c>
      <c r="D9172" s="27" t="s">
        <v>1859</v>
      </c>
      <c r="F9172" s="27" t="s">
        <v>1860</v>
      </c>
      <c r="H9172" s="27" t="s">
        <v>1861</v>
      </c>
      <c r="J9172" s="27" t="s">
        <v>1862</v>
      </c>
      <c r="K9172" s="27" t="s">
        <v>13475</v>
      </c>
      <c r="L9172" s="27" t="s">
        <v>13522</v>
      </c>
      <c r="N9172" s="27" t="s">
        <v>359</v>
      </c>
      <c r="P9172" s="27" t="s">
        <v>13531</v>
      </c>
      <c r="Q9172" s="26" t="str">
        <f>HYPERLINK("https://ictv.global/taxonomy/taxondetails?taxnode_id=202518165&amp;ictv_id=ICTV202318165","ICTV202318165")</f>
        <v>ICTV202318165</v>
      </c>
      <c r="R9172" t="s">
        <v>583</v>
      </c>
      <c r="S9172" t="s">
        <v>823</v>
      </c>
      <c r="T9172">
        <v>39</v>
      </c>
      <c r="U9172" s="26" t="str">
        <f t="shared" si="327"/>
        <v>2023.015F.Ghabrivirales_reorg.zip</v>
      </c>
    </row>
    <row r="9173" spans="1:21">
      <c r="A9173">
        <v>9172</v>
      </c>
      <c r="B9173" s="27" t="s">
        <v>1124</v>
      </c>
      <c r="D9173" s="27" t="s">
        <v>1859</v>
      </c>
      <c r="F9173" s="27" t="s">
        <v>1860</v>
      </c>
      <c r="H9173" s="27" t="s">
        <v>1861</v>
      </c>
      <c r="J9173" s="27" t="s">
        <v>1862</v>
      </c>
      <c r="K9173" s="27" t="s">
        <v>13475</v>
      </c>
      <c r="L9173" s="27" t="s">
        <v>13522</v>
      </c>
      <c r="N9173" s="27" t="s">
        <v>359</v>
      </c>
      <c r="P9173" s="27" t="s">
        <v>13532</v>
      </c>
      <c r="Q9173" s="26" t="str">
        <f>HYPERLINK("https://ictv.global/taxonomy/taxondetails?taxnode_id=202518166&amp;ictv_id=ICTV202318166","ICTV202318166")</f>
        <v>ICTV202318166</v>
      </c>
      <c r="R9173" t="s">
        <v>583</v>
      </c>
      <c r="S9173" t="s">
        <v>823</v>
      </c>
      <c r="T9173">
        <v>39</v>
      </c>
      <c r="U9173" s="26" t="str">
        <f t="shared" si="327"/>
        <v>2023.015F.Ghabrivirales_reorg.zip</v>
      </c>
    </row>
    <row r="9174" spans="1:21">
      <c r="A9174">
        <v>9173</v>
      </c>
      <c r="B9174" s="27" t="s">
        <v>1124</v>
      </c>
      <c r="D9174" s="27" t="s">
        <v>1859</v>
      </c>
      <c r="F9174" s="27" t="s">
        <v>1860</v>
      </c>
      <c r="H9174" s="27" t="s">
        <v>1861</v>
      </c>
      <c r="J9174" s="27" t="s">
        <v>1862</v>
      </c>
      <c r="K9174" s="27" t="s">
        <v>13475</v>
      </c>
      <c r="L9174" s="27" t="s">
        <v>13522</v>
      </c>
      <c r="N9174" s="27" t="s">
        <v>108</v>
      </c>
      <c r="P9174" s="27" t="s">
        <v>13533</v>
      </c>
      <c r="Q9174" s="26" t="str">
        <f>HYPERLINK("https://ictv.global/taxonomy/taxondetails?taxnode_id=202505301&amp;ictv_id=ICTV20115361","ICTV20115361")</f>
        <v>ICTV20115361</v>
      </c>
      <c r="R9174" t="s">
        <v>583</v>
      </c>
      <c r="S9174" t="s">
        <v>824</v>
      </c>
      <c r="T9174">
        <v>39</v>
      </c>
      <c r="U9174" s="26" t="str">
        <f>HYPERLINK("https://ictv.global/ictv/proposals/2023.002F.Trichomonasvirus_1nsp_spren.zip","2023.002F.Trichomonasvirus_1nsp_spren.zip")</f>
        <v>2023.002F.Trichomonasvirus_1nsp_spren.zip</v>
      </c>
    </row>
    <row r="9175" spans="1:21">
      <c r="A9175">
        <v>9174</v>
      </c>
      <c r="B9175" s="27" t="s">
        <v>1124</v>
      </c>
      <c r="D9175" s="27" t="s">
        <v>1859</v>
      </c>
      <c r="F9175" s="27" t="s">
        <v>1860</v>
      </c>
      <c r="H9175" s="27" t="s">
        <v>1861</v>
      </c>
      <c r="J9175" s="27" t="s">
        <v>1862</v>
      </c>
      <c r="K9175" s="27" t="s">
        <v>13475</v>
      </c>
      <c r="L9175" s="27" t="s">
        <v>13522</v>
      </c>
      <c r="N9175" s="27" t="s">
        <v>108</v>
      </c>
      <c r="P9175" s="27" t="s">
        <v>13534</v>
      </c>
      <c r="Q9175" s="26" t="str">
        <f>HYPERLINK("https://ictv.global/taxonomy/taxondetails?taxnode_id=202505304&amp;ictv_id=ICTV20133427","ICTV20133427")</f>
        <v>ICTV20133427</v>
      </c>
      <c r="R9175" t="s">
        <v>583</v>
      </c>
      <c r="S9175" t="s">
        <v>824</v>
      </c>
      <c r="T9175">
        <v>39</v>
      </c>
      <c r="U9175" s="26" t="str">
        <f>HYPERLINK("https://ictv.global/ictv/proposals/2023.002F.Trichomonasvirus_1nsp_spren.zip","2023.002F.Trichomonasvirus_1nsp_spren.zip")</f>
        <v>2023.002F.Trichomonasvirus_1nsp_spren.zip</v>
      </c>
    </row>
    <row r="9176" spans="1:21">
      <c r="A9176">
        <v>9175</v>
      </c>
      <c r="B9176" s="27" t="s">
        <v>1124</v>
      </c>
      <c r="D9176" s="27" t="s">
        <v>1859</v>
      </c>
      <c r="F9176" s="27" t="s">
        <v>1860</v>
      </c>
      <c r="H9176" s="27" t="s">
        <v>1861</v>
      </c>
      <c r="J9176" s="27" t="s">
        <v>1862</v>
      </c>
      <c r="K9176" s="27" t="s">
        <v>13475</v>
      </c>
      <c r="L9176" s="27" t="s">
        <v>13522</v>
      </c>
      <c r="N9176" s="27" t="s">
        <v>108</v>
      </c>
      <c r="P9176" s="27" t="s">
        <v>13535</v>
      </c>
      <c r="Q9176" s="26" t="str">
        <f>HYPERLINK("https://ictv.global/taxonomy/taxondetails?taxnode_id=202517749&amp;ictv_id=ICTV202317749","ICTV202317749")</f>
        <v>ICTV202317749</v>
      </c>
      <c r="R9176" t="s">
        <v>583</v>
      </c>
      <c r="S9176" t="s">
        <v>823</v>
      </c>
      <c r="T9176">
        <v>39</v>
      </c>
      <c r="U9176" s="26" t="str">
        <f>HYPERLINK("https://ictv.global/ictv/proposals/2023.002F.Trichomonasvirus_1nsp_spren.zip","2023.002F.Trichomonasvirus_1nsp_spren.zip")</f>
        <v>2023.002F.Trichomonasvirus_1nsp_spren.zip</v>
      </c>
    </row>
    <row r="9177" spans="1:21">
      <c r="A9177">
        <v>9176</v>
      </c>
      <c r="B9177" s="27" t="s">
        <v>1124</v>
      </c>
      <c r="D9177" s="27" t="s">
        <v>1859</v>
      </c>
      <c r="F9177" s="27" t="s">
        <v>1860</v>
      </c>
      <c r="H9177" s="27" t="s">
        <v>1861</v>
      </c>
      <c r="J9177" s="27" t="s">
        <v>1862</v>
      </c>
      <c r="K9177" s="27" t="s">
        <v>13475</v>
      </c>
      <c r="L9177" s="27" t="s">
        <v>13522</v>
      </c>
      <c r="N9177" s="27" t="s">
        <v>108</v>
      </c>
      <c r="P9177" s="27" t="s">
        <v>13536</v>
      </c>
      <c r="Q9177" s="26" t="str">
        <f>HYPERLINK("https://ictv.global/taxonomy/taxondetails?taxnode_id=202505302&amp;ictv_id=ICTV20115362","ICTV20115362")</f>
        <v>ICTV20115362</v>
      </c>
      <c r="R9177" t="s">
        <v>583</v>
      </c>
      <c r="S9177" t="s">
        <v>824</v>
      </c>
      <c r="T9177">
        <v>39</v>
      </c>
      <c r="U9177" s="26" t="str">
        <f>HYPERLINK("https://ictv.global/ictv/proposals/2023.002F.Trichomonasvirus_1nsp_spren.zip","2023.002F.Trichomonasvirus_1nsp_spren.zip")</f>
        <v>2023.002F.Trichomonasvirus_1nsp_spren.zip</v>
      </c>
    </row>
    <row r="9178" spans="1:21">
      <c r="A9178">
        <v>9177</v>
      </c>
      <c r="B9178" s="27" t="s">
        <v>1124</v>
      </c>
      <c r="D9178" s="27" t="s">
        <v>1859</v>
      </c>
      <c r="F9178" s="27" t="s">
        <v>1860</v>
      </c>
      <c r="H9178" s="27" t="s">
        <v>1861</v>
      </c>
      <c r="J9178" s="27" t="s">
        <v>1862</v>
      </c>
      <c r="K9178" s="27" t="s">
        <v>13475</v>
      </c>
      <c r="L9178" s="27" t="s">
        <v>13522</v>
      </c>
      <c r="N9178" s="27" t="s">
        <v>108</v>
      </c>
      <c r="P9178" s="27" t="s">
        <v>13537</v>
      </c>
      <c r="Q9178" s="26" t="str">
        <f>HYPERLINK("https://ictv.global/taxonomy/taxondetails?taxnode_id=202505303&amp;ictv_id=ICTV20115363","ICTV20115363")</f>
        <v>ICTV20115363</v>
      </c>
      <c r="R9178" t="s">
        <v>583</v>
      </c>
      <c r="S9178" t="s">
        <v>824</v>
      </c>
      <c r="T9178">
        <v>39</v>
      </c>
      <c r="U9178" s="26" t="str">
        <f>HYPERLINK("https://ictv.global/ictv/proposals/2023.002F.Trichomonasvirus_1nsp_spren.zip","2023.002F.Trichomonasvirus_1nsp_spren.zip")</f>
        <v>2023.002F.Trichomonasvirus_1nsp_spren.zip</v>
      </c>
    </row>
    <row r="9179" spans="1:21">
      <c r="A9179">
        <v>9178</v>
      </c>
      <c r="B9179" s="27" t="s">
        <v>1124</v>
      </c>
      <c r="D9179" s="27" t="s">
        <v>1859</v>
      </c>
      <c r="F9179" s="27" t="s">
        <v>1860</v>
      </c>
      <c r="H9179" s="27" t="s">
        <v>1861</v>
      </c>
      <c r="J9179" s="27" t="s">
        <v>1862</v>
      </c>
      <c r="K9179" s="27" t="s">
        <v>13475</v>
      </c>
      <c r="L9179" s="27" t="s">
        <v>13522</v>
      </c>
      <c r="N9179" s="27" t="s">
        <v>200</v>
      </c>
      <c r="P9179" s="27" t="s">
        <v>13538</v>
      </c>
      <c r="Q9179" s="26" t="str">
        <f>HYPERLINK("https://ictv.global/taxonomy/taxondetails?taxnode_id=202505309&amp;ictv_id=ICTV20095166","ICTV20095166")</f>
        <v>ICTV20095166</v>
      </c>
      <c r="R9179" t="s">
        <v>583</v>
      </c>
      <c r="S9179" t="s">
        <v>824</v>
      </c>
      <c r="T9179">
        <v>39</v>
      </c>
      <c r="U9179" s="26" t="str">
        <f t="shared" ref="U9179:U9210" si="328">HYPERLINK("https://ictv.global/ictv/proposals/2023.015F.Ghabrivirales_reorg.zip","2023.015F.Ghabrivirales_reorg.zip")</f>
        <v>2023.015F.Ghabrivirales_reorg.zip</v>
      </c>
    </row>
    <row r="9180" spans="1:21">
      <c r="A9180">
        <v>9179</v>
      </c>
      <c r="B9180" s="27" t="s">
        <v>1124</v>
      </c>
      <c r="D9180" s="27" t="s">
        <v>1859</v>
      </c>
      <c r="F9180" s="27" t="s">
        <v>1860</v>
      </c>
      <c r="H9180" s="27" t="s">
        <v>1861</v>
      </c>
      <c r="J9180" s="27" t="s">
        <v>1862</v>
      </c>
      <c r="K9180" s="27" t="s">
        <v>13475</v>
      </c>
      <c r="L9180" s="27" t="s">
        <v>13522</v>
      </c>
      <c r="N9180" s="27" t="s">
        <v>200</v>
      </c>
      <c r="P9180" s="27" t="s">
        <v>13539</v>
      </c>
      <c r="Q9180" s="26" t="str">
        <f>HYPERLINK("https://ictv.global/taxonomy/taxondetails?taxnode_id=202505310&amp;ictv_id=ICTV20095167","ICTV20095167")</f>
        <v>ICTV20095167</v>
      </c>
      <c r="R9180" t="s">
        <v>583</v>
      </c>
      <c r="S9180" t="s">
        <v>824</v>
      </c>
      <c r="T9180">
        <v>39</v>
      </c>
      <c r="U9180" s="26" t="str">
        <f t="shared" si="328"/>
        <v>2023.015F.Ghabrivirales_reorg.zip</v>
      </c>
    </row>
    <row r="9181" spans="1:21">
      <c r="A9181">
        <v>9180</v>
      </c>
      <c r="B9181" s="27" t="s">
        <v>1124</v>
      </c>
      <c r="D9181" s="27" t="s">
        <v>1859</v>
      </c>
      <c r="F9181" s="27" t="s">
        <v>1860</v>
      </c>
      <c r="H9181" s="27" t="s">
        <v>1861</v>
      </c>
      <c r="J9181" s="27" t="s">
        <v>1862</v>
      </c>
      <c r="K9181" s="27" t="s">
        <v>13475</v>
      </c>
      <c r="L9181" s="27" t="s">
        <v>13522</v>
      </c>
      <c r="N9181" s="27" t="s">
        <v>200</v>
      </c>
      <c r="P9181" s="27" t="s">
        <v>13540</v>
      </c>
      <c r="Q9181" s="26" t="str">
        <f>HYPERLINK("https://ictv.global/taxonomy/taxondetails?taxnode_id=202505313&amp;ictv_id=ICTV19911507","ICTV19911507")</f>
        <v>ICTV19911507</v>
      </c>
      <c r="R9181" t="s">
        <v>583</v>
      </c>
      <c r="S9181" t="s">
        <v>824</v>
      </c>
      <c r="T9181">
        <v>39</v>
      </c>
      <c r="U9181" s="26" t="str">
        <f t="shared" si="328"/>
        <v>2023.015F.Ghabrivirales_reorg.zip</v>
      </c>
    </row>
    <row r="9182" spans="1:21">
      <c r="A9182">
        <v>9181</v>
      </c>
      <c r="B9182" s="27" t="s">
        <v>1124</v>
      </c>
      <c r="D9182" s="27" t="s">
        <v>1859</v>
      </c>
      <c r="F9182" s="27" t="s">
        <v>1860</v>
      </c>
      <c r="H9182" s="27" t="s">
        <v>1861</v>
      </c>
      <c r="J9182" s="27" t="s">
        <v>1862</v>
      </c>
      <c r="K9182" s="27" t="s">
        <v>13475</v>
      </c>
      <c r="L9182" s="27" t="s">
        <v>13522</v>
      </c>
      <c r="N9182" s="27" t="s">
        <v>200</v>
      </c>
      <c r="P9182" s="27" t="s">
        <v>13541</v>
      </c>
      <c r="Q9182" s="26" t="str">
        <f>HYPERLINK("https://ictv.global/taxonomy/taxondetails?taxnode_id=202505315&amp;ictv_id=ICTV20133440","ICTV20133440")</f>
        <v>ICTV20133440</v>
      </c>
      <c r="R9182" t="s">
        <v>583</v>
      </c>
      <c r="S9182" t="s">
        <v>824</v>
      </c>
      <c r="T9182">
        <v>39</v>
      </c>
      <c r="U9182" s="26" t="str">
        <f t="shared" si="328"/>
        <v>2023.015F.Ghabrivirales_reorg.zip</v>
      </c>
    </row>
    <row r="9183" spans="1:21">
      <c r="A9183">
        <v>9182</v>
      </c>
      <c r="B9183" s="27" t="s">
        <v>1124</v>
      </c>
      <c r="D9183" s="27" t="s">
        <v>1859</v>
      </c>
      <c r="F9183" s="27" t="s">
        <v>1860</v>
      </c>
      <c r="H9183" s="27" t="s">
        <v>1861</v>
      </c>
      <c r="J9183" s="27" t="s">
        <v>1862</v>
      </c>
      <c r="K9183" s="27" t="s">
        <v>13475</v>
      </c>
      <c r="L9183" s="27" t="s">
        <v>13522</v>
      </c>
      <c r="N9183" s="27" t="s">
        <v>200</v>
      </c>
      <c r="P9183" s="27" t="s">
        <v>13542</v>
      </c>
      <c r="Q9183" s="26" t="str">
        <f>HYPERLINK("https://ictv.global/taxonomy/taxondetails?taxnode_id=202505316&amp;ictv_id=ICTV20133441","ICTV20133441")</f>
        <v>ICTV20133441</v>
      </c>
      <c r="R9183" t="s">
        <v>583</v>
      </c>
      <c r="S9183" t="s">
        <v>824</v>
      </c>
      <c r="T9183">
        <v>39</v>
      </c>
      <c r="U9183" s="26" t="str">
        <f t="shared" si="328"/>
        <v>2023.015F.Ghabrivirales_reorg.zip</v>
      </c>
    </row>
    <row r="9184" spans="1:21">
      <c r="A9184">
        <v>9183</v>
      </c>
      <c r="B9184" s="27" t="s">
        <v>1124</v>
      </c>
      <c r="D9184" s="27" t="s">
        <v>1859</v>
      </c>
      <c r="F9184" s="27" t="s">
        <v>1860</v>
      </c>
      <c r="H9184" s="27" t="s">
        <v>1861</v>
      </c>
      <c r="J9184" s="27" t="s">
        <v>1862</v>
      </c>
      <c r="K9184" s="27" t="s">
        <v>13475</v>
      </c>
      <c r="L9184" s="27" t="s">
        <v>13522</v>
      </c>
      <c r="N9184" s="27" t="s">
        <v>200</v>
      </c>
      <c r="P9184" s="27" t="s">
        <v>13543</v>
      </c>
      <c r="Q9184" s="26" t="str">
        <f>HYPERLINK("https://ictv.global/taxonomy/taxondetails?taxnode_id=202518167&amp;ictv_id=ICTV202318167","ICTV202318167")</f>
        <v>ICTV202318167</v>
      </c>
      <c r="R9184" t="s">
        <v>583</v>
      </c>
      <c r="S9184" t="s">
        <v>823</v>
      </c>
      <c r="T9184">
        <v>39</v>
      </c>
      <c r="U9184" s="26" t="str">
        <f t="shared" si="328"/>
        <v>2023.015F.Ghabrivirales_reorg.zip</v>
      </c>
    </row>
    <row r="9185" spans="1:21">
      <c r="A9185">
        <v>9184</v>
      </c>
      <c r="B9185" s="27" t="s">
        <v>1124</v>
      </c>
      <c r="D9185" s="27" t="s">
        <v>1859</v>
      </c>
      <c r="F9185" s="27" t="s">
        <v>1860</v>
      </c>
      <c r="H9185" s="27" t="s">
        <v>1861</v>
      </c>
      <c r="J9185" s="27" t="s">
        <v>1862</v>
      </c>
      <c r="K9185" s="27" t="s">
        <v>13475</v>
      </c>
      <c r="L9185" s="27" t="s">
        <v>13522</v>
      </c>
      <c r="N9185" s="27" t="s">
        <v>200</v>
      </c>
      <c r="P9185" s="27" t="s">
        <v>13544</v>
      </c>
      <c r="Q9185" s="26" t="str">
        <f>HYPERLINK("https://ictv.global/taxonomy/taxondetails?taxnode_id=202505319&amp;ictv_id=ICTV20133442","ICTV20133442")</f>
        <v>ICTV20133442</v>
      </c>
      <c r="R9185" t="s">
        <v>583</v>
      </c>
      <c r="S9185" t="s">
        <v>824</v>
      </c>
      <c r="T9185">
        <v>39</v>
      </c>
      <c r="U9185" s="26" t="str">
        <f t="shared" si="328"/>
        <v>2023.015F.Ghabrivirales_reorg.zip</v>
      </c>
    </row>
    <row r="9186" spans="1:21">
      <c r="A9186">
        <v>9185</v>
      </c>
      <c r="B9186" s="27" t="s">
        <v>1124</v>
      </c>
      <c r="D9186" s="27" t="s">
        <v>1859</v>
      </c>
      <c r="F9186" s="27" t="s">
        <v>1860</v>
      </c>
      <c r="H9186" s="27" t="s">
        <v>1861</v>
      </c>
      <c r="J9186" s="27" t="s">
        <v>1862</v>
      </c>
      <c r="K9186" s="27" t="s">
        <v>13475</v>
      </c>
      <c r="L9186" s="27" t="s">
        <v>13522</v>
      </c>
      <c r="N9186" s="27" t="s">
        <v>200</v>
      </c>
      <c r="P9186" s="27" t="s">
        <v>13545</v>
      </c>
      <c r="Q9186" s="26" t="str">
        <f>HYPERLINK("https://ictv.global/taxonomy/taxondetails?taxnode_id=202518168&amp;ictv_id=ICTV202318168","ICTV202318168")</f>
        <v>ICTV202318168</v>
      </c>
      <c r="R9186" t="s">
        <v>583</v>
      </c>
      <c r="S9186" t="s">
        <v>823</v>
      </c>
      <c r="T9186">
        <v>39</v>
      </c>
      <c r="U9186" s="26" t="str">
        <f t="shared" si="328"/>
        <v>2023.015F.Ghabrivirales_reorg.zip</v>
      </c>
    </row>
    <row r="9187" spans="1:21">
      <c r="A9187">
        <v>9186</v>
      </c>
      <c r="B9187" s="27" t="s">
        <v>1124</v>
      </c>
      <c r="D9187" s="27" t="s">
        <v>1859</v>
      </c>
      <c r="F9187" s="27" t="s">
        <v>1860</v>
      </c>
      <c r="H9187" s="27" t="s">
        <v>1861</v>
      </c>
      <c r="J9187" s="27" t="s">
        <v>1862</v>
      </c>
      <c r="K9187" s="27" t="s">
        <v>13475</v>
      </c>
      <c r="L9187" s="27" t="s">
        <v>13522</v>
      </c>
      <c r="N9187" s="27" t="s">
        <v>200</v>
      </c>
      <c r="P9187" s="27" t="s">
        <v>13546</v>
      </c>
      <c r="Q9187" s="26" t="str">
        <f>HYPERLINK("https://ictv.global/taxonomy/taxondetails?taxnode_id=202505306&amp;ictv_id=ICTV20133438","ICTV20133438")</f>
        <v>ICTV20133438</v>
      </c>
      <c r="R9187" t="s">
        <v>583</v>
      </c>
      <c r="S9187" t="s">
        <v>824</v>
      </c>
      <c r="T9187">
        <v>39</v>
      </c>
      <c r="U9187" s="26" t="str">
        <f t="shared" si="328"/>
        <v>2023.015F.Ghabrivirales_reorg.zip</v>
      </c>
    </row>
    <row r="9188" spans="1:21">
      <c r="A9188">
        <v>9187</v>
      </c>
      <c r="B9188" s="27" t="s">
        <v>1124</v>
      </c>
      <c r="D9188" s="27" t="s">
        <v>1859</v>
      </c>
      <c r="F9188" s="27" t="s">
        <v>1860</v>
      </c>
      <c r="H9188" s="27" t="s">
        <v>1861</v>
      </c>
      <c r="J9188" s="27" t="s">
        <v>1862</v>
      </c>
      <c r="K9188" s="27" t="s">
        <v>13475</v>
      </c>
      <c r="L9188" s="27" t="s">
        <v>13522</v>
      </c>
      <c r="N9188" s="27" t="s">
        <v>200</v>
      </c>
      <c r="P9188" s="27" t="s">
        <v>13547</v>
      </c>
      <c r="Q9188" s="26" t="str">
        <f>HYPERLINK("https://ictv.global/taxonomy/taxondetails?taxnode_id=202518169&amp;ictv_id=ICTV202318169","ICTV202318169")</f>
        <v>ICTV202318169</v>
      </c>
      <c r="R9188" t="s">
        <v>583</v>
      </c>
      <c r="S9188" t="s">
        <v>823</v>
      </c>
      <c r="T9188">
        <v>39</v>
      </c>
      <c r="U9188" s="26" t="str">
        <f t="shared" si="328"/>
        <v>2023.015F.Ghabrivirales_reorg.zip</v>
      </c>
    </row>
    <row r="9189" spans="1:21">
      <c r="A9189">
        <v>9188</v>
      </c>
      <c r="B9189" s="27" t="s">
        <v>1124</v>
      </c>
      <c r="D9189" s="27" t="s">
        <v>1859</v>
      </c>
      <c r="F9189" s="27" t="s">
        <v>1860</v>
      </c>
      <c r="H9189" s="27" t="s">
        <v>1861</v>
      </c>
      <c r="J9189" s="27" t="s">
        <v>1862</v>
      </c>
      <c r="K9189" s="27" t="s">
        <v>13475</v>
      </c>
      <c r="L9189" s="27" t="s">
        <v>13522</v>
      </c>
      <c r="N9189" s="27" t="s">
        <v>200</v>
      </c>
      <c r="P9189" s="27" t="s">
        <v>13548</v>
      </c>
      <c r="Q9189" s="26" t="str">
        <f>HYPERLINK("https://ictv.global/taxonomy/taxondetails?taxnode_id=202505307&amp;ictv_id=ICTV20133439","ICTV20133439")</f>
        <v>ICTV20133439</v>
      </c>
      <c r="R9189" t="s">
        <v>583</v>
      </c>
      <c r="S9189" t="s">
        <v>824</v>
      </c>
      <c r="T9189">
        <v>39</v>
      </c>
      <c r="U9189" s="26" t="str">
        <f t="shared" si="328"/>
        <v>2023.015F.Ghabrivirales_reorg.zip</v>
      </c>
    </row>
    <row r="9190" spans="1:21">
      <c r="A9190">
        <v>9189</v>
      </c>
      <c r="B9190" s="27" t="s">
        <v>1124</v>
      </c>
      <c r="D9190" s="27" t="s">
        <v>1859</v>
      </c>
      <c r="F9190" s="27" t="s">
        <v>1860</v>
      </c>
      <c r="H9190" s="27" t="s">
        <v>1861</v>
      </c>
      <c r="J9190" s="27" t="s">
        <v>1862</v>
      </c>
      <c r="K9190" s="27" t="s">
        <v>13475</v>
      </c>
      <c r="L9190" s="27" t="s">
        <v>13522</v>
      </c>
      <c r="N9190" s="27" t="s">
        <v>200</v>
      </c>
      <c r="P9190" s="27" t="s">
        <v>13549</v>
      </c>
      <c r="Q9190" s="26" t="str">
        <f>HYPERLINK("https://ictv.global/taxonomy/taxondetails?taxnode_id=202518170&amp;ictv_id=ICTV202318170","ICTV202318170")</f>
        <v>ICTV202318170</v>
      </c>
      <c r="R9190" t="s">
        <v>583</v>
      </c>
      <c r="S9190" t="s">
        <v>823</v>
      </c>
      <c r="T9190">
        <v>39</v>
      </c>
      <c r="U9190" s="26" t="str">
        <f t="shared" si="328"/>
        <v>2023.015F.Ghabrivirales_reorg.zip</v>
      </c>
    </row>
    <row r="9191" spans="1:21">
      <c r="A9191">
        <v>9190</v>
      </c>
      <c r="B9191" s="27" t="s">
        <v>1124</v>
      </c>
      <c r="D9191" s="27" t="s">
        <v>1859</v>
      </c>
      <c r="F9191" s="27" t="s">
        <v>1860</v>
      </c>
      <c r="H9191" s="27" t="s">
        <v>1861</v>
      </c>
      <c r="J9191" s="27" t="s">
        <v>1862</v>
      </c>
      <c r="K9191" s="27" t="s">
        <v>13475</v>
      </c>
      <c r="L9191" s="27" t="s">
        <v>13522</v>
      </c>
      <c r="N9191" s="27" t="s">
        <v>200</v>
      </c>
      <c r="P9191" s="27" t="s">
        <v>13550</v>
      </c>
      <c r="Q9191" s="26" t="str">
        <f>HYPERLINK("https://ictv.global/taxonomy/taxondetails?taxnode_id=202518171&amp;ictv_id=ICTV202318171","ICTV202318171")</f>
        <v>ICTV202318171</v>
      </c>
      <c r="R9191" t="s">
        <v>583</v>
      </c>
      <c r="S9191" t="s">
        <v>823</v>
      </c>
      <c r="T9191">
        <v>39</v>
      </c>
      <c r="U9191" s="26" t="str">
        <f t="shared" si="328"/>
        <v>2023.015F.Ghabrivirales_reorg.zip</v>
      </c>
    </row>
    <row r="9192" spans="1:21">
      <c r="A9192">
        <v>9191</v>
      </c>
      <c r="B9192" s="27" t="s">
        <v>1124</v>
      </c>
      <c r="D9192" s="27" t="s">
        <v>1859</v>
      </c>
      <c r="F9192" s="27" t="s">
        <v>1860</v>
      </c>
      <c r="H9192" s="27" t="s">
        <v>1861</v>
      </c>
      <c r="J9192" s="27" t="s">
        <v>1862</v>
      </c>
      <c r="K9192" s="27" t="s">
        <v>13475</v>
      </c>
      <c r="L9192" s="27" t="s">
        <v>13522</v>
      </c>
      <c r="N9192" s="27" t="s">
        <v>200</v>
      </c>
      <c r="P9192" s="27" t="s">
        <v>13551</v>
      </c>
      <c r="Q9192" s="26" t="str">
        <f>HYPERLINK("https://ictv.global/taxonomy/taxondetails?taxnode_id=202505314&amp;ictv_id=ICTV20095171","ICTV20095171")</f>
        <v>ICTV20095171</v>
      </c>
      <c r="R9192" t="s">
        <v>583</v>
      </c>
      <c r="S9192" t="s">
        <v>824</v>
      </c>
      <c r="T9192">
        <v>39</v>
      </c>
      <c r="U9192" s="26" t="str">
        <f t="shared" si="328"/>
        <v>2023.015F.Ghabrivirales_reorg.zip</v>
      </c>
    </row>
    <row r="9193" spans="1:21">
      <c r="A9193">
        <v>9192</v>
      </c>
      <c r="B9193" s="27" t="s">
        <v>1124</v>
      </c>
      <c r="D9193" s="27" t="s">
        <v>1859</v>
      </c>
      <c r="F9193" s="27" t="s">
        <v>1860</v>
      </c>
      <c r="H9193" s="27" t="s">
        <v>1861</v>
      </c>
      <c r="J9193" s="27" t="s">
        <v>1862</v>
      </c>
      <c r="K9193" s="27" t="s">
        <v>13475</v>
      </c>
      <c r="L9193" s="27" t="s">
        <v>13522</v>
      </c>
      <c r="N9193" s="27" t="s">
        <v>200</v>
      </c>
      <c r="P9193" s="27" t="s">
        <v>13552</v>
      </c>
      <c r="Q9193" s="26" t="str">
        <f>HYPERLINK("https://ictv.global/taxonomy/taxondetails?taxnode_id=202505308&amp;ictv_id=ICTV20095165","ICTV20095165")</f>
        <v>ICTV20095165</v>
      </c>
      <c r="R9193" t="s">
        <v>583</v>
      </c>
      <c r="S9193" t="s">
        <v>824</v>
      </c>
      <c r="T9193">
        <v>39</v>
      </c>
      <c r="U9193" s="26" t="str">
        <f t="shared" si="328"/>
        <v>2023.015F.Ghabrivirales_reorg.zip</v>
      </c>
    </row>
    <row r="9194" spans="1:21">
      <c r="A9194">
        <v>9193</v>
      </c>
      <c r="B9194" s="27" t="s">
        <v>1124</v>
      </c>
      <c r="D9194" s="27" t="s">
        <v>1859</v>
      </c>
      <c r="F9194" s="27" t="s">
        <v>1860</v>
      </c>
      <c r="H9194" s="27" t="s">
        <v>1861</v>
      </c>
      <c r="J9194" s="27" t="s">
        <v>1862</v>
      </c>
      <c r="K9194" s="27" t="s">
        <v>13475</v>
      </c>
      <c r="L9194" s="27" t="s">
        <v>13522</v>
      </c>
      <c r="N9194" s="27" t="s">
        <v>200</v>
      </c>
      <c r="P9194" s="27" t="s">
        <v>13553</v>
      </c>
      <c r="Q9194" s="26" t="str">
        <f>HYPERLINK("https://ictv.global/taxonomy/taxondetails?taxnode_id=202518172&amp;ictv_id=ICTV202318172","ICTV202318172")</f>
        <v>ICTV202318172</v>
      </c>
      <c r="R9194" t="s">
        <v>583</v>
      </c>
      <c r="S9194" t="s">
        <v>823</v>
      </c>
      <c r="T9194">
        <v>39</v>
      </c>
      <c r="U9194" s="26" t="str">
        <f t="shared" si="328"/>
        <v>2023.015F.Ghabrivirales_reorg.zip</v>
      </c>
    </row>
    <row r="9195" spans="1:21">
      <c r="A9195">
        <v>9194</v>
      </c>
      <c r="B9195" s="27" t="s">
        <v>1124</v>
      </c>
      <c r="D9195" s="27" t="s">
        <v>1859</v>
      </c>
      <c r="F9195" s="27" t="s">
        <v>1860</v>
      </c>
      <c r="H9195" s="27" t="s">
        <v>1861</v>
      </c>
      <c r="J9195" s="27" t="s">
        <v>1862</v>
      </c>
      <c r="K9195" s="27" t="s">
        <v>13475</v>
      </c>
      <c r="L9195" s="27" t="s">
        <v>13522</v>
      </c>
      <c r="N9195" s="27" t="s">
        <v>200</v>
      </c>
      <c r="P9195" s="27" t="s">
        <v>13554</v>
      </c>
      <c r="Q9195" s="26" t="str">
        <f>HYPERLINK("https://ictv.global/taxonomy/taxondetails?taxnode_id=202518173&amp;ictv_id=ICTV202318173","ICTV202318173")</f>
        <v>ICTV202318173</v>
      </c>
      <c r="R9195" t="s">
        <v>583</v>
      </c>
      <c r="S9195" t="s">
        <v>823</v>
      </c>
      <c r="T9195">
        <v>39</v>
      </c>
      <c r="U9195" s="26" t="str">
        <f t="shared" si="328"/>
        <v>2023.015F.Ghabrivirales_reorg.zip</v>
      </c>
    </row>
    <row r="9196" spans="1:21">
      <c r="A9196">
        <v>9195</v>
      </c>
      <c r="B9196" s="27" t="s">
        <v>1124</v>
      </c>
      <c r="D9196" s="27" t="s">
        <v>1859</v>
      </c>
      <c r="F9196" s="27" t="s">
        <v>1860</v>
      </c>
      <c r="H9196" s="27" t="s">
        <v>1861</v>
      </c>
      <c r="J9196" s="27" t="s">
        <v>1862</v>
      </c>
      <c r="K9196" s="27" t="s">
        <v>13475</v>
      </c>
      <c r="L9196" s="27" t="s">
        <v>13522</v>
      </c>
      <c r="N9196" s="27" t="s">
        <v>200</v>
      </c>
      <c r="P9196" s="27" t="s">
        <v>13555</v>
      </c>
      <c r="Q9196" s="26" t="str">
        <f>HYPERLINK("https://ictv.global/taxonomy/taxondetails?taxnode_id=202518174&amp;ictv_id=ICTV202318174","ICTV202318174")</f>
        <v>ICTV202318174</v>
      </c>
      <c r="R9196" t="s">
        <v>583</v>
      </c>
      <c r="S9196" t="s">
        <v>823</v>
      </c>
      <c r="T9196">
        <v>39</v>
      </c>
      <c r="U9196" s="26" t="str">
        <f t="shared" si="328"/>
        <v>2023.015F.Ghabrivirales_reorg.zip</v>
      </c>
    </row>
    <row r="9197" spans="1:21">
      <c r="A9197">
        <v>9196</v>
      </c>
      <c r="B9197" s="27" t="s">
        <v>1124</v>
      </c>
      <c r="D9197" s="27" t="s">
        <v>1859</v>
      </c>
      <c r="F9197" s="27" t="s">
        <v>1860</v>
      </c>
      <c r="H9197" s="27" t="s">
        <v>1861</v>
      </c>
      <c r="J9197" s="27" t="s">
        <v>1862</v>
      </c>
      <c r="K9197" s="27" t="s">
        <v>13475</v>
      </c>
      <c r="L9197" s="27" t="s">
        <v>13522</v>
      </c>
      <c r="N9197" s="27" t="s">
        <v>200</v>
      </c>
      <c r="P9197" s="27" t="s">
        <v>13556</v>
      </c>
      <c r="Q9197" s="26" t="str">
        <f>HYPERLINK("https://ictv.global/taxonomy/taxondetails?taxnode_id=202518175&amp;ictv_id=ICTV202318175","ICTV202318175")</f>
        <v>ICTV202318175</v>
      </c>
      <c r="R9197" t="s">
        <v>583</v>
      </c>
      <c r="S9197" t="s">
        <v>823</v>
      </c>
      <c r="T9197">
        <v>39</v>
      </c>
      <c r="U9197" s="26" t="str">
        <f t="shared" si="328"/>
        <v>2023.015F.Ghabrivirales_reorg.zip</v>
      </c>
    </row>
    <row r="9198" spans="1:21">
      <c r="A9198">
        <v>9197</v>
      </c>
      <c r="B9198" s="27" t="s">
        <v>1124</v>
      </c>
      <c r="D9198" s="27" t="s">
        <v>1859</v>
      </c>
      <c r="F9198" s="27" t="s">
        <v>1860</v>
      </c>
      <c r="H9198" s="27" t="s">
        <v>1861</v>
      </c>
      <c r="J9198" s="27" t="s">
        <v>1862</v>
      </c>
      <c r="K9198" s="27" t="s">
        <v>13475</v>
      </c>
      <c r="L9198" s="27" t="s">
        <v>13522</v>
      </c>
      <c r="N9198" s="27" t="s">
        <v>200</v>
      </c>
      <c r="P9198" s="27" t="s">
        <v>13557</v>
      </c>
      <c r="Q9198" s="26" t="str">
        <f>HYPERLINK("https://ictv.global/taxonomy/taxondetails?taxnode_id=202518176&amp;ictv_id=ICTV202318176","ICTV202318176")</f>
        <v>ICTV202318176</v>
      </c>
      <c r="R9198" t="s">
        <v>583</v>
      </c>
      <c r="S9198" t="s">
        <v>823</v>
      </c>
      <c r="T9198">
        <v>39</v>
      </c>
      <c r="U9198" s="26" t="str">
        <f t="shared" si="328"/>
        <v>2023.015F.Ghabrivirales_reorg.zip</v>
      </c>
    </row>
    <row r="9199" spans="1:21">
      <c r="A9199">
        <v>9198</v>
      </c>
      <c r="B9199" s="27" t="s">
        <v>1124</v>
      </c>
      <c r="D9199" s="27" t="s">
        <v>1859</v>
      </c>
      <c r="F9199" s="27" t="s">
        <v>1860</v>
      </c>
      <c r="H9199" s="27" t="s">
        <v>1861</v>
      </c>
      <c r="J9199" s="27" t="s">
        <v>1862</v>
      </c>
      <c r="K9199" s="27" t="s">
        <v>13475</v>
      </c>
      <c r="L9199" s="27" t="s">
        <v>13522</v>
      </c>
      <c r="N9199" s="27" t="s">
        <v>200</v>
      </c>
      <c r="P9199" s="27" t="s">
        <v>13558</v>
      </c>
      <c r="Q9199" s="26" t="str">
        <f>HYPERLINK("https://ictv.global/taxonomy/taxondetails?taxnode_id=202518177&amp;ictv_id=ICTV202318177","ICTV202318177")</f>
        <v>ICTV202318177</v>
      </c>
      <c r="R9199" t="s">
        <v>583</v>
      </c>
      <c r="S9199" t="s">
        <v>823</v>
      </c>
      <c r="T9199">
        <v>39</v>
      </c>
      <c r="U9199" s="26" t="str">
        <f t="shared" si="328"/>
        <v>2023.015F.Ghabrivirales_reorg.zip</v>
      </c>
    </row>
    <row r="9200" spans="1:21">
      <c r="A9200">
        <v>9199</v>
      </c>
      <c r="B9200" s="27" t="s">
        <v>1124</v>
      </c>
      <c r="D9200" s="27" t="s">
        <v>1859</v>
      </c>
      <c r="F9200" s="27" t="s">
        <v>1860</v>
      </c>
      <c r="H9200" s="27" t="s">
        <v>1861</v>
      </c>
      <c r="J9200" s="27" t="s">
        <v>1862</v>
      </c>
      <c r="K9200" s="27" t="s">
        <v>13475</v>
      </c>
      <c r="L9200" s="27" t="s">
        <v>13522</v>
      </c>
      <c r="N9200" s="27" t="s">
        <v>200</v>
      </c>
      <c r="P9200" s="27" t="s">
        <v>13559</v>
      </c>
      <c r="Q9200" s="26" t="str">
        <f>HYPERLINK("https://ictv.global/taxonomy/taxondetails?taxnode_id=202518178&amp;ictv_id=ICTV202318178","ICTV202318178")</f>
        <v>ICTV202318178</v>
      </c>
      <c r="R9200" t="s">
        <v>583</v>
      </c>
      <c r="S9200" t="s">
        <v>823</v>
      </c>
      <c r="T9200">
        <v>39</v>
      </c>
      <c r="U9200" s="26" t="str">
        <f t="shared" si="328"/>
        <v>2023.015F.Ghabrivirales_reorg.zip</v>
      </c>
    </row>
    <row r="9201" spans="1:21">
      <c r="A9201">
        <v>9200</v>
      </c>
      <c r="B9201" s="27" t="s">
        <v>1124</v>
      </c>
      <c r="D9201" s="27" t="s">
        <v>1859</v>
      </c>
      <c r="F9201" s="27" t="s">
        <v>1860</v>
      </c>
      <c r="H9201" s="27" t="s">
        <v>1861</v>
      </c>
      <c r="J9201" s="27" t="s">
        <v>1862</v>
      </c>
      <c r="K9201" s="27" t="s">
        <v>13475</v>
      </c>
      <c r="L9201" s="27" t="s">
        <v>13522</v>
      </c>
      <c r="N9201" s="27" t="s">
        <v>200</v>
      </c>
      <c r="P9201" s="27" t="s">
        <v>13560</v>
      </c>
      <c r="Q9201" s="26" t="str">
        <f>HYPERLINK("https://ictv.global/taxonomy/taxondetails?taxnode_id=202518179&amp;ictv_id=ICTV202318179","ICTV202318179")</f>
        <v>ICTV202318179</v>
      </c>
      <c r="R9201" t="s">
        <v>583</v>
      </c>
      <c r="S9201" t="s">
        <v>823</v>
      </c>
      <c r="T9201">
        <v>39</v>
      </c>
      <c r="U9201" s="26" t="str">
        <f t="shared" si="328"/>
        <v>2023.015F.Ghabrivirales_reorg.zip</v>
      </c>
    </row>
    <row r="9202" spans="1:21">
      <c r="A9202">
        <v>9201</v>
      </c>
      <c r="B9202" s="27" t="s">
        <v>1124</v>
      </c>
      <c r="D9202" s="27" t="s">
        <v>1859</v>
      </c>
      <c r="F9202" s="27" t="s">
        <v>1860</v>
      </c>
      <c r="H9202" s="27" t="s">
        <v>1861</v>
      </c>
      <c r="J9202" s="27" t="s">
        <v>1862</v>
      </c>
      <c r="K9202" s="27" t="s">
        <v>13475</v>
      </c>
      <c r="L9202" s="27" t="s">
        <v>13522</v>
      </c>
      <c r="N9202" s="27" t="s">
        <v>200</v>
      </c>
      <c r="P9202" s="27" t="s">
        <v>13561</v>
      </c>
      <c r="Q9202" s="26" t="str">
        <f>HYPERLINK("https://ictv.global/taxonomy/taxondetails?taxnode_id=202518180&amp;ictv_id=ICTV202318180","ICTV202318180")</f>
        <v>ICTV202318180</v>
      </c>
      <c r="R9202" t="s">
        <v>583</v>
      </c>
      <c r="S9202" t="s">
        <v>823</v>
      </c>
      <c r="T9202">
        <v>39</v>
      </c>
      <c r="U9202" s="26" t="str">
        <f t="shared" si="328"/>
        <v>2023.015F.Ghabrivirales_reorg.zip</v>
      </c>
    </row>
    <row r="9203" spans="1:21">
      <c r="A9203">
        <v>9202</v>
      </c>
      <c r="B9203" s="27" t="s">
        <v>1124</v>
      </c>
      <c r="D9203" s="27" t="s">
        <v>1859</v>
      </c>
      <c r="F9203" s="27" t="s">
        <v>1860</v>
      </c>
      <c r="H9203" s="27" t="s">
        <v>1861</v>
      </c>
      <c r="J9203" s="27" t="s">
        <v>1862</v>
      </c>
      <c r="K9203" s="27" t="s">
        <v>13475</v>
      </c>
      <c r="L9203" s="27" t="s">
        <v>13522</v>
      </c>
      <c r="N9203" s="27" t="s">
        <v>200</v>
      </c>
      <c r="P9203" s="27" t="s">
        <v>13562</v>
      </c>
      <c r="Q9203" s="26" t="str">
        <f>HYPERLINK("https://ictv.global/taxonomy/taxondetails?taxnode_id=202518181&amp;ictv_id=ICTV202318181","ICTV202318181")</f>
        <v>ICTV202318181</v>
      </c>
      <c r="R9203" t="s">
        <v>583</v>
      </c>
      <c r="S9203" t="s">
        <v>823</v>
      </c>
      <c r="T9203">
        <v>39</v>
      </c>
      <c r="U9203" s="26" t="str">
        <f t="shared" si="328"/>
        <v>2023.015F.Ghabrivirales_reorg.zip</v>
      </c>
    </row>
    <row r="9204" spans="1:21">
      <c r="A9204">
        <v>9203</v>
      </c>
      <c r="B9204" s="27" t="s">
        <v>1124</v>
      </c>
      <c r="D9204" s="27" t="s">
        <v>1859</v>
      </c>
      <c r="F9204" s="27" t="s">
        <v>1860</v>
      </c>
      <c r="H9204" s="27" t="s">
        <v>1861</v>
      </c>
      <c r="J9204" s="27" t="s">
        <v>1862</v>
      </c>
      <c r="K9204" s="27" t="s">
        <v>13475</v>
      </c>
      <c r="L9204" s="27" t="s">
        <v>13522</v>
      </c>
      <c r="N9204" s="27" t="s">
        <v>200</v>
      </c>
      <c r="P9204" s="27" t="s">
        <v>13563</v>
      </c>
      <c r="Q9204" s="26" t="str">
        <f>HYPERLINK("https://ictv.global/taxonomy/taxondetails?taxnode_id=202505312&amp;ictv_id=ICTV20095169","ICTV20095169")</f>
        <v>ICTV20095169</v>
      </c>
      <c r="R9204" t="s">
        <v>583</v>
      </c>
      <c r="S9204" t="s">
        <v>824</v>
      </c>
      <c r="T9204">
        <v>39</v>
      </c>
      <c r="U9204" s="26" t="str">
        <f t="shared" si="328"/>
        <v>2023.015F.Ghabrivirales_reorg.zip</v>
      </c>
    </row>
    <row r="9205" spans="1:21">
      <c r="A9205">
        <v>9204</v>
      </c>
      <c r="B9205" s="27" t="s">
        <v>1124</v>
      </c>
      <c r="D9205" s="27" t="s">
        <v>1859</v>
      </c>
      <c r="F9205" s="27" t="s">
        <v>1860</v>
      </c>
      <c r="H9205" s="27" t="s">
        <v>1861</v>
      </c>
      <c r="J9205" s="27" t="s">
        <v>1862</v>
      </c>
      <c r="K9205" s="27" t="s">
        <v>13475</v>
      </c>
      <c r="L9205" s="27" t="s">
        <v>13522</v>
      </c>
      <c r="N9205" s="27" t="s">
        <v>200</v>
      </c>
      <c r="P9205" s="27" t="s">
        <v>13564</v>
      </c>
      <c r="Q9205" s="26" t="str">
        <f>HYPERLINK("https://ictv.global/taxonomy/taxondetails?taxnode_id=202505317&amp;ictv_id=ICTV20095172","ICTV20095172")</f>
        <v>ICTV20095172</v>
      </c>
      <c r="R9205" t="s">
        <v>583</v>
      </c>
      <c r="S9205" t="s">
        <v>824</v>
      </c>
      <c r="T9205">
        <v>39</v>
      </c>
      <c r="U9205" s="26" t="str">
        <f t="shared" si="328"/>
        <v>2023.015F.Ghabrivirales_reorg.zip</v>
      </c>
    </row>
    <row r="9206" spans="1:21">
      <c r="A9206">
        <v>9205</v>
      </c>
      <c r="B9206" s="27" t="s">
        <v>1124</v>
      </c>
      <c r="D9206" s="27" t="s">
        <v>1859</v>
      </c>
      <c r="F9206" s="27" t="s">
        <v>1860</v>
      </c>
      <c r="H9206" s="27" t="s">
        <v>1861</v>
      </c>
      <c r="J9206" s="27" t="s">
        <v>1862</v>
      </c>
      <c r="K9206" s="27" t="s">
        <v>13475</v>
      </c>
      <c r="L9206" s="27" t="s">
        <v>13522</v>
      </c>
      <c r="N9206" s="27" t="s">
        <v>200</v>
      </c>
      <c r="P9206" s="27" t="s">
        <v>13565</v>
      </c>
      <c r="Q9206" s="26" t="str">
        <f>HYPERLINK("https://ictv.global/taxonomy/taxondetails?taxnode_id=202518182&amp;ictv_id=ICTV202318182","ICTV202318182")</f>
        <v>ICTV202318182</v>
      </c>
      <c r="R9206" t="s">
        <v>583</v>
      </c>
      <c r="S9206" t="s">
        <v>823</v>
      </c>
      <c r="T9206">
        <v>39</v>
      </c>
      <c r="U9206" s="26" t="str">
        <f t="shared" si="328"/>
        <v>2023.015F.Ghabrivirales_reorg.zip</v>
      </c>
    </row>
    <row r="9207" spans="1:21">
      <c r="A9207">
        <v>9206</v>
      </c>
      <c r="B9207" s="27" t="s">
        <v>1124</v>
      </c>
      <c r="D9207" s="27" t="s">
        <v>1859</v>
      </c>
      <c r="F9207" s="27" t="s">
        <v>1860</v>
      </c>
      <c r="H9207" s="27" t="s">
        <v>1861</v>
      </c>
      <c r="J9207" s="27" t="s">
        <v>1862</v>
      </c>
      <c r="K9207" s="27" t="s">
        <v>13475</v>
      </c>
      <c r="L9207" s="27" t="s">
        <v>13522</v>
      </c>
      <c r="N9207" s="27" t="s">
        <v>200</v>
      </c>
      <c r="P9207" s="27" t="s">
        <v>13566</v>
      </c>
      <c r="Q9207" s="26" t="str">
        <f>HYPERLINK("https://ictv.global/taxonomy/taxondetails?taxnode_id=202518183&amp;ictv_id=ICTV202318183","ICTV202318183")</f>
        <v>ICTV202318183</v>
      </c>
      <c r="R9207" t="s">
        <v>583</v>
      </c>
      <c r="S9207" t="s">
        <v>823</v>
      </c>
      <c r="T9207">
        <v>39</v>
      </c>
      <c r="U9207" s="26" t="str">
        <f t="shared" si="328"/>
        <v>2023.015F.Ghabrivirales_reorg.zip</v>
      </c>
    </row>
    <row r="9208" spans="1:21">
      <c r="A9208">
        <v>9207</v>
      </c>
      <c r="B9208" s="27" t="s">
        <v>1124</v>
      </c>
      <c r="D9208" s="27" t="s">
        <v>1859</v>
      </c>
      <c r="F9208" s="27" t="s">
        <v>1860</v>
      </c>
      <c r="H9208" s="27" t="s">
        <v>1861</v>
      </c>
      <c r="J9208" s="27" t="s">
        <v>1862</v>
      </c>
      <c r="K9208" s="27" t="s">
        <v>13475</v>
      </c>
      <c r="L9208" s="27" t="s">
        <v>13522</v>
      </c>
      <c r="N9208" s="27" t="s">
        <v>200</v>
      </c>
      <c r="P9208" s="27" t="s">
        <v>13567</v>
      </c>
      <c r="Q9208" s="26" t="str">
        <f>HYPERLINK("https://ictv.global/taxonomy/taxondetails?taxnode_id=202518184&amp;ictv_id=ICTV202318184","ICTV202318184")</f>
        <v>ICTV202318184</v>
      </c>
      <c r="R9208" t="s">
        <v>583</v>
      </c>
      <c r="S9208" t="s">
        <v>823</v>
      </c>
      <c r="T9208">
        <v>39</v>
      </c>
      <c r="U9208" s="26" t="str">
        <f t="shared" si="328"/>
        <v>2023.015F.Ghabrivirales_reorg.zip</v>
      </c>
    </row>
    <row r="9209" spans="1:21">
      <c r="A9209">
        <v>9208</v>
      </c>
      <c r="B9209" s="27" t="s">
        <v>1124</v>
      </c>
      <c r="D9209" s="27" t="s">
        <v>1859</v>
      </c>
      <c r="F9209" s="27" t="s">
        <v>1860</v>
      </c>
      <c r="H9209" s="27" t="s">
        <v>1861</v>
      </c>
      <c r="J9209" s="27" t="s">
        <v>1862</v>
      </c>
      <c r="K9209" s="27" t="s">
        <v>13475</v>
      </c>
      <c r="L9209" s="27" t="s">
        <v>13522</v>
      </c>
      <c r="N9209" s="27" t="s">
        <v>200</v>
      </c>
      <c r="P9209" s="27" t="s">
        <v>13568</v>
      </c>
      <c r="Q9209" s="26" t="str">
        <f>HYPERLINK("https://ictv.global/taxonomy/taxondetails?taxnode_id=202505318&amp;ictv_id=ICTV20095173","ICTV20095173")</f>
        <v>ICTV20095173</v>
      </c>
      <c r="R9209" t="s">
        <v>583</v>
      </c>
      <c r="S9209" t="s">
        <v>824</v>
      </c>
      <c r="T9209">
        <v>39</v>
      </c>
      <c r="U9209" s="26" t="str">
        <f t="shared" si="328"/>
        <v>2023.015F.Ghabrivirales_reorg.zip</v>
      </c>
    </row>
    <row r="9210" spans="1:21">
      <c r="A9210">
        <v>9209</v>
      </c>
      <c r="B9210" s="27" t="s">
        <v>1124</v>
      </c>
      <c r="D9210" s="27" t="s">
        <v>1859</v>
      </c>
      <c r="F9210" s="27" t="s">
        <v>1860</v>
      </c>
      <c r="H9210" s="27" t="s">
        <v>1861</v>
      </c>
      <c r="J9210" s="27" t="s">
        <v>1862</v>
      </c>
      <c r="K9210" s="27" t="s">
        <v>13475</v>
      </c>
      <c r="L9210" s="27" t="s">
        <v>13522</v>
      </c>
      <c r="N9210" s="27" t="s">
        <v>200</v>
      </c>
      <c r="P9210" s="27" t="s">
        <v>13569</v>
      </c>
      <c r="Q9210" s="26" t="str">
        <f>HYPERLINK("https://ictv.global/taxonomy/taxondetails?taxnode_id=202505311&amp;ictv_id=ICTV20095168","ICTV20095168")</f>
        <v>ICTV20095168</v>
      </c>
      <c r="R9210" t="s">
        <v>583</v>
      </c>
      <c r="S9210" t="s">
        <v>824</v>
      </c>
      <c r="T9210">
        <v>39</v>
      </c>
      <c r="U9210" s="26" t="str">
        <f t="shared" si="328"/>
        <v>2023.015F.Ghabrivirales_reorg.zip</v>
      </c>
    </row>
    <row r="9211" spans="1:21">
      <c r="A9211">
        <v>9210</v>
      </c>
      <c r="B9211" s="27" t="s">
        <v>1124</v>
      </c>
      <c r="D9211" s="27" t="s">
        <v>1859</v>
      </c>
      <c r="F9211" s="27" t="s">
        <v>1860</v>
      </c>
      <c r="H9211" s="27" t="s">
        <v>1861</v>
      </c>
      <c r="J9211" s="27" t="s">
        <v>1862</v>
      </c>
      <c r="K9211" s="27" t="s">
        <v>13475</v>
      </c>
      <c r="L9211" s="27" t="s">
        <v>487</v>
      </c>
      <c r="N9211" s="27" t="s">
        <v>488</v>
      </c>
      <c r="P9211" s="27" t="s">
        <v>13570</v>
      </c>
      <c r="Q9211" s="26" t="str">
        <f>HYPERLINK("https://ictv.global/taxonomy/taxondetails?taxnode_id=202504870&amp;ictv_id=ICTV20125709","ICTV20125709")</f>
        <v>ICTV20125709</v>
      </c>
      <c r="R9211" t="s">
        <v>583</v>
      </c>
      <c r="S9211" t="s">
        <v>824</v>
      </c>
      <c r="T9211">
        <v>39</v>
      </c>
      <c r="U9211" s="26" t="str">
        <f t="shared" ref="U9211:U9242" si="329">HYPERLINK("https://ictv.global/ictv/proposals/2023.015F.Ghabrivirales_reorg.zip","2023.015F.Ghabrivirales_reorg.zip")</f>
        <v>2023.015F.Ghabrivirales_reorg.zip</v>
      </c>
    </row>
    <row r="9212" spans="1:21">
      <c r="A9212">
        <v>9211</v>
      </c>
      <c r="B9212" s="27" t="s">
        <v>1124</v>
      </c>
      <c r="D9212" s="27" t="s">
        <v>1859</v>
      </c>
      <c r="F9212" s="27" t="s">
        <v>1860</v>
      </c>
      <c r="H9212" s="27" t="s">
        <v>1861</v>
      </c>
      <c r="J9212" s="27" t="s">
        <v>1862</v>
      </c>
      <c r="K9212" s="27" t="s">
        <v>13475</v>
      </c>
      <c r="L9212" s="27" t="s">
        <v>487</v>
      </c>
      <c r="N9212" s="27" t="s">
        <v>488</v>
      </c>
      <c r="P9212" s="27" t="s">
        <v>13571</v>
      </c>
      <c r="Q9212" s="26" t="str">
        <f>HYPERLINK("https://ictv.global/taxonomy/taxondetails?taxnode_id=202518185&amp;ictv_id=ICTV202318185","ICTV202318185")</f>
        <v>ICTV202318185</v>
      </c>
      <c r="R9212" t="s">
        <v>583</v>
      </c>
      <c r="S9212" t="s">
        <v>823</v>
      </c>
      <c r="T9212">
        <v>39</v>
      </c>
      <c r="U9212" s="26" t="str">
        <f t="shared" si="329"/>
        <v>2023.015F.Ghabrivirales_reorg.zip</v>
      </c>
    </row>
    <row r="9213" spans="1:21">
      <c r="A9213">
        <v>9212</v>
      </c>
      <c r="B9213" s="27" t="s">
        <v>1124</v>
      </c>
      <c r="D9213" s="27" t="s">
        <v>1859</v>
      </c>
      <c r="F9213" s="27" t="s">
        <v>1860</v>
      </c>
      <c r="H9213" s="27" t="s">
        <v>1861</v>
      </c>
      <c r="J9213" s="27" t="s">
        <v>1862</v>
      </c>
      <c r="K9213" s="27" t="s">
        <v>13475</v>
      </c>
      <c r="L9213" s="27" t="s">
        <v>487</v>
      </c>
      <c r="N9213" s="27" t="s">
        <v>488</v>
      </c>
      <c r="P9213" s="27" t="s">
        <v>13572</v>
      </c>
      <c r="Q9213" s="26" t="str">
        <f>HYPERLINK("https://ictv.global/taxonomy/taxondetails?taxnode_id=202518186&amp;ictv_id=ICTV202318186","ICTV202318186")</f>
        <v>ICTV202318186</v>
      </c>
      <c r="R9213" t="s">
        <v>583</v>
      </c>
      <c r="S9213" t="s">
        <v>823</v>
      </c>
      <c r="T9213">
        <v>39</v>
      </c>
      <c r="U9213" s="26" t="str">
        <f t="shared" si="329"/>
        <v>2023.015F.Ghabrivirales_reorg.zip</v>
      </c>
    </row>
    <row r="9214" spans="1:21">
      <c r="A9214">
        <v>9213</v>
      </c>
      <c r="B9214" s="27" t="s">
        <v>1124</v>
      </c>
      <c r="D9214" s="27" t="s">
        <v>1859</v>
      </c>
      <c r="F9214" s="27" t="s">
        <v>1860</v>
      </c>
      <c r="H9214" s="27" t="s">
        <v>1861</v>
      </c>
      <c r="J9214" s="27" t="s">
        <v>1862</v>
      </c>
      <c r="K9214" s="27" t="s">
        <v>13475</v>
      </c>
      <c r="L9214" s="27" t="s">
        <v>13573</v>
      </c>
      <c r="N9214" s="27" t="s">
        <v>13574</v>
      </c>
      <c r="P9214" s="27" t="s">
        <v>13575</v>
      </c>
      <c r="Q9214" s="26" t="str">
        <f>HYPERLINK("https://ictv.global/taxonomy/taxondetails?taxnode_id=202518187&amp;ictv_id=ICTV202318187","ICTV202318187")</f>
        <v>ICTV202318187</v>
      </c>
      <c r="R9214" t="s">
        <v>583</v>
      </c>
      <c r="S9214" t="s">
        <v>823</v>
      </c>
      <c r="T9214">
        <v>39</v>
      </c>
      <c r="U9214" s="26" t="str">
        <f t="shared" si="329"/>
        <v>2023.015F.Ghabrivirales_reorg.zip</v>
      </c>
    </row>
    <row r="9215" spans="1:21">
      <c r="A9215">
        <v>9214</v>
      </c>
      <c r="B9215" s="27" t="s">
        <v>1124</v>
      </c>
      <c r="D9215" s="27" t="s">
        <v>1859</v>
      </c>
      <c r="F9215" s="27" t="s">
        <v>1860</v>
      </c>
      <c r="H9215" s="27" t="s">
        <v>1861</v>
      </c>
      <c r="J9215" s="27" t="s">
        <v>1862</v>
      </c>
      <c r="K9215" s="27" t="s">
        <v>13475</v>
      </c>
      <c r="L9215" s="27" t="s">
        <v>13573</v>
      </c>
      <c r="N9215" s="27" t="s">
        <v>13574</v>
      </c>
      <c r="P9215" s="27" t="s">
        <v>13576</v>
      </c>
      <c r="Q9215" s="26" t="str">
        <f>HYPERLINK("https://ictv.global/taxonomy/taxondetails?taxnode_id=202518188&amp;ictv_id=ICTV202318188","ICTV202318188")</f>
        <v>ICTV202318188</v>
      </c>
      <c r="R9215" t="s">
        <v>583</v>
      </c>
      <c r="S9215" t="s">
        <v>823</v>
      </c>
      <c r="T9215">
        <v>39</v>
      </c>
      <c r="U9215" s="26" t="str">
        <f t="shared" si="329"/>
        <v>2023.015F.Ghabrivirales_reorg.zip</v>
      </c>
    </row>
    <row r="9216" spans="1:21">
      <c r="A9216">
        <v>9215</v>
      </c>
      <c r="B9216" s="27" t="s">
        <v>1124</v>
      </c>
      <c r="D9216" s="27" t="s">
        <v>1859</v>
      </c>
      <c r="F9216" s="27" t="s">
        <v>1860</v>
      </c>
      <c r="H9216" s="27" t="s">
        <v>1861</v>
      </c>
      <c r="J9216" s="27" t="s">
        <v>1862</v>
      </c>
      <c r="K9216" s="27" t="s">
        <v>13475</v>
      </c>
      <c r="L9216" s="27" t="s">
        <v>13573</v>
      </c>
      <c r="N9216" s="27" t="s">
        <v>13574</v>
      </c>
      <c r="P9216" s="27" t="s">
        <v>13577</v>
      </c>
      <c r="Q9216" s="26" t="str">
        <f>HYPERLINK("https://ictv.global/taxonomy/taxondetails?taxnode_id=202518189&amp;ictv_id=ICTV202318189","ICTV202318189")</f>
        <v>ICTV202318189</v>
      </c>
      <c r="R9216" t="s">
        <v>583</v>
      </c>
      <c r="S9216" t="s">
        <v>823</v>
      </c>
      <c r="T9216">
        <v>39</v>
      </c>
      <c r="U9216" s="26" t="str">
        <f t="shared" si="329"/>
        <v>2023.015F.Ghabrivirales_reorg.zip</v>
      </c>
    </row>
    <row r="9217" spans="1:21">
      <c r="A9217">
        <v>9216</v>
      </c>
      <c r="B9217" s="27" t="s">
        <v>1124</v>
      </c>
      <c r="D9217" s="27" t="s">
        <v>1859</v>
      </c>
      <c r="F9217" s="27" t="s">
        <v>1860</v>
      </c>
      <c r="H9217" s="27" t="s">
        <v>1861</v>
      </c>
      <c r="J9217" s="27" t="s">
        <v>1862</v>
      </c>
      <c r="K9217" s="27" t="s">
        <v>13475</v>
      </c>
      <c r="L9217" s="27" t="s">
        <v>13573</v>
      </c>
      <c r="N9217" s="27" t="s">
        <v>13574</v>
      </c>
      <c r="P9217" s="27" t="s">
        <v>13578</v>
      </c>
      <c r="Q9217" s="26" t="str">
        <f>HYPERLINK("https://ictv.global/taxonomy/taxondetails?taxnode_id=202518190&amp;ictv_id=ICTV202318190","ICTV202318190")</f>
        <v>ICTV202318190</v>
      </c>
      <c r="R9217" t="s">
        <v>583</v>
      </c>
      <c r="S9217" t="s">
        <v>823</v>
      </c>
      <c r="T9217">
        <v>39</v>
      </c>
      <c r="U9217" s="26" t="str">
        <f t="shared" si="329"/>
        <v>2023.015F.Ghabrivirales_reorg.zip</v>
      </c>
    </row>
    <row r="9218" spans="1:21">
      <c r="A9218">
        <v>9217</v>
      </c>
      <c r="B9218" s="27" t="s">
        <v>1124</v>
      </c>
      <c r="D9218" s="27" t="s">
        <v>1859</v>
      </c>
      <c r="F9218" s="27" t="s">
        <v>1860</v>
      </c>
      <c r="H9218" s="27" t="s">
        <v>1861</v>
      </c>
      <c r="J9218" s="27" t="s">
        <v>1862</v>
      </c>
      <c r="K9218" s="27" t="s">
        <v>13475</v>
      </c>
      <c r="L9218" s="27" t="s">
        <v>13573</v>
      </c>
      <c r="N9218" s="27" t="s">
        <v>13574</v>
      </c>
      <c r="P9218" s="27" t="s">
        <v>13579</v>
      </c>
      <c r="Q9218" s="26" t="str">
        <f>HYPERLINK("https://ictv.global/taxonomy/taxondetails?taxnode_id=202518191&amp;ictv_id=ICTV202318191","ICTV202318191")</f>
        <v>ICTV202318191</v>
      </c>
      <c r="R9218" t="s">
        <v>583</v>
      </c>
      <c r="S9218" t="s">
        <v>823</v>
      </c>
      <c r="T9218">
        <v>39</v>
      </c>
      <c r="U9218" s="26" t="str">
        <f t="shared" si="329"/>
        <v>2023.015F.Ghabrivirales_reorg.zip</v>
      </c>
    </row>
    <row r="9219" spans="1:21">
      <c r="A9219">
        <v>9218</v>
      </c>
      <c r="B9219" s="27" t="s">
        <v>1124</v>
      </c>
      <c r="D9219" s="27" t="s">
        <v>1859</v>
      </c>
      <c r="F9219" s="27" t="s">
        <v>1860</v>
      </c>
      <c r="H9219" s="27" t="s">
        <v>1861</v>
      </c>
      <c r="J9219" s="27" t="s">
        <v>1862</v>
      </c>
      <c r="K9219" s="27" t="s">
        <v>13475</v>
      </c>
      <c r="L9219" s="27" t="s">
        <v>13573</v>
      </c>
      <c r="N9219" s="27" t="s">
        <v>13574</v>
      </c>
      <c r="P9219" s="27" t="s">
        <v>13580</v>
      </c>
      <c r="Q9219" s="26" t="str">
        <f>HYPERLINK("https://ictv.global/taxonomy/taxondetails?taxnode_id=202518192&amp;ictv_id=ICTV202318192","ICTV202318192")</f>
        <v>ICTV202318192</v>
      </c>
      <c r="R9219" t="s">
        <v>583</v>
      </c>
      <c r="S9219" t="s">
        <v>823</v>
      </c>
      <c r="T9219">
        <v>39</v>
      </c>
      <c r="U9219" s="26" t="str">
        <f t="shared" si="329"/>
        <v>2023.015F.Ghabrivirales_reorg.zip</v>
      </c>
    </row>
    <row r="9220" spans="1:21">
      <c r="A9220">
        <v>9219</v>
      </c>
      <c r="B9220" s="27" t="s">
        <v>1124</v>
      </c>
      <c r="D9220" s="27" t="s">
        <v>1859</v>
      </c>
      <c r="F9220" s="27" t="s">
        <v>1860</v>
      </c>
      <c r="H9220" s="27" t="s">
        <v>1861</v>
      </c>
      <c r="J9220" s="27" t="s">
        <v>1862</v>
      </c>
      <c r="K9220" s="27" t="s">
        <v>13475</v>
      </c>
      <c r="L9220" s="27" t="s">
        <v>13573</v>
      </c>
      <c r="N9220" s="27" t="s">
        <v>13574</v>
      </c>
      <c r="P9220" s="27" t="s">
        <v>13581</v>
      </c>
      <c r="Q9220" s="26" t="str">
        <f>HYPERLINK("https://ictv.global/taxonomy/taxondetails?taxnode_id=202518193&amp;ictv_id=ICTV202318193","ICTV202318193")</f>
        <v>ICTV202318193</v>
      </c>
      <c r="R9220" t="s">
        <v>583</v>
      </c>
      <c r="S9220" t="s">
        <v>823</v>
      </c>
      <c r="T9220">
        <v>39</v>
      </c>
      <c r="U9220" s="26" t="str">
        <f t="shared" si="329"/>
        <v>2023.015F.Ghabrivirales_reorg.zip</v>
      </c>
    </row>
    <row r="9221" spans="1:21">
      <c r="A9221">
        <v>9220</v>
      </c>
      <c r="B9221" s="27" t="s">
        <v>1124</v>
      </c>
      <c r="D9221" s="27" t="s">
        <v>1859</v>
      </c>
      <c r="F9221" s="27" t="s">
        <v>1860</v>
      </c>
      <c r="H9221" s="27" t="s">
        <v>1861</v>
      </c>
      <c r="J9221" s="27" t="s">
        <v>1862</v>
      </c>
      <c r="K9221" s="27" t="s">
        <v>13475</v>
      </c>
      <c r="L9221" s="27" t="s">
        <v>13573</v>
      </c>
      <c r="N9221" s="27" t="s">
        <v>13574</v>
      </c>
      <c r="P9221" s="27" t="s">
        <v>13582</v>
      </c>
      <c r="Q9221" s="26" t="str">
        <f>HYPERLINK("https://ictv.global/taxonomy/taxondetails?taxnode_id=202518194&amp;ictv_id=ICTV202318194","ICTV202318194")</f>
        <v>ICTV202318194</v>
      </c>
      <c r="R9221" t="s">
        <v>583</v>
      </c>
      <c r="S9221" t="s">
        <v>823</v>
      </c>
      <c r="T9221">
        <v>39</v>
      </c>
      <c r="U9221" s="26" t="str">
        <f t="shared" si="329"/>
        <v>2023.015F.Ghabrivirales_reorg.zip</v>
      </c>
    </row>
    <row r="9222" spans="1:21">
      <c r="A9222">
        <v>9221</v>
      </c>
      <c r="B9222" s="27" t="s">
        <v>1124</v>
      </c>
      <c r="D9222" s="27" t="s">
        <v>1859</v>
      </c>
      <c r="F9222" s="27" t="s">
        <v>1860</v>
      </c>
      <c r="H9222" s="27" t="s">
        <v>1861</v>
      </c>
      <c r="J9222" s="27" t="s">
        <v>1862</v>
      </c>
      <c r="K9222" s="27" t="s">
        <v>13475</v>
      </c>
      <c r="L9222" s="27" t="s">
        <v>13573</v>
      </c>
      <c r="N9222" s="27" t="s">
        <v>13574</v>
      </c>
      <c r="P9222" s="27" t="s">
        <v>13583</v>
      </c>
      <c r="Q9222" s="26" t="str">
        <f>HYPERLINK("https://ictv.global/taxonomy/taxondetails?taxnode_id=202518195&amp;ictv_id=ICTV202318195","ICTV202318195")</f>
        <v>ICTV202318195</v>
      </c>
      <c r="R9222" t="s">
        <v>583</v>
      </c>
      <c r="S9222" t="s">
        <v>823</v>
      </c>
      <c r="T9222">
        <v>39</v>
      </c>
      <c r="U9222" s="26" t="str">
        <f t="shared" si="329"/>
        <v>2023.015F.Ghabrivirales_reorg.zip</v>
      </c>
    </row>
    <row r="9223" spans="1:21">
      <c r="A9223">
        <v>9222</v>
      </c>
      <c r="B9223" s="27" t="s">
        <v>1124</v>
      </c>
      <c r="D9223" s="27" t="s">
        <v>1859</v>
      </c>
      <c r="F9223" s="27" t="s">
        <v>1860</v>
      </c>
      <c r="H9223" s="27" t="s">
        <v>1861</v>
      </c>
      <c r="J9223" s="27" t="s">
        <v>1862</v>
      </c>
      <c r="K9223" s="27" t="s">
        <v>13475</v>
      </c>
      <c r="L9223" s="27" t="s">
        <v>13573</v>
      </c>
      <c r="N9223" s="27" t="s">
        <v>13574</v>
      </c>
      <c r="P9223" s="27" t="s">
        <v>13584</v>
      </c>
      <c r="Q9223" s="26" t="str">
        <f>HYPERLINK("https://ictv.global/taxonomy/taxondetails?taxnode_id=202518196&amp;ictv_id=ICTV202318196","ICTV202318196")</f>
        <v>ICTV202318196</v>
      </c>
      <c r="R9223" t="s">
        <v>583</v>
      </c>
      <c r="S9223" t="s">
        <v>823</v>
      </c>
      <c r="T9223">
        <v>39</v>
      </c>
      <c r="U9223" s="26" t="str">
        <f t="shared" si="329"/>
        <v>2023.015F.Ghabrivirales_reorg.zip</v>
      </c>
    </row>
    <row r="9224" spans="1:21">
      <c r="A9224">
        <v>9223</v>
      </c>
      <c r="B9224" s="27" t="s">
        <v>1124</v>
      </c>
      <c r="D9224" s="27" t="s">
        <v>1859</v>
      </c>
      <c r="F9224" s="27" t="s">
        <v>1860</v>
      </c>
      <c r="H9224" s="27" t="s">
        <v>1861</v>
      </c>
      <c r="J9224" s="27" t="s">
        <v>1862</v>
      </c>
      <c r="K9224" s="27" t="s">
        <v>13475</v>
      </c>
      <c r="L9224" s="27" t="s">
        <v>13573</v>
      </c>
      <c r="N9224" s="27" t="s">
        <v>13574</v>
      </c>
      <c r="P9224" s="27" t="s">
        <v>13585</v>
      </c>
      <c r="Q9224" s="26" t="str">
        <f>HYPERLINK("https://ictv.global/taxonomy/taxondetails?taxnode_id=202518197&amp;ictv_id=ICTV202318197","ICTV202318197")</f>
        <v>ICTV202318197</v>
      </c>
      <c r="R9224" t="s">
        <v>583</v>
      </c>
      <c r="S9224" t="s">
        <v>823</v>
      </c>
      <c r="T9224">
        <v>39</v>
      </c>
      <c r="U9224" s="26" t="str">
        <f t="shared" si="329"/>
        <v>2023.015F.Ghabrivirales_reorg.zip</v>
      </c>
    </row>
    <row r="9225" spans="1:21">
      <c r="A9225">
        <v>9224</v>
      </c>
      <c r="B9225" s="27" t="s">
        <v>1124</v>
      </c>
      <c r="D9225" s="27" t="s">
        <v>1859</v>
      </c>
      <c r="F9225" s="27" t="s">
        <v>1860</v>
      </c>
      <c r="H9225" s="27" t="s">
        <v>1861</v>
      </c>
      <c r="J9225" s="27" t="s">
        <v>1862</v>
      </c>
      <c r="K9225" s="27" t="s">
        <v>13475</v>
      </c>
      <c r="L9225" s="27" t="s">
        <v>13573</v>
      </c>
      <c r="N9225" s="27" t="s">
        <v>13574</v>
      </c>
      <c r="P9225" s="27" t="s">
        <v>13586</v>
      </c>
      <c r="Q9225" s="26" t="str">
        <f>HYPERLINK("https://ictv.global/taxonomy/taxondetails?taxnode_id=202518198&amp;ictv_id=ICTV202318198","ICTV202318198")</f>
        <v>ICTV202318198</v>
      </c>
      <c r="R9225" t="s">
        <v>583</v>
      </c>
      <c r="S9225" t="s">
        <v>823</v>
      </c>
      <c r="T9225">
        <v>39</v>
      </c>
      <c r="U9225" s="26" t="str">
        <f t="shared" si="329"/>
        <v>2023.015F.Ghabrivirales_reorg.zip</v>
      </c>
    </row>
    <row r="9226" spans="1:21">
      <c r="A9226">
        <v>9225</v>
      </c>
      <c r="B9226" s="27" t="s">
        <v>1124</v>
      </c>
      <c r="D9226" s="27" t="s">
        <v>1859</v>
      </c>
      <c r="F9226" s="27" t="s">
        <v>1860</v>
      </c>
      <c r="H9226" s="27" t="s">
        <v>1861</v>
      </c>
      <c r="J9226" s="27" t="s">
        <v>1862</v>
      </c>
      <c r="K9226" s="27" t="s">
        <v>13475</v>
      </c>
      <c r="L9226" s="27" t="s">
        <v>13573</v>
      </c>
      <c r="N9226" s="27" t="s">
        <v>13574</v>
      </c>
      <c r="P9226" s="27" t="s">
        <v>13587</v>
      </c>
      <c r="Q9226" s="26" t="str">
        <f>HYPERLINK("https://ictv.global/taxonomy/taxondetails?taxnode_id=202518199&amp;ictv_id=ICTV202318199","ICTV202318199")</f>
        <v>ICTV202318199</v>
      </c>
      <c r="R9226" t="s">
        <v>583</v>
      </c>
      <c r="S9226" t="s">
        <v>823</v>
      </c>
      <c r="T9226">
        <v>39</v>
      </c>
      <c r="U9226" s="26" t="str">
        <f t="shared" si="329"/>
        <v>2023.015F.Ghabrivirales_reorg.zip</v>
      </c>
    </row>
    <row r="9227" spans="1:21">
      <c r="A9227">
        <v>9226</v>
      </c>
      <c r="B9227" s="27" t="s">
        <v>1124</v>
      </c>
      <c r="D9227" s="27" t="s">
        <v>1859</v>
      </c>
      <c r="F9227" s="27" t="s">
        <v>1860</v>
      </c>
      <c r="H9227" s="27" t="s">
        <v>1861</v>
      </c>
      <c r="J9227" s="27" t="s">
        <v>1862</v>
      </c>
      <c r="K9227" s="27" t="s">
        <v>13588</v>
      </c>
      <c r="L9227" s="27" t="s">
        <v>13589</v>
      </c>
      <c r="N9227" s="27" t="s">
        <v>13590</v>
      </c>
      <c r="P9227" s="27" t="s">
        <v>13591</v>
      </c>
      <c r="Q9227" s="26" t="str">
        <f>HYPERLINK("https://ictv.global/taxonomy/taxondetails?taxnode_id=202518200&amp;ictv_id=ICTV202318200","ICTV202318200")</f>
        <v>ICTV202318200</v>
      </c>
      <c r="R9227" t="s">
        <v>583</v>
      </c>
      <c r="S9227" t="s">
        <v>823</v>
      </c>
      <c r="T9227">
        <v>39</v>
      </c>
      <c r="U9227" s="26" t="str">
        <f t="shared" si="329"/>
        <v>2023.015F.Ghabrivirales_reorg.zip</v>
      </c>
    </row>
    <row r="9228" spans="1:21">
      <c r="A9228">
        <v>9227</v>
      </c>
      <c r="B9228" s="27" t="s">
        <v>1124</v>
      </c>
      <c r="D9228" s="27" t="s">
        <v>1859</v>
      </c>
      <c r="F9228" s="27" t="s">
        <v>1860</v>
      </c>
      <c r="H9228" s="27" t="s">
        <v>1861</v>
      </c>
      <c r="J9228" s="27" t="s">
        <v>1862</v>
      </c>
      <c r="K9228" s="27" t="s">
        <v>13588</v>
      </c>
      <c r="L9228" s="27" t="s">
        <v>13589</v>
      </c>
      <c r="N9228" s="27" t="s">
        <v>13590</v>
      </c>
      <c r="P9228" s="27" t="s">
        <v>13592</v>
      </c>
      <c r="Q9228" s="26" t="str">
        <f>HYPERLINK("https://ictv.global/taxonomy/taxondetails?taxnode_id=202518201&amp;ictv_id=ICTV202318201","ICTV202318201")</f>
        <v>ICTV202318201</v>
      </c>
      <c r="R9228" t="s">
        <v>583</v>
      </c>
      <c r="S9228" t="s">
        <v>823</v>
      </c>
      <c r="T9228">
        <v>39</v>
      </c>
      <c r="U9228" s="26" t="str">
        <f t="shared" si="329"/>
        <v>2023.015F.Ghabrivirales_reorg.zip</v>
      </c>
    </row>
    <row r="9229" spans="1:21">
      <c r="A9229">
        <v>9228</v>
      </c>
      <c r="B9229" s="27" t="s">
        <v>1124</v>
      </c>
      <c r="D9229" s="27" t="s">
        <v>1859</v>
      </c>
      <c r="F9229" s="27" t="s">
        <v>1860</v>
      </c>
      <c r="H9229" s="27" t="s">
        <v>1861</v>
      </c>
      <c r="J9229" s="27" t="s">
        <v>1862</v>
      </c>
      <c r="K9229" s="27" t="s">
        <v>13588</v>
      </c>
      <c r="L9229" s="27" t="s">
        <v>13589</v>
      </c>
      <c r="N9229" s="27" t="s">
        <v>13590</v>
      </c>
      <c r="P9229" s="27" t="s">
        <v>13593</v>
      </c>
      <c r="Q9229" s="26" t="str">
        <f>HYPERLINK("https://ictv.global/taxonomy/taxondetails?taxnode_id=202518202&amp;ictv_id=ICTV202318202","ICTV202318202")</f>
        <v>ICTV202318202</v>
      </c>
      <c r="R9229" t="s">
        <v>583</v>
      </c>
      <c r="S9229" t="s">
        <v>823</v>
      </c>
      <c r="T9229">
        <v>39</v>
      </c>
      <c r="U9229" s="26" t="str">
        <f t="shared" si="329"/>
        <v>2023.015F.Ghabrivirales_reorg.zip</v>
      </c>
    </row>
    <row r="9230" spans="1:21">
      <c r="A9230">
        <v>9229</v>
      </c>
      <c r="B9230" s="27" t="s">
        <v>1124</v>
      </c>
      <c r="D9230" s="27" t="s">
        <v>1859</v>
      </c>
      <c r="F9230" s="27" t="s">
        <v>1860</v>
      </c>
      <c r="H9230" s="27" t="s">
        <v>1861</v>
      </c>
      <c r="J9230" s="27" t="s">
        <v>1862</v>
      </c>
      <c r="K9230" s="27" t="s">
        <v>13588</v>
      </c>
      <c r="L9230" s="27" t="s">
        <v>13589</v>
      </c>
      <c r="N9230" s="27" t="s">
        <v>13590</v>
      </c>
      <c r="P9230" s="27" t="s">
        <v>13594</v>
      </c>
      <c r="Q9230" s="26" t="str">
        <f>HYPERLINK("https://ictv.global/taxonomy/taxondetails?taxnode_id=202518203&amp;ictv_id=ICTV202318203","ICTV202318203")</f>
        <v>ICTV202318203</v>
      </c>
      <c r="R9230" t="s">
        <v>583</v>
      </c>
      <c r="S9230" t="s">
        <v>823</v>
      </c>
      <c r="T9230">
        <v>39</v>
      </c>
      <c r="U9230" s="26" t="str">
        <f t="shared" si="329"/>
        <v>2023.015F.Ghabrivirales_reorg.zip</v>
      </c>
    </row>
    <row r="9231" spans="1:21">
      <c r="A9231">
        <v>9230</v>
      </c>
      <c r="B9231" s="27" t="s">
        <v>1124</v>
      </c>
      <c r="D9231" s="27" t="s">
        <v>1859</v>
      </c>
      <c r="F9231" s="27" t="s">
        <v>1860</v>
      </c>
      <c r="H9231" s="27" t="s">
        <v>1861</v>
      </c>
      <c r="J9231" s="27" t="s">
        <v>1862</v>
      </c>
      <c r="K9231" s="27" t="s">
        <v>13588</v>
      </c>
      <c r="L9231" s="27" t="s">
        <v>13589</v>
      </c>
      <c r="N9231" s="27" t="s">
        <v>13590</v>
      </c>
      <c r="P9231" s="27" t="s">
        <v>13595</v>
      </c>
      <c r="Q9231" s="26" t="str">
        <f>HYPERLINK("https://ictv.global/taxonomy/taxondetails?taxnode_id=202518204&amp;ictv_id=ICTV202318204","ICTV202318204")</f>
        <v>ICTV202318204</v>
      </c>
      <c r="R9231" t="s">
        <v>583</v>
      </c>
      <c r="S9231" t="s">
        <v>823</v>
      </c>
      <c r="T9231">
        <v>39</v>
      </c>
      <c r="U9231" s="26" t="str">
        <f t="shared" si="329"/>
        <v>2023.015F.Ghabrivirales_reorg.zip</v>
      </c>
    </row>
    <row r="9232" spans="1:21">
      <c r="A9232">
        <v>9231</v>
      </c>
      <c r="B9232" s="27" t="s">
        <v>1124</v>
      </c>
      <c r="D9232" s="27" t="s">
        <v>1859</v>
      </c>
      <c r="F9232" s="27" t="s">
        <v>1860</v>
      </c>
      <c r="H9232" s="27" t="s">
        <v>1861</v>
      </c>
      <c r="J9232" s="27" t="s">
        <v>1862</v>
      </c>
      <c r="K9232" s="27" t="s">
        <v>13588</v>
      </c>
      <c r="L9232" s="27" t="s">
        <v>13589</v>
      </c>
      <c r="N9232" s="27" t="s">
        <v>13590</v>
      </c>
      <c r="P9232" s="27" t="s">
        <v>13596</v>
      </c>
      <c r="Q9232" s="26" t="str">
        <f>HYPERLINK("https://ictv.global/taxonomy/taxondetails?taxnode_id=202518205&amp;ictv_id=ICTV202318205","ICTV202318205")</f>
        <v>ICTV202318205</v>
      </c>
      <c r="R9232" t="s">
        <v>583</v>
      </c>
      <c r="S9232" t="s">
        <v>823</v>
      </c>
      <c r="T9232">
        <v>39</v>
      </c>
      <c r="U9232" s="26" t="str">
        <f t="shared" si="329"/>
        <v>2023.015F.Ghabrivirales_reorg.zip</v>
      </c>
    </row>
    <row r="9233" spans="1:21">
      <c r="A9233">
        <v>9232</v>
      </c>
      <c r="B9233" s="27" t="s">
        <v>1124</v>
      </c>
      <c r="D9233" s="27" t="s">
        <v>1859</v>
      </c>
      <c r="F9233" s="27" t="s">
        <v>1860</v>
      </c>
      <c r="H9233" s="27" t="s">
        <v>1861</v>
      </c>
      <c r="J9233" s="27" t="s">
        <v>1862</v>
      </c>
      <c r="K9233" s="27" t="s">
        <v>13588</v>
      </c>
      <c r="L9233" s="27" t="s">
        <v>13589</v>
      </c>
      <c r="N9233" s="27" t="s">
        <v>13590</v>
      </c>
      <c r="P9233" s="27" t="s">
        <v>13597</v>
      </c>
      <c r="Q9233" s="26" t="str">
        <f>HYPERLINK("https://ictv.global/taxonomy/taxondetails?taxnode_id=202518206&amp;ictv_id=ICTV202318206","ICTV202318206")</f>
        <v>ICTV202318206</v>
      </c>
      <c r="R9233" t="s">
        <v>583</v>
      </c>
      <c r="S9233" t="s">
        <v>823</v>
      </c>
      <c r="T9233">
        <v>39</v>
      </c>
      <c r="U9233" s="26" t="str">
        <f t="shared" si="329"/>
        <v>2023.015F.Ghabrivirales_reorg.zip</v>
      </c>
    </row>
    <row r="9234" spans="1:21">
      <c r="A9234">
        <v>9233</v>
      </c>
      <c r="B9234" s="27" t="s">
        <v>1124</v>
      </c>
      <c r="D9234" s="27" t="s">
        <v>1859</v>
      </c>
      <c r="F9234" s="27" t="s">
        <v>1860</v>
      </c>
      <c r="H9234" s="27" t="s">
        <v>1861</v>
      </c>
      <c r="J9234" s="27" t="s">
        <v>1862</v>
      </c>
      <c r="K9234" s="27" t="s">
        <v>13588</v>
      </c>
      <c r="L9234" s="27" t="s">
        <v>13589</v>
      </c>
      <c r="N9234" s="27" t="s">
        <v>13590</v>
      </c>
      <c r="P9234" s="27" t="s">
        <v>13598</v>
      </c>
      <c r="Q9234" s="26" t="str">
        <f>HYPERLINK("https://ictv.global/taxonomy/taxondetails?taxnode_id=202518207&amp;ictv_id=ICTV202318207","ICTV202318207")</f>
        <v>ICTV202318207</v>
      </c>
      <c r="R9234" t="s">
        <v>583</v>
      </c>
      <c r="S9234" t="s">
        <v>823</v>
      </c>
      <c r="T9234">
        <v>39</v>
      </c>
      <c r="U9234" s="26" t="str">
        <f t="shared" si="329"/>
        <v>2023.015F.Ghabrivirales_reorg.zip</v>
      </c>
    </row>
    <row r="9235" spans="1:21">
      <c r="A9235">
        <v>9234</v>
      </c>
      <c r="B9235" s="27" t="s">
        <v>1124</v>
      </c>
      <c r="D9235" s="27" t="s">
        <v>1859</v>
      </c>
      <c r="F9235" s="27" t="s">
        <v>1860</v>
      </c>
      <c r="H9235" s="27" t="s">
        <v>1861</v>
      </c>
      <c r="J9235" s="27" t="s">
        <v>1862</v>
      </c>
      <c r="K9235" s="27" t="s">
        <v>13588</v>
      </c>
      <c r="L9235" s="27" t="s">
        <v>13589</v>
      </c>
      <c r="N9235" s="27" t="s">
        <v>13590</v>
      </c>
      <c r="P9235" s="27" t="s">
        <v>13599</v>
      </c>
      <c r="Q9235" s="26" t="str">
        <f>HYPERLINK("https://ictv.global/taxonomy/taxondetails?taxnode_id=202518208&amp;ictv_id=ICTV202318208","ICTV202318208")</f>
        <v>ICTV202318208</v>
      </c>
      <c r="R9235" t="s">
        <v>583</v>
      </c>
      <c r="S9235" t="s">
        <v>823</v>
      </c>
      <c r="T9235">
        <v>39</v>
      </c>
      <c r="U9235" s="26" t="str">
        <f t="shared" si="329"/>
        <v>2023.015F.Ghabrivirales_reorg.zip</v>
      </c>
    </row>
    <row r="9236" spans="1:21">
      <c r="A9236">
        <v>9235</v>
      </c>
      <c r="B9236" s="27" t="s">
        <v>1124</v>
      </c>
      <c r="D9236" s="27" t="s">
        <v>1859</v>
      </c>
      <c r="F9236" s="27" t="s">
        <v>1860</v>
      </c>
      <c r="H9236" s="27" t="s">
        <v>1861</v>
      </c>
      <c r="J9236" s="27" t="s">
        <v>1862</v>
      </c>
      <c r="K9236" s="27" t="s">
        <v>13588</v>
      </c>
      <c r="L9236" s="27" t="s">
        <v>13600</v>
      </c>
      <c r="N9236" s="27" t="s">
        <v>420</v>
      </c>
      <c r="P9236" s="27" t="s">
        <v>13601</v>
      </c>
      <c r="Q9236" s="26" t="str">
        <f>HYPERLINK("https://ictv.global/taxonomy/taxondetails?taxnode_id=202505288&amp;ictv_id=ICTV19901348","ICTV19901348")</f>
        <v>ICTV19901348</v>
      </c>
      <c r="R9236" t="s">
        <v>583</v>
      </c>
      <c r="S9236" t="s">
        <v>824</v>
      </c>
      <c r="T9236">
        <v>39</v>
      </c>
      <c r="U9236" s="26" t="str">
        <f t="shared" si="329"/>
        <v>2023.015F.Ghabrivirales_reorg.zip</v>
      </c>
    </row>
    <row r="9237" spans="1:21">
      <c r="A9237">
        <v>9236</v>
      </c>
      <c r="B9237" s="27" t="s">
        <v>1124</v>
      </c>
      <c r="D9237" s="27" t="s">
        <v>1859</v>
      </c>
      <c r="F9237" s="27" t="s">
        <v>1860</v>
      </c>
      <c r="H9237" s="27" t="s">
        <v>1861</v>
      </c>
      <c r="J9237" s="27" t="s">
        <v>1862</v>
      </c>
      <c r="K9237" s="27" t="s">
        <v>13588</v>
      </c>
      <c r="L9237" s="27" t="s">
        <v>13602</v>
      </c>
      <c r="N9237" s="27" t="s">
        <v>13603</v>
      </c>
      <c r="P9237" s="27" t="s">
        <v>13604</v>
      </c>
      <c r="Q9237" s="26" t="str">
        <f>HYPERLINK("https://ictv.global/taxonomy/taxondetails?taxnode_id=202518209&amp;ictv_id=ICTV202318209","ICTV202318209")</f>
        <v>ICTV202318209</v>
      </c>
      <c r="R9237" t="s">
        <v>583</v>
      </c>
      <c r="S9237" t="s">
        <v>823</v>
      </c>
      <c r="T9237">
        <v>39</v>
      </c>
      <c r="U9237" s="26" t="str">
        <f t="shared" si="329"/>
        <v>2023.015F.Ghabrivirales_reorg.zip</v>
      </c>
    </row>
    <row r="9238" spans="1:21">
      <c r="A9238">
        <v>9237</v>
      </c>
      <c r="B9238" s="27" t="s">
        <v>1124</v>
      </c>
      <c r="D9238" s="27" t="s">
        <v>1859</v>
      </c>
      <c r="F9238" s="27" t="s">
        <v>1860</v>
      </c>
      <c r="H9238" s="27" t="s">
        <v>1861</v>
      </c>
      <c r="J9238" s="27" t="s">
        <v>1862</v>
      </c>
      <c r="K9238" s="27" t="s">
        <v>13588</v>
      </c>
      <c r="L9238" s="27" t="s">
        <v>13602</v>
      </c>
      <c r="N9238" s="27" t="s">
        <v>13603</v>
      </c>
      <c r="P9238" s="27" t="s">
        <v>13605</v>
      </c>
      <c r="Q9238" s="26" t="str">
        <f>HYPERLINK("https://ictv.global/taxonomy/taxondetails?taxnode_id=202518210&amp;ictv_id=ICTV202318210","ICTV202318210")</f>
        <v>ICTV202318210</v>
      </c>
      <c r="R9238" t="s">
        <v>583</v>
      </c>
      <c r="S9238" t="s">
        <v>823</v>
      </c>
      <c r="T9238">
        <v>39</v>
      </c>
      <c r="U9238" s="26" t="str">
        <f t="shared" si="329"/>
        <v>2023.015F.Ghabrivirales_reorg.zip</v>
      </c>
    </row>
    <row r="9239" spans="1:21">
      <c r="A9239">
        <v>9238</v>
      </c>
      <c r="B9239" s="27" t="s">
        <v>1124</v>
      </c>
      <c r="D9239" s="27" t="s">
        <v>1859</v>
      </c>
      <c r="F9239" s="27" t="s">
        <v>1860</v>
      </c>
      <c r="H9239" s="27" t="s">
        <v>1861</v>
      </c>
      <c r="J9239" s="27" t="s">
        <v>1862</v>
      </c>
      <c r="K9239" s="27" t="s">
        <v>13588</v>
      </c>
      <c r="L9239" s="27" t="s">
        <v>13602</v>
      </c>
      <c r="N9239" s="27" t="s">
        <v>13603</v>
      </c>
      <c r="P9239" s="27" t="s">
        <v>13606</v>
      </c>
      <c r="Q9239" s="26" t="str">
        <f>HYPERLINK("https://ictv.global/taxonomy/taxondetails?taxnode_id=202518211&amp;ictv_id=ICTV202318211","ICTV202318211")</f>
        <v>ICTV202318211</v>
      </c>
      <c r="R9239" t="s">
        <v>583</v>
      </c>
      <c r="S9239" t="s">
        <v>823</v>
      </c>
      <c r="T9239">
        <v>39</v>
      </c>
      <c r="U9239" s="26" t="str">
        <f t="shared" si="329"/>
        <v>2023.015F.Ghabrivirales_reorg.zip</v>
      </c>
    </row>
    <row r="9240" spans="1:21">
      <c r="A9240">
        <v>9239</v>
      </c>
      <c r="B9240" s="27" t="s">
        <v>1124</v>
      </c>
      <c r="D9240" s="27" t="s">
        <v>1859</v>
      </c>
      <c r="F9240" s="27" t="s">
        <v>1860</v>
      </c>
      <c r="H9240" s="27" t="s">
        <v>1861</v>
      </c>
      <c r="J9240" s="27" t="s">
        <v>1862</v>
      </c>
      <c r="K9240" s="27" t="s">
        <v>13588</v>
      </c>
      <c r="L9240" s="27" t="s">
        <v>13602</v>
      </c>
      <c r="N9240" s="27" t="s">
        <v>13603</v>
      </c>
      <c r="P9240" s="27" t="s">
        <v>13607</v>
      </c>
      <c r="Q9240" s="26" t="str">
        <f>HYPERLINK("https://ictv.global/taxonomy/taxondetails?taxnode_id=202518212&amp;ictv_id=ICTV202318212","ICTV202318212")</f>
        <v>ICTV202318212</v>
      </c>
      <c r="R9240" t="s">
        <v>583</v>
      </c>
      <c r="S9240" t="s">
        <v>823</v>
      </c>
      <c r="T9240">
        <v>39</v>
      </c>
      <c r="U9240" s="26" t="str">
        <f t="shared" si="329"/>
        <v>2023.015F.Ghabrivirales_reorg.zip</v>
      </c>
    </row>
    <row r="9241" spans="1:21">
      <c r="A9241">
        <v>9240</v>
      </c>
      <c r="B9241" s="27" t="s">
        <v>1124</v>
      </c>
      <c r="D9241" s="27" t="s">
        <v>1859</v>
      </c>
      <c r="F9241" s="27" t="s">
        <v>1860</v>
      </c>
      <c r="H9241" s="27" t="s">
        <v>1861</v>
      </c>
      <c r="J9241" s="27" t="s">
        <v>1862</v>
      </c>
      <c r="K9241" s="27" t="s">
        <v>13588</v>
      </c>
      <c r="L9241" s="27" t="s">
        <v>13602</v>
      </c>
      <c r="N9241" s="27" t="s">
        <v>13603</v>
      </c>
      <c r="P9241" s="27" t="s">
        <v>13608</v>
      </c>
      <c r="Q9241" s="26" t="str">
        <f>HYPERLINK("https://ictv.global/taxonomy/taxondetails?taxnode_id=202518213&amp;ictv_id=ICTV202318213","ICTV202318213")</f>
        <v>ICTV202318213</v>
      </c>
      <c r="R9241" t="s">
        <v>583</v>
      </c>
      <c r="S9241" t="s">
        <v>823</v>
      </c>
      <c r="T9241">
        <v>39</v>
      </c>
      <c r="U9241" s="26" t="str">
        <f t="shared" si="329"/>
        <v>2023.015F.Ghabrivirales_reorg.zip</v>
      </c>
    </row>
    <row r="9242" spans="1:21">
      <c r="A9242">
        <v>9241</v>
      </c>
      <c r="B9242" s="27" t="s">
        <v>1124</v>
      </c>
      <c r="D9242" s="27" t="s">
        <v>1859</v>
      </c>
      <c r="F9242" s="27" t="s">
        <v>1860</v>
      </c>
      <c r="H9242" s="27" t="s">
        <v>1861</v>
      </c>
      <c r="J9242" s="27" t="s">
        <v>1862</v>
      </c>
      <c r="K9242" s="27" t="s">
        <v>13588</v>
      </c>
      <c r="L9242" s="27" t="s">
        <v>13602</v>
      </c>
      <c r="N9242" s="27" t="s">
        <v>13603</v>
      </c>
      <c r="P9242" s="27" t="s">
        <v>13609</v>
      </c>
      <c r="Q9242" s="26" t="str">
        <f>HYPERLINK("https://ictv.global/taxonomy/taxondetails?taxnode_id=202518214&amp;ictv_id=ICTV202318214","ICTV202318214")</f>
        <v>ICTV202318214</v>
      </c>
      <c r="R9242" t="s">
        <v>583</v>
      </c>
      <c r="S9242" t="s">
        <v>823</v>
      </c>
      <c r="T9242">
        <v>39</v>
      </c>
      <c r="U9242" s="26" t="str">
        <f t="shared" si="329"/>
        <v>2023.015F.Ghabrivirales_reorg.zip</v>
      </c>
    </row>
    <row r="9243" spans="1:21">
      <c r="A9243">
        <v>9242</v>
      </c>
      <c r="B9243" s="27" t="s">
        <v>1124</v>
      </c>
      <c r="D9243" s="27" t="s">
        <v>1859</v>
      </c>
      <c r="F9243" s="27" t="s">
        <v>1860</v>
      </c>
      <c r="H9243" s="27" t="s">
        <v>1861</v>
      </c>
      <c r="J9243" s="27" t="s">
        <v>1862</v>
      </c>
      <c r="K9243" s="27" t="s">
        <v>13588</v>
      </c>
      <c r="L9243" s="27" t="s">
        <v>13602</v>
      </c>
      <c r="N9243" s="27" t="s">
        <v>13603</v>
      </c>
      <c r="P9243" s="27" t="s">
        <v>13610</v>
      </c>
      <c r="Q9243" s="26" t="str">
        <f>HYPERLINK("https://ictv.global/taxonomy/taxondetails?taxnode_id=202518215&amp;ictv_id=ICTV202318215","ICTV202318215")</f>
        <v>ICTV202318215</v>
      </c>
      <c r="R9243" t="s">
        <v>583</v>
      </c>
      <c r="S9243" t="s">
        <v>823</v>
      </c>
      <c r="T9243">
        <v>39</v>
      </c>
      <c r="U9243" s="26" t="str">
        <f t="shared" ref="U9243:U9279" si="330">HYPERLINK("https://ictv.global/ictv/proposals/2023.015F.Ghabrivirales_reorg.zip","2023.015F.Ghabrivirales_reorg.zip")</f>
        <v>2023.015F.Ghabrivirales_reorg.zip</v>
      </c>
    </row>
    <row r="9244" spans="1:21">
      <c r="A9244">
        <v>9243</v>
      </c>
      <c r="B9244" s="27" t="s">
        <v>1124</v>
      </c>
      <c r="D9244" s="27" t="s">
        <v>1859</v>
      </c>
      <c r="F9244" s="27" t="s">
        <v>1860</v>
      </c>
      <c r="H9244" s="27" t="s">
        <v>1861</v>
      </c>
      <c r="J9244" s="27" t="s">
        <v>1862</v>
      </c>
      <c r="K9244" s="27" t="s">
        <v>13588</v>
      </c>
      <c r="L9244" s="27" t="s">
        <v>13602</v>
      </c>
      <c r="N9244" s="27" t="s">
        <v>13603</v>
      </c>
      <c r="P9244" s="27" t="s">
        <v>13611</v>
      </c>
      <c r="Q9244" s="26" t="str">
        <f>HYPERLINK("https://ictv.global/taxonomy/taxondetails?taxnode_id=202518216&amp;ictv_id=ICTV202318216","ICTV202318216")</f>
        <v>ICTV202318216</v>
      </c>
      <c r="R9244" t="s">
        <v>583</v>
      </c>
      <c r="S9244" t="s">
        <v>823</v>
      </c>
      <c r="T9244">
        <v>39</v>
      </c>
      <c r="U9244" s="26" t="str">
        <f t="shared" si="330"/>
        <v>2023.015F.Ghabrivirales_reorg.zip</v>
      </c>
    </row>
    <row r="9245" spans="1:21">
      <c r="A9245">
        <v>9244</v>
      </c>
      <c r="B9245" s="27" t="s">
        <v>1124</v>
      </c>
      <c r="D9245" s="27" t="s">
        <v>1859</v>
      </c>
      <c r="F9245" s="27" t="s">
        <v>1860</v>
      </c>
      <c r="H9245" s="27" t="s">
        <v>1861</v>
      </c>
      <c r="J9245" s="27" t="s">
        <v>1862</v>
      </c>
      <c r="K9245" s="27" t="s">
        <v>13588</v>
      </c>
      <c r="L9245" s="27" t="s">
        <v>13602</v>
      </c>
      <c r="N9245" s="27" t="s">
        <v>13603</v>
      </c>
      <c r="P9245" s="27" t="s">
        <v>13612</v>
      </c>
      <c r="Q9245" s="26" t="str">
        <f>HYPERLINK("https://ictv.global/taxonomy/taxondetails?taxnode_id=202518217&amp;ictv_id=ICTV202318217","ICTV202318217")</f>
        <v>ICTV202318217</v>
      </c>
      <c r="R9245" t="s">
        <v>583</v>
      </c>
      <c r="S9245" t="s">
        <v>823</v>
      </c>
      <c r="T9245">
        <v>39</v>
      </c>
      <c r="U9245" s="26" t="str">
        <f t="shared" si="330"/>
        <v>2023.015F.Ghabrivirales_reorg.zip</v>
      </c>
    </row>
    <row r="9246" spans="1:21">
      <c r="A9246">
        <v>9245</v>
      </c>
      <c r="B9246" s="27" t="s">
        <v>1124</v>
      </c>
      <c r="D9246" s="27" t="s">
        <v>1859</v>
      </c>
      <c r="F9246" s="27" t="s">
        <v>1860</v>
      </c>
      <c r="H9246" s="27" t="s">
        <v>1861</v>
      </c>
      <c r="J9246" s="27" t="s">
        <v>1862</v>
      </c>
      <c r="K9246" s="27" t="s">
        <v>13588</v>
      </c>
      <c r="L9246" s="27" t="s">
        <v>13602</v>
      </c>
      <c r="N9246" s="27" t="s">
        <v>13603</v>
      </c>
      <c r="P9246" s="27" t="s">
        <v>13613</v>
      </c>
      <c r="Q9246" s="26" t="str">
        <f>HYPERLINK("https://ictv.global/taxonomy/taxondetails?taxnode_id=202518218&amp;ictv_id=ICTV202318218","ICTV202318218")</f>
        <v>ICTV202318218</v>
      </c>
      <c r="R9246" t="s">
        <v>583</v>
      </c>
      <c r="S9246" t="s">
        <v>823</v>
      </c>
      <c r="T9246">
        <v>39</v>
      </c>
      <c r="U9246" s="26" t="str">
        <f t="shared" si="330"/>
        <v>2023.015F.Ghabrivirales_reorg.zip</v>
      </c>
    </row>
    <row r="9247" spans="1:21">
      <c r="A9247">
        <v>9246</v>
      </c>
      <c r="B9247" s="27" t="s">
        <v>1124</v>
      </c>
      <c r="D9247" s="27" t="s">
        <v>1859</v>
      </c>
      <c r="F9247" s="27" t="s">
        <v>1860</v>
      </c>
      <c r="H9247" s="27" t="s">
        <v>1861</v>
      </c>
      <c r="J9247" s="27" t="s">
        <v>1862</v>
      </c>
      <c r="K9247" s="27" t="s">
        <v>13588</v>
      </c>
      <c r="L9247" s="27" t="s">
        <v>13602</v>
      </c>
      <c r="N9247" s="27" t="s">
        <v>13603</v>
      </c>
      <c r="P9247" s="27" t="s">
        <v>13614</v>
      </c>
      <c r="Q9247" s="26" t="str">
        <f>HYPERLINK("https://ictv.global/taxonomy/taxondetails?taxnode_id=202518219&amp;ictv_id=ICTV202318219","ICTV202318219")</f>
        <v>ICTV202318219</v>
      </c>
      <c r="R9247" t="s">
        <v>583</v>
      </c>
      <c r="S9247" t="s">
        <v>823</v>
      </c>
      <c r="T9247">
        <v>39</v>
      </c>
      <c r="U9247" s="26" t="str">
        <f t="shared" si="330"/>
        <v>2023.015F.Ghabrivirales_reorg.zip</v>
      </c>
    </row>
    <row r="9248" spans="1:21">
      <c r="A9248">
        <v>9247</v>
      </c>
      <c r="B9248" s="27" t="s">
        <v>1124</v>
      </c>
      <c r="D9248" s="27" t="s">
        <v>1859</v>
      </c>
      <c r="F9248" s="27" t="s">
        <v>1860</v>
      </c>
      <c r="H9248" s="27" t="s">
        <v>1861</v>
      </c>
      <c r="J9248" s="27" t="s">
        <v>1862</v>
      </c>
      <c r="K9248" s="27" t="s">
        <v>13588</v>
      </c>
      <c r="L9248" s="27" t="s">
        <v>13602</v>
      </c>
      <c r="N9248" s="27" t="s">
        <v>13603</v>
      </c>
      <c r="P9248" s="27" t="s">
        <v>13615</v>
      </c>
      <c r="Q9248" s="26" t="str">
        <f>HYPERLINK("https://ictv.global/taxonomy/taxondetails?taxnode_id=202518220&amp;ictv_id=ICTV202318220","ICTV202318220")</f>
        <v>ICTV202318220</v>
      </c>
      <c r="R9248" t="s">
        <v>583</v>
      </c>
      <c r="S9248" t="s">
        <v>823</v>
      </c>
      <c r="T9248">
        <v>39</v>
      </c>
      <c r="U9248" s="26" t="str">
        <f t="shared" si="330"/>
        <v>2023.015F.Ghabrivirales_reorg.zip</v>
      </c>
    </row>
    <row r="9249" spans="1:21">
      <c r="A9249">
        <v>9248</v>
      </c>
      <c r="B9249" s="27" t="s">
        <v>1124</v>
      </c>
      <c r="D9249" s="27" t="s">
        <v>1859</v>
      </c>
      <c r="F9249" s="27" t="s">
        <v>1860</v>
      </c>
      <c r="H9249" s="27" t="s">
        <v>1861</v>
      </c>
      <c r="J9249" s="27" t="s">
        <v>1862</v>
      </c>
      <c r="K9249" s="27" t="s">
        <v>13588</v>
      </c>
      <c r="L9249" s="27" t="s">
        <v>13602</v>
      </c>
      <c r="N9249" s="27" t="s">
        <v>13603</v>
      </c>
      <c r="P9249" s="27" t="s">
        <v>13616</v>
      </c>
      <c r="Q9249" s="26" t="str">
        <f>HYPERLINK("https://ictv.global/taxonomy/taxondetails?taxnode_id=202518221&amp;ictv_id=ICTV202318221","ICTV202318221")</f>
        <v>ICTV202318221</v>
      </c>
      <c r="R9249" t="s">
        <v>583</v>
      </c>
      <c r="S9249" t="s">
        <v>823</v>
      </c>
      <c r="T9249">
        <v>39</v>
      </c>
      <c r="U9249" s="26" t="str">
        <f t="shared" si="330"/>
        <v>2023.015F.Ghabrivirales_reorg.zip</v>
      </c>
    </row>
    <row r="9250" spans="1:21">
      <c r="A9250">
        <v>9249</v>
      </c>
      <c r="B9250" s="27" t="s">
        <v>1124</v>
      </c>
      <c r="D9250" s="27" t="s">
        <v>1859</v>
      </c>
      <c r="F9250" s="27" t="s">
        <v>1860</v>
      </c>
      <c r="H9250" s="27" t="s">
        <v>1861</v>
      </c>
      <c r="J9250" s="27" t="s">
        <v>1862</v>
      </c>
      <c r="K9250" s="27" t="s">
        <v>13588</v>
      </c>
      <c r="L9250" s="27" t="s">
        <v>13602</v>
      </c>
      <c r="N9250" s="27" t="s">
        <v>13603</v>
      </c>
      <c r="P9250" s="27" t="s">
        <v>13617</v>
      </c>
      <c r="Q9250" s="26" t="str">
        <f>HYPERLINK("https://ictv.global/taxonomy/taxondetails?taxnode_id=202518222&amp;ictv_id=ICTV202318222","ICTV202318222")</f>
        <v>ICTV202318222</v>
      </c>
      <c r="R9250" t="s">
        <v>583</v>
      </c>
      <c r="S9250" t="s">
        <v>823</v>
      </c>
      <c r="T9250">
        <v>39</v>
      </c>
      <c r="U9250" s="26" t="str">
        <f t="shared" si="330"/>
        <v>2023.015F.Ghabrivirales_reorg.zip</v>
      </c>
    </row>
    <row r="9251" spans="1:21">
      <c r="A9251">
        <v>9250</v>
      </c>
      <c r="B9251" s="27" t="s">
        <v>1124</v>
      </c>
      <c r="D9251" s="27" t="s">
        <v>1859</v>
      </c>
      <c r="F9251" s="27" t="s">
        <v>1860</v>
      </c>
      <c r="H9251" s="27" t="s">
        <v>1861</v>
      </c>
      <c r="J9251" s="27" t="s">
        <v>1862</v>
      </c>
      <c r="K9251" s="27" t="s">
        <v>13588</v>
      </c>
      <c r="L9251" s="27" t="s">
        <v>13602</v>
      </c>
      <c r="N9251" s="27" t="s">
        <v>13603</v>
      </c>
      <c r="P9251" s="27" t="s">
        <v>13618</v>
      </c>
      <c r="Q9251" s="26" t="str">
        <f>HYPERLINK("https://ictv.global/taxonomy/taxondetails?taxnode_id=202518223&amp;ictv_id=ICTV202318223","ICTV202318223")</f>
        <v>ICTV202318223</v>
      </c>
      <c r="R9251" t="s">
        <v>583</v>
      </c>
      <c r="S9251" t="s">
        <v>823</v>
      </c>
      <c r="T9251">
        <v>39</v>
      </c>
      <c r="U9251" s="26" t="str">
        <f t="shared" si="330"/>
        <v>2023.015F.Ghabrivirales_reorg.zip</v>
      </c>
    </row>
    <row r="9252" spans="1:21">
      <c r="A9252">
        <v>9251</v>
      </c>
      <c r="B9252" s="27" t="s">
        <v>1124</v>
      </c>
      <c r="D9252" s="27" t="s">
        <v>1859</v>
      </c>
      <c r="F9252" s="27" t="s">
        <v>1860</v>
      </c>
      <c r="H9252" s="27" t="s">
        <v>1861</v>
      </c>
      <c r="J9252" s="27" t="s">
        <v>1862</v>
      </c>
      <c r="K9252" s="27" t="s">
        <v>13588</v>
      </c>
      <c r="L9252" s="27" t="s">
        <v>13602</v>
      </c>
      <c r="N9252" s="27" t="s">
        <v>13603</v>
      </c>
      <c r="P9252" s="27" t="s">
        <v>13619</v>
      </c>
      <c r="Q9252" s="26" t="str">
        <f>HYPERLINK("https://ictv.global/taxonomy/taxondetails?taxnode_id=202518224&amp;ictv_id=ICTV202318224","ICTV202318224")</f>
        <v>ICTV202318224</v>
      </c>
      <c r="R9252" t="s">
        <v>583</v>
      </c>
      <c r="S9252" t="s">
        <v>823</v>
      </c>
      <c r="T9252">
        <v>39</v>
      </c>
      <c r="U9252" s="26" t="str">
        <f t="shared" si="330"/>
        <v>2023.015F.Ghabrivirales_reorg.zip</v>
      </c>
    </row>
    <row r="9253" spans="1:21">
      <c r="A9253">
        <v>9252</v>
      </c>
      <c r="B9253" s="27" t="s">
        <v>1124</v>
      </c>
      <c r="D9253" s="27" t="s">
        <v>1859</v>
      </c>
      <c r="F9253" s="27" t="s">
        <v>1860</v>
      </c>
      <c r="H9253" s="27" t="s">
        <v>1861</v>
      </c>
      <c r="J9253" s="27" t="s">
        <v>1862</v>
      </c>
      <c r="K9253" s="27" t="s">
        <v>13588</v>
      </c>
      <c r="L9253" s="27" t="s">
        <v>13620</v>
      </c>
      <c r="N9253" s="27" t="s">
        <v>13621</v>
      </c>
      <c r="P9253" s="27" t="s">
        <v>13622</v>
      </c>
      <c r="Q9253" s="26" t="str">
        <f>HYPERLINK("https://ictv.global/taxonomy/taxondetails?taxnode_id=202518225&amp;ictv_id=ICTV202318225","ICTV202318225")</f>
        <v>ICTV202318225</v>
      </c>
      <c r="R9253" t="s">
        <v>583</v>
      </c>
      <c r="S9253" t="s">
        <v>823</v>
      </c>
      <c r="T9253">
        <v>39</v>
      </c>
      <c r="U9253" s="26" t="str">
        <f t="shared" si="330"/>
        <v>2023.015F.Ghabrivirales_reorg.zip</v>
      </c>
    </row>
    <row r="9254" spans="1:21">
      <c r="A9254">
        <v>9253</v>
      </c>
      <c r="B9254" s="27" t="s">
        <v>1124</v>
      </c>
      <c r="D9254" s="27" t="s">
        <v>1859</v>
      </c>
      <c r="F9254" s="27" t="s">
        <v>1860</v>
      </c>
      <c r="H9254" s="27" t="s">
        <v>1861</v>
      </c>
      <c r="J9254" s="27" t="s">
        <v>1862</v>
      </c>
      <c r="K9254" s="27" t="s">
        <v>13588</v>
      </c>
      <c r="L9254" s="27" t="s">
        <v>13620</v>
      </c>
      <c r="N9254" s="27" t="s">
        <v>13621</v>
      </c>
      <c r="P9254" s="27" t="s">
        <v>13623</v>
      </c>
      <c r="Q9254" s="26" t="str">
        <f>HYPERLINK("https://ictv.global/taxonomy/taxondetails?taxnode_id=202518226&amp;ictv_id=ICTV202318226","ICTV202318226")</f>
        <v>ICTV202318226</v>
      </c>
      <c r="R9254" t="s">
        <v>583</v>
      </c>
      <c r="S9254" t="s">
        <v>823</v>
      </c>
      <c r="T9254">
        <v>39</v>
      </c>
      <c r="U9254" s="26" t="str">
        <f t="shared" si="330"/>
        <v>2023.015F.Ghabrivirales_reorg.zip</v>
      </c>
    </row>
    <row r="9255" spans="1:21">
      <c r="A9255">
        <v>9254</v>
      </c>
      <c r="B9255" s="27" t="s">
        <v>1124</v>
      </c>
      <c r="D9255" s="27" t="s">
        <v>1859</v>
      </c>
      <c r="F9255" s="27" t="s">
        <v>1860</v>
      </c>
      <c r="H9255" s="27" t="s">
        <v>1861</v>
      </c>
      <c r="J9255" s="27" t="s">
        <v>1862</v>
      </c>
      <c r="K9255" s="27" t="s">
        <v>13588</v>
      </c>
      <c r="L9255" s="27" t="s">
        <v>13620</v>
      </c>
      <c r="N9255" s="27" t="s">
        <v>13621</v>
      </c>
      <c r="P9255" s="27" t="s">
        <v>13624</v>
      </c>
      <c r="Q9255" s="26" t="str">
        <f>HYPERLINK("https://ictv.global/taxonomy/taxondetails?taxnode_id=202518227&amp;ictv_id=ICTV202318227","ICTV202318227")</f>
        <v>ICTV202318227</v>
      </c>
      <c r="R9255" t="s">
        <v>583</v>
      </c>
      <c r="S9255" t="s">
        <v>823</v>
      </c>
      <c r="T9255">
        <v>39</v>
      </c>
      <c r="U9255" s="26" t="str">
        <f t="shared" si="330"/>
        <v>2023.015F.Ghabrivirales_reorg.zip</v>
      </c>
    </row>
    <row r="9256" spans="1:21">
      <c r="A9256">
        <v>9255</v>
      </c>
      <c r="B9256" s="27" t="s">
        <v>1124</v>
      </c>
      <c r="D9256" s="27" t="s">
        <v>1859</v>
      </c>
      <c r="F9256" s="27" t="s">
        <v>1860</v>
      </c>
      <c r="H9256" s="27" t="s">
        <v>1861</v>
      </c>
      <c r="J9256" s="27" t="s">
        <v>1862</v>
      </c>
      <c r="K9256" s="27" t="s">
        <v>13588</v>
      </c>
      <c r="L9256" s="27" t="s">
        <v>13620</v>
      </c>
      <c r="N9256" s="27" t="s">
        <v>13621</v>
      </c>
      <c r="P9256" s="27" t="s">
        <v>13625</v>
      </c>
      <c r="Q9256" s="26" t="str">
        <f>HYPERLINK("https://ictv.global/taxonomy/taxondetails?taxnode_id=202518228&amp;ictv_id=ICTV202318228","ICTV202318228")</f>
        <v>ICTV202318228</v>
      </c>
      <c r="R9256" t="s">
        <v>583</v>
      </c>
      <c r="S9256" t="s">
        <v>823</v>
      </c>
      <c r="T9256">
        <v>39</v>
      </c>
      <c r="U9256" s="26" t="str">
        <f t="shared" si="330"/>
        <v>2023.015F.Ghabrivirales_reorg.zip</v>
      </c>
    </row>
    <row r="9257" spans="1:21">
      <c r="A9257">
        <v>9256</v>
      </c>
      <c r="B9257" s="27" t="s">
        <v>1124</v>
      </c>
      <c r="D9257" s="27" t="s">
        <v>1859</v>
      </c>
      <c r="F9257" s="27" t="s">
        <v>1860</v>
      </c>
      <c r="H9257" s="27" t="s">
        <v>1861</v>
      </c>
      <c r="J9257" s="27" t="s">
        <v>1862</v>
      </c>
      <c r="K9257" s="27" t="s">
        <v>13588</v>
      </c>
      <c r="L9257" s="27" t="s">
        <v>13620</v>
      </c>
      <c r="N9257" s="27" t="s">
        <v>13621</v>
      </c>
      <c r="P9257" s="27" t="s">
        <v>13626</v>
      </c>
      <c r="Q9257" s="26" t="str">
        <f>HYPERLINK("https://ictv.global/taxonomy/taxondetails?taxnode_id=202518229&amp;ictv_id=ICTV202318229","ICTV202318229")</f>
        <v>ICTV202318229</v>
      </c>
      <c r="R9257" t="s">
        <v>583</v>
      </c>
      <c r="S9257" t="s">
        <v>823</v>
      </c>
      <c r="T9257">
        <v>39</v>
      </c>
      <c r="U9257" s="26" t="str">
        <f t="shared" si="330"/>
        <v>2023.015F.Ghabrivirales_reorg.zip</v>
      </c>
    </row>
    <row r="9258" spans="1:21">
      <c r="A9258">
        <v>9257</v>
      </c>
      <c r="B9258" s="27" t="s">
        <v>1124</v>
      </c>
      <c r="D9258" s="27" t="s">
        <v>1859</v>
      </c>
      <c r="F9258" s="27" t="s">
        <v>1860</v>
      </c>
      <c r="H9258" s="27" t="s">
        <v>1861</v>
      </c>
      <c r="J9258" s="27" t="s">
        <v>1862</v>
      </c>
      <c r="K9258" s="27" t="s">
        <v>13588</v>
      </c>
      <c r="L9258" s="27" t="s">
        <v>13620</v>
      </c>
      <c r="N9258" s="27" t="s">
        <v>13621</v>
      </c>
      <c r="P9258" s="27" t="s">
        <v>13627</v>
      </c>
      <c r="Q9258" s="26" t="str">
        <f>HYPERLINK("https://ictv.global/taxonomy/taxondetails?taxnode_id=202518230&amp;ictv_id=ICTV202318230","ICTV202318230")</f>
        <v>ICTV202318230</v>
      </c>
      <c r="R9258" t="s">
        <v>583</v>
      </c>
      <c r="S9258" t="s">
        <v>823</v>
      </c>
      <c r="T9258">
        <v>39</v>
      </c>
      <c r="U9258" s="26" t="str">
        <f t="shared" si="330"/>
        <v>2023.015F.Ghabrivirales_reorg.zip</v>
      </c>
    </row>
    <row r="9259" spans="1:21">
      <c r="A9259">
        <v>9258</v>
      </c>
      <c r="B9259" s="27" t="s">
        <v>1124</v>
      </c>
      <c r="D9259" s="27" t="s">
        <v>1859</v>
      </c>
      <c r="F9259" s="27" t="s">
        <v>1860</v>
      </c>
      <c r="H9259" s="27" t="s">
        <v>1861</v>
      </c>
      <c r="J9259" s="27" t="s">
        <v>1862</v>
      </c>
      <c r="K9259" s="27" t="s">
        <v>13588</v>
      </c>
      <c r="L9259" s="27" t="s">
        <v>13620</v>
      </c>
      <c r="N9259" s="27" t="s">
        <v>13621</v>
      </c>
      <c r="P9259" s="27" t="s">
        <v>13628</v>
      </c>
      <c r="Q9259" s="26" t="str">
        <f>HYPERLINK("https://ictv.global/taxonomy/taxondetails?taxnode_id=202518231&amp;ictv_id=ICTV202318231","ICTV202318231")</f>
        <v>ICTV202318231</v>
      </c>
      <c r="R9259" t="s">
        <v>583</v>
      </c>
      <c r="S9259" t="s">
        <v>823</v>
      </c>
      <c r="T9259">
        <v>39</v>
      </c>
      <c r="U9259" s="26" t="str">
        <f t="shared" si="330"/>
        <v>2023.015F.Ghabrivirales_reorg.zip</v>
      </c>
    </row>
    <row r="9260" spans="1:21">
      <c r="A9260">
        <v>9259</v>
      </c>
      <c r="B9260" s="27" t="s">
        <v>1124</v>
      </c>
      <c r="D9260" s="27" t="s">
        <v>1859</v>
      </c>
      <c r="F9260" s="27" t="s">
        <v>1860</v>
      </c>
      <c r="H9260" s="27" t="s">
        <v>1861</v>
      </c>
      <c r="J9260" s="27" t="s">
        <v>1862</v>
      </c>
      <c r="K9260" s="27" t="s">
        <v>13588</v>
      </c>
      <c r="L9260" s="27" t="s">
        <v>13620</v>
      </c>
      <c r="N9260" s="27" t="s">
        <v>13621</v>
      </c>
      <c r="P9260" s="27" t="s">
        <v>13629</v>
      </c>
      <c r="Q9260" s="26" t="str">
        <f>HYPERLINK("https://ictv.global/taxonomy/taxondetails?taxnode_id=202518232&amp;ictv_id=ICTV202318232","ICTV202318232")</f>
        <v>ICTV202318232</v>
      </c>
      <c r="R9260" t="s">
        <v>583</v>
      </c>
      <c r="S9260" t="s">
        <v>823</v>
      </c>
      <c r="T9260">
        <v>39</v>
      </c>
      <c r="U9260" s="26" t="str">
        <f t="shared" si="330"/>
        <v>2023.015F.Ghabrivirales_reorg.zip</v>
      </c>
    </row>
    <row r="9261" spans="1:21">
      <c r="A9261">
        <v>9260</v>
      </c>
      <c r="B9261" s="27" t="s">
        <v>1124</v>
      </c>
      <c r="D9261" s="27" t="s">
        <v>1859</v>
      </c>
      <c r="F9261" s="27" t="s">
        <v>1860</v>
      </c>
      <c r="H9261" s="27" t="s">
        <v>1861</v>
      </c>
      <c r="J9261" s="27" t="s">
        <v>1862</v>
      </c>
      <c r="K9261" s="27" t="s">
        <v>13588</v>
      </c>
      <c r="L9261" s="27" t="s">
        <v>13630</v>
      </c>
      <c r="N9261" s="27" t="s">
        <v>13631</v>
      </c>
      <c r="P9261" s="27" t="s">
        <v>13632</v>
      </c>
      <c r="Q9261" s="26" t="str">
        <f>HYPERLINK("https://ictv.global/taxonomy/taxondetails?taxnode_id=202518233&amp;ictv_id=ICTV202318233","ICTV202318233")</f>
        <v>ICTV202318233</v>
      </c>
      <c r="R9261" t="s">
        <v>583</v>
      </c>
      <c r="S9261" t="s">
        <v>823</v>
      </c>
      <c r="T9261">
        <v>39</v>
      </c>
      <c r="U9261" s="26" t="str">
        <f t="shared" si="330"/>
        <v>2023.015F.Ghabrivirales_reorg.zip</v>
      </c>
    </row>
    <row r="9262" spans="1:21">
      <c r="A9262">
        <v>9261</v>
      </c>
      <c r="B9262" s="27" t="s">
        <v>1124</v>
      </c>
      <c r="D9262" s="27" t="s">
        <v>1859</v>
      </c>
      <c r="F9262" s="27" t="s">
        <v>1860</v>
      </c>
      <c r="H9262" s="27" t="s">
        <v>1861</v>
      </c>
      <c r="J9262" s="27" t="s">
        <v>1862</v>
      </c>
      <c r="K9262" s="27" t="s">
        <v>13588</v>
      </c>
      <c r="L9262" s="27" t="s">
        <v>13630</v>
      </c>
      <c r="N9262" s="27" t="s">
        <v>13631</v>
      </c>
      <c r="P9262" s="27" t="s">
        <v>13633</v>
      </c>
      <c r="Q9262" s="26" t="str">
        <f>HYPERLINK("https://ictv.global/taxonomy/taxondetails?taxnode_id=202518234&amp;ictv_id=ICTV202318234","ICTV202318234")</f>
        <v>ICTV202318234</v>
      </c>
      <c r="R9262" t="s">
        <v>583</v>
      </c>
      <c r="S9262" t="s">
        <v>823</v>
      </c>
      <c r="T9262">
        <v>39</v>
      </c>
      <c r="U9262" s="26" t="str">
        <f t="shared" si="330"/>
        <v>2023.015F.Ghabrivirales_reorg.zip</v>
      </c>
    </row>
    <row r="9263" spans="1:21">
      <c r="A9263">
        <v>9262</v>
      </c>
      <c r="B9263" s="27" t="s">
        <v>1124</v>
      </c>
      <c r="D9263" s="27" t="s">
        <v>1859</v>
      </c>
      <c r="F9263" s="27" t="s">
        <v>1860</v>
      </c>
      <c r="H9263" s="27" t="s">
        <v>1861</v>
      </c>
      <c r="J9263" s="27" t="s">
        <v>1862</v>
      </c>
      <c r="K9263" s="27" t="s">
        <v>13588</v>
      </c>
      <c r="L9263" s="27" t="s">
        <v>13634</v>
      </c>
      <c r="N9263" s="27" t="s">
        <v>13635</v>
      </c>
      <c r="P9263" s="27" t="s">
        <v>13636</v>
      </c>
      <c r="Q9263" s="26" t="str">
        <f>HYPERLINK("https://ictv.global/taxonomy/taxondetails?taxnode_id=202518235&amp;ictv_id=ICTV202318235","ICTV202318235")</f>
        <v>ICTV202318235</v>
      </c>
      <c r="R9263" t="s">
        <v>583</v>
      </c>
      <c r="S9263" t="s">
        <v>823</v>
      </c>
      <c r="T9263">
        <v>39</v>
      </c>
      <c r="U9263" s="26" t="str">
        <f t="shared" si="330"/>
        <v>2023.015F.Ghabrivirales_reorg.zip</v>
      </c>
    </row>
    <row r="9264" spans="1:21">
      <c r="A9264">
        <v>9263</v>
      </c>
      <c r="B9264" s="27" t="s">
        <v>1124</v>
      </c>
      <c r="D9264" s="27" t="s">
        <v>1859</v>
      </c>
      <c r="F9264" s="27" t="s">
        <v>1860</v>
      </c>
      <c r="H9264" s="27" t="s">
        <v>1861</v>
      </c>
      <c r="J9264" s="27" t="s">
        <v>1862</v>
      </c>
      <c r="K9264" s="27" t="s">
        <v>13588</v>
      </c>
      <c r="L9264" s="27" t="s">
        <v>13634</v>
      </c>
      <c r="N9264" s="27" t="s">
        <v>13635</v>
      </c>
      <c r="P9264" s="27" t="s">
        <v>13637</v>
      </c>
      <c r="Q9264" s="26" t="str">
        <f>HYPERLINK("https://ictv.global/taxonomy/taxondetails?taxnode_id=202518236&amp;ictv_id=ICTV202318236","ICTV202318236")</f>
        <v>ICTV202318236</v>
      </c>
      <c r="R9264" t="s">
        <v>583</v>
      </c>
      <c r="S9264" t="s">
        <v>823</v>
      </c>
      <c r="T9264">
        <v>39</v>
      </c>
      <c r="U9264" s="26" t="str">
        <f t="shared" si="330"/>
        <v>2023.015F.Ghabrivirales_reorg.zip</v>
      </c>
    </row>
    <row r="9265" spans="1:21">
      <c r="A9265">
        <v>9264</v>
      </c>
      <c r="B9265" s="27" t="s">
        <v>1124</v>
      </c>
      <c r="D9265" s="27" t="s">
        <v>1859</v>
      </c>
      <c r="F9265" s="27" t="s">
        <v>1860</v>
      </c>
      <c r="H9265" s="27" t="s">
        <v>1861</v>
      </c>
      <c r="J9265" s="27" t="s">
        <v>1862</v>
      </c>
      <c r="K9265" s="27" t="s">
        <v>13588</v>
      </c>
      <c r="L9265" s="27" t="s">
        <v>13634</v>
      </c>
      <c r="N9265" s="27" t="s">
        <v>13635</v>
      </c>
      <c r="P9265" s="27" t="s">
        <v>13638</v>
      </c>
      <c r="Q9265" s="26" t="str">
        <f>HYPERLINK("https://ictv.global/taxonomy/taxondetails?taxnode_id=202518237&amp;ictv_id=ICTV202318237","ICTV202318237")</f>
        <v>ICTV202318237</v>
      </c>
      <c r="R9265" t="s">
        <v>583</v>
      </c>
      <c r="S9265" t="s">
        <v>823</v>
      </c>
      <c r="T9265">
        <v>39</v>
      </c>
      <c r="U9265" s="26" t="str">
        <f t="shared" si="330"/>
        <v>2023.015F.Ghabrivirales_reorg.zip</v>
      </c>
    </row>
    <row r="9266" spans="1:21">
      <c r="A9266">
        <v>9265</v>
      </c>
      <c r="B9266" s="27" t="s">
        <v>1124</v>
      </c>
      <c r="D9266" s="27" t="s">
        <v>1859</v>
      </c>
      <c r="F9266" s="27" t="s">
        <v>1860</v>
      </c>
      <c r="H9266" s="27" t="s">
        <v>1861</v>
      </c>
      <c r="J9266" s="27" t="s">
        <v>1862</v>
      </c>
      <c r="K9266" s="27" t="s">
        <v>13588</v>
      </c>
      <c r="L9266" s="27" t="s">
        <v>13634</v>
      </c>
      <c r="N9266" s="27" t="s">
        <v>13635</v>
      </c>
      <c r="P9266" s="27" t="s">
        <v>13639</v>
      </c>
      <c r="Q9266" s="26" t="str">
        <f>HYPERLINK("https://ictv.global/taxonomy/taxondetails?taxnode_id=202518238&amp;ictv_id=ICTV202318238","ICTV202318238")</f>
        <v>ICTV202318238</v>
      </c>
      <c r="R9266" t="s">
        <v>583</v>
      </c>
      <c r="S9266" t="s">
        <v>823</v>
      </c>
      <c r="T9266">
        <v>39</v>
      </c>
      <c r="U9266" s="26" t="str">
        <f t="shared" si="330"/>
        <v>2023.015F.Ghabrivirales_reorg.zip</v>
      </c>
    </row>
    <row r="9267" spans="1:21">
      <c r="A9267">
        <v>9266</v>
      </c>
      <c r="B9267" s="27" t="s">
        <v>1124</v>
      </c>
      <c r="D9267" s="27" t="s">
        <v>1859</v>
      </c>
      <c r="F9267" s="27" t="s">
        <v>1860</v>
      </c>
      <c r="H9267" s="27" t="s">
        <v>1861</v>
      </c>
      <c r="J9267" s="27" t="s">
        <v>1862</v>
      </c>
      <c r="K9267" s="27" t="s">
        <v>13588</v>
      </c>
      <c r="L9267" s="27" t="s">
        <v>13634</v>
      </c>
      <c r="N9267" s="27" t="s">
        <v>13635</v>
      </c>
      <c r="P9267" s="27" t="s">
        <v>13640</v>
      </c>
      <c r="Q9267" s="26" t="str">
        <f>HYPERLINK("https://ictv.global/taxonomy/taxondetails?taxnode_id=202518239&amp;ictv_id=ICTV202318239","ICTV202318239")</f>
        <v>ICTV202318239</v>
      </c>
      <c r="R9267" t="s">
        <v>583</v>
      </c>
      <c r="S9267" t="s">
        <v>823</v>
      </c>
      <c r="T9267">
        <v>39</v>
      </c>
      <c r="U9267" s="26" t="str">
        <f t="shared" si="330"/>
        <v>2023.015F.Ghabrivirales_reorg.zip</v>
      </c>
    </row>
    <row r="9268" spans="1:21">
      <c r="A9268">
        <v>9267</v>
      </c>
      <c r="B9268" s="27" t="s">
        <v>1124</v>
      </c>
      <c r="D9268" s="27" t="s">
        <v>1859</v>
      </c>
      <c r="F9268" s="27" t="s">
        <v>1860</v>
      </c>
      <c r="H9268" s="27" t="s">
        <v>1861</v>
      </c>
      <c r="J9268" s="27" t="s">
        <v>1862</v>
      </c>
      <c r="K9268" s="27" t="s">
        <v>13588</v>
      </c>
      <c r="L9268" s="27" t="s">
        <v>13634</v>
      </c>
      <c r="N9268" s="27" t="s">
        <v>13635</v>
      </c>
      <c r="P9268" s="27" t="s">
        <v>13641</v>
      </c>
      <c r="Q9268" s="26" t="str">
        <f>HYPERLINK("https://ictv.global/taxonomy/taxondetails?taxnode_id=202518240&amp;ictv_id=ICTV202318240","ICTV202318240")</f>
        <v>ICTV202318240</v>
      </c>
      <c r="R9268" t="s">
        <v>583</v>
      </c>
      <c r="S9268" t="s">
        <v>823</v>
      </c>
      <c r="T9268">
        <v>39</v>
      </c>
      <c r="U9268" s="26" t="str">
        <f t="shared" si="330"/>
        <v>2023.015F.Ghabrivirales_reorg.zip</v>
      </c>
    </row>
    <row r="9269" spans="1:21">
      <c r="A9269">
        <v>9268</v>
      </c>
      <c r="B9269" s="27" t="s">
        <v>1124</v>
      </c>
      <c r="D9269" s="27" t="s">
        <v>1859</v>
      </c>
      <c r="F9269" s="27" t="s">
        <v>1860</v>
      </c>
      <c r="H9269" s="27" t="s">
        <v>1861</v>
      </c>
      <c r="J9269" s="27" t="s">
        <v>1862</v>
      </c>
      <c r="K9269" s="27" t="s">
        <v>13588</v>
      </c>
      <c r="L9269" s="27" t="s">
        <v>13634</v>
      </c>
      <c r="N9269" s="27" t="s">
        <v>13635</v>
      </c>
      <c r="P9269" s="27" t="s">
        <v>13642</v>
      </c>
      <c r="Q9269" s="26" t="str">
        <f>HYPERLINK("https://ictv.global/taxonomy/taxondetails?taxnode_id=202518241&amp;ictv_id=ICTV202318241","ICTV202318241")</f>
        <v>ICTV202318241</v>
      </c>
      <c r="R9269" t="s">
        <v>583</v>
      </c>
      <c r="S9269" t="s">
        <v>823</v>
      </c>
      <c r="T9269">
        <v>39</v>
      </c>
      <c r="U9269" s="26" t="str">
        <f t="shared" si="330"/>
        <v>2023.015F.Ghabrivirales_reorg.zip</v>
      </c>
    </row>
    <row r="9270" spans="1:21">
      <c r="A9270">
        <v>9269</v>
      </c>
      <c r="B9270" s="27" t="s">
        <v>1124</v>
      </c>
      <c r="D9270" s="27" t="s">
        <v>1859</v>
      </c>
      <c r="F9270" s="27" t="s">
        <v>1860</v>
      </c>
      <c r="H9270" s="27" t="s">
        <v>1861</v>
      </c>
      <c r="J9270" s="27" t="s">
        <v>1862</v>
      </c>
      <c r="K9270" s="27" t="s">
        <v>13588</v>
      </c>
      <c r="L9270" s="27" t="s">
        <v>13643</v>
      </c>
      <c r="N9270" s="27" t="s">
        <v>13644</v>
      </c>
      <c r="P9270" s="27" t="s">
        <v>13645</v>
      </c>
      <c r="Q9270" s="26" t="str">
        <f>HYPERLINK("https://ictv.global/taxonomy/taxondetails?taxnode_id=202518242&amp;ictv_id=ICTV202318242","ICTV202318242")</f>
        <v>ICTV202318242</v>
      </c>
      <c r="R9270" t="s">
        <v>583</v>
      </c>
      <c r="S9270" t="s">
        <v>823</v>
      </c>
      <c r="T9270">
        <v>39</v>
      </c>
      <c r="U9270" s="26" t="str">
        <f t="shared" si="330"/>
        <v>2023.015F.Ghabrivirales_reorg.zip</v>
      </c>
    </row>
    <row r="9271" spans="1:21">
      <c r="A9271">
        <v>9270</v>
      </c>
      <c r="B9271" s="27" t="s">
        <v>1124</v>
      </c>
      <c r="D9271" s="27" t="s">
        <v>1859</v>
      </c>
      <c r="F9271" s="27" t="s">
        <v>1860</v>
      </c>
      <c r="H9271" s="27" t="s">
        <v>1861</v>
      </c>
      <c r="J9271" s="27" t="s">
        <v>1862</v>
      </c>
      <c r="K9271" s="27" t="s">
        <v>13588</v>
      </c>
      <c r="L9271" s="27" t="s">
        <v>13643</v>
      </c>
      <c r="N9271" s="27" t="s">
        <v>13644</v>
      </c>
      <c r="P9271" s="27" t="s">
        <v>13646</v>
      </c>
      <c r="Q9271" s="26" t="str">
        <f>HYPERLINK("https://ictv.global/taxonomy/taxondetails?taxnode_id=202518243&amp;ictv_id=ICTV202318243","ICTV202318243")</f>
        <v>ICTV202318243</v>
      </c>
      <c r="R9271" t="s">
        <v>583</v>
      </c>
      <c r="S9271" t="s">
        <v>823</v>
      </c>
      <c r="T9271">
        <v>39</v>
      </c>
      <c r="U9271" s="26" t="str">
        <f t="shared" si="330"/>
        <v>2023.015F.Ghabrivirales_reorg.zip</v>
      </c>
    </row>
    <row r="9272" spans="1:21">
      <c r="A9272">
        <v>9271</v>
      </c>
      <c r="B9272" s="27" t="s">
        <v>1124</v>
      </c>
      <c r="D9272" s="27" t="s">
        <v>1859</v>
      </c>
      <c r="F9272" s="27" t="s">
        <v>1860</v>
      </c>
      <c r="H9272" s="27" t="s">
        <v>1861</v>
      </c>
      <c r="J9272" s="27" t="s">
        <v>1862</v>
      </c>
      <c r="K9272" s="27" t="s">
        <v>13588</v>
      </c>
      <c r="L9272" s="27" t="s">
        <v>13643</v>
      </c>
      <c r="N9272" s="27" t="s">
        <v>13644</v>
      </c>
      <c r="P9272" s="27" t="s">
        <v>13647</v>
      </c>
      <c r="Q9272" s="26" t="str">
        <f>HYPERLINK("https://ictv.global/taxonomy/taxondetails?taxnode_id=202518244&amp;ictv_id=ICTV202318244","ICTV202318244")</f>
        <v>ICTV202318244</v>
      </c>
      <c r="R9272" t="s">
        <v>583</v>
      </c>
      <c r="S9272" t="s">
        <v>823</v>
      </c>
      <c r="T9272">
        <v>39</v>
      </c>
      <c r="U9272" s="26" t="str">
        <f t="shared" si="330"/>
        <v>2023.015F.Ghabrivirales_reorg.zip</v>
      </c>
    </row>
    <row r="9273" spans="1:21">
      <c r="A9273">
        <v>9272</v>
      </c>
      <c r="B9273" s="27" t="s">
        <v>1124</v>
      </c>
      <c r="D9273" s="27" t="s">
        <v>1859</v>
      </c>
      <c r="F9273" s="27" t="s">
        <v>1860</v>
      </c>
      <c r="H9273" s="27" t="s">
        <v>1861</v>
      </c>
      <c r="J9273" s="27" t="s">
        <v>1862</v>
      </c>
      <c r="K9273" s="27" t="s">
        <v>13588</v>
      </c>
      <c r="L9273" s="27" t="s">
        <v>13643</v>
      </c>
      <c r="N9273" s="27" t="s">
        <v>13644</v>
      </c>
      <c r="P9273" s="27" t="s">
        <v>13648</v>
      </c>
      <c r="Q9273" s="26" t="str">
        <f>HYPERLINK("https://ictv.global/taxonomy/taxondetails?taxnode_id=202518245&amp;ictv_id=ICTV202318245","ICTV202318245")</f>
        <v>ICTV202318245</v>
      </c>
      <c r="R9273" t="s">
        <v>583</v>
      </c>
      <c r="S9273" t="s">
        <v>823</v>
      </c>
      <c r="T9273">
        <v>39</v>
      </c>
      <c r="U9273" s="26" t="str">
        <f t="shared" si="330"/>
        <v>2023.015F.Ghabrivirales_reorg.zip</v>
      </c>
    </row>
    <row r="9274" spans="1:21">
      <c r="A9274">
        <v>9273</v>
      </c>
      <c r="B9274" s="27" t="s">
        <v>1124</v>
      </c>
      <c r="D9274" s="27" t="s">
        <v>1859</v>
      </c>
      <c r="F9274" s="27" t="s">
        <v>1860</v>
      </c>
      <c r="H9274" s="27" t="s">
        <v>1861</v>
      </c>
      <c r="J9274" s="27" t="s">
        <v>1862</v>
      </c>
      <c r="K9274" s="27" t="s">
        <v>13588</v>
      </c>
      <c r="L9274" s="27" t="s">
        <v>13649</v>
      </c>
      <c r="N9274" s="27" t="s">
        <v>13650</v>
      </c>
      <c r="P9274" s="27" t="s">
        <v>13651</v>
      </c>
      <c r="Q9274" s="26" t="str">
        <f>HYPERLINK("https://ictv.global/taxonomy/taxondetails?taxnode_id=202518246&amp;ictv_id=ICTV202318246","ICTV202318246")</f>
        <v>ICTV202318246</v>
      </c>
      <c r="R9274" t="s">
        <v>583</v>
      </c>
      <c r="S9274" t="s">
        <v>823</v>
      </c>
      <c r="T9274">
        <v>39</v>
      </c>
      <c r="U9274" s="26" t="str">
        <f t="shared" si="330"/>
        <v>2023.015F.Ghabrivirales_reorg.zip</v>
      </c>
    </row>
    <row r="9275" spans="1:21">
      <c r="A9275">
        <v>9274</v>
      </c>
      <c r="B9275" s="27" t="s">
        <v>1124</v>
      </c>
      <c r="D9275" s="27" t="s">
        <v>1859</v>
      </c>
      <c r="F9275" s="27" t="s">
        <v>1860</v>
      </c>
      <c r="H9275" s="27" t="s">
        <v>1861</v>
      </c>
      <c r="J9275" s="27" t="s">
        <v>1862</v>
      </c>
      <c r="K9275" s="27" t="s">
        <v>13652</v>
      </c>
      <c r="L9275" s="27" t="s">
        <v>8760</v>
      </c>
      <c r="N9275" s="27" t="s">
        <v>8761</v>
      </c>
      <c r="P9275" s="27" t="s">
        <v>8762</v>
      </c>
      <c r="Q9275" s="26" t="str">
        <f>HYPERLINK("https://ictv.global/taxonomy/taxondetails?taxnode_id=202514983&amp;ictv_id=ICTV202214983","ICTV202214983")</f>
        <v>ICTV202214983</v>
      </c>
      <c r="R9275" t="s">
        <v>583</v>
      </c>
      <c r="S9275" t="s">
        <v>22763</v>
      </c>
      <c r="T9275">
        <v>39</v>
      </c>
      <c r="U9275" s="26" t="str">
        <f t="shared" si="330"/>
        <v>2023.015F.Ghabrivirales_reorg.zip</v>
      </c>
    </row>
    <row r="9276" spans="1:21">
      <c r="A9276">
        <v>9275</v>
      </c>
      <c r="B9276" s="27" t="s">
        <v>1124</v>
      </c>
      <c r="D9276" s="27" t="s">
        <v>1859</v>
      </c>
      <c r="F9276" s="27" t="s">
        <v>1860</v>
      </c>
      <c r="H9276" s="27" t="s">
        <v>1861</v>
      </c>
      <c r="J9276" s="27" t="s">
        <v>1862</v>
      </c>
      <c r="K9276" s="27" t="s">
        <v>13652</v>
      </c>
      <c r="L9276" s="27" t="s">
        <v>8760</v>
      </c>
      <c r="N9276" s="27" t="s">
        <v>8761</v>
      </c>
      <c r="P9276" s="27" t="s">
        <v>8763</v>
      </c>
      <c r="Q9276" s="26" t="str">
        <f>HYPERLINK("https://ictv.global/taxonomy/taxondetails?taxnode_id=202514984&amp;ictv_id=ICTV202214984","ICTV202214984")</f>
        <v>ICTV202214984</v>
      </c>
      <c r="R9276" t="s">
        <v>583</v>
      </c>
      <c r="S9276" t="s">
        <v>22763</v>
      </c>
      <c r="T9276">
        <v>39</v>
      </c>
      <c r="U9276" s="26" t="str">
        <f t="shared" si="330"/>
        <v>2023.015F.Ghabrivirales_reorg.zip</v>
      </c>
    </row>
    <row r="9277" spans="1:21">
      <c r="A9277">
        <v>9276</v>
      </c>
      <c r="B9277" s="27" t="s">
        <v>1124</v>
      </c>
      <c r="D9277" s="27" t="s">
        <v>1859</v>
      </c>
      <c r="F9277" s="27" t="s">
        <v>1860</v>
      </c>
      <c r="H9277" s="27" t="s">
        <v>1861</v>
      </c>
      <c r="J9277" s="27" t="s">
        <v>1862</v>
      </c>
      <c r="K9277" s="27" t="s">
        <v>13652</v>
      </c>
      <c r="L9277" s="27" t="s">
        <v>8760</v>
      </c>
      <c r="N9277" s="27" t="s">
        <v>8761</v>
      </c>
      <c r="P9277" s="27" t="s">
        <v>8764</v>
      </c>
      <c r="Q9277" s="26" t="str">
        <f>HYPERLINK("https://ictv.global/taxonomy/taxondetails?taxnode_id=202514985&amp;ictv_id=ICTV202214985","ICTV202214985")</f>
        <v>ICTV202214985</v>
      </c>
      <c r="R9277" t="s">
        <v>583</v>
      </c>
      <c r="S9277" t="s">
        <v>22763</v>
      </c>
      <c r="T9277">
        <v>39</v>
      </c>
      <c r="U9277" s="26" t="str">
        <f t="shared" si="330"/>
        <v>2023.015F.Ghabrivirales_reorg.zip</v>
      </c>
    </row>
    <row r="9278" spans="1:21">
      <c r="A9278">
        <v>9277</v>
      </c>
      <c r="B9278" s="27" t="s">
        <v>1124</v>
      </c>
      <c r="D9278" s="27" t="s">
        <v>1859</v>
      </c>
      <c r="F9278" s="27" t="s">
        <v>1860</v>
      </c>
      <c r="H9278" s="27" t="s">
        <v>1861</v>
      </c>
      <c r="J9278" s="27" t="s">
        <v>1862</v>
      </c>
      <c r="K9278" s="27" t="s">
        <v>13652</v>
      </c>
      <c r="L9278" s="27" t="s">
        <v>8760</v>
      </c>
      <c r="N9278" s="27" t="s">
        <v>8761</v>
      </c>
      <c r="P9278" s="27" t="s">
        <v>8765</v>
      </c>
      <c r="Q9278" s="26" t="str">
        <f>HYPERLINK("https://ictv.global/taxonomy/taxondetails?taxnode_id=202514986&amp;ictv_id=ICTV202214986","ICTV202214986")</f>
        <v>ICTV202214986</v>
      </c>
      <c r="R9278" t="s">
        <v>583</v>
      </c>
      <c r="S9278" t="s">
        <v>22763</v>
      </c>
      <c r="T9278">
        <v>39</v>
      </c>
      <c r="U9278" s="26" t="str">
        <f t="shared" si="330"/>
        <v>2023.015F.Ghabrivirales_reorg.zip</v>
      </c>
    </row>
    <row r="9279" spans="1:21">
      <c r="A9279">
        <v>9278</v>
      </c>
      <c r="B9279" s="27" t="s">
        <v>1124</v>
      </c>
      <c r="D9279" s="27" t="s">
        <v>1859</v>
      </c>
      <c r="F9279" s="27" t="s">
        <v>1860</v>
      </c>
      <c r="H9279" s="27" t="s">
        <v>1861</v>
      </c>
      <c r="J9279" s="27" t="s">
        <v>1862</v>
      </c>
      <c r="K9279" s="27" t="s">
        <v>13652</v>
      </c>
      <c r="L9279" s="27" t="s">
        <v>8760</v>
      </c>
      <c r="N9279" s="27" t="s">
        <v>8761</v>
      </c>
      <c r="P9279" s="27" t="s">
        <v>8766</v>
      </c>
      <c r="Q9279" s="26" t="str">
        <f>HYPERLINK("https://ictv.global/taxonomy/taxondetails?taxnode_id=202514987&amp;ictv_id=ICTV202214987","ICTV202214987")</f>
        <v>ICTV202214987</v>
      </c>
      <c r="R9279" t="s">
        <v>583</v>
      </c>
      <c r="S9279" t="s">
        <v>22763</v>
      </c>
      <c r="T9279">
        <v>39</v>
      </c>
      <c r="U9279" s="26" t="str">
        <f t="shared" si="330"/>
        <v>2023.015F.Ghabrivirales_reorg.zip</v>
      </c>
    </row>
    <row r="9280" spans="1:21">
      <c r="A9280">
        <v>9279</v>
      </c>
      <c r="B9280" s="27" t="s">
        <v>1124</v>
      </c>
      <c r="D9280" s="27" t="s">
        <v>1859</v>
      </c>
      <c r="F9280" s="27" t="s">
        <v>1860</v>
      </c>
      <c r="H9280" s="27" t="s">
        <v>1863</v>
      </c>
      <c r="J9280" s="27" t="s">
        <v>1864</v>
      </c>
      <c r="L9280" s="27" t="s">
        <v>8798</v>
      </c>
      <c r="N9280" s="27" t="s">
        <v>187</v>
      </c>
      <c r="P9280" s="27" t="s">
        <v>20109</v>
      </c>
      <c r="Q9280" s="26" t="str">
        <f>HYPERLINK("https://ictv.global/taxonomy/taxondetails?taxnode_id=202520218&amp;ictv_id=ICTV202420218","ICTV202420218")</f>
        <v>ICTV202420218</v>
      </c>
      <c r="R9280" t="s">
        <v>583</v>
      </c>
      <c r="S9280" t="s">
        <v>823</v>
      </c>
      <c r="T9280">
        <v>40</v>
      </c>
      <c r="U9280" s="26" t="str">
        <f>HYPERLINK("https://ictv.global/ictv/proposals/2024.005M.Cardoreovirus_1nsp.zip","2024.005M.Cardoreovirus_1nsp.zip")</f>
        <v>2024.005M.Cardoreovirus_1nsp.zip</v>
      </c>
    </row>
    <row r="9281" spans="1:21">
      <c r="A9281">
        <v>9280</v>
      </c>
      <c r="B9281" s="27" t="s">
        <v>1124</v>
      </c>
      <c r="D9281" s="27" t="s">
        <v>1859</v>
      </c>
      <c r="F9281" s="27" t="s">
        <v>1860</v>
      </c>
      <c r="H9281" s="27" t="s">
        <v>1863</v>
      </c>
      <c r="J9281" s="27" t="s">
        <v>1864</v>
      </c>
      <c r="L9281" s="27" t="s">
        <v>8798</v>
      </c>
      <c r="N9281" s="27" t="s">
        <v>187</v>
      </c>
      <c r="P9281" s="27" t="s">
        <v>13686</v>
      </c>
      <c r="Q9281" s="26" t="str">
        <f>HYPERLINK("https://ictv.global/taxonomy/taxondetails?taxnode_id=202504874&amp;ictv_id=ICTV20084725","ICTV20084725")</f>
        <v>ICTV20084725</v>
      </c>
      <c r="R9281" t="s">
        <v>583</v>
      </c>
      <c r="S9281" t="s">
        <v>824</v>
      </c>
      <c r="T9281">
        <v>39</v>
      </c>
      <c r="U9281" s="26" t="str">
        <f>HYPERLINK("https://ictv.global/ictv/proposals/2023.033M.Sedoreoviridae_sprenam.zip","2023.033M.Sedoreoviridae_sprenam.zip")</f>
        <v>2023.033M.Sedoreoviridae_sprenam.zip</v>
      </c>
    </row>
    <row r="9282" spans="1:21">
      <c r="A9282">
        <v>9281</v>
      </c>
      <c r="B9282" s="27" t="s">
        <v>1124</v>
      </c>
      <c r="D9282" s="27" t="s">
        <v>1859</v>
      </c>
      <c r="F9282" s="27" t="s">
        <v>1860</v>
      </c>
      <c r="H9282" s="27" t="s">
        <v>1863</v>
      </c>
      <c r="J9282" s="27" t="s">
        <v>1864</v>
      </c>
      <c r="L9282" s="27" t="s">
        <v>8798</v>
      </c>
      <c r="N9282" s="27" t="s">
        <v>20110</v>
      </c>
      <c r="P9282" s="27" t="s">
        <v>20111</v>
      </c>
      <c r="Q9282" s="26" t="str">
        <f>HYPERLINK("https://ictv.global/taxonomy/taxondetails?taxnode_id=202520734&amp;ictv_id=ICTV202420734","ICTV202420734")</f>
        <v>ICTV202420734</v>
      </c>
      <c r="R9282" t="s">
        <v>583</v>
      </c>
      <c r="S9282" t="s">
        <v>823</v>
      </c>
      <c r="T9282">
        <v>40</v>
      </c>
      <c r="U9282" s="26" t="str">
        <f>HYPERLINK("https://ictv.global/ictv/proposals/2024.016M.Sedoreoviridae_1ng_3nsp.zip","2024.016M.Sedoreoviridae_1ng_3nsp.zip")</f>
        <v>2024.016M.Sedoreoviridae_1ng_3nsp.zip</v>
      </c>
    </row>
    <row r="9283" spans="1:21">
      <c r="A9283">
        <v>9282</v>
      </c>
      <c r="B9283" s="27" t="s">
        <v>1124</v>
      </c>
      <c r="D9283" s="27" t="s">
        <v>1859</v>
      </c>
      <c r="F9283" s="27" t="s">
        <v>1860</v>
      </c>
      <c r="H9283" s="27" t="s">
        <v>1863</v>
      </c>
      <c r="J9283" s="27" t="s">
        <v>1864</v>
      </c>
      <c r="L9283" s="27" t="s">
        <v>8798</v>
      </c>
      <c r="N9283" s="27" t="s">
        <v>20110</v>
      </c>
      <c r="P9283" s="27" t="s">
        <v>20112</v>
      </c>
      <c r="Q9283" s="26" t="str">
        <f>HYPERLINK("https://ictv.global/taxonomy/taxondetails?taxnode_id=202520736&amp;ictv_id=ICTV202420736","ICTV202420736")</f>
        <v>ICTV202420736</v>
      </c>
      <c r="R9283" t="s">
        <v>583</v>
      </c>
      <c r="S9283" t="s">
        <v>823</v>
      </c>
      <c r="T9283">
        <v>40</v>
      </c>
      <c r="U9283" s="26" t="str">
        <f>HYPERLINK("https://ictv.global/ictv/proposals/2024.016M.Sedoreoviridae_1ng_3nsp.zip","2024.016M.Sedoreoviridae_1ng_3nsp.zip")</f>
        <v>2024.016M.Sedoreoviridae_1ng_3nsp.zip</v>
      </c>
    </row>
    <row r="9284" spans="1:21">
      <c r="A9284">
        <v>9283</v>
      </c>
      <c r="B9284" s="27" t="s">
        <v>1124</v>
      </c>
      <c r="D9284" s="27" t="s">
        <v>1859</v>
      </c>
      <c r="F9284" s="27" t="s">
        <v>1860</v>
      </c>
      <c r="H9284" s="27" t="s">
        <v>1863</v>
      </c>
      <c r="J9284" s="27" t="s">
        <v>1864</v>
      </c>
      <c r="L9284" s="27" t="s">
        <v>8798</v>
      </c>
      <c r="N9284" s="27" t="s">
        <v>20110</v>
      </c>
      <c r="P9284" s="27" t="s">
        <v>20113</v>
      </c>
      <c r="Q9284" s="26" t="str">
        <f>HYPERLINK("https://ictv.global/taxonomy/taxondetails?taxnode_id=202520735&amp;ictv_id=ICTV202420735","ICTV202420735")</f>
        <v>ICTV202420735</v>
      </c>
      <c r="R9284" t="s">
        <v>583</v>
      </c>
      <c r="S9284" t="s">
        <v>823</v>
      </c>
      <c r="T9284">
        <v>40</v>
      </c>
      <c r="U9284" s="26" t="str">
        <f>HYPERLINK("https://ictv.global/ictv/proposals/2024.016M.Sedoreoviridae_1ng_3nsp.zip","2024.016M.Sedoreoviridae_1ng_3nsp.zip")</f>
        <v>2024.016M.Sedoreoviridae_1ng_3nsp.zip</v>
      </c>
    </row>
    <row r="9285" spans="1:21">
      <c r="A9285">
        <v>9284</v>
      </c>
      <c r="B9285" s="27" t="s">
        <v>1124</v>
      </c>
      <c r="D9285" s="27" t="s">
        <v>1859</v>
      </c>
      <c r="F9285" s="27" t="s">
        <v>1860</v>
      </c>
      <c r="H9285" s="27" t="s">
        <v>1863</v>
      </c>
      <c r="J9285" s="27" t="s">
        <v>1864</v>
      </c>
      <c r="L9285" s="27" t="s">
        <v>8798</v>
      </c>
      <c r="N9285" s="27" t="s">
        <v>423</v>
      </c>
      <c r="P9285" s="27" t="s">
        <v>13687</v>
      </c>
      <c r="Q9285" s="26" t="str">
        <f>HYPERLINK("https://ictv.global/taxonomy/taxondetails?taxnode_id=202504876&amp;ictv_id=ICTV20084758","ICTV20084758")</f>
        <v>ICTV20084758</v>
      </c>
      <c r="R9285" t="s">
        <v>583</v>
      </c>
      <c r="S9285" t="s">
        <v>824</v>
      </c>
      <c r="T9285">
        <v>39</v>
      </c>
      <c r="U9285" s="26" t="str">
        <f t="shared" ref="U9285:U9317" si="331">HYPERLINK("https://ictv.global/ictv/proposals/2023.033M.Sedoreoviridae_sprenam.zip","2023.033M.Sedoreoviridae_sprenam.zip")</f>
        <v>2023.033M.Sedoreoviridae_sprenam.zip</v>
      </c>
    </row>
    <row r="9286" spans="1:21">
      <c r="A9286">
        <v>9285</v>
      </c>
      <c r="B9286" s="27" t="s">
        <v>1124</v>
      </c>
      <c r="D9286" s="27" t="s">
        <v>1859</v>
      </c>
      <c r="F9286" s="27" t="s">
        <v>1860</v>
      </c>
      <c r="H9286" s="27" t="s">
        <v>1863</v>
      </c>
      <c r="J9286" s="27" t="s">
        <v>1864</v>
      </c>
      <c r="L9286" s="27" t="s">
        <v>8798</v>
      </c>
      <c r="N9286" s="27" t="s">
        <v>425</v>
      </c>
      <c r="P9286" s="27" t="s">
        <v>13688</v>
      </c>
      <c r="Q9286" s="26" t="str">
        <f>HYPERLINK("https://ictv.global/taxonomy/taxondetails?taxnode_id=202504878&amp;ictv_id=ICTV19740117","ICTV19740117")</f>
        <v>ICTV19740117</v>
      </c>
      <c r="R9286" t="s">
        <v>583</v>
      </c>
      <c r="S9286" t="s">
        <v>824</v>
      </c>
      <c r="T9286">
        <v>39</v>
      </c>
      <c r="U9286" s="26" t="str">
        <f t="shared" si="331"/>
        <v>2023.033M.Sedoreoviridae_sprenam.zip</v>
      </c>
    </row>
    <row r="9287" spans="1:21">
      <c r="A9287">
        <v>9286</v>
      </c>
      <c r="B9287" s="27" t="s">
        <v>1124</v>
      </c>
      <c r="D9287" s="27" t="s">
        <v>1859</v>
      </c>
      <c r="F9287" s="27" t="s">
        <v>1860</v>
      </c>
      <c r="H9287" s="27" t="s">
        <v>1863</v>
      </c>
      <c r="J9287" s="27" t="s">
        <v>1864</v>
      </c>
      <c r="L9287" s="27" t="s">
        <v>8798</v>
      </c>
      <c r="N9287" s="27" t="s">
        <v>425</v>
      </c>
      <c r="P9287" s="27" t="s">
        <v>13689</v>
      </c>
      <c r="Q9287" s="26" t="str">
        <f>HYPERLINK("https://ictv.global/taxonomy/taxondetails?taxnode_id=202504883&amp;ictv_id=ICTV19740121","ICTV19740121")</f>
        <v>ICTV19740121</v>
      </c>
      <c r="R9287" t="s">
        <v>583</v>
      </c>
      <c r="S9287" t="s">
        <v>824</v>
      </c>
      <c r="T9287">
        <v>39</v>
      </c>
      <c r="U9287" s="26" t="str">
        <f t="shared" si="331"/>
        <v>2023.033M.Sedoreoviridae_sprenam.zip</v>
      </c>
    </row>
    <row r="9288" spans="1:21">
      <c r="A9288">
        <v>9287</v>
      </c>
      <c r="B9288" s="27" t="s">
        <v>1124</v>
      </c>
      <c r="D9288" s="27" t="s">
        <v>1859</v>
      </c>
      <c r="F9288" s="27" t="s">
        <v>1860</v>
      </c>
      <c r="H9288" s="27" t="s">
        <v>1863</v>
      </c>
      <c r="J9288" s="27" t="s">
        <v>1864</v>
      </c>
      <c r="L9288" s="27" t="s">
        <v>8798</v>
      </c>
      <c r="N9288" s="27" t="s">
        <v>425</v>
      </c>
      <c r="P9288" s="27" t="s">
        <v>13690</v>
      </c>
      <c r="Q9288" s="26" t="str">
        <f>HYPERLINK("https://ictv.global/taxonomy/taxondetails?taxnode_id=202504885&amp;ictv_id=ICTV19790791","ICTV19790791")</f>
        <v>ICTV19790791</v>
      </c>
      <c r="R9288" t="s">
        <v>583</v>
      </c>
      <c r="S9288" t="s">
        <v>824</v>
      </c>
      <c r="T9288">
        <v>39</v>
      </c>
      <c r="U9288" s="26" t="str">
        <f t="shared" si="331"/>
        <v>2023.033M.Sedoreoviridae_sprenam.zip</v>
      </c>
    </row>
    <row r="9289" spans="1:21">
      <c r="A9289">
        <v>9288</v>
      </c>
      <c r="B9289" s="27" t="s">
        <v>1124</v>
      </c>
      <c r="D9289" s="27" t="s">
        <v>1859</v>
      </c>
      <c r="F9289" s="27" t="s">
        <v>1860</v>
      </c>
      <c r="H9289" s="27" t="s">
        <v>1863</v>
      </c>
      <c r="J9289" s="27" t="s">
        <v>1864</v>
      </c>
      <c r="L9289" s="27" t="s">
        <v>8798</v>
      </c>
      <c r="N9289" s="27" t="s">
        <v>425</v>
      </c>
      <c r="P9289" s="27" t="s">
        <v>13691</v>
      </c>
      <c r="Q9289" s="26" t="str">
        <f>HYPERLINK("https://ictv.global/taxonomy/taxondetails?taxnode_id=202504896&amp;ictv_id=ICTV19790797","ICTV19790797")</f>
        <v>ICTV19790797</v>
      </c>
      <c r="R9289" t="s">
        <v>583</v>
      </c>
      <c r="S9289" t="s">
        <v>824</v>
      </c>
      <c r="T9289">
        <v>39</v>
      </c>
      <c r="U9289" s="26" t="str">
        <f t="shared" si="331"/>
        <v>2023.033M.Sedoreoviridae_sprenam.zip</v>
      </c>
    </row>
    <row r="9290" spans="1:21">
      <c r="A9290">
        <v>9289</v>
      </c>
      <c r="B9290" s="27" t="s">
        <v>1124</v>
      </c>
      <c r="D9290" s="27" t="s">
        <v>1859</v>
      </c>
      <c r="F9290" s="27" t="s">
        <v>1860</v>
      </c>
      <c r="H9290" s="27" t="s">
        <v>1863</v>
      </c>
      <c r="J9290" s="27" t="s">
        <v>1864</v>
      </c>
      <c r="L9290" s="27" t="s">
        <v>8798</v>
      </c>
      <c r="N9290" s="27" t="s">
        <v>425</v>
      </c>
      <c r="P9290" s="27" t="s">
        <v>13692</v>
      </c>
      <c r="Q9290" s="26" t="str">
        <f>HYPERLINK("https://ictv.global/taxonomy/taxondetails?taxnode_id=202504879&amp;ictv_id=ICTV19740118","ICTV19740118")</f>
        <v>ICTV19740118</v>
      </c>
      <c r="R9290" t="s">
        <v>583</v>
      </c>
      <c r="S9290" t="s">
        <v>824</v>
      </c>
      <c r="T9290">
        <v>39</v>
      </c>
      <c r="U9290" s="26" t="str">
        <f t="shared" si="331"/>
        <v>2023.033M.Sedoreoviridae_sprenam.zip</v>
      </c>
    </row>
    <row r="9291" spans="1:21">
      <c r="A9291">
        <v>9290</v>
      </c>
      <c r="B9291" s="27" t="s">
        <v>1124</v>
      </c>
      <c r="D9291" s="27" t="s">
        <v>1859</v>
      </c>
      <c r="F9291" s="27" t="s">
        <v>1860</v>
      </c>
      <c r="H9291" s="27" t="s">
        <v>1863</v>
      </c>
      <c r="J9291" s="27" t="s">
        <v>1864</v>
      </c>
      <c r="L9291" s="27" t="s">
        <v>8798</v>
      </c>
      <c r="N9291" s="27" t="s">
        <v>425</v>
      </c>
      <c r="P9291" s="27" t="s">
        <v>13693</v>
      </c>
      <c r="Q9291" s="26" t="str">
        <f>HYPERLINK("https://ictv.global/taxonomy/taxondetails?taxnode_id=202504880&amp;ictv_id=ICTV19740119","ICTV19740119")</f>
        <v>ICTV19740119</v>
      </c>
      <c r="R9291" t="s">
        <v>583</v>
      </c>
      <c r="S9291" t="s">
        <v>824</v>
      </c>
      <c r="T9291">
        <v>39</v>
      </c>
      <c r="U9291" s="26" t="str">
        <f t="shared" si="331"/>
        <v>2023.033M.Sedoreoviridae_sprenam.zip</v>
      </c>
    </row>
    <row r="9292" spans="1:21">
      <c r="A9292">
        <v>9291</v>
      </c>
      <c r="B9292" s="27" t="s">
        <v>1124</v>
      </c>
      <c r="D9292" s="27" t="s">
        <v>1859</v>
      </c>
      <c r="F9292" s="27" t="s">
        <v>1860</v>
      </c>
      <c r="H9292" s="27" t="s">
        <v>1863</v>
      </c>
      <c r="J9292" s="27" t="s">
        <v>1864</v>
      </c>
      <c r="L9292" s="27" t="s">
        <v>8798</v>
      </c>
      <c r="N9292" s="27" t="s">
        <v>425</v>
      </c>
      <c r="P9292" s="27" t="s">
        <v>13694</v>
      </c>
      <c r="Q9292" s="26" t="str">
        <f>HYPERLINK("https://ictv.global/taxonomy/taxondetails?taxnode_id=202504881&amp;ictv_id=ICTV19952025","ICTV19952025")</f>
        <v>ICTV19952025</v>
      </c>
      <c r="R9292" t="s">
        <v>583</v>
      </c>
      <c r="S9292" t="s">
        <v>824</v>
      </c>
      <c r="T9292">
        <v>39</v>
      </c>
      <c r="U9292" s="26" t="str">
        <f t="shared" si="331"/>
        <v>2023.033M.Sedoreoviridae_sprenam.zip</v>
      </c>
    </row>
    <row r="9293" spans="1:21">
      <c r="A9293">
        <v>9292</v>
      </c>
      <c r="B9293" s="27" t="s">
        <v>1124</v>
      </c>
      <c r="D9293" s="27" t="s">
        <v>1859</v>
      </c>
      <c r="F9293" s="27" t="s">
        <v>1860</v>
      </c>
      <c r="H9293" s="27" t="s">
        <v>1863</v>
      </c>
      <c r="J9293" s="27" t="s">
        <v>1864</v>
      </c>
      <c r="L9293" s="27" t="s">
        <v>8798</v>
      </c>
      <c r="N9293" s="27" t="s">
        <v>425</v>
      </c>
      <c r="P9293" s="27" t="s">
        <v>13695</v>
      </c>
      <c r="Q9293" s="26" t="str">
        <f>HYPERLINK("https://ictv.global/taxonomy/taxondetails?taxnode_id=202504882&amp;ictv_id=ICTV19982418","ICTV19982418")</f>
        <v>ICTV19982418</v>
      </c>
      <c r="R9293" t="s">
        <v>583</v>
      </c>
      <c r="S9293" t="s">
        <v>824</v>
      </c>
      <c r="T9293">
        <v>39</v>
      </c>
      <c r="U9293" s="26" t="str">
        <f t="shared" si="331"/>
        <v>2023.033M.Sedoreoviridae_sprenam.zip</v>
      </c>
    </row>
    <row r="9294" spans="1:21">
      <c r="A9294">
        <v>9293</v>
      </c>
      <c r="B9294" s="27" t="s">
        <v>1124</v>
      </c>
      <c r="D9294" s="27" t="s">
        <v>1859</v>
      </c>
      <c r="F9294" s="27" t="s">
        <v>1860</v>
      </c>
      <c r="H9294" s="27" t="s">
        <v>1863</v>
      </c>
      <c r="J9294" s="27" t="s">
        <v>1864</v>
      </c>
      <c r="L9294" s="27" t="s">
        <v>8798</v>
      </c>
      <c r="N9294" s="27" t="s">
        <v>425</v>
      </c>
      <c r="P9294" s="27" t="s">
        <v>13696</v>
      </c>
      <c r="Q9294" s="26" t="str">
        <f>HYPERLINK("https://ictv.global/taxonomy/taxondetails?taxnode_id=202504898&amp;ictv_id=ICTV19962095","ICTV19962095")</f>
        <v>ICTV19962095</v>
      </c>
      <c r="R9294" t="s">
        <v>583</v>
      </c>
      <c r="S9294" t="s">
        <v>824</v>
      </c>
      <c r="T9294">
        <v>39</v>
      </c>
      <c r="U9294" s="26" t="str">
        <f t="shared" si="331"/>
        <v>2023.033M.Sedoreoviridae_sprenam.zip</v>
      </c>
    </row>
    <row r="9295" spans="1:21">
      <c r="A9295">
        <v>9294</v>
      </c>
      <c r="B9295" s="27" t="s">
        <v>1124</v>
      </c>
      <c r="D9295" s="27" t="s">
        <v>1859</v>
      </c>
      <c r="F9295" s="27" t="s">
        <v>1860</v>
      </c>
      <c r="H9295" s="27" t="s">
        <v>1863</v>
      </c>
      <c r="J9295" s="27" t="s">
        <v>1864</v>
      </c>
      <c r="L9295" s="27" t="s">
        <v>8798</v>
      </c>
      <c r="N9295" s="27" t="s">
        <v>425</v>
      </c>
      <c r="P9295" s="27" t="s">
        <v>13697</v>
      </c>
      <c r="Q9295" s="26" t="str">
        <f>HYPERLINK("https://ictv.global/taxonomy/taxondetails?taxnode_id=202504886&amp;ictv_id=ICTV19740123","ICTV19740123")</f>
        <v>ICTV19740123</v>
      </c>
      <c r="R9295" t="s">
        <v>583</v>
      </c>
      <c r="S9295" t="s">
        <v>824</v>
      </c>
      <c r="T9295">
        <v>39</v>
      </c>
      <c r="U9295" s="26" t="str">
        <f t="shared" si="331"/>
        <v>2023.033M.Sedoreoviridae_sprenam.zip</v>
      </c>
    </row>
    <row r="9296" spans="1:21">
      <c r="A9296">
        <v>9295</v>
      </c>
      <c r="B9296" s="27" t="s">
        <v>1124</v>
      </c>
      <c r="D9296" s="27" t="s">
        <v>1859</v>
      </c>
      <c r="F9296" s="27" t="s">
        <v>1860</v>
      </c>
      <c r="H9296" s="27" t="s">
        <v>1863</v>
      </c>
      <c r="J9296" s="27" t="s">
        <v>1864</v>
      </c>
      <c r="L9296" s="27" t="s">
        <v>8798</v>
      </c>
      <c r="N9296" s="27" t="s">
        <v>425</v>
      </c>
      <c r="P9296" s="27" t="s">
        <v>13698</v>
      </c>
      <c r="Q9296" s="26" t="str">
        <f>HYPERLINK("https://ictv.global/taxonomy/taxondetails?taxnode_id=202504892&amp;ictv_id=ICTV20041986","ICTV20041986")</f>
        <v>ICTV20041986</v>
      </c>
      <c r="R9296" t="s">
        <v>583</v>
      </c>
      <c r="S9296" t="s">
        <v>824</v>
      </c>
      <c r="T9296">
        <v>39</v>
      </c>
      <c r="U9296" s="26" t="str">
        <f t="shared" si="331"/>
        <v>2023.033M.Sedoreoviridae_sprenam.zip</v>
      </c>
    </row>
    <row r="9297" spans="1:21">
      <c r="A9297">
        <v>9296</v>
      </c>
      <c r="B9297" s="27" t="s">
        <v>1124</v>
      </c>
      <c r="D9297" s="27" t="s">
        <v>1859</v>
      </c>
      <c r="F9297" s="27" t="s">
        <v>1860</v>
      </c>
      <c r="H9297" s="27" t="s">
        <v>1863</v>
      </c>
      <c r="J9297" s="27" t="s">
        <v>1864</v>
      </c>
      <c r="L9297" s="27" t="s">
        <v>8798</v>
      </c>
      <c r="N9297" s="27" t="s">
        <v>425</v>
      </c>
      <c r="P9297" s="27" t="s">
        <v>13699</v>
      </c>
      <c r="Q9297" s="26" t="str">
        <f>HYPERLINK("https://ictv.global/taxonomy/taxondetails?taxnode_id=202504897&amp;ictv_id=ICTV19790798","ICTV19790798")</f>
        <v>ICTV19790798</v>
      </c>
      <c r="R9297" t="s">
        <v>583</v>
      </c>
      <c r="S9297" t="s">
        <v>824</v>
      </c>
      <c r="T9297">
        <v>39</v>
      </c>
      <c r="U9297" s="26" t="str">
        <f t="shared" si="331"/>
        <v>2023.033M.Sedoreoviridae_sprenam.zip</v>
      </c>
    </row>
    <row r="9298" spans="1:21">
      <c r="A9298">
        <v>9297</v>
      </c>
      <c r="B9298" s="27" t="s">
        <v>1124</v>
      </c>
      <c r="D9298" s="27" t="s">
        <v>1859</v>
      </c>
      <c r="F9298" s="27" t="s">
        <v>1860</v>
      </c>
      <c r="H9298" s="27" t="s">
        <v>1863</v>
      </c>
      <c r="J9298" s="27" t="s">
        <v>1864</v>
      </c>
      <c r="L9298" s="27" t="s">
        <v>8798</v>
      </c>
      <c r="N9298" s="27" t="s">
        <v>425</v>
      </c>
      <c r="P9298" s="27" t="s">
        <v>13700</v>
      </c>
      <c r="Q9298" s="26" t="str">
        <f>HYPERLINK("https://ictv.global/taxonomy/taxondetails?taxnode_id=202504889&amp;ictv_id=ICTV19820982","ICTV19820982")</f>
        <v>ICTV19820982</v>
      </c>
      <c r="R9298" t="s">
        <v>583</v>
      </c>
      <c r="S9298" t="s">
        <v>824</v>
      </c>
      <c r="T9298">
        <v>39</v>
      </c>
      <c r="U9298" s="26" t="str">
        <f t="shared" si="331"/>
        <v>2023.033M.Sedoreoviridae_sprenam.zip</v>
      </c>
    </row>
    <row r="9299" spans="1:21">
      <c r="A9299">
        <v>9298</v>
      </c>
      <c r="B9299" s="27" t="s">
        <v>1124</v>
      </c>
      <c r="D9299" s="27" t="s">
        <v>1859</v>
      </c>
      <c r="F9299" s="27" t="s">
        <v>1860</v>
      </c>
      <c r="H9299" s="27" t="s">
        <v>1863</v>
      </c>
      <c r="J9299" s="27" t="s">
        <v>1864</v>
      </c>
      <c r="L9299" s="27" t="s">
        <v>8798</v>
      </c>
      <c r="N9299" s="27" t="s">
        <v>425</v>
      </c>
      <c r="P9299" s="27" t="s">
        <v>13701</v>
      </c>
      <c r="Q9299" s="26" t="str">
        <f>HYPERLINK("https://ictv.global/taxonomy/taxondetails?taxnode_id=202504887&amp;ictv_id=ICTV19952030","ICTV19952030")</f>
        <v>ICTV19952030</v>
      </c>
      <c r="R9299" t="s">
        <v>583</v>
      </c>
      <c r="S9299" t="s">
        <v>824</v>
      </c>
      <c r="T9299">
        <v>39</v>
      </c>
      <c r="U9299" s="26" t="str">
        <f t="shared" si="331"/>
        <v>2023.033M.Sedoreoviridae_sprenam.zip</v>
      </c>
    </row>
    <row r="9300" spans="1:21">
      <c r="A9300">
        <v>9299</v>
      </c>
      <c r="B9300" s="27" t="s">
        <v>1124</v>
      </c>
      <c r="D9300" s="27" t="s">
        <v>1859</v>
      </c>
      <c r="F9300" s="27" t="s">
        <v>1860</v>
      </c>
      <c r="H9300" s="27" t="s">
        <v>1863</v>
      </c>
      <c r="J9300" s="27" t="s">
        <v>1864</v>
      </c>
      <c r="L9300" s="27" t="s">
        <v>8798</v>
      </c>
      <c r="N9300" s="27" t="s">
        <v>425</v>
      </c>
      <c r="P9300" s="27" t="s">
        <v>13702</v>
      </c>
      <c r="Q9300" s="26" t="str">
        <f>HYPERLINK("https://ictv.global/taxonomy/taxondetails?taxnode_id=202504890&amp;ictv_id=ICTV19952033","ICTV19952033")</f>
        <v>ICTV19952033</v>
      </c>
      <c r="R9300" t="s">
        <v>583</v>
      </c>
      <c r="S9300" t="s">
        <v>824</v>
      </c>
      <c r="T9300">
        <v>39</v>
      </c>
      <c r="U9300" s="26" t="str">
        <f t="shared" si="331"/>
        <v>2023.033M.Sedoreoviridae_sprenam.zip</v>
      </c>
    </row>
    <row r="9301" spans="1:21">
      <c r="A9301">
        <v>9300</v>
      </c>
      <c r="B9301" s="27" t="s">
        <v>1124</v>
      </c>
      <c r="D9301" s="27" t="s">
        <v>1859</v>
      </c>
      <c r="F9301" s="27" t="s">
        <v>1860</v>
      </c>
      <c r="H9301" s="27" t="s">
        <v>1863</v>
      </c>
      <c r="J9301" s="27" t="s">
        <v>1864</v>
      </c>
      <c r="L9301" s="27" t="s">
        <v>8798</v>
      </c>
      <c r="N9301" s="27" t="s">
        <v>425</v>
      </c>
      <c r="P9301" s="27" t="s">
        <v>13703</v>
      </c>
      <c r="Q9301" s="26" t="str">
        <f>HYPERLINK("https://ictv.global/taxonomy/taxondetails?taxnode_id=202504891&amp;ictv_id=ICTV19740125","ICTV19740125")</f>
        <v>ICTV19740125</v>
      </c>
      <c r="R9301" t="s">
        <v>583</v>
      </c>
      <c r="S9301" t="s">
        <v>824</v>
      </c>
      <c r="T9301">
        <v>39</v>
      </c>
      <c r="U9301" s="26" t="str">
        <f t="shared" si="331"/>
        <v>2023.033M.Sedoreoviridae_sprenam.zip</v>
      </c>
    </row>
    <row r="9302" spans="1:21">
      <c r="A9302">
        <v>9301</v>
      </c>
      <c r="B9302" s="27" t="s">
        <v>1124</v>
      </c>
      <c r="D9302" s="27" t="s">
        <v>1859</v>
      </c>
      <c r="F9302" s="27" t="s">
        <v>1860</v>
      </c>
      <c r="H9302" s="27" t="s">
        <v>1863</v>
      </c>
      <c r="J9302" s="27" t="s">
        <v>1864</v>
      </c>
      <c r="L9302" s="27" t="s">
        <v>8798</v>
      </c>
      <c r="N9302" s="27" t="s">
        <v>425</v>
      </c>
      <c r="P9302" s="27" t="s">
        <v>13704</v>
      </c>
      <c r="Q9302" s="26" t="str">
        <f>HYPERLINK("https://ictv.global/taxonomy/taxondetails?taxnode_id=202504884&amp;ictv_id=ICTV19740122","ICTV19740122")</f>
        <v>ICTV19740122</v>
      </c>
      <c r="R9302" t="s">
        <v>583</v>
      </c>
      <c r="S9302" t="s">
        <v>824</v>
      </c>
      <c r="T9302">
        <v>39</v>
      </c>
      <c r="U9302" s="26" t="str">
        <f t="shared" si="331"/>
        <v>2023.033M.Sedoreoviridae_sprenam.zip</v>
      </c>
    </row>
    <row r="9303" spans="1:21">
      <c r="A9303">
        <v>9302</v>
      </c>
      <c r="B9303" s="27" t="s">
        <v>1124</v>
      </c>
      <c r="D9303" s="27" t="s">
        <v>1859</v>
      </c>
      <c r="F9303" s="27" t="s">
        <v>1860</v>
      </c>
      <c r="H9303" s="27" t="s">
        <v>1863</v>
      </c>
      <c r="J9303" s="27" t="s">
        <v>1864</v>
      </c>
      <c r="L9303" s="27" t="s">
        <v>8798</v>
      </c>
      <c r="N9303" s="27" t="s">
        <v>425</v>
      </c>
      <c r="P9303" s="27" t="s">
        <v>13705</v>
      </c>
      <c r="Q9303" s="26" t="str">
        <f>HYPERLINK("https://ictv.global/taxonomy/taxondetails?taxnode_id=202504893&amp;ictv_id=ICTV20074589","ICTV20074589")</f>
        <v>ICTV20074589</v>
      </c>
      <c r="R9303" t="s">
        <v>583</v>
      </c>
      <c r="S9303" t="s">
        <v>824</v>
      </c>
      <c r="T9303">
        <v>39</v>
      </c>
      <c r="U9303" s="26" t="str">
        <f t="shared" si="331"/>
        <v>2023.033M.Sedoreoviridae_sprenam.zip</v>
      </c>
    </row>
    <row r="9304" spans="1:21">
      <c r="A9304">
        <v>9303</v>
      </c>
      <c r="B9304" s="27" t="s">
        <v>1124</v>
      </c>
      <c r="D9304" s="27" t="s">
        <v>1859</v>
      </c>
      <c r="F9304" s="27" t="s">
        <v>1860</v>
      </c>
      <c r="H9304" s="27" t="s">
        <v>1863</v>
      </c>
      <c r="J9304" s="27" t="s">
        <v>1864</v>
      </c>
      <c r="L9304" s="27" t="s">
        <v>8798</v>
      </c>
      <c r="N9304" s="27" t="s">
        <v>425</v>
      </c>
      <c r="P9304" s="27" t="s">
        <v>13706</v>
      </c>
      <c r="Q9304" s="26" t="str">
        <f>HYPERLINK("https://ictv.global/taxonomy/taxondetails?taxnode_id=202504888&amp;ictv_id=ICTV19982424","ICTV19982424")</f>
        <v>ICTV19982424</v>
      </c>
      <c r="R9304" t="s">
        <v>583</v>
      </c>
      <c r="S9304" t="s">
        <v>824</v>
      </c>
      <c r="T9304">
        <v>39</v>
      </c>
      <c r="U9304" s="26" t="str">
        <f t="shared" si="331"/>
        <v>2023.033M.Sedoreoviridae_sprenam.zip</v>
      </c>
    </row>
    <row r="9305" spans="1:21">
      <c r="A9305">
        <v>9304</v>
      </c>
      <c r="B9305" s="27" t="s">
        <v>1124</v>
      </c>
      <c r="D9305" s="27" t="s">
        <v>1859</v>
      </c>
      <c r="F9305" s="27" t="s">
        <v>1860</v>
      </c>
      <c r="H9305" s="27" t="s">
        <v>1863</v>
      </c>
      <c r="J9305" s="27" t="s">
        <v>1864</v>
      </c>
      <c r="L9305" s="27" t="s">
        <v>8798</v>
      </c>
      <c r="N9305" s="27" t="s">
        <v>425</v>
      </c>
      <c r="P9305" s="27" t="s">
        <v>13707</v>
      </c>
      <c r="Q9305" s="26" t="str">
        <f>HYPERLINK("https://ictv.global/taxonomy/taxondetails?taxnode_id=202504894&amp;ictv_id=ICTV19952035","ICTV19952035")</f>
        <v>ICTV19952035</v>
      </c>
      <c r="R9305" t="s">
        <v>583</v>
      </c>
      <c r="S9305" t="s">
        <v>824</v>
      </c>
      <c r="T9305">
        <v>39</v>
      </c>
      <c r="U9305" s="26" t="str">
        <f t="shared" si="331"/>
        <v>2023.033M.Sedoreoviridae_sprenam.zip</v>
      </c>
    </row>
    <row r="9306" spans="1:21">
      <c r="A9306">
        <v>9305</v>
      </c>
      <c r="B9306" s="27" t="s">
        <v>1124</v>
      </c>
      <c r="D9306" s="27" t="s">
        <v>1859</v>
      </c>
      <c r="F9306" s="27" t="s">
        <v>1860</v>
      </c>
      <c r="H9306" s="27" t="s">
        <v>1863</v>
      </c>
      <c r="J9306" s="27" t="s">
        <v>1864</v>
      </c>
      <c r="L9306" s="27" t="s">
        <v>8798</v>
      </c>
      <c r="N9306" s="27" t="s">
        <v>425</v>
      </c>
      <c r="P9306" s="27" t="s">
        <v>13708</v>
      </c>
      <c r="Q9306" s="26" t="str">
        <f>HYPERLINK("https://ictv.global/taxonomy/taxondetails?taxnode_id=202504895&amp;ictv_id=ICTV19952036","ICTV19952036")</f>
        <v>ICTV19952036</v>
      </c>
      <c r="R9306" t="s">
        <v>583</v>
      </c>
      <c r="S9306" t="s">
        <v>824</v>
      </c>
      <c r="T9306">
        <v>39</v>
      </c>
      <c r="U9306" s="26" t="str">
        <f t="shared" si="331"/>
        <v>2023.033M.Sedoreoviridae_sprenam.zip</v>
      </c>
    </row>
    <row r="9307" spans="1:21">
      <c r="A9307">
        <v>9306</v>
      </c>
      <c r="B9307" s="27" t="s">
        <v>1124</v>
      </c>
      <c r="D9307" s="27" t="s">
        <v>1859</v>
      </c>
      <c r="F9307" s="27" t="s">
        <v>1860</v>
      </c>
      <c r="H9307" s="27" t="s">
        <v>1863</v>
      </c>
      <c r="J9307" s="27" t="s">
        <v>1864</v>
      </c>
      <c r="L9307" s="27" t="s">
        <v>8798</v>
      </c>
      <c r="N9307" s="27" t="s">
        <v>425</v>
      </c>
      <c r="P9307" s="27" t="s">
        <v>13709</v>
      </c>
      <c r="Q9307" s="26" t="str">
        <f>HYPERLINK("https://ictv.global/taxonomy/taxondetails?taxnode_id=202504899&amp;ictv_id=ICTV20084783","ICTV20084783")</f>
        <v>ICTV20084783</v>
      </c>
      <c r="R9307" t="s">
        <v>583</v>
      </c>
      <c r="S9307" t="s">
        <v>824</v>
      </c>
      <c r="T9307">
        <v>39</v>
      </c>
      <c r="U9307" s="26" t="str">
        <f t="shared" si="331"/>
        <v>2023.033M.Sedoreoviridae_sprenam.zip</v>
      </c>
    </row>
    <row r="9308" spans="1:21">
      <c r="A9308">
        <v>9307</v>
      </c>
      <c r="B9308" s="27" t="s">
        <v>1124</v>
      </c>
      <c r="D9308" s="27" t="s">
        <v>1859</v>
      </c>
      <c r="F9308" s="27" t="s">
        <v>1860</v>
      </c>
      <c r="H9308" s="27" t="s">
        <v>1863</v>
      </c>
      <c r="J9308" s="27" t="s">
        <v>1864</v>
      </c>
      <c r="L9308" s="27" t="s">
        <v>8798</v>
      </c>
      <c r="N9308" s="27" t="s">
        <v>113</v>
      </c>
      <c r="P9308" s="27" t="s">
        <v>13710</v>
      </c>
      <c r="Q9308" s="26" t="str">
        <f>HYPERLINK("https://ictv.global/taxonomy/taxondetails?taxnode_id=202504901&amp;ictv_id=ICTV19760513","ICTV19760513")</f>
        <v>ICTV19760513</v>
      </c>
      <c r="R9308" t="s">
        <v>583</v>
      </c>
      <c r="S9308" t="s">
        <v>824</v>
      </c>
      <c r="T9308">
        <v>39</v>
      </c>
      <c r="U9308" s="26" t="str">
        <f t="shared" si="331"/>
        <v>2023.033M.Sedoreoviridae_sprenam.zip</v>
      </c>
    </row>
    <row r="9309" spans="1:21">
      <c r="A9309">
        <v>9308</v>
      </c>
      <c r="B9309" s="27" t="s">
        <v>1124</v>
      </c>
      <c r="D9309" s="27" t="s">
        <v>1859</v>
      </c>
      <c r="F9309" s="27" t="s">
        <v>1860</v>
      </c>
      <c r="H9309" s="27" t="s">
        <v>1863</v>
      </c>
      <c r="J9309" s="27" t="s">
        <v>1864</v>
      </c>
      <c r="L9309" s="27" t="s">
        <v>8798</v>
      </c>
      <c r="N9309" s="27" t="s">
        <v>113</v>
      </c>
      <c r="P9309" s="27" t="s">
        <v>13711</v>
      </c>
      <c r="Q9309" s="26" t="str">
        <f>HYPERLINK("https://ictv.global/taxonomy/taxondetails?taxnode_id=202504902&amp;ictv_id=ICTV19911422","ICTV19911422")</f>
        <v>ICTV19911422</v>
      </c>
      <c r="R9309" t="s">
        <v>583</v>
      </c>
      <c r="S9309" t="s">
        <v>824</v>
      </c>
      <c r="T9309">
        <v>39</v>
      </c>
      <c r="U9309" s="26" t="str">
        <f t="shared" si="331"/>
        <v>2023.033M.Sedoreoviridae_sprenam.zip</v>
      </c>
    </row>
    <row r="9310" spans="1:21">
      <c r="A9310">
        <v>9309</v>
      </c>
      <c r="B9310" s="27" t="s">
        <v>1124</v>
      </c>
      <c r="D9310" s="27" t="s">
        <v>1859</v>
      </c>
      <c r="F9310" s="27" t="s">
        <v>1860</v>
      </c>
      <c r="H9310" s="27" t="s">
        <v>1863</v>
      </c>
      <c r="J9310" s="27" t="s">
        <v>1864</v>
      </c>
      <c r="L9310" s="27" t="s">
        <v>8798</v>
      </c>
      <c r="N9310" s="27" t="s">
        <v>113</v>
      </c>
      <c r="P9310" s="27" t="s">
        <v>13712</v>
      </c>
      <c r="Q9310" s="26" t="str">
        <f>HYPERLINK("https://ictv.global/taxonomy/taxondetails?taxnode_id=202504903&amp;ictv_id=ICTV19760515","ICTV19760515")</f>
        <v>ICTV19760515</v>
      </c>
      <c r="R9310" t="s">
        <v>583</v>
      </c>
      <c r="S9310" t="s">
        <v>824</v>
      </c>
      <c r="T9310">
        <v>39</v>
      </c>
      <c r="U9310" s="26" t="str">
        <f t="shared" si="331"/>
        <v>2023.033M.Sedoreoviridae_sprenam.zip</v>
      </c>
    </row>
    <row r="9311" spans="1:21">
      <c r="A9311">
        <v>9310</v>
      </c>
      <c r="B9311" s="27" t="s">
        <v>1124</v>
      </c>
      <c r="D9311" s="27" t="s">
        <v>1859</v>
      </c>
      <c r="F9311" s="27" t="s">
        <v>1860</v>
      </c>
      <c r="H9311" s="27" t="s">
        <v>1863</v>
      </c>
      <c r="J9311" s="27" t="s">
        <v>1864</v>
      </c>
      <c r="L9311" s="27" t="s">
        <v>8798</v>
      </c>
      <c r="N9311" s="27" t="s">
        <v>112</v>
      </c>
      <c r="P9311" s="27" t="s">
        <v>13713</v>
      </c>
      <c r="Q9311" s="26" t="str">
        <f>HYPERLINK("https://ictv.global/taxonomy/taxondetails?taxnode_id=202504905&amp;ictv_id=ICTV19780598","ICTV19780598")</f>
        <v>ICTV19780598</v>
      </c>
      <c r="R9311" t="s">
        <v>583</v>
      </c>
      <c r="S9311" t="s">
        <v>824</v>
      </c>
      <c r="T9311">
        <v>39</v>
      </c>
      <c r="U9311" s="26" t="str">
        <f t="shared" si="331"/>
        <v>2023.033M.Sedoreoviridae_sprenam.zip</v>
      </c>
    </row>
    <row r="9312" spans="1:21">
      <c r="A9312">
        <v>9311</v>
      </c>
      <c r="B9312" s="27" t="s">
        <v>1124</v>
      </c>
      <c r="D9312" s="27" t="s">
        <v>1859</v>
      </c>
      <c r="F9312" s="27" t="s">
        <v>1860</v>
      </c>
      <c r="H9312" s="27" t="s">
        <v>1863</v>
      </c>
      <c r="J9312" s="27" t="s">
        <v>1864</v>
      </c>
      <c r="L9312" s="27" t="s">
        <v>8798</v>
      </c>
      <c r="N9312" s="27" t="s">
        <v>112</v>
      </c>
      <c r="P9312" s="27" t="s">
        <v>13714</v>
      </c>
      <c r="Q9312" s="26" t="str">
        <f>HYPERLINK("https://ictv.global/taxonomy/taxondetails?taxnode_id=202504912&amp;ictv_id=ICTV20143529","ICTV20143529")</f>
        <v>ICTV20143529</v>
      </c>
      <c r="R9312" t="s">
        <v>583</v>
      </c>
      <c r="S9312" t="s">
        <v>824</v>
      </c>
      <c r="T9312">
        <v>39</v>
      </c>
      <c r="U9312" s="26" t="str">
        <f t="shared" si="331"/>
        <v>2023.033M.Sedoreoviridae_sprenam.zip</v>
      </c>
    </row>
    <row r="9313" spans="1:21">
      <c r="A9313">
        <v>9312</v>
      </c>
      <c r="B9313" s="27" t="s">
        <v>1124</v>
      </c>
      <c r="D9313" s="27" t="s">
        <v>1859</v>
      </c>
      <c r="F9313" s="27" t="s">
        <v>1860</v>
      </c>
      <c r="H9313" s="27" t="s">
        <v>1863</v>
      </c>
      <c r="J9313" s="27" t="s">
        <v>1864</v>
      </c>
      <c r="L9313" s="27" t="s">
        <v>8798</v>
      </c>
      <c r="N9313" s="27" t="s">
        <v>112</v>
      </c>
      <c r="P9313" s="27" t="s">
        <v>13715</v>
      </c>
      <c r="Q9313" s="26" t="str">
        <f>HYPERLINK("https://ictv.global/taxonomy/taxondetails?taxnode_id=202504906&amp;ictv_id=ICTV19911425","ICTV19911425")</f>
        <v>ICTV19911425</v>
      </c>
      <c r="R9313" t="s">
        <v>583</v>
      </c>
      <c r="S9313" t="s">
        <v>824</v>
      </c>
      <c r="T9313">
        <v>39</v>
      </c>
      <c r="U9313" s="26" t="str">
        <f t="shared" si="331"/>
        <v>2023.033M.Sedoreoviridae_sprenam.zip</v>
      </c>
    </row>
    <row r="9314" spans="1:21">
      <c r="A9314">
        <v>9313</v>
      </c>
      <c r="B9314" s="27" t="s">
        <v>1124</v>
      </c>
      <c r="D9314" s="27" t="s">
        <v>1859</v>
      </c>
      <c r="F9314" s="27" t="s">
        <v>1860</v>
      </c>
      <c r="H9314" s="27" t="s">
        <v>1863</v>
      </c>
      <c r="J9314" s="27" t="s">
        <v>1864</v>
      </c>
      <c r="L9314" s="27" t="s">
        <v>8798</v>
      </c>
      <c r="N9314" s="27" t="s">
        <v>112</v>
      </c>
      <c r="P9314" s="27" t="s">
        <v>13716</v>
      </c>
      <c r="Q9314" s="26" t="str">
        <f>HYPERLINK("https://ictv.global/taxonomy/taxondetails?taxnode_id=202504908&amp;ictv_id=ICTV19911427","ICTV19911427")</f>
        <v>ICTV19911427</v>
      </c>
      <c r="R9314" t="s">
        <v>583</v>
      </c>
      <c r="S9314" t="s">
        <v>824</v>
      </c>
      <c r="T9314">
        <v>39</v>
      </c>
      <c r="U9314" s="26" t="str">
        <f t="shared" si="331"/>
        <v>2023.033M.Sedoreoviridae_sprenam.zip</v>
      </c>
    </row>
    <row r="9315" spans="1:21">
      <c r="A9315">
        <v>9314</v>
      </c>
      <c r="B9315" s="27" t="s">
        <v>1124</v>
      </c>
      <c r="D9315" s="27" t="s">
        <v>1859</v>
      </c>
      <c r="F9315" s="27" t="s">
        <v>1860</v>
      </c>
      <c r="H9315" s="27" t="s">
        <v>1863</v>
      </c>
      <c r="J9315" s="27" t="s">
        <v>1864</v>
      </c>
      <c r="L9315" s="27" t="s">
        <v>8798</v>
      </c>
      <c r="N9315" s="27" t="s">
        <v>112</v>
      </c>
      <c r="P9315" s="27" t="s">
        <v>13717</v>
      </c>
      <c r="Q9315" s="26" t="str">
        <f>HYPERLINK("https://ictv.global/taxonomy/taxondetails?taxnode_id=202504911&amp;ictv_id=ICTV20143528","ICTV20143528")</f>
        <v>ICTV20143528</v>
      </c>
      <c r="R9315" t="s">
        <v>583</v>
      </c>
      <c r="S9315" t="s">
        <v>824</v>
      </c>
      <c r="T9315">
        <v>39</v>
      </c>
      <c r="U9315" s="26" t="str">
        <f t="shared" si="331"/>
        <v>2023.033M.Sedoreoviridae_sprenam.zip</v>
      </c>
    </row>
    <row r="9316" spans="1:21">
      <c r="A9316">
        <v>9315</v>
      </c>
      <c r="B9316" s="27" t="s">
        <v>1124</v>
      </c>
      <c r="D9316" s="27" t="s">
        <v>1859</v>
      </c>
      <c r="F9316" s="27" t="s">
        <v>1860</v>
      </c>
      <c r="H9316" s="27" t="s">
        <v>1863</v>
      </c>
      <c r="J9316" s="27" t="s">
        <v>1864</v>
      </c>
      <c r="L9316" s="27" t="s">
        <v>8798</v>
      </c>
      <c r="N9316" s="27" t="s">
        <v>112</v>
      </c>
      <c r="P9316" s="27" t="s">
        <v>13718</v>
      </c>
      <c r="Q9316" s="26" t="str">
        <f>HYPERLINK("https://ictv.global/taxonomy/taxondetails?taxnode_id=202504913&amp;ictv_id=ICTV20165424","ICTV20165424")</f>
        <v>ICTV20165424</v>
      </c>
      <c r="R9316" t="s">
        <v>583</v>
      </c>
      <c r="S9316" t="s">
        <v>824</v>
      </c>
      <c r="T9316">
        <v>39</v>
      </c>
      <c r="U9316" s="26" t="str">
        <f t="shared" si="331"/>
        <v>2023.033M.Sedoreoviridae_sprenam.zip</v>
      </c>
    </row>
    <row r="9317" spans="1:21">
      <c r="A9317">
        <v>9316</v>
      </c>
      <c r="B9317" s="27" t="s">
        <v>1124</v>
      </c>
      <c r="D9317" s="27" t="s">
        <v>1859</v>
      </c>
      <c r="F9317" s="27" t="s">
        <v>1860</v>
      </c>
      <c r="H9317" s="27" t="s">
        <v>1863</v>
      </c>
      <c r="J9317" s="27" t="s">
        <v>1864</v>
      </c>
      <c r="L9317" s="27" t="s">
        <v>8798</v>
      </c>
      <c r="N9317" s="27" t="s">
        <v>112</v>
      </c>
      <c r="P9317" s="27" t="s">
        <v>13719</v>
      </c>
      <c r="Q9317" s="26" t="str">
        <f>HYPERLINK("https://ictv.global/taxonomy/taxondetails?taxnode_id=202507663&amp;ictv_id=ICTV201907663","ICTV201907663")</f>
        <v>ICTV201907663</v>
      </c>
      <c r="R9317" t="s">
        <v>583</v>
      </c>
      <c r="S9317" t="s">
        <v>824</v>
      </c>
      <c r="T9317">
        <v>39</v>
      </c>
      <c r="U9317" s="26" t="str">
        <f t="shared" si="331"/>
        <v>2023.033M.Sedoreoviridae_sprenam.zip</v>
      </c>
    </row>
    <row r="9318" spans="1:21">
      <c r="A9318">
        <v>9317</v>
      </c>
      <c r="B9318" s="27" t="s">
        <v>1124</v>
      </c>
      <c r="D9318" s="27" t="s">
        <v>1859</v>
      </c>
      <c r="F9318" s="27" t="s">
        <v>1860</v>
      </c>
      <c r="H9318" s="27" t="s">
        <v>1863</v>
      </c>
      <c r="J9318" s="27" t="s">
        <v>1864</v>
      </c>
      <c r="L9318" s="27" t="s">
        <v>8798</v>
      </c>
      <c r="N9318" s="27" t="s">
        <v>112</v>
      </c>
      <c r="P9318" s="27" t="s">
        <v>20114</v>
      </c>
      <c r="Q9318" s="26" t="str">
        <f>HYPERLINK("https://ictv.global/taxonomy/taxondetails?taxnode_id=202520629&amp;ictv_id=ICTV202420629","ICTV202420629")</f>
        <v>ICTV202420629</v>
      </c>
      <c r="R9318" t="s">
        <v>583</v>
      </c>
      <c r="S9318" t="s">
        <v>823</v>
      </c>
      <c r="T9318">
        <v>40</v>
      </c>
      <c r="U9318" s="26" t="str">
        <f>HYPERLINK("https://ictv.global/ictv/proposals/2024.015M.Rotavirus_2nsp.zip","2024.015M.Rotavirus_2nsp.zip")</f>
        <v>2024.015M.Rotavirus_2nsp.zip</v>
      </c>
    </row>
    <row r="9319" spans="1:21">
      <c r="A9319">
        <v>9318</v>
      </c>
      <c r="B9319" s="27" t="s">
        <v>1124</v>
      </c>
      <c r="D9319" s="27" t="s">
        <v>1859</v>
      </c>
      <c r="F9319" s="27" t="s">
        <v>1860</v>
      </c>
      <c r="H9319" s="27" t="s">
        <v>1863</v>
      </c>
      <c r="J9319" s="27" t="s">
        <v>1864</v>
      </c>
      <c r="L9319" s="27" t="s">
        <v>8798</v>
      </c>
      <c r="N9319" s="27" t="s">
        <v>112</v>
      </c>
      <c r="P9319" s="27" t="s">
        <v>20115</v>
      </c>
      <c r="Q9319" s="26" t="str">
        <f>HYPERLINK("https://ictv.global/taxonomy/taxondetails?taxnode_id=202520630&amp;ictv_id=ICTV202420630","ICTV202420630")</f>
        <v>ICTV202420630</v>
      </c>
      <c r="R9319" t="s">
        <v>583</v>
      </c>
      <c r="S9319" t="s">
        <v>823</v>
      </c>
      <c r="T9319">
        <v>40</v>
      </c>
      <c r="U9319" s="26" t="str">
        <f>HYPERLINK("https://ictv.global/ictv/proposals/2024.015M.Rotavirus_2nsp.zip","2024.015M.Rotavirus_2nsp.zip")</f>
        <v>2024.015M.Rotavirus_2nsp.zip</v>
      </c>
    </row>
    <row r="9320" spans="1:21">
      <c r="A9320">
        <v>9319</v>
      </c>
      <c r="B9320" s="27" t="s">
        <v>1124</v>
      </c>
      <c r="D9320" s="27" t="s">
        <v>1859</v>
      </c>
      <c r="F9320" s="27" t="s">
        <v>1860</v>
      </c>
      <c r="H9320" s="27" t="s">
        <v>1863</v>
      </c>
      <c r="J9320" s="27" t="s">
        <v>1864</v>
      </c>
      <c r="L9320" s="27" t="s">
        <v>8798</v>
      </c>
      <c r="N9320" s="27" t="s">
        <v>112</v>
      </c>
      <c r="P9320" s="27" t="s">
        <v>13720</v>
      </c>
      <c r="Q9320" s="26" t="str">
        <f>HYPERLINK("https://ictv.global/taxonomy/taxondetails?taxnode_id=202504910&amp;ictv_id=ICTV20143527","ICTV20143527")</f>
        <v>ICTV20143527</v>
      </c>
      <c r="R9320" t="s">
        <v>583</v>
      </c>
      <c r="S9320" t="s">
        <v>824</v>
      </c>
      <c r="T9320">
        <v>39</v>
      </c>
      <c r="U9320" s="26" t="str">
        <f>HYPERLINK("https://ictv.global/ictv/proposals/2023.033M.Sedoreoviridae_sprenam.zip","2023.033M.Sedoreoviridae_sprenam.zip")</f>
        <v>2023.033M.Sedoreoviridae_sprenam.zip</v>
      </c>
    </row>
    <row r="9321" spans="1:21">
      <c r="A9321">
        <v>9320</v>
      </c>
      <c r="B9321" s="27" t="s">
        <v>1124</v>
      </c>
      <c r="D9321" s="27" t="s">
        <v>1859</v>
      </c>
      <c r="F9321" s="27" t="s">
        <v>1860</v>
      </c>
      <c r="H9321" s="27" t="s">
        <v>1863</v>
      </c>
      <c r="J9321" s="27" t="s">
        <v>1864</v>
      </c>
      <c r="L9321" s="27" t="s">
        <v>8798</v>
      </c>
      <c r="N9321" s="27" t="s">
        <v>112</v>
      </c>
      <c r="P9321" s="27" t="s">
        <v>13721</v>
      </c>
      <c r="Q9321" s="26" t="str">
        <f>HYPERLINK("https://ictv.global/taxonomy/taxondetails?taxnode_id=202504907&amp;ictv_id=ICTV19911426","ICTV19911426")</f>
        <v>ICTV19911426</v>
      </c>
      <c r="R9321" t="s">
        <v>583</v>
      </c>
      <c r="S9321" t="s">
        <v>824</v>
      </c>
      <c r="T9321">
        <v>39</v>
      </c>
      <c r="U9321" s="26" t="str">
        <f>HYPERLINK("https://ictv.global/ictv/proposals/2023.033M.Sedoreoviridae_sprenam.zip","2023.033M.Sedoreoviridae_sprenam.zip")</f>
        <v>2023.033M.Sedoreoviridae_sprenam.zip</v>
      </c>
    </row>
    <row r="9322" spans="1:21">
      <c r="A9322">
        <v>9321</v>
      </c>
      <c r="B9322" s="27" t="s">
        <v>1124</v>
      </c>
      <c r="D9322" s="27" t="s">
        <v>1859</v>
      </c>
      <c r="F9322" s="27" t="s">
        <v>1860</v>
      </c>
      <c r="H9322" s="27" t="s">
        <v>1863</v>
      </c>
      <c r="J9322" s="27" t="s">
        <v>1864</v>
      </c>
      <c r="L9322" s="27" t="s">
        <v>8798</v>
      </c>
      <c r="N9322" s="27" t="s">
        <v>131</v>
      </c>
      <c r="P9322" s="27" t="s">
        <v>13722</v>
      </c>
      <c r="Q9322" s="26" t="str">
        <f>HYPERLINK("https://ictv.global/taxonomy/taxondetails?taxnode_id=202504915&amp;ictv_id=ICTV19991540","ICTV19991540")</f>
        <v>ICTV19991540</v>
      </c>
      <c r="R9322" t="s">
        <v>583</v>
      </c>
      <c r="S9322" t="s">
        <v>824</v>
      </c>
      <c r="T9322">
        <v>39</v>
      </c>
      <c r="U9322" s="26" t="str">
        <f>HYPERLINK("https://ictv.global/ictv/proposals/2023.033M.Sedoreoviridae_sprenam.zip","2023.033M.Sedoreoviridae_sprenam.zip")</f>
        <v>2023.033M.Sedoreoviridae_sprenam.zip</v>
      </c>
    </row>
    <row r="9323" spans="1:21">
      <c r="A9323">
        <v>9322</v>
      </c>
      <c r="B9323" s="27" t="s">
        <v>1124</v>
      </c>
      <c r="D9323" s="27" t="s">
        <v>1859</v>
      </c>
      <c r="F9323" s="27" t="s">
        <v>1860</v>
      </c>
      <c r="H9323" s="27" t="s">
        <v>1863</v>
      </c>
      <c r="J9323" s="27" t="s">
        <v>1864</v>
      </c>
      <c r="L9323" s="27" t="s">
        <v>8798</v>
      </c>
      <c r="N9323" s="27" t="s">
        <v>131</v>
      </c>
      <c r="P9323" s="27" t="s">
        <v>13723</v>
      </c>
      <c r="Q9323" s="26" t="str">
        <f>HYPERLINK("https://ictv.global/taxonomy/taxondetails?taxnode_id=202504916&amp;ictv_id=ICTV19991543","ICTV19991543")</f>
        <v>ICTV19991543</v>
      </c>
      <c r="R9323" t="s">
        <v>583</v>
      </c>
      <c r="S9323" t="s">
        <v>824</v>
      </c>
      <c r="T9323">
        <v>39</v>
      </c>
      <c r="U9323" s="26" t="str">
        <f>HYPERLINK("https://ictv.global/ictv/proposals/2023.033M.Sedoreoviridae_sprenam.zip","2023.033M.Sedoreoviridae_sprenam.zip")</f>
        <v>2023.033M.Sedoreoviridae_sprenam.zip</v>
      </c>
    </row>
    <row r="9324" spans="1:21">
      <c r="A9324">
        <v>9323</v>
      </c>
      <c r="B9324" s="27" t="s">
        <v>1124</v>
      </c>
      <c r="D9324" s="27" t="s">
        <v>1859</v>
      </c>
      <c r="F9324" s="27" t="s">
        <v>1860</v>
      </c>
      <c r="H9324" s="27" t="s">
        <v>1863</v>
      </c>
      <c r="J9324" s="27" t="s">
        <v>1864</v>
      </c>
      <c r="L9324" s="27" t="s">
        <v>8798</v>
      </c>
      <c r="N9324" s="27" t="s">
        <v>131</v>
      </c>
      <c r="P9324" s="27" t="s">
        <v>13724</v>
      </c>
      <c r="Q9324" s="26" t="str">
        <f>HYPERLINK("https://ictv.global/taxonomy/taxondetails?taxnode_id=202504917&amp;ictv_id=ICTV20042009","ICTV20042009")</f>
        <v>ICTV20042009</v>
      </c>
      <c r="R9324" t="s">
        <v>583</v>
      </c>
      <c r="S9324" t="s">
        <v>824</v>
      </c>
      <c r="T9324">
        <v>39</v>
      </c>
      <c r="U9324" s="26" t="str">
        <f>HYPERLINK("https://ictv.global/ictv/proposals/2023.033M.Sedoreoviridae_sprenam.zip","2023.033M.Sedoreoviridae_sprenam.zip")</f>
        <v>2023.033M.Sedoreoviridae_sprenam.zip</v>
      </c>
    </row>
    <row r="9325" spans="1:21">
      <c r="A9325">
        <v>9324</v>
      </c>
      <c r="B9325" s="27" t="s">
        <v>1124</v>
      </c>
      <c r="D9325" s="27" t="s">
        <v>1859</v>
      </c>
      <c r="F9325" s="27" t="s">
        <v>1860</v>
      </c>
      <c r="H9325" s="27" t="s">
        <v>1863</v>
      </c>
      <c r="J9325" s="27" t="s">
        <v>1864</v>
      </c>
      <c r="L9325" s="27" t="s">
        <v>8799</v>
      </c>
      <c r="N9325" s="27" t="s">
        <v>186</v>
      </c>
      <c r="P9325" s="27" t="s">
        <v>13725</v>
      </c>
      <c r="Q9325" s="26" t="str">
        <f>HYPERLINK("https://ictv.global/taxonomy/taxondetails?taxnode_id=202504922&amp;ictv_id=ICTV19901116","ICTV19901116")</f>
        <v>ICTV19901116</v>
      </c>
      <c r="R9325" t="s">
        <v>583</v>
      </c>
      <c r="S9325" t="s">
        <v>824</v>
      </c>
      <c r="T9325">
        <v>39</v>
      </c>
      <c r="U9325" s="26" t="str">
        <f t="shared" ref="U9325:U9353" si="332">HYPERLINK("https://ictv.global/ictv/proposals/2023.034M.Spinoreoviridae_sprenam.zip","2023.034M.Spinoreoviridae_sprenam.zip")</f>
        <v>2023.034M.Spinoreoviridae_sprenam.zip</v>
      </c>
    </row>
    <row r="9326" spans="1:21">
      <c r="A9326">
        <v>9325</v>
      </c>
      <c r="B9326" s="27" t="s">
        <v>1124</v>
      </c>
      <c r="D9326" s="27" t="s">
        <v>1859</v>
      </c>
      <c r="F9326" s="27" t="s">
        <v>1860</v>
      </c>
      <c r="H9326" s="27" t="s">
        <v>1863</v>
      </c>
      <c r="J9326" s="27" t="s">
        <v>1864</v>
      </c>
      <c r="L9326" s="27" t="s">
        <v>8799</v>
      </c>
      <c r="N9326" s="27" t="s">
        <v>186</v>
      </c>
      <c r="P9326" s="27" t="s">
        <v>13726</v>
      </c>
      <c r="Q9326" s="26" t="str">
        <f>HYPERLINK("https://ictv.global/taxonomy/taxondetails?taxnode_id=202504926&amp;ictv_id=ICTV20084724","ICTV20084724")</f>
        <v>ICTV20084724</v>
      </c>
      <c r="R9326" t="s">
        <v>583</v>
      </c>
      <c r="S9326" t="s">
        <v>824</v>
      </c>
      <c r="T9326">
        <v>39</v>
      </c>
      <c r="U9326" s="26" t="str">
        <f t="shared" si="332"/>
        <v>2023.034M.Spinoreoviridae_sprenam.zip</v>
      </c>
    </row>
    <row r="9327" spans="1:21">
      <c r="A9327">
        <v>9326</v>
      </c>
      <c r="B9327" s="27" t="s">
        <v>1124</v>
      </c>
      <c r="D9327" s="27" t="s">
        <v>1859</v>
      </c>
      <c r="F9327" s="27" t="s">
        <v>1860</v>
      </c>
      <c r="H9327" s="27" t="s">
        <v>1863</v>
      </c>
      <c r="J9327" s="27" t="s">
        <v>1864</v>
      </c>
      <c r="L9327" s="27" t="s">
        <v>8799</v>
      </c>
      <c r="N9327" s="27" t="s">
        <v>186</v>
      </c>
      <c r="P9327" s="27" t="s">
        <v>13727</v>
      </c>
      <c r="Q9327" s="26" t="str">
        <f>HYPERLINK("https://ictv.global/taxonomy/taxondetails?taxnode_id=202504923&amp;ictv_id=ICTV19901114","ICTV19901114")</f>
        <v>ICTV19901114</v>
      </c>
      <c r="R9327" t="s">
        <v>583</v>
      </c>
      <c r="S9327" t="s">
        <v>824</v>
      </c>
      <c r="T9327">
        <v>39</v>
      </c>
      <c r="U9327" s="26" t="str">
        <f t="shared" si="332"/>
        <v>2023.034M.Spinoreoviridae_sprenam.zip</v>
      </c>
    </row>
    <row r="9328" spans="1:21">
      <c r="A9328">
        <v>9327</v>
      </c>
      <c r="B9328" s="27" t="s">
        <v>1124</v>
      </c>
      <c r="D9328" s="27" t="s">
        <v>1859</v>
      </c>
      <c r="F9328" s="27" t="s">
        <v>1860</v>
      </c>
      <c r="H9328" s="27" t="s">
        <v>1863</v>
      </c>
      <c r="J9328" s="27" t="s">
        <v>1864</v>
      </c>
      <c r="L9328" s="27" t="s">
        <v>8799</v>
      </c>
      <c r="N9328" s="27" t="s">
        <v>186</v>
      </c>
      <c r="P9328" s="27" t="s">
        <v>13728</v>
      </c>
      <c r="Q9328" s="26" t="str">
        <f>HYPERLINK("https://ictv.global/taxonomy/taxondetails?taxnode_id=202504925&amp;ictv_id=ICTV19991539","ICTV19991539")</f>
        <v>ICTV19991539</v>
      </c>
      <c r="R9328" t="s">
        <v>583</v>
      </c>
      <c r="S9328" t="s">
        <v>824</v>
      </c>
      <c r="T9328">
        <v>39</v>
      </c>
      <c r="U9328" s="26" t="str">
        <f t="shared" si="332"/>
        <v>2023.034M.Spinoreoviridae_sprenam.zip</v>
      </c>
    </row>
    <row r="9329" spans="1:21">
      <c r="A9329">
        <v>9328</v>
      </c>
      <c r="B9329" s="27" t="s">
        <v>1124</v>
      </c>
      <c r="D9329" s="27" t="s">
        <v>1859</v>
      </c>
      <c r="F9329" s="27" t="s">
        <v>1860</v>
      </c>
      <c r="H9329" s="27" t="s">
        <v>1863</v>
      </c>
      <c r="J9329" s="27" t="s">
        <v>1864</v>
      </c>
      <c r="L9329" s="27" t="s">
        <v>8799</v>
      </c>
      <c r="N9329" s="27" t="s">
        <v>186</v>
      </c>
      <c r="P9329" s="27" t="s">
        <v>13729</v>
      </c>
      <c r="Q9329" s="26" t="str">
        <f>HYPERLINK("https://ictv.global/taxonomy/taxondetails?taxnode_id=202504921&amp;ictv_id=ICTV19951999","ICTV19951999")</f>
        <v>ICTV19951999</v>
      </c>
      <c r="R9329" t="s">
        <v>583</v>
      </c>
      <c r="S9329" t="s">
        <v>824</v>
      </c>
      <c r="T9329">
        <v>39</v>
      </c>
      <c r="U9329" s="26" t="str">
        <f t="shared" si="332"/>
        <v>2023.034M.Spinoreoviridae_sprenam.zip</v>
      </c>
    </row>
    <row r="9330" spans="1:21">
      <c r="A9330">
        <v>9329</v>
      </c>
      <c r="B9330" s="27" t="s">
        <v>1124</v>
      </c>
      <c r="D9330" s="27" t="s">
        <v>1859</v>
      </c>
      <c r="F9330" s="27" t="s">
        <v>1860</v>
      </c>
      <c r="H9330" s="27" t="s">
        <v>1863</v>
      </c>
      <c r="J9330" s="27" t="s">
        <v>1864</v>
      </c>
      <c r="L9330" s="27" t="s">
        <v>8799</v>
      </c>
      <c r="N9330" s="27" t="s">
        <v>186</v>
      </c>
      <c r="P9330" s="27" t="s">
        <v>13730</v>
      </c>
      <c r="Q9330" s="26" t="str">
        <f>HYPERLINK("https://ictv.global/taxonomy/taxondetails?taxnode_id=202504920&amp;ictv_id=ICTV19951998","ICTV19951998")</f>
        <v>ICTV19951998</v>
      </c>
      <c r="R9330" t="s">
        <v>583</v>
      </c>
      <c r="S9330" t="s">
        <v>824</v>
      </c>
      <c r="T9330">
        <v>39</v>
      </c>
      <c r="U9330" s="26" t="str">
        <f t="shared" si="332"/>
        <v>2023.034M.Spinoreoviridae_sprenam.zip</v>
      </c>
    </row>
    <row r="9331" spans="1:21">
      <c r="A9331">
        <v>9330</v>
      </c>
      <c r="B9331" s="27" t="s">
        <v>1124</v>
      </c>
      <c r="D9331" s="27" t="s">
        <v>1859</v>
      </c>
      <c r="F9331" s="27" t="s">
        <v>1860</v>
      </c>
      <c r="H9331" s="27" t="s">
        <v>1863</v>
      </c>
      <c r="J9331" s="27" t="s">
        <v>1864</v>
      </c>
      <c r="L9331" s="27" t="s">
        <v>8799</v>
      </c>
      <c r="N9331" s="27" t="s">
        <v>186</v>
      </c>
      <c r="P9331" s="27" t="s">
        <v>13731</v>
      </c>
      <c r="Q9331" s="26" t="str">
        <f>HYPERLINK("https://ictv.global/taxonomy/taxondetails?taxnode_id=202504924&amp;ictv_id=ICTV19952001","ICTV19952001")</f>
        <v>ICTV19952001</v>
      </c>
      <c r="R9331" t="s">
        <v>583</v>
      </c>
      <c r="S9331" t="s">
        <v>824</v>
      </c>
      <c r="T9331">
        <v>39</v>
      </c>
      <c r="U9331" s="26" t="str">
        <f t="shared" si="332"/>
        <v>2023.034M.Spinoreoviridae_sprenam.zip</v>
      </c>
    </row>
    <row r="9332" spans="1:21">
      <c r="A9332">
        <v>9331</v>
      </c>
      <c r="B9332" s="27" t="s">
        <v>1124</v>
      </c>
      <c r="D9332" s="27" t="s">
        <v>1859</v>
      </c>
      <c r="F9332" s="27" t="s">
        <v>1860</v>
      </c>
      <c r="H9332" s="27" t="s">
        <v>1863</v>
      </c>
      <c r="J9332" s="27" t="s">
        <v>1864</v>
      </c>
      <c r="L9332" s="27" t="s">
        <v>8799</v>
      </c>
      <c r="N9332" s="27" t="s">
        <v>188</v>
      </c>
      <c r="P9332" s="27" t="s">
        <v>13732</v>
      </c>
      <c r="Q9332" s="26" t="str">
        <f>HYPERLINK("https://ictv.global/taxonomy/taxondetails?taxnode_id=202504928&amp;ictv_id=ICTV19991541","ICTV19991541")</f>
        <v>ICTV19991541</v>
      </c>
      <c r="R9332" t="s">
        <v>583</v>
      </c>
      <c r="S9332" t="s">
        <v>824</v>
      </c>
      <c r="T9332">
        <v>39</v>
      </c>
      <c r="U9332" s="26" t="str">
        <f t="shared" si="332"/>
        <v>2023.034M.Spinoreoviridae_sprenam.zip</v>
      </c>
    </row>
    <row r="9333" spans="1:21">
      <c r="A9333">
        <v>9332</v>
      </c>
      <c r="B9333" s="27" t="s">
        <v>1124</v>
      </c>
      <c r="D9333" s="27" t="s">
        <v>1859</v>
      </c>
      <c r="F9333" s="27" t="s">
        <v>1860</v>
      </c>
      <c r="H9333" s="27" t="s">
        <v>1863</v>
      </c>
      <c r="J9333" s="27" t="s">
        <v>1864</v>
      </c>
      <c r="L9333" s="27" t="s">
        <v>8799</v>
      </c>
      <c r="N9333" s="27" t="s">
        <v>188</v>
      </c>
      <c r="P9333" s="27" t="s">
        <v>13733</v>
      </c>
      <c r="Q9333" s="26" t="str">
        <f>HYPERLINK("https://ictv.global/taxonomy/taxondetails?taxnode_id=202504929&amp;ictv_id=ICTV19911384","ICTV19911384")</f>
        <v>ICTV19911384</v>
      </c>
      <c r="R9333" t="s">
        <v>583</v>
      </c>
      <c r="S9333" t="s">
        <v>824</v>
      </c>
      <c r="T9333">
        <v>39</v>
      </c>
      <c r="U9333" s="26" t="str">
        <f t="shared" si="332"/>
        <v>2023.034M.Spinoreoviridae_sprenam.zip</v>
      </c>
    </row>
    <row r="9334" spans="1:21">
      <c r="A9334">
        <v>9333</v>
      </c>
      <c r="B9334" s="27" t="s">
        <v>1124</v>
      </c>
      <c r="D9334" s="27" t="s">
        <v>1859</v>
      </c>
      <c r="F9334" s="27" t="s">
        <v>1860</v>
      </c>
      <c r="H9334" s="27" t="s">
        <v>1863</v>
      </c>
      <c r="J9334" s="27" t="s">
        <v>1864</v>
      </c>
      <c r="L9334" s="27" t="s">
        <v>8799</v>
      </c>
      <c r="N9334" s="27" t="s">
        <v>188</v>
      </c>
      <c r="P9334" s="27" t="s">
        <v>13734</v>
      </c>
      <c r="Q9334" s="26" t="str">
        <f>HYPERLINK("https://ictv.global/taxonomy/taxondetails?taxnode_id=202507654&amp;ictv_id=ICTV201907654","ICTV201907654")</f>
        <v>ICTV201907654</v>
      </c>
      <c r="R9334" t="s">
        <v>583</v>
      </c>
      <c r="S9334" t="s">
        <v>824</v>
      </c>
      <c r="T9334">
        <v>39</v>
      </c>
      <c r="U9334" s="26" t="str">
        <f t="shared" si="332"/>
        <v>2023.034M.Spinoreoviridae_sprenam.zip</v>
      </c>
    </row>
    <row r="9335" spans="1:21">
      <c r="A9335">
        <v>9334</v>
      </c>
      <c r="B9335" s="27" t="s">
        <v>1124</v>
      </c>
      <c r="D9335" s="27" t="s">
        <v>1859</v>
      </c>
      <c r="F9335" s="27" t="s">
        <v>1860</v>
      </c>
      <c r="H9335" s="27" t="s">
        <v>1863</v>
      </c>
      <c r="J9335" s="27" t="s">
        <v>1864</v>
      </c>
      <c r="L9335" s="27" t="s">
        <v>8799</v>
      </c>
      <c r="N9335" s="27" t="s">
        <v>188</v>
      </c>
      <c r="P9335" s="27" t="s">
        <v>13735</v>
      </c>
      <c r="Q9335" s="26" t="str">
        <f>HYPERLINK("https://ictv.global/taxonomy/taxondetails?taxnode_id=202507655&amp;ictv_id=ICTV201907655","ICTV201907655")</f>
        <v>ICTV201907655</v>
      </c>
      <c r="R9335" t="s">
        <v>583</v>
      </c>
      <c r="S9335" t="s">
        <v>824</v>
      </c>
      <c r="T9335">
        <v>39</v>
      </c>
      <c r="U9335" s="26" t="str">
        <f t="shared" si="332"/>
        <v>2023.034M.Spinoreoviridae_sprenam.zip</v>
      </c>
    </row>
    <row r="9336" spans="1:21">
      <c r="A9336">
        <v>9335</v>
      </c>
      <c r="B9336" s="27" t="s">
        <v>1124</v>
      </c>
      <c r="D9336" s="27" t="s">
        <v>1859</v>
      </c>
      <c r="F9336" s="27" t="s">
        <v>1860</v>
      </c>
      <c r="H9336" s="27" t="s">
        <v>1863</v>
      </c>
      <c r="J9336" s="27" t="s">
        <v>1864</v>
      </c>
      <c r="L9336" s="27" t="s">
        <v>8799</v>
      </c>
      <c r="N9336" s="27" t="s">
        <v>188</v>
      </c>
      <c r="P9336" s="27" t="s">
        <v>13736</v>
      </c>
      <c r="Q9336" s="26" t="str">
        <f>HYPERLINK("https://ictv.global/taxonomy/taxondetails?taxnode_id=202507656&amp;ictv_id=ICTV201907656","ICTV201907656")</f>
        <v>ICTV201907656</v>
      </c>
      <c r="R9336" t="s">
        <v>583</v>
      </c>
      <c r="S9336" t="s">
        <v>824</v>
      </c>
      <c r="T9336">
        <v>39</v>
      </c>
      <c r="U9336" s="26" t="str">
        <f t="shared" si="332"/>
        <v>2023.034M.Spinoreoviridae_sprenam.zip</v>
      </c>
    </row>
    <row r="9337" spans="1:21">
      <c r="A9337">
        <v>9336</v>
      </c>
      <c r="B9337" s="27" t="s">
        <v>1124</v>
      </c>
      <c r="D9337" s="27" t="s">
        <v>1859</v>
      </c>
      <c r="F9337" s="27" t="s">
        <v>1860</v>
      </c>
      <c r="H9337" s="27" t="s">
        <v>1863</v>
      </c>
      <c r="J9337" s="27" t="s">
        <v>1864</v>
      </c>
      <c r="L9337" s="27" t="s">
        <v>8799</v>
      </c>
      <c r="N9337" s="27" t="s">
        <v>189</v>
      </c>
      <c r="P9337" s="27" t="s">
        <v>13737</v>
      </c>
      <c r="Q9337" s="26" t="str">
        <f>HYPERLINK("https://ictv.global/taxonomy/taxondetails?taxnode_id=202504936&amp;ictv_id=ICTV19790767","ICTV19790767")</f>
        <v>ICTV19790767</v>
      </c>
      <c r="R9337" t="s">
        <v>583</v>
      </c>
      <c r="S9337" t="s">
        <v>824</v>
      </c>
      <c r="T9337">
        <v>39</v>
      </c>
      <c r="U9337" s="26" t="str">
        <f t="shared" si="332"/>
        <v>2023.034M.Spinoreoviridae_sprenam.zip</v>
      </c>
    </row>
    <row r="9338" spans="1:21">
      <c r="A9338">
        <v>9337</v>
      </c>
      <c r="B9338" s="27" t="s">
        <v>1124</v>
      </c>
      <c r="D9338" s="27" t="s">
        <v>1859</v>
      </c>
      <c r="F9338" s="27" t="s">
        <v>1860</v>
      </c>
      <c r="H9338" s="27" t="s">
        <v>1863</v>
      </c>
      <c r="J9338" s="27" t="s">
        <v>1864</v>
      </c>
      <c r="L9338" s="27" t="s">
        <v>8799</v>
      </c>
      <c r="N9338" s="27" t="s">
        <v>189</v>
      </c>
      <c r="P9338" s="27" t="s">
        <v>13738</v>
      </c>
      <c r="Q9338" s="26" t="str">
        <f>HYPERLINK("https://ictv.global/taxonomy/taxondetails?taxnode_id=202504939&amp;ictv_id=ICTV19790765","ICTV19790765")</f>
        <v>ICTV19790765</v>
      </c>
      <c r="R9338" t="s">
        <v>583</v>
      </c>
      <c r="S9338" t="s">
        <v>824</v>
      </c>
      <c r="T9338">
        <v>39</v>
      </c>
      <c r="U9338" s="26" t="str">
        <f t="shared" si="332"/>
        <v>2023.034M.Spinoreoviridae_sprenam.zip</v>
      </c>
    </row>
    <row r="9339" spans="1:21">
      <c r="A9339">
        <v>9338</v>
      </c>
      <c r="B9339" s="27" t="s">
        <v>1124</v>
      </c>
      <c r="D9339" s="27" t="s">
        <v>1859</v>
      </c>
      <c r="F9339" s="27" t="s">
        <v>1860</v>
      </c>
      <c r="H9339" s="27" t="s">
        <v>1863</v>
      </c>
      <c r="J9339" s="27" t="s">
        <v>1864</v>
      </c>
      <c r="L9339" s="27" t="s">
        <v>8799</v>
      </c>
      <c r="N9339" s="27" t="s">
        <v>189</v>
      </c>
      <c r="P9339" s="27" t="s">
        <v>13739</v>
      </c>
      <c r="Q9339" s="26" t="str">
        <f>HYPERLINK("https://ictv.global/taxonomy/taxondetails?taxnode_id=202504931&amp;ictv_id=ICTV19710169","ICTV19710169")</f>
        <v>ICTV19710169</v>
      </c>
      <c r="R9339" t="s">
        <v>583</v>
      </c>
      <c r="S9339" t="s">
        <v>824</v>
      </c>
      <c r="T9339">
        <v>39</v>
      </c>
      <c r="U9339" s="26" t="str">
        <f t="shared" si="332"/>
        <v>2023.034M.Spinoreoviridae_sprenam.zip</v>
      </c>
    </row>
    <row r="9340" spans="1:21">
      <c r="A9340">
        <v>9339</v>
      </c>
      <c r="B9340" s="27" t="s">
        <v>1124</v>
      </c>
      <c r="D9340" s="27" t="s">
        <v>1859</v>
      </c>
      <c r="F9340" s="27" t="s">
        <v>1860</v>
      </c>
      <c r="H9340" s="27" t="s">
        <v>1863</v>
      </c>
      <c r="J9340" s="27" t="s">
        <v>1864</v>
      </c>
      <c r="L9340" s="27" t="s">
        <v>8799</v>
      </c>
      <c r="N9340" s="27" t="s">
        <v>189</v>
      </c>
      <c r="P9340" s="27" t="s">
        <v>13740</v>
      </c>
      <c r="Q9340" s="26" t="str">
        <f>HYPERLINK("https://ictv.global/taxonomy/taxondetails?taxnode_id=202504934&amp;ictv_id=ICTV19790764","ICTV19790764")</f>
        <v>ICTV19790764</v>
      </c>
      <c r="R9340" t="s">
        <v>583</v>
      </c>
      <c r="S9340" t="s">
        <v>824</v>
      </c>
      <c r="T9340">
        <v>39</v>
      </c>
      <c r="U9340" s="26" t="str">
        <f t="shared" si="332"/>
        <v>2023.034M.Spinoreoviridae_sprenam.zip</v>
      </c>
    </row>
    <row r="9341" spans="1:21">
      <c r="A9341">
        <v>9340</v>
      </c>
      <c r="B9341" s="27" t="s">
        <v>1124</v>
      </c>
      <c r="D9341" s="27" t="s">
        <v>1859</v>
      </c>
      <c r="F9341" s="27" t="s">
        <v>1860</v>
      </c>
      <c r="H9341" s="27" t="s">
        <v>1863</v>
      </c>
      <c r="J9341" s="27" t="s">
        <v>1864</v>
      </c>
      <c r="L9341" s="27" t="s">
        <v>8799</v>
      </c>
      <c r="N9341" s="27" t="s">
        <v>189</v>
      </c>
      <c r="P9341" s="27" t="s">
        <v>13741</v>
      </c>
      <c r="Q9341" s="26" t="str">
        <f>HYPERLINK("https://ictv.global/taxonomy/taxondetails?taxnode_id=202504933&amp;ictv_id=ICTV19790771","ICTV19790771")</f>
        <v>ICTV19790771</v>
      </c>
      <c r="R9341" t="s">
        <v>583</v>
      </c>
      <c r="S9341" t="s">
        <v>824</v>
      </c>
      <c r="T9341">
        <v>39</v>
      </c>
      <c r="U9341" s="26" t="str">
        <f t="shared" si="332"/>
        <v>2023.034M.Spinoreoviridae_sprenam.zip</v>
      </c>
    </row>
    <row r="9342" spans="1:21">
      <c r="A9342">
        <v>9341</v>
      </c>
      <c r="B9342" s="27" t="s">
        <v>1124</v>
      </c>
      <c r="D9342" s="27" t="s">
        <v>1859</v>
      </c>
      <c r="F9342" s="27" t="s">
        <v>1860</v>
      </c>
      <c r="H9342" s="27" t="s">
        <v>1863</v>
      </c>
      <c r="J9342" s="27" t="s">
        <v>1864</v>
      </c>
      <c r="L9342" s="27" t="s">
        <v>8799</v>
      </c>
      <c r="N9342" s="27" t="s">
        <v>189</v>
      </c>
      <c r="P9342" s="27" t="s">
        <v>13742</v>
      </c>
      <c r="Q9342" s="26" t="str">
        <f>HYPERLINK("https://ictv.global/taxonomy/taxondetails?taxnode_id=202504940&amp;ictv_id=ICTV19790766","ICTV19790766")</f>
        <v>ICTV19790766</v>
      </c>
      <c r="R9342" t="s">
        <v>583</v>
      </c>
      <c r="S9342" t="s">
        <v>824</v>
      </c>
      <c r="T9342">
        <v>39</v>
      </c>
      <c r="U9342" s="26" t="str">
        <f t="shared" si="332"/>
        <v>2023.034M.Spinoreoviridae_sprenam.zip</v>
      </c>
    </row>
    <row r="9343" spans="1:21">
      <c r="A9343">
        <v>9342</v>
      </c>
      <c r="B9343" s="27" t="s">
        <v>1124</v>
      </c>
      <c r="D9343" s="27" t="s">
        <v>1859</v>
      </c>
      <c r="F9343" s="27" t="s">
        <v>1860</v>
      </c>
      <c r="H9343" s="27" t="s">
        <v>1863</v>
      </c>
      <c r="J9343" s="27" t="s">
        <v>1864</v>
      </c>
      <c r="L9343" s="27" t="s">
        <v>8799</v>
      </c>
      <c r="N9343" s="27" t="s">
        <v>189</v>
      </c>
      <c r="P9343" s="27" t="s">
        <v>13743</v>
      </c>
      <c r="Q9343" s="26" t="str">
        <f>HYPERLINK("https://ictv.global/taxonomy/taxondetails?taxnode_id=202504942&amp;ictv_id=ICTV19790770","ICTV19790770")</f>
        <v>ICTV19790770</v>
      </c>
      <c r="R9343" t="s">
        <v>583</v>
      </c>
      <c r="S9343" t="s">
        <v>824</v>
      </c>
      <c r="T9343">
        <v>39</v>
      </c>
      <c r="U9343" s="26" t="str">
        <f t="shared" si="332"/>
        <v>2023.034M.Spinoreoviridae_sprenam.zip</v>
      </c>
    </row>
    <row r="9344" spans="1:21">
      <c r="A9344">
        <v>9343</v>
      </c>
      <c r="B9344" s="27" t="s">
        <v>1124</v>
      </c>
      <c r="D9344" s="27" t="s">
        <v>1859</v>
      </c>
      <c r="F9344" s="27" t="s">
        <v>1860</v>
      </c>
      <c r="H9344" s="27" t="s">
        <v>1863</v>
      </c>
      <c r="J9344" s="27" t="s">
        <v>1864</v>
      </c>
      <c r="L9344" s="27" t="s">
        <v>8799</v>
      </c>
      <c r="N9344" s="27" t="s">
        <v>189</v>
      </c>
      <c r="P9344" s="27" t="s">
        <v>13744</v>
      </c>
      <c r="Q9344" s="26" t="str">
        <f>HYPERLINK("https://ictv.global/taxonomy/taxondetails?taxnode_id=202504935&amp;ictv_id=ICTV19790774","ICTV19790774")</f>
        <v>ICTV19790774</v>
      </c>
      <c r="R9344" t="s">
        <v>583</v>
      </c>
      <c r="S9344" t="s">
        <v>824</v>
      </c>
      <c r="T9344">
        <v>39</v>
      </c>
      <c r="U9344" s="26" t="str">
        <f t="shared" si="332"/>
        <v>2023.034M.Spinoreoviridae_sprenam.zip</v>
      </c>
    </row>
    <row r="9345" spans="1:21">
      <c r="A9345">
        <v>9344</v>
      </c>
      <c r="B9345" s="27" t="s">
        <v>1124</v>
      </c>
      <c r="D9345" s="27" t="s">
        <v>1859</v>
      </c>
      <c r="F9345" s="27" t="s">
        <v>1860</v>
      </c>
      <c r="H9345" s="27" t="s">
        <v>1863</v>
      </c>
      <c r="J9345" s="27" t="s">
        <v>1864</v>
      </c>
      <c r="L9345" s="27" t="s">
        <v>8799</v>
      </c>
      <c r="N9345" s="27" t="s">
        <v>189</v>
      </c>
      <c r="P9345" s="27" t="s">
        <v>13745</v>
      </c>
      <c r="Q9345" s="26" t="str">
        <f>HYPERLINK("https://ictv.global/taxonomy/taxondetails?taxnode_id=202504946&amp;ictv_id=ICTV20074549","ICTV20074549")</f>
        <v>ICTV20074549</v>
      </c>
      <c r="R9345" t="s">
        <v>583</v>
      </c>
      <c r="S9345" t="s">
        <v>824</v>
      </c>
      <c r="T9345">
        <v>39</v>
      </c>
      <c r="U9345" s="26" t="str">
        <f t="shared" si="332"/>
        <v>2023.034M.Spinoreoviridae_sprenam.zip</v>
      </c>
    </row>
    <row r="9346" spans="1:21">
      <c r="A9346">
        <v>9345</v>
      </c>
      <c r="B9346" s="27" t="s">
        <v>1124</v>
      </c>
      <c r="D9346" s="27" t="s">
        <v>1859</v>
      </c>
      <c r="F9346" s="27" t="s">
        <v>1860</v>
      </c>
      <c r="H9346" s="27" t="s">
        <v>1863</v>
      </c>
      <c r="J9346" s="27" t="s">
        <v>1864</v>
      </c>
      <c r="L9346" s="27" t="s">
        <v>8799</v>
      </c>
      <c r="N9346" s="27" t="s">
        <v>189</v>
      </c>
      <c r="P9346" s="27" t="s">
        <v>13746</v>
      </c>
      <c r="Q9346" s="26" t="str">
        <f>HYPERLINK("https://ictv.global/taxonomy/taxondetails?taxnode_id=202504938&amp;ictv_id=ICTV19790763","ICTV19790763")</f>
        <v>ICTV19790763</v>
      </c>
      <c r="R9346" t="s">
        <v>583</v>
      </c>
      <c r="S9346" t="s">
        <v>824</v>
      </c>
      <c r="T9346">
        <v>39</v>
      </c>
      <c r="U9346" s="26" t="str">
        <f t="shared" si="332"/>
        <v>2023.034M.Spinoreoviridae_sprenam.zip</v>
      </c>
    </row>
    <row r="9347" spans="1:21">
      <c r="A9347">
        <v>9346</v>
      </c>
      <c r="B9347" s="27" t="s">
        <v>1124</v>
      </c>
      <c r="D9347" s="27" t="s">
        <v>1859</v>
      </c>
      <c r="F9347" s="27" t="s">
        <v>1860</v>
      </c>
      <c r="H9347" s="27" t="s">
        <v>1863</v>
      </c>
      <c r="J9347" s="27" t="s">
        <v>1864</v>
      </c>
      <c r="L9347" s="27" t="s">
        <v>8799</v>
      </c>
      <c r="N9347" s="27" t="s">
        <v>189</v>
      </c>
      <c r="P9347" s="27" t="s">
        <v>13747</v>
      </c>
      <c r="Q9347" s="26" t="str">
        <f>HYPERLINK("https://ictv.global/taxonomy/taxondetails?taxnode_id=202504941&amp;ictv_id=ICTV19790772","ICTV19790772")</f>
        <v>ICTV19790772</v>
      </c>
      <c r="R9347" t="s">
        <v>583</v>
      </c>
      <c r="S9347" t="s">
        <v>824</v>
      </c>
      <c r="T9347">
        <v>39</v>
      </c>
      <c r="U9347" s="26" t="str">
        <f t="shared" si="332"/>
        <v>2023.034M.Spinoreoviridae_sprenam.zip</v>
      </c>
    </row>
    <row r="9348" spans="1:21">
      <c r="A9348">
        <v>9347</v>
      </c>
      <c r="B9348" s="27" t="s">
        <v>1124</v>
      </c>
      <c r="D9348" s="27" t="s">
        <v>1859</v>
      </c>
      <c r="F9348" s="27" t="s">
        <v>1860</v>
      </c>
      <c r="H9348" s="27" t="s">
        <v>1863</v>
      </c>
      <c r="J9348" s="27" t="s">
        <v>1864</v>
      </c>
      <c r="L9348" s="27" t="s">
        <v>8799</v>
      </c>
      <c r="N9348" s="27" t="s">
        <v>189</v>
      </c>
      <c r="P9348" s="27" t="s">
        <v>13748</v>
      </c>
      <c r="Q9348" s="26" t="str">
        <f>HYPERLINK("https://ictv.global/taxonomy/taxondetails?taxnode_id=202504932&amp;ictv_id=ICTV19790769","ICTV19790769")</f>
        <v>ICTV19790769</v>
      </c>
      <c r="R9348" t="s">
        <v>583</v>
      </c>
      <c r="S9348" t="s">
        <v>824</v>
      </c>
      <c r="T9348">
        <v>39</v>
      </c>
      <c r="U9348" s="26" t="str">
        <f t="shared" si="332"/>
        <v>2023.034M.Spinoreoviridae_sprenam.zip</v>
      </c>
    </row>
    <row r="9349" spans="1:21">
      <c r="A9349">
        <v>9348</v>
      </c>
      <c r="B9349" s="27" t="s">
        <v>1124</v>
      </c>
      <c r="D9349" s="27" t="s">
        <v>1859</v>
      </c>
      <c r="F9349" s="27" t="s">
        <v>1860</v>
      </c>
      <c r="H9349" s="27" t="s">
        <v>1863</v>
      </c>
      <c r="J9349" s="27" t="s">
        <v>1864</v>
      </c>
      <c r="L9349" s="27" t="s">
        <v>8799</v>
      </c>
      <c r="N9349" s="27" t="s">
        <v>189</v>
      </c>
      <c r="P9349" s="27" t="s">
        <v>13749</v>
      </c>
      <c r="Q9349" s="26" t="str">
        <f>HYPERLINK("https://ictv.global/taxonomy/taxondetails?taxnode_id=202504944&amp;ictv_id=ICTV19962064","ICTV19962064")</f>
        <v>ICTV19962064</v>
      </c>
      <c r="R9349" t="s">
        <v>583</v>
      </c>
      <c r="S9349" t="s">
        <v>824</v>
      </c>
      <c r="T9349">
        <v>39</v>
      </c>
      <c r="U9349" s="26" t="str">
        <f t="shared" si="332"/>
        <v>2023.034M.Spinoreoviridae_sprenam.zip</v>
      </c>
    </row>
    <row r="9350" spans="1:21">
      <c r="A9350">
        <v>9349</v>
      </c>
      <c r="B9350" s="27" t="s">
        <v>1124</v>
      </c>
      <c r="D9350" s="27" t="s">
        <v>1859</v>
      </c>
      <c r="F9350" s="27" t="s">
        <v>1860</v>
      </c>
      <c r="H9350" s="27" t="s">
        <v>1863</v>
      </c>
      <c r="J9350" s="27" t="s">
        <v>1864</v>
      </c>
      <c r="L9350" s="27" t="s">
        <v>8799</v>
      </c>
      <c r="N9350" s="27" t="s">
        <v>189</v>
      </c>
      <c r="P9350" s="27" t="s">
        <v>13750</v>
      </c>
      <c r="Q9350" s="26" t="str">
        <f>HYPERLINK("https://ictv.global/taxonomy/taxondetails?taxnode_id=202504937&amp;ictv_id=ICTV19790773","ICTV19790773")</f>
        <v>ICTV19790773</v>
      </c>
      <c r="R9350" t="s">
        <v>583</v>
      </c>
      <c r="S9350" t="s">
        <v>824</v>
      </c>
      <c r="T9350">
        <v>39</v>
      </c>
      <c r="U9350" s="26" t="str">
        <f t="shared" si="332"/>
        <v>2023.034M.Spinoreoviridae_sprenam.zip</v>
      </c>
    </row>
    <row r="9351" spans="1:21">
      <c r="A9351">
        <v>9350</v>
      </c>
      <c r="B9351" s="27" t="s">
        <v>1124</v>
      </c>
      <c r="D9351" s="27" t="s">
        <v>1859</v>
      </c>
      <c r="F9351" s="27" t="s">
        <v>1860</v>
      </c>
      <c r="H9351" s="27" t="s">
        <v>1863</v>
      </c>
      <c r="J9351" s="27" t="s">
        <v>1864</v>
      </c>
      <c r="L9351" s="27" t="s">
        <v>8799</v>
      </c>
      <c r="N9351" s="27" t="s">
        <v>189</v>
      </c>
      <c r="P9351" s="27" t="s">
        <v>13751</v>
      </c>
      <c r="Q9351" s="26" t="str">
        <f>HYPERLINK("https://ictv.global/taxonomy/taxondetails?taxnode_id=202504943&amp;ictv_id=ICTV19962063","ICTV19962063")</f>
        <v>ICTV19962063</v>
      </c>
      <c r="R9351" t="s">
        <v>583</v>
      </c>
      <c r="S9351" t="s">
        <v>824</v>
      </c>
      <c r="T9351">
        <v>39</v>
      </c>
      <c r="U9351" s="26" t="str">
        <f t="shared" si="332"/>
        <v>2023.034M.Spinoreoviridae_sprenam.zip</v>
      </c>
    </row>
    <row r="9352" spans="1:21">
      <c r="A9352">
        <v>9351</v>
      </c>
      <c r="B9352" s="27" t="s">
        <v>1124</v>
      </c>
      <c r="D9352" s="27" t="s">
        <v>1859</v>
      </c>
      <c r="F9352" s="27" t="s">
        <v>1860</v>
      </c>
      <c r="H9352" s="27" t="s">
        <v>1863</v>
      </c>
      <c r="J9352" s="27" t="s">
        <v>1864</v>
      </c>
      <c r="L9352" s="27" t="s">
        <v>8799</v>
      </c>
      <c r="N9352" s="27" t="s">
        <v>189</v>
      </c>
      <c r="P9352" s="27" t="s">
        <v>13752</v>
      </c>
      <c r="Q9352" s="26" t="str">
        <f>HYPERLINK("https://ictv.global/taxonomy/taxondetails?taxnode_id=202504945&amp;ictv_id=ICTV20041948","ICTV20041948")</f>
        <v>ICTV20041948</v>
      </c>
      <c r="R9352" t="s">
        <v>583</v>
      </c>
      <c r="S9352" t="s">
        <v>824</v>
      </c>
      <c r="T9352">
        <v>39</v>
      </c>
      <c r="U9352" s="26" t="str">
        <f t="shared" si="332"/>
        <v>2023.034M.Spinoreoviridae_sprenam.zip</v>
      </c>
    </row>
    <row r="9353" spans="1:21">
      <c r="A9353">
        <v>9352</v>
      </c>
      <c r="B9353" s="27" t="s">
        <v>1124</v>
      </c>
      <c r="D9353" s="27" t="s">
        <v>1859</v>
      </c>
      <c r="F9353" s="27" t="s">
        <v>1860</v>
      </c>
      <c r="H9353" s="27" t="s">
        <v>1863</v>
      </c>
      <c r="J9353" s="27" t="s">
        <v>1864</v>
      </c>
      <c r="L9353" s="27" t="s">
        <v>8799</v>
      </c>
      <c r="N9353" s="27" t="s">
        <v>358</v>
      </c>
      <c r="P9353" s="27" t="s">
        <v>13753</v>
      </c>
      <c r="Q9353" s="26" t="str">
        <f>HYPERLINK("https://ictv.global/taxonomy/taxondetails?taxnode_id=202504948&amp;ictv_id=ICTV20084744","ICTV20084744")</f>
        <v>ICTV20084744</v>
      </c>
      <c r="R9353" t="s">
        <v>583</v>
      </c>
      <c r="S9353" t="s">
        <v>824</v>
      </c>
      <c r="T9353">
        <v>39</v>
      </c>
      <c r="U9353" s="26" t="str">
        <f t="shared" si="332"/>
        <v>2023.034M.Spinoreoviridae_sprenam.zip</v>
      </c>
    </row>
    <row r="9354" spans="1:21">
      <c r="A9354">
        <v>9353</v>
      </c>
      <c r="B9354" s="27" t="s">
        <v>1124</v>
      </c>
      <c r="D9354" s="27" t="s">
        <v>1859</v>
      </c>
      <c r="F9354" s="27" t="s">
        <v>1860</v>
      </c>
      <c r="H9354" s="27" t="s">
        <v>1863</v>
      </c>
      <c r="J9354" s="27" t="s">
        <v>1864</v>
      </c>
      <c r="L9354" s="27" t="s">
        <v>8799</v>
      </c>
      <c r="N9354" s="27" t="s">
        <v>358</v>
      </c>
      <c r="P9354" s="27" t="s">
        <v>21702</v>
      </c>
      <c r="Q9354" s="26" t="str">
        <f>HYPERLINK("https://ictv.global/taxonomy/taxondetails?taxnode_id=202522555&amp;ictv_id=ICTV202522555","ICTV202522555")</f>
        <v>ICTV202522555</v>
      </c>
      <c r="R9354" t="s">
        <v>583</v>
      </c>
      <c r="S9354" t="s">
        <v>823</v>
      </c>
      <c r="T9354">
        <v>41</v>
      </c>
      <c r="U9354" s="26" t="str">
        <f>HYPERLINK("https://ictv.global/ictv/proposals/2025.012M.Spinareoviridae_1nsp.zip","2025.012M.Spinareoviridae_1nsp.zip")</f>
        <v>2025.012M.Spinareoviridae_1nsp.zip</v>
      </c>
    </row>
    <row r="9355" spans="1:21">
      <c r="A9355">
        <v>9354</v>
      </c>
      <c r="B9355" s="27" t="s">
        <v>1124</v>
      </c>
      <c r="D9355" s="27" t="s">
        <v>1859</v>
      </c>
      <c r="F9355" s="27" t="s">
        <v>1860</v>
      </c>
      <c r="H9355" s="27" t="s">
        <v>1863</v>
      </c>
      <c r="J9355" s="27" t="s">
        <v>1864</v>
      </c>
      <c r="L9355" s="27" t="s">
        <v>8799</v>
      </c>
      <c r="N9355" s="27" t="s">
        <v>403</v>
      </c>
      <c r="P9355" s="27" t="s">
        <v>13754</v>
      </c>
      <c r="Q9355" s="26" t="str">
        <f>HYPERLINK("https://ictv.global/taxonomy/taxondetails?taxnode_id=202504951&amp;ictv_id=ICTV19991559","ICTV19991559")</f>
        <v>ICTV19991559</v>
      </c>
      <c r="R9355" t="s">
        <v>583</v>
      </c>
      <c r="S9355" t="s">
        <v>824</v>
      </c>
      <c r="T9355">
        <v>39</v>
      </c>
      <c r="U9355" s="26" t="str">
        <f t="shared" ref="U9355:U9383" si="333">HYPERLINK("https://ictv.global/ictv/proposals/2023.034M.Spinoreoviridae_sprenam.zip","2023.034M.Spinoreoviridae_sprenam.zip")</f>
        <v>2023.034M.Spinoreoviridae_sprenam.zip</v>
      </c>
    </row>
    <row r="9356" spans="1:21">
      <c r="A9356">
        <v>9355</v>
      </c>
      <c r="B9356" s="27" t="s">
        <v>1124</v>
      </c>
      <c r="D9356" s="27" t="s">
        <v>1859</v>
      </c>
      <c r="F9356" s="27" t="s">
        <v>1860</v>
      </c>
      <c r="H9356" s="27" t="s">
        <v>1863</v>
      </c>
      <c r="J9356" s="27" t="s">
        <v>1864</v>
      </c>
      <c r="L9356" s="27" t="s">
        <v>8799</v>
      </c>
      <c r="N9356" s="27" t="s">
        <v>403</v>
      </c>
      <c r="P9356" s="27" t="s">
        <v>13755</v>
      </c>
      <c r="Q9356" s="26" t="str">
        <f>HYPERLINK("https://ictv.global/taxonomy/taxondetails?taxnode_id=202504957&amp;ictv_id=ICTV19952021","ICTV19952021")</f>
        <v>ICTV19952021</v>
      </c>
      <c r="R9356" t="s">
        <v>583</v>
      </c>
      <c r="S9356" t="s">
        <v>824</v>
      </c>
      <c r="T9356">
        <v>39</v>
      </c>
      <c r="U9356" s="26" t="str">
        <f t="shared" si="333"/>
        <v>2023.034M.Spinoreoviridae_sprenam.zip</v>
      </c>
    </row>
    <row r="9357" spans="1:21">
      <c r="A9357">
        <v>9356</v>
      </c>
      <c r="B9357" s="27" t="s">
        <v>1124</v>
      </c>
      <c r="D9357" s="27" t="s">
        <v>1859</v>
      </c>
      <c r="F9357" s="27" t="s">
        <v>1860</v>
      </c>
      <c r="H9357" s="27" t="s">
        <v>1863</v>
      </c>
      <c r="J9357" s="27" t="s">
        <v>1864</v>
      </c>
      <c r="L9357" s="27" t="s">
        <v>8799</v>
      </c>
      <c r="N9357" s="27" t="s">
        <v>403</v>
      </c>
      <c r="P9357" s="27" t="s">
        <v>13756</v>
      </c>
      <c r="Q9357" s="26" t="str">
        <f>HYPERLINK("https://ictv.global/taxonomy/taxondetails?taxnode_id=202504955&amp;ictv_id=ICTV19911399","ICTV19911399")</f>
        <v>ICTV19911399</v>
      </c>
      <c r="R9357" t="s">
        <v>583</v>
      </c>
      <c r="S9357" t="s">
        <v>824</v>
      </c>
      <c r="T9357">
        <v>39</v>
      </c>
      <c r="U9357" s="26" t="str">
        <f t="shared" si="333"/>
        <v>2023.034M.Spinoreoviridae_sprenam.zip</v>
      </c>
    </row>
    <row r="9358" spans="1:21">
      <c r="A9358">
        <v>9357</v>
      </c>
      <c r="B9358" s="27" t="s">
        <v>1124</v>
      </c>
      <c r="D9358" s="27" t="s">
        <v>1859</v>
      </c>
      <c r="F9358" s="27" t="s">
        <v>1860</v>
      </c>
      <c r="H9358" s="27" t="s">
        <v>1863</v>
      </c>
      <c r="J9358" s="27" t="s">
        <v>1864</v>
      </c>
      <c r="L9358" s="27" t="s">
        <v>8799</v>
      </c>
      <c r="N9358" s="27" t="s">
        <v>403</v>
      </c>
      <c r="P9358" s="27" t="s">
        <v>13757</v>
      </c>
      <c r="Q9358" s="26" t="str">
        <f>HYPERLINK("https://ictv.global/taxonomy/taxondetails?taxnode_id=202504958&amp;ictv_id=ICTV20154209","ICTV20154209")</f>
        <v>ICTV20154209</v>
      </c>
      <c r="R9358" t="s">
        <v>583</v>
      </c>
      <c r="S9358" t="s">
        <v>824</v>
      </c>
      <c r="T9358">
        <v>39</v>
      </c>
      <c r="U9358" s="26" t="str">
        <f t="shared" si="333"/>
        <v>2023.034M.Spinoreoviridae_sprenam.zip</v>
      </c>
    </row>
    <row r="9359" spans="1:21">
      <c r="A9359">
        <v>9358</v>
      </c>
      <c r="B9359" s="27" t="s">
        <v>1124</v>
      </c>
      <c r="D9359" s="27" t="s">
        <v>1859</v>
      </c>
      <c r="F9359" s="27" t="s">
        <v>1860</v>
      </c>
      <c r="H9359" s="27" t="s">
        <v>1863</v>
      </c>
      <c r="J9359" s="27" t="s">
        <v>1864</v>
      </c>
      <c r="L9359" s="27" t="s">
        <v>8799</v>
      </c>
      <c r="N9359" s="27" t="s">
        <v>403</v>
      </c>
      <c r="P9359" s="27" t="s">
        <v>13758</v>
      </c>
      <c r="Q9359" s="26" t="str">
        <f>HYPERLINK("https://ictv.global/taxonomy/taxondetails?taxnode_id=202504953&amp;ictv_id=ICTV19991561","ICTV19991561")</f>
        <v>ICTV19991561</v>
      </c>
      <c r="R9359" t="s">
        <v>583</v>
      </c>
      <c r="S9359" t="s">
        <v>824</v>
      </c>
      <c r="T9359">
        <v>39</v>
      </c>
      <c r="U9359" s="26" t="str">
        <f t="shared" si="333"/>
        <v>2023.034M.Spinoreoviridae_sprenam.zip</v>
      </c>
    </row>
    <row r="9360" spans="1:21">
      <c r="A9360">
        <v>9359</v>
      </c>
      <c r="B9360" s="27" t="s">
        <v>1124</v>
      </c>
      <c r="D9360" s="27" t="s">
        <v>1859</v>
      </c>
      <c r="F9360" s="27" t="s">
        <v>1860</v>
      </c>
      <c r="H9360" s="27" t="s">
        <v>1863</v>
      </c>
      <c r="J9360" s="27" t="s">
        <v>1864</v>
      </c>
      <c r="L9360" s="27" t="s">
        <v>8799</v>
      </c>
      <c r="N9360" s="27" t="s">
        <v>403</v>
      </c>
      <c r="P9360" s="27" t="s">
        <v>13759</v>
      </c>
      <c r="Q9360" s="26" t="str">
        <f>HYPERLINK("https://ictv.global/taxonomy/taxondetails?taxnode_id=202504956&amp;ictv_id=ICTV19952020","ICTV19952020")</f>
        <v>ICTV19952020</v>
      </c>
      <c r="R9360" t="s">
        <v>583</v>
      </c>
      <c r="S9360" t="s">
        <v>824</v>
      </c>
      <c r="T9360">
        <v>39</v>
      </c>
      <c r="U9360" s="26" t="str">
        <f t="shared" si="333"/>
        <v>2023.034M.Spinoreoviridae_sprenam.zip</v>
      </c>
    </row>
    <row r="9361" spans="1:21">
      <c r="A9361">
        <v>9360</v>
      </c>
      <c r="B9361" s="27" t="s">
        <v>1124</v>
      </c>
      <c r="D9361" s="27" t="s">
        <v>1859</v>
      </c>
      <c r="F9361" s="27" t="s">
        <v>1860</v>
      </c>
      <c r="H9361" s="27" t="s">
        <v>1863</v>
      </c>
      <c r="J9361" s="27" t="s">
        <v>1864</v>
      </c>
      <c r="L9361" s="27" t="s">
        <v>8799</v>
      </c>
      <c r="N9361" s="27" t="s">
        <v>403</v>
      </c>
      <c r="P9361" s="27" t="s">
        <v>13760</v>
      </c>
      <c r="Q9361" s="26" t="str">
        <f>HYPERLINK("https://ictv.global/taxonomy/taxondetails?taxnode_id=202504950&amp;ictv_id=ICTV19760514","ICTV19760514")</f>
        <v>ICTV19760514</v>
      </c>
      <c r="R9361" t="s">
        <v>583</v>
      </c>
      <c r="S9361" t="s">
        <v>824</v>
      </c>
      <c r="T9361">
        <v>39</v>
      </c>
      <c r="U9361" s="26" t="str">
        <f t="shared" si="333"/>
        <v>2023.034M.Spinoreoviridae_sprenam.zip</v>
      </c>
    </row>
    <row r="9362" spans="1:21">
      <c r="A9362">
        <v>9361</v>
      </c>
      <c r="B9362" s="27" t="s">
        <v>1124</v>
      </c>
      <c r="D9362" s="27" t="s">
        <v>1859</v>
      </c>
      <c r="F9362" s="27" t="s">
        <v>1860</v>
      </c>
      <c r="H9362" s="27" t="s">
        <v>1863</v>
      </c>
      <c r="J9362" s="27" t="s">
        <v>1864</v>
      </c>
      <c r="L9362" s="27" t="s">
        <v>8799</v>
      </c>
      <c r="N9362" s="27" t="s">
        <v>403</v>
      </c>
      <c r="P9362" s="27" t="s">
        <v>13761</v>
      </c>
      <c r="Q9362" s="26" t="str">
        <f>HYPERLINK("https://ictv.global/taxonomy/taxondetails?taxnode_id=202504954&amp;ictv_id=ICTV19991562","ICTV19991562")</f>
        <v>ICTV19991562</v>
      </c>
      <c r="R9362" t="s">
        <v>583</v>
      </c>
      <c r="S9362" t="s">
        <v>824</v>
      </c>
      <c r="T9362">
        <v>39</v>
      </c>
      <c r="U9362" s="26" t="str">
        <f t="shared" si="333"/>
        <v>2023.034M.Spinoreoviridae_sprenam.zip</v>
      </c>
    </row>
    <row r="9363" spans="1:21">
      <c r="A9363">
        <v>9362</v>
      </c>
      <c r="B9363" s="27" t="s">
        <v>1124</v>
      </c>
      <c r="D9363" s="27" t="s">
        <v>1859</v>
      </c>
      <c r="F9363" s="27" t="s">
        <v>1860</v>
      </c>
      <c r="H9363" s="27" t="s">
        <v>1863</v>
      </c>
      <c r="J9363" s="27" t="s">
        <v>1864</v>
      </c>
      <c r="L9363" s="27" t="s">
        <v>8799</v>
      </c>
      <c r="N9363" s="27" t="s">
        <v>403</v>
      </c>
      <c r="P9363" s="27" t="s">
        <v>13762</v>
      </c>
      <c r="Q9363" s="26" t="str">
        <f>HYPERLINK("https://ictv.global/taxonomy/taxondetails?taxnode_id=202504952&amp;ictv_id=ICTV19911398","ICTV19911398")</f>
        <v>ICTV19911398</v>
      </c>
      <c r="R9363" t="s">
        <v>583</v>
      </c>
      <c r="S9363" t="s">
        <v>824</v>
      </c>
      <c r="T9363">
        <v>39</v>
      </c>
      <c r="U9363" s="26" t="str">
        <f t="shared" si="333"/>
        <v>2023.034M.Spinoreoviridae_sprenam.zip</v>
      </c>
    </row>
    <row r="9364" spans="1:21">
      <c r="A9364">
        <v>9363</v>
      </c>
      <c r="B9364" s="27" t="s">
        <v>1124</v>
      </c>
      <c r="D9364" s="27" t="s">
        <v>1859</v>
      </c>
      <c r="F9364" s="27" t="s">
        <v>1860</v>
      </c>
      <c r="H9364" s="27" t="s">
        <v>1863</v>
      </c>
      <c r="J9364" s="27" t="s">
        <v>1864</v>
      </c>
      <c r="L9364" s="27" t="s">
        <v>8799</v>
      </c>
      <c r="N9364" s="27" t="s">
        <v>360</v>
      </c>
      <c r="P9364" s="27" t="s">
        <v>13763</v>
      </c>
      <c r="Q9364" s="26" t="str">
        <f>HYPERLINK("https://ictv.global/taxonomy/taxondetails?taxnode_id=202504964&amp;ictv_id=ICTV20041969","ICTV20041969")</f>
        <v>ICTV20041969</v>
      </c>
      <c r="R9364" t="s">
        <v>583</v>
      </c>
      <c r="S9364" t="s">
        <v>824</v>
      </c>
      <c r="T9364">
        <v>39</v>
      </c>
      <c r="U9364" s="26" t="str">
        <f t="shared" si="333"/>
        <v>2023.034M.Spinoreoviridae_sprenam.zip</v>
      </c>
    </row>
    <row r="9365" spans="1:21">
      <c r="A9365">
        <v>9364</v>
      </c>
      <c r="B9365" s="27" t="s">
        <v>1124</v>
      </c>
      <c r="D9365" s="27" t="s">
        <v>1859</v>
      </c>
      <c r="F9365" s="27" t="s">
        <v>1860</v>
      </c>
      <c r="H9365" s="27" t="s">
        <v>1863</v>
      </c>
      <c r="J9365" s="27" t="s">
        <v>1864</v>
      </c>
      <c r="L9365" s="27" t="s">
        <v>8799</v>
      </c>
      <c r="N9365" s="27" t="s">
        <v>360</v>
      </c>
      <c r="P9365" s="27" t="s">
        <v>13764</v>
      </c>
      <c r="Q9365" s="26" t="str">
        <f>HYPERLINK("https://ictv.global/taxonomy/taxondetails?taxnode_id=202504963&amp;ictv_id=ICTV20041968","ICTV20041968")</f>
        <v>ICTV20041968</v>
      </c>
      <c r="R9365" t="s">
        <v>583</v>
      </c>
      <c r="S9365" t="s">
        <v>824</v>
      </c>
      <c r="T9365">
        <v>39</v>
      </c>
      <c r="U9365" s="26" t="str">
        <f t="shared" si="333"/>
        <v>2023.034M.Spinoreoviridae_sprenam.zip</v>
      </c>
    </row>
    <row r="9366" spans="1:21">
      <c r="A9366">
        <v>9365</v>
      </c>
      <c r="B9366" s="27" t="s">
        <v>1124</v>
      </c>
      <c r="D9366" s="27" t="s">
        <v>1859</v>
      </c>
      <c r="F9366" s="27" t="s">
        <v>1860</v>
      </c>
      <c r="H9366" s="27" t="s">
        <v>1863</v>
      </c>
      <c r="J9366" s="27" t="s">
        <v>1864</v>
      </c>
      <c r="L9366" s="27" t="s">
        <v>8799</v>
      </c>
      <c r="N9366" s="27" t="s">
        <v>360</v>
      </c>
      <c r="P9366" s="27" t="s">
        <v>13765</v>
      </c>
      <c r="Q9366" s="26" t="str">
        <f>HYPERLINK("https://ictv.global/taxonomy/taxondetails?taxnode_id=202504960&amp;ictv_id=ICTV20041965","ICTV20041965")</f>
        <v>ICTV20041965</v>
      </c>
      <c r="R9366" t="s">
        <v>583</v>
      </c>
      <c r="S9366" t="s">
        <v>824</v>
      </c>
      <c r="T9366">
        <v>39</v>
      </c>
      <c r="U9366" s="26" t="str">
        <f t="shared" si="333"/>
        <v>2023.034M.Spinoreoviridae_sprenam.zip</v>
      </c>
    </row>
    <row r="9367" spans="1:21">
      <c r="A9367">
        <v>9366</v>
      </c>
      <c r="B9367" s="27" t="s">
        <v>1124</v>
      </c>
      <c r="D9367" s="27" t="s">
        <v>1859</v>
      </c>
      <c r="F9367" s="27" t="s">
        <v>1860</v>
      </c>
      <c r="H9367" s="27" t="s">
        <v>1863</v>
      </c>
      <c r="J9367" s="27" t="s">
        <v>1864</v>
      </c>
      <c r="L9367" s="27" t="s">
        <v>8799</v>
      </c>
      <c r="N9367" s="27" t="s">
        <v>360</v>
      </c>
      <c r="P9367" s="27" t="s">
        <v>13766</v>
      </c>
      <c r="Q9367" s="26" t="str">
        <f>HYPERLINK("https://ictv.global/taxonomy/taxondetails?taxnode_id=202504961&amp;ictv_id=ICTV20041966","ICTV20041966")</f>
        <v>ICTV20041966</v>
      </c>
      <c r="R9367" t="s">
        <v>583</v>
      </c>
      <c r="S9367" t="s">
        <v>824</v>
      </c>
      <c r="T9367">
        <v>39</v>
      </c>
      <c r="U9367" s="26" t="str">
        <f t="shared" si="333"/>
        <v>2023.034M.Spinoreoviridae_sprenam.zip</v>
      </c>
    </row>
    <row r="9368" spans="1:21">
      <c r="A9368">
        <v>9367</v>
      </c>
      <c r="B9368" s="27" t="s">
        <v>1124</v>
      </c>
      <c r="D9368" s="27" t="s">
        <v>1859</v>
      </c>
      <c r="F9368" s="27" t="s">
        <v>1860</v>
      </c>
      <c r="H9368" s="27" t="s">
        <v>1863</v>
      </c>
      <c r="J9368" s="27" t="s">
        <v>1864</v>
      </c>
      <c r="L9368" s="27" t="s">
        <v>8799</v>
      </c>
      <c r="N9368" s="27" t="s">
        <v>360</v>
      </c>
      <c r="P9368" s="27" t="s">
        <v>13767</v>
      </c>
      <c r="Q9368" s="26" t="str">
        <f>HYPERLINK("https://ictv.global/taxonomy/taxondetails?taxnode_id=202504962&amp;ictv_id=ICTV20041967","ICTV20041967")</f>
        <v>ICTV20041967</v>
      </c>
      <c r="R9368" t="s">
        <v>583</v>
      </c>
      <c r="S9368" t="s">
        <v>824</v>
      </c>
      <c r="T9368">
        <v>39</v>
      </c>
      <c r="U9368" s="26" t="str">
        <f t="shared" si="333"/>
        <v>2023.034M.Spinoreoviridae_sprenam.zip</v>
      </c>
    </row>
    <row r="9369" spans="1:21">
      <c r="A9369">
        <v>9368</v>
      </c>
      <c r="B9369" s="27" t="s">
        <v>1124</v>
      </c>
      <c r="D9369" s="27" t="s">
        <v>1859</v>
      </c>
      <c r="F9369" s="27" t="s">
        <v>1860</v>
      </c>
      <c r="H9369" s="27" t="s">
        <v>1863</v>
      </c>
      <c r="J9369" s="27" t="s">
        <v>1864</v>
      </c>
      <c r="L9369" s="27" t="s">
        <v>8799</v>
      </c>
      <c r="N9369" s="27" t="s">
        <v>424</v>
      </c>
      <c r="P9369" s="27" t="s">
        <v>13768</v>
      </c>
      <c r="Q9369" s="26" t="str">
        <f>HYPERLINK("https://ictv.global/taxonomy/taxondetails?taxnode_id=202504966&amp;ictv_id=ICTV20041970","ICTV20041970")</f>
        <v>ICTV20041970</v>
      </c>
      <c r="R9369" t="s">
        <v>583</v>
      </c>
      <c r="S9369" t="s">
        <v>824</v>
      </c>
      <c r="T9369">
        <v>39</v>
      </c>
      <c r="U9369" s="26" t="str">
        <f t="shared" si="333"/>
        <v>2023.034M.Spinoreoviridae_sprenam.zip</v>
      </c>
    </row>
    <row r="9370" spans="1:21">
      <c r="A9370">
        <v>9369</v>
      </c>
      <c r="B9370" s="27" t="s">
        <v>1124</v>
      </c>
      <c r="D9370" s="27" t="s">
        <v>1859</v>
      </c>
      <c r="F9370" s="27" t="s">
        <v>1860</v>
      </c>
      <c r="H9370" s="27" t="s">
        <v>1863</v>
      </c>
      <c r="J9370" s="27" t="s">
        <v>1864</v>
      </c>
      <c r="L9370" s="27" t="s">
        <v>8799</v>
      </c>
      <c r="N9370" s="27" t="s">
        <v>424</v>
      </c>
      <c r="P9370" s="27" t="s">
        <v>13769</v>
      </c>
      <c r="Q9370" s="26" t="str">
        <f>HYPERLINK("https://ictv.global/taxonomy/taxondetails?taxnode_id=202504967&amp;ictv_id=ICTV20074572","ICTV20074572")</f>
        <v>ICTV20074572</v>
      </c>
      <c r="R9370" t="s">
        <v>583</v>
      </c>
      <c r="S9370" t="s">
        <v>824</v>
      </c>
      <c r="T9370">
        <v>39</v>
      </c>
      <c r="U9370" s="26" t="str">
        <f t="shared" si="333"/>
        <v>2023.034M.Spinoreoviridae_sprenam.zip</v>
      </c>
    </row>
    <row r="9371" spans="1:21">
      <c r="A9371">
        <v>9370</v>
      </c>
      <c r="B9371" s="27" t="s">
        <v>1124</v>
      </c>
      <c r="D9371" s="27" t="s">
        <v>1859</v>
      </c>
      <c r="F9371" s="27" t="s">
        <v>1860</v>
      </c>
      <c r="H9371" s="27" t="s">
        <v>1863</v>
      </c>
      <c r="J9371" s="27" t="s">
        <v>1864</v>
      </c>
      <c r="L9371" s="27" t="s">
        <v>8799</v>
      </c>
      <c r="N9371" s="27" t="s">
        <v>424</v>
      </c>
      <c r="P9371" s="27" t="s">
        <v>13770</v>
      </c>
      <c r="Q9371" s="26" t="str">
        <f>HYPERLINK("https://ictv.global/taxonomy/taxondetails?taxnode_id=202504968&amp;ictv_id=ICTV20041971","ICTV20041971")</f>
        <v>ICTV20041971</v>
      </c>
      <c r="R9371" t="s">
        <v>583</v>
      </c>
      <c r="S9371" t="s">
        <v>824</v>
      </c>
      <c r="T9371">
        <v>39</v>
      </c>
      <c r="U9371" s="26" t="str">
        <f t="shared" si="333"/>
        <v>2023.034M.Spinoreoviridae_sprenam.zip</v>
      </c>
    </row>
    <row r="9372" spans="1:21">
      <c r="A9372">
        <v>9371</v>
      </c>
      <c r="B9372" s="27" t="s">
        <v>1124</v>
      </c>
      <c r="D9372" s="27" t="s">
        <v>1859</v>
      </c>
      <c r="F9372" s="27" t="s">
        <v>1860</v>
      </c>
      <c r="H9372" s="27" t="s">
        <v>1863</v>
      </c>
      <c r="J9372" s="27" t="s">
        <v>1864</v>
      </c>
      <c r="L9372" s="27" t="s">
        <v>8799</v>
      </c>
      <c r="N9372" s="27" t="s">
        <v>313</v>
      </c>
      <c r="P9372" s="27" t="s">
        <v>13771</v>
      </c>
      <c r="Q9372" s="26" t="str">
        <f>HYPERLINK("https://ictv.global/taxonomy/taxondetails?taxnode_id=202504970&amp;ictv_id=ICTV19982433","ICTV19982433")</f>
        <v>ICTV19982433</v>
      </c>
      <c r="R9372" t="s">
        <v>583</v>
      </c>
      <c r="S9372" t="s">
        <v>824</v>
      </c>
      <c r="T9372">
        <v>39</v>
      </c>
      <c r="U9372" s="26" t="str">
        <f t="shared" si="333"/>
        <v>2023.034M.Spinoreoviridae_sprenam.zip</v>
      </c>
    </row>
    <row r="9373" spans="1:21">
      <c r="A9373">
        <v>9372</v>
      </c>
      <c r="B9373" s="27" t="s">
        <v>1124</v>
      </c>
      <c r="D9373" s="27" t="s">
        <v>1859</v>
      </c>
      <c r="F9373" s="27" t="s">
        <v>1860</v>
      </c>
      <c r="H9373" s="27" t="s">
        <v>1863</v>
      </c>
      <c r="J9373" s="27" t="s">
        <v>1864</v>
      </c>
      <c r="L9373" s="27" t="s">
        <v>8799</v>
      </c>
      <c r="N9373" s="27" t="s">
        <v>313</v>
      </c>
      <c r="P9373" s="27" t="s">
        <v>13772</v>
      </c>
      <c r="Q9373" s="26" t="str">
        <f>HYPERLINK("https://ictv.global/taxonomy/taxondetails?taxnode_id=202507547&amp;ictv_id=ICTV201907547","ICTV201907547")</f>
        <v>ICTV201907547</v>
      </c>
      <c r="R9373" t="s">
        <v>583</v>
      </c>
      <c r="S9373" t="s">
        <v>824</v>
      </c>
      <c r="T9373">
        <v>39</v>
      </c>
      <c r="U9373" s="26" t="str">
        <f t="shared" si="333"/>
        <v>2023.034M.Spinoreoviridae_sprenam.zip</v>
      </c>
    </row>
    <row r="9374" spans="1:21">
      <c r="A9374">
        <v>9373</v>
      </c>
      <c r="B9374" s="27" t="s">
        <v>1124</v>
      </c>
      <c r="D9374" s="27" t="s">
        <v>1859</v>
      </c>
      <c r="F9374" s="27" t="s">
        <v>1860</v>
      </c>
      <c r="H9374" s="27" t="s">
        <v>1863</v>
      </c>
      <c r="J9374" s="27" t="s">
        <v>1864</v>
      </c>
      <c r="L9374" s="27" t="s">
        <v>8799</v>
      </c>
      <c r="N9374" s="27" t="s">
        <v>313</v>
      </c>
      <c r="P9374" s="27" t="s">
        <v>13773</v>
      </c>
      <c r="Q9374" s="26" t="str">
        <f>HYPERLINK("https://ictv.global/taxonomy/taxondetails?taxnode_id=202505927&amp;ictv_id=ICTV20175927","ICTV20175927")</f>
        <v>ICTV20175927</v>
      </c>
      <c r="R9374" t="s">
        <v>583</v>
      </c>
      <c r="S9374" t="s">
        <v>824</v>
      </c>
      <c r="T9374">
        <v>39</v>
      </c>
      <c r="U9374" s="26" t="str">
        <f t="shared" si="333"/>
        <v>2023.034M.Spinoreoviridae_sprenam.zip</v>
      </c>
    </row>
    <row r="9375" spans="1:21">
      <c r="A9375">
        <v>9374</v>
      </c>
      <c r="B9375" s="27" t="s">
        <v>1124</v>
      </c>
      <c r="D9375" s="27" t="s">
        <v>1859</v>
      </c>
      <c r="F9375" s="27" t="s">
        <v>1860</v>
      </c>
      <c r="H9375" s="27" t="s">
        <v>1863</v>
      </c>
      <c r="J9375" s="27" t="s">
        <v>1864</v>
      </c>
      <c r="L9375" s="27" t="s">
        <v>8799</v>
      </c>
      <c r="N9375" s="27" t="s">
        <v>313</v>
      </c>
      <c r="P9375" s="27" t="s">
        <v>13774</v>
      </c>
      <c r="Q9375" s="26" t="str">
        <f>HYPERLINK("https://ictv.global/taxonomy/taxondetails?taxnode_id=202504972&amp;ictv_id=ICTV19982435","ICTV19982435")</f>
        <v>ICTV19982435</v>
      </c>
      <c r="R9375" t="s">
        <v>583</v>
      </c>
      <c r="S9375" t="s">
        <v>824</v>
      </c>
      <c r="T9375">
        <v>39</v>
      </c>
      <c r="U9375" s="26" t="str">
        <f t="shared" si="333"/>
        <v>2023.034M.Spinoreoviridae_sprenam.zip</v>
      </c>
    </row>
    <row r="9376" spans="1:21">
      <c r="A9376">
        <v>9375</v>
      </c>
      <c r="B9376" s="27" t="s">
        <v>1124</v>
      </c>
      <c r="D9376" s="27" t="s">
        <v>1859</v>
      </c>
      <c r="F9376" s="27" t="s">
        <v>1860</v>
      </c>
      <c r="H9376" s="27" t="s">
        <v>1863</v>
      </c>
      <c r="J9376" s="27" t="s">
        <v>1864</v>
      </c>
      <c r="L9376" s="27" t="s">
        <v>8799</v>
      </c>
      <c r="N9376" s="27" t="s">
        <v>313</v>
      </c>
      <c r="P9376" s="27" t="s">
        <v>13775</v>
      </c>
      <c r="Q9376" s="26" t="str">
        <f>HYPERLINK("https://ictv.global/taxonomy/taxondetails?taxnode_id=202504973&amp;ictv_id=ICTV19911419","ICTV19911419")</f>
        <v>ICTV19911419</v>
      </c>
      <c r="R9376" t="s">
        <v>583</v>
      </c>
      <c r="S9376" t="s">
        <v>824</v>
      </c>
      <c r="T9376">
        <v>39</v>
      </c>
      <c r="U9376" s="26" t="str">
        <f t="shared" si="333"/>
        <v>2023.034M.Spinoreoviridae_sprenam.zip</v>
      </c>
    </row>
    <row r="9377" spans="1:21">
      <c r="A9377">
        <v>9376</v>
      </c>
      <c r="B9377" s="27" t="s">
        <v>1124</v>
      </c>
      <c r="D9377" s="27" t="s">
        <v>1859</v>
      </c>
      <c r="F9377" s="27" t="s">
        <v>1860</v>
      </c>
      <c r="H9377" s="27" t="s">
        <v>1863</v>
      </c>
      <c r="J9377" s="27" t="s">
        <v>1864</v>
      </c>
      <c r="L9377" s="27" t="s">
        <v>8799</v>
      </c>
      <c r="N9377" s="27" t="s">
        <v>313</v>
      </c>
      <c r="P9377" s="27" t="s">
        <v>13776</v>
      </c>
      <c r="Q9377" s="26" t="str">
        <f>HYPERLINK("https://ictv.global/taxonomy/taxondetails?taxnode_id=202507548&amp;ictv_id=ICTV201907548","ICTV201907548")</f>
        <v>ICTV201907548</v>
      </c>
      <c r="R9377" t="s">
        <v>583</v>
      </c>
      <c r="S9377" t="s">
        <v>824</v>
      </c>
      <c r="T9377">
        <v>39</v>
      </c>
      <c r="U9377" s="26" t="str">
        <f t="shared" si="333"/>
        <v>2023.034M.Spinoreoviridae_sprenam.zip</v>
      </c>
    </row>
    <row r="9378" spans="1:21">
      <c r="A9378">
        <v>9377</v>
      </c>
      <c r="B9378" s="27" t="s">
        <v>1124</v>
      </c>
      <c r="D9378" s="27" t="s">
        <v>1859</v>
      </c>
      <c r="F9378" s="27" t="s">
        <v>1860</v>
      </c>
      <c r="H9378" s="27" t="s">
        <v>1863</v>
      </c>
      <c r="J9378" s="27" t="s">
        <v>1864</v>
      </c>
      <c r="L9378" s="27" t="s">
        <v>8799</v>
      </c>
      <c r="N9378" s="27" t="s">
        <v>313</v>
      </c>
      <c r="P9378" s="27" t="s">
        <v>13777</v>
      </c>
      <c r="Q9378" s="26" t="str">
        <f>HYPERLINK("https://ictv.global/taxonomy/taxondetails?taxnode_id=202504971&amp;ictv_id=ICTV19982434","ICTV19982434")</f>
        <v>ICTV19982434</v>
      </c>
      <c r="R9378" t="s">
        <v>583</v>
      </c>
      <c r="S9378" t="s">
        <v>824</v>
      </c>
      <c r="T9378">
        <v>39</v>
      </c>
      <c r="U9378" s="26" t="str">
        <f t="shared" si="333"/>
        <v>2023.034M.Spinoreoviridae_sprenam.zip</v>
      </c>
    </row>
    <row r="9379" spans="1:21">
      <c r="A9379">
        <v>9378</v>
      </c>
      <c r="B9379" s="27" t="s">
        <v>1124</v>
      </c>
      <c r="D9379" s="27" t="s">
        <v>1859</v>
      </c>
      <c r="F9379" s="27" t="s">
        <v>1860</v>
      </c>
      <c r="H9379" s="27" t="s">
        <v>1863</v>
      </c>
      <c r="J9379" s="27" t="s">
        <v>1864</v>
      </c>
      <c r="L9379" s="27" t="s">
        <v>8799</v>
      </c>
      <c r="N9379" s="27" t="s">
        <v>313</v>
      </c>
      <c r="P9379" s="27" t="s">
        <v>13778</v>
      </c>
      <c r="Q9379" s="26" t="str">
        <f>HYPERLINK("https://ictv.global/taxonomy/taxondetails?taxnode_id=202504974&amp;ictv_id=ICTV20154226","ICTV20154226")</f>
        <v>ICTV20154226</v>
      </c>
      <c r="R9379" t="s">
        <v>583</v>
      </c>
      <c r="S9379" t="s">
        <v>824</v>
      </c>
      <c r="T9379">
        <v>39</v>
      </c>
      <c r="U9379" s="26" t="str">
        <f t="shared" si="333"/>
        <v>2023.034M.Spinoreoviridae_sprenam.zip</v>
      </c>
    </row>
    <row r="9380" spans="1:21">
      <c r="A9380">
        <v>9379</v>
      </c>
      <c r="B9380" s="27" t="s">
        <v>1124</v>
      </c>
      <c r="D9380" s="27" t="s">
        <v>1859</v>
      </c>
      <c r="F9380" s="27" t="s">
        <v>1860</v>
      </c>
      <c r="H9380" s="27" t="s">
        <v>1863</v>
      </c>
      <c r="J9380" s="27" t="s">
        <v>1864</v>
      </c>
      <c r="L9380" s="27" t="s">
        <v>8799</v>
      </c>
      <c r="N9380" s="27" t="s">
        <v>313</v>
      </c>
      <c r="P9380" s="27" t="s">
        <v>13779</v>
      </c>
      <c r="Q9380" s="26" t="str">
        <f>HYPERLINK("https://ictv.global/taxonomy/taxondetails?taxnode_id=202504975&amp;ictv_id=ICTV20041996","ICTV20041996")</f>
        <v>ICTV20041996</v>
      </c>
      <c r="R9380" t="s">
        <v>583</v>
      </c>
      <c r="S9380" t="s">
        <v>824</v>
      </c>
      <c r="T9380">
        <v>39</v>
      </c>
      <c r="U9380" s="26" t="str">
        <f t="shared" si="333"/>
        <v>2023.034M.Spinoreoviridae_sprenam.zip</v>
      </c>
    </row>
    <row r="9381" spans="1:21">
      <c r="A9381">
        <v>9380</v>
      </c>
      <c r="B9381" s="27" t="s">
        <v>1124</v>
      </c>
      <c r="D9381" s="27" t="s">
        <v>1859</v>
      </c>
      <c r="F9381" s="27" t="s">
        <v>1860</v>
      </c>
      <c r="H9381" s="27" t="s">
        <v>1863</v>
      </c>
      <c r="J9381" s="27" t="s">
        <v>1864</v>
      </c>
      <c r="L9381" s="27" t="s">
        <v>8799</v>
      </c>
      <c r="N9381" s="27" t="s">
        <v>313</v>
      </c>
      <c r="P9381" s="27" t="s">
        <v>13780</v>
      </c>
      <c r="Q9381" s="26" t="str">
        <f>HYPERLINK("https://ictv.global/taxonomy/taxondetails?taxnode_id=202507549&amp;ictv_id=ICTV201907549","ICTV201907549")</f>
        <v>ICTV201907549</v>
      </c>
      <c r="R9381" t="s">
        <v>583</v>
      </c>
      <c r="S9381" t="s">
        <v>824</v>
      </c>
      <c r="T9381">
        <v>39</v>
      </c>
      <c r="U9381" s="26" t="str">
        <f t="shared" si="333"/>
        <v>2023.034M.Spinoreoviridae_sprenam.zip</v>
      </c>
    </row>
    <row r="9382" spans="1:21">
      <c r="A9382">
        <v>9381</v>
      </c>
      <c r="B9382" s="27" t="s">
        <v>1124</v>
      </c>
      <c r="D9382" s="27" t="s">
        <v>1859</v>
      </c>
      <c r="F9382" s="27" t="s">
        <v>1860</v>
      </c>
      <c r="H9382" s="27" t="s">
        <v>1863</v>
      </c>
      <c r="J9382" s="27" t="s">
        <v>1864</v>
      </c>
      <c r="L9382" s="27" t="s">
        <v>8799</v>
      </c>
      <c r="N9382" s="27" t="s">
        <v>314</v>
      </c>
      <c r="P9382" s="27" t="s">
        <v>13781</v>
      </c>
      <c r="Q9382" s="26" t="str">
        <f>HYPERLINK("https://ictv.global/taxonomy/taxondetails?taxnode_id=202504977&amp;ictv_id=ICTV19952055","ICTV19952055")</f>
        <v>ICTV19952055</v>
      </c>
      <c r="R9382" t="s">
        <v>583</v>
      </c>
      <c r="S9382" t="s">
        <v>824</v>
      </c>
      <c r="T9382">
        <v>39</v>
      </c>
      <c r="U9382" s="26" t="str">
        <f t="shared" si="333"/>
        <v>2023.034M.Spinoreoviridae_sprenam.zip</v>
      </c>
    </row>
    <row r="9383" spans="1:21">
      <c r="A9383">
        <v>9382</v>
      </c>
      <c r="B9383" s="27" t="s">
        <v>1124</v>
      </c>
      <c r="D9383" s="27" t="s">
        <v>1859</v>
      </c>
      <c r="F9383" s="27" t="s">
        <v>1860</v>
      </c>
      <c r="H9383" s="27" t="s">
        <v>1863</v>
      </c>
      <c r="J9383" s="27" t="s">
        <v>1864</v>
      </c>
      <c r="L9383" s="27" t="s">
        <v>8799</v>
      </c>
      <c r="N9383" s="27" t="s">
        <v>314</v>
      </c>
      <c r="P9383" s="27" t="s">
        <v>13782</v>
      </c>
      <c r="Q9383" s="26" t="str">
        <f>HYPERLINK("https://ictv.global/taxonomy/taxondetails?taxnode_id=202504978&amp;ictv_id=ICTV19911424","ICTV19911424")</f>
        <v>ICTV19911424</v>
      </c>
      <c r="R9383" t="s">
        <v>583</v>
      </c>
      <c r="S9383" t="s">
        <v>824</v>
      </c>
      <c r="T9383">
        <v>39</v>
      </c>
      <c r="U9383" s="26" t="str">
        <f t="shared" si="333"/>
        <v>2023.034M.Spinoreoviridae_sprenam.zip</v>
      </c>
    </row>
    <row r="9384" spans="1:21">
      <c r="A9384">
        <v>9383</v>
      </c>
      <c r="B9384" s="27" t="s">
        <v>1124</v>
      </c>
      <c r="D9384" s="27" t="s">
        <v>1859</v>
      </c>
      <c r="F9384" s="27" t="s">
        <v>1860</v>
      </c>
      <c r="H9384" s="27" t="s">
        <v>1865</v>
      </c>
      <c r="J9384" s="27" t="s">
        <v>1866</v>
      </c>
      <c r="L9384" s="27" t="s">
        <v>456</v>
      </c>
      <c r="N9384" s="27" t="s">
        <v>20116</v>
      </c>
      <c r="P9384" s="27" t="s">
        <v>20117</v>
      </c>
      <c r="Q9384" s="26" t="str">
        <f>HYPERLINK("https://ictv.global/taxonomy/taxondetails?taxnode_id=202505775&amp;ictv_id=ICTV20175775","ICTV20175775")</f>
        <v>ICTV20175775</v>
      </c>
      <c r="R9384" t="s">
        <v>583</v>
      </c>
      <c r="S9384" t="s">
        <v>22764</v>
      </c>
      <c r="T9384">
        <v>40</v>
      </c>
      <c r="U9384" s="26" t="str">
        <f t="shared" ref="U9384:U9392" si="334">HYPERLINK("https://ictv.global/ictv/proposals/2024.043B.Cystoviridae_6ng_2nsp_1rng_7rnsp.zip","2024.043B.Cystoviridae_6ng_2nsp_1rng_7rnsp.zip")</f>
        <v>2024.043B.Cystoviridae_6ng_2nsp_1rng_7rnsp.zip</v>
      </c>
    </row>
    <row r="9385" spans="1:21">
      <c r="A9385">
        <v>9384</v>
      </c>
      <c r="B9385" s="27" t="s">
        <v>1124</v>
      </c>
      <c r="D9385" s="27" t="s">
        <v>1859</v>
      </c>
      <c r="F9385" s="27" t="s">
        <v>1860</v>
      </c>
      <c r="H9385" s="27" t="s">
        <v>1865</v>
      </c>
      <c r="J9385" s="27" t="s">
        <v>1866</v>
      </c>
      <c r="L9385" s="27" t="s">
        <v>456</v>
      </c>
      <c r="N9385" s="27" t="s">
        <v>20118</v>
      </c>
      <c r="P9385" s="27" t="s">
        <v>20119</v>
      </c>
      <c r="Q9385" s="26" t="str">
        <f>HYPERLINK("https://ictv.global/taxonomy/taxondetails?taxnode_id=202505772&amp;ictv_id=ICTV20175772","ICTV20175772")</f>
        <v>ICTV20175772</v>
      </c>
      <c r="R9385" t="s">
        <v>583</v>
      </c>
      <c r="S9385" t="s">
        <v>22764</v>
      </c>
      <c r="T9385">
        <v>40</v>
      </c>
      <c r="U9385" s="26" t="str">
        <f t="shared" si="334"/>
        <v>2024.043B.Cystoviridae_6ng_2nsp_1rng_7rnsp.zip</v>
      </c>
    </row>
    <row r="9386" spans="1:21">
      <c r="A9386">
        <v>9385</v>
      </c>
      <c r="B9386" s="27" t="s">
        <v>1124</v>
      </c>
      <c r="D9386" s="27" t="s">
        <v>1859</v>
      </c>
      <c r="F9386" s="27" t="s">
        <v>1860</v>
      </c>
      <c r="H9386" s="27" t="s">
        <v>1865</v>
      </c>
      <c r="J9386" s="27" t="s">
        <v>1866</v>
      </c>
      <c r="L9386" s="27" t="s">
        <v>456</v>
      </c>
      <c r="N9386" s="27" t="s">
        <v>20120</v>
      </c>
      <c r="P9386" s="27" t="s">
        <v>20121</v>
      </c>
      <c r="Q9386" s="26" t="str">
        <f>HYPERLINK("https://ictv.global/taxonomy/taxondetails?taxnode_id=202505774&amp;ictv_id=ICTV20175774","ICTV20175774")</f>
        <v>ICTV20175774</v>
      </c>
      <c r="R9386" t="s">
        <v>583</v>
      </c>
      <c r="S9386" t="s">
        <v>22764</v>
      </c>
      <c r="T9386">
        <v>40</v>
      </c>
      <c r="U9386" s="26" t="str">
        <f t="shared" si="334"/>
        <v>2024.043B.Cystoviridae_6ng_2nsp_1rng_7rnsp.zip</v>
      </c>
    </row>
    <row r="9387" spans="1:21">
      <c r="A9387">
        <v>9386</v>
      </c>
      <c r="B9387" s="27" t="s">
        <v>1124</v>
      </c>
      <c r="D9387" s="27" t="s">
        <v>1859</v>
      </c>
      <c r="F9387" s="27" t="s">
        <v>1860</v>
      </c>
      <c r="H9387" s="27" t="s">
        <v>1865</v>
      </c>
      <c r="J9387" s="27" t="s">
        <v>1866</v>
      </c>
      <c r="L9387" s="27" t="s">
        <v>456</v>
      </c>
      <c r="N9387" s="27" t="s">
        <v>20122</v>
      </c>
      <c r="P9387" s="27" t="s">
        <v>20123</v>
      </c>
      <c r="Q9387" s="26" t="str">
        <f>HYPERLINK("https://ictv.global/taxonomy/taxondetails?taxnode_id=202520878&amp;ictv_id=ICTV202420878","ICTV202420878")</f>
        <v>ICTV202420878</v>
      </c>
      <c r="R9387" t="s">
        <v>583</v>
      </c>
      <c r="S9387" t="s">
        <v>823</v>
      </c>
      <c r="T9387">
        <v>40</v>
      </c>
      <c r="U9387" s="26" t="str">
        <f t="shared" si="334"/>
        <v>2024.043B.Cystoviridae_6ng_2nsp_1rng_7rnsp.zip</v>
      </c>
    </row>
    <row r="9388" spans="1:21">
      <c r="A9388">
        <v>9387</v>
      </c>
      <c r="B9388" s="27" t="s">
        <v>1124</v>
      </c>
      <c r="D9388" s="27" t="s">
        <v>1859</v>
      </c>
      <c r="F9388" s="27" t="s">
        <v>1860</v>
      </c>
      <c r="H9388" s="27" t="s">
        <v>1865</v>
      </c>
      <c r="J9388" s="27" t="s">
        <v>1866</v>
      </c>
      <c r="L9388" s="27" t="s">
        <v>456</v>
      </c>
      <c r="N9388" s="27" t="s">
        <v>20124</v>
      </c>
      <c r="P9388" s="27" t="s">
        <v>20125</v>
      </c>
      <c r="Q9388" s="26" t="str">
        <f>HYPERLINK("https://ictv.global/taxonomy/taxondetails?taxnode_id=202505773&amp;ictv_id=ICTV20175773","ICTV20175773")</f>
        <v>ICTV20175773</v>
      </c>
      <c r="R9388" t="s">
        <v>583</v>
      </c>
      <c r="S9388" t="s">
        <v>22764</v>
      </c>
      <c r="T9388">
        <v>40</v>
      </c>
      <c r="U9388" s="26" t="str">
        <f t="shared" si="334"/>
        <v>2024.043B.Cystoviridae_6ng_2nsp_1rng_7rnsp.zip</v>
      </c>
    </row>
    <row r="9389" spans="1:21">
      <c r="A9389">
        <v>9388</v>
      </c>
      <c r="B9389" s="27" t="s">
        <v>1124</v>
      </c>
      <c r="D9389" s="27" t="s">
        <v>1859</v>
      </c>
      <c r="F9389" s="27" t="s">
        <v>1860</v>
      </c>
      <c r="H9389" s="27" t="s">
        <v>1865</v>
      </c>
      <c r="J9389" s="27" t="s">
        <v>1866</v>
      </c>
      <c r="L9389" s="27" t="s">
        <v>456</v>
      </c>
      <c r="N9389" s="27" t="s">
        <v>20124</v>
      </c>
      <c r="P9389" s="27" t="s">
        <v>20126</v>
      </c>
      <c r="Q9389" s="26" t="str">
        <f>HYPERLINK("https://ictv.global/taxonomy/taxondetails?taxnode_id=202505777&amp;ictv_id=ICTV20175777","ICTV20175777")</f>
        <v>ICTV20175777</v>
      </c>
      <c r="R9389" t="s">
        <v>583</v>
      </c>
      <c r="S9389" t="s">
        <v>22764</v>
      </c>
      <c r="T9389">
        <v>40</v>
      </c>
      <c r="U9389" s="26" t="str">
        <f t="shared" si="334"/>
        <v>2024.043B.Cystoviridae_6ng_2nsp_1rng_7rnsp.zip</v>
      </c>
    </row>
    <row r="9390" spans="1:21">
      <c r="A9390">
        <v>9389</v>
      </c>
      <c r="B9390" s="27" t="s">
        <v>1124</v>
      </c>
      <c r="D9390" s="27" t="s">
        <v>1859</v>
      </c>
      <c r="F9390" s="27" t="s">
        <v>1860</v>
      </c>
      <c r="H9390" s="27" t="s">
        <v>1865</v>
      </c>
      <c r="J9390" s="27" t="s">
        <v>1866</v>
      </c>
      <c r="L9390" s="27" t="s">
        <v>456</v>
      </c>
      <c r="N9390" s="27" t="s">
        <v>20127</v>
      </c>
      <c r="P9390" s="27" t="s">
        <v>20128</v>
      </c>
      <c r="Q9390" s="26" t="str">
        <f>HYPERLINK("https://ictv.global/taxonomy/taxondetails?taxnode_id=202503041&amp;ictv_id=ICTV19760719","ICTV19760719")</f>
        <v>ICTV19760719</v>
      </c>
      <c r="R9390" t="s">
        <v>583</v>
      </c>
      <c r="S9390" t="s">
        <v>22764</v>
      </c>
      <c r="T9390">
        <v>40</v>
      </c>
      <c r="U9390" s="26" t="str">
        <f t="shared" si="334"/>
        <v>2024.043B.Cystoviridae_6ng_2nsp_1rng_7rnsp.zip</v>
      </c>
    </row>
    <row r="9391" spans="1:21">
      <c r="A9391">
        <v>9390</v>
      </c>
      <c r="B9391" s="27" t="s">
        <v>1124</v>
      </c>
      <c r="D9391" s="27" t="s">
        <v>1859</v>
      </c>
      <c r="F9391" s="27" t="s">
        <v>1860</v>
      </c>
      <c r="H9391" s="27" t="s">
        <v>1865</v>
      </c>
      <c r="J9391" s="27" t="s">
        <v>1866</v>
      </c>
      <c r="L9391" s="27" t="s">
        <v>456</v>
      </c>
      <c r="N9391" s="27" t="s">
        <v>20127</v>
      </c>
      <c r="P9391" s="27" t="s">
        <v>20129</v>
      </c>
      <c r="Q9391" s="26" t="str">
        <f>HYPERLINK("https://ictv.global/taxonomy/taxondetails?taxnode_id=202505776&amp;ictv_id=ICTV20175776","ICTV20175776")</f>
        <v>ICTV20175776</v>
      </c>
      <c r="R9391" t="s">
        <v>583</v>
      </c>
      <c r="S9391" t="s">
        <v>22764</v>
      </c>
      <c r="T9391">
        <v>40</v>
      </c>
      <c r="U9391" s="26" t="str">
        <f t="shared" si="334"/>
        <v>2024.043B.Cystoviridae_6ng_2nsp_1rng_7rnsp.zip</v>
      </c>
    </row>
    <row r="9392" spans="1:21">
      <c r="A9392">
        <v>9391</v>
      </c>
      <c r="B9392" s="27" t="s">
        <v>1124</v>
      </c>
      <c r="D9392" s="27" t="s">
        <v>1859</v>
      </c>
      <c r="F9392" s="27" t="s">
        <v>1860</v>
      </c>
      <c r="H9392" s="27" t="s">
        <v>1865</v>
      </c>
      <c r="J9392" s="27" t="s">
        <v>1866</v>
      </c>
      <c r="L9392" s="27" t="s">
        <v>456</v>
      </c>
      <c r="N9392" s="27" t="s">
        <v>20130</v>
      </c>
      <c r="P9392" s="27" t="s">
        <v>20131</v>
      </c>
      <c r="Q9392" s="26" t="str">
        <f>HYPERLINK("https://ictv.global/taxonomy/taxondetails?taxnode_id=202520879&amp;ictv_id=ICTV202420879","ICTV202420879")</f>
        <v>ICTV202420879</v>
      </c>
      <c r="R9392" t="s">
        <v>583</v>
      </c>
      <c r="S9392" t="s">
        <v>823</v>
      </c>
      <c r="T9392">
        <v>40</v>
      </c>
      <c r="U9392" s="26" t="str">
        <f t="shared" si="334"/>
        <v>2024.043B.Cystoviridae_6ng_2nsp_1rng_7rnsp.zip</v>
      </c>
    </row>
    <row r="9393" spans="1:21">
      <c r="A9393">
        <v>9392</v>
      </c>
      <c r="B9393" s="27" t="s">
        <v>1124</v>
      </c>
      <c r="D9393" s="27" t="s">
        <v>1859</v>
      </c>
      <c r="F9393" s="27" t="s">
        <v>1867</v>
      </c>
      <c r="H9393" s="27" t="s">
        <v>1868</v>
      </c>
      <c r="J9393" s="27" t="s">
        <v>1869</v>
      </c>
      <c r="L9393" s="27" t="s">
        <v>4</v>
      </c>
      <c r="N9393" s="27" t="s">
        <v>410</v>
      </c>
      <c r="P9393" s="27" t="s">
        <v>13783</v>
      </c>
      <c r="Q9393" s="26" t="str">
        <f>HYPERLINK("https://ictv.global/taxonomy/taxondetails?taxnode_id=202502459&amp;ictv_id=ICTV20042072","ICTV20042072")</f>
        <v>ICTV20042072</v>
      </c>
      <c r="R9393" t="s">
        <v>581</v>
      </c>
      <c r="S9393" t="s">
        <v>824</v>
      </c>
      <c r="T9393">
        <v>39</v>
      </c>
      <c r="U9393" s="26" t="str">
        <f t="shared" ref="U9393:U9402" si="335">HYPERLINK("https://ictv.global/ictv/proposals/2023.005S.Tetraviridae_13sprenamed.zip","2023.005S.Tetraviridae_13sprenamed.zip")</f>
        <v>2023.005S.Tetraviridae_13sprenamed.zip</v>
      </c>
    </row>
    <row r="9394" spans="1:21">
      <c r="A9394">
        <v>9393</v>
      </c>
      <c r="B9394" s="27" t="s">
        <v>1124</v>
      </c>
      <c r="D9394" s="27" t="s">
        <v>1859</v>
      </c>
      <c r="F9394" s="27" t="s">
        <v>1867</v>
      </c>
      <c r="H9394" s="27" t="s">
        <v>1868</v>
      </c>
      <c r="J9394" s="27" t="s">
        <v>1869</v>
      </c>
      <c r="L9394" s="27" t="s">
        <v>4</v>
      </c>
      <c r="N9394" s="27" t="s">
        <v>410</v>
      </c>
      <c r="P9394" s="27" t="s">
        <v>13784</v>
      </c>
      <c r="Q9394" s="26" t="str">
        <f>HYPERLINK("https://ictv.global/taxonomy/taxondetails?taxnode_id=202502460&amp;ictv_id=ICTV19991664","ICTV19991664")</f>
        <v>ICTV19991664</v>
      </c>
      <c r="R9394" t="s">
        <v>581</v>
      </c>
      <c r="S9394" t="s">
        <v>824</v>
      </c>
      <c r="T9394">
        <v>39</v>
      </c>
      <c r="U9394" s="26" t="str">
        <f t="shared" si="335"/>
        <v>2023.005S.Tetraviridae_13sprenamed.zip</v>
      </c>
    </row>
    <row r="9395" spans="1:21">
      <c r="A9395">
        <v>9394</v>
      </c>
      <c r="B9395" s="27" t="s">
        <v>1124</v>
      </c>
      <c r="D9395" s="27" t="s">
        <v>1859</v>
      </c>
      <c r="F9395" s="27" t="s">
        <v>1867</v>
      </c>
      <c r="H9395" s="27" t="s">
        <v>1868</v>
      </c>
      <c r="J9395" s="27" t="s">
        <v>1869</v>
      </c>
      <c r="L9395" s="27" t="s">
        <v>4</v>
      </c>
      <c r="N9395" s="27" t="s">
        <v>410</v>
      </c>
      <c r="P9395" s="27" t="s">
        <v>13785</v>
      </c>
      <c r="Q9395" s="26" t="str">
        <f>HYPERLINK("https://ictv.global/taxonomy/taxondetails?taxnode_id=202502461&amp;ictv_id=ICTV19991663","ICTV19991663")</f>
        <v>ICTV19991663</v>
      </c>
      <c r="R9395" t="s">
        <v>581</v>
      </c>
      <c r="S9395" t="s">
        <v>824</v>
      </c>
      <c r="T9395">
        <v>39</v>
      </c>
      <c r="U9395" s="26" t="str">
        <f t="shared" si="335"/>
        <v>2023.005S.Tetraviridae_13sprenamed.zip</v>
      </c>
    </row>
    <row r="9396" spans="1:21">
      <c r="A9396">
        <v>9395</v>
      </c>
      <c r="B9396" s="27" t="s">
        <v>1124</v>
      </c>
      <c r="D9396" s="27" t="s">
        <v>1859</v>
      </c>
      <c r="F9396" s="27" t="s">
        <v>1867</v>
      </c>
      <c r="H9396" s="27" t="s">
        <v>1868</v>
      </c>
      <c r="J9396" s="27" t="s">
        <v>1869</v>
      </c>
      <c r="L9396" s="27" t="s">
        <v>4</v>
      </c>
      <c r="N9396" s="27" t="s">
        <v>410</v>
      </c>
      <c r="P9396" s="27" t="s">
        <v>13786</v>
      </c>
      <c r="Q9396" s="26" t="str">
        <f>HYPERLINK("https://ictv.global/taxonomy/taxondetails?taxnode_id=202502462&amp;ictv_id=ICTV19810543","ICTV19810543")</f>
        <v>ICTV19810543</v>
      </c>
      <c r="R9396" t="s">
        <v>581</v>
      </c>
      <c r="S9396" t="s">
        <v>824</v>
      </c>
      <c r="T9396">
        <v>39</v>
      </c>
      <c r="U9396" s="26" t="str">
        <f t="shared" si="335"/>
        <v>2023.005S.Tetraviridae_13sprenamed.zip</v>
      </c>
    </row>
    <row r="9397" spans="1:21">
      <c r="A9397">
        <v>9396</v>
      </c>
      <c r="B9397" s="27" t="s">
        <v>1124</v>
      </c>
      <c r="D9397" s="27" t="s">
        <v>1859</v>
      </c>
      <c r="F9397" s="27" t="s">
        <v>1867</v>
      </c>
      <c r="H9397" s="27" t="s">
        <v>1868</v>
      </c>
      <c r="J9397" s="27" t="s">
        <v>1869</v>
      </c>
      <c r="L9397" s="27" t="s">
        <v>4</v>
      </c>
      <c r="N9397" s="27" t="s">
        <v>410</v>
      </c>
      <c r="P9397" s="27" t="s">
        <v>13787</v>
      </c>
      <c r="Q9397" s="26" t="str">
        <f>HYPERLINK("https://ictv.global/taxonomy/taxondetails?taxnode_id=202502463&amp;ictv_id=ICTV19991666","ICTV19991666")</f>
        <v>ICTV19991666</v>
      </c>
      <c r="R9397" t="s">
        <v>581</v>
      </c>
      <c r="S9397" t="s">
        <v>824</v>
      </c>
      <c r="T9397">
        <v>39</v>
      </c>
      <c r="U9397" s="26" t="str">
        <f t="shared" si="335"/>
        <v>2023.005S.Tetraviridae_13sprenamed.zip</v>
      </c>
    </row>
    <row r="9398" spans="1:21">
      <c r="A9398">
        <v>9397</v>
      </c>
      <c r="B9398" s="27" t="s">
        <v>1124</v>
      </c>
      <c r="D9398" s="27" t="s">
        <v>1859</v>
      </c>
      <c r="F9398" s="27" t="s">
        <v>1867</v>
      </c>
      <c r="H9398" s="27" t="s">
        <v>1868</v>
      </c>
      <c r="J9398" s="27" t="s">
        <v>1869</v>
      </c>
      <c r="L9398" s="27" t="s">
        <v>4</v>
      </c>
      <c r="N9398" s="27" t="s">
        <v>410</v>
      </c>
      <c r="P9398" s="27" t="s">
        <v>13788</v>
      </c>
      <c r="Q9398" s="26" t="str">
        <f>HYPERLINK("https://ictv.global/taxonomy/taxondetails?taxnode_id=202502464&amp;ictv_id=ICTV19991667","ICTV19991667")</f>
        <v>ICTV19991667</v>
      </c>
      <c r="R9398" t="s">
        <v>581</v>
      </c>
      <c r="S9398" t="s">
        <v>824</v>
      </c>
      <c r="T9398">
        <v>39</v>
      </c>
      <c r="U9398" s="26" t="str">
        <f t="shared" si="335"/>
        <v>2023.005S.Tetraviridae_13sprenamed.zip</v>
      </c>
    </row>
    <row r="9399" spans="1:21">
      <c r="A9399">
        <v>9398</v>
      </c>
      <c r="B9399" s="27" t="s">
        <v>1124</v>
      </c>
      <c r="D9399" s="27" t="s">
        <v>1859</v>
      </c>
      <c r="F9399" s="27" t="s">
        <v>1867</v>
      </c>
      <c r="H9399" s="27" t="s">
        <v>1868</v>
      </c>
      <c r="J9399" s="27" t="s">
        <v>1869</v>
      </c>
      <c r="L9399" s="27" t="s">
        <v>4</v>
      </c>
      <c r="N9399" s="27" t="s">
        <v>410</v>
      </c>
      <c r="P9399" s="27" t="s">
        <v>13789</v>
      </c>
      <c r="Q9399" s="26" t="str">
        <f>HYPERLINK("https://ictv.global/taxonomy/taxondetails?taxnode_id=202502465&amp;ictv_id=ICTV19991669","ICTV19991669")</f>
        <v>ICTV19991669</v>
      </c>
      <c r="R9399" t="s">
        <v>581</v>
      </c>
      <c r="S9399" t="s">
        <v>824</v>
      </c>
      <c r="T9399">
        <v>39</v>
      </c>
      <c r="U9399" s="26" t="str">
        <f t="shared" si="335"/>
        <v>2023.005S.Tetraviridae_13sprenamed.zip</v>
      </c>
    </row>
    <row r="9400" spans="1:21">
      <c r="A9400">
        <v>9399</v>
      </c>
      <c r="B9400" s="27" t="s">
        <v>1124</v>
      </c>
      <c r="D9400" s="27" t="s">
        <v>1859</v>
      </c>
      <c r="F9400" s="27" t="s">
        <v>1867</v>
      </c>
      <c r="H9400" s="27" t="s">
        <v>1868</v>
      </c>
      <c r="J9400" s="27" t="s">
        <v>1869</v>
      </c>
      <c r="L9400" s="27" t="s">
        <v>4</v>
      </c>
      <c r="N9400" s="27" t="s">
        <v>214</v>
      </c>
      <c r="P9400" s="27" t="s">
        <v>13790</v>
      </c>
      <c r="Q9400" s="26" t="str">
        <f>HYPERLINK("https://ictv.global/taxonomy/taxondetails?taxnode_id=202502467&amp;ictv_id=ICTV20084873","ICTV20084873")</f>
        <v>ICTV20084873</v>
      </c>
      <c r="R9400" t="s">
        <v>581</v>
      </c>
      <c r="S9400" t="s">
        <v>824</v>
      </c>
      <c r="T9400">
        <v>39</v>
      </c>
      <c r="U9400" s="26" t="str">
        <f t="shared" si="335"/>
        <v>2023.005S.Tetraviridae_13sprenamed.zip</v>
      </c>
    </row>
    <row r="9401" spans="1:21">
      <c r="A9401">
        <v>9400</v>
      </c>
      <c r="B9401" s="27" t="s">
        <v>1124</v>
      </c>
      <c r="D9401" s="27" t="s">
        <v>1859</v>
      </c>
      <c r="F9401" s="27" t="s">
        <v>1867</v>
      </c>
      <c r="H9401" s="27" t="s">
        <v>1868</v>
      </c>
      <c r="J9401" s="27" t="s">
        <v>1869</v>
      </c>
      <c r="L9401" s="27" t="s">
        <v>4</v>
      </c>
      <c r="N9401" s="27" t="s">
        <v>214</v>
      </c>
      <c r="P9401" s="27" t="s">
        <v>13791</v>
      </c>
      <c r="Q9401" s="26" t="str">
        <f>HYPERLINK("https://ictv.global/taxonomy/taxondetails?taxnode_id=202502468&amp;ictv_id=ICTV19991670","ICTV19991670")</f>
        <v>ICTV19991670</v>
      </c>
      <c r="R9401" t="s">
        <v>581</v>
      </c>
      <c r="S9401" t="s">
        <v>824</v>
      </c>
      <c r="T9401">
        <v>39</v>
      </c>
      <c r="U9401" s="26" t="str">
        <f t="shared" si="335"/>
        <v>2023.005S.Tetraviridae_13sprenamed.zip</v>
      </c>
    </row>
    <row r="9402" spans="1:21">
      <c r="A9402">
        <v>9401</v>
      </c>
      <c r="B9402" s="27" t="s">
        <v>1124</v>
      </c>
      <c r="D9402" s="27" t="s">
        <v>1859</v>
      </c>
      <c r="F9402" s="27" t="s">
        <v>1867</v>
      </c>
      <c r="H9402" s="27" t="s">
        <v>1868</v>
      </c>
      <c r="J9402" s="27" t="s">
        <v>1869</v>
      </c>
      <c r="L9402" s="27" t="s">
        <v>4</v>
      </c>
      <c r="N9402" s="27" t="s">
        <v>214</v>
      </c>
      <c r="P9402" s="27" t="s">
        <v>13792</v>
      </c>
      <c r="Q9402" s="26" t="str">
        <f>HYPERLINK("https://ictv.global/taxonomy/taxondetails?taxnode_id=202502469&amp;ictv_id=ICTV19952234","ICTV19952234")</f>
        <v>ICTV19952234</v>
      </c>
      <c r="R9402" t="s">
        <v>581</v>
      </c>
      <c r="S9402" t="s">
        <v>824</v>
      </c>
      <c r="T9402">
        <v>39</v>
      </c>
      <c r="U9402" s="26" t="str">
        <f t="shared" si="335"/>
        <v>2023.005S.Tetraviridae_13sprenamed.zip</v>
      </c>
    </row>
    <row r="9403" spans="1:21">
      <c r="A9403">
        <v>9402</v>
      </c>
      <c r="B9403" s="27" t="s">
        <v>1124</v>
      </c>
      <c r="D9403" s="27" t="s">
        <v>1859</v>
      </c>
      <c r="F9403" s="27" t="s">
        <v>1867</v>
      </c>
      <c r="H9403" s="27" t="s">
        <v>1868</v>
      </c>
      <c r="J9403" s="27" t="s">
        <v>1869</v>
      </c>
      <c r="L9403" s="27" t="s">
        <v>510</v>
      </c>
      <c r="N9403" s="27" t="s">
        <v>302</v>
      </c>
      <c r="P9403" s="27" t="s">
        <v>13793</v>
      </c>
      <c r="Q9403" s="26" t="str">
        <f>HYPERLINK("https://ictv.global/taxonomy/taxondetails?taxnode_id=202502735&amp;ictv_id=ICTV20133453","ICTV20133453")</f>
        <v>ICTV20133453</v>
      </c>
      <c r="R9403" t="s">
        <v>581</v>
      </c>
      <c r="S9403" t="s">
        <v>824</v>
      </c>
      <c r="T9403">
        <v>39</v>
      </c>
      <c r="U9403" s="26" t="str">
        <f>HYPERLINK("https://ictv.global/ictv/proposals/2023.016P.Virgaviridae_and_Benyviridae_rename_sp.zip","2023.016P.Virgaviridae_and_Benyviridae_rename_sp.zip")</f>
        <v>2023.016P.Virgaviridae_and_Benyviridae_rename_sp.zip</v>
      </c>
    </row>
    <row r="9404" spans="1:21">
      <c r="A9404">
        <v>9403</v>
      </c>
      <c r="B9404" s="27" t="s">
        <v>1124</v>
      </c>
      <c r="D9404" s="27" t="s">
        <v>1859</v>
      </c>
      <c r="F9404" s="27" t="s">
        <v>1867</v>
      </c>
      <c r="H9404" s="27" t="s">
        <v>1868</v>
      </c>
      <c r="J9404" s="27" t="s">
        <v>1869</v>
      </c>
      <c r="L9404" s="27" t="s">
        <v>510</v>
      </c>
      <c r="N9404" s="27" t="s">
        <v>302</v>
      </c>
      <c r="P9404" s="27" t="s">
        <v>13794</v>
      </c>
      <c r="Q9404" s="26" t="str">
        <f>HYPERLINK("https://ictv.global/taxonomy/taxondetails?taxnode_id=202502733&amp;ictv_id=ICTV19972431","ICTV19972431")</f>
        <v>ICTV19972431</v>
      </c>
      <c r="R9404" t="s">
        <v>581</v>
      </c>
      <c r="S9404" t="s">
        <v>824</v>
      </c>
      <c r="T9404">
        <v>39</v>
      </c>
      <c r="U9404" s="26" t="str">
        <f>HYPERLINK("https://ictv.global/ictv/proposals/2023.016P.Virgaviridae_and_Benyviridae_rename_sp.zip","2023.016P.Virgaviridae_and_Benyviridae_rename_sp.zip")</f>
        <v>2023.016P.Virgaviridae_and_Benyviridae_rename_sp.zip</v>
      </c>
    </row>
    <row r="9405" spans="1:21">
      <c r="A9405">
        <v>9404</v>
      </c>
      <c r="B9405" s="27" t="s">
        <v>1124</v>
      </c>
      <c r="D9405" s="27" t="s">
        <v>1859</v>
      </c>
      <c r="F9405" s="27" t="s">
        <v>1867</v>
      </c>
      <c r="H9405" s="27" t="s">
        <v>1868</v>
      </c>
      <c r="J9405" s="27" t="s">
        <v>1869</v>
      </c>
      <c r="L9405" s="27" t="s">
        <v>510</v>
      </c>
      <c r="N9405" s="27" t="s">
        <v>302</v>
      </c>
      <c r="P9405" s="27" t="s">
        <v>13795</v>
      </c>
      <c r="Q9405" s="26" t="str">
        <f>HYPERLINK("https://ictv.global/taxonomy/taxondetails?taxnode_id=202502736&amp;ictv_id=ICTV20125748","ICTV20125748")</f>
        <v>ICTV20125748</v>
      </c>
      <c r="R9405" t="s">
        <v>581</v>
      </c>
      <c r="S9405" t="s">
        <v>824</v>
      </c>
      <c r="T9405">
        <v>39</v>
      </c>
      <c r="U9405" s="26" t="str">
        <f>HYPERLINK("https://ictv.global/ictv/proposals/2023.016P.Virgaviridae_and_Benyviridae_rename_sp.zip","2023.016P.Virgaviridae_and_Benyviridae_rename_sp.zip")</f>
        <v>2023.016P.Virgaviridae_and_Benyviridae_rename_sp.zip</v>
      </c>
    </row>
    <row r="9406" spans="1:21">
      <c r="A9406">
        <v>9405</v>
      </c>
      <c r="B9406" s="27" t="s">
        <v>1124</v>
      </c>
      <c r="D9406" s="27" t="s">
        <v>1859</v>
      </c>
      <c r="F9406" s="27" t="s">
        <v>1867</v>
      </c>
      <c r="H9406" s="27" t="s">
        <v>1868</v>
      </c>
      <c r="J9406" s="27" t="s">
        <v>1869</v>
      </c>
      <c r="L9406" s="27" t="s">
        <v>510</v>
      </c>
      <c r="N9406" s="27" t="s">
        <v>302</v>
      </c>
      <c r="P9406" s="27" t="s">
        <v>13796</v>
      </c>
      <c r="Q9406" s="26" t="str">
        <f>HYPERLINK("https://ictv.global/taxonomy/taxondetails?taxnode_id=202502734&amp;ictv_id=ICTV19972432","ICTV19972432")</f>
        <v>ICTV19972432</v>
      </c>
      <c r="R9406" t="s">
        <v>581</v>
      </c>
      <c r="S9406" t="s">
        <v>824</v>
      </c>
      <c r="T9406">
        <v>39</v>
      </c>
      <c r="U9406" s="26" t="str">
        <f>HYPERLINK("https://ictv.global/ictv/proposals/2023.016P.Virgaviridae_and_Benyviridae_rename_sp.zip","2023.016P.Virgaviridae_and_Benyviridae_rename_sp.zip")</f>
        <v>2023.016P.Virgaviridae_and_Benyviridae_rename_sp.zip</v>
      </c>
    </row>
    <row r="9407" spans="1:21">
      <c r="A9407">
        <v>9406</v>
      </c>
      <c r="B9407" s="27" t="s">
        <v>1124</v>
      </c>
      <c r="D9407" s="27" t="s">
        <v>1859</v>
      </c>
      <c r="F9407" s="27" t="s">
        <v>1867</v>
      </c>
      <c r="H9407" s="27" t="s">
        <v>1868</v>
      </c>
      <c r="J9407" s="27" t="s">
        <v>1869</v>
      </c>
      <c r="L9407" s="27" t="s">
        <v>510</v>
      </c>
      <c r="N9407" s="27" t="s">
        <v>302</v>
      </c>
      <c r="P9407" s="27" t="s">
        <v>21365</v>
      </c>
      <c r="Q9407" s="26" t="str">
        <f>HYPERLINK("https://ictv.global/taxonomy/taxondetails?taxnode_id=202522257&amp;ictv_id=ICTV202522257","ICTV202522257")</f>
        <v>ICTV202522257</v>
      </c>
      <c r="R9407" t="s">
        <v>581</v>
      </c>
      <c r="S9407" t="s">
        <v>823</v>
      </c>
      <c r="T9407">
        <v>41</v>
      </c>
      <c r="U9407" s="26" t="str">
        <f>HYPERLINK("https://ictv.global/ictv/proposals/2025.005P.Benyviridae_Benyvirus_1nsp.zip","2025.005P.Benyviridae_Benyvirus_1nsp.zip")</f>
        <v>2025.005P.Benyviridae_Benyvirus_1nsp.zip</v>
      </c>
    </row>
    <row r="9408" spans="1:21">
      <c r="A9408">
        <v>9407</v>
      </c>
      <c r="B9408" s="27" t="s">
        <v>1124</v>
      </c>
      <c r="D9408" s="27" t="s">
        <v>1859</v>
      </c>
      <c r="F9408" s="27" t="s">
        <v>1867</v>
      </c>
      <c r="H9408" s="27" t="s">
        <v>1868</v>
      </c>
      <c r="J9408" s="27" t="s">
        <v>1869</v>
      </c>
      <c r="L9408" s="27" t="s">
        <v>264</v>
      </c>
      <c r="M9408" s="27" t="s">
        <v>8800</v>
      </c>
      <c r="N9408" s="27" t="s">
        <v>8801</v>
      </c>
      <c r="P9408" s="27" t="s">
        <v>8802</v>
      </c>
      <c r="Q9408" s="26" t="str">
        <f>HYPERLINK("https://ictv.global/taxonomy/taxondetails?taxnode_id=202513887&amp;ictv_id=ICTV202113887","ICTV202113887")</f>
        <v>ICTV202113887</v>
      </c>
      <c r="R9408" t="s">
        <v>581</v>
      </c>
      <c r="S9408" t="s">
        <v>823</v>
      </c>
      <c r="T9408">
        <v>37</v>
      </c>
      <c r="U9408" s="26" t="str">
        <f t="shared" ref="U9408:U9414" si="336">HYPERLINK("https://ictv.global/ictv/proposals/2021.001S.R.Hepeviridae.zip","2021.001S.R.Hepeviridae.zip")</f>
        <v>2021.001S.R.Hepeviridae.zip</v>
      </c>
    </row>
    <row r="9409" spans="1:21">
      <c r="A9409">
        <v>9408</v>
      </c>
      <c r="B9409" s="27" t="s">
        <v>1124</v>
      </c>
      <c r="D9409" s="27" t="s">
        <v>1859</v>
      </c>
      <c r="F9409" s="27" t="s">
        <v>1867</v>
      </c>
      <c r="H9409" s="27" t="s">
        <v>1868</v>
      </c>
      <c r="J9409" s="27" t="s">
        <v>1869</v>
      </c>
      <c r="L9409" s="27" t="s">
        <v>264</v>
      </c>
      <c r="M9409" s="27" t="s">
        <v>8800</v>
      </c>
      <c r="N9409" s="27" t="s">
        <v>8801</v>
      </c>
      <c r="P9409" s="27" t="s">
        <v>8803</v>
      </c>
      <c r="Q9409" s="26" t="str">
        <f>HYPERLINK("https://ictv.global/taxonomy/taxondetails?taxnode_id=202503666&amp;ictv_id=ICTV20093851","ICTV20093851")</f>
        <v>ICTV20093851</v>
      </c>
      <c r="R9409" t="s">
        <v>581</v>
      </c>
      <c r="S9409" t="s">
        <v>22764</v>
      </c>
      <c r="T9409">
        <v>37</v>
      </c>
      <c r="U9409" s="26" t="str">
        <f t="shared" si="336"/>
        <v>2021.001S.R.Hepeviridae.zip</v>
      </c>
    </row>
    <row r="9410" spans="1:21">
      <c r="A9410">
        <v>9409</v>
      </c>
      <c r="B9410" s="27" t="s">
        <v>1124</v>
      </c>
      <c r="D9410" s="27" t="s">
        <v>1859</v>
      </c>
      <c r="F9410" s="27" t="s">
        <v>1867</v>
      </c>
      <c r="H9410" s="27" t="s">
        <v>1868</v>
      </c>
      <c r="J9410" s="27" t="s">
        <v>1869</v>
      </c>
      <c r="L9410" s="27" t="s">
        <v>264</v>
      </c>
      <c r="M9410" s="27" t="s">
        <v>8800</v>
      </c>
      <c r="N9410" s="27" t="s">
        <v>8804</v>
      </c>
      <c r="P9410" s="27" t="s">
        <v>8805</v>
      </c>
      <c r="Q9410" s="26" t="str">
        <f>HYPERLINK("https://ictv.global/taxonomy/taxondetails?taxnode_id=202513892&amp;ictv_id=ICTV202113892","ICTV202113892")</f>
        <v>ICTV202113892</v>
      </c>
      <c r="R9410" t="s">
        <v>581</v>
      </c>
      <c r="S9410" t="s">
        <v>823</v>
      </c>
      <c r="T9410">
        <v>37</v>
      </c>
      <c r="U9410" s="26" t="str">
        <f t="shared" si="336"/>
        <v>2021.001S.R.Hepeviridae.zip</v>
      </c>
    </row>
    <row r="9411" spans="1:21">
      <c r="A9411">
        <v>9410</v>
      </c>
      <c r="B9411" s="27" t="s">
        <v>1124</v>
      </c>
      <c r="D9411" s="27" t="s">
        <v>1859</v>
      </c>
      <c r="F9411" s="27" t="s">
        <v>1867</v>
      </c>
      <c r="H9411" s="27" t="s">
        <v>1868</v>
      </c>
      <c r="J9411" s="27" t="s">
        <v>1869</v>
      </c>
      <c r="L9411" s="27" t="s">
        <v>264</v>
      </c>
      <c r="M9411" s="27" t="s">
        <v>8800</v>
      </c>
      <c r="N9411" s="27" t="s">
        <v>8804</v>
      </c>
      <c r="P9411" s="27" t="s">
        <v>8806</v>
      </c>
      <c r="Q9411" s="26" t="str">
        <f>HYPERLINK("https://ictv.global/taxonomy/taxondetails?taxnode_id=202503668&amp;ictv_id=ICTV20142438","ICTV20142438")</f>
        <v>ICTV20142438</v>
      </c>
      <c r="R9411" t="s">
        <v>581</v>
      </c>
      <c r="S9411" t="s">
        <v>22764</v>
      </c>
      <c r="T9411">
        <v>37</v>
      </c>
      <c r="U9411" s="26" t="str">
        <f t="shared" si="336"/>
        <v>2021.001S.R.Hepeviridae.zip</v>
      </c>
    </row>
    <row r="9412" spans="1:21">
      <c r="A9412">
        <v>9411</v>
      </c>
      <c r="B9412" s="27" t="s">
        <v>1124</v>
      </c>
      <c r="D9412" s="27" t="s">
        <v>1859</v>
      </c>
      <c r="F9412" s="27" t="s">
        <v>1867</v>
      </c>
      <c r="H9412" s="27" t="s">
        <v>1868</v>
      </c>
      <c r="J9412" s="27" t="s">
        <v>1869</v>
      </c>
      <c r="L9412" s="27" t="s">
        <v>264</v>
      </c>
      <c r="M9412" s="27" t="s">
        <v>8800</v>
      </c>
      <c r="N9412" s="27" t="s">
        <v>8804</v>
      </c>
      <c r="P9412" s="27" t="s">
        <v>8807</v>
      </c>
      <c r="Q9412" s="26" t="str">
        <f>HYPERLINK("https://ictv.global/taxonomy/taxondetails?taxnode_id=202513891&amp;ictv_id=ICTV202113891","ICTV202113891")</f>
        <v>ICTV202113891</v>
      </c>
      <c r="R9412" t="s">
        <v>581</v>
      </c>
      <c r="S9412" t="s">
        <v>823</v>
      </c>
      <c r="T9412">
        <v>37</v>
      </c>
      <c r="U9412" s="26" t="str">
        <f t="shared" si="336"/>
        <v>2021.001S.R.Hepeviridae.zip</v>
      </c>
    </row>
    <row r="9413" spans="1:21">
      <c r="A9413">
        <v>9412</v>
      </c>
      <c r="B9413" s="27" t="s">
        <v>1124</v>
      </c>
      <c r="D9413" s="27" t="s">
        <v>1859</v>
      </c>
      <c r="F9413" s="27" t="s">
        <v>1867</v>
      </c>
      <c r="H9413" s="27" t="s">
        <v>1868</v>
      </c>
      <c r="J9413" s="27" t="s">
        <v>1869</v>
      </c>
      <c r="L9413" s="27" t="s">
        <v>264</v>
      </c>
      <c r="M9413" s="27" t="s">
        <v>8800</v>
      </c>
      <c r="N9413" s="27" t="s">
        <v>8808</v>
      </c>
      <c r="P9413" s="27" t="s">
        <v>8809</v>
      </c>
      <c r="Q9413" s="26" t="str">
        <f>HYPERLINK("https://ictv.global/taxonomy/taxondetails?taxnode_id=202513885&amp;ictv_id=ICTV202113885","ICTV202113885")</f>
        <v>ICTV202113885</v>
      </c>
      <c r="R9413" t="s">
        <v>581</v>
      </c>
      <c r="S9413" t="s">
        <v>823</v>
      </c>
      <c r="T9413">
        <v>37</v>
      </c>
      <c r="U9413" s="26" t="str">
        <f t="shared" si="336"/>
        <v>2021.001S.R.Hepeviridae.zip</v>
      </c>
    </row>
    <row r="9414" spans="1:21">
      <c r="A9414">
        <v>9413</v>
      </c>
      <c r="B9414" s="27" t="s">
        <v>1124</v>
      </c>
      <c r="D9414" s="27" t="s">
        <v>1859</v>
      </c>
      <c r="F9414" s="27" t="s">
        <v>1867</v>
      </c>
      <c r="H9414" s="27" t="s">
        <v>1868</v>
      </c>
      <c r="J9414" s="27" t="s">
        <v>1869</v>
      </c>
      <c r="L9414" s="27" t="s">
        <v>264</v>
      </c>
      <c r="M9414" s="27" t="s">
        <v>8800</v>
      </c>
      <c r="N9414" s="27" t="s">
        <v>8808</v>
      </c>
      <c r="P9414" s="27" t="s">
        <v>8810</v>
      </c>
      <c r="Q9414" s="26" t="str">
        <f>HYPERLINK("https://ictv.global/taxonomy/taxondetails?taxnode_id=202503665&amp;ictv_id=ICTV19950816","ICTV19950816")</f>
        <v>ICTV19950816</v>
      </c>
      <c r="R9414" t="s">
        <v>581</v>
      </c>
      <c r="S9414" t="s">
        <v>22764</v>
      </c>
      <c r="T9414">
        <v>37</v>
      </c>
      <c r="U9414" s="26" t="str">
        <f t="shared" si="336"/>
        <v>2021.001S.R.Hepeviridae.zip</v>
      </c>
    </row>
    <row r="9415" spans="1:21">
      <c r="A9415">
        <v>9414</v>
      </c>
      <c r="B9415" s="27" t="s">
        <v>1124</v>
      </c>
      <c r="D9415" s="27" t="s">
        <v>1859</v>
      </c>
      <c r="F9415" s="27" t="s">
        <v>1867</v>
      </c>
      <c r="H9415" s="27" t="s">
        <v>1868</v>
      </c>
      <c r="J9415" s="27" t="s">
        <v>1869</v>
      </c>
      <c r="L9415" s="27" t="s">
        <v>264</v>
      </c>
      <c r="M9415" s="27" t="s">
        <v>8800</v>
      </c>
      <c r="N9415" s="27" t="s">
        <v>8808</v>
      </c>
      <c r="P9415" s="27" t="s">
        <v>21220</v>
      </c>
      <c r="Q9415" s="26" t="str">
        <f>HYPERLINK("https://ictv.global/taxonomy/taxondetails?taxnode_id=202522126&amp;ictv_id=ICTV202522126","ICTV202522126")</f>
        <v>ICTV202522126</v>
      </c>
      <c r="R9415" t="s">
        <v>657</v>
      </c>
      <c r="S9415" t="s">
        <v>823</v>
      </c>
      <c r="T9415">
        <v>41</v>
      </c>
      <c r="U9415" s="26" t="str">
        <f>HYPERLINK("https://ictv.global/ictv/proposals/2025.003S.Paslahepevirus_1nsp.zip","2025.003S.Paslahepevirus_1nsp.zip")</f>
        <v>2025.003S.Paslahepevirus_1nsp.zip</v>
      </c>
    </row>
    <row r="9416" spans="1:21">
      <c r="A9416">
        <v>9415</v>
      </c>
      <c r="B9416" s="27" t="s">
        <v>1124</v>
      </c>
      <c r="D9416" s="27" t="s">
        <v>1859</v>
      </c>
      <c r="F9416" s="27" t="s">
        <v>1867</v>
      </c>
      <c r="H9416" s="27" t="s">
        <v>1868</v>
      </c>
      <c r="J9416" s="27" t="s">
        <v>1869</v>
      </c>
      <c r="L9416" s="27" t="s">
        <v>264</v>
      </c>
      <c r="M9416" s="27" t="s">
        <v>8800</v>
      </c>
      <c r="N9416" s="27" t="s">
        <v>8811</v>
      </c>
      <c r="P9416" s="27" t="s">
        <v>8812</v>
      </c>
      <c r="Q9416" s="26" t="str">
        <f>HYPERLINK("https://ictv.global/taxonomy/taxondetails?taxnode_id=202513889&amp;ictv_id=ICTV202113889","ICTV202113889")</f>
        <v>ICTV202113889</v>
      </c>
      <c r="R9416" t="s">
        <v>581</v>
      </c>
      <c r="S9416" t="s">
        <v>823</v>
      </c>
      <c r="T9416">
        <v>37</v>
      </c>
      <c r="U9416" s="26" t="str">
        <f>HYPERLINK("https://ictv.global/ictv/proposals/2021.001S.R.Hepeviridae.zip","2021.001S.R.Hepeviridae.zip")</f>
        <v>2021.001S.R.Hepeviridae.zip</v>
      </c>
    </row>
    <row r="9417" spans="1:21">
      <c r="A9417">
        <v>9416</v>
      </c>
      <c r="B9417" s="27" t="s">
        <v>1124</v>
      </c>
      <c r="D9417" s="27" t="s">
        <v>1859</v>
      </c>
      <c r="F9417" s="27" t="s">
        <v>1867</v>
      </c>
      <c r="H9417" s="27" t="s">
        <v>1868</v>
      </c>
      <c r="J9417" s="27" t="s">
        <v>1869</v>
      </c>
      <c r="L9417" s="27" t="s">
        <v>264</v>
      </c>
      <c r="M9417" s="27" t="s">
        <v>8800</v>
      </c>
      <c r="N9417" s="27" t="s">
        <v>8811</v>
      </c>
      <c r="P9417" s="27" t="s">
        <v>8813</v>
      </c>
      <c r="Q9417" s="26" t="str">
        <f>HYPERLINK("https://ictv.global/taxonomy/taxondetails?taxnode_id=202503667&amp;ictv_id=ICTV20142437","ICTV20142437")</f>
        <v>ICTV20142437</v>
      </c>
      <c r="R9417" t="s">
        <v>581</v>
      </c>
      <c r="S9417" t="s">
        <v>22764</v>
      </c>
      <c r="T9417">
        <v>37</v>
      </c>
      <c r="U9417" s="26" t="str">
        <f>HYPERLINK("https://ictv.global/ictv/proposals/2021.001S.R.Hepeviridae.zip","2021.001S.R.Hepeviridae.zip")</f>
        <v>2021.001S.R.Hepeviridae.zip</v>
      </c>
    </row>
    <row r="9418" spans="1:21">
      <c r="A9418">
        <v>9417</v>
      </c>
      <c r="B9418" s="27" t="s">
        <v>1124</v>
      </c>
      <c r="D9418" s="27" t="s">
        <v>1859</v>
      </c>
      <c r="F9418" s="27" t="s">
        <v>1867</v>
      </c>
      <c r="H9418" s="27" t="s">
        <v>1868</v>
      </c>
      <c r="J9418" s="27" t="s">
        <v>1869</v>
      </c>
      <c r="L9418" s="27" t="s">
        <v>264</v>
      </c>
      <c r="M9418" s="27" t="s">
        <v>8814</v>
      </c>
      <c r="N9418" s="27" t="s">
        <v>576</v>
      </c>
      <c r="P9418" s="27" t="s">
        <v>8815</v>
      </c>
      <c r="Q9418" s="26" t="str">
        <f>HYPERLINK("https://ictv.global/taxonomy/taxondetails?taxnode_id=202503670&amp;ictv_id=ICTV20142436","ICTV20142436")</f>
        <v>ICTV20142436</v>
      </c>
      <c r="R9418" t="s">
        <v>581</v>
      </c>
      <c r="S9418" t="s">
        <v>824</v>
      </c>
      <c r="T9418">
        <v>37</v>
      </c>
      <c r="U9418" s="26" t="str">
        <f>HYPERLINK("https://ictv.global/ictv/proposals/2021.001S.R.Hepeviridae.zip","2021.001S.R.Hepeviridae.zip")</f>
        <v>2021.001S.R.Hepeviridae.zip</v>
      </c>
    </row>
    <row r="9419" spans="1:21">
      <c r="A9419">
        <v>9418</v>
      </c>
      <c r="B9419" s="27" t="s">
        <v>1124</v>
      </c>
      <c r="D9419" s="27" t="s">
        <v>1859</v>
      </c>
      <c r="F9419" s="27" t="s">
        <v>1867</v>
      </c>
      <c r="H9419" s="27" t="s">
        <v>1868</v>
      </c>
      <c r="J9419" s="27" t="s">
        <v>1869</v>
      </c>
      <c r="L9419" s="27" t="s">
        <v>1186</v>
      </c>
      <c r="N9419" s="27" t="s">
        <v>402</v>
      </c>
      <c r="P9419" s="27" t="s">
        <v>2675</v>
      </c>
      <c r="Q9419" s="26" t="str">
        <f>HYPERLINK("https://ictv.global/taxonomy/taxondetails?taxnode_id=202505115&amp;ictv_id=ICTV19750326","ICTV19750326")</f>
        <v>ICTV19750326</v>
      </c>
      <c r="R9419" t="s">
        <v>581</v>
      </c>
      <c r="S9419" t="s">
        <v>22766</v>
      </c>
      <c r="T9419">
        <v>36</v>
      </c>
      <c r="U9419" s="26" t="str">
        <f>HYPERLINK("https://ictv.global/ictv/proposals/2020.001G.R.Abolish_type_species.pdf","2020.001G.R.Abolish_type_species.pdf")</f>
        <v>2020.001G.R.Abolish_type_species.pdf</v>
      </c>
    </row>
    <row r="9420" spans="1:21">
      <c r="A9420">
        <v>9419</v>
      </c>
      <c r="B9420" s="27" t="s">
        <v>1124</v>
      </c>
      <c r="D9420" s="27" t="s">
        <v>1859</v>
      </c>
      <c r="F9420" s="27" t="s">
        <v>1867</v>
      </c>
      <c r="H9420" s="27" t="s">
        <v>1868</v>
      </c>
      <c r="J9420" s="27" t="s">
        <v>1869</v>
      </c>
      <c r="L9420" s="27" t="s">
        <v>1186</v>
      </c>
      <c r="N9420" s="27" t="s">
        <v>402</v>
      </c>
      <c r="P9420" s="27" t="s">
        <v>2676</v>
      </c>
      <c r="Q9420" s="26" t="str">
        <f>HYPERLINK("https://ictv.global/taxonomy/taxondetails?taxnode_id=202509288&amp;ictv_id=ICTV202009288","ICTV202009288")</f>
        <v>ICTV202009288</v>
      </c>
      <c r="R9420" t="s">
        <v>581</v>
      </c>
      <c r="S9420" t="s">
        <v>823</v>
      </c>
      <c r="T9420">
        <v>36</v>
      </c>
      <c r="U9420" s="26" t="str">
        <f>HYPERLINK("https://ictv.global/ictv/proposals/2020.011S.R.Rubivirus_nspp.zip","2020.011S.R.Rubivirus_nspp.zip")</f>
        <v>2020.011S.R.Rubivirus_nspp.zip</v>
      </c>
    </row>
    <row r="9421" spans="1:21">
      <c r="A9421">
        <v>9420</v>
      </c>
      <c r="B9421" s="27" t="s">
        <v>1124</v>
      </c>
      <c r="D9421" s="27" t="s">
        <v>1859</v>
      </c>
      <c r="F9421" s="27" t="s">
        <v>1867</v>
      </c>
      <c r="H9421" s="27" t="s">
        <v>1868</v>
      </c>
      <c r="J9421" s="27" t="s">
        <v>1869</v>
      </c>
      <c r="L9421" s="27" t="s">
        <v>1186</v>
      </c>
      <c r="N9421" s="27" t="s">
        <v>402</v>
      </c>
      <c r="P9421" s="27" t="s">
        <v>2677</v>
      </c>
      <c r="Q9421" s="26" t="str">
        <f>HYPERLINK("https://ictv.global/taxonomy/taxondetails?taxnode_id=202509289&amp;ictv_id=ICTV202009289","ICTV202009289")</f>
        <v>ICTV202009289</v>
      </c>
      <c r="R9421" t="s">
        <v>581</v>
      </c>
      <c r="S9421" t="s">
        <v>823</v>
      </c>
      <c r="T9421">
        <v>36</v>
      </c>
      <c r="U9421" s="26" t="str">
        <f>HYPERLINK("https://ictv.global/ictv/proposals/2020.011S.R.Rubivirus_nspp.zip","2020.011S.R.Rubivirus_nspp.zip")</f>
        <v>2020.011S.R.Rubivirus_nspp.zip</v>
      </c>
    </row>
    <row r="9422" spans="1:21">
      <c r="A9422">
        <v>9421</v>
      </c>
      <c r="B9422" s="27" t="s">
        <v>1124</v>
      </c>
      <c r="D9422" s="27" t="s">
        <v>1859</v>
      </c>
      <c r="F9422" s="27" t="s">
        <v>1867</v>
      </c>
      <c r="H9422" s="27" t="s">
        <v>1868</v>
      </c>
      <c r="J9422" s="27" t="s">
        <v>1869</v>
      </c>
      <c r="L9422" s="27" t="s">
        <v>20132</v>
      </c>
      <c r="N9422" s="27" t="s">
        <v>20133</v>
      </c>
      <c r="P9422" s="27" t="s">
        <v>20134</v>
      </c>
      <c r="Q9422" s="26" t="str">
        <f>HYPERLINK("https://ictv.global/taxonomy/taxondetails?taxnode_id=202520250&amp;ictv_id=ICTV202420250","ICTV202420250")</f>
        <v>ICTV202420250</v>
      </c>
      <c r="R9422" t="s">
        <v>581</v>
      </c>
      <c r="S9422" t="s">
        <v>823</v>
      </c>
      <c r="T9422">
        <v>40</v>
      </c>
      <c r="U9422" s="26" t="str">
        <f t="shared" ref="U9422:U9428" si="337">HYPERLINK("https://ictv.global/ictv/proposals/2024.007F.Mycoalphaviridae_newfam.zip","2024.007F.Mycoalphaviridae_newfam.zip")</f>
        <v>2024.007F.Mycoalphaviridae_newfam.zip</v>
      </c>
    </row>
    <row r="9423" spans="1:21">
      <c r="A9423">
        <v>9422</v>
      </c>
      <c r="B9423" s="27" t="s">
        <v>1124</v>
      </c>
      <c r="D9423" s="27" t="s">
        <v>1859</v>
      </c>
      <c r="F9423" s="27" t="s">
        <v>1867</v>
      </c>
      <c r="H9423" s="27" t="s">
        <v>1868</v>
      </c>
      <c r="J9423" s="27" t="s">
        <v>1869</v>
      </c>
      <c r="L9423" s="27" t="s">
        <v>20132</v>
      </c>
      <c r="N9423" s="27" t="s">
        <v>20133</v>
      </c>
      <c r="P9423" s="27" t="s">
        <v>20135</v>
      </c>
      <c r="Q9423" s="26" t="str">
        <f>HYPERLINK("https://ictv.global/taxonomy/taxondetails?taxnode_id=202520251&amp;ictv_id=ICTV202420251","ICTV202420251")</f>
        <v>ICTV202420251</v>
      </c>
      <c r="R9423" t="s">
        <v>581</v>
      </c>
      <c r="S9423" t="s">
        <v>823</v>
      </c>
      <c r="T9423">
        <v>40</v>
      </c>
      <c r="U9423" s="26" t="str">
        <f t="shared" si="337"/>
        <v>2024.007F.Mycoalphaviridae_newfam.zip</v>
      </c>
    </row>
    <row r="9424" spans="1:21">
      <c r="A9424">
        <v>9423</v>
      </c>
      <c r="B9424" s="27" t="s">
        <v>1124</v>
      </c>
      <c r="D9424" s="27" t="s">
        <v>1859</v>
      </c>
      <c r="F9424" s="27" t="s">
        <v>1867</v>
      </c>
      <c r="H9424" s="27" t="s">
        <v>1868</v>
      </c>
      <c r="J9424" s="27" t="s">
        <v>1869</v>
      </c>
      <c r="L9424" s="27" t="s">
        <v>20132</v>
      </c>
      <c r="N9424" s="27" t="s">
        <v>20136</v>
      </c>
      <c r="P9424" s="27" t="s">
        <v>20137</v>
      </c>
      <c r="Q9424" s="26" t="str">
        <f>HYPERLINK("https://ictv.global/taxonomy/taxondetails?taxnode_id=202520252&amp;ictv_id=ICTV202420252","ICTV202420252")</f>
        <v>ICTV202420252</v>
      </c>
      <c r="R9424" t="s">
        <v>581</v>
      </c>
      <c r="S9424" t="s">
        <v>823</v>
      </c>
      <c r="T9424">
        <v>40</v>
      </c>
      <c r="U9424" s="26" t="str">
        <f t="shared" si="337"/>
        <v>2024.007F.Mycoalphaviridae_newfam.zip</v>
      </c>
    </row>
    <row r="9425" spans="1:21">
      <c r="A9425">
        <v>9424</v>
      </c>
      <c r="B9425" s="27" t="s">
        <v>1124</v>
      </c>
      <c r="D9425" s="27" t="s">
        <v>1859</v>
      </c>
      <c r="F9425" s="27" t="s">
        <v>1867</v>
      </c>
      <c r="H9425" s="27" t="s">
        <v>1868</v>
      </c>
      <c r="J9425" s="27" t="s">
        <v>1869</v>
      </c>
      <c r="L9425" s="27" t="s">
        <v>20132</v>
      </c>
      <c r="N9425" s="27" t="s">
        <v>20136</v>
      </c>
      <c r="P9425" s="27" t="s">
        <v>20138</v>
      </c>
      <c r="Q9425" s="26" t="str">
        <f>HYPERLINK("https://ictv.global/taxonomy/taxondetails?taxnode_id=202520256&amp;ictv_id=ICTV202420256","ICTV202420256")</f>
        <v>ICTV202420256</v>
      </c>
      <c r="R9425" t="s">
        <v>581</v>
      </c>
      <c r="S9425" t="s">
        <v>823</v>
      </c>
      <c r="T9425">
        <v>40</v>
      </c>
      <c r="U9425" s="26" t="str">
        <f t="shared" si="337"/>
        <v>2024.007F.Mycoalphaviridae_newfam.zip</v>
      </c>
    </row>
    <row r="9426" spans="1:21">
      <c r="A9426">
        <v>9425</v>
      </c>
      <c r="B9426" s="27" t="s">
        <v>1124</v>
      </c>
      <c r="D9426" s="27" t="s">
        <v>1859</v>
      </c>
      <c r="F9426" s="27" t="s">
        <v>1867</v>
      </c>
      <c r="H9426" s="27" t="s">
        <v>1868</v>
      </c>
      <c r="J9426" s="27" t="s">
        <v>1869</v>
      </c>
      <c r="L9426" s="27" t="s">
        <v>20132</v>
      </c>
      <c r="N9426" s="27" t="s">
        <v>20136</v>
      </c>
      <c r="P9426" s="27" t="s">
        <v>20139</v>
      </c>
      <c r="Q9426" s="26" t="str">
        <f>HYPERLINK("https://ictv.global/taxonomy/taxondetails?taxnode_id=202520254&amp;ictv_id=ICTV202420254","ICTV202420254")</f>
        <v>ICTV202420254</v>
      </c>
      <c r="R9426" t="s">
        <v>581</v>
      </c>
      <c r="S9426" t="s">
        <v>823</v>
      </c>
      <c r="T9426">
        <v>40</v>
      </c>
      <c r="U9426" s="26" t="str">
        <f t="shared" si="337"/>
        <v>2024.007F.Mycoalphaviridae_newfam.zip</v>
      </c>
    </row>
    <row r="9427" spans="1:21">
      <c r="A9427">
        <v>9426</v>
      </c>
      <c r="B9427" s="27" t="s">
        <v>1124</v>
      </c>
      <c r="D9427" s="27" t="s">
        <v>1859</v>
      </c>
      <c r="F9427" s="27" t="s">
        <v>1867</v>
      </c>
      <c r="H9427" s="27" t="s">
        <v>1868</v>
      </c>
      <c r="J9427" s="27" t="s">
        <v>1869</v>
      </c>
      <c r="L9427" s="27" t="s">
        <v>20132</v>
      </c>
      <c r="N9427" s="27" t="s">
        <v>20136</v>
      </c>
      <c r="P9427" s="27" t="s">
        <v>20140</v>
      </c>
      <c r="Q9427" s="26" t="str">
        <f>HYPERLINK("https://ictv.global/taxonomy/taxondetails?taxnode_id=202520255&amp;ictv_id=ICTV202420255","ICTV202420255")</f>
        <v>ICTV202420255</v>
      </c>
      <c r="R9427" t="s">
        <v>581</v>
      </c>
      <c r="S9427" t="s">
        <v>823</v>
      </c>
      <c r="T9427">
        <v>40</v>
      </c>
      <c r="U9427" s="26" t="str">
        <f t="shared" si="337"/>
        <v>2024.007F.Mycoalphaviridae_newfam.zip</v>
      </c>
    </row>
    <row r="9428" spans="1:21">
      <c r="A9428">
        <v>9427</v>
      </c>
      <c r="B9428" s="27" t="s">
        <v>1124</v>
      </c>
      <c r="D9428" s="27" t="s">
        <v>1859</v>
      </c>
      <c r="F9428" s="27" t="s">
        <v>1867</v>
      </c>
      <c r="H9428" s="27" t="s">
        <v>1868</v>
      </c>
      <c r="J9428" s="27" t="s">
        <v>1869</v>
      </c>
      <c r="L9428" s="27" t="s">
        <v>20132</v>
      </c>
      <c r="N9428" s="27" t="s">
        <v>20136</v>
      </c>
      <c r="P9428" s="27" t="s">
        <v>20141</v>
      </c>
      <c r="Q9428" s="26" t="str">
        <f>HYPERLINK("https://ictv.global/taxonomy/taxondetails?taxnode_id=202520253&amp;ictv_id=ICTV202420253","ICTV202420253")</f>
        <v>ICTV202420253</v>
      </c>
      <c r="R9428" t="s">
        <v>581</v>
      </c>
      <c r="S9428" t="s">
        <v>823</v>
      </c>
      <c r="T9428">
        <v>40</v>
      </c>
      <c r="U9428" s="26" t="str">
        <f t="shared" si="337"/>
        <v>2024.007F.Mycoalphaviridae_newfam.zip</v>
      </c>
    </row>
    <row r="9429" spans="1:21">
      <c r="A9429">
        <v>9428</v>
      </c>
      <c r="B9429" s="27" t="s">
        <v>1124</v>
      </c>
      <c r="D9429" s="27" t="s">
        <v>1859</v>
      </c>
      <c r="F9429" s="27" t="s">
        <v>1867</v>
      </c>
      <c r="H9429" s="27" t="s">
        <v>1868</v>
      </c>
      <c r="J9429" s="27" t="s">
        <v>1870</v>
      </c>
      <c r="L9429" s="27" t="s">
        <v>397</v>
      </c>
      <c r="N9429" s="27" t="s">
        <v>192</v>
      </c>
      <c r="P9429" s="27" t="s">
        <v>13797</v>
      </c>
      <c r="Q9429" s="26" t="str">
        <f>HYPERLINK("https://ictv.global/taxonomy/taxondetails?taxnode_id=202502760&amp;ictv_id=ICTV19710072","ICTV19710072")</f>
        <v>ICTV19710072</v>
      </c>
      <c r="R9429" t="s">
        <v>581</v>
      </c>
      <c r="S9429" t="s">
        <v>824</v>
      </c>
      <c r="T9429">
        <v>39</v>
      </c>
      <c r="U9429" s="26" t="str">
        <f>HYPERLINK("https://ictv.global/ictv/proposals/2023.004P.Bromoviridae_rename_sp.zip","2023.004P.Bromoviridae_rename_sp.zip")</f>
        <v>2023.004P.Bromoviridae_rename_sp.zip</v>
      </c>
    </row>
    <row r="9430" spans="1:21">
      <c r="A9430">
        <v>9429</v>
      </c>
      <c r="B9430" s="27" t="s">
        <v>1124</v>
      </c>
      <c r="D9430" s="27" t="s">
        <v>1859</v>
      </c>
      <c r="F9430" s="27" t="s">
        <v>1867</v>
      </c>
      <c r="H9430" s="27" t="s">
        <v>1868</v>
      </c>
      <c r="J9430" s="27" t="s">
        <v>1870</v>
      </c>
      <c r="L9430" s="27" t="s">
        <v>397</v>
      </c>
      <c r="N9430" s="27" t="s">
        <v>193</v>
      </c>
      <c r="P9430" s="27" t="s">
        <v>13798</v>
      </c>
      <c r="Q9430" s="26" t="str">
        <f>HYPERLINK("https://ictv.global/taxonomy/taxondetails?taxnode_id=202502762&amp;ictv_id=ICTV20131305","ICTV20131305")</f>
        <v>ICTV20131305</v>
      </c>
      <c r="R9430" t="s">
        <v>581</v>
      </c>
      <c r="S9430" t="s">
        <v>824</v>
      </c>
      <c r="T9430">
        <v>39</v>
      </c>
      <c r="U9430" s="26" t="str">
        <f>HYPERLINK("https://ictv.global/ictv/proposals/2023.004P.Bromoviridae_rename_sp.zip","2023.004P.Bromoviridae_rename_sp.zip")</f>
        <v>2023.004P.Bromoviridae_rename_sp.zip</v>
      </c>
    </row>
    <row r="9431" spans="1:21">
      <c r="A9431">
        <v>9430</v>
      </c>
      <c r="B9431" s="27" t="s">
        <v>1124</v>
      </c>
      <c r="D9431" s="27" t="s">
        <v>1859</v>
      </c>
      <c r="F9431" s="27" t="s">
        <v>1867</v>
      </c>
      <c r="H9431" s="27" t="s">
        <v>1868</v>
      </c>
      <c r="J9431" s="27" t="s">
        <v>1870</v>
      </c>
      <c r="L9431" s="27" t="s">
        <v>397</v>
      </c>
      <c r="N9431" s="27" t="s">
        <v>193</v>
      </c>
      <c r="P9431" s="27" t="s">
        <v>8816</v>
      </c>
      <c r="Q9431" s="26" t="str">
        <f>HYPERLINK("https://ictv.global/taxonomy/taxondetails?taxnode_id=202513833&amp;ictv_id=ICTV202113833","ICTV202113833")</f>
        <v>ICTV202113833</v>
      </c>
      <c r="R9431" t="s">
        <v>581</v>
      </c>
      <c r="S9431" t="s">
        <v>823</v>
      </c>
      <c r="T9431">
        <v>37</v>
      </c>
      <c r="U9431" s="26" t="str">
        <f>HYPERLINK("https://ictv.global/ictv/proposals/2021.004P.R.Anulavirus_1ns.zip","2021.004P.R.Anulavirus_1ns.zip")</f>
        <v>2021.004P.R.Anulavirus_1ns.zip</v>
      </c>
    </row>
    <row r="9432" spans="1:21">
      <c r="A9432">
        <v>9431</v>
      </c>
      <c r="B9432" s="27" t="s">
        <v>1124</v>
      </c>
      <c r="D9432" s="27" t="s">
        <v>1859</v>
      </c>
      <c r="F9432" s="27" t="s">
        <v>1867</v>
      </c>
      <c r="H9432" s="27" t="s">
        <v>1868</v>
      </c>
      <c r="J9432" s="27" t="s">
        <v>1870</v>
      </c>
      <c r="L9432" s="27" t="s">
        <v>397</v>
      </c>
      <c r="N9432" s="27" t="s">
        <v>193</v>
      </c>
      <c r="P9432" s="27" t="s">
        <v>13799</v>
      </c>
      <c r="Q9432" s="26" t="str">
        <f>HYPERLINK("https://ictv.global/taxonomy/taxondetails?taxnode_id=202502763&amp;ictv_id=ICTV20083454","ICTV20083454")</f>
        <v>ICTV20083454</v>
      </c>
      <c r="R9432" t="s">
        <v>581</v>
      </c>
      <c r="S9432" t="s">
        <v>824</v>
      </c>
      <c r="T9432">
        <v>39</v>
      </c>
      <c r="U9432" s="26" t="str">
        <f t="shared" ref="U9432:U9438" si="338">HYPERLINK("https://ictv.global/ictv/proposals/2023.004P.Bromoviridae_rename_sp.zip","2023.004P.Bromoviridae_rename_sp.zip")</f>
        <v>2023.004P.Bromoviridae_rename_sp.zip</v>
      </c>
    </row>
    <row r="9433" spans="1:21">
      <c r="A9433">
        <v>9432</v>
      </c>
      <c r="B9433" s="27" t="s">
        <v>1124</v>
      </c>
      <c r="D9433" s="27" t="s">
        <v>1859</v>
      </c>
      <c r="F9433" s="27" t="s">
        <v>1867</v>
      </c>
      <c r="H9433" s="27" t="s">
        <v>1868</v>
      </c>
      <c r="J9433" s="27" t="s">
        <v>1870</v>
      </c>
      <c r="L9433" s="27" t="s">
        <v>397</v>
      </c>
      <c r="N9433" s="27" t="s">
        <v>194</v>
      </c>
      <c r="P9433" s="27" t="s">
        <v>13800</v>
      </c>
      <c r="Q9433" s="26" t="str">
        <f>HYPERLINK("https://ictv.global/taxonomy/taxondetails?taxnode_id=202502765&amp;ictv_id=ICTV19710142","ICTV19710142")</f>
        <v>ICTV19710142</v>
      </c>
      <c r="R9433" t="s">
        <v>581</v>
      </c>
      <c r="S9433" t="s">
        <v>824</v>
      </c>
      <c r="T9433">
        <v>39</v>
      </c>
      <c r="U9433" s="26" t="str">
        <f t="shared" si="338"/>
        <v>2023.004P.Bromoviridae_rename_sp.zip</v>
      </c>
    </row>
    <row r="9434" spans="1:21">
      <c r="A9434">
        <v>9433</v>
      </c>
      <c r="B9434" s="27" t="s">
        <v>1124</v>
      </c>
      <c r="D9434" s="27" t="s">
        <v>1859</v>
      </c>
      <c r="F9434" s="27" t="s">
        <v>1867</v>
      </c>
      <c r="H9434" s="27" t="s">
        <v>1868</v>
      </c>
      <c r="J9434" s="27" t="s">
        <v>1870</v>
      </c>
      <c r="L9434" s="27" t="s">
        <v>397</v>
      </c>
      <c r="N9434" s="27" t="s">
        <v>194</v>
      </c>
      <c r="P9434" s="27" t="s">
        <v>13801</v>
      </c>
      <c r="Q9434" s="26" t="str">
        <f>HYPERLINK("https://ictv.global/taxonomy/taxondetails?taxnode_id=202502766&amp;ictv_id=ICTV19710143","ICTV19710143")</f>
        <v>ICTV19710143</v>
      </c>
      <c r="R9434" t="s">
        <v>581</v>
      </c>
      <c r="S9434" t="s">
        <v>824</v>
      </c>
      <c r="T9434">
        <v>39</v>
      </c>
      <c r="U9434" s="26" t="str">
        <f t="shared" si="338"/>
        <v>2023.004P.Bromoviridae_rename_sp.zip</v>
      </c>
    </row>
    <row r="9435" spans="1:21">
      <c r="A9435">
        <v>9434</v>
      </c>
      <c r="B9435" s="27" t="s">
        <v>1124</v>
      </c>
      <c r="D9435" s="27" t="s">
        <v>1859</v>
      </c>
      <c r="F9435" s="27" t="s">
        <v>1867</v>
      </c>
      <c r="H9435" s="27" t="s">
        <v>1868</v>
      </c>
      <c r="J9435" s="27" t="s">
        <v>1870</v>
      </c>
      <c r="L9435" s="27" t="s">
        <v>397</v>
      </c>
      <c r="N9435" s="27" t="s">
        <v>194</v>
      </c>
      <c r="P9435" s="27" t="s">
        <v>13802</v>
      </c>
      <c r="Q9435" s="26" t="str">
        <f>HYPERLINK("https://ictv.global/taxonomy/taxondetails?taxnode_id=202502768&amp;ictv_id=ICTV19710144","ICTV19710144")</f>
        <v>ICTV19710144</v>
      </c>
      <c r="R9435" t="s">
        <v>581</v>
      </c>
      <c r="S9435" t="s">
        <v>824</v>
      </c>
      <c r="T9435">
        <v>39</v>
      </c>
      <c r="U9435" s="26" t="str">
        <f t="shared" si="338"/>
        <v>2023.004P.Bromoviridae_rename_sp.zip</v>
      </c>
    </row>
    <row r="9436" spans="1:21">
      <c r="A9436">
        <v>9435</v>
      </c>
      <c r="B9436" s="27" t="s">
        <v>1124</v>
      </c>
      <c r="D9436" s="27" t="s">
        <v>1859</v>
      </c>
      <c r="F9436" s="27" t="s">
        <v>1867</v>
      </c>
      <c r="H9436" s="27" t="s">
        <v>1868</v>
      </c>
      <c r="J9436" s="27" t="s">
        <v>1870</v>
      </c>
      <c r="L9436" s="27" t="s">
        <v>397</v>
      </c>
      <c r="N9436" s="27" t="s">
        <v>194</v>
      </c>
      <c r="P9436" s="27" t="s">
        <v>13803</v>
      </c>
      <c r="Q9436" s="26" t="str">
        <f>HYPERLINK("https://ictv.global/taxonomy/taxondetails?taxnode_id=202502767&amp;ictv_id=ICTV19911516","ICTV19911516")</f>
        <v>ICTV19911516</v>
      </c>
      <c r="R9436" t="s">
        <v>581</v>
      </c>
      <c r="S9436" t="s">
        <v>824</v>
      </c>
      <c r="T9436">
        <v>39</v>
      </c>
      <c r="U9436" s="26" t="str">
        <f t="shared" si="338"/>
        <v>2023.004P.Bromoviridae_rename_sp.zip</v>
      </c>
    </row>
    <row r="9437" spans="1:21">
      <c r="A9437">
        <v>9436</v>
      </c>
      <c r="B9437" s="27" t="s">
        <v>1124</v>
      </c>
      <c r="D9437" s="27" t="s">
        <v>1859</v>
      </c>
      <c r="F9437" s="27" t="s">
        <v>1867</v>
      </c>
      <c r="H9437" s="27" t="s">
        <v>1868</v>
      </c>
      <c r="J9437" s="27" t="s">
        <v>1870</v>
      </c>
      <c r="L9437" s="27" t="s">
        <v>397</v>
      </c>
      <c r="N9437" s="27" t="s">
        <v>194</v>
      </c>
      <c r="P9437" s="27" t="s">
        <v>13804</v>
      </c>
      <c r="Q9437" s="26" t="str">
        <f>HYPERLINK("https://ictv.global/taxonomy/taxondetails?taxnode_id=202502769&amp;ictv_id=ICTV19911518","ICTV19911518")</f>
        <v>ICTV19911518</v>
      </c>
      <c r="R9437" t="s">
        <v>581</v>
      </c>
      <c r="S9437" t="s">
        <v>824</v>
      </c>
      <c r="T9437">
        <v>39</v>
      </c>
      <c r="U9437" s="26" t="str">
        <f t="shared" si="338"/>
        <v>2023.004P.Bromoviridae_rename_sp.zip</v>
      </c>
    </row>
    <row r="9438" spans="1:21">
      <c r="A9438">
        <v>9437</v>
      </c>
      <c r="B9438" s="27" t="s">
        <v>1124</v>
      </c>
      <c r="D9438" s="27" t="s">
        <v>1859</v>
      </c>
      <c r="F9438" s="27" t="s">
        <v>1867</v>
      </c>
      <c r="H9438" s="27" t="s">
        <v>1868</v>
      </c>
      <c r="J9438" s="27" t="s">
        <v>1870</v>
      </c>
      <c r="L9438" s="27" t="s">
        <v>397</v>
      </c>
      <c r="N9438" s="27" t="s">
        <v>194</v>
      </c>
      <c r="P9438" s="27" t="s">
        <v>13805</v>
      </c>
      <c r="Q9438" s="26" t="str">
        <f>HYPERLINK("https://ictv.global/taxonomy/taxondetails?taxnode_id=202502770&amp;ictv_id=ICTV19911519","ICTV19911519")</f>
        <v>ICTV19911519</v>
      </c>
      <c r="R9438" t="s">
        <v>581</v>
      </c>
      <c r="S9438" t="s">
        <v>824</v>
      </c>
      <c r="T9438">
        <v>39</v>
      </c>
      <c r="U9438" s="26" t="str">
        <f t="shared" si="338"/>
        <v>2023.004P.Bromoviridae_rename_sp.zip</v>
      </c>
    </row>
    <row r="9439" spans="1:21">
      <c r="A9439">
        <v>9438</v>
      </c>
      <c r="B9439" s="27" t="s">
        <v>1124</v>
      </c>
      <c r="D9439" s="27" t="s">
        <v>1859</v>
      </c>
      <c r="F9439" s="27" t="s">
        <v>1867</v>
      </c>
      <c r="H9439" s="27" t="s">
        <v>1868</v>
      </c>
      <c r="J9439" s="27" t="s">
        <v>1870</v>
      </c>
      <c r="L9439" s="27" t="s">
        <v>397</v>
      </c>
      <c r="N9439" s="27" t="s">
        <v>194</v>
      </c>
      <c r="P9439" s="27" t="s">
        <v>8817</v>
      </c>
      <c r="Q9439" s="26" t="str">
        <f>HYPERLINK("https://ictv.global/taxonomy/taxondetails?taxnode_id=202513834&amp;ictv_id=ICTV202113834","ICTV202113834")</f>
        <v>ICTV202113834</v>
      </c>
      <c r="R9439" t="s">
        <v>581</v>
      </c>
      <c r="S9439" t="s">
        <v>823</v>
      </c>
      <c r="T9439">
        <v>37</v>
      </c>
      <c r="U9439" s="26" t="str">
        <f>HYPERLINK("https://ictv.global/ictv/proposals/2021.005P.R.Bromovirus_1ns.zip","2021.005P.R.Bromovirus_1ns.zip")</f>
        <v>2021.005P.R.Bromovirus_1ns.zip</v>
      </c>
    </row>
    <row r="9440" spans="1:21">
      <c r="A9440">
        <v>9439</v>
      </c>
      <c r="B9440" s="27" t="s">
        <v>1124</v>
      </c>
      <c r="D9440" s="27" t="s">
        <v>1859</v>
      </c>
      <c r="F9440" s="27" t="s">
        <v>1867</v>
      </c>
      <c r="H9440" s="27" t="s">
        <v>1868</v>
      </c>
      <c r="J9440" s="27" t="s">
        <v>1870</v>
      </c>
      <c r="L9440" s="27" t="s">
        <v>397</v>
      </c>
      <c r="N9440" s="27" t="s">
        <v>171</v>
      </c>
      <c r="P9440" s="27" t="s">
        <v>13806</v>
      </c>
      <c r="Q9440" s="26" t="str">
        <f>HYPERLINK("https://ictv.global/taxonomy/taxondetails?taxnode_id=202502772&amp;ictv_id=ICTV19710166","ICTV19710166")</f>
        <v>ICTV19710166</v>
      </c>
      <c r="R9440" t="s">
        <v>581</v>
      </c>
      <c r="S9440" t="s">
        <v>824</v>
      </c>
      <c r="T9440">
        <v>39</v>
      </c>
      <c r="U9440" s="26" t="str">
        <f>HYPERLINK("https://ictv.global/ictv/proposals/2023.004P.Bromoviridae_rename_sp.zip","2023.004P.Bromoviridae_rename_sp.zip")</f>
        <v>2023.004P.Bromoviridae_rename_sp.zip</v>
      </c>
    </row>
    <row r="9441" spans="1:21">
      <c r="A9441">
        <v>9440</v>
      </c>
      <c r="B9441" s="27" t="s">
        <v>1124</v>
      </c>
      <c r="D9441" s="27" t="s">
        <v>1859</v>
      </c>
      <c r="F9441" s="27" t="s">
        <v>1867</v>
      </c>
      <c r="H9441" s="27" t="s">
        <v>1868</v>
      </c>
      <c r="J9441" s="27" t="s">
        <v>1870</v>
      </c>
      <c r="L9441" s="27" t="s">
        <v>397</v>
      </c>
      <c r="N9441" s="27" t="s">
        <v>171</v>
      </c>
      <c r="P9441" s="27" t="s">
        <v>13807</v>
      </c>
      <c r="Q9441" s="26" t="str">
        <f>HYPERLINK("https://ictv.global/taxonomy/taxondetails?taxnode_id=202502773&amp;ictv_id=ICTV20115383","ICTV20115383")</f>
        <v>ICTV20115383</v>
      </c>
      <c r="R9441" t="s">
        <v>581</v>
      </c>
      <c r="S9441" t="s">
        <v>824</v>
      </c>
      <c r="T9441">
        <v>39</v>
      </c>
      <c r="U9441" s="26" t="str">
        <f>HYPERLINK("https://ictv.global/ictv/proposals/2023.004P.Bromoviridae_rename_sp.zip","2023.004P.Bromoviridae_rename_sp.zip")</f>
        <v>2023.004P.Bromoviridae_rename_sp.zip</v>
      </c>
    </row>
    <row r="9442" spans="1:21">
      <c r="A9442">
        <v>9441</v>
      </c>
      <c r="B9442" s="27" t="s">
        <v>1124</v>
      </c>
      <c r="D9442" s="27" t="s">
        <v>1859</v>
      </c>
      <c r="F9442" s="27" t="s">
        <v>1867</v>
      </c>
      <c r="H9442" s="27" t="s">
        <v>1868</v>
      </c>
      <c r="J9442" s="27" t="s">
        <v>1870</v>
      </c>
      <c r="L9442" s="27" t="s">
        <v>397</v>
      </c>
      <c r="N9442" s="27" t="s">
        <v>171</v>
      </c>
      <c r="P9442" s="27" t="s">
        <v>13808</v>
      </c>
      <c r="Q9442" s="26" t="str">
        <f>HYPERLINK("https://ictv.global/taxonomy/taxondetails?taxnode_id=202502774&amp;ictv_id=ICTV19760682","ICTV19760682")</f>
        <v>ICTV19760682</v>
      </c>
      <c r="R9442" t="s">
        <v>581</v>
      </c>
      <c r="S9442" t="s">
        <v>824</v>
      </c>
      <c r="T9442">
        <v>39</v>
      </c>
      <c r="U9442" s="26" t="str">
        <f>HYPERLINK("https://ictv.global/ictv/proposals/2023.004P.Bromoviridae_rename_sp.zip","2023.004P.Bromoviridae_rename_sp.zip")</f>
        <v>2023.004P.Bromoviridae_rename_sp.zip</v>
      </c>
    </row>
    <row r="9443" spans="1:21">
      <c r="A9443">
        <v>9442</v>
      </c>
      <c r="B9443" s="27" t="s">
        <v>1124</v>
      </c>
      <c r="D9443" s="27" t="s">
        <v>1859</v>
      </c>
      <c r="F9443" s="27" t="s">
        <v>1867</v>
      </c>
      <c r="H9443" s="27" t="s">
        <v>1868</v>
      </c>
      <c r="J9443" s="27" t="s">
        <v>1870</v>
      </c>
      <c r="L9443" s="27" t="s">
        <v>397</v>
      </c>
      <c r="N9443" s="27" t="s">
        <v>171</v>
      </c>
      <c r="P9443" s="27" t="s">
        <v>13809</v>
      </c>
      <c r="Q9443" s="26" t="str">
        <f>HYPERLINK("https://ictv.global/taxonomy/taxondetails?taxnode_id=202502775&amp;ictv_id=ICTV19710168","ICTV19710168")</f>
        <v>ICTV19710168</v>
      </c>
      <c r="R9443" t="s">
        <v>581</v>
      </c>
      <c r="S9443" t="s">
        <v>824</v>
      </c>
      <c r="T9443">
        <v>39</v>
      </c>
      <c r="U9443" s="26" t="str">
        <f>HYPERLINK("https://ictv.global/ictv/proposals/2023.004P.Bromoviridae_rename_sp.zip","2023.004P.Bromoviridae_rename_sp.zip")</f>
        <v>2023.004P.Bromoviridae_rename_sp.zip</v>
      </c>
    </row>
    <row r="9444" spans="1:21">
      <c r="A9444">
        <v>9443</v>
      </c>
      <c r="B9444" s="27" t="s">
        <v>1124</v>
      </c>
      <c r="D9444" s="27" t="s">
        <v>1859</v>
      </c>
      <c r="F9444" s="27" t="s">
        <v>1867</v>
      </c>
      <c r="H9444" s="27" t="s">
        <v>1868</v>
      </c>
      <c r="J9444" s="27" t="s">
        <v>1870</v>
      </c>
      <c r="L9444" s="27" t="s">
        <v>397</v>
      </c>
      <c r="N9444" s="27" t="s">
        <v>398</v>
      </c>
      <c r="P9444" s="27" t="s">
        <v>13810</v>
      </c>
      <c r="Q9444" s="26" t="str">
        <f>HYPERLINK("https://ictv.global/taxonomy/taxondetails?taxnode_id=202505758&amp;ictv_id=ICTV20175758","ICTV20175758")</f>
        <v>ICTV20175758</v>
      </c>
      <c r="R9444" t="s">
        <v>581</v>
      </c>
      <c r="S9444" t="s">
        <v>824</v>
      </c>
      <c r="T9444">
        <v>39</v>
      </c>
      <c r="U9444" s="26" t="str">
        <f>HYPERLINK("https://ictv.global/ictv/proposals/2023.004P.Bromoviridae_rename_sp.zip","2023.004P.Bromoviridae_rename_sp.zip")</f>
        <v>2023.004P.Bromoviridae_rename_sp.zip</v>
      </c>
    </row>
    <row r="9445" spans="1:21">
      <c r="A9445">
        <v>9444</v>
      </c>
      <c r="B9445" s="27" t="s">
        <v>1124</v>
      </c>
      <c r="D9445" s="27" t="s">
        <v>1859</v>
      </c>
      <c r="F9445" s="27" t="s">
        <v>1867</v>
      </c>
      <c r="H9445" s="27" t="s">
        <v>1868</v>
      </c>
      <c r="J9445" s="27" t="s">
        <v>1870</v>
      </c>
      <c r="L9445" s="27" t="s">
        <v>397</v>
      </c>
      <c r="N9445" s="27" t="s">
        <v>398</v>
      </c>
      <c r="P9445" s="27" t="s">
        <v>13811</v>
      </c>
      <c r="Q9445" s="26" t="str">
        <f>HYPERLINK("https://ictv.global/taxonomy/taxondetails?taxnode_id=202517819&amp;ictv_id=ICTV202317819","ICTV202317819")</f>
        <v>ICTV202317819</v>
      </c>
      <c r="R9445" t="s">
        <v>581</v>
      </c>
      <c r="S9445" t="s">
        <v>823</v>
      </c>
      <c r="T9445">
        <v>39</v>
      </c>
      <c r="U9445" s="26" t="str">
        <f>HYPERLINK("https://ictv.global/ictv/proposals/2023.005P.Bromoviridae_10ns.zip","2023.005P.Bromoviridae_10ns.zip")</f>
        <v>2023.005P.Bromoviridae_10ns.zip</v>
      </c>
    </row>
    <row r="9446" spans="1:21">
      <c r="A9446">
        <v>9445</v>
      </c>
      <c r="B9446" s="27" t="s">
        <v>1124</v>
      </c>
      <c r="D9446" s="27" t="s">
        <v>1859</v>
      </c>
      <c r="F9446" s="27" t="s">
        <v>1867</v>
      </c>
      <c r="H9446" s="27" t="s">
        <v>1868</v>
      </c>
      <c r="J9446" s="27" t="s">
        <v>1870</v>
      </c>
      <c r="L9446" s="27" t="s">
        <v>397</v>
      </c>
      <c r="N9446" s="27" t="s">
        <v>398</v>
      </c>
      <c r="P9446" s="27" t="s">
        <v>13812</v>
      </c>
      <c r="Q9446" s="26" t="str">
        <f>HYPERLINK("https://ictv.global/taxonomy/taxondetails?taxnode_id=202502777&amp;ictv_id=ICTV19821219","ICTV19821219")</f>
        <v>ICTV19821219</v>
      </c>
      <c r="R9446" t="s">
        <v>581</v>
      </c>
      <c r="S9446" t="s">
        <v>824</v>
      </c>
      <c r="T9446">
        <v>39</v>
      </c>
      <c r="U9446" s="26" t="str">
        <f>HYPERLINK("https://ictv.global/ictv/proposals/2023.004P.Bromoviridae_rename_sp.zip","2023.004P.Bromoviridae_rename_sp.zip")</f>
        <v>2023.004P.Bromoviridae_rename_sp.zip</v>
      </c>
    </row>
    <row r="9447" spans="1:21">
      <c r="A9447">
        <v>9446</v>
      </c>
      <c r="B9447" s="27" t="s">
        <v>1124</v>
      </c>
      <c r="D9447" s="27" t="s">
        <v>1859</v>
      </c>
      <c r="F9447" s="27" t="s">
        <v>1867</v>
      </c>
      <c r="H9447" s="27" t="s">
        <v>1868</v>
      </c>
      <c r="J9447" s="27" t="s">
        <v>1870</v>
      </c>
      <c r="L9447" s="27" t="s">
        <v>397</v>
      </c>
      <c r="N9447" s="27" t="s">
        <v>398</v>
      </c>
      <c r="P9447" s="27" t="s">
        <v>13813</v>
      </c>
      <c r="Q9447" s="26" t="str">
        <f>HYPERLINK("https://ictv.global/taxonomy/taxondetails?taxnode_id=202502778&amp;ictv_id=ICTV19950542","ICTV19950542")</f>
        <v>ICTV19950542</v>
      </c>
      <c r="R9447" t="s">
        <v>581</v>
      </c>
      <c r="S9447" t="s">
        <v>824</v>
      </c>
      <c r="T9447">
        <v>39</v>
      </c>
      <c r="U9447" s="26" t="str">
        <f>HYPERLINK("https://ictv.global/ictv/proposals/2023.004P.Bromoviridae_rename_sp.zip","2023.004P.Bromoviridae_rename_sp.zip")</f>
        <v>2023.004P.Bromoviridae_rename_sp.zip</v>
      </c>
    </row>
    <row r="9448" spans="1:21">
      <c r="A9448">
        <v>9447</v>
      </c>
      <c r="B9448" s="27" t="s">
        <v>1124</v>
      </c>
      <c r="D9448" s="27" t="s">
        <v>1859</v>
      </c>
      <c r="F9448" s="27" t="s">
        <v>1867</v>
      </c>
      <c r="H9448" s="27" t="s">
        <v>1868</v>
      </c>
      <c r="J9448" s="27" t="s">
        <v>1870</v>
      </c>
      <c r="L9448" s="27" t="s">
        <v>397</v>
      </c>
      <c r="N9448" s="27" t="s">
        <v>398</v>
      </c>
      <c r="P9448" s="27" t="s">
        <v>20142</v>
      </c>
      <c r="Q9448" s="26" t="str">
        <f>HYPERLINK("https://ictv.global/taxonomy/taxondetails?taxnode_id=202520487&amp;ictv_id=ICTV202420487","ICTV202420487")</f>
        <v>ICTV202420487</v>
      </c>
      <c r="R9448" t="s">
        <v>581</v>
      </c>
      <c r="S9448" t="s">
        <v>823</v>
      </c>
      <c r="T9448">
        <v>40</v>
      </c>
      <c r="U9448" s="26" t="str">
        <f>HYPERLINK("https://ictv.global/ictv/proposals/2024.011P.Bromoviridae_4nsp.zip","2024.011P.Bromoviridae_4nsp.zip")</f>
        <v>2024.011P.Bromoviridae_4nsp.zip</v>
      </c>
    </row>
    <row r="9449" spans="1:21">
      <c r="A9449">
        <v>9448</v>
      </c>
      <c r="B9449" s="27" t="s">
        <v>1124</v>
      </c>
      <c r="D9449" s="27" t="s">
        <v>1859</v>
      </c>
      <c r="F9449" s="27" t="s">
        <v>1867</v>
      </c>
      <c r="H9449" s="27" t="s">
        <v>1868</v>
      </c>
      <c r="J9449" s="27" t="s">
        <v>1870</v>
      </c>
      <c r="L9449" s="27" t="s">
        <v>397</v>
      </c>
      <c r="N9449" s="27" t="s">
        <v>398</v>
      </c>
      <c r="P9449" s="27" t="s">
        <v>13814</v>
      </c>
      <c r="Q9449" s="26" t="str">
        <f>HYPERLINK("https://ictv.global/taxonomy/taxondetails?taxnode_id=202502779&amp;ictv_id=ICTV19911671","ICTV19911671")</f>
        <v>ICTV19911671</v>
      </c>
      <c r="R9449" t="s">
        <v>581</v>
      </c>
      <c r="S9449" t="s">
        <v>824</v>
      </c>
      <c r="T9449">
        <v>39</v>
      </c>
      <c r="U9449" s="26" t="str">
        <f>HYPERLINK("https://ictv.global/ictv/proposals/2023.004P.Bromoviridae_rename_sp.zip","2023.004P.Bromoviridae_rename_sp.zip")</f>
        <v>2023.004P.Bromoviridae_rename_sp.zip</v>
      </c>
    </row>
    <row r="9450" spans="1:21">
      <c r="A9450">
        <v>9449</v>
      </c>
      <c r="B9450" s="27" t="s">
        <v>1124</v>
      </c>
      <c r="D9450" s="27" t="s">
        <v>1859</v>
      </c>
      <c r="F9450" s="27" t="s">
        <v>1867</v>
      </c>
      <c r="H9450" s="27" t="s">
        <v>1868</v>
      </c>
      <c r="J9450" s="27" t="s">
        <v>1870</v>
      </c>
      <c r="L9450" s="27" t="s">
        <v>397</v>
      </c>
      <c r="N9450" s="27" t="s">
        <v>398</v>
      </c>
      <c r="P9450" s="27" t="s">
        <v>13815</v>
      </c>
      <c r="Q9450" s="26" t="str">
        <f>HYPERLINK("https://ictv.global/taxonomy/taxondetails?taxnode_id=202517818&amp;ictv_id=ICTV202317818","ICTV202317818")</f>
        <v>ICTV202317818</v>
      </c>
      <c r="R9450" t="s">
        <v>581</v>
      </c>
      <c r="S9450" t="s">
        <v>823</v>
      </c>
      <c r="T9450">
        <v>39</v>
      </c>
      <c r="U9450" s="26" t="str">
        <f>HYPERLINK("https://ictv.global/ictv/proposals/2023.005P.Bromoviridae_10ns.zip","2023.005P.Bromoviridae_10ns.zip")</f>
        <v>2023.005P.Bromoviridae_10ns.zip</v>
      </c>
    </row>
    <row r="9451" spans="1:21">
      <c r="A9451">
        <v>9450</v>
      </c>
      <c r="B9451" s="27" t="s">
        <v>1124</v>
      </c>
      <c r="D9451" s="27" t="s">
        <v>1859</v>
      </c>
      <c r="F9451" s="27" t="s">
        <v>1867</v>
      </c>
      <c r="H9451" s="27" t="s">
        <v>1868</v>
      </c>
      <c r="J9451" s="27" t="s">
        <v>1870</v>
      </c>
      <c r="L9451" s="27" t="s">
        <v>397</v>
      </c>
      <c r="N9451" s="27" t="s">
        <v>398</v>
      </c>
      <c r="P9451" s="27" t="s">
        <v>20143</v>
      </c>
      <c r="Q9451" s="26" t="str">
        <f>HYPERLINK("https://ictv.global/taxonomy/taxondetails?taxnode_id=202520488&amp;ictv_id=ICTV202420488","ICTV202420488")</f>
        <v>ICTV202420488</v>
      </c>
      <c r="R9451" t="s">
        <v>581</v>
      </c>
      <c r="S9451" t="s">
        <v>823</v>
      </c>
      <c r="T9451">
        <v>40</v>
      </c>
      <c r="U9451" s="26" t="str">
        <f>HYPERLINK("https://ictv.global/ictv/proposals/2024.011P.Bromoviridae_4nsp.zip","2024.011P.Bromoviridae_4nsp.zip")</f>
        <v>2024.011P.Bromoviridae_4nsp.zip</v>
      </c>
    </row>
    <row r="9452" spans="1:21">
      <c r="A9452">
        <v>9451</v>
      </c>
      <c r="B9452" s="27" t="s">
        <v>1124</v>
      </c>
      <c r="D9452" s="27" t="s">
        <v>1859</v>
      </c>
      <c r="F9452" s="27" t="s">
        <v>1867</v>
      </c>
      <c r="H9452" s="27" t="s">
        <v>1868</v>
      </c>
      <c r="J9452" s="27" t="s">
        <v>1870</v>
      </c>
      <c r="L9452" s="27" t="s">
        <v>397</v>
      </c>
      <c r="N9452" s="27" t="s">
        <v>398</v>
      </c>
      <c r="P9452" s="27" t="s">
        <v>13816</v>
      </c>
      <c r="Q9452" s="26" t="str">
        <f>HYPERLINK("https://ictv.global/taxonomy/taxondetails?taxnode_id=202502780&amp;ictv_id=ICTV20115403","ICTV20115403")</f>
        <v>ICTV20115403</v>
      </c>
      <c r="R9452" t="s">
        <v>581</v>
      </c>
      <c r="S9452" t="s">
        <v>824</v>
      </c>
      <c r="T9452">
        <v>39</v>
      </c>
      <c r="U9452" s="26" t="str">
        <f>HYPERLINK("https://ictv.global/ictv/proposals/2023.004P.Bromoviridae_rename_sp.zip","2023.004P.Bromoviridae_rename_sp.zip")</f>
        <v>2023.004P.Bromoviridae_rename_sp.zip</v>
      </c>
    </row>
    <row r="9453" spans="1:21">
      <c r="A9453">
        <v>9452</v>
      </c>
      <c r="B9453" s="27" t="s">
        <v>1124</v>
      </c>
      <c r="D9453" s="27" t="s">
        <v>1859</v>
      </c>
      <c r="F9453" s="27" t="s">
        <v>1867</v>
      </c>
      <c r="H9453" s="27" t="s">
        <v>1868</v>
      </c>
      <c r="J9453" s="27" t="s">
        <v>1870</v>
      </c>
      <c r="L9453" s="27" t="s">
        <v>397</v>
      </c>
      <c r="N9453" s="27" t="s">
        <v>398</v>
      </c>
      <c r="P9453" s="27" t="s">
        <v>13817</v>
      </c>
      <c r="Q9453" s="26" t="str">
        <f>HYPERLINK("https://ictv.global/taxonomy/taxondetails?taxnode_id=202502781&amp;ictv_id=ICTV19911672","ICTV19911672")</f>
        <v>ICTV19911672</v>
      </c>
      <c r="R9453" t="s">
        <v>581</v>
      </c>
      <c r="S9453" t="s">
        <v>824</v>
      </c>
      <c r="T9453">
        <v>39</v>
      </c>
      <c r="U9453" s="26" t="str">
        <f>HYPERLINK("https://ictv.global/ictv/proposals/2023.027P.Betaflexiviridae_rename.zip","2023.027P.Betaflexiviridae_rename.zip")</f>
        <v>2023.027P.Betaflexiviridae_rename.zip</v>
      </c>
    </row>
    <row r="9454" spans="1:21">
      <c r="A9454">
        <v>9453</v>
      </c>
      <c r="B9454" s="27" t="s">
        <v>1124</v>
      </c>
      <c r="D9454" s="27" t="s">
        <v>1859</v>
      </c>
      <c r="F9454" s="27" t="s">
        <v>1867</v>
      </c>
      <c r="H9454" s="27" t="s">
        <v>1868</v>
      </c>
      <c r="J9454" s="27" t="s">
        <v>1870</v>
      </c>
      <c r="L9454" s="27" t="s">
        <v>397</v>
      </c>
      <c r="N9454" s="27" t="s">
        <v>398</v>
      </c>
      <c r="P9454" s="27" t="s">
        <v>13818</v>
      </c>
      <c r="Q9454" s="26" t="str">
        <f>HYPERLINK("https://ictv.global/taxonomy/taxondetails?taxnode_id=202517820&amp;ictv_id=ICTV202317820","ICTV202317820")</f>
        <v>ICTV202317820</v>
      </c>
      <c r="R9454" t="s">
        <v>581</v>
      </c>
      <c r="S9454" t="s">
        <v>823</v>
      </c>
      <c r="T9454">
        <v>39</v>
      </c>
      <c r="U9454" s="26" t="str">
        <f>HYPERLINK("https://ictv.global/ictv/proposals/2023.005P.Bromoviridae_10ns.zip","2023.005P.Bromoviridae_10ns.zip")</f>
        <v>2023.005P.Bromoviridae_10ns.zip</v>
      </c>
    </row>
    <row r="9455" spans="1:21">
      <c r="A9455">
        <v>9454</v>
      </c>
      <c r="B9455" s="27" t="s">
        <v>1124</v>
      </c>
      <c r="D9455" s="27" t="s">
        <v>1859</v>
      </c>
      <c r="F9455" s="27" t="s">
        <v>1867</v>
      </c>
      <c r="H9455" s="27" t="s">
        <v>1868</v>
      </c>
      <c r="J9455" s="27" t="s">
        <v>1870</v>
      </c>
      <c r="L9455" s="27" t="s">
        <v>397</v>
      </c>
      <c r="N9455" s="27" t="s">
        <v>398</v>
      </c>
      <c r="P9455" s="27" t="s">
        <v>13819</v>
      </c>
      <c r="Q9455" s="26" t="str">
        <f>HYPERLINK("https://ictv.global/taxonomy/taxondetails?taxnode_id=202502782&amp;ictv_id=ICTV19760691","ICTV19760691")</f>
        <v>ICTV19760691</v>
      </c>
      <c r="R9455" t="s">
        <v>581</v>
      </c>
      <c r="S9455" t="s">
        <v>824</v>
      </c>
      <c r="T9455">
        <v>39</v>
      </c>
      <c r="U9455" s="26" t="str">
        <f>HYPERLINK("https://ictv.global/ictv/proposals/2023.004P.Bromoviridae_rename_sp.zip","2023.004P.Bromoviridae_rename_sp.zip")</f>
        <v>2023.004P.Bromoviridae_rename_sp.zip</v>
      </c>
    </row>
    <row r="9456" spans="1:21">
      <c r="A9456">
        <v>9455</v>
      </c>
      <c r="B9456" s="27" t="s">
        <v>1124</v>
      </c>
      <c r="D9456" s="27" t="s">
        <v>1859</v>
      </c>
      <c r="F9456" s="27" t="s">
        <v>1867</v>
      </c>
      <c r="H9456" s="27" t="s">
        <v>1868</v>
      </c>
      <c r="J9456" s="27" t="s">
        <v>1870</v>
      </c>
      <c r="L9456" s="27" t="s">
        <v>397</v>
      </c>
      <c r="N9456" s="27" t="s">
        <v>398</v>
      </c>
      <c r="P9456" s="27" t="s">
        <v>13820</v>
      </c>
      <c r="Q9456" s="26" t="str">
        <f>HYPERLINK("https://ictv.global/taxonomy/taxondetails?taxnode_id=202502783&amp;ictv_id=ICTV19760692","ICTV19760692")</f>
        <v>ICTV19760692</v>
      </c>
      <c r="R9456" t="s">
        <v>581</v>
      </c>
      <c r="S9456" t="s">
        <v>824</v>
      </c>
      <c r="T9456">
        <v>39</v>
      </c>
      <c r="U9456" s="26" t="str">
        <f>HYPERLINK("https://ictv.global/ictv/proposals/2023.004P.Bromoviridae_rename_sp.zip","2023.004P.Bromoviridae_rename_sp.zip")</f>
        <v>2023.004P.Bromoviridae_rename_sp.zip</v>
      </c>
    </row>
    <row r="9457" spans="1:21">
      <c r="A9457">
        <v>9456</v>
      </c>
      <c r="B9457" s="27" t="s">
        <v>1124</v>
      </c>
      <c r="D9457" s="27" t="s">
        <v>1859</v>
      </c>
      <c r="F9457" s="27" t="s">
        <v>1867</v>
      </c>
      <c r="H9457" s="27" t="s">
        <v>1868</v>
      </c>
      <c r="J9457" s="27" t="s">
        <v>1870</v>
      </c>
      <c r="L9457" s="27" t="s">
        <v>397</v>
      </c>
      <c r="N9457" s="27" t="s">
        <v>398</v>
      </c>
      <c r="P9457" s="27" t="s">
        <v>13821</v>
      </c>
      <c r="Q9457" s="26" t="str">
        <f>HYPERLINK("https://ictv.global/taxonomy/taxondetails?taxnode_id=202502784&amp;ictv_id=ICTV20073273","ICTV20073273")</f>
        <v>ICTV20073273</v>
      </c>
      <c r="R9457" t="s">
        <v>581</v>
      </c>
      <c r="S9457" t="s">
        <v>824</v>
      </c>
      <c r="T9457">
        <v>39</v>
      </c>
      <c r="U9457" s="26" t="str">
        <f>HYPERLINK("https://ictv.global/ictv/proposals/2023.004P.Bromoviridae_rename_sp.zip","2023.004P.Bromoviridae_rename_sp.zip")</f>
        <v>2023.004P.Bromoviridae_rename_sp.zip</v>
      </c>
    </row>
    <row r="9458" spans="1:21">
      <c r="A9458">
        <v>9457</v>
      </c>
      <c r="B9458" s="27" t="s">
        <v>1124</v>
      </c>
      <c r="D9458" s="27" t="s">
        <v>1859</v>
      </c>
      <c r="F9458" s="27" t="s">
        <v>1867</v>
      </c>
      <c r="H9458" s="27" t="s">
        <v>1868</v>
      </c>
      <c r="J9458" s="27" t="s">
        <v>1870</v>
      </c>
      <c r="L9458" s="27" t="s">
        <v>397</v>
      </c>
      <c r="N9458" s="27" t="s">
        <v>398</v>
      </c>
      <c r="P9458" s="27" t="s">
        <v>13822</v>
      </c>
      <c r="Q9458" s="26" t="str">
        <f>HYPERLINK("https://ictv.global/taxonomy/taxondetails?taxnode_id=202502785&amp;ictv_id=ICTV19990600","ICTV19990600")</f>
        <v>ICTV19990600</v>
      </c>
      <c r="R9458" t="s">
        <v>581</v>
      </c>
      <c r="S9458" t="s">
        <v>824</v>
      </c>
      <c r="T9458">
        <v>39</v>
      </c>
      <c r="U9458" s="26" t="str">
        <f>HYPERLINK("https://ictv.global/ictv/proposals/2023.004P.Bromoviridae_rename_sp.zip","2023.004P.Bromoviridae_rename_sp.zip")</f>
        <v>2023.004P.Bromoviridae_rename_sp.zip</v>
      </c>
    </row>
    <row r="9459" spans="1:21">
      <c r="A9459">
        <v>9458</v>
      </c>
      <c r="B9459" s="27" t="s">
        <v>1124</v>
      </c>
      <c r="D9459" s="27" t="s">
        <v>1859</v>
      </c>
      <c r="F9459" s="27" t="s">
        <v>1867</v>
      </c>
      <c r="H9459" s="27" t="s">
        <v>1868</v>
      </c>
      <c r="J9459" s="27" t="s">
        <v>1870</v>
      </c>
      <c r="L9459" s="27" t="s">
        <v>397</v>
      </c>
      <c r="N9459" s="27" t="s">
        <v>398</v>
      </c>
      <c r="P9459" s="27" t="s">
        <v>13823</v>
      </c>
      <c r="Q9459" s="26" t="str">
        <f>HYPERLINK("https://ictv.global/taxonomy/taxondetails?taxnode_id=202517821&amp;ictv_id=ICTV202317821","ICTV202317821")</f>
        <v>ICTV202317821</v>
      </c>
      <c r="R9459" t="s">
        <v>581</v>
      </c>
      <c r="S9459" t="s">
        <v>823</v>
      </c>
      <c r="T9459">
        <v>39</v>
      </c>
      <c r="U9459" s="26" t="str">
        <f>HYPERLINK("https://ictv.global/ictv/proposals/2023.005P.Bromoviridae_10ns.zip","2023.005P.Bromoviridae_10ns.zip")</f>
        <v>2023.005P.Bromoviridae_10ns.zip</v>
      </c>
    </row>
    <row r="9460" spans="1:21">
      <c r="A9460">
        <v>9459</v>
      </c>
      <c r="B9460" s="27" t="s">
        <v>1124</v>
      </c>
      <c r="D9460" s="27" t="s">
        <v>1859</v>
      </c>
      <c r="F9460" s="27" t="s">
        <v>1867</v>
      </c>
      <c r="H9460" s="27" t="s">
        <v>1868</v>
      </c>
      <c r="J9460" s="27" t="s">
        <v>1870</v>
      </c>
      <c r="L9460" s="27" t="s">
        <v>397</v>
      </c>
      <c r="N9460" s="27" t="s">
        <v>398</v>
      </c>
      <c r="P9460" s="27" t="s">
        <v>13824</v>
      </c>
      <c r="Q9460" s="26" t="str">
        <f>HYPERLINK("https://ictv.global/taxonomy/taxondetails?taxnode_id=202502786&amp;ictv_id=ICTV19911680","ICTV19911680")</f>
        <v>ICTV19911680</v>
      </c>
      <c r="R9460" t="s">
        <v>581</v>
      </c>
      <c r="S9460" t="s">
        <v>824</v>
      </c>
      <c r="T9460">
        <v>39</v>
      </c>
      <c r="U9460" s="26" t="str">
        <f t="shared" ref="U9460:U9466" si="339">HYPERLINK("https://ictv.global/ictv/proposals/2023.004P.Bromoviridae_rename_sp.zip","2023.004P.Bromoviridae_rename_sp.zip")</f>
        <v>2023.004P.Bromoviridae_rename_sp.zip</v>
      </c>
    </row>
    <row r="9461" spans="1:21">
      <c r="A9461">
        <v>9460</v>
      </c>
      <c r="B9461" s="27" t="s">
        <v>1124</v>
      </c>
      <c r="D9461" s="27" t="s">
        <v>1859</v>
      </c>
      <c r="F9461" s="27" t="s">
        <v>1867</v>
      </c>
      <c r="H9461" s="27" t="s">
        <v>1868</v>
      </c>
      <c r="J9461" s="27" t="s">
        <v>1870</v>
      </c>
      <c r="L9461" s="27" t="s">
        <v>397</v>
      </c>
      <c r="N9461" s="27" t="s">
        <v>398</v>
      </c>
      <c r="P9461" s="27" t="s">
        <v>13825</v>
      </c>
      <c r="Q9461" s="26" t="str">
        <f>HYPERLINK("https://ictv.global/taxonomy/taxondetails?taxnode_id=202502787&amp;ictv_id=ICTV20115425","ICTV20115425")</f>
        <v>ICTV20115425</v>
      </c>
      <c r="R9461" t="s">
        <v>581</v>
      </c>
      <c r="S9461" t="s">
        <v>824</v>
      </c>
      <c r="T9461">
        <v>39</v>
      </c>
      <c r="U9461" s="26" t="str">
        <f t="shared" si="339"/>
        <v>2023.004P.Bromoviridae_rename_sp.zip</v>
      </c>
    </row>
    <row r="9462" spans="1:21">
      <c r="A9462">
        <v>9461</v>
      </c>
      <c r="B9462" s="27" t="s">
        <v>1124</v>
      </c>
      <c r="D9462" s="27" t="s">
        <v>1859</v>
      </c>
      <c r="F9462" s="27" t="s">
        <v>1867</v>
      </c>
      <c r="H9462" s="27" t="s">
        <v>1868</v>
      </c>
      <c r="J9462" s="27" t="s">
        <v>1870</v>
      </c>
      <c r="L9462" s="27" t="s">
        <v>397</v>
      </c>
      <c r="N9462" s="27" t="s">
        <v>398</v>
      </c>
      <c r="P9462" s="27" t="s">
        <v>13826</v>
      </c>
      <c r="Q9462" s="26" t="str">
        <f>HYPERLINK("https://ictv.global/taxonomy/taxondetails?taxnode_id=202502788&amp;ictv_id=ICTV19791009","ICTV19791009")</f>
        <v>ICTV19791009</v>
      </c>
      <c r="R9462" t="s">
        <v>581</v>
      </c>
      <c r="S9462" t="s">
        <v>824</v>
      </c>
      <c r="T9462">
        <v>39</v>
      </c>
      <c r="U9462" s="26" t="str">
        <f t="shared" si="339"/>
        <v>2023.004P.Bromoviridae_rename_sp.zip</v>
      </c>
    </row>
    <row r="9463" spans="1:21">
      <c r="A9463">
        <v>9462</v>
      </c>
      <c r="B9463" s="27" t="s">
        <v>1124</v>
      </c>
      <c r="D9463" s="27" t="s">
        <v>1859</v>
      </c>
      <c r="F9463" s="27" t="s">
        <v>1867</v>
      </c>
      <c r="H9463" s="27" t="s">
        <v>1868</v>
      </c>
      <c r="J9463" s="27" t="s">
        <v>1870</v>
      </c>
      <c r="L9463" s="27" t="s">
        <v>397</v>
      </c>
      <c r="N9463" s="27" t="s">
        <v>398</v>
      </c>
      <c r="P9463" s="27" t="s">
        <v>13827</v>
      </c>
      <c r="Q9463" s="26" t="str">
        <f>HYPERLINK("https://ictv.global/taxonomy/taxondetails?taxnode_id=202502790&amp;ictv_id=ICTV19821220","ICTV19821220")</f>
        <v>ICTV19821220</v>
      </c>
      <c r="R9463" t="s">
        <v>581</v>
      </c>
      <c r="S9463" t="s">
        <v>824</v>
      </c>
      <c r="T9463">
        <v>39</v>
      </c>
      <c r="U9463" s="26" t="str">
        <f t="shared" si="339"/>
        <v>2023.004P.Bromoviridae_rename_sp.zip</v>
      </c>
    </row>
    <row r="9464" spans="1:21">
      <c r="A9464">
        <v>9463</v>
      </c>
      <c r="B9464" s="27" t="s">
        <v>1124</v>
      </c>
      <c r="D9464" s="27" t="s">
        <v>1859</v>
      </c>
      <c r="F9464" s="27" t="s">
        <v>1867</v>
      </c>
      <c r="H9464" s="27" t="s">
        <v>1868</v>
      </c>
      <c r="J9464" s="27" t="s">
        <v>1870</v>
      </c>
      <c r="L9464" s="27" t="s">
        <v>397</v>
      </c>
      <c r="N9464" s="27" t="s">
        <v>398</v>
      </c>
      <c r="P9464" s="27" t="s">
        <v>13828</v>
      </c>
      <c r="Q9464" s="26" t="str">
        <f>HYPERLINK("https://ictv.global/taxonomy/taxondetails?taxnode_id=202502789&amp;ictv_id=ICTV19911683","ICTV19911683")</f>
        <v>ICTV19911683</v>
      </c>
      <c r="R9464" t="s">
        <v>581</v>
      </c>
      <c r="S9464" t="s">
        <v>824</v>
      </c>
      <c r="T9464">
        <v>39</v>
      </c>
      <c r="U9464" s="26" t="str">
        <f t="shared" si="339"/>
        <v>2023.004P.Bromoviridae_rename_sp.zip</v>
      </c>
    </row>
    <row r="9465" spans="1:21">
      <c r="A9465">
        <v>9464</v>
      </c>
      <c r="B9465" s="27" t="s">
        <v>1124</v>
      </c>
      <c r="D9465" s="27" t="s">
        <v>1859</v>
      </c>
      <c r="F9465" s="27" t="s">
        <v>1867</v>
      </c>
      <c r="H9465" s="27" t="s">
        <v>1868</v>
      </c>
      <c r="J9465" s="27" t="s">
        <v>1870</v>
      </c>
      <c r="L9465" s="27" t="s">
        <v>397</v>
      </c>
      <c r="N9465" s="27" t="s">
        <v>398</v>
      </c>
      <c r="P9465" s="27" t="s">
        <v>13829</v>
      </c>
      <c r="Q9465" s="26" t="str">
        <f>HYPERLINK("https://ictv.global/taxonomy/taxondetails?taxnode_id=202502791&amp;ictv_id=ICTV19950553","ICTV19950553")</f>
        <v>ICTV19950553</v>
      </c>
      <c r="R9465" t="s">
        <v>581</v>
      </c>
      <c r="S9465" t="s">
        <v>824</v>
      </c>
      <c r="T9465">
        <v>39</v>
      </c>
      <c r="U9465" s="26" t="str">
        <f t="shared" si="339"/>
        <v>2023.004P.Bromoviridae_rename_sp.zip</v>
      </c>
    </row>
    <row r="9466" spans="1:21">
      <c r="A9466">
        <v>9465</v>
      </c>
      <c r="B9466" s="27" t="s">
        <v>1124</v>
      </c>
      <c r="D9466" s="27" t="s">
        <v>1859</v>
      </c>
      <c r="F9466" s="27" t="s">
        <v>1867</v>
      </c>
      <c r="H9466" s="27" t="s">
        <v>1868</v>
      </c>
      <c r="J9466" s="27" t="s">
        <v>1870</v>
      </c>
      <c r="L9466" s="27" t="s">
        <v>397</v>
      </c>
      <c r="N9466" s="27" t="s">
        <v>398</v>
      </c>
      <c r="P9466" s="27" t="s">
        <v>13830</v>
      </c>
      <c r="Q9466" s="26" t="str">
        <f>HYPERLINK("https://ictv.global/taxonomy/taxondetails?taxnode_id=202505759&amp;ictv_id=ICTV20175759","ICTV20175759")</f>
        <v>ICTV20175759</v>
      </c>
      <c r="R9466" t="s">
        <v>581</v>
      </c>
      <c r="S9466" t="s">
        <v>824</v>
      </c>
      <c r="T9466">
        <v>39</v>
      </c>
      <c r="U9466" s="26" t="str">
        <f t="shared" si="339"/>
        <v>2023.004P.Bromoviridae_rename_sp.zip</v>
      </c>
    </row>
    <row r="9467" spans="1:21">
      <c r="A9467">
        <v>9466</v>
      </c>
      <c r="B9467" s="27" t="s">
        <v>1124</v>
      </c>
      <c r="D9467" s="27" t="s">
        <v>1859</v>
      </c>
      <c r="F9467" s="27" t="s">
        <v>1867</v>
      </c>
      <c r="H9467" s="27" t="s">
        <v>1868</v>
      </c>
      <c r="J9467" s="27" t="s">
        <v>1870</v>
      </c>
      <c r="L9467" s="27" t="s">
        <v>397</v>
      </c>
      <c r="N9467" s="27" t="s">
        <v>398</v>
      </c>
      <c r="P9467" s="27" t="s">
        <v>13831</v>
      </c>
      <c r="Q9467" s="26" t="str">
        <f>HYPERLINK("https://ictv.global/taxonomy/taxondetails?taxnode_id=202517822&amp;ictv_id=ICTV202317822","ICTV202317822")</f>
        <v>ICTV202317822</v>
      </c>
      <c r="R9467" t="s">
        <v>581</v>
      </c>
      <c r="S9467" t="s">
        <v>823</v>
      </c>
      <c r="T9467">
        <v>39</v>
      </c>
      <c r="U9467" s="26" t="str">
        <f>HYPERLINK("https://ictv.global/ictv/proposals/2023.005P.Bromoviridae_10ns.zip","2023.005P.Bromoviridae_10ns.zip")</f>
        <v>2023.005P.Bromoviridae_10ns.zip</v>
      </c>
    </row>
    <row r="9468" spans="1:21">
      <c r="A9468">
        <v>9467</v>
      </c>
      <c r="B9468" s="27" t="s">
        <v>1124</v>
      </c>
      <c r="D9468" s="27" t="s">
        <v>1859</v>
      </c>
      <c r="F9468" s="27" t="s">
        <v>1867</v>
      </c>
      <c r="H9468" s="27" t="s">
        <v>1868</v>
      </c>
      <c r="J9468" s="27" t="s">
        <v>1870</v>
      </c>
      <c r="L9468" s="27" t="s">
        <v>397</v>
      </c>
      <c r="N9468" s="27" t="s">
        <v>398</v>
      </c>
      <c r="P9468" s="27" t="s">
        <v>13832</v>
      </c>
      <c r="Q9468" s="26" t="str">
        <f>HYPERLINK("https://ictv.global/taxonomy/taxondetails?taxnode_id=202517823&amp;ictv_id=ICTV202317823","ICTV202317823")</f>
        <v>ICTV202317823</v>
      </c>
      <c r="R9468" t="s">
        <v>581</v>
      </c>
      <c r="S9468" t="s">
        <v>823</v>
      </c>
      <c r="T9468">
        <v>39</v>
      </c>
      <c r="U9468" s="26" t="str">
        <f>HYPERLINK("https://ictv.global/ictv/proposals/2023.005P.Bromoviridae_10ns.zip","2023.005P.Bromoviridae_10ns.zip")</f>
        <v>2023.005P.Bromoviridae_10ns.zip</v>
      </c>
    </row>
    <row r="9469" spans="1:21">
      <c r="A9469">
        <v>9468</v>
      </c>
      <c r="B9469" s="27" t="s">
        <v>1124</v>
      </c>
      <c r="D9469" s="27" t="s">
        <v>1859</v>
      </c>
      <c r="F9469" s="27" t="s">
        <v>1867</v>
      </c>
      <c r="H9469" s="27" t="s">
        <v>1868</v>
      </c>
      <c r="J9469" s="27" t="s">
        <v>1870</v>
      </c>
      <c r="L9469" s="27" t="s">
        <v>397</v>
      </c>
      <c r="N9469" s="27" t="s">
        <v>398</v>
      </c>
      <c r="P9469" s="27" t="s">
        <v>13833</v>
      </c>
      <c r="Q9469" s="26" t="str">
        <f>HYPERLINK("https://ictv.global/taxonomy/taxondetails?taxnode_id=202517824&amp;ictv_id=ICTV202317824","ICTV202317824")</f>
        <v>ICTV202317824</v>
      </c>
      <c r="R9469" t="s">
        <v>581</v>
      </c>
      <c r="S9469" t="s">
        <v>823</v>
      </c>
      <c r="T9469">
        <v>39</v>
      </c>
      <c r="U9469" s="26" t="str">
        <f>HYPERLINK("https://ictv.global/ictv/proposals/2023.005P.Bromoviridae_10ns.zip","2023.005P.Bromoviridae_10ns.zip")</f>
        <v>2023.005P.Bromoviridae_10ns.zip</v>
      </c>
    </row>
    <row r="9470" spans="1:21">
      <c r="A9470">
        <v>9469</v>
      </c>
      <c r="B9470" s="27" t="s">
        <v>1124</v>
      </c>
      <c r="D9470" s="27" t="s">
        <v>1859</v>
      </c>
      <c r="F9470" s="27" t="s">
        <v>1867</v>
      </c>
      <c r="H9470" s="27" t="s">
        <v>1868</v>
      </c>
      <c r="J9470" s="27" t="s">
        <v>1870</v>
      </c>
      <c r="L9470" s="27" t="s">
        <v>397</v>
      </c>
      <c r="N9470" s="27" t="s">
        <v>398</v>
      </c>
      <c r="P9470" s="27" t="s">
        <v>13834</v>
      </c>
      <c r="Q9470" s="26" t="str">
        <f>HYPERLINK("https://ictv.global/taxonomy/taxondetails?taxnode_id=202502792&amp;ictv_id=ICTV19821222","ICTV19821222")</f>
        <v>ICTV19821222</v>
      </c>
      <c r="R9470" t="s">
        <v>581</v>
      </c>
      <c r="S9470" t="s">
        <v>824</v>
      </c>
      <c r="T9470">
        <v>39</v>
      </c>
      <c r="U9470" s="26" t="str">
        <f>HYPERLINK("https://ictv.global/ictv/proposals/2023.004P.Bromoviridae_rename_sp.zip","2023.004P.Bromoviridae_rename_sp.zip")</f>
        <v>2023.004P.Bromoviridae_rename_sp.zip</v>
      </c>
    </row>
    <row r="9471" spans="1:21">
      <c r="A9471">
        <v>9470</v>
      </c>
      <c r="B9471" s="27" t="s">
        <v>1124</v>
      </c>
      <c r="D9471" s="27" t="s">
        <v>1859</v>
      </c>
      <c r="F9471" s="27" t="s">
        <v>1867</v>
      </c>
      <c r="H9471" s="27" t="s">
        <v>1868</v>
      </c>
      <c r="J9471" s="27" t="s">
        <v>1870</v>
      </c>
      <c r="L9471" s="27" t="s">
        <v>397</v>
      </c>
      <c r="N9471" s="27" t="s">
        <v>398</v>
      </c>
      <c r="P9471" s="27" t="s">
        <v>13835</v>
      </c>
      <c r="Q9471" s="26" t="str">
        <f>HYPERLINK("https://ictv.global/taxonomy/taxondetails?taxnode_id=202517825&amp;ictv_id=ICTV202317825","ICTV202317825")</f>
        <v>ICTV202317825</v>
      </c>
      <c r="R9471" t="s">
        <v>581</v>
      </c>
      <c r="S9471" t="s">
        <v>823</v>
      </c>
      <c r="T9471">
        <v>39</v>
      </c>
      <c r="U9471" s="26" t="str">
        <f>HYPERLINK("https://ictv.global/ictv/proposals/2023.005P.Bromoviridae_10ns.zip","2023.005P.Bromoviridae_10ns.zip")</f>
        <v>2023.005P.Bromoviridae_10ns.zip</v>
      </c>
    </row>
    <row r="9472" spans="1:21">
      <c r="A9472">
        <v>9471</v>
      </c>
      <c r="B9472" s="27" t="s">
        <v>1124</v>
      </c>
      <c r="D9472" s="27" t="s">
        <v>1859</v>
      </c>
      <c r="F9472" s="27" t="s">
        <v>1867</v>
      </c>
      <c r="H9472" s="27" t="s">
        <v>1868</v>
      </c>
      <c r="J9472" s="27" t="s">
        <v>1870</v>
      </c>
      <c r="L9472" s="27" t="s">
        <v>397</v>
      </c>
      <c r="N9472" s="27" t="s">
        <v>398</v>
      </c>
      <c r="P9472" s="27" t="s">
        <v>13836</v>
      </c>
      <c r="Q9472" s="26" t="str">
        <f>HYPERLINK("https://ictv.global/taxonomy/taxondetails?taxnode_id=202502793&amp;ictv_id=ICTV20115404","ICTV20115404")</f>
        <v>ICTV20115404</v>
      </c>
      <c r="R9472" t="s">
        <v>581</v>
      </c>
      <c r="S9472" t="s">
        <v>824</v>
      </c>
      <c r="T9472">
        <v>39</v>
      </c>
      <c r="U9472" s="26" t="str">
        <f>HYPERLINK("https://ictv.global/ictv/proposals/2023.004P.Bromoviridae_rename_sp.zip","2023.004P.Bromoviridae_rename_sp.zip")</f>
        <v>2023.004P.Bromoviridae_rename_sp.zip</v>
      </c>
    </row>
    <row r="9473" spans="1:21">
      <c r="A9473">
        <v>9472</v>
      </c>
      <c r="B9473" s="27" t="s">
        <v>1124</v>
      </c>
      <c r="D9473" s="27" t="s">
        <v>1859</v>
      </c>
      <c r="F9473" s="27" t="s">
        <v>1867</v>
      </c>
      <c r="H9473" s="27" t="s">
        <v>1868</v>
      </c>
      <c r="J9473" s="27" t="s">
        <v>1870</v>
      </c>
      <c r="L9473" s="27" t="s">
        <v>397</v>
      </c>
      <c r="N9473" s="27" t="s">
        <v>398</v>
      </c>
      <c r="P9473" s="27" t="s">
        <v>13837</v>
      </c>
      <c r="Q9473" s="26" t="str">
        <f>HYPERLINK("https://ictv.global/taxonomy/taxondetails?taxnode_id=202517826&amp;ictv_id=ICTV202317826","ICTV202317826")</f>
        <v>ICTV202317826</v>
      </c>
      <c r="R9473" t="s">
        <v>581</v>
      </c>
      <c r="S9473" t="s">
        <v>823</v>
      </c>
      <c r="T9473">
        <v>39</v>
      </c>
      <c r="U9473" s="26" t="str">
        <f>HYPERLINK("https://ictv.global/ictv/proposals/2023.005P.Bromoviridae_10ns.zip","2023.005P.Bromoviridae_10ns.zip")</f>
        <v>2023.005P.Bromoviridae_10ns.zip</v>
      </c>
    </row>
    <row r="9474" spans="1:21">
      <c r="A9474">
        <v>9473</v>
      </c>
      <c r="B9474" s="27" t="s">
        <v>1124</v>
      </c>
      <c r="D9474" s="27" t="s">
        <v>1859</v>
      </c>
      <c r="F9474" s="27" t="s">
        <v>1867</v>
      </c>
      <c r="H9474" s="27" t="s">
        <v>1868</v>
      </c>
      <c r="J9474" s="27" t="s">
        <v>1870</v>
      </c>
      <c r="L9474" s="27" t="s">
        <v>397</v>
      </c>
      <c r="N9474" s="27" t="s">
        <v>398</v>
      </c>
      <c r="P9474" s="27" t="s">
        <v>13838</v>
      </c>
      <c r="Q9474" s="26" t="str">
        <f>HYPERLINK("https://ictv.global/taxonomy/taxondetails?taxnode_id=202502795&amp;ictv_id=ICTV19760700","ICTV19760700")</f>
        <v>ICTV19760700</v>
      </c>
      <c r="R9474" t="s">
        <v>581</v>
      </c>
      <c r="S9474" t="s">
        <v>824</v>
      </c>
      <c r="T9474">
        <v>39</v>
      </c>
      <c r="U9474" s="26" t="str">
        <f>HYPERLINK("https://ictv.global/ictv/proposals/2023.004P.Bromoviridae_rename_sp.zip","2023.004P.Bromoviridae_rename_sp.zip")</f>
        <v>2023.004P.Bromoviridae_rename_sp.zip</v>
      </c>
    </row>
    <row r="9475" spans="1:21">
      <c r="A9475">
        <v>9474</v>
      </c>
      <c r="B9475" s="27" t="s">
        <v>1124</v>
      </c>
      <c r="D9475" s="27" t="s">
        <v>1859</v>
      </c>
      <c r="F9475" s="27" t="s">
        <v>1867</v>
      </c>
      <c r="H9475" s="27" t="s">
        <v>1868</v>
      </c>
      <c r="J9475" s="27" t="s">
        <v>1870</v>
      </c>
      <c r="L9475" s="27" t="s">
        <v>397</v>
      </c>
      <c r="N9475" s="27" t="s">
        <v>398</v>
      </c>
      <c r="P9475" s="27" t="s">
        <v>20144</v>
      </c>
      <c r="Q9475" s="26" t="str">
        <f>HYPERLINK("https://ictv.global/taxonomy/taxondetails?taxnode_id=202520489&amp;ictv_id=ICTV202420489","ICTV202420489")</f>
        <v>ICTV202420489</v>
      </c>
      <c r="R9475" t="s">
        <v>581</v>
      </c>
      <c r="S9475" t="s">
        <v>823</v>
      </c>
      <c r="T9475">
        <v>40</v>
      </c>
      <c r="U9475" s="26" t="str">
        <f>HYPERLINK("https://ictv.global/ictv/proposals/2024.011P.Bromoviridae_4nsp.zip","2024.011P.Bromoviridae_4nsp.zip")</f>
        <v>2024.011P.Bromoviridae_4nsp.zip</v>
      </c>
    </row>
    <row r="9476" spans="1:21">
      <c r="A9476">
        <v>9475</v>
      </c>
      <c r="B9476" s="27" t="s">
        <v>1124</v>
      </c>
      <c r="D9476" s="27" t="s">
        <v>1859</v>
      </c>
      <c r="F9476" s="27" t="s">
        <v>1867</v>
      </c>
      <c r="H9476" s="27" t="s">
        <v>1868</v>
      </c>
      <c r="J9476" s="27" t="s">
        <v>1870</v>
      </c>
      <c r="L9476" s="27" t="s">
        <v>397</v>
      </c>
      <c r="N9476" s="27" t="s">
        <v>398</v>
      </c>
      <c r="P9476" s="27" t="s">
        <v>13839</v>
      </c>
      <c r="Q9476" s="26" t="str">
        <f>HYPERLINK("https://ictv.global/taxonomy/taxondetails?taxnode_id=202505760&amp;ictv_id=ICTV20175760","ICTV20175760")</f>
        <v>ICTV20175760</v>
      </c>
      <c r="R9476" t="s">
        <v>581</v>
      </c>
      <c r="S9476" t="s">
        <v>824</v>
      </c>
      <c r="T9476">
        <v>39</v>
      </c>
      <c r="U9476" s="26" t="str">
        <f>HYPERLINK("https://ictv.global/ictv/proposals/2023.004P.Bromoviridae_rename_sp.zip","2023.004P.Bromoviridae_rename_sp.zip")</f>
        <v>2023.004P.Bromoviridae_rename_sp.zip</v>
      </c>
    </row>
    <row r="9477" spans="1:21">
      <c r="A9477">
        <v>9476</v>
      </c>
      <c r="B9477" s="27" t="s">
        <v>1124</v>
      </c>
      <c r="D9477" s="27" t="s">
        <v>1859</v>
      </c>
      <c r="F9477" s="27" t="s">
        <v>1867</v>
      </c>
      <c r="H9477" s="27" t="s">
        <v>1868</v>
      </c>
      <c r="J9477" s="27" t="s">
        <v>1870</v>
      </c>
      <c r="L9477" s="27" t="s">
        <v>397</v>
      </c>
      <c r="N9477" s="27" t="s">
        <v>398</v>
      </c>
      <c r="P9477" s="27" t="s">
        <v>20145</v>
      </c>
      <c r="Q9477" s="26" t="str">
        <f>HYPERLINK("https://ictv.global/taxonomy/taxondetails?taxnode_id=202520490&amp;ictv_id=ICTV202420490","ICTV202420490")</f>
        <v>ICTV202420490</v>
      </c>
      <c r="R9477" t="s">
        <v>581</v>
      </c>
      <c r="S9477" t="s">
        <v>823</v>
      </c>
      <c r="T9477">
        <v>40</v>
      </c>
      <c r="U9477" s="26" t="str">
        <f>HYPERLINK("https://ictv.global/ictv/proposals/2024.011P.Bromoviridae_4nsp.zip","2024.011P.Bromoviridae_4nsp.zip")</f>
        <v>2024.011P.Bromoviridae_4nsp.zip</v>
      </c>
    </row>
    <row r="9478" spans="1:21">
      <c r="A9478">
        <v>9477</v>
      </c>
      <c r="B9478" s="27" t="s">
        <v>1124</v>
      </c>
      <c r="D9478" s="27" t="s">
        <v>1859</v>
      </c>
      <c r="F9478" s="27" t="s">
        <v>1867</v>
      </c>
      <c r="H9478" s="27" t="s">
        <v>1868</v>
      </c>
      <c r="J9478" s="27" t="s">
        <v>1870</v>
      </c>
      <c r="L9478" s="27" t="s">
        <v>397</v>
      </c>
      <c r="N9478" s="27" t="s">
        <v>398</v>
      </c>
      <c r="P9478" s="27" t="s">
        <v>13840</v>
      </c>
      <c r="Q9478" s="26" t="str">
        <f>HYPERLINK("https://ictv.global/taxonomy/taxondetails?taxnode_id=202502794&amp;ictv_id=ICTV19821223","ICTV19821223")</f>
        <v>ICTV19821223</v>
      </c>
      <c r="R9478" t="s">
        <v>581</v>
      </c>
      <c r="S9478" t="s">
        <v>824</v>
      </c>
      <c r="T9478">
        <v>39</v>
      </c>
      <c r="U9478" s="26" t="str">
        <f>HYPERLINK("https://ictv.global/ictv/proposals/2023.004P.Bromoviridae_rename_sp.zip","2023.004P.Bromoviridae_rename_sp.zip")</f>
        <v>2023.004P.Bromoviridae_rename_sp.zip</v>
      </c>
    </row>
    <row r="9479" spans="1:21">
      <c r="A9479">
        <v>9478</v>
      </c>
      <c r="B9479" s="27" t="s">
        <v>1124</v>
      </c>
      <c r="D9479" s="27" t="s">
        <v>1859</v>
      </c>
      <c r="F9479" s="27" t="s">
        <v>1867</v>
      </c>
      <c r="H9479" s="27" t="s">
        <v>1868</v>
      </c>
      <c r="J9479" s="27" t="s">
        <v>1870</v>
      </c>
      <c r="L9479" s="27" t="s">
        <v>397</v>
      </c>
      <c r="N9479" s="27" t="s">
        <v>398</v>
      </c>
      <c r="P9479" s="27" t="s">
        <v>13841</v>
      </c>
      <c r="Q9479" s="26" t="str">
        <f>HYPERLINK("https://ictv.global/taxonomy/taxondetails?taxnode_id=202517827&amp;ictv_id=ICTV202317827","ICTV202317827")</f>
        <v>ICTV202317827</v>
      </c>
      <c r="R9479" t="s">
        <v>581</v>
      </c>
      <c r="S9479" t="s">
        <v>823</v>
      </c>
      <c r="T9479">
        <v>39</v>
      </c>
      <c r="U9479" s="26" t="str">
        <f>HYPERLINK("https://ictv.global/ictv/proposals/2023.005P.Bromoviridae_10ns.zip","2023.005P.Bromoviridae_10ns.zip")</f>
        <v>2023.005P.Bromoviridae_10ns.zip</v>
      </c>
    </row>
    <row r="9480" spans="1:21">
      <c r="A9480">
        <v>9479</v>
      </c>
      <c r="B9480" s="27" t="s">
        <v>1124</v>
      </c>
      <c r="D9480" s="27" t="s">
        <v>1859</v>
      </c>
      <c r="F9480" s="27" t="s">
        <v>1867</v>
      </c>
      <c r="H9480" s="27" t="s">
        <v>1868</v>
      </c>
      <c r="J9480" s="27" t="s">
        <v>1870</v>
      </c>
      <c r="L9480" s="27" t="s">
        <v>397</v>
      </c>
      <c r="N9480" s="27" t="s">
        <v>430</v>
      </c>
      <c r="P9480" s="27" t="s">
        <v>13842</v>
      </c>
      <c r="Q9480" s="26" t="str">
        <f>HYPERLINK("https://ictv.global/taxonomy/taxondetails?taxnode_id=202502797&amp;ictv_id=ICTV19970622","ICTV19970622")</f>
        <v>ICTV19970622</v>
      </c>
      <c r="R9480" t="s">
        <v>581</v>
      </c>
      <c r="S9480" t="s">
        <v>824</v>
      </c>
      <c r="T9480">
        <v>39</v>
      </c>
      <c r="U9480" s="26" t="str">
        <f>HYPERLINK("https://ictv.global/ictv/proposals/2023.004P.Bromoviridae_rename_sp.zip","2023.004P.Bromoviridae_rename_sp.zip")</f>
        <v>2023.004P.Bromoviridae_rename_sp.zip</v>
      </c>
    </row>
    <row r="9481" spans="1:21">
      <c r="A9481">
        <v>9480</v>
      </c>
      <c r="B9481" s="27" t="s">
        <v>1124</v>
      </c>
      <c r="D9481" s="27" t="s">
        <v>1859</v>
      </c>
      <c r="F9481" s="27" t="s">
        <v>1867</v>
      </c>
      <c r="H9481" s="27" t="s">
        <v>1868</v>
      </c>
      <c r="J9481" s="27" t="s">
        <v>1870</v>
      </c>
      <c r="L9481" s="27" t="s">
        <v>428</v>
      </c>
      <c r="N9481" s="27" t="s">
        <v>429</v>
      </c>
      <c r="P9481" s="27" t="s">
        <v>21942</v>
      </c>
      <c r="Q9481" s="26" t="str">
        <f>HYPERLINK("https://ictv.global/taxonomy/taxondetails?taxnode_id=202522749&amp;ictv_id=ICTV202522749","ICTV202522749")</f>
        <v>ICTV202522749</v>
      </c>
      <c r="R9481" t="s">
        <v>581</v>
      </c>
      <c r="S9481" t="s">
        <v>823</v>
      </c>
      <c r="T9481">
        <v>41</v>
      </c>
      <c r="U9481" s="26" t="str">
        <f>HYPERLINK("https://ictv.global/ictv/proposals/2025.019P.Closteroviridae_31nsp_abolish_1sp.zip","2025.019P.Closteroviridae_31nsp_abolish_1sp.zip")</f>
        <v>2025.019P.Closteroviridae_31nsp_abolish_1sp.zip</v>
      </c>
    </row>
    <row r="9482" spans="1:21">
      <c r="A9482">
        <v>9481</v>
      </c>
      <c r="B9482" s="27" t="s">
        <v>1124</v>
      </c>
      <c r="D9482" s="27" t="s">
        <v>1859</v>
      </c>
      <c r="F9482" s="27" t="s">
        <v>1867</v>
      </c>
      <c r="H9482" s="27" t="s">
        <v>1868</v>
      </c>
      <c r="J9482" s="27" t="s">
        <v>1870</v>
      </c>
      <c r="L9482" s="27" t="s">
        <v>428</v>
      </c>
      <c r="N9482" s="27" t="s">
        <v>429</v>
      </c>
      <c r="P9482" s="27" t="s">
        <v>21954</v>
      </c>
      <c r="Q9482" s="26" t="str">
        <f>HYPERLINK("https://ictv.global/taxonomy/taxondetails?taxnode_id=202522761&amp;ictv_id=ICTV202522761","ICTV202522761")</f>
        <v>ICTV202522761</v>
      </c>
      <c r="R9482" t="s">
        <v>581</v>
      </c>
      <c r="S9482" t="s">
        <v>823</v>
      </c>
      <c r="T9482">
        <v>41</v>
      </c>
      <c r="U9482" s="26" t="str">
        <f>HYPERLINK("https://ictv.global/ictv/proposals/2025.019P.Closteroviridae_31nsp_abolish_1sp.zip","2025.019P.Closteroviridae_31nsp_abolish_1sp.zip")</f>
        <v>2025.019P.Closteroviridae_31nsp_abolish_1sp.zip</v>
      </c>
    </row>
    <row r="9483" spans="1:21">
      <c r="A9483">
        <v>9482</v>
      </c>
      <c r="B9483" s="27" t="s">
        <v>1124</v>
      </c>
      <c r="D9483" s="27" t="s">
        <v>1859</v>
      </c>
      <c r="F9483" s="27" t="s">
        <v>1867</v>
      </c>
      <c r="H9483" s="27" t="s">
        <v>1868</v>
      </c>
      <c r="J9483" s="27" t="s">
        <v>1870</v>
      </c>
      <c r="L9483" s="27" t="s">
        <v>428</v>
      </c>
      <c r="N9483" s="27" t="s">
        <v>429</v>
      </c>
      <c r="P9483" s="27" t="s">
        <v>21943</v>
      </c>
      <c r="Q9483" s="26" t="str">
        <f>HYPERLINK("https://ictv.global/taxonomy/taxondetails?taxnode_id=202522750&amp;ictv_id=ICTV202522750","ICTV202522750")</f>
        <v>ICTV202522750</v>
      </c>
      <c r="R9483" t="s">
        <v>581</v>
      </c>
      <c r="S9483" t="s">
        <v>823</v>
      </c>
      <c r="T9483">
        <v>41</v>
      </c>
      <c r="U9483" s="26" t="str">
        <f>HYPERLINK("https://ictv.global/ictv/proposals/2025.019P.Closteroviridae_31nsp_abolish_1sp.zip","2025.019P.Closteroviridae_31nsp_abolish_1sp.zip")</f>
        <v>2025.019P.Closteroviridae_31nsp_abolish_1sp.zip</v>
      </c>
    </row>
    <row r="9484" spans="1:21">
      <c r="A9484">
        <v>9483</v>
      </c>
      <c r="B9484" s="27" t="s">
        <v>1124</v>
      </c>
      <c r="D9484" s="27" t="s">
        <v>1859</v>
      </c>
      <c r="F9484" s="27" t="s">
        <v>1867</v>
      </c>
      <c r="H9484" s="27" t="s">
        <v>1868</v>
      </c>
      <c r="J9484" s="27" t="s">
        <v>1870</v>
      </c>
      <c r="L9484" s="27" t="s">
        <v>428</v>
      </c>
      <c r="N9484" s="27" t="s">
        <v>429</v>
      </c>
      <c r="P9484" s="27" t="s">
        <v>13843</v>
      </c>
      <c r="Q9484" s="26" t="str">
        <f>HYPERLINK("https://ictv.global/taxonomy/taxondetails?taxnode_id=202506656&amp;ictv_id=ICTV201856656","ICTV201856656")</f>
        <v>ICTV201856656</v>
      </c>
      <c r="R9484" t="s">
        <v>581</v>
      </c>
      <c r="S9484" t="s">
        <v>824</v>
      </c>
      <c r="T9484">
        <v>39</v>
      </c>
      <c r="U9484" s="26" t="str">
        <f>HYPERLINK("https://ictv.global/ictv/proposals/2023.030P.Closteroviridae_rename_sp.zip","2023.030P.Closteroviridae_rename_sp.zip")</f>
        <v>2023.030P.Closteroviridae_rename_sp.zip</v>
      </c>
    </row>
    <row r="9485" spans="1:21">
      <c r="A9485">
        <v>9484</v>
      </c>
      <c r="B9485" s="27" t="s">
        <v>1124</v>
      </c>
      <c r="D9485" s="27" t="s">
        <v>1859</v>
      </c>
      <c r="F9485" s="27" t="s">
        <v>1867</v>
      </c>
      <c r="H9485" s="27" t="s">
        <v>1868</v>
      </c>
      <c r="J9485" s="27" t="s">
        <v>1870</v>
      </c>
      <c r="L9485" s="27" t="s">
        <v>428</v>
      </c>
      <c r="N9485" s="27" t="s">
        <v>429</v>
      </c>
      <c r="P9485" s="27" t="s">
        <v>21953</v>
      </c>
      <c r="Q9485" s="26" t="str">
        <f>HYPERLINK("https://ictv.global/taxonomy/taxondetails?taxnode_id=202522760&amp;ictv_id=ICTV202522760","ICTV202522760")</f>
        <v>ICTV202522760</v>
      </c>
      <c r="R9485" t="s">
        <v>581</v>
      </c>
      <c r="S9485" t="s">
        <v>823</v>
      </c>
      <c r="T9485">
        <v>41</v>
      </c>
      <c r="U9485" s="26" t="str">
        <f>HYPERLINK("https://ictv.global/ictv/proposals/2025.019P.Closteroviridae_31nsp_abolish_1sp.zip","2025.019P.Closteroviridae_31nsp_abolish_1sp.zip")</f>
        <v>2025.019P.Closteroviridae_31nsp_abolish_1sp.zip</v>
      </c>
    </row>
    <row r="9486" spans="1:21">
      <c r="A9486">
        <v>9485</v>
      </c>
      <c r="B9486" s="27" t="s">
        <v>1124</v>
      </c>
      <c r="D9486" s="27" t="s">
        <v>1859</v>
      </c>
      <c r="F9486" s="27" t="s">
        <v>1867</v>
      </c>
      <c r="H9486" s="27" t="s">
        <v>1868</v>
      </c>
      <c r="J9486" s="27" t="s">
        <v>1870</v>
      </c>
      <c r="L9486" s="27" t="s">
        <v>428</v>
      </c>
      <c r="N9486" s="27" t="s">
        <v>429</v>
      </c>
      <c r="P9486" s="27" t="s">
        <v>13844</v>
      </c>
      <c r="Q9486" s="26" t="str">
        <f>HYPERLINK("https://ictv.global/taxonomy/taxondetails?taxnode_id=202508911&amp;ictv_id=ICTV202008911","ICTV202008911")</f>
        <v>ICTV202008911</v>
      </c>
      <c r="R9486" t="s">
        <v>581</v>
      </c>
      <c r="S9486" t="s">
        <v>824</v>
      </c>
      <c r="T9486">
        <v>39</v>
      </c>
      <c r="U9486" s="26" t="str">
        <f>HYPERLINK("https://ictv.global/ictv/proposals/2023.030P.Closteroviridae_rename_sp.zip","2023.030P.Closteroviridae_rename_sp.zip")</f>
        <v>2023.030P.Closteroviridae_rename_sp.zip</v>
      </c>
    </row>
    <row r="9487" spans="1:21">
      <c r="A9487">
        <v>9486</v>
      </c>
      <c r="B9487" s="27" t="s">
        <v>1124</v>
      </c>
      <c r="D9487" s="27" t="s">
        <v>1859</v>
      </c>
      <c r="F9487" s="27" t="s">
        <v>1867</v>
      </c>
      <c r="H9487" s="27" t="s">
        <v>1868</v>
      </c>
      <c r="J9487" s="27" t="s">
        <v>1870</v>
      </c>
      <c r="L9487" s="27" t="s">
        <v>428</v>
      </c>
      <c r="N9487" s="27" t="s">
        <v>429</v>
      </c>
      <c r="P9487" s="27" t="s">
        <v>13845</v>
      </c>
      <c r="Q9487" s="26" t="str">
        <f>HYPERLINK("https://ictv.global/taxonomy/taxondetails?taxnode_id=202502987&amp;ictv_id=ICTV20020797","ICTV20020797")</f>
        <v>ICTV20020797</v>
      </c>
      <c r="R9487" t="s">
        <v>581</v>
      </c>
      <c r="S9487" t="s">
        <v>824</v>
      </c>
      <c r="T9487">
        <v>39</v>
      </c>
      <c r="U9487" s="26" t="str">
        <f>HYPERLINK("https://ictv.global/ictv/proposals/2023.030P.Closteroviridae_rename_sp.zip","2023.030P.Closteroviridae_rename_sp.zip")</f>
        <v>2023.030P.Closteroviridae_rename_sp.zip</v>
      </c>
    </row>
    <row r="9488" spans="1:21">
      <c r="A9488">
        <v>9487</v>
      </c>
      <c r="B9488" s="27" t="s">
        <v>1124</v>
      </c>
      <c r="D9488" s="27" t="s">
        <v>1859</v>
      </c>
      <c r="F9488" s="27" t="s">
        <v>1867</v>
      </c>
      <c r="H9488" s="27" t="s">
        <v>1868</v>
      </c>
      <c r="J9488" s="27" t="s">
        <v>1870</v>
      </c>
      <c r="L9488" s="27" t="s">
        <v>428</v>
      </c>
      <c r="N9488" s="27" t="s">
        <v>429</v>
      </c>
      <c r="P9488" s="27" t="s">
        <v>21945</v>
      </c>
      <c r="Q9488" s="26" t="str">
        <f>HYPERLINK("https://ictv.global/taxonomy/taxondetails?taxnode_id=202522752&amp;ictv_id=ICTV202522752","ICTV202522752")</f>
        <v>ICTV202522752</v>
      </c>
      <c r="R9488" t="s">
        <v>581</v>
      </c>
      <c r="S9488" t="s">
        <v>823</v>
      </c>
      <c r="T9488">
        <v>41</v>
      </c>
      <c r="U9488" s="26" t="str">
        <f>HYPERLINK("https://ictv.global/ictv/proposals/2025.019P.Closteroviridae_31nsp_abolish_1sp.zip","2025.019P.Closteroviridae_31nsp_abolish_1sp.zip")</f>
        <v>2025.019P.Closteroviridae_31nsp_abolish_1sp.zip</v>
      </c>
    </row>
    <row r="9489" spans="1:21">
      <c r="A9489">
        <v>9488</v>
      </c>
      <c r="B9489" s="27" t="s">
        <v>1124</v>
      </c>
      <c r="D9489" s="27" t="s">
        <v>1859</v>
      </c>
      <c r="F9489" s="27" t="s">
        <v>1867</v>
      </c>
      <c r="H9489" s="27" t="s">
        <v>1868</v>
      </c>
      <c r="J9489" s="27" t="s">
        <v>1870</v>
      </c>
      <c r="L9489" s="27" t="s">
        <v>428</v>
      </c>
      <c r="N9489" s="27" t="s">
        <v>429</v>
      </c>
      <c r="P9489" s="27" t="s">
        <v>21947</v>
      </c>
      <c r="Q9489" s="26" t="str">
        <f>HYPERLINK("https://ictv.global/taxonomy/taxondetails?taxnode_id=202522754&amp;ictv_id=ICTV202522754","ICTV202522754")</f>
        <v>ICTV202522754</v>
      </c>
      <c r="R9489" t="s">
        <v>581</v>
      </c>
      <c r="S9489" t="s">
        <v>823</v>
      </c>
      <c r="T9489">
        <v>41</v>
      </c>
      <c r="U9489" s="26" t="str">
        <f>HYPERLINK("https://ictv.global/ictv/proposals/2025.019P.Closteroviridae_31nsp_abolish_1sp.zip","2025.019P.Closteroviridae_31nsp_abolish_1sp.zip")</f>
        <v>2025.019P.Closteroviridae_31nsp_abolish_1sp.zip</v>
      </c>
    </row>
    <row r="9490" spans="1:21">
      <c r="A9490">
        <v>9489</v>
      </c>
      <c r="B9490" s="27" t="s">
        <v>1124</v>
      </c>
      <c r="D9490" s="27" t="s">
        <v>1859</v>
      </c>
      <c r="F9490" s="27" t="s">
        <v>1867</v>
      </c>
      <c r="H9490" s="27" t="s">
        <v>1868</v>
      </c>
      <c r="J9490" s="27" t="s">
        <v>1870</v>
      </c>
      <c r="L9490" s="27" t="s">
        <v>428</v>
      </c>
      <c r="N9490" s="27" t="s">
        <v>429</v>
      </c>
      <c r="P9490" s="27" t="s">
        <v>21950</v>
      </c>
      <c r="Q9490" s="26" t="str">
        <f>HYPERLINK("https://ictv.global/taxonomy/taxondetails?taxnode_id=202522757&amp;ictv_id=ICTV202522757","ICTV202522757")</f>
        <v>ICTV202522757</v>
      </c>
      <c r="R9490" t="s">
        <v>581</v>
      </c>
      <c r="S9490" t="s">
        <v>823</v>
      </c>
      <c r="T9490">
        <v>41</v>
      </c>
      <c r="U9490" s="26" t="str">
        <f>HYPERLINK("https://ictv.global/ictv/proposals/2025.019P.Closteroviridae_31nsp_abolish_1sp.zip","2025.019P.Closteroviridae_31nsp_abolish_1sp.zip")</f>
        <v>2025.019P.Closteroviridae_31nsp_abolish_1sp.zip</v>
      </c>
    </row>
    <row r="9491" spans="1:21">
      <c r="A9491">
        <v>9490</v>
      </c>
      <c r="B9491" s="27" t="s">
        <v>1124</v>
      </c>
      <c r="D9491" s="27" t="s">
        <v>1859</v>
      </c>
      <c r="F9491" s="27" t="s">
        <v>1867</v>
      </c>
      <c r="H9491" s="27" t="s">
        <v>1868</v>
      </c>
      <c r="J9491" s="27" t="s">
        <v>1870</v>
      </c>
      <c r="L9491" s="27" t="s">
        <v>428</v>
      </c>
      <c r="N9491" s="27" t="s">
        <v>429</v>
      </c>
      <c r="P9491" s="27" t="s">
        <v>21955</v>
      </c>
      <c r="Q9491" s="26" t="str">
        <f>HYPERLINK("https://ictv.global/taxonomy/taxondetails?taxnode_id=202522762&amp;ictv_id=ICTV202522762","ICTV202522762")</f>
        <v>ICTV202522762</v>
      </c>
      <c r="R9491" t="s">
        <v>581</v>
      </c>
      <c r="S9491" t="s">
        <v>823</v>
      </c>
      <c r="T9491">
        <v>41</v>
      </c>
      <c r="U9491" s="26" t="str">
        <f>HYPERLINK("https://ictv.global/ictv/proposals/2025.019P.Closteroviridae_31nsp_abolish_1sp.zip","2025.019P.Closteroviridae_31nsp_abolish_1sp.zip")</f>
        <v>2025.019P.Closteroviridae_31nsp_abolish_1sp.zip</v>
      </c>
    </row>
    <row r="9492" spans="1:21">
      <c r="A9492">
        <v>9491</v>
      </c>
      <c r="B9492" s="27" t="s">
        <v>1124</v>
      </c>
      <c r="D9492" s="27" t="s">
        <v>1859</v>
      </c>
      <c r="F9492" s="27" t="s">
        <v>1867</v>
      </c>
      <c r="H9492" s="27" t="s">
        <v>1868</v>
      </c>
      <c r="J9492" s="27" t="s">
        <v>1870</v>
      </c>
      <c r="L9492" s="27" t="s">
        <v>428</v>
      </c>
      <c r="N9492" s="27" t="s">
        <v>429</v>
      </c>
      <c r="P9492" s="27" t="s">
        <v>13846</v>
      </c>
      <c r="Q9492" s="26" t="str">
        <f>HYPERLINK("https://ictv.global/taxonomy/taxondetails?taxnode_id=202502985&amp;ictv_id=ICTV20020795","ICTV20020795")</f>
        <v>ICTV20020795</v>
      </c>
      <c r="R9492" t="s">
        <v>581</v>
      </c>
      <c r="S9492" t="s">
        <v>824</v>
      </c>
      <c r="T9492">
        <v>39</v>
      </c>
      <c r="U9492" s="26" t="str">
        <f>HYPERLINK("https://ictv.global/ictv/proposals/2023.030P.Closteroviridae_rename_sp.zip","2023.030P.Closteroviridae_rename_sp.zip")</f>
        <v>2023.030P.Closteroviridae_rename_sp.zip</v>
      </c>
    </row>
    <row r="9493" spans="1:21">
      <c r="A9493">
        <v>9492</v>
      </c>
      <c r="B9493" s="27" t="s">
        <v>1124</v>
      </c>
      <c r="D9493" s="27" t="s">
        <v>1859</v>
      </c>
      <c r="F9493" s="27" t="s">
        <v>1867</v>
      </c>
      <c r="H9493" s="27" t="s">
        <v>1868</v>
      </c>
      <c r="J9493" s="27" t="s">
        <v>1870</v>
      </c>
      <c r="L9493" s="27" t="s">
        <v>428</v>
      </c>
      <c r="N9493" s="27" t="s">
        <v>429</v>
      </c>
      <c r="P9493" s="27" t="s">
        <v>21948</v>
      </c>
      <c r="Q9493" s="26" t="str">
        <f>HYPERLINK("https://ictv.global/taxonomy/taxondetails?taxnode_id=202522755&amp;ictv_id=ICTV202522755","ICTV202522755")</f>
        <v>ICTV202522755</v>
      </c>
      <c r="R9493" t="s">
        <v>581</v>
      </c>
      <c r="S9493" t="s">
        <v>823</v>
      </c>
      <c r="T9493">
        <v>41</v>
      </c>
      <c r="U9493" s="26" t="str">
        <f>HYPERLINK("https://ictv.global/ictv/proposals/2025.019P.Closteroviridae_31nsp_abolish_1sp.zip","2025.019P.Closteroviridae_31nsp_abolish_1sp.zip")</f>
        <v>2025.019P.Closteroviridae_31nsp_abolish_1sp.zip</v>
      </c>
    </row>
    <row r="9494" spans="1:21">
      <c r="A9494">
        <v>9493</v>
      </c>
      <c r="B9494" s="27" t="s">
        <v>1124</v>
      </c>
      <c r="D9494" s="27" t="s">
        <v>1859</v>
      </c>
      <c r="F9494" s="27" t="s">
        <v>1867</v>
      </c>
      <c r="H9494" s="27" t="s">
        <v>1868</v>
      </c>
      <c r="J9494" s="27" t="s">
        <v>1870</v>
      </c>
      <c r="L9494" s="27" t="s">
        <v>428</v>
      </c>
      <c r="N9494" s="27" t="s">
        <v>429</v>
      </c>
      <c r="P9494" s="27" t="s">
        <v>21949</v>
      </c>
      <c r="Q9494" s="26" t="str">
        <f>HYPERLINK("https://ictv.global/taxonomy/taxondetails?taxnode_id=202522756&amp;ictv_id=ICTV202522756","ICTV202522756")</f>
        <v>ICTV202522756</v>
      </c>
      <c r="R9494" t="s">
        <v>581</v>
      </c>
      <c r="S9494" t="s">
        <v>823</v>
      </c>
      <c r="T9494">
        <v>41</v>
      </c>
      <c r="U9494" s="26" t="str">
        <f>HYPERLINK("https://ictv.global/ictv/proposals/2025.019P.Closteroviridae_31nsp_abolish_1sp.zip","2025.019P.Closteroviridae_31nsp_abolish_1sp.zip")</f>
        <v>2025.019P.Closteroviridae_31nsp_abolish_1sp.zip</v>
      </c>
    </row>
    <row r="9495" spans="1:21">
      <c r="A9495">
        <v>9494</v>
      </c>
      <c r="B9495" s="27" t="s">
        <v>1124</v>
      </c>
      <c r="D9495" s="27" t="s">
        <v>1859</v>
      </c>
      <c r="F9495" s="27" t="s">
        <v>1867</v>
      </c>
      <c r="H9495" s="27" t="s">
        <v>1868</v>
      </c>
      <c r="J9495" s="27" t="s">
        <v>1870</v>
      </c>
      <c r="L9495" s="27" t="s">
        <v>428</v>
      </c>
      <c r="N9495" s="27" t="s">
        <v>429</v>
      </c>
      <c r="P9495" s="27" t="s">
        <v>21956</v>
      </c>
      <c r="Q9495" s="26" t="str">
        <f>HYPERLINK("https://ictv.global/taxonomy/taxondetails?taxnode_id=202522763&amp;ictv_id=ICTV202522763","ICTV202522763")</f>
        <v>ICTV202522763</v>
      </c>
      <c r="R9495" t="s">
        <v>581</v>
      </c>
      <c r="S9495" t="s">
        <v>823</v>
      </c>
      <c r="T9495">
        <v>41</v>
      </c>
      <c r="U9495" s="26" t="str">
        <f>HYPERLINK("https://ictv.global/ictv/proposals/2025.019P.Closteroviridae_31nsp_abolish_1sp.zip","2025.019P.Closteroviridae_31nsp_abolish_1sp.zip")</f>
        <v>2025.019P.Closteroviridae_31nsp_abolish_1sp.zip</v>
      </c>
    </row>
    <row r="9496" spans="1:21">
      <c r="A9496">
        <v>9495</v>
      </c>
      <c r="B9496" s="27" t="s">
        <v>1124</v>
      </c>
      <c r="D9496" s="27" t="s">
        <v>1859</v>
      </c>
      <c r="F9496" s="27" t="s">
        <v>1867</v>
      </c>
      <c r="H9496" s="27" t="s">
        <v>1868</v>
      </c>
      <c r="J9496" s="27" t="s">
        <v>1870</v>
      </c>
      <c r="L9496" s="27" t="s">
        <v>428</v>
      </c>
      <c r="N9496" s="27" t="s">
        <v>429</v>
      </c>
      <c r="P9496" s="27" t="s">
        <v>13847</v>
      </c>
      <c r="Q9496" s="26" t="str">
        <f>HYPERLINK("https://ictv.global/taxonomy/taxondetails?taxnode_id=202507265&amp;ictv_id=ICTV201907265","ICTV201907265")</f>
        <v>ICTV201907265</v>
      </c>
      <c r="R9496" t="s">
        <v>581</v>
      </c>
      <c r="S9496" t="s">
        <v>824</v>
      </c>
      <c r="T9496">
        <v>39</v>
      </c>
      <c r="U9496" s="26" t="str">
        <f>HYPERLINK("https://ictv.global/ictv/proposals/2023.030P.Closteroviridae_rename_sp.zip","2023.030P.Closteroviridae_rename_sp.zip")</f>
        <v>2023.030P.Closteroviridae_rename_sp.zip</v>
      </c>
    </row>
    <row r="9497" spans="1:21">
      <c r="A9497">
        <v>9496</v>
      </c>
      <c r="B9497" s="27" t="s">
        <v>1124</v>
      </c>
      <c r="D9497" s="27" t="s">
        <v>1859</v>
      </c>
      <c r="F9497" s="27" t="s">
        <v>1867</v>
      </c>
      <c r="H9497" s="27" t="s">
        <v>1868</v>
      </c>
      <c r="J9497" s="27" t="s">
        <v>1870</v>
      </c>
      <c r="L9497" s="27" t="s">
        <v>428</v>
      </c>
      <c r="N9497" s="27" t="s">
        <v>429</v>
      </c>
      <c r="P9497" s="27" t="s">
        <v>13848</v>
      </c>
      <c r="Q9497" s="26" t="str">
        <f>HYPERLINK("https://ictv.global/taxonomy/taxondetails?taxnode_id=202502989&amp;ictv_id=ICTV20093492","ICTV20093492")</f>
        <v>ICTV20093492</v>
      </c>
      <c r="R9497" t="s">
        <v>581</v>
      </c>
      <c r="S9497" t="s">
        <v>824</v>
      </c>
      <c r="T9497">
        <v>39</v>
      </c>
      <c r="U9497" s="26" t="str">
        <f>HYPERLINK("https://ictv.global/ictv/proposals/2023.030P.Closteroviridae_rename_sp.zip","2023.030P.Closteroviridae_rename_sp.zip")</f>
        <v>2023.030P.Closteroviridae_rename_sp.zip</v>
      </c>
    </row>
    <row r="9498" spans="1:21">
      <c r="A9498">
        <v>9497</v>
      </c>
      <c r="B9498" s="27" t="s">
        <v>1124</v>
      </c>
      <c r="D9498" s="27" t="s">
        <v>1859</v>
      </c>
      <c r="F9498" s="27" t="s">
        <v>1867</v>
      </c>
      <c r="H9498" s="27" t="s">
        <v>1868</v>
      </c>
      <c r="J9498" s="27" t="s">
        <v>1870</v>
      </c>
      <c r="L9498" s="27" t="s">
        <v>428</v>
      </c>
      <c r="N9498" s="27" t="s">
        <v>429</v>
      </c>
      <c r="P9498" s="27" t="s">
        <v>21952</v>
      </c>
      <c r="Q9498" s="26" t="str">
        <f>HYPERLINK("https://ictv.global/taxonomy/taxondetails?taxnode_id=202522759&amp;ictv_id=ICTV202522759","ICTV202522759")</f>
        <v>ICTV202522759</v>
      </c>
      <c r="R9498" t="s">
        <v>581</v>
      </c>
      <c r="S9498" t="s">
        <v>823</v>
      </c>
      <c r="T9498">
        <v>41</v>
      </c>
      <c r="U9498" s="26" t="str">
        <f>HYPERLINK("https://ictv.global/ictv/proposals/2025.019P.Closteroviridae_31nsp_abolish_1sp.zip","2025.019P.Closteroviridae_31nsp_abolish_1sp.zip")</f>
        <v>2025.019P.Closteroviridae_31nsp_abolish_1sp.zip</v>
      </c>
    </row>
    <row r="9499" spans="1:21">
      <c r="A9499">
        <v>9498</v>
      </c>
      <c r="B9499" s="27" t="s">
        <v>1124</v>
      </c>
      <c r="D9499" s="27" t="s">
        <v>1859</v>
      </c>
      <c r="F9499" s="27" t="s">
        <v>1867</v>
      </c>
      <c r="H9499" s="27" t="s">
        <v>1868</v>
      </c>
      <c r="J9499" s="27" t="s">
        <v>1870</v>
      </c>
      <c r="L9499" s="27" t="s">
        <v>428</v>
      </c>
      <c r="N9499" s="27" t="s">
        <v>429</v>
      </c>
      <c r="P9499" s="27" t="s">
        <v>21951</v>
      </c>
      <c r="Q9499" s="26" t="str">
        <f>HYPERLINK("https://ictv.global/taxonomy/taxondetails?taxnode_id=202522758&amp;ictv_id=ICTV202522758","ICTV202522758")</f>
        <v>ICTV202522758</v>
      </c>
      <c r="R9499" t="s">
        <v>581</v>
      </c>
      <c r="S9499" t="s">
        <v>823</v>
      </c>
      <c r="T9499">
        <v>41</v>
      </c>
      <c r="U9499" s="26" t="str">
        <f>HYPERLINK("https://ictv.global/ictv/proposals/2025.019P.Closteroviridae_31nsp_abolish_1sp.zip","2025.019P.Closteroviridae_31nsp_abolish_1sp.zip")</f>
        <v>2025.019P.Closteroviridae_31nsp_abolish_1sp.zip</v>
      </c>
    </row>
    <row r="9500" spans="1:21">
      <c r="A9500">
        <v>9499</v>
      </c>
      <c r="B9500" s="27" t="s">
        <v>1124</v>
      </c>
      <c r="D9500" s="27" t="s">
        <v>1859</v>
      </c>
      <c r="F9500" s="27" t="s">
        <v>1867</v>
      </c>
      <c r="H9500" s="27" t="s">
        <v>1868</v>
      </c>
      <c r="J9500" s="27" t="s">
        <v>1870</v>
      </c>
      <c r="L9500" s="27" t="s">
        <v>428</v>
      </c>
      <c r="N9500" s="27" t="s">
        <v>429</v>
      </c>
      <c r="P9500" s="27" t="s">
        <v>13849</v>
      </c>
      <c r="Q9500" s="26" t="str">
        <f>HYPERLINK("https://ictv.global/taxonomy/taxondetails?taxnode_id=202502984&amp;ictv_id=ICTV20125734","ICTV20125734")</f>
        <v>ICTV20125734</v>
      </c>
      <c r="R9500" t="s">
        <v>581</v>
      </c>
      <c r="S9500" t="s">
        <v>824</v>
      </c>
      <c r="T9500">
        <v>39</v>
      </c>
      <c r="U9500" s="26" t="str">
        <f>HYPERLINK("https://ictv.global/ictv/proposals/2023.030P.Closteroviridae_rename_sp.zip","2023.030P.Closteroviridae_rename_sp.zip")</f>
        <v>2023.030P.Closteroviridae_rename_sp.zip</v>
      </c>
    </row>
    <row r="9501" spans="1:21">
      <c r="A9501">
        <v>9500</v>
      </c>
      <c r="B9501" s="27" t="s">
        <v>1124</v>
      </c>
      <c r="D9501" s="27" t="s">
        <v>1859</v>
      </c>
      <c r="F9501" s="27" t="s">
        <v>1867</v>
      </c>
      <c r="H9501" s="27" t="s">
        <v>1868</v>
      </c>
      <c r="J9501" s="27" t="s">
        <v>1870</v>
      </c>
      <c r="L9501" s="27" t="s">
        <v>428</v>
      </c>
      <c r="N9501" s="27" t="s">
        <v>429</v>
      </c>
      <c r="P9501" s="27" t="s">
        <v>13850</v>
      </c>
      <c r="Q9501" s="26" t="str">
        <f>HYPERLINK("https://ictv.global/taxonomy/taxondetails?taxnode_id=202505771&amp;ictv_id=ICTV20175771","ICTV20175771")</f>
        <v>ICTV20175771</v>
      </c>
      <c r="R9501" t="s">
        <v>581</v>
      </c>
      <c r="S9501" t="s">
        <v>824</v>
      </c>
      <c r="T9501">
        <v>39</v>
      </c>
      <c r="U9501" s="26" t="str">
        <f>HYPERLINK("https://ictv.global/ictv/proposals/2023.030P.Closteroviridae_rename_sp.zip","2023.030P.Closteroviridae_rename_sp.zip")</f>
        <v>2023.030P.Closteroviridae_rename_sp.zip</v>
      </c>
    </row>
    <row r="9502" spans="1:21">
      <c r="A9502">
        <v>9501</v>
      </c>
      <c r="B9502" s="27" t="s">
        <v>1124</v>
      </c>
      <c r="D9502" s="27" t="s">
        <v>1859</v>
      </c>
      <c r="F9502" s="27" t="s">
        <v>1867</v>
      </c>
      <c r="H9502" s="27" t="s">
        <v>1868</v>
      </c>
      <c r="J9502" s="27" t="s">
        <v>1870</v>
      </c>
      <c r="L9502" s="27" t="s">
        <v>428</v>
      </c>
      <c r="N9502" s="27" t="s">
        <v>429</v>
      </c>
      <c r="P9502" s="27" t="s">
        <v>13851</v>
      </c>
      <c r="Q9502" s="26" t="str">
        <f>HYPERLINK("https://ictv.global/taxonomy/taxondetails?taxnode_id=202502988&amp;ictv_id=ICTV20093491","ICTV20093491")</f>
        <v>ICTV20093491</v>
      </c>
      <c r="R9502" t="s">
        <v>581</v>
      </c>
      <c r="S9502" t="s">
        <v>824</v>
      </c>
      <c r="T9502">
        <v>39</v>
      </c>
      <c r="U9502" s="26" t="str">
        <f>HYPERLINK("https://ictv.global/ictv/proposals/2023.030P.Closteroviridae_rename_sp.zip","2023.030P.Closteroviridae_rename_sp.zip")</f>
        <v>2023.030P.Closteroviridae_rename_sp.zip</v>
      </c>
    </row>
    <row r="9503" spans="1:21">
      <c r="A9503">
        <v>9502</v>
      </c>
      <c r="B9503" s="27" t="s">
        <v>1124</v>
      </c>
      <c r="D9503" s="27" t="s">
        <v>1859</v>
      </c>
      <c r="F9503" s="27" t="s">
        <v>1867</v>
      </c>
      <c r="H9503" s="27" t="s">
        <v>1868</v>
      </c>
      <c r="J9503" s="27" t="s">
        <v>1870</v>
      </c>
      <c r="L9503" s="27" t="s">
        <v>428</v>
      </c>
      <c r="N9503" s="27" t="s">
        <v>429</v>
      </c>
      <c r="P9503" s="27" t="s">
        <v>13852</v>
      </c>
      <c r="Q9503" s="26" t="str">
        <f>HYPERLINK("https://ictv.global/taxonomy/taxondetails?taxnode_id=202502983&amp;ictv_id=ICTV19990748","ICTV19990748")</f>
        <v>ICTV19990748</v>
      </c>
      <c r="R9503" t="s">
        <v>581</v>
      </c>
      <c r="S9503" t="s">
        <v>824</v>
      </c>
      <c r="T9503">
        <v>39</v>
      </c>
      <c r="U9503" s="26" t="str">
        <f>HYPERLINK("https://ictv.global/ictv/proposals/2023.030P.Closteroviridae_rename_sp.zip","2023.030P.Closteroviridae_rename_sp.zip")</f>
        <v>2023.030P.Closteroviridae_rename_sp.zip</v>
      </c>
    </row>
    <row r="9504" spans="1:21">
      <c r="A9504">
        <v>9503</v>
      </c>
      <c r="B9504" s="27" t="s">
        <v>1124</v>
      </c>
      <c r="D9504" s="27" t="s">
        <v>1859</v>
      </c>
      <c r="F9504" s="27" t="s">
        <v>1867</v>
      </c>
      <c r="H9504" s="27" t="s">
        <v>1868</v>
      </c>
      <c r="J9504" s="27" t="s">
        <v>1870</v>
      </c>
      <c r="L9504" s="27" t="s">
        <v>428</v>
      </c>
      <c r="N9504" s="27" t="s">
        <v>429</v>
      </c>
      <c r="P9504" s="27" t="s">
        <v>13853</v>
      </c>
      <c r="Q9504" s="26" t="str">
        <f>HYPERLINK("https://ictv.global/taxonomy/taxondetails?taxnode_id=202502986&amp;ictv_id=ICTV20020796","ICTV20020796")</f>
        <v>ICTV20020796</v>
      </c>
      <c r="R9504" t="s">
        <v>581</v>
      </c>
      <c r="S9504" t="s">
        <v>824</v>
      </c>
      <c r="T9504">
        <v>39</v>
      </c>
      <c r="U9504" s="26" t="str">
        <f>HYPERLINK("https://ictv.global/ictv/proposals/2023.030P.Closteroviridae_rename_sp.zip","2023.030P.Closteroviridae_rename_sp.zip")</f>
        <v>2023.030P.Closteroviridae_rename_sp.zip</v>
      </c>
    </row>
    <row r="9505" spans="1:21">
      <c r="A9505">
        <v>9504</v>
      </c>
      <c r="B9505" s="27" t="s">
        <v>1124</v>
      </c>
      <c r="D9505" s="27" t="s">
        <v>1859</v>
      </c>
      <c r="F9505" s="27" t="s">
        <v>1867</v>
      </c>
      <c r="H9505" s="27" t="s">
        <v>1868</v>
      </c>
      <c r="J9505" s="27" t="s">
        <v>1870</v>
      </c>
      <c r="L9505" s="27" t="s">
        <v>428</v>
      </c>
      <c r="N9505" s="27" t="s">
        <v>429</v>
      </c>
      <c r="P9505" s="27" t="s">
        <v>21944</v>
      </c>
      <c r="Q9505" s="26" t="str">
        <f>HYPERLINK("https://ictv.global/taxonomy/taxondetails?taxnode_id=202522751&amp;ictv_id=ICTV202522751","ICTV202522751")</f>
        <v>ICTV202522751</v>
      </c>
      <c r="R9505" t="s">
        <v>581</v>
      </c>
      <c r="S9505" t="s">
        <v>823</v>
      </c>
      <c r="T9505">
        <v>41</v>
      </c>
      <c r="U9505" s="26" t="str">
        <f>HYPERLINK("https://ictv.global/ictv/proposals/2025.019P.Closteroviridae_31nsp_abolish_1sp.zip","2025.019P.Closteroviridae_31nsp_abolish_1sp.zip")</f>
        <v>2025.019P.Closteroviridae_31nsp_abolish_1sp.zip</v>
      </c>
    </row>
    <row r="9506" spans="1:21">
      <c r="A9506">
        <v>9505</v>
      </c>
      <c r="B9506" s="27" t="s">
        <v>1124</v>
      </c>
      <c r="D9506" s="27" t="s">
        <v>1859</v>
      </c>
      <c r="F9506" s="27" t="s">
        <v>1867</v>
      </c>
      <c r="H9506" s="27" t="s">
        <v>1868</v>
      </c>
      <c r="J9506" s="27" t="s">
        <v>1870</v>
      </c>
      <c r="L9506" s="27" t="s">
        <v>428</v>
      </c>
      <c r="N9506" s="27" t="s">
        <v>429</v>
      </c>
      <c r="P9506" s="27" t="s">
        <v>13854</v>
      </c>
      <c r="Q9506" s="26" t="str">
        <f>HYPERLINK("https://ictv.global/taxonomy/taxondetails?taxnode_id=202502982&amp;ictv_id=ICTV20020793","ICTV20020793")</f>
        <v>ICTV20020793</v>
      </c>
      <c r="R9506" t="s">
        <v>581</v>
      </c>
      <c r="S9506" t="s">
        <v>824</v>
      </c>
      <c r="T9506">
        <v>39</v>
      </c>
      <c r="U9506" s="26" t="str">
        <f>HYPERLINK("https://ictv.global/ictv/proposals/2023.030P.Closteroviridae_rename_sp.zip","2023.030P.Closteroviridae_rename_sp.zip")</f>
        <v>2023.030P.Closteroviridae_rename_sp.zip</v>
      </c>
    </row>
    <row r="9507" spans="1:21">
      <c r="A9507">
        <v>9506</v>
      </c>
      <c r="B9507" s="27" t="s">
        <v>1124</v>
      </c>
      <c r="D9507" s="27" t="s">
        <v>1859</v>
      </c>
      <c r="F9507" s="27" t="s">
        <v>1867</v>
      </c>
      <c r="H9507" s="27" t="s">
        <v>1868</v>
      </c>
      <c r="J9507" s="27" t="s">
        <v>1870</v>
      </c>
      <c r="L9507" s="27" t="s">
        <v>428</v>
      </c>
      <c r="N9507" s="27" t="s">
        <v>429</v>
      </c>
      <c r="P9507" s="27" t="s">
        <v>21946</v>
      </c>
      <c r="Q9507" s="26" t="str">
        <f>HYPERLINK("https://ictv.global/taxonomy/taxondetails?taxnode_id=202522753&amp;ictv_id=ICTV202522753","ICTV202522753")</f>
        <v>ICTV202522753</v>
      </c>
      <c r="R9507" t="s">
        <v>581</v>
      </c>
      <c r="S9507" t="s">
        <v>823</v>
      </c>
      <c r="T9507">
        <v>41</v>
      </c>
      <c r="U9507" s="26" t="str">
        <f>HYPERLINK("https://ictv.global/ictv/proposals/2025.019P.Closteroviridae_31nsp_abolish_1sp.zip","2025.019P.Closteroviridae_31nsp_abolish_1sp.zip")</f>
        <v>2025.019P.Closteroviridae_31nsp_abolish_1sp.zip</v>
      </c>
    </row>
    <row r="9508" spans="1:21">
      <c r="A9508">
        <v>9507</v>
      </c>
      <c r="B9508" s="27" t="s">
        <v>1124</v>
      </c>
      <c r="D9508" s="27" t="s">
        <v>1859</v>
      </c>
      <c r="F9508" s="27" t="s">
        <v>1867</v>
      </c>
      <c r="H9508" s="27" t="s">
        <v>1868</v>
      </c>
      <c r="J9508" s="27" t="s">
        <v>1870</v>
      </c>
      <c r="L9508" s="27" t="s">
        <v>428</v>
      </c>
      <c r="N9508" s="27" t="s">
        <v>429</v>
      </c>
      <c r="P9508" s="27" t="s">
        <v>13855</v>
      </c>
      <c r="Q9508" s="26" t="str">
        <f>HYPERLINK("https://ictv.global/taxonomy/taxondetails?taxnode_id=202502981&amp;ictv_id=ICTV20152375","ICTV20152375")</f>
        <v>ICTV20152375</v>
      </c>
      <c r="R9508" t="s">
        <v>581</v>
      </c>
      <c r="S9508" t="s">
        <v>824</v>
      </c>
      <c r="T9508">
        <v>39</v>
      </c>
      <c r="U9508" s="26" t="str">
        <f>HYPERLINK("https://ictv.global/ictv/proposals/2023.030P.Closteroviridae_rename_sp.zip","2023.030P.Closteroviridae_rename_sp.zip")</f>
        <v>2023.030P.Closteroviridae_rename_sp.zip</v>
      </c>
    </row>
    <row r="9509" spans="1:21">
      <c r="A9509">
        <v>9508</v>
      </c>
      <c r="B9509" s="27" t="s">
        <v>1124</v>
      </c>
      <c r="D9509" s="27" t="s">
        <v>1859</v>
      </c>
      <c r="F9509" s="27" t="s">
        <v>1867</v>
      </c>
      <c r="H9509" s="27" t="s">
        <v>1868</v>
      </c>
      <c r="J9509" s="27" t="s">
        <v>1870</v>
      </c>
      <c r="L9509" s="27" t="s">
        <v>428</v>
      </c>
      <c r="N9509" s="27" t="s">
        <v>8818</v>
      </c>
      <c r="P9509" s="27" t="s">
        <v>13856</v>
      </c>
      <c r="Q9509" s="26" t="str">
        <f>HYPERLINK("https://ictv.global/taxonomy/taxondetails?taxnode_id=202503021&amp;ictv_id=ICTV20152407","ICTV20152407")</f>
        <v>ICTV20152407</v>
      </c>
      <c r="R9509" t="s">
        <v>581</v>
      </c>
      <c r="S9509" t="s">
        <v>824</v>
      </c>
      <c r="T9509">
        <v>39</v>
      </c>
      <c r="U9509" s="26" t="str">
        <f>HYPERLINK("https://ictv.global/ictv/proposals/2023.030P.Closteroviridae_rename_sp.zip","2023.030P.Closteroviridae_rename_sp.zip")</f>
        <v>2023.030P.Closteroviridae_rename_sp.zip</v>
      </c>
    </row>
    <row r="9510" spans="1:21">
      <c r="A9510">
        <v>9509</v>
      </c>
      <c r="B9510" s="27" t="s">
        <v>1124</v>
      </c>
      <c r="D9510" s="27" t="s">
        <v>1859</v>
      </c>
      <c r="F9510" s="27" t="s">
        <v>1867</v>
      </c>
      <c r="H9510" s="27" t="s">
        <v>1868</v>
      </c>
      <c r="J9510" s="27" t="s">
        <v>1870</v>
      </c>
      <c r="L9510" s="27" t="s">
        <v>428</v>
      </c>
      <c r="N9510" s="27" t="s">
        <v>453</v>
      </c>
      <c r="P9510" s="27" t="s">
        <v>21957</v>
      </c>
      <c r="Q9510" s="26" t="str">
        <f>HYPERLINK("https://ictv.global/taxonomy/taxondetails?taxnode_id=202522764&amp;ictv_id=ICTV202522764","ICTV202522764")</f>
        <v>ICTV202522764</v>
      </c>
      <c r="R9510" t="s">
        <v>581</v>
      </c>
      <c r="S9510" t="s">
        <v>823</v>
      </c>
      <c r="T9510">
        <v>41</v>
      </c>
      <c r="U9510" s="26" t="str">
        <f>HYPERLINK("https://ictv.global/ictv/proposals/2025.019P.Closteroviridae_31nsp_abolish_1sp.zip","2025.019P.Closteroviridae_31nsp_abolish_1sp.zip")</f>
        <v>2025.019P.Closteroviridae_31nsp_abolish_1sp.zip</v>
      </c>
    </row>
    <row r="9511" spans="1:21">
      <c r="A9511">
        <v>9510</v>
      </c>
      <c r="B9511" s="27" t="s">
        <v>1124</v>
      </c>
      <c r="D9511" s="27" t="s">
        <v>1859</v>
      </c>
      <c r="F9511" s="27" t="s">
        <v>1867</v>
      </c>
      <c r="H9511" s="27" t="s">
        <v>1868</v>
      </c>
      <c r="J9511" s="27" t="s">
        <v>1870</v>
      </c>
      <c r="L9511" s="27" t="s">
        <v>428</v>
      </c>
      <c r="N9511" s="27" t="s">
        <v>453</v>
      </c>
      <c r="P9511" s="27" t="s">
        <v>13857</v>
      </c>
      <c r="Q9511" s="26" t="str">
        <f>HYPERLINK("https://ictv.global/taxonomy/taxondetails?taxnode_id=202507262&amp;ictv_id=ICTV201907262","ICTV201907262")</f>
        <v>ICTV201907262</v>
      </c>
      <c r="R9511" t="s">
        <v>581</v>
      </c>
      <c r="S9511" t="s">
        <v>824</v>
      </c>
      <c r="T9511">
        <v>39</v>
      </c>
      <c r="U9511" s="26" t="str">
        <f>HYPERLINK("https://ictv.global/ictv/proposals/2023.030P.Closteroviridae_rename_sp.zip","2023.030P.Closteroviridae_rename_sp.zip")</f>
        <v>2023.030P.Closteroviridae_rename_sp.zip</v>
      </c>
    </row>
    <row r="9512" spans="1:21">
      <c r="A9512">
        <v>9511</v>
      </c>
      <c r="B9512" s="27" t="s">
        <v>1124</v>
      </c>
      <c r="D9512" s="27" t="s">
        <v>1859</v>
      </c>
      <c r="F9512" s="27" t="s">
        <v>1867</v>
      </c>
      <c r="H9512" s="27" t="s">
        <v>1868</v>
      </c>
      <c r="J9512" s="27" t="s">
        <v>1870</v>
      </c>
      <c r="L9512" s="27" t="s">
        <v>428</v>
      </c>
      <c r="N9512" s="27" t="s">
        <v>453</v>
      </c>
      <c r="P9512" s="27" t="s">
        <v>21958</v>
      </c>
      <c r="Q9512" s="26" t="str">
        <f>HYPERLINK("https://ictv.global/taxonomy/taxondetails?taxnode_id=202522765&amp;ictv_id=ICTV202522765","ICTV202522765")</f>
        <v>ICTV202522765</v>
      </c>
      <c r="R9512" t="s">
        <v>581</v>
      </c>
      <c r="S9512" t="s">
        <v>823</v>
      </c>
      <c r="T9512">
        <v>41</v>
      </c>
      <c r="U9512" s="26" t="str">
        <f>HYPERLINK("https://ictv.global/ictv/proposals/2025.019P.Closteroviridae_31nsp_abolish_1sp.zip","2025.019P.Closteroviridae_31nsp_abolish_1sp.zip")</f>
        <v>2025.019P.Closteroviridae_31nsp_abolish_1sp.zip</v>
      </c>
    </row>
    <row r="9513" spans="1:21">
      <c r="A9513">
        <v>9512</v>
      </c>
      <c r="B9513" s="27" t="s">
        <v>1124</v>
      </c>
      <c r="D9513" s="27" t="s">
        <v>1859</v>
      </c>
      <c r="F9513" s="27" t="s">
        <v>1867</v>
      </c>
      <c r="H9513" s="27" t="s">
        <v>1868</v>
      </c>
      <c r="J9513" s="27" t="s">
        <v>1870</v>
      </c>
      <c r="L9513" s="27" t="s">
        <v>428</v>
      </c>
      <c r="N9513" s="27" t="s">
        <v>453</v>
      </c>
      <c r="P9513" s="27" t="s">
        <v>13858</v>
      </c>
      <c r="Q9513" s="26" t="str">
        <f>HYPERLINK("https://ictv.global/taxonomy/taxondetails?taxnode_id=202508910&amp;ictv_id=ICTV202008910","ICTV202008910")</f>
        <v>ICTV202008910</v>
      </c>
      <c r="R9513" t="s">
        <v>581</v>
      </c>
      <c r="S9513" t="s">
        <v>824</v>
      </c>
      <c r="T9513">
        <v>39</v>
      </c>
      <c r="U9513" s="26" t="str">
        <f>HYPERLINK("https://ictv.global/ictv/proposals/2023.030P.Closteroviridae_rename_sp.zip","2023.030P.Closteroviridae_rename_sp.zip")</f>
        <v>2023.030P.Closteroviridae_rename_sp.zip</v>
      </c>
    </row>
    <row r="9514" spans="1:21">
      <c r="A9514">
        <v>9513</v>
      </c>
      <c r="B9514" s="27" t="s">
        <v>1124</v>
      </c>
      <c r="D9514" s="27" t="s">
        <v>1859</v>
      </c>
      <c r="F9514" s="27" t="s">
        <v>1867</v>
      </c>
      <c r="H9514" s="27" t="s">
        <v>1868</v>
      </c>
      <c r="J9514" s="27" t="s">
        <v>1870</v>
      </c>
      <c r="L9514" s="27" t="s">
        <v>428</v>
      </c>
      <c r="N9514" s="27" t="s">
        <v>453</v>
      </c>
      <c r="P9514" s="27" t="s">
        <v>21959</v>
      </c>
      <c r="Q9514" s="26" t="str">
        <f>HYPERLINK("https://ictv.global/taxonomy/taxondetails?taxnode_id=202522766&amp;ictv_id=ICTV202522766","ICTV202522766")</f>
        <v>ICTV202522766</v>
      </c>
      <c r="R9514" t="s">
        <v>581</v>
      </c>
      <c r="S9514" t="s">
        <v>823</v>
      </c>
      <c r="T9514">
        <v>41</v>
      </c>
      <c r="U9514" s="26" t="str">
        <f>HYPERLINK("https://ictv.global/ictv/proposals/2025.019P.Closteroviridae_31nsp_abolish_1sp.zip","2025.019P.Closteroviridae_31nsp_abolish_1sp.zip")</f>
        <v>2025.019P.Closteroviridae_31nsp_abolish_1sp.zip</v>
      </c>
    </row>
    <row r="9515" spans="1:21">
      <c r="A9515">
        <v>9514</v>
      </c>
      <c r="B9515" s="27" t="s">
        <v>1124</v>
      </c>
      <c r="D9515" s="27" t="s">
        <v>1859</v>
      </c>
      <c r="F9515" s="27" t="s">
        <v>1867</v>
      </c>
      <c r="H9515" s="27" t="s">
        <v>1868</v>
      </c>
      <c r="J9515" s="27" t="s">
        <v>1870</v>
      </c>
      <c r="L9515" s="27" t="s">
        <v>428</v>
      </c>
      <c r="N9515" s="27" t="s">
        <v>453</v>
      </c>
      <c r="P9515" s="27" t="s">
        <v>21964</v>
      </c>
      <c r="Q9515" s="26" t="str">
        <f>HYPERLINK("https://ictv.global/taxonomy/taxondetails?taxnode_id=202522771&amp;ictv_id=ICTV202522771","ICTV202522771")</f>
        <v>ICTV202522771</v>
      </c>
      <c r="R9515" t="s">
        <v>581</v>
      </c>
      <c r="S9515" t="s">
        <v>823</v>
      </c>
      <c r="T9515">
        <v>41</v>
      </c>
      <c r="U9515" s="26" t="str">
        <f>HYPERLINK("https://ictv.global/ictv/proposals/2025.019P.Closteroviridae_31nsp_abolish_1sp.zip","2025.019P.Closteroviridae_31nsp_abolish_1sp.zip")</f>
        <v>2025.019P.Closteroviridae_31nsp_abolish_1sp.zip</v>
      </c>
    </row>
    <row r="9516" spans="1:21">
      <c r="A9516">
        <v>9515</v>
      </c>
      <c r="B9516" s="27" t="s">
        <v>1124</v>
      </c>
      <c r="D9516" s="27" t="s">
        <v>1859</v>
      </c>
      <c r="F9516" s="27" t="s">
        <v>1867</v>
      </c>
      <c r="H9516" s="27" t="s">
        <v>1868</v>
      </c>
      <c r="J9516" s="27" t="s">
        <v>1870</v>
      </c>
      <c r="L9516" s="27" t="s">
        <v>428</v>
      </c>
      <c r="N9516" s="27" t="s">
        <v>453</v>
      </c>
      <c r="P9516" s="27" t="s">
        <v>21960</v>
      </c>
      <c r="Q9516" s="26" t="str">
        <f>HYPERLINK("https://ictv.global/taxonomy/taxondetails?taxnode_id=202522767&amp;ictv_id=ICTV202522767","ICTV202522767")</f>
        <v>ICTV202522767</v>
      </c>
      <c r="R9516" t="s">
        <v>581</v>
      </c>
      <c r="S9516" t="s">
        <v>823</v>
      </c>
      <c r="T9516">
        <v>41</v>
      </c>
      <c r="U9516" s="26" t="str">
        <f>HYPERLINK("https://ictv.global/ictv/proposals/2025.019P.Closteroviridae_31nsp_abolish_1sp.zip","2025.019P.Closteroviridae_31nsp_abolish_1sp.zip")</f>
        <v>2025.019P.Closteroviridae_31nsp_abolish_1sp.zip</v>
      </c>
    </row>
    <row r="9517" spans="1:21">
      <c r="A9517">
        <v>9516</v>
      </c>
      <c r="B9517" s="27" t="s">
        <v>1124</v>
      </c>
      <c r="D9517" s="27" t="s">
        <v>1859</v>
      </c>
      <c r="F9517" s="27" t="s">
        <v>1867</v>
      </c>
      <c r="H9517" s="27" t="s">
        <v>1868</v>
      </c>
      <c r="J9517" s="27" t="s">
        <v>1870</v>
      </c>
      <c r="L9517" s="27" t="s">
        <v>428</v>
      </c>
      <c r="N9517" s="27" t="s">
        <v>453</v>
      </c>
      <c r="P9517" s="27" t="s">
        <v>13859</v>
      </c>
      <c r="Q9517" s="26" t="str">
        <f>HYPERLINK("https://ictv.global/taxonomy/taxondetails?taxnode_id=202502992&amp;ictv_id=ICTV19750341","ICTV19750341")</f>
        <v>ICTV19750341</v>
      </c>
      <c r="R9517" t="s">
        <v>581</v>
      </c>
      <c r="S9517" t="s">
        <v>824</v>
      </c>
      <c r="T9517">
        <v>39</v>
      </c>
      <c r="U9517" s="26" t="str">
        <f t="shared" ref="U9517:U9526" si="340">HYPERLINK("https://ictv.global/ictv/proposals/2023.030P.Closteroviridae_rename_sp.zip","2023.030P.Closteroviridae_rename_sp.zip")</f>
        <v>2023.030P.Closteroviridae_rename_sp.zip</v>
      </c>
    </row>
    <row r="9518" spans="1:21">
      <c r="A9518">
        <v>9517</v>
      </c>
      <c r="B9518" s="27" t="s">
        <v>1124</v>
      </c>
      <c r="D9518" s="27" t="s">
        <v>1859</v>
      </c>
      <c r="F9518" s="27" t="s">
        <v>1867</v>
      </c>
      <c r="H9518" s="27" t="s">
        <v>1868</v>
      </c>
      <c r="J9518" s="27" t="s">
        <v>1870</v>
      </c>
      <c r="L9518" s="27" t="s">
        <v>428</v>
      </c>
      <c r="N9518" s="27" t="s">
        <v>453</v>
      </c>
      <c r="P9518" s="27" t="s">
        <v>13860</v>
      </c>
      <c r="Q9518" s="26" t="str">
        <f>HYPERLINK("https://ictv.global/taxonomy/taxondetails?taxnode_id=202502995&amp;ictv_id=ICTV19821178","ICTV19821178")</f>
        <v>ICTV19821178</v>
      </c>
      <c r="R9518" t="s">
        <v>581</v>
      </c>
      <c r="S9518" t="s">
        <v>824</v>
      </c>
      <c r="T9518">
        <v>39</v>
      </c>
      <c r="U9518" s="26" t="str">
        <f t="shared" si="340"/>
        <v>2023.030P.Closteroviridae_rename_sp.zip</v>
      </c>
    </row>
    <row r="9519" spans="1:21">
      <c r="A9519">
        <v>9518</v>
      </c>
      <c r="B9519" s="27" t="s">
        <v>1124</v>
      </c>
      <c r="D9519" s="27" t="s">
        <v>1859</v>
      </c>
      <c r="F9519" s="27" t="s">
        <v>1867</v>
      </c>
      <c r="H9519" s="27" t="s">
        <v>1868</v>
      </c>
      <c r="J9519" s="27" t="s">
        <v>1870</v>
      </c>
      <c r="L9519" s="27" t="s">
        <v>428</v>
      </c>
      <c r="N9519" s="27" t="s">
        <v>453</v>
      </c>
      <c r="P9519" s="27" t="s">
        <v>13861</v>
      </c>
      <c r="Q9519" s="26" t="str">
        <f>HYPERLINK("https://ictv.global/taxonomy/taxondetails?taxnode_id=202503003&amp;ictv_id=ICTV19760670","ICTV19760670")</f>
        <v>ICTV19760670</v>
      </c>
      <c r="R9519" t="s">
        <v>581</v>
      </c>
      <c r="S9519" t="s">
        <v>824</v>
      </c>
      <c r="T9519">
        <v>39</v>
      </c>
      <c r="U9519" s="26" t="str">
        <f t="shared" si="340"/>
        <v>2023.030P.Closteroviridae_rename_sp.zip</v>
      </c>
    </row>
    <row r="9520" spans="1:21">
      <c r="A9520">
        <v>9519</v>
      </c>
      <c r="B9520" s="27" t="s">
        <v>1124</v>
      </c>
      <c r="D9520" s="27" t="s">
        <v>1859</v>
      </c>
      <c r="F9520" s="27" t="s">
        <v>1867</v>
      </c>
      <c r="H9520" s="27" t="s">
        <v>1868</v>
      </c>
      <c r="J9520" s="27" t="s">
        <v>1870</v>
      </c>
      <c r="L9520" s="27" t="s">
        <v>428</v>
      </c>
      <c r="N9520" s="27" t="s">
        <v>453</v>
      </c>
      <c r="P9520" s="27" t="s">
        <v>13862</v>
      </c>
      <c r="Q9520" s="26" t="str">
        <f>HYPERLINK("https://ictv.global/taxonomy/taxondetails?taxnode_id=202503001&amp;ictv_id=ICTV20115384","ICTV20115384")</f>
        <v>ICTV20115384</v>
      </c>
      <c r="R9520" t="s">
        <v>581</v>
      </c>
      <c r="S9520" t="s">
        <v>824</v>
      </c>
      <c r="T9520">
        <v>39</v>
      </c>
      <c r="U9520" s="26" t="str">
        <f t="shared" si="340"/>
        <v>2023.030P.Closteroviridae_rename_sp.zip</v>
      </c>
    </row>
    <row r="9521" spans="1:21">
      <c r="A9521">
        <v>9520</v>
      </c>
      <c r="B9521" s="27" t="s">
        <v>1124</v>
      </c>
      <c r="D9521" s="27" t="s">
        <v>1859</v>
      </c>
      <c r="F9521" s="27" t="s">
        <v>1867</v>
      </c>
      <c r="H9521" s="27" t="s">
        <v>1868</v>
      </c>
      <c r="J9521" s="27" t="s">
        <v>1870</v>
      </c>
      <c r="L9521" s="27" t="s">
        <v>428</v>
      </c>
      <c r="N9521" s="27" t="s">
        <v>453</v>
      </c>
      <c r="P9521" s="27" t="s">
        <v>13863</v>
      </c>
      <c r="Q9521" s="26" t="str">
        <f>HYPERLINK("https://ictv.global/taxonomy/taxondetails?taxnode_id=202502999&amp;ictv_id=ICTV20115385","ICTV20115385")</f>
        <v>ICTV20115385</v>
      </c>
      <c r="R9521" t="s">
        <v>581</v>
      </c>
      <c r="S9521" t="s">
        <v>824</v>
      </c>
      <c r="T9521">
        <v>39</v>
      </c>
      <c r="U9521" s="26" t="str">
        <f t="shared" si="340"/>
        <v>2023.030P.Closteroviridae_rename_sp.zip</v>
      </c>
    </row>
    <row r="9522" spans="1:21">
      <c r="A9522">
        <v>9521</v>
      </c>
      <c r="B9522" s="27" t="s">
        <v>1124</v>
      </c>
      <c r="D9522" s="27" t="s">
        <v>1859</v>
      </c>
      <c r="F9522" s="27" t="s">
        <v>1867</v>
      </c>
      <c r="H9522" s="27" t="s">
        <v>1868</v>
      </c>
      <c r="J9522" s="27" t="s">
        <v>1870</v>
      </c>
      <c r="L9522" s="27" t="s">
        <v>428</v>
      </c>
      <c r="N9522" s="27" t="s">
        <v>453</v>
      </c>
      <c r="P9522" s="27" t="s">
        <v>13864</v>
      </c>
      <c r="Q9522" s="26" t="str">
        <f>HYPERLINK("https://ictv.global/taxonomy/taxondetails?taxnode_id=202502998&amp;ictv_id=ICTV20083643","ICTV20083643")</f>
        <v>ICTV20083643</v>
      </c>
      <c r="R9522" t="s">
        <v>581</v>
      </c>
      <c r="S9522" t="s">
        <v>824</v>
      </c>
      <c r="T9522">
        <v>39</v>
      </c>
      <c r="U9522" s="26" t="str">
        <f t="shared" si="340"/>
        <v>2023.030P.Closteroviridae_rename_sp.zip</v>
      </c>
    </row>
    <row r="9523" spans="1:21">
      <c r="A9523">
        <v>9522</v>
      </c>
      <c r="B9523" s="27" t="s">
        <v>1124</v>
      </c>
      <c r="D9523" s="27" t="s">
        <v>1859</v>
      </c>
      <c r="F9523" s="27" t="s">
        <v>1867</v>
      </c>
      <c r="H9523" s="27" t="s">
        <v>1868</v>
      </c>
      <c r="J9523" s="27" t="s">
        <v>1870</v>
      </c>
      <c r="L9523" s="27" t="s">
        <v>428</v>
      </c>
      <c r="N9523" s="27" t="s">
        <v>453</v>
      </c>
      <c r="P9523" s="27" t="s">
        <v>13865</v>
      </c>
      <c r="Q9523" s="26" t="str">
        <f>HYPERLINK("https://ictv.global/taxonomy/taxondetails?taxnode_id=202502991&amp;ictv_id=ICTV19760665","ICTV19760665")</f>
        <v>ICTV19760665</v>
      </c>
      <c r="R9523" t="s">
        <v>581</v>
      </c>
      <c r="S9523" t="s">
        <v>824</v>
      </c>
      <c r="T9523">
        <v>39</v>
      </c>
      <c r="U9523" s="26" t="str">
        <f t="shared" si="340"/>
        <v>2023.030P.Closteroviridae_rename_sp.zip</v>
      </c>
    </row>
    <row r="9524" spans="1:21">
      <c r="A9524">
        <v>9523</v>
      </c>
      <c r="B9524" s="27" t="s">
        <v>1124</v>
      </c>
      <c r="D9524" s="27" t="s">
        <v>1859</v>
      </c>
      <c r="F9524" s="27" t="s">
        <v>1867</v>
      </c>
      <c r="H9524" s="27" t="s">
        <v>1868</v>
      </c>
      <c r="J9524" s="27" t="s">
        <v>1870</v>
      </c>
      <c r="L9524" s="27" t="s">
        <v>428</v>
      </c>
      <c r="N9524" s="27" t="s">
        <v>453</v>
      </c>
      <c r="P9524" s="27" t="s">
        <v>13866</v>
      </c>
      <c r="Q9524" s="26" t="str">
        <f>HYPERLINK("https://ictv.global/taxonomy/taxondetails?taxnode_id=202502994&amp;ictv_id=ICTV19760667","ICTV19760667")</f>
        <v>ICTV19760667</v>
      </c>
      <c r="R9524" t="s">
        <v>581</v>
      </c>
      <c r="S9524" t="s">
        <v>824</v>
      </c>
      <c r="T9524">
        <v>39</v>
      </c>
      <c r="U9524" s="26" t="str">
        <f t="shared" si="340"/>
        <v>2023.030P.Closteroviridae_rename_sp.zip</v>
      </c>
    </row>
    <row r="9525" spans="1:21">
      <c r="A9525">
        <v>9524</v>
      </c>
      <c r="B9525" s="27" t="s">
        <v>1124</v>
      </c>
      <c r="D9525" s="27" t="s">
        <v>1859</v>
      </c>
      <c r="F9525" s="27" t="s">
        <v>1867</v>
      </c>
      <c r="H9525" s="27" t="s">
        <v>1868</v>
      </c>
      <c r="J9525" s="27" t="s">
        <v>1870</v>
      </c>
      <c r="L9525" s="27" t="s">
        <v>428</v>
      </c>
      <c r="N9525" s="27" t="s">
        <v>453</v>
      </c>
      <c r="P9525" s="27" t="s">
        <v>13867</v>
      </c>
      <c r="Q9525" s="26" t="str">
        <f>HYPERLINK("https://ictv.global/taxonomy/taxondetails?taxnode_id=202507263&amp;ictv_id=ICTV201907263","ICTV201907263")</f>
        <v>ICTV201907263</v>
      </c>
      <c r="R9525" t="s">
        <v>581</v>
      </c>
      <c r="S9525" t="s">
        <v>824</v>
      </c>
      <c r="T9525">
        <v>39</v>
      </c>
      <c r="U9525" s="26" t="str">
        <f t="shared" si="340"/>
        <v>2023.030P.Closteroviridae_rename_sp.zip</v>
      </c>
    </row>
    <row r="9526" spans="1:21">
      <c r="A9526">
        <v>9525</v>
      </c>
      <c r="B9526" s="27" t="s">
        <v>1124</v>
      </c>
      <c r="D9526" s="27" t="s">
        <v>1859</v>
      </c>
      <c r="F9526" s="27" t="s">
        <v>1867</v>
      </c>
      <c r="H9526" s="27" t="s">
        <v>1868</v>
      </c>
      <c r="J9526" s="27" t="s">
        <v>1870</v>
      </c>
      <c r="L9526" s="27" t="s">
        <v>428</v>
      </c>
      <c r="N9526" s="27" t="s">
        <v>453</v>
      </c>
      <c r="P9526" s="27" t="s">
        <v>13868</v>
      </c>
      <c r="Q9526" s="26" t="str">
        <f>HYPERLINK("https://ictv.global/taxonomy/taxondetails?taxnode_id=202503000&amp;ictv_id=ICTV20165268","ICTV20165268")</f>
        <v>ICTV20165268</v>
      </c>
      <c r="R9526" t="s">
        <v>581</v>
      </c>
      <c r="S9526" t="s">
        <v>824</v>
      </c>
      <c r="T9526">
        <v>39</v>
      </c>
      <c r="U9526" s="26" t="str">
        <f t="shared" si="340"/>
        <v>2023.030P.Closteroviridae_rename_sp.zip</v>
      </c>
    </row>
    <row r="9527" spans="1:21">
      <c r="A9527">
        <v>9526</v>
      </c>
      <c r="B9527" s="27" t="s">
        <v>1124</v>
      </c>
      <c r="D9527" s="27" t="s">
        <v>1859</v>
      </c>
      <c r="F9527" s="27" t="s">
        <v>1867</v>
      </c>
      <c r="H9527" s="27" t="s">
        <v>1868</v>
      </c>
      <c r="J9527" s="27" t="s">
        <v>1870</v>
      </c>
      <c r="L9527" s="27" t="s">
        <v>428</v>
      </c>
      <c r="N9527" s="27" t="s">
        <v>453</v>
      </c>
      <c r="P9527" s="27" t="s">
        <v>21962</v>
      </c>
      <c r="Q9527" s="26" t="str">
        <f>HYPERLINK("https://ictv.global/taxonomy/taxondetails?taxnode_id=202522769&amp;ictv_id=ICTV202522769","ICTV202522769")</f>
        <v>ICTV202522769</v>
      </c>
      <c r="R9527" t="s">
        <v>581</v>
      </c>
      <c r="S9527" t="s">
        <v>823</v>
      </c>
      <c r="T9527">
        <v>41</v>
      </c>
      <c r="U9527" s="26" t="str">
        <f>HYPERLINK("https://ictv.global/ictv/proposals/2025.019P.Closteroviridae_31nsp_abolish_1sp.zip","2025.019P.Closteroviridae_31nsp_abolish_1sp.zip")</f>
        <v>2025.019P.Closteroviridae_31nsp_abolish_1sp.zip</v>
      </c>
    </row>
    <row r="9528" spans="1:21">
      <c r="A9528">
        <v>9527</v>
      </c>
      <c r="B9528" s="27" t="s">
        <v>1124</v>
      </c>
      <c r="D9528" s="27" t="s">
        <v>1859</v>
      </c>
      <c r="F9528" s="27" t="s">
        <v>1867</v>
      </c>
      <c r="H9528" s="27" t="s">
        <v>1868</v>
      </c>
      <c r="J9528" s="27" t="s">
        <v>1870</v>
      </c>
      <c r="L9528" s="27" t="s">
        <v>428</v>
      </c>
      <c r="N9528" s="27" t="s">
        <v>453</v>
      </c>
      <c r="P9528" s="27" t="s">
        <v>13869</v>
      </c>
      <c r="Q9528" s="26" t="str">
        <f>HYPERLINK("https://ictv.global/taxonomy/taxondetails?taxnode_id=202503002&amp;ictv_id=ICTV20165269","ICTV20165269")</f>
        <v>ICTV20165269</v>
      </c>
      <c r="R9528" t="s">
        <v>581</v>
      </c>
      <c r="S9528" t="s">
        <v>824</v>
      </c>
      <c r="T9528">
        <v>39</v>
      </c>
      <c r="U9528" s="26" t="str">
        <f>HYPERLINK("https://ictv.global/ictv/proposals/2023.030P.Closteroviridae_rename_sp.zip","2023.030P.Closteroviridae_rename_sp.zip")</f>
        <v>2023.030P.Closteroviridae_rename_sp.zip</v>
      </c>
    </row>
    <row r="9529" spans="1:21">
      <c r="A9529">
        <v>9528</v>
      </c>
      <c r="B9529" s="27" t="s">
        <v>1124</v>
      </c>
      <c r="D9529" s="27" t="s">
        <v>1859</v>
      </c>
      <c r="F9529" s="27" t="s">
        <v>1867</v>
      </c>
      <c r="H9529" s="27" t="s">
        <v>1868</v>
      </c>
      <c r="J9529" s="27" t="s">
        <v>1870</v>
      </c>
      <c r="L9529" s="27" t="s">
        <v>428</v>
      </c>
      <c r="N9529" s="27" t="s">
        <v>453</v>
      </c>
      <c r="P9529" s="27" t="s">
        <v>21961</v>
      </c>
      <c r="Q9529" s="26" t="str">
        <f>HYPERLINK("https://ictv.global/taxonomy/taxondetails?taxnode_id=202522768&amp;ictv_id=ICTV202522768","ICTV202522768")</f>
        <v>ICTV202522768</v>
      </c>
      <c r="R9529" t="s">
        <v>581</v>
      </c>
      <c r="S9529" t="s">
        <v>823</v>
      </c>
      <c r="T9529">
        <v>41</v>
      </c>
      <c r="U9529" s="26" t="str">
        <f>HYPERLINK("https://ictv.global/ictv/proposals/2025.019P.Closteroviridae_31nsp_abolish_1sp.zip","2025.019P.Closteroviridae_31nsp_abolish_1sp.zip")</f>
        <v>2025.019P.Closteroviridae_31nsp_abolish_1sp.zip</v>
      </c>
    </row>
    <row r="9530" spans="1:21">
      <c r="A9530">
        <v>9529</v>
      </c>
      <c r="B9530" s="27" t="s">
        <v>1124</v>
      </c>
      <c r="D9530" s="27" t="s">
        <v>1859</v>
      </c>
      <c r="F9530" s="27" t="s">
        <v>1867</v>
      </c>
      <c r="H9530" s="27" t="s">
        <v>1868</v>
      </c>
      <c r="J9530" s="27" t="s">
        <v>1870</v>
      </c>
      <c r="L9530" s="27" t="s">
        <v>428</v>
      </c>
      <c r="N9530" s="27" t="s">
        <v>453</v>
      </c>
      <c r="P9530" s="27" t="s">
        <v>13870</v>
      </c>
      <c r="Q9530" s="26" t="str">
        <f>HYPERLINK("https://ictv.global/taxonomy/taxondetails?taxnode_id=202502996&amp;ictv_id=ICTV19760668","ICTV19760668")</f>
        <v>ICTV19760668</v>
      </c>
      <c r="R9530" t="s">
        <v>581</v>
      </c>
      <c r="S9530" t="s">
        <v>824</v>
      </c>
      <c r="T9530">
        <v>39</v>
      </c>
      <c r="U9530" s="26" t="str">
        <f>HYPERLINK("https://ictv.global/ictv/proposals/2023.030P.Closteroviridae_rename_sp.zip","2023.030P.Closteroviridae_rename_sp.zip")</f>
        <v>2023.030P.Closteroviridae_rename_sp.zip</v>
      </c>
    </row>
    <row r="9531" spans="1:21">
      <c r="A9531">
        <v>9530</v>
      </c>
      <c r="B9531" s="27" t="s">
        <v>1124</v>
      </c>
      <c r="D9531" s="27" t="s">
        <v>1859</v>
      </c>
      <c r="F9531" s="27" t="s">
        <v>1867</v>
      </c>
      <c r="H9531" s="27" t="s">
        <v>1868</v>
      </c>
      <c r="J9531" s="27" t="s">
        <v>1870</v>
      </c>
      <c r="L9531" s="27" t="s">
        <v>428</v>
      </c>
      <c r="N9531" s="27" t="s">
        <v>453</v>
      </c>
      <c r="P9531" s="27" t="s">
        <v>21963</v>
      </c>
      <c r="Q9531" s="26" t="str">
        <f>HYPERLINK("https://ictv.global/taxonomy/taxondetails?taxnode_id=202522770&amp;ictv_id=ICTV202522770","ICTV202522770")</f>
        <v>ICTV202522770</v>
      </c>
      <c r="R9531" t="s">
        <v>581</v>
      </c>
      <c r="S9531" t="s">
        <v>823</v>
      </c>
      <c r="T9531">
        <v>41</v>
      </c>
      <c r="U9531" s="26" t="str">
        <f>HYPERLINK("https://ictv.global/ictv/proposals/2025.019P.Closteroviridae_31nsp_abolish_1sp.zip","2025.019P.Closteroviridae_31nsp_abolish_1sp.zip")</f>
        <v>2025.019P.Closteroviridae_31nsp_abolish_1sp.zip</v>
      </c>
    </row>
    <row r="9532" spans="1:21">
      <c r="A9532">
        <v>9531</v>
      </c>
      <c r="B9532" s="27" t="s">
        <v>1124</v>
      </c>
      <c r="D9532" s="27" t="s">
        <v>1859</v>
      </c>
      <c r="F9532" s="27" t="s">
        <v>1867</v>
      </c>
      <c r="H9532" s="27" t="s">
        <v>1868</v>
      </c>
      <c r="J9532" s="27" t="s">
        <v>1870</v>
      </c>
      <c r="L9532" s="27" t="s">
        <v>428</v>
      </c>
      <c r="N9532" s="27" t="s">
        <v>453</v>
      </c>
      <c r="P9532" s="27" t="s">
        <v>13871</v>
      </c>
      <c r="Q9532" s="26" t="str">
        <f>HYPERLINK("https://ictv.global/taxonomy/taxondetails?taxnode_id=202507264&amp;ictv_id=ICTV201907264","ICTV201907264")</f>
        <v>ICTV201907264</v>
      </c>
      <c r="R9532" t="s">
        <v>581</v>
      </c>
      <c r="S9532" t="s">
        <v>824</v>
      </c>
      <c r="T9532">
        <v>39</v>
      </c>
      <c r="U9532" s="26" t="str">
        <f>HYPERLINK("https://ictv.global/ictv/proposals/2023.030P.Closteroviridae_rename_sp.zip","2023.030P.Closteroviridae_rename_sp.zip")</f>
        <v>2023.030P.Closteroviridae_rename_sp.zip</v>
      </c>
    </row>
    <row r="9533" spans="1:21">
      <c r="A9533">
        <v>9532</v>
      </c>
      <c r="B9533" s="27" t="s">
        <v>1124</v>
      </c>
      <c r="D9533" s="27" t="s">
        <v>1859</v>
      </c>
      <c r="F9533" s="27" t="s">
        <v>1867</v>
      </c>
      <c r="H9533" s="27" t="s">
        <v>1868</v>
      </c>
      <c r="J9533" s="27" t="s">
        <v>1870</v>
      </c>
      <c r="L9533" s="27" t="s">
        <v>428</v>
      </c>
      <c r="N9533" s="27" t="s">
        <v>453</v>
      </c>
      <c r="P9533" s="27" t="s">
        <v>13872</v>
      </c>
      <c r="Q9533" s="26" t="str">
        <f>HYPERLINK("https://ictv.global/taxonomy/taxondetails?taxnode_id=202502997&amp;ictv_id=ICTV19990747","ICTV19990747")</f>
        <v>ICTV19990747</v>
      </c>
      <c r="R9533" t="s">
        <v>581</v>
      </c>
      <c r="S9533" t="s">
        <v>824</v>
      </c>
      <c r="T9533">
        <v>39</v>
      </c>
      <c r="U9533" s="26" t="str">
        <f>HYPERLINK("https://ictv.global/ictv/proposals/2023.030P.Closteroviridae_rename_sp.zip","2023.030P.Closteroviridae_rename_sp.zip")</f>
        <v>2023.030P.Closteroviridae_rename_sp.zip</v>
      </c>
    </row>
    <row r="9534" spans="1:21">
      <c r="A9534">
        <v>9533</v>
      </c>
      <c r="B9534" s="27" t="s">
        <v>1124</v>
      </c>
      <c r="D9534" s="27" t="s">
        <v>1859</v>
      </c>
      <c r="F9534" s="27" t="s">
        <v>1867</v>
      </c>
      <c r="H9534" s="27" t="s">
        <v>1868</v>
      </c>
      <c r="J9534" s="27" t="s">
        <v>1870</v>
      </c>
      <c r="L9534" s="27" t="s">
        <v>428</v>
      </c>
      <c r="N9534" s="27" t="s">
        <v>454</v>
      </c>
      <c r="P9534" s="27" t="s">
        <v>13873</v>
      </c>
      <c r="Q9534" s="26" t="str">
        <f>HYPERLINK("https://ictv.global/taxonomy/taxondetails?taxnode_id=202503005&amp;ictv_id=ICTV19981253","ICTV19981253")</f>
        <v>ICTV19981253</v>
      </c>
      <c r="R9534" t="s">
        <v>581</v>
      </c>
      <c r="S9534" t="s">
        <v>824</v>
      </c>
      <c r="T9534">
        <v>39</v>
      </c>
      <c r="U9534" s="26" t="str">
        <f>HYPERLINK("https://ictv.global/ictv/proposals/2023.030P.Closteroviridae_rename_sp.zip","2023.030P.Closteroviridae_rename_sp.zip")</f>
        <v>2023.030P.Closteroviridae_rename_sp.zip</v>
      </c>
    </row>
    <row r="9535" spans="1:21">
      <c r="A9535">
        <v>9534</v>
      </c>
      <c r="B9535" s="27" t="s">
        <v>1124</v>
      </c>
      <c r="D9535" s="27" t="s">
        <v>1859</v>
      </c>
      <c r="F9535" s="27" t="s">
        <v>1867</v>
      </c>
      <c r="H9535" s="27" t="s">
        <v>1868</v>
      </c>
      <c r="J9535" s="27" t="s">
        <v>1870</v>
      </c>
      <c r="L9535" s="27" t="s">
        <v>428</v>
      </c>
      <c r="N9535" s="27" t="s">
        <v>454</v>
      </c>
      <c r="P9535" s="27" t="s">
        <v>21969</v>
      </c>
      <c r="Q9535" s="26" t="str">
        <f>HYPERLINK("https://ictv.global/taxonomy/taxondetails?taxnode_id=202522776&amp;ictv_id=ICTV202522776","ICTV202522776")</f>
        <v>ICTV202522776</v>
      </c>
      <c r="R9535" t="s">
        <v>581</v>
      </c>
      <c r="S9535" t="s">
        <v>823</v>
      </c>
      <c r="T9535">
        <v>41</v>
      </c>
      <c r="U9535" s="26" t="str">
        <f>HYPERLINK("https://ictv.global/ictv/proposals/2025.019P.Closteroviridae_31nsp_abolish_1sp.zip","2025.019P.Closteroviridae_31nsp_abolish_1sp.zip")</f>
        <v>2025.019P.Closteroviridae_31nsp_abolish_1sp.zip</v>
      </c>
    </row>
    <row r="9536" spans="1:21">
      <c r="A9536">
        <v>9535</v>
      </c>
      <c r="B9536" s="27" t="s">
        <v>1124</v>
      </c>
      <c r="D9536" s="27" t="s">
        <v>1859</v>
      </c>
      <c r="F9536" s="27" t="s">
        <v>1867</v>
      </c>
      <c r="H9536" s="27" t="s">
        <v>1868</v>
      </c>
      <c r="J9536" s="27" t="s">
        <v>1870</v>
      </c>
      <c r="L9536" s="27" t="s">
        <v>428</v>
      </c>
      <c r="N9536" s="27" t="s">
        <v>454</v>
      </c>
      <c r="P9536" s="27" t="s">
        <v>13874</v>
      </c>
      <c r="Q9536" s="26" t="str">
        <f>HYPERLINK("https://ictv.global/taxonomy/taxondetails?taxnode_id=202503016&amp;ictv_id=ICTV20165270","ICTV20165270")</f>
        <v>ICTV20165270</v>
      </c>
      <c r="R9536" t="s">
        <v>581</v>
      </c>
      <c r="S9536" t="s">
        <v>824</v>
      </c>
      <c r="T9536">
        <v>39</v>
      </c>
      <c r="U9536" s="26" t="str">
        <f>HYPERLINK("https://ictv.global/ictv/proposals/2023.030P.Closteroviridae_rename_sp.zip","2023.030P.Closteroviridae_rename_sp.zip")</f>
        <v>2023.030P.Closteroviridae_rename_sp.zip</v>
      </c>
    </row>
    <row r="9537" spans="1:21">
      <c r="A9537">
        <v>9536</v>
      </c>
      <c r="B9537" s="27" t="s">
        <v>1124</v>
      </c>
      <c r="D9537" s="27" t="s">
        <v>1859</v>
      </c>
      <c r="F9537" s="27" t="s">
        <v>1867</v>
      </c>
      <c r="H9537" s="27" t="s">
        <v>1868</v>
      </c>
      <c r="J9537" s="27" t="s">
        <v>1870</v>
      </c>
      <c r="L9537" s="27" t="s">
        <v>428</v>
      </c>
      <c r="N9537" s="27" t="s">
        <v>454</v>
      </c>
      <c r="P9537" s="27" t="s">
        <v>13875</v>
      </c>
      <c r="Q9537" s="26" t="str">
        <f>HYPERLINK("https://ictv.global/taxonomy/taxondetails?taxnode_id=202503018&amp;ictv_id=ICTV19981259","ICTV19981259")</f>
        <v>ICTV19981259</v>
      </c>
      <c r="R9537" t="s">
        <v>581</v>
      </c>
      <c r="S9537" t="s">
        <v>824</v>
      </c>
      <c r="T9537">
        <v>39</v>
      </c>
      <c r="U9537" s="26" t="str">
        <f>HYPERLINK("https://ictv.global/ictv/proposals/2023.030P.Closteroviridae_rename_sp.zip","2023.030P.Closteroviridae_rename_sp.zip")</f>
        <v>2023.030P.Closteroviridae_rename_sp.zip</v>
      </c>
    </row>
    <row r="9538" spans="1:21">
      <c r="A9538">
        <v>9537</v>
      </c>
      <c r="B9538" s="27" t="s">
        <v>1124</v>
      </c>
      <c r="D9538" s="27" t="s">
        <v>1859</v>
      </c>
      <c r="F9538" s="27" t="s">
        <v>1867</v>
      </c>
      <c r="H9538" s="27" t="s">
        <v>1868</v>
      </c>
      <c r="J9538" s="27" t="s">
        <v>1870</v>
      </c>
      <c r="L9538" s="27" t="s">
        <v>428</v>
      </c>
      <c r="N9538" s="27" t="s">
        <v>454</v>
      </c>
      <c r="P9538" s="27" t="s">
        <v>13876</v>
      </c>
      <c r="Q9538" s="26" t="str">
        <f>HYPERLINK("https://ictv.global/taxonomy/taxondetails?taxnode_id=202503009&amp;ictv_id=ICTV19981254","ICTV19981254")</f>
        <v>ICTV19981254</v>
      </c>
      <c r="R9538" t="s">
        <v>581</v>
      </c>
      <c r="S9538" t="s">
        <v>824</v>
      </c>
      <c r="T9538">
        <v>39</v>
      </c>
      <c r="U9538" s="26" t="str">
        <f>HYPERLINK("https://ictv.global/ictv/proposals/2023.030P.Closteroviridae_rename_sp.zip","2023.030P.Closteroviridae_rename_sp.zip")</f>
        <v>2023.030P.Closteroviridae_rename_sp.zip</v>
      </c>
    </row>
    <row r="9539" spans="1:21">
      <c r="A9539">
        <v>9538</v>
      </c>
      <c r="B9539" s="27" t="s">
        <v>1124</v>
      </c>
      <c r="D9539" s="27" t="s">
        <v>1859</v>
      </c>
      <c r="F9539" s="27" t="s">
        <v>1867</v>
      </c>
      <c r="H9539" s="27" t="s">
        <v>1868</v>
      </c>
      <c r="J9539" s="27" t="s">
        <v>1870</v>
      </c>
      <c r="L9539" s="27" t="s">
        <v>428</v>
      </c>
      <c r="N9539" s="27" t="s">
        <v>454</v>
      </c>
      <c r="P9539" s="27" t="s">
        <v>13877</v>
      </c>
      <c r="Q9539" s="26" t="str">
        <f>HYPERLINK("https://ictv.global/taxonomy/taxondetails?taxnode_id=202503010&amp;ictv_id=ICTV20125747","ICTV20125747")</f>
        <v>ICTV20125747</v>
      </c>
      <c r="R9539" t="s">
        <v>581</v>
      </c>
      <c r="S9539" t="s">
        <v>824</v>
      </c>
      <c r="T9539">
        <v>39</v>
      </c>
      <c r="U9539" s="26" t="str">
        <f>HYPERLINK("https://ictv.global/ictv/proposals/2023.030P.Closteroviridae_rename_sp.zip","2023.030P.Closteroviridae_rename_sp.zip")</f>
        <v>2023.030P.Closteroviridae_rename_sp.zip</v>
      </c>
    </row>
    <row r="9540" spans="1:21">
      <c r="A9540">
        <v>9539</v>
      </c>
      <c r="B9540" s="27" t="s">
        <v>1124</v>
      </c>
      <c r="D9540" s="27" t="s">
        <v>1859</v>
      </c>
      <c r="F9540" s="27" t="s">
        <v>1867</v>
      </c>
      <c r="H9540" s="27" t="s">
        <v>1868</v>
      </c>
      <c r="J9540" s="27" t="s">
        <v>1870</v>
      </c>
      <c r="L9540" s="27" t="s">
        <v>428</v>
      </c>
      <c r="N9540" s="27" t="s">
        <v>454</v>
      </c>
      <c r="P9540" s="27" t="s">
        <v>21966</v>
      </c>
      <c r="Q9540" s="26" t="str">
        <f>HYPERLINK("https://ictv.global/taxonomy/taxondetails?taxnode_id=202522773&amp;ictv_id=ICTV202522773","ICTV202522773")</f>
        <v>ICTV202522773</v>
      </c>
      <c r="R9540" t="s">
        <v>581</v>
      </c>
      <c r="S9540" t="s">
        <v>823</v>
      </c>
      <c r="T9540">
        <v>41</v>
      </c>
      <c r="U9540" s="26" t="str">
        <f>HYPERLINK("https://ictv.global/ictv/proposals/2025.019P.Closteroviridae_31nsp_abolish_1sp.zip","2025.019P.Closteroviridae_31nsp_abolish_1sp.zip")</f>
        <v>2025.019P.Closteroviridae_31nsp_abolish_1sp.zip</v>
      </c>
    </row>
    <row r="9541" spans="1:21">
      <c r="A9541">
        <v>9540</v>
      </c>
      <c r="B9541" s="27" t="s">
        <v>1124</v>
      </c>
      <c r="D9541" s="27" t="s">
        <v>1859</v>
      </c>
      <c r="F9541" s="27" t="s">
        <v>1867</v>
      </c>
      <c r="H9541" s="27" t="s">
        <v>1868</v>
      </c>
      <c r="J9541" s="27" t="s">
        <v>1870</v>
      </c>
      <c r="L9541" s="27" t="s">
        <v>428</v>
      </c>
      <c r="N9541" s="27" t="s">
        <v>454</v>
      </c>
      <c r="P9541" s="27" t="s">
        <v>13878</v>
      </c>
      <c r="Q9541" s="26" t="str">
        <f>HYPERLINK("https://ictv.global/taxonomy/taxondetails?taxnode_id=202503006&amp;ictv_id=ICTV20093503","ICTV20093503")</f>
        <v>ICTV20093503</v>
      </c>
      <c r="R9541" t="s">
        <v>581</v>
      </c>
      <c r="S9541" t="s">
        <v>824</v>
      </c>
      <c r="T9541">
        <v>39</v>
      </c>
      <c r="U9541" s="26" t="str">
        <f>HYPERLINK("https://ictv.global/ictv/proposals/2023.030P.Closteroviridae_rename_sp.zip","2023.030P.Closteroviridae_rename_sp.zip")</f>
        <v>2023.030P.Closteroviridae_rename_sp.zip</v>
      </c>
    </row>
    <row r="9542" spans="1:21">
      <c r="A9542">
        <v>9541</v>
      </c>
      <c r="B9542" s="27" t="s">
        <v>1124</v>
      </c>
      <c r="D9542" s="27" t="s">
        <v>1859</v>
      </c>
      <c r="F9542" s="27" t="s">
        <v>1867</v>
      </c>
      <c r="H9542" s="27" t="s">
        <v>1868</v>
      </c>
      <c r="J9542" s="27" t="s">
        <v>1870</v>
      </c>
      <c r="L9542" s="27" t="s">
        <v>428</v>
      </c>
      <c r="N9542" s="27" t="s">
        <v>454</v>
      </c>
      <c r="P9542" s="27" t="s">
        <v>13879</v>
      </c>
      <c r="Q9542" s="26" t="str">
        <f>HYPERLINK("https://ictv.global/taxonomy/taxondetails?taxnode_id=202503013&amp;ictv_id=ICTV20083651","ICTV20083651")</f>
        <v>ICTV20083651</v>
      </c>
      <c r="R9542" t="s">
        <v>581</v>
      </c>
      <c r="S9542" t="s">
        <v>824</v>
      </c>
      <c r="T9542">
        <v>39</v>
      </c>
      <c r="U9542" s="26" t="str">
        <f>HYPERLINK("https://ictv.global/ictv/proposals/2023.030P.Closteroviridae_rename_sp.zip","2023.030P.Closteroviridae_rename_sp.zip")</f>
        <v>2023.030P.Closteroviridae_rename_sp.zip</v>
      </c>
    </row>
    <row r="9543" spans="1:21">
      <c r="A9543">
        <v>9542</v>
      </c>
      <c r="B9543" s="27" t="s">
        <v>1124</v>
      </c>
      <c r="D9543" s="27" t="s">
        <v>1859</v>
      </c>
      <c r="F9543" s="27" t="s">
        <v>1867</v>
      </c>
      <c r="H9543" s="27" t="s">
        <v>1868</v>
      </c>
      <c r="J9543" s="27" t="s">
        <v>1870</v>
      </c>
      <c r="L9543" s="27" t="s">
        <v>428</v>
      </c>
      <c r="N9543" s="27" t="s">
        <v>454</v>
      </c>
      <c r="P9543" s="27" t="s">
        <v>13880</v>
      </c>
      <c r="Q9543" s="26" t="str">
        <f>HYPERLINK("https://ictv.global/taxonomy/taxondetails?taxnode_id=202503015&amp;ictv_id=ICTV19981257","ICTV19981257")</f>
        <v>ICTV19981257</v>
      </c>
      <c r="R9543" t="s">
        <v>581</v>
      </c>
      <c r="S9543" t="s">
        <v>824</v>
      </c>
      <c r="T9543">
        <v>39</v>
      </c>
      <c r="U9543" s="26" t="str">
        <f>HYPERLINK("https://ictv.global/ictv/proposals/2023.030P.Closteroviridae_rename_sp.zip","2023.030P.Closteroviridae_rename_sp.zip")</f>
        <v>2023.030P.Closteroviridae_rename_sp.zip</v>
      </c>
    </row>
    <row r="9544" spans="1:21">
      <c r="A9544">
        <v>9543</v>
      </c>
      <c r="B9544" s="27" t="s">
        <v>1124</v>
      </c>
      <c r="D9544" s="27" t="s">
        <v>1859</v>
      </c>
      <c r="F9544" s="27" t="s">
        <v>1867</v>
      </c>
      <c r="H9544" s="27" t="s">
        <v>1868</v>
      </c>
      <c r="J9544" s="27" t="s">
        <v>1870</v>
      </c>
      <c r="L9544" s="27" t="s">
        <v>428</v>
      </c>
      <c r="N9544" s="27" t="s">
        <v>454</v>
      </c>
      <c r="P9544" s="27" t="s">
        <v>21965</v>
      </c>
      <c r="Q9544" s="26" t="str">
        <f>HYPERLINK("https://ictv.global/taxonomy/taxondetails?taxnode_id=202522772&amp;ictv_id=ICTV202522772","ICTV202522772")</f>
        <v>ICTV202522772</v>
      </c>
      <c r="R9544" t="s">
        <v>581</v>
      </c>
      <c r="S9544" t="s">
        <v>823</v>
      </c>
      <c r="T9544">
        <v>41</v>
      </c>
      <c r="U9544" s="26" t="str">
        <f>HYPERLINK("https://ictv.global/ictv/proposals/2025.019P.Closteroviridae_31nsp_abolish_1sp.zip","2025.019P.Closteroviridae_31nsp_abolish_1sp.zip")</f>
        <v>2025.019P.Closteroviridae_31nsp_abolish_1sp.zip</v>
      </c>
    </row>
    <row r="9545" spans="1:21">
      <c r="A9545">
        <v>9544</v>
      </c>
      <c r="B9545" s="27" t="s">
        <v>1124</v>
      </c>
      <c r="D9545" s="27" t="s">
        <v>1859</v>
      </c>
      <c r="F9545" s="27" t="s">
        <v>1867</v>
      </c>
      <c r="H9545" s="27" t="s">
        <v>1868</v>
      </c>
      <c r="J9545" s="27" t="s">
        <v>1870</v>
      </c>
      <c r="L9545" s="27" t="s">
        <v>428</v>
      </c>
      <c r="N9545" s="27" t="s">
        <v>454</v>
      </c>
      <c r="P9545" s="27" t="s">
        <v>13881</v>
      </c>
      <c r="Q9545" s="26" t="str">
        <f>HYPERLINK("https://ictv.global/taxonomy/taxondetails?taxnode_id=202503011&amp;ictv_id=ICTV19981255","ICTV19981255")</f>
        <v>ICTV19981255</v>
      </c>
      <c r="R9545" t="s">
        <v>581</v>
      </c>
      <c r="S9545" t="s">
        <v>824</v>
      </c>
      <c r="T9545">
        <v>39</v>
      </c>
      <c r="U9545" s="26" t="str">
        <f>HYPERLINK("https://ictv.global/ictv/proposals/2023.030P.Closteroviridae_rename_sp.zip","2023.030P.Closteroviridae_rename_sp.zip")</f>
        <v>2023.030P.Closteroviridae_rename_sp.zip</v>
      </c>
    </row>
    <row r="9546" spans="1:21">
      <c r="A9546">
        <v>9545</v>
      </c>
      <c r="B9546" s="27" t="s">
        <v>1124</v>
      </c>
      <c r="D9546" s="27" t="s">
        <v>1859</v>
      </c>
      <c r="F9546" s="27" t="s">
        <v>1867</v>
      </c>
      <c r="H9546" s="27" t="s">
        <v>1868</v>
      </c>
      <c r="J9546" s="27" t="s">
        <v>1870</v>
      </c>
      <c r="L9546" s="27" t="s">
        <v>428</v>
      </c>
      <c r="N9546" s="27" t="s">
        <v>454</v>
      </c>
      <c r="P9546" s="27" t="s">
        <v>13882</v>
      </c>
      <c r="Q9546" s="26" t="str">
        <f>HYPERLINK("https://ictv.global/taxonomy/taxondetails?taxnode_id=202503012&amp;ictv_id=ICTV19960876","ICTV19960876")</f>
        <v>ICTV19960876</v>
      </c>
      <c r="R9546" t="s">
        <v>581</v>
      </c>
      <c r="S9546" t="s">
        <v>824</v>
      </c>
      <c r="T9546">
        <v>39</v>
      </c>
      <c r="U9546" s="26" t="str">
        <f>HYPERLINK("https://ictv.global/ictv/proposals/2023.030P.Closteroviridae_rename_sp.zip","2023.030P.Closteroviridae_rename_sp.zip")</f>
        <v>2023.030P.Closteroviridae_rename_sp.zip</v>
      </c>
    </row>
    <row r="9547" spans="1:21">
      <c r="A9547">
        <v>9546</v>
      </c>
      <c r="B9547" s="27" t="s">
        <v>1124</v>
      </c>
      <c r="D9547" s="27" t="s">
        <v>1859</v>
      </c>
      <c r="F9547" s="27" t="s">
        <v>1867</v>
      </c>
      <c r="H9547" s="27" t="s">
        <v>1868</v>
      </c>
      <c r="J9547" s="27" t="s">
        <v>1870</v>
      </c>
      <c r="L9547" s="27" t="s">
        <v>428</v>
      </c>
      <c r="N9547" s="27" t="s">
        <v>454</v>
      </c>
      <c r="P9547" s="27" t="s">
        <v>21967</v>
      </c>
      <c r="Q9547" s="26" t="str">
        <f>HYPERLINK("https://ictv.global/taxonomy/taxondetails?taxnode_id=202522774&amp;ictv_id=ICTV202522774","ICTV202522774")</f>
        <v>ICTV202522774</v>
      </c>
      <c r="R9547" t="s">
        <v>581</v>
      </c>
      <c r="S9547" t="s">
        <v>823</v>
      </c>
      <c r="T9547">
        <v>41</v>
      </c>
      <c r="U9547" s="26" t="str">
        <f>HYPERLINK("https://ictv.global/ictv/proposals/2025.019P.Closteroviridae_31nsp_abolish_1sp.zip","2025.019P.Closteroviridae_31nsp_abolish_1sp.zip")</f>
        <v>2025.019P.Closteroviridae_31nsp_abolish_1sp.zip</v>
      </c>
    </row>
    <row r="9548" spans="1:21">
      <c r="A9548">
        <v>9547</v>
      </c>
      <c r="B9548" s="27" t="s">
        <v>1124</v>
      </c>
      <c r="D9548" s="27" t="s">
        <v>1859</v>
      </c>
      <c r="F9548" s="27" t="s">
        <v>1867</v>
      </c>
      <c r="H9548" s="27" t="s">
        <v>1868</v>
      </c>
      <c r="J9548" s="27" t="s">
        <v>1870</v>
      </c>
      <c r="L9548" s="27" t="s">
        <v>428</v>
      </c>
      <c r="N9548" s="27" t="s">
        <v>454</v>
      </c>
      <c r="P9548" s="27" t="s">
        <v>13883</v>
      </c>
      <c r="Q9548" s="26" t="str">
        <f>HYPERLINK("https://ictv.global/taxonomy/taxondetails?taxnode_id=202503014&amp;ictv_id=ICTV20083652","ICTV20083652")</f>
        <v>ICTV20083652</v>
      </c>
      <c r="R9548" t="s">
        <v>581</v>
      </c>
      <c r="S9548" t="s">
        <v>824</v>
      </c>
      <c r="T9548">
        <v>39</v>
      </c>
      <c r="U9548" s="26" t="str">
        <f>HYPERLINK("https://ictv.global/ictv/proposals/2023.030P.Closteroviridae_rename_sp.zip","2023.030P.Closteroviridae_rename_sp.zip")</f>
        <v>2023.030P.Closteroviridae_rename_sp.zip</v>
      </c>
    </row>
    <row r="9549" spans="1:21">
      <c r="A9549">
        <v>9548</v>
      </c>
      <c r="B9549" s="27" t="s">
        <v>1124</v>
      </c>
      <c r="D9549" s="27" t="s">
        <v>1859</v>
      </c>
      <c r="F9549" s="27" t="s">
        <v>1867</v>
      </c>
      <c r="H9549" s="27" t="s">
        <v>1868</v>
      </c>
      <c r="J9549" s="27" t="s">
        <v>1870</v>
      </c>
      <c r="L9549" s="27" t="s">
        <v>428</v>
      </c>
      <c r="N9549" s="27" t="s">
        <v>454</v>
      </c>
      <c r="P9549" s="27" t="s">
        <v>21968</v>
      </c>
      <c r="Q9549" s="26" t="str">
        <f>HYPERLINK("https://ictv.global/taxonomy/taxondetails?taxnode_id=202522775&amp;ictv_id=ICTV202522775","ICTV202522775")</f>
        <v>ICTV202522775</v>
      </c>
      <c r="R9549" t="s">
        <v>581</v>
      </c>
      <c r="S9549" t="s">
        <v>823</v>
      </c>
      <c r="T9549">
        <v>41</v>
      </c>
      <c r="U9549" s="26" t="str">
        <f>HYPERLINK("https://ictv.global/ictv/proposals/2025.019P.Closteroviridae_31nsp_abolish_1sp.zip","2025.019P.Closteroviridae_31nsp_abolish_1sp.zip")</f>
        <v>2025.019P.Closteroviridae_31nsp_abolish_1sp.zip</v>
      </c>
    </row>
    <row r="9550" spans="1:21">
      <c r="A9550">
        <v>9549</v>
      </c>
      <c r="B9550" s="27" t="s">
        <v>1124</v>
      </c>
      <c r="D9550" s="27" t="s">
        <v>1859</v>
      </c>
      <c r="F9550" s="27" t="s">
        <v>1867</v>
      </c>
      <c r="H9550" s="27" t="s">
        <v>1868</v>
      </c>
      <c r="J9550" s="27" t="s">
        <v>1870</v>
      </c>
      <c r="L9550" s="27" t="s">
        <v>428</v>
      </c>
      <c r="N9550" s="27" t="s">
        <v>454</v>
      </c>
      <c r="P9550" s="27" t="s">
        <v>13884</v>
      </c>
      <c r="Q9550" s="26" t="str">
        <f>HYPERLINK("https://ictv.global/taxonomy/taxondetails?taxnode_id=202503007&amp;ictv_id=ICTV20073446","ICTV20073446")</f>
        <v>ICTV20073446</v>
      </c>
      <c r="R9550" t="s">
        <v>581</v>
      </c>
      <c r="S9550" t="s">
        <v>824</v>
      </c>
      <c r="T9550">
        <v>39</v>
      </c>
      <c r="U9550" s="26" t="str">
        <f t="shared" ref="U9550:U9556" si="341">HYPERLINK("https://ictv.global/ictv/proposals/2023.030P.Closteroviridae_rename_sp.zip","2023.030P.Closteroviridae_rename_sp.zip")</f>
        <v>2023.030P.Closteroviridae_rename_sp.zip</v>
      </c>
    </row>
    <row r="9551" spans="1:21">
      <c r="A9551">
        <v>9550</v>
      </c>
      <c r="B9551" s="27" t="s">
        <v>1124</v>
      </c>
      <c r="D9551" s="27" t="s">
        <v>1859</v>
      </c>
      <c r="F9551" s="27" t="s">
        <v>1867</v>
      </c>
      <c r="H9551" s="27" t="s">
        <v>1868</v>
      </c>
      <c r="J9551" s="27" t="s">
        <v>1870</v>
      </c>
      <c r="L9551" s="27" t="s">
        <v>428</v>
      </c>
      <c r="N9551" s="27" t="s">
        <v>454</v>
      </c>
      <c r="P9551" s="27" t="s">
        <v>13885</v>
      </c>
      <c r="Q9551" s="26" t="str">
        <f>HYPERLINK("https://ictv.global/taxonomy/taxondetails?taxnode_id=202503008&amp;ictv_id=ICTV20083647","ICTV20083647")</f>
        <v>ICTV20083647</v>
      </c>
      <c r="R9551" t="s">
        <v>581</v>
      </c>
      <c r="S9551" t="s">
        <v>824</v>
      </c>
      <c r="T9551">
        <v>39</v>
      </c>
      <c r="U9551" s="26" t="str">
        <f t="shared" si="341"/>
        <v>2023.030P.Closteroviridae_rename_sp.zip</v>
      </c>
    </row>
    <row r="9552" spans="1:21">
      <c r="A9552">
        <v>9551</v>
      </c>
      <c r="B9552" s="27" t="s">
        <v>1124</v>
      </c>
      <c r="D9552" s="27" t="s">
        <v>1859</v>
      </c>
      <c r="F9552" s="27" t="s">
        <v>1867</v>
      </c>
      <c r="H9552" s="27" t="s">
        <v>1868</v>
      </c>
      <c r="J9552" s="27" t="s">
        <v>1870</v>
      </c>
      <c r="L9552" s="27" t="s">
        <v>428</v>
      </c>
      <c r="N9552" s="27" t="s">
        <v>454</v>
      </c>
      <c r="P9552" s="27" t="s">
        <v>13886</v>
      </c>
      <c r="Q9552" s="26" t="str">
        <f>HYPERLINK("https://ictv.global/taxonomy/taxondetails?taxnode_id=202503017&amp;ictv_id=ICTV19981258","ICTV19981258")</f>
        <v>ICTV19981258</v>
      </c>
      <c r="R9552" t="s">
        <v>581</v>
      </c>
      <c r="S9552" t="s">
        <v>824</v>
      </c>
      <c r="T9552">
        <v>39</v>
      </c>
      <c r="U9552" s="26" t="str">
        <f t="shared" si="341"/>
        <v>2023.030P.Closteroviridae_rename_sp.zip</v>
      </c>
    </row>
    <row r="9553" spans="1:21">
      <c r="A9553">
        <v>9552</v>
      </c>
      <c r="B9553" s="27" t="s">
        <v>1124</v>
      </c>
      <c r="D9553" s="27" t="s">
        <v>1859</v>
      </c>
      <c r="F9553" s="27" t="s">
        <v>1867</v>
      </c>
      <c r="H9553" s="27" t="s">
        <v>1868</v>
      </c>
      <c r="J9553" s="27" t="s">
        <v>1870</v>
      </c>
      <c r="L9553" s="27" t="s">
        <v>428</v>
      </c>
      <c r="N9553" s="27" t="s">
        <v>8819</v>
      </c>
      <c r="P9553" s="27" t="s">
        <v>13887</v>
      </c>
      <c r="Q9553" s="26" t="str">
        <f>HYPERLINK("https://ictv.global/taxonomy/taxondetails?taxnode_id=202503023&amp;ictv_id=ICTV20083656","ICTV20083656")</f>
        <v>ICTV20083656</v>
      </c>
      <c r="R9553" t="s">
        <v>581</v>
      </c>
      <c r="S9553" t="s">
        <v>824</v>
      </c>
      <c r="T9553">
        <v>39</v>
      </c>
      <c r="U9553" s="26" t="str">
        <f t="shared" si="341"/>
        <v>2023.030P.Closteroviridae_rename_sp.zip</v>
      </c>
    </row>
    <row r="9554" spans="1:21">
      <c r="A9554">
        <v>9553</v>
      </c>
      <c r="B9554" s="27" t="s">
        <v>1124</v>
      </c>
      <c r="D9554" s="27" t="s">
        <v>1859</v>
      </c>
      <c r="F9554" s="27" t="s">
        <v>1867</v>
      </c>
      <c r="H9554" s="27" t="s">
        <v>1868</v>
      </c>
      <c r="J9554" s="27" t="s">
        <v>1870</v>
      </c>
      <c r="L9554" s="27" t="s">
        <v>428</v>
      </c>
      <c r="N9554" s="27" t="s">
        <v>8820</v>
      </c>
      <c r="P9554" s="27" t="s">
        <v>13888</v>
      </c>
      <c r="Q9554" s="26" t="str">
        <f>HYPERLINK("https://ictv.global/taxonomy/taxondetails?taxnode_id=202506657&amp;ictv_id=ICTV201856657","ICTV201856657")</f>
        <v>ICTV201856657</v>
      </c>
      <c r="R9554" t="s">
        <v>581</v>
      </c>
      <c r="S9554" t="s">
        <v>824</v>
      </c>
      <c r="T9554">
        <v>39</v>
      </c>
      <c r="U9554" s="26" t="str">
        <f t="shared" si="341"/>
        <v>2023.030P.Closteroviridae_rename_sp.zip</v>
      </c>
    </row>
    <row r="9555" spans="1:21">
      <c r="A9555">
        <v>9554</v>
      </c>
      <c r="B9555" s="27" t="s">
        <v>1124</v>
      </c>
      <c r="D9555" s="27" t="s">
        <v>1859</v>
      </c>
      <c r="F9555" s="27" t="s">
        <v>1867</v>
      </c>
      <c r="H9555" s="27" t="s">
        <v>1868</v>
      </c>
      <c r="J9555" s="27" t="s">
        <v>1870</v>
      </c>
      <c r="L9555" s="27" t="s">
        <v>428</v>
      </c>
      <c r="N9555" s="27" t="s">
        <v>8820</v>
      </c>
      <c r="P9555" s="27" t="s">
        <v>13889</v>
      </c>
      <c r="Q9555" s="26" t="str">
        <f>HYPERLINK("https://ictv.global/taxonomy/taxondetails?taxnode_id=202503025&amp;ictv_id=ICTV20165271","ICTV20165271")</f>
        <v>ICTV20165271</v>
      </c>
      <c r="R9555" t="s">
        <v>581</v>
      </c>
      <c r="S9555" t="s">
        <v>824</v>
      </c>
      <c r="T9555">
        <v>39</v>
      </c>
      <c r="U9555" s="26" t="str">
        <f t="shared" si="341"/>
        <v>2023.030P.Closteroviridae_rename_sp.zip</v>
      </c>
    </row>
    <row r="9556" spans="1:21">
      <c r="A9556">
        <v>9555</v>
      </c>
      <c r="B9556" s="27" t="s">
        <v>1124</v>
      </c>
      <c r="D9556" s="27" t="s">
        <v>1859</v>
      </c>
      <c r="F9556" s="27" t="s">
        <v>1867</v>
      </c>
      <c r="H9556" s="27" t="s">
        <v>1868</v>
      </c>
      <c r="J9556" s="27" t="s">
        <v>1870</v>
      </c>
      <c r="L9556" s="27" t="s">
        <v>428</v>
      </c>
      <c r="N9556" s="27" t="s">
        <v>8820</v>
      </c>
      <c r="P9556" s="27" t="s">
        <v>13890</v>
      </c>
      <c r="Q9556" s="26" t="str">
        <f>HYPERLINK("https://ictv.global/taxonomy/taxondetails?taxnode_id=202503024&amp;ictv_id=ICTV20020818","ICTV20020818")</f>
        <v>ICTV20020818</v>
      </c>
      <c r="R9556" t="s">
        <v>581</v>
      </c>
      <c r="S9556" t="s">
        <v>824</v>
      </c>
      <c r="T9556">
        <v>39</v>
      </c>
      <c r="U9556" s="26" t="str">
        <f t="shared" si="341"/>
        <v>2023.030P.Closteroviridae_rename_sp.zip</v>
      </c>
    </row>
    <row r="9557" spans="1:21">
      <c r="A9557">
        <v>9556</v>
      </c>
      <c r="B9557" s="27" t="s">
        <v>1124</v>
      </c>
      <c r="D9557" s="27" t="s">
        <v>1859</v>
      </c>
      <c r="F9557" s="27" t="s">
        <v>1867</v>
      </c>
      <c r="H9557" s="27" t="s">
        <v>1868</v>
      </c>
      <c r="J9557" s="27" t="s">
        <v>1870</v>
      </c>
      <c r="L9557" s="27" t="s">
        <v>428</v>
      </c>
      <c r="N9557" s="27" t="s">
        <v>8820</v>
      </c>
      <c r="P9557" s="27" t="s">
        <v>21970</v>
      </c>
      <c r="Q9557" s="26" t="str">
        <f>HYPERLINK("https://ictv.global/taxonomy/taxondetails?taxnode_id=202522777&amp;ictv_id=ICTV202522777","ICTV202522777")</f>
        <v>ICTV202522777</v>
      </c>
      <c r="R9557" t="s">
        <v>581</v>
      </c>
      <c r="S9557" t="s">
        <v>823</v>
      </c>
      <c r="T9557">
        <v>41</v>
      </c>
      <c r="U9557" s="26" t="str">
        <f>HYPERLINK("https://ictv.global/ictv/proposals/2025.019P.Closteroviridae_31nsp_abolish_1sp.zip","2025.019P.Closteroviridae_31nsp_abolish_1sp.zip")</f>
        <v>2025.019P.Closteroviridae_31nsp_abolish_1sp.zip</v>
      </c>
    </row>
    <row r="9558" spans="1:21">
      <c r="A9558">
        <v>9557</v>
      </c>
      <c r="B9558" s="27" t="s">
        <v>1124</v>
      </c>
      <c r="D9558" s="27" t="s">
        <v>1859</v>
      </c>
      <c r="F9558" s="27" t="s">
        <v>1867</v>
      </c>
      <c r="H9558" s="27" t="s">
        <v>1868</v>
      </c>
      <c r="J9558" s="27" t="s">
        <v>1870</v>
      </c>
      <c r="L9558" s="27" t="s">
        <v>428</v>
      </c>
      <c r="N9558" s="27" t="s">
        <v>511</v>
      </c>
      <c r="P9558" s="27" t="s">
        <v>21971</v>
      </c>
      <c r="Q9558" s="26" t="str">
        <f>HYPERLINK("https://ictv.global/taxonomy/taxondetails?taxnode_id=202522778&amp;ictv_id=ICTV202522778","ICTV202522778")</f>
        <v>ICTV202522778</v>
      </c>
      <c r="R9558" t="s">
        <v>581</v>
      </c>
      <c r="S9558" t="s">
        <v>823</v>
      </c>
      <c r="T9558">
        <v>41</v>
      </c>
      <c r="U9558" s="26" t="str">
        <f>HYPERLINK("https://ictv.global/ictv/proposals/2025.019P.Closteroviridae_31nsp_abolish_1sp.zip","2025.019P.Closteroviridae_31nsp_abolish_1sp.zip")</f>
        <v>2025.019P.Closteroviridae_31nsp_abolish_1sp.zip</v>
      </c>
    </row>
    <row r="9559" spans="1:21">
      <c r="A9559">
        <v>9558</v>
      </c>
      <c r="B9559" s="27" t="s">
        <v>1124</v>
      </c>
      <c r="D9559" s="27" t="s">
        <v>1859</v>
      </c>
      <c r="F9559" s="27" t="s">
        <v>1867</v>
      </c>
      <c r="H9559" s="27" t="s">
        <v>1868</v>
      </c>
      <c r="J9559" s="27" t="s">
        <v>1870</v>
      </c>
      <c r="L9559" s="27" t="s">
        <v>428</v>
      </c>
      <c r="N9559" s="27" t="s">
        <v>511</v>
      </c>
      <c r="P9559" s="27" t="s">
        <v>13891</v>
      </c>
      <c r="Q9559" s="26" t="str">
        <f>HYPERLINK("https://ictv.global/taxonomy/taxondetails?taxnode_id=202508912&amp;ictv_id=ICTV202008912","ICTV202008912")</f>
        <v>ICTV202008912</v>
      </c>
      <c r="R9559" t="s">
        <v>581</v>
      </c>
      <c r="S9559" t="s">
        <v>824</v>
      </c>
      <c r="T9559">
        <v>39</v>
      </c>
      <c r="U9559" s="26" t="str">
        <f>HYPERLINK("https://ictv.global/ictv/proposals/2023.030P.Closteroviridae_rename_sp.zip","2023.030P.Closteroviridae_rename_sp.zip")</f>
        <v>2023.030P.Closteroviridae_rename_sp.zip</v>
      </c>
    </row>
    <row r="9560" spans="1:21">
      <c r="A9560">
        <v>9559</v>
      </c>
      <c r="B9560" s="27" t="s">
        <v>1124</v>
      </c>
      <c r="D9560" s="27" t="s">
        <v>1859</v>
      </c>
      <c r="F9560" s="27" t="s">
        <v>1867</v>
      </c>
      <c r="H9560" s="27" t="s">
        <v>1868</v>
      </c>
      <c r="J9560" s="27" t="s">
        <v>1870</v>
      </c>
      <c r="L9560" s="27" t="s">
        <v>428</v>
      </c>
      <c r="N9560" s="27" t="s">
        <v>511</v>
      </c>
      <c r="P9560" s="27" t="s">
        <v>13892</v>
      </c>
      <c r="Q9560" s="26" t="str">
        <f>HYPERLINK("https://ictv.global/taxonomy/taxondetails?taxnode_id=202503027&amp;ictv_id=ICTV20165272","ICTV20165272")</f>
        <v>ICTV20165272</v>
      </c>
      <c r="R9560" t="s">
        <v>581</v>
      </c>
      <c r="S9560" t="s">
        <v>824</v>
      </c>
      <c r="T9560">
        <v>39</v>
      </c>
      <c r="U9560" s="26" t="str">
        <f>HYPERLINK("https://ictv.global/ictv/proposals/2023.030P.Closteroviridae_rename_sp.zip","2023.030P.Closteroviridae_rename_sp.zip")</f>
        <v>2023.030P.Closteroviridae_rename_sp.zip</v>
      </c>
    </row>
    <row r="9561" spans="1:21">
      <c r="A9561">
        <v>9560</v>
      </c>
      <c r="B9561" s="27" t="s">
        <v>1124</v>
      </c>
      <c r="D9561" s="27" t="s">
        <v>1859</v>
      </c>
      <c r="F9561" s="27" t="s">
        <v>1867</v>
      </c>
      <c r="H9561" s="27" t="s">
        <v>1868</v>
      </c>
      <c r="J9561" s="27" t="s">
        <v>1870</v>
      </c>
      <c r="L9561" s="27" t="s">
        <v>428</v>
      </c>
      <c r="N9561" s="27" t="s">
        <v>511</v>
      </c>
      <c r="P9561" s="27" t="s">
        <v>13893</v>
      </c>
      <c r="Q9561" s="26" t="str">
        <f>HYPERLINK("https://ictv.global/taxonomy/taxondetails?taxnode_id=202503029&amp;ictv_id=ICTV20152412","ICTV20152412")</f>
        <v>ICTV20152412</v>
      </c>
      <c r="R9561" t="s">
        <v>581</v>
      </c>
      <c r="S9561" t="s">
        <v>824</v>
      </c>
      <c r="T9561">
        <v>39</v>
      </c>
      <c r="U9561" s="26" t="str">
        <f>HYPERLINK("https://ictv.global/ictv/proposals/2023.030P.Closteroviridae_rename_sp.zip","2023.030P.Closteroviridae_rename_sp.zip")</f>
        <v>2023.030P.Closteroviridae_rename_sp.zip</v>
      </c>
    </row>
    <row r="9562" spans="1:21">
      <c r="A9562">
        <v>9561</v>
      </c>
      <c r="B9562" s="27" t="s">
        <v>1124</v>
      </c>
      <c r="D9562" s="27" t="s">
        <v>1859</v>
      </c>
      <c r="F9562" s="27" t="s">
        <v>1867</v>
      </c>
      <c r="H9562" s="27" t="s">
        <v>1868</v>
      </c>
      <c r="J9562" s="27" t="s">
        <v>1870</v>
      </c>
      <c r="L9562" s="27" t="s">
        <v>428</v>
      </c>
      <c r="N9562" s="27" t="s">
        <v>511</v>
      </c>
      <c r="P9562" s="27" t="s">
        <v>20146</v>
      </c>
      <c r="Q9562" s="26" t="str">
        <f>HYPERLINK("https://ictv.global/taxonomy/taxondetails?taxnode_id=202520766&amp;ictv_id=ICTV202420766","ICTV202420766")</f>
        <v>ICTV202420766</v>
      </c>
      <c r="R9562" t="s">
        <v>581</v>
      </c>
      <c r="S9562" t="s">
        <v>823</v>
      </c>
      <c r="T9562">
        <v>40</v>
      </c>
      <c r="U9562" s="26" t="str">
        <f>HYPERLINK("https://ictv.global/ictv/proposals/2024.019P.Closteroviridae_1nsp.zip","2024.019P.Closteroviridae_1nsp.zip")</f>
        <v>2024.019P.Closteroviridae_1nsp.zip</v>
      </c>
    </row>
    <row r="9563" spans="1:21">
      <c r="A9563">
        <v>9562</v>
      </c>
      <c r="B9563" s="27" t="s">
        <v>1124</v>
      </c>
      <c r="D9563" s="27" t="s">
        <v>1859</v>
      </c>
      <c r="F9563" s="27" t="s">
        <v>1867</v>
      </c>
      <c r="H9563" s="27" t="s">
        <v>1868</v>
      </c>
      <c r="J9563" s="27" t="s">
        <v>1870</v>
      </c>
      <c r="L9563" s="27" t="s">
        <v>428</v>
      </c>
      <c r="N9563" s="27" t="s">
        <v>511</v>
      </c>
      <c r="P9563" s="27" t="s">
        <v>13894</v>
      </c>
      <c r="Q9563" s="26" t="str">
        <f>HYPERLINK("https://ictv.global/taxonomy/taxondetails?taxnode_id=202503033&amp;ictv_id=ICTV20020816","ICTV20020816")</f>
        <v>ICTV20020816</v>
      </c>
      <c r="R9563" t="s">
        <v>581</v>
      </c>
      <c r="S9563" t="s">
        <v>824</v>
      </c>
      <c r="T9563">
        <v>39</v>
      </c>
      <c r="U9563" s="26" t="str">
        <f>HYPERLINK("https://ictv.global/ictv/proposals/2023.030P.Closteroviridae_rename_sp.zip","2023.030P.Closteroviridae_rename_sp.zip")</f>
        <v>2023.030P.Closteroviridae_rename_sp.zip</v>
      </c>
    </row>
    <row r="9564" spans="1:21">
      <c r="A9564">
        <v>9563</v>
      </c>
      <c r="B9564" s="27" t="s">
        <v>1124</v>
      </c>
      <c r="D9564" s="27" t="s">
        <v>1859</v>
      </c>
      <c r="F9564" s="27" t="s">
        <v>1867</v>
      </c>
      <c r="H9564" s="27" t="s">
        <v>1868</v>
      </c>
      <c r="J9564" s="27" t="s">
        <v>1870</v>
      </c>
      <c r="L9564" s="27" t="s">
        <v>428</v>
      </c>
      <c r="N9564" s="27" t="s">
        <v>511</v>
      </c>
      <c r="P9564" s="27" t="s">
        <v>21972</v>
      </c>
      <c r="Q9564" s="26" t="str">
        <f>HYPERLINK("https://ictv.global/taxonomy/taxondetails?taxnode_id=202522779&amp;ictv_id=ICTV202522779","ICTV202522779")</f>
        <v>ICTV202522779</v>
      </c>
      <c r="R9564" t="s">
        <v>581</v>
      </c>
      <c r="S9564" t="s">
        <v>823</v>
      </c>
      <c r="T9564">
        <v>41</v>
      </c>
      <c r="U9564" s="26" t="str">
        <f>HYPERLINK("https://ictv.global/ictv/proposals/2025.019P.Closteroviridae_31nsp_abolish_1sp.zip","2025.019P.Closteroviridae_31nsp_abolish_1sp.zip")</f>
        <v>2025.019P.Closteroviridae_31nsp_abolish_1sp.zip</v>
      </c>
    </row>
    <row r="9565" spans="1:21">
      <c r="A9565">
        <v>9564</v>
      </c>
      <c r="B9565" s="27" t="s">
        <v>1124</v>
      </c>
      <c r="D9565" s="27" t="s">
        <v>1859</v>
      </c>
      <c r="F9565" s="27" t="s">
        <v>1867</v>
      </c>
      <c r="H9565" s="27" t="s">
        <v>1868</v>
      </c>
      <c r="J9565" s="27" t="s">
        <v>1870</v>
      </c>
      <c r="L9565" s="27" t="s">
        <v>428</v>
      </c>
      <c r="N9565" s="27" t="s">
        <v>511</v>
      </c>
      <c r="P9565" s="27" t="s">
        <v>13895</v>
      </c>
      <c r="Q9565" s="26" t="str">
        <f>HYPERLINK("https://ictv.global/taxonomy/taxondetails?taxnode_id=202503032&amp;ictv_id=ICTV20020815","ICTV20020815")</f>
        <v>ICTV20020815</v>
      </c>
      <c r="R9565" t="s">
        <v>581</v>
      </c>
      <c r="S9565" t="s">
        <v>824</v>
      </c>
      <c r="T9565">
        <v>39</v>
      </c>
      <c r="U9565" s="26" t="str">
        <f>HYPERLINK("https://ictv.global/ictv/proposals/2023.030P.Closteroviridae_rename_sp.zip","2023.030P.Closteroviridae_rename_sp.zip")</f>
        <v>2023.030P.Closteroviridae_rename_sp.zip</v>
      </c>
    </row>
    <row r="9566" spans="1:21">
      <c r="A9566">
        <v>9565</v>
      </c>
      <c r="B9566" s="27" t="s">
        <v>1124</v>
      </c>
      <c r="D9566" s="27" t="s">
        <v>1859</v>
      </c>
      <c r="F9566" s="27" t="s">
        <v>1867</v>
      </c>
      <c r="H9566" s="27" t="s">
        <v>1868</v>
      </c>
      <c r="J9566" s="27" t="s">
        <v>1870</v>
      </c>
      <c r="L9566" s="27" t="s">
        <v>428</v>
      </c>
      <c r="N9566" s="27" t="s">
        <v>511</v>
      </c>
      <c r="P9566" s="27" t="s">
        <v>13896</v>
      </c>
      <c r="Q9566" s="26" t="str">
        <f>HYPERLINK("https://ictv.global/taxonomy/taxondetails?taxnode_id=202503031&amp;ictv_id=ICTV20152414","ICTV20152414")</f>
        <v>ICTV20152414</v>
      </c>
      <c r="R9566" t="s">
        <v>581</v>
      </c>
      <c r="S9566" t="s">
        <v>824</v>
      </c>
      <c r="T9566">
        <v>39</v>
      </c>
      <c r="U9566" s="26" t="str">
        <f>HYPERLINK("https://ictv.global/ictv/proposals/2023.030P.Closteroviridae_rename_sp.zip","2023.030P.Closteroviridae_rename_sp.zip")</f>
        <v>2023.030P.Closteroviridae_rename_sp.zip</v>
      </c>
    </row>
    <row r="9567" spans="1:21">
      <c r="A9567">
        <v>9566</v>
      </c>
      <c r="B9567" s="27" t="s">
        <v>1124</v>
      </c>
      <c r="D9567" s="27" t="s">
        <v>1859</v>
      </c>
      <c r="F9567" s="27" t="s">
        <v>1867</v>
      </c>
      <c r="H9567" s="27" t="s">
        <v>1868</v>
      </c>
      <c r="J9567" s="27" t="s">
        <v>1870</v>
      </c>
      <c r="L9567" s="27" t="s">
        <v>428</v>
      </c>
      <c r="N9567" s="27" t="s">
        <v>511</v>
      </c>
      <c r="P9567" s="27" t="s">
        <v>13897</v>
      </c>
      <c r="Q9567" s="26" t="str">
        <f>HYPERLINK("https://ictv.global/taxonomy/taxondetails?taxnode_id=202503030&amp;ictv_id=ICTV20152413","ICTV20152413")</f>
        <v>ICTV20152413</v>
      </c>
      <c r="R9567" t="s">
        <v>581</v>
      </c>
      <c r="S9567" t="s">
        <v>824</v>
      </c>
      <c r="T9567">
        <v>39</v>
      </c>
      <c r="U9567" s="26" t="str">
        <f>HYPERLINK("https://ictv.global/ictv/proposals/2023.030P.Closteroviridae_rename_sp.zip","2023.030P.Closteroviridae_rename_sp.zip")</f>
        <v>2023.030P.Closteroviridae_rename_sp.zip</v>
      </c>
    </row>
    <row r="9568" spans="1:21">
      <c r="A9568">
        <v>9567</v>
      </c>
      <c r="B9568" s="27" t="s">
        <v>1124</v>
      </c>
      <c r="D9568" s="27" t="s">
        <v>1859</v>
      </c>
      <c r="F9568" s="27" t="s">
        <v>1867</v>
      </c>
      <c r="H9568" s="27" t="s">
        <v>1868</v>
      </c>
      <c r="J9568" s="27" t="s">
        <v>1870</v>
      </c>
      <c r="L9568" s="27" t="s">
        <v>428</v>
      </c>
      <c r="N9568" s="27" t="s">
        <v>511</v>
      </c>
      <c r="P9568" s="27" t="s">
        <v>13898</v>
      </c>
      <c r="Q9568" s="26" t="str">
        <f>HYPERLINK("https://ictv.global/taxonomy/taxondetails?taxnode_id=202503028&amp;ictv_id=ICTV20131592","ICTV20131592")</f>
        <v>ICTV20131592</v>
      </c>
      <c r="R9568" t="s">
        <v>581</v>
      </c>
      <c r="S9568" t="s">
        <v>824</v>
      </c>
      <c r="T9568">
        <v>39</v>
      </c>
      <c r="U9568" s="26" t="str">
        <f>HYPERLINK("https://ictv.global/ictv/proposals/2023.030P.Closteroviridae_rename_sp.zip","2023.030P.Closteroviridae_rename_sp.zip")</f>
        <v>2023.030P.Closteroviridae_rename_sp.zip</v>
      </c>
    </row>
    <row r="9569" spans="1:21">
      <c r="A9569">
        <v>9568</v>
      </c>
      <c r="B9569" s="27" t="s">
        <v>1124</v>
      </c>
      <c r="D9569" s="27" t="s">
        <v>1859</v>
      </c>
      <c r="F9569" s="27" t="s">
        <v>1867</v>
      </c>
      <c r="H9569" s="27" t="s">
        <v>1868</v>
      </c>
      <c r="J9569" s="27" t="s">
        <v>1870</v>
      </c>
      <c r="L9569" s="27" t="s">
        <v>367</v>
      </c>
      <c r="N9569" s="27" t="s">
        <v>723</v>
      </c>
      <c r="P9569" s="27" t="s">
        <v>13899</v>
      </c>
      <c r="Q9569" s="26" t="str">
        <f>HYPERLINK("https://ictv.global/taxonomy/taxondetails?taxnode_id=202507538&amp;ictv_id=ICTV201907538","ICTV201907538")</f>
        <v>ICTV201907538</v>
      </c>
      <c r="R9569" t="s">
        <v>581</v>
      </c>
      <c r="S9569" t="s">
        <v>824</v>
      </c>
      <c r="T9569">
        <v>39</v>
      </c>
      <c r="U9569" s="26" t="str">
        <f t="shared" ref="U9569:U9599" si="342">HYPERLINK("https://ictv.global/ictv/proposals/2023.002P.Endornaviridae_rename_sp.zip","2023.002P.Endornaviridae_rename_sp.zip")</f>
        <v>2023.002P.Endornaviridae_rename_sp.zip</v>
      </c>
    </row>
    <row r="9570" spans="1:21">
      <c r="A9570">
        <v>9569</v>
      </c>
      <c r="B9570" s="27" t="s">
        <v>1124</v>
      </c>
      <c r="D9570" s="27" t="s">
        <v>1859</v>
      </c>
      <c r="F9570" s="27" t="s">
        <v>1867</v>
      </c>
      <c r="H9570" s="27" t="s">
        <v>1868</v>
      </c>
      <c r="J9570" s="27" t="s">
        <v>1870</v>
      </c>
      <c r="L9570" s="27" t="s">
        <v>367</v>
      </c>
      <c r="N9570" s="27" t="s">
        <v>723</v>
      </c>
      <c r="P9570" s="27" t="s">
        <v>13900</v>
      </c>
      <c r="Q9570" s="26" t="str">
        <f>HYPERLINK("https://ictv.global/taxonomy/taxondetails?taxnode_id=202503045&amp;ictv_id=ICTV20152434","ICTV20152434")</f>
        <v>ICTV20152434</v>
      </c>
      <c r="R9570" t="s">
        <v>581</v>
      </c>
      <c r="S9570" t="s">
        <v>824</v>
      </c>
      <c r="T9570">
        <v>39</v>
      </c>
      <c r="U9570" s="26" t="str">
        <f t="shared" si="342"/>
        <v>2023.002P.Endornaviridae_rename_sp.zip</v>
      </c>
    </row>
    <row r="9571" spans="1:21">
      <c r="A9571">
        <v>9570</v>
      </c>
      <c r="B9571" s="27" t="s">
        <v>1124</v>
      </c>
      <c r="D9571" s="27" t="s">
        <v>1859</v>
      </c>
      <c r="F9571" s="27" t="s">
        <v>1867</v>
      </c>
      <c r="H9571" s="27" t="s">
        <v>1868</v>
      </c>
      <c r="J9571" s="27" t="s">
        <v>1870</v>
      </c>
      <c r="L9571" s="27" t="s">
        <v>367</v>
      </c>
      <c r="N9571" s="27" t="s">
        <v>723</v>
      </c>
      <c r="P9571" s="27" t="s">
        <v>13901</v>
      </c>
      <c r="Q9571" s="26" t="str">
        <f>HYPERLINK("https://ictv.global/taxonomy/taxondetails?taxnode_id=202503046&amp;ictv_id=ICTV20125751","ICTV20125751")</f>
        <v>ICTV20125751</v>
      </c>
      <c r="R9571" t="s">
        <v>581</v>
      </c>
      <c r="S9571" t="s">
        <v>824</v>
      </c>
      <c r="T9571">
        <v>39</v>
      </c>
      <c r="U9571" s="26" t="str">
        <f t="shared" si="342"/>
        <v>2023.002P.Endornaviridae_rename_sp.zip</v>
      </c>
    </row>
    <row r="9572" spans="1:21">
      <c r="A9572">
        <v>9571</v>
      </c>
      <c r="B9572" s="27" t="s">
        <v>1124</v>
      </c>
      <c r="D9572" s="27" t="s">
        <v>1859</v>
      </c>
      <c r="F9572" s="27" t="s">
        <v>1867</v>
      </c>
      <c r="H9572" s="27" t="s">
        <v>1868</v>
      </c>
      <c r="J9572" s="27" t="s">
        <v>1870</v>
      </c>
      <c r="L9572" s="27" t="s">
        <v>367</v>
      </c>
      <c r="N9572" s="27" t="s">
        <v>723</v>
      </c>
      <c r="P9572" s="27" t="s">
        <v>13902</v>
      </c>
      <c r="Q9572" s="26" t="str">
        <f>HYPERLINK("https://ictv.global/taxonomy/taxondetails?taxnode_id=202503047&amp;ictv_id=ICTV20165273","ICTV20165273")</f>
        <v>ICTV20165273</v>
      </c>
      <c r="R9572" t="s">
        <v>581</v>
      </c>
      <c r="S9572" t="s">
        <v>824</v>
      </c>
      <c r="T9572">
        <v>39</v>
      </c>
      <c r="U9572" s="26" t="str">
        <f t="shared" si="342"/>
        <v>2023.002P.Endornaviridae_rename_sp.zip</v>
      </c>
    </row>
    <row r="9573" spans="1:21">
      <c r="A9573">
        <v>9572</v>
      </c>
      <c r="B9573" s="27" t="s">
        <v>1124</v>
      </c>
      <c r="D9573" s="27" t="s">
        <v>1859</v>
      </c>
      <c r="F9573" s="27" t="s">
        <v>1867</v>
      </c>
      <c r="H9573" s="27" t="s">
        <v>1868</v>
      </c>
      <c r="J9573" s="27" t="s">
        <v>1870</v>
      </c>
      <c r="L9573" s="27" t="s">
        <v>367</v>
      </c>
      <c r="N9573" s="27" t="s">
        <v>723</v>
      </c>
      <c r="P9573" s="27" t="s">
        <v>13903</v>
      </c>
      <c r="Q9573" s="26" t="str">
        <f>HYPERLINK("https://ictv.global/taxonomy/taxondetails?taxnode_id=202507539&amp;ictv_id=ICTV201907539","ICTV201907539")</f>
        <v>ICTV201907539</v>
      </c>
      <c r="R9573" t="s">
        <v>581</v>
      </c>
      <c r="S9573" t="s">
        <v>824</v>
      </c>
      <c r="T9573">
        <v>39</v>
      </c>
      <c r="U9573" s="26" t="str">
        <f t="shared" si="342"/>
        <v>2023.002P.Endornaviridae_rename_sp.zip</v>
      </c>
    </row>
    <row r="9574" spans="1:21">
      <c r="A9574">
        <v>9573</v>
      </c>
      <c r="B9574" s="27" t="s">
        <v>1124</v>
      </c>
      <c r="D9574" s="27" t="s">
        <v>1859</v>
      </c>
      <c r="F9574" s="27" t="s">
        <v>1867</v>
      </c>
      <c r="H9574" s="27" t="s">
        <v>1868</v>
      </c>
      <c r="J9574" s="27" t="s">
        <v>1870</v>
      </c>
      <c r="L9574" s="27" t="s">
        <v>367</v>
      </c>
      <c r="N9574" s="27" t="s">
        <v>723</v>
      </c>
      <c r="P9574" s="27" t="s">
        <v>13904</v>
      </c>
      <c r="Q9574" s="26" t="str">
        <f>HYPERLINK("https://ictv.global/taxonomy/taxondetails?taxnode_id=202503048&amp;ictv_id=ICTV20165274","ICTV20165274")</f>
        <v>ICTV20165274</v>
      </c>
      <c r="R9574" t="s">
        <v>581</v>
      </c>
      <c r="S9574" t="s">
        <v>824</v>
      </c>
      <c r="T9574">
        <v>39</v>
      </c>
      <c r="U9574" s="26" t="str">
        <f t="shared" si="342"/>
        <v>2023.002P.Endornaviridae_rename_sp.zip</v>
      </c>
    </row>
    <row r="9575" spans="1:21">
      <c r="A9575">
        <v>9574</v>
      </c>
      <c r="B9575" s="27" t="s">
        <v>1124</v>
      </c>
      <c r="D9575" s="27" t="s">
        <v>1859</v>
      </c>
      <c r="F9575" s="27" t="s">
        <v>1867</v>
      </c>
      <c r="H9575" s="27" t="s">
        <v>1868</v>
      </c>
      <c r="J9575" s="27" t="s">
        <v>1870</v>
      </c>
      <c r="L9575" s="27" t="s">
        <v>367</v>
      </c>
      <c r="N9575" s="27" t="s">
        <v>723</v>
      </c>
      <c r="P9575" s="27" t="s">
        <v>13905</v>
      </c>
      <c r="Q9575" s="26" t="str">
        <f>HYPERLINK("https://ictv.global/taxonomy/taxondetails?taxnode_id=202503052&amp;ictv_id=ICTV20165277","ICTV20165277")</f>
        <v>ICTV20165277</v>
      </c>
      <c r="R9575" t="s">
        <v>581</v>
      </c>
      <c r="S9575" t="s">
        <v>824</v>
      </c>
      <c r="T9575">
        <v>39</v>
      </c>
      <c r="U9575" s="26" t="str">
        <f t="shared" si="342"/>
        <v>2023.002P.Endornaviridae_rename_sp.zip</v>
      </c>
    </row>
    <row r="9576" spans="1:21">
      <c r="A9576">
        <v>9575</v>
      </c>
      <c r="B9576" s="27" t="s">
        <v>1124</v>
      </c>
      <c r="D9576" s="27" t="s">
        <v>1859</v>
      </c>
      <c r="F9576" s="27" t="s">
        <v>1867</v>
      </c>
      <c r="H9576" s="27" t="s">
        <v>1868</v>
      </c>
      <c r="J9576" s="27" t="s">
        <v>1870</v>
      </c>
      <c r="L9576" s="27" t="s">
        <v>367</v>
      </c>
      <c r="N9576" s="27" t="s">
        <v>723</v>
      </c>
      <c r="P9576" s="27" t="s">
        <v>13906</v>
      </c>
      <c r="Q9576" s="26" t="str">
        <f>HYPERLINK("https://ictv.global/taxonomy/taxondetails?taxnode_id=202503058&amp;ictv_id=ICTV20131611","ICTV20131611")</f>
        <v>ICTV20131611</v>
      </c>
      <c r="R9576" t="s">
        <v>581</v>
      </c>
      <c r="S9576" t="s">
        <v>824</v>
      </c>
      <c r="T9576">
        <v>39</v>
      </c>
      <c r="U9576" s="26" t="str">
        <f t="shared" si="342"/>
        <v>2023.002P.Endornaviridae_rename_sp.zip</v>
      </c>
    </row>
    <row r="9577" spans="1:21">
      <c r="A9577">
        <v>9576</v>
      </c>
      <c r="B9577" s="27" t="s">
        <v>1124</v>
      </c>
      <c r="D9577" s="27" t="s">
        <v>1859</v>
      </c>
      <c r="F9577" s="27" t="s">
        <v>1867</v>
      </c>
      <c r="H9577" s="27" t="s">
        <v>1868</v>
      </c>
      <c r="J9577" s="27" t="s">
        <v>1870</v>
      </c>
      <c r="L9577" s="27" t="s">
        <v>367</v>
      </c>
      <c r="N9577" s="27" t="s">
        <v>723</v>
      </c>
      <c r="P9577" s="27" t="s">
        <v>13907</v>
      </c>
      <c r="Q9577" s="26" t="str">
        <f>HYPERLINK("https://ictv.global/taxonomy/taxondetails?taxnode_id=202507540&amp;ictv_id=ICTV201907540","ICTV201907540")</f>
        <v>ICTV201907540</v>
      </c>
      <c r="R9577" t="s">
        <v>581</v>
      </c>
      <c r="S9577" t="s">
        <v>824</v>
      </c>
      <c r="T9577">
        <v>39</v>
      </c>
      <c r="U9577" s="26" t="str">
        <f t="shared" si="342"/>
        <v>2023.002P.Endornaviridae_rename_sp.zip</v>
      </c>
    </row>
    <row r="9578" spans="1:21">
      <c r="A9578">
        <v>9577</v>
      </c>
      <c r="B9578" s="27" t="s">
        <v>1124</v>
      </c>
      <c r="D9578" s="27" t="s">
        <v>1859</v>
      </c>
      <c r="F9578" s="27" t="s">
        <v>1867</v>
      </c>
      <c r="H9578" s="27" t="s">
        <v>1868</v>
      </c>
      <c r="J9578" s="27" t="s">
        <v>1870</v>
      </c>
      <c r="L9578" s="27" t="s">
        <v>367</v>
      </c>
      <c r="N9578" s="27" t="s">
        <v>723</v>
      </c>
      <c r="P9578" s="27" t="s">
        <v>13908</v>
      </c>
      <c r="Q9578" s="26" t="str">
        <f>HYPERLINK("https://ictv.global/taxonomy/taxondetails?taxnode_id=202503050&amp;ictv_id=ICTV20093552","ICTV20093552")</f>
        <v>ICTV20093552</v>
      </c>
      <c r="R9578" t="s">
        <v>581</v>
      </c>
      <c r="S9578" t="s">
        <v>824</v>
      </c>
      <c r="T9578">
        <v>39</v>
      </c>
      <c r="U9578" s="26" t="str">
        <f t="shared" si="342"/>
        <v>2023.002P.Endornaviridae_rename_sp.zip</v>
      </c>
    </row>
    <row r="9579" spans="1:21">
      <c r="A9579">
        <v>9578</v>
      </c>
      <c r="B9579" s="27" t="s">
        <v>1124</v>
      </c>
      <c r="D9579" s="27" t="s">
        <v>1859</v>
      </c>
      <c r="F9579" s="27" t="s">
        <v>1867</v>
      </c>
      <c r="H9579" s="27" t="s">
        <v>1868</v>
      </c>
      <c r="J9579" s="27" t="s">
        <v>1870</v>
      </c>
      <c r="L9579" s="27" t="s">
        <v>367</v>
      </c>
      <c r="N9579" s="27" t="s">
        <v>723</v>
      </c>
      <c r="P9579" s="27" t="s">
        <v>13909</v>
      </c>
      <c r="Q9579" s="26" t="str">
        <f>HYPERLINK("https://ictv.global/taxonomy/taxondetails?taxnode_id=202503051&amp;ictv_id=ICTV20165276","ICTV20165276")</f>
        <v>ICTV20165276</v>
      </c>
      <c r="R9579" t="s">
        <v>581</v>
      </c>
      <c r="S9579" t="s">
        <v>824</v>
      </c>
      <c r="T9579">
        <v>39</v>
      </c>
      <c r="U9579" s="26" t="str">
        <f t="shared" si="342"/>
        <v>2023.002P.Endornaviridae_rename_sp.zip</v>
      </c>
    </row>
    <row r="9580" spans="1:21">
      <c r="A9580">
        <v>9579</v>
      </c>
      <c r="B9580" s="27" t="s">
        <v>1124</v>
      </c>
      <c r="D9580" s="27" t="s">
        <v>1859</v>
      </c>
      <c r="F9580" s="27" t="s">
        <v>1867</v>
      </c>
      <c r="H9580" s="27" t="s">
        <v>1868</v>
      </c>
      <c r="J9580" s="27" t="s">
        <v>1870</v>
      </c>
      <c r="L9580" s="27" t="s">
        <v>367</v>
      </c>
      <c r="N9580" s="27" t="s">
        <v>723</v>
      </c>
      <c r="P9580" s="27" t="s">
        <v>13910</v>
      </c>
      <c r="Q9580" s="26" t="str">
        <f>HYPERLINK("https://ictv.global/taxonomy/taxondetails?taxnode_id=202503053&amp;ictv_id=ICTV20165278","ICTV20165278")</f>
        <v>ICTV20165278</v>
      </c>
      <c r="R9580" t="s">
        <v>581</v>
      </c>
      <c r="S9580" t="s">
        <v>824</v>
      </c>
      <c r="T9580">
        <v>39</v>
      </c>
      <c r="U9580" s="26" t="str">
        <f t="shared" si="342"/>
        <v>2023.002P.Endornaviridae_rename_sp.zip</v>
      </c>
    </row>
    <row r="9581" spans="1:21">
      <c r="A9581">
        <v>9580</v>
      </c>
      <c r="B9581" s="27" t="s">
        <v>1124</v>
      </c>
      <c r="D9581" s="27" t="s">
        <v>1859</v>
      </c>
      <c r="F9581" s="27" t="s">
        <v>1867</v>
      </c>
      <c r="H9581" s="27" t="s">
        <v>1868</v>
      </c>
      <c r="J9581" s="27" t="s">
        <v>1870</v>
      </c>
      <c r="L9581" s="27" t="s">
        <v>367</v>
      </c>
      <c r="N9581" s="27" t="s">
        <v>723</v>
      </c>
      <c r="P9581" s="27" t="s">
        <v>13911</v>
      </c>
      <c r="Q9581" s="26" t="str">
        <f>HYPERLINK("https://ictv.global/taxonomy/taxondetails?taxnode_id=202507541&amp;ictv_id=ICTV201907541","ICTV201907541")</f>
        <v>ICTV201907541</v>
      </c>
      <c r="R9581" t="s">
        <v>581</v>
      </c>
      <c r="S9581" t="s">
        <v>824</v>
      </c>
      <c r="T9581">
        <v>39</v>
      </c>
      <c r="U9581" s="26" t="str">
        <f t="shared" si="342"/>
        <v>2023.002P.Endornaviridae_rename_sp.zip</v>
      </c>
    </row>
    <row r="9582" spans="1:21">
      <c r="A9582">
        <v>9581</v>
      </c>
      <c r="B9582" s="27" t="s">
        <v>1124</v>
      </c>
      <c r="D9582" s="27" t="s">
        <v>1859</v>
      </c>
      <c r="F9582" s="27" t="s">
        <v>1867</v>
      </c>
      <c r="H9582" s="27" t="s">
        <v>1868</v>
      </c>
      <c r="J9582" s="27" t="s">
        <v>1870</v>
      </c>
      <c r="L9582" s="27" t="s">
        <v>367</v>
      </c>
      <c r="N9582" s="27" t="s">
        <v>723</v>
      </c>
      <c r="P9582" s="27" t="s">
        <v>13912</v>
      </c>
      <c r="Q9582" s="26" t="str">
        <f>HYPERLINK("https://ictv.global/taxonomy/taxondetails?taxnode_id=202503055&amp;ictv_id=ICTV20042205","ICTV20042205")</f>
        <v>ICTV20042205</v>
      </c>
      <c r="R9582" t="s">
        <v>581</v>
      </c>
      <c r="S9582" t="s">
        <v>824</v>
      </c>
      <c r="T9582">
        <v>39</v>
      </c>
      <c r="U9582" s="26" t="str">
        <f t="shared" si="342"/>
        <v>2023.002P.Endornaviridae_rename_sp.zip</v>
      </c>
    </row>
    <row r="9583" spans="1:21">
      <c r="A9583">
        <v>9582</v>
      </c>
      <c r="B9583" s="27" t="s">
        <v>1124</v>
      </c>
      <c r="D9583" s="27" t="s">
        <v>1859</v>
      </c>
      <c r="F9583" s="27" t="s">
        <v>1867</v>
      </c>
      <c r="H9583" s="27" t="s">
        <v>1868</v>
      </c>
      <c r="J9583" s="27" t="s">
        <v>1870</v>
      </c>
      <c r="L9583" s="27" t="s">
        <v>367</v>
      </c>
      <c r="N9583" s="27" t="s">
        <v>723</v>
      </c>
      <c r="P9583" s="27" t="s">
        <v>13913</v>
      </c>
      <c r="Q9583" s="26" t="str">
        <f>HYPERLINK("https://ictv.global/taxonomy/taxondetails?taxnode_id=202503056&amp;ictv_id=ICTV20152435","ICTV20152435")</f>
        <v>ICTV20152435</v>
      </c>
      <c r="R9583" t="s">
        <v>581</v>
      </c>
      <c r="S9583" t="s">
        <v>824</v>
      </c>
      <c r="T9583">
        <v>39</v>
      </c>
      <c r="U9583" s="26" t="str">
        <f t="shared" si="342"/>
        <v>2023.002P.Endornaviridae_rename_sp.zip</v>
      </c>
    </row>
    <row r="9584" spans="1:21">
      <c r="A9584">
        <v>9583</v>
      </c>
      <c r="B9584" s="27" t="s">
        <v>1124</v>
      </c>
      <c r="D9584" s="27" t="s">
        <v>1859</v>
      </c>
      <c r="F9584" s="27" t="s">
        <v>1867</v>
      </c>
      <c r="H9584" s="27" t="s">
        <v>1868</v>
      </c>
      <c r="J9584" s="27" t="s">
        <v>1870</v>
      </c>
      <c r="L9584" s="27" t="s">
        <v>367</v>
      </c>
      <c r="N9584" s="27" t="s">
        <v>723</v>
      </c>
      <c r="P9584" s="27" t="s">
        <v>13914</v>
      </c>
      <c r="Q9584" s="26" t="str">
        <f>HYPERLINK("https://ictv.global/taxonomy/taxondetails?taxnode_id=202503057&amp;ictv_id=ICTV20042206","ICTV20042206")</f>
        <v>ICTV20042206</v>
      </c>
      <c r="R9584" t="s">
        <v>581</v>
      </c>
      <c r="S9584" t="s">
        <v>824</v>
      </c>
      <c r="T9584">
        <v>39</v>
      </c>
      <c r="U9584" s="26" t="str">
        <f t="shared" si="342"/>
        <v>2023.002P.Endornaviridae_rename_sp.zip</v>
      </c>
    </row>
    <row r="9585" spans="1:21">
      <c r="A9585">
        <v>9584</v>
      </c>
      <c r="B9585" s="27" t="s">
        <v>1124</v>
      </c>
      <c r="D9585" s="27" t="s">
        <v>1859</v>
      </c>
      <c r="F9585" s="27" t="s">
        <v>1867</v>
      </c>
      <c r="H9585" s="27" t="s">
        <v>1868</v>
      </c>
      <c r="J9585" s="27" t="s">
        <v>1870</v>
      </c>
      <c r="L9585" s="27" t="s">
        <v>367</v>
      </c>
      <c r="N9585" s="27" t="s">
        <v>723</v>
      </c>
      <c r="P9585" s="27" t="s">
        <v>13915</v>
      </c>
      <c r="Q9585" s="26" t="str">
        <f>HYPERLINK("https://ictv.global/taxonomy/taxondetails?taxnode_id=202503059&amp;ictv_id=ICTV20093556","ICTV20093556")</f>
        <v>ICTV20093556</v>
      </c>
      <c r="R9585" t="s">
        <v>581</v>
      </c>
      <c r="S9585" t="s">
        <v>824</v>
      </c>
      <c r="T9585">
        <v>39</v>
      </c>
      <c r="U9585" s="26" t="str">
        <f t="shared" si="342"/>
        <v>2023.002P.Endornaviridae_rename_sp.zip</v>
      </c>
    </row>
    <row r="9586" spans="1:21">
      <c r="A9586">
        <v>9585</v>
      </c>
      <c r="B9586" s="27" t="s">
        <v>1124</v>
      </c>
      <c r="D9586" s="27" t="s">
        <v>1859</v>
      </c>
      <c r="F9586" s="27" t="s">
        <v>1867</v>
      </c>
      <c r="H9586" s="27" t="s">
        <v>1868</v>
      </c>
      <c r="J9586" s="27" t="s">
        <v>1870</v>
      </c>
      <c r="L9586" s="27" t="s">
        <v>367</v>
      </c>
      <c r="N9586" s="27" t="s">
        <v>723</v>
      </c>
      <c r="P9586" s="27" t="s">
        <v>13916</v>
      </c>
      <c r="Q9586" s="26" t="str">
        <f>HYPERLINK("https://ictv.global/taxonomy/taxondetails?taxnode_id=202505778&amp;ictv_id=ICTV20175778","ICTV20175778")</f>
        <v>ICTV20175778</v>
      </c>
      <c r="R9586" t="s">
        <v>581</v>
      </c>
      <c r="S9586" t="s">
        <v>824</v>
      </c>
      <c r="T9586">
        <v>39</v>
      </c>
      <c r="U9586" s="26" t="str">
        <f t="shared" si="342"/>
        <v>2023.002P.Endornaviridae_rename_sp.zip</v>
      </c>
    </row>
    <row r="9587" spans="1:21">
      <c r="A9587">
        <v>9586</v>
      </c>
      <c r="B9587" s="27" t="s">
        <v>1124</v>
      </c>
      <c r="D9587" s="27" t="s">
        <v>1859</v>
      </c>
      <c r="F9587" s="27" t="s">
        <v>1867</v>
      </c>
      <c r="H9587" s="27" t="s">
        <v>1868</v>
      </c>
      <c r="J9587" s="27" t="s">
        <v>1870</v>
      </c>
      <c r="L9587" s="27" t="s">
        <v>367</v>
      </c>
      <c r="N9587" s="27" t="s">
        <v>723</v>
      </c>
      <c r="P9587" s="27" t="s">
        <v>13917</v>
      </c>
      <c r="Q9587" s="26" t="str">
        <f>HYPERLINK("https://ictv.global/taxonomy/taxondetails?taxnode_id=202503060&amp;ictv_id=ICTV20165279","ICTV20165279")</f>
        <v>ICTV20165279</v>
      </c>
      <c r="R9587" t="s">
        <v>581</v>
      </c>
      <c r="S9587" t="s">
        <v>824</v>
      </c>
      <c r="T9587">
        <v>39</v>
      </c>
      <c r="U9587" s="26" t="str">
        <f t="shared" si="342"/>
        <v>2023.002P.Endornaviridae_rename_sp.zip</v>
      </c>
    </row>
    <row r="9588" spans="1:21">
      <c r="A9588">
        <v>9587</v>
      </c>
      <c r="B9588" s="27" t="s">
        <v>1124</v>
      </c>
      <c r="D9588" s="27" t="s">
        <v>1859</v>
      </c>
      <c r="F9588" s="27" t="s">
        <v>1867</v>
      </c>
      <c r="H9588" s="27" t="s">
        <v>1868</v>
      </c>
      <c r="J9588" s="27" t="s">
        <v>1870</v>
      </c>
      <c r="L9588" s="27" t="s">
        <v>367</v>
      </c>
      <c r="N9588" s="27" t="s">
        <v>723</v>
      </c>
      <c r="P9588" s="27" t="s">
        <v>13918</v>
      </c>
      <c r="Q9588" s="26" t="str">
        <f>HYPERLINK("https://ictv.global/taxonomy/taxondetails?taxnode_id=202507542&amp;ictv_id=ICTV201907542","ICTV201907542")</f>
        <v>ICTV201907542</v>
      </c>
      <c r="R9588" t="s">
        <v>581</v>
      </c>
      <c r="S9588" t="s">
        <v>824</v>
      </c>
      <c r="T9588">
        <v>39</v>
      </c>
      <c r="U9588" s="26" t="str">
        <f t="shared" si="342"/>
        <v>2023.002P.Endornaviridae_rename_sp.zip</v>
      </c>
    </row>
    <row r="9589" spans="1:21">
      <c r="A9589">
        <v>9588</v>
      </c>
      <c r="B9589" s="27" t="s">
        <v>1124</v>
      </c>
      <c r="D9589" s="27" t="s">
        <v>1859</v>
      </c>
      <c r="F9589" s="27" t="s">
        <v>1867</v>
      </c>
      <c r="H9589" s="27" t="s">
        <v>1868</v>
      </c>
      <c r="J9589" s="27" t="s">
        <v>1870</v>
      </c>
      <c r="L9589" s="27" t="s">
        <v>367</v>
      </c>
      <c r="N9589" s="27" t="s">
        <v>723</v>
      </c>
      <c r="P9589" s="27" t="s">
        <v>13919</v>
      </c>
      <c r="Q9589" s="26" t="str">
        <f>HYPERLINK("https://ictv.global/taxonomy/taxondetails?taxnode_id=202503054&amp;ictv_id=ICTV20042204","ICTV20042204")</f>
        <v>ICTV20042204</v>
      </c>
      <c r="R9589" t="s">
        <v>581</v>
      </c>
      <c r="S9589" t="s">
        <v>824</v>
      </c>
      <c r="T9589">
        <v>39</v>
      </c>
      <c r="U9589" s="26" t="str">
        <f t="shared" si="342"/>
        <v>2023.002P.Endornaviridae_rename_sp.zip</v>
      </c>
    </row>
    <row r="9590" spans="1:21">
      <c r="A9590">
        <v>9589</v>
      </c>
      <c r="B9590" s="27" t="s">
        <v>1124</v>
      </c>
      <c r="D9590" s="27" t="s">
        <v>1859</v>
      </c>
      <c r="F9590" s="27" t="s">
        <v>1867</v>
      </c>
      <c r="H9590" s="27" t="s">
        <v>1868</v>
      </c>
      <c r="J9590" s="27" t="s">
        <v>1870</v>
      </c>
      <c r="L9590" s="27" t="s">
        <v>367</v>
      </c>
      <c r="N9590" s="27" t="s">
        <v>723</v>
      </c>
      <c r="P9590" s="27" t="s">
        <v>13920</v>
      </c>
      <c r="Q9590" s="26" t="str">
        <f>HYPERLINK("https://ictv.global/taxonomy/taxondetails?taxnode_id=202503061&amp;ictv_id=ICTV20042207","ICTV20042207")</f>
        <v>ICTV20042207</v>
      </c>
      <c r="R9590" t="s">
        <v>581</v>
      </c>
      <c r="S9590" t="s">
        <v>824</v>
      </c>
      <c r="T9590">
        <v>39</v>
      </c>
      <c r="U9590" s="26" t="str">
        <f t="shared" si="342"/>
        <v>2023.002P.Endornaviridae_rename_sp.zip</v>
      </c>
    </row>
    <row r="9591" spans="1:21">
      <c r="A9591">
        <v>9590</v>
      </c>
      <c r="B9591" s="27" t="s">
        <v>1124</v>
      </c>
      <c r="D9591" s="27" t="s">
        <v>1859</v>
      </c>
      <c r="F9591" s="27" t="s">
        <v>1867</v>
      </c>
      <c r="H9591" s="27" t="s">
        <v>1868</v>
      </c>
      <c r="J9591" s="27" t="s">
        <v>1870</v>
      </c>
      <c r="L9591" s="27" t="s">
        <v>367</v>
      </c>
      <c r="N9591" s="27" t="s">
        <v>723</v>
      </c>
      <c r="P9591" s="27" t="s">
        <v>13921</v>
      </c>
      <c r="Q9591" s="26" t="str">
        <f>HYPERLINK("https://ictv.global/taxonomy/taxondetails?taxnode_id=202503049&amp;ictv_id=ICTV20165275","ICTV20165275")</f>
        <v>ICTV20165275</v>
      </c>
      <c r="R9591" t="s">
        <v>581</v>
      </c>
      <c r="S9591" t="s">
        <v>824</v>
      </c>
      <c r="T9591">
        <v>39</v>
      </c>
      <c r="U9591" s="26" t="str">
        <f t="shared" si="342"/>
        <v>2023.002P.Endornaviridae_rename_sp.zip</v>
      </c>
    </row>
    <row r="9592" spans="1:21">
      <c r="A9592">
        <v>9591</v>
      </c>
      <c r="B9592" s="27" t="s">
        <v>1124</v>
      </c>
      <c r="D9592" s="27" t="s">
        <v>1859</v>
      </c>
      <c r="F9592" s="27" t="s">
        <v>1867</v>
      </c>
      <c r="H9592" s="27" t="s">
        <v>1868</v>
      </c>
      <c r="J9592" s="27" t="s">
        <v>1870</v>
      </c>
      <c r="L9592" s="27" t="s">
        <v>367</v>
      </c>
      <c r="N9592" s="27" t="s">
        <v>723</v>
      </c>
      <c r="P9592" s="27" t="s">
        <v>13922</v>
      </c>
      <c r="Q9592" s="26" t="str">
        <f>HYPERLINK("https://ictv.global/taxonomy/taxondetails?taxnode_id=202503062&amp;ictv_id=ICTV20152436","ICTV20152436")</f>
        <v>ICTV20152436</v>
      </c>
      <c r="R9592" t="s">
        <v>581</v>
      </c>
      <c r="S9592" t="s">
        <v>824</v>
      </c>
      <c r="T9592">
        <v>39</v>
      </c>
      <c r="U9592" s="26" t="str">
        <f t="shared" si="342"/>
        <v>2023.002P.Endornaviridae_rename_sp.zip</v>
      </c>
    </row>
    <row r="9593" spans="1:21">
      <c r="A9593">
        <v>9592</v>
      </c>
      <c r="B9593" s="27" t="s">
        <v>1124</v>
      </c>
      <c r="D9593" s="27" t="s">
        <v>1859</v>
      </c>
      <c r="F9593" s="27" t="s">
        <v>1867</v>
      </c>
      <c r="H9593" s="27" t="s">
        <v>1868</v>
      </c>
      <c r="J9593" s="27" t="s">
        <v>1870</v>
      </c>
      <c r="L9593" s="27" t="s">
        <v>367</v>
      </c>
      <c r="N9593" s="27" t="s">
        <v>744</v>
      </c>
      <c r="P9593" s="27" t="s">
        <v>13923</v>
      </c>
      <c r="Q9593" s="26" t="str">
        <f>HYPERLINK("https://ictv.global/taxonomy/taxondetails?taxnode_id=202503064&amp;ictv_id=ICTV20165280","ICTV20165280")</f>
        <v>ICTV20165280</v>
      </c>
      <c r="R9593" t="s">
        <v>581</v>
      </c>
      <c r="S9593" t="s">
        <v>824</v>
      </c>
      <c r="T9593">
        <v>39</v>
      </c>
      <c r="U9593" s="26" t="str">
        <f t="shared" si="342"/>
        <v>2023.002P.Endornaviridae_rename_sp.zip</v>
      </c>
    </row>
    <row r="9594" spans="1:21">
      <c r="A9594">
        <v>9593</v>
      </c>
      <c r="B9594" s="27" t="s">
        <v>1124</v>
      </c>
      <c r="D9594" s="27" t="s">
        <v>1859</v>
      </c>
      <c r="F9594" s="27" t="s">
        <v>1867</v>
      </c>
      <c r="H9594" s="27" t="s">
        <v>1868</v>
      </c>
      <c r="J9594" s="27" t="s">
        <v>1870</v>
      </c>
      <c r="L9594" s="27" t="s">
        <v>367</v>
      </c>
      <c r="N9594" s="27" t="s">
        <v>744</v>
      </c>
      <c r="P9594" s="27" t="s">
        <v>13924</v>
      </c>
      <c r="Q9594" s="26" t="str">
        <f>HYPERLINK("https://ictv.global/taxonomy/taxondetails?taxnode_id=202505779&amp;ictv_id=ICTV20175779","ICTV20175779")</f>
        <v>ICTV20175779</v>
      </c>
      <c r="R9594" t="s">
        <v>581</v>
      </c>
      <c r="S9594" t="s">
        <v>824</v>
      </c>
      <c r="T9594">
        <v>39</v>
      </c>
      <c r="U9594" s="26" t="str">
        <f t="shared" si="342"/>
        <v>2023.002P.Endornaviridae_rename_sp.zip</v>
      </c>
    </row>
    <row r="9595" spans="1:21">
      <c r="A9595">
        <v>9594</v>
      </c>
      <c r="B9595" s="27" t="s">
        <v>1124</v>
      </c>
      <c r="D9595" s="27" t="s">
        <v>1859</v>
      </c>
      <c r="F9595" s="27" t="s">
        <v>1867</v>
      </c>
      <c r="H9595" s="27" t="s">
        <v>1868</v>
      </c>
      <c r="J9595" s="27" t="s">
        <v>1870</v>
      </c>
      <c r="L9595" s="27" t="s">
        <v>367</v>
      </c>
      <c r="N9595" s="27" t="s">
        <v>744</v>
      </c>
      <c r="P9595" s="27" t="s">
        <v>13925</v>
      </c>
      <c r="Q9595" s="26" t="str">
        <f>HYPERLINK("https://ictv.global/taxonomy/taxondetails?taxnode_id=202507544&amp;ictv_id=ICTV201907544","ICTV201907544")</f>
        <v>ICTV201907544</v>
      </c>
      <c r="R9595" t="s">
        <v>581</v>
      </c>
      <c r="S9595" t="s">
        <v>824</v>
      </c>
      <c r="T9595">
        <v>39</v>
      </c>
      <c r="U9595" s="26" t="str">
        <f t="shared" si="342"/>
        <v>2023.002P.Endornaviridae_rename_sp.zip</v>
      </c>
    </row>
    <row r="9596" spans="1:21">
      <c r="A9596">
        <v>9595</v>
      </c>
      <c r="B9596" s="27" t="s">
        <v>1124</v>
      </c>
      <c r="D9596" s="27" t="s">
        <v>1859</v>
      </c>
      <c r="F9596" s="27" t="s">
        <v>1867</v>
      </c>
      <c r="H9596" s="27" t="s">
        <v>1868</v>
      </c>
      <c r="J9596" s="27" t="s">
        <v>1870</v>
      </c>
      <c r="L9596" s="27" t="s">
        <v>367</v>
      </c>
      <c r="N9596" s="27" t="s">
        <v>744</v>
      </c>
      <c r="P9596" s="27" t="s">
        <v>13926</v>
      </c>
      <c r="Q9596" s="26" t="str">
        <f>HYPERLINK("https://ictv.global/taxonomy/taxondetails?taxnode_id=202503065&amp;ictv_id=ICTV20165281","ICTV20165281")</f>
        <v>ICTV20165281</v>
      </c>
      <c r="R9596" t="s">
        <v>581</v>
      </c>
      <c r="S9596" t="s">
        <v>824</v>
      </c>
      <c r="T9596">
        <v>39</v>
      </c>
      <c r="U9596" s="26" t="str">
        <f t="shared" si="342"/>
        <v>2023.002P.Endornaviridae_rename_sp.zip</v>
      </c>
    </row>
    <row r="9597" spans="1:21">
      <c r="A9597">
        <v>9596</v>
      </c>
      <c r="B9597" s="27" t="s">
        <v>1124</v>
      </c>
      <c r="D9597" s="27" t="s">
        <v>1859</v>
      </c>
      <c r="F9597" s="27" t="s">
        <v>1867</v>
      </c>
      <c r="H9597" s="27" t="s">
        <v>1868</v>
      </c>
      <c r="J9597" s="27" t="s">
        <v>1870</v>
      </c>
      <c r="L9597" s="27" t="s">
        <v>367</v>
      </c>
      <c r="N9597" s="27" t="s">
        <v>744</v>
      </c>
      <c r="P9597" s="27" t="s">
        <v>13927</v>
      </c>
      <c r="Q9597" s="26" t="str">
        <f>HYPERLINK("https://ictv.global/taxonomy/taxondetails?taxnode_id=202507543&amp;ictv_id=ICTV201907543","ICTV201907543")</f>
        <v>ICTV201907543</v>
      </c>
      <c r="R9597" t="s">
        <v>581</v>
      </c>
      <c r="S9597" t="s">
        <v>824</v>
      </c>
      <c r="T9597">
        <v>39</v>
      </c>
      <c r="U9597" s="26" t="str">
        <f t="shared" si="342"/>
        <v>2023.002P.Endornaviridae_rename_sp.zip</v>
      </c>
    </row>
    <row r="9598" spans="1:21">
      <c r="A9598">
        <v>9597</v>
      </c>
      <c r="B9598" s="27" t="s">
        <v>1124</v>
      </c>
      <c r="D9598" s="27" t="s">
        <v>1859</v>
      </c>
      <c r="F9598" s="27" t="s">
        <v>1867</v>
      </c>
      <c r="H9598" s="27" t="s">
        <v>1868</v>
      </c>
      <c r="J9598" s="27" t="s">
        <v>1870</v>
      </c>
      <c r="L9598" s="27" t="s">
        <v>367</v>
      </c>
      <c r="N9598" s="27" t="s">
        <v>744</v>
      </c>
      <c r="P9598" s="27" t="s">
        <v>13928</v>
      </c>
      <c r="Q9598" s="26" t="str">
        <f>HYPERLINK("https://ictv.global/taxonomy/taxondetails?taxnode_id=202503066&amp;ictv_id=ICTV20152437","ICTV20152437")</f>
        <v>ICTV20152437</v>
      </c>
      <c r="R9598" t="s">
        <v>581</v>
      </c>
      <c r="S9598" t="s">
        <v>824</v>
      </c>
      <c r="T9598">
        <v>39</v>
      </c>
      <c r="U9598" s="26" t="str">
        <f t="shared" si="342"/>
        <v>2023.002P.Endornaviridae_rename_sp.zip</v>
      </c>
    </row>
    <row r="9599" spans="1:21">
      <c r="A9599">
        <v>9598</v>
      </c>
      <c r="B9599" s="27" t="s">
        <v>1124</v>
      </c>
      <c r="D9599" s="27" t="s">
        <v>1859</v>
      </c>
      <c r="F9599" s="27" t="s">
        <v>1867</v>
      </c>
      <c r="H9599" s="27" t="s">
        <v>1868</v>
      </c>
      <c r="J9599" s="27" t="s">
        <v>1870</v>
      </c>
      <c r="L9599" s="27" t="s">
        <v>367</v>
      </c>
      <c r="N9599" s="27" t="s">
        <v>744</v>
      </c>
      <c r="P9599" s="27" t="s">
        <v>13929</v>
      </c>
      <c r="Q9599" s="26" t="str">
        <f>HYPERLINK("https://ictv.global/taxonomy/taxondetails?taxnode_id=202503067&amp;ictv_id=ICTV20165282","ICTV20165282")</f>
        <v>ICTV20165282</v>
      </c>
      <c r="R9599" t="s">
        <v>581</v>
      </c>
      <c r="S9599" t="s">
        <v>824</v>
      </c>
      <c r="T9599">
        <v>39</v>
      </c>
      <c r="U9599" s="26" t="str">
        <f t="shared" si="342"/>
        <v>2023.002P.Endornaviridae_rename_sp.zip</v>
      </c>
    </row>
    <row r="9600" spans="1:21">
      <c r="A9600">
        <v>9599</v>
      </c>
      <c r="B9600" s="27" t="s">
        <v>1124</v>
      </c>
      <c r="D9600" s="27" t="s">
        <v>1859</v>
      </c>
      <c r="F9600" s="27" t="s">
        <v>1867</v>
      </c>
      <c r="H9600" s="27" t="s">
        <v>1868</v>
      </c>
      <c r="J9600" s="27" t="s">
        <v>1870</v>
      </c>
      <c r="L9600" s="27" t="s">
        <v>1185</v>
      </c>
      <c r="N9600" s="27" t="s">
        <v>821</v>
      </c>
      <c r="P9600" s="27" t="s">
        <v>8821</v>
      </c>
      <c r="Q9600" s="26" t="str">
        <f>HYPERLINK("https://ictv.global/taxonomy/taxondetails?taxnode_id=202507186&amp;ictv_id=ICTV201907186","ICTV201907186")</f>
        <v>ICTV201907186</v>
      </c>
      <c r="R9600" t="s">
        <v>581</v>
      </c>
      <c r="S9600" t="s">
        <v>824</v>
      </c>
      <c r="T9600">
        <v>38</v>
      </c>
      <c r="U9600" s="26" t="str">
        <f>HYPERLINK("https://ictv.global/ictv/proposals/2022.017P.Kitaviridae_rename.zip","2022.017P.Kitaviridae_rename.zip")</f>
        <v>2022.017P.Kitaviridae_rename.zip</v>
      </c>
    </row>
    <row r="9601" spans="1:21">
      <c r="A9601">
        <v>9600</v>
      </c>
      <c r="B9601" s="27" t="s">
        <v>1124</v>
      </c>
      <c r="D9601" s="27" t="s">
        <v>1859</v>
      </c>
      <c r="F9601" s="27" t="s">
        <v>1867</v>
      </c>
      <c r="H9601" s="27" t="s">
        <v>1868</v>
      </c>
      <c r="J9601" s="27" t="s">
        <v>1870</v>
      </c>
      <c r="L9601" s="27" t="s">
        <v>1185</v>
      </c>
      <c r="N9601" s="27" t="s">
        <v>821</v>
      </c>
      <c r="P9601" s="27" t="s">
        <v>21258</v>
      </c>
      <c r="Q9601" s="26" t="str">
        <f>HYPERLINK("https://ictv.global/taxonomy/taxondetails?taxnode_id=202522161&amp;ictv_id=ICTV202522161","ICTV202522161")</f>
        <v>ICTV202522161</v>
      </c>
      <c r="R9601" t="s">
        <v>581</v>
      </c>
      <c r="S9601" t="s">
        <v>823</v>
      </c>
      <c r="T9601">
        <v>41</v>
      </c>
      <c r="U9601" s="26" t="str">
        <f t="shared" ref="U9601:U9609" si="343">HYPERLINK("https://ictv.global/ictv/proposals/2025.004P.Kitaviridae_13nsp.zip","2025.004P.Kitaviridae_13nsp.zip")</f>
        <v>2025.004P.Kitaviridae_13nsp.zip</v>
      </c>
    </row>
    <row r="9602" spans="1:21">
      <c r="A9602">
        <v>9601</v>
      </c>
      <c r="B9602" s="27" t="s">
        <v>1124</v>
      </c>
      <c r="D9602" s="27" t="s">
        <v>1859</v>
      </c>
      <c r="F9602" s="27" t="s">
        <v>1867</v>
      </c>
      <c r="H9602" s="27" t="s">
        <v>1868</v>
      </c>
      <c r="J9602" s="27" t="s">
        <v>1870</v>
      </c>
      <c r="L9602" s="27" t="s">
        <v>1185</v>
      </c>
      <c r="N9602" s="27" t="s">
        <v>821</v>
      </c>
      <c r="P9602" s="27" t="s">
        <v>21256</v>
      </c>
      <c r="Q9602" s="26" t="str">
        <f>HYPERLINK("https://ictv.global/taxonomy/taxondetails?taxnode_id=202522159&amp;ictv_id=ICTV202522159","ICTV202522159")</f>
        <v>ICTV202522159</v>
      </c>
      <c r="R9602" t="s">
        <v>581</v>
      </c>
      <c r="S9602" t="s">
        <v>823</v>
      </c>
      <c r="T9602">
        <v>41</v>
      </c>
      <c r="U9602" s="26" t="str">
        <f t="shared" si="343"/>
        <v>2025.004P.Kitaviridae_13nsp.zip</v>
      </c>
    </row>
    <row r="9603" spans="1:21">
      <c r="A9603">
        <v>9602</v>
      </c>
      <c r="B9603" s="27" t="s">
        <v>1124</v>
      </c>
      <c r="D9603" s="27" t="s">
        <v>1859</v>
      </c>
      <c r="F9603" s="27" t="s">
        <v>1867</v>
      </c>
      <c r="H9603" s="27" t="s">
        <v>1868</v>
      </c>
      <c r="J9603" s="27" t="s">
        <v>1870</v>
      </c>
      <c r="L9603" s="27" t="s">
        <v>1185</v>
      </c>
      <c r="N9603" s="27" t="s">
        <v>821</v>
      </c>
      <c r="P9603" s="27" t="s">
        <v>21259</v>
      </c>
      <c r="Q9603" s="26" t="str">
        <f>HYPERLINK("https://ictv.global/taxonomy/taxondetails?taxnode_id=202522162&amp;ictv_id=ICTV202522162","ICTV202522162")</f>
        <v>ICTV202522162</v>
      </c>
      <c r="R9603" t="s">
        <v>581</v>
      </c>
      <c r="S9603" t="s">
        <v>823</v>
      </c>
      <c r="T9603">
        <v>41</v>
      </c>
      <c r="U9603" s="26" t="str">
        <f t="shared" si="343"/>
        <v>2025.004P.Kitaviridae_13nsp.zip</v>
      </c>
    </row>
    <row r="9604" spans="1:21">
      <c r="A9604">
        <v>9603</v>
      </c>
      <c r="B9604" s="27" t="s">
        <v>1124</v>
      </c>
      <c r="D9604" s="27" t="s">
        <v>1859</v>
      </c>
      <c r="F9604" s="27" t="s">
        <v>1867</v>
      </c>
      <c r="H9604" s="27" t="s">
        <v>1868</v>
      </c>
      <c r="J9604" s="27" t="s">
        <v>1870</v>
      </c>
      <c r="L9604" s="27" t="s">
        <v>1185</v>
      </c>
      <c r="N9604" s="27" t="s">
        <v>821</v>
      </c>
      <c r="P9604" s="27" t="s">
        <v>21260</v>
      </c>
      <c r="Q9604" s="26" t="str">
        <f>HYPERLINK("https://ictv.global/taxonomy/taxondetails?taxnode_id=202522163&amp;ictv_id=ICTV202522163","ICTV202522163")</f>
        <v>ICTV202522163</v>
      </c>
      <c r="R9604" t="s">
        <v>581</v>
      </c>
      <c r="S9604" t="s">
        <v>823</v>
      </c>
      <c r="T9604">
        <v>41</v>
      </c>
      <c r="U9604" s="26" t="str">
        <f t="shared" si="343"/>
        <v>2025.004P.Kitaviridae_13nsp.zip</v>
      </c>
    </row>
    <row r="9605" spans="1:21">
      <c r="A9605">
        <v>9604</v>
      </c>
      <c r="B9605" s="27" t="s">
        <v>1124</v>
      </c>
      <c r="D9605" s="27" t="s">
        <v>1859</v>
      </c>
      <c r="F9605" s="27" t="s">
        <v>1867</v>
      </c>
      <c r="H9605" s="27" t="s">
        <v>1868</v>
      </c>
      <c r="J9605" s="27" t="s">
        <v>1870</v>
      </c>
      <c r="L9605" s="27" t="s">
        <v>1185</v>
      </c>
      <c r="N9605" s="27" t="s">
        <v>821</v>
      </c>
      <c r="P9605" s="27" t="s">
        <v>21263</v>
      </c>
      <c r="Q9605" s="26" t="str">
        <f>HYPERLINK("https://ictv.global/taxonomy/taxondetails?taxnode_id=202522166&amp;ictv_id=ICTV202522166","ICTV202522166")</f>
        <v>ICTV202522166</v>
      </c>
      <c r="R9605" t="s">
        <v>581</v>
      </c>
      <c r="S9605" t="s">
        <v>823</v>
      </c>
      <c r="T9605">
        <v>41</v>
      </c>
      <c r="U9605" s="26" t="str">
        <f t="shared" si="343"/>
        <v>2025.004P.Kitaviridae_13nsp.zip</v>
      </c>
    </row>
    <row r="9606" spans="1:21">
      <c r="A9606">
        <v>9605</v>
      </c>
      <c r="B9606" s="27" t="s">
        <v>1124</v>
      </c>
      <c r="D9606" s="27" t="s">
        <v>1859</v>
      </c>
      <c r="F9606" s="27" t="s">
        <v>1867</v>
      </c>
      <c r="H9606" s="27" t="s">
        <v>1868</v>
      </c>
      <c r="J9606" s="27" t="s">
        <v>1870</v>
      </c>
      <c r="L9606" s="27" t="s">
        <v>1185</v>
      </c>
      <c r="N9606" s="27" t="s">
        <v>821</v>
      </c>
      <c r="P9606" s="27" t="s">
        <v>21267</v>
      </c>
      <c r="Q9606" s="26" t="str">
        <f>HYPERLINK("https://ictv.global/taxonomy/taxondetails?taxnode_id=202522170&amp;ictv_id=ICTV202522170","ICTV202522170")</f>
        <v>ICTV202522170</v>
      </c>
      <c r="R9606" t="s">
        <v>581</v>
      </c>
      <c r="S9606" t="s">
        <v>823</v>
      </c>
      <c r="T9606">
        <v>41</v>
      </c>
      <c r="U9606" s="26" t="str">
        <f t="shared" si="343"/>
        <v>2025.004P.Kitaviridae_13nsp.zip</v>
      </c>
    </row>
    <row r="9607" spans="1:21">
      <c r="A9607">
        <v>9606</v>
      </c>
      <c r="B9607" s="27" t="s">
        <v>1124</v>
      </c>
      <c r="D9607" s="27" t="s">
        <v>1859</v>
      </c>
      <c r="F9607" s="27" t="s">
        <v>1867</v>
      </c>
      <c r="H9607" s="27" t="s">
        <v>1868</v>
      </c>
      <c r="J9607" s="27" t="s">
        <v>1870</v>
      </c>
      <c r="L9607" s="27" t="s">
        <v>1185</v>
      </c>
      <c r="N9607" s="27" t="s">
        <v>821</v>
      </c>
      <c r="P9607" s="27" t="s">
        <v>21265</v>
      </c>
      <c r="Q9607" s="26" t="str">
        <f>HYPERLINK("https://ictv.global/taxonomy/taxondetails?taxnode_id=202522168&amp;ictv_id=ICTV202522168","ICTV202522168")</f>
        <v>ICTV202522168</v>
      </c>
      <c r="R9607" t="s">
        <v>581</v>
      </c>
      <c r="S9607" t="s">
        <v>823</v>
      </c>
      <c r="T9607">
        <v>41</v>
      </c>
      <c r="U9607" s="26" t="str">
        <f t="shared" si="343"/>
        <v>2025.004P.Kitaviridae_13nsp.zip</v>
      </c>
    </row>
    <row r="9608" spans="1:21">
      <c r="A9608">
        <v>9607</v>
      </c>
      <c r="B9608" s="27" t="s">
        <v>1124</v>
      </c>
      <c r="D9608" s="27" t="s">
        <v>1859</v>
      </c>
      <c r="F9608" s="27" t="s">
        <v>1867</v>
      </c>
      <c r="H9608" s="27" t="s">
        <v>1868</v>
      </c>
      <c r="J9608" s="27" t="s">
        <v>1870</v>
      </c>
      <c r="L9608" s="27" t="s">
        <v>1185</v>
      </c>
      <c r="N9608" s="27" t="s">
        <v>821</v>
      </c>
      <c r="P9608" s="27" t="s">
        <v>21262</v>
      </c>
      <c r="Q9608" s="26" t="str">
        <f>HYPERLINK("https://ictv.global/taxonomy/taxondetails?taxnode_id=202522165&amp;ictv_id=ICTV202522165","ICTV202522165")</f>
        <v>ICTV202522165</v>
      </c>
      <c r="R9608" t="s">
        <v>581</v>
      </c>
      <c r="S9608" t="s">
        <v>823</v>
      </c>
      <c r="T9608">
        <v>41</v>
      </c>
      <c r="U9608" s="26" t="str">
        <f t="shared" si="343"/>
        <v>2025.004P.Kitaviridae_13nsp.zip</v>
      </c>
    </row>
    <row r="9609" spans="1:21">
      <c r="A9609">
        <v>9608</v>
      </c>
      <c r="B9609" s="27" t="s">
        <v>1124</v>
      </c>
      <c r="D9609" s="27" t="s">
        <v>1859</v>
      </c>
      <c r="F9609" s="27" t="s">
        <v>1867</v>
      </c>
      <c r="H9609" s="27" t="s">
        <v>1868</v>
      </c>
      <c r="J9609" s="27" t="s">
        <v>1870</v>
      </c>
      <c r="L9609" s="27" t="s">
        <v>1185</v>
      </c>
      <c r="N9609" s="27" t="s">
        <v>821</v>
      </c>
      <c r="P9609" s="27" t="s">
        <v>21261</v>
      </c>
      <c r="Q9609" s="26" t="str">
        <f>HYPERLINK("https://ictv.global/taxonomy/taxondetails?taxnode_id=202522164&amp;ictv_id=ICTV202522164","ICTV202522164")</f>
        <v>ICTV202522164</v>
      </c>
      <c r="R9609" t="s">
        <v>581</v>
      </c>
      <c r="S9609" t="s">
        <v>823</v>
      </c>
      <c r="T9609">
        <v>41</v>
      </c>
      <c r="U9609" s="26" t="str">
        <f t="shared" si="343"/>
        <v>2025.004P.Kitaviridae_13nsp.zip</v>
      </c>
    </row>
    <row r="9610" spans="1:21">
      <c r="A9610">
        <v>9609</v>
      </c>
      <c r="B9610" s="27" t="s">
        <v>1124</v>
      </c>
      <c r="D9610" s="27" t="s">
        <v>1859</v>
      </c>
      <c r="F9610" s="27" t="s">
        <v>1867</v>
      </c>
      <c r="H9610" s="27" t="s">
        <v>1868</v>
      </c>
      <c r="J9610" s="27" t="s">
        <v>1870</v>
      </c>
      <c r="L9610" s="27" t="s">
        <v>1185</v>
      </c>
      <c r="N9610" s="27" t="s">
        <v>821</v>
      </c>
      <c r="P9610" s="27" t="s">
        <v>8822</v>
      </c>
      <c r="Q9610" s="26" t="str">
        <f>HYPERLINK("https://ictv.global/taxonomy/taxondetails?taxnode_id=202509259&amp;ictv_id=ICTV202009259","ICTV202009259")</f>
        <v>ICTV202009259</v>
      </c>
      <c r="R9610" t="s">
        <v>581</v>
      </c>
      <c r="S9610" t="s">
        <v>824</v>
      </c>
      <c r="T9610">
        <v>38</v>
      </c>
      <c r="U9610" s="26" t="str">
        <f>HYPERLINK("https://ictv.global/ictv/proposals/2022.017P.Kitaviridae_rename.zip","2022.017P.Kitaviridae_rename.zip")</f>
        <v>2022.017P.Kitaviridae_rename.zip</v>
      </c>
    </row>
    <row r="9611" spans="1:21">
      <c r="A9611">
        <v>9610</v>
      </c>
      <c r="B9611" s="27" t="s">
        <v>1124</v>
      </c>
      <c r="D9611" s="27" t="s">
        <v>1859</v>
      </c>
      <c r="F9611" s="27" t="s">
        <v>1867</v>
      </c>
      <c r="H9611" s="27" t="s">
        <v>1868</v>
      </c>
      <c r="J9611" s="27" t="s">
        <v>1870</v>
      </c>
      <c r="L9611" s="27" t="s">
        <v>1185</v>
      </c>
      <c r="N9611" s="27" t="s">
        <v>821</v>
      </c>
      <c r="P9611" s="27" t="s">
        <v>21257</v>
      </c>
      <c r="Q9611" s="26" t="str">
        <f>HYPERLINK("https://ictv.global/taxonomy/taxondetails?taxnode_id=202522160&amp;ictv_id=ICTV202522160","ICTV202522160")</f>
        <v>ICTV202522160</v>
      </c>
      <c r="R9611" t="s">
        <v>581</v>
      </c>
      <c r="S9611" t="s">
        <v>823</v>
      </c>
      <c r="T9611">
        <v>41</v>
      </c>
      <c r="U9611" s="26" t="str">
        <f>HYPERLINK("https://ictv.global/ictv/proposals/2025.004P.Kitaviridae_13nsp.zip","2025.004P.Kitaviridae_13nsp.zip")</f>
        <v>2025.004P.Kitaviridae_13nsp.zip</v>
      </c>
    </row>
    <row r="9612" spans="1:21">
      <c r="A9612">
        <v>9611</v>
      </c>
      <c r="B9612" s="27" t="s">
        <v>1124</v>
      </c>
      <c r="D9612" s="27" t="s">
        <v>1859</v>
      </c>
      <c r="F9612" s="27" t="s">
        <v>1867</v>
      </c>
      <c r="H9612" s="27" t="s">
        <v>1868</v>
      </c>
      <c r="J9612" s="27" t="s">
        <v>1870</v>
      </c>
      <c r="L9612" s="27" t="s">
        <v>1185</v>
      </c>
      <c r="N9612" s="27" t="s">
        <v>821</v>
      </c>
      <c r="P9612" s="27" t="s">
        <v>21264</v>
      </c>
      <c r="Q9612" s="26" t="str">
        <f>HYPERLINK("https://ictv.global/taxonomy/taxondetails?taxnode_id=202522167&amp;ictv_id=ICTV202522167","ICTV202522167")</f>
        <v>ICTV202522167</v>
      </c>
      <c r="R9612" t="s">
        <v>581</v>
      </c>
      <c r="S9612" t="s">
        <v>823</v>
      </c>
      <c r="T9612">
        <v>41</v>
      </c>
      <c r="U9612" s="26" t="str">
        <f>HYPERLINK("https://ictv.global/ictv/proposals/2025.004P.Kitaviridae_13nsp.zip","2025.004P.Kitaviridae_13nsp.zip")</f>
        <v>2025.004P.Kitaviridae_13nsp.zip</v>
      </c>
    </row>
    <row r="9613" spans="1:21">
      <c r="A9613">
        <v>9612</v>
      </c>
      <c r="B9613" s="27" t="s">
        <v>1124</v>
      </c>
      <c r="D9613" s="27" t="s">
        <v>1859</v>
      </c>
      <c r="F9613" s="27" t="s">
        <v>1867</v>
      </c>
      <c r="H9613" s="27" t="s">
        <v>1868</v>
      </c>
      <c r="J9613" s="27" t="s">
        <v>1870</v>
      </c>
      <c r="L9613" s="27" t="s">
        <v>1185</v>
      </c>
      <c r="N9613" s="27" t="s">
        <v>821</v>
      </c>
      <c r="P9613" s="27" t="s">
        <v>21266</v>
      </c>
      <c r="Q9613" s="26" t="str">
        <f>HYPERLINK("https://ictv.global/taxonomy/taxondetails?taxnode_id=202522169&amp;ictv_id=ICTV202522169","ICTV202522169")</f>
        <v>ICTV202522169</v>
      </c>
      <c r="R9613" t="s">
        <v>581</v>
      </c>
      <c r="S9613" t="s">
        <v>823</v>
      </c>
      <c r="T9613">
        <v>41</v>
      </c>
      <c r="U9613" s="26" t="str">
        <f>HYPERLINK("https://ictv.global/ictv/proposals/2025.004P.Kitaviridae_13nsp.zip","2025.004P.Kitaviridae_13nsp.zip")</f>
        <v>2025.004P.Kitaviridae_13nsp.zip</v>
      </c>
    </row>
    <row r="9614" spans="1:21">
      <c r="A9614">
        <v>9613</v>
      </c>
      <c r="B9614" s="27" t="s">
        <v>1124</v>
      </c>
      <c r="D9614" s="27" t="s">
        <v>1859</v>
      </c>
      <c r="F9614" s="27" t="s">
        <v>1867</v>
      </c>
      <c r="H9614" s="27" t="s">
        <v>1868</v>
      </c>
      <c r="J9614" s="27" t="s">
        <v>1870</v>
      </c>
      <c r="L9614" s="27" t="s">
        <v>1185</v>
      </c>
      <c r="N9614" s="27" t="s">
        <v>821</v>
      </c>
      <c r="P9614" s="27" t="s">
        <v>8823</v>
      </c>
      <c r="Q9614" s="26" t="str">
        <f>HYPERLINK("https://ictv.global/taxonomy/taxondetails?taxnode_id=202505341&amp;ictv_id=ICTV20165505","ICTV20165505")</f>
        <v>ICTV20165505</v>
      </c>
      <c r="R9614" t="s">
        <v>581</v>
      </c>
      <c r="S9614" t="s">
        <v>824</v>
      </c>
      <c r="T9614">
        <v>38</v>
      </c>
      <c r="U9614" s="26" t="str">
        <f>HYPERLINK("https://ictv.global/ictv/proposals/2022.017P.Kitaviridae_rename.zip","2022.017P.Kitaviridae_rename.zip")</f>
        <v>2022.017P.Kitaviridae_rename.zip</v>
      </c>
    </row>
    <row r="9615" spans="1:21">
      <c r="A9615">
        <v>9614</v>
      </c>
      <c r="B9615" s="27" t="s">
        <v>1124</v>
      </c>
      <c r="D9615" s="27" t="s">
        <v>1859</v>
      </c>
      <c r="F9615" s="27" t="s">
        <v>1867</v>
      </c>
      <c r="H9615" s="27" t="s">
        <v>1868</v>
      </c>
      <c r="J9615" s="27" t="s">
        <v>1870</v>
      </c>
      <c r="L9615" s="27" t="s">
        <v>1185</v>
      </c>
      <c r="N9615" s="27" t="s">
        <v>432</v>
      </c>
      <c r="P9615" s="27" t="s">
        <v>8824</v>
      </c>
      <c r="Q9615" s="26" t="str">
        <f>HYPERLINK("https://ictv.global/taxonomy/taxondetails?taxnode_id=202515120&amp;ictv_id=ICTV202215120","ICTV202215120")</f>
        <v>ICTV202215120</v>
      </c>
      <c r="R9615" t="s">
        <v>581</v>
      </c>
      <c r="S9615" t="s">
        <v>823</v>
      </c>
      <c r="T9615">
        <v>38</v>
      </c>
      <c r="U9615" s="26" t="str">
        <f>HYPERLINK("https://ictv.global/ictv/proposals/2022.016P.Cilevirus_3ns.zip","2022.016P.Cilevirus_3ns.zip")</f>
        <v>2022.016P.Cilevirus_3ns.zip</v>
      </c>
    </row>
    <row r="9616" spans="1:21">
      <c r="A9616">
        <v>9615</v>
      </c>
      <c r="B9616" s="27" t="s">
        <v>1124</v>
      </c>
      <c r="D9616" s="27" t="s">
        <v>1859</v>
      </c>
      <c r="F9616" s="27" t="s">
        <v>1867</v>
      </c>
      <c r="H9616" s="27" t="s">
        <v>1868</v>
      </c>
      <c r="J9616" s="27" t="s">
        <v>1870</v>
      </c>
      <c r="L9616" s="27" t="s">
        <v>1185</v>
      </c>
      <c r="N9616" s="27" t="s">
        <v>432</v>
      </c>
      <c r="P9616" s="27" t="s">
        <v>21255</v>
      </c>
      <c r="Q9616" s="26" t="str">
        <f>HYPERLINK("https://ictv.global/taxonomy/taxondetails?taxnode_id=202522158&amp;ictv_id=ICTV202522158","ICTV202522158")</f>
        <v>ICTV202522158</v>
      </c>
      <c r="R9616" t="s">
        <v>581</v>
      </c>
      <c r="S9616" t="s">
        <v>823</v>
      </c>
      <c r="T9616">
        <v>41</v>
      </c>
      <c r="U9616" s="26" t="str">
        <f>HYPERLINK("https://ictv.global/ictv/proposals/2025.004P.Kitaviridae_13nsp.zip","2025.004P.Kitaviridae_13nsp.zip")</f>
        <v>2025.004P.Kitaviridae_13nsp.zip</v>
      </c>
    </row>
    <row r="9617" spans="1:21">
      <c r="A9617">
        <v>9616</v>
      </c>
      <c r="B9617" s="27" t="s">
        <v>1124</v>
      </c>
      <c r="D9617" s="27" t="s">
        <v>1859</v>
      </c>
      <c r="F9617" s="27" t="s">
        <v>1867</v>
      </c>
      <c r="H9617" s="27" t="s">
        <v>1868</v>
      </c>
      <c r="J9617" s="27" t="s">
        <v>1870</v>
      </c>
      <c r="L9617" s="27" t="s">
        <v>1185</v>
      </c>
      <c r="N9617" s="27" t="s">
        <v>432</v>
      </c>
      <c r="P9617" s="27" t="s">
        <v>8825</v>
      </c>
      <c r="Q9617" s="26" t="str">
        <f>HYPERLINK("https://ictv.global/taxonomy/taxondetails?taxnode_id=202505346&amp;ictv_id=ICTV20165506","ICTV20165506")</f>
        <v>ICTV20165506</v>
      </c>
      <c r="R9617" t="s">
        <v>581</v>
      </c>
      <c r="S9617" t="s">
        <v>824</v>
      </c>
      <c r="T9617">
        <v>38</v>
      </c>
      <c r="U9617" s="26" t="str">
        <f>HYPERLINK("https://ictv.global/ictv/proposals/2022.017P.Kitaviridae_rename.zip","2022.017P.Kitaviridae_rename.zip")</f>
        <v>2022.017P.Kitaviridae_rename.zip</v>
      </c>
    </row>
    <row r="9618" spans="1:21">
      <c r="A9618">
        <v>9617</v>
      </c>
      <c r="B9618" s="27" t="s">
        <v>1124</v>
      </c>
      <c r="D9618" s="27" t="s">
        <v>1859</v>
      </c>
      <c r="F9618" s="27" t="s">
        <v>1867</v>
      </c>
      <c r="H9618" s="27" t="s">
        <v>1868</v>
      </c>
      <c r="J9618" s="27" t="s">
        <v>1870</v>
      </c>
      <c r="L9618" s="27" t="s">
        <v>1185</v>
      </c>
      <c r="N9618" s="27" t="s">
        <v>432</v>
      </c>
      <c r="P9618" s="27" t="s">
        <v>8826</v>
      </c>
      <c r="Q9618" s="26" t="str">
        <f>HYPERLINK("https://ictv.global/taxonomy/taxondetails?taxnode_id=202505345&amp;ictv_id=ICTV20095206","ICTV20095206")</f>
        <v>ICTV20095206</v>
      </c>
      <c r="R9618" t="s">
        <v>581</v>
      </c>
      <c r="S9618" t="s">
        <v>824</v>
      </c>
      <c r="T9618">
        <v>38</v>
      </c>
      <c r="U9618" s="26" t="str">
        <f>HYPERLINK("https://ictv.global/ictv/proposals/2022.017P.Kitaviridae_rename.zip","2022.017P.Kitaviridae_rename.zip")</f>
        <v>2022.017P.Kitaviridae_rename.zip</v>
      </c>
    </row>
    <row r="9619" spans="1:21">
      <c r="A9619">
        <v>9618</v>
      </c>
      <c r="B9619" s="27" t="s">
        <v>1124</v>
      </c>
      <c r="D9619" s="27" t="s">
        <v>1859</v>
      </c>
      <c r="F9619" s="27" t="s">
        <v>1867</v>
      </c>
      <c r="H9619" s="27" t="s">
        <v>1868</v>
      </c>
      <c r="J9619" s="27" t="s">
        <v>1870</v>
      </c>
      <c r="L9619" s="27" t="s">
        <v>1185</v>
      </c>
      <c r="N9619" s="27" t="s">
        <v>432</v>
      </c>
      <c r="P9619" s="27" t="s">
        <v>8827</v>
      </c>
      <c r="Q9619" s="26" t="str">
        <f>HYPERLINK("https://ictv.global/taxonomy/taxondetails?taxnode_id=202515119&amp;ictv_id=ICTV202215119","ICTV202215119")</f>
        <v>ICTV202215119</v>
      </c>
      <c r="R9619" t="s">
        <v>581</v>
      </c>
      <c r="S9619" t="s">
        <v>823</v>
      </c>
      <c r="T9619">
        <v>38</v>
      </c>
      <c r="U9619" s="26" t="str">
        <f>HYPERLINK("https://ictv.global/ictv/proposals/2022.016P.Cilevirus_3ns.zip","2022.016P.Cilevirus_3ns.zip")</f>
        <v>2022.016P.Cilevirus_3ns.zip</v>
      </c>
    </row>
    <row r="9620" spans="1:21">
      <c r="A9620">
        <v>9619</v>
      </c>
      <c r="B9620" s="27" t="s">
        <v>1124</v>
      </c>
      <c r="D9620" s="27" t="s">
        <v>1859</v>
      </c>
      <c r="F9620" s="27" t="s">
        <v>1867</v>
      </c>
      <c r="H9620" s="27" t="s">
        <v>1868</v>
      </c>
      <c r="J9620" s="27" t="s">
        <v>1870</v>
      </c>
      <c r="L9620" s="27" t="s">
        <v>1185</v>
      </c>
      <c r="N9620" s="27" t="s">
        <v>432</v>
      </c>
      <c r="P9620" s="27" t="s">
        <v>8828</v>
      </c>
      <c r="Q9620" s="26" t="str">
        <f>HYPERLINK("https://ictv.global/taxonomy/taxondetails?taxnode_id=202513862&amp;ictv_id=ICTV202113862","ICTV202113862")</f>
        <v>ICTV202113862</v>
      </c>
      <c r="R9620" t="s">
        <v>581</v>
      </c>
      <c r="S9620" t="s">
        <v>823</v>
      </c>
      <c r="T9620">
        <v>37</v>
      </c>
      <c r="U9620" s="26" t="str">
        <f>HYPERLINK("https://ictv.global/ictv/proposals/2021.008P.R.Cilevirus_1ns.zip","2021.008P.R.Cilevirus_1ns.zip")</f>
        <v>2021.008P.R.Cilevirus_1ns.zip</v>
      </c>
    </row>
    <row r="9621" spans="1:21">
      <c r="A9621">
        <v>9620</v>
      </c>
      <c r="B9621" s="27" t="s">
        <v>1124</v>
      </c>
      <c r="D9621" s="27" t="s">
        <v>1859</v>
      </c>
      <c r="F9621" s="27" t="s">
        <v>1867</v>
      </c>
      <c r="H9621" s="27" t="s">
        <v>1868</v>
      </c>
      <c r="J9621" s="27" t="s">
        <v>1870</v>
      </c>
      <c r="L9621" s="27" t="s">
        <v>1185</v>
      </c>
      <c r="N9621" s="27" t="s">
        <v>432</v>
      </c>
      <c r="P9621" s="27" t="s">
        <v>8829</v>
      </c>
      <c r="Q9621" s="26" t="str">
        <f>HYPERLINK("https://ictv.global/taxonomy/taxondetails?taxnode_id=202509287&amp;ictv_id=ICTV202009287","ICTV202009287")</f>
        <v>ICTV202009287</v>
      </c>
      <c r="R9621" t="s">
        <v>581</v>
      </c>
      <c r="S9621" t="s">
        <v>824</v>
      </c>
      <c r="T9621">
        <v>38</v>
      </c>
      <c r="U9621" s="26" t="str">
        <f>HYPERLINK("https://ictv.global/ictv/proposals/2022.017P.Kitaviridae_rename.zip","2022.017P.Kitaviridae_rename.zip")</f>
        <v>2022.017P.Kitaviridae_rename.zip</v>
      </c>
    </row>
    <row r="9622" spans="1:21">
      <c r="A9622">
        <v>9621</v>
      </c>
      <c r="B9622" s="27" t="s">
        <v>1124</v>
      </c>
      <c r="D9622" s="27" t="s">
        <v>1859</v>
      </c>
      <c r="F9622" s="27" t="s">
        <v>1867</v>
      </c>
      <c r="H9622" s="27" t="s">
        <v>1868</v>
      </c>
      <c r="J9622" s="27" t="s">
        <v>1870</v>
      </c>
      <c r="L9622" s="27" t="s">
        <v>1185</v>
      </c>
      <c r="N9622" s="27" t="s">
        <v>432</v>
      </c>
      <c r="P9622" s="27" t="s">
        <v>20147</v>
      </c>
      <c r="Q9622" s="26" t="str">
        <f>HYPERLINK("https://ictv.global/taxonomy/taxondetails?taxnode_id=202520245&amp;ictv_id=ICTV202420245","ICTV202420245")</f>
        <v>ICTV202420245</v>
      </c>
      <c r="R9622" t="s">
        <v>581</v>
      </c>
      <c r="S9622" t="s">
        <v>823</v>
      </c>
      <c r="T9622">
        <v>40</v>
      </c>
      <c r="U9622" s="26" t="str">
        <f>HYPERLINK("https://ictv.global/ictv/proposals/2024.006P.Kitaviridae_3nsp.zip","2024.006P.Kitaviridae_3nsp.zip")</f>
        <v>2024.006P.Kitaviridae_3nsp.zip</v>
      </c>
    </row>
    <row r="9623" spans="1:21">
      <c r="A9623">
        <v>9622</v>
      </c>
      <c r="B9623" s="27" t="s">
        <v>1124</v>
      </c>
      <c r="D9623" s="27" t="s">
        <v>1859</v>
      </c>
      <c r="F9623" s="27" t="s">
        <v>1867</v>
      </c>
      <c r="H9623" s="27" t="s">
        <v>1868</v>
      </c>
      <c r="J9623" s="27" t="s">
        <v>1870</v>
      </c>
      <c r="L9623" s="27" t="s">
        <v>1185</v>
      </c>
      <c r="N9623" s="27" t="s">
        <v>432</v>
      </c>
      <c r="P9623" s="27" t="s">
        <v>8830</v>
      </c>
      <c r="Q9623" s="26" t="str">
        <f>HYPERLINK("https://ictv.global/taxonomy/taxondetails?taxnode_id=202515118&amp;ictv_id=ICTV202215118","ICTV202215118")</f>
        <v>ICTV202215118</v>
      </c>
      <c r="R9623" t="s">
        <v>581</v>
      </c>
      <c r="S9623" t="s">
        <v>823</v>
      </c>
      <c r="T9623">
        <v>38</v>
      </c>
      <c r="U9623" s="26" t="str">
        <f>HYPERLINK("https://ictv.global/ictv/proposals/2022.016P.Cilevirus_3ns.zip","2022.016P.Cilevirus_3ns.zip")</f>
        <v>2022.016P.Cilevirus_3ns.zip</v>
      </c>
    </row>
    <row r="9624" spans="1:21">
      <c r="A9624">
        <v>9623</v>
      </c>
      <c r="B9624" s="27" t="s">
        <v>1124</v>
      </c>
      <c r="D9624" s="27" t="s">
        <v>1859</v>
      </c>
      <c r="F9624" s="27" t="s">
        <v>1867</v>
      </c>
      <c r="H9624" s="27" t="s">
        <v>1868</v>
      </c>
      <c r="J9624" s="27" t="s">
        <v>1870</v>
      </c>
      <c r="L9624" s="27" t="s">
        <v>1185</v>
      </c>
      <c r="N9624" s="27" t="s">
        <v>569</v>
      </c>
      <c r="P9624" s="27" t="s">
        <v>20148</v>
      </c>
      <c r="Q9624" s="26" t="str">
        <f>HYPERLINK("https://ictv.global/taxonomy/taxondetails?taxnode_id=202520243&amp;ictv_id=ICTV202420243","ICTV202420243")</f>
        <v>ICTV202420243</v>
      </c>
      <c r="R9624" t="s">
        <v>581</v>
      </c>
      <c r="S9624" t="s">
        <v>823</v>
      </c>
      <c r="T9624">
        <v>40</v>
      </c>
      <c r="U9624" s="26" t="str">
        <f>HYPERLINK("https://ictv.global/ictv/proposals/2024.006P.Kitaviridae_3nsp.zip","2024.006P.Kitaviridae_3nsp.zip")</f>
        <v>2024.006P.Kitaviridae_3nsp.zip</v>
      </c>
    </row>
    <row r="9625" spans="1:21">
      <c r="A9625">
        <v>9624</v>
      </c>
      <c r="B9625" s="27" t="s">
        <v>1124</v>
      </c>
      <c r="D9625" s="27" t="s">
        <v>1859</v>
      </c>
      <c r="F9625" s="27" t="s">
        <v>1867</v>
      </c>
      <c r="H9625" s="27" t="s">
        <v>1868</v>
      </c>
      <c r="J9625" s="27" t="s">
        <v>1870</v>
      </c>
      <c r="L9625" s="27" t="s">
        <v>1185</v>
      </c>
      <c r="N9625" s="27" t="s">
        <v>569</v>
      </c>
      <c r="P9625" s="27" t="s">
        <v>20149</v>
      </c>
      <c r="Q9625" s="26" t="str">
        <f>HYPERLINK("https://ictv.global/taxonomy/taxondetails?taxnode_id=202520244&amp;ictv_id=ICTV202420244","ICTV202420244")</f>
        <v>ICTV202420244</v>
      </c>
      <c r="R9625" t="s">
        <v>581</v>
      </c>
      <c r="S9625" t="s">
        <v>823</v>
      </c>
      <c r="T9625">
        <v>40</v>
      </c>
      <c r="U9625" s="26" t="str">
        <f>HYPERLINK("https://ictv.global/ictv/proposals/2024.006P.Kitaviridae_3nsp.zip","2024.006P.Kitaviridae_3nsp.zip")</f>
        <v>2024.006P.Kitaviridae_3nsp.zip</v>
      </c>
    </row>
    <row r="9626" spans="1:21">
      <c r="A9626">
        <v>9625</v>
      </c>
      <c r="B9626" s="27" t="s">
        <v>1124</v>
      </c>
      <c r="D9626" s="27" t="s">
        <v>1859</v>
      </c>
      <c r="F9626" s="27" t="s">
        <v>1867</v>
      </c>
      <c r="H9626" s="27" t="s">
        <v>1868</v>
      </c>
      <c r="J9626" s="27" t="s">
        <v>1870</v>
      </c>
      <c r="L9626" s="27" t="s">
        <v>1185</v>
      </c>
      <c r="N9626" s="27" t="s">
        <v>569</v>
      </c>
      <c r="P9626" s="27" t="s">
        <v>8831</v>
      </c>
      <c r="Q9626" s="26" t="str">
        <f>HYPERLINK("https://ictv.global/taxonomy/taxondetails?taxnode_id=202505352&amp;ictv_id=ICTV20133511","ICTV20133511")</f>
        <v>ICTV20133511</v>
      </c>
      <c r="R9626" t="s">
        <v>581</v>
      </c>
      <c r="S9626" t="s">
        <v>824</v>
      </c>
      <c r="T9626">
        <v>38</v>
      </c>
      <c r="U9626" s="26" t="str">
        <f>HYPERLINK("https://ictv.global/ictv/proposals/2022.017P.Kitaviridae_rename.zip","2022.017P.Kitaviridae_rename.zip")</f>
        <v>2022.017P.Kitaviridae_rename.zip</v>
      </c>
    </row>
    <row r="9627" spans="1:21">
      <c r="A9627">
        <v>9626</v>
      </c>
      <c r="B9627" s="27" t="s">
        <v>1124</v>
      </c>
      <c r="D9627" s="27" t="s">
        <v>1859</v>
      </c>
      <c r="F9627" s="27" t="s">
        <v>1867</v>
      </c>
      <c r="H9627" s="27" t="s">
        <v>1868</v>
      </c>
      <c r="J9627" s="27" t="s">
        <v>1870</v>
      </c>
      <c r="L9627" s="27" t="s">
        <v>1871</v>
      </c>
      <c r="N9627" s="27" t="s">
        <v>117</v>
      </c>
      <c r="P9627" s="27" t="s">
        <v>8832</v>
      </c>
      <c r="Q9627" s="26" t="str">
        <f>HYPERLINK("https://ictv.global/taxonomy/taxondetails?taxnode_id=202506633&amp;ictv_id=ICTV201856633","ICTV201856633")</f>
        <v>ICTV201856633</v>
      </c>
      <c r="R9627" t="s">
        <v>581</v>
      </c>
      <c r="S9627" t="s">
        <v>824</v>
      </c>
      <c r="T9627">
        <v>37</v>
      </c>
      <c r="U9627" s="26" t="str">
        <f>HYPERLINK("https://ictv.global/ictv/proposals/2021.020P.R.Mayoviridae_binomials.zip","2021.020P.R.Mayoviridae_binomials.zip")</f>
        <v>2021.020P.R.Mayoviridae_binomials.zip</v>
      </c>
    </row>
    <row r="9628" spans="1:21">
      <c r="A9628">
        <v>9627</v>
      </c>
      <c r="B9628" s="27" t="s">
        <v>1124</v>
      </c>
      <c r="D9628" s="27" t="s">
        <v>1859</v>
      </c>
      <c r="F9628" s="27" t="s">
        <v>1867</v>
      </c>
      <c r="H9628" s="27" t="s">
        <v>1868</v>
      </c>
      <c r="J9628" s="27" t="s">
        <v>1870</v>
      </c>
      <c r="L9628" s="27" t="s">
        <v>1871</v>
      </c>
      <c r="N9628" s="27" t="s">
        <v>117</v>
      </c>
      <c r="P9628" s="27" t="s">
        <v>8833</v>
      </c>
      <c r="Q9628" s="26" t="str">
        <f>HYPERLINK("https://ictv.global/taxonomy/taxondetails?taxnode_id=202505354&amp;ictv_id=ICTV19931865","ICTV19931865")</f>
        <v>ICTV19931865</v>
      </c>
      <c r="R9628" t="s">
        <v>581</v>
      </c>
      <c r="S9628" t="s">
        <v>824</v>
      </c>
      <c r="T9628">
        <v>37</v>
      </c>
      <c r="U9628" s="26" t="str">
        <f>HYPERLINK("https://ictv.global/ictv/proposals/2021.020P.R.Mayoviridae_binomials.zip","2021.020P.R.Mayoviridae_binomials.zip")</f>
        <v>2021.020P.R.Mayoviridae_binomials.zip</v>
      </c>
    </row>
    <row r="9629" spans="1:21">
      <c r="A9629">
        <v>9628</v>
      </c>
      <c r="B9629" s="27" t="s">
        <v>1124</v>
      </c>
      <c r="D9629" s="27" t="s">
        <v>1859</v>
      </c>
      <c r="F9629" s="27" t="s">
        <v>1867</v>
      </c>
      <c r="H9629" s="27" t="s">
        <v>1868</v>
      </c>
      <c r="J9629" s="27" t="s">
        <v>1870</v>
      </c>
      <c r="L9629" s="27" t="s">
        <v>1871</v>
      </c>
      <c r="N9629" s="27" t="s">
        <v>1872</v>
      </c>
      <c r="P9629" s="27" t="s">
        <v>8834</v>
      </c>
      <c r="Q9629" s="26" t="str">
        <f>HYPERLINK("https://ictv.global/taxonomy/taxondetails?taxnode_id=202507565&amp;ictv_id=ICTV201907565","ICTV201907565")</f>
        <v>ICTV201907565</v>
      </c>
      <c r="R9629" t="s">
        <v>581</v>
      </c>
      <c r="S9629" t="s">
        <v>824</v>
      </c>
      <c r="T9629">
        <v>37</v>
      </c>
      <c r="U9629" s="26" t="str">
        <f>HYPERLINK("https://ictv.global/ictv/proposals/2021.020P.R.Mayoviridae_binomials.zip","2021.020P.R.Mayoviridae_binomials.zip")</f>
        <v>2021.020P.R.Mayoviridae_binomials.zip</v>
      </c>
    </row>
    <row r="9630" spans="1:21">
      <c r="A9630">
        <v>9629</v>
      </c>
      <c r="B9630" s="27" t="s">
        <v>1124</v>
      </c>
      <c r="D9630" s="27" t="s">
        <v>1859</v>
      </c>
      <c r="F9630" s="27" t="s">
        <v>1867</v>
      </c>
      <c r="H9630" s="27" t="s">
        <v>1868</v>
      </c>
      <c r="J9630" s="27" t="s">
        <v>1870</v>
      </c>
      <c r="L9630" s="27" t="s">
        <v>1871</v>
      </c>
      <c r="N9630" s="27" t="s">
        <v>1872</v>
      </c>
      <c r="P9630" s="27" t="s">
        <v>8835</v>
      </c>
      <c r="Q9630" s="26" t="str">
        <f>HYPERLINK("https://ictv.global/taxonomy/taxondetails?taxnode_id=202507566&amp;ictv_id=ICTV201907566","ICTV201907566")</f>
        <v>ICTV201907566</v>
      </c>
      <c r="R9630" t="s">
        <v>581</v>
      </c>
      <c r="S9630" t="s">
        <v>824</v>
      </c>
      <c r="T9630">
        <v>37</v>
      </c>
      <c r="U9630" s="26" t="str">
        <f>HYPERLINK("https://ictv.global/ictv/proposals/2021.020P.R.Mayoviridae_binomials.zip","2021.020P.R.Mayoviridae_binomials.zip")</f>
        <v>2021.020P.R.Mayoviridae_binomials.zip</v>
      </c>
    </row>
    <row r="9631" spans="1:21">
      <c r="A9631">
        <v>9630</v>
      </c>
      <c r="B9631" s="27" t="s">
        <v>1124</v>
      </c>
      <c r="D9631" s="27" t="s">
        <v>1859</v>
      </c>
      <c r="F9631" s="27" t="s">
        <v>1867</v>
      </c>
      <c r="H9631" s="27" t="s">
        <v>1868</v>
      </c>
      <c r="J9631" s="27" t="s">
        <v>1870</v>
      </c>
      <c r="L9631" s="27" t="s">
        <v>21478</v>
      </c>
      <c r="N9631" s="27" t="s">
        <v>21479</v>
      </c>
      <c r="P9631" s="27" t="s">
        <v>21480</v>
      </c>
      <c r="Q9631" s="26" t="str">
        <f>HYPERLINK("https://ictv.global/taxonomy/taxondetails?taxnode_id=202522349&amp;ictv_id=ICTV202522349","ICTV202522349")</f>
        <v>ICTV202522349</v>
      </c>
      <c r="R9631" t="s">
        <v>581</v>
      </c>
      <c r="S9631" t="s">
        <v>823</v>
      </c>
      <c r="T9631">
        <v>41</v>
      </c>
      <c r="U9631" s="26" t="str">
        <f t="shared" ref="U9631:U9639" si="344">HYPERLINK("https://ictv.global/ictv/proposals/2025.008F.Tobaliviridae_newfam.zip","2025.008F.Tobaliviridae_newfam.zip")</f>
        <v>2025.008F.Tobaliviridae_newfam.zip</v>
      </c>
    </row>
    <row r="9632" spans="1:21">
      <c r="A9632">
        <v>9631</v>
      </c>
      <c r="B9632" s="27" t="s">
        <v>1124</v>
      </c>
      <c r="D9632" s="27" t="s">
        <v>1859</v>
      </c>
      <c r="F9632" s="27" t="s">
        <v>1867</v>
      </c>
      <c r="H9632" s="27" t="s">
        <v>1868</v>
      </c>
      <c r="J9632" s="27" t="s">
        <v>1870</v>
      </c>
      <c r="L9632" s="27" t="s">
        <v>21478</v>
      </c>
      <c r="N9632" s="27" t="s">
        <v>21479</v>
      </c>
      <c r="P9632" s="27" t="s">
        <v>21481</v>
      </c>
      <c r="Q9632" s="26" t="str">
        <f>HYPERLINK("https://ictv.global/taxonomy/taxondetails?taxnode_id=202522350&amp;ictv_id=ICTV202522350","ICTV202522350")</f>
        <v>ICTV202522350</v>
      </c>
      <c r="R9632" t="s">
        <v>581</v>
      </c>
      <c r="S9632" t="s">
        <v>823</v>
      </c>
      <c r="T9632">
        <v>41</v>
      </c>
      <c r="U9632" s="26" t="str">
        <f t="shared" si="344"/>
        <v>2025.008F.Tobaliviridae_newfam.zip</v>
      </c>
    </row>
    <row r="9633" spans="1:21">
      <c r="A9633">
        <v>9632</v>
      </c>
      <c r="B9633" s="27" t="s">
        <v>1124</v>
      </c>
      <c r="D9633" s="27" t="s">
        <v>1859</v>
      </c>
      <c r="F9633" s="27" t="s">
        <v>1867</v>
      </c>
      <c r="H9633" s="27" t="s">
        <v>1868</v>
      </c>
      <c r="J9633" s="27" t="s">
        <v>1870</v>
      </c>
      <c r="L9633" s="27" t="s">
        <v>21478</v>
      </c>
      <c r="N9633" s="27" t="s">
        <v>21479</v>
      </c>
      <c r="P9633" s="27" t="s">
        <v>21482</v>
      </c>
      <c r="Q9633" s="26" t="str">
        <f>HYPERLINK("https://ictv.global/taxonomy/taxondetails?taxnode_id=202522351&amp;ictv_id=ICTV202522351","ICTV202522351")</f>
        <v>ICTV202522351</v>
      </c>
      <c r="R9633" t="s">
        <v>581</v>
      </c>
      <c r="S9633" t="s">
        <v>823</v>
      </c>
      <c r="T9633">
        <v>41</v>
      </c>
      <c r="U9633" s="26" t="str">
        <f t="shared" si="344"/>
        <v>2025.008F.Tobaliviridae_newfam.zip</v>
      </c>
    </row>
    <row r="9634" spans="1:21">
      <c r="A9634">
        <v>9633</v>
      </c>
      <c r="B9634" s="27" t="s">
        <v>1124</v>
      </c>
      <c r="D9634" s="27" t="s">
        <v>1859</v>
      </c>
      <c r="F9634" s="27" t="s">
        <v>1867</v>
      </c>
      <c r="H9634" s="27" t="s">
        <v>1868</v>
      </c>
      <c r="J9634" s="27" t="s">
        <v>1870</v>
      </c>
      <c r="L9634" s="27" t="s">
        <v>21478</v>
      </c>
      <c r="N9634" s="27" t="s">
        <v>21479</v>
      </c>
      <c r="P9634" s="27" t="s">
        <v>21487</v>
      </c>
      <c r="Q9634" s="26" t="str">
        <f>HYPERLINK("https://ictv.global/taxonomy/taxondetails?taxnode_id=202522356&amp;ictv_id=ICTV202522356","ICTV202522356")</f>
        <v>ICTV202522356</v>
      </c>
      <c r="R9634" t="s">
        <v>581</v>
      </c>
      <c r="S9634" t="s">
        <v>823</v>
      </c>
      <c r="T9634">
        <v>41</v>
      </c>
      <c r="U9634" s="26" t="str">
        <f t="shared" si="344"/>
        <v>2025.008F.Tobaliviridae_newfam.zip</v>
      </c>
    </row>
    <row r="9635" spans="1:21">
      <c r="A9635">
        <v>9634</v>
      </c>
      <c r="B9635" s="27" t="s">
        <v>1124</v>
      </c>
      <c r="D9635" s="27" t="s">
        <v>1859</v>
      </c>
      <c r="F9635" s="27" t="s">
        <v>1867</v>
      </c>
      <c r="H9635" s="27" t="s">
        <v>1868</v>
      </c>
      <c r="J9635" s="27" t="s">
        <v>1870</v>
      </c>
      <c r="L9635" s="27" t="s">
        <v>21478</v>
      </c>
      <c r="N9635" s="27" t="s">
        <v>21479</v>
      </c>
      <c r="P9635" s="27" t="s">
        <v>21484</v>
      </c>
      <c r="Q9635" s="26" t="str">
        <f>HYPERLINK("https://ictv.global/taxonomy/taxondetails?taxnode_id=202522353&amp;ictv_id=ICTV202522353","ICTV202522353")</f>
        <v>ICTV202522353</v>
      </c>
      <c r="R9635" t="s">
        <v>581</v>
      </c>
      <c r="S9635" t="s">
        <v>823</v>
      </c>
      <c r="T9635">
        <v>41</v>
      </c>
      <c r="U9635" s="26" t="str">
        <f t="shared" si="344"/>
        <v>2025.008F.Tobaliviridae_newfam.zip</v>
      </c>
    </row>
    <row r="9636" spans="1:21">
      <c r="A9636">
        <v>9635</v>
      </c>
      <c r="B9636" s="27" t="s">
        <v>1124</v>
      </c>
      <c r="D9636" s="27" t="s">
        <v>1859</v>
      </c>
      <c r="F9636" s="27" t="s">
        <v>1867</v>
      </c>
      <c r="H9636" s="27" t="s">
        <v>1868</v>
      </c>
      <c r="J9636" s="27" t="s">
        <v>1870</v>
      </c>
      <c r="L9636" s="27" t="s">
        <v>21478</v>
      </c>
      <c r="N9636" s="27" t="s">
        <v>21479</v>
      </c>
      <c r="P9636" s="27" t="s">
        <v>21483</v>
      </c>
      <c r="Q9636" s="26" t="str">
        <f>HYPERLINK("https://ictv.global/taxonomy/taxondetails?taxnode_id=202522352&amp;ictv_id=ICTV202522352","ICTV202522352")</f>
        <v>ICTV202522352</v>
      </c>
      <c r="R9636" t="s">
        <v>581</v>
      </c>
      <c r="S9636" t="s">
        <v>823</v>
      </c>
      <c r="T9636">
        <v>41</v>
      </c>
      <c r="U9636" s="26" t="str">
        <f t="shared" si="344"/>
        <v>2025.008F.Tobaliviridae_newfam.zip</v>
      </c>
    </row>
    <row r="9637" spans="1:21">
      <c r="A9637">
        <v>9636</v>
      </c>
      <c r="B9637" s="27" t="s">
        <v>1124</v>
      </c>
      <c r="D9637" s="27" t="s">
        <v>1859</v>
      </c>
      <c r="F9637" s="27" t="s">
        <v>1867</v>
      </c>
      <c r="H9637" s="27" t="s">
        <v>1868</v>
      </c>
      <c r="J9637" s="27" t="s">
        <v>1870</v>
      </c>
      <c r="L9637" s="27" t="s">
        <v>21478</v>
      </c>
      <c r="N9637" s="27" t="s">
        <v>21479</v>
      </c>
      <c r="P9637" s="27" t="s">
        <v>21485</v>
      </c>
      <c r="Q9637" s="26" t="str">
        <f>HYPERLINK("https://ictv.global/taxonomy/taxondetails?taxnode_id=202522354&amp;ictv_id=ICTV202522354","ICTV202522354")</f>
        <v>ICTV202522354</v>
      </c>
      <c r="R9637" t="s">
        <v>581</v>
      </c>
      <c r="S9637" t="s">
        <v>823</v>
      </c>
      <c r="T9637">
        <v>41</v>
      </c>
      <c r="U9637" s="26" t="str">
        <f t="shared" si="344"/>
        <v>2025.008F.Tobaliviridae_newfam.zip</v>
      </c>
    </row>
    <row r="9638" spans="1:21">
      <c r="A9638">
        <v>9637</v>
      </c>
      <c r="B9638" s="27" t="s">
        <v>1124</v>
      </c>
      <c r="D9638" s="27" t="s">
        <v>1859</v>
      </c>
      <c r="F9638" s="27" t="s">
        <v>1867</v>
      </c>
      <c r="H9638" s="27" t="s">
        <v>1868</v>
      </c>
      <c r="J9638" s="27" t="s">
        <v>1870</v>
      </c>
      <c r="L9638" s="27" t="s">
        <v>21478</v>
      </c>
      <c r="N9638" s="27" t="s">
        <v>21479</v>
      </c>
      <c r="P9638" s="27" t="s">
        <v>21486</v>
      </c>
      <c r="Q9638" s="26" t="str">
        <f>HYPERLINK("https://ictv.global/taxonomy/taxondetails?taxnode_id=202522355&amp;ictv_id=ICTV202522355","ICTV202522355")</f>
        <v>ICTV202522355</v>
      </c>
      <c r="R9638" t="s">
        <v>581</v>
      </c>
      <c r="S9638" t="s">
        <v>823</v>
      </c>
      <c r="T9638">
        <v>41</v>
      </c>
      <c r="U9638" s="26" t="str">
        <f t="shared" si="344"/>
        <v>2025.008F.Tobaliviridae_newfam.zip</v>
      </c>
    </row>
    <row r="9639" spans="1:21">
      <c r="A9639">
        <v>9638</v>
      </c>
      <c r="B9639" s="27" t="s">
        <v>1124</v>
      </c>
      <c r="D9639" s="27" t="s">
        <v>1859</v>
      </c>
      <c r="F9639" s="27" t="s">
        <v>1867</v>
      </c>
      <c r="H9639" s="27" t="s">
        <v>1868</v>
      </c>
      <c r="J9639" s="27" t="s">
        <v>1870</v>
      </c>
      <c r="L9639" s="27" t="s">
        <v>21478</v>
      </c>
      <c r="N9639" s="27" t="s">
        <v>21479</v>
      </c>
      <c r="P9639" s="27" t="s">
        <v>21488</v>
      </c>
      <c r="Q9639" s="26" t="str">
        <f>HYPERLINK("https://ictv.global/taxonomy/taxondetails?taxnode_id=202522357&amp;ictv_id=ICTV202522357","ICTV202522357")</f>
        <v>ICTV202522357</v>
      </c>
      <c r="R9639" t="s">
        <v>581</v>
      </c>
      <c r="S9639" t="s">
        <v>823</v>
      </c>
      <c r="T9639">
        <v>41</v>
      </c>
      <c r="U9639" s="26" t="str">
        <f t="shared" si="344"/>
        <v>2025.008F.Tobaliviridae_newfam.zip</v>
      </c>
    </row>
    <row r="9640" spans="1:21">
      <c r="A9640">
        <v>9639</v>
      </c>
      <c r="B9640" s="27" t="s">
        <v>1124</v>
      </c>
      <c r="D9640" s="27" t="s">
        <v>1859</v>
      </c>
      <c r="F9640" s="27" t="s">
        <v>1867</v>
      </c>
      <c r="H9640" s="27" t="s">
        <v>1868</v>
      </c>
      <c r="J9640" s="27" t="s">
        <v>1870</v>
      </c>
      <c r="L9640" s="27" t="s">
        <v>215</v>
      </c>
      <c r="N9640" s="27" t="s">
        <v>216</v>
      </c>
      <c r="P9640" s="27" t="s">
        <v>13930</v>
      </c>
      <c r="Q9640" s="26" t="str">
        <f>HYPERLINK("https://ictv.global/taxonomy/taxondetails?taxnode_id=202505083&amp;ictv_id=ICTV19710073","ICTV19710073")</f>
        <v>ICTV19710073</v>
      </c>
      <c r="R9640" t="s">
        <v>581</v>
      </c>
      <c r="S9640" t="s">
        <v>824</v>
      </c>
      <c r="T9640">
        <v>39</v>
      </c>
      <c r="U9640" s="26" t="str">
        <f t="shared" ref="U9640:U9671" si="345">HYPERLINK("https://ictv.global/ictv/proposals/2023.006S.Togaviridae_32sprenamed.zip","2023.006S.Togaviridae_32sprenamed.zip")</f>
        <v>2023.006S.Togaviridae_32sprenamed.zip</v>
      </c>
    </row>
    <row r="9641" spans="1:21">
      <c r="A9641">
        <v>9640</v>
      </c>
      <c r="B9641" s="27" t="s">
        <v>1124</v>
      </c>
      <c r="D9641" s="27" t="s">
        <v>1859</v>
      </c>
      <c r="F9641" s="27" t="s">
        <v>1867</v>
      </c>
      <c r="H9641" s="27" t="s">
        <v>1868</v>
      </c>
      <c r="J9641" s="27" t="s">
        <v>1870</v>
      </c>
      <c r="L9641" s="27" t="s">
        <v>215</v>
      </c>
      <c r="N9641" s="27" t="s">
        <v>216</v>
      </c>
      <c r="P9641" s="27" t="s">
        <v>13931</v>
      </c>
      <c r="Q9641" s="26" t="str">
        <f>HYPERLINK("https://ictv.global/taxonomy/taxondetails?taxnode_id=202505084&amp;ictv_id=ICTV19820267","ICTV19820267")</f>
        <v>ICTV19820267</v>
      </c>
      <c r="R9641" t="s">
        <v>581</v>
      </c>
      <c r="S9641" t="s">
        <v>824</v>
      </c>
      <c r="T9641">
        <v>39</v>
      </c>
      <c r="U9641" s="26" t="str">
        <f t="shared" si="345"/>
        <v>2023.006S.Togaviridae_32sprenamed.zip</v>
      </c>
    </row>
    <row r="9642" spans="1:21">
      <c r="A9642">
        <v>9641</v>
      </c>
      <c r="B9642" s="27" t="s">
        <v>1124</v>
      </c>
      <c r="D9642" s="27" t="s">
        <v>1859</v>
      </c>
      <c r="F9642" s="27" t="s">
        <v>1867</v>
      </c>
      <c r="H9642" s="27" t="s">
        <v>1868</v>
      </c>
      <c r="J9642" s="27" t="s">
        <v>1870</v>
      </c>
      <c r="L9642" s="27" t="s">
        <v>215</v>
      </c>
      <c r="N9642" s="27" t="s">
        <v>216</v>
      </c>
      <c r="P9642" s="27" t="s">
        <v>13932</v>
      </c>
      <c r="Q9642" s="26" t="str">
        <f>HYPERLINK("https://ictv.global/taxonomy/taxondetails?taxnode_id=202505085&amp;ictv_id=ICTV19760565","ICTV19760565")</f>
        <v>ICTV19760565</v>
      </c>
      <c r="R9642" t="s">
        <v>581</v>
      </c>
      <c r="S9642" t="s">
        <v>824</v>
      </c>
      <c r="T9642">
        <v>39</v>
      </c>
      <c r="U9642" s="26" t="str">
        <f t="shared" si="345"/>
        <v>2023.006S.Togaviridae_32sprenamed.zip</v>
      </c>
    </row>
    <row r="9643" spans="1:21">
      <c r="A9643">
        <v>9642</v>
      </c>
      <c r="B9643" s="27" t="s">
        <v>1124</v>
      </c>
      <c r="D9643" s="27" t="s">
        <v>1859</v>
      </c>
      <c r="F9643" s="27" t="s">
        <v>1867</v>
      </c>
      <c r="H9643" s="27" t="s">
        <v>1868</v>
      </c>
      <c r="J9643" s="27" t="s">
        <v>1870</v>
      </c>
      <c r="L9643" s="27" t="s">
        <v>215</v>
      </c>
      <c r="N9643" s="27" t="s">
        <v>216</v>
      </c>
      <c r="P9643" s="27" t="s">
        <v>13933</v>
      </c>
      <c r="Q9643" s="26" t="str">
        <f>HYPERLINK("https://ictv.global/taxonomy/taxondetails?taxnode_id=202509260&amp;ictv_id=ICTV202009260","ICTV202009260")</f>
        <v>ICTV202009260</v>
      </c>
      <c r="R9643" t="s">
        <v>581</v>
      </c>
      <c r="S9643" t="s">
        <v>824</v>
      </c>
      <c r="T9643">
        <v>39</v>
      </c>
      <c r="U9643" s="26" t="str">
        <f t="shared" si="345"/>
        <v>2023.006S.Togaviridae_32sprenamed.zip</v>
      </c>
    </row>
    <row r="9644" spans="1:21">
      <c r="A9644">
        <v>9643</v>
      </c>
      <c r="B9644" s="27" t="s">
        <v>1124</v>
      </c>
      <c r="D9644" s="27" t="s">
        <v>1859</v>
      </c>
      <c r="F9644" s="27" t="s">
        <v>1867</v>
      </c>
      <c r="H9644" s="27" t="s">
        <v>1868</v>
      </c>
      <c r="J9644" s="27" t="s">
        <v>1870</v>
      </c>
      <c r="L9644" s="27" t="s">
        <v>215</v>
      </c>
      <c r="N9644" s="27" t="s">
        <v>216</v>
      </c>
      <c r="P9644" s="27" t="s">
        <v>13934</v>
      </c>
      <c r="Q9644" s="26" t="str">
        <f>HYPERLINK("https://ictv.global/taxonomy/taxondetails?taxnode_id=202505086&amp;ictv_id=ICTV19991676","ICTV19991676")</f>
        <v>ICTV19991676</v>
      </c>
      <c r="R9644" t="s">
        <v>581</v>
      </c>
      <c r="S9644" t="s">
        <v>824</v>
      </c>
      <c r="T9644">
        <v>39</v>
      </c>
      <c r="U9644" s="26" t="str">
        <f t="shared" si="345"/>
        <v>2023.006S.Togaviridae_32sprenamed.zip</v>
      </c>
    </row>
    <row r="9645" spans="1:21">
      <c r="A9645">
        <v>9644</v>
      </c>
      <c r="B9645" s="27" t="s">
        <v>1124</v>
      </c>
      <c r="D9645" s="27" t="s">
        <v>1859</v>
      </c>
      <c r="F9645" s="27" t="s">
        <v>1867</v>
      </c>
      <c r="H9645" s="27" t="s">
        <v>1868</v>
      </c>
      <c r="J9645" s="27" t="s">
        <v>1870</v>
      </c>
      <c r="L9645" s="27" t="s">
        <v>215</v>
      </c>
      <c r="N9645" s="27" t="s">
        <v>216</v>
      </c>
      <c r="P9645" s="27" t="s">
        <v>13935</v>
      </c>
      <c r="Q9645" s="26" t="str">
        <f>HYPERLINK("https://ictv.global/taxonomy/taxondetails?taxnode_id=202505087&amp;ictv_id=ICTV19710074","ICTV19710074")</f>
        <v>ICTV19710074</v>
      </c>
      <c r="R9645" t="s">
        <v>581</v>
      </c>
      <c r="S9645" t="s">
        <v>824</v>
      </c>
      <c r="T9645">
        <v>39</v>
      </c>
      <c r="U9645" s="26" t="str">
        <f t="shared" si="345"/>
        <v>2023.006S.Togaviridae_32sprenamed.zip</v>
      </c>
    </row>
    <row r="9646" spans="1:21">
      <c r="A9646">
        <v>9645</v>
      </c>
      <c r="B9646" s="27" t="s">
        <v>1124</v>
      </c>
      <c r="D9646" s="27" t="s">
        <v>1859</v>
      </c>
      <c r="F9646" s="27" t="s">
        <v>1867</v>
      </c>
      <c r="H9646" s="27" t="s">
        <v>1868</v>
      </c>
      <c r="J9646" s="27" t="s">
        <v>1870</v>
      </c>
      <c r="L9646" s="27" t="s">
        <v>215</v>
      </c>
      <c r="N9646" s="27" t="s">
        <v>216</v>
      </c>
      <c r="P9646" s="27" t="s">
        <v>13936</v>
      </c>
      <c r="Q9646" s="26" t="str">
        <f>HYPERLINK("https://ictv.global/taxonomy/taxondetails?taxnode_id=202505088&amp;ictv_id=ICTV19710075","ICTV19710075")</f>
        <v>ICTV19710075</v>
      </c>
      <c r="R9646" t="s">
        <v>581</v>
      </c>
      <c r="S9646" t="s">
        <v>824</v>
      </c>
      <c r="T9646">
        <v>39</v>
      </c>
      <c r="U9646" s="26" t="str">
        <f t="shared" si="345"/>
        <v>2023.006S.Togaviridae_32sprenamed.zip</v>
      </c>
    </row>
    <row r="9647" spans="1:21">
      <c r="A9647">
        <v>9646</v>
      </c>
      <c r="B9647" s="27" t="s">
        <v>1124</v>
      </c>
      <c r="D9647" s="27" t="s">
        <v>1859</v>
      </c>
      <c r="F9647" s="27" t="s">
        <v>1867</v>
      </c>
      <c r="H9647" s="27" t="s">
        <v>1868</v>
      </c>
      <c r="J9647" s="27" t="s">
        <v>1870</v>
      </c>
      <c r="L9647" s="27" t="s">
        <v>215</v>
      </c>
      <c r="N9647" s="27" t="s">
        <v>216</v>
      </c>
      <c r="P9647" s="27" t="s">
        <v>13937</v>
      </c>
      <c r="Q9647" s="26" t="str">
        <f>HYPERLINK("https://ictv.global/taxonomy/taxondetails?taxnode_id=202505089&amp;ictv_id=ICTV20133321","ICTV20133321")</f>
        <v>ICTV20133321</v>
      </c>
      <c r="R9647" t="s">
        <v>581</v>
      </c>
      <c r="S9647" t="s">
        <v>824</v>
      </c>
      <c r="T9647">
        <v>39</v>
      </c>
      <c r="U9647" s="26" t="str">
        <f t="shared" si="345"/>
        <v>2023.006S.Togaviridae_32sprenamed.zip</v>
      </c>
    </row>
    <row r="9648" spans="1:21">
      <c r="A9648">
        <v>9647</v>
      </c>
      <c r="B9648" s="27" t="s">
        <v>1124</v>
      </c>
      <c r="D9648" s="27" t="s">
        <v>1859</v>
      </c>
      <c r="F9648" s="27" t="s">
        <v>1867</v>
      </c>
      <c r="H9648" s="27" t="s">
        <v>1868</v>
      </c>
      <c r="J9648" s="27" t="s">
        <v>1870</v>
      </c>
      <c r="L9648" s="27" t="s">
        <v>215</v>
      </c>
      <c r="N9648" s="27" t="s">
        <v>216</v>
      </c>
      <c r="P9648" s="27" t="s">
        <v>13938</v>
      </c>
      <c r="Q9648" s="26" t="str">
        <f>HYPERLINK("https://ictv.global/taxonomy/taxondetails?taxnode_id=202505090&amp;ictv_id=ICTV19760568","ICTV19760568")</f>
        <v>ICTV19760568</v>
      </c>
      <c r="R9648" t="s">
        <v>581</v>
      </c>
      <c r="S9648" t="s">
        <v>824</v>
      </c>
      <c r="T9648">
        <v>39</v>
      </c>
      <c r="U9648" s="26" t="str">
        <f t="shared" si="345"/>
        <v>2023.006S.Togaviridae_32sprenamed.zip</v>
      </c>
    </row>
    <row r="9649" spans="1:21">
      <c r="A9649">
        <v>9648</v>
      </c>
      <c r="B9649" s="27" t="s">
        <v>1124</v>
      </c>
      <c r="D9649" s="27" t="s">
        <v>1859</v>
      </c>
      <c r="F9649" s="27" t="s">
        <v>1867</v>
      </c>
      <c r="H9649" s="27" t="s">
        <v>1868</v>
      </c>
      <c r="J9649" s="27" t="s">
        <v>1870</v>
      </c>
      <c r="L9649" s="27" t="s">
        <v>215</v>
      </c>
      <c r="N9649" s="27" t="s">
        <v>216</v>
      </c>
      <c r="P9649" s="27" t="s">
        <v>13939</v>
      </c>
      <c r="Q9649" s="26" t="str">
        <f>HYPERLINK("https://ictv.global/taxonomy/taxondetails?taxnode_id=202505091&amp;ictv_id=ICTV19991680","ICTV19991680")</f>
        <v>ICTV19991680</v>
      </c>
      <c r="R9649" t="s">
        <v>581</v>
      </c>
      <c r="S9649" t="s">
        <v>824</v>
      </c>
      <c r="T9649">
        <v>39</v>
      </c>
      <c r="U9649" s="26" t="str">
        <f t="shared" si="345"/>
        <v>2023.006S.Togaviridae_32sprenamed.zip</v>
      </c>
    </row>
    <row r="9650" spans="1:21">
      <c r="A9650">
        <v>9649</v>
      </c>
      <c r="B9650" s="27" t="s">
        <v>1124</v>
      </c>
      <c r="D9650" s="27" t="s">
        <v>1859</v>
      </c>
      <c r="F9650" s="27" t="s">
        <v>1867</v>
      </c>
      <c r="H9650" s="27" t="s">
        <v>1868</v>
      </c>
      <c r="J9650" s="27" t="s">
        <v>1870</v>
      </c>
      <c r="L9650" s="27" t="s">
        <v>215</v>
      </c>
      <c r="N9650" s="27" t="s">
        <v>216</v>
      </c>
      <c r="P9650" s="27" t="s">
        <v>13940</v>
      </c>
      <c r="Q9650" s="26" t="str">
        <f>HYPERLINK("https://ictv.global/taxonomy/taxondetails?taxnode_id=202505092&amp;ictv_id=ICTV19710076","ICTV19710076")</f>
        <v>ICTV19710076</v>
      </c>
      <c r="R9650" t="s">
        <v>581</v>
      </c>
      <c r="S9650" t="s">
        <v>824</v>
      </c>
      <c r="T9650">
        <v>39</v>
      </c>
      <c r="U9650" s="26" t="str">
        <f t="shared" si="345"/>
        <v>2023.006S.Togaviridae_32sprenamed.zip</v>
      </c>
    </row>
    <row r="9651" spans="1:21">
      <c r="A9651">
        <v>9650</v>
      </c>
      <c r="B9651" s="27" t="s">
        <v>1124</v>
      </c>
      <c r="D9651" s="27" t="s">
        <v>1859</v>
      </c>
      <c r="F9651" s="27" t="s">
        <v>1867</v>
      </c>
      <c r="H9651" s="27" t="s">
        <v>1868</v>
      </c>
      <c r="J9651" s="27" t="s">
        <v>1870</v>
      </c>
      <c r="L9651" s="27" t="s">
        <v>215</v>
      </c>
      <c r="N9651" s="27" t="s">
        <v>216</v>
      </c>
      <c r="P9651" s="27" t="s">
        <v>13941</v>
      </c>
      <c r="Q9651" s="26" t="str">
        <f>HYPERLINK("https://ictv.global/taxonomy/taxondetails?taxnode_id=202505093&amp;ictv_id=ICTV19911488","ICTV19911488")</f>
        <v>ICTV19911488</v>
      </c>
      <c r="R9651" t="s">
        <v>581</v>
      </c>
      <c r="S9651" t="s">
        <v>824</v>
      </c>
      <c r="T9651">
        <v>39</v>
      </c>
      <c r="U9651" s="26" t="str">
        <f t="shared" si="345"/>
        <v>2023.006S.Togaviridae_32sprenamed.zip</v>
      </c>
    </row>
    <row r="9652" spans="1:21">
      <c r="A9652">
        <v>9651</v>
      </c>
      <c r="B9652" s="27" t="s">
        <v>1124</v>
      </c>
      <c r="D9652" s="27" t="s">
        <v>1859</v>
      </c>
      <c r="F9652" s="27" t="s">
        <v>1867</v>
      </c>
      <c r="H9652" s="27" t="s">
        <v>1868</v>
      </c>
      <c r="J9652" s="27" t="s">
        <v>1870</v>
      </c>
      <c r="L9652" s="27" t="s">
        <v>215</v>
      </c>
      <c r="N9652" s="27" t="s">
        <v>216</v>
      </c>
      <c r="P9652" s="27" t="s">
        <v>13942</v>
      </c>
      <c r="Q9652" s="26" t="str">
        <f>HYPERLINK("https://ictv.global/taxonomy/taxondetails?taxnode_id=202505094&amp;ictv_id=ICTV20125921","ICTV20125921")</f>
        <v>ICTV20125921</v>
      </c>
      <c r="R9652" t="s">
        <v>581</v>
      </c>
      <c r="S9652" t="s">
        <v>824</v>
      </c>
      <c r="T9652">
        <v>39</v>
      </c>
      <c r="U9652" s="26" t="str">
        <f t="shared" si="345"/>
        <v>2023.006S.Togaviridae_32sprenamed.zip</v>
      </c>
    </row>
    <row r="9653" spans="1:21">
      <c r="A9653">
        <v>9652</v>
      </c>
      <c r="B9653" s="27" t="s">
        <v>1124</v>
      </c>
      <c r="D9653" s="27" t="s">
        <v>1859</v>
      </c>
      <c r="F9653" s="27" t="s">
        <v>1867</v>
      </c>
      <c r="H9653" s="27" t="s">
        <v>1868</v>
      </c>
      <c r="J9653" s="27" t="s">
        <v>1870</v>
      </c>
      <c r="L9653" s="27" t="s">
        <v>215</v>
      </c>
      <c r="N9653" s="27" t="s">
        <v>216</v>
      </c>
      <c r="P9653" s="27" t="s">
        <v>13943</v>
      </c>
      <c r="Q9653" s="26" t="str">
        <f>HYPERLINK("https://ictv.global/taxonomy/taxondetails?taxnode_id=202505095&amp;ictv_id=ICTV19710077","ICTV19710077")</f>
        <v>ICTV19710077</v>
      </c>
      <c r="R9653" t="s">
        <v>581</v>
      </c>
      <c r="S9653" t="s">
        <v>824</v>
      </c>
      <c r="T9653">
        <v>39</v>
      </c>
      <c r="U9653" s="26" t="str">
        <f t="shared" si="345"/>
        <v>2023.006S.Togaviridae_32sprenamed.zip</v>
      </c>
    </row>
    <row r="9654" spans="1:21">
      <c r="A9654">
        <v>9653</v>
      </c>
      <c r="B9654" s="27" t="s">
        <v>1124</v>
      </c>
      <c r="D9654" s="27" t="s">
        <v>1859</v>
      </c>
      <c r="F9654" s="27" t="s">
        <v>1867</v>
      </c>
      <c r="H9654" s="27" t="s">
        <v>1868</v>
      </c>
      <c r="J9654" s="27" t="s">
        <v>1870</v>
      </c>
      <c r="L9654" s="27" t="s">
        <v>215</v>
      </c>
      <c r="N9654" s="27" t="s">
        <v>216</v>
      </c>
      <c r="P9654" s="27" t="s">
        <v>13944</v>
      </c>
      <c r="Q9654" s="26" t="str">
        <f>HYPERLINK("https://ictv.global/taxonomy/taxondetails?taxnode_id=202505096&amp;ictv_id=ICTV19710078","ICTV19710078")</f>
        <v>ICTV19710078</v>
      </c>
      <c r="R9654" t="s">
        <v>581</v>
      </c>
      <c r="S9654" t="s">
        <v>824</v>
      </c>
      <c r="T9654">
        <v>39</v>
      </c>
      <c r="U9654" s="26" t="str">
        <f t="shared" si="345"/>
        <v>2023.006S.Togaviridae_32sprenamed.zip</v>
      </c>
    </row>
    <row r="9655" spans="1:21">
      <c r="A9655">
        <v>9654</v>
      </c>
      <c r="B9655" s="27" t="s">
        <v>1124</v>
      </c>
      <c r="D9655" s="27" t="s">
        <v>1859</v>
      </c>
      <c r="F9655" s="27" t="s">
        <v>1867</v>
      </c>
      <c r="H9655" s="27" t="s">
        <v>1868</v>
      </c>
      <c r="J9655" s="27" t="s">
        <v>1870</v>
      </c>
      <c r="L9655" s="27" t="s">
        <v>215</v>
      </c>
      <c r="N9655" s="27" t="s">
        <v>216</v>
      </c>
      <c r="P9655" s="27" t="s">
        <v>13945</v>
      </c>
      <c r="Q9655" s="26" t="str">
        <f>HYPERLINK("https://ictv.global/taxonomy/taxondetails?taxnode_id=202505097&amp;ictv_id=ICTV20074702","ICTV20074702")</f>
        <v>ICTV20074702</v>
      </c>
      <c r="R9655" t="s">
        <v>581</v>
      </c>
      <c r="S9655" t="s">
        <v>824</v>
      </c>
      <c r="T9655">
        <v>39</v>
      </c>
      <c r="U9655" s="26" t="str">
        <f t="shared" si="345"/>
        <v>2023.006S.Togaviridae_32sprenamed.zip</v>
      </c>
    </row>
    <row r="9656" spans="1:21">
      <c r="A9656">
        <v>9655</v>
      </c>
      <c r="B9656" s="27" t="s">
        <v>1124</v>
      </c>
      <c r="D9656" s="27" t="s">
        <v>1859</v>
      </c>
      <c r="F9656" s="27" t="s">
        <v>1867</v>
      </c>
      <c r="H9656" s="27" t="s">
        <v>1868</v>
      </c>
      <c r="J9656" s="27" t="s">
        <v>1870</v>
      </c>
      <c r="L9656" s="27" t="s">
        <v>215</v>
      </c>
      <c r="N9656" s="27" t="s">
        <v>216</v>
      </c>
      <c r="P9656" s="27" t="s">
        <v>13946</v>
      </c>
      <c r="Q9656" s="26" t="str">
        <f>HYPERLINK("https://ictv.global/taxonomy/taxondetails?taxnode_id=202505098&amp;ictv_id=ICTV19710079","ICTV19710079")</f>
        <v>ICTV19710079</v>
      </c>
      <c r="R9656" t="s">
        <v>581</v>
      </c>
      <c r="S9656" t="s">
        <v>824</v>
      </c>
      <c r="T9656">
        <v>39</v>
      </c>
      <c r="U9656" s="26" t="str">
        <f t="shared" si="345"/>
        <v>2023.006S.Togaviridae_32sprenamed.zip</v>
      </c>
    </row>
    <row r="9657" spans="1:21">
      <c r="A9657">
        <v>9656</v>
      </c>
      <c r="B9657" s="27" t="s">
        <v>1124</v>
      </c>
      <c r="D9657" s="27" t="s">
        <v>1859</v>
      </c>
      <c r="F9657" s="27" t="s">
        <v>1867</v>
      </c>
      <c r="H9657" s="27" t="s">
        <v>1868</v>
      </c>
      <c r="J9657" s="27" t="s">
        <v>1870</v>
      </c>
      <c r="L9657" s="27" t="s">
        <v>215</v>
      </c>
      <c r="N9657" s="27" t="s">
        <v>216</v>
      </c>
      <c r="P9657" s="27" t="s">
        <v>13947</v>
      </c>
      <c r="Q9657" s="26" t="str">
        <f>HYPERLINK("https://ictv.global/taxonomy/taxondetails?taxnode_id=202505099&amp;ictv_id=ICTV19760573","ICTV19760573")</f>
        <v>ICTV19760573</v>
      </c>
      <c r="R9657" t="s">
        <v>581</v>
      </c>
      <c r="S9657" t="s">
        <v>824</v>
      </c>
      <c r="T9657">
        <v>39</v>
      </c>
      <c r="U9657" s="26" t="str">
        <f t="shared" si="345"/>
        <v>2023.006S.Togaviridae_32sprenamed.zip</v>
      </c>
    </row>
    <row r="9658" spans="1:21">
      <c r="A9658">
        <v>9657</v>
      </c>
      <c r="B9658" s="27" t="s">
        <v>1124</v>
      </c>
      <c r="D9658" s="27" t="s">
        <v>1859</v>
      </c>
      <c r="F9658" s="27" t="s">
        <v>1867</v>
      </c>
      <c r="H9658" s="27" t="s">
        <v>1868</v>
      </c>
      <c r="J9658" s="27" t="s">
        <v>1870</v>
      </c>
      <c r="L9658" s="27" t="s">
        <v>215</v>
      </c>
      <c r="N9658" s="27" t="s">
        <v>216</v>
      </c>
      <c r="P9658" s="27" t="s">
        <v>13948</v>
      </c>
      <c r="Q9658" s="26" t="str">
        <f>HYPERLINK("https://ictv.global/taxonomy/taxondetails?taxnode_id=202505102&amp;ictv_id=ICTV19991672","ICTV19991672")</f>
        <v>ICTV19991672</v>
      </c>
      <c r="R9658" t="s">
        <v>581</v>
      </c>
      <c r="S9658" t="s">
        <v>824</v>
      </c>
      <c r="T9658">
        <v>39</v>
      </c>
      <c r="U9658" s="26" t="str">
        <f t="shared" si="345"/>
        <v>2023.006S.Togaviridae_32sprenamed.zip</v>
      </c>
    </row>
    <row r="9659" spans="1:21">
      <c r="A9659">
        <v>9658</v>
      </c>
      <c r="B9659" s="27" t="s">
        <v>1124</v>
      </c>
      <c r="D9659" s="27" t="s">
        <v>1859</v>
      </c>
      <c r="F9659" s="27" t="s">
        <v>1867</v>
      </c>
      <c r="H9659" s="27" t="s">
        <v>1868</v>
      </c>
      <c r="J9659" s="27" t="s">
        <v>1870</v>
      </c>
      <c r="L9659" s="27" t="s">
        <v>215</v>
      </c>
      <c r="N9659" s="27" t="s">
        <v>216</v>
      </c>
      <c r="P9659" s="27" t="s">
        <v>13949</v>
      </c>
      <c r="Q9659" s="26" t="str">
        <f>HYPERLINK("https://ictv.global/taxonomy/taxondetails?taxnode_id=202505100&amp;ictv_id=ICTV19710080","ICTV19710080")</f>
        <v>ICTV19710080</v>
      </c>
      <c r="R9659" t="s">
        <v>581</v>
      </c>
      <c r="S9659" t="s">
        <v>824</v>
      </c>
      <c r="T9659">
        <v>39</v>
      </c>
      <c r="U9659" s="26" t="str">
        <f t="shared" si="345"/>
        <v>2023.006S.Togaviridae_32sprenamed.zip</v>
      </c>
    </row>
    <row r="9660" spans="1:21">
      <c r="A9660">
        <v>9659</v>
      </c>
      <c r="B9660" s="27" t="s">
        <v>1124</v>
      </c>
      <c r="D9660" s="27" t="s">
        <v>1859</v>
      </c>
      <c r="F9660" s="27" t="s">
        <v>1867</v>
      </c>
      <c r="H9660" s="27" t="s">
        <v>1868</v>
      </c>
      <c r="J9660" s="27" t="s">
        <v>1870</v>
      </c>
      <c r="L9660" s="27" t="s">
        <v>215</v>
      </c>
      <c r="N9660" s="27" t="s">
        <v>216</v>
      </c>
      <c r="P9660" s="27" t="s">
        <v>13950</v>
      </c>
      <c r="Q9660" s="26" t="str">
        <f>HYPERLINK("https://ictv.global/taxonomy/taxondetails?taxnode_id=202505101&amp;ictv_id=ICTV19710081","ICTV19710081")</f>
        <v>ICTV19710081</v>
      </c>
      <c r="R9660" t="s">
        <v>581</v>
      </c>
      <c r="S9660" t="s">
        <v>824</v>
      </c>
      <c r="T9660">
        <v>39</v>
      </c>
      <c r="U9660" s="26" t="str">
        <f t="shared" si="345"/>
        <v>2023.006S.Togaviridae_32sprenamed.zip</v>
      </c>
    </row>
    <row r="9661" spans="1:21">
      <c r="A9661">
        <v>9660</v>
      </c>
      <c r="B9661" s="27" t="s">
        <v>1124</v>
      </c>
      <c r="D9661" s="27" t="s">
        <v>1859</v>
      </c>
      <c r="F9661" s="27" t="s">
        <v>1867</v>
      </c>
      <c r="H9661" s="27" t="s">
        <v>1868</v>
      </c>
      <c r="J9661" s="27" t="s">
        <v>1870</v>
      </c>
      <c r="L9661" s="27" t="s">
        <v>215</v>
      </c>
      <c r="N9661" s="27" t="s">
        <v>216</v>
      </c>
      <c r="P9661" s="27" t="s">
        <v>13951</v>
      </c>
      <c r="Q9661" s="26" t="str">
        <f>HYPERLINK("https://ictv.global/taxonomy/taxondetails?taxnode_id=202505103&amp;ictv_id=ICTV19991689","ICTV19991689")</f>
        <v>ICTV19991689</v>
      </c>
      <c r="R9661" t="s">
        <v>581</v>
      </c>
      <c r="S9661" t="s">
        <v>824</v>
      </c>
      <c r="T9661">
        <v>39</v>
      </c>
      <c r="U9661" s="26" t="str">
        <f t="shared" si="345"/>
        <v>2023.006S.Togaviridae_32sprenamed.zip</v>
      </c>
    </row>
    <row r="9662" spans="1:21">
      <c r="A9662">
        <v>9661</v>
      </c>
      <c r="B9662" s="27" t="s">
        <v>1124</v>
      </c>
      <c r="D9662" s="27" t="s">
        <v>1859</v>
      </c>
      <c r="F9662" s="27" t="s">
        <v>1867</v>
      </c>
      <c r="H9662" s="27" t="s">
        <v>1868</v>
      </c>
      <c r="J9662" s="27" t="s">
        <v>1870</v>
      </c>
      <c r="L9662" s="27" t="s">
        <v>215</v>
      </c>
      <c r="N9662" s="27" t="s">
        <v>216</v>
      </c>
      <c r="P9662" s="27" t="s">
        <v>13952</v>
      </c>
      <c r="Q9662" s="26" t="str">
        <f>HYPERLINK("https://ictv.global/taxonomy/taxondetails?taxnode_id=202505104&amp;ictv_id=ICTV20021768","ICTV20021768")</f>
        <v>ICTV20021768</v>
      </c>
      <c r="R9662" t="s">
        <v>581</v>
      </c>
      <c r="S9662" t="s">
        <v>824</v>
      </c>
      <c r="T9662">
        <v>39</v>
      </c>
      <c r="U9662" s="26" t="str">
        <f t="shared" si="345"/>
        <v>2023.006S.Togaviridae_32sprenamed.zip</v>
      </c>
    </row>
    <row r="9663" spans="1:21">
      <c r="A9663">
        <v>9662</v>
      </c>
      <c r="B9663" s="27" t="s">
        <v>1124</v>
      </c>
      <c r="D9663" s="27" t="s">
        <v>1859</v>
      </c>
      <c r="F9663" s="27" t="s">
        <v>1867</v>
      </c>
      <c r="H9663" s="27" t="s">
        <v>1868</v>
      </c>
      <c r="J9663" s="27" t="s">
        <v>1870</v>
      </c>
      <c r="L9663" s="27" t="s">
        <v>215</v>
      </c>
      <c r="N9663" s="27" t="s">
        <v>216</v>
      </c>
      <c r="P9663" s="27" t="s">
        <v>13953</v>
      </c>
      <c r="Q9663" s="26" t="str">
        <f>HYPERLINK("https://ictv.global/taxonomy/taxondetails?taxnode_id=202505107&amp;ictv_id=ICTV20074712","ICTV20074712")</f>
        <v>ICTV20074712</v>
      </c>
      <c r="R9663" t="s">
        <v>581</v>
      </c>
      <c r="S9663" t="s">
        <v>824</v>
      </c>
      <c r="T9663">
        <v>39</v>
      </c>
      <c r="U9663" s="26" t="str">
        <f t="shared" si="345"/>
        <v>2023.006S.Togaviridae_32sprenamed.zip</v>
      </c>
    </row>
    <row r="9664" spans="1:21">
      <c r="A9664">
        <v>9663</v>
      </c>
      <c r="B9664" s="27" t="s">
        <v>1124</v>
      </c>
      <c r="D9664" s="27" t="s">
        <v>1859</v>
      </c>
      <c r="F9664" s="27" t="s">
        <v>1867</v>
      </c>
      <c r="H9664" s="27" t="s">
        <v>1868</v>
      </c>
      <c r="J9664" s="27" t="s">
        <v>1870</v>
      </c>
      <c r="L9664" s="27" t="s">
        <v>215</v>
      </c>
      <c r="N9664" s="27" t="s">
        <v>216</v>
      </c>
      <c r="P9664" s="27" t="s">
        <v>13954</v>
      </c>
      <c r="Q9664" s="26" t="str">
        <f>HYPERLINK("https://ictv.global/taxonomy/taxondetails?taxnode_id=202505105&amp;ictv_id=ICTV19710083","ICTV19710083")</f>
        <v>ICTV19710083</v>
      </c>
      <c r="R9664" t="s">
        <v>581</v>
      </c>
      <c r="S9664" t="s">
        <v>824</v>
      </c>
      <c r="T9664">
        <v>39</v>
      </c>
      <c r="U9664" s="26" t="str">
        <f t="shared" si="345"/>
        <v>2023.006S.Togaviridae_32sprenamed.zip</v>
      </c>
    </row>
    <row r="9665" spans="1:21">
      <c r="A9665">
        <v>9664</v>
      </c>
      <c r="B9665" s="27" t="s">
        <v>1124</v>
      </c>
      <c r="D9665" s="27" t="s">
        <v>1859</v>
      </c>
      <c r="F9665" s="27" t="s">
        <v>1867</v>
      </c>
      <c r="H9665" s="27" t="s">
        <v>1868</v>
      </c>
      <c r="J9665" s="27" t="s">
        <v>1870</v>
      </c>
      <c r="L9665" s="27" t="s">
        <v>215</v>
      </c>
      <c r="N9665" s="27" t="s">
        <v>216</v>
      </c>
      <c r="P9665" s="27" t="s">
        <v>13955</v>
      </c>
      <c r="Q9665" s="26" t="str">
        <f>HYPERLINK("https://ictv.global/taxonomy/taxondetails?taxnode_id=202505106&amp;ictv_id=ICTV19991691","ICTV19991691")</f>
        <v>ICTV19991691</v>
      </c>
      <c r="R9665" t="s">
        <v>581</v>
      </c>
      <c r="S9665" t="s">
        <v>824</v>
      </c>
      <c r="T9665">
        <v>39</v>
      </c>
      <c r="U9665" s="26" t="str">
        <f t="shared" si="345"/>
        <v>2023.006S.Togaviridae_32sprenamed.zip</v>
      </c>
    </row>
    <row r="9666" spans="1:21">
      <c r="A9666">
        <v>9665</v>
      </c>
      <c r="B9666" s="27" t="s">
        <v>1124</v>
      </c>
      <c r="D9666" s="27" t="s">
        <v>1859</v>
      </c>
      <c r="F9666" s="27" t="s">
        <v>1867</v>
      </c>
      <c r="H9666" s="27" t="s">
        <v>1868</v>
      </c>
      <c r="J9666" s="27" t="s">
        <v>1870</v>
      </c>
      <c r="L9666" s="27" t="s">
        <v>215</v>
      </c>
      <c r="N9666" s="27" t="s">
        <v>216</v>
      </c>
      <c r="P9666" s="27" t="s">
        <v>13956</v>
      </c>
      <c r="Q9666" s="26" t="str">
        <f>HYPERLINK("https://ictv.global/taxonomy/taxondetails?taxnode_id=202505108&amp;ictv_id=ICTV20074713","ICTV20074713")</f>
        <v>ICTV20074713</v>
      </c>
      <c r="R9666" t="s">
        <v>581</v>
      </c>
      <c r="S9666" t="s">
        <v>824</v>
      </c>
      <c r="T9666">
        <v>39</v>
      </c>
      <c r="U9666" s="26" t="str">
        <f t="shared" si="345"/>
        <v>2023.006S.Togaviridae_32sprenamed.zip</v>
      </c>
    </row>
    <row r="9667" spans="1:21">
      <c r="A9667">
        <v>9666</v>
      </c>
      <c r="B9667" s="27" t="s">
        <v>1124</v>
      </c>
      <c r="D9667" s="27" t="s">
        <v>1859</v>
      </c>
      <c r="F9667" s="27" t="s">
        <v>1867</v>
      </c>
      <c r="H9667" s="27" t="s">
        <v>1868</v>
      </c>
      <c r="J9667" s="27" t="s">
        <v>1870</v>
      </c>
      <c r="L9667" s="27" t="s">
        <v>215</v>
      </c>
      <c r="N9667" s="27" t="s">
        <v>216</v>
      </c>
      <c r="P9667" s="27" t="s">
        <v>13957</v>
      </c>
      <c r="Q9667" s="26" t="str">
        <f>HYPERLINK("https://ictv.global/taxonomy/taxondetails?taxnode_id=202505109&amp;ictv_id=ICTV20021771","ICTV20021771")</f>
        <v>ICTV20021771</v>
      </c>
      <c r="R9667" t="s">
        <v>581</v>
      </c>
      <c r="S9667" t="s">
        <v>824</v>
      </c>
      <c r="T9667">
        <v>39</v>
      </c>
      <c r="U9667" s="26" t="str">
        <f t="shared" si="345"/>
        <v>2023.006S.Togaviridae_32sprenamed.zip</v>
      </c>
    </row>
    <row r="9668" spans="1:21">
      <c r="A9668">
        <v>9667</v>
      </c>
      <c r="B9668" s="27" t="s">
        <v>1124</v>
      </c>
      <c r="D9668" s="27" t="s">
        <v>1859</v>
      </c>
      <c r="F9668" s="27" t="s">
        <v>1867</v>
      </c>
      <c r="H9668" s="27" t="s">
        <v>1868</v>
      </c>
      <c r="J9668" s="27" t="s">
        <v>1870</v>
      </c>
      <c r="L9668" s="27" t="s">
        <v>215</v>
      </c>
      <c r="N9668" s="27" t="s">
        <v>216</v>
      </c>
      <c r="P9668" s="27" t="s">
        <v>13958</v>
      </c>
      <c r="Q9668" s="26" t="str">
        <f>HYPERLINK("https://ictv.global/taxonomy/taxondetails?taxnode_id=202505110&amp;ictv_id=ICTV19710085","ICTV19710085")</f>
        <v>ICTV19710085</v>
      </c>
      <c r="R9668" t="s">
        <v>581</v>
      </c>
      <c r="S9668" t="s">
        <v>824</v>
      </c>
      <c r="T9668">
        <v>39</v>
      </c>
      <c r="U9668" s="26" t="str">
        <f t="shared" si="345"/>
        <v>2023.006S.Togaviridae_32sprenamed.zip</v>
      </c>
    </row>
    <row r="9669" spans="1:21">
      <c r="A9669">
        <v>9668</v>
      </c>
      <c r="B9669" s="27" t="s">
        <v>1124</v>
      </c>
      <c r="D9669" s="27" t="s">
        <v>1859</v>
      </c>
      <c r="F9669" s="27" t="s">
        <v>1867</v>
      </c>
      <c r="H9669" s="27" t="s">
        <v>1868</v>
      </c>
      <c r="J9669" s="27" t="s">
        <v>1870</v>
      </c>
      <c r="L9669" s="27" t="s">
        <v>215</v>
      </c>
      <c r="N9669" s="27" t="s">
        <v>216</v>
      </c>
      <c r="P9669" s="27" t="s">
        <v>13959</v>
      </c>
      <c r="Q9669" s="26" t="str">
        <f>HYPERLINK("https://ictv.global/taxonomy/taxondetails?taxnode_id=202505111&amp;ictv_id=ICTV19710086","ICTV19710086")</f>
        <v>ICTV19710086</v>
      </c>
      <c r="R9669" t="s">
        <v>581</v>
      </c>
      <c r="S9669" t="s">
        <v>824</v>
      </c>
      <c r="T9669">
        <v>39</v>
      </c>
      <c r="U9669" s="26" t="str">
        <f t="shared" si="345"/>
        <v>2023.006S.Togaviridae_32sprenamed.zip</v>
      </c>
    </row>
    <row r="9670" spans="1:21">
      <c r="A9670">
        <v>9669</v>
      </c>
      <c r="B9670" s="27" t="s">
        <v>1124</v>
      </c>
      <c r="D9670" s="27" t="s">
        <v>1859</v>
      </c>
      <c r="F9670" s="27" t="s">
        <v>1867</v>
      </c>
      <c r="H9670" s="27" t="s">
        <v>1868</v>
      </c>
      <c r="J9670" s="27" t="s">
        <v>1870</v>
      </c>
      <c r="L9670" s="27" t="s">
        <v>215</v>
      </c>
      <c r="N9670" s="27" t="s">
        <v>216</v>
      </c>
      <c r="P9670" s="27" t="s">
        <v>13960</v>
      </c>
      <c r="Q9670" s="26" t="str">
        <f>HYPERLINK("https://ictv.global/taxonomy/taxondetails?taxnode_id=202505112&amp;ictv_id=ICTV19710087","ICTV19710087")</f>
        <v>ICTV19710087</v>
      </c>
      <c r="R9670" t="s">
        <v>581</v>
      </c>
      <c r="S9670" t="s">
        <v>824</v>
      </c>
      <c r="T9670">
        <v>39</v>
      </c>
      <c r="U9670" s="26" t="str">
        <f t="shared" si="345"/>
        <v>2023.006S.Togaviridae_32sprenamed.zip</v>
      </c>
    </row>
    <row r="9671" spans="1:21">
      <c r="A9671">
        <v>9670</v>
      </c>
      <c r="B9671" s="27" t="s">
        <v>1124</v>
      </c>
      <c r="D9671" s="27" t="s">
        <v>1859</v>
      </c>
      <c r="F9671" s="27" t="s">
        <v>1867</v>
      </c>
      <c r="H9671" s="27" t="s">
        <v>1868</v>
      </c>
      <c r="J9671" s="27" t="s">
        <v>1870</v>
      </c>
      <c r="L9671" s="27" t="s">
        <v>215</v>
      </c>
      <c r="N9671" s="27" t="s">
        <v>216</v>
      </c>
      <c r="P9671" s="27" t="s">
        <v>13961</v>
      </c>
      <c r="Q9671" s="26" t="str">
        <f>HYPERLINK("https://ictv.global/taxonomy/taxondetails?taxnode_id=202505113&amp;ictv_id=ICTV19710088","ICTV19710088")</f>
        <v>ICTV19710088</v>
      </c>
      <c r="R9671" t="s">
        <v>581</v>
      </c>
      <c r="S9671" t="s">
        <v>824</v>
      </c>
      <c r="T9671">
        <v>39</v>
      </c>
      <c r="U9671" s="26" t="str">
        <f t="shared" si="345"/>
        <v>2023.006S.Togaviridae_32sprenamed.zip</v>
      </c>
    </row>
    <row r="9672" spans="1:21">
      <c r="A9672">
        <v>9671</v>
      </c>
      <c r="B9672" s="27" t="s">
        <v>1124</v>
      </c>
      <c r="D9672" s="27" t="s">
        <v>1859</v>
      </c>
      <c r="F9672" s="27" t="s">
        <v>1867</v>
      </c>
      <c r="H9672" s="27" t="s">
        <v>1868</v>
      </c>
      <c r="J9672" s="27" t="s">
        <v>1870</v>
      </c>
      <c r="L9672" s="27" t="s">
        <v>433</v>
      </c>
      <c r="N9672" s="27" t="s">
        <v>304</v>
      </c>
      <c r="P9672" s="27" t="s">
        <v>13962</v>
      </c>
      <c r="Q9672" s="26" t="str">
        <f>HYPERLINK("https://ictv.global/taxonomy/taxondetails?taxnode_id=202505399&amp;ictv_id=ICTV20042209","ICTV20042209")</f>
        <v>ICTV20042209</v>
      </c>
      <c r="R9672" t="s">
        <v>581</v>
      </c>
      <c r="S9672" t="s">
        <v>824</v>
      </c>
      <c r="T9672">
        <v>39</v>
      </c>
      <c r="U9672" s="26" t="str">
        <f t="shared" ref="U9672:U9703" si="346">HYPERLINK("https://ictv.global/ictv/proposals/2023.016P.Virgaviridae_and_Benyviridae_rename_sp.zip","2023.016P.Virgaviridae_and_Benyviridae_rename_sp.zip")</f>
        <v>2023.016P.Virgaviridae_and_Benyviridae_rename_sp.zip</v>
      </c>
    </row>
    <row r="9673" spans="1:21">
      <c r="A9673">
        <v>9672</v>
      </c>
      <c r="B9673" s="27" t="s">
        <v>1124</v>
      </c>
      <c r="D9673" s="27" t="s">
        <v>1859</v>
      </c>
      <c r="F9673" s="27" t="s">
        <v>1867</v>
      </c>
      <c r="H9673" s="27" t="s">
        <v>1868</v>
      </c>
      <c r="J9673" s="27" t="s">
        <v>1870</v>
      </c>
      <c r="L9673" s="27" t="s">
        <v>433</v>
      </c>
      <c r="N9673" s="27" t="s">
        <v>304</v>
      </c>
      <c r="P9673" s="27" t="s">
        <v>13963</v>
      </c>
      <c r="Q9673" s="26" t="str">
        <f>HYPERLINK("https://ictv.global/taxonomy/taxondetails?taxnode_id=202505400&amp;ictv_id=ICTV20042210","ICTV20042210")</f>
        <v>ICTV20042210</v>
      </c>
      <c r="R9673" t="s">
        <v>581</v>
      </c>
      <c r="S9673" t="s">
        <v>824</v>
      </c>
      <c r="T9673">
        <v>39</v>
      </c>
      <c r="U9673" s="26" t="str">
        <f t="shared" si="346"/>
        <v>2023.016P.Virgaviridae_and_Benyviridae_rename_sp.zip</v>
      </c>
    </row>
    <row r="9674" spans="1:21">
      <c r="A9674">
        <v>9673</v>
      </c>
      <c r="B9674" s="27" t="s">
        <v>1124</v>
      </c>
      <c r="D9674" s="27" t="s">
        <v>1859</v>
      </c>
      <c r="F9674" s="27" t="s">
        <v>1867</v>
      </c>
      <c r="H9674" s="27" t="s">
        <v>1868</v>
      </c>
      <c r="J9674" s="27" t="s">
        <v>1870</v>
      </c>
      <c r="L9674" s="27" t="s">
        <v>433</v>
      </c>
      <c r="N9674" s="27" t="s">
        <v>304</v>
      </c>
      <c r="P9674" s="27" t="s">
        <v>13964</v>
      </c>
      <c r="Q9674" s="26" t="str">
        <f>HYPERLINK("https://ictv.global/taxonomy/taxondetails?taxnode_id=202505397&amp;ictv_id=ICTV20042208","ICTV20042208")</f>
        <v>ICTV20042208</v>
      </c>
      <c r="R9674" t="s">
        <v>581</v>
      </c>
      <c r="S9674" t="s">
        <v>824</v>
      </c>
      <c r="T9674">
        <v>39</v>
      </c>
      <c r="U9674" s="26" t="str">
        <f t="shared" si="346"/>
        <v>2023.016P.Virgaviridae_and_Benyviridae_rename_sp.zip</v>
      </c>
    </row>
    <row r="9675" spans="1:21">
      <c r="A9675">
        <v>9674</v>
      </c>
      <c r="B9675" s="27" t="s">
        <v>1124</v>
      </c>
      <c r="D9675" s="27" t="s">
        <v>1859</v>
      </c>
      <c r="F9675" s="27" t="s">
        <v>1867</v>
      </c>
      <c r="H9675" s="27" t="s">
        <v>1868</v>
      </c>
      <c r="J9675" s="27" t="s">
        <v>1870</v>
      </c>
      <c r="L9675" s="27" t="s">
        <v>433</v>
      </c>
      <c r="N9675" s="27" t="s">
        <v>304</v>
      </c>
      <c r="P9675" s="27" t="s">
        <v>13965</v>
      </c>
      <c r="Q9675" s="26" t="str">
        <f>HYPERLINK("https://ictv.global/taxonomy/taxondetails?taxnode_id=202505398&amp;ictv_id=ICTV20115443","ICTV20115443")</f>
        <v>ICTV20115443</v>
      </c>
      <c r="R9675" t="s">
        <v>581</v>
      </c>
      <c r="S9675" t="s">
        <v>824</v>
      </c>
      <c r="T9675">
        <v>39</v>
      </c>
      <c r="U9675" s="26" t="str">
        <f t="shared" si="346"/>
        <v>2023.016P.Virgaviridae_and_Benyviridae_rename_sp.zip</v>
      </c>
    </row>
    <row r="9676" spans="1:21">
      <c r="A9676">
        <v>9675</v>
      </c>
      <c r="B9676" s="27" t="s">
        <v>1124</v>
      </c>
      <c r="D9676" s="27" t="s">
        <v>1859</v>
      </c>
      <c r="F9676" s="27" t="s">
        <v>1867</v>
      </c>
      <c r="H9676" s="27" t="s">
        <v>1868</v>
      </c>
      <c r="J9676" s="27" t="s">
        <v>1870</v>
      </c>
      <c r="L9676" s="27" t="s">
        <v>433</v>
      </c>
      <c r="N9676" s="27" t="s">
        <v>304</v>
      </c>
      <c r="P9676" s="27" t="s">
        <v>13966</v>
      </c>
      <c r="Q9676" s="26" t="str">
        <f>HYPERLINK("https://ictv.global/taxonomy/taxondetails?taxnode_id=202505402&amp;ictv_id=ICTV20042212","ICTV20042212")</f>
        <v>ICTV20042212</v>
      </c>
      <c r="R9676" t="s">
        <v>581</v>
      </c>
      <c r="S9676" t="s">
        <v>824</v>
      </c>
      <c r="T9676">
        <v>39</v>
      </c>
      <c r="U9676" s="26" t="str">
        <f t="shared" si="346"/>
        <v>2023.016P.Virgaviridae_and_Benyviridae_rename_sp.zip</v>
      </c>
    </row>
    <row r="9677" spans="1:21">
      <c r="A9677">
        <v>9676</v>
      </c>
      <c r="B9677" s="27" t="s">
        <v>1124</v>
      </c>
      <c r="D9677" s="27" t="s">
        <v>1859</v>
      </c>
      <c r="F9677" s="27" t="s">
        <v>1867</v>
      </c>
      <c r="H9677" s="27" t="s">
        <v>1868</v>
      </c>
      <c r="J9677" s="27" t="s">
        <v>1870</v>
      </c>
      <c r="L9677" s="27" t="s">
        <v>433</v>
      </c>
      <c r="N9677" s="27" t="s">
        <v>304</v>
      </c>
      <c r="P9677" s="27" t="s">
        <v>13967</v>
      </c>
      <c r="Q9677" s="26" t="str">
        <f>HYPERLINK("https://ictv.global/taxonomy/taxondetails?taxnode_id=202505401&amp;ictv_id=ICTV19991804","ICTV19991804")</f>
        <v>ICTV19991804</v>
      </c>
      <c r="R9677" t="s">
        <v>581</v>
      </c>
      <c r="S9677" t="s">
        <v>824</v>
      </c>
      <c r="T9677">
        <v>39</v>
      </c>
      <c r="U9677" s="26" t="str">
        <f t="shared" si="346"/>
        <v>2023.016P.Virgaviridae_and_Benyviridae_rename_sp.zip</v>
      </c>
    </row>
    <row r="9678" spans="1:21">
      <c r="A9678">
        <v>9677</v>
      </c>
      <c r="B9678" s="27" t="s">
        <v>1124</v>
      </c>
      <c r="D9678" s="27" t="s">
        <v>1859</v>
      </c>
      <c r="F9678" s="27" t="s">
        <v>1867</v>
      </c>
      <c r="H9678" s="27" t="s">
        <v>1868</v>
      </c>
      <c r="J9678" s="27" t="s">
        <v>1870</v>
      </c>
      <c r="L9678" s="27" t="s">
        <v>433</v>
      </c>
      <c r="N9678" s="27" t="s">
        <v>717</v>
      </c>
      <c r="P9678" s="27" t="s">
        <v>13968</v>
      </c>
      <c r="Q9678" s="26" t="str">
        <f>HYPERLINK("https://ictv.global/taxonomy/taxondetails?taxnode_id=202505404&amp;ictv_id=ICTV20154612","ICTV20154612")</f>
        <v>ICTV20154612</v>
      </c>
      <c r="R9678" t="s">
        <v>581</v>
      </c>
      <c r="S9678" t="s">
        <v>824</v>
      </c>
      <c r="T9678">
        <v>39</v>
      </c>
      <c r="U9678" s="26" t="str">
        <f t="shared" si="346"/>
        <v>2023.016P.Virgaviridae_and_Benyviridae_rename_sp.zip</v>
      </c>
    </row>
    <row r="9679" spans="1:21">
      <c r="A9679">
        <v>9678</v>
      </c>
      <c r="B9679" s="27" t="s">
        <v>1124</v>
      </c>
      <c r="D9679" s="27" t="s">
        <v>1859</v>
      </c>
      <c r="F9679" s="27" t="s">
        <v>1867</v>
      </c>
      <c r="H9679" s="27" t="s">
        <v>1868</v>
      </c>
      <c r="J9679" s="27" t="s">
        <v>1870</v>
      </c>
      <c r="L9679" s="27" t="s">
        <v>433</v>
      </c>
      <c r="N9679" s="27" t="s">
        <v>717</v>
      </c>
      <c r="P9679" s="27" t="s">
        <v>13969</v>
      </c>
      <c r="Q9679" s="26" t="str">
        <f>HYPERLINK("https://ictv.global/taxonomy/taxondetails?taxnode_id=202505405&amp;ictv_id=ICTV20154611","ICTV20154611")</f>
        <v>ICTV20154611</v>
      </c>
      <c r="R9679" t="s">
        <v>581</v>
      </c>
      <c r="S9679" t="s">
        <v>824</v>
      </c>
      <c r="T9679">
        <v>39</v>
      </c>
      <c r="U9679" s="26" t="str">
        <f t="shared" si="346"/>
        <v>2023.016P.Virgaviridae_and_Benyviridae_rename_sp.zip</v>
      </c>
    </row>
    <row r="9680" spans="1:21">
      <c r="A9680">
        <v>9679</v>
      </c>
      <c r="B9680" s="27" t="s">
        <v>1124</v>
      </c>
      <c r="D9680" s="27" t="s">
        <v>1859</v>
      </c>
      <c r="F9680" s="27" t="s">
        <v>1867</v>
      </c>
      <c r="H9680" s="27" t="s">
        <v>1868</v>
      </c>
      <c r="J9680" s="27" t="s">
        <v>1870</v>
      </c>
      <c r="L9680" s="27" t="s">
        <v>433</v>
      </c>
      <c r="N9680" s="27" t="s">
        <v>116</v>
      </c>
      <c r="P9680" s="27" t="s">
        <v>13970</v>
      </c>
      <c r="Q9680" s="26" t="str">
        <f>HYPERLINK("https://ictv.global/taxonomy/taxondetails?taxnode_id=202505407&amp;ictv_id=ICTV19911665","ICTV19911665")</f>
        <v>ICTV19911665</v>
      </c>
      <c r="R9680" t="s">
        <v>581</v>
      </c>
      <c r="S9680" t="s">
        <v>824</v>
      </c>
      <c r="T9680">
        <v>39</v>
      </c>
      <c r="U9680" s="26" t="str">
        <f t="shared" si="346"/>
        <v>2023.016P.Virgaviridae_and_Benyviridae_rename_sp.zip</v>
      </c>
    </row>
    <row r="9681" spans="1:21">
      <c r="A9681">
        <v>9680</v>
      </c>
      <c r="B9681" s="27" t="s">
        <v>1124</v>
      </c>
      <c r="D9681" s="27" t="s">
        <v>1859</v>
      </c>
      <c r="F9681" s="27" t="s">
        <v>1867</v>
      </c>
      <c r="H9681" s="27" t="s">
        <v>1868</v>
      </c>
      <c r="J9681" s="27" t="s">
        <v>1870</v>
      </c>
      <c r="L9681" s="27" t="s">
        <v>433</v>
      </c>
      <c r="N9681" s="27" t="s">
        <v>116</v>
      </c>
      <c r="P9681" s="27" t="s">
        <v>13971</v>
      </c>
      <c r="Q9681" s="26" t="str">
        <f>HYPERLINK("https://ictv.global/taxonomy/taxondetails?taxnode_id=202505408&amp;ictv_id=ICTV19750354","ICTV19750354")</f>
        <v>ICTV19750354</v>
      </c>
      <c r="R9681" t="s">
        <v>581</v>
      </c>
      <c r="S9681" t="s">
        <v>824</v>
      </c>
      <c r="T9681">
        <v>39</v>
      </c>
      <c r="U9681" s="26" t="str">
        <f t="shared" si="346"/>
        <v>2023.016P.Virgaviridae_and_Benyviridae_rename_sp.zip</v>
      </c>
    </row>
    <row r="9682" spans="1:21">
      <c r="A9682">
        <v>9681</v>
      </c>
      <c r="B9682" s="27" t="s">
        <v>1124</v>
      </c>
      <c r="D9682" s="27" t="s">
        <v>1859</v>
      </c>
      <c r="F9682" s="27" t="s">
        <v>1867</v>
      </c>
      <c r="H9682" s="27" t="s">
        <v>1868</v>
      </c>
      <c r="J9682" s="27" t="s">
        <v>1870</v>
      </c>
      <c r="L9682" s="27" t="s">
        <v>433</v>
      </c>
      <c r="N9682" s="27" t="s">
        <v>116</v>
      </c>
      <c r="P9682" s="27" t="s">
        <v>13972</v>
      </c>
      <c r="Q9682" s="26" t="str">
        <f>HYPERLINK("https://ictv.global/taxonomy/taxondetails?taxnode_id=202505409&amp;ictv_id=ICTV19760686","ICTV19760686")</f>
        <v>ICTV19760686</v>
      </c>
      <c r="R9682" t="s">
        <v>581</v>
      </c>
      <c r="S9682" t="s">
        <v>824</v>
      </c>
      <c r="T9682">
        <v>39</v>
      </c>
      <c r="U9682" s="26" t="str">
        <f t="shared" si="346"/>
        <v>2023.016P.Virgaviridae_and_Benyviridae_rename_sp.zip</v>
      </c>
    </row>
    <row r="9683" spans="1:21">
      <c r="A9683">
        <v>9682</v>
      </c>
      <c r="B9683" s="27" t="s">
        <v>1124</v>
      </c>
      <c r="D9683" s="27" t="s">
        <v>1859</v>
      </c>
      <c r="F9683" s="27" t="s">
        <v>1867</v>
      </c>
      <c r="H9683" s="27" t="s">
        <v>1868</v>
      </c>
      <c r="J9683" s="27" t="s">
        <v>1870</v>
      </c>
      <c r="L9683" s="27" t="s">
        <v>433</v>
      </c>
      <c r="N9683" s="27" t="s">
        <v>116</v>
      </c>
      <c r="P9683" s="27" t="s">
        <v>13973</v>
      </c>
      <c r="Q9683" s="26" t="str">
        <f>HYPERLINK("https://ictv.global/taxonomy/taxondetails?taxnode_id=202505410&amp;ictv_id=ICTV19760687","ICTV19760687")</f>
        <v>ICTV19760687</v>
      </c>
      <c r="R9683" t="s">
        <v>581</v>
      </c>
      <c r="S9683" t="s">
        <v>824</v>
      </c>
      <c r="T9683">
        <v>39</v>
      </c>
      <c r="U9683" s="26" t="str">
        <f t="shared" si="346"/>
        <v>2023.016P.Virgaviridae_and_Benyviridae_rename_sp.zip</v>
      </c>
    </row>
    <row r="9684" spans="1:21">
      <c r="A9684">
        <v>9683</v>
      </c>
      <c r="B9684" s="27" t="s">
        <v>1124</v>
      </c>
      <c r="D9684" s="27" t="s">
        <v>1859</v>
      </c>
      <c r="F9684" s="27" t="s">
        <v>1867</v>
      </c>
      <c r="H9684" s="27" t="s">
        <v>1868</v>
      </c>
      <c r="J9684" s="27" t="s">
        <v>1870</v>
      </c>
      <c r="L9684" s="27" t="s">
        <v>433</v>
      </c>
      <c r="N9684" s="27" t="s">
        <v>119</v>
      </c>
      <c r="P9684" s="27" t="s">
        <v>13974</v>
      </c>
      <c r="Q9684" s="26" t="str">
        <f>HYPERLINK("https://ictv.global/taxonomy/taxondetails?taxnode_id=202505413&amp;ictv_id=ICTV19871296","ICTV19871296")</f>
        <v>ICTV19871296</v>
      </c>
      <c r="R9684" t="s">
        <v>581</v>
      </c>
      <c r="S9684" t="s">
        <v>824</v>
      </c>
      <c r="T9684">
        <v>39</v>
      </c>
      <c r="U9684" s="26" t="str">
        <f t="shared" si="346"/>
        <v>2023.016P.Virgaviridae_and_Benyviridae_rename_sp.zip</v>
      </c>
    </row>
    <row r="9685" spans="1:21">
      <c r="A9685">
        <v>9684</v>
      </c>
      <c r="B9685" s="27" t="s">
        <v>1124</v>
      </c>
      <c r="D9685" s="27" t="s">
        <v>1859</v>
      </c>
      <c r="F9685" s="27" t="s">
        <v>1867</v>
      </c>
      <c r="H9685" s="27" t="s">
        <v>1868</v>
      </c>
      <c r="J9685" s="27" t="s">
        <v>1870</v>
      </c>
      <c r="L9685" s="27" t="s">
        <v>433</v>
      </c>
      <c r="N9685" s="27" t="s">
        <v>119</v>
      </c>
      <c r="P9685" s="27" t="s">
        <v>13975</v>
      </c>
      <c r="Q9685" s="26" t="str">
        <f>HYPERLINK("https://ictv.global/taxonomy/taxondetails?taxnode_id=202505412&amp;ictv_id=ICTV19972494","ICTV19972494")</f>
        <v>ICTV19972494</v>
      </c>
      <c r="R9685" t="s">
        <v>581</v>
      </c>
      <c r="S9685" t="s">
        <v>824</v>
      </c>
      <c r="T9685">
        <v>39</v>
      </c>
      <c r="U9685" s="26" t="str">
        <f t="shared" si="346"/>
        <v>2023.016P.Virgaviridae_and_Benyviridae_rename_sp.zip</v>
      </c>
    </row>
    <row r="9686" spans="1:21">
      <c r="A9686">
        <v>9685</v>
      </c>
      <c r="B9686" s="27" t="s">
        <v>1124</v>
      </c>
      <c r="D9686" s="27" t="s">
        <v>1859</v>
      </c>
      <c r="F9686" s="27" t="s">
        <v>1867</v>
      </c>
      <c r="H9686" s="27" t="s">
        <v>1868</v>
      </c>
      <c r="J9686" s="27" t="s">
        <v>1870</v>
      </c>
      <c r="L9686" s="27" t="s">
        <v>433</v>
      </c>
      <c r="N9686" s="27" t="s">
        <v>138</v>
      </c>
      <c r="P9686" s="27" t="s">
        <v>13976</v>
      </c>
      <c r="Q9686" s="26" t="str">
        <f>HYPERLINK("https://ictv.global/taxonomy/taxondetails?taxnode_id=202505416&amp;ictv_id=ICTV19991827","ICTV19991827")</f>
        <v>ICTV19991827</v>
      </c>
      <c r="R9686" t="s">
        <v>581</v>
      </c>
      <c r="S9686" t="s">
        <v>824</v>
      </c>
      <c r="T9686">
        <v>39</v>
      </c>
      <c r="U9686" s="26" t="str">
        <f t="shared" si="346"/>
        <v>2023.016P.Virgaviridae_and_Benyviridae_rename_sp.zip</v>
      </c>
    </row>
    <row r="9687" spans="1:21">
      <c r="A9687">
        <v>9686</v>
      </c>
      <c r="B9687" s="27" t="s">
        <v>1124</v>
      </c>
      <c r="D9687" s="27" t="s">
        <v>1859</v>
      </c>
      <c r="F9687" s="27" t="s">
        <v>1867</v>
      </c>
      <c r="H9687" s="27" t="s">
        <v>1868</v>
      </c>
      <c r="J9687" s="27" t="s">
        <v>1870</v>
      </c>
      <c r="L9687" s="27" t="s">
        <v>433</v>
      </c>
      <c r="N9687" s="27" t="s">
        <v>138</v>
      </c>
      <c r="P9687" s="27" t="s">
        <v>13977</v>
      </c>
      <c r="Q9687" s="26" t="str">
        <f>HYPERLINK("https://ictv.global/taxonomy/taxondetails?taxnode_id=202505418&amp;ictv_id=ICTV20165508","ICTV20165508")</f>
        <v>ICTV20165508</v>
      </c>
      <c r="R9687" t="s">
        <v>581</v>
      </c>
      <c r="S9687" t="s">
        <v>824</v>
      </c>
      <c r="T9687">
        <v>39</v>
      </c>
      <c r="U9687" s="26" t="str">
        <f t="shared" si="346"/>
        <v>2023.016P.Virgaviridae_and_Benyviridae_rename_sp.zip</v>
      </c>
    </row>
    <row r="9688" spans="1:21">
      <c r="A9688">
        <v>9687</v>
      </c>
      <c r="B9688" s="27" t="s">
        <v>1124</v>
      </c>
      <c r="D9688" s="27" t="s">
        <v>1859</v>
      </c>
      <c r="F9688" s="27" t="s">
        <v>1867</v>
      </c>
      <c r="H9688" s="27" t="s">
        <v>1868</v>
      </c>
      <c r="J9688" s="27" t="s">
        <v>1870</v>
      </c>
      <c r="L9688" s="27" t="s">
        <v>433</v>
      </c>
      <c r="N9688" s="27" t="s">
        <v>138</v>
      </c>
      <c r="P9688" s="27" t="s">
        <v>13978</v>
      </c>
      <c r="Q9688" s="26" t="str">
        <f>HYPERLINK("https://ictv.global/taxonomy/taxondetails?taxnode_id=202505419&amp;ictv_id=ICTV19871297","ICTV19871297")</f>
        <v>ICTV19871297</v>
      </c>
      <c r="R9688" t="s">
        <v>581</v>
      </c>
      <c r="S9688" t="s">
        <v>824</v>
      </c>
      <c r="T9688">
        <v>39</v>
      </c>
      <c r="U9688" s="26" t="str">
        <f t="shared" si="346"/>
        <v>2023.016P.Virgaviridae_and_Benyviridae_rename_sp.zip</v>
      </c>
    </row>
    <row r="9689" spans="1:21">
      <c r="A9689">
        <v>9688</v>
      </c>
      <c r="B9689" s="27" t="s">
        <v>1124</v>
      </c>
      <c r="D9689" s="27" t="s">
        <v>1859</v>
      </c>
      <c r="F9689" s="27" t="s">
        <v>1867</v>
      </c>
      <c r="H9689" s="27" t="s">
        <v>1868</v>
      </c>
      <c r="J9689" s="27" t="s">
        <v>1870</v>
      </c>
      <c r="L9689" s="27" t="s">
        <v>433</v>
      </c>
      <c r="N9689" s="27" t="s">
        <v>138</v>
      </c>
      <c r="P9689" s="27" t="s">
        <v>13979</v>
      </c>
      <c r="Q9689" s="26" t="str">
        <f>HYPERLINK("https://ictv.global/taxonomy/taxondetails?taxnode_id=202505415&amp;ictv_id=ICTV19972496","ICTV19972496")</f>
        <v>ICTV19972496</v>
      </c>
      <c r="R9689" t="s">
        <v>581</v>
      </c>
      <c r="S9689" t="s">
        <v>824</v>
      </c>
      <c r="T9689">
        <v>39</v>
      </c>
      <c r="U9689" s="26" t="str">
        <f t="shared" si="346"/>
        <v>2023.016P.Virgaviridae_and_Benyviridae_rename_sp.zip</v>
      </c>
    </row>
    <row r="9690" spans="1:21">
      <c r="A9690">
        <v>9689</v>
      </c>
      <c r="B9690" s="27" t="s">
        <v>1124</v>
      </c>
      <c r="D9690" s="27" t="s">
        <v>1859</v>
      </c>
      <c r="F9690" s="27" t="s">
        <v>1867</v>
      </c>
      <c r="H9690" s="27" t="s">
        <v>1868</v>
      </c>
      <c r="J9690" s="27" t="s">
        <v>1870</v>
      </c>
      <c r="L9690" s="27" t="s">
        <v>433</v>
      </c>
      <c r="N9690" s="27" t="s">
        <v>138</v>
      </c>
      <c r="P9690" s="27" t="s">
        <v>13980</v>
      </c>
      <c r="Q9690" s="26" t="str">
        <f>HYPERLINK("https://ictv.global/taxonomy/taxondetails?taxnode_id=202505417&amp;ictv_id=ICTV19972497","ICTV19972497")</f>
        <v>ICTV19972497</v>
      </c>
      <c r="R9690" t="s">
        <v>581</v>
      </c>
      <c r="S9690" t="s">
        <v>824</v>
      </c>
      <c r="T9690">
        <v>39</v>
      </c>
      <c r="U9690" s="26" t="str">
        <f t="shared" si="346"/>
        <v>2023.016P.Virgaviridae_and_Benyviridae_rename_sp.zip</v>
      </c>
    </row>
    <row r="9691" spans="1:21">
      <c r="A9691">
        <v>9690</v>
      </c>
      <c r="B9691" s="27" t="s">
        <v>1124</v>
      </c>
      <c r="D9691" s="27" t="s">
        <v>1859</v>
      </c>
      <c r="F9691" s="27" t="s">
        <v>1867</v>
      </c>
      <c r="H9691" s="27" t="s">
        <v>1868</v>
      </c>
      <c r="J9691" s="27" t="s">
        <v>1870</v>
      </c>
      <c r="L9691" s="27" t="s">
        <v>433</v>
      </c>
      <c r="N9691" s="27" t="s">
        <v>143</v>
      </c>
      <c r="P9691" s="27" t="s">
        <v>13981</v>
      </c>
      <c r="Q9691" s="26" t="str">
        <f>HYPERLINK("https://ictv.global/taxonomy/taxondetails?taxnode_id=202505455&amp;ictv_id=ICTV20143959","ICTV20143959")</f>
        <v>ICTV20143959</v>
      </c>
      <c r="R9691" t="s">
        <v>581</v>
      </c>
      <c r="S9691" t="s">
        <v>824</v>
      </c>
      <c r="T9691">
        <v>39</v>
      </c>
      <c r="U9691" s="26" t="str">
        <f t="shared" si="346"/>
        <v>2023.016P.Virgaviridae_and_Benyviridae_rename_sp.zip</v>
      </c>
    </row>
    <row r="9692" spans="1:21">
      <c r="A9692">
        <v>9691</v>
      </c>
      <c r="B9692" s="27" t="s">
        <v>1124</v>
      </c>
      <c r="D9692" s="27" t="s">
        <v>1859</v>
      </c>
      <c r="F9692" s="27" t="s">
        <v>1867</v>
      </c>
      <c r="H9692" s="27" t="s">
        <v>1868</v>
      </c>
      <c r="J9692" s="27" t="s">
        <v>1870</v>
      </c>
      <c r="L9692" s="27" t="s">
        <v>433</v>
      </c>
      <c r="N9692" s="27" t="s">
        <v>143</v>
      </c>
      <c r="P9692" s="27" t="s">
        <v>13982</v>
      </c>
      <c r="Q9692" s="26" t="str">
        <f>HYPERLINK("https://ictv.global/taxonomy/taxondetails?taxnode_id=202505422&amp;ictv_id=ICTV20095260","ICTV20095260")</f>
        <v>ICTV20095260</v>
      </c>
      <c r="R9692" t="s">
        <v>581</v>
      </c>
      <c r="S9692" t="s">
        <v>824</v>
      </c>
      <c r="T9692">
        <v>39</v>
      </c>
      <c r="U9692" s="26" t="str">
        <f t="shared" si="346"/>
        <v>2023.016P.Virgaviridae_and_Benyviridae_rename_sp.zip</v>
      </c>
    </row>
    <row r="9693" spans="1:21">
      <c r="A9693">
        <v>9692</v>
      </c>
      <c r="B9693" s="27" t="s">
        <v>1124</v>
      </c>
      <c r="D9693" s="27" t="s">
        <v>1859</v>
      </c>
      <c r="F9693" s="27" t="s">
        <v>1867</v>
      </c>
      <c r="H9693" s="27" t="s">
        <v>1868</v>
      </c>
      <c r="J9693" s="27" t="s">
        <v>1870</v>
      </c>
      <c r="L9693" s="27" t="s">
        <v>433</v>
      </c>
      <c r="N9693" s="27" t="s">
        <v>143</v>
      </c>
      <c r="P9693" s="27" t="s">
        <v>13983</v>
      </c>
      <c r="Q9693" s="26" t="str">
        <f>HYPERLINK("https://ictv.global/taxonomy/taxondetails?taxnode_id=202505423&amp;ictv_id=ICTV20125736","ICTV20125736")</f>
        <v>ICTV20125736</v>
      </c>
      <c r="R9693" t="s">
        <v>581</v>
      </c>
      <c r="S9693" t="s">
        <v>824</v>
      </c>
      <c r="T9693">
        <v>39</v>
      </c>
      <c r="U9693" s="26" t="str">
        <f t="shared" si="346"/>
        <v>2023.016P.Virgaviridae_and_Benyviridae_rename_sp.zip</v>
      </c>
    </row>
    <row r="9694" spans="1:21">
      <c r="A9694">
        <v>9693</v>
      </c>
      <c r="B9694" s="27" t="s">
        <v>1124</v>
      </c>
      <c r="D9694" s="27" t="s">
        <v>1859</v>
      </c>
      <c r="F9694" s="27" t="s">
        <v>1867</v>
      </c>
      <c r="H9694" s="27" t="s">
        <v>1868</v>
      </c>
      <c r="J9694" s="27" t="s">
        <v>1870</v>
      </c>
      <c r="L9694" s="27" t="s">
        <v>433</v>
      </c>
      <c r="N9694" s="27" t="s">
        <v>143</v>
      </c>
      <c r="P9694" s="27" t="s">
        <v>13984</v>
      </c>
      <c r="Q9694" s="26" t="str">
        <f>HYPERLINK("https://ictv.global/taxonomy/taxondetails?taxnode_id=202505437&amp;ictv_id=ICTV19911845","ICTV19911845")</f>
        <v>ICTV19911845</v>
      </c>
      <c r="R9694" t="s">
        <v>581</v>
      </c>
      <c r="S9694" t="s">
        <v>824</v>
      </c>
      <c r="T9694">
        <v>39</v>
      </c>
      <c r="U9694" s="26" t="str">
        <f t="shared" si="346"/>
        <v>2023.016P.Virgaviridae_and_Benyviridae_rename_sp.zip</v>
      </c>
    </row>
    <row r="9695" spans="1:21">
      <c r="A9695">
        <v>9694</v>
      </c>
      <c r="B9695" s="27" t="s">
        <v>1124</v>
      </c>
      <c r="D9695" s="27" t="s">
        <v>1859</v>
      </c>
      <c r="F9695" s="27" t="s">
        <v>1867</v>
      </c>
      <c r="H9695" s="27" t="s">
        <v>1868</v>
      </c>
      <c r="J9695" s="27" t="s">
        <v>1870</v>
      </c>
      <c r="L9695" s="27" t="s">
        <v>433</v>
      </c>
      <c r="N9695" s="27" t="s">
        <v>143</v>
      </c>
      <c r="P9695" s="27" t="s">
        <v>13985</v>
      </c>
      <c r="Q9695" s="26" t="str">
        <f>HYPERLINK("https://ictv.global/taxonomy/taxondetails?taxnode_id=202505424&amp;ictv_id=ICTV20125737","ICTV20125737")</f>
        <v>ICTV20125737</v>
      </c>
      <c r="R9695" t="s">
        <v>581</v>
      </c>
      <c r="S9695" t="s">
        <v>824</v>
      </c>
      <c r="T9695">
        <v>39</v>
      </c>
      <c r="U9695" s="26" t="str">
        <f t="shared" si="346"/>
        <v>2023.016P.Virgaviridae_and_Benyviridae_rename_sp.zip</v>
      </c>
    </row>
    <row r="9696" spans="1:21">
      <c r="A9696">
        <v>9695</v>
      </c>
      <c r="B9696" s="27" t="s">
        <v>1124</v>
      </c>
      <c r="D9696" s="27" t="s">
        <v>1859</v>
      </c>
      <c r="F9696" s="27" t="s">
        <v>1867</v>
      </c>
      <c r="H9696" s="27" t="s">
        <v>1868</v>
      </c>
      <c r="J9696" s="27" t="s">
        <v>1870</v>
      </c>
      <c r="L9696" s="27" t="s">
        <v>433</v>
      </c>
      <c r="N9696" s="27" t="s">
        <v>143</v>
      </c>
      <c r="P9696" s="27" t="s">
        <v>13986</v>
      </c>
      <c r="Q9696" s="26" t="str">
        <f>HYPERLINK("https://ictv.global/taxonomy/taxondetails?taxnode_id=202505444&amp;ictv_id=ICTV19710321","ICTV19710321")</f>
        <v>ICTV19710321</v>
      </c>
      <c r="R9696" t="s">
        <v>581</v>
      </c>
      <c r="S9696" t="s">
        <v>824</v>
      </c>
      <c r="T9696">
        <v>39</v>
      </c>
      <c r="U9696" s="26" t="str">
        <f t="shared" si="346"/>
        <v>2023.016P.Virgaviridae_and_Benyviridae_rename_sp.zip</v>
      </c>
    </row>
    <row r="9697" spans="1:21">
      <c r="A9697">
        <v>9696</v>
      </c>
      <c r="B9697" s="27" t="s">
        <v>1124</v>
      </c>
      <c r="D9697" s="27" t="s">
        <v>1859</v>
      </c>
      <c r="F9697" s="27" t="s">
        <v>1867</v>
      </c>
      <c r="H9697" s="27" t="s">
        <v>1868</v>
      </c>
      <c r="J9697" s="27" t="s">
        <v>1870</v>
      </c>
      <c r="L9697" s="27" t="s">
        <v>433</v>
      </c>
      <c r="N9697" s="27" t="s">
        <v>143</v>
      </c>
      <c r="P9697" s="27" t="s">
        <v>13987</v>
      </c>
      <c r="Q9697" s="26" t="str">
        <f>HYPERLINK("https://ictv.global/taxonomy/taxondetails?taxnode_id=202505427&amp;ictv_id=ICTV20125738","ICTV20125738")</f>
        <v>ICTV20125738</v>
      </c>
      <c r="R9697" t="s">
        <v>581</v>
      </c>
      <c r="S9697" t="s">
        <v>824</v>
      </c>
      <c r="T9697">
        <v>39</v>
      </c>
      <c r="U9697" s="26" t="str">
        <f t="shared" si="346"/>
        <v>2023.016P.Virgaviridae_and_Benyviridae_rename_sp.zip</v>
      </c>
    </row>
    <row r="9698" spans="1:21">
      <c r="A9698">
        <v>9697</v>
      </c>
      <c r="B9698" s="27" t="s">
        <v>1124</v>
      </c>
      <c r="D9698" s="27" t="s">
        <v>1859</v>
      </c>
      <c r="F9698" s="27" t="s">
        <v>1867</v>
      </c>
      <c r="H9698" s="27" t="s">
        <v>1868</v>
      </c>
      <c r="J9698" s="27" t="s">
        <v>1870</v>
      </c>
      <c r="L9698" s="27" t="s">
        <v>433</v>
      </c>
      <c r="N9698" s="27" t="s">
        <v>143</v>
      </c>
      <c r="P9698" s="27" t="s">
        <v>13988</v>
      </c>
      <c r="Q9698" s="26" t="str">
        <f>HYPERLINK("https://ictv.global/taxonomy/taxondetails?taxnode_id=202505457&amp;ictv_id=ICTV20021985","ICTV20021985")</f>
        <v>ICTV20021985</v>
      </c>
      <c r="R9698" t="s">
        <v>581</v>
      </c>
      <c r="S9698" t="s">
        <v>824</v>
      </c>
      <c r="T9698">
        <v>39</v>
      </c>
      <c r="U9698" s="26" t="str">
        <f t="shared" si="346"/>
        <v>2023.016P.Virgaviridae_and_Benyviridae_rename_sp.zip</v>
      </c>
    </row>
    <row r="9699" spans="1:21">
      <c r="A9699">
        <v>9698</v>
      </c>
      <c r="B9699" s="27" t="s">
        <v>1124</v>
      </c>
      <c r="D9699" s="27" t="s">
        <v>1859</v>
      </c>
      <c r="F9699" s="27" t="s">
        <v>1867</v>
      </c>
      <c r="H9699" s="27" t="s">
        <v>1868</v>
      </c>
      <c r="J9699" s="27" t="s">
        <v>1870</v>
      </c>
      <c r="L9699" s="27" t="s">
        <v>433</v>
      </c>
      <c r="N9699" s="27" t="s">
        <v>143</v>
      </c>
      <c r="P9699" s="27" t="s">
        <v>13989</v>
      </c>
      <c r="Q9699" s="26" t="str">
        <f>HYPERLINK("https://ictv.global/taxonomy/taxondetails?taxnode_id=202505429&amp;ictv_id=ICTV20042262","ICTV20042262")</f>
        <v>ICTV20042262</v>
      </c>
      <c r="R9699" t="s">
        <v>581</v>
      </c>
      <c r="S9699" t="s">
        <v>824</v>
      </c>
      <c r="T9699">
        <v>39</v>
      </c>
      <c r="U9699" s="26" t="str">
        <f t="shared" si="346"/>
        <v>2023.016P.Virgaviridae_and_Benyviridae_rename_sp.zip</v>
      </c>
    </row>
    <row r="9700" spans="1:21">
      <c r="A9700">
        <v>9699</v>
      </c>
      <c r="B9700" s="27" t="s">
        <v>1124</v>
      </c>
      <c r="D9700" s="27" t="s">
        <v>1859</v>
      </c>
      <c r="F9700" s="27" t="s">
        <v>1867</v>
      </c>
      <c r="H9700" s="27" t="s">
        <v>1868</v>
      </c>
      <c r="J9700" s="27" t="s">
        <v>1870</v>
      </c>
      <c r="L9700" s="27" t="s">
        <v>433</v>
      </c>
      <c r="N9700" s="27" t="s">
        <v>143</v>
      </c>
      <c r="P9700" s="27" t="s">
        <v>13990</v>
      </c>
      <c r="Q9700" s="26" t="str">
        <f>HYPERLINK("https://ictv.global/taxonomy/taxondetails?taxnode_id=202505428&amp;ictv_id=ICTV19760836","ICTV19760836")</f>
        <v>ICTV19760836</v>
      </c>
      <c r="R9700" t="s">
        <v>581</v>
      </c>
      <c r="S9700" t="s">
        <v>824</v>
      </c>
      <c r="T9700">
        <v>39</v>
      </c>
      <c r="U9700" s="26" t="str">
        <f t="shared" si="346"/>
        <v>2023.016P.Virgaviridae_and_Benyviridae_rename_sp.zip</v>
      </c>
    </row>
    <row r="9701" spans="1:21">
      <c r="A9701">
        <v>9700</v>
      </c>
      <c r="B9701" s="27" t="s">
        <v>1124</v>
      </c>
      <c r="D9701" s="27" t="s">
        <v>1859</v>
      </c>
      <c r="F9701" s="27" t="s">
        <v>1867</v>
      </c>
      <c r="H9701" s="27" t="s">
        <v>1868</v>
      </c>
      <c r="J9701" s="27" t="s">
        <v>1870</v>
      </c>
      <c r="L9701" s="27" t="s">
        <v>433</v>
      </c>
      <c r="N9701" s="27" t="s">
        <v>143</v>
      </c>
      <c r="P9701" s="27" t="s">
        <v>13991</v>
      </c>
      <c r="Q9701" s="26" t="str">
        <f>HYPERLINK("https://ictv.global/taxonomy/taxondetails?taxnode_id=202505448&amp;ictv_id=ICTV20165510","ICTV20165510")</f>
        <v>ICTV20165510</v>
      </c>
      <c r="R9701" t="s">
        <v>581</v>
      </c>
      <c r="S9701" t="s">
        <v>824</v>
      </c>
      <c r="T9701">
        <v>39</v>
      </c>
      <c r="U9701" s="26" t="str">
        <f t="shared" si="346"/>
        <v>2023.016P.Virgaviridae_and_Benyviridae_rename_sp.zip</v>
      </c>
    </row>
    <row r="9702" spans="1:21">
      <c r="A9702">
        <v>9701</v>
      </c>
      <c r="B9702" s="27" t="s">
        <v>1124</v>
      </c>
      <c r="D9702" s="27" t="s">
        <v>1859</v>
      </c>
      <c r="F9702" s="27" t="s">
        <v>1867</v>
      </c>
      <c r="H9702" s="27" t="s">
        <v>1868</v>
      </c>
      <c r="J9702" s="27" t="s">
        <v>1870</v>
      </c>
      <c r="L9702" s="27" t="s">
        <v>433</v>
      </c>
      <c r="N9702" s="27" t="s">
        <v>143</v>
      </c>
      <c r="P9702" s="27" t="s">
        <v>13992</v>
      </c>
      <c r="Q9702" s="26" t="str">
        <f>HYPERLINK("https://ictv.global/taxonomy/taxondetails?taxnode_id=202505431&amp;ictv_id=ICTV19911843","ICTV19911843")</f>
        <v>ICTV19911843</v>
      </c>
      <c r="R9702" t="s">
        <v>581</v>
      </c>
      <c r="S9702" t="s">
        <v>824</v>
      </c>
      <c r="T9702">
        <v>39</v>
      </c>
      <c r="U9702" s="26" t="str">
        <f t="shared" si="346"/>
        <v>2023.016P.Virgaviridae_and_Benyviridae_rename_sp.zip</v>
      </c>
    </row>
    <row r="9703" spans="1:21">
      <c r="A9703">
        <v>9702</v>
      </c>
      <c r="B9703" s="27" t="s">
        <v>1124</v>
      </c>
      <c r="D9703" s="27" t="s">
        <v>1859</v>
      </c>
      <c r="F9703" s="27" t="s">
        <v>1867</v>
      </c>
      <c r="H9703" s="27" t="s">
        <v>1868</v>
      </c>
      <c r="J9703" s="27" t="s">
        <v>1870</v>
      </c>
      <c r="L9703" s="27" t="s">
        <v>433</v>
      </c>
      <c r="N9703" s="27" t="s">
        <v>143</v>
      </c>
      <c r="P9703" s="27" t="s">
        <v>13993</v>
      </c>
      <c r="Q9703" s="26" t="str">
        <f>HYPERLINK("https://ictv.global/taxonomy/taxondetails?taxnode_id=202505445&amp;ictv_id=ICTV20042271","ICTV20042271")</f>
        <v>ICTV20042271</v>
      </c>
      <c r="R9703" t="s">
        <v>581</v>
      </c>
      <c r="S9703" t="s">
        <v>824</v>
      </c>
      <c r="T9703">
        <v>39</v>
      </c>
      <c r="U9703" s="26" t="str">
        <f t="shared" si="346"/>
        <v>2023.016P.Virgaviridae_and_Benyviridae_rename_sp.zip</v>
      </c>
    </row>
    <row r="9704" spans="1:21">
      <c r="A9704">
        <v>9703</v>
      </c>
      <c r="B9704" s="27" t="s">
        <v>1124</v>
      </c>
      <c r="D9704" s="27" t="s">
        <v>1859</v>
      </c>
      <c r="F9704" s="27" t="s">
        <v>1867</v>
      </c>
      <c r="H9704" s="27" t="s">
        <v>1868</v>
      </c>
      <c r="J9704" s="27" t="s">
        <v>1870</v>
      </c>
      <c r="L9704" s="27" t="s">
        <v>433</v>
      </c>
      <c r="N9704" s="27" t="s">
        <v>143</v>
      </c>
      <c r="P9704" s="27" t="s">
        <v>13994</v>
      </c>
      <c r="Q9704" s="26" t="str">
        <f>HYPERLINK("https://ictv.global/taxonomy/taxondetails?taxnode_id=202505421&amp;ictv_id=ICTV20125735","ICTV20125735")</f>
        <v>ICTV20125735</v>
      </c>
      <c r="R9704" t="s">
        <v>581</v>
      </c>
      <c r="S9704" t="s">
        <v>824</v>
      </c>
      <c r="T9704">
        <v>39</v>
      </c>
      <c r="U9704" s="26" t="str">
        <f t="shared" ref="U9704:U9730" si="347">HYPERLINK("https://ictv.global/ictv/proposals/2023.016P.Virgaviridae_and_Benyviridae_rename_sp.zip","2023.016P.Virgaviridae_and_Benyviridae_rename_sp.zip")</f>
        <v>2023.016P.Virgaviridae_and_Benyviridae_rename_sp.zip</v>
      </c>
    </row>
    <row r="9705" spans="1:21">
      <c r="A9705">
        <v>9704</v>
      </c>
      <c r="B9705" s="27" t="s">
        <v>1124</v>
      </c>
      <c r="D9705" s="27" t="s">
        <v>1859</v>
      </c>
      <c r="F9705" s="27" t="s">
        <v>1867</v>
      </c>
      <c r="H9705" s="27" t="s">
        <v>1868</v>
      </c>
      <c r="J9705" s="27" t="s">
        <v>1870</v>
      </c>
      <c r="L9705" s="27" t="s">
        <v>433</v>
      </c>
      <c r="N9705" s="27" t="s">
        <v>143</v>
      </c>
      <c r="P9705" s="27" t="s">
        <v>13995</v>
      </c>
      <c r="Q9705" s="26" t="str">
        <f>HYPERLINK("https://ictv.global/taxonomy/taxondetails?taxnode_id=202505425&amp;ictv_id=ICTV20021969","ICTV20021969")</f>
        <v>ICTV20021969</v>
      </c>
      <c r="R9705" t="s">
        <v>581</v>
      </c>
      <c r="S9705" t="s">
        <v>824</v>
      </c>
      <c r="T9705">
        <v>39</v>
      </c>
      <c r="U9705" s="26" t="str">
        <f t="shared" si="347"/>
        <v>2023.016P.Virgaviridae_and_Benyviridae_rename_sp.zip</v>
      </c>
    </row>
    <row r="9706" spans="1:21">
      <c r="A9706">
        <v>9705</v>
      </c>
      <c r="B9706" s="27" t="s">
        <v>1124</v>
      </c>
      <c r="D9706" s="27" t="s">
        <v>1859</v>
      </c>
      <c r="F9706" s="27" t="s">
        <v>1867</v>
      </c>
      <c r="H9706" s="27" t="s">
        <v>1868</v>
      </c>
      <c r="J9706" s="27" t="s">
        <v>1870</v>
      </c>
      <c r="L9706" s="27" t="s">
        <v>433</v>
      </c>
      <c r="N9706" s="27" t="s">
        <v>143</v>
      </c>
      <c r="P9706" s="27" t="s">
        <v>13996</v>
      </c>
      <c r="Q9706" s="26" t="str">
        <f>HYPERLINK("https://ictv.global/taxonomy/taxondetails?taxnode_id=202505450&amp;ictv_id=ICTV20143958","ICTV20143958")</f>
        <v>ICTV20143958</v>
      </c>
      <c r="R9706" t="s">
        <v>581</v>
      </c>
      <c r="S9706" t="s">
        <v>824</v>
      </c>
      <c r="T9706">
        <v>39</v>
      </c>
      <c r="U9706" s="26" t="str">
        <f t="shared" si="347"/>
        <v>2023.016P.Virgaviridae_and_Benyviridae_rename_sp.zip</v>
      </c>
    </row>
    <row r="9707" spans="1:21">
      <c r="A9707">
        <v>9706</v>
      </c>
      <c r="B9707" s="27" t="s">
        <v>1124</v>
      </c>
      <c r="D9707" s="27" t="s">
        <v>1859</v>
      </c>
      <c r="F9707" s="27" t="s">
        <v>1867</v>
      </c>
      <c r="H9707" s="27" t="s">
        <v>1868</v>
      </c>
      <c r="J9707" s="27" t="s">
        <v>1870</v>
      </c>
      <c r="L9707" s="27" t="s">
        <v>433</v>
      </c>
      <c r="N9707" s="27" t="s">
        <v>143</v>
      </c>
      <c r="P9707" s="27" t="s">
        <v>13997</v>
      </c>
      <c r="Q9707" s="26" t="str">
        <f>HYPERLINK("https://ictv.global/taxonomy/taxondetails?taxnode_id=202505432&amp;ictv_id=ICTV20125739","ICTV20125739")</f>
        <v>ICTV20125739</v>
      </c>
      <c r="R9707" t="s">
        <v>581</v>
      </c>
      <c r="S9707" t="s">
        <v>824</v>
      </c>
      <c r="T9707">
        <v>39</v>
      </c>
      <c r="U9707" s="26" t="str">
        <f t="shared" si="347"/>
        <v>2023.016P.Virgaviridae_and_Benyviridae_rename_sp.zip</v>
      </c>
    </row>
    <row r="9708" spans="1:21">
      <c r="A9708">
        <v>9707</v>
      </c>
      <c r="B9708" s="27" t="s">
        <v>1124</v>
      </c>
      <c r="D9708" s="27" t="s">
        <v>1859</v>
      </c>
      <c r="F9708" s="27" t="s">
        <v>1867</v>
      </c>
      <c r="H9708" s="27" t="s">
        <v>1868</v>
      </c>
      <c r="J9708" s="27" t="s">
        <v>1870</v>
      </c>
      <c r="L9708" s="27" t="s">
        <v>433</v>
      </c>
      <c r="N9708" s="27" t="s">
        <v>143</v>
      </c>
      <c r="P9708" s="27" t="s">
        <v>13998</v>
      </c>
      <c r="Q9708" s="26" t="str">
        <f>HYPERLINK("https://ictv.global/taxonomy/taxondetails?taxnode_id=202505446&amp;ictv_id=ICTV19911849","ICTV19911849")</f>
        <v>ICTV19911849</v>
      </c>
      <c r="R9708" t="s">
        <v>581</v>
      </c>
      <c r="S9708" t="s">
        <v>824</v>
      </c>
      <c r="T9708">
        <v>39</v>
      </c>
      <c r="U9708" s="26" t="str">
        <f t="shared" si="347"/>
        <v>2023.016P.Virgaviridae_and_Benyviridae_rename_sp.zip</v>
      </c>
    </row>
    <row r="9709" spans="1:21">
      <c r="A9709">
        <v>9708</v>
      </c>
      <c r="B9709" s="27" t="s">
        <v>1124</v>
      </c>
      <c r="D9709" s="27" t="s">
        <v>1859</v>
      </c>
      <c r="F9709" s="27" t="s">
        <v>1867</v>
      </c>
      <c r="H9709" s="27" t="s">
        <v>1868</v>
      </c>
      <c r="J9709" s="27" t="s">
        <v>1870</v>
      </c>
      <c r="L9709" s="27" t="s">
        <v>433</v>
      </c>
      <c r="N9709" s="27" t="s">
        <v>143</v>
      </c>
      <c r="P9709" s="27" t="s">
        <v>13999</v>
      </c>
      <c r="Q9709" s="26" t="str">
        <f>HYPERLINK("https://ictv.global/taxonomy/taxondetails?taxnode_id=202505439&amp;ictv_id=ICTV20125741","ICTV20125741")</f>
        <v>ICTV20125741</v>
      </c>
      <c r="R9709" t="s">
        <v>581</v>
      </c>
      <c r="S9709" t="s">
        <v>824</v>
      </c>
      <c r="T9709">
        <v>39</v>
      </c>
      <c r="U9709" s="26" t="str">
        <f t="shared" si="347"/>
        <v>2023.016P.Virgaviridae_and_Benyviridae_rename_sp.zip</v>
      </c>
    </row>
    <row r="9710" spans="1:21">
      <c r="A9710">
        <v>9709</v>
      </c>
      <c r="B9710" s="27" t="s">
        <v>1124</v>
      </c>
      <c r="D9710" s="27" t="s">
        <v>1859</v>
      </c>
      <c r="F9710" s="27" t="s">
        <v>1867</v>
      </c>
      <c r="H9710" s="27" t="s">
        <v>1868</v>
      </c>
      <c r="J9710" s="27" t="s">
        <v>1870</v>
      </c>
      <c r="L9710" s="27" t="s">
        <v>433</v>
      </c>
      <c r="N9710" s="27" t="s">
        <v>143</v>
      </c>
      <c r="P9710" s="27" t="s">
        <v>14000</v>
      </c>
      <c r="Q9710" s="26" t="str">
        <f>HYPERLINK("https://ictv.global/taxonomy/taxondetails?taxnode_id=202505433&amp;ictv_id=ICTV20074877","ICTV20074877")</f>
        <v>ICTV20074877</v>
      </c>
      <c r="R9710" t="s">
        <v>581</v>
      </c>
      <c r="S9710" t="s">
        <v>824</v>
      </c>
      <c r="T9710">
        <v>39</v>
      </c>
      <c r="U9710" s="26" t="str">
        <f t="shared" si="347"/>
        <v>2023.016P.Virgaviridae_and_Benyviridae_rename_sp.zip</v>
      </c>
    </row>
    <row r="9711" spans="1:21">
      <c r="A9711">
        <v>9710</v>
      </c>
      <c r="B9711" s="27" t="s">
        <v>1124</v>
      </c>
      <c r="D9711" s="27" t="s">
        <v>1859</v>
      </c>
      <c r="F9711" s="27" t="s">
        <v>1867</v>
      </c>
      <c r="H9711" s="27" t="s">
        <v>1868</v>
      </c>
      <c r="J9711" s="27" t="s">
        <v>1870</v>
      </c>
      <c r="L9711" s="27" t="s">
        <v>433</v>
      </c>
      <c r="N9711" s="27" t="s">
        <v>143</v>
      </c>
      <c r="P9711" s="27" t="s">
        <v>14001</v>
      </c>
      <c r="Q9711" s="26" t="str">
        <f>HYPERLINK("https://ictv.global/taxonomy/taxondetails?taxnode_id=202505434&amp;ictv_id=ICTV19710318","ICTV19710318")</f>
        <v>ICTV19710318</v>
      </c>
      <c r="R9711" t="s">
        <v>581</v>
      </c>
      <c r="S9711" t="s">
        <v>824</v>
      </c>
      <c r="T9711">
        <v>39</v>
      </c>
      <c r="U9711" s="26" t="str">
        <f t="shared" si="347"/>
        <v>2023.016P.Virgaviridae_and_Benyviridae_rename_sp.zip</v>
      </c>
    </row>
    <row r="9712" spans="1:21">
      <c r="A9712">
        <v>9711</v>
      </c>
      <c r="B9712" s="27" t="s">
        <v>1124</v>
      </c>
      <c r="D9712" s="27" t="s">
        <v>1859</v>
      </c>
      <c r="F9712" s="27" t="s">
        <v>1867</v>
      </c>
      <c r="H9712" s="27" t="s">
        <v>1868</v>
      </c>
      <c r="J9712" s="27" t="s">
        <v>1870</v>
      </c>
      <c r="L9712" s="27" t="s">
        <v>433</v>
      </c>
      <c r="N9712" s="27" t="s">
        <v>143</v>
      </c>
      <c r="P9712" s="27" t="s">
        <v>14002</v>
      </c>
      <c r="Q9712" s="26" t="str">
        <f>HYPERLINK("https://ictv.global/taxonomy/taxondetails?taxnode_id=202505442&amp;ictv_id=ICTV19710320","ICTV19710320")</f>
        <v>ICTV19710320</v>
      </c>
      <c r="R9712" t="s">
        <v>581</v>
      </c>
      <c r="S9712" t="s">
        <v>824</v>
      </c>
      <c r="T9712">
        <v>39</v>
      </c>
      <c r="U9712" s="26" t="str">
        <f t="shared" si="347"/>
        <v>2023.016P.Virgaviridae_and_Benyviridae_rename_sp.zip</v>
      </c>
    </row>
    <row r="9713" spans="1:21">
      <c r="A9713">
        <v>9712</v>
      </c>
      <c r="B9713" s="27" t="s">
        <v>1124</v>
      </c>
      <c r="D9713" s="27" t="s">
        <v>1859</v>
      </c>
      <c r="F9713" s="27" t="s">
        <v>1867</v>
      </c>
      <c r="H9713" s="27" t="s">
        <v>1868</v>
      </c>
      <c r="J9713" s="27" t="s">
        <v>1870</v>
      </c>
      <c r="L9713" s="27" t="s">
        <v>433</v>
      </c>
      <c r="N9713" s="27" t="s">
        <v>143</v>
      </c>
      <c r="P9713" s="27" t="s">
        <v>14003</v>
      </c>
      <c r="Q9713" s="26" t="str">
        <f>HYPERLINK("https://ictv.global/taxonomy/taxondetails?taxnode_id=202505435&amp;ictv_id=ICTV19952449","ICTV19952449")</f>
        <v>ICTV19952449</v>
      </c>
      <c r="R9713" t="s">
        <v>581</v>
      </c>
      <c r="S9713" t="s">
        <v>824</v>
      </c>
      <c r="T9713">
        <v>39</v>
      </c>
      <c r="U9713" s="26" t="str">
        <f t="shared" si="347"/>
        <v>2023.016P.Virgaviridae_and_Benyviridae_rename_sp.zip</v>
      </c>
    </row>
    <row r="9714" spans="1:21">
      <c r="A9714">
        <v>9713</v>
      </c>
      <c r="B9714" s="27" t="s">
        <v>1124</v>
      </c>
      <c r="D9714" s="27" t="s">
        <v>1859</v>
      </c>
      <c r="F9714" s="27" t="s">
        <v>1867</v>
      </c>
      <c r="H9714" s="27" t="s">
        <v>1868</v>
      </c>
      <c r="J9714" s="27" t="s">
        <v>1870</v>
      </c>
      <c r="L9714" s="27" t="s">
        <v>433</v>
      </c>
      <c r="N9714" s="27" t="s">
        <v>143</v>
      </c>
      <c r="P9714" s="27" t="s">
        <v>14004</v>
      </c>
      <c r="Q9714" s="26" t="str">
        <f>HYPERLINK("https://ictv.global/taxonomy/taxondetails?taxnode_id=202505436&amp;ictv_id=ICTV20125740","ICTV20125740")</f>
        <v>ICTV20125740</v>
      </c>
      <c r="R9714" t="s">
        <v>581</v>
      </c>
      <c r="S9714" t="s">
        <v>824</v>
      </c>
      <c r="T9714">
        <v>39</v>
      </c>
      <c r="U9714" s="26" t="str">
        <f t="shared" si="347"/>
        <v>2023.016P.Virgaviridae_and_Benyviridae_rename_sp.zip</v>
      </c>
    </row>
    <row r="9715" spans="1:21">
      <c r="A9715">
        <v>9714</v>
      </c>
      <c r="B9715" s="27" t="s">
        <v>1124</v>
      </c>
      <c r="D9715" s="27" t="s">
        <v>1859</v>
      </c>
      <c r="F9715" s="27" t="s">
        <v>1867</v>
      </c>
      <c r="H9715" s="27" t="s">
        <v>1868</v>
      </c>
      <c r="J9715" s="27" t="s">
        <v>1870</v>
      </c>
      <c r="L9715" s="27" t="s">
        <v>433</v>
      </c>
      <c r="N9715" s="27" t="s">
        <v>143</v>
      </c>
      <c r="P9715" s="27" t="s">
        <v>14005</v>
      </c>
      <c r="Q9715" s="26" t="str">
        <f>HYPERLINK("https://ictv.global/taxonomy/taxondetails?taxnode_id=202505441&amp;ictv_id=ICTV19710319","ICTV19710319")</f>
        <v>ICTV19710319</v>
      </c>
      <c r="R9715" t="s">
        <v>581</v>
      </c>
      <c r="S9715" t="s">
        <v>824</v>
      </c>
      <c r="T9715">
        <v>39</v>
      </c>
      <c r="U9715" s="26" t="str">
        <f t="shared" si="347"/>
        <v>2023.016P.Virgaviridae_and_Benyviridae_rename_sp.zip</v>
      </c>
    </row>
    <row r="9716" spans="1:21">
      <c r="A9716">
        <v>9715</v>
      </c>
      <c r="B9716" s="27" t="s">
        <v>1124</v>
      </c>
      <c r="D9716" s="27" t="s">
        <v>1859</v>
      </c>
      <c r="F9716" s="27" t="s">
        <v>1867</v>
      </c>
      <c r="H9716" s="27" t="s">
        <v>1868</v>
      </c>
      <c r="J9716" s="27" t="s">
        <v>1870</v>
      </c>
      <c r="L9716" s="27" t="s">
        <v>433</v>
      </c>
      <c r="N9716" s="27" t="s">
        <v>143</v>
      </c>
      <c r="P9716" s="27" t="s">
        <v>14006</v>
      </c>
      <c r="Q9716" s="26" t="str">
        <f>HYPERLINK("https://ictv.global/taxonomy/taxondetails?taxnode_id=202505438&amp;ictv_id=ICTV20165509","ICTV20165509")</f>
        <v>ICTV20165509</v>
      </c>
      <c r="R9716" t="s">
        <v>581</v>
      </c>
      <c r="S9716" t="s">
        <v>824</v>
      </c>
      <c r="T9716">
        <v>39</v>
      </c>
      <c r="U9716" s="26" t="str">
        <f t="shared" si="347"/>
        <v>2023.016P.Virgaviridae_and_Benyviridae_rename_sp.zip</v>
      </c>
    </row>
    <row r="9717" spans="1:21">
      <c r="A9717">
        <v>9716</v>
      </c>
      <c r="B9717" s="27" t="s">
        <v>1124</v>
      </c>
      <c r="D9717" s="27" t="s">
        <v>1859</v>
      </c>
      <c r="F9717" s="27" t="s">
        <v>1867</v>
      </c>
      <c r="H9717" s="27" t="s">
        <v>1868</v>
      </c>
      <c r="J9717" s="27" t="s">
        <v>1870</v>
      </c>
      <c r="L9717" s="27" t="s">
        <v>433</v>
      </c>
      <c r="N9717" s="27" t="s">
        <v>143</v>
      </c>
      <c r="P9717" s="27" t="s">
        <v>14007</v>
      </c>
      <c r="Q9717" s="26" t="str">
        <f>HYPERLINK("https://ictv.global/taxonomy/taxondetails?taxnode_id=202505452&amp;ictv_id=ICTV19991887","ICTV19991887")</f>
        <v>ICTV19991887</v>
      </c>
      <c r="R9717" t="s">
        <v>581</v>
      </c>
      <c r="S9717" t="s">
        <v>824</v>
      </c>
      <c r="T9717">
        <v>39</v>
      </c>
      <c r="U9717" s="26" t="str">
        <f t="shared" si="347"/>
        <v>2023.016P.Virgaviridae_and_Benyviridae_rename_sp.zip</v>
      </c>
    </row>
    <row r="9718" spans="1:21">
      <c r="A9718">
        <v>9717</v>
      </c>
      <c r="B9718" s="27" t="s">
        <v>1124</v>
      </c>
      <c r="D9718" s="27" t="s">
        <v>1859</v>
      </c>
      <c r="F9718" s="27" t="s">
        <v>1867</v>
      </c>
      <c r="H9718" s="27" t="s">
        <v>1868</v>
      </c>
      <c r="J9718" s="27" t="s">
        <v>1870</v>
      </c>
      <c r="L9718" s="27" t="s">
        <v>433</v>
      </c>
      <c r="N9718" s="27" t="s">
        <v>143</v>
      </c>
      <c r="P9718" s="27" t="s">
        <v>14008</v>
      </c>
      <c r="Q9718" s="26" t="str">
        <f>HYPERLINK("https://ictv.global/taxonomy/taxondetails?taxnode_id=202505440&amp;ictv_id=ICTV20095271","ICTV20095271")</f>
        <v>ICTV20095271</v>
      </c>
      <c r="R9718" t="s">
        <v>581</v>
      </c>
      <c r="S9718" t="s">
        <v>824</v>
      </c>
      <c r="T9718">
        <v>39</v>
      </c>
      <c r="U9718" s="26" t="str">
        <f t="shared" si="347"/>
        <v>2023.016P.Virgaviridae_and_Benyviridae_rename_sp.zip</v>
      </c>
    </row>
    <row r="9719" spans="1:21">
      <c r="A9719">
        <v>9718</v>
      </c>
      <c r="B9719" s="27" t="s">
        <v>1124</v>
      </c>
      <c r="D9719" s="27" t="s">
        <v>1859</v>
      </c>
      <c r="F9719" s="27" t="s">
        <v>1867</v>
      </c>
      <c r="H9719" s="27" t="s">
        <v>1868</v>
      </c>
      <c r="J9719" s="27" t="s">
        <v>1870</v>
      </c>
      <c r="L9719" s="27" t="s">
        <v>433</v>
      </c>
      <c r="N9719" s="27" t="s">
        <v>143</v>
      </c>
      <c r="P9719" s="27" t="s">
        <v>14009</v>
      </c>
      <c r="Q9719" s="26" t="str">
        <f>HYPERLINK("https://ictv.global/taxonomy/taxondetails?taxnode_id=202505430&amp;ictv_id=ICTV20042263","ICTV20042263")</f>
        <v>ICTV20042263</v>
      </c>
      <c r="R9719" t="s">
        <v>581</v>
      </c>
      <c r="S9719" t="s">
        <v>824</v>
      </c>
      <c r="T9719">
        <v>39</v>
      </c>
      <c r="U9719" s="26" t="str">
        <f t="shared" si="347"/>
        <v>2023.016P.Virgaviridae_and_Benyviridae_rename_sp.zip</v>
      </c>
    </row>
    <row r="9720" spans="1:21">
      <c r="A9720">
        <v>9719</v>
      </c>
      <c r="B9720" s="27" t="s">
        <v>1124</v>
      </c>
      <c r="D9720" s="27" t="s">
        <v>1859</v>
      </c>
      <c r="F9720" s="27" t="s">
        <v>1867</v>
      </c>
      <c r="H9720" s="27" t="s">
        <v>1868</v>
      </c>
      <c r="J9720" s="27" t="s">
        <v>1870</v>
      </c>
      <c r="L9720" s="27" t="s">
        <v>433</v>
      </c>
      <c r="N9720" s="27" t="s">
        <v>143</v>
      </c>
      <c r="P9720" s="27" t="s">
        <v>14010</v>
      </c>
      <c r="Q9720" s="26" t="str">
        <f>HYPERLINK("https://ictv.global/taxonomy/taxondetails?taxnode_id=202505443&amp;ictv_id=ICTV20095274","ICTV20095274")</f>
        <v>ICTV20095274</v>
      </c>
      <c r="R9720" t="s">
        <v>581</v>
      </c>
      <c r="S9720" t="s">
        <v>824</v>
      </c>
      <c r="T9720">
        <v>39</v>
      </c>
      <c r="U9720" s="26" t="str">
        <f t="shared" si="347"/>
        <v>2023.016P.Virgaviridae_and_Benyviridae_rename_sp.zip</v>
      </c>
    </row>
    <row r="9721" spans="1:21">
      <c r="A9721">
        <v>9720</v>
      </c>
      <c r="B9721" s="27" t="s">
        <v>1124</v>
      </c>
      <c r="D9721" s="27" t="s">
        <v>1859</v>
      </c>
      <c r="F9721" s="27" t="s">
        <v>1867</v>
      </c>
      <c r="H9721" s="27" t="s">
        <v>1868</v>
      </c>
      <c r="J9721" s="27" t="s">
        <v>1870</v>
      </c>
      <c r="L9721" s="27" t="s">
        <v>433</v>
      </c>
      <c r="N9721" s="27" t="s">
        <v>143</v>
      </c>
      <c r="P9721" s="27" t="s">
        <v>14011</v>
      </c>
      <c r="Q9721" s="26" t="str">
        <f>HYPERLINK("https://ictv.global/taxonomy/taxondetails?taxnode_id=202505447&amp;ictv_id=ICTV19710322","ICTV19710322")</f>
        <v>ICTV19710322</v>
      </c>
      <c r="R9721" t="s">
        <v>581</v>
      </c>
      <c r="S9721" t="s">
        <v>824</v>
      </c>
      <c r="T9721">
        <v>39</v>
      </c>
      <c r="U9721" s="26" t="str">
        <f t="shared" si="347"/>
        <v>2023.016P.Virgaviridae_and_Benyviridae_rename_sp.zip</v>
      </c>
    </row>
    <row r="9722" spans="1:21">
      <c r="A9722">
        <v>9721</v>
      </c>
      <c r="B9722" s="27" t="s">
        <v>1124</v>
      </c>
      <c r="D9722" s="27" t="s">
        <v>1859</v>
      </c>
      <c r="F9722" s="27" t="s">
        <v>1867</v>
      </c>
      <c r="H9722" s="27" t="s">
        <v>1868</v>
      </c>
      <c r="J9722" s="27" t="s">
        <v>1870</v>
      </c>
      <c r="L9722" s="27" t="s">
        <v>433</v>
      </c>
      <c r="N9722" s="27" t="s">
        <v>143</v>
      </c>
      <c r="P9722" s="27" t="s">
        <v>14012</v>
      </c>
      <c r="Q9722" s="26" t="str">
        <f>HYPERLINK("https://ictv.global/taxonomy/taxondetails?taxnode_id=202505449&amp;ictv_id=ICTV19710323","ICTV19710323")</f>
        <v>ICTV19710323</v>
      </c>
      <c r="R9722" t="s">
        <v>581</v>
      </c>
      <c r="S9722" t="s">
        <v>824</v>
      </c>
      <c r="T9722">
        <v>39</v>
      </c>
      <c r="U9722" s="26" t="str">
        <f t="shared" si="347"/>
        <v>2023.016P.Virgaviridae_and_Benyviridae_rename_sp.zip</v>
      </c>
    </row>
    <row r="9723" spans="1:21">
      <c r="A9723">
        <v>9722</v>
      </c>
      <c r="B9723" s="27" t="s">
        <v>1124</v>
      </c>
      <c r="D9723" s="27" t="s">
        <v>1859</v>
      </c>
      <c r="F9723" s="27" t="s">
        <v>1867</v>
      </c>
      <c r="H9723" s="27" t="s">
        <v>1868</v>
      </c>
      <c r="J9723" s="27" t="s">
        <v>1870</v>
      </c>
      <c r="L9723" s="27" t="s">
        <v>433</v>
      </c>
      <c r="N9723" s="27" t="s">
        <v>143</v>
      </c>
      <c r="P9723" s="27" t="s">
        <v>14013</v>
      </c>
      <c r="Q9723" s="26" t="str">
        <f>HYPERLINK("https://ictv.global/taxonomy/taxondetails?taxnode_id=202505451&amp;ictv_id=ICTV20125742","ICTV20125742")</f>
        <v>ICTV20125742</v>
      </c>
      <c r="R9723" t="s">
        <v>581</v>
      </c>
      <c r="S9723" t="s">
        <v>824</v>
      </c>
      <c r="T9723">
        <v>39</v>
      </c>
      <c r="U9723" s="26" t="str">
        <f t="shared" si="347"/>
        <v>2023.016P.Virgaviridae_and_Benyviridae_rename_sp.zip</v>
      </c>
    </row>
    <row r="9724" spans="1:21">
      <c r="A9724">
        <v>9723</v>
      </c>
      <c r="B9724" s="27" t="s">
        <v>1124</v>
      </c>
      <c r="D9724" s="27" t="s">
        <v>1859</v>
      </c>
      <c r="F9724" s="27" t="s">
        <v>1867</v>
      </c>
      <c r="H9724" s="27" t="s">
        <v>1868</v>
      </c>
      <c r="J9724" s="27" t="s">
        <v>1870</v>
      </c>
      <c r="L9724" s="27" t="s">
        <v>433</v>
      </c>
      <c r="N9724" s="27" t="s">
        <v>143</v>
      </c>
      <c r="P9724" s="27" t="s">
        <v>14014</v>
      </c>
      <c r="Q9724" s="26" t="str">
        <f>HYPERLINK("https://ictv.global/taxonomy/taxondetails?taxnode_id=202505453&amp;ictv_id=ICTV19911852","ICTV19911852")</f>
        <v>ICTV19911852</v>
      </c>
      <c r="R9724" t="s">
        <v>581</v>
      </c>
      <c r="S9724" t="s">
        <v>824</v>
      </c>
      <c r="T9724">
        <v>39</v>
      </c>
      <c r="U9724" s="26" t="str">
        <f t="shared" si="347"/>
        <v>2023.016P.Virgaviridae_and_Benyviridae_rename_sp.zip</v>
      </c>
    </row>
    <row r="9725" spans="1:21">
      <c r="A9725">
        <v>9724</v>
      </c>
      <c r="B9725" s="27" t="s">
        <v>1124</v>
      </c>
      <c r="D9725" s="27" t="s">
        <v>1859</v>
      </c>
      <c r="F9725" s="27" t="s">
        <v>1867</v>
      </c>
      <c r="H9725" s="27" t="s">
        <v>1868</v>
      </c>
      <c r="J9725" s="27" t="s">
        <v>1870</v>
      </c>
      <c r="L9725" s="27" t="s">
        <v>433</v>
      </c>
      <c r="N9725" s="27" t="s">
        <v>143</v>
      </c>
      <c r="P9725" s="27" t="s">
        <v>14015</v>
      </c>
      <c r="Q9725" s="26" t="str">
        <f>HYPERLINK("https://ictv.global/taxonomy/taxondetails?taxnode_id=202505426&amp;ictv_id=ICTV19911841","ICTV19911841")</f>
        <v>ICTV19911841</v>
      </c>
      <c r="R9725" t="s">
        <v>581</v>
      </c>
      <c r="S9725" t="s">
        <v>824</v>
      </c>
      <c r="T9725">
        <v>39</v>
      </c>
      <c r="U9725" s="26" t="str">
        <f t="shared" si="347"/>
        <v>2023.016P.Virgaviridae_and_Benyviridae_rename_sp.zip</v>
      </c>
    </row>
    <row r="9726" spans="1:21">
      <c r="A9726">
        <v>9725</v>
      </c>
      <c r="B9726" s="27" t="s">
        <v>1124</v>
      </c>
      <c r="D9726" s="27" t="s">
        <v>1859</v>
      </c>
      <c r="F9726" s="27" t="s">
        <v>1867</v>
      </c>
      <c r="H9726" s="27" t="s">
        <v>1868</v>
      </c>
      <c r="J9726" s="27" t="s">
        <v>1870</v>
      </c>
      <c r="L9726" s="27" t="s">
        <v>433</v>
      </c>
      <c r="N9726" s="27" t="s">
        <v>143</v>
      </c>
      <c r="P9726" s="27" t="s">
        <v>14016</v>
      </c>
      <c r="Q9726" s="26" t="str">
        <f>HYPERLINK("https://ictv.global/taxonomy/taxondetails?taxnode_id=202505454&amp;ictv_id=ICTV20042277","ICTV20042277")</f>
        <v>ICTV20042277</v>
      </c>
      <c r="R9726" t="s">
        <v>581</v>
      </c>
      <c r="S9726" t="s">
        <v>824</v>
      </c>
      <c r="T9726">
        <v>39</v>
      </c>
      <c r="U9726" s="26" t="str">
        <f t="shared" si="347"/>
        <v>2023.016P.Virgaviridae_and_Benyviridae_rename_sp.zip</v>
      </c>
    </row>
    <row r="9727" spans="1:21">
      <c r="A9727">
        <v>9726</v>
      </c>
      <c r="B9727" s="27" t="s">
        <v>1124</v>
      </c>
      <c r="D9727" s="27" t="s">
        <v>1859</v>
      </c>
      <c r="F9727" s="27" t="s">
        <v>1867</v>
      </c>
      <c r="H9727" s="27" t="s">
        <v>1868</v>
      </c>
      <c r="J9727" s="27" t="s">
        <v>1870</v>
      </c>
      <c r="L9727" s="27" t="s">
        <v>433</v>
      </c>
      <c r="N9727" s="27" t="s">
        <v>143</v>
      </c>
      <c r="P9727" s="27" t="s">
        <v>14017</v>
      </c>
      <c r="Q9727" s="26" t="str">
        <f>HYPERLINK("https://ictv.global/taxonomy/taxondetails?taxnode_id=202505456&amp;ictv_id=ICTV19991889","ICTV19991889")</f>
        <v>ICTV19991889</v>
      </c>
      <c r="R9727" t="s">
        <v>581</v>
      </c>
      <c r="S9727" t="s">
        <v>824</v>
      </c>
      <c r="T9727">
        <v>39</v>
      </c>
      <c r="U9727" s="26" t="str">
        <f t="shared" si="347"/>
        <v>2023.016P.Virgaviridae_and_Benyviridae_rename_sp.zip</v>
      </c>
    </row>
    <row r="9728" spans="1:21">
      <c r="A9728">
        <v>9727</v>
      </c>
      <c r="B9728" s="27" t="s">
        <v>1124</v>
      </c>
      <c r="D9728" s="27" t="s">
        <v>1859</v>
      </c>
      <c r="F9728" s="27" t="s">
        <v>1867</v>
      </c>
      <c r="H9728" s="27" t="s">
        <v>1868</v>
      </c>
      <c r="J9728" s="27" t="s">
        <v>1870</v>
      </c>
      <c r="L9728" s="27" t="s">
        <v>433</v>
      </c>
      <c r="N9728" s="27" t="s">
        <v>382</v>
      </c>
      <c r="P9728" s="27" t="s">
        <v>14018</v>
      </c>
      <c r="Q9728" s="26" t="str">
        <f>HYPERLINK("https://ictv.global/taxonomy/taxondetails?taxnode_id=202505460&amp;ictv_id=ICTV19911854","ICTV19911854")</f>
        <v>ICTV19911854</v>
      </c>
      <c r="R9728" t="s">
        <v>581</v>
      </c>
      <c r="S9728" t="s">
        <v>824</v>
      </c>
      <c r="T9728">
        <v>39</v>
      </c>
      <c r="U9728" s="26" t="str">
        <f t="shared" si="347"/>
        <v>2023.016P.Virgaviridae_and_Benyviridae_rename_sp.zip</v>
      </c>
    </row>
    <row r="9729" spans="1:21">
      <c r="A9729">
        <v>9728</v>
      </c>
      <c r="B9729" s="27" t="s">
        <v>1124</v>
      </c>
      <c r="D9729" s="27" t="s">
        <v>1859</v>
      </c>
      <c r="F9729" s="27" t="s">
        <v>1867</v>
      </c>
      <c r="H9729" s="27" t="s">
        <v>1868</v>
      </c>
      <c r="J9729" s="27" t="s">
        <v>1870</v>
      </c>
      <c r="L9729" s="27" t="s">
        <v>433</v>
      </c>
      <c r="N9729" s="27" t="s">
        <v>382</v>
      </c>
      <c r="P9729" s="27" t="s">
        <v>14019</v>
      </c>
      <c r="Q9729" s="26" t="str">
        <f>HYPERLINK("https://ictv.global/taxonomy/taxondetails?taxnode_id=202505459&amp;ictv_id=ICTV19710326","ICTV19710326")</f>
        <v>ICTV19710326</v>
      </c>
      <c r="R9729" t="s">
        <v>581</v>
      </c>
      <c r="S9729" t="s">
        <v>824</v>
      </c>
      <c r="T9729">
        <v>39</v>
      </c>
      <c r="U9729" s="26" t="str">
        <f t="shared" si="347"/>
        <v>2023.016P.Virgaviridae_and_Benyviridae_rename_sp.zip</v>
      </c>
    </row>
    <row r="9730" spans="1:21">
      <c r="A9730">
        <v>9729</v>
      </c>
      <c r="B9730" s="27" t="s">
        <v>1124</v>
      </c>
      <c r="D9730" s="27" t="s">
        <v>1859</v>
      </c>
      <c r="F9730" s="27" t="s">
        <v>1867</v>
      </c>
      <c r="H9730" s="27" t="s">
        <v>1868</v>
      </c>
      <c r="J9730" s="27" t="s">
        <v>1870</v>
      </c>
      <c r="L9730" s="27" t="s">
        <v>433</v>
      </c>
      <c r="N9730" s="27" t="s">
        <v>382</v>
      </c>
      <c r="P9730" s="27" t="s">
        <v>14020</v>
      </c>
      <c r="Q9730" s="26" t="str">
        <f>HYPERLINK("https://ictv.global/taxonomy/taxondetails?taxnode_id=202505461&amp;ictv_id=ICTV19710327","ICTV19710327")</f>
        <v>ICTV19710327</v>
      </c>
      <c r="R9730" t="s">
        <v>581</v>
      </c>
      <c r="S9730" t="s">
        <v>824</v>
      </c>
      <c r="T9730">
        <v>39</v>
      </c>
      <c r="U9730" s="26" t="str">
        <f t="shared" si="347"/>
        <v>2023.016P.Virgaviridae_and_Benyviridae_rename_sp.zip</v>
      </c>
    </row>
    <row r="9731" spans="1:21">
      <c r="A9731">
        <v>9730</v>
      </c>
      <c r="B9731" s="27" t="s">
        <v>1124</v>
      </c>
      <c r="D9731" s="27" t="s">
        <v>1859</v>
      </c>
      <c r="F9731" s="27" t="s">
        <v>1867</v>
      </c>
      <c r="H9731" s="27" t="s">
        <v>1868</v>
      </c>
      <c r="J9731" s="27" t="s">
        <v>290</v>
      </c>
      <c r="L9731" s="27" t="s">
        <v>122</v>
      </c>
      <c r="N9731" s="27" t="s">
        <v>139</v>
      </c>
      <c r="O9731" s="27" t="s">
        <v>2678</v>
      </c>
      <c r="P9731" s="27" t="s">
        <v>14021</v>
      </c>
      <c r="Q9731" s="26" t="str">
        <f>HYPERLINK("https://ictv.global/taxonomy/taxondetails?taxnode_id=202502176&amp;ictv_id=ICTV19982598","ICTV19982598")</f>
        <v>ICTV19982598</v>
      </c>
      <c r="R9731" t="s">
        <v>581</v>
      </c>
      <c r="S9731" t="s">
        <v>824</v>
      </c>
      <c r="T9731">
        <v>39</v>
      </c>
      <c r="U9731" s="26" t="str">
        <f t="shared" ref="U9731:U9741" si="348">HYPERLINK("https://ictv.global/ictv/proposals/2023.025P.Alphaflexiviridae_rename_sp.zip","2023.025P.Alphaflexiviridae_rename_sp.zip")</f>
        <v>2023.025P.Alphaflexiviridae_rename_sp.zip</v>
      </c>
    </row>
    <row r="9732" spans="1:21">
      <c r="A9732">
        <v>9731</v>
      </c>
      <c r="B9732" s="27" t="s">
        <v>1124</v>
      </c>
      <c r="D9732" s="27" t="s">
        <v>1859</v>
      </c>
      <c r="F9732" s="27" t="s">
        <v>1867</v>
      </c>
      <c r="H9732" s="27" t="s">
        <v>1868</v>
      </c>
      <c r="J9732" s="27" t="s">
        <v>290</v>
      </c>
      <c r="L9732" s="27" t="s">
        <v>122</v>
      </c>
      <c r="N9732" s="27" t="s">
        <v>139</v>
      </c>
      <c r="O9732" s="27" t="s">
        <v>2678</v>
      </c>
      <c r="P9732" s="27" t="s">
        <v>14022</v>
      </c>
      <c r="Q9732" s="26" t="str">
        <f>HYPERLINK("https://ictv.global/taxonomy/taxondetails?taxnode_id=202502177&amp;ictv_id=ICTV19982599","ICTV19982599")</f>
        <v>ICTV19982599</v>
      </c>
      <c r="R9732" t="s">
        <v>581</v>
      </c>
      <c r="S9732" t="s">
        <v>824</v>
      </c>
      <c r="T9732">
        <v>39</v>
      </c>
      <c r="U9732" s="26" t="str">
        <f t="shared" si="348"/>
        <v>2023.025P.Alphaflexiviridae_rename_sp.zip</v>
      </c>
    </row>
    <row r="9733" spans="1:21">
      <c r="A9733">
        <v>9732</v>
      </c>
      <c r="B9733" s="27" t="s">
        <v>1124</v>
      </c>
      <c r="D9733" s="27" t="s">
        <v>1859</v>
      </c>
      <c r="F9733" s="27" t="s">
        <v>1867</v>
      </c>
      <c r="H9733" s="27" t="s">
        <v>1868</v>
      </c>
      <c r="J9733" s="27" t="s">
        <v>290</v>
      </c>
      <c r="L9733" s="27" t="s">
        <v>122</v>
      </c>
      <c r="N9733" s="27" t="s">
        <v>139</v>
      </c>
      <c r="O9733" s="27" t="s">
        <v>2678</v>
      </c>
      <c r="P9733" s="27" t="s">
        <v>14023</v>
      </c>
      <c r="Q9733" s="26" t="str">
        <f>HYPERLINK("https://ictv.global/taxonomy/taxondetails?taxnode_id=202502178&amp;ictv_id=ICTV19982600","ICTV19982600")</f>
        <v>ICTV19982600</v>
      </c>
      <c r="R9733" t="s">
        <v>581</v>
      </c>
      <c r="S9733" t="s">
        <v>824</v>
      </c>
      <c r="T9733">
        <v>39</v>
      </c>
      <c r="U9733" s="26" t="str">
        <f t="shared" si="348"/>
        <v>2023.025P.Alphaflexiviridae_rename_sp.zip</v>
      </c>
    </row>
    <row r="9734" spans="1:21">
      <c r="A9734">
        <v>9733</v>
      </c>
      <c r="B9734" s="27" t="s">
        <v>1124</v>
      </c>
      <c r="D9734" s="27" t="s">
        <v>1859</v>
      </c>
      <c r="F9734" s="27" t="s">
        <v>1867</v>
      </c>
      <c r="H9734" s="27" t="s">
        <v>1868</v>
      </c>
      <c r="J9734" s="27" t="s">
        <v>290</v>
      </c>
      <c r="L9734" s="27" t="s">
        <v>122</v>
      </c>
      <c r="N9734" s="27" t="s">
        <v>139</v>
      </c>
      <c r="O9734" s="27" t="s">
        <v>2678</v>
      </c>
      <c r="P9734" s="27" t="s">
        <v>14024</v>
      </c>
      <c r="Q9734" s="26" t="str">
        <f>HYPERLINK("https://ictv.global/taxonomy/taxondetails?taxnode_id=202502179&amp;ictv_id=ICTV19982601","ICTV19982601")</f>
        <v>ICTV19982601</v>
      </c>
      <c r="R9734" t="s">
        <v>581</v>
      </c>
      <c r="S9734" t="s">
        <v>824</v>
      </c>
      <c r="T9734">
        <v>39</v>
      </c>
      <c r="U9734" s="26" t="str">
        <f t="shared" si="348"/>
        <v>2023.025P.Alphaflexiviridae_rename_sp.zip</v>
      </c>
    </row>
    <row r="9735" spans="1:21">
      <c r="A9735">
        <v>9734</v>
      </c>
      <c r="B9735" s="27" t="s">
        <v>1124</v>
      </c>
      <c r="D9735" s="27" t="s">
        <v>1859</v>
      </c>
      <c r="F9735" s="27" t="s">
        <v>1867</v>
      </c>
      <c r="H9735" s="27" t="s">
        <v>1868</v>
      </c>
      <c r="J9735" s="27" t="s">
        <v>290</v>
      </c>
      <c r="L9735" s="27" t="s">
        <v>122</v>
      </c>
      <c r="N9735" s="27" t="s">
        <v>139</v>
      </c>
      <c r="O9735" s="27" t="s">
        <v>2678</v>
      </c>
      <c r="P9735" s="27" t="s">
        <v>14025</v>
      </c>
      <c r="Q9735" s="26" t="str">
        <f>HYPERLINK("https://ictv.global/taxonomy/taxondetails?taxnode_id=202502181&amp;ictv_id=ICTV19982602","ICTV19982602")</f>
        <v>ICTV19982602</v>
      </c>
      <c r="R9735" t="s">
        <v>581</v>
      </c>
      <c r="S9735" t="s">
        <v>824</v>
      </c>
      <c r="T9735">
        <v>39</v>
      </c>
      <c r="U9735" s="26" t="str">
        <f t="shared" si="348"/>
        <v>2023.025P.Alphaflexiviridae_rename_sp.zip</v>
      </c>
    </row>
    <row r="9736" spans="1:21">
      <c r="A9736">
        <v>9735</v>
      </c>
      <c r="B9736" s="27" t="s">
        <v>1124</v>
      </c>
      <c r="D9736" s="27" t="s">
        <v>1859</v>
      </c>
      <c r="F9736" s="27" t="s">
        <v>1867</v>
      </c>
      <c r="H9736" s="27" t="s">
        <v>1868</v>
      </c>
      <c r="J9736" s="27" t="s">
        <v>290</v>
      </c>
      <c r="L9736" s="27" t="s">
        <v>122</v>
      </c>
      <c r="N9736" s="27" t="s">
        <v>139</v>
      </c>
      <c r="O9736" s="27" t="s">
        <v>2678</v>
      </c>
      <c r="P9736" s="27" t="s">
        <v>14026</v>
      </c>
      <c r="Q9736" s="26" t="str">
        <f>HYPERLINK("https://ictv.global/taxonomy/taxondetails?taxnode_id=202502182&amp;ictv_id=ICTV19982603","ICTV19982603")</f>
        <v>ICTV19982603</v>
      </c>
      <c r="R9736" t="s">
        <v>581</v>
      </c>
      <c r="S9736" t="s">
        <v>824</v>
      </c>
      <c r="T9736">
        <v>39</v>
      </c>
      <c r="U9736" s="26" t="str">
        <f t="shared" si="348"/>
        <v>2023.025P.Alphaflexiviridae_rename_sp.zip</v>
      </c>
    </row>
    <row r="9737" spans="1:21">
      <c r="A9737">
        <v>9736</v>
      </c>
      <c r="B9737" s="27" t="s">
        <v>1124</v>
      </c>
      <c r="D9737" s="27" t="s">
        <v>1859</v>
      </c>
      <c r="F9737" s="27" t="s">
        <v>1867</v>
      </c>
      <c r="H9737" s="27" t="s">
        <v>1868</v>
      </c>
      <c r="J9737" s="27" t="s">
        <v>290</v>
      </c>
      <c r="L9737" s="27" t="s">
        <v>122</v>
      </c>
      <c r="N9737" s="27" t="s">
        <v>139</v>
      </c>
      <c r="O9737" s="27" t="s">
        <v>2678</v>
      </c>
      <c r="P9737" s="27" t="s">
        <v>14027</v>
      </c>
      <c r="Q9737" s="26" t="str">
        <f>HYPERLINK("https://ictv.global/taxonomy/taxondetails?taxnode_id=202502180&amp;ictv_id=ICTV20073578","ICTV20073578")</f>
        <v>ICTV20073578</v>
      </c>
      <c r="R9737" t="s">
        <v>581</v>
      </c>
      <c r="S9737" t="s">
        <v>824</v>
      </c>
      <c r="T9737">
        <v>39</v>
      </c>
      <c r="U9737" s="26" t="str">
        <f t="shared" si="348"/>
        <v>2023.025P.Alphaflexiviridae_rename_sp.zip</v>
      </c>
    </row>
    <row r="9738" spans="1:21">
      <c r="A9738">
        <v>9737</v>
      </c>
      <c r="B9738" s="27" t="s">
        <v>1124</v>
      </c>
      <c r="D9738" s="27" t="s">
        <v>1859</v>
      </c>
      <c r="F9738" s="27" t="s">
        <v>1867</v>
      </c>
      <c r="H9738" s="27" t="s">
        <v>1868</v>
      </c>
      <c r="J9738" s="27" t="s">
        <v>290</v>
      </c>
      <c r="L9738" s="27" t="s">
        <v>122</v>
      </c>
      <c r="N9738" s="27" t="s">
        <v>139</v>
      </c>
      <c r="P9738" s="27" t="s">
        <v>14028</v>
      </c>
      <c r="Q9738" s="26" t="str">
        <f>HYPERLINK("https://ictv.global/taxonomy/taxondetails?taxnode_id=202502231&amp;ictv_id=ICTV20125753","ICTV20125753")</f>
        <v>ICTV20125753</v>
      </c>
      <c r="R9738" t="s">
        <v>581</v>
      </c>
      <c r="S9738" t="s">
        <v>824</v>
      </c>
      <c r="T9738">
        <v>39</v>
      </c>
      <c r="U9738" s="26" t="str">
        <f t="shared" si="348"/>
        <v>2023.025P.Alphaflexiviridae_rename_sp.zip</v>
      </c>
    </row>
    <row r="9739" spans="1:21">
      <c r="A9739">
        <v>9738</v>
      </c>
      <c r="B9739" s="27" t="s">
        <v>1124</v>
      </c>
      <c r="D9739" s="27" t="s">
        <v>1859</v>
      </c>
      <c r="F9739" s="27" t="s">
        <v>1867</v>
      </c>
      <c r="H9739" s="27" t="s">
        <v>1868</v>
      </c>
      <c r="J9739" s="27" t="s">
        <v>290</v>
      </c>
      <c r="L9739" s="27" t="s">
        <v>122</v>
      </c>
      <c r="N9739" s="27" t="s">
        <v>139</v>
      </c>
      <c r="P9739" s="27" t="s">
        <v>14029</v>
      </c>
      <c r="Q9739" s="26" t="str">
        <f>HYPERLINK("https://ictv.global/taxonomy/taxondetails?taxnode_id=202502175&amp;ictv_id=ICTV19991753","ICTV19991753")</f>
        <v>ICTV19991753</v>
      </c>
      <c r="R9739" t="s">
        <v>581</v>
      </c>
      <c r="S9739" t="s">
        <v>824</v>
      </c>
      <c r="T9739">
        <v>39</v>
      </c>
      <c r="U9739" s="26" t="str">
        <f t="shared" si="348"/>
        <v>2023.025P.Alphaflexiviridae_rename_sp.zip</v>
      </c>
    </row>
    <row r="9740" spans="1:21">
      <c r="A9740">
        <v>9739</v>
      </c>
      <c r="B9740" s="27" t="s">
        <v>1124</v>
      </c>
      <c r="D9740" s="27" t="s">
        <v>1859</v>
      </c>
      <c r="F9740" s="27" t="s">
        <v>1867</v>
      </c>
      <c r="H9740" s="27" t="s">
        <v>1868</v>
      </c>
      <c r="J9740" s="27" t="s">
        <v>290</v>
      </c>
      <c r="L9740" s="27" t="s">
        <v>122</v>
      </c>
      <c r="N9740" s="27" t="s">
        <v>139</v>
      </c>
      <c r="P9740" s="27" t="s">
        <v>14030</v>
      </c>
      <c r="Q9740" s="26" t="str">
        <f>HYPERLINK("https://ictv.global/taxonomy/taxondetails?taxnode_id=202505633&amp;ictv_id=ICTV20175633","ICTV20175633")</f>
        <v>ICTV20175633</v>
      </c>
      <c r="R9740" t="s">
        <v>581</v>
      </c>
      <c r="S9740" t="s">
        <v>824</v>
      </c>
      <c r="T9740">
        <v>39</v>
      </c>
      <c r="U9740" s="26" t="str">
        <f t="shared" si="348"/>
        <v>2023.025P.Alphaflexiviridae_rename_sp.zip</v>
      </c>
    </row>
    <row r="9741" spans="1:21">
      <c r="A9741">
        <v>9740</v>
      </c>
      <c r="B9741" s="27" t="s">
        <v>1124</v>
      </c>
      <c r="D9741" s="27" t="s">
        <v>1859</v>
      </c>
      <c r="F9741" s="27" t="s">
        <v>1867</v>
      </c>
      <c r="H9741" s="27" t="s">
        <v>1868</v>
      </c>
      <c r="J9741" s="27" t="s">
        <v>290</v>
      </c>
      <c r="L9741" s="27" t="s">
        <v>122</v>
      </c>
      <c r="N9741" s="27" t="s">
        <v>139</v>
      </c>
      <c r="P9741" s="27" t="s">
        <v>14031</v>
      </c>
      <c r="Q9741" s="26" t="str">
        <f>HYPERLINK("https://ictv.global/taxonomy/taxondetails?taxnode_id=202505632&amp;ictv_id=ICTV20175632","ICTV20175632")</f>
        <v>ICTV20175632</v>
      </c>
      <c r="R9741" t="s">
        <v>581</v>
      </c>
      <c r="S9741" t="s">
        <v>824</v>
      </c>
      <c r="T9741">
        <v>39</v>
      </c>
      <c r="U9741" s="26" t="str">
        <f t="shared" si="348"/>
        <v>2023.025P.Alphaflexiviridae_rename_sp.zip</v>
      </c>
    </row>
    <row r="9742" spans="1:21">
      <c r="A9742">
        <v>9741</v>
      </c>
      <c r="B9742" s="27" t="s">
        <v>1124</v>
      </c>
      <c r="D9742" s="27" t="s">
        <v>1859</v>
      </c>
      <c r="F9742" s="27" t="s">
        <v>1867</v>
      </c>
      <c r="H9742" s="27" t="s">
        <v>1868</v>
      </c>
      <c r="J9742" s="27" t="s">
        <v>290</v>
      </c>
      <c r="L9742" s="27" t="s">
        <v>122</v>
      </c>
      <c r="N9742" s="27" t="s">
        <v>139</v>
      </c>
      <c r="P9742" s="27" t="s">
        <v>20150</v>
      </c>
      <c r="Q9742" s="26" t="str">
        <f>HYPERLINK("https://ictv.global/taxonomy/taxondetails?taxnode_id=202520069&amp;ictv_id=ICTV202420069","ICTV202420069")</f>
        <v>ICTV202420069</v>
      </c>
      <c r="R9742" t="s">
        <v>581</v>
      </c>
      <c r="S9742" t="s">
        <v>823</v>
      </c>
      <c r="T9742">
        <v>40</v>
      </c>
      <c r="U9742" s="26" t="str">
        <f>HYPERLINK("https://ictv.global/ictv/proposals/2024.002P.Alphaflexiviridae_7nsp.zip","2024.002P.Alphaflexiviridae_7nsp.zip")</f>
        <v>2024.002P.Alphaflexiviridae_7nsp.zip</v>
      </c>
    </row>
    <row r="9743" spans="1:21">
      <c r="A9743">
        <v>9742</v>
      </c>
      <c r="B9743" s="27" t="s">
        <v>1124</v>
      </c>
      <c r="D9743" s="27" t="s">
        <v>1859</v>
      </c>
      <c r="F9743" s="27" t="s">
        <v>1867</v>
      </c>
      <c r="H9743" s="27" t="s">
        <v>1868</v>
      </c>
      <c r="J9743" s="27" t="s">
        <v>290</v>
      </c>
      <c r="L9743" s="27" t="s">
        <v>122</v>
      </c>
      <c r="N9743" s="27" t="s">
        <v>139</v>
      </c>
      <c r="P9743" s="27" t="s">
        <v>21200</v>
      </c>
      <c r="Q9743" s="26" t="str">
        <f>HYPERLINK("https://ictv.global/taxonomy/taxondetails?taxnode_id=202522113&amp;ictv_id=ICTV202522113","ICTV202522113")</f>
        <v>ICTV202522113</v>
      </c>
      <c r="R9743" t="s">
        <v>581</v>
      </c>
      <c r="S9743" t="s">
        <v>823</v>
      </c>
      <c r="T9743">
        <v>41</v>
      </c>
      <c r="U9743" s="26" t="str">
        <f>HYPERLINK("https://ictv.global/ictv/proposals/2025.002P.Alphaflexiviridae_Allexivirus_1nsp.zip","2025.002P.Alphaflexiviridae_Allexivirus_1nsp.zip")</f>
        <v>2025.002P.Alphaflexiviridae_Allexivirus_1nsp.zip</v>
      </c>
    </row>
    <row r="9744" spans="1:21">
      <c r="A9744">
        <v>9743</v>
      </c>
      <c r="B9744" s="27" t="s">
        <v>1124</v>
      </c>
      <c r="D9744" s="27" t="s">
        <v>1859</v>
      </c>
      <c r="F9744" s="27" t="s">
        <v>1867</v>
      </c>
      <c r="H9744" s="27" t="s">
        <v>1868</v>
      </c>
      <c r="J9744" s="27" t="s">
        <v>290</v>
      </c>
      <c r="L9744" s="27" t="s">
        <v>122</v>
      </c>
      <c r="N9744" s="27" t="s">
        <v>139</v>
      </c>
      <c r="P9744" s="27" t="s">
        <v>14032</v>
      </c>
      <c r="Q9744" s="26" t="str">
        <f>HYPERLINK("https://ictv.global/taxonomy/taxondetails?taxnode_id=202509851&amp;ictv_id=ICTV202009851","ICTV202009851")</f>
        <v>ICTV202009851</v>
      </c>
      <c r="R9744" t="s">
        <v>581</v>
      </c>
      <c r="S9744" t="s">
        <v>824</v>
      </c>
      <c r="T9744">
        <v>39</v>
      </c>
      <c r="U9744" s="26" t="str">
        <f>HYPERLINK("https://ictv.global/ictv/proposals/2023.025P.Alphaflexiviridae_rename_sp.zip","2023.025P.Alphaflexiviridae_rename_sp.zip")</f>
        <v>2023.025P.Alphaflexiviridae_rename_sp.zip</v>
      </c>
    </row>
    <row r="9745" spans="1:21">
      <c r="A9745">
        <v>9744</v>
      </c>
      <c r="B9745" s="27" t="s">
        <v>1124</v>
      </c>
      <c r="D9745" s="27" t="s">
        <v>1859</v>
      </c>
      <c r="F9745" s="27" t="s">
        <v>1867</v>
      </c>
      <c r="H9745" s="27" t="s">
        <v>1868</v>
      </c>
      <c r="J9745" s="27" t="s">
        <v>290</v>
      </c>
      <c r="L9745" s="27" t="s">
        <v>122</v>
      </c>
      <c r="N9745" s="27" t="s">
        <v>139</v>
      </c>
      <c r="P9745" s="27" t="s">
        <v>14033</v>
      </c>
      <c r="Q9745" s="26" t="str">
        <f>HYPERLINK("https://ictv.global/taxonomy/taxondetails?taxnode_id=202505631&amp;ictv_id=ICTV20175631","ICTV20175631")</f>
        <v>ICTV20175631</v>
      </c>
      <c r="R9745" t="s">
        <v>581</v>
      </c>
      <c r="S9745" t="s">
        <v>824</v>
      </c>
      <c r="T9745">
        <v>39</v>
      </c>
      <c r="U9745" s="26" t="str">
        <f>HYPERLINK("https://ictv.global/ictv/proposals/2023.025P.Alphaflexiviridae_rename_sp.zip","2023.025P.Alphaflexiviridae_rename_sp.zip")</f>
        <v>2023.025P.Alphaflexiviridae_rename_sp.zip</v>
      </c>
    </row>
    <row r="9746" spans="1:21">
      <c r="A9746">
        <v>9745</v>
      </c>
      <c r="B9746" s="27" t="s">
        <v>1124</v>
      </c>
      <c r="D9746" s="27" t="s">
        <v>1859</v>
      </c>
      <c r="F9746" s="27" t="s">
        <v>1867</v>
      </c>
      <c r="H9746" s="27" t="s">
        <v>1868</v>
      </c>
      <c r="J9746" s="27" t="s">
        <v>290</v>
      </c>
      <c r="L9746" s="27" t="s">
        <v>122</v>
      </c>
      <c r="N9746" s="27" t="s">
        <v>184</v>
      </c>
      <c r="P9746" s="27" t="s">
        <v>20151</v>
      </c>
      <c r="Q9746" s="26" t="str">
        <f>HYPERLINK("https://ictv.global/taxonomy/taxondetails?taxnode_id=202520071&amp;ictv_id=ICTV202420071","ICTV202420071")</f>
        <v>ICTV202420071</v>
      </c>
      <c r="R9746" t="s">
        <v>581</v>
      </c>
      <c r="S9746" t="s">
        <v>823</v>
      </c>
      <c r="T9746">
        <v>40</v>
      </c>
      <c r="U9746" s="26" t="str">
        <f>HYPERLINK("https://ictv.global/ictv/proposals/2024.002P.Alphaflexiviridae_7nsp.zip","2024.002P.Alphaflexiviridae_7nsp.zip")</f>
        <v>2024.002P.Alphaflexiviridae_7nsp.zip</v>
      </c>
    </row>
    <row r="9747" spans="1:21">
      <c r="A9747">
        <v>9746</v>
      </c>
      <c r="B9747" s="27" t="s">
        <v>1124</v>
      </c>
      <c r="D9747" s="27" t="s">
        <v>1859</v>
      </c>
      <c r="F9747" s="27" t="s">
        <v>1867</v>
      </c>
      <c r="H9747" s="27" t="s">
        <v>1868</v>
      </c>
      <c r="J9747" s="27" t="s">
        <v>290</v>
      </c>
      <c r="L9747" s="27" t="s">
        <v>122</v>
      </c>
      <c r="N9747" s="27" t="s">
        <v>184</v>
      </c>
      <c r="P9747" s="27" t="s">
        <v>14034</v>
      </c>
      <c r="Q9747" s="26" t="str">
        <f>HYPERLINK("https://ictv.global/taxonomy/taxondetails?taxnode_id=202502184&amp;ictv_id=ICTV20093056","ICTV20093056")</f>
        <v>ICTV20093056</v>
      </c>
      <c r="R9747" t="s">
        <v>581</v>
      </c>
      <c r="S9747" t="s">
        <v>824</v>
      </c>
      <c r="T9747">
        <v>39</v>
      </c>
      <c r="U9747" s="26" t="str">
        <f>HYPERLINK("https://ictv.global/ictv/proposals/2023.025P.Alphaflexiviridae_rename_sp.zip","2023.025P.Alphaflexiviridae_rename_sp.zip")</f>
        <v>2023.025P.Alphaflexiviridae_rename_sp.zip</v>
      </c>
    </row>
    <row r="9748" spans="1:21">
      <c r="A9748">
        <v>9747</v>
      </c>
      <c r="B9748" s="27" t="s">
        <v>1124</v>
      </c>
      <c r="D9748" s="27" t="s">
        <v>1859</v>
      </c>
      <c r="F9748" s="27" t="s">
        <v>1867</v>
      </c>
      <c r="H9748" s="27" t="s">
        <v>1868</v>
      </c>
      <c r="J9748" s="27" t="s">
        <v>290</v>
      </c>
      <c r="L9748" s="27" t="s">
        <v>122</v>
      </c>
      <c r="N9748" s="27" t="s">
        <v>184</v>
      </c>
      <c r="P9748" s="27" t="s">
        <v>20152</v>
      </c>
      <c r="Q9748" s="26" t="str">
        <f>HYPERLINK("https://ictv.global/taxonomy/taxondetails?taxnode_id=202520070&amp;ictv_id=ICTV202420070","ICTV202420070")</f>
        <v>ICTV202420070</v>
      </c>
      <c r="R9748" t="s">
        <v>581</v>
      </c>
      <c r="S9748" t="s">
        <v>823</v>
      </c>
      <c r="T9748">
        <v>40</v>
      </c>
      <c r="U9748" s="26" t="str">
        <f>HYPERLINK("https://ictv.global/ictv/proposals/2024.002P.Alphaflexiviridae_7nsp.zip","2024.002P.Alphaflexiviridae_7nsp.zip")</f>
        <v>2024.002P.Alphaflexiviridae_7nsp.zip</v>
      </c>
    </row>
    <row r="9749" spans="1:21">
      <c r="A9749">
        <v>9748</v>
      </c>
      <c r="B9749" s="27" t="s">
        <v>1124</v>
      </c>
      <c r="D9749" s="27" t="s">
        <v>1859</v>
      </c>
      <c r="F9749" s="27" t="s">
        <v>1867</v>
      </c>
      <c r="H9749" s="27" t="s">
        <v>1868</v>
      </c>
      <c r="J9749" s="27" t="s">
        <v>290</v>
      </c>
      <c r="L9749" s="27" t="s">
        <v>122</v>
      </c>
      <c r="N9749" s="27" t="s">
        <v>463</v>
      </c>
      <c r="P9749" s="27" t="s">
        <v>14035</v>
      </c>
      <c r="Q9749" s="26" t="str">
        <f>HYPERLINK("https://ictv.global/taxonomy/taxondetails?taxnode_id=202502186&amp;ictv_id=ICTV20093057","ICTV20093057")</f>
        <v>ICTV20093057</v>
      </c>
      <c r="R9749" t="s">
        <v>581</v>
      </c>
      <c r="S9749" t="s">
        <v>824</v>
      </c>
      <c r="T9749">
        <v>39</v>
      </c>
      <c r="U9749" s="26" t="str">
        <f t="shared" ref="U9749:U9756" si="349">HYPERLINK("https://ictv.global/ictv/proposals/2023.025P.Alphaflexiviridae_rename_sp.zip","2023.025P.Alphaflexiviridae_rename_sp.zip")</f>
        <v>2023.025P.Alphaflexiviridae_rename_sp.zip</v>
      </c>
    </row>
    <row r="9750" spans="1:21">
      <c r="A9750">
        <v>9749</v>
      </c>
      <c r="B9750" s="27" t="s">
        <v>1124</v>
      </c>
      <c r="D9750" s="27" t="s">
        <v>1859</v>
      </c>
      <c r="F9750" s="27" t="s">
        <v>1867</v>
      </c>
      <c r="H9750" s="27" t="s">
        <v>1868</v>
      </c>
      <c r="J9750" s="27" t="s">
        <v>290</v>
      </c>
      <c r="L9750" s="27" t="s">
        <v>122</v>
      </c>
      <c r="N9750" s="27" t="s">
        <v>649</v>
      </c>
      <c r="P9750" s="27" t="s">
        <v>14036</v>
      </c>
      <c r="Q9750" s="26" t="str">
        <f>HYPERLINK("https://ictv.global/taxonomy/taxondetails?taxnode_id=202502191&amp;ictv_id=ICTV20151552","ICTV20151552")</f>
        <v>ICTV20151552</v>
      </c>
      <c r="R9750" t="s">
        <v>581</v>
      </c>
      <c r="S9750" t="s">
        <v>824</v>
      </c>
      <c r="T9750">
        <v>39</v>
      </c>
      <c r="U9750" s="26" t="str">
        <f t="shared" si="349"/>
        <v>2023.025P.Alphaflexiviridae_rename_sp.zip</v>
      </c>
    </row>
    <row r="9751" spans="1:21">
      <c r="A9751">
        <v>9750</v>
      </c>
      <c r="B9751" s="27" t="s">
        <v>1124</v>
      </c>
      <c r="D9751" s="27" t="s">
        <v>1859</v>
      </c>
      <c r="F9751" s="27" t="s">
        <v>1867</v>
      </c>
      <c r="H9751" s="27" t="s">
        <v>1868</v>
      </c>
      <c r="J9751" s="27" t="s">
        <v>290</v>
      </c>
      <c r="L9751" s="27" t="s">
        <v>122</v>
      </c>
      <c r="N9751" s="27" t="s">
        <v>295</v>
      </c>
      <c r="O9751" s="27" t="s">
        <v>129</v>
      </c>
      <c r="P9751" s="27" t="s">
        <v>14037</v>
      </c>
      <c r="Q9751" s="26" t="str">
        <f>HYPERLINK("https://ictv.global/taxonomy/taxondetails?taxnode_id=202509865&amp;ictv_id=ICTV202009865","ICTV202009865")</f>
        <v>ICTV202009865</v>
      </c>
      <c r="R9751" t="s">
        <v>581</v>
      </c>
      <c r="S9751" t="s">
        <v>824</v>
      </c>
      <c r="T9751">
        <v>39</v>
      </c>
      <c r="U9751" s="26" t="str">
        <f t="shared" si="349"/>
        <v>2023.025P.Alphaflexiviridae_rename_sp.zip</v>
      </c>
    </row>
    <row r="9752" spans="1:21">
      <c r="A9752">
        <v>9751</v>
      </c>
      <c r="B9752" s="27" t="s">
        <v>1124</v>
      </c>
      <c r="D9752" s="27" t="s">
        <v>1859</v>
      </c>
      <c r="F9752" s="27" t="s">
        <v>1867</v>
      </c>
      <c r="H9752" s="27" t="s">
        <v>1868</v>
      </c>
      <c r="J9752" s="27" t="s">
        <v>290</v>
      </c>
      <c r="L9752" s="27" t="s">
        <v>122</v>
      </c>
      <c r="N9752" s="27" t="s">
        <v>295</v>
      </c>
      <c r="O9752" s="27" t="s">
        <v>129</v>
      </c>
      <c r="P9752" s="27" t="s">
        <v>14038</v>
      </c>
      <c r="Q9752" s="26" t="str">
        <f>HYPERLINK("https://ictv.global/taxonomy/taxondetails?taxnode_id=202502188&amp;ictv_id=ICTV20130804","ICTV20130804")</f>
        <v>ICTV20130804</v>
      </c>
      <c r="R9752" t="s">
        <v>581</v>
      </c>
      <c r="S9752" t="s">
        <v>824</v>
      </c>
      <c r="T9752">
        <v>39</v>
      </c>
      <c r="U9752" s="26" t="str">
        <f t="shared" si="349"/>
        <v>2023.025P.Alphaflexiviridae_rename_sp.zip</v>
      </c>
    </row>
    <row r="9753" spans="1:21">
      <c r="A9753">
        <v>9752</v>
      </c>
      <c r="B9753" s="27" t="s">
        <v>1124</v>
      </c>
      <c r="D9753" s="27" t="s">
        <v>1859</v>
      </c>
      <c r="F9753" s="27" t="s">
        <v>1867</v>
      </c>
      <c r="H9753" s="27" t="s">
        <v>1868</v>
      </c>
      <c r="J9753" s="27" t="s">
        <v>290</v>
      </c>
      <c r="L9753" s="27" t="s">
        <v>122</v>
      </c>
      <c r="N9753" s="27" t="s">
        <v>295</v>
      </c>
      <c r="O9753" s="27" t="s">
        <v>129</v>
      </c>
      <c r="P9753" s="27" t="s">
        <v>14039</v>
      </c>
      <c r="Q9753" s="26" t="str">
        <f>HYPERLINK("https://ictv.global/taxonomy/taxondetails?taxnode_id=202502189&amp;ictv_id=ICTV20041072","ICTV20041072")</f>
        <v>ICTV20041072</v>
      </c>
      <c r="R9753" t="s">
        <v>581</v>
      </c>
      <c r="S9753" t="s">
        <v>824</v>
      </c>
      <c r="T9753">
        <v>39</v>
      </c>
      <c r="U9753" s="26" t="str">
        <f t="shared" si="349"/>
        <v>2023.025P.Alphaflexiviridae_rename_sp.zip</v>
      </c>
    </row>
    <row r="9754" spans="1:21">
      <c r="A9754">
        <v>9753</v>
      </c>
      <c r="B9754" s="27" t="s">
        <v>1124</v>
      </c>
      <c r="D9754" s="27" t="s">
        <v>1859</v>
      </c>
      <c r="F9754" s="27" t="s">
        <v>1867</v>
      </c>
      <c r="H9754" s="27" t="s">
        <v>1868</v>
      </c>
      <c r="J9754" s="27" t="s">
        <v>290</v>
      </c>
      <c r="L9754" s="27" t="s">
        <v>122</v>
      </c>
      <c r="N9754" s="27" t="s">
        <v>295</v>
      </c>
      <c r="P9754" s="27" t="s">
        <v>14040</v>
      </c>
      <c r="Q9754" s="26" t="str">
        <f>HYPERLINK("https://ictv.global/taxonomy/taxondetails?taxnode_id=202502195&amp;ictv_id=ICTV20073623","ICTV20073623")</f>
        <v>ICTV20073623</v>
      </c>
      <c r="R9754" t="s">
        <v>581</v>
      </c>
      <c r="S9754" t="s">
        <v>824</v>
      </c>
      <c r="T9754">
        <v>39</v>
      </c>
      <c r="U9754" s="26" t="str">
        <f t="shared" si="349"/>
        <v>2023.025P.Alphaflexiviridae_rename_sp.zip</v>
      </c>
    </row>
    <row r="9755" spans="1:21">
      <c r="A9755">
        <v>9754</v>
      </c>
      <c r="B9755" s="27" t="s">
        <v>1124</v>
      </c>
      <c r="D9755" s="27" t="s">
        <v>1859</v>
      </c>
      <c r="F9755" s="27" t="s">
        <v>1867</v>
      </c>
      <c r="H9755" s="27" t="s">
        <v>1868</v>
      </c>
      <c r="J9755" s="27" t="s">
        <v>290</v>
      </c>
      <c r="L9755" s="27" t="s">
        <v>122</v>
      </c>
      <c r="N9755" s="27" t="s">
        <v>295</v>
      </c>
      <c r="P9755" s="27" t="s">
        <v>14041</v>
      </c>
      <c r="Q9755" s="26" t="str">
        <f>HYPERLINK("https://ictv.global/taxonomy/taxondetails?taxnode_id=202509847&amp;ictv_id=ICTV202009847","ICTV202009847")</f>
        <v>ICTV202009847</v>
      </c>
      <c r="R9755" t="s">
        <v>581</v>
      </c>
      <c r="S9755" t="s">
        <v>824</v>
      </c>
      <c r="T9755">
        <v>39</v>
      </c>
      <c r="U9755" s="26" t="str">
        <f t="shared" si="349"/>
        <v>2023.025P.Alphaflexiviridae_rename_sp.zip</v>
      </c>
    </row>
    <row r="9756" spans="1:21">
      <c r="A9756">
        <v>9755</v>
      </c>
      <c r="B9756" s="27" t="s">
        <v>1124</v>
      </c>
      <c r="D9756" s="27" t="s">
        <v>1859</v>
      </c>
      <c r="F9756" s="27" t="s">
        <v>1867</v>
      </c>
      <c r="H9756" s="27" t="s">
        <v>1868</v>
      </c>
      <c r="J9756" s="27" t="s">
        <v>290</v>
      </c>
      <c r="L9756" s="27" t="s">
        <v>122</v>
      </c>
      <c r="N9756" s="27" t="s">
        <v>295</v>
      </c>
      <c r="P9756" s="27" t="s">
        <v>14042</v>
      </c>
      <c r="Q9756" s="26" t="str">
        <f>HYPERLINK("https://ictv.global/taxonomy/taxondetails?taxnode_id=202502197&amp;ictv_id=ICTV19991831","ICTV19991831")</f>
        <v>ICTV19991831</v>
      </c>
      <c r="R9756" t="s">
        <v>581</v>
      </c>
      <c r="S9756" t="s">
        <v>824</v>
      </c>
      <c r="T9756">
        <v>39</v>
      </c>
      <c r="U9756" s="26" t="str">
        <f t="shared" si="349"/>
        <v>2023.025P.Alphaflexiviridae_rename_sp.zip</v>
      </c>
    </row>
    <row r="9757" spans="1:21">
      <c r="A9757">
        <v>9756</v>
      </c>
      <c r="B9757" s="27" t="s">
        <v>1124</v>
      </c>
      <c r="D9757" s="27" t="s">
        <v>1859</v>
      </c>
      <c r="F9757" s="27" t="s">
        <v>1867</v>
      </c>
      <c r="H9757" s="27" t="s">
        <v>1868</v>
      </c>
      <c r="J9757" s="27" t="s">
        <v>290</v>
      </c>
      <c r="L9757" s="27" t="s">
        <v>122</v>
      </c>
      <c r="N9757" s="27" t="s">
        <v>295</v>
      </c>
      <c r="P9757" s="27" t="s">
        <v>20153</v>
      </c>
      <c r="Q9757" s="26" t="str">
        <f>HYPERLINK("https://ictv.global/taxonomy/taxondetails?taxnode_id=202520073&amp;ictv_id=ICTV202420073","ICTV202420073")</f>
        <v>ICTV202420073</v>
      </c>
      <c r="R9757" t="s">
        <v>581</v>
      </c>
      <c r="S9757" t="s">
        <v>823</v>
      </c>
      <c r="T9757">
        <v>40</v>
      </c>
      <c r="U9757" s="26" t="str">
        <f>HYPERLINK("https://ictv.global/ictv/proposals/2024.002P.Alphaflexiviridae_7nsp.zip","2024.002P.Alphaflexiviridae_7nsp.zip")</f>
        <v>2024.002P.Alphaflexiviridae_7nsp.zip</v>
      </c>
    </row>
    <row r="9758" spans="1:21">
      <c r="A9758">
        <v>9757</v>
      </c>
      <c r="B9758" s="27" t="s">
        <v>1124</v>
      </c>
      <c r="D9758" s="27" t="s">
        <v>1859</v>
      </c>
      <c r="F9758" s="27" t="s">
        <v>1867</v>
      </c>
      <c r="H9758" s="27" t="s">
        <v>1868</v>
      </c>
      <c r="J9758" s="27" t="s">
        <v>290</v>
      </c>
      <c r="L9758" s="27" t="s">
        <v>122</v>
      </c>
      <c r="N9758" s="27" t="s">
        <v>295</v>
      </c>
      <c r="P9758" s="27" t="s">
        <v>14043</v>
      </c>
      <c r="Q9758" s="26" t="str">
        <f>HYPERLINK("https://ictv.global/taxonomy/taxondetails?taxnode_id=202509844&amp;ictv_id=ICTV202009844","ICTV202009844")</f>
        <v>ICTV202009844</v>
      </c>
      <c r="R9758" t="s">
        <v>581</v>
      </c>
      <c r="S9758" t="s">
        <v>824</v>
      </c>
      <c r="T9758">
        <v>39</v>
      </c>
      <c r="U9758" s="26" t="str">
        <f>HYPERLINK("https://ictv.global/ictv/proposals/2023.025P.Alphaflexiviridae_rename_sp.zip","2023.025P.Alphaflexiviridae_rename_sp.zip")</f>
        <v>2023.025P.Alphaflexiviridae_rename_sp.zip</v>
      </c>
    </row>
    <row r="9759" spans="1:21">
      <c r="A9759">
        <v>9758</v>
      </c>
      <c r="B9759" s="27" t="s">
        <v>1124</v>
      </c>
      <c r="D9759" s="27" t="s">
        <v>1859</v>
      </c>
      <c r="F9759" s="27" t="s">
        <v>1867</v>
      </c>
      <c r="H9759" s="27" t="s">
        <v>1868</v>
      </c>
      <c r="J9759" s="27" t="s">
        <v>290</v>
      </c>
      <c r="L9759" s="27" t="s">
        <v>122</v>
      </c>
      <c r="N9759" s="27" t="s">
        <v>295</v>
      </c>
      <c r="P9759" s="27" t="s">
        <v>14044</v>
      </c>
      <c r="Q9759" s="26" t="str">
        <f>HYPERLINK("https://ictv.global/taxonomy/taxondetails?taxnode_id=202502202&amp;ictv_id=ICTV19760747","ICTV19760747")</f>
        <v>ICTV19760747</v>
      </c>
      <c r="R9759" t="s">
        <v>581</v>
      </c>
      <c r="S9759" t="s">
        <v>824</v>
      </c>
      <c r="T9759">
        <v>39</v>
      </c>
      <c r="U9759" s="26" t="str">
        <f>HYPERLINK("https://ictv.global/ictv/proposals/2023.025P.Alphaflexiviridae_rename_sp.zip","2023.025P.Alphaflexiviridae_rename_sp.zip")</f>
        <v>2023.025P.Alphaflexiviridae_rename_sp.zip</v>
      </c>
    </row>
    <row r="9760" spans="1:21">
      <c r="A9760">
        <v>9759</v>
      </c>
      <c r="B9760" s="27" t="s">
        <v>1124</v>
      </c>
      <c r="D9760" s="27" t="s">
        <v>1859</v>
      </c>
      <c r="F9760" s="27" t="s">
        <v>1867</v>
      </c>
      <c r="H9760" s="27" t="s">
        <v>1868</v>
      </c>
      <c r="J9760" s="27" t="s">
        <v>290</v>
      </c>
      <c r="L9760" s="27" t="s">
        <v>122</v>
      </c>
      <c r="N9760" s="27" t="s">
        <v>295</v>
      </c>
      <c r="P9760" s="27" t="s">
        <v>20154</v>
      </c>
      <c r="Q9760" s="26" t="str">
        <f>HYPERLINK("https://ictv.global/taxonomy/taxondetails?taxnode_id=202520072&amp;ictv_id=ICTV202420072","ICTV202420072")</f>
        <v>ICTV202420072</v>
      </c>
      <c r="R9760" t="s">
        <v>581</v>
      </c>
      <c r="S9760" t="s">
        <v>823</v>
      </c>
      <c r="T9760">
        <v>40</v>
      </c>
      <c r="U9760" s="26" t="str">
        <f>HYPERLINK("https://ictv.global/ictv/proposals/2024.002P.Alphaflexiviridae_7nsp.zip","2024.002P.Alphaflexiviridae_7nsp.zip")</f>
        <v>2024.002P.Alphaflexiviridae_7nsp.zip</v>
      </c>
    </row>
    <row r="9761" spans="1:21">
      <c r="A9761">
        <v>9760</v>
      </c>
      <c r="B9761" s="27" t="s">
        <v>1124</v>
      </c>
      <c r="D9761" s="27" t="s">
        <v>1859</v>
      </c>
      <c r="F9761" s="27" t="s">
        <v>1867</v>
      </c>
      <c r="H9761" s="27" t="s">
        <v>1868</v>
      </c>
      <c r="J9761" s="27" t="s">
        <v>290</v>
      </c>
      <c r="L9761" s="27" t="s">
        <v>122</v>
      </c>
      <c r="N9761" s="27" t="s">
        <v>295</v>
      </c>
      <c r="P9761" s="27" t="s">
        <v>14045</v>
      </c>
      <c r="Q9761" s="26" t="str">
        <f>HYPERLINK("https://ictv.global/taxonomy/taxondetails?taxnode_id=202502193&amp;ictv_id=ICTV20125754","ICTV20125754")</f>
        <v>ICTV20125754</v>
      </c>
      <c r="R9761" t="s">
        <v>581</v>
      </c>
      <c r="S9761" t="s">
        <v>824</v>
      </c>
      <c r="T9761">
        <v>39</v>
      </c>
      <c r="U9761" s="26" t="str">
        <f>HYPERLINK("https://ictv.global/ictv/proposals/2023.025P.Alphaflexiviridae_rename_sp.zip","2023.025P.Alphaflexiviridae_rename_sp.zip")</f>
        <v>2023.025P.Alphaflexiviridae_rename_sp.zip</v>
      </c>
    </row>
    <row r="9762" spans="1:21">
      <c r="A9762">
        <v>9761</v>
      </c>
      <c r="B9762" s="27" t="s">
        <v>1124</v>
      </c>
      <c r="D9762" s="27" t="s">
        <v>1859</v>
      </c>
      <c r="F9762" s="27" t="s">
        <v>1867</v>
      </c>
      <c r="H9762" s="27" t="s">
        <v>1868</v>
      </c>
      <c r="J9762" s="27" t="s">
        <v>290</v>
      </c>
      <c r="L9762" s="27" t="s">
        <v>122</v>
      </c>
      <c r="N9762" s="27" t="s">
        <v>295</v>
      </c>
      <c r="P9762" s="27" t="s">
        <v>14046</v>
      </c>
      <c r="Q9762" s="26" t="str">
        <f>HYPERLINK("https://ictv.global/taxonomy/taxondetails?taxnode_id=202502194&amp;ictv_id=ICTV20083776","ICTV20083776")</f>
        <v>ICTV20083776</v>
      </c>
      <c r="R9762" t="s">
        <v>581</v>
      </c>
      <c r="S9762" t="s">
        <v>824</v>
      </c>
      <c r="T9762">
        <v>39</v>
      </c>
      <c r="U9762" s="26" t="str">
        <f>HYPERLINK("https://ictv.global/ictv/proposals/2023.025P.Alphaflexiviridae_rename_sp.zip","2023.025P.Alphaflexiviridae_rename_sp.zip")</f>
        <v>2023.025P.Alphaflexiviridae_rename_sp.zip</v>
      </c>
    </row>
    <row r="9763" spans="1:21">
      <c r="A9763">
        <v>9762</v>
      </c>
      <c r="B9763" s="27" t="s">
        <v>1124</v>
      </c>
      <c r="D9763" s="27" t="s">
        <v>1859</v>
      </c>
      <c r="F9763" s="27" t="s">
        <v>1867</v>
      </c>
      <c r="H9763" s="27" t="s">
        <v>1868</v>
      </c>
      <c r="J9763" s="27" t="s">
        <v>290</v>
      </c>
      <c r="L9763" s="27" t="s">
        <v>122</v>
      </c>
      <c r="N9763" s="27" t="s">
        <v>295</v>
      </c>
      <c r="P9763" s="27" t="s">
        <v>14047</v>
      </c>
      <c r="Q9763" s="26" t="str">
        <f>HYPERLINK("https://ictv.global/taxonomy/taxondetails?taxnode_id=202502198&amp;ictv_id=ICTV19710245","ICTV19710245")</f>
        <v>ICTV19710245</v>
      </c>
      <c r="R9763" t="s">
        <v>581</v>
      </c>
      <c r="S9763" t="s">
        <v>824</v>
      </c>
      <c r="T9763">
        <v>39</v>
      </c>
      <c r="U9763" s="26" t="str">
        <f>HYPERLINK("https://ictv.global/ictv/proposals/2023.025P.Alphaflexiviridae_rename_sp.zip","2023.025P.Alphaflexiviridae_rename_sp.zip")</f>
        <v>2023.025P.Alphaflexiviridae_rename_sp.zip</v>
      </c>
    </row>
    <row r="9764" spans="1:21">
      <c r="A9764">
        <v>9763</v>
      </c>
      <c r="B9764" s="27" t="s">
        <v>1124</v>
      </c>
      <c r="D9764" s="27" t="s">
        <v>1859</v>
      </c>
      <c r="F9764" s="27" t="s">
        <v>1867</v>
      </c>
      <c r="H9764" s="27" t="s">
        <v>1868</v>
      </c>
      <c r="J9764" s="27" t="s">
        <v>290</v>
      </c>
      <c r="L9764" s="27" t="s">
        <v>122</v>
      </c>
      <c r="N9764" s="27" t="s">
        <v>295</v>
      </c>
      <c r="P9764" s="27" t="s">
        <v>20155</v>
      </c>
      <c r="Q9764" s="26" t="str">
        <f>HYPERLINK("https://ictv.global/taxonomy/taxondetails?taxnode_id=202520075&amp;ictv_id=ICTV202420075","ICTV202420075")</f>
        <v>ICTV202420075</v>
      </c>
      <c r="R9764" t="s">
        <v>581</v>
      </c>
      <c r="S9764" t="s">
        <v>823</v>
      </c>
      <c r="T9764">
        <v>40</v>
      </c>
      <c r="U9764" s="26" t="str">
        <f>HYPERLINK("https://ictv.global/ictv/proposals/2024.002P.Alphaflexiviridae_7nsp.zip","2024.002P.Alphaflexiviridae_7nsp.zip")</f>
        <v>2024.002P.Alphaflexiviridae_7nsp.zip</v>
      </c>
    </row>
    <row r="9765" spans="1:21">
      <c r="A9765">
        <v>9764</v>
      </c>
      <c r="B9765" s="27" t="s">
        <v>1124</v>
      </c>
      <c r="D9765" s="27" t="s">
        <v>1859</v>
      </c>
      <c r="F9765" s="27" t="s">
        <v>1867</v>
      </c>
      <c r="H9765" s="27" t="s">
        <v>1868</v>
      </c>
      <c r="J9765" s="27" t="s">
        <v>290</v>
      </c>
      <c r="L9765" s="27" t="s">
        <v>122</v>
      </c>
      <c r="N9765" s="27" t="s">
        <v>295</v>
      </c>
      <c r="P9765" s="27" t="s">
        <v>14048</v>
      </c>
      <c r="Q9765" s="26" t="str">
        <f>HYPERLINK("https://ictv.global/taxonomy/taxondetails?taxnode_id=202502221&amp;ictv_id=ICTV20083802","ICTV20083802")</f>
        <v>ICTV20083802</v>
      </c>
      <c r="R9765" t="s">
        <v>581</v>
      </c>
      <c r="S9765" t="s">
        <v>824</v>
      </c>
      <c r="T9765">
        <v>39</v>
      </c>
      <c r="U9765" s="26" t="str">
        <f>HYPERLINK("https://ictv.global/ictv/proposals/2023.025P.Alphaflexiviridae_rename_sp.zip","2023.025P.Alphaflexiviridae_rename_sp.zip")</f>
        <v>2023.025P.Alphaflexiviridae_rename_sp.zip</v>
      </c>
    </row>
    <row r="9766" spans="1:21">
      <c r="A9766">
        <v>9765</v>
      </c>
      <c r="B9766" s="27" t="s">
        <v>1124</v>
      </c>
      <c r="D9766" s="27" t="s">
        <v>1859</v>
      </c>
      <c r="F9766" s="27" t="s">
        <v>1867</v>
      </c>
      <c r="H9766" s="27" t="s">
        <v>1868</v>
      </c>
      <c r="J9766" s="27" t="s">
        <v>290</v>
      </c>
      <c r="L9766" s="27" t="s">
        <v>122</v>
      </c>
      <c r="N9766" s="27" t="s">
        <v>295</v>
      </c>
      <c r="P9766" s="27" t="s">
        <v>14049</v>
      </c>
      <c r="Q9766" s="26" t="str">
        <f>HYPERLINK("https://ictv.global/taxonomy/taxondetails?taxnode_id=202509850&amp;ictv_id=ICTV202009850","ICTV202009850")</f>
        <v>ICTV202009850</v>
      </c>
      <c r="R9766" t="s">
        <v>581</v>
      </c>
      <c r="S9766" t="s">
        <v>824</v>
      </c>
      <c r="T9766">
        <v>39</v>
      </c>
      <c r="U9766" s="26" t="str">
        <f>HYPERLINK("https://ictv.global/ictv/proposals/2023.025P.Alphaflexiviridae_rename_sp.zip","2023.025P.Alphaflexiviridae_rename_sp.zip")</f>
        <v>2023.025P.Alphaflexiviridae_rename_sp.zip</v>
      </c>
    </row>
    <row r="9767" spans="1:21">
      <c r="A9767">
        <v>9766</v>
      </c>
      <c r="B9767" s="27" t="s">
        <v>1124</v>
      </c>
      <c r="D9767" s="27" t="s">
        <v>1859</v>
      </c>
      <c r="F9767" s="27" t="s">
        <v>1867</v>
      </c>
      <c r="H9767" s="27" t="s">
        <v>1868</v>
      </c>
      <c r="J9767" s="27" t="s">
        <v>290</v>
      </c>
      <c r="L9767" s="27" t="s">
        <v>122</v>
      </c>
      <c r="N9767" s="27" t="s">
        <v>295</v>
      </c>
      <c r="P9767" s="27" t="s">
        <v>14050</v>
      </c>
      <c r="Q9767" s="26" t="str">
        <f>HYPERLINK("https://ictv.global/taxonomy/taxondetails?taxnode_id=202502226&amp;ictv_id=ICTV20151546","ICTV20151546")</f>
        <v>ICTV20151546</v>
      </c>
      <c r="R9767" t="s">
        <v>581</v>
      </c>
      <c r="S9767" t="s">
        <v>824</v>
      </c>
      <c r="T9767">
        <v>39</v>
      </c>
      <c r="U9767" s="26" t="str">
        <f>HYPERLINK("https://ictv.global/ictv/proposals/2023.025P.Alphaflexiviridae_rename_sp.zip","2023.025P.Alphaflexiviridae_rename_sp.zip")</f>
        <v>2023.025P.Alphaflexiviridae_rename_sp.zip</v>
      </c>
    </row>
    <row r="9768" spans="1:21">
      <c r="A9768">
        <v>9767</v>
      </c>
      <c r="B9768" s="27" t="s">
        <v>1124</v>
      </c>
      <c r="D9768" s="27" t="s">
        <v>1859</v>
      </c>
      <c r="F9768" s="27" t="s">
        <v>1867</v>
      </c>
      <c r="H9768" s="27" t="s">
        <v>1868</v>
      </c>
      <c r="J9768" s="27" t="s">
        <v>290</v>
      </c>
      <c r="L9768" s="27" t="s">
        <v>122</v>
      </c>
      <c r="N9768" s="27" t="s">
        <v>295</v>
      </c>
      <c r="P9768" s="27" t="s">
        <v>20156</v>
      </c>
      <c r="Q9768" s="26" t="str">
        <f>HYPERLINK("https://ictv.global/taxonomy/taxondetails?taxnode_id=202520074&amp;ictv_id=ICTV202420074","ICTV202420074")</f>
        <v>ICTV202420074</v>
      </c>
      <c r="R9768" t="s">
        <v>581</v>
      </c>
      <c r="S9768" t="s">
        <v>823</v>
      </c>
      <c r="T9768">
        <v>40</v>
      </c>
      <c r="U9768" s="26" t="str">
        <f>HYPERLINK("https://ictv.global/ictv/proposals/2024.002P.Alphaflexiviridae_7nsp.zip","2024.002P.Alphaflexiviridae_7nsp.zip")</f>
        <v>2024.002P.Alphaflexiviridae_7nsp.zip</v>
      </c>
    </row>
    <row r="9769" spans="1:21">
      <c r="A9769">
        <v>9768</v>
      </c>
      <c r="B9769" s="27" t="s">
        <v>1124</v>
      </c>
      <c r="D9769" s="27" t="s">
        <v>1859</v>
      </c>
      <c r="F9769" s="27" t="s">
        <v>1867</v>
      </c>
      <c r="H9769" s="27" t="s">
        <v>1868</v>
      </c>
      <c r="J9769" s="27" t="s">
        <v>290</v>
      </c>
      <c r="L9769" s="27" t="s">
        <v>122</v>
      </c>
      <c r="N9769" s="27" t="s">
        <v>295</v>
      </c>
      <c r="P9769" s="27" t="s">
        <v>14051</v>
      </c>
      <c r="Q9769" s="26" t="str">
        <f>HYPERLINK("https://ictv.global/taxonomy/taxondetails?taxnode_id=202502204&amp;ictv_id=ICTV19991840","ICTV19991840")</f>
        <v>ICTV19991840</v>
      </c>
      <c r="R9769" t="s">
        <v>581</v>
      </c>
      <c r="S9769" t="s">
        <v>824</v>
      </c>
      <c r="T9769">
        <v>39</v>
      </c>
      <c r="U9769" s="26" t="str">
        <f t="shared" ref="U9769:U9803" si="350">HYPERLINK("https://ictv.global/ictv/proposals/2023.025P.Alphaflexiviridae_rename_sp.zip","2023.025P.Alphaflexiviridae_rename_sp.zip")</f>
        <v>2023.025P.Alphaflexiviridae_rename_sp.zip</v>
      </c>
    </row>
    <row r="9770" spans="1:21">
      <c r="A9770">
        <v>9769</v>
      </c>
      <c r="B9770" s="27" t="s">
        <v>1124</v>
      </c>
      <c r="D9770" s="27" t="s">
        <v>1859</v>
      </c>
      <c r="F9770" s="27" t="s">
        <v>1867</v>
      </c>
      <c r="H9770" s="27" t="s">
        <v>1868</v>
      </c>
      <c r="J9770" s="27" t="s">
        <v>290</v>
      </c>
      <c r="L9770" s="27" t="s">
        <v>122</v>
      </c>
      <c r="N9770" s="27" t="s">
        <v>295</v>
      </c>
      <c r="P9770" s="27" t="s">
        <v>14052</v>
      </c>
      <c r="Q9770" s="26" t="str">
        <f>HYPERLINK("https://ictv.global/taxonomy/taxondetails?taxnode_id=202502207&amp;ictv_id=ICTV20093073","ICTV20093073")</f>
        <v>ICTV20093073</v>
      </c>
      <c r="R9770" t="s">
        <v>581</v>
      </c>
      <c r="S9770" t="s">
        <v>824</v>
      </c>
      <c r="T9770">
        <v>39</v>
      </c>
      <c r="U9770" s="26" t="str">
        <f t="shared" si="350"/>
        <v>2023.025P.Alphaflexiviridae_rename_sp.zip</v>
      </c>
    </row>
    <row r="9771" spans="1:21">
      <c r="A9771">
        <v>9770</v>
      </c>
      <c r="B9771" s="27" t="s">
        <v>1124</v>
      </c>
      <c r="D9771" s="27" t="s">
        <v>1859</v>
      </c>
      <c r="F9771" s="27" t="s">
        <v>1867</v>
      </c>
      <c r="H9771" s="27" t="s">
        <v>1868</v>
      </c>
      <c r="J9771" s="27" t="s">
        <v>290</v>
      </c>
      <c r="L9771" s="27" t="s">
        <v>122</v>
      </c>
      <c r="N9771" s="27" t="s">
        <v>295</v>
      </c>
      <c r="P9771" s="27" t="s">
        <v>14053</v>
      </c>
      <c r="Q9771" s="26" t="str">
        <f>HYPERLINK("https://ictv.global/taxonomy/taxondetails?taxnode_id=202502208&amp;ictv_id=ICTV19821280","ICTV19821280")</f>
        <v>ICTV19821280</v>
      </c>
      <c r="R9771" t="s">
        <v>581</v>
      </c>
      <c r="S9771" t="s">
        <v>824</v>
      </c>
      <c r="T9771">
        <v>39</v>
      </c>
      <c r="U9771" s="26" t="str">
        <f t="shared" si="350"/>
        <v>2023.025P.Alphaflexiviridae_rename_sp.zip</v>
      </c>
    </row>
    <row r="9772" spans="1:21">
      <c r="A9772">
        <v>9771</v>
      </c>
      <c r="B9772" s="27" t="s">
        <v>1124</v>
      </c>
      <c r="D9772" s="27" t="s">
        <v>1859</v>
      </c>
      <c r="F9772" s="27" t="s">
        <v>1867</v>
      </c>
      <c r="H9772" s="27" t="s">
        <v>1868</v>
      </c>
      <c r="J9772" s="27" t="s">
        <v>290</v>
      </c>
      <c r="L9772" s="27" t="s">
        <v>122</v>
      </c>
      <c r="N9772" s="27" t="s">
        <v>295</v>
      </c>
      <c r="P9772" s="27" t="s">
        <v>14054</v>
      </c>
      <c r="Q9772" s="26" t="str">
        <f>HYPERLINK("https://ictv.global/taxonomy/taxondetails?taxnode_id=202502200&amp;ictv_id=ICTV19952412","ICTV19952412")</f>
        <v>ICTV19952412</v>
      </c>
      <c r="R9772" t="s">
        <v>581</v>
      </c>
      <c r="S9772" t="s">
        <v>824</v>
      </c>
      <c r="T9772">
        <v>39</v>
      </c>
      <c r="U9772" s="26" t="str">
        <f t="shared" si="350"/>
        <v>2023.025P.Alphaflexiviridae_rename_sp.zip</v>
      </c>
    </row>
    <row r="9773" spans="1:21">
      <c r="A9773">
        <v>9772</v>
      </c>
      <c r="B9773" s="27" t="s">
        <v>1124</v>
      </c>
      <c r="D9773" s="27" t="s">
        <v>1859</v>
      </c>
      <c r="F9773" s="27" t="s">
        <v>1867</v>
      </c>
      <c r="H9773" s="27" t="s">
        <v>1868</v>
      </c>
      <c r="J9773" s="27" t="s">
        <v>290</v>
      </c>
      <c r="L9773" s="27" t="s">
        <v>122</v>
      </c>
      <c r="N9773" s="27" t="s">
        <v>295</v>
      </c>
      <c r="P9773" s="27" t="s">
        <v>14055</v>
      </c>
      <c r="Q9773" s="26" t="str">
        <f>HYPERLINK("https://ictv.global/taxonomy/taxondetails?taxnode_id=202502210&amp;ictv_id=ICTV20083791","ICTV20083791")</f>
        <v>ICTV20083791</v>
      </c>
      <c r="R9773" t="s">
        <v>581</v>
      </c>
      <c r="S9773" t="s">
        <v>824</v>
      </c>
      <c r="T9773">
        <v>39</v>
      </c>
      <c r="U9773" s="26" t="str">
        <f t="shared" si="350"/>
        <v>2023.025P.Alphaflexiviridae_rename_sp.zip</v>
      </c>
    </row>
    <row r="9774" spans="1:21">
      <c r="A9774">
        <v>9773</v>
      </c>
      <c r="B9774" s="27" t="s">
        <v>1124</v>
      </c>
      <c r="D9774" s="27" t="s">
        <v>1859</v>
      </c>
      <c r="F9774" s="27" t="s">
        <v>1867</v>
      </c>
      <c r="H9774" s="27" t="s">
        <v>1868</v>
      </c>
      <c r="J9774" s="27" t="s">
        <v>290</v>
      </c>
      <c r="L9774" s="27" t="s">
        <v>122</v>
      </c>
      <c r="N9774" s="27" t="s">
        <v>295</v>
      </c>
      <c r="P9774" s="27" t="s">
        <v>14056</v>
      </c>
      <c r="Q9774" s="26" t="str">
        <f>HYPERLINK("https://ictv.global/taxonomy/taxondetails?taxnode_id=202502212&amp;ictv_id=ICTV19791054","ICTV19791054")</f>
        <v>ICTV19791054</v>
      </c>
      <c r="R9774" t="s">
        <v>581</v>
      </c>
      <c r="S9774" t="s">
        <v>824</v>
      </c>
      <c r="T9774">
        <v>39</v>
      </c>
      <c r="U9774" s="26" t="str">
        <f t="shared" si="350"/>
        <v>2023.025P.Alphaflexiviridae_rename_sp.zip</v>
      </c>
    </row>
    <row r="9775" spans="1:21">
      <c r="A9775">
        <v>9774</v>
      </c>
      <c r="B9775" s="27" t="s">
        <v>1124</v>
      </c>
      <c r="D9775" s="27" t="s">
        <v>1859</v>
      </c>
      <c r="F9775" s="27" t="s">
        <v>1867</v>
      </c>
      <c r="H9775" s="27" t="s">
        <v>1868</v>
      </c>
      <c r="J9775" s="27" t="s">
        <v>290</v>
      </c>
      <c r="L9775" s="27" t="s">
        <v>122</v>
      </c>
      <c r="N9775" s="27" t="s">
        <v>295</v>
      </c>
      <c r="P9775" s="27" t="s">
        <v>14057</v>
      </c>
      <c r="Q9775" s="26" t="str">
        <f>HYPERLINK("https://ictv.global/taxonomy/taxondetails?taxnode_id=202502213&amp;ictv_id=ICTV20083794","ICTV20083794")</f>
        <v>ICTV20083794</v>
      </c>
      <c r="R9775" t="s">
        <v>581</v>
      </c>
      <c r="S9775" t="s">
        <v>824</v>
      </c>
      <c r="T9775">
        <v>39</v>
      </c>
      <c r="U9775" s="26" t="str">
        <f t="shared" si="350"/>
        <v>2023.025P.Alphaflexiviridae_rename_sp.zip</v>
      </c>
    </row>
    <row r="9776" spans="1:21">
      <c r="A9776">
        <v>9775</v>
      </c>
      <c r="B9776" s="27" t="s">
        <v>1124</v>
      </c>
      <c r="D9776" s="27" t="s">
        <v>1859</v>
      </c>
      <c r="F9776" s="27" t="s">
        <v>1867</v>
      </c>
      <c r="H9776" s="27" t="s">
        <v>1868</v>
      </c>
      <c r="J9776" s="27" t="s">
        <v>290</v>
      </c>
      <c r="L9776" s="27" t="s">
        <v>122</v>
      </c>
      <c r="N9776" s="27" t="s">
        <v>295</v>
      </c>
      <c r="P9776" s="27" t="s">
        <v>14058</v>
      </c>
      <c r="Q9776" s="26" t="str">
        <f>HYPERLINK("https://ictv.global/taxonomy/taxondetails?taxnode_id=202502216&amp;ictv_id=ICTV20093082","ICTV20093082")</f>
        <v>ICTV20093082</v>
      </c>
      <c r="R9776" t="s">
        <v>581</v>
      </c>
      <c r="S9776" t="s">
        <v>824</v>
      </c>
      <c r="T9776">
        <v>39</v>
      </c>
      <c r="U9776" s="26" t="str">
        <f t="shared" si="350"/>
        <v>2023.025P.Alphaflexiviridae_rename_sp.zip</v>
      </c>
    </row>
    <row r="9777" spans="1:21">
      <c r="A9777">
        <v>9776</v>
      </c>
      <c r="B9777" s="27" t="s">
        <v>1124</v>
      </c>
      <c r="D9777" s="27" t="s">
        <v>1859</v>
      </c>
      <c r="F9777" s="27" t="s">
        <v>1867</v>
      </c>
      <c r="H9777" s="27" t="s">
        <v>1868</v>
      </c>
      <c r="J9777" s="27" t="s">
        <v>290</v>
      </c>
      <c r="L9777" s="27" t="s">
        <v>122</v>
      </c>
      <c r="N9777" s="27" t="s">
        <v>295</v>
      </c>
      <c r="P9777" s="27" t="s">
        <v>14059</v>
      </c>
      <c r="Q9777" s="26" t="str">
        <f>HYPERLINK("https://ictv.global/taxonomy/taxondetails?taxnode_id=202505635&amp;ictv_id=ICTV20175635","ICTV20175635")</f>
        <v>ICTV20175635</v>
      </c>
      <c r="R9777" t="s">
        <v>581</v>
      </c>
      <c r="S9777" t="s">
        <v>824</v>
      </c>
      <c r="T9777">
        <v>39</v>
      </c>
      <c r="U9777" s="26" t="str">
        <f t="shared" si="350"/>
        <v>2023.025P.Alphaflexiviridae_rename_sp.zip</v>
      </c>
    </row>
    <row r="9778" spans="1:21">
      <c r="A9778">
        <v>9777</v>
      </c>
      <c r="B9778" s="27" t="s">
        <v>1124</v>
      </c>
      <c r="D9778" s="27" t="s">
        <v>1859</v>
      </c>
      <c r="F9778" s="27" t="s">
        <v>1867</v>
      </c>
      <c r="H9778" s="27" t="s">
        <v>1868</v>
      </c>
      <c r="J9778" s="27" t="s">
        <v>290</v>
      </c>
      <c r="L9778" s="27" t="s">
        <v>122</v>
      </c>
      <c r="N9778" s="27" t="s">
        <v>295</v>
      </c>
      <c r="P9778" s="27" t="s">
        <v>14060</v>
      </c>
      <c r="Q9778" s="26" t="str">
        <f>HYPERLINK("https://ictv.global/taxonomy/taxondetails?taxnode_id=202502218&amp;ictv_id=ICTV19821286","ICTV19821286")</f>
        <v>ICTV19821286</v>
      </c>
      <c r="R9778" t="s">
        <v>581</v>
      </c>
      <c r="S9778" t="s">
        <v>824</v>
      </c>
      <c r="T9778">
        <v>39</v>
      </c>
      <c r="U9778" s="26" t="str">
        <f t="shared" si="350"/>
        <v>2023.025P.Alphaflexiviridae_rename_sp.zip</v>
      </c>
    </row>
    <row r="9779" spans="1:21">
      <c r="A9779">
        <v>9778</v>
      </c>
      <c r="B9779" s="27" t="s">
        <v>1124</v>
      </c>
      <c r="D9779" s="27" t="s">
        <v>1859</v>
      </c>
      <c r="F9779" s="27" t="s">
        <v>1867</v>
      </c>
      <c r="H9779" s="27" t="s">
        <v>1868</v>
      </c>
      <c r="J9779" s="27" t="s">
        <v>290</v>
      </c>
      <c r="L9779" s="27" t="s">
        <v>122</v>
      </c>
      <c r="N9779" s="27" t="s">
        <v>295</v>
      </c>
      <c r="P9779" s="27" t="s">
        <v>14061</v>
      </c>
      <c r="Q9779" s="26" t="str">
        <f>HYPERLINK("https://ictv.global/taxonomy/taxondetails?taxnode_id=202502220&amp;ictv_id=ICTV19710248","ICTV19710248")</f>
        <v>ICTV19710248</v>
      </c>
      <c r="R9779" t="s">
        <v>581</v>
      </c>
      <c r="S9779" t="s">
        <v>824</v>
      </c>
      <c r="T9779">
        <v>39</v>
      </c>
      <c r="U9779" s="26" t="str">
        <f t="shared" si="350"/>
        <v>2023.025P.Alphaflexiviridae_rename_sp.zip</v>
      </c>
    </row>
    <row r="9780" spans="1:21">
      <c r="A9780">
        <v>9779</v>
      </c>
      <c r="B9780" s="27" t="s">
        <v>1124</v>
      </c>
      <c r="D9780" s="27" t="s">
        <v>1859</v>
      </c>
      <c r="F9780" s="27" t="s">
        <v>1867</v>
      </c>
      <c r="H9780" s="27" t="s">
        <v>1868</v>
      </c>
      <c r="J9780" s="27" t="s">
        <v>290</v>
      </c>
      <c r="L9780" s="27" t="s">
        <v>122</v>
      </c>
      <c r="N9780" s="27" t="s">
        <v>295</v>
      </c>
      <c r="P9780" s="27" t="s">
        <v>14062</v>
      </c>
      <c r="Q9780" s="26" t="str">
        <f>HYPERLINK("https://ictv.global/taxonomy/taxondetails?taxnode_id=202509849&amp;ictv_id=ICTV202009849","ICTV202009849")</f>
        <v>ICTV202009849</v>
      </c>
      <c r="R9780" t="s">
        <v>581</v>
      </c>
      <c r="S9780" t="s">
        <v>824</v>
      </c>
      <c r="T9780">
        <v>39</v>
      </c>
      <c r="U9780" s="26" t="str">
        <f t="shared" si="350"/>
        <v>2023.025P.Alphaflexiviridae_rename_sp.zip</v>
      </c>
    </row>
    <row r="9781" spans="1:21">
      <c r="A9781">
        <v>9780</v>
      </c>
      <c r="B9781" s="27" t="s">
        <v>1124</v>
      </c>
      <c r="D9781" s="27" t="s">
        <v>1859</v>
      </c>
      <c r="F9781" s="27" t="s">
        <v>1867</v>
      </c>
      <c r="H9781" s="27" t="s">
        <v>1868</v>
      </c>
      <c r="J9781" s="27" t="s">
        <v>290</v>
      </c>
      <c r="L9781" s="27" t="s">
        <v>122</v>
      </c>
      <c r="N9781" s="27" t="s">
        <v>295</v>
      </c>
      <c r="P9781" s="27" t="s">
        <v>14063</v>
      </c>
      <c r="Q9781" s="26" t="str">
        <f>HYPERLINK("https://ictv.global/taxonomy/taxondetails?taxnode_id=202502224&amp;ictv_id=ICTV19911750","ICTV19911750")</f>
        <v>ICTV19911750</v>
      </c>
      <c r="R9781" t="s">
        <v>581</v>
      </c>
      <c r="S9781" t="s">
        <v>824</v>
      </c>
      <c r="T9781">
        <v>39</v>
      </c>
      <c r="U9781" s="26" t="str">
        <f t="shared" si="350"/>
        <v>2023.025P.Alphaflexiviridae_rename_sp.zip</v>
      </c>
    </row>
    <row r="9782" spans="1:21">
      <c r="A9782">
        <v>9781</v>
      </c>
      <c r="B9782" s="27" t="s">
        <v>1124</v>
      </c>
      <c r="D9782" s="27" t="s">
        <v>1859</v>
      </c>
      <c r="F9782" s="27" t="s">
        <v>1867</v>
      </c>
      <c r="H9782" s="27" t="s">
        <v>1868</v>
      </c>
      <c r="J9782" s="27" t="s">
        <v>290</v>
      </c>
      <c r="L9782" s="27" t="s">
        <v>122</v>
      </c>
      <c r="N9782" s="27" t="s">
        <v>295</v>
      </c>
      <c r="P9782" s="27" t="s">
        <v>14064</v>
      </c>
      <c r="Q9782" s="26" t="str">
        <f>HYPERLINK("https://ictv.global/taxonomy/taxondetails?taxnode_id=202505636&amp;ictv_id=ICTV20175636","ICTV20175636")</f>
        <v>ICTV20175636</v>
      </c>
      <c r="R9782" t="s">
        <v>581</v>
      </c>
      <c r="S9782" t="s">
        <v>824</v>
      </c>
      <c r="T9782">
        <v>39</v>
      </c>
      <c r="U9782" s="26" t="str">
        <f t="shared" si="350"/>
        <v>2023.025P.Alphaflexiviridae_rename_sp.zip</v>
      </c>
    </row>
    <row r="9783" spans="1:21">
      <c r="A9783">
        <v>9782</v>
      </c>
      <c r="B9783" s="27" t="s">
        <v>1124</v>
      </c>
      <c r="D9783" s="27" t="s">
        <v>1859</v>
      </c>
      <c r="F9783" s="27" t="s">
        <v>1867</v>
      </c>
      <c r="H9783" s="27" t="s">
        <v>1868</v>
      </c>
      <c r="J9783" s="27" t="s">
        <v>290</v>
      </c>
      <c r="L9783" s="27" t="s">
        <v>122</v>
      </c>
      <c r="N9783" s="27" t="s">
        <v>295</v>
      </c>
      <c r="P9783" s="27" t="s">
        <v>14065</v>
      </c>
      <c r="Q9783" s="26" t="str">
        <f>HYPERLINK("https://ictv.global/taxonomy/taxondetails?taxnode_id=202502227&amp;ictv_id=ICTV20083807","ICTV20083807")</f>
        <v>ICTV20083807</v>
      </c>
      <c r="R9783" t="s">
        <v>581</v>
      </c>
      <c r="S9783" t="s">
        <v>824</v>
      </c>
      <c r="T9783">
        <v>39</v>
      </c>
      <c r="U9783" s="26" t="str">
        <f t="shared" si="350"/>
        <v>2023.025P.Alphaflexiviridae_rename_sp.zip</v>
      </c>
    </row>
    <row r="9784" spans="1:21">
      <c r="A9784">
        <v>9783</v>
      </c>
      <c r="B9784" s="27" t="s">
        <v>1124</v>
      </c>
      <c r="D9784" s="27" t="s">
        <v>1859</v>
      </c>
      <c r="F9784" s="27" t="s">
        <v>1867</v>
      </c>
      <c r="H9784" s="27" t="s">
        <v>1868</v>
      </c>
      <c r="J9784" s="27" t="s">
        <v>290</v>
      </c>
      <c r="L9784" s="27" t="s">
        <v>122</v>
      </c>
      <c r="N9784" s="27" t="s">
        <v>295</v>
      </c>
      <c r="P9784" s="27" t="s">
        <v>14066</v>
      </c>
      <c r="Q9784" s="26" t="str">
        <f>HYPERLINK("https://ictv.global/taxonomy/taxondetails?taxnode_id=202509845&amp;ictv_id=ICTV202009845","ICTV202009845")</f>
        <v>ICTV202009845</v>
      </c>
      <c r="R9784" t="s">
        <v>581</v>
      </c>
      <c r="S9784" t="s">
        <v>824</v>
      </c>
      <c r="T9784">
        <v>39</v>
      </c>
      <c r="U9784" s="26" t="str">
        <f t="shared" si="350"/>
        <v>2023.025P.Alphaflexiviridae_rename_sp.zip</v>
      </c>
    </row>
    <row r="9785" spans="1:21">
      <c r="A9785">
        <v>9784</v>
      </c>
      <c r="B9785" s="27" t="s">
        <v>1124</v>
      </c>
      <c r="D9785" s="27" t="s">
        <v>1859</v>
      </c>
      <c r="F9785" s="27" t="s">
        <v>1867</v>
      </c>
      <c r="H9785" s="27" t="s">
        <v>1868</v>
      </c>
      <c r="J9785" s="27" t="s">
        <v>290</v>
      </c>
      <c r="L9785" s="27" t="s">
        <v>122</v>
      </c>
      <c r="N9785" s="27" t="s">
        <v>295</v>
      </c>
      <c r="P9785" s="27" t="s">
        <v>14067</v>
      </c>
      <c r="Q9785" s="26" t="str">
        <f>HYPERLINK("https://ictv.global/taxonomy/taxondetails?taxnode_id=202502201&amp;ictv_id=ICTV19710246","ICTV19710246")</f>
        <v>ICTV19710246</v>
      </c>
      <c r="R9785" t="s">
        <v>581</v>
      </c>
      <c r="S9785" t="s">
        <v>824</v>
      </c>
      <c r="T9785">
        <v>39</v>
      </c>
      <c r="U9785" s="26" t="str">
        <f t="shared" si="350"/>
        <v>2023.025P.Alphaflexiviridae_rename_sp.zip</v>
      </c>
    </row>
    <row r="9786" spans="1:21">
      <c r="A9786">
        <v>9785</v>
      </c>
      <c r="B9786" s="27" t="s">
        <v>1124</v>
      </c>
      <c r="D9786" s="27" t="s">
        <v>1859</v>
      </c>
      <c r="F9786" s="27" t="s">
        <v>1867</v>
      </c>
      <c r="H9786" s="27" t="s">
        <v>1868</v>
      </c>
      <c r="J9786" s="27" t="s">
        <v>290</v>
      </c>
      <c r="L9786" s="27" t="s">
        <v>122</v>
      </c>
      <c r="N9786" s="27" t="s">
        <v>295</v>
      </c>
      <c r="P9786" s="27" t="s">
        <v>14068</v>
      </c>
      <c r="Q9786" s="26" t="str">
        <f>HYPERLINK("https://ictv.global/taxonomy/taxondetails?taxnode_id=202509846&amp;ictv_id=ICTV202009846","ICTV202009846")</f>
        <v>ICTV202009846</v>
      </c>
      <c r="R9786" t="s">
        <v>581</v>
      </c>
      <c r="S9786" t="s">
        <v>824</v>
      </c>
      <c r="T9786">
        <v>39</v>
      </c>
      <c r="U9786" s="26" t="str">
        <f t="shared" si="350"/>
        <v>2023.025P.Alphaflexiviridae_rename_sp.zip</v>
      </c>
    </row>
    <row r="9787" spans="1:21">
      <c r="A9787">
        <v>9786</v>
      </c>
      <c r="B9787" s="27" t="s">
        <v>1124</v>
      </c>
      <c r="D9787" s="27" t="s">
        <v>1859</v>
      </c>
      <c r="F9787" s="27" t="s">
        <v>1867</v>
      </c>
      <c r="H9787" s="27" t="s">
        <v>1868</v>
      </c>
      <c r="J9787" s="27" t="s">
        <v>290</v>
      </c>
      <c r="L9787" s="27" t="s">
        <v>122</v>
      </c>
      <c r="N9787" s="27" t="s">
        <v>295</v>
      </c>
      <c r="P9787" s="27" t="s">
        <v>14069</v>
      </c>
      <c r="Q9787" s="26" t="str">
        <f>HYPERLINK("https://ictv.global/taxonomy/taxondetails?taxnode_id=202502222&amp;ictv_id=ICTV19991852","ICTV19991852")</f>
        <v>ICTV19991852</v>
      </c>
      <c r="R9787" t="s">
        <v>581</v>
      </c>
      <c r="S9787" t="s">
        <v>824</v>
      </c>
      <c r="T9787">
        <v>39</v>
      </c>
      <c r="U9787" s="26" t="str">
        <f t="shared" si="350"/>
        <v>2023.025P.Alphaflexiviridae_rename_sp.zip</v>
      </c>
    </row>
    <row r="9788" spans="1:21">
      <c r="A9788">
        <v>9787</v>
      </c>
      <c r="B9788" s="27" t="s">
        <v>1124</v>
      </c>
      <c r="D9788" s="27" t="s">
        <v>1859</v>
      </c>
      <c r="F9788" s="27" t="s">
        <v>1867</v>
      </c>
      <c r="H9788" s="27" t="s">
        <v>1868</v>
      </c>
      <c r="J9788" s="27" t="s">
        <v>290</v>
      </c>
      <c r="L9788" s="27" t="s">
        <v>122</v>
      </c>
      <c r="N9788" s="27" t="s">
        <v>295</v>
      </c>
      <c r="P9788" s="27" t="s">
        <v>14070</v>
      </c>
      <c r="Q9788" s="26" t="str">
        <f>HYPERLINK("https://ictv.global/taxonomy/taxondetails?taxnode_id=202502205&amp;ictv_id=ICTV19710247","ICTV19710247")</f>
        <v>ICTV19710247</v>
      </c>
      <c r="R9788" t="s">
        <v>581</v>
      </c>
      <c r="S9788" t="s">
        <v>824</v>
      </c>
      <c r="T9788">
        <v>39</v>
      </c>
      <c r="U9788" s="26" t="str">
        <f t="shared" si="350"/>
        <v>2023.025P.Alphaflexiviridae_rename_sp.zip</v>
      </c>
    </row>
    <row r="9789" spans="1:21">
      <c r="A9789">
        <v>9788</v>
      </c>
      <c r="B9789" s="27" t="s">
        <v>1124</v>
      </c>
      <c r="D9789" s="27" t="s">
        <v>1859</v>
      </c>
      <c r="F9789" s="27" t="s">
        <v>1867</v>
      </c>
      <c r="H9789" s="27" t="s">
        <v>1868</v>
      </c>
      <c r="J9789" s="27" t="s">
        <v>290</v>
      </c>
      <c r="L9789" s="27" t="s">
        <v>122</v>
      </c>
      <c r="N9789" s="27" t="s">
        <v>295</v>
      </c>
      <c r="P9789" s="27" t="s">
        <v>14071</v>
      </c>
      <c r="Q9789" s="26" t="str">
        <f>HYPERLINK("https://ictv.global/taxonomy/taxondetails?taxnode_id=202502206&amp;ictv_id=ICTV20125755","ICTV20125755")</f>
        <v>ICTV20125755</v>
      </c>
      <c r="R9789" t="s">
        <v>581</v>
      </c>
      <c r="S9789" t="s">
        <v>824</v>
      </c>
      <c r="T9789">
        <v>39</v>
      </c>
      <c r="U9789" s="26" t="str">
        <f t="shared" si="350"/>
        <v>2023.025P.Alphaflexiviridae_rename_sp.zip</v>
      </c>
    </row>
    <row r="9790" spans="1:21">
      <c r="A9790">
        <v>9789</v>
      </c>
      <c r="B9790" s="27" t="s">
        <v>1124</v>
      </c>
      <c r="D9790" s="27" t="s">
        <v>1859</v>
      </c>
      <c r="F9790" s="27" t="s">
        <v>1867</v>
      </c>
      <c r="H9790" s="27" t="s">
        <v>1868</v>
      </c>
      <c r="J9790" s="27" t="s">
        <v>290</v>
      </c>
      <c r="L9790" s="27" t="s">
        <v>122</v>
      </c>
      <c r="N9790" s="27" t="s">
        <v>295</v>
      </c>
      <c r="P9790" s="27" t="s">
        <v>14072</v>
      </c>
      <c r="Q9790" s="26" t="str">
        <f>HYPERLINK("https://ictv.global/taxonomy/taxondetails?taxnode_id=202502209&amp;ictv_id=ICTV20093075","ICTV20093075")</f>
        <v>ICTV20093075</v>
      </c>
      <c r="R9790" t="s">
        <v>581</v>
      </c>
      <c r="S9790" t="s">
        <v>824</v>
      </c>
      <c r="T9790">
        <v>39</v>
      </c>
      <c r="U9790" s="26" t="str">
        <f t="shared" si="350"/>
        <v>2023.025P.Alphaflexiviridae_rename_sp.zip</v>
      </c>
    </row>
    <row r="9791" spans="1:21">
      <c r="A9791">
        <v>9790</v>
      </c>
      <c r="B9791" s="27" t="s">
        <v>1124</v>
      </c>
      <c r="D9791" s="27" t="s">
        <v>1859</v>
      </c>
      <c r="F9791" s="27" t="s">
        <v>1867</v>
      </c>
      <c r="H9791" s="27" t="s">
        <v>1868</v>
      </c>
      <c r="J9791" s="27" t="s">
        <v>290</v>
      </c>
      <c r="L9791" s="27" t="s">
        <v>122</v>
      </c>
      <c r="N9791" s="27" t="s">
        <v>295</v>
      </c>
      <c r="P9791" s="27" t="s">
        <v>14073</v>
      </c>
      <c r="Q9791" s="26" t="str">
        <f>HYPERLINK("https://ictv.global/taxonomy/taxondetails?taxnode_id=202502219&amp;ictv_id=ICTV19952425","ICTV19952425")</f>
        <v>ICTV19952425</v>
      </c>
      <c r="R9791" t="s">
        <v>581</v>
      </c>
      <c r="S9791" t="s">
        <v>824</v>
      </c>
      <c r="T9791">
        <v>39</v>
      </c>
      <c r="U9791" s="26" t="str">
        <f t="shared" si="350"/>
        <v>2023.025P.Alphaflexiviridae_rename_sp.zip</v>
      </c>
    </row>
    <row r="9792" spans="1:21">
      <c r="A9792">
        <v>9791</v>
      </c>
      <c r="B9792" s="27" t="s">
        <v>1124</v>
      </c>
      <c r="D9792" s="27" t="s">
        <v>1859</v>
      </c>
      <c r="F9792" s="27" t="s">
        <v>1867</v>
      </c>
      <c r="H9792" s="27" t="s">
        <v>1868</v>
      </c>
      <c r="J9792" s="27" t="s">
        <v>290</v>
      </c>
      <c r="L9792" s="27" t="s">
        <v>122</v>
      </c>
      <c r="N9792" s="27" t="s">
        <v>295</v>
      </c>
      <c r="P9792" s="27" t="s">
        <v>14074</v>
      </c>
      <c r="Q9792" s="26" t="str">
        <f>HYPERLINK("https://ictv.global/taxonomy/taxondetails?taxnode_id=202502223&amp;ictv_id=ICTV19991853","ICTV19991853")</f>
        <v>ICTV19991853</v>
      </c>
      <c r="R9792" t="s">
        <v>581</v>
      </c>
      <c r="S9792" t="s">
        <v>824</v>
      </c>
      <c r="T9792">
        <v>39</v>
      </c>
      <c r="U9792" s="26" t="str">
        <f t="shared" si="350"/>
        <v>2023.025P.Alphaflexiviridae_rename_sp.zip</v>
      </c>
    </row>
    <row r="9793" spans="1:21">
      <c r="A9793">
        <v>9792</v>
      </c>
      <c r="B9793" s="27" t="s">
        <v>1124</v>
      </c>
      <c r="D9793" s="27" t="s">
        <v>1859</v>
      </c>
      <c r="F9793" s="27" t="s">
        <v>1867</v>
      </c>
      <c r="H9793" s="27" t="s">
        <v>1868</v>
      </c>
      <c r="J9793" s="27" t="s">
        <v>290</v>
      </c>
      <c r="L9793" s="27" t="s">
        <v>122</v>
      </c>
      <c r="N9793" s="27" t="s">
        <v>295</v>
      </c>
      <c r="P9793" s="27" t="s">
        <v>14075</v>
      </c>
      <c r="Q9793" s="26" t="str">
        <f>HYPERLINK("https://ictv.global/taxonomy/taxondetails?taxnode_id=202502199&amp;ictv_id=ICTV19991833","ICTV19991833")</f>
        <v>ICTV19991833</v>
      </c>
      <c r="R9793" t="s">
        <v>581</v>
      </c>
      <c r="S9793" t="s">
        <v>824</v>
      </c>
      <c r="T9793">
        <v>39</v>
      </c>
      <c r="U9793" s="26" t="str">
        <f t="shared" si="350"/>
        <v>2023.025P.Alphaflexiviridae_rename_sp.zip</v>
      </c>
    </row>
    <row r="9794" spans="1:21">
      <c r="A9794">
        <v>9793</v>
      </c>
      <c r="B9794" s="27" t="s">
        <v>1124</v>
      </c>
      <c r="D9794" s="27" t="s">
        <v>1859</v>
      </c>
      <c r="F9794" s="27" t="s">
        <v>1867</v>
      </c>
      <c r="H9794" s="27" t="s">
        <v>1868</v>
      </c>
      <c r="J9794" s="27" t="s">
        <v>290</v>
      </c>
      <c r="L9794" s="27" t="s">
        <v>122</v>
      </c>
      <c r="N9794" s="27" t="s">
        <v>295</v>
      </c>
      <c r="P9794" s="27" t="s">
        <v>14076</v>
      </c>
      <c r="Q9794" s="26" t="str">
        <f>HYPERLINK("https://ictv.global/taxonomy/taxondetails?taxnode_id=202502217&amp;ictv_id=ICTV19991847","ICTV19991847")</f>
        <v>ICTV19991847</v>
      </c>
      <c r="R9794" t="s">
        <v>581</v>
      </c>
      <c r="S9794" t="s">
        <v>824</v>
      </c>
      <c r="T9794">
        <v>39</v>
      </c>
      <c r="U9794" s="26" t="str">
        <f t="shared" si="350"/>
        <v>2023.025P.Alphaflexiviridae_rename_sp.zip</v>
      </c>
    </row>
    <row r="9795" spans="1:21">
      <c r="A9795">
        <v>9794</v>
      </c>
      <c r="B9795" s="27" t="s">
        <v>1124</v>
      </c>
      <c r="D9795" s="27" t="s">
        <v>1859</v>
      </c>
      <c r="F9795" s="27" t="s">
        <v>1867</v>
      </c>
      <c r="H9795" s="27" t="s">
        <v>1868</v>
      </c>
      <c r="J9795" s="27" t="s">
        <v>290</v>
      </c>
      <c r="L9795" s="27" t="s">
        <v>122</v>
      </c>
      <c r="N9795" s="27" t="s">
        <v>295</v>
      </c>
      <c r="P9795" s="27" t="s">
        <v>14077</v>
      </c>
      <c r="Q9795" s="26" t="str">
        <f>HYPERLINK("https://ictv.global/taxonomy/taxondetails?taxnode_id=202509848&amp;ictv_id=ICTV202009848","ICTV202009848")</f>
        <v>ICTV202009848</v>
      </c>
      <c r="R9795" t="s">
        <v>581</v>
      </c>
      <c r="S9795" t="s">
        <v>824</v>
      </c>
      <c r="T9795">
        <v>39</v>
      </c>
      <c r="U9795" s="26" t="str">
        <f t="shared" si="350"/>
        <v>2023.025P.Alphaflexiviridae_rename_sp.zip</v>
      </c>
    </row>
    <row r="9796" spans="1:21">
      <c r="A9796">
        <v>9795</v>
      </c>
      <c r="B9796" s="27" t="s">
        <v>1124</v>
      </c>
      <c r="D9796" s="27" t="s">
        <v>1859</v>
      </c>
      <c r="F9796" s="27" t="s">
        <v>1867</v>
      </c>
      <c r="H9796" s="27" t="s">
        <v>1868</v>
      </c>
      <c r="J9796" s="27" t="s">
        <v>290</v>
      </c>
      <c r="L9796" s="27" t="s">
        <v>122</v>
      </c>
      <c r="N9796" s="27" t="s">
        <v>295</v>
      </c>
      <c r="P9796" s="27" t="s">
        <v>14078</v>
      </c>
      <c r="Q9796" s="26" t="str">
        <f>HYPERLINK("https://ictv.global/taxonomy/taxondetails?taxnode_id=202502211&amp;ictv_id=ICTV19760749","ICTV19760749")</f>
        <v>ICTV19760749</v>
      </c>
      <c r="R9796" t="s">
        <v>581</v>
      </c>
      <c r="S9796" t="s">
        <v>824</v>
      </c>
      <c r="T9796">
        <v>39</v>
      </c>
      <c r="U9796" s="26" t="str">
        <f t="shared" si="350"/>
        <v>2023.025P.Alphaflexiviridae_rename_sp.zip</v>
      </c>
    </row>
    <row r="9797" spans="1:21">
      <c r="A9797">
        <v>9796</v>
      </c>
      <c r="B9797" s="27" t="s">
        <v>1124</v>
      </c>
      <c r="D9797" s="27" t="s">
        <v>1859</v>
      </c>
      <c r="F9797" s="27" t="s">
        <v>1867</v>
      </c>
      <c r="H9797" s="27" t="s">
        <v>1868</v>
      </c>
      <c r="J9797" s="27" t="s">
        <v>290</v>
      </c>
      <c r="L9797" s="27" t="s">
        <v>122</v>
      </c>
      <c r="N9797" s="27" t="s">
        <v>295</v>
      </c>
      <c r="P9797" s="27" t="s">
        <v>14079</v>
      </c>
      <c r="Q9797" s="26" t="str">
        <f>HYPERLINK("https://ictv.global/taxonomy/taxondetails?taxnode_id=202509843&amp;ictv_id=ICTV202009843","ICTV202009843")</f>
        <v>ICTV202009843</v>
      </c>
      <c r="R9797" t="s">
        <v>581</v>
      </c>
      <c r="S9797" t="s">
        <v>824</v>
      </c>
      <c r="T9797">
        <v>39</v>
      </c>
      <c r="U9797" s="26" t="str">
        <f t="shared" si="350"/>
        <v>2023.025P.Alphaflexiviridae_rename_sp.zip</v>
      </c>
    </row>
    <row r="9798" spans="1:21">
      <c r="A9798">
        <v>9797</v>
      </c>
      <c r="B9798" s="27" t="s">
        <v>1124</v>
      </c>
      <c r="D9798" s="27" t="s">
        <v>1859</v>
      </c>
      <c r="F9798" s="27" t="s">
        <v>1867</v>
      </c>
      <c r="H9798" s="27" t="s">
        <v>1868</v>
      </c>
      <c r="J9798" s="27" t="s">
        <v>290</v>
      </c>
      <c r="L9798" s="27" t="s">
        <v>122</v>
      </c>
      <c r="N9798" s="27" t="s">
        <v>295</v>
      </c>
      <c r="P9798" s="27" t="s">
        <v>14080</v>
      </c>
      <c r="Q9798" s="26" t="str">
        <f>HYPERLINK("https://ictv.global/taxonomy/taxondetails?taxnode_id=202502214&amp;ictv_id=ICTV19760750","ICTV19760750")</f>
        <v>ICTV19760750</v>
      </c>
      <c r="R9798" t="s">
        <v>581</v>
      </c>
      <c r="S9798" t="s">
        <v>824</v>
      </c>
      <c r="T9798">
        <v>39</v>
      </c>
      <c r="U9798" s="26" t="str">
        <f t="shared" si="350"/>
        <v>2023.025P.Alphaflexiviridae_rename_sp.zip</v>
      </c>
    </row>
    <row r="9799" spans="1:21">
      <c r="A9799">
        <v>9798</v>
      </c>
      <c r="B9799" s="27" t="s">
        <v>1124</v>
      </c>
      <c r="D9799" s="27" t="s">
        <v>1859</v>
      </c>
      <c r="F9799" s="27" t="s">
        <v>1867</v>
      </c>
      <c r="H9799" s="27" t="s">
        <v>1868</v>
      </c>
      <c r="J9799" s="27" t="s">
        <v>290</v>
      </c>
      <c r="L9799" s="27" t="s">
        <v>122</v>
      </c>
      <c r="N9799" s="27" t="s">
        <v>295</v>
      </c>
      <c r="P9799" s="27" t="s">
        <v>14081</v>
      </c>
      <c r="Q9799" s="26" t="str">
        <f>HYPERLINK("https://ictv.global/taxonomy/taxondetails?taxnode_id=202502215&amp;ictv_id=ICTV19791056","ICTV19791056")</f>
        <v>ICTV19791056</v>
      </c>
      <c r="R9799" t="s">
        <v>581</v>
      </c>
      <c r="S9799" t="s">
        <v>824</v>
      </c>
      <c r="T9799">
        <v>39</v>
      </c>
      <c r="U9799" s="26" t="str">
        <f t="shared" si="350"/>
        <v>2023.025P.Alphaflexiviridae_rename_sp.zip</v>
      </c>
    </row>
    <row r="9800" spans="1:21">
      <c r="A9800">
        <v>9799</v>
      </c>
      <c r="B9800" s="27" t="s">
        <v>1124</v>
      </c>
      <c r="D9800" s="27" t="s">
        <v>1859</v>
      </c>
      <c r="F9800" s="27" t="s">
        <v>1867</v>
      </c>
      <c r="H9800" s="27" t="s">
        <v>1868</v>
      </c>
      <c r="J9800" s="27" t="s">
        <v>290</v>
      </c>
      <c r="L9800" s="27" t="s">
        <v>122</v>
      </c>
      <c r="N9800" s="27" t="s">
        <v>295</v>
      </c>
      <c r="P9800" s="27" t="s">
        <v>14082</v>
      </c>
      <c r="Q9800" s="26" t="str">
        <f>HYPERLINK("https://ictv.global/taxonomy/taxondetails?taxnode_id=202502203&amp;ictv_id=ICTV19821278","ICTV19821278")</f>
        <v>ICTV19821278</v>
      </c>
      <c r="R9800" t="s">
        <v>581</v>
      </c>
      <c r="S9800" t="s">
        <v>824</v>
      </c>
      <c r="T9800">
        <v>39</v>
      </c>
      <c r="U9800" s="26" t="str">
        <f t="shared" si="350"/>
        <v>2023.025P.Alphaflexiviridae_rename_sp.zip</v>
      </c>
    </row>
    <row r="9801" spans="1:21">
      <c r="A9801">
        <v>9800</v>
      </c>
      <c r="B9801" s="27" t="s">
        <v>1124</v>
      </c>
      <c r="D9801" s="27" t="s">
        <v>1859</v>
      </c>
      <c r="F9801" s="27" t="s">
        <v>1867</v>
      </c>
      <c r="H9801" s="27" t="s">
        <v>1868</v>
      </c>
      <c r="J9801" s="27" t="s">
        <v>290</v>
      </c>
      <c r="L9801" s="27" t="s">
        <v>122</v>
      </c>
      <c r="N9801" s="27" t="s">
        <v>295</v>
      </c>
      <c r="P9801" s="27" t="s">
        <v>14083</v>
      </c>
      <c r="Q9801" s="26" t="str">
        <f>HYPERLINK("https://ictv.global/taxonomy/taxondetails?taxnode_id=202502196&amp;ictv_id=ICTV20083778","ICTV20083778")</f>
        <v>ICTV20083778</v>
      </c>
      <c r="R9801" t="s">
        <v>581</v>
      </c>
      <c r="S9801" t="s">
        <v>824</v>
      </c>
      <c r="T9801">
        <v>39</v>
      </c>
      <c r="U9801" s="26" t="str">
        <f t="shared" si="350"/>
        <v>2023.025P.Alphaflexiviridae_rename_sp.zip</v>
      </c>
    </row>
    <row r="9802" spans="1:21">
      <c r="A9802">
        <v>9801</v>
      </c>
      <c r="B9802" s="27" t="s">
        <v>1124</v>
      </c>
      <c r="D9802" s="27" t="s">
        <v>1859</v>
      </c>
      <c r="F9802" s="27" t="s">
        <v>1867</v>
      </c>
      <c r="H9802" s="27" t="s">
        <v>1868</v>
      </c>
      <c r="J9802" s="27" t="s">
        <v>290</v>
      </c>
      <c r="L9802" s="27" t="s">
        <v>122</v>
      </c>
      <c r="N9802" s="27" t="s">
        <v>295</v>
      </c>
      <c r="P9802" s="27" t="s">
        <v>14084</v>
      </c>
      <c r="Q9802" s="26" t="str">
        <f>HYPERLINK("https://ictv.global/taxonomy/taxondetails?taxnode_id=202502225&amp;ictv_id=ICTV19710249","ICTV19710249")</f>
        <v>ICTV19710249</v>
      </c>
      <c r="R9802" t="s">
        <v>581</v>
      </c>
      <c r="S9802" t="s">
        <v>824</v>
      </c>
      <c r="T9802">
        <v>39</v>
      </c>
      <c r="U9802" s="26" t="str">
        <f t="shared" si="350"/>
        <v>2023.025P.Alphaflexiviridae_rename_sp.zip</v>
      </c>
    </row>
    <row r="9803" spans="1:21">
      <c r="A9803">
        <v>9802</v>
      </c>
      <c r="B9803" s="27" t="s">
        <v>1124</v>
      </c>
      <c r="D9803" s="27" t="s">
        <v>1859</v>
      </c>
      <c r="F9803" s="27" t="s">
        <v>1867</v>
      </c>
      <c r="H9803" s="27" t="s">
        <v>1868</v>
      </c>
      <c r="J9803" s="27" t="s">
        <v>290</v>
      </c>
      <c r="L9803" s="27" t="s">
        <v>122</v>
      </c>
      <c r="N9803" s="27" t="s">
        <v>376</v>
      </c>
      <c r="P9803" s="27" t="s">
        <v>14085</v>
      </c>
      <c r="Q9803" s="26" t="str">
        <f>HYPERLINK("https://ictv.global/taxonomy/taxondetails?taxnode_id=202502229&amp;ictv_id=ICTV20093094","ICTV20093094")</f>
        <v>ICTV20093094</v>
      </c>
      <c r="R9803" t="s">
        <v>581</v>
      </c>
      <c r="S9803" t="s">
        <v>824</v>
      </c>
      <c r="T9803">
        <v>39</v>
      </c>
      <c r="U9803" s="26" t="str">
        <f t="shared" si="350"/>
        <v>2023.025P.Alphaflexiviridae_rename_sp.zip</v>
      </c>
    </row>
    <row r="9804" spans="1:21">
      <c r="A9804">
        <v>9803</v>
      </c>
      <c r="B9804" s="27" t="s">
        <v>1124</v>
      </c>
      <c r="D9804" s="27" t="s">
        <v>1859</v>
      </c>
      <c r="F9804" s="27" t="s">
        <v>1867</v>
      </c>
      <c r="H9804" s="27" t="s">
        <v>1868</v>
      </c>
      <c r="J9804" s="27" t="s">
        <v>290</v>
      </c>
      <c r="L9804" s="27" t="s">
        <v>291</v>
      </c>
      <c r="M9804" s="27" t="s">
        <v>650</v>
      </c>
      <c r="N9804" s="27" t="s">
        <v>8836</v>
      </c>
      <c r="P9804" s="27" t="s">
        <v>21551</v>
      </c>
      <c r="Q9804" s="26" t="str">
        <f>HYPERLINK("https://ictv.global/taxonomy/taxondetails?taxnode_id=202522420&amp;ictv_id=ICTV202522420","ICTV202522420")</f>
        <v>ICTV202522420</v>
      </c>
      <c r="R9804" t="s">
        <v>581</v>
      </c>
      <c r="S9804" t="s">
        <v>823</v>
      </c>
      <c r="T9804">
        <v>41</v>
      </c>
      <c r="U9804" s="26" t="str">
        <f>HYPERLINK("https://ictv.global/ictv/proposals/2025.008P.Betaflexiviridae_9nsp.zip","2025.008P.Betaflexiviridae_9nsp.zip")</f>
        <v>2025.008P.Betaflexiviridae_9nsp.zip</v>
      </c>
    </row>
    <row r="9805" spans="1:21">
      <c r="A9805">
        <v>9804</v>
      </c>
      <c r="B9805" s="27" t="s">
        <v>1124</v>
      </c>
      <c r="D9805" s="27" t="s">
        <v>1859</v>
      </c>
      <c r="F9805" s="27" t="s">
        <v>1867</v>
      </c>
      <c r="H9805" s="27" t="s">
        <v>1868</v>
      </c>
      <c r="J9805" s="27" t="s">
        <v>290</v>
      </c>
      <c r="L9805" s="27" t="s">
        <v>291</v>
      </c>
      <c r="M9805" s="27" t="s">
        <v>650</v>
      </c>
      <c r="N9805" s="27" t="s">
        <v>8836</v>
      </c>
      <c r="P9805" s="27" t="s">
        <v>14086</v>
      </c>
      <c r="Q9805" s="26" t="str">
        <f>HYPERLINK("https://ictv.global/taxonomy/taxondetails?taxnode_id=202502296&amp;ictv_id=ICTV20073656","ICTV20073656")</f>
        <v>ICTV20073656</v>
      </c>
      <c r="R9805" t="s">
        <v>581</v>
      </c>
      <c r="S9805" t="s">
        <v>824</v>
      </c>
      <c r="T9805">
        <v>39</v>
      </c>
      <c r="U9805" s="26" t="str">
        <f t="shared" ref="U9805:U9824" si="351">HYPERLINK("https://ictv.global/ictv/proposals/2023.027P.Betaflexiviridae_rename.zip","2023.027P.Betaflexiviridae_rename.zip")</f>
        <v>2023.027P.Betaflexiviridae_rename.zip</v>
      </c>
    </row>
    <row r="9806" spans="1:21">
      <c r="A9806">
        <v>9805</v>
      </c>
      <c r="B9806" s="27" t="s">
        <v>1124</v>
      </c>
      <c r="D9806" s="27" t="s">
        <v>1859</v>
      </c>
      <c r="F9806" s="27" t="s">
        <v>1867</v>
      </c>
      <c r="H9806" s="27" t="s">
        <v>1868</v>
      </c>
      <c r="J9806" s="27" t="s">
        <v>290</v>
      </c>
      <c r="L9806" s="27" t="s">
        <v>291</v>
      </c>
      <c r="M9806" s="27" t="s">
        <v>650</v>
      </c>
      <c r="N9806" s="27" t="s">
        <v>8836</v>
      </c>
      <c r="P9806" s="27" t="s">
        <v>14087</v>
      </c>
      <c r="Q9806" s="26" t="str">
        <f>HYPERLINK("https://ictv.global/taxonomy/taxondetails?taxnode_id=202515089&amp;ictv_id=ICTV202215089","ICTV202215089")</f>
        <v>ICTV202215089</v>
      </c>
      <c r="R9806" t="s">
        <v>581</v>
      </c>
      <c r="S9806" t="s">
        <v>824</v>
      </c>
      <c r="T9806">
        <v>39</v>
      </c>
      <c r="U9806" s="26" t="str">
        <f t="shared" si="351"/>
        <v>2023.027P.Betaflexiviridae_rename.zip</v>
      </c>
    </row>
    <row r="9807" spans="1:21">
      <c r="A9807">
        <v>9806</v>
      </c>
      <c r="B9807" s="27" t="s">
        <v>1124</v>
      </c>
      <c r="D9807" s="27" t="s">
        <v>1859</v>
      </c>
      <c r="F9807" s="27" t="s">
        <v>1867</v>
      </c>
      <c r="H9807" s="27" t="s">
        <v>1868</v>
      </c>
      <c r="J9807" s="27" t="s">
        <v>290</v>
      </c>
      <c r="L9807" s="27" t="s">
        <v>291</v>
      </c>
      <c r="M9807" s="27" t="s">
        <v>650</v>
      </c>
      <c r="N9807" s="27" t="s">
        <v>140</v>
      </c>
      <c r="P9807" s="27" t="s">
        <v>14088</v>
      </c>
      <c r="Q9807" s="26" t="str">
        <f>HYPERLINK("https://ictv.global/taxonomy/taxondetails?taxnode_id=202513846&amp;ictv_id=ICTV202113846","ICTV202113846")</f>
        <v>ICTV202113846</v>
      </c>
      <c r="R9807" t="s">
        <v>581</v>
      </c>
      <c r="S9807" t="s">
        <v>824</v>
      </c>
      <c r="T9807">
        <v>39</v>
      </c>
      <c r="U9807" s="26" t="str">
        <f t="shared" si="351"/>
        <v>2023.027P.Betaflexiviridae_rename.zip</v>
      </c>
    </row>
    <row r="9808" spans="1:21">
      <c r="A9808">
        <v>9807</v>
      </c>
      <c r="B9808" s="27" t="s">
        <v>1124</v>
      </c>
      <c r="D9808" s="27" t="s">
        <v>1859</v>
      </c>
      <c r="F9808" s="27" t="s">
        <v>1867</v>
      </c>
      <c r="H9808" s="27" t="s">
        <v>1868</v>
      </c>
      <c r="J9808" s="27" t="s">
        <v>290</v>
      </c>
      <c r="L9808" s="27" t="s">
        <v>291</v>
      </c>
      <c r="M9808" s="27" t="s">
        <v>650</v>
      </c>
      <c r="N9808" s="27" t="s">
        <v>140</v>
      </c>
      <c r="P9808" s="27" t="s">
        <v>14089</v>
      </c>
      <c r="Q9808" s="26" t="str">
        <f>HYPERLINK("https://ictv.global/taxonomy/taxondetails?taxnode_id=202515083&amp;ictv_id=ICTV202215083","ICTV202215083")</f>
        <v>ICTV202215083</v>
      </c>
      <c r="R9808" t="s">
        <v>581</v>
      </c>
      <c r="S9808" t="s">
        <v>824</v>
      </c>
      <c r="T9808">
        <v>39</v>
      </c>
      <c r="U9808" s="26" t="str">
        <f t="shared" si="351"/>
        <v>2023.027P.Betaflexiviridae_rename.zip</v>
      </c>
    </row>
    <row r="9809" spans="1:21">
      <c r="A9809">
        <v>9808</v>
      </c>
      <c r="B9809" s="27" t="s">
        <v>1124</v>
      </c>
      <c r="D9809" s="27" t="s">
        <v>1859</v>
      </c>
      <c r="F9809" s="27" t="s">
        <v>1867</v>
      </c>
      <c r="H9809" s="27" t="s">
        <v>1868</v>
      </c>
      <c r="J9809" s="27" t="s">
        <v>290</v>
      </c>
      <c r="L9809" s="27" t="s">
        <v>291</v>
      </c>
      <c r="M9809" s="27" t="s">
        <v>650</v>
      </c>
      <c r="N9809" s="27" t="s">
        <v>140</v>
      </c>
      <c r="P9809" s="27" t="s">
        <v>14090</v>
      </c>
      <c r="Q9809" s="26" t="str">
        <f>HYPERLINK("https://ictv.global/taxonomy/taxondetails?taxnode_id=202515079&amp;ictv_id=ICTV202215079","ICTV202215079")</f>
        <v>ICTV202215079</v>
      </c>
      <c r="R9809" t="s">
        <v>581</v>
      </c>
      <c r="S9809" t="s">
        <v>824</v>
      </c>
      <c r="T9809">
        <v>39</v>
      </c>
      <c r="U9809" s="26" t="str">
        <f t="shared" si="351"/>
        <v>2023.027P.Betaflexiviridae_rename.zip</v>
      </c>
    </row>
    <row r="9810" spans="1:21">
      <c r="A9810">
        <v>9809</v>
      </c>
      <c r="B9810" s="27" t="s">
        <v>1124</v>
      </c>
      <c r="D9810" s="27" t="s">
        <v>1859</v>
      </c>
      <c r="F9810" s="27" t="s">
        <v>1867</v>
      </c>
      <c r="H9810" s="27" t="s">
        <v>1868</v>
      </c>
      <c r="J9810" s="27" t="s">
        <v>290</v>
      </c>
      <c r="L9810" s="27" t="s">
        <v>291</v>
      </c>
      <c r="M9810" s="27" t="s">
        <v>650</v>
      </c>
      <c r="N9810" s="27" t="s">
        <v>140</v>
      </c>
      <c r="P9810" s="27" t="s">
        <v>14091</v>
      </c>
      <c r="Q9810" s="26" t="str">
        <f>HYPERLINK("https://ictv.global/taxonomy/taxondetails?taxnode_id=202505638&amp;ictv_id=ICTV20175638","ICTV20175638")</f>
        <v>ICTV20175638</v>
      </c>
      <c r="R9810" t="s">
        <v>581</v>
      </c>
      <c r="S9810" t="s">
        <v>824</v>
      </c>
      <c r="T9810">
        <v>39</v>
      </c>
      <c r="U9810" s="26" t="str">
        <f t="shared" si="351"/>
        <v>2023.027P.Betaflexiviridae_rename.zip</v>
      </c>
    </row>
    <row r="9811" spans="1:21">
      <c r="A9811">
        <v>9810</v>
      </c>
      <c r="B9811" s="27" t="s">
        <v>1124</v>
      </c>
      <c r="D9811" s="27" t="s">
        <v>1859</v>
      </c>
      <c r="F9811" s="27" t="s">
        <v>1867</v>
      </c>
      <c r="H9811" s="27" t="s">
        <v>1868</v>
      </c>
      <c r="J9811" s="27" t="s">
        <v>290</v>
      </c>
      <c r="L9811" s="27" t="s">
        <v>291</v>
      </c>
      <c r="M9811" s="27" t="s">
        <v>650</v>
      </c>
      <c r="N9811" s="27" t="s">
        <v>140</v>
      </c>
      <c r="P9811" s="27" t="s">
        <v>14092</v>
      </c>
      <c r="Q9811" s="26" t="str">
        <f>HYPERLINK("https://ictv.global/taxonomy/taxondetails?taxnode_id=202513847&amp;ictv_id=ICTV202113847","ICTV202113847")</f>
        <v>ICTV202113847</v>
      </c>
      <c r="R9811" t="s">
        <v>581</v>
      </c>
      <c r="S9811" t="s">
        <v>824</v>
      </c>
      <c r="T9811">
        <v>39</v>
      </c>
      <c r="U9811" s="26" t="str">
        <f t="shared" si="351"/>
        <v>2023.027P.Betaflexiviridae_rename.zip</v>
      </c>
    </row>
    <row r="9812" spans="1:21">
      <c r="A9812">
        <v>9811</v>
      </c>
      <c r="B9812" s="27" t="s">
        <v>1124</v>
      </c>
      <c r="D9812" s="27" t="s">
        <v>1859</v>
      </c>
      <c r="F9812" s="27" t="s">
        <v>1867</v>
      </c>
      <c r="H9812" s="27" t="s">
        <v>1868</v>
      </c>
      <c r="J9812" s="27" t="s">
        <v>290</v>
      </c>
      <c r="L9812" s="27" t="s">
        <v>291</v>
      </c>
      <c r="M9812" s="27" t="s">
        <v>650</v>
      </c>
      <c r="N9812" s="27" t="s">
        <v>140</v>
      </c>
      <c r="P9812" s="27" t="s">
        <v>14093</v>
      </c>
      <c r="Q9812" s="26" t="str">
        <f>HYPERLINK("https://ictv.global/taxonomy/taxondetails?taxnode_id=202502236&amp;ictv_id=ICTV19911531","ICTV19911531")</f>
        <v>ICTV19911531</v>
      </c>
      <c r="R9812" t="s">
        <v>581</v>
      </c>
      <c r="S9812" t="s">
        <v>824</v>
      </c>
      <c r="T9812">
        <v>39</v>
      </c>
      <c r="U9812" s="26" t="str">
        <f t="shared" si="351"/>
        <v>2023.027P.Betaflexiviridae_rename.zip</v>
      </c>
    </row>
    <row r="9813" spans="1:21">
      <c r="A9813">
        <v>9812</v>
      </c>
      <c r="B9813" s="27" t="s">
        <v>1124</v>
      </c>
      <c r="D9813" s="27" t="s">
        <v>1859</v>
      </c>
      <c r="F9813" s="27" t="s">
        <v>1867</v>
      </c>
      <c r="H9813" s="27" t="s">
        <v>1868</v>
      </c>
      <c r="J9813" s="27" t="s">
        <v>290</v>
      </c>
      <c r="L9813" s="27" t="s">
        <v>291</v>
      </c>
      <c r="M9813" s="27" t="s">
        <v>650</v>
      </c>
      <c r="N9813" s="27" t="s">
        <v>140</v>
      </c>
      <c r="P9813" s="27" t="s">
        <v>14094</v>
      </c>
      <c r="Q9813" s="26" t="str">
        <f>HYPERLINK("https://ictv.global/taxonomy/taxondetails?taxnode_id=202505637&amp;ictv_id=ICTV20175637","ICTV20175637")</f>
        <v>ICTV20175637</v>
      </c>
      <c r="R9813" t="s">
        <v>581</v>
      </c>
      <c r="S9813" t="s">
        <v>824</v>
      </c>
      <c r="T9813">
        <v>39</v>
      </c>
      <c r="U9813" s="26" t="str">
        <f t="shared" si="351"/>
        <v>2023.027P.Betaflexiviridae_rename.zip</v>
      </c>
    </row>
    <row r="9814" spans="1:21">
      <c r="A9814">
        <v>9813</v>
      </c>
      <c r="B9814" s="27" t="s">
        <v>1124</v>
      </c>
      <c r="D9814" s="27" t="s">
        <v>1859</v>
      </c>
      <c r="F9814" s="27" t="s">
        <v>1867</v>
      </c>
      <c r="H9814" s="27" t="s">
        <v>1868</v>
      </c>
      <c r="J9814" s="27" t="s">
        <v>290</v>
      </c>
      <c r="L9814" s="27" t="s">
        <v>291</v>
      </c>
      <c r="M9814" s="27" t="s">
        <v>650</v>
      </c>
      <c r="N9814" s="27" t="s">
        <v>140</v>
      </c>
      <c r="P9814" s="27" t="s">
        <v>14095</v>
      </c>
      <c r="Q9814" s="26" t="str">
        <f>HYPERLINK("https://ictv.global/taxonomy/taxondetails?taxnode_id=202502242&amp;ictv_id=ICTV19710147","ICTV19710147")</f>
        <v>ICTV19710147</v>
      </c>
      <c r="R9814" t="s">
        <v>581</v>
      </c>
      <c r="S9814" t="s">
        <v>824</v>
      </c>
      <c r="T9814">
        <v>39</v>
      </c>
      <c r="U9814" s="26" t="str">
        <f t="shared" si="351"/>
        <v>2023.027P.Betaflexiviridae_rename.zip</v>
      </c>
    </row>
    <row r="9815" spans="1:21">
      <c r="A9815">
        <v>9814</v>
      </c>
      <c r="B9815" s="27" t="s">
        <v>1124</v>
      </c>
      <c r="D9815" s="27" t="s">
        <v>1859</v>
      </c>
      <c r="F9815" s="27" t="s">
        <v>1867</v>
      </c>
      <c r="H9815" s="27" t="s">
        <v>1868</v>
      </c>
      <c r="J9815" s="27" t="s">
        <v>290</v>
      </c>
      <c r="L9815" s="27" t="s">
        <v>291</v>
      </c>
      <c r="M9815" s="27" t="s">
        <v>650</v>
      </c>
      <c r="N9815" s="27" t="s">
        <v>140</v>
      </c>
      <c r="P9815" s="27" t="s">
        <v>14096</v>
      </c>
      <c r="Q9815" s="26" t="str">
        <f>HYPERLINK("https://ictv.global/taxonomy/taxondetails?taxnode_id=202515080&amp;ictv_id=ICTV202215080","ICTV202215080")</f>
        <v>ICTV202215080</v>
      </c>
      <c r="R9815" t="s">
        <v>581</v>
      </c>
      <c r="S9815" t="s">
        <v>824</v>
      </c>
      <c r="T9815">
        <v>39</v>
      </c>
      <c r="U9815" s="26" t="str">
        <f t="shared" si="351"/>
        <v>2023.027P.Betaflexiviridae_rename.zip</v>
      </c>
    </row>
    <row r="9816" spans="1:21">
      <c r="A9816">
        <v>9815</v>
      </c>
      <c r="B9816" s="27" t="s">
        <v>1124</v>
      </c>
      <c r="D9816" s="27" t="s">
        <v>1859</v>
      </c>
      <c r="F9816" s="27" t="s">
        <v>1867</v>
      </c>
      <c r="H9816" s="27" t="s">
        <v>1868</v>
      </c>
      <c r="J9816" s="27" t="s">
        <v>290</v>
      </c>
      <c r="L9816" s="27" t="s">
        <v>291</v>
      </c>
      <c r="M9816" s="27" t="s">
        <v>650</v>
      </c>
      <c r="N9816" s="27" t="s">
        <v>140</v>
      </c>
      <c r="P9816" s="27" t="s">
        <v>14097</v>
      </c>
      <c r="Q9816" s="26" t="str">
        <f>HYPERLINK("https://ictv.global/taxonomy/taxondetails?taxnode_id=202502266&amp;ictv_id=ICTV20125794","ICTV20125794")</f>
        <v>ICTV20125794</v>
      </c>
      <c r="R9816" t="s">
        <v>581</v>
      </c>
      <c r="S9816" t="s">
        <v>824</v>
      </c>
      <c r="T9816">
        <v>39</v>
      </c>
      <c r="U9816" s="26" t="str">
        <f t="shared" si="351"/>
        <v>2023.027P.Betaflexiviridae_rename.zip</v>
      </c>
    </row>
    <row r="9817" spans="1:21">
      <c r="A9817">
        <v>9816</v>
      </c>
      <c r="B9817" s="27" t="s">
        <v>1124</v>
      </c>
      <c r="D9817" s="27" t="s">
        <v>1859</v>
      </c>
      <c r="F9817" s="27" t="s">
        <v>1867</v>
      </c>
      <c r="H9817" s="27" t="s">
        <v>1868</v>
      </c>
      <c r="J9817" s="27" t="s">
        <v>290</v>
      </c>
      <c r="L9817" s="27" t="s">
        <v>291</v>
      </c>
      <c r="M9817" s="27" t="s">
        <v>650</v>
      </c>
      <c r="N9817" s="27" t="s">
        <v>140</v>
      </c>
      <c r="P9817" s="27" t="s">
        <v>14098</v>
      </c>
      <c r="Q9817" s="26" t="str">
        <f>HYPERLINK("https://ictv.global/taxonomy/taxondetails?taxnode_id=202515084&amp;ictv_id=ICTV202215084","ICTV202215084")</f>
        <v>ICTV202215084</v>
      </c>
      <c r="R9817" t="s">
        <v>581</v>
      </c>
      <c r="S9817" t="s">
        <v>824</v>
      </c>
      <c r="T9817">
        <v>39</v>
      </c>
      <c r="U9817" s="26" t="str">
        <f t="shared" si="351"/>
        <v>2023.027P.Betaflexiviridae_rename.zip</v>
      </c>
    </row>
    <row r="9818" spans="1:21">
      <c r="A9818">
        <v>9817</v>
      </c>
      <c r="B9818" s="27" t="s">
        <v>1124</v>
      </c>
      <c r="D9818" s="27" t="s">
        <v>1859</v>
      </c>
      <c r="F9818" s="27" t="s">
        <v>1867</v>
      </c>
      <c r="H9818" s="27" t="s">
        <v>1868</v>
      </c>
      <c r="J9818" s="27" t="s">
        <v>290</v>
      </c>
      <c r="L9818" s="27" t="s">
        <v>291</v>
      </c>
      <c r="M9818" s="27" t="s">
        <v>650</v>
      </c>
      <c r="N9818" s="27" t="s">
        <v>140</v>
      </c>
      <c r="P9818" s="27" t="s">
        <v>14099</v>
      </c>
      <c r="Q9818" s="26" t="str">
        <f>HYPERLINK("https://ictv.global/taxonomy/taxondetails?taxnode_id=202513842&amp;ictv_id=ICTV202113842","ICTV202113842")</f>
        <v>ICTV202113842</v>
      </c>
      <c r="R9818" t="s">
        <v>581</v>
      </c>
      <c r="S9818" t="s">
        <v>824</v>
      </c>
      <c r="T9818">
        <v>39</v>
      </c>
      <c r="U9818" s="26" t="str">
        <f t="shared" si="351"/>
        <v>2023.027P.Betaflexiviridae_rename.zip</v>
      </c>
    </row>
    <row r="9819" spans="1:21">
      <c r="A9819">
        <v>9818</v>
      </c>
      <c r="B9819" s="27" t="s">
        <v>1124</v>
      </c>
      <c r="D9819" s="27" t="s">
        <v>1859</v>
      </c>
      <c r="F9819" s="27" t="s">
        <v>1867</v>
      </c>
      <c r="H9819" s="27" t="s">
        <v>1868</v>
      </c>
      <c r="J9819" s="27" t="s">
        <v>290</v>
      </c>
      <c r="L9819" s="27" t="s">
        <v>291</v>
      </c>
      <c r="M9819" s="27" t="s">
        <v>650</v>
      </c>
      <c r="N9819" s="27" t="s">
        <v>140</v>
      </c>
      <c r="P9819" s="27" t="s">
        <v>14100</v>
      </c>
      <c r="Q9819" s="26" t="str">
        <f>HYPERLINK("https://ictv.global/taxonomy/taxondetails?taxnode_id=202502271&amp;ictv_id=ICTV20151661","ICTV20151661")</f>
        <v>ICTV20151661</v>
      </c>
      <c r="R9819" t="s">
        <v>581</v>
      </c>
      <c r="S9819" t="s">
        <v>824</v>
      </c>
      <c r="T9819">
        <v>39</v>
      </c>
      <c r="U9819" s="26" t="str">
        <f t="shared" si="351"/>
        <v>2023.027P.Betaflexiviridae_rename.zip</v>
      </c>
    </row>
    <row r="9820" spans="1:21">
      <c r="A9820">
        <v>9819</v>
      </c>
      <c r="B9820" s="27" t="s">
        <v>1124</v>
      </c>
      <c r="D9820" s="27" t="s">
        <v>1859</v>
      </c>
      <c r="F9820" s="27" t="s">
        <v>1867</v>
      </c>
      <c r="H9820" s="27" t="s">
        <v>1868</v>
      </c>
      <c r="J9820" s="27" t="s">
        <v>290</v>
      </c>
      <c r="L9820" s="27" t="s">
        <v>291</v>
      </c>
      <c r="M9820" s="27" t="s">
        <v>650</v>
      </c>
      <c r="N9820" s="27" t="s">
        <v>140</v>
      </c>
      <c r="P9820" s="27" t="s">
        <v>14101</v>
      </c>
      <c r="Q9820" s="26" t="str">
        <f>HYPERLINK("https://ictv.global/taxonomy/taxondetails?taxnode_id=202502280&amp;ictv_id=ICTV20083769","ICTV20083769")</f>
        <v>ICTV20083769</v>
      </c>
      <c r="R9820" t="s">
        <v>581</v>
      </c>
      <c r="S9820" t="s">
        <v>824</v>
      </c>
      <c r="T9820">
        <v>39</v>
      </c>
      <c r="U9820" s="26" t="str">
        <f t="shared" si="351"/>
        <v>2023.027P.Betaflexiviridae_rename.zip</v>
      </c>
    </row>
    <row r="9821" spans="1:21">
      <c r="A9821">
        <v>9820</v>
      </c>
      <c r="B9821" s="27" t="s">
        <v>1124</v>
      </c>
      <c r="D9821" s="27" t="s">
        <v>1859</v>
      </c>
      <c r="F9821" s="27" t="s">
        <v>1867</v>
      </c>
      <c r="H9821" s="27" t="s">
        <v>1868</v>
      </c>
      <c r="J9821" s="27" t="s">
        <v>290</v>
      </c>
      <c r="L9821" s="27" t="s">
        <v>291</v>
      </c>
      <c r="M9821" s="27" t="s">
        <v>650</v>
      </c>
      <c r="N9821" s="27" t="s">
        <v>140</v>
      </c>
      <c r="P9821" s="27" t="s">
        <v>14102</v>
      </c>
      <c r="Q9821" s="26" t="str">
        <f>HYPERLINK("https://ictv.global/taxonomy/taxondetails?taxnode_id=202502244&amp;ictv_id=ICTV20093241","ICTV20093241")</f>
        <v>ICTV20093241</v>
      </c>
      <c r="R9821" t="s">
        <v>581</v>
      </c>
      <c r="S9821" t="s">
        <v>824</v>
      </c>
      <c r="T9821">
        <v>39</v>
      </c>
      <c r="U9821" s="26" t="str">
        <f t="shared" si="351"/>
        <v>2023.027P.Betaflexiviridae_rename.zip</v>
      </c>
    </row>
    <row r="9822" spans="1:21">
      <c r="A9822">
        <v>9821</v>
      </c>
      <c r="B9822" s="27" t="s">
        <v>1124</v>
      </c>
      <c r="D9822" s="27" t="s">
        <v>1859</v>
      </c>
      <c r="F9822" s="27" t="s">
        <v>1867</v>
      </c>
      <c r="H9822" s="27" t="s">
        <v>1868</v>
      </c>
      <c r="J9822" s="27" t="s">
        <v>290</v>
      </c>
      <c r="L9822" s="27" t="s">
        <v>291</v>
      </c>
      <c r="M9822" s="27" t="s">
        <v>650</v>
      </c>
      <c r="N9822" s="27" t="s">
        <v>140</v>
      </c>
      <c r="P9822" s="27" t="s">
        <v>14103</v>
      </c>
      <c r="Q9822" s="26" t="str">
        <f>HYPERLINK("https://ictv.global/taxonomy/taxondetails?taxnode_id=202502246&amp;ictv_id=ICTV20125784","ICTV20125784")</f>
        <v>ICTV20125784</v>
      </c>
      <c r="R9822" t="s">
        <v>581</v>
      </c>
      <c r="S9822" t="s">
        <v>824</v>
      </c>
      <c r="T9822">
        <v>39</v>
      </c>
      <c r="U9822" s="26" t="str">
        <f t="shared" si="351"/>
        <v>2023.027P.Betaflexiviridae_rename.zip</v>
      </c>
    </row>
    <row r="9823" spans="1:21">
      <c r="A9823">
        <v>9822</v>
      </c>
      <c r="B9823" s="27" t="s">
        <v>1124</v>
      </c>
      <c r="D9823" s="27" t="s">
        <v>1859</v>
      </c>
      <c r="F9823" s="27" t="s">
        <v>1867</v>
      </c>
      <c r="H9823" s="27" t="s">
        <v>1868</v>
      </c>
      <c r="J9823" s="27" t="s">
        <v>290</v>
      </c>
      <c r="L9823" s="27" t="s">
        <v>291</v>
      </c>
      <c r="M9823" s="27" t="s">
        <v>650</v>
      </c>
      <c r="N9823" s="27" t="s">
        <v>140</v>
      </c>
      <c r="P9823" s="27" t="s">
        <v>14104</v>
      </c>
      <c r="Q9823" s="26" t="str">
        <f>HYPERLINK("https://ictv.global/taxonomy/taxondetails?taxnode_id=202505640&amp;ictv_id=ICTV20175640","ICTV20175640")</f>
        <v>ICTV20175640</v>
      </c>
      <c r="R9823" t="s">
        <v>581</v>
      </c>
      <c r="S9823" t="s">
        <v>824</v>
      </c>
      <c r="T9823">
        <v>39</v>
      </c>
      <c r="U9823" s="26" t="str">
        <f t="shared" si="351"/>
        <v>2023.027P.Betaflexiviridae_rename.zip</v>
      </c>
    </row>
    <row r="9824" spans="1:21">
      <c r="A9824">
        <v>9823</v>
      </c>
      <c r="B9824" s="27" t="s">
        <v>1124</v>
      </c>
      <c r="D9824" s="27" t="s">
        <v>1859</v>
      </c>
      <c r="F9824" s="27" t="s">
        <v>1867</v>
      </c>
      <c r="H9824" s="27" t="s">
        <v>1868</v>
      </c>
      <c r="J9824" s="27" t="s">
        <v>290</v>
      </c>
      <c r="L9824" s="27" t="s">
        <v>291</v>
      </c>
      <c r="M9824" s="27" t="s">
        <v>650</v>
      </c>
      <c r="N9824" s="27" t="s">
        <v>140</v>
      </c>
      <c r="P9824" s="27" t="s">
        <v>14105</v>
      </c>
      <c r="Q9824" s="26" t="str">
        <f>HYPERLINK("https://ictv.global/taxonomy/taxondetails?taxnode_id=202515082&amp;ictv_id=ICTV202215082","ICTV202215082")</f>
        <v>ICTV202215082</v>
      </c>
      <c r="R9824" t="s">
        <v>581</v>
      </c>
      <c r="S9824" t="s">
        <v>824</v>
      </c>
      <c r="T9824">
        <v>39</v>
      </c>
      <c r="U9824" s="26" t="str">
        <f t="shared" si="351"/>
        <v>2023.027P.Betaflexiviridae_rename.zip</v>
      </c>
    </row>
    <row r="9825" spans="1:21">
      <c r="A9825">
        <v>9824</v>
      </c>
      <c r="B9825" s="27" t="s">
        <v>1124</v>
      </c>
      <c r="D9825" s="27" t="s">
        <v>1859</v>
      </c>
      <c r="F9825" s="27" t="s">
        <v>1867</v>
      </c>
      <c r="H9825" s="27" t="s">
        <v>1868</v>
      </c>
      <c r="J9825" s="27" t="s">
        <v>290</v>
      </c>
      <c r="L9825" s="27" t="s">
        <v>291</v>
      </c>
      <c r="M9825" s="27" t="s">
        <v>650</v>
      </c>
      <c r="N9825" s="27" t="s">
        <v>140</v>
      </c>
      <c r="P9825" s="27" t="s">
        <v>14106</v>
      </c>
      <c r="Q9825" s="26" t="str">
        <f>HYPERLINK("https://ictv.global/taxonomy/taxondetails?taxnode_id=202519034&amp;ictv_id=ICTV202319034","ICTV202319034")</f>
        <v>ICTV202319034</v>
      </c>
      <c r="R9825" t="s">
        <v>581</v>
      </c>
      <c r="S9825" t="s">
        <v>823</v>
      </c>
      <c r="T9825">
        <v>39</v>
      </c>
      <c r="U9825" s="26" t="str">
        <f>HYPERLINK("https://ictv.global/ictv/proposals/2023.028P.Betaflexiviridae_13nsp.zip","2023.028P.Betaflexiviridae_13nsp.zip")</f>
        <v>2023.028P.Betaflexiviridae_13nsp.zip</v>
      </c>
    </row>
    <row r="9826" spans="1:21">
      <c r="A9826">
        <v>9825</v>
      </c>
      <c r="B9826" s="27" t="s">
        <v>1124</v>
      </c>
      <c r="D9826" s="27" t="s">
        <v>1859</v>
      </c>
      <c r="F9826" s="27" t="s">
        <v>1867</v>
      </c>
      <c r="H9826" s="27" t="s">
        <v>1868</v>
      </c>
      <c r="J9826" s="27" t="s">
        <v>290</v>
      </c>
      <c r="L9826" s="27" t="s">
        <v>291</v>
      </c>
      <c r="M9826" s="27" t="s">
        <v>650</v>
      </c>
      <c r="N9826" s="27" t="s">
        <v>140</v>
      </c>
      <c r="P9826" s="27" t="s">
        <v>14107</v>
      </c>
      <c r="Q9826" s="26" t="str">
        <f>HYPERLINK("https://ictv.global/taxonomy/taxondetails?taxnode_id=202505641&amp;ictv_id=ICTV20175641","ICTV20175641")</f>
        <v>ICTV20175641</v>
      </c>
      <c r="R9826" t="s">
        <v>581</v>
      </c>
      <c r="S9826" t="s">
        <v>824</v>
      </c>
      <c r="T9826">
        <v>39</v>
      </c>
      <c r="U9826" s="26" t="str">
        <f t="shared" ref="U9826:U9832" si="352">HYPERLINK("https://ictv.global/ictv/proposals/2023.027P.Betaflexiviridae_rename.zip","2023.027P.Betaflexiviridae_rename.zip")</f>
        <v>2023.027P.Betaflexiviridae_rename.zip</v>
      </c>
    </row>
    <row r="9827" spans="1:21">
      <c r="A9827">
        <v>9826</v>
      </c>
      <c r="B9827" s="27" t="s">
        <v>1124</v>
      </c>
      <c r="D9827" s="27" t="s">
        <v>1859</v>
      </c>
      <c r="F9827" s="27" t="s">
        <v>1867</v>
      </c>
      <c r="H9827" s="27" t="s">
        <v>1868</v>
      </c>
      <c r="J9827" s="27" t="s">
        <v>290</v>
      </c>
      <c r="L9827" s="27" t="s">
        <v>291</v>
      </c>
      <c r="M9827" s="27" t="s">
        <v>650</v>
      </c>
      <c r="N9827" s="27" t="s">
        <v>140</v>
      </c>
      <c r="P9827" s="27" t="s">
        <v>14108</v>
      </c>
      <c r="Q9827" s="26" t="str">
        <f>HYPERLINK("https://ictv.global/taxonomy/taxondetails?taxnode_id=202502278&amp;ictv_id=ICTV19911548","ICTV19911548")</f>
        <v>ICTV19911548</v>
      </c>
      <c r="R9827" t="s">
        <v>581</v>
      </c>
      <c r="S9827" t="s">
        <v>824</v>
      </c>
      <c r="T9827">
        <v>39</v>
      </c>
      <c r="U9827" s="26" t="str">
        <f t="shared" si="352"/>
        <v>2023.027P.Betaflexiviridae_rename.zip</v>
      </c>
    </row>
    <row r="9828" spans="1:21">
      <c r="A9828">
        <v>9827</v>
      </c>
      <c r="B9828" s="27" t="s">
        <v>1124</v>
      </c>
      <c r="D9828" s="27" t="s">
        <v>1859</v>
      </c>
      <c r="F9828" s="27" t="s">
        <v>1867</v>
      </c>
      <c r="H9828" s="27" t="s">
        <v>1868</v>
      </c>
      <c r="J9828" s="27" t="s">
        <v>290</v>
      </c>
      <c r="L9828" s="27" t="s">
        <v>291</v>
      </c>
      <c r="M9828" s="27" t="s">
        <v>650</v>
      </c>
      <c r="N9828" s="27" t="s">
        <v>140</v>
      </c>
      <c r="P9828" s="27" t="s">
        <v>14109</v>
      </c>
      <c r="Q9828" s="26" t="str">
        <f>HYPERLINK("https://ictv.global/taxonomy/taxondetails?taxnode_id=202505639&amp;ictv_id=ICTV20175639","ICTV20175639")</f>
        <v>ICTV20175639</v>
      </c>
      <c r="R9828" t="s">
        <v>581</v>
      </c>
      <c r="S9828" t="s">
        <v>824</v>
      </c>
      <c r="T9828">
        <v>39</v>
      </c>
      <c r="U9828" s="26" t="str">
        <f t="shared" si="352"/>
        <v>2023.027P.Betaflexiviridae_rename.zip</v>
      </c>
    </row>
    <row r="9829" spans="1:21">
      <c r="A9829">
        <v>9828</v>
      </c>
      <c r="B9829" s="27" t="s">
        <v>1124</v>
      </c>
      <c r="D9829" s="27" t="s">
        <v>1859</v>
      </c>
      <c r="F9829" s="27" t="s">
        <v>1867</v>
      </c>
      <c r="H9829" s="27" t="s">
        <v>1868</v>
      </c>
      <c r="J9829" s="27" t="s">
        <v>290</v>
      </c>
      <c r="L9829" s="27" t="s">
        <v>291</v>
      </c>
      <c r="M9829" s="27" t="s">
        <v>650</v>
      </c>
      <c r="N9829" s="27" t="s">
        <v>140</v>
      </c>
      <c r="P9829" s="27" t="s">
        <v>14110</v>
      </c>
      <c r="Q9829" s="26" t="str">
        <f>HYPERLINK("https://ictv.global/taxonomy/taxondetails?taxnode_id=202502251&amp;ictv_id=ICTV20125785","ICTV20125785")</f>
        <v>ICTV20125785</v>
      </c>
      <c r="R9829" t="s">
        <v>581</v>
      </c>
      <c r="S9829" t="s">
        <v>824</v>
      </c>
      <c r="T9829">
        <v>39</v>
      </c>
      <c r="U9829" s="26" t="str">
        <f t="shared" si="352"/>
        <v>2023.027P.Betaflexiviridae_rename.zip</v>
      </c>
    </row>
    <row r="9830" spans="1:21">
      <c r="A9830">
        <v>9829</v>
      </c>
      <c r="B9830" s="27" t="s">
        <v>1124</v>
      </c>
      <c r="D9830" s="27" t="s">
        <v>1859</v>
      </c>
      <c r="F9830" s="27" t="s">
        <v>1867</v>
      </c>
      <c r="H9830" s="27" t="s">
        <v>1868</v>
      </c>
      <c r="J9830" s="27" t="s">
        <v>290</v>
      </c>
      <c r="L9830" s="27" t="s">
        <v>291</v>
      </c>
      <c r="M9830" s="27" t="s">
        <v>650</v>
      </c>
      <c r="N9830" s="27" t="s">
        <v>140</v>
      </c>
      <c r="P9830" s="27" t="s">
        <v>14111</v>
      </c>
      <c r="Q9830" s="26" t="str">
        <f>HYPERLINK("https://ictv.global/taxonomy/taxondetails?taxnode_id=202502255&amp;ictv_id=ICTV19821154","ICTV19821154")</f>
        <v>ICTV19821154</v>
      </c>
      <c r="R9830" t="s">
        <v>581</v>
      </c>
      <c r="S9830" t="s">
        <v>824</v>
      </c>
      <c r="T9830">
        <v>39</v>
      </c>
      <c r="U9830" s="26" t="str">
        <f t="shared" si="352"/>
        <v>2023.027P.Betaflexiviridae_rename.zip</v>
      </c>
    </row>
    <row r="9831" spans="1:21">
      <c r="A9831">
        <v>9830</v>
      </c>
      <c r="B9831" s="27" t="s">
        <v>1124</v>
      </c>
      <c r="D9831" s="27" t="s">
        <v>1859</v>
      </c>
      <c r="F9831" s="27" t="s">
        <v>1867</v>
      </c>
      <c r="H9831" s="27" t="s">
        <v>1868</v>
      </c>
      <c r="J9831" s="27" t="s">
        <v>290</v>
      </c>
      <c r="L9831" s="27" t="s">
        <v>291</v>
      </c>
      <c r="M9831" s="27" t="s">
        <v>650</v>
      </c>
      <c r="N9831" s="27" t="s">
        <v>140</v>
      </c>
      <c r="P9831" s="27" t="s">
        <v>14112</v>
      </c>
      <c r="Q9831" s="26" t="str">
        <f>HYPERLINK("https://ictv.global/taxonomy/taxondetails?taxnode_id=202502256&amp;ictv_id=ICTV20125786","ICTV20125786")</f>
        <v>ICTV20125786</v>
      </c>
      <c r="R9831" t="s">
        <v>581</v>
      </c>
      <c r="S9831" t="s">
        <v>824</v>
      </c>
      <c r="T9831">
        <v>39</v>
      </c>
      <c r="U9831" s="26" t="str">
        <f t="shared" si="352"/>
        <v>2023.027P.Betaflexiviridae_rename.zip</v>
      </c>
    </row>
    <row r="9832" spans="1:21">
      <c r="A9832">
        <v>9831</v>
      </c>
      <c r="B9832" s="27" t="s">
        <v>1124</v>
      </c>
      <c r="D9832" s="27" t="s">
        <v>1859</v>
      </c>
      <c r="F9832" s="27" t="s">
        <v>1867</v>
      </c>
      <c r="H9832" s="27" t="s">
        <v>1868</v>
      </c>
      <c r="J9832" s="27" t="s">
        <v>290</v>
      </c>
      <c r="L9832" s="27" t="s">
        <v>291</v>
      </c>
      <c r="M9832" s="27" t="s">
        <v>650</v>
      </c>
      <c r="N9832" s="27" t="s">
        <v>140</v>
      </c>
      <c r="P9832" s="27" t="s">
        <v>14113</v>
      </c>
      <c r="Q9832" s="26" t="str">
        <f>HYPERLINK("https://ictv.global/taxonomy/taxondetails?taxnode_id=202502279&amp;ictv_id=ICTV20125752","ICTV20125752")</f>
        <v>ICTV20125752</v>
      </c>
      <c r="R9832" t="s">
        <v>581</v>
      </c>
      <c r="S9832" t="s">
        <v>824</v>
      </c>
      <c r="T9832">
        <v>39</v>
      </c>
      <c r="U9832" s="26" t="str">
        <f t="shared" si="352"/>
        <v>2023.027P.Betaflexiviridae_rename.zip</v>
      </c>
    </row>
    <row r="9833" spans="1:21">
      <c r="A9833">
        <v>9832</v>
      </c>
      <c r="B9833" s="27" t="s">
        <v>1124</v>
      </c>
      <c r="D9833" s="27" t="s">
        <v>1859</v>
      </c>
      <c r="F9833" s="27" t="s">
        <v>1867</v>
      </c>
      <c r="H9833" s="27" t="s">
        <v>1868</v>
      </c>
      <c r="J9833" s="27" t="s">
        <v>290</v>
      </c>
      <c r="L9833" s="27" t="s">
        <v>291</v>
      </c>
      <c r="M9833" s="27" t="s">
        <v>650</v>
      </c>
      <c r="N9833" s="27" t="s">
        <v>140</v>
      </c>
      <c r="P9833" s="27" t="s">
        <v>14114</v>
      </c>
      <c r="Q9833" s="26" t="str">
        <f>HYPERLINK("https://ictv.global/taxonomy/taxondetails?taxnode_id=202519032&amp;ictv_id=ICTV202319032","ICTV202319032")</f>
        <v>ICTV202319032</v>
      </c>
      <c r="R9833" t="s">
        <v>581</v>
      </c>
      <c r="S9833" t="s">
        <v>823</v>
      </c>
      <c r="T9833">
        <v>39</v>
      </c>
      <c r="U9833" s="26" t="str">
        <f>HYPERLINK("https://ictv.global/ictv/proposals/2023.028P.Betaflexiviridae_13nsp.zip","2023.028P.Betaflexiviridae_13nsp.zip")</f>
        <v>2023.028P.Betaflexiviridae_13nsp.zip</v>
      </c>
    </row>
    <row r="9834" spans="1:21">
      <c r="A9834">
        <v>9833</v>
      </c>
      <c r="B9834" s="27" t="s">
        <v>1124</v>
      </c>
      <c r="D9834" s="27" t="s">
        <v>1859</v>
      </c>
      <c r="F9834" s="27" t="s">
        <v>1867</v>
      </c>
      <c r="H9834" s="27" t="s">
        <v>1868</v>
      </c>
      <c r="J9834" s="27" t="s">
        <v>290</v>
      </c>
      <c r="L9834" s="27" t="s">
        <v>291</v>
      </c>
      <c r="M9834" s="27" t="s">
        <v>650</v>
      </c>
      <c r="N9834" s="27" t="s">
        <v>140</v>
      </c>
      <c r="P9834" s="27" t="s">
        <v>14115</v>
      </c>
      <c r="Q9834" s="26" t="str">
        <f>HYPERLINK("https://ictv.global/taxonomy/taxondetails?taxnode_id=202502235&amp;ictv_id=ICTV20041034","ICTV20041034")</f>
        <v>ICTV20041034</v>
      </c>
      <c r="R9834" t="s">
        <v>581</v>
      </c>
      <c r="S9834" t="s">
        <v>824</v>
      </c>
      <c r="T9834">
        <v>39</v>
      </c>
      <c r="U9834" s="26" t="str">
        <f t="shared" ref="U9834:U9852" si="353">HYPERLINK("https://ictv.global/ictv/proposals/2023.027P.Betaflexiviridae_rename.zip","2023.027P.Betaflexiviridae_rename.zip")</f>
        <v>2023.027P.Betaflexiviridae_rename.zip</v>
      </c>
    </row>
    <row r="9835" spans="1:21">
      <c r="A9835">
        <v>9834</v>
      </c>
      <c r="B9835" s="27" t="s">
        <v>1124</v>
      </c>
      <c r="D9835" s="27" t="s">
        <v>1859</v>
      </c>
      <c r="F9835" s="27" t="s">
        <v>1867</v>
      </c>
      <c r="H9835" s="27" t="s">
        <v>1868</v>
      </c>
      <c r="J9835" s="27" t="s">
        <v>290</v>
      </c>
      <c r="L9835" s="27" t="s">
        <v>291</v>
      </c>
      <c r="M9835" s="27" t="s">
        <v>650</v>
      </c>
      <c r="N9835" s="27" t="s">
        <v>140</v>
      </c>
      <c r="P9835" s="27" t="s">
        <v>14116</v>
      </c>
      <c r="Q9835" s="26" t="str">
        <f>HYPERLINK("https://ictv.global/taxonomy/taxondetails?taxnode_id=202502249&amp;ictv_id=ICTV19952333","ICTV19952333")</f>
        <v>ICTV19952333</v>
      </c>
      <c r="R9835" t="s">
        <v>581</v>
      </c>
      <c r="S9835" t="s">
        <v>824</v>
      </c>
      <c r="T9835">
        <v>39</v>
      </c>
      <c r="U9835" s="26" t="str">
        <f t="shared" si="353"/>
        <v>2023.027P.Betaflexiviridae_rename.zip</v>
      </c>
    </row>
    <row r="9836" spans="1:21">
      <c r="A9836">
        <v>9835</v>
      </c>
      <c r="B9836" s="27" t="s">
        <v>1124</v>
      </c>
      <c r="D9836" s="27" t="s">
        <v>1859</v>
      </c>
      <c r="F9836" s="27" t="s">
        <v>1867</v>
      </c>
      <c r="H9836" s="27" t="s">
        <v>1868</v>
      </c>
      <c r="J9836" s="27" t="s">
        <v>290</v>
      </c>
      <c r="L9836" s="27" t="s">
        <v>291</v>
      </c>
      <c r="M9836" s="27" t="s">
        <v>650</v>
      </c>
      <c r="N9836" s="27" t="s">
        <v>140</v>
      </c>
      <c r="P9836" s="27" t="s">
        <v>14117</v>
      </c>
      <c r="Q9836" s="26" t="str">
        <f>HYPERLINK("https://ictv.global/taxonomy/taxondetails?taxnode_id=202502276&amp;ictv_id=ICTV19821168","ICTV19821168")</f>
        <v>ICTV19821168</v>
      </c>
      <c r="R9836" t="s">
        <v>581</v>
      </c>
      <c r="S9836" t="s">
        <v>824</v>
      </c>
      <c r="T9836">
        <v>39</v>
      </c>
      <c r="U9836" s="26" t="str">
        <f t="shared" si="353"/>
        <v>2023.027P.Betaflexiviridae_rename.zip</v>
      </c>
    </row>
    <row r="9837" spans="1:21">
      <c r="A9837">
        <v>9836</v>
      </c>
      <c r="B9837" s="27" t="s">
        <v>1124</v>
      </c>
      <c r="D9837" s="27" t="s">
        <v>1859</v>
      </c>
      <c r="F9837" s="27" t="s">
        <v>1867</v>
      </c>
      <c r="H9837" s="27" t="s">
        <v>1868</v>
      </c>
      <c r="J9837" s="27" t="s">
        <v>290</v>
      </c>
      <c r="L9837" s="27" t="s">
        <v>291</v>
      </c>
      <c r="M9837" s="27" t="s">
        <v>650</v>
      </c>
      <c r="N9837" s="27" t="s">
        <v>140</v>
      </c>
      <c r="P9837" s="27" t="s">
        <v>14118</v>
      </c>
      <c r="Q9837" s="26" t="str">
        <f>HYPERLINK("https://ictv.global/taxonomy/taxondetails?taxnode_id=202502243&amp;ictv_id=ICTV20041041","ICTV20041041")</f>
        <v>ICTV20041041</v>
      </c>
      <c r="R9837" t="s">
        <v>581</v>
      </c>
      <c r="S9837" t="s">
        <v>824</v>
      </c>
      <c r="T9837">
        <v>39</v>
      </c>
      <c r="U9837" s="26" t="str">
        <f t="shared" si="353"/>
        <v>2023.027P.Betaflexiviridae_rename.zip</v>
      </c>
    </row>
    <row r="9838" spans="1:21">
      <c r="A9838">
        <v>9837</v>
      </c>
      <c r="B9838" s="27" t="s">
        <v>1124</v>
      </c>
      <c r="D9838" s="27" t="s">
        <v>1859</v>
      </c>
      <c r="F9838" s="27" t="s">
        <v>1867</v>
      </c>
      <c r="H9838" s="27" t="s">
        <v>1868</v>
      </c>
      <c r="J9838" s="27" t="s">
        <v>290</v>
      </c>
      <c r="L9838" s="27" t="s">
        <v>291</v>
      </c>
      <c r="M9838" s="27" t="s">
        <v>650</v>
      </c>
      <c r="N9838" s="27" t="s">
        <v>140</v>
      </c>
      <c r="P9838" s="27" t="s">
        <v>14119</v>
      </c>
      <c r="Q9838" s="26" t="str">
        <f>HYPERLINK("https://ictv.global/taxonomy/taxondetails?taxnode_id=202502240&amp;ictv_id=ICTV19911523","ICTV19911523")</f>
        <v>ICTV19911523</v>
      </c>
      <c r="R9838" t="s">
        <v>581</v>
      </c>
      <c r="S9838" t="s">
        <v>824</v>
      </c>
      <c r="T9838">
        <v>39</v>
      </c>
      <c r="U9838" s="26" t="str">
        <f t="shared" si="353"/>
        <v>2023.027P.Betaflexiviridae_rename.zip</v>
      </c>
    </row>
    <row r="9839" spans="1:21">
      <c r="A9839">
        <v>9838</v>
      </c>
      <c r="B9839" s="27" t="s">
        <v>1124</v>
      </c>
      <c r="D9839" s="27" t="s">
        <v>1859</v>
      </c>
      <c r="F9839" s="27" t="s">
        <v>1867</v>
      </c>
      <c r="H9839" s="27" t="s">
        <v>1868</v>
      </c>
      <c r="J9839" s="27" t="s">
        <v>290</v>
      </c>
      <c r="L9839" s="27" t="s">
        <v>291</v>
      </c>
      <c r="M9839" s="27" t="s">
        <v>650</v>
      </c>
      <c r="N9839" s="27" t="s">
        <v>140</v>
      </c>
      <c r="P9839" s="27" t="s">
        <v>14120</v>
      </c>
      <c r="Q9839" s="26" t="str">
        <f>HYPERLINK("https://ictv.global/taxonomy/taxondetails?taxnode_id=202502241&amp;ictv_id=ICTV19710146","ICTV19710146")</f>
        <v>ICTV19710146</v>
      </c>
      <c r="R9839" t="s">
        <v>581</v>
      </c>
      <c r="S9839" t="s">
        <v>824</v>
      </c>
      <c r="T9839">
        <v>39</v>
      </c>
      <c r="U9839" s="26" t="str">
        <f t="shared" si="353"/>
        <v>2023.027P.Betaflexiviridae_rename.zip</v>
      </c>
    </row>
    <row r="9840" spans="1:21">
      <c r="A9840">
        <v>9839</v>
      </c>
      <c r="B9840" s="27" t="s">
        <v>1124</v>
      </c>
      <c r="D9840" s="27" t="s">
        <v>1859</v>
      </c>
      <c r="F9840" s="27" t="s">
        <v>1867</v>
      </c>
      <c r="H9840" s="27" t="s">
        <v>1868</v>
      </c>
      <c r="J9840" s="27" t="s">
        <v>290</v>
      </c>
      <c r="L9840" s="27" t="s">
        <v>291</v>
      </c>
      <c r="M9840" s="27" t="s">
        <v>650</v>
      </c>
      <c r="N9840" s="27" t="s">
        <v>140</v>
      </c>
      <c r="P9840" s="27" t="s">
        <v>14121</v>
      </c>
      <c r="Q9840" s="26" t="str">
        <f>HYPERLINK("https://ictv.global/taxonomy/taxondetails?taxnode_id=202505642&amp;ictv_id=ICTV20175642","ICTV20175642")</f>
        <v>ICTV20175642</v>
      </c>
      <c r="R9840" t="s">
        <v>581</v>
      </c>
      <c r="S9840" t="s">
        <v>824</v>
      </c>
      <c r="T9840">
        <v>39</v>
      </c>
      <c r="U9840" s="26" t="str">
        <f t="shared" si="353"/>
        <v>2023.027P.Betaflexiviridae_rename.zip</v>
      </c>
    </row>
    <row r="9841" spans="1:21">
      <c r="A9841">
        <v>9840</v>
      </c>
      <c r="B9841" s="27" t="s">
        <v>1124</v>
      </c>
      <c r="D9841" s="27" t="s">
        <v>1859</v>
      </c>
      <c r="F9841" s="27" t="s">
        <v>1867</v>
      </c>
      <c r="H9841" s="27" t="s">
        <v>1868</v>
      </c>
      <c r="J9841" s="27" t="s">
        <v>290</v>
      </c>
      <c r="L9841" s="27" t="s">
        <v>291</v>
      </c>
      <c r="M9841" s="27" t="s">
        <v>650</v>
      </c>
      <c r="N9841" s="27" t="s">
        <v>140</v>
      </c>
      <c r="P9841" s="27" t="s">
        <v>14122</v>
      </c>
      <c r="Q9841" s="26" t="str">
        <f>HYPERLINK("https://ictv.global/taxonomy/taxondetails?taxnode_id=202502248&amp;ictv_id=ICTV20151660","ICTV20151660")</f>
        <v>ICTV20151660</v>
      </c>
      <c r="R9841" t="s">
        <v>581</v>
      </c>
      <c r="S9841" t="s">
        <v>824</v>
      </c>
      <c r="T9841">
        <v>39</v>
      </c>
      <c r="U9841" s="26" t="str">
        <f t="shared" si="353"/>
        <v>2023.027P.Betaflexiviridae_rename.zip</v>
      </c>
    </row>
    <row r="9842" spans="1:21">
      <c r="A9842">
        <v>9841</v>
      </c>
      <c r="B9842" s="27" t="s">
        <v>1124</v>
      </c>
      <c r="D9842" s="27" t="s">
        <v>1859</v>
      </c>
      <c r="F9842" s="27" t="s">
        <v>1867</v>
      </c>
      <c r="H9842" s="27" t="s">
        <v>1868</v>
      </c>
      <c r="J9842" s="27" t="s">
        <v>290</v>
      </c>
      <c r="L9842" s="27" t="s">
        <v>291</v>
      </c>
      <c r="M9842" s="27" t="s">
        <v>650</v>
      </c>
      <c r="N9842" s="27" t="s">
        <v>140</v>
      </c>
      <c r="P9842" s="27" t="s">
        <v>14123</v>
      </c>
      <c r="Q9842" s="26" t="str">
        <f>HYPERLINK("https://ictv.global/taxonomy/taxondetails?taxnode_id=202502253&amp;ictv_id=ICTV20125782","ICTV20125782")</f>
        <v>ICTV20125782</v>
      </c>
      <c r="R9842" t="s">
        <v>581</v>
      </c>
      <c r="S9842" t="s">
        <v>824</v>
      </c>
      <c r="T9842">
        <v>39</v>
      </c>
      <c r="U9842" s="26" t="str">
        <f t="shared" si="353"/>
        <v>2023.027P.Betaflexiviridae_rename.zip</v>
      </c>
    </row>
    <row r="9843" spans="1:21">
      <c r="A9843">
        <v>9842</v>
      </c>
      <c r="B9843" s="27" t="s">
        <v>1124</v>
      </c>
      <c r="D9843" s="27" t="s">
        <v>1859</v>
      </c>
      <c r="F9843" s="27" t="s">
        <v>1867</v>
      </c>
      <c r="H9843" s="27" t="s">
        <v>1868</v>
      </c>
      <c r="J9843" s="27" t="s">
        <v>290</v>
      </c>
      <c r="L9843" s="27" t="s">
        <v>291</v>
      </c>
      <c r="M9843" s="27" t="s">
        <v>650</v>
      </c>
      <c r="N9843" s="27" t="s">
        <v>140</v>
      </c>
      <c r="P9843" s="27" t="s">
        <v>14124</v>
      </c>
      <c r="Q9843" s="26" t="str">
        <f>HYPERLINK("https://ictv.global/taxonomy/taxondetails?taxnode_id=202502254&amp;ictv_id=ICTV19821153","ICTV19821153")</f>
        <v>ICTV19821153</v>
      </c>
      <c r="R9843" t="s">
        <v>581</v>
      </c>
      <c r="S9843" t="s">
        <v>824</v>
      </c>
      <c r="T9843">
        <v>39</v>
      </c>
      <c r="U9843" s="26" t="str">
        <f t="shared" si="353"/>
        <v>2023.027P.Betaflexiviridae_rename.zip</v>
      </c>
    </row>
    <row r="9844" spans="1:21">
      <c r="A9844">
        <v>9843</v>
      </c>
      <c r="B9844" s="27" t="s">
        <v>1124</v>
      </c>
      <c r="D9844" s="27" t="s">
        <v>1859</v>
      </c>
      <c r="F9844" s="27" t="s">
        <v>1867</v>
      </c>
      <c r="H9844" s="27" t="s">
        <v>1868</v>
      </c>
      <c r="J9844" s="27" t="s">
        <v>290</v>
      </c>
      <c r="L9844" s="27" t="s">
        <v>291</v>
      </c>
      <c r="M9844" s="27" t="s">
        <v>650</v>
      </c>
      <c r="N9844" s="27" t="s">
        <v>140</v>
      </c>
      <c r="P9844" s="27" t="s">
        <v>14125</v>
      </c>
      <c r="Q9844" s="26" t="str">
        <f>HYPERLINK("https://ictv.global/taxonomy/taxondetails?taxnode_id=202502257&amp;ictv_id=ICTV19952339","ICTV19952339")</f>
        <v>ICTV19952339</v>
      </c>
      <c r="R9844" t="s">
        <v>581</v>
      </c>
      <c r="S9844" t="s">
        <v>824</v>
      </c>
      <c r="T9844">
        <v>39</v>
      </c>
      <c r="U9844" s="26" t="str">
        <f t="shared" si="353"/>
        <v>2023.027P.Betaflexiviridae_rename.zip</v>
      </c>
    </row>
    <row r="9845" spans="1:21">
      <c r="A9845">
        <v>9844</v>
      </c>
      <c r="B9845" s="27" t="s">
        <v>1124</v>
      </c>
      <c r="D9845" s="27" t="s">
        <v>1859</v>
      </c>
      <c r="F9845" s="27" t="s">
        <v>1867</v>
      </c>
      <c r="H9845" s="27" t="s">
        <v>1868</v>
      </c>
      <c r="J9845" s="27" t="s">
        <v>290</v>
      </c>
      <c r="L9845" s="27" t="s">
        <v>291</v>
      </c>
      <c r="M9845" s="27" t="s">
        <v>650</v>
      </c>
      <c r="N9845" s="27" t="s">
        <v>140</v>
      </c>
      <c r="P9845" s="27" t="s">
        <v>14126</v>
      </c>
      <c r="Q9845" s="26" t="str">
        <f>HYPERLINK("https://ictv.global/taxonomy/taxondetails?taxnode_id=202502262&amp;ictv_id=ICTV20041056","ICTV20041056")</f>
        <v>ICTV20041056</v>
      </c>
      <c r="R9845" t="s">
        <v>581</v>
      </c>
      <c r="S9845" t="s">
        <v>824</v>
      </c>
      <c r="T9845">
        <v>39</v>
      </c>
      <c r="U9845" s="26" t="str">
        <f t="shared" si="353"/>
        <v>2023.027P.Betaflexiviridae_rename.zip</v>
      </c>
    </row>
    <row r="9846" spans="1:21">
      <c r="A9846">
        <v>9845</v>
      </c>
      <c r="B9846" s="27" t="s">
        <v>1124</v>
      </c>
      <c r="D9846" s="27" t="s">
        <v>1859</v>
      </c>
      <c r="F9846" s="27" t="s">
        <v>1867</v>
      </c>
      <c r="H9846" s="27" t="s">
        <v>1868</v>
      </c>
      <c r="J9846" s="27" t="s">
        <v>290</v>
      </c>
      <c r="L9846" s="27" t="s">
        <v>291</v>
      </c>
      <c r="M9846" s="27" t="s">
        <v>650</v>
      </c>
      <c r="N9846" s="27" t="s">
        <v>140</v>
      </c>
      <c r="P9846" s="27" t="s">
        <v>14127</v>
      </c>
      <c r="Q9846" s="26" t="str">
        <f>HYPERLINK("https://ictv.global/taxonomy/taxondetails?taxnode_id=202502263&amp;ictv_id=ICTV19821160","ICTV19821160")</f>
        <v>ICTV19821160</v>
      </c>
      <c r="R9846" t="s">
        <v>581</v>
      </c>
      <c r="S9846" t="s">
        <v>824</v>
      </c>
      <c r="T9846">
        <v>39</v>
      </c>
      <c r="U9846" s="26" t="str">
        <f t="shared" si="353"/>
        <v>2023.027P.Betaflexiviridae_rename.zip</v>
      </c>
    </row>
    <row r="9847" spans="1:21">
      <c r="A9847">
        <v>9846</v>
      </c>
      <c r="B9847" s="27" t="s">
        <v>1124</v>
      </c>
      <c r="D9847" s="27" t="s">
        <v>1859</v>
      </c>
      <c r="F9847" s="27" t="s">
        <v>1867</v>
      </c>
      <c r="H9847" s="27" t="s">
        <v>1868</v>
      </c>
      <c r="J9847" s="27" t="s">
        <v>290</v>
      </c>
      <c r="L9847" s="27" t="s">
        <v>291</v>
      </c>
      <c r="M9847" s="27" t="s">
        <v>650</v>
      </c>
      <c r="N9847" s="27" t="s">
        <v>140</v>
      </c>
      <c r="P9847" s="27" t="s">
        <v>14128</v>
      </c>
      <c r="Q9847" s="26" t="str">
        <f>HYPERLINK("https://ictv.global/taxonomy/taxondetails?taxnode_id=202502270&amp;ictv_id=ICTV20041061","ICTV20041061")</f>
        <v>ICTV20041061</v>
      </c>
      <c r="R9847" t="s">
        <v>581</v>
      </c>
      <c r="S9847" t="s">
        <v>824</v>
      </c>
      <c r="T9847">
        <v>39</v>
      </c>
      <c r="U9847" s="26" t="str">
        <f t="shared" si="353"/>
        <v>2023.027P.Betaflexiviridae_rename.zip</v>
      </c>
    </row>
    <row r="9848" spans="1:21">
      <c r="A9848">
        <v>9847</v>
      </c>
      <c r="B9848" s="27" t="s">
        <v>1124</v>
      </c>
      <c r="D9848" s="27" t="s">
        <v>1859</v>
      </c>
      <c r="F9848" s="27" t="s">
        <v>1867</v>
      </c>
      <c r="H9848" s="27" t="s">
        <v>1868</v>
      </c>
      <c r="J9848" s="27" t="s">
        <v>290</v>
      </c>
      <c r="L9848" s="27" t="s">
        <v>291</v>
      </c>
      <c r="M9848" s="27" t="s">
        <v>650</v>
      </c>
      <c r="N9848" s="27" t="s">
        <v>140</v>
      </c>
      <c r="P9848" s="27" t="s">
        <v>14129</v>
      </c>
      <c r="Q9848" s="26" t="str">
        <f>HYPERLINK("https://ictv.global/taxonomy/taxondetails?taxnode_id=202502264&amp;ictv_id=ICTV19710148","ICTV19710148")</f>
        <v>ICTV19710148</v>
      </c>
      <c r="R9848" t="s">
        <v>581</v>
      </c>
      <c r="S9848" t="s">
        <v>824</v>
      </c>
      <c r="T9848">
        <v>39</v>
      </c>
      <c r="U9848" s="26" t="str">
        <f t="shared" si="353"/>
        <v>2023.027P.Betaflexiviridae_rename.zip</v>
      </c>
    </row>
    <row r="9849" spans="1:21">
      <c r="A9849">
        <v>9848</v>
      </c>
      <c r="B9849" s="27" t="s">
        <v>1124</v>
      </c>
      <c r="D9849" s="27" t="s">
        <v>1859</v>
      </c>
      <c r="F9849" s="27" t="s">
        <v>1867</v>
      </c>
      <c r="H9849" s="27" t="s">
        <v>1868</v>
      </c>
      <c r="J9849" s="27" t="s">
        <v>290</v>
      </c>
      <c r="L9849" s="27" t="s">
        <v>291</v>
      </c>
      <c r="M9849" s="27" t="s">
        <v>650</v>
      </c>
      <c r="N9849" s="27" t="s">
        <v>140</v>
      </c>
      <c r="P9849" s="27" t="s">
        <v>14130</v>
      </c>
      <c r="Q9849" s="26" t="str">
        <f>HYPERLINK("https://ictv.global/taxonomy/taxondetails?taxnode_id=202502281&amp;ictv_id=ICTV20041068","ICTV20041068")</f>
        <v>ICTV20041068</v>
      </c>
      <c r="R9849" t="s">
        <v>581</v>
      </c>
      <c r="S9849" t="s">
        <v>824</v>
      </c>
      <c r="T9849">
        <v>39</v>
      </c>
      <c r="U9849" s="26" t="str">
        <f t="shared" si="353"/>
        <v>2023.027P.Betaflexiviridae_rename.zip</v>
      </c>
    </row>
    <row r="9850" spans="1:21">
      <c r="A9850">
        <v>9849</v>
      </c>
      <c r="B9850" s="27" t="s">
        <v>1124</v>
      </c>
      <c r="D9850" s="27" t="s">
        <v>1859</v>
      </c>
      <c r="F9850" s="27" t="s">
        <v>1867</v>
      </c>
      <c r="H9850" s="27" t="s">
        <v>1868</v>
      </c>
      <c r="J9850" s="27" t="s">
        <v>290</v>
      </c>
      <c r="L9850" s="27" t="s">
        <v>291</v>
      </c>
      <c r="M9850" s="27" t="s">
        <v>650</v>
      </c>
      <c r="N9850" s="27" t="s">
        <v>140</v>
      </c>
      <c r="P9850" s="27" t="s">
        <v>14131</v>
      </c>
      <c r="Q9850" s="26" t="str">
        <f>HYPERLINK("https://ictv.global/taxonomy/taxondetails?taxnode_id=202502259&amp;ictv_id=ICTV19760656","ICTV19760656")</f>
        <v>ICTV19760656</v>
      </c>
      <c r="R9850" t="s">
        <v>581</v>
      </c>
      <c r="S9850" t="s">
        <v>824</v>
      </c>
      <c r="T9850">
        <v>39</v>
      </c>
      <c r="U9850" s="26" t="str">
        <f t="shared" si="353"/>
        <v>2023.027P.Betaflexiviridae_rename.zip</v>
      </c>
    </row>
    <row r="9851" spans="1:21">
      <c r="A9851">
        <v>9850</v>
      </c>
      <c r="B9851" s="27" t="s">
        <v>1124</v>
      </c>
      <c r="D9851" s="27" t="s">
        <v>1859</v>
      </c>
      <c r="F9851" s="27" t="s">
        <v>1867</v>
      </c>
      <c r="H9851" s="27" t="s">
        <v>1868</v>
      </c>
      <c r="J9851" s="27" t="s">
        <v>290</v>
      </c>
      <c r="L9851" s="27" t="s">
        <v>291</v>
      </c>
      <c r="M9851" s="27" t="s">
        <v>650</v>
      </c>
      <c r="N9851" s="27" t="s">
        <v>140</v>
      </c>
      <c r="P9851" s="27" t="s">
        <v>14132</v>
      </c>
      <c r="Q9851" s="26" t="str">
        <f>HYPERLINK("https://ictv.global/taxonomy/taxondetails?taxnode_id=202513845&amp;ictv_id=ICTV202113845","ICTV202113845")</f>
        <v>ICTV202113845</v>
      </c>
      <c r="R9851" t="s">
        <v>581</v>
      </c>
      <c r="S9851" t="s">
        <v>824</v>
      </c>
      <c r="T9851">
        <v>39</v>
      </c>
      <c r="U9851" s="26" t="str">
        <f t="shared" si="353"/>
        <v>2023.027P.Betaflexiviridae_rename.zip</v>
      </c>
    </row>
    <row r="9852" spans="1:21">
      <c r="A9852">
        <v>9851</v>
      </c>
      <c r="B9852" s="27" t="s">
        <v>1124</v>
      </c>
      <c r="D9852" s="27" t="s">
        <v>1859</v>
      </c>
      <c r="F9852" s="27" t="s">
        <v>1867</v>
      </c>
      <c r="H9852" s="27" t="s">
        <v>1868</v>
      </c>
      <c r="J9852" s="27" t="s">
        <v>290</v>
      </c>
      <c r="L9852" s="27" t="s">
        <v>291</v>
      </c>
      <c r="M9852" s="27" t="s">
        <v>650</v>
      </c>
      <c r="N9852" s="27" t="s">
        <v>140</v>
      </c>
      <c r="P9852" s="27" t="s">
        <v>14133</v>
      </c>
      <c r="Q9852" s="26" t="str">
        <f>HYPERLINK("https://ictv.global/taxonomy/taxondetails?taxnode_id=202502260&amp;ictv_id=ICTV20083752","ICTV20083752")</f>
        <v>ICTV20083752</v>
      </c>
      <c r="R9852" t="s">
        <v>581</v>
      </c>
      <c r="S9852" t="s">
        <v>824</v>
      </c>
      <c r="T9852">
        <v>39</v>
      </c>
      <c r="U9852" s="26" t="str">
        <f t="shared" si="353"/>
        <v>2023.027P.Betaflexiviridae_rename.zip</v>
      </c>
    </row>
    <row r="9853" spans="1:21">
      <c r="A9853">
        <v>9852</v>
      </c>
      <c r="B9853" s="27" t="s">
        <v>1124</v>
      </c>
      <c r="D9853" s="27" t="s">
        <v>1859</v>
      </c>
      <c r="F9853" s="27" t="s">
        <v>1867</v>
      </c>
      <c r="H9853" s="27" t="s">
        <v>1868</v>
      </c>
      <c r="J9853" s="27" t="s">
        <v>290</v>
      </c>
      <c r="L9853" s="27" t="s">
        <v>291</v>
      </c>
      <c r="M9853" s="27" t="s">
        <v>650</v>
      </c>
      <c r="N9853" s="27" t="s">
        <v>140</v>
      </c>
      <c r="P9853" s="27" t="s">
        <v>21552</v>
      </c>
      <c r="Q9853" s="26" t="str">
        <f>HYPERLINK("https://ictv.global/taxonomy/taxondetails?taxnode_id=202522421&amp;ictv_id=ICTV202522421","ICTV202522421")</f>
        <v>ICTV202522421</v>
      </c>
      <c r="R9853" t="s">
        <v>581</v>
      </c>
      <c r="S9853" t="s">
        <v>823</v>
      </c>
      <c r="T9853">
        <v>41</v>
      </c>
      <c r="U9853" s="26" t="str">
        <f>HYPERLINK("https://ictv.global/ictv/proposals/2025.008P.Betaflexiviridae_9nsp.zip","2025.008P.Betaflexiviridae_9nsp.zip")</f>
        <v>2025.008P.Betaflexiviridae_9nsp.zip</v>
      </c>
    </row>
    <row r="9854" spans="1:21">
      <c r="A9854">
        <v>9853</v>
      </c>
      <c r="B9854" s="27" t="s">
        <v>1124</v>
      </c>
      <c r="D9854" s="27" t="s">
        <v>1859</v>
      </c>
      <c r="F9854" s="27" t="s">
        <v>1867</v>
      </c>
      <c r="H9854" s="27" t="s">
        <v>1868</v>
      </c>
      <c r="J9854" s="27" t="s">
        <v>290</v>
      </c>
      <c r="L9854" s="27" t="s">
        <v>291</v>
      </c>
      <c r="M9854" s="27" t="s">
        <v>650</v>
      </c>
      <c r="N9854" s="27" t="s">
        <v>140</v>
      </c>
      <c r="P9854" s="27" t="s">
        <v>14134</v>
      </c>
      <c r="Q9854" s="26" t="str">
        <f>HYPERLINK("https://ictv.global/taxonomy/taxondetails?taxnode_id=202502267&amp;ictv_id=ICTV20125795","ICTV20125795")</f>
        <v>ICTV20125795</v>
      </c>
      <c r="R9854" t="s">
        <v>581</v>
      </c>
      <c r="S9854" t="s">
        <v>824</v>
      </c>
      <c r="T9854">
        <v>39</v>
      </c>
      <c r="U9854" s="26" t="str">
        <f t="shared" ref="U9854:U9859" si="354">HYPERLINK("https://ictv.global/ictv/proposals/2023.027P.Betaflexiviridae_rename.zip","2023.027P.Betaflexiviridae_rename.zip")</f>
        <v>2023.027P.Betaflexiviridae_rename.zip</v>
      </c>
    </row>
    <row r="9855" spans="1:21">
      <c r="A9855">
        <v>9854</v>
      </c>
      <c r="B9855" s="27" t="s">
        <v>1124</v>
      </c>
      <c r="D9855" s="27" t="s">
        <v>1859</v>
      </c>
      <c r="F9855" s="27" t="s">
        <v>1867</v>
      </c>
      <c r="H9855" s="27" t="s">
        <v>1868</v>
      </c>
      <c r="J9855" s="27" t="s">
        <v>290</v>
      </c>
      <c r="L9855" s="27" t="s">
        <v>291</v>
      </c>
      <c r="M9855" s="27" t="s">
        <v>650</v>
      </c>
      <c r="N9855" s="27" t="s">
        <v>140</v>
      </c>
      <c r="P9855" s="27" t="s">
        <v>14135</v>
      </c>
      <c r="Q9855" s="26" t="str">
        <f>HYPERLINK("https://ictv.global/taxonomy/taxondetails?taxnode_id=202502261&amp;ictv_id=ICTV20125787","ICTV20125787")</f>
        <v>ICTV20125787</v>
      </c>
      <c r="R9855" t="s">
        <v>581</v>
      </c>
      <c r="S9855" t="s">
        <v>824</v>
      </c>
      <c r="T9855">
        <v>39</v>
      </c>
      <c r="U9855" s="26" t="str">
        <f t="shared" si="354"/>
        <v>2023.027P.Betaflexiviridae_rename.zip</v>
      </c>
    </row>
    <row r="9856" spans="1:21">
      <c r="A9856">
        <v>9855</v>
      </c>
      <c r="B9856" s="27" t="s">
        <v>1124</v>
      </c>
      <c r="D9856" s="27" t="s">
        <v>1859</v>
      </c>
      <c r="F9856" s="27" t="s">
        <v>1867</v>
      </c>
      <c r="H9856" s="27" t="s">
        <v>1868</v>
      </c>
      <c r="J9856" s="27" t="s">
        <v>290</v>
      </c>
      <c r="L9856" s="27" t="s">
        <v>291</v>
      </c>
      <c r="M9856" s="27" t="s">
        <v>650</v>
      </c>
      <c r="N9856" s="27" t="s">
        <v>140</v>
      </c>
      <c r="P9856" s="27" t="s">
        <v>14136</v>
      </c>
      <c r="Q9856" s="26" t="str">
        <f>HYPERLINK("https://ictv.global/taxonomy/taxondetails?taxnode_id=202502272&amp;ictv_id=ICTV19710150","ICTV19710150")</f>
        <v>ICTV19710150</v>
      </c>
      <c r="R9856" t="s">
        <v>581</v>
      </c>
      <c r="S9856" t="s">
        <v>824</v>
      </c>
      <c r="T9856">
        <v>39</v>
      </c>
      <c r="U9856" s="26" t="str">
        <f t="shared" si="354"/>
        <v>2023.027P.Betaflexiviridae_rename.zip</v>
      </c>
    </row>
    <row r="9857" spans="1:21">
      <c r="A9857">
        <v>9856</v>
      </c>
      <c r="B9857" s="27" t="s">
        <v>1124</v>
      </c>
      <c r="D9857" s="27" t="s">
        <v>1859</v>
      </c>
      <c r="F9857" s="27" t="s">
        <v>1867</v>
      </c>
      <c r="H9857" s="27" t="s">
        <v>1868</v>
      </c>
      <c r="J9857" s="27" t="s">
        <v>290</v>
      </c>
      <c r="L9857" s="27" t="s">
        <v>291</v>
      </c>
      <c r="M9857" s="27" t="s">
        <v>650</v>
      </c>
      <c r="N9857" s="27" t="s">
        <v>140</v>
      </c>
      <c r="P9857" s="27" t="s">
        <v>14137</v>
      </c>
      <c r="Q9857" s="26" t="str">
        <f>HYPERLINK("https://ictv.global/taxonomy/taxondetails?taxnode_id=202513844&amp;ictv_id=ICTV202113844","ICTV202113844")</f>
        <v>ICTV202113844</v>
      </c>
      <c r="R9857" t="s">
        <v>581</v>
      </c>
      <c r="S9857" t="s">
        <v>824</v>
      </c>
      <c r="T9857">
        <v>39</v>
      </c>
      <c r="U9857" s="26" t="str">
        <f t="shared" si="354"/>
        <v>2023.027P.Betaflexiviridae_rename.zip</v>
      </c>
    </row>
    <row r="9858" spans="1:21">
      <c r="A9858">
        <v>9857</v>
      </c>
      <c r="B9858" s="27" t="s">
        <v>1124</v>
      </c>
      <c r="D9858" s="27" t="s">
        <v>1859</v>
      </c>
      <c r="F9858" s="27" t="s">
        <v>1867</v>
      </c>
      <c r="H9858" s="27" t="s">
        <v>1868</v>
      </c>
      <c r="J9858" s="27" t="s">
        <v>290</v>
      </c>
      <c r="L9858" s="27" t="s">
        <v>291</v>
      </c>
      <c r="M9858" s="27" t="s">
        <v>650</v>
      </c>
      <c r="N9858" s="27" t="s">
        <v>140</v>
      </c>
      <c r="P9858" s="27" t="s">
        <v>14138</v>
      </c>
      <c r="Q9858" s="26" t="str">
        <f>HYPERLINK("https://ictv.global/taxonomy/taxondetails?taxnode_id=202502258&amp;ictv_id=ICTV20093254","ICTV20093254")</f>
        <v>ICTV20093254</v>
      </c>
      <c r="R9858" t="s">
        <v>581</v>
      </c>
      <c r="S9858" t="s">
        <v>824</v>
      </c>
      <c r="T9858">
        <v>39</v>
      </c>
      <c r="U9858" s="26" t="str">
        <f t="shared" si="354"/>
        <v>2023.027P.Betaflexiviridae_rename.zip</v>
      </c>
    </row>
    <row r="9859" spans="1:21">
      <c r="A9859">
        <v>9858</v>
      </c>
      <c r="B9859" s="27" t="s">
        <v>1124</v>
      </c>
      <c r="D9859" s="27" t="s">
        <v>1859</v>
      </c>
      <c r="F9859" s="27" t="s">
        <v>1867</v>
      </c>
      <c r="H9859" s="27" t="s">
        <v>1868</v>
      </c>
      <c r="J9859" s="27" t="s">
        <v>290</v>
      </c>
      <c r="L9859" s="27" t="s">
        <v>291</v>
      </c>
      <c r="M9859" s="27" t="s">
        <v>650</v>
      </c>
      <c r="N9859" s="27" t="s">
        <v>140</v>
      </c>
      <c r="P9859" s="27" t="s">
        <v>14139</v>
      </c>
      <c r="Q9859" s="26" t="str">
        <f>HYPERLINK("https://ictv.global/taxonomy/taxondetails?taxnode_id=202502252&amp;ictv_id=ICTV20093248","ICTV20093248")</f>
        <v>ICTV20093248</v>
      </c>
      <c r="R9859" t="s">
        <v>581</v>
      </c>
      <c r="S9859" t="s">
        <v>824</v>
      </c>
      <c r="T9859">
        <v>39</v>
      </c>
      <c r="U9859" s="26" t="str">
        <f t="shared" si="354"/>
        <v>2023.027P.Betaflexiviridae_rename.zip</v>
      </c>
    </row>
    <row r="9860" spans="1:21">
      <c r="A9860">
        <v>9859</v>
      </c>
      <c r="B9860" s="27" t="s">
        <v>1124</v>
      </c>
      <c r="D9860" s="27" t="s">
        <v>1859</v>
      </c>
      <c r="F9860" s="27" t="s">
        <v>1867</v>
      </c>
      <c r="H9860" s="27" t="s">
        <v>1868</v>
      </c>
      <c r="J9860" s="27" t="s">
        <v>290</v>
      </c>
      <c r="L9860" s="27" t="s">
        <v>291</v>
      </c>
      <c r="M9860" s="27" t="s">
        <v>650</v>
      </c>
      <c r="N9860" s="27" t="s">
        <v>140</v>
      </c>
      <c r="P9860" s="27" t="s">
        <v>14140</v>
      </c>
      <c r="Q9860" s="26" t="str">
        <f>HYPERLINK("https://ictv.global/taxonomy/taxondetails?taxnode_id=202519031&amp;ictv_id=ICTV202319031","ICTV202319031")</f>
        <v>ICTV202319031</v>
      </c>
      <c r="R9860" t="s">
        <v>581</v>
      </c>
      <c r="S9860" t="s">
        <v>823</v>
      </c>
      <c r="T9860">
        <v>39</v>
      </c>
      <c r="U9860" s="26" t="str">
        <f>HYPERLINK("https://ictv.global/ictv/proposals/2023.028P.Betaflexiviridae_13nsp.zip","2023.028P.Betaflexiviridae_13nsp.zip")</f>
        <v>2023.028P.Betaflexiviridae_13nsp.zip</v>
      </c>
    </row>
    <row r="9861" spans="1:21">
      <c r="A9861">
        <v>9860</v>
      </c>
      <c r="B9861" s="27" t="s">
        <v>1124</v>
      </c>
      <c r="D9861" s="27" t="s">
        <v>1859</v>
      </c>
      <c r="F9861" s="27" t="s">
        <v>1867</v>
      </c>
      <c r="H9861" s="27" t="s">
        <v>1868</v>
      </c>
      <c r="J9861" s="27" t="s">
        <v>290</v>
      </c>
      <c r="L9861" s="27" t="s">
        <v>291</v>
      </c>
      <c r="M9861" s="27" t="s">
        <v>650</v>
      </c>
      <c r="N9861" s="27" t="s">
        <v>140</v>
      </c>
      <c r="P9861" s="27" t="s">
        <v>14141</v>
      </c>
      <c r="Q9861" s="26" t="str">
        <f>HYPERLINK("https://ictv.global/taxonomy/taxondetails?taxnode_id=202502238&amp;ictv_id=ICTV20125783","ICTV20125783")</f>
        <v>ICTV20125783</v>
      </c>
      <c r="R9861" t="s">
        <v>581</v>
      </c>
      <c r="S9861" t="s">
        <v>824</v>
      </c>
      <c r="T9861">
        <v>39</v>
      </c>
      <c r="U9861" s="26" t="str">
        <f t="shared" ref="U9861:U9870" si="355">HYPERLINK("https://ictv.global/ictv/proposals/2023.027P.Betaflexiviridae_rename.zip","2023.027P.Betaflexiviridae_rename.zip")</f>
        <v>2023.027P.Betaflexiviridae_rename.zip</v>
      </c>
    </row>
    <row r="9862" spans="1:21">
      <c r="A9862">
        <v>9861</v>
      </c>
      <c r="B9862" s="27" t="s">
        <v>1124</v>
      </c>
      <c r="D9862" s="27" t="s">
        <v>1859</v>
      </c>
      <c r="F9862" s="27" t="s">
        <v>1867</v>
      </c>
      <c r="H9862" s="27" t="s">
        <v>1868</v>
      </c>
      <c r="J9862" s="27" t="s">
        <v>290</v>
      </c>
      <c r="L9862" s="27" t="s">
        <v>291</v>
      </c>
      <c r="M9862" s="27" t="s">
        <v>650</v>
      </c>
      <c r="N9862" s="27" t="s">
        <v>140</v>
      </c>
      <c r="P9862" s="27" t="s">
        <v>14142</v>
      </c>
      <c r="Q9862" s="26" t="str">
        <f>HYPERLINK("https://ictv.global/taxonomy/taxondetails?taxnode_id=202502265&amp;ictv_id=ICTV19821162","ICTV19821162")</f>
        <v>ICTV19821162</v>
      </c>
      <c r="R9862" t="s">
        <v>581</v>
      </c>
      <c r="S9862" t="s">
        <v>824</v>
      </c>
      <c r="T9862">
        <v>39</v>
      </c>
      <c r="U9862" s="26" t="str">
        <f t="shared" si="355"/>
        <v>2023.027P.Betaflexiviridae_rename.zip</v>
      </c>
    </row>
    <row r="9863" spans="1:21">
      <c r="A9863">
        <v>9862</v>
      </c>
      <c r="B9863" s="27" t="s">
        <v>1124</v>
      </c>
      <c r="D9863" s="27" t="s">
        <v>1859</v>
      </c>
      <c r="F9863" s="27" t="s">
        <v>1867</v>
      </c>
      <c r="H9863" s="27" t="s">
        <v>1868</v>
      </c>
      <c r="J9863" s="27" t="s">
        <v>290</v>
      </c>
      <c r="L9863" s="27" t="s">
        <v>291</v>
      </c>
      <c r="M9863" s="27" t="s">
        <v>650</v>
      </c>
      <c r="N9863" s="27" t="s">
        <v>140</v>
      </c>
      <c r="P9863" s="27" t="s">
        <v>14143</v>
      </c>
      <c r="Q9863" s="26" t="str">
        <f>HYPERLINK("https://ictv.global/taxonomy/taxondetails?taxnode_id=202502273&amp;ictv_id=ICTV20083763","ICTV20083763")</f>
        <v>ICTV20083763</v>
      </c>
      <c r="R9863" t="s">
        <v>581</v>
      </c>
      <c r="S9863" t="s">
        <v>824</v>
      </c>
      <c r="T9863">
        <v>39</v>
      </c>
      <c r="U9863" s="26" t="str">
        <f t="shared" si="355"/>
        <v>2023.027P.Betaflexiviridae_rename.zip</v>
      </c>
    </row>
    <row r="9864" spans="1:21">
      <c r="A9864">
        <v>9863</v>
      </c>
      <c r="B9864" s="27" t="s">
        <v>1124</v>
      </c>
      <c r="D9864" s="27" t="s">
        <v>1859</v>
      </c>
      <c r="F9864" s="27" t="s">
        <v>1867</v>
      </c>
      <c r="H9864" s="27" t="s">
        <v>1868</v>
      </c>
      <c r="J9864" s="27" t="s">
        <v>290</v>
      </c>
      <c r="L9864" s="27" t="s">
        <v>291</v>
      </c>
      <c r="M9864" s="27" t="s">
        <v>650</v>
      </c>
      <c r="N9864" s="27" t="s">
        <v>140</v>
      </c>
      <c r="P9864" s="27" t="s">
        <v>14144</v>
      </c>
      <c r="Q9864" s="26" t="str">
        <f>HYPERLINK("https://ictv.global/taxonomy/taxondetails?taxnode_id=202502269&amp;ictv_id=ICTV19790964","ICTV19790964")</f>
        <v>ICTV19790964</v>
      </c>
      <c r="R9864" t="s">
        <v>581</v>
      </c>
      <c r="S9864" t="s">
        <v>824</v>
      </c>
      <c r="T9864">
        <v>39</v>
      </c>
      <c r="U9864" s="26" t="str">
        <f t="shared" si="355"/>
        <v>2023.027P.Betaflexiviridae_rename.zip</v>
      </c>
    </row>
    <row r="9865" spans="1:21">
      <c r="A9865">
        <v>9864</v>
      </c>
      <c r="B9865" s="27" t="s">
        <v>1124</v>
      </c>
      <c r="D9865" s="27" t="s">
        <v>1859</v>
      </c>
      <c r="F9865" s="27" t="s">
        <v>1867</v>
      </c>
      <c r="H9865" s="27" t="s">
        <v>1868</v>
      </c>
      <c r="J9865" s="27" t="s">
        <v>290</v>
      </c>
      <c r="L9865" s="27" t="s">
        <v>291</v>
      </c>
      <c r="M9865" s="27" t="s">
        <v>650</v>
      </c>
      <c r="N9865" s="27" t="s">
        <v>140</v>
      </c>
      <c r="P9865" s="27" t="s">
        <v>14145</v>
      </c>
      <c r="Q9865" s="26" t="str">
        <f>HYPERLINK("https://ictv.global/taxonomy/taxondetails?taxnode_id=202513843&amp;ictv_id=ICTV202113843","ICTV202113843")</f>
        <v>ICTV202113843</v>
      </c>
      <c r="R9865" t="s">
        <v>581</v>
      </c>
      <c r="S9865" t="s">
        <v>824</v>
      </c>
      <c r="T9865">
        <v>39</v>
      </c>
      <c r="U9865" s="26" t="str">
        <f t="shared" si="355"/>
        <v>2023.027P.Betaflexiviridae_rename.zip</v>
      </c>
    </row>
    <row r="9866" spans="1:21">
      <c r="A9866">
        <v>9865</v>
      </c>
      <c r="B9866" s="27" t="s">
        <v>1124</v>
      </c>
      <c r="D9866" s="27" t="s">
        <v>1859</v>
      </c>
      <c r="F9866" s="27" t="s">
        <v>1867</v>
      </c>
      <c r="H9866" s="27" t="s">
        <v>1868</v>
      </c>
      <c r="J9866" s="27" t="s">
        <v>290</v>
      </c>
      <c r="L9866" s="27" t="s">
        <v>291</v>
      </c>
      <c r="M9866" s="27" t="s">
        <v>650</v>
      </c>
      <c r="N9866" s="27" t="s">
        <v>140</v>
      </c>
      <c r="P9866" s="27" t="s">
        <v>14146</v>
      </c>
      <c r="Q9866" s="26" t="str">
        <f>HYPERLINK("https://ictv.global/taxonomy/taxondetails?taxnode_id=202502247&amp;ictv_id=ICTV20083741","ICTV20083741")</f>
        <v>ICTV20083741</v>
      </c>
      <c r="R9866" t="s">
        <v>581</v>
      </c>
      <c r="S9866" t="s">
        <v>824</v>
      </c>
      <c r="T9866">
        <v>39</v>
      </c>
      <c r="U9866" s="26" t="str">
        <f t="shared" si="355"/>
        <v>2023.027P.Betaflexiviridae_rename.zip</v>
      </c>
    </row>
    <row r="9867" spans="1:21">
      <c r="A9867">
        <v>9866</v>
      </c>
      <c r="B9867" s="27" t="s">
        <v>1124</v>
      </c>
      <c r="D9867" s="27" t="s">
        <v>1859</v>
      </c>
      <c r="F9867" s="27" t="s">
        <v>1867</v>
      </c>
      <c r="H9867" s="27" t="s">
        <v>1868</v>
      </c>
      <c r="J9867" s="27" t="s">
        <v>290</v>
      </c>
      <c r="L9867" s="27" t="s">
        <v>291</v>
      </c>
      <c r="M9867" s="27" t="s">
        <v>650</v>
      </c>
      <c r="N9867" s="27" t="s">
        <v>140</v>
      </c>
      <c r="P9867" s="27" t="s">
        <v>14147</v>
      </c>
      <c r="Q9867" s="26" t="str">
        <f>HYPERLINK("https://ictv.global/taxonomy/taxondetails?taxnode_id=202502250&amp;ictv_id=ICTV19821152","ICTV19821152")</f>
        <v>ICTV19821152</v>
      </c>
      <c r="R9867" t="s">
        <v>581</v>
      </c>
      <c r="S9867" t="s">
        <v>824</v>
      </c>
      <c r="T9867">
        <v>39</v>
      </c>
      <c r="U9867" s="26" t="str">
        <f t="shared" si="355"/>
        <v>2023.027P.Betaflexiviridae_rename.zip</v>
      </c>
    </row>
    <row r="9868" spans="1:21">
      <c r="A9868">
        <v>9867</v>
      </c>
      <c r="B9868" s="27" t="s">
        <v>1124</v>
      </c>
      <c r="D9868" s="27" t="s">
        <v>1859</v>
      </c>
      <c r="F9868" s="27" t="s">
        <v>1867</v>
      </c>
      <c r="H9868" s="27" t="s">
        <v>1868</v>
      </c>
      <c r="J9868" s="27" t="s">
        <v>290</v>
      </c>
      <c r="L9868" s="27" t="s">
        <v>291</v>
      </c>
      <c r="M9868" s="27" t="s">
        <v>650</v>
      </c>
      <c r="N9868" s="27" t="s">
        <v>140</v>
      </c>
      <c r="P9868" s="27" t="s">
        <v>14148</v>
      </c>
      <c r="Q9868" s="26" t="str">
        <f>HYPERLINK("https://ictv.global/taxonomy/taxondetails?taxnode_id=202502268&amp;ictv_id=ICTV20125793","ICTV20125793")</f>
        <v>ICTV20125793</v>
      </c>
      <c r="R9868" t="s">
        <v>581</v>
      </c>
      <c r="S9868" t="s">
        <v>824</v>
      </c>
      <c r="T9868">
        <v>39</v>
      </c>
      <c r="U9868" s="26" t="str">
        <f t="shared" si="355"/>
        <v>2023.027P.Betaflexiviridae_rename.zip</v>
      </c>
    </row>
    <row r="9869" spans="1:21">
      <c r="A9869">
        <v>9868</v>
      </c>
      <c r="B9869" s="27" t="s">
        <v>1124</v>
      </c>
      <c r="D9869" s="27" t="s">
        <v>1859</v>
      </c>
      <c r="F9869" s="27" t="s">
        <v>1867</v>
      </c>
      <c r="H9869" s="27" t="s">
        <v>1868</v>
      </c>
      <c r="J9869" s="27" t="s">
        <v>290</v>
      </c>
      <c r="L9869" s="27" t="s">
        <v>291</v>
      </c>
      <c r="M9869" s="27" t="s">
        <v>650</v>
      </c>
      <c r="N9869" s="27" t="s">
        <v>140</v>
      </c>
      <c r="P9869" s="27" t="s">
        <v>14149</v>
      </c>
      <c r="Q9869" s="26" t="str">
        <f>HYPERLINK("https://ictv.global/taxonomy/taxondetails?taxnode_id=202513849&amp;ictv_id=ICTV202113849","ICTV202113849")</f>
        <v>ICTV202113849</v>
      </c>
      <c r="R9869" t="s">
        <v>581</v>
      </c>
      <c r="S9869" t="s">
        <v>824</v>
      </c>
      <c r="T9869">
        <v>39</v>
      </c>
      <c r="U9869" s="26" t="str">
        <f t="shared" si="355"/>
        <v>2023.027P.Betaflexiviridae_rename.zip</v>
      </c>
    </row>
    <row r="9870" spans="1:21">
      <c r="A9870">
        <v>9869</v>
      </c>
      <c r="B9870" s="27" t="s">
        <v>1124</v>
      </c>
      <c r="D9870" s="27" t="s">
        <v>1859</v>
      </c>
      <c r="F9870" s="27" t="s">
        <v>1867</v>
      </c>
      <c r="H9870" s="27" t="s">
        <v>1868</v>
      </c>
      <c r="J9870" s="27" t="s">
        <v>290</v>
      </c>
      <c r="L9870" s="27" t="s">
        <v>291</v>
      </c>
      <c r="M9870" s="27" t="s">
        <v>650</v>
      </c>
      <c r="N9870" s="27" t="s">
        <v>140</v>
      </c>
      <c r="P9870" s="27" t="s">
        <v>14150</v>
      </c>
      <c r="Q9870" s="26" t="str">
        <f>HYPERLINK("https://ictv.global/taxonomy/taxondetails?taxnode_id=202502274&amp;ictv_id=ICTV19911545","ICTV19911545")</f>
        <v>ICTV19911545</v>
      </c>
      <c r="R9870" t="s">
        <v>581</v>
      </c>
      <c r="S9870" t="s">
        <v>824</v>
      </c>
      <c r="T9870">
        <v>39</v>
      </c>
      <c r="U9870" s="26" t="str">
        <f t="shared" si="355"/>
        <v>2023.027P.Betaflexiviridae_rename.zip</v>
      </c>
    </row>
    <row r="9871" spans="1:21">
      <c r="A9871">
        <v>9870</v>
      </c>
      <c r="B9871" s="27" t="s">
        <v>1124</v>
      </c>
      <c r="D9871" s="27" t="s">
        <v>1859</v>
      </c>
      <c r="F9871" s="27" t="s">
        <v>1867</v>
      </c>
      <c r="H9871" s="27" t="s">
        <v>1868</v>
      </c>
      <c r="J9871" s="27" t="s">
        <v>290</v>
      </c>
      <c r="L9871" s="27" t="s">
        <v>291</v>
      </c>
      <c r="M9871" s="27" t="s">
        <v>650</v>
      </c>
      <c r="N9871" s="27" t="s">
        <v>140</v>
      </c>
      <c r="P9871" s="27" t="s">
        <v>14151</v>
      </c>
      <c r="Q9871" s="26" t="str">
        <f>HYPERLINK("https://ictv.global/taxonomy/taxondetails?taxnode_id=202519030&amp;ictv_id=ICTV202319030","ICTV202319030")</f>
        <v>ICTV202319030</v>
      </c>
      <c r="R9871" t="s">
        <v>581</v>
      </c>
      <c r="S9871" t="s">
        <v>823</v>
      </c>
      <c r="T9871">
        <v>39</v>
      </c>
      <c r="U9871" s="26" t="str">
        <f>HYPERLINK("https://ictv.global/ictv/proposals/2023.028P.Betaflexiviridae_13nsp.zip","2023.028P.Betaflexiviridae_13nsp.zip")</f>
        <v>2023.028P.Betaflexiviridae_13nsp.zip</v>
      </c>
    </row>
    <row r="9872" spans="1:21">
      <c r="A9872">
        <v>9871</v>
      </c>
      <c r="B9872" s="27" t="s">
        <v>1124</v>
      </c>
      <c r="D9872" s="27" t="s">
        <v>1859</v>
      </c>
      <c r="F9872" s="27" t="s">
        <v>1867</v>
      </c>
      <c r="H9872" s="27" t="s">
        <v>1868</v>
      </c>
      <c r="J9872" s="27" t="s">
        <v>290</v>
      </c>
      <c r="L9872" s="27" t="s">
        <v>291</v>
      </c>
      <c r="M9872" s="27" t="s">
        <v>650</v>
      </c>
      <c r="N9872" s="27" t="s">
        <v>140</v>
      </c>
      <c r="P9872" s="27" t="s">
        <v>14152</v>
      </c>
      <c r="Q9872" s="26" t="str">
        <f>HYPERLINK("https://ictv.global/taxonomy/taxondetails?taxnode_id=202502275&amp;ictv_id=ICTV19710152","ICTV19710152")</f>
        <v>ICTV19710152</v>
      </c>
      <c r="R9872" t="s">
        <v>581</v>
      </c>
      <c r="S9872" t="s">
        <v>824</v>
      </c>
      <c r="T9872">
        <v>39</v>
      </c>
      <c r="U9872" s="26" t="str">
        <f>HYPERLINK("https://ictv.global/ictv/proposals/2023.027P.Betaflexiviridae_rename.zip","2023.027P.Betaflexiviridae_rename.zip")</f>
        <v>2023.027P.Betaflexiviridae_rename.zip</v>
      </c>
    </row>
    <row r="9873" spans="1:21">
      <c r="A9873">
        <v>9872</v>
      </c>
      <c r="B9873" s="27" t="s">
        <v>1124</v>
      </c>
      <c r="D9873" s="27" t="s">
        <v>1859</v>
      </c>
      <c r="F9873" s="27" t="s">
        <v>1867</v>
      </c>
      <c r="H9873" s="27" t="s">
        <v>1868</v>
      </c>
      <c r="J9873" s="27" t="s">
        <v>290</v>
      </c>
      <c r="L9873" s="27" t="s">
        <v>291</v>
      </c>
      <c r="M9873" s="27" t="s">
        <v>650</v>
      </c>
      <c r="N9873" s="27" t="s">
        <v>140</v>
      </c>
      <c r="P9873" s="27" t="s">
        <v>14153</v>
      </c>
      <c r="Q9873" s="26" t="str">
        <f>HYPERLINK("https://ictv.global/taxonomy/taxondetails?taxnode_id=202519035&amp;ictv_id=ICTV202319035","ICTV202319035")</f>
        <v>ICTV202319035</v>
      </c>
      <c r="R9873" t="s">
        <v>581</v>
      </c>
      <c r="S9873" t="s">
        <v>823</v>
      </c>
      <c r="T9873">
        <v>39</v>
      </c>
      <c r="U9873" s="26" t="str">
        <f>HYPERLINK("https://ictv.global/ictv/proposals/2023.028P.Betaflexiviridae_13nsp.zip","2023.028P.Betaflexiviridae_13nsp.zip")</f>
        <v>2023.028P.Betaflexiviridae_13nsp.zip</v>
      </c>
    </row>
    <row r="9874" spans="1:21">
      <c r="A9874">
        <v>9873</v>
      </c>
      <c r="B9874" s="27" t="s">
        <v>1124</v>
      </c>
      <c r="D9874" s="27" t="s">
        <v>1859</v>
      </c>
      <c r="F9874" s="27" t="s">
        <v>1867</v>
      </c>
      <c r="H9874" s="27" t="s">
        <v>1868</v>
      </c>
      <c r="J9874" s="27" t="s">
        <v>290</v>
      </c>
      <c r="L9874" s="27" t="s">
        <v>291</v>
      </c>
      <c r="M9874" s="27" t="s">
        <v>650</v>
      </c>
      <c r="N9874" s="27" t="s">
        <v>140</v>
      </c>
      <c r="P9874" s="27" t="s">
        <v>14154</v>
      </c>
      <c r="Q9874" s="26" t="str">
        <f>HYPERLINK("https://ictv.global/taxonomy/taxondetails?taxnode_id=202515081&amp;ictv_id=ICTV202215081","ICTV202215081")</f>
        <v>ICTV202215081</v>
      </c>
      <c r="R9874" t="s">
        <v>581</v>
      </c>
      <c r="S9874" t="s">
        <v>824</v>
      </c>
      <c r="T9874">
        <v>39</v>
      </c>
      <c r="U9874" s="26" t="str">
        <f>HYPERLINK("https://ictv.global/ictv/proposals/2023.027P.Betaflexiviridae_rename.zip","2023.027P.Betaflexiviridae_rename.zip")</f>
        <v>2023.027P.Betaflexiviridae_rename.zip</v>
      </c>
    </row>
    <row r="9875" spans="1:21">
      <c r="A9875">
        <v>9874</v>
      </c>
      <c r="B9875" s="27" t="s">
        <v>1124</v>
      </c>
      <c r="D9875" s="27" t="s">
        <v>1859</v>
      </c>
      <c r="F9875" s="27" t="s">
        <v>1867</v>
      </c>
      <c r="H9875" s="27" t="s">
        <v>1868</v>
      </c>
      <c r="J9875" s="27" t="s">
        <v>290</v>
      </c>
      <c r="L9875" s="27" t="s">
        <v>291</v>
      </c>
      <c r="M9875" s="27" t="s">
        <v>650</v>
      </c>
      <c r="N9875" s="27" t="s">
        <v>140</v>
      </c>
      <c r="P9875" s="27" t="s">
        <v>14155</v>
      </c>
      <c r="Q9875" s="26" t="str">
        <f>HYPERLINK("https://ictv.global/taxonomy/taxondetails?taxnode_id=202513848&amp;ictv_id=ICTV202113848","ICTV202113848")</f>
        <v>ICTV202113848</v>
      </c>
      <c r="R9875" t="s">
        <v>581</v>
      </c>
      <c r="S9875" t="s">
        <v>824</v>
      </c>
      <c r="T9875">
        <v>39</v>
      </c>
      <c r="U9875" s="26" t="str">
        <f>HYPERLINK("https://ictv.global/ictv/proposals/2023.027P.Betaflexiviridae_rename.zip","2023.027P.Betaflexiviridae_rename.zip")</f>
        <v>2023.027P.Betaflexiviridae_rename.zip</v>
      </c>
    </row>
    <row r="9876" spans="1:21">
      <c r="A9876">
        <v>9875</v>
      </c>
      <c r="B9876" s="27" t="s">
        <v>1124</v>
      </c>
      <c r="D9876" s="27" t="s">
        <v>1859</v>
      </c>
      <c r="F9876" s="27" t="s">
        <v>1867</v>
      </c>
      <c r="H9876" s="27" t="s">
        <v>1868</v>
      </c>
      <c r="J9876" s="27" t="s">
        <v>290</v>
      </c>
      <c r="L9876" s="27" t="s">
        <v>291</v>
      </c>
      <c r="M9876" s="27" t="s">
        <v>650</v>
      </c>
      <c r="N9876" s="27" t="s">
        <v>140</v>
      </c>
      <c r="P9876" s="27" t="s">
        <v>14156</v>
      </c>
      <c r="Q9876" s="26" t="str">
        <f>HYPERLINK("https://ictv.global/taxonomy/taxondetails?taxnode_id=202519033&amp;ictv_id=ICTV202319033","ICTV202319033")</f>
        <v>ICTV202319033</v>
      </c>
      <c r="R9876" t="s">
        <v>581</v>
      </c>
      <c r="S9876" t="s">
        <v>823</v>
      </c>
      <c r="T9876">
        <v>39</v>
      </c>
      <c r="U9876" s="26" t="str">
        <f>HYPERLINK("https://ictv.global/ictv/proposals/2023.028P.Betaflexiviridae_13nsp.zip","2023.028P.Betaflexiviridae_13nsp.zip")</f>
        <v>2023.028P.Betaflexiviridae_13nsp.zip</v>
      </c>
    </row>
    <row r="9877" spans="1:21">
      <c r="A9877">
        <v>9876</v>
      </c>
      <c r="B9877" s="27" t="s">
        <v>1124</v>
      </c>
      <c r="D9877" s="27" t="s">
        <v>1859</v>
      </c>
      <c r="F9877" s="27" t="s">
        <v>1867</v>
      </c>
      <c r="H9877" s="27" t="s">
        <v>1868</v>
      </c>
      <c r="J9877" s="27" t="s">
        <v>290</v>
      </c>
      <c r="L9877" s="27" t="s">
        <v>291</v>
      </c>
      <c r="M9877" s="27" t="s">
        <v>650</v>
      </c>
      <c r="N9877" s="27" t="s">
        <v>140</v>
      </c>
      <c r="P9877" s="27" t="s">
        <v>14157</v>
      </c>
      <c r="Q9877" s="26" t="str">
        <f>HYPERLINK("https://ictv.global/taxonomy/taxondetails?taxnode_id=202519036&amp;ictv_id=ICTV202319036","ICTV202319036")</f>
        <v>ICTV202319036</v>
      </c>
      <c r="R9877" t="s">
        <v>581</v>
      </c>
      <c r="S9877" t="s">
        <v>823</v>
      </c>
      <c r="T9877">
        <v>39</v>
      </c>
      <c r="U9877" s="26" t="str">
        <f>HYPERLINK("https://ictv.global/ictv/proposals/2023.028P.Betaflexiviridae_13nsp.zip","2023.028P.Betaflexiviridae_13nsp.zip")</f>
        <v>2023.028P.Betaflexiviridae_13nsp.zip</v>
      </c>
    </row>
    <row r="9878" spans="1:21">
      <c r="A9878">
        <v>9877</v>
      </c>
      <c r="B9878" s="27" t="s">
        <v>1124</v>
      </c>
      <c r="D9878" s="27" t="s">
        <v>1859</v>
      </c>
      <c r="F9878" s="27" t="s">
        <v>1867</v>
      </c>
      <c r="H9878" s="27" t="s">
        <v>1868</v>
      </c>
      <c r="J9878" s="27" t="s">
        <v>290</v>
      </c>
      <c r="L9878" s="27" t="s">
        <v>291</v>
      </c>
      <c r="M9878" s="27" t="s">
        <v>650</v>
      </c>
      <c r="N9878" s="27" t="s">
        <v>140</v>
      </c>
      <c r="P9878" s="27" t="s">
        <v>14158</v>
      </c>
      <c r="Q9878" s="26" t="str">
        <f>HYPERLINK("https://ictv.global/taxonomy/taxondetails?taxnode_id=202502237&amp;ictv_id=ICTV19952326","ICTV19952326")</f>
        <v>ICTV19952326</v>
      </c>
      <c r="R9878" t="s">
        <v>581</v>
      </c>
      <c r="S9878" t="s">
        <v>824</v>
      </c>
      <c r="T9878">
        <v>39</v>
      </c>
      <c r="U9878" s="26" t="str">
        <f t="shared" ref="U9878:U9884" si="356">HYPERLINK("https://ictv.global/ictv/proposals/2023.027P.Betaflexiviridae_rename.zip","2023.027P.Betaflexiviridae_rename.zip")</f>
        <v>2023.027P.Betaflexiviridae_rename.zip</v>
      </c>
    </row>
    <row r="9879" spans="1:21">
      <c r="A9879">
        <v>9878</v>
      </c>
      <c r="B9879" s="27" t="s">
        <v>1124</v>
      </c>
      <c r="D9879" s="27" t="s">
        <v>1859</v>
      </c>
      <c r="F9879" s="27" t="s">
        <v>1867</v>
      </c>
      <c r="H9879" s="27" t="s">
        <v>1868</v>
      </c>
      <c r="J9879" s="27" t="s">
        <v>290</v>
      </c>
      <c r="L9879" s="27" t="s">
        <v>291</v>
      </c>
      <c r="M9879" s="27" t="s">
        <v>650</v>
      </c>
      <c r="N9879" s="27" t="s">
        <v>140</v>
      </c>
      <c r="P9879" s="27" t="s">
        <v>14159</v>
      </c>
      <c r="Q9879" s="26" t="str">
        <f>HYPERLINK("https://ictv.global/taxonomy/taxondetails?taxnode_id=202502245&amp;ictv_id=ICTV19991771","ICTV19991771")</f>
        <v>ICTV19991771</v>
      </c>
      <c r="R9879" t="s">
        <v>581</v>
      </c>
      <c r="S9879" t="s">
        <v>824</v>
      </c>
      <c r="T9879">
        <v>39</v>
      </c>
      <c r="U9879" s="26" t="str">
        <f t="shared" si="356"/>
        <v>2023.027P.Betaflexiviridae_rename.zip</v>
      </c>
    </row>
    <row r="9880" spans="1:21">
      <c r="A9880">
        <v>9879</v>
      </c>
      <c r="B9880" s="27" t="s">
        <v>1124</v>
      </c>
      <c r="D9880" s="27" t="s">
        <v>1859</v>
      </c>
      <c r="F9880" s="27" t="s">
        <v>1867</v>
      </c>
      <c r="H9880" s="27" t="s">
        <v>1868</v>
      </c>
      <c r="J9880" s="27" t="s">
        <v>290</v>
      </c>
      <c r="L9880" s="27" t="s">
        <v>291</v>
      </c>
      <c r="M9880" s="27" t="s">
        <v>650</v>
      </c>
      <c r="N9880" s="27" t="s">
        <v>111</v>
      </c>
      <c r="P9880" s="27" t="s">
        <v>14160</v>
      </c>
      <c r="Q9880" s="26" t="str">
        <f>HYPERLINK("https://ictv.global/taxonomy/taxondetails?taxnode_id=202515086&amp;ictv_id=ICTV202215086","ICTV202215086")</f>
        <v>ICTV202215086</v>
      </c>
      <c r="R9880" t="s">
        <v>581</v>
      </c>
      <c r="S9880" t="s">
        <v>824</v>
      </c>
      <c r="T9880">
        <v>39</v>
      </c>
      <c r="U9880" s="26" t="str">
        <f t="shared" si="356"/>
        <v>2023.027P.Betaflexiviridae_rename.zip</v>
      </c>
    </row>
    <row r="9881" spans="1:21">
      <c r="A9881">
        <v>9880</v>
      </c>
      <c r="B9881" s="27" t="s">
        <v>1124</v>
      </c>
      <c r="D9881" s="27" t="s">
        <v>1859</v>
      </c>
      <c r="F9881" s="27" t="s">
        <v>1867</v>
      </c>
      <c r="H9881" s="27" t="s">
        <v>1868</v>
      </c>
      <c r="J9881" s="27" t="s">
        <v>290</v>
      </c>
      <c r="L9881" s="27" t="s">
        <v>291</v>
      </c>
      <c r="M9881" s="27" t="s">
        <v>650</v>
      </c>
      <c r="N9881" s="27" t="s">
        <v>111</v>
      </c>
      <c r="P9881" s="27" t="s">
        <v>14161</v>
      </c>
      <c r="Q9881" s="26" t="str">
        <f>HYPERLINK("https://ictv.global/taxonomy/taxondetails?taxnode_id=202513850&amp;ictv_id=ICTV202113850","ICTV202113850")</f>
        <v>ICTV202113850</v>
      </c>
      <c r="R9881" t="s">
        <v>581</v>
      </c>
      <c r="S9881" t="s">
        <v>824</v>
      </c>
      <c r="T9881">
        <v>39</v>
      </c>
      <c r="U9881" s="26" t="str">
        <f t="shared" si="356"/>
        <v>2023.027P.Betaflexiviridae_rename.zip</v>
      </c>
    </row>
    <row r="9882" spans="1:21">
      <c r="A9882">
        <v>9881</v>
      </c>
      <c r="B9882" s="27" t="s">
        <v>1124</v>
      </c>
      <c r="D9882" s="27" t="s">
        <v>1859</v>
      </c>
      <c r="F9882" s="27" t="s">
        <v>1867</v>
      </c>
      <c r="H9882" s="27" t="s">
        <v>1868</v>
      </c>
      <c r="J9882" s="27" t="s">
        <v>290</v>
      </c>
      <c r="L9882" s="27" t="s">
        <v>291</v>
      </c>
      <c r="M9882" s="27" t="s">
        <v>650</v>
      </c>
      <c r="N9882" s="27" t="s">
        <v>111</v>
      </c>
      <c r="P9882" s="27" t="s">
        <v>14162</v>
      </c>
      <c r="Q9882" s="26" t="str">
        <f>HYPERLINK("https://ictv.global/taxonomy/taxondetails?taxnode_id=202505643&amp;ictv_id=ICTV20175643","ICTV20175643")</f>
        <v>ICTV20175643</v>
      </c>
      <c r="R9882" t="s">
        <v>581</v>
      </c>
      <c r="S9882" t="s">
        <v>824</v>
      </c>
      <c r="T9882">
        <v>39</v>
      </c>
      <c r="U9882" s="26" t="str">
        <f t="shared" si="356"/>
        <v>2023.027P.Betaflexiviridae_rename.zip</v>
      </c>
    </row>
    <row r="9883" spans="1:21">
      <c r="A9883">
        <v>9882</v>
      </c>
      <c r="B9883" s="27" t="s">
        <v>1124</v>
      </c>
      <c r="D9883" s="27" t="s">
        <v>1859</v>
      </c>
      <c r="F9883" s="27" t="s">
        <v>1867</v>
      </c>
      <c r="H9883" s="27" t="s">
        <v>1868</v>
      </c>
      <c r="J9883" s="27" t="s">
        <v>290</v>
      </c>
      <c r="L9883" s="27" t="s">
        <v>291</v>
      </c>
      <c r="M9883" s="27" t="s">
        <v>650</v>
      </c>
      <c r="N9883" s="27" t="s">
        <v>111</v>
      </c>
      <c r="P9883" s="27" t="s">
        <v>14163</v>
      </c>
      <c r="Q9883" s="26" t="str">
        <f>HYPERLINK("https://ictv.global/taxonomy/taxondetails?taxnode_id=202502284&amp;ictv_id=ICTV20021903","ICTV20021903")</f>
        <v>ICTV20021903</v>
      </c>
      <c r="R9883" t="s">
        <v>581</v>
      </c>
      <c r="S9883" t="s">
        <v>824</v>
      </c>
      <c r="T9883">
        <v>39</v>
      </c>
      <c r="U9883" s="26" t="str">
        <f t="shared" si="356"/>
        <v>2023.027P.Betaflexiviridae_rename.zip</v>
      </c>
    </row>
    <row r="9884" spans="1:21">
      <c r="A9884">
        <v>9883</v>
      </c>
      <c r="B9884" s="27" t="s">
        <v>1124</v>
      </c>
      <c r="D9884" s="27" t="s">
        <v>1859</v>
      </c>
      <c r="F9884" s="27" t="s">
        <v>1867</v>
      </c>
      <c r="H9884" s="27" t="s">
        <v>1868</v>
      </c>
      <c r="J9884" s="27" t="s">
        <v>290</v>
      </c>
      <c r="L9884" s="27" t="s">
        <v>291</v>
      </c>
      <c r="M9884" s="27" t="s">
        <v>650</v>
      </c>
      <c r="N9884" s="27" t="s">
        <v>111</v>
      </c>
      <c r="P9884" s="27" t="s">
        <v>14164</v>
      </c>
      <c r="Q9884" s="26" t="str">
        <f>HYPERLINK("https://ictv.global/taxonomy/taxondetails?taxnode_id=202502283&amp;ictv_id=ICTV19982640","ICTV19982640")</f>
        <v>ICTV19982640</v>
      </c>
      <c r="R9884" t="s">
        <v>581</v>
      </c>
      <c r="S9884" t="s">
        <v>824</v>
      </c>
      <c r="T9884">
        <v>39</v>
      </c>
      <c r="U9884" s="26" t="str">
        <f t="shared" si="356"/>
        <v>2023.027P.Betaflexiviridae_rename.zip</v>
      </c>
    </row>
    <row r="9885" spans="1:21">
      <c r="A9885">
        <v>9884</v>
      </c>
      <c r="B9885" s="27" t="s">
        <v>1124</v>
      </c>
      <c r="D9885" s="27" t="s">
        <v>1859</v>
      </c>
      <c r="F9885" s="27" t="s">
        <v>1867</v>
      </c>
      <c r="H9885" s="27" t="s">
        <v>1868</v>
      </c>
      <c r="J9885" s="27" t="s">
        <v>290</v>
      </c>
      <c r="L9885" s="27" t="s">
        <v>291</v>
      </c>
      <c r="M9885" s="27" t="s">
        <v>650</v>
      </c>
      <c r="N9885" s="27" t="s">
        <v>111</v>
      </c>
      <c r="P9885" s="27" t="s">
        <v>14165</v>
      </c>
      <c r="Q9885" s="26" t="str">
        <f>HYPERLINK("https://ictv.global/taxonomy/taxondetails?taxnode_id=202519037&amp;ictv_id=ICTV202319037","ICTV202319037")</f>
        <v>ICTV202319037</v>
      </c>
      <c r="R9885" t="s">
        <v>581</v>
      </c>
      <c r="S9885" t="s">
        <v>823</v>
      </c>
      <c r="T9885">
        <v>39</v>
      </c>
      <c r="U9885" s="26" t="str">
        <f>HYPERLINK("https://ictv.global/ictv/proposals/2023.028P.Betaflexiviridae_13nsp.zip","2023.028P.Betaflexiviridae_13nsp.zip")</f>
        <v>2023.028P.Betaflexiviridae_13nsp.zip</v>
      </c>
    </row>
    <row r="9886" spans="1:21">
      <c r="A9886">
        <v>9885</v>
      </c>
      <c r="B9886" s="27" t="s">
        <v>1124</v>
      </c>
      <c r="D9886" s="27" t="s">
        <v>1859</v>
      </c>
      <c r="F9886" s="27" t="s">
        <v>1867</v>
      </c>
      <c r="H9886" s="27" t="s">
        <v>1868</v>
      </c>
      <c r="J9886" s="27" t="s">
        <v>290</v>
      </c>
      <c r="L9886" s="27" t="s">
        <v>291</v>
      </c>
      <c r="M9886" s="27" t="s">
        <v>650</v>
      </c>
      <c r="N9886" s="27" t="s">
        <v>111</v>
      </c>
      <c r="P9886" s="27" t="s">
        <v>14166</v>
      </c>
      <c r="Q9886" s="26" t="str">
        <f>HYPERLINK("https://ictv.global/taxonomy/taxondetails?taxnode_id=202502287&amp;ictv_id=ICTV20093280","ICTV20093280")</f>
        <v>ICTV20093280</v>
      </c>
      <c r="R9886" t="s">
        <v>581</v>
      </c>
      <c r="S9886" t="s">
        <v>824</v>
      </c>
      <c r="T9886">
        <v>39</v>
      </c>
      <c r="U9886" s="26" t="str">
        <f t="shared" ref="U9886:U9893" si="357">HYPERLINK("https://ictv.global/ictv/proposals/2023.027P.Betaflexiviridae_rename.zip","2023.027P.Betaflexiviridae_rename.zip")</f>
        <v>2023.027P.Betaflexiviridae_rename.zip</v>
      </c>
    </row>
    <row r="9887" spans="1:21">
      <c r="A9887">
        <v>9886</v>
      </c>
      <c r="B9887" s="27" t="s">
        <v>1124</v>
      </c>
      <c r="D9887" s="27" t="s">
        <v>1859</v>
      </c>
      <c r="F9887" s="27" t="s">
        <v>1867</v>
      </c>
      <c r="H9887" s="27" t="s">
        <v>1868</v>
      </c>
      <c r="J9887" s="27" t="s">
        <v>290</v>
      </c>
      <c r="L9887" s="27" t="s">
        <v>291</v>
      </c>
      <c r="M9887" s="27" t="s">
        <v>650</v>
      </c>
      <c r="N9887" s="27" t="s">
        <v>111</v>
      </c>
      <c r="P9887" s="27" t="s">
        <v>14167</v>
      </c>
      <c r="Q9887" s="26" t="str">
        <f>HYPERLINK("https://ictv.global/taxonomy/taxondetails?taxnode_id=202502286&amp;ictv_id=ICTV19982641","ICTV19982641")</f>
        <v>ICTV19982641</v>
      </c>
      <c r="R9887" t="s">
        <v>581</v>
      </c>
      <c r="S9887" t="s">
        <v>824</v>
      </c>
      <c r="T9887">
        <v>39</v>
      </c>
      <c r="U9887" s="26" t="str">
        <f t="shared" si="357"/>
        <v>2023.027P.Betaflexiviridae_rename.zip</v>
      </c>
    </row>
    <row r="9888" spans="1:21">
      <c r="A9888">
        <v>9887</v>
      </c>
      <c r="B9888" s="27" t="s">
        <v>1124</v>
      </c>
      <c r="D9888" s="27" t="s">
        <v>1859</v>
      </c>
      <c r="F9888" s="27" t="s">
        <v>1867</v>
      </c>
      <c r="H9888" s="27" t="s">
        <v>1868</v>
      </c>
      <c r="J9888" s="27" t="s">
        <v>290</v>
      </c>
      <c r="L9888" s="27" t="s">
        <v>291</v>
      </c>
      <c r="M9888" s="27" t="s">
        <v>650</v>
      </c>
      <c r="N9888" s="27" t="s">
        <v>111</v>
      </c>
      <c r="P9888" s="27" t="s">
        <v>14168</v>
      </c>
      <c r="Q9888" s="26" t="str">
        <f>HYPERLINK("https://ictv.global/taxonomy/taxondetails?taxnode_id=202506339&amp;ictv_id=ICTV201856339","ICTV201856339")</f>
        <v>ICTV201856339</v>
      </c>
      <c r="R9888" t="s">
        <v>581</v>
      </c>
      <c r="S9888" t="s">
        <v>824</v>
      </c>
      <c r="T9888">
        <v>39</v>
      </c>
      <c r="U9888" s="26" t="str">
        <f t="shared" si="357"/>
        <v>2023.027P.Betaflexiviridae_rename.zip</v>
      </c>
    </row>
    <row r="9889" spans="1:21">
      <c r="A9889">
        <v>9888</v>
      </c>
      <c r="B9889" s="27" t="s">
        <v>1124</v>
      </c>
      <c r="D9889" s="27" t="s">
        <v>1859</v>
      </c>
      <c r="F9889" s="27" t="s">
        <v>1867</v>
      </c>
      <c r="H9889" s="27" t="s">
        <v>1868</v>
      </c>
      <c r="J9889" s="27" t="s">
        <v>290</v>
      </c>
      <c r="L9889" s="27" t="s">
        <v>291</v>
      </c>
      <c r="M9889" s="27" t="s">
        <v>650</v>
      </c>
      <c r="N9889" s="27" t="s">
        <v>111</v>
      </c>
      <c r="P9889" s="27" t="s">
        <v>14169</v>
      </c>
      <c r="Q9889" s="26" t="str">
        <f>HYPERLINK("https://ictv.global/taxonomy/taxondetails?taxnode_id=202515085&amp;ictv_id=ICTV202215085","ICTV202215085")</f>
        <v>ICTV202215085</v>
      </c>
      <c r="R9889" t="s">
        <v>581</v>
      </c>
      <c r="S9889" t="s">
        <v>824</v>
      </c>
      <c r="T9889">
        <v>39</v>
      </c>
      <c r="U9889" s="26" t="str">
        <f t="shared" si="357"/>
        <v>2023.027P.Betaflexiviridae_rename.zip</v>
      </c>
    </row>
    <row r="9890" spans="1:21">
      <c r="A9890">
        <v>9889</v>
      </c>
      <c r="B9890" s="27" t="s">
        <v>1124</v>
      </c>
      <c r="D9890" s="27" t="s">
        <v>1859</v>
      </c>
      <c r="F9890" s="27" t="s">
        <v>1867</v>
      </c>
      <c r="H9890" s="27" t="s">
        <v>1868</v>
      </c>
      <c r="J9890" s="27" t="s">
        <v>290</v>
      </c>
      <c r="L9890" s="27" t="s">
        <v>291</v>
      </c>
      <c r="M9890" s="27" t="s">
        <v>650</v>
      </c>
      <c r="N9890" s="27" t="s">
        <v>111</v>
      </c>
      <c r="P9890" s="27" t="s">
        <v>14170</v>
      </c>
      <c r="Q9890" s="26" t="str">
        <f>HYPERLINK("https://ictv.global/taxonomy/taxondetails?taxnode_id=202502285&amp;ictv_id=ICTV20125788","ICTV20125788")</f>
        <v>ICTV20125788</v>
      </c>
      <c r="R9890" t="s">
        <v>581</v>
      </c>
      <c r="S9890" t="s">
        <v>824</v>
      </c>
      <c r="T9890">
        <v>39</v>
      </c>
      <c r="U9890" s="26" t="str">
        <f t="shared" si="357"/>
        <v>2023.027P.Betaflexiviridae_rename.zip</v>
      </c>
    </row>
    <row r="9891" spans="1:21">
      <c r="A9891">
        <v>9890</v>
      </c>
      <c r="B9891" s="27" t="s">
        <v>1124</v>
      </c>
      <c r="D9891" s="27" t="s">
        <v>1859</v>
      </c>
      <c r="F9891" s="27" t="s">
        <v>1867</v>
      </c>
      <c r="H9891" s="27" t="s">
        <v>1868</v>
      </c>
      <c r="J9891" s="27" t="s">
        <v>290</v>
      </c>
      <c r="L9891" s="27" t="s">
        <v>291</v>
      </c>
      <c r="M9891" s="27" t="s">
        <v>650</v>
      </c>
      <c r="N9891" s="27" t="s">
        <v>111</v>
      </c>
      <c r="P9891" s="27" t="s">
        <v>14171</v>
      </c>
      <c r="Q9891" s="26" t="str">
        <f>HYPERLINK("https://ictv.global/taxonomy/taxondetails?taxnode_id=202502288&amp;ictv_id=ICTV20130913","ICTV20130913")</f>
        <v>ICTV20130913</v>
      </c>
      <c r="R9891" t="s">
        <v>581</v>
      </c>
      <c r="S9891" t="s">
        <v>824</v>
      </c>
      <c r="T9891">
        <v>39</v>
      </c>
      <c r="U9891" s="26" t="str">
        <f t="shared" si="357"/>
        <v>2023.027P.Betaflexiviridae_rename.zip</v>
      </c>
    </row>
    <row r="9892" spans="1:21">
      <c r="A9892">
        <v>9891</v>
      </c>
      <c r="B9892" s="27" t="s">
        <v>1124</v>
      </c>
      <c r="D9892" s="27" t="s">
        <v>1859</v>
      </c>
      <c r="F9892" s="27" t="s">
        <v>1867</v>
      </c>
      <c r="H9892" s="27" t="s">
        <v>1868</v>
      </c>
      <c r="J9892" s="27" t="s">
        <v>290</v>
      </c>
      <c r="L9892" s="27" t="s">
        <v>291</v>
      </c>
      <c r="M9892" s="27" t="s">
        <v>650</v>
      </c>
      <c r="N9892" s="27" t="s">
        <v>111</v>
      </c>
      <c r="P9892" s="27" t="s">
        <v>14172</v>
      </c>
      <c r="Q9892" s="26" t="str">
        <f>HYPERLINK("https://ictv.global/taxonomy/taxondetails?taxnode_id=202513851&amp;ictv_id=ICTV202113851","ICTV202113851")</f>
        <v>ICTV202113851</v>
      </c>
      <c r="R9892" t="s">
        <v>581</v>
      </c>
      <c r="S9892" t="s">
        <v>824</v>
      </c>
      <c r="T9892">
        <v>39</v>
      </c>
      <c r="U9892" s="26" t="str">
        <f t="shared" si="357"/>
        <v>2023.027P.Betaflexiviridae_rename.zip</v>
      </c>
    </row>
    <row r="9893" spans="1:21">
      <c r="A9893">
        <v>9892</v>
      </c>
      <c r="B9893" s="27" t="s">
        <v>1124</v>
      </c>
      <c r="D9893" s="27" t="s">
        <v>1859</v>
      </c>
      <c r="F9893" s="27" t="s">
        <v>1867</v>
      </c>
      <c r="H9893" s="27" t="s">
        <v>1868</v>
      </c>
      <c r="J9893" s="27" t="s">
        <v>290</v>
      </c>
      <c r="L9893" s="27" t="s">
        <v>291</v>
      </c>
      <c r="M9893" s="27" t="s">
        <v>650</v>
      </c>
      <c r="N9893" s="27" t="s">
        <v>651</v>
      </c>
      <c r="P9893" s="27" t="s">
        <v>14173</v>
      </c>
      <c r="Q9893" s="26" t="str">
        <f>HYPERLINK("https://ictv.global/taxonomy/taxondetails?taxnode_id=202502290&amp;ictv_id=ICTV20093286","ICTV20093286")</f>
        <v>ICTV20093286</v>
      </c>
      <c r="R9893" t="s">
        <v>581</v>
      </c>
      <c r="S9893" t="s">
        <v>824</v>
      </c>
      <c r="T9893">
        <v>39</v>
      </c>
      <c r="U9893" s="26" t="str">
        <f t="shared" si="357"/>
        <v>2023.027P.Betaflexiviridae_rename.zip</v>
      </c>
    </row>
    <row r="9894" spans="1:21">
      <c r="A9894">
        <v>9893</v>
      </c>
      <c r="B9894" s="27" t="s">
        <v>1124</v>
      </c>
      <c r="D9894" s="27" t="s">
        <v>1859</v>
      </c>
      <c r="F9894" s="27" t="s">
        <v>1867</v>
      </c>
      <c r="H9894" s="27" t="s">
        <v>1868</v>
      </c>
      <c r="J9894" s="27" t="s">
        <v>290</v>
      </c>
      <c r="L9894" s="27" t="s">
        <v>291</v>
      </c>
      <c r="M9894" s="27" t="s">
        <v>650</v>
      </c>
      <c r="N9894" s="27" t="s">
        <v>651</v>
      </c>
      <c r="P9894" s="27" t="s">
        <v>21553</v>
      </c>
      <c r="Q9894" s="26" t="str">
        <f>HYPERLINK("https://ictv.global/taxonomy/taxondetails?taxnode_id=202522422&amp;ictv_id=ICTV202522422","ICTV202522422")</f>
        <v>ICTV202522422</v>
      </c>
      <c r="R9894" t="s">
        <v>581</v>
      </c>
      <c r="S9894" t="s">
        <v>823</v>
      </c>
      <c r="T9894">
        <v>41</v>
      </c>
      <c r="U9894" s="26" t="str">
        <f>HYPERLINK("https://ictv.global/ictv/proposals/2025.008P.Betaflexiviridae_9nsp.zip","2025.008P.Betaflexiviridae_9nsp.zip")</f>
        <v>2025.008P.Betaflexiviridae_9nsp.zip</v>
      </c>
    </row>
    <row r="9895" spans="1:21">
      <c r="A9895">
        <v>9894</v>
      </c>
      <c r="B9895" s="27" t="s">
        <v>1124</v>
      </c>
      <c r="D9895" s="27" t="s">
        <v>1859</v>
      </c>
      <c r="F9895" s="27" t="s">
        <v>1867</v>
      </c>
      <c r="H9895" s="27" t="s">
        <v>1868</v>
      </c>
      <c r="J9895" s="27" t="s">
        <v>290</v>
      </c>
      <c r="L9895" s="27" t="s">
        <v>291</v>
      </c>
      <c r="M9895" s="27" t="s">
        <v>650</v>
      </c>
      <c r="N9895" s="27" t="s">
        <v>651</v>
      </c>
      <c r="P9895" s="27" t="s">
        <v>14174</v>
      </c>
      <c r="Q9895" s="26" t="str">
        <f>HYPERLINK("https://ictv.global/taxonomy/taxondetails?taxnode_id=202502292&amp;ictv_id=ICTV20083815","ICTV20083815")</f>
        <v>ICTV20083815</v>
      </c>
      <c r="R9895" t="s">
        <v>581</v>
      </c>
      <c r="S9895" t="s">
        <v>824</v>
      </c>
      <c r="T9895">
        <v>39</v>
      </c>
      <c r="U9895" s="26" t="str">
        <f t="shared" ref="U9895:U9900" si="358">HYPERLINK("https://ictv.global/ictv/proposals/2023.027P.Betaflexiviridae_rename.zip","2023.027P.Betaflexiviridae_rename.zip")</f>
        <v>2023.027P.Betaflexiviridae_rename.zip</v>
      </c>
    </row>
    <row r="9896" spans="1:21">
      <c r="A9896">
        <v>9895</v>
      </c>
      <c r="B9896" s="27" t="s">
        <v>1124</v>
      </c>
      <c r="D9896" s="27" t="s">
        <v>1859</v>
      </c>
      <c r="F9896" s="27" t="s">
        <v>1867</v>
      </c>
      <c r="H9896" s="27" t="s">
        <v>1868</v>
      </c>
      <c r="J9896" s="27" t="s">
        <v>290</v>
      </c>
      <c r="L9896" s="27" t="s">
        <v>291</v>
      </c>
      <c r="M9896" s="27" t="s">
        <v>650</v>
      </c>
      <c r="N9896" s="27" t="s">
        <v>651</v>
      </c>
      <c r="P9896" s="27" t="s">
        <v>14175</v>
      </c>
      <c r="Q9896" s="26" t="str">
        <f>HYPERLINK("https://ictv.global/taxonomy/taxondetails?taxnode_id=202502293&amp;ictv_id=ICTV20151663","ICTV20151663")</f>
        <v>ICTV20151663</v>
      </c>
      <c r="R9896" t="s">
        <v>581</v>
      </c>
      <c r="S9896" t="s">
        <v>824</v>
      </c>
      <c r="T9896">
        <v>39</v>
      </c>
      <c r="U9896" s="26" t="str">
        <f t="shared" si="358"/>
        <v>2023.027P.Betaflexiviridae_rename.zip</v>
      </c>
    </row>
    <row r="9897" spans="1:21">
      <c r="A9897">
        <v>9896</v>
      </c>
      <c r="B9897" s="27" t="s">
        <v>1124</v>
      </c>
      <c r="D9897" s="27" t="s">
        <v>1859</v>
      </c>
      <c r="F9897" s="27" t="s">
        <v>1867</v>
      </c>
      <c r="H9897" s="27" t="s">
        <v>1868</v>
      </c>
      <c r="J9897" s="27" t="s">
        <v>290</v>
      </c>
      <c r="L9897" s="27" t="s">
        <v>291</v>
      </c>
      <c r="M9897" s="27" t="s">
        <v>650</v>
      </c>
      <c r="N9897" s="27" t="s">
        <v>651</v>
      </c>
      <c r="P9897" s="27" t="s">
        <v>14176</v>
      </c>
      <c r="Q9897" s="26" t="str">
        <f>HYPERLINK("https://ictv.global/taxonomy/taxondetails?taxnode_id=202502294&amp;ictv_id=ICTV20151664","ICTV20151664")</f>
        <v>ICTV20151664</v>
      </c>
      <c r="R9897" t="s">
        <v>581</v>
      </c>
      <c r="S9897" t="s">
        <v>824</v>
      </c>
      <c r="T9897">
        <v>39</v>
      </c>
      <c r="U9897" s="26" t="str">
        <f t="shared" si="358"/>
        <v>2023.027P.Betaflexiviridae_rename.zip</v>
      </c>
    </row>
    <row r="9898" spans="1:21">
      <c r="A9898">
        <v>9897</v>
      </c>
      <c r="B9898" s="27" t="s">
        <v>1124</v>
      </c>
      <c r="D9898" s="27" t="s">
        <v>1859</v>
      </c>
      <c r="F9898" s="27" t="s">
        <v>1867</v>
      </c>
      <c r="H9898" s="27" t="s">
        <v>1868</v>
      </c>
      <c r="J9898" s="27" t="s">
        <v>290</v>
      </c>
      <c r="L9898" s="27" t="s">
        <v>291</v>
      </c>
      <c r="M9898" s="27" t="s">
        <v>650</v>
      </c>
      <c r="N9898" s="27" t="s">
        <v>651</v>
      </c>
      <c r="P9898" s="27" t="s">
        <v>14177</v>
      </c>
      <c r="Q9898" s="26" t="str">
        <f>HYPERLINK("https://ictv.global/taxonomy/taxondetails?taxnode_id=202502291&amp;ictv_id=ICTV20083814","ICTV20083814")</f>
        <v>ICTV20083814</v>
      </c>
      <c r="R9898" t="s">
        <v>581</v>
      </c>
      <c r="S9898" t="s">
        <v>824</v>
      </c>
      <c r="T9898">
        <v>39</v>
      </c>
      <c r="U9898" s="26" t="str">
        <f t="shared" si="358"/>
        <v>2023.027P.Betaflexiviridae_rename.zip</v>
      </c>
    </row>
    <row r="9899" spans="1:21">
      <c r="A9899">
        <v>9898</v>
      </c>
      <c r="B9899" s="27" t="s">
        <v>1124</v>
      </c>
      <c r="D9899" s="27" t="s">
        <v>1859</v>
      </c>
      <c r="F9899" s="27" t="s">
        <v>1867</v>
      </c>
      <c r="H9899" s="27" t="s">
        <v>1868</v>
      </c>
      <c r="J9899" s="27" t="s">
        <v>290</v>
      </c>
      <c r="L9899" s="27" t="s">
        <v>291</v>
      </c>
      <c r="M9899" s="27" t="s">
        <v>650</v>
      </c>
      <c r="N9899" s="27" t="s">
        <v>8837</v>
      </c>
      <c r="P9899" s="27" t="s">
        <v>14178</v>
      </c>
      <c r="Q9899" s="26" t="str">
        <f>HYPERLINK("https://ictv.global/taxonomy/taxondetails?taxnode_id=202502298&amp;ictv_id=ICTV20073658","ICTV20073658")</f>
        <v>ICTV20073658</v>
      </c>
      <c r="R9899" t="s">
        <v>581</v>
      </c>
      <c r="S9899" t="s">
        <v>824</v>
      </c>
      <c r="T9899">
        <v>39</v>
      </c>
      <c r="U9899" s="26" t="str">
        <f t="shared" si="358"/>
        <v>2023.027P.Betaflexiviridae_rename.zip</v>
      </c>
    </row>
    <row r="9900" spans="1:21">
      <c r="A9900">
        <v>9899</v>
      </c>
      <c r="B9900" s="27" t="s">
        <v>1124</v>
      </c>
      <c r="D9900" s="27" t="s">
        <v>1859</v>
      </c>
      <c r="F9900" s="27" t="s">
        <v>1867</v>
      </c>
      <c r="H9900" s="27" t="s">
        <v>1868</v>
      </c>
      <c r="J9900" s="27" t="s">
        <v>290</v>
      </c>
      <c r="L9900" s="27" t="s">
        <v>291</v>
      </c>
      <c r="M9900" s="27" t="s">
        <v>652</v>
      </c>
      <c r="N9900" s="27" t="s">
        <v>120</v>
      </c>
      <c r="P9900" s="27" t="s">
        <v>14179</v>
      </c>
      <c r="Q9900" s="26" t="str">
        <f>HYPERLINK("https://ictv.global/taxonomy/taxondetails?taxnode_id=202515078&amp;ictv_id=ICTV202215078","ICTV202215078")</f>
        <v>ICTV202215078</v>
      </c>
      <c r="R9900" t="s">
        <v>581</v>
      </c>
      <c r="S9900" t="s">
        <v>824</v>
      </c>
      <c r="T9900">
        <v>39</v>
      </c>
      <c r="U9900" s="26" t="str">
        <f t="shared" si="358"/>
        <v>2023.027P.Betaflexiviridae_rename.zip</v>
      </c>
    </row>
    <row r="9901" spans="1:21">
      <c r="A9901">
        <v>9900</v>
      </c>
      <c r="B9901" s="27" t="s">
        <v>1124</v>
      </c>
      <c r="D9901" s="27" t="s">
        <v>1859</v>
      </c>
      <c r="F9901" s="27" t="s">
        <v>1867</v>
      </c>
      <c r="H9901" s="27" t="s">
        <v>1868</v>
      </c>
      <c r="J9901" s="27" t="s">
        <v>290</v>
      </c>
      <c r="L9901" s="27" t="s">
        <v>291</v>
      </c>
      <c r="M9901" s="27" t="s">
        <v>652</v>
      </c>
      <c r="N9901" s="27" t="s">
        <v>120</v>
      </c>
      <c r="P9901" s="27" t="s">
        <v>14180</v>
      </c>
      <c r="Q9901" s="26" t="str">
        <f>HYPERLINK("https://ictv.global/taxonomy/taxondetails?taxnode_id=202519025&amp;ictv_id=ICTV202319025","ICTV202319025")</f>
        <v>ICTV202319025</v>
      </c>
      <c r="R9901" t="s">
        <v>581</v>
      </c>
      <c r="S9901" t="s">
        <v>823</v>
      </c>
      <c r="T9901">
        <v>39</v>
      </c>
      <c r="U9901" s="26" t="str">
        <f>HYPERLINK("https://ictv.global/ictv/proposals/2023.028P.Betaflexiviridae_13nsp.zip","2023.028P.Betaflexiviridae_13nsp.zip")</f>
        <v>2023.028P.Betaflexiviridae_13nsp.zip</v>
      </c>
    </row>
    <row r="9902" spans="1:21">
      <c r="A9902">
        <v>9901</v>
      </c>
      <c r="B9902" s="27" t="s">
        <v>1124</v>
      </c>
      <c r="D9902" s="27" t="s">
        <v>1859</v>
      </c>
      <c r="F9902" s="27" t="s">
        <v>1867</v>
      </c>
      <c r="H9902" s="27" t="s">
        <v>1868</v>
      </c>
      <c r="J9902" s="27" t="s">
        <v>290</v>
      </c>
      <c r="L9902" s="27" t="s">
        <v>291</v>
      </c>
      <c r="M9902" s="27" t="s">
        <v>652</v>
      </c>
      <c r="N9902" s="27" t="s">
        <v>120</v>
      </c>
      <c r="P9902" s="27" t="s">
        <v>14181</v>
      </c>
      <c r="Q9902" s="26" t="str">
        <f>HYPERLINK("https://ictv.global/taxonomy/taxondetails?taxnode_id=202506322&amp;ictv_id=ICTV201856322","ICTV201856322")</f>
        <v>ICTV201856322</v>
      </c>
      <c r="R9902" t="s">
        <v>581</v>
      </c>
      <c r="S9902" t="s">
        <v>824</v>
      </c>
      <c r="T9902">
        <v>39</v>
      </c>
      <c r="U9902" s="26" t="str">
        <f>HYPERLINK("https://ictv.global/ictv/proposals/2023.027P.Betaflexiviridae_rename.zip","2023.027P.Betaflexiviridae_rename.zip")</f>
        <v>2023.027P.Betaflexiviridae_rename.zip</v>
      </c>
    </row>
    <row r="9903" spans="1:21">
      <c r="A9903">
        <v>9902</v>
      </c>
      <c r="B9903" s="27" t="s">
        <v>1124</v>
      </c>
      <c r="D9903" s="27" t="s">
        <v>1859</v>
      </c>
      <c r="F9903" s="27" t="s">
        <v>1867</v>
      </c>
      <c r="H9903" s="27" t="s">
        <v>1868</v>
      </c>
      <c r="J9903" s="27" t="s">
        <v>290</v>
      </c>
      <c r="L9903" s="27" t="s">
        <v>291</v>
      </c>
      <c r="M9903" s="27" t="s">
        <v>652</v>
      </c>
      <c r="N9903" s="27" t="s">
        <v>120</v>
      </c>
      <c r="P9903" s="27" t="s">
        <v>14182</v>
      </c>
      <c r="Q9903" s="26" t="str">
        <f>HYPERLINK("https://ictv.global/taxonomy/taxondetails?taxnode_id=202506329&amp;ictv_id=ICTV201856329","ICTV201856329")</f>
        <v>ICTV201856329</v>
      </c>
      <c r="R9903" t="s">
        <v>581</v>
      </c>
      <c r="S9903" t="s">
        <v>824</v>
      </c>
      <c r="T9903">
        <v>39</v>
      </c>
      <c r="U9903" s="26" t="str">
        <f>HYPERLINK("https://ictv.global/ictv/proposals/2023.027P.Betaflexiviridae_rename.zip","2023.027P.Betaflexiviridae_rename.zip")</f>
        <v>2023.027P.Betaflexiviridae_rename.zip</v>
      </c>
    </row>
    <row r="9904" spans="1:21">
      <c r="A9904">
        <v>9903</v>
      </c>
      <c r="B9904" s="27" t="s">
        <v>1124</v>
      </c>
      <c r="D9904" s="27" t="s">
        <v>1859</v>
      </c>
      <c r="F9904" s="27" t="s">
        <v>1867</v>
      </c>
      <c r="H9904" s="27" t="s">
        <v>1868</v>
      </c>
      <c r="J9904" s="27" t="s">
        <v>290</v>
      </c>
      <c r="L9904" s="27" t="s">
        <v>291</v>
      </c>
      <c r="M9904" s="27" t="s">
        <v>652</v>
      </c>
      <c r="N9904" s="27" t="s">
        <v>120</v>
      </c>
      <c r="P9904" s="27" t="s">
        <v>14183</v>
      </c>
      <c r="Q9904" s="26" t="str">
        <f>HYPERLINK("https://ictv.global/taxonomy/taxondetails?taxnode_id=202502302&amp;ictv_id=ICTV19982607","ICTV19982607")</f>
        <v>ICTV19982607</v>
      </c>
      <c r="R9904" t="s">
        <v>581</v>
      </c>
      <c r="S9904" t="s">
        <v>824</v>
      </c>
      <c r="T9904">
        <v>39</v>
      </c>
      <c r="U9904" s="26" t="str">
        <f>HYPERLINK("https://ictv.global/ictv/proposals/2023.027P.Betaflexiviridae_rename.zip","2023.027P.Betaflexiviridae_rename.zip")</f>
        <v>2023.027P.Betaflexiviridae_rename.zip</v>
      </c>
    </row>
    <row r="9905" spans="1:21">
      <c r="A9905">
        <v>9904</v>
      </c>
      <c r="B9905" s="27" t="s">
        <v>1124</v>
      </c>
      <c r="D9905" s="27" t="s">
        <v>1859</v>
      </c>
      <c r="F9905" s="27" t="s">
        <v>1867</v>
      </c>
      <c r="H9905" s="27" t="s">
        <v>1868</v>
      </c>
      <c r="J9905" s="27" t="s">
        <v>290</v>
      </c>
      <c r="L9905" s="27" t="s">
        <v>291</v>
      </c>
      <c r="M9905" s="27" t="s">
        <v>652</v>
      </c>
      <c r="N9905" s="27" t="s">
        <v>120</v>
      </c>
      <c r="P9905" s="27" t="s">
        <v>14184</v>
      </c>
      <c r="Q9905" s="26" t="str">
        <f>HYPERLINK("https://ictv.global/taxonomy/taxondetails?taxnode_id=202502301&amp;ictv_id=ICTV19991762","ICTV19991762")</f>
        <v>ICTV19991762</v>
      </c>
      <c r="R9905" t="s">
        <v>581</v>
      </c>
      <c r="S9905" t="s">
        <v>824</v>
      </c>
      <c r="T9905">
        <v>39</v>
      </c>
      <c r="U9905" s="26" t="str">
        <f>HYPERLINK("https://ictv.global/ictv/proposals/2023.027P.Betaflexiviridae_rename.zip","2023.027P.Betaflexiviridae_rename.zip")</f>
        <v>2023.027P.Betaflexiviridae_rename.zip</v>
      </c>
    </row>
    <row r="9906" spans="1:21">
      <c r="A9906">
        <v>9905</v>
      </c>
      <c r="B9906" s="27" t="s">
        <v>1124</v>
      </c>
      <c r="D9906" s="27" t="s">
        <v>1859</v>
      </c>
      <c r="F9906" s="27" t="s">
        <v>1867</v>
      </c>
      <c r="H9906" s="27" t="s">
        <v>1868</v>
      </c>
      <c r="J9906" s="27" t="s">
        <v>290</v>
      </c>
      <c r="L9906" s="27" t="s">
        <v>291</v>
      </c>
      <c r="M9906" s="27" t="s">
        <v>652</v>
      </c>
      <c r="N9906" s="27" t="s">
        <v>120</v>
      </c>
      <c r="P9906" s="27" t="s">
        <v>21554</v>
      </c>
      <c r="Q9906" s="26" t="str">
        <f>HYPERLINK("https://ictv.global/taxonomy/taxondetails?taxnode_id=202522423&amp;ictv_id=ICTV202522423","ICTV202522423")</f>
        <v>ICTV202522423</v>
      </c>
      <c r="R9906" t="s">
        <v>581</v>
      </c>
      <c r="S9906" t="s">
        <v>823</v>
      </c>
      <c r="T9906">
        <v>41</v>
      </c>
      <c r="U9906" s="26" t="str">
        <f>HYPERLINK("https://ictv.global/ictv/proposals/2025.008P.Betaflexiviridae_9nsp.zip","2025.008P.Betaflexiviridae_9nsp.zip")</f>
        <v>2025.008P.Betaflexiviridae_9nsp.zip</v>
      </c>
    </row>
    <row r="9907" spans="1:21">
      <c r="A9907">
        <v>9906</v>
      </c>
      <c r="B9907" s="27" t="s">
        <v>1124</v>
      </c>
      <c r="D9907" s="27" t="s">
        <v>1859</v>
      </c>
      <c r="F9907" s="27" t="s">
        <v>1867</v>
      </c>
      <c r="H9907" s="27" t="s">
        <v>1868</v>
      </c>
      <c r="J9907" s="27" t="s">
        <v>290</v>
      </c>
      <c r="L9907" s="27" t="s">
        <v>291</v>
      </c>
      <c r="M9907" s="27" t="s">
        <v>652</v>
      </c>
      <c r="N9907" s="27" t="s">
        <v>120</v>
      </c>
      <c r="P9907" s="27" t="s">
        <v>14185</v>
      </c>
      <c r="Q9907" s="26" t="str">
        <f>HYPERLINK("https://ictv.global/taxonomy/taxondetails?taxnode_id=202513852&amp;ictv_id=ICTV202113852","ICTV202113852")</f>
        <v>ICTV202113852</v>
      </c>
      <c r="R9907" t="s">
        <v>581</v>
      </c>
      <c r="S9907" t="s">
        <v>824</v>
      </c>
      <c r="T9907">
        <v>39</v>
      </c>
      <c r="U9907" s="26" t="str">
        <f>HYPERLINK("https://ictv.global/ictv/proposals/2023.027P.Betaflexiviridae_rename.zip","2023.027P.Betaflexiviridae_rename.zip")</f>
        <v>2023.027P.Betaflexiviridae_rename.zip</v>
      </c>
    </row>
    <row r="9908" spans="1:21">
      <c r="A9908">
        <v>9907</v>
      </c>
      <c r="B9908" s="27" t="s">
        <v>1124</v>
      </c>
      <c r="D9908" s="27" t="s">
        <v>1859</v>
      </c>
      <c r="F9908" s="27" t="s">
        <v>1867</v>
      </c>
      <c r="H9908" s="27" t="s">
        <v>1868</v>
      </c>
      <c r="J9908" s="27" t="s">
        <v>290</v>
      </c>
      <c r="L9908" s="27" t="s">
        <v>291</v>
      </c>
      <c r="M9908" s="27" t="s">
        <v>652</v>
      </c>
      <c r="N9908" s="27" t="s">
        <v>120</v>
      </c>
      <c r="P9908" s="27" t="s">
        <v>14186</v>
      </c>
      <c r="Q9908" s="26" t="str">
        <f>HYPERLINK("https://ictv.global/taxonomy/taxondetails?taxnode_id=202519026&amp;ictv_id=ICTV202319026","ICTV202319026")</f>
        <v>ICTV202319026</v>
      </c>
      <c r="R9908" t="s">
        <v>581</v>
      </c>
      <c r="S9908" t="s">
        <v>823</v>
      </c>
      <c r="T9908">
        <v>39</v>
      </c>
      <c r="U9908" s="26" t="str">
        <f>HYPERLINK("https://ictv.global/ictv/proposals/2023.028P.Betaflexiviridae_13nsp.zip","2023.028P.Betaflexiviridae_13nsp.zip")</f>
        <v>2023.028P.Betaflexiviridae_13nsp.zip</v>
      </c>
    </row>
    <row r="9909" spans="1:21">
      <c r="A9909">
        <v>9908</v>
      </c>
      <c r="B9909" s="27" t="s">
        <v>1124</v>
      </c>
      <c r="D9909" s="27" t="s">
        <v>1859</v>
      </c>
      <c r="F9909" s="27" t="s">
        <v>1867</v>
      </c>
      <c r="H9909" s="27" t="s">
        <v>1868</v>
      </c>
      <c r="J9909" s="27" t="s">
        <v>290</v>
      </c>
      <c r="L9909" s="27" t="s">
        <v>291</v>
      </c>
      <c r="M9909" s="27" t="s">
        <v>652</v>
      </c>
      <c r="N9909" s="27" t="s">
        <v>653</v>
      </c>
      <c r="P9909" s="27" t="s">
        <v>21555</v>
      </c>
      <c r="Q9909" s="26" t="str">
        <f>HYPERLINK("https://ictv.global/taxonomy/taxondetails?taxnode_id=202522424&amp;ictv_id=ICTV202522424","ICTV202522424")</f>
        <v>ICTV202522424</v>
      </c>
      <c r="R9909" t="s">
        <v>581</v>
      </c>
      <c r="S9909" t="s">
        <v>823</v>
      </c>
      <c r="T9909">
        <v>41</v>
      </c>
      <c r="U9909" s="26" t="str">
        <f>HYPERLINK("https://ictv.global/ictv/proposals/2025.008P.Betaflexiviridae_9nsp.zip","2025.008P.Betaflexiviridae_9nsp.zip")</f>
        <v>2025.008P.Betaflexiviridae_9nsp.zip</v>
      </c>
    </row>
    <row r="9910" spans="1:21">
      <c r="A9910">
        <v>9909</v>
      </c>
      <c r="B9910" s="27" t="s">
        <v>1124</v>
      </c>
      <c r="D9910" s="27" t="s">
        <v>1859</v>
      </c>
      <c r="F9910" s="27" t="s">
        <v>1867</v>
      </c>
      <c r="H9910" s="27" t="s">
        <v>1868</v>
      </c>
      <c r="J9910" s="27" t="s">
        <v>290</v>
      </c>
      <c r="L9910" s="27" t="s">
        <v>291</v>
      </c>
      <c r="M9910" s="27" t="s">
        <v>652</v>
      </c>
      <c r="N9910" s="27" t="s">
        <v>653</v>
      </c>
      <c r="P9910" s="27" t="s">
        <v>14187</v>
      </c>
      <c r="Q9910" s="26" t="str">
        <f>HYPERLINK("https://ictv.global/taxonomy/taxondetails?taxnode_id=202502305&amp;ictv_id=ICTV20151658","ICTV20151658")</f>
        <v>ICTV20151658</v>
      </c>
      <c r="R9910" t="s">
        <v>581</v>
      </c>
      <c r="S9910" t="s">
        <v>824</v>
      </c>
      <c r="T9910">
        <v>39</v>
      </c>
      <c r="U9910" s="26" t="str">
        <f>HYPERLINK("https://ictv.global/ictv/proposals/2023.027P.Betaflexiviridae_rename.zip","2023.027P.Betaflexiviridae_rename.zip")</f>
        <v>2023.027P.Betaflexiviridae_rename.zip</v>
      </c>
    </row>
    <row r="9911" spans="1:21">
      <c r="A9911">
        <v>9910</v>
      </c>
      <c r="B9911" s="27" t="s">
        <v>1124</v>
      </c>
      <c r="D9911" s="27" t="s">
        <v>1859</v>
      </c>
      <c r="F9911" s="27" t="s">
        <v>1867</v>
      </c>
      <c r="H9911" s="27" t="s">
        <v>1868</v>
      </c>
      <c r="J9911" s="27" t="s">
        <v>290</v>
      </c>
      <c r="L9911" s="27" t="s">
        <v>291</v>
      </c>
      <c r="M9911" s="27" t="s">
        <v>652</v>
      </c>
      <c r="N9911" s="27" t="s">
        <v>653</v>
      </c>
      <c r="P9911" s="27" t="s">
        <v>14188</v>
      </c>
      <c r="Q9911" s="26" t="str">
        <f>HYPERLINK("https://ictv.global/taxonomy/taxondetails?taxnode_id=202515087&amp;ictv_id=ICTV202215087","ICTV202215087")</f>
        <v>ICTV202215087</v>
      </c>
      <c r="R9911" t="s">
        <v>581</v>
      </c>
      <c r="S9911" t="s">
        <v>824</v>
      </c>
      <c r="T9911">
        <v>39</v>
      </c>
      <c r="U9911" s="26" t="str">
        <f>HYPERLINK("https://ictv.global/ictv/proposals/2023.027P.Betaflexiviridae_rename.zip","2023.027P.Betaflexiviridae_rename.zip")</f>
        <v>2023.027P.Betaflexiviridae_rename.zip</v>
      </c>
    </row>
    <row r="9912" spans="1:21">
      <c r="A9912">
        <v>9911</v>
      </c>
      <c r="B9912" s="27" t="s">
        <v>1124</v>
      </c>
      <c r="D9912" s="27" t="s">
        <v>1859</v>
      </c>
      <c r="F9912" s="27" t="s">
        <v>1867</v>
      </c>
      <c r="H9912" s="27" t="s">
        <v>1868</v>
      </c>
      <c r="J9912" s="27" t="s">
        <v>290</v>
      </c>
      <c r="L9912" s="27" t="s">
        <v>291</v>
      </c>
      <c r="M9912" s="27" t="s">
        <v>652</v>
      </c>
      <c r="N9912" s="27" t="s">
        <v>653</v>
      </c>
      <c r="P9912" s="27" t="s">
        <v>14189</v>
      </c>
      <c r="Q9912" s="26" t="str">
        <f>HYPERLINK("https://ictv.global/taxonomy/taxondetails?taxnode_id=202502304&amp;ictv_id=ICTV20151657","ICTV20151657")</f>
        <v>ICTV20151657</v>
      </c>
      <c r="R9912" t="s">
        <v>581</v>
      </c>
      <c r="S9912" t="s">
        <v>824</v>
      </c>
      <c r="T9912">
        <v>39</v>
      </c>
      <c r="U9912" s="26" t="str">
        <f>HYPERLINK("https://ictv.global/ictv/proposals/2023.027P.Betaflexiviridae_rename.zip","2023.027P.Betaflexiviridae_rename.zip")</f>
        <v>2023.027P.Betaflexiviridae_rename.zip</v>
      </c>
    </row>
    <row r="9913" spans="1:21">
      <c r="A9913">
        <v>9912</v>
      </c>
      <c r="B9913" s="27" t="s">
        <v>1124</v>
      </c>
      <c r="D9913" s="27" t="s">
        <v>1859</v>
      </c>
      <c r="F9913" s="27" t="s">
        <v>1867</v>
      </c>
      <c r="H9913" s="27" t="s">
        <v>1868</v>
      </c>
      <c r="J9913" s="27" t="s">
        <v>290</v>
      </c>
      <c r="L9913" s="27" t="s">
        <v>291</v>
      </c>
      <c r="M9913" s="27" t="s">
        <v>652</v>
      </c>
      <c r="N9913" s="27" t="s">
        <v>653</v>
      </c>
      <c r="P9913" s="27" t="s">
        <v>14190</v>
      </c>
      <c r="Q9913" s="26" t="str">
        <f>HYPERLINK("https://ictv.global/taxonomy/taxondetails?taxnode_id=202515088&amp;ictv_id=ICTV202215088","ICTV202215088")</f>
        <v>ICTV202215088</v>
      </c>
      <c r="R9913" t="s">
        <v>581</v>
      </c>
      <c r="S9913" t="s">
        <v>824</v>
      </c>
      <c r="T9913">
        <v>39</v>
      </c>
      <c r="U9913" s="26" t="str">
        <f>HYPERLINK("https://ictv.global/ictv/proposals/2023.027P.Betaflexiviridae_rename.zip","2023.027P.Betaflexiviridae_rename.zip")</f>
        <v>2023.027P.Betaflexiviridae_rename.zip</v>
      </c>
    </row>
    <row r="9914" spans="1:21">
      <c r="A9914">
        <v>9913</v>
      </c>
      <c r="B9914" s="27" t="s">
        <v>1124</v>
      </c>
      <c r="D9914" s="27" t="s">
        <v>1859</v>
      </c>
      <c r="F9914" s="27" t="s">
        <v>1867</v>
      </c>
      <c r="H9914" s="27" t="s">
        <v>1868</v>
      </c>
      <c r="J9914" s="27" t="s">
        <v>290</v>
      </c>
      <c r="L9914" s="27" t="s">
        <v>291</v>
      </c>
      <c r="M9914" s="27" t="s">
        <v>652</v>
      </c>
      <c r="N9914" s="27" t="s">
        <v>110</v>
      </c>
      <c r="P9914" s="27" t="s">
        <v>14191</v>
      </c>
      <c r="Q9914" s="26" t="str">
        <f>HYPERLINK("https://ictv.global/taxonomy/taxondetails?taxnode_id=202502307&amp;ictv_id=ICTV20073657","ICTV20073657")</f>
        <v>ICTV20073657</v>
      </c>
      <c r="R9914" t="s">
        <v>581</v>
      </c>
      <c r="S9914" t="s">
        <v>824</v>
      </c>
      <c r="T9914">
        <v>39</v>
      </c>
      <c r="U9914" s="26" t="str">
        <f>HYPERLINK("https://ictv.global/ictv/proposals/2023.027P.Betaflexiviridae_rename.zip","2023.027P.Betaflexiviridae_rename.zip")</f>
        <v>2023.027P.Betaflexiviridae_rename.zip</v>
      </c>
    </row>
    <row r="9915" spans="1:21">
      <c r="A9915">
        <v>9914</v>
      </c>
      <c r="B9915" s="27" t="s">
        <v>1124</v>
      </c>
      <c r="D9915" s="27" t="s">
        <v>1859</v>
      </c>
      <c r="F9915" s="27" t="s">
        <v>1867</v>
      </c>
      <c r="H9915" s="27" t="s">
        <v>1868</v>
      </c>
      <c r="J9915" s="27" t="s">
        <v>290</v>
      </c>
      <c r="L9915" s="27" t="s">
        <v>291</v>
      </c>
      <c r="M9915" s="27" t="s">
        <v>652</v>
      </c>
      <c r="N9915" s="27" t="s">
        <v>110</v>
      </c>
      <c r="P9915" s="27" t="s">
        <v>21556</v>
      </c>
      <c r="Q9915" s="26" t="str">
        <f>HYPERLINK("https://ictv.global/taxonomy/taxondetails?taxnode_id=202522425&amp;ictv_id=ICTV202522425","ICTV202522425")</f>
        <v>ICTV202522425</v>
      </c>
      <c r="R9915" t="s">
        <v>581</v>
      </c>
      <c r="S9915" t="s">
        <v>823</v>
      </c>
      <c r="T9915">
        <v>41</v>
      </c>
      <c r="U9915" s="26" t="str">
        <f>HYPERLINK("https://ictv.global/ictv/proposals/2025.008P.Betaflexiviridae_9nsp.zip","2025.008P.Betaflexiviridae_9nsp.zip")</f>
        <v>2025.008P.Betaflexiviridae_9nsp.zip</v>
      </c>
    </row>
    <row r="9916" spans="1:21">
      <c r="A9916">
        <v>9915</v>
      </c>
      <c r="B9916" s="27" t="s">
        <v>1124</v>
      </c>
      <c r="D9916" s="27" t="s">
        <v>1859</v>
      </c>
      <c r="F9916" s="27" t="s">
        <v>1867</v>
      </c>
      <c r="H9916" s="27" t="s">
        <v>1868</v>
      </c>
      <c r="J9916" s="27" t="s">
        <v>290</v>
      </c>
      <c r="L9916" s="27" t="s">
        <v>291</v>
      </c>
      <c r="M9916" s="27" t="s">
        <v>652</v>
      </c>
      <c r="N9916" s="27" t="s">
        <v>110</v>
      </c>
      <c r="P9916" s="27" t="s">
        <v>14192</v>
      </c>
      <c r="Q9916" s="26" t="str">
        <f>HYPERLINK("https://ictv.global/taxonomy/taxondetails?taxnode_id=202519027&amp;ictv_id=ICTV202319027","ICTV202319027")</f>
        <v>ICTV202319027</v>
      </c>
      <c r="R9916" t="s">
        <v>581</v>
      </c>
      <c r="S9916" t="s">
        <v>823</v>
      </c>
      <c r="T9916">
        <v>39</v>
      </c>
      <c r="U9916" s="26" t="str">
        <f>HYPERLINK("https://ictv.global/ictv/proposals/2023.028P.Betaflexiviridae_13nsp.zip","2023.028P.Betaflexiviridae_13nsp.zip")</f>
        <v>2023.028P.Betaflexiviridae_13nsp.zip</v>
      </c>
    </row>
    <row r="9917" spans="1:21">
      <c r="A9917">
        <v>9916</v>
      </c>
      <c r="B9917" s="27" t="s">
        <v>1124</v>
      </c>
      <c r="D9917" s="27" t="s">
        <v>1859</v>
      </c>
      <c r="F9917" s="27" t="s">
        <v>1867</v>
      </c>
      <c r="H9917" s="27" t="s">
        <v>1868</v>
      </c>
      <c r="J9917" s="27" t="s">
        <v>290</v>
      </c>
      <c r="L9917" s="27" t="s">
        <v>291</v>
      </c>
      <c r="M9917" s="27" t="s">
        <v>652</v>
      </c>
      <c r="N9917" s="27" t="s">
        <v>654</v>
      </c>
      <c r="P9917" s="27" t="s">
        <v>14193</v>
      </c>
      <c r="Q9917" s="26" t="str">
        <f>HYPERLINK("https://ictv.global/taxonomy/taxondetails?taxnode_id=202502309&amp;ictv_id=ICTV20130932","ICTV20130932")</f>
        <v>ICTV20130932</v>
      </c>
      <c r="R9917" t="s">
        <v>581</v>
      </c>
      <c r="S9917" t="s">
        <v>824</v>
      </c>
      <c r="T9917">
        <v>39</v>
      </c>
      <c r="U9917" s="26" t="str">
        <f t="shared" ref="U9917:U9942" si="359">HYPERLINK("https://ictv.global/ictv/proposals/2023.027P.Betaflexiviridae_rename.zip","2023.027P.Betaflexiviridae_rename.zip")</f>
        <v>2023.027P.Betaflexiviridae_rename.zip</v>
      </c>
    </row>
    <row r="9918" spans="1:21">
      <c r="A9918">
        <v>9917</v>
      </c>
      <c r="B9918" s="27" t="s">
        <v>1124</v>
      </c>
      <c r="D9918" s="27" t="s">
        <v>1859</v>
      </c>
      <c r="F9918" s="27" t="s">
        <v>1867</v>
      </c>
      <c r="H9918" s="27" t="s">
        <v>1868</v>
      </c>
      <c r="J9918" s="27" t="s">
        <v>290</v>
      </c>
      <c r="L9918" s="27" t="s">
        <v>291</v>
      </c>
      <c r="M9918" s="27" t="s">
        <v>652</v>
      </c>
      <c r="N9918" s="27" t="s">
        <v>654</v>
      </c>
      <c r="P9918" s="27" t="s">
        <v>14194</v>
      </c>
      <c r="Q9918" s="26" t="str">
        <f>HYPERLINK("https://ictv.global/taxonomy/taxondetails?taxnode_id=202502311&amp;ictv_id=ICTV20125781","ICTV20125781")</f>
        <v>ICTV20125781</v>
      </c>
      <c r="R9918" t="s">
        <v>581</v>
      </c>
      <c r="S9918" t="s">
        <v>824</v>
      </c>
      <c r="T9918">
        <v>39</v>
      </c>
      <c r="U9918" s="26" t="str">
        <f t="shared" si="359"/>
        <v>2023.027P.Betaflexiviridae_rename.zip</v>
      </c>
    </row>
    <row r="9919" spans="1:21">
      <c r="A9919">
        <v>9918</v>
      </c>
      <c r="B9919" s="27" t="s">
        <v>1124</v>
      </c>
      <c r="D9919" s="27" t="s">
        <v>1859</v>
      </c>
      <c r="F9919" s="27" t="s">
        <v>1867</v>
      </c>
      <c r="H9919" s="27" t="s">
        <v>1868</v>
      </c>
      <c r="J9919" s="27" t="s">
        <v>290</v>
      </c>
      <c r="L9919" s="27" t="s">
        <v>291</v>
      </c>
      <c r="M9919" s="27" t="s">
        <v>652</v>
      </c>
      <c r="N9919" s="27" t="s">
        <v>654</v>
      </c>
      <c r="P9919" s="27" t="s">
        <v>14195</v>
      </c>
      <c r="Q9919" s="26" t="str">
        <f>HYPERLINK("https://ictv.global/taxonomy/taxondetails?taxnode_id=202502310&amp;ictv_id=ICTV20130933","ICTV20130933")</f>
        <v>ICTV20130933</v>
      </c>
      <c r="R9919" t="s">
        <v>581</v>
      </c>
      <c r="S9919" t="s">
        <v>824</v>
      </c>
      <c r="T9919">
        <v>39</v>
      </c>
      <c r="U9919" s="26" t="str">
        <f t="shared" si="359"/>
        <v>2023.027P.Betaflexiviridae_rename.zip</v>
      </c>
    </row>
    <row r="9920" spans="1:21">
      <c r="A9920">
        <v>9919</v>
      </c>
      <c r="B9920" s="27" t="s">
        <v>1124</v>
      </c>
      <c r="D9920" s="27" t="s">
        <v>1859</v>
      </c>
      <c r="F9920" s="27" t="s">
        <v>1867</v>
      </c>
      <c r="H9920" s="27" t="s">
        <v>1868</v>
      </c>
      <c r="J9920" s="27" t="s">
        <v>290</v>
      </c>
      <c r="L9920" s="27" t="s">
        <v>291</v>
      </c>
      <c r="M9920" s="27" t="s">
        <v>652</v>
      </c>
      <c r="N9920" s="27" t="s">
        <v>655</v>
      </c>
      <c r="P9920" s="27" t="s">
        <v>14196</v>
      </c>
      <c r="Q9920" s="26" t="str">
        <f>HYPERLINK("https://ictv.global/taxonomy/taxondetails?taxnode_id=202506390&amp;ictv_id=ICTV201856390","ICTV201856390")</f>
        <v>ICTV201856390</v>
      </c>
      <c r="R9920" t="s">
        <v>581</v>
      </c>
      <c r="S9920" t="s">
        <v>824</v>
      </c>
      <c r="T9920">
        <v>39</v>
      </c>
      <c r="U9920" s="26" t="str">
        <f t="shared" si="359"/>
        <v>2023.027P.Betaflexiviridae_rename.zip</v>
      </c>
    </row>
    <row r="9921" spans="1:21">
      <c r="A9921">
        <v>9920</v>
      </c>
      <c r="B9921" s="27" t="s">
        <v>1124</v>
      </c>
      <c r="D9921" s="27" t="s">
        <v>1859</v>
      </c>
      <c r="F9921" s="27" t="s">
        <v>1867</v>
      </c>
      <c r="H9921" s="27" t="s">
        <v>1868</v>
      </c>
      <c r="J9921" s="27" t="s">
        <v>290</v>
      </c>
      <c r="L9921" s="27" t="s">
        <v>291</v>
      </c>
      <c r="M9921" s="27" t="s">
        <v>652</v>
      </c>
      <c r="N9921" s="27" t="s">
        <v>655</v>
      </c>
      <c r="P9921" s="27" t="s">
        <v>14197</v>
      </c>
      <c r="Q9921" s="26" t="str">
        <f>HYPERLINK("https://ictv.global/taxonomy/taxondetails?taxnode_id=202502313&amp;ictv_id=ICTV20151653","ICTV20151653")</f>
        <v>ICTV20151653</v>
      </c>
      <c r="R9921" t="s">
        <v>581</v>
      </c>
      <c r="S9921" t="s">
        <v>824</v>
      </c>
      <c r="T9921">
        <v>39</v>
      </c>
      <c r="U9921" s="26" t="str">
        <f t="shared" si="359"/>
        <v>2023.027P.Betaflexiviridae_rename.zip</v>
      </c>
    </row>
    <row r="9922" spans="1:21">
      <c r="A9922">
        <v>9921</v>
      </c>
      <c r="B9922" s="27" t="s">
        <v>1124</v>
      </c>
      <c r="D9922" s="27" t="s">
        <v>1859</v>
      </c>
      <c r="F9922" s="27" t="s">
        <v>1867</v>
      </c>
      <c r="H9922" s="27" t="s">
        <v>1868</v>
      </c>
      <c r="J9922" s="27" t="s">
        <v>290</v>
      </c>
      <c r="L9922" s="27" t="s">
        <v>291</v>
      </c>
      <c r="M9922" s="27" t="s">
        <v>652</v>
      </c>
      <c r="N9922" s="27" t="s">
        <v>655</v>
      </c>
      <c r="P9922" s="27" t="s">
        <v>14198</v>
      </c>
      <c r="Q9922" s="26" t="str">
        <f>HYPERLINK("https://ictv.global/taxonomy/taxondetails?taxnode_id=202502314&amp;ictv_id=ICTV20151654","ICTV20151654")</f>
        <v>ICTV20151654</v>
      </c>
      <c r="R9922" t="s">
        <v>581</v>
      </c>
      <c r="S9922" t="s">
        <v>824</v>
      </c>
      <c r="T9922">
        <v>39</v>
      </c>
      <c r="U9922" s="26" t="str">
        <f t="shared" si="359"/>
        <v>2023.027P.Betaflexiviridae_rename.zip</v>
      </c>
    </row>
    <row r="9923" spans="1:21">
      <c r="A9923">
        <v>9922</v>
      </c>
      <c r="B9923" s="27" t="s">
        <v>1124</v>
      </c>
      <c r="D9923" s="27" t="s">
        <v>1859</v>
      </c>
      <c r="F9923" s="27" t="s">
        <v>1867</v>
      </c>
      <c r="H9923" s="27" t="s">
        <v>1868</v>
      </c>
      <c r="J9923" s="27" t="s">
        <v>290</v>
      </c>
      <c r="L9923" s="27" t="s">
        <v>291</v>
      </c>
      <c r="M9923" s="27" t="s">
        <v>652</v>
      </c>
      <c r="N9923" s="27" t="s">
        <v>655</v>
      </c>
      <c r="P9923" s="27" t="s">
        <v>14199</v>
      </c>
      <c r="Q9923" s="26" t="str">
        <f>HYPERLINK("https://ictv.global/taxonomy/taxondetails?taxnode_id=202513853&amp;ictv_id=ICTV202113853","ICTV202113853")</f>
        <v>ICTV202113853</v>
      </c>
      <c r="R9923" t="s">
        <v>581</v>
      </c>
      <c r="S9923" t="s">
        <v>824</v>
      </c>
      <c r="T9923">
        <v>39</v>
      </c>
      <c r="U9923" s="26" t="str">
        <f t="shared" si="359"/>
        <v>2023.027P.Betaflexiviridae_rename.zip</v>
      </c>
    </row>
    <row r="9924" spans="1:21">
      <c r="A9924">
        <v>9923</v>
      </c>
      <c r="B9924" s="27" t="s">
        <v>1124</v>
      </c>
      <c r="D9924" s="27" t="s">
        <v>1859</v>
      </c>
      <c r="F9924" s="27" t="s">
        <v>1867</v>
      </c>
      <c r="H9924" s="27" t="s">
        <v>1868</v>
      </c>
      <c r="J9924" s="27" t="s">
        <v>290</v>
      </c>
      <c r="L9924" s="27" t="s">
        <v>291</v>
      </c>
      <c r="M9924" s="27" t="s">
        <v>652</v>
      </c>
      <c r="N9924" s="27" t="s">
        <v>1873</v>
      </c>
      <c r="P9924" s="27" t="s">
        <v>14200</v>
      </c>
      <c r="Q9924" s="26" t="str">
        <f>HYPERLINK("https://ictv.global/taxonomy/taxondetails?taxnode_id=202507396&amp;ictv_id=ICTV201907396","ICTV201907396")</f>
        <v>ICTV201907396</v>
      </c>
      <c r="R9924" t="s">
        <v>581</v>
      </c>
      <c r="S9924" t="s">
        <v>824</v>
      </c>
      <c r="T9924">
        <v>39</v>
      </c>
      <c r="U9924" s="26" t="str">
        <f t="shared" si="359"/>
        <v>2023.027P.Betaflexiviridae_rename.zip</v>
      </c>
    </row>
    <row r="9925" spans="1:21">
      <c r="A9925">
        <v>9924</v>
      </c>
      <c r="B9925" s="27" t="s">
        <v>1124</v>
      </c>
      <c r="D9925" s="27" t="s">
        <v>1859</v>
      </c>
      <c r="F9925" s="27" t="s">
        <v>1867</v>
      </c>
      <c r="H9925" s="27" t="s">
        <v>1868</v>
      </c>
      <c r="J9925" s="27" t="s">
        <v>290</v>
      </c>
      <c r="L9925" s="27" t="s">
        <v>291</v>
      </c>
      <c r="M9925" s="27" t="s">
        <v>652</v>
      </c>
      <c r="N9925" s="27" t="s">
        <v>3</v>
      </c>
      <c r="P9925" s="27" t="s">
        <v>14201</v>
      </c>
      <c r="Q9925" s="26" t="str">
        <f>HYPERLINK("https://ictv.global/taxonomy/taxondetails?taxnode_id=202513854&amp;ictv_id=ICTV202113854","ICTV202113854")</f>
        <v>ICTV202113854</v>
      </c>
      <c r="R9925" t="s">
        <v>581</v>
      </c>
      <c r="S9925" t="s">
        <v>824</v>
      </c>
      <c r="T9925">
        <v>39</v>
      </c>
      <c r="U9925" s="26" t="str">
        <f t="shared" si="359"/>
        <v>2023.027P.Betaflexiviridae_rename.zip</v>
      </c>
    </row>
    <row r="9926" spans="1:21">
      <c r="A9926">
        <v>9925</v>
      </c>
      <c r="B9926" s="27" t="s">
        <v>1124</v>
      </c>
      <c r="D9926" s="27" t="s">
        <v>1859</v>
      </c>
      <c r="F9926" s="27" t="s">
        <v>1867</v>
      </c>
      <c r="H9926" s="27" t="s">
        <v>1868</v>
      </c>
      <c r="J9926" s="27" t="s">
        <v>290</v>
      </c>
      <c r="L9926" s="27" t="s">
        <v>291</v>
      </c>
      <c r="M9926" s="27" t="s">
        <v>652</v>
      </c>
      <c r="N9926" s="27" t="s">
        <v>3</v>
      </c>
      <c r="P9926" s="27" t="s">
        <v>14202</v>
      </c>
      <c r="Q9926" s="26" t="str">
        <f>HYPERLINK("https://ictv.global/taxonomy/taxondetails?taxnode_id=202513855&amp;ictv_id=ICTV202113855","ICTV202113855")</f>
        <v>ICTV202113855</v>
      </c>
      <c r="R9926" t="s">
        <v>581</v>
      </c>
      <c r="S9926" t="s">
        <v>824</v>
      </c>
      <c r="T9926">
        <v>39</v>
      </c>
      <c r="U9926" s="26" t="str">
        <f t="shared" si="359"/>
        <v>2023.027P.Betaflexiviridae_rename.zip</v>
      </c>
    </row>
    <row r="9927" spans="1:21">
      <c r="A9927">
        <v>9926</v>
      </c>
      <c r="B9927" s="27" t="s">
        <v>1124</v>
      </c>
      <c r="D9927" s="27" t="s">
        <v>1859</v>
      </c>
      <c r="F9927" s="27" t="s">
        <v>1867</v>
      </c>
      <c r="H9927" s="27" t="s">
        <v>1868</v>
      </c>
      <c r="J9927" s="27" t="s">
        <v>290</v>
      </c>
      <c r="L9927" s="27" t="s">
        <v>291</v>
      </c>
      <c r="M9927" s="27" t="s">
        <v>652</v>
      </c>
      <c r="N9927" s="27" t="s">
        <v>3</v>
      </c>
      <c r="P9927" s="27" t="s">
        <v>14203</v>
      </c>
      <c r="Q9927" s="26" t="str">
        <f>HYPERLINK("https://ictv.global/taxonomy/taxondetails?taxnode_id=202502317&amp;ictv_id=ICTV20151622","ICTV20151622")</f>
        <v>ICTV20151622</v>
      </c>
      <c r="R9927" t="s">
        <v>581</v>
      </c>
      <c r="S9927" t="s">
        <v>824</v>
      </c>
      <c r="T9927">
        <v>39</v>
      </c>
      <c r="U9927" s="26" t="str">
        <f t="shared" si="359"/>
        <v>2023.027P.Betaflexiviridae_rename.zip</v>
      </c>
    </row>
    <row r="9928" spans="1:21">
      <c r="A9928">
        <v>9927</v>
      </c>
      <c r="B9928" s="27" t="s">
        <v>1124</v>
      </c>
      <c r="D9928" s="27" t="s">
        <v>1859</v>
      </c>
      <c r="F9928" s="27" t="s">
        <v>1867</v>
      </c>
      <c r="H9928" s="27" t="s">
        <v>1868</v>
      </c>
      <c r="J9928" s="27" t="s">
        <v>290</v>
      </c>
      <c r="L9928" s="27" t="s">
        <v>291</v>
      </c>
      <c r="M9928" s="27" t="s">
        <v>652</v>
      </c>
      <c r="N9928" s="27" t="s">
        <v>3</v>
      </c>
      <c r="P9928" s="27" t="s">
        <v>14204</v>
      </c>
      <c r="Q9928" s="26" t="str">
        <f>HYPERLINK("https://ictv.global/taxonomy/taxondetails?taxnode_id=202502316&amp;ictv_id=ICTV19871215","ICTV19871215")</f>
        <v>ICTV19871215</v>
      </c>
      <c r="R9928" t="s">
        <v>581</v>
      </c>
      <c r="S9928" t="s">
        <v>824</v>
      </c>
      <c r="T9928">
        <v>39</v>
      </c>
      <c r="U9928" s="26" t="str">
        <f t="shared" si="359"/>
        <v>2023.027P.Betaflexiviridae_rename.zip</v>
      </c>
    </row>
    <row r="9929" spans="1:21">
      <c r="A9929">
        <v>9928</v>
      </c>
      <c r="B9929" s="27" t="s">
        <v>1124</v>
      </c>
      <c r="D9929" s="27" t="s">
        <v>1859</v>
      </c>
      <c r="F9929" s="27" t="s">
        <v>1867</v>
      </c>
      <c r="H9929" s="27" t="s">
        <v>1868</v>
      </c>
      <c r="J9929" s="27" t="s">
        <v>290</v>
      </c>
      <c r="L9929" s="27" t="s">
        <v>291</v>
      </c>
      <c r="M9929" s="27" t="s">
        <v>652</v>
      </c>
      <c r="N9929" s="27" t="s">
        <v>3</v>
      </c>
      <c r="P9929" s="27" t="s">
        <v>14205</v>
      </c>
      <c r="Q9929" s="26" t="str">
        <f>HYPERLINK("https://ictv.global/taxonomy/taxondetails?taxnode_id=202513856&amp;ictv_id=ICTV202113856","ICTV202113856")</f>
        <v>ICTV202113856</v>
      </c>
      <c r="R9929" t="s">
        <v>581</v>
      </c>
      <c r="S9929" t="s">
        <v>824</v>
      </c>
      <c r="T9929">
        <v>39</v>
      </c>
      <c r="U9929" s="26" t="str">
        <f t="shared" si="359"/>
        <v>2023.027P.Betaflexiviridae_rename.zip</v>
      </c>
    </row>
    <row r="9930" spans="1:21">
      <c r="A9930">
        <v>9929</v>
      </c>
      <c r="B9930" s="27" t="s">
        <v>1124</v>
      </c>
      <c r="D9930" s="27" t="s">
        <v>1859</v>
      </c>
      <c r="F9930" s="27" t="s">
        <v>1867</v>
      </c>
      <c r="H9930" s="27" t="s">
        <v>1868</v>
      </c>
      <c r="J9930" s="27" t="s">
        <v>290</v>
      </c>
      <c r="L9930" s="27" t="s">
        <v>291</v>
      </c>
      <c r="M9930" s="27" t="s">
        <v>652</v>
      </c>
      <c r="N9930" s="27" t="s">
        <v>130</v>
      </c>
      <c r="P9930" s="27" t="s">
        <v>14206</v>
      </c>
      <c r="Q9930" s="26" t="str">
        <f>HYPERLINK("https://ictv.global/taxonomy/taxondetails?taxnode_id=202502320&amp;ictv_id=ICTV20083809","ICTV20083809")</f>
        <v>ICTV20083809</v>
      </c>
      <c r="R9930" t="s">
        <v>581</v>
      </c>
      <c r="S9930" t="s">
        <v>824</v>
      </c>
      <c r="T9930">
        <v>39</v>
      </c>
      <c r="U9930" s="26" t="str">
        <f t="shared" si="359"/>
        <v>2023.027P.Betaflexiviridae_rename.zip</v>
      </c>
    </row>
    <row r="9931" spans="1:21">
      <c r="A9931">
        <v>9930</v>
      </c>
      <c r="B9931" s="27" t="s">
        <v>1124</v>
      </c>
      <c r="D9931" s="27" t="s">
        <v>1859</v>
      </c>
      <c r="F9931" s="27" t="s">
        <v>1867</v>
      </c>
      <c r="H9931" s="27" t="s">
        <v>1868</v>
      </c>
      <c r="J9931" s="27" t="s">
        <v>290</v>
      </c>
      <c r="L9931" s="27" t="s">
        <v>291</v>
      </c>
      <c r="M9931" s="27" t="s">
        <v>652</v>
      </c>
      <c r="N9931" s="27" t="s">
        <v>130</v>
      </c>
      <c r="P9931" s="27" t="s">
        <v>14207</v>
      </c>
      <c r="Q9931" s="26" t="str">
        <f>HYPERLINK("https://ictv.global/taxonomy/taxondetails?taxnode_id=202513859&amp;ictv_id=ICTV202113859","ICTV202113859")</f>
        <v>ICTV202113859</v>
      </c>
      <c r="R9931" t="s">
        <v>581</v>
      </c>
      <c r="S9931" t="s">
        <v>824</v>
      </c>
      <c r="T9931">
        <v>39</v>
      </c>
      <c r="U9931" s="26" t="str">
        <f t="shared" si="359"/>
        <v>2023.027P.Betaflexiviridae_rename.zip</v>
      </c>
    </row>
    <row r="9932" spans="1:21">
      <c r="A9932">
        <v>9931</v>
      </c>
      <c r="B9932" s="27" t="s">
        <v>1124</v>
      </c>
      <c r="D9932" s="27" t="s">
        <v>1859</v>
      </c>
      <c r="F9932" s="27" t="s">
        <v>1867</v>
      </c>
      <c r="H9932" s="27" t="s">
        <v>1868</v>
      </c>
      <c r="J9932" s="27" t="s">
        <v>290</v>
      </c>
      <c r="L9932" s="27" t="s">
        <v>291</v>
      </c>
      <c r="M9932" s="27" t="s">
        <v>652</v>
      </c>
      <c r="N9932" s="27" t="s">
        <v>130</v>
      </c>
      <c r="P9932" s="27" t="s">
        <v>14208</v>
      </c>
      <c r="Q9932" s="26" t="str">
        <f>HYPERLINK("https://ictv.global/taxonomy/taxondetails?taxnode_id=202513857&amp;ictv_id=ICTV202113857","ICTV202113857")</f>
        <v>ICTV202113857</v>
      </c>
      <c r="R9932" t="s">
        <v>581</v>
      </c>
      <c r="S9932" t="s">
        <v>824</v>
      </c>
      <c r="T9932">
        <v>39</v>
      </c>
      <c r="U9932" s="26" t="str">
        <f t="shared" si="359"/>
        <v>2023.027P.Betaflexiviridae_rename.zip</v>
      </c>
    </row>
    <row r="9933" spans="1:21">
      <c r="A9933">
        <v>9932</v>
      </c>
      <c r="B9933" s="27" t="s">
        <v>1124</v>
      </c>
      <c r="D9933" s="27" t="s">
        <v>1859</v>
      </c>
      <c r="F9933" s="27" t="s">
        <v>1867</v>
      </c>
      <c r="H9933" s="27" t="s">
        <v>1868</v>
      </c>
      <c r="J9933" s="27" t="s">
        <v>290</v>
      </c>
      <c r="L9933" s="27" t="s">
        <v>291</v>
      </c>
      <c r="M9933" s="27" t="s">
        <v>652</v>
      </c>
      <c r="N9933" s="27" t="s">
        <v>130</v>
      </c>
      <c r="P9933" s="27" t="s">
        <v>14209</v>
      </c>
      <c r="Q9933" s="26" t="str">
        <f>HYPERLINK("https://ictv.global/taxonomy/taxondetails?taxnode_id=202502321&amp;ictv_id=ICTV20021990","ICTV20021990")</f>
        <v>ICTV20021990</v>
      </c>
      <c r="R9933" t="s">
        <v>581</v>
      </c>
      <c r="S9933" t="s">
        <v>824</v>
      </c>
      <c r="T9933">
        <v>39</v>
      </c>
      <c r="U9933" s="26" t="str">
        <f t="shared" si="359"/>
        <v>2023.027P.Betaflexiviridae_rename.zip</v>
      </c>
    </row>
    <row r="9934" spans="1:21">
      <c r="A9934">
        <v>9933</v>
      </c>
      <c r="B9934" s="27" t="s">
        <v>1124</v>
      </c>
      <c r="D9934" s="27" t="s">
        <v>1859</v>
      </c>
      <c r="F9934" s="27" t="s">
        <v>1867</v>
      </c>
      <c r="H9934" s="27" t="s">
        <v>1868</v>
      </c>
      <c r="J9934" s="27" t="s">
        <v>290</v>
      </c>
      <c r="L9934" s="27" t="s">
        <v>291</v>
      </c>
      <c r="M9934" s="27" t="s">
        <v>652</v>
      </c>
      <c r="N9934" s="27" t="s">
        <v>130</v>
      </c>
      <c r="P9934" s="27" t="s">
        <v>14210</v>
      </c>
      <c r="Q9934" s="26" t="str">
        <f>HYPERLINK("https://ictv.global/taxonomy/taxondetails?taxnode_id=202502319&amp;ictv_id=ICTV19931930","ICTV19931930")</f>
        <v>ICTV19931930</v>
      </c>
      <c r="R9934" t="s">
        <v>581</v>
      </c>
      <c r="S9934" t="s">
        <v>824</v>
      </c>
      <c r="T9934">
        <v>39</v>
      </c>
      <c r="U9934" s="26" t="str">
        <f t="shared" si="359"/>
        <v>2023.027P.Betaflexiviridae_rename.zip</v>
      </c>
    </row>
    <row r="9935" spans="1:21">
      <c r="A9935">
        <v>9934</v>
      </c>
      <c r="B9935" s="27" t="s">
        <v>1124</v>
      </c>
      <c r="D9935" s="27" t="s">
        <v>1859</v>
      </c>
      <c r="F9935" s="27" t="s">
        <v>1867</v>
      </c>
      <c r="H9935" s="27" t="s">
        <v>1868</v>
      </c>
      <c r="J9935" s="27" t="s">
        <v>290</v>
      </c>
      <c r="L9935" s="27" t="s">
        <v>291</v>
      </c>
      <c r="M9935" s="27" t="s">
        <v>652</v>
      </c>
      <c r="N9935" s="27" t="s">
        <v>130</v>
      </c>
      <c r="P9935" s="27" t="s">
        <v>14211</v>
      </c>
      <c r="Q9935" s="26" t="str">
        <f>HYPERLINK("https://ictv.global/taxonomy/taxondetails?taxnode_id=202513858&amp;ictv_id=ICTV202113858","ICTV202113858")</f>
        <v>ICTV202113858</v>
      </c>
      <c r="R9935" t="s">
        <v>581</v>
      </c>
      <c r="S9935" t="s">
        <v>824</v>
      </c>
      <c r="T9935">
        <v>39</v>
      </c>
      <c r="U9935" s="26" t="str">
        <f t="shared" si="359"/>
        <v>2023.027P.Betaflexiviridae_rename.zip</v>
      </c>
    </row>
    <row r="9936" spans="1:21">
      <c r="A9936">
        <v>9935</v>
      </c>
      <c r="B9936" s="27" t="s">
        <v>1124</v>
      </c>
      <c r="D9936" s="27" t="s">
        <v>1859</v>
      </c>
      <c r="F9936" s="27" t="s">
        <v>1867</v>
      </c>
      <c r="H9936" s="27" t="s">
        <v>1868</v>
      </c>
      <c r="J9936" s="27" t="s">
        <v>290</v>
      </c>
      <c r="L9936" s="27" t="s">
        <v>291</v>
      </c>
      <c r="M9936" s="27" t="s">
        <v>652</v>
      </c>
      <c r="N9936" s="27" t="s">
        <v>130</v>
      </c>
      <c r="P9936" s="27" t="s">
        <v>14212</v>
      </c>
      <c r="Q9936" s="26" t="str">
        <f>HYPERLINK("https://ictv.global/taxonomy/taxondetails?taxnode_id=202502322&amp;ictv_id=ICTV19982720","ICTV19982720")</f>
        <v>ICTV19982720</v>
      </c>
      <c r="R9936" t="s">
        <v>581</v>
      </c>
      <c r="S9936" t="s">
        <v>824</v>
      </c>
      <c r="T9936">
        <v>39</v>
      </c>
      <c r="U9936" s="26" t="str">
        <f t="shared" si="359"/>
        <v>2023.027P.Betaflexiviridae_rename.zip</v>
      </c>
    </row>
    <row r="9937" spans="1:21">
      <c r="A9937">
        <v>9936</v>
      </c>
      <c r="B9937" s="27" t="s">
        <v>1124</v>
      </c>
      <c r="D9937" s="27" t="s">
        <v>1859</v>
      </c>
      <c r="F9937" s="27" t="s">
        <v>1867</v>
      </c>
      <c r="H9937" s="27" t="s">
        <v>1868</v>
      </c>
      <c r="J9937" s="27" t="s">
        <v>290</v>
      </c>
      <c r="L9937" s="27" t="s">
        <v>291</v>
      </c>
      <c r="M9937" s="27" t="s">
        <v>652</v>
      </c>
      <c r="N9937" s="27" t="s">
        <v>130</v>
      </c>
      <c r="P9937" s="27" t="s">
        <v>14213</v>
      </c>
      <c r="Q9937" s="26" t="str">
        <f>HYPERLINK("https://ictv.global/taxonomy/taxondetails?taxnode_id=202502324&amp;ictv_id=ICTV20021992","ICTV20021992")</f>
        <v>ICTV20021992</v>
      </c>
      <c r="R9937" t="s">
        <v>581</v>
      </c>
      <c r="S9937" t="s">
        <v>824</v>
      </c>
      <c r="T9937">
        <v>39</v>
      </c>
      <c r="U9937" s="26" t="str">
        <f t="shared" si="359"/>
        <v>2023.027P.Betaflexiviridae_rename.zip</v>
      </c>
    </row>
    <row r="9938" spans="1:21">
      <c r="A9938">
        <v>9937</v>
      </c>
      <c r="B9938" s="27" t="s">
        <v>1124</v>
      </c>
      <c r="D9938" s="27" t="s">
        <v>1859</v>
      </c>
      <c r="F9938" s="27" t="s">
        <v>1867</v>
      </c>
      <c r="H9938" s="27" t="s">
        <v>1868</v>
      </c>
      <c r="J9938" s="27" t="s">
        <v>290</v>
      </c>
      <c r="L9938" s="27" t="s">
        <v>291</v>
      </c>
      <c r="M9938" s="27" t="s">
        <v>652</v>
      </c>
      <c r="N9938" s="27" t="s">
        <v>130</v>
      </c>
      <c r="P9938" s="27" t="s">
        <v>14214</v>
      </c>
      <c r="Q9938" s="26" t="str">
        <f>HYPERLINK("https://ictv.global/taxonomy/taxondetails?taxnode_id=202502325&amp;ictv_id=ICTV20125789","ICTV20125789")</f>
        <v>ICTV20125789</v>
      </c>
      <c r="R9938" t="s">
        <v>581</v>
      </c>
      <c r="S9938" t="s">
        <v>824</v>
      </c>
      <c r="T9938">
        <v>39</v>
      </c>
      <c r="U9938" s="26" t="str">
        <f t="shared" si="359"/>
        <v>2023.027P.Betaflexiviridae_rename.zip</v>
      </c>
    </row>
    <row r="9939" spans="1:21">
      <c r="A9939">
        <v>9938</v>
      </c>
      <c r="B9939" s="27" t="s">
        <v>1124</v>
      </c>
      <c r="D9939" s="27" t="s">
        <v>1859</v>
      </c>
      <c r="F9939" s="27" t="s">
        <v>1867</v>
      </c>
      <c r="H9939" s="27" t="s">
        <v>1868</v>
      </c>
      <c r="J9939" s="27" t="s">
        <v>290</v>
      </c>
      <c r="L9939" s="27" t="s">
        <v>291</v>
      </c>
      <c r="M9939" s="27" t="s">
        <v>652</v>
      </c>
      <c r="N9939" s="27" t="s">
        <v>130</v>
      </c>
      <c r="P9939" s="27" t="s">
        <v>14215</v>
      </c>
      <c r="Q9939" s="26" t="str">
        <f>HYPERLINK("https://ictv.global/taxonomy/taxondetails?taxnode_id=202502323&amp;ictv_id=ICTV20125792","ICTV20125792")</f>
        <v>ICTV20125792</v>
      </c>
      <c r="R9939" t="s">
        <v>581</v>
      </c>
      <c r="S9939" t="s">
        <v>824</v>
      </c>
      <c r="T9939">
        <v>39</v>
      </c>
      <c r="U9939" s="26" t="str">
        <f t="shared" si="359"/>
        <v>2023.027P.Betaflexiviridae_rename.zip</v>
      </c>
    </row>
    <row r="9940" spans="1:21">
      <c r="A9940">
        <v>9939</v>
      </c>
      <c r="B9940" s="27" t="s">
        <v>1124</v>
      </c>
      <c r="D9940" s="27" t="s">
        <v>1859</v>
      </c>
      <c r="F9940" s="27" t="s">
        <v>1867</v>
      </c>
      <c r="H9940" s="27" t="s">
        <v>1868</v>
      </c>
      <c r="J9940" s="27" t="s">
        <v>290</v>
      </c>
      <c r="L9940" s="27" t="s">
        <v>291</v>
      </c>
      <c r="M9940" s="27" t="s">
        <v>652</v>
      </c>
      <c r="N9940" s="27" t="s">
        <v>369</v>
      </c>
      <c r="P9940" s="27" t="s">
        <v>14216</v>
      </c>
      <c r="Q9940" s="26" t="str">
        <f>HYPERLINK("https://ictv.global/taxonomy/taxondetails?taxnode_id=202502327&amp;ictv_id=ICTV20125790","ICTV20125790")</f>
        <v>ICTV20125790</v>
      </c>
      <c r="R9940" t="s">
        <v>581</v>
      </c>
      <c r="S9940" t="s">
        <v>824</v>
      </c>
      <c r="T9940">
        <v>39</v>
      </c>
      <c r="U9940" s="26" t="str">
        <f t="shared" si="359"/>
        <v>2023.027P.Betaflexiviridae_rename.zip</v>
      </c>
    </row>
    <row r="9941" spans="1:21">
      <c r="A9941">
        <v>9940</v>
      </c>
      <c r="B9941" s="27" t="s">
        <v>1124</v>
      </c>
      <c r="D9941" s="27" t="s">
        <v>1859</v>
      </c>
      <c r="F9941" s="27" t="s">
        <v>1867</v>
      </c>
      <c r="H9941" s="27" t="s">
        <v>1868</v>
      </c>
      <c r="J9941" s="27" t="s">
        <v>290</v>
      </c>
      <c r="L9941" s="27" t="s">
        <v>291</v>
      </c>
      <c r="M9941" s="27" t="s">
        <v>652</v>
      </c>
      <c r="N9941" s="27" t="s">
        <v>369</v>
      </c>
      <c r="P9941" s="27" t="s">
        <v>14217</v>
      </c>
      <c r="Q9941" s="26" t="str">
        <f>HYPERLINK("https://ictv.global/taxonomy/taxondetails?taxnode_id=202506439&amp;ictv_id=ICTV201856439","ICTV201856439")</f>
        <v>ICTV201856439</v>
      </c>
      <c r="R9941" t="s">
        <v>581</v>
      </c>
      <c r="S9941" t="s">
        <v>824</v>
      </c>
      <c r="T9941">
        <v>39</v>
      </c>
      <c r="U9941" s="26" t="str">
        <f t="shared" si="359"/>
        <v>2023.027P.Betaflexiviridae_rename.zip</v>
      </c>
    </row>
    <row r="9942" spans="1:21">
      <c r="A9942">
        <v>9941</v>
      </c>
      <c r="B9942" s="27" t="s">
        <v>1124</v>
      </c>
      <c r="D9942" s="27" t="s">
        <v>1859</v>
      </c>
      <c r="F9942" s="27" t="s">
        <v>1867</v>
      </c>
      <c r="H9942" s="27" t="s">
        <v>1868</v>
      </c>
      <c r="J9942" s="27" t="s">
        <v>290</v>
      </c>
      <c r="L9942" s="27" t="s">
        <v>291</v>
      </c>
      <c r="M9942" s="27" t="s">
        <v>652</v>
      </c>
      <c r="N9942" s="27" t="s">
        <v>369</v>
      </c>
      <c r="P9942" s="27" t="s">
        <v>14218</v>
      </c>
      <c r="Q9942" s="26" t="str">
        <f>HYPERLINK("https://ictv.global/taxonomy/taxondetails?taxnode_id=202502329&amp;ictv_id=ICTV19972575","ICTV19972575")</f>
        <v>ICTV19972575</v>
      </c>
      <c r="R9942" t="s">
        <v>581</v>
      </c>
      <c r="S9942" t="s">
        <v>824</v>
      </c>
      <c r="T9942">
        <v>39</v>
      </c>
      <c r="U9942" s="26" t="str">
        <f t="shared" si="359"/>
        <v>2023.027P.Betaflexiviridae_rename.zip</v>
      </c>
    </row>
    <row r="9943" spans="1:21">
      <c r="A9943">
        <v>9942</v>
      </c>
      <c r="B9943" s="27" t="s">
        <v>1124</v>
      </c>
      <c r="D9943" s="27" t="s">
        <v>1859</v>
      </c>
      <c r="F9943" s="27" t="s">
        <v>1867</v>
      </c>
      <c r="H9943" s="27" t="s">
        <v>1868</v>
      </c>
      <c r="J9943" s="27" t="s">
        <v>290</v>
      </c>
      <c r="L9943" s="27" t="s">
        <v>291</v>
      </c>
      <c r="M9943" s="27" t="s">
        <v>652</v>
      </c>
      <c r="N9943" s="27" t="s">
        <v>369</v>
      </c>
      <c r="P9943" s="27" t="s">
        <v>14219</v>
      </c>
      <c r="Q9943" s="26" t="str">
        <f>HYPERLINK("https://ictv.global/taxonomy/taxondetails?taxnode_id=202519029&amp;ictv_id=ICTV202319029","ICTV202319029")</f>
        <v>ICTV202319029</v>
      </c>
      <c r="R9943" t="s">
        <v>581</v>
      </c>
      <c r="S9943" t="s">
        <v>823</v>
      </c>
      <c r="T9943">
        <v>39</v>
      </c>
      <c r="U9943" s="26" t="str">
        <f>HYPERLINK("https://ictv.global/ictv/proposals/2023.028P.Betaflexiviridae_13nsp.zip","2023.028P.Betaflexiviridae_13nsp.zip")</f>
        <v>2023.028P.Betaflexiviridae_13nsp.zip</v>
      </c>
    </row>
    <row r="9944" spans="1:21">
      <c r="A9944">
        <v>9943</v>
      </c>
      <c r="B9944" s="27" t="s">
        <v>1124</v>
      </c>
      <c r="D9944" s="27" t="s">
        <v>1859</v>
      </c>
      <c r="F9944" s="27" t="s">
        <v>1867</v>
      </c>
      <c r="H9944" s="27" t="s">
        <v>1868</v>
      </c>
      <c r="J9944" s="27" t="s">
        <v>290</v>
      </c>
      <c r="L9944" s="27" t="s">
        <v>291</v>
      </c>
      <c r="M9944" s="27" t="s">
        <v>652</v>
      </c>
      <c r="N9944" s="27" t="s">
        <v>369</v>
      </c>
      <c r="P9944" s="27" t="s">
        <v>14220</v>
      </c>
      <c r="Q9944" s="26" t="str">
        <f>HYPERLINK("https://ictv.global/taxonomy/taxondetails?taxnode_id=202502328&amp;ictv_id=ICTV20125791","ICTV20125791")</f>
        <v>ICTV20125791</v>
      </c>
      <c r="R9944" t="s">
        <v>581</v>
      </c>
      <c r="S9944" t="s">
        <v>824</v>
      </c>
      <c r="T9944">
        <v>39</v>
      </c>
      <c r="U9944" s="26" t="str">
        <f t="shared" ref="U9944:U9949" si="360">HYPERLINK("https://ictv.global/ictv/proposals/2023.027P.Betaflexiviridae_rename.zip","2023.027P.Betaflexiviridae_rename.zip")</f>
        <v>2023.027P.Betaflexiviridae_rename.zip</v>
      </c>
    </row>
    <row r="9945" spans="1:21">
      <c r="A9945">
        <v>9944</v>
      </c>
      <c r="B9945" s="27" t="s">
        <v>1124</v>
      </c>
      <c r="D9945" s="27" t="s">
        <v>1859</v>
      </c>
      <c r="F9945" s="27" t="s">
        <v>1867</v>
      </c>
      <c r="H9945" s="27" t="s">
        <v>1868</v>
      </c>
      <c r="J9945" s="27" t="s">
        <v>290</v>
      </c>
      <c r="L9945" s="27" t="s">
        <v>291</v>
      </c>
      <c r="M9945" s="27" t="s">
        <v>652</v>
      </c>
      <c r="N9945" s="27" t="s">
        <v>369</v>
      </c>
      <c r="P9945" s="27" t="s">
        <v>14221</v>
      </c>
      <c r="Q9945" s="26" t="str">
        <f>HYPERLINK("https://ictv.global/taxonomy/taxondetails?taxnode_id=202502330&amp;ictv_id=ICTV19972576","ICTV19972576")</f>
        <v>ICTV19972576</v>
      </c>
      <c r="R9945" t="s">
        <v>581</v>
      </c>
      <c r="S9945" t="s">
        <v>824</v>
      </c>
      <c r="T9945">
        <v>39</v>
      </c>
      <c r="U9945" s="26" t="str">
        <f t="shared" si="360"/>
        <v>2023.027P.Betaflexiviridae_rename.zip</v>
      </c>
    </row>
    <row r="9946" spans="1:21">
      <c r="A9946">
        <v>9945</v>
      </c>
      <c r="B9946" s="27" t="s">
        <v>1124</v>
      </c>
      <c r="D9946" s="27" t="s">
        <v>1859</v>
      </c>
      <c r="F9946" s="27" t="s">
        <v>1867</v>
      </c>
      <c r="H9946" s="27" t="s">
        <v>1868</v>
      </c>
      <c r="J9946" s="27" t="s">
        <v>290</v>
      </c>
      <c r="L9946" s="27" t="s">
        <v>291</v>
      </c>
      <c r="M9946" s="27" t="s">
        <v>652</v>
      </c>
      <c r="N9946" s="27" t="s">
        <v>369</v>
      </c>
      <c r="P9946" s="27" t="s">
        <v>14222</v>
      </c>
      <c r="Q9946" s="26" t="str">
        <f>HYPERLINK("https://ictv.global/taxonomy/taxondetails?taxnode_id=202502331&amp;ictv_id=ICTV19972577","ICTV19972577")</f>
        <v>ICTV19972577</v>
      </c>
      <c r="R9946" t="s">
        <v>581</v>
      </c>
      <c r="S9946" t="s">
        <v>824</v>
      </c>
      <c r="T9946">
        <v>39</v>
      </c>
      <c r="U9946" s="26" t="str">
        <f t="shared" si="360"/>
        <v>2023.027P.Betaflexiviridae_rename.zip</v>
      </c>
    </row>
    <row r="9947" spans="1:21">
      <c r="A9947">
        <v>9946</v>
      </c>
      <c r="B9947" s="27" t="s">
        <v>1124</v>
      </c>
      <c r="D9947" s="27" t="s">
        <v>1859</v>
      </c>
      <c r="F9947" s="27" t="s">
        <v>1867</v>
      </c>
      <c r="H9947" s="27" t="s">
        <v>1868</v>
      </c>
      <c r="J9947" s="27" t="s">
        <v>290</v>
      </c>
      <c r="L9947" s="27" t="s">
        <v>291</v>
      </c>
      <c r="M9947" s="27" t="s">
        <v>652</v>
      </c>
      <c r="N9947" s="27" t="s">
        <v>369</v>
      </c>
      <c r="P9947" s="27" t="s">
        <v>14223</v>
      </c>
      <c r="Q9947" s="26" t="str">
        <f>HYPERLINK("https://ictv.global/taxonomy/taxondetails?taxnode_id=202502335&amp;ictv_id=ICTV20093297","ICTV20093297")</f>
        <v>ICTV20093297</v>
      </c>
      <c r="R9947" t="s">
        <v>581</v>
      </c>
      <c r="S9947" t="s">
        <v>824</v>
      </c>
      <c r="T9947">
        <v>39</v>
      </c>
      <c r="U9947" s="26" t="str">
        <f t="shared" si="360"/>
        <v>2023.027P.Betaflexiviridae_rename.zip</v>
      </c>
    </row>
    <row r="9948" spans="1:21">
      <c r="A9948">
        <v>9947</v>
      </c>
      <c r="B9948" s="27" t="s">
        <v>1124</v>
      </c>
      <c r="D9948" s="27" t="s">
        <v>1859</v>
      </c>
      <c r="F9948" s="27" t="s">
        <v>1867</v>
      </c>
      <c r="H9948" s="27" t="s">
        <v>1868</v>
      </c>
      <c r="J9948" s="27" t="s">
        <v>290</v>
      </c>
      <c r="L9948" s="27" t="s">
        <v>291</v>
      </c>
      <c r="M9948" s="27" t="s">
        <v>652</v>
      </c>
      <c r="N9948" s="27" t="s">
        <v>369</v>
      </c>
      <c r="P9948" s="27" t="s">
        <v>14224</v>
      </c>
      <c r="Q9948" s="26" t="str">
        <f>HYPERLINK("https://ictv.global/taxonomy/taxondetails?taxnode_id=202502332&amp;ictv_id=ICTV20093295","ICTV20093295")</f>
        <v>ICTV20093295</v>
      </c>
      <c r="R9948" t="s">
        <v>581</v>
      </c>
      <c r="S9948" t="s">
        <v>824</v>
      </c>
      <c r="T9948">
        <v>39</v>
      </c>
      <c r="U9948" s="26" t="str">
        <f t="shared" si="360"/>
        <v>2023.027P.Betaflexiviridae_rename.zip</v>
      </c>
    </row>
    <row r="9949" spans="1:21">
      <c r="A9949">
        <v>9948</v>
      </c>
      <c r="B9949" s="27" t="s">
        <v>1124</v>
      </c>
      <c r="D9949" s="27" t="s">
        <v>1859</v>
      </c>
      <c r="F9949" s="27" t="s">
        <v>1867</v>
      </c>
      <c r="H9949" s="27" t="s">
        <v>1868</v>
      </c>
      <c r="J9949" s="27" t="s">
        <v>290</v>
      </c>
      <c r="L9949" s="27" t="s">
        <v>291</v>
      </c>
      <c r="M9949" s="27" t="s">
        <v>652</v>
      </c>
      <c r="N9949" s="27" t="s">
        <v>369</v>
      </c>
      <c r="P9949" s="27" t="s">
        <v>14225</v>
      </c>
      <c r="Q9949" s="26" t="str">
        <f>HYPERLINK("https://ictv.global/taxonomy/taxondetails?taxnode_id=202506481&amp;ictv_id=ICTV201856481","ICTV201856481")</f>
        <v>ICTV201856481</v>
      </c>
      <c r="R9949" t="s">
        <v>581</v>
      </c>
      <c r="S9949" t="s">
        <v>824</v>
      </c>
      <c r="T9949">
        <v>39</v>
      </c>
      <c r="U9949" s="26" t="str">
        <f t="shared" si="360"/>
        <v>2023.027P.Betaflexiviridae_rename.zip</v>
      </c>
    </row>
    <row r="9950" spans="1:21">
      <c r="A9950">
        <v>9949</v>
      </c>
      <c r="B9950" s="27" t="s">
        <v>1124</v>
      </c>
      <c r="D9950" s="27" t="s">
        <v>1859</v>
      </c>
      <c r="F9950" s="27" t="s">
        <v>1867</v>
      </c>
      <c r="H9950" s="27" t="s">
        <v>1868</v>
      </c>
      <c r="J9950" s="27" t="s">
        <v>290</v>
      </c>
      <c r="L9950" s="27" t="s">
        <v>291</v>
      </c>
      <c r="M9950" s="27" t="s">
        <v>652</v>
      </c>
      <c r="N9950" s="27" t="s">
        <v>369</v>
      </c>
      <c r="P9950" s="27" t="s">
        <v>21559</v>
      </c>
      <c r="Q9950" s="26" t="str">
        <f>HYPERLINK("https://ictv.global/taxonomy/taxondetails?taxnode_id=202522428&amp;ictv_id=ICTV202522428","ICTV202522428")</f>
        <v>ICTV202522428</v>
      </c>
      <c r="R9950" t="s">
        <v>581</v>
      </c>
      <c r="S9950" t="s">
        <v>823</v>
      </c>
      <c r="T9950">
        <v>41</v>
      </c>
      <c r="U9950" s="26" t="str">
        <f>HYPERLINK("https://ictv.global/ictv/proposals/2025.008P.Betaflexiviridae_9nsp.zip","2025.008P.Betaflexiviridae_9nsp.zip")</f>
        <v>2025.008P.Betaflexiviridae_9nsp.zip</v>
      </c>
    </row>
    <row r="9951" spans="1:21">
      <c r="A9951">
        <v>9950</v>
      </c>
      <c r="B9951" s="27" t="s">
        <v>1124</v>
      </c>
      <c r="D9951" s="27" t="s">
        <v>1859</v>
      </c>
      <c r="F9951" s="27" t="s">
        <v>1867</v>
      </c>
      <c r="H9951" s="27" t="s">
        <v>1868</v>
      </c>
      <c r="J9951" s="27" t="s">
        <v>290</v>
      </c>
      <c r="L9951" s="27" t="s">
        <v>291</v>
      </c>
      <c r="M9951" s="27" t="s">
        <v>652</v>
      </c>
      <c r="N9951" s="27" t="s">
        <v>369</v>
      </c>
      <c r="P9951" s="27" t="s">
        <v>14226</v>
      </c>
      <c r="Q9951" s="26" t="str">
        <f>HYPERLINK("https://ictv.global/taxonomy/taxondetails?taxnode_id=202506476&amp;ictv_id=ICTV201856476","ICTV201856476")</f>
        <v>ICTV201856476</v>
      </c>
      <c r="R9951" t="s">
        <v>581</v>
      </c>
      <c r="S9951" t="s">
        <v>824</v>
      </c>
      <c r="T9951">
        <v>39</v>
      </c>
      <c r="U9951" s="26" t="str">
        <f>HYPERLINK("https://ictv.global/ictv/proposals/2023.027P.Betaflexiviridae_rename.zip","2023.027P.Betaflexiviridae_rename.zip")</f>
        <v>2023.027P.Betaflexiviridae_rename.zip</v>
      </c>
    </row>
    <row r="9952" spans="1:21">
      <c r="A9952">
        <v>9951</v>
      </c>
      <c r="B9952" s="27" t="s">
        <v>1124</v>
      </c>
      <c r="D9952" s="27" t="s">
        <v>1859</v>
      </c>
      <c r="F9952" s="27" t="s">
        <v>1867</v>
      </c>
      <c r="H9952" s="27" t="s">
        <v>1868</v>
      </c>
      <c r="J9952" s="27" t="s">
        <v>290</v>
      </c>
      <c r="L9952" s="27" t="s">
        <v>291</v>
      </c>
      <c r="M9952" s="27" t="s">
        <v>652</v>
      </c>
      <c r="N9952" s="27" t="s">
        <v>369</v>
      </c>
      <c r="P9952" s="27" t="s">
        <v>14227</v>
      </c>
      <c r="Q9952" s="26" t="str">
        <f>HYPERLINK("https://ictv.global/taxonomy/taxondetails?taxnode_id=202506487&amp;ictv_id=ICTV201856487","ICTV201856487")</f>
        <v>ICTV201856487</v>
      </c>
      <c r="R9952" t="s">
        <v>581</v>
      </c>
      <c r="S9952" t="s">
        <v>824</v>
      </c>
      <c r="T9952">
        <v>39</v>
      </c>
      <c r="U9952" s="26" t="str">
        <f>HYPERLINK("https://ictv.global/ictv/proposals/2023.027P.Betaflexiviridae_rename.zip","2023.027P.Betaflexiviridae_rename.zip")</f>
        <v>2023.027P.Betaflexiviridae_rename.zip</v>
      </c>
    </row>
    <row r="9953" spans="1:21">
      <c r="A9953">
        <v>9952</v>
      </c>
      <c r="B9953" s="27" t="s">
        <v>1124</v>
      </c>
      <c r="D9953" s="27" t="s">
        <v>1859</v>
      </c>
      <c r="F9953" s="27" t="s">
        <v>1867</v>
      </c>
      <c r="H9953" s="27" t="s">
        <v>1868</v>
      </c>
      <c r="J9953" s="27" t="s">
        <v>290</v>
      </c>
      <c r="L9953" s="27" t="s">
        <v>291</v>
      </c>
      <c r="M9953" s="27" t="s">
        <v>652</v>
      </c>
      <c r="N9953" s="27" t="s">
        <v>369</v>
      </c>
      <c r="P9953" s="27" t="s">
        <v>14228</v>
      </c>
      <c r="Q9953" s="26" t="str">
        <f>HYPERLINK("https://ictv.global/taxonomy/taxondetails?taxnode_id=202506493&amp;ictv_id=ICTV201856493","ICTV201856493")</f>
        <v>ICTV201856493</v>
      </c>
      <c r="R9953" t="s">
        <v>581</v>
      </c>
      <c r="S9953" t="s">
        <v>824</v>
      </c>
      <c r="T9953">
        <v>39</v>
      </c>
      <c r="U9953" s="26" t="str">
        <f>HYPERLINK("https://ictv.global/ictv/proposals/2023.027P.Betaflexiviridae_rename.zip","2023.027P.Betaflexiviridae_rename.zip")</f>
        <v>2023.027P.Betaflexiviridae_rename.zip</v>
      </c>
    </row>
    <row r="9954" spans="1:21">
      <c r="A9954">
        <v>9953</v>
      </c>
      <c r="B9954" s="27" t="s">
        <v>1124</v>
      </c>
      <c r="D9954" s="27" t="s">
        <v>1859</v>
      </c>
      <c r="F9954" s="27" t="s">
        <v>1867</v>
      </c>
      <c r="H9954" s="27" t="s">
        <v>1868</v>
      </c>
      <c r="J9954" s="27" t="s">
        <v>290</v>
      </c>
      <c r="L9954" s="27" t="s">
        <v>291</v>
      </c>
      <c r="M9954" s="27" t="s">
        <v>652</v>
      </c>
      <c r="N9954" s="27" t="s">
        <v>369</v>
      </c>
      <c r="P9954" s="27" t="s">
        <v>14229</v>
      </c>
      <c r="Q9954" s="26" t="str">
        <f>HYPERLINK("https://ictv.global/taxonomy/taxondetails?taxnode_id=202513861&amp;ictv_id=ICTV202113861","ICTV202113861")</f>
        <v>ICTV202113861</v>
      </c>
      <c r="R9954" t="s">
        <v>581</v>
      </c>
      <c r="S9954" t="s">
        <v>824</v>
      </c>
      <c r="T9954">
        <v>39</v>
      </c>
      <c r="U9954" s="26" t="str">
        <f>HYPERLINK("https://ictv.global/ictv/proposals/2023.027P.Betaflexiviridae_rename.zip","2023.027P.Betaflexiviridae_rename.zip")</f>
        <v>2023.027P.Betaflexiviridae_rename.zip</v>
      </c>
    </row>
    <row r="9955" spans="1:21">
      <c r="A9955">
        <v>9954</v>
      </c>
      <c r="B9955" s="27" t="s">
        <v>1124</v>
      </c>
      <c r="D9955" s="27" t="s">
        <v>1859</v>
      </c>
      <c r="F9955" s="27" t="s">
        <v>1867</v>
      </c>
      <c r="H9955" s="27" t="s">
        <v>1868</v>
      </c>
      <c r="J9955" s="27" t="s">
        <v>290</v>
      </c>
      <c r="L9955" s="27" t="s">
        <v>291</v>
      </c>
      <c r="M9955" s="27" t="s">
        <v>652</v>
      </c>
      <c r="N9955" s="27" t="s">
        <v>369</v>
      </c>
      <c r="P9955" s="27" t="s">
        <v>14230</v>
      </c>
      <c r="Q9955" s="26" t="str">
        <f>HYPERLINK("https://ictv.global/taxonomy/taxondetails?taxnode_id=202502334&amp;ictv_id=ICTV19991928","ICTV19991928")</f>
        <v>ICTV19991928</v>
      </c>
      <c r="R9955" t="s">
        <v>581</v>
      </c>
      <c r="S9955" t="s">
        <v>824</v>
      </c>
      <c r="T9955">
        <v>39</v>
      </c>
      <c r="U9955" s="26" t="str">
        <f>HYPERLINK("https://ictv.global/ictv/proposals/2023.027P.Betaflexiviridae_rename.zip","2023.027P.Betaflexiviridae_rename.zip")</f>
        <v>2023.027P.Betaflexiviridae_rename.zip</v>
      </c>
    </row>
    <row r="9956" spans="1:21">
      <c r="A9956">
        <v>9955</v>
      </c>
      <c r="B9956" s="27" t="s">
        <v>1124</v>
      </c>
      <c r="D9956" s="27" t="s">
        <v>1859</v>
      </c>
      <c r="F9956" s="27" t="s">
        <v>1867</v>
      </c>
      <c r="H9956" s="27" t="s">
        <v>1868</v>
      </c>
      <c r="J9956" s="27" t="s">
        <v>290</v>
      </c>
      <c r="L9956" s="27" t="s">
        <v>291</v>
      </c>
      <c r="M9956" s="27" t="s">
        <v>652</v>
      </c>
      <c r="N9956" s="27" t="s">
        <v>369</v>
      </c>
      <c r="P9956" s="27" t="s">
        <v>21557</v>
      </c>
      <c r="Q9956" s="26" t="str">
        <f>HYPERLINK("https://ictv.global/taxonomy/taxondetails?taxnode_id=202522426&amp;ictv_id=ICTV202522426","ICTV202522426")</f>
        <v>ICTV202522426</v>
      </c>
      <c r="R9956" t="s">
        <v>581</v>
      </c>
      <c r="S9956" t="s">
        <v>823</v>
      </c>
      <c r="T9956">
        <v>41</v>
      </c>
      <c r="U9956" s="26" t="str">
        <f>HYPERLINK("https://ictv.global/ictv/proposals/2025.008P.Betaflexiviridae_9nsp.zip","2025.008P.Betaflexiviridae_9nsp.zip")</f>
        <v>2025.008P.Betaflexiviridae_9nsp.zip</v>
      </c>
    </row>
    <row r="9957" spans="1:21">
      <c r="A9957">
        <v>9956</v>
      </c>
      <c r="B9957" s="27" t="s">
        <v>1124</v>
      </c>
      <c r="D9957" s="27" t="s">
        <v>1859</v>
      </c>
      <c r="F9957" s="27" t="s">
        <v>1867</v>
      </c>
      <c r="H9957" s="27" t="s">
        <v>1868</v>
      </c>
      <c r="J9957" s="27" t="s">
        <v>290</v>
      </c>
      <c r="L9957" s="27" t="s">
        <v>291</v>
      </c>
      <c r="M9957" s="27" t="s">
        <v>652</v>
      </c>
      <c r="N9957" s="27" t="s">
        <v>369</v>
      </c>
      <c r="P9957" s="27" t="s">
        <v>14231</v>
      </c>
      <c r="Q9957" s="26" t="str">
        <f>HYPERLINK("https://ictv.global/taxonomy/taxondetails?taxnode_id=202519028&amp;ictv_id=ICTV202319028","ICTV202319028")</f>
        <v>ICTV202319028</v>
      </c>
      <c r="R9957" t="s">
        <v>581</v>
      </c>
      <c r="S9957" t="s">
        <v>823</v>
      </c>
      <c r="T9957">
        <v>39</v>
      </c>
      <c r="U9957" s="26" t="str">
        <f>HYPERLINK("https://ictv.global/ictv/proposals/2023.028P.Betaflexiviridae_13nsp.zip","2023.028P.Betaflexiviridae_13nsp.zip")</f>
        <v>2023.028P.Betaflexiviridae_13nsp.zip</v>
      </c>
    </row>
    <row r="9958" spans="1:21">
      <c r="A9958">
        <v>9957</v>
      </c>
      <c r="B9958" s="27" t="s">
        <v>1124</v>
      </c>
      <c r="D9958" s="27" t="s">
        <v>1859</v>
      </c>
      <c r="F9958" s="27" t="s">
        <v>1867</v>
      </c>
      <c r="H9958" s="27" t="s">
        <v>1868</v>
      </c>
      <c r="J9958" s="27" t="s">
        <v>290</v>
      </c>
      <c r="L9958" s="27" t="s">
        <v>291</v>
      </c>
      <c r="M9958" s="27" t="s">
        <v>652</v>
      </c>
      <c r="N9958" s="27" t="s">
        <v>369</v>
      </c>
      <c r="P9958" s="27" t="s">
        <v>14232</v>
      </c>
      <c r="Q9958" s="26" t="str">
        <f>HYPERLINK("https://ictv.global/taxonomy/taxondetails?taxnode_id=202502333&amp;ictv_id=ICTV20130943","ICTV20130943")</f>
        <v>ICTV20130943</v>
      </c>
      <c r="R9958" t="s">
        <v>581</v>
      </c>
      <c r="S9958" t="s">
        <v>824</v>
      </c>
      <c r="T9958">
        <v>39</v>
      </c>
      <c r="U9958" s="26" t="str">
        <f>HYPERLINK("https://ictv.global/ictv/proposals/2023.027P.Betaflexiviridae_rename.zip","2023.027P.Betaflexiviridae_rename.zip")</f>
        <v>2023.027P.Betaflexiviridae_rename.zip</v>
      </c>
    </row>
    <row r="9959" spans="1:21">
      <c r="A9959">
        <v>9958</v>
      </c>
      <c r="B9959" s="27" t="s">
        <v>1124</v>
      </c>
      <c r="D9959" s="27" t="s">
        <v>1859</v>
      </c>
      <c r="F9959" s="27" t="s">
        <v>1867</v>
      </c>
      <c r="H9959" s="27" t="s">
        <v>1868</v>
      </c>
      <c r="J9959" s="27" t="s">
        <v>290</v>
      </c>
      <c r="L9959" s="27" t="s">
        <v>291</v>
      </c>
      <c r="M9959" s="27" t="s">
        <v>652</v>
      </c>
      <c r="N9959" s="27" t="s">
        <v>369</v>
      </c>
      <c r="P9959" s="27" t="s">
        <v>21558</v>
      </c>
      <c r="Q9959" s="26" t="str">
        <f>HYPERLINK("https://ictv.global/taxonomy/taxondetails?taxnode_id=202522427&amp;ictv_id=ICTV202522427","ICTV202522427")</f>
        <v>ICTV202522427</v>
      </c>
      <c r="R9959" t="s">
        <v>581</v>
      </c>
      <c r="S9959" t="s">
        <v>823</v>
      </c>
      <c r="T9959">
        <v>41</v>
      </c>
      <c r="U9959" s="26" t="str">
        <f>HYPERLINK("https://ictv.global/ictv/proposals/2025.008P.Betaflexiviridae_9nsp.zip","2025.008P.Betaflexiviridae_9nsp.zip")</f>
        <v>2025.008P.Betaflexiviridae_9nsp.zip</v>
      </c>
    </row>
    <row r="9960" spans="1:21">
      <c r="A9960">
        <v>9959</v>
      </c>
      <c r="B9960" s="27" t="s">
        <v>1124</v>
      </c>
      <c r="D9960" s="27" t="s">
        <v>1859</v>
      </c>
      <c r="F9960" s="27" t="s">
        <v>1867</v>
      </c>
      <c r="H9960" s="27" t="s">
        <v>1868</v>
      </c>
      <c r="J9960" s="27" t="s">
        <v>290</v>
      </c>
      <c r="L9960" s="27" t="s">
        <v>291</v>
      </c>
      <c r="M9960" s="27" t="s">
        <v>652</v>
      </c>
      <c r="N9960" s="27" t="s">
        <v>369</v>
      </c>
      <c r="P9960" s="27" t="s">
        <v>14233</v>
      </c>
      <c r="Q9960" s="26" t="str">
        <f>HYPERLINK("https://ictv.global/taxonomy/taxondetails?taxnode_id=202513860&amp;ictv_id=ICTV202113860","ICTV202113860")</f>
        <v>ICTV202113860</v>
      </c>
      <c r="R9960" t="s">
        <v>581</v>
      </c>
      <c r="S9960" t="s">
        <v>824</v>
      </c>
      <c r="T9960">
        <v>39</v>
      </c>
      <c r="U9960" s="26" t="str">
        <f>HYPERLINK("https://ictv.global/ictv/proposals/2023.027P.Betaflexiviridae_rename.zip","2023.027P.Betaflexiviridae_rename.zip")</f>
        <v>2023.027P.Betaflexiviridae_rename.zip</v>
      </c>
    </row>
    <row r="9961" spans="1:21">
      <c r="A9961">
        <v>9960</v>
      </c>
      <c r="B9961" s="27" t="s">
        <v>1124</v>
      </c>
      <c r="D9961" s="27" t="s">
        <v>1859</v>
      </c>
      <c r="F9961" s="27" t="s">
        <v>1867</v>
      </c>
      <c r="H9961" s="27" t="s">
        <v>1868</v>
      </c>
      <c r="J9961" s="27" t="s">
        <v>290</v>
      </c>
      <c r="L9961" s="27" t="s">
        <v>291</v>
      </c>
      <c r="M9961" s="27" t="s">
        <v>652</v>
      </c>
      <c r="N9961" s="27" t="s">
        <v>369</v>
      </c>
      <c r="P9961" s="27" t="s">
        <v>14234</v>
      </c>
      <c r="Q9961" s="26" t="str">
        <f>HYPERLINK("https://ictv.global/taxonomy/taxondetails?taxnode_id=202505644&amp;ictv_id=ICTV20175644","ICTV20175644")</f>
        <v>ICTV20175644</v>
      </c>
      <c r="R9961" t="s">
        <v>581</v>
      </c>
      <c r="S9961" t="s">
        <v>824</v>
      </c>
      <c r="T9961">
        <v>39</v>
      </c>
      <c r="U9961" s="26" t="str">
        <f>HYPERLINK("https://ictv.global/ictv/proposals/2023.027P.Betaflexiviridae_rename.zip","2023.027P.Betaflexiviridae_rename.zip")</f>
        <v>2023.027P.Betaflexiviridae_rename.zip</v>
      </c>
    </row>
    <row r="9962" spans="1:21">
      <c r="A9962">
        <v>9961</v>
      </c>
      <c r="B9962" s="27" t="s">
        <v>1124</v>
      </c>
      <c r="D9962" s="27" t="s">
        <v>1859</v>
      </c>
      <c r="F9962" s="27" t="s">
        <v>1867</v>
      </c>
      <c r="H9962" s="27" t="s">
        <v>1868</v>
      </c>
      <c r="J9962" s="27" t="s">
        <v>290</v>
      </c>
      <c r="L9962" s="27" t="s">
        <v>291</v>
      </c>
      <c r="M9962" s="27" t="s">
        <v>652</v>
      </c>
      <c r="N9962" s="27" t="s">
        <v>1171</v>
      </c>
      <c r="P9962" s="27" t="s">
        <v>14235</v>
      </c>
      <c r="Q9962" s="26" t="str">
        <f>HYPERLINK("https://ictv.global/taxonomy/taxondetails?taxnode_id=202506419&amp;ictv_id=ICTV201856419","ICTV201856419")</f>
        <v>ICTV201856419</v>
      </c>
      <c r="R9962" t="s">
        <v>581</v>
      </c>
      <c r="S9962" t="s">
        <v>824</v>
      </c>
      <c r="T9962">
        <v>39</v>
      </c>
      <c r="U9962" s="26" t="str">
        <f>HYPERLINK("https://ictv.global/ictv/proposals/2023.027P.Betaflexiviridae_rename.zip","2023.027P.Betaflexiviridae_rename.zip")</f>
        <v>2023.027P.Betaflexiviridae_rename.zip</v>
      </c>
    </row>
    <row r="9963" spans="1:21">
      <c r="A9963">
        <v>9962</v>
      </c>
      <c r="B9963" s="27" t="s">
        <v>1124</v>
      </c>
      <c r="D9963" s="27" t="s">
        <v>1859</v>
      </c>
      <c r="F9963" s="27" t="s">
        <v>1867</v>
      </c>
      <c r="H9963" s="27" t="s">
        <v>1868</v>
      </c>
      <c r="J9963" s="27" t="s">
        <v>290</v>
      </c>
      <c r="L9963" s="27" t="s">
        <v>865</v>
      </c>
      <c r="N9963" s="27" t="s">
        <v>866</v>
      </c>
      <c r="P9963" s="27" t="s">
        <v>14236</v>
      </c>
      <c r="Q9963" s="26" t="str">
        <f>HYPERLINK("https://ictv.global/taxonomy/taxondetails?taxnode_id=202505645&amp;ictv_id=ICTV20175645","ICTV20175645")</f>
        <v>ICTV20175645</v>
      </c>
      <c r="R9963" t="s">
        <v>581</v>
      </c>
      <c r="S9963" t="s">
        <v>824</v>
      </c>
      <c r="T9963">
        <v>39</v>
      </c>
      <c r="U9963" s="26" t="str">
        <f>HYPERLINK("https://ictv.global/ictv/proposals/2023.013F.Deltaflexiviridae_1nsp_spren.zip","2023.013F.Deltaflexiviridae_1nsp_spren.zip")</f>
        <v>2023.013F.Deltaflexiviridae_1nsp_spren.zip</v>
      </c>
    </row>
    <row r="9964" spans="1:21">
      <c r="A9964">
        <v>9963</v>
      </c>
      <c r="B9964" s="27" t="s">
        <v>1124</v>
      </c>
      <c r="D9964" s="27" t="s">
        <v>1859</v>
      </c>
      <c r="F9964" s="27" t="s">
        <v>1867</v>
      </c>
      <c r="H9964" s="27" t="s">
        <v>1868</v>
      </c>
      <c r="J9964" s="27" t="s">
        <v>290</v>
      </c>
      <c r="L9964" s="27" t="s">
        <v>865</v>
      </c>
      <c r="N9964" s="27" t="s">
        <v>866</v>
      </c>
      <c r="P9964" s="27" t="s">
        <v>14237</v>
      </c>
      <c r="Q9964" s="26" t="str">
        <f>HYPERLINK("https://ictv.global/taxonomy/taxondetails?taxnode_id=202505647&amp;ictv_id=ICTV20175647","ICTV20175647")</f>
        <v>ICTV20175647</v>
      </c>
      <c r="R9964" t="s">
        <v>581</v>
      </c>
      <c r="S9964" t="s">
        <v>824</v>
      </c>
      <c r="T9964">
        <v>39</v>
      </c>
      <c r="U9964" s="26" t="str">
        <f>HYPERLINK("https://ictv.global/ictv/proposals/2023.013F.Deltaflexiviridae_1nsp_spren.zip","2023.013F.Deltaflexiviridae_1nsp_spren.zip")</f>
        <v>2023.013F.Deltaflexiviridae_1nsp_spren.zip</v>
      </c>
    </row>
    <row r="9965" spans="1:21">
      <c r="A9965">
        <v>9964</v>
      </c>
      <c r="B9965" s="27" t="s">
        <v>1124</v>
      </c>
      <c r="D9965" s="27" t="s">
        <v>1859</v>
      </c>
      <c r="F9965" s="27" t="s">
        <v>1867</v>
      </c>
      <c r="H9965" s="27" t="s">
        <v>1868</v>
      </c>
      <c r="J9965" s="27" t="s">
        <v>290</v>
      </c>
      <c r="L9965" s="27" t="s">
        <v>865</v>
      </c>
      <c r="N9965" s="27" t="s">
        <v>866</v>
      </c>
      <c r="P9965" s="27" t="s">
        <v>14238</v>
      </c>
      <c r="Q9965" s="26" t="str">
        <f>HYPERLINK("https://ictv.global/taxonomy/taxondetails?taxnode_id=202518067&amp;ictv_id=ICTV202318067","ICTV202318067")</f>
        <v>ICTV202318067</v>
      </c>
      <c r="R9965" t="s">
        <v>581</v>
      </c>
      <c r="S9965" t="s">
        <v>823</v>
      </c>
      <c r="T9965">
        <v>39</v>
      </c>
      <c r="U9965" s="26" t="str">
        <f>HYPERLINK("https://ictv.global/ictv/proposals/2023.013F.Deltaflexiviridae_1nsp_spren.zip","2023.013F.Deltaflexiviridae_1nsp_spren.zip")</f>
        <v>2023.013F.Deltaflexiviridae_1nsp_spren.zip</v>
      </c>
    </row>
    <row r="9966" spans="1:21">
      <c r="A9966">
        <v>9965</v>
      </c>
      <c r="B9966" s="27" t="s">
        <v>1124</v>
      </c>
      <c r="D9966" s="27" t="s">
        <v>1859</v>
      </c>
      <c r="F9966" s="27" t="s">
        <v>1867</v>
      </c>
      <c r="H9966" s="27" t="s">
        <v>1868</v>
      </c>
      <c r="J9966" s="27" t="s">
        <v>290</v>
      </c>
      <c r="L9966" s="27" t="s">
        <v>865</v>
      </c>
      <c r="N9966" s="27" t="s">
        <v>866</v>
      </c>
      <c r="P9966" s="27" t="s">
        <v>14239</v>
      </c>
      <c r="Q9966" s="26" t="str">
        <f>HYPERLINK("https://ictv.global/taxonomy/taxondetails?taxnode_id=202505646&amp;ictv_id=ICTV20175646","ICTV20175646")</f>
        <v>ICTV20175646</v>
      </c>
      <c r="R9966" t="s">
        <v>581</v>
      </c>
      <c r="S9966" t="s">
        <v>824</v>
      </c>
      <c r="T9966">
        <v>39</v>
      </c>
      <c r="U9966" s="26" t="str">
        <f>HYPERLINK("https://ictv.global/ictv/proposals/2023.013F.Deltaflexiviridae_1nsp_spren.zip","2023.013F.Deltaflexiviridae_1nsp_spren.zip")</f>
        <v>2023.013F.Deltaflexiviridae_1nsp_spren.zip</v>
      </c>
    </row>
    <row r="9967" spans="1:21">
      <c r="A9967">
        <v>9966</v>
      </c>
      <c r="B9967" s="27" t="s">
        <v>1124</v>
      </c>
      <c r="D9967" s="27" t="s">
        <v>1859</v>
      </c>
      <c r="F9967" s="27" t="s">
        <v>1867</v>
      </c>
      <c r="H9967" s="27" t="s">
        <v>1868</v>
      </c>
      <c r="J9967" s="27" t="s">
        <v>290</v>
      </c>
      <c r="L9967" s="27" t="s">
        <v>375</v>
      </c>
      <c r="N9967" s="27" t="s">
        <v>8838</v>
      </c>
      <c r="P9967" s="27" t="s">
        <v>14240</v>
      </c>
      <c r="Q9967" s="26" t="str">
        <f>HYPERLINK("https://ictv.global/taxonomy/taxondetails?taxnode_id=202512524&amp;ictv_id=ICTV202112524","ICTV202112524")</f>
        <v>ICTV202112524</v>
      </c>
      <c r="R9967" t="s">
        <v>581</v>
      </c>
      <c r="S9967" t="s">
        <v>824</v>
      </c>
      <c r="T9967">
        <v>39</v>
      </c>
      <c r="U9967" s="26" t="str">
        <f>HYPERLINK("https://ictv.global/ictv/proposals/2023.014F.Gammaflexiviridae_spren.zip","2023.014F.Gammaflexiviridae_spren.zip")</f>
        <v>2023.014F.Gammaflexiviridae_spren.zip</v>
      </c>
    </row>
    <row r="9968" spans="1:21">
      <c r="A9968">
        <v>9967</v>
      </c>
      <c r="B9968" s="27" t="s">
        <v>1124</v>
      </c>
      <c r="D9968" s="27" t="s">
        <v>1859</v>
      </c>
      <c r="F9968" s="27" t="s">
        <v>1867</v>
      </c>
      <c r="H9968" s="27" t="s">
        <v>1868</v>
      </c>
      <c r="J9968" s="27" t="s">
        <v>290</v>
      </c>
      <c r="L9968" s="27" t="s">
        <v>375</v>
      </c>
      <c r="N9968" s="27" t="s">
        <v>8838</v>
      </c>
      <c r="P9968" s="27" t="s">
        <v>14241</v>
      </c>
      <c r="Q9968" s="26" t="str">
        <f>HYPERLINK("https://ictv.global/taxonomy/taxondetails?taxnode_id=202512525&amp;ictv_id=ICTV202112525","ICTV202112525")</f>
        <v>ICTV202112525</v>
      </c>
      <c r="R9968" t="s">
        <v>581</v>
      </c>
      <c r="S9968" t="s">
        <v>824</v>
      </c>
      <c r="T9968">
        <v>39</v>
      </c>
      <c r="U9968" s="26" t="str">
        <f>HYPERLINK("https://ictv.global/ictv/proposals/2023.014F.Gammaflexiviridae_spren.zip","2023.014F.Gammaflexiviridae_spren.zip")</f>
        <v>2023.014F.Gammaflexiviridae_spren.zip</v>
      </c>
    </row>
    <row r="9969" spans="1:21">
      <c r="A9969">
        <v>9968</v>
      </c>
      <c r="B9969" s="27" t="s">
        <v>1124</v>
      </c>
      <c r="D9969" s="27" t="s">
        <v>1859</v>
      </c>
      <c r="F9969" s="27" t="s">
        <v>1867</v>
      </c>
      <c r="H9969" s="27" t="s">
        <v>1868</v>
      </c>
      <c r="J9969" s="27" t="s">
        <v>290</v>
      </c>
      <c r="L9969" s="27" t="s">
        <v>375</v>
      </c>
      <c r="N9969" s="27" t="s">
        <v>121</v>
      </c>
      <c r="P9969" s="27" t="s">
        <v>14242</v>
      </c>
      <c r="Q9969" s="26" t="str">
        <f>HYPERLINK("https://ictv.global/taxonomy/taxondetails?taxnode_id=202502340&amp;ictv_id=ICTV20093622","ICTV20093622")</f>
        <v>ICTV20093622</v>
      </c>
      <c r="R9969" t="s">
        <v>581</v>
      </c>
      <c r="S9969" t="s">
        <v>824</v>
      </c>
      <c r="T9969">
        <v>39</v>
      </c>
      <c r="U9969" s="26" t="str">
        <f>HYPERLINK("https://ictv.global/ictv/proposals/2023.014F.Gammaflexiviridae_spren.zip","2023.014F.Gammaflexiviridae_spren.zip")</f>
        <v>2023.014F.Gammaflexiviridae_spren.zip</v>
      </c>
    </row>
    <row r="9970" spans="1:21">
      <c r="A9970">
        <v>9969</v>
      </c>
      <c r="B9970" s="27" t="s">
        <v>1124</v>
      </c>
      <c r="D9970" s="27" t="s">
        <v>1859</v>
      </c>
      <c r="F9970" s="27" t="s">
        <v>1867</v>
      </c>
      <c r="H9970" s="27" t="s">
        <v>1868</v>
      </c>
      <c r="J9970" s="27" t="s">
        <v>290</v>
      </c>
      <c r="L9970" s="27" t="s">
        <v>375</v>
      </c>
      <c r="N9970" s="27" t="s">
        <v>8839</v>
      </c>
      <c r="P9970" s="27" t="s">
        <v>14243</v>
      </c>
      <c r="Q9970" s="26" t="str">
        <f>HYPERLINK("https://ictv.global/taxonomy/taxondetails?taxnode_id=202512527&amp;ictv_id=ICTV202112527","ICTV202112527")</f>
        <v>ICTV202112527</v>
      </c>
      <c r="R9970" t="s">
        <v>581</v>
      </c>
      <c r="S9970" t="s">
        <v>824</v>
      </c>
      <c r="T9970">
        <v>39</v>
      </c>
      <c r="U9970" s="26" t="str">
        <f>HYPERLINK("https://ictv.global/ictv/proposals/2023.014F.Gammaflexiviridae_spren.zip","2023.014F.Gammaflexiviridae_spren.zip")</f>
        <v>2023.014F.Gammaflexiviridae_spren.zip</v>
      </c>
    </row>
    <row r="9971" spans="1:21">
      <c r="A9971">
        <v>9970</v>
      </c>
      <c r="B9971" s="27" t="s">
        <v>1124</v>
      </c>
      <c r="D9971" s="27" t="s">
        <v>1859</v>
      </c>
      <c r="F9971" s="27" t="s">
        <v>1867</v>
      </c>
      <c r="H9971" s="27" t="s">
        <v>1868</v>
      </c>
      <c r="J9971" s="27" t="s">
        <v>290</v>
      </c>
      <c r="L9971" s="27" t="s">
        <v>320</v>
      </c>
      <c r="N9971" s="27" t="s">
        <v>321</v>
      </c>
      <c r="P9971" s="27" t="s">
        <v>8840</v>
      </c>
      <c r="Q9971" s="26" t="str">
        <f>HYPERLINK("https://ictv.global/taxonomy/taxondetails?taxnode_id=202502344&amp;ictv_id=ICTV20021833","ICTV20021833")</f>
        <v>ICTV20021833</v>
      </c>
      <c r="R9971" t="s">
        <v>581</v>
      </c>
      <c r="S9971" t="s">
        <v>824</v>
      </c>
      <c r="T9971">
        <v>38</v>
      </c>
      <c r="U9971" s="26" t="str">
        <f t="shared" ref="U9971:U9981" si="361">HYPERLINK("https://ictv.global/ictv/proposals/2022.013P.Tymoviridae_rename.zip","2022.013P.Tymoviridae_rename.zip")</f>
        <v>2022.013P.Tymoviridae_rename.zip</v>
      </c>
    </row>
    <row r="9972" spans="1:21">
      <c r="A9972">
        <v>9971</v>
      </c>
      <c r="B9972" s="27" t="s">
        <v>1124</v>
      </c>
      <c r="D9972" s="27" t="s">
        <v>1859</v>
      </c>
      <c r="F9972" s="27" t="s">
        <v>1867</v>
      </c>
      <c r="H9972" s="27" t="s">
        <v>1868</v>
      </c>
      <c r="J9972" s="27" t="s">
        <v>290</v>
      </c>
      <c r="L9972" s="27" t="s">
        <v>320</v>
      </c>
      <c r="N9972" s="27" t="s">
        <v>322</v>
      </c>
      <c r="P9972" s="27" t="s">
        <v>8841</v>
      </c>
      <c r="Q9972" s="26" t="str">
        <f>HYPERLINK("https://ictv.global/taxonomy/taxondetails?taxnode_id=202505650&amp;ictv_id=ICTV20175650","ICTV20175650")</f>
        <v>ICTV20175650</v>
      </c>
      <c r="R9972" t="s">
        <v>581</v>
      </c>
      <c r="S9972" t="s">
        <v>824</v>
      </c>
      <c r="T9972">
        <v>38</v>
      </c>
      <c r="U9972" s="26" t="str">
        <f t="shared" si="361"/>
        <v>2022.013P.Tymoviridae_rename.zip</v>
      </c>
    </row>
    <row r="9973" spans="1:21">
      <c r="A9973">
        <v>9972</v>
      </c>
      <c r="B9973" s="27" t="s">
        <v>1124</v>
      </c>
      <c r="D9973" s="27" t="s">
        <v>1859</v>
      </c>
      <c r="F9973" s="27" t="s">
        <v>1867</v>
      </c>
      <c r="H9973" s="27" t="s">
        <v>1868</v>
      </c>
      <c r="J9973" s="27" t="s">
        <v>290</v>
      </c>
      <c r="L9973" s="27" t="s">
        <v>320</v>
      </c>
      <c r="N9973" s="27" t="s">
        <v>322</v>
      </c>
      <c r="P9973" s="27" t="s">
        <v>8842</v>
      </c>
      <c r="Q9973" s="26" t="str">
        <f>HYPERLINK("https://ictv.global/taxonomy/taxondetails?taxnode_id=202502352&amp;ictv_id=ICTV19911701","ICTV19911701")</f>
        <v>ICTV19911701</v>
      </c>
      <c r="R9973" t="s">
        <v>581</v>
      </c>
      <c r="S9973" t="s">
        <v>824</v>
      </c>
      <c r="T9973">
        <v>38</v>
      </c>
      <c r="U9973" s="26" t="str">
        <f t="shared" si="361"/>
        <v>2022.013P.Tymoviridae_rename.zip</v>
      </c>
    </row>
    <row r="9974" spans="1:21">
      <c r="A9974">
        <v>9973</v>
      </c>
      <c r="B9974" s="27" t="s">
        <v>1124</v>
      </c>
      <c r="D9974" s="27" t="s">
        <v>1859</v>
      </c>
      <c r="F9974" s="27" t="s">
        <v>1867</v>
      </c>
      <c r="H9974" s="27" t="s">
        <v>1868</v>
      </c>
      <c r="J9974" s="27" t="s">
        <v>290</v>
      </c>
      <c r="L9974" s="27" t="s">
        <v>320</v>
      </c>
      <c r="N9974" s="27" t="s">
        <v>322</v>
      </c>
      <c r="P9974" s="27" t="s">
        <v>8843</v>
      </c>
      <c r="Q9974" s="26" t="str">
        <f>HYPERLINK("https://ictv.global/taxonomy/taxondetails?taxnode_id=202502348&amp;ictv_id=ICTV20084974","ICTV20084974")</f>
        <v>ICTV20084974</v>
      </c>
      <c r="R9974" t="s">
        <v>581</v>
      </c>
      <c r="S9974" t="s">
        <v>824</v>
      </c>
      <c r="T9974">
        <v>38</v>
      </c>
      <c r="U9974" s="26" t="str">
        <f t="shared" si="361"/>
        <v>2022.013P.Tymoviridae_rename.zip</v>
      </c>
    </row>
    <row r="9975" spans="1:21">
      <c r="A9975">
        <v>9974</v>
      </c>
      <c r="B9975" s="27" t="s">
        <v>1124</v>
      </c>
      <c r="D9975" s="27" t="s">
        <v>1859</v>
      </c>
      <c r="F9975" s="27" t="s">
        <v>1867</v>
      </c>
      <c r="H9975" s="27" t="s">
        <v>1868</v>
      </c>
      <c r="J9975" s="27" t="s">
        <v>290</v>
      </c>
      <c r="L9975" s="27" t="s">
        <v>320</v>
      </c>
      <c r="N9975" s="27" t="s">
        <v>322</v>
      </c>
      <c r="P9975" s="27" t="s">
        <v>8844</v>
      </c>
      <c r="Q9975" s="26" t="str">
        <f>HYPERLINK("https://ictv.global/taxonomy/taxondetails?taxnode_id=202502346&amp;ictv_id=ICTV19911699","ICTV19911699")</f>
        <v>ICTV19911699</v>
      </c>
      <c r="R9975" t="s">
        <v>581</v>
      </c>
      <c r="S9975" t="s">
        <v>824</v>
      </c>
      <c r="T9975">
        <v>38</v>
      </c>
      <c r="U9975" s="26" t="str">
        <f t="shared" si="361"/>
        <v>2022.013P.Tymoviridae_rename.zip</v>
      </c>
    </row>
    <row r="9976" spans="1:21">
      <c r="A9976">
        <v>9975</v>
      </c>
      <c r="B9976" s="27" t="s">
        <v>1124</v>
      </c>
      <c r="D9976" s="27" t="s">
        <v>1859</v>
      </c>
      <c r="F9976" s="27" t="s">
        <v>1867</v>
      </c>
      <c r="H9976" s="27" t="s">
        <v>1868</v>
      </c>
      <c r="J9976" s="27" t="s">
        <v>290</v>
      </c>
      <c r="L9976" s="27" t="s">
        <v>320</v>
      </c>
      <c r="N9976" s="27" t="s">
        <v>322</v>
      </c>
      <c r="P9976" s="27" t="s">
        <v>8845</v>
      </c>
      <c r="Q9976" s="26" t="str">
        <f>HYPERLINK("https://ictv.global/taxonomy/taxondetails?taxnode_id=202502350&amp;ictv_id=ICTV19841277","ICTV19841277")</f>
        <v>ICTV19841277</v>
      </c>
      <c r="R9976" t="s">
        <v>581</v>
      </c>
      <c r="S9976" t="s">
        <v>824</v>
      </c>
      <c r="T9976">
        <v>38</v>
      </c>
      <c r="U9976" s="26" t="str">
        <f t="shared" si="361"/>
        <v>2022.013P.Tymoviridae_rename.zip</v>
      </c>
    </row>
    <row r="9977" spans="1:21">
      <c r="A9977">
        <v>9976</v>
      </c>
      <c r="B9977" s="27" t="s">
        <v>1124</v>
      </c>
      <c r="D9977" s="27" t="s">
        <v>1859</v>
      </c>
      <c r="F9977" s="27" t="s">
        <v>1867</v>
      </c>
      <c r="H9977" s="27" t="s">
        <v>1868</v>
      </c>
      <c r="J9977" s="27" t="s">
        <v>290</v>
      </c>
      <c r="L9977" s="27" t="s">
        <v>320</v>
      </c>
      <c r="N9977" s="27" t="s">
        <v>322</v>
      </c>
      <c r="P9977" s="27" t="s">
        <v>8846</v>
      </c>
      <c r="Q9977" s="26" t="str">
        <f>HYPERLINK("https://ictv.global/taxonomy/taxondetails?taxnode_id=202509793&amp;ictv_id=ICTV202009793","ICTV202009793")</f>
        <v>ICTV202009793</v>
      </c>
      <c r="R9977" t="s">
        <v>581</v>
      </c>
      <c r="S9977" t="s">
        <v>824</v>
      </c>
      <c r="T9977">
        <v>38</v>
      </c>
      <c r="U9977" s="26" t="str">
        <f t="shared" si="361"/>
        <v>2022.013P.Tymoviridae_rename.zip</v>
      </c>
    </row>
    <row r="9978" spans="1:21">
      <c r="A9978">
        <v>9977</v>
      </c>
      <c r="B9978" s="27" t="s">
        <v>1124</v>
      </c>
      <c r="D9978" s="27" t="s">
        <v>1859</v>
      </c>
      <c r="F9978" s="27" t="s">
        <v>1867</v>
      </c>
      <c r="H9978" s="27" t="s">
        <v>1868</v>
      </c>
      <c r="J9978" s="27" t="s">
        <v>290</v>
      </c>
      <c r="L9978" s="27" t="s">
        <v>320</v>
      </c>
      <c r="N9978" s="27" t="s">
        <v>322</v>
      </c>
      <c r="P9978" s="27" t="s">
        <v>8847</v>
      </c>
      <c r="Q9978" s="26" t="str">
        <f>HYPERLINK("https://ictv.global/taxonomy/taxondetails?taxnode_id=202502351&amp;ictv_id=ICTV20165217","ICTV20165217")</f>
        <v>ICTV20165217</v>
      </c>
      <c r="R9978" t="s">
        <v>581</v>
      </c>
      <c r="S9978" t="s">
        <v>824</v>
      </c>
      <c r="T9978">
        <v>38</v>
      </c>
      <c r="U9978" s="26" t="str">
        <f t="shared" si="361"/>
        <v>2022.013P.Tymoviridae_rename.zip</v>
      </c>
    </row>
    <row r="9979" spans="1:21">
      <c r="A9979">
        <v>9978</v>
      </c>
      <c r="B9979" s="27" t="s">
        <v>1124</v>
      </c>
      <c r="D9979" s="27" t="s">
        <v>1859</v>
      </c>
      <c r="F9979" s="27" t="s">
        <v>1867</v>
      </c>
      <c r="H9979" s="27" t="s">
        <v>1868</v>
      </c>
      <c r="J9979" s="27" t="s">
        <v>290</v>
      </c>
      <c r="L9979" s="27" t="s">
        <v>320</v>
      </c>
      <c r="N9979" s="27" t="s">
        <v>322</v>
      </c>
      <c r="P9979" s="27" t="s">
        <v>8848</v>
      </c>
      <c r="Q9979" s="26" t="str">
        <f>HYPERLINK("https://ictv.global/taxonomy/taxondetails?taxnode_id=202502353&amp;ictv_id=ICTV20115446","ICTV20115446")</f>
        <v>ICTV20115446</v>
      </c>
      <c r="R9979" t="s">
        <v>581</v>
      </c>
      <c r="S9979" t="s">
        <v>824</v>
      </c>
      <c r="T9979">
        <v>38</v>
      </c>
      <c r="U9979" s="26" t="str">
        <f t="shared" si="361"/>
        <v>2022.013P.Tymoviridae_rename.zip</v>
      </c>
    </row>
    <row r="9980" spans="1:21">
      <c r="A9980">
        <v>9979</v>
      </c>
      <c r="B9980" s="27" t="s">
        <v>1124</v>
      </c>
      <c r="D9980" s="27" t="s">
        <v>1859</v>
      </c>
      <c r="F9980" s="27" t="s">
        <v>1867</v>
      </c>
      <c r="H9980" s="27" t="s">
        <v>1868</v>
      </c>
      <c r="J9980" s="27" t="s">
        <v>290</v>
      </c>
      <c r="L9980" s="27" t="s">
        <v>320</v>
      </c>
      <c r="N9980" s="27" t="s">
        <v>322</v>
      </c>
      <c r="P9980" s="27" t="s">
        <v>8849</v>
      </c>
      <c r="Q9980" s="26" t="str">
        <f>HYPERLINK("https://ictv.global/taxonomy/taxondetails?taxnode_id=202505651&amp;ictv_id=ICTV20175651","ICTV20175651")</f>
        <v>ICTV20175651</v>
      </c>
      <c r="R9980" t="s">
        <v>581</v>
      </c>
      <c r="S9980" t="s">
        <v>824</v>
      </c>
      <c r="T9980">
        <v>38</v>
      </c>
      <c r="U9980" s="26" t="str">
        <f t="shared" si="361"/>
        <v>2022.013P.Tymoviridae_rename.zip</v>
      </c>
    </row>
    <row r="9981" spans="1:21">
      <c r="A9981">
        <v>9980</v>
      </c>
      <c r="B9981" s="27" t="s">
        <v>1124</v>
      </c>
      <c r="D9981" s="27" t="s">
        <v>1859</v>
      </c>
      <c r="F9981" s="27" t="s">
        <v>1867</v>
      </c>
      <c r="H9981" s="27" t="s">
        <v>1868</v>
      </c>
      <c r="J9981" s="27" t="s">
        <v>290</v>
      </c>
      <c r="L9981" s="27" t="s">
        <v>320</v>
      </c>
      <c r="N9981" s="27" t="s">
        <v>322</v>
      </c>
      <c r="P9981" s="27" t="s">
        <v>8850</v>
      </c>
      <c r="Q9981" s="26" t="str">
        <f>HYPERLINK("https://ictv.global/taxonomy/taxondetails?taxnode_id=202502347&amp;ictv_id=ICTV20115408","ICTV20115408")</f>
        <v>ICTV20115408</v>
      </c>
      <c r="R9981" t="s">
        <v>581</v>
      </c>
      <c r="S9981" t="s">
        <v>824</v>
      </c>
      <c r="T9981">
        <v>38</v>
      </c>
      <c r="U9981" s="26" t="str">
        <f t="shared" si="361"/>
        <v>2022.013P.Tymoviridae_rename.zip</v>
      </c>
    </row>
    <row r="9982" spans="1:21">
      <c r="A9982">
        <v>9981</v>
      </c>
      <c r="B9982" s="27" t="s">
        <v>1124</v>
      </c>
      <c r="D9982" s="27" t="s">
        <v>1859</v>
      </c>
      <c r="F9982" s="27" t="s">
        <v>1867</v>
      </c>
      <c r="H9982" s="27" t="s">
        <v>1868</v>
      </c>
      <c r="J9982" s="27" t="s">
        <v>290</v>
      </c>
      <c r="L9982" s="27" t="s">
        <v>320</v>
      </c>
      <c r="N9982" s="27" t="s">
        <v>322</v>
      </c>
      <c r="P9982" s="27" t="s">
        <v>8851</v>
      </c>
      <c r="Q9982" s="26" t="str">
        <f>HYPERLINK("https://ictv.global/taxonomy/taxondetails?taxnode_id=202515115&amp;ictv_id=ICTV202215115","ICTV202215115")</f>
        <v>ICTV202215115</v>
      </c>
      <c r="R9982" t="s">
        <v>581</v>
      </c>
      <c r="S9982" t="s">
        <v>823</v>
      </c>
      <c r="T9982">
        <v>38</v>
      </c>
      <c r="U9982" s="26" t="str">
        <f>HYPERLINK("https://ictv.global/ictv/proposals/2022.012P.Tymoviridae_3nsp.zip","2022.012P.Tymoviridae_3nsp.zip")</f>
        <v>2022.012P.Tymoviridae_3nsp.zip</v>
      </c>
    </row>
    <row r="9983" spans="1:21">
      <c r="A9983">
        <v>9982</v>
      </c>
      <c r="B9983" s="27" t="s">
        <v>1124</v>
      </c>
      <c r="D9983" s="27" t="s">
        <v>1859</v>
      </c>
      <c r="F9983" s="27" t="s">
        <v>1867</v>
      </c>
      <c r="H9983" s="27" t="s">
        <v>1868</v>
      </c>
      <c r="J9983" s="27" t="s">
        <v>290</v>
      </c>
      <c r="L9983" s="27" t="s">
        <v>320</v>
      </c>
      <c r="N9983" s="27" t="s">
        <v>322</v>
      </c>
      <c r="P9983" s="27" t="s">
        <v>8852</v>
      </c>
      <c r="Q9983" s="26" t="str">
        <f>HYPERLINK("https://ictv.global/taxonomy/taxondetails?taxnode_id=202502349&amp;ictv_id=ICTV20115409","ICTV20115409")</f>
        <v>ICTV20115409</v>
      </c>
      <c r="R9983" t="s">
        <v>581</v>
      </c>
      <c r="S9983" t="s">
        <v>824</v>
      </c>
      <c r="T9983">
        <v>38</v>
      </c>
      <c r="U9983" s="26" t="str">
        <f t="shared" ref="U9983:U9989" si="362">HYPERLINK("https://ictv.global/ictv/proposals/2022.013P.Tymoviridae_rename.zip","2022.013P.Tymoviridae_rename.zip")</f>
        <v>2022.013P.Tymoviridae_rename.zip</v>
      </c>
    </row>
    <row r="9984" spans="1:21">
      <c r="A9984">
        <v>9983</v>
      </c>
      <c r="B9984" s="27" t="s">
        <v>1124</v>
      </c>
      <c r="D9984" s="27" t="s">
        <v>1859</v>
      </c>
      <c r="F9984" s="27" t="s">
        <v>1867</v>
      </c>
      <c r="H9984" s="27" t="s">
        <v>1868</v>
      </c>
      <c r="J9984" s="27" t="s">
        <v>290</v>
      </c>
      <c r="L9984" s="27" t="s">
        <v>320</v>
      </c>
      <c r="N9984" s="27" t="s">
        <v>352</v>
      </c>
      <c r="P9984" s="27" t="s">
        <v>8853</v>
      </c>
      <c r="Q9984" s="26" t="str">
        <f>HYPERLINK("https://ictv.global/taxonomy/taxondetails?taxnode_id=202502371&amp;ictv_id=ICTV19760860","ICTV19760860")</f>
        <v>ICTV19760860</v>
      </c>
      <c r="R9984" t="s">
        <v>581</v>
      </c>
      <c r="S9984" t="s">
        <v>824</v>
      </c>
      <c r="T9984">
        <v>38</v>
      </c>
      <c r="U9984" s="26" t="str">
        <f t="shared" si="362"/>
        <v>2022.013P.Tymoviridae_rename.zip</v>
      </c>
    </row>
    <row r="9985" spans="1:21">
      <c r="A9985">
        <v>9984</v>
      </c>
      <c r="B9985" s="27" t="s">
        <v>1124</v>
      </c>
      <c r="D9985" s="27" t="s">
        <v>1859</v>
      </c>
      <c r="F9985" s="27" t="s">
        <v>1867</v>
      </c>
      <c r="H9985" s="27" t="s">
        <v>1868</v>
      </c>
      <c r="J9985" s="27" t="s">
        <v>290</v>
      </c>
      <c r="L9985" s="27" t="s">
        <v>320</v>
      </c>
      <c r="N9985" s="27" t="s">
        <v>352</v>
      </c>
      <c r="P9985" s="27" t="s">
        <v>8854</v>
      </c>
      <c r="Q9985" s="26" t="str">
        <f>HYPERLINK("https://ictv.global/taxonomy/taxondetails?taxnode_id=202502355&amp;ictv_id=ICTV20084977","ICTV20084977")</f>
        <v>ICTV20084977</v>
      </c>
      <c r="R9985" t="s">
        <v>581</v>
      </c>
      <c r="S9985" t="s">
        <v>824</v>
      </c>
      <c r="T9985">
        <v>38</v>
      </c>
      <c r="U9985" s="26" t="str">
        <f t="shared" si="362"/>
        <v>2022.013P.Tymoviridae_rename.zip</v>
      </c>
    </row>
    <row r="9986" spans="1:21">
      <c r="A9986">
        <v>9985</v>
      </c>
      <c r="B9986" s="27" t="s">
        <v>1124</v>
      </c>
      <c r="D9986" s="27" t="s">
        <v>1859</v>
      </c>
      <c r="F9986" s="27" t="s">
        <v>1867</v>
      </c>
      <c r="H9986" s="27" t="s">
        <v>1868</v>
      </c>
      <c r="J9986" s="27" t="s">
        <v>290</v>
      </c>
      <c r="L9986" s="27" t="s">
        <v>320</v>
      </c>
      <c r="N9986" s="27" t="s">
        <v>352</v>
      </c>
      <c r="P9986" s="27" t="s">
        <v>8855</v>
      </c>
      <c r="Q9986" s="26" t="str">
        <f>HYPERLINK("https://ictv.global/taxonomy/taxondetails?taxnode_id=202502374&amp;ictv_id=ICTV19821374","ICTV19821374")</f>
        <v>ICTV19821374</v>
      </c>
      <c r="R9986" t="s">
        <v>581</v>
      </c>
      <c r="S9986" t="s">
        <v>824</v>
      </c>
      <c r="T9986">
        <v>38</v>
      </c>
      <c r="U9986" s="26" t="str">
        <f t="shared" si="362"/>
        <v>2022.013P.Tymoviridae_rename.zip</v>
      </c>
    </row>
    <row r="9987" spans="1:21">
      <c r="A9987">
        <v>9986</v>
      </c>
      <c r="B9987" s="27" t="s">
        <v>1124</v>
      </c>
      <c r="D9987" s="27" t="s">
        <v>1859</v>
      </c>
      <c r="F9987" s="27" t="s">
        <v>1867</v>
      </c>
      <c r="H9987" s="27" t="s">
        <v>1868</v>
      </c>
      <c r="J9987" s="27" t="s">
        <v>290</v>
      </c>
      <c r="L9987" s="27" t="s">
        <v>320</v>
      </c>
      <c r="N9987" s="27" t="s">
        <v>352</v>
      </c>
      <c r="P9987" s="27" t="s">
        <v>8856</v>
      </c>
      <c r="Q9987" s="26" t="str">
        <f>HYPERLINK("https://ictv.global/taxonomy/taxondetails?taxnode_id=202502358&amp;ictv_id=ICTV19710334","ICTV19710334")</f>
        <v>ICTV19710334</v>
      </c>
      <c r="R9987" t="s">
        <v>581</v>
      </c>
      <c r="S9987" t="s">
        <v>824</v>
      </c>
      <c r="T9987">
        <v>38</v>
      </c>
      <c r="U9987" s="26" t="str">
        <f t="shared" si="362"/>
        <v>2022.013P.Tymoviridae_rename.zip</v>
      </c>
    </row>
    <row r="9988" spans="1:21">
      <c r="A9988">
        <v>9987</v>
      </c>
      <c r="B9988" s="27" t="s">
        <v>1124</v>
      </c>
      <c r="D9988" s="27" t="s">
        <v>1859</v>
      </c>
      <c r="F9988" s="27" t="s">
        <v>1867</v>
      </c>
      <c r="H9988" s="27" t="s">
        <v>1868</v>
      </c>
      <c r="J9988" s="27" t="s">
        <v>290</v>
      </c>
      <c r="L9988" s="27" t="s">
        <v>320</v>
      </c>
      <c r="N9988" s="27" t="s">
        <v>352</v>
      </c>
      <c r="P9988" s="27" t="s">
        <v>8857</v>
      </c>
      <c r="Q9988" s="26" t="str">
        <f>HYPERLINK("https://ictv.global/taxonomy/taxondetails?taxnode_id=202502380&amp;ictv_id=ICTV19710339","ICTV19710339")</f>
        <v>ICTV19710339</v>
      </c>
      <c r="R9988" t="s">
        <v>581</v>
      </c>
      <c r="S9988" t="s">
        <v>824</v>
      </c>
      <c r="T9988">
        <v>38</v>
      </c>
      <c r="U9988" s="26" t="str">
        <f t="shared" si="362"/>
        <v>2022.013P.Tymoviridae_rename.zip</v>
      </c>
    </row>
    <row r="9989" spans="1:21">
      <c r="A9989">
        <v>9988</v>
      </c>
      <c r="B9989" s="27" t="s">
        <v>1124</v>
      </c>
      <c r="D9989" s="27" t="s">
        <v>1859</v>
      </c>
      <c r="F9989" s="27" t="s">
        <v>1867</v>
      </c>
      <c r="H9989" s="27" t="s">
        <v>1868</v>
      </c>
      <c r="J9989" s="27" t="s">
        <v>290</v>
      </c>
      <c r="L9989" s="27" t="s">
        <v>320</v>
      </c>
      <c r="N9989" s="27" t="s">
        <v>352</v>
      </c>
      <c r="P9989" s="27" t="s">
        <v>8858</v>
      </c>
      <c r="Q9989" s="26" t="str">
        <f>HYPERLINK("https://ictv.global/taxonomy/taxondetails?taxnode_id=202502360&amp;ictv_id=ICTV19982724","ICTV19982724")</f>
        <v>ICTV19982724</v>
      </c>
      <c r="R9989" t="s">
        <v>581</v>
      </c>
      <c r="S9989" t="s">
        <v>824</v>
      </c>
      <c r="T9989">
        <v>38</v>
      </c>
      <c r="U9989" s="26" t="str">
        <f t="shared" si="362"/>
        <v>2022.013P.Tymoviridae_rename.zip</v>
      </c>
    </row>
    <row r="9990" spans="1:21">
      <c r="A9990">
        <v>9989</v>
      </c>
      <c r="B9990" s="27" t="s">
        <v>1124</v>
      </c>
      <c r="D9990" s="27" t="s">
        <v>1859</v>
      </c>
      <c r="F9990" s="27" t="s">
        <v>1867</v>
      </c>
      <c r="H9990" s="27" t="s">
        <v>1868</v>
      </c>
      <c r="J9990" s="27" t="s">
        <v>290</v>
      </c>
      <c r="L9990" s="27" t="s">
        <v>320</v>
      </c>
      <c r="N9990" s="27" t="s">
        <v>352</v>
      </c>
      <c r="P9990" s="27" t="s">
        <v>8859</v>
      </c>
      <c r="Q9990" s="26" t="str">
        <f>HYPERLINK("https://ictv.global/taxonomy/taxondetails?taxnode_id=202502361&amp;ictv_id=ICTV20042179","ICTV20042179")</f>
        <v>ICTV20042179</v>
      </c>
      <c r="R9990" t="s">
        <v>660</v>
      </c>
      <c r="S9990" t="s">
        <v>824</v>
      </c>
      <c r="T9990">
        <v>41</v>
      </c>
      <c r="U9990" s="26" t="str">
        <f>HYPERLINK("https://ictv.global/ictv/proposals/2025.002G.Monodnaviria_reorg_4nr.zip","2025.002G.Monodnaviria_reorg_4nr.zip")</f>
        <v>2025.002G.Monodnaviria_reorg_4nr.zip</v>
      </c>
    </row>
    <row r="9991" spans="1:21">
      <c r="A9991">
        <v>9990</v>
      </c>
      <c r="B9991" s="27" t="s">
        <v>1124</v>
      </c>
      <c r="D9991" s="27" t="s">
        <v>1859</v>
      </c>
      <c r="F9991" s="27" t="s">
        <v>1867</v>
      </c>
      <c r="H9991" s="27" t="s">
        <v>1868</v>
      </c>
      <c r="J9991" s="27" t="s">
        <v>290</v>
      </c>
      <c r="L9991" s="27" t="s">
        <v>320</v>
      </c>
      <c r="N9991" s="27" t="s">
        <v>352</v>
      </c>
      <c r="P9991" s="27" t="s">
        <v>8860</v>
      </c>
      <c r="Q9991" s="26" t="str">
        <f>HYPERLINK("https://ictv.global/taxonomy/taxondetails?taxnode_id=202502362&amp;ictv_id=ICTV20115428","ICTV20115428")</f>
        <v>ICTV20115428</v>
      </c>
      <c r="R9991" t="s">
        <v>581</v>
      </c>
      <c r="S9991" t="s">
        <v>824</v>
      </c>
      <c r="T9991">
        <v>38</v>
      </c>
      <c r="U9991" s="26" t="str">
        <f t="shared" ref="U9991:U10002" si="363">HYPERLINK("https://ictv.global/ictv/proposals/2022.013P.Tymoviridae_rename.zip","2022.013P.Tymoviridae_rename.zip")</f>
        <v>2022.013P.Tymoviridae_rename.zip</v>
      </c>
    </row>
    <row r="9992" spans="1:21">
      <c r="A9992">
        <v>9991</v>
      </c>
      <c r="B9992" s="27" t="s">
        <v>1124</v>
      </c>
      <c r="D9992" s="27" t="s">
        <v>1859</v>
      </c>
      <c r="F9992" s="27" t="s">
        <v>1867</v>
      </c>
      <c r="H9992" s="27" t="s">
        <v>1868</v>
      </c>
      <c r="J9992" s="27" t="s">
        <v>290</v>
      </c>
      <c r="L9992" s="27" t="s">
        <v>320</v>
      </c>
      <c r="N9992" s="27" t="s">
        <v>352</v>
      </c>
      <c r="P9992" s="27" t="s">
        <v>8861</v>
      </c>
      <c r="Q9992" s="26" t="str">
        <f>HYPERLINK("https://ictv.global/taxonomy/taxondetails?taxnode_id=202502363&amp;ictv_id=ICTV19760854","ICTV19760854")</f>
        <v>ICTV19760854</v>
      </c>
      <c r="R9992" t="s">
        <v>581</v>
      </c>
      <c r="S9992" t="s">
        <v>824</v>
      </c>
      <c r="T9992">
        <v>38</v>
      </c>
      <c r="U9992" s="26" t="str">
        <f t="shared" si="363"/>
        <v>2022.013P.Tymoviridae_rename.zip</v>
      </c>
    </row>
    <row r="9993" spans="1:21">
      <c r="A9993">
        <v>9992</v>
      </c>
      <c r="B9993" s="27" t="s">
        <v>1124</v>
      </c>
      <c r="D9993" s="27" t="s">
        <v>1859</v>
      </c>
      <c r="F9993" s="27" t="s">
        <v>1867</v>
      </c>
      <c r="H9993" s="27" t="s">
        <v>1868</v>
      </c>
      <c r="J9993" s="27" t="s">
        <v>290</v>
      </c>
      <c r="L9993" s="27" t="s">
        <v>320</v>
      </c>
      <c r="N9993" s="27" t="s">
        <v>352</v>
      </c>
      <c r="P9993" s="27" t="s">
        <v>8862</v>
      </c>
      <c r="Q9993" s="26" t="str">
        <f>HYPERLINK("https://ictv.global/taxonomy/taxondetails?taxnode_id=202502382&amp;ictv_id=ICTV19710340","ICTV19710340")</f>
        <v>ICTV19710340</v>
      </c>
      <c r="R9993" t="s">
        <v>581</v>
      </c>
      <c r="S9993" t="s">
        <v>824</v>
      </c>
      <c r="T9993">
        <v>38</v>
      </c>
      <c r="U9993" s="26" t="str">
        <f t="shared" si="363"/>
        <v>2022.013P.Tymoviridae_rename.zip</v>
      </c>
    </row>
    <row r="9994" spans="1:21">
      <c r="A9994">
        <v>9993</v>
      </c>
      <c r="B9994" s="27" t="s">
        <v>1124</v>
      </c>
      <c r="D9994" s="27" t="s">
        <v>1859</v>
      </c>
      <c r="F9994" s="27" t="s">
        <v>1867</v>
      </c>
      <c r="H9994" s="27" t="s">
        <v>1868</v>
      </c>
      <c r="J9994" s="27" t="s">
        <v>290</v>
      </c>
      <c r="L9994" s="27" t="s">
        <v>320</v>
      </c>
      <c r="N9994" s="27" t="s">
        <v>352</v>
      </c>
      <c r="P9994" s="27" t="s">
        <v>8863</v>
      </c>
      <c r="Q9994" s="26" t="str">
        <f>HYPERLINK("https://ictv.global/taxonomy/taxondetails?taxnode_id=202502364&amp;ictv_id=ICTV19760855","ICTV19760855")</f>
        <v>ICTV19760855</v>
      </c>
      <c r="R9994" t="s">
        <v>581</v>
      </c>
      <c r="S9994" t="s">
        <v>824</v>
      </c>
      <c r="T9994">
        <v>38</v>
      </c>
      <c r="U9994" s="26" t="str">
        <f t="shared" si="363"/>
        <v>2022.013P.Tymoviridae_rename.zip</v>
      </c>
    </row>
    <row r="9995" spans="1:21">
      <c r="A9995">
        <v>9994</v>
      </c>
      <c r="B9995" s="27" t="s">
        <v>1124</v>
      </c>
      <c r="D9995" s="27" t="s">
        <v>1859</v>
      </c>
      <c r="F9995" s="27" t="s">
        <v>1867</v>
      </c>
      <c r="H9995" s="27" t="s">
        <v>1868</v>
      </c>
      <c r="J9995" s="27" t="s">
        <v>290</v>
      </c>
      <c r="L9995" s="27" t="s">
        <v>320</v>
      </c>
      <c r="N9995" s="27" t="s">
        <v>352</v>
      </c>
      <c r="P9995" s="27" t="s">
        <v>8864</v>
      </c>
      <c r="Q9995" s="26" t="str">
        <f>HYPERLINK("https://ictv.global/taxonomy/taxondetails?taxnode_id=202502365&amp;ictv_id=ICTV19710336","ICTV19710336")</f>
        <v>ICTV19710336</v>
      </c>
      <c r="R9995" t="s">
        <v>581</v>
      </c>
      <c r="S9995" t="s">
        <v>824</v>
      </c>
      <c r="T9995">
        <v>38</v>
      </c>
      <c r="U9995" s="26" t="str">
        <f t="shared" si="363"/>
        <v>2022.013P.Tymoviridae_rename.zip</v>
      </c>
    </row>
    <row r="9996" spans="1:21">
      <c r="A9996">
        <v>9995</v>
      </c>
      <c r="B9996" s="27" t="s">
        <v>1124</v>
      </c>
      <c r="D9996" s="27" t="s">
        <v>1859</v>
      </c>
      <c r="F9996" s="27" t="s">
        <v>1867</v>
      </c>
      <c r="H9996" s="27" t="s">
        <v>1868</v>
      </c>
      <c r="J9996" s="27" t="s">
        <v>290</v>
      </c>
      <c r="L9996" s="27" t="s">
        <v>320</v>
      </c>
      <c r="N9996" s="27" t="s">
        <v>352</v>
      </c>
      <c r="P9996" s="27" t="s">
        <v>8865</v>
      </c>
      <c r="Q9996" s="26" t="str">
        <f>HYPERLINK("https://ictv.global/taxonomy/taxondetails?taxnode_id=202502367&amp;ictv_id=ICTV19760858","ICTV19760858")</f>
        <v>ICTV19760858</v>
      </c>
      <c r="R9996" t="s">
        <v>581</v>
      </c>
      <c r="S9996" t="s">
        <v>824</v>
      </c>
      <c r="T9996">
        <v>38</v>
      </c>
      <c r="U9996" s="26" t="str">
        <f t="shared" si="363"/>
        <v>2022.013P.Tymoviridae_rename.zip</v>
      </c>
    </row>
    <row r="9997" spans="1:21">
      <c r="A9997">
        <v>9996</v>
      </c>
      <c r="B9997" s="27" t="s">
        <v>1124</v>
      </c>
      <c r="D9997" s="27" t="s">
        <v>1859</v>
      </c>
      <c r="F9997" s="27" t="s">
        <v>1867</v>
      </c>
      <c r="H9997" s="27" t="s">
        <v>1868</v>
      </c>
      <c r="J9997" s="27" t="s">
        <v>290</v>
      </c>
      <c r="L9997" s="27" t="s">
        <v>320</v>
      </c>
      <c r="N9997" s="27" t="s">
        <v>352</v>
      </c>
      <c r="P9997" s="27" t="s">
        <v>8866</v>
      </c>
      <c r="Q9997" s="26" t="str">
        <f>HYPERLINK("https://ictv.global/taxonomy/taxondetails?taxnode_id=202502368&amp;ictv_id=ICTV19760859","ICTV19760859")</f>
        <v>ICTV19760859</v>
      </c>
      <c r="R9997" t="s">
        <v>581</v>
      </c>
      <c r="S9997" t="s">
        <v>824</v>
      </c>
      <c r="T9997">
        <v>38</v>
      </c>
      <c r="U9997" s="26" t="str">
        <f t="shared" si="363"/>
        <v>2022.013P.Tymoviridae_rename.zip</v>
      </c>
    </row>
    <row r="9998" spans="1:21">
      <c r="A9998">
        <v>9997</v>
      </c>
      <c r="B9998" s="27" t="s">
        <v>1124</v>
      </c>
      <c r="D9998" s="27" t="s">
        <v>1859</v>
      </c>
      <c r="F9998" s="27" t="s">
        <v>1867</v>
      </c>
      <c r="H9998" s="27" t="s">
        <v>1868</v>
      </c>
      <c r="J9998" s="27" t="s">
        <v>290</v>
      </c>
      <c r="L9998" s="27" t="s">
        <v>320</v>
      </c>
      <c r="N9998" s="27" t="s">
        <v>352</v>
      </c>
      <c r="P9998" s="27" t="s">
        <v>8867</v>
      </c>
      <c r="Q9998" s="26" t="str">
        <f>HYPERLINK("https://ictv.global/taxonomy/taxondetails?taxnode_id=202502356&amp;ictv_id=ICTV19991896","ICTV19991896")</f>
        <v>ICTV19991896</v>
      </c>
      <c r="R9998" t="s">
        <v>581</v>
      </c>
      <c r="S9998" t="s">
        <v>824</v>
      </c>
      <c r="T9998">
        <v>38</v>
      </c>
      <c r="U9998" s="26" t="str">
        <f t="shared" si="363"/>
        <v>2022.013P.Tymoviridae_rename.zip</v>
      </c>
    </row>
    <row r="9999" spans="1:21">
      <c r="A9999">
        <v>9998</v>
      </c>
      <c r="B9999" s="27" t="s">
        <v>1124</v>
      </c>
      <c r="D9999" s="27" t="s">
        <v>1859</v>
      </c>
      <c r="F9999" s="27" t="s">
        <v>1867</v>
      </c>
      <c r="H9999" s="27" t="s">
        <v>1868</v>
      </c>
      <c r="J9999" s="27" t="s">
        <v>290</v>
      </c>
      <c r="L9999" s="27" t="s">
        <v>320</v>
      </c>
      <c r="N9999" s="27" t="s">
        <v>352</v>
      </c>
      <c r="P9999" s="27" t="s">
        <v>8868</v>
      </c>
      <c r="Q9999" s="26" t="str">
        <f>HYPERLINK("https://ictv.global/taxonomy/taxondetails?taxnode_id=202502379&amp;ictv_id=ICTV20165218","ICTV20165218")</f>
        <v>ICTV20165218</v>
      </c>
      <c r="R9999" t="s">
        <v>581</v>
      </c>
      <c r="S9999" t="s">
        <v>824</v>
      </c>
      <c r="T9999">
        <v>38</v>
      </c>
      <c r="U9999" s="26" t="str">
        <f t="shared" si="363"/>
        <v>2022.013P.Tymoviridae_rename.zip</v>
      </c>
    </row>
    <row r="10000" spans="1:21">
      <c r="A10000">
        <v>9999</v>
      </c>
      <c r="B10000" s="27" t="s">
        <v>1124</v>
      </c>
      <c r="D10000" s="27" t="s">
        <v>1859</v>
      </c>
      <c r="F10000" s="27" t="s">
        <v>1867</v>
      </c>
      <c r="H10000" s="27" t="s">
        <v>1868</v>
      </c>
      <c r="J10000" s="27" t="s">
        <v>290</v>
      </c>
      <c r="L10000" s="27" t="s">
        <v>320</v>
      </c>
      <c r="N10000" s="27" t="s">
        <v>352</v>
      </c>
      <c r="P10000" s="27" t="s">
        <v>8869</v>
      </c>
      <c r="Q10000" s="26" t="str">
        <f>HYPERLINK("https://ictv.global/taxonomy/taxondetails?taxnode_id=202502366&amp;ictv_id=ICTV19710337","ICTV19710337")</f>
        <v>ICTV19710337</v>
      </c>
      <c r="R10000" t="s">
        <v>581</v>
      </c>
      <c r="S10000" t="s">
        <v>824</v>
      </c>
      <c r="T10000">
        <v>38</v>
      </c>
      <c r="U10000" s="26" t="str">
        <f t="shared" si="363"/>
        <v>2022.013P.Tymoviridae_rename.zip</v>
      </c>
    </row>
    <row r="10001" spans="1:21">
      <c r="A10001">
        <v>10000</v>
      </c>
      <c r="B10001" s="27" t="s">
        <v>1124</v>
      </c>
      <c r="D10001" s="27" t="s">
        <v>1859</v>
      </c>
      <c r="F10001" s="27" t="s">
        <v>1867</v>
      </c>
      <c r="H10001" s="27" t="s">
        <v>1868</v>
      </c>
      <c r="J10001" s="27" t="s">
        <v>290</v>
      </c>
      <c r="L10001" s="27" t="s">
        <v>320</v>
      </c>
      <c r="N10001" s="27" t="s">
        <v>352</v>
      </c>
      <c r="P10001" s="27" t="s">
        <v>8870</v>
      </c>
      <c r="Q10001" s="26" t="str">
        <f>HYPERLINK("https://ictv.global/taxonomy/taxondetails?taxnode_id=202502369&amp;ictv_id=ICTV19982732","ICTV19982732")</f>
        <v>ICTV19982732</v>
      </c>
      <c r="R10001" t="s">
        <v>581</v>
      </c>
      <c r="S10001" t="s">
        <v>824</v>
      </c>
      <c r="T10001">
        <v>38</v>
      </c>
      <c r="U10001" s="26" t="str">
        <f t="shared" si="363"/>
        <v>2022.013P.Tymoviridae_rename.zip</v>
      </c>
    </row>
    <row r="10002" spans="1:21">
      <c r="A10002">
        <v>10001</v>
      </c>
      <c r="B10002" s="27" t="s">
        <v>1124</v>
      </c>
      <c r="D10002" s="27" t="s">
        <v>1859</v>
      </c>
      <c r="F10002" s="27" t="s">
        <v>1867</v>
      </c>
      <c r="H10002" s="27" t="s">
        <v>1868</v>
      </c>
      <c r="J10002" s="27" t="s">
        <v>290</v>
      </c>
      <c r="L10002" s="27" t="s">
        <v>320</v>
      </c>
      <c r="N10002" s="27" t="s">
        <v>352</v>
      </c>
      <c r="P10002" s="27" t="s">
        <v>8871</v>
      </c>
      <c r="Q10002" s="26" t="str">
        <f>HYPERLINK("https://ictv.global/taxonomy/taxondetails?taxnode_id=202502357&amp;ictv_id=ICTV20130991","ICTV20130991")</f>
        <v>ICTV20130991</v>
      </c>
      <c r="R10002" t="s">
        <v>581</v>
      </c>
      <c r="S10002" t="s">
        <v>824</v>
      </c>
      <c r="T10002">
        <v>38</v>
      </c>
      <c r="U10002" s="26" t="str">
        <f t="shared" si="363"/>
        <v>2022.013P.Tymoviridae_rename.zip</v>
      </c>
    </row>
    <row r="10003" spans="1:21">
      <c r="A10003">
        <v>10002</v>
      </c>
      <c r="B10003" s="27" t="s">
        <v>1124</v>
      </c>
      <c r="D10003" s="27" t="s">
        <v>1859</v>
      </c>
      <c r="F10003" s="27" t="s">
        <v>1867</v>
      </c>
      <c r="H10003" s="27" t="s">
        <v>1868</v>
      </c>
      <c r="J10003" s="27" t="s">
        <v>290</v>
      </c>
      <c r="L10003" s="27" t="s">
        <v>320</v>
      </c>
      <c r="N10003" s="27" t="s">
        <v>352</v>
      </c>
      <c r="P10003" s="27" t="s">
        <v>8872</v>
      </c>
      <c r="Q10003" s="26" t="str">
        <f>HYPERLINK("https://ictv.global/taxonomy/taxondetails?taxnode_id=202515116&amp;ictv_id=ICTV202215116","ICTV202215116")</f>
        <v>ICTV202215116</v>
      </c>
      <c r="R10003" t="s">
        <v>581</v>
      </c>
      <c r="S10003" t="s">
        <v>823</v>
      </c>
      <c r="T10003">
        <v>38</v>
      </c>
      <c r="U10003" s="26" t="str">
        <f>HYPERLINK("https://ictv.global/ictv/proposals/2022.012P.Tymoviridae_3nsp.zip","2022.012P.Tymoviridae_3nsp.zip")</f>
        <v>2022.012P.Tymoviridae_3nsp.zip</v>
      </c>
    </row>
    <row r="10004" spans="1:21">
      <c r="A10004">
        <v>10003</v>
      </c>
      <c r="B10004" s="27" t="s">
        <v>1124</v>
      </c>
      <c r="D10004" s="27" t="s">
        <v>1859</v>
      </c>
      <c r="F10004" s="27" t="s">
        <v>1867</v>
      </c>
      <c r="H10004" s="27" t="s">
        <v>1868</v>
      </c>
      <c r="J10004" s="27" t="s">
        <v>290</v>
      </c>
      <c r="L10004" s="27" t="s">
        <v>320</v>
      </c>
      <c r="N10004" s="27" t="s">
        <v>352</v>
      </c>
      <c r="P10004" s="27" t="s">
        <v>8873</v>
      </c>
      <c r="Q10004" s="26" t="str">
        <f>HYPERLINK("https://ictv.global/taxonomy/taxondetails?taxnode_id=202502370&amp;ictv_id=ICTV20084990","ICTV20084990")</f>
        <v>ICTV20084990</v>
      </c>
      <c r="R10004" t="s">
        <v>581</v>
      </c>
      <c r="S10004" t="s">
        <v>824</v>
      </c>
      <c r="T10004">
        <v>38</v>
      </c>
      <c r="U10004" s="26" t="str">
        <f t="shared" ref="U10004:U10009" si="364">HYPERLINK("https://ictv.global/ictv/proposals/2022.013P.Tymoviridae_rename.zip","2022.013P.Tymoviridae_rename.zip")</f>
        <v>2022.013P.Tymoviridae_rename.zip</v>
      </c>
    </row>
    <row r="10005" spans="1:21">
      <c r="A10005">
        <v>10004</v>
      </c>
      <c r="B10005" s="27" t="s">
        <v>1124</v>
      </c>
      <c r="D10005" s="27" t="s">
        <v>1859</v>
      </c>
      <c r="F10005" s="27" t="s">
        <v>1867</v>
      </c>
      <c r="H10005" s="27" t="s">
        <v>1868</v>
      </c>
      <c r="J10005" s="27" t="s">
        <v>290</v>
      </c>
      <c r="L10005" s="27" t="s">
        <v>320</v>
      </c>
      <c r="N10005" s="27" t="s">
        <v>352</v>
      </c>
      <c r="P10005" s="27" t="s">
        <v>8874</v>
      </c>
      <c r="Q10005" s="26" t="str">
        <f>HYPERLINK("https://ictv.global/taxonomy/taxondetails?taxnode_id=202502372&amp;ictv_id=ICTV19991908","ICTV19991908")</f>
        <v>ICTV19991908</v>
      </c>
      <c r="R10005" t="s">
        <v>581</v>
      </c>
      <c r="S10005" t="s">
        <v>824</v>
      </c>
      <c r="T10005">
        <v>38</v>
      </c>
      <c r="U10005" s="26" t="str">
        <f t="shared" si="364"/>
        <v>2022.013P.Tymoviridae_rename.zip</v>
      </c>
    </row>
    <row r="10006" spans="1:21">
      <c r="A10006">
        <v>10005</v>
      </c>
      <c r="B10006" s="27" t="s">
        <v>1124</v>
      </c>
      <c r="D10006" s="27" t="s">
        <v>1859</v>
      </c>
      <c r="F10006" s="27" t="s">
        <v>1867</v>
      </c>
      <c r="H10006" s="27" t="s">
        <v>1868</v>
      </c>
      <c r="J10006" s="27" t="s">
        <v>290</v>
      </c>
      <c r="L10006" s="27" t="s">
        <v>320</v>
      </c>
      <c r="N10006" s="27" t="s">
        <v>352</v>
      </c>
      <c r="P10006" s="27" t="s">
        <v>8875</v>
      </c>
      <c r="Q10006" s="26" t="str">
        <f>HYPERLINK("https://ictv.global/taxonomy/taxondetails?taxnode_id=202502373&amp;ictv_id=ICTV19911880","ICTV19911880")</f>
        <v>ICTV19911880</v>
      </c>
      <c r="R10006" t="s">
        <v>581</v>
      </c>
      <c r="S10006" t="s">
        <v>824</v>
      </c>
      <c r="T10006">
        <v>38</v>
      </c>
      <c r="U10006" s="26" t="str">
        <f t="shared" si="364"/>
        <v>2022.013P.Tymoviridae_rename.zip</v>
      </c>
    </row>
    <row r="10007" spans="1:21">
      <c r="A10007">
        <v>10006</v>
      </c>
      <c r="B10007" s="27" t="s">
        <v>1124</v>
      </c>
      <c r="D10007" s="27" t="s">
        <v>1859</v>
      </c>
      <c r="F10007" s="27" t="s">
        <v>1867</v>
      </c>
      <c r="H10007" s="27" t="s">
        <v>1868</v>
      </c>
      <c r="J10007" s="27" t="s">
        <v>290</v>
      </c>
      <c r="L10007" s="27" t="s">
        <v>320</v>
      </c>
      <c r="N10007" s="27" t="s">
        <v>352</v>
      </c>
      <c r="P10007" s="27" t="s">
        <v>8876</v>
      </c>
      <c r="Q10007" s="26" t="str">
        <f>HYPERLINK("https://ictv.global/taxonomy/taxondetails?taxnode_id=202502375&amp;ictv_id=ICTV20042191","ICTV20042191")</f>
        <v>ICTV20042191</v>
      </c>
      <c r="R10007" t="s">
        <v>581</v>
      </c>
      <c r="S10007" t="s">
        <v>824</v>
      </c>
      <c r="T10007">
        <v>38</v>
      </c>
      <c r="U10007" s="26" t="str">
        <f t="shared" si="364"/>
        <v>2022.013P.Tymoviridae_rename.zip</v>
      </c>
    </row>
    <row r="10008" spans="1:21">
      <c r="A10008">
        <v>10007</v>
      </c>
      <c r="B10008" s="27" t="s">
        <v>1124</v>
      </c>
      <c r="D10008" s="27" t="s">
        <v>1859</v>
      </c>
      <c r="F10008" s="27" t="s">
        <v>1867</v>
      </c>
      <c r="H10008" s="27" t="s">
        <v>1868</v>
      </c>
      <c r="J10008" s="27" t="s">
        <v>290</v>
      </c>
      <c r="L10008" s="27" t="s">
        <v>320</v>
      </c>
      <c r="N10008" s="27" t="s">
        <v>352</v>
      </c>
      <c r="P10008" s="27" t="s">
        <v>8877</v>
      </c>
      <c r="Q10008" s="26" t="str">
        <f>HYPERLINK("https://ictv.global/taxonomy/taxondetails?taxnode_id=202502376&amp;ictv_id=ICTV19760862","ICTV19760862")</f>
        <v>ICTV19760862</v>
      </c>
      <c r="R10008" t="s">
        <v>581</v>
      </c>
      <c r="S10008" t="s">
        <v>824</v>
      </c>
      <c r="T10008">
        <v>38</v>
      </c>
      <c r="U10008" s="26" t="str">
        <f t="shared" si="364"/>
        <v>2022.013P.Tymoviridae_rename.zip</v>
      </c>
    </row>
    <row r="10009" spans="1:21">
      <c r="A10009">
        <v>10008</v>
      </c>
      <c r="B10009" s="27" t="s">
        <v>1124</v>
      </c>
      <c r="D10009" s="27" t="s">
        <v>1859</v>
      </c>
      <c r="F10009" s="27" t="s">
        <v>1867</v>
      </c>
      <c r="H10009" s="27" t="s">
        <v>1868</v>
      </c>
      <c r="J10009" s="27" t="s">
        <v>290</v>
      </c>
      <c r="L10009" s="27" t="s">
        <v>320</v>
      </c>
      <c r="N10009" s="27" t="s">
        <v>352</v>
      </c>
      <c r="P10009" s="27" t="s">
        <v>8878</v>
      </c>
      <c r="Q10009" s="26" t="str">
        <f>HYPERLINK("https://ictv.global/taxonomy/taxondetails?taxnode_id=202502377&amp;ictv_id=ICTV19760863","ICTV19760863")</f>
        <v>ICTV19760863</v>
      </c>
      <c r="R10009" t="s">
        <v>581</v>
      </c>
      <c r="S10009" t="s">
        <v>824</v>
      </c>
      <c r="T10009">
        <v>38</v>
      </c>
      <c r="U10009" s="26" t="str">
        <f t="shared" si="364"/>
        <v>2022.013P.Tymoviridae_rename.zip</v>
      </c>
    </row>
    <row r="10010" spans="1:21">
      <c r="A10010">
        <v>10009</v>
      </c>
      <c r="B10010" s="27" t="s">
        <v>1124</v>
      </c>
      <c r="D10010" s="27" t="s">
        <v>1859</v>
      </c>
      <c r="F10010" s="27" t="s">
        <v>1867</v>
      </c>
      <c r="H10010" s="27" t="s">
        <v>1868</v>
      </c>
      <c r="J10010" s="27" t="s">
        <v>290</v>
      </c>
      <c r="L10010" s="27" t="s">
        <v>320</v>
      </c>
      <c r="N10010" s="27" t="s">
        <v>352</v>
      </c>
      <c r="P10010" s="27" t="s">
        <v>8879</v>
      </c>
      <c r="Q10010" s="26" t="str">
        <f>HYPERLINK("https://ictv.global/taxonomy/taxondetails?taxnode_id=202515117&amp;ictv_id=ICTV202215117","ICTV202215117")</f>
        <v>ICTV202215117</v>
      </c>
      <c r="R10010" t="s">
        <v>581</v>
      </c>
      <c r="S10010" t="s">
        <v>823</v>
      </c>
      <c r="T10010">
        <v>38</v>
      </c>
      <c r="U10010" s="26" t="str">
        <f>HYPERLINK("https://ictv.global/ictv/proposals/2022.012P.Tymoviridae_3nsp.zip","2022.012P.Tymoviridae_3nsp.zip")</f>
        <v>2022.012P.Tymoviridae_3nsp.zip</v>
      </c>
    </row>
    <row r="10011" spans="1:21">
      <c r="A10011">
        <v>10010</v>
      </c>
      <c r="B10011" s="27" t="s">
        <v>1124</v>
      </c>
      <c r="D10011" s="27" t="s">
        <v>1859</v>
      </c>
      <c r="F10011" s="27" t="s">
        <v>1867</v>
      </c>
      <c r="H10011" s="27" t="s">
        <v>1868</v>
      </c>
      <c r="J10011" s="27" t="s">
        <v>290</v>
      </c>
      <c r="L10011" s="27" t="s">
        <v>320</v>
      </c>
      <c r="N10011" s="27" t="s">
        <v>352</v>
      </c>
      <c r="P10011" s="27" t="s">
        <v>8880</v>
      </c>
      <c r="Q10011" s="26" t="str">
        <f>HYPERLINK("https://ictv.global/taxonomy/taxondetails?taxnode_id=202502378&amp;ictv_id=ICTV19952476","ICTV19952476")</f>
        <v>ICTV19952476</v>
      </c>
      <c r="R10011" t="s">
        <v>581</v>
      </c>
      <c r="S10011" t="s">
        <v>824</v>
      </c>
      <c r="T10011">
        <v>38</v>
      </c>
      <c r="U10011" s="26" t="str">
        <f>HYPERLINK("https://ictv.global/ictv/proposals/2022.013P.Tymoviridae_rename.zip","2022.013P.Tymoviridae_rename.zip")</f>
        <v>2022.013P.Tymoviridae_rename.zip</v>
      </c>
    </row>
    <row r="10012" spans="1:21">
      <c r="A10012">
        <v>10011</v>
      </c>
      <c r="B10012" s="27" t="s">
        <v>1124</v>
      </c>
      <c r="D10012" s="27" t="s">
        <v>1859</v>
      </c>
      <c r="F10012" s="27" t="s">
        <v>1867</v>
      </c>
      <c r="H10012" s="27" t="s">
        <v>1868</v>
      </c>
      <c r="J10012" s="27" t="s">
        <v>290</v>
      </c>
      <c r="L10012" s="27" t="s">
        <v>320</v>
      </c>
      <c r="N10012" s="27" t="s">
        <v>352</v>
      </c>
      <c r="P10012" s="27" t="s">
        <v>8881</v>
      </c>
      <c r="Q10012" s="26" t="str">
        <f>HYPERLINK("https://ictv.global/taxonomy/taxondetails?taxnode_id=202502359&amp;ictv_id=ICTV19710335","ICTV19710335")</f>
        <v>ICTV19710335</v>
      </c>
      <c r="R10012" t="s">
        <v>581</v>
      </c>
      <c r="S10012" t="s">
        <v>824</v>
      </c>
      <c r="T10012">
        <v>38</v>
      </c>
      <c r="U10012" s="26" t="str">
        <f>HYPERLINK("https://ictv.global/ictv/proposals/2022.013P.Tymoviridae_rename.zip","2022.013P.Tymoviridae_rename.zip")</f>
        <v>2022.013P.Tymoviridae_rename.zip</v>
      </c>
    </row>
    <row r="10013" spans="1:21">
      <c r="A10013">
        <v>10012</v>
      </c>
      <c r="B10013" s="27" t="s">
        <v>1124</v>
      </c>
      <c r="D10013" s="27" t="s">
        <v>1859</v>
      </c>
      <c r="F10013" s="27" t="s">
        <v>1867</v>
      </c>
      <c r="H10013" s="27" t="s">
        <v>1868</v>
      </c>
      <c r="J10013" s="27" t="s">
        <v>290</v>
      </c>
      <c r="L10013" s="27" t="s">
        <v>320</v>
      </c>
      <c r="N10013" s="27" t="s">
        <v>352</v>
      </c>
      <c r="P10013" s="27" t="s">
        <v>8882</v>
      </c>
      <c r="Q10013" s="26" t="str">
        <f>HYPERLINK("https://ictv.global/taxonomy/taxondetails?taxnode_id=202502381&amp;ictv_id=ICTV19911886","ICTV19911886")</f>
        <v>ICTV19911886</v>
      </c>
      <c r="R10013" t="s">
        <v>581</v>
      </c>
      <c r="S10013" t="s">
        <v>824</v>
      </c>
      <c r="T10013">
        <v>38</v>
      </c>
      <c r="U10013" s="26" t="str">
        <f>HYPERLINK("https://ictv.global/ictv/proposals/2022.013P.Tymoviridae_rename.zip","2022.013P.Tymoviridae_rename.zip")</f>
        <v>2022.013P.Tymoviridae_rename.zip</v>
      </c>
    </row>
    <row r="10014" spans="1:21">
      <c r="A10014">
        <v>10013</v>
      </c>
      <c r="B10014" s="27" t="s">
        <v>1124</v>
      </c>
      <c r="D10014" s="27" t="s">
        <v>1859</v>
      </c>
      <c r="F10014" s="27" t="s">
        <v>1867</v>
      </c>
      <c r="H10014" s="27" t="s">
        <v>1874</v>
      </c>
      <c r="J10014" s="27" t="s">
        <v>1875</v>
      </c>
      <c r="L10014" s="27" t="s">
        <v>282</v>
      </c>
      <c r="N10014" s="27" t="s">
        <v>21419</v>
      </c>
      <c r="P10014" s="27" t="s">
        <v>21420</v>
      </c>
      <c r="Q10014" s="26" t="str">
        <f>HYPERLINK("https://ictv.global/taxonomy/taxondetails?taxnode_id=202522301&amp;ictv_id=ICTV202522301","ICTV202522301")</f>
        <v>ICTV202522301</v>
      </c>
      <c r="R10014" t="s">
        <v>581</v>
      </c>
      <c r="S10014" t="s">
        <v>823</v>
      </c>
      <c r="T10014">
        <v>41</v>
      </c>
      <c r="U10014" s="26" t="str">
        <f t="shared" ref="U10014:U10046" si="365">HYPERLINK("https://ictv.global/ictv/proposals/2025.006S.Amarillovirales_3reorgfam.zip","2025.006S.Amarillovirales_3reorgfam.zip")</f>
        <v>2025.006S.Amarillovirales_3reorgfam.zip</v>
      </c>
    </row>
    <row r="10015" spans="1:21">
      <c r="A10015">
        <v>10014</v>
      </c>
      <c r="B10015" s="27" t="s">
        <v>1124</v>
      </c>
      <c r="D10015" s="27" t="s">
        <v>1859</v>
      </c>
      <c r="F10015" s="27" t="s">
        <v>1867</v>
      </c>
      <c r="H10015" s="27" t="s">
        <v>1874</v>
      </c>
      <c r="J10015" s="27" t="s">
        <v>1875</v>
      </c>
      <c r="L10015" s="27" t="s">
        <v>282</v>
      </c>
      <c r="N10015" s="27" t="s">
        <v>21417</v>
      </c>
      <c r="P10015" s="27" t="s">
        <v>21418</v>
      </c>
      <c r="Q10015" s="26" t="str">
        <f>HYPERLINK("https://ictv.global/taxonomy/taxondetails?taxnode_id=202522300&amp;ictv_id=ICTV202522300","ICTV202522300")</f>
        <v>ICTV202522300</v>
      </c>
      <c r="R10015" t="s">
        <v>581</v>
      </c>
      <c r="S10015" t="s">
        <v>823</v>
      </c>
      <c r="T10015">
        <v>41</v>
      </c>
      <c r="U10015" s="26" t="str">
        <f t="shared" si="365"/>
        <v>2025.006S.Amarillovirales_3reorgfam.zip</v>
      </c>
    </row>
    <row r="10016" spans="1:21">
      <c r="A10016">
        <v>10015</v>
      </c>
      <c r="B10016" s="27" t="s">
        <v>1124</v>
      </c>
      <c r="D10016" s="27" t="s">
        <v>1859</v>
      </c>
      <c r="F10016" s="27" t="s">
        <v>1867</v>
      </c>
      <c r="H10016" s="27" t="s">
        <v>1874</v>
      </c>
      <c r="J10016" s="27" t="s">
        <v>1875</v>
      </c>
      <c r="L10016" s="27" t="s">
        <v>282</v>
      </c>
      <c r="N10016" s="27" t="s">
        <v>8883</v>
      </c>
      <c r="O10016" s="27" t="s">
        <v>21413</v>
      </c>
      <c r="P10016" s="27" t="s">
        <v>21414</v>
      </c>
      <c r="Q10016" s="26" t="str">
        <f>HYPERLINK("https://ictv.global/taxonomy/taxondetails?taxnode_id=202522298&amp;ictv_id=ICTV202522298","ICTV202522298")</f>
        <v>ICTV202522298</v>
      </c>
      <c r="R10016" t="s">
        <v>581</v>
      </c>
      <c r="S10016" t="s">
        <v>823</v>
      </c>
      <c r="T10016">
        <v>41</v>
      </c>
      <c r="U10016" s="26" t="str">
        <f t="shared" si="365"/>
        <v>2025.006S.Amarillovirales_3reorgfam.zip</v>
      </c>
    </row>
    <row r="10017" spans="1:21">
      <c r="A10017">
        <v>10016</v>
      </c>
      <c r="B10017" s="27" t="s">
        <v>1124</v>
      </c>
      <c r="D10017" s="27" t="s">
        <v>1859</v>
      </c>
      <c r="F10017" s="27" t="s">
        <v>1867</v>
      </c>
      <c r="H10017" s="27" t="s">
        <v>1874</v>
      </c>
      <c r="J10017" s="27" t="s">
        <v>1875</v>
      </c>
      <c r="L10017" s="27" t="s">
        <v>282</v>
      </c>
      <c r="N10017" s="27" t="s">
        <v>8883</v>
      </c>
      <c r="O10017" s="27" t="s">
        <v>20783</v>
      </c>
      <c r="P10017" s="27" t="s">
        <v>8884</v>
      </c>
      <c r="Q10017" s="26" t="str">
        <f>HYPERLINK("https://ictv.global/taxonomy/taxondetails?taxnode_id=202503071&amp;ictv_id=ICTV19710089","ICTV19710089")</f>
        <v>ICTV19710089</v>
      </c>
      <c r="R10017" t="s">
        <v>581</v>
      </c>
      <c r="S10017" t="s">
        <v>22763</v>
      </c>
      <c r="T10017">
        <v>41</v>
      </c>
      <c r="U10017" s="26" t="str">
        <f t="shared" si="365"/>
        <v>2025.006S.Amarillovirales_3reorgfam.zip</v>
      </c>
    </row>
    <row r="10018" spans="1:21">
      <c r="A10018">
        <v>10017</v>
      </c>
      <c r="B10018" s="27" t="s">
        <v>1124</v>
      </c>
      <c r="D10018" s="27" t="s">
        <v>1859</v>
      </c>
      <c r="F10018" s="27" t="s">
        <v>1867</v>
      </c>
      <c r="H10018" s="27" t="s">
        <v>1874</v>
      </c>
      <c r="J10018" s="27" t="s">
        <v>1875</v>
      </c>
      <c r="L10018" s="27" t="s">
        <v>282</v>
      </c>
      <c r="N10018" s="27" t="s">
        <v>8883</v>
      </c>
      <c r="O10018" s="27" t="s">
        <v>20783</v>
      </c>
      <c r="P10018" s="27" t="s">
        <v>8885</v>
      </c>
      <c r="Q10018" s="26" t="str">
        <f>HYPERLINK("https://ictv.global/taxonomy/taxondetails?taxnode_id=202503072&amp;ictv_id=ICTV19990811","ICTV19990811")</f>
        <v>ICTV19990811</v>
      </c>
      <c r="R10018" t="s">
        <v>581</v>
      </c>
      <c r="S10018" t="s">
        <v>22763</v>
      </c>
      <c r="T10018">
        <v>41</v>
      </c>
      <c r="U10018" s="26" t="str">
        <f t="shared" si="365"/>
        <v>2025.006S.Amarillovirales_3reorgfam.zip</v>
      </c>
    </row>
    <row r="10019" spans="1:21">
      <c r="A10019">
        <v>10018</v>
      </c>
      <c r="B10019" s="27" t="s">
        <v>1124</v>
      </c>
      <c r="D10019" s="27" t="s">
        <v>1859</v>
      </c>
      <c r="F10019" s="27" t="s">
        <v>1867</v>
      </c>
      <c r="H10019" s="27" t="s">
        <v>1874</v>
      </c>
      <c r="J10019" s="27" t="s">
        <v>1875</v>
      </c>
      <c r="L10019" s="27" t="s">
        <v>282</v>
      </c>
      <c r="N10019" s="27" t="s">
        <v>8883</v>
      </c>
      <c r="O10019" s="27" t="s">
        <v>20783</v>
      </c>
      <c r="P10019" s="27" t="s">
        <v>8886</v>
      </c>
      <c r="Q10019" s="26" t="str">
        <f>HYPERLINK("https://ictv.global/taxonomy/taxondetails?taxnode_id=202503073&amp;ictv_id=ICTV19790887","ICTV19790887")</f>
        <v>ICTV19790887</v>
      </c>
      <c r="R10019" t="s">
        <v>581</v>
      </c>
      <c r="S10019" t="s">
        <v>22763</v>
      </c>
      <c r="T10019">
        <v>41</v>
      </c>
      <c r="U10019" s="26" t="str">
        <f t="shared" si="365"/>
        <v>2025.006S.Amarillovirales_3reorgfam.zip</v>
      </c>
    </row>
    <row r="10020" spans="1:21">
      <c r="A10020">
        <v>10019</v>
      </c>
      <c r="B10020" s="27" t="s">
        <v>1124</v>
      </c>
      <c r="D10020" s="27" t="s">
        <v>1859</v>
      </c>
      <c r="F10020" s="27" t="s">
        <v>1867</v>
      </c>
      <c r="H10020" s="27" t="s">
        <v>1874</v>
      </c>
      <c r="J10020" s="27" t="s">
        <v>1875</v>
      </c>
      <c r="L10020" s="27" t="s">
        <v>282</v>
      </c>
      <c r="N10020" s="27" t="s">
        <v>8883</v>
      </c>
      <c r="O10020" s="27" t="s">
        <v>20783</v>
      </c>
      <c r="P10020" s="27" t="s">
        <v>8887</v>
      </c>
      <c r="Q10020" s="26" t="str">
        <f>HYPERLINK("https://ictv.global/taxonomy/taxondetails?taxnode_id=202503074&amp;ictv_id=ICTV19710090","ICTV19710090")</f>
        <v>ICTV19710090</v>
      </c>
      <c r="R10020" t="s">
        <v>581</v>
      </c>
      <c r="S10020" t="s">
        <v>22763</v>
      </c>
      <c r="T10020">
        <v>41</v>
      </c>
      <c r="U10020" s="26" t="str">
        <f t="shared" si="365"/>
        <v>2025.006S.Amarillovirales_3reorgfam.zip</v>
      </c>
    </row>
    <row r="10021" spans="1:21">
      <c r="A10021">
        <v>10020</v>
      </c>
      <c r="B10021" s="27" t="s">
        <v>1124</v>
      </c>
      <c r="D10021" s="27" t="s">
        <v>1859</v>
      </c>
      <c r="F10021" s="27" t="s">
        <v>1867</v>
      </c>
      <c r="H10021" s="27" t="s">
        <v>1874</v>
      </c>
      <c r="J10021" s="27" t="s">
        <v>1875</v>
      </c>
      <c r="L10021" s="27" t="s">
        <v>282</v>
      </c>
      <c r="N10021" s="27" t="s">
        <v>8883</v>
      </c>
      <c r="O10021" s="27" t="s">
        <v>20783</v>
      </c>
      <c r="P10021" s="27" t="s">
        <v>8888</v>
      </c>
      <c r="Q10021" s="26" t="str">
        <f>HYPERLINK("https://ictv.global/taxonomy/taxondetails?taxnode_id=202503075&amp;ictv_id=ICTV19760589","ICTV19760589")</f>
        <v>ICTV19760589</v>
      </c>
      <c r="R10021" t="s">
        <v>581</v>
      </c>
      <c r="S10021" t="s">
        <v>22763</v>
      </c>
      <c r="T10021">
        <v>41</v>
      </c>
      <c r="U10021" s="26" t="str">
        <f t="shared" si="365"/>
        <v>2025.006S.Amarillovirales_3reorgfam.zip</v>
      </c>
    </row>
    <row r="10022" spans="1:21">
      <c r="A10022">
        <v>10021</v>
      </c>
      <c r="B10022" s="27" t="s">
        <v>1124</v>
      </c>
      <c r="D10022" s="27" t="s">
        <v>1859</v>
      </c>
      <c r="F10022" s="27" t="s">
        <v>1867</v>
      </c>
      <c r="H10022" s="27" t="s">
        <v>1874</v>
      </c>
      <c r="J10022" s="27" t="s">
        <v>1875</v>
      </c>
      <c r="L10022" s="27" t="s">
        <v>282</v>
      </c>
      <c r="N10022" s="27" t="s">
        <v>8883</v>
      </c>
      <c r="O10022" s="27" t="s">
        <v>20783</v>
      </c>
      <c r="P10022" s="27" t="s">
        <v>8889</v>
      </c>
      <c r="Q10022" s="26" t="str">
        <f>HYPERLINK("https://ictv.global/taxonomy/taxondetails?taxnode_id=202503105&amp;ictv_id=ICTV19760625","ICTV19760625")</f>
        <v>ICTV19760625</v>
      </c>
      <c r="R10022" t="s">
        <v>581</v>
      </c>
      <c r="S10022" t="s">
        <v>22763</v>
      </c>
      <c r="T10022">
        <v>41</v>
      </c>
      <c r="U10022" s="26" t="str">
        <f t="shared" si="365"/>
        <v>2025.006S.Amarillovirales_3reorgfam.zip</v>
      </c>
    </row>
    <row r="10023" spans="1:21">
      <c r="A10023">
        <v>10022</v>
      </c>
      <c r="B10023" s="27" t="s">
        <v>1124</v>
      </c>
      <c r="D10023" s="27" t="s">
        <v>1859</v>
      </c>
      <c r="F10023" s="27" t="s">
        <v>1867</v>
      </c>
      <c r="H10023" s="27" t="s">
        <v>1874</v>
      </c>
      <c r="J10023" s="27" t="s">
        <v>1875</v>
      </c>
      <c r="L10023" s="27" t="s">
        <v>282</v>
      </c>
      <c r="N10023" s="27" t="s">
        <v>8883</v>
      </c>
      <c r="O10023" s="27" t="s">
        <v>20783</v>
      </c>
      <c r="P10023" s="27" t="s">
        <v>8890</v>
      </c>
      <c r="Q10023" s="26" t="str">
        <f>HYPERLINK("https://ictv.global/taxonomy/taxondetails?taxnode_id=202503076&amp;ictv_id=ICTV19710091","ICTV19710091")</f>
        <v>ICTV19710091</v>
      </c>
      <c r="R10023" t="s">
        <v>581</v>
      </c>
      <c r="S10023" t="s">
        <v>22763</v>
      </c>
      <c r="T10023">
        <v>41</v>
      </c>
      <c r="U10023" s="26" t="str">
        <f t="shared" si="365"/>
        <v>2025.006S.Amarillovirales_3reorgfam.zip</v>
      </c>
    </row>
    <row r="10024" spans="1:21">
      <c r="A10024">
        <v>10023</v>
      </c>
      <c r="B10024" s="27" t="s">
        <v>1124</v>
      </c>
      <c r="D10024" s="27" t="s">
        <v>1859</v>
      </c>
      <c r="F10024" s="27" t="s">
        <v>1867</v>
      </c>
      <c r="H10024" s="27" t="s">
        <v>1874</v>
      </c>
      <c r="J10024" s="27" t="s">
        <v>1875</v>
      </c>
      <c r="L10024" s="27" t="s">
        <v>282</v>
      </c>
      <c r="N10024" s="27" t="s">
        <v>8883</v>
      </c>
      <c r="O10024" s="27" t="s">
        <v>20783</v>
      </c>
      <c r="P10024" s="27" t="s">
        <v>8891</v>
      </c>
      <c r="Q10024" s="26" t="str">
        <f>HYPERLINK("https://ictv.global/taxonomy/taxondetails?taxnode_id=202503077&amp;ictv_id=ICTV19990816","ICTV19990816")</f>
        <v>ICTV19990816</v>
      </c>
      <c r="R10024" t="s">
        <v>581</v>
      </c>
      <c r="S10024" t="s">
        <v>22763</v>
      </c>
      <c r="T10024">
        <v>41</v>
      </c>
      <c r="U10024" s="26" t="str">
        <f t="shared" si="365"/>
        <v>2025.006S.Amarillovirales_3reorgfam.zip</v>
      </c>
    </row>
    <row r="10025" spans="1:21">
      <c r="A10025">
        <v>10024</v>
      </c>
      <c r="B10025" s="27" t="s">
        <v>1124</v>
      </c>
      <c r="D10025" s="27" t="s">
        <v>1859</v>
      </c>
      <c r="F10025" s="27" t="s">
        <v>1867</v>
      </c>
      <c r="H10025" s="27" t="s">
        <v>1874</v>
      </c>
      <c r="J10025" s="27" t="s">
        <v>1875</v>
      </c>
      <c r="L10025" s="27" t="s">
        <v>282</v>
      </c>
      <c r="N10025" s="27" t="s">
        <v>8883</v>
      </c>
      <c r="O10025" s="27" t="s">
        <v>20783</v>
      </c>
      <c r="P10025" s="27" t="s">
        <v>8892</v>
      </c>
      <c r="Q10025" s="26" t="str">
        <f>HYPERLINK("https://ictv.global/taxonomy/taxondetails?taxnode_id=202503078&amp;ictv_id=ICTV19760592","ICTV19760592")</f>
        <v>ICTV19760592</v>
      </c>
      <c r="R10025" t="s">
        <v>581</v>
      </c>
      <c r="S10025" t="s">
        <v>22763</v>
      </c>
      <c r="T10025">
        <v>41</v>
      </c>
      <c r="U10025" s="26" t="str">
        <f t="shared" si="365"/>
        <v>2025.006S.Amarillovirales_3reorgfam.zip</v>
      </c>
    </row>
    <row r="10026" spans="1:21">
      <c r="A10026">
        <v>10025</v>
      </c>
      <c r="B10026" s="27" t="s">
        <v>1124</v>
      </c>
      <c r="D10026" s="27" t="s">
        <v>1859</v>
      </c>
      <c r="F10026" s="27" t="s">
        <v>1867</v>
      </c>
      <c r="H10026" s="27" t="s">
        <v>1874</v>
      </c>
      <c r="J10026" s="27" t="s">
        <v>1875</v>
      </c>
      <c r="L10026" s="27" t="s">
        <v>282</v>
      </c>
      <c r="N10026" s="27" t="s">
        <v>8883</v>
      </c>
      <c r="O10026" s="27" t="s">
        <v>20783</v>
      </c>
      <c r="P10026" s="27" t="s">
        <v>8893</v>
      </c>
      <c r="Q10026" s="26" t="str">
        <f>HYPERLINK("https://ictv.global/taxonomy/taxondetails?taxnode_id=202503079&amp;ictv_id=ICTV19710093","ICTV19710093")</f>
        <v>ICTV19710093</v>
      </c>
      <c r="R10026" t="s">
        <v>581</v>
      </c>
      <c r="S10026" t="s">
        <v>22763</v>
      </c>
      <c r="T10026">
        <v>41</v>
      </c>
      <c r="U10026" s="26" t="str">
        <f t="shared" si="365"/>
        <v>2025.006S.Amarillovirales_3reorgfam.zip</v>
      </c>
    </row>
    <row r="10027" spans="1:21">
      <c r="A10027">
        <v>10026</v>
      </c>
      <c r="B10027" s="27" t="s">
        <v>1124</v>
      </c>
      <c r="D10027" s="27" t="s">
        <v>1859</v>
      </c>
      <c r="F10027" s="27" t="s">
        <v>1867</v>
      </c>
      <c r="H10027" s="27" t="s">
        <v>1874</v>
      </c>
      <c r="J10027" s="27" t="s">
        <v>1875</v>
      </c>
      <c r="L10027" s="27" t="s">
        <v>282</v>
      </c>
      <c r="N10027" s="27" t="s">
        <v>8883</v>
      </c>
      <c r="O10027" s="27" t="s">
        <v>20783</v>
      </c>
      <c r="P10027" s="27" t="s">
        <v>8894</v>
      </c>
      <c r="Q10027" s="26" t="str">
        <f>HYPERLINK("https://ictv.global/taxonomy/taxondetails?taxnode_id=202503080&amp;ictv_id=ICTV19710094","ICTV19710094")</f>
        <v>ICTV19710094</v>
      </c>
      <c r="R10027" t="s">
        <v>581</v>
      </c>
      <c r="S10027" t="s">
        <v>22763</v>
      </c>
      <c r="T10027">
        <v>41</v>
      </c>
      <c r="U10027" s="26" t="str">
        <f t="shared" si="365"/>
        <v>2025.006S.Amarillovirales_3reorgfam.zip</v>
      </c>
    </row>
    <row r="10028" spans="1:21">
      <c r="A10028">
        <v>10027</v>
      </c>
      <c r="B10028" s="27" t="s">
        <v>1124</v>
      </c>
      <c r="D10028" s="27" t="s">
        <v>1859</v>
      </c>
      <c r="F10028" s="27" t="s">
        <v>1867</v>
      </c>
      <c r="H10028" s="27" t="s">
        <v>1874</v>
      </c>
      <c r="J10028" s="27" t="s">
        <v>1875</v>
      </c>
      <c r="L10028" s="27" t="s">
        <v>282</v>
      </c>
      <c r="N10028" s="27" t="s">
        <v>8883</v>
      </c>
      <c r="O10028" s="27" t="s">
        <v>20783</v>
      </c>
      <c r="P10028" s="27" t="s">
        <v>8895</v>
      </c>
      <c r="Q10028" s="26" t="str">
        <f>HYPERLINK("https://ictv.global/taxonomy/taxondetails?taxnode_id=202503081&amp;ictv_id=ICTV19990820","ICTV19990820")</f>
        <v>ICTV19990820</v>
      </c>
      <c r="R10028" t="s">
        <v>581</v>
      </c>
      <c r="S10028" t="s">
        <v>22763</v>
      </c>
      <c r="T10028">
        <v>41</v>
      </c>
      <c r="U10028" s="26" t="str">
        <f t="shared" si="365"/>
        <v>2025.006S.Amarillovirales_3reorgfam.zip</v>
      </c>
    </row>
    <row r="10029" spans="1:21">
      <c r="A10029">
        <v>10028</v>
      </c>
      <c r="B10029" s="27" t="s">
        <v>1124</v>
      </c>
      <c r="D10029" s="27" t="s">
        <v>1859</v>
      </c>
      <c r="F10029" s="27" t="s">
        <v>1867</v>
      </c>
      <c r="H10029" s="27" t="s">
        <v>1874</v>
      </c>
      <c r="J10029" s="27" t="s">
        <v>1875</v>
      </c>
      <c r="L10029" s="27" t="s">
        <v>282</v>
      </c>
      <c r="N10029" s="27" t="s">
        <v>8883</v>
      </c>
      <c r="O10029" s="27" t="s">
        <v>20783</v>
      </c>
      <c r="P10029" s="27" t="s">
        <v>8896</v>
      </c>
      <c r="Q10029" s="26" t="str">
        <f>HYPERLINK("https://ictv.global/taxonomy/taxondetails?taxnode_id=202503082&amp;ictv_id=ICTV19710099","ICTV19710099")</f>
        <v>ICTV19710099</v>
      </c>
      <c r="R10029" t="s">
        <v>581</v>
      </c>
      <c r="S10029" t="s">
        <v>22763</v>
      </c>
      <c r="T10029">
        <v>41</v>
      </c>
      <c r="U10029" s="26" t="str">
        <f t="shared" si="365"/>
        <v>2025.006S.Amarillovirales_3reorgfam.zip</v>
      </c>
    </row>
    <row r="10030" spans="1:21">
      <c r="A10030">
        <v>10029</v>
      </c>
      <c r="B10030" s="27" t="s">
        <v>1124</v>
      </c>
      <c r="D10030" s="27" t="s">
        <v>1859</v>
      </c>
      <c r="F10030" s="27" t="s">
        <v>1867</v>
      </c>
      <c r="H10030" s="27" t="s">
        <v>1874</v>
      </c>
      <c r="J10030" s="27" t="s">
        <v>1875</v>
      </c>
      <c r="L10030" s="27" t="s">
        <v>282</v>
      </c>
      <c r="N10030" s="27" t="s">
        <v>8883</v>
      </c>
      <c r="O10030" s="27" t="s">
        <v>20783</v>
      </c>
      <c r="P10030" s="27" t="s">
        <v>8897</v>
      </c>
      <c r="Q10030" s="26" t="str">
        <f>HYPERLINK("https://ictv.global/taxonomy/taxondetails?taxnode_id=202503083&amp;ictv_id=ICTV19710100","ICTV19710100")</f>
        <v>ICTV19710100</v>
      </c>
      <c r="R10030" t="s">
        <v>581</v>
      </c>
      <c r="S10030" t="s">
        <v>22763</v>
      </c>
      <c r="T10030">
        <v>41</v>
      </c>
      <c r="U10030" s="26" t="str">
        <f t="shared" si="365"/>
        <v>2025.006S.Amarillovirales_3reorgfam.zip</v>
      </c>
    </row>
    <row r="10031" spans="1:21">
      <c r="A10031">
        <v>10030</v>
      </c>
      <c r="B10031" s="27" t="s">
        <v>1124</v>
      </c>
      <c r="D10031" s="27" t="s">
        <v>1859</v>
      </c>
      <c r="F10031" s="27" t="s">
        <v>1867</v>
      </c>
      <c r="H10031" s="27" t="s">
        <v>1874</v>
      </c>
      <c r="J10031" s="27" t="s">
        <v>1875</v>
      </c>
      <c r="L10031" s="27" t="s">
        <v>282</v>
      </c>
      <c r="N10031" s="27" t="s">
        <v>8883</v>
      </c>
      <c r="O10031" s="27" t="s">
        <v>20783</v>
      </c>
      <c r="P10031" s="27" t="s">
        <v>8898</v>
      </c>
      <c r="Q10031" s="26" t="str">
        <f>HYPERLINK("https://ictv.global/taxonomy/taxondetails?taxnode_id=202503121&amp;ictv_id=ICTV19710125","ICTV19710125")</f>
        <v>ICTV19710125</v>
      </c>
      <c r="R10031" t="s">
        <v>581</v>
      </c>
      <c r="S10031" t="s">
        <v>22763</v>
      </c>
      <c r="T10031">
        <v>41</v>
      </c>
      <c r="U10031" s="26" t="str">
        <f t="shared" si="365"/>
        <v>2025.006S.Amarillovirales_3reorgfam.zip</v>
      </c>
    </row>
    <row r="10032" spans="1:21">
      <c r="A10032">
        <v>10031</v>
      </c>
      <c r="B10032" s="27" t="s">
        <v>1124</v>
      </c>
      <c r="D10032" s="27" t="s">
        <v>1859</v>
      </c>
      <c r="F10032" s="27" t="s">
        <v>1867</v>
      </c>
      <c r="H10032" s="27" t="s">
        <v>1874</v>
      </c>
      <c r="J10032" s="27" t="s">
        <v>1875</v>
      </c>
      <c r="L10032" s="27" t="s">
        <v>282</v>
      </c>
      <c r="N10032" s="27" t="s">
        <v>8883</v>
      </c>
      <c r="O10032" s="27" t="s">
        <v>20783</v>
      </c>
      <c r="P10032" s="27" t="s">
        <v>8899</v>
      </c>
      <c r="Q10032" s="26" t="str">
        <f>HYPERLINK("https://ictv.global/taxonomy/taxondetails?taxnode_id=202503084&amp;ictv_id=ICTV19990823","ICTV19990823")</f>
        <v>ICTV19990823</v>
      </c>
      <c r="R10032" t="s">
        <v>581</v>
      </c>
      <c r="S10032" t="s">
        <v>22763</v>
      </c>
      <c r="T10032">
        <v>41</v>
      </c>
      <c r="U10032" s="26" t="str">
        <f t="shared" si="365"/>
        <v>2025.006S.Amarillovirales_3reorgfam.zip</v>
      </c>
    </row>
    <row r="10033" spans="1:21">
      <c r="A10033">
        <v>10032</v>
      </c>
      <c r="B10033" s="27" t="s">
        <v>1124</v>
      </c>
      <c r="D10033" s="27" t="s">
        <v>1859</v>
      </c>
      <c r="F10033" s="27" t="s">
        <v>1867</v>
      </c>
      <c r="H10033" s="27" t="s">
        <v>1874</v>
      </c>
      <c r="J10033" s="27" t="s">
        <v>1875</v>
      </c>
      <c r="L10033" s="27" t="s">
        <v>282</v>
      </c>
      <c r="N10033" s="27" t="s">
        <v>8883</v>
      </c>
      <c r="O10033" s="27" t="s">
        <v>20783</v>
      </c>
      <c r="P10033" s="27" t="s">
        <v>8900</v>
      </c>
      <c r="Q10033" s="26" t="str">
        <f>HYPERLINK("https://ictv.global/taxonomy/taxondetails?taxnode_id=202503085&amp;ictv_id=ICTV19990824","ICTV19990824")</f>
        <v>ICTV19990824</v>
      </c>
      <c r="R10033" t="s">
        <v>581</v>
      </c>
      <c r="S10033" t="s">
        <v>22763</v>
      </c>
      <c r="T10033">
        <v>41</v>
      </c>
      <c r="U10033" s="26" t="str">
        <f t="shared" si="365"/>
        <v>2025.006S.Amarillovirales_3reorgfam.zip</v>
      </c>
    </row>
    <row r="10034" spans="1:21">
      <c r="A10034">
        <v>10033</v>
      </c>
      <c r="B10034" s="27" t="s">
        <v>1124</v>
      </c>
      <c r="D10034" s="27" t="s">
        <v>1859</v>
      </c>
      <c r="F10034" s="27" t="s">
        <v>1867</v>
      </c>
      <c r="H10034" s="27" t="s">
        <v>1874</v>
      </c>
      <c r="J10034" s="27" t="s">
        <v>1875</v>
      </c>
      <c r="L10034" s="27" t="s">
        <v>282</v>
      </c>
      <c r="N10034" s="27" t="s">
        <v>8883</v>
      </c>
      <c r="O10034" s="27" t="s">
        <v>20783</v>
      </c>
      <c r="P10034" s="27" t="s">
        <v>8901</v>
      </c>
      <c r="Q10034" s="26" t="str">
        <f>HYPERLINK("https://ictv.global/taxonomy/taxondetails?taxnode_id=202503086&amp;ictv_id=ICTV19710102","ICTV19710102")</f>
        <v>ICTV19710102</v>
      </c>
      <c r="R10034" t="s">
        <v>581</v>
      </c>
      <c r="S10034" t="s">
        <v>22763</v>
      </c>
      <c r="T10034">
        <v>41</v>
      </c>
      <c r="U10034" s="26" t="str">
        <f t="shared" si="365"/>
        <v>2025.006S.Amarillovirales_3reorgfam.zip</v>
      </c>
    </row>
    <row r="10035" spans="1:21">
      <c r="A10035">
        <v>10034</v>
      </c>
      <c r="B10035" s="27" t="s">
        <v>1124</v>
      </c>
      <c r="D10035" s="27" t="s">
        <v>1859</v>
      </c>
      <c r="F10035" s="27" t="s">
        <v>1867</v>
      </c>
      <c r="H10035" s="27" t="s">
        <v>1874</v>
      </c>
      <c r="J10035" s="27" t="s">
        <v>1875</v>
      </c>
      <c r="L10035" s="27" t="s">
        <v>282</v>
      </c>
      <c r="N10035" s="27" t="s">
        <v>8883</v>
      </c>
      <c r="O10035" s="27" t="s">
        <v>20783</v>
      </c>
      <c r="P10035" s="27" t="s">
        <v>8902</v>
      </c>
      <c r="Q10035" s="26" t="str">
        <f>HYPERLINK("https://ictv.global/taxonomy/taxondetails?taxnode_id=202503087&amp;ictv_id=ICTV19710103","ICTV19710103")</f>
        <v>ICTV19710103</v>
      </c>
      <c r="R10035" t="s">
        <v>581</v>
      </c>
      <c r="S10035" t="s">
        <v>22763</v>
      </c>
      <c r="T10035">
        <v>41</v>
      </c>
      <c r="U10035" s="26" t="str">
        <f t="shared" si="365"/>
        <v>2025.006S.Amarillovirales_3reorgfam.zip</v>
      </c>
    </row>
    <row r="10036" spans="1:21">
      <c r="A10036">
        <v>10035</v>
      </c>
      <c r="B10036" s="27" t="s">
        <v>1124</v>
      </c>
      <c r="D10036" s="27" t="s">
        <v>1859</v>
      </c>
      <c r="F10036" s="27" t="s">
        <v>1867</v>
      </c>
      <c r="H10036" s="27" t="s">
        <v>1874</v>
      </c>
      <c r="J10036" s="27" t="s">
        <v>1875</v>
      </c>
      <c r="L10036" s="27" t="s">
        <v>282</v>
      </c>
      <c r="N10036" s="27" t="s">
        <v>8883</v>
      </c>
      <c r="O10036" s="27" t="s">
        <v>20783</v>
      </c>
      <c r="P10036" s="27" t="s">
        <v>8903</v>
      </c>
      <c r="Q10036" s="26" t="str">
        <f>HYPERLINK("https://ictv.global/taxonomy/taxondetails?taxnode_id=202503088&amp;ictv_id=ICTV19990827","ICTV19990827")</f>
        <v>ICTV19990827</v>
      </c>
      <c r="R10036" t="s">
        <v>581</v>
      </c>
      <c r="S10036" t="s">
        <v>22763</v>
      </c>
      <c r="T10036">
        <v>41</v>
      </c>
      <c r="U10036" s="26" t="str">
        <f t="shared" si="365"/>
        <v>2025.006S.Amarillovirales_3reorgfam.zip</v>
      </c>
    </row>
    <row r="10037" spans="1:21">
      <c r="A10037">
        <v>10036</v>
      </c>
      <c r="B10037" s="27" t="s">
        <v>1124</v>
      </c>
      <c r="D10037" s="27" t="s">
        <v>1859</v>
      </c>
      <c r="F10037" s="27" t="s">
        <v>1867</v>
      </c>
      <c r="H10037" s="27" t="s">
        <v>1874</v>
      </c>
      <c r="J10037" s="27" t="s">
        <v>1875</v>
      </c>
      <c r="L10037" s="27" t="s">
        <v>282</v>
      </c>
      <c r="N10037" s="27" t="s">
        <v>8883</v>
      </c>
      <c r="O10037" s="27" t="s">
        <v>20783</v>
      </c>
      <c r="P10037" s="27" t="s">
        <v>8904</v>
      </c>
      <c r="Q10037" s="26" t="str">
        <f>HYPERLINK("https://ictv.global/taxonomy/taxondetails?taxnode_id=202503089&amp;ictv_id=ICTV19760607","ICTV19760607")</f>
        <v>ICTV19760607</v>
      </c>
      <c r="R10037" t="s">
        <v>581</v>
      </c>
      <c r="S10037" t="s">
        <v>22763</v>
      </c>
      <c r="T10037">
        <v>41</v>
      </c>
      <c r="U10037" s="26" t="str">
        <f t="shared" si="365"/>
        <v>2025.006S.Amarillovirales_3reorgfam.zip</v>
      </c>
    </row>
    <row r="10038" spans="1:21">
      <c r="A10038">
        <v>10037</v>
      </c>
      <c r="B10038" s="27" t="s">
        <v>1124</v>
      </c>
      <c r="D10038" s="27" t="s">
        <v>1859</v>
      </c>
      <c r="F10038" s="27" t="s">
        <v>1867</v>
      </c>
      <c r="H10038" s="27" t="s">
        <v>1874</v>
      </c>
      <c r="J10038" s="27" t="s">
        <v>1875</v>
      </c>
      <c r="L10038" s="27" t="s">
        <v>282</v>
      </c>
      <c r="N10038" s="27" t="s">
        <v>8883</v>
      </c>
      <c r="O10038" s="27" t="s">
        <v>20783</v>
      </c>
      <c r="P10038" s="27" t="s">
        <v>8905</v>
      </c>
      <c r="Q10038" s="26" t="str">
        <f>HYPERLINK("https://ictv.global/taxonomy/taxondetails?taxnode_id=202503090&amp;ictv_id=ICTV19990829","ICTV19990829")</f>
        <v>ICTV19990829</v>
      </c>
      <c r="R10038" t="s">
        <v>581</v>
      </c>
      <c r="S10038" t="s">
        <v>22763</v>
      </c>
      <c r="T10038">
        <v>41</v>
      </c>
      <c r="U10038" s="26" t="str">
        <f t="shared" si="365"/>
        <v>2025.006S.Amarillovirales_3reorgfam.zip</v>
      </c>
    </row>
    <row r="10039" spans="1:21">
      <c r="A10039">
        <v>10038</v>
      </c>
      <c r="B10039" s="27" t="s">
        <v>1124</v>
      </c>
      <c r="D10039" s="27" t="s">
        <v>1859</v>
      </c>
      <c r="F10039" s="27" t="s">
        <v>1867</v>
      </c>
      <c r="H10039" s="27" t="s">
        <v>1874</v>
      </c>
      <c r="J10039" s="27" t="s">
        <v>1875</v>
      </c>
      <c r="L10039" s="27" t="s">
        <v>282</v>
      </c>
      <c r="N10039" s="27" t="s">
        <v>8883</v>
      </c>
      <c r="O10039" s="27" t="s">
        <v>20783</v>
      </c>
      <c r="P10039" s="27" t="s">
        <v>8906</v>
      </c>
      <c r="Q10039" s="26" t="str">
        <f>HYPERLINK("https://ictv.global/taxonomy/taxondetails?taxnode_id=202503091&amp;ictv_id=ICTV19990830","ICTV19990830")</f>
        <v>ICTV19990830</v>
      </c>
      <c r="R10039" t="s">
        <v>581</v>
      </c>
      <c r="S10039" t="s">
        <v>22763</v>
      </c>
      <c r="T10039">
        <v>41</v>
      </c>
      <c r="U10039" s="26" t="str">
        <f t="shared" si="365"/>
        <v>2025.006S.Amarillovirales_3reorgfam.zip</v>
      </c>
    </row>
    <row r="10040" spans="1:21">
      <c r="A10040">
        <v>10039</v>
      </c>
      <c r="B10040" s="27" t="s">
        <v>1124</v>
      </c>
      <c r="D10040" s="27" t="s">
        <v>1859</v>
      </c>
      <c r="F10040" s="27" t="s">
        <v>1867</v>
      </c>
      <c r="H10040" s="27" t="s">
        <v>1874</v>
      </c>
      <c r="J10040" s="27" t="s">
        <v>1875</v>
      </c>
      <c r="L10040" s="27" t="s">
        <v>282</v>
      </c>
      <c r="N10040" s="27" t="s">
        <v>8883</v>
      </c>
      <c r="O10040" s="27" t="s">
        <v>20783</v>
      </c>
      <c r="P10040" s="27" t="s">
        <v>8907</v>
      </c>
      <c r="Q10040" s="26" t="str">
        <f>HYPERLINK("https://ictv.global/taxonomy/taxondetails?taxnode_id=202503092&amp;ictv_id=ICTV19990831","ICTV19990831")</f>
        <v>ICTV19990831</v>
      </c>
      <c r="R10040" t="s">
        <v>581</v>
      </c>
      <c r="S10040" t="s">
        <v>22763</v>
      </c>
      <c r="T10040">
        <v>41</v>
      </c>
      <c r="U10040" s="26" t="str">
        <f t="shared" si="365"/>
        <v>2025.006S.Amarillovirales_3reorgfam.zip</v>
      </c>
    </row>
    <row r="10041" spans="1:21">
      <c r="A10041">
        <v>10040</v>
      </c>
      <c r="B10041" s="27" t="s">
        <v>1124</v>
      </c>
      <c r="D10041" s="27" t="s">
        <v>1859</v>
      </c>
      <c r="F10041" s="27" t="s">
        <v>1867</v>
      </c>
      <c r="H10041" s="27" t="s">
        <v>1874</v>
      </c>
      <c r="J10041" s="27" t="s">
        <v>1875</v>
      </c>
      <c r="L10041" s="27" t="s">
        <v>282</v>
      </c>
      <c r="N10041" s="27" t="s">
        <v>8883</v>
      </c>
      <c r="O10041" s="27" t="s">
        <v>20783</v>
      </c>
      <c r="P10041" s="27" t="s">
        <v>8908</v>
      </c>
      <c r="Q10041" s="26" t="str">
        <f>HYPERLINK("https://ictv.global/taxonomy/taxondetails?taxnode_id=202503093&amp;ictv_id=ICTV19760611","ICTV19760611")</f>
        <v>ICTV19760611</v>
      </c>
      <c r="R10041" t="s">
        <v>581</v>
      </c>
      <c r="S10041" t="s">
        <v>22763</v>
      </c>
      <c r="T10041">
        <v>41</v>
      </c>
      <c r="U10041" s="26" t="str">
        <f t="shared" si="365"/>
        <v>2025.006S.Amarillovirales_3reorgfam.zip</v>
      </c>
    </row>
    <row r="10042" spans="1:21">
      <c r="A10042">
        <v>10041</v>
      </c>
      <c r="B10042" s="27" t="s">
        <v>1124</v>
      </c>
      <c r="D10042" s="27" t="s">
        <v>1859</v>
      </c>
      <c r="F10042" s="27" t="s">
        <v>1867</v>
      </c>
      <c r="H10042" s="27" t="s">
        <v>1874</v>
      </c>
      <c r="J10042" s="27" t="s">
        <v>1875</v>
      </c>
      <c r="L10042" s="27" t="s">
        <v>282</v>
      </c>
      <c r="N10042" s="27" t="s">
        <v>8883</v>
      </c>
      <c r="O10042" s="27" t="s">
        <v>20783</v>
      </c>
      <c r="P10042" s="27" t="s">
        <v>8909</v>
      </c>
      <c r="Q10042" s="26" t="str">
        <f>HYPERLINK("https://ictv.global/taxonomy/taxondetails?taxnode_id=202503094&amp;ictv_id=ICTV19710106","ICTV19710106")</f>
        <v>ICTV19710106</v>
      </c>
      <c r="R10042" t="s">
        <v>581</v>
      </c>
      <c r="S10042" t="s">
        <v>22763</v>
      </c>
      <c r="T10042">
        <v>41</v>
      </c>
      <c r="U10042" s="26" t="str">
        <f t="shared" si="365"/>
        <v>2025.006S.Amarillovirales_3reorgfam.zip</v>
      </c>
    </row>
    <row r="10043" spans="1:21">
      <c r="A10043">
        <v>10042</v>
      </c>
      <c r="B10043" s="27" t="s">
        <v>1124</v>
      </c>
      <c r="D10043" s="27" t="s">
        <v>1859</v>
      </c>
      <c r="F10043" s="27" t="s">
        <v>1867</v>
      </c>
      <c r="H10043" s="27" t="s">
        <v>1874</v>
      </c>
      <c r="J10043" s="27" t="s">
        <v>1875</v>
      </c>
      <c r="L10043" s="27" t="s">
        <v>282</v>
      </c>
      <c r="N10043" s="27" t="s">
        <v>8883</v>
      </c>
      <c r="O10043" s="27" t="s">
        <v>20783</v>
      </c>
      <c r="P10043" s="27" t="s">
        <v>8910</v>
      </c>
      <c r="Q10043" s="26" t="str">
        <f>HYPERLINK("https://ictv.global/taxonomy/taxondetails?taxnode_id=202503095&amp;ictv_id=ICTV19710107","ICTV19710107")</f>
        <v>ICTV19710107</v>
      </c>
      <c r="R10043" t="s">
        <v>581</v>
      </c>
      <c r="S10043" t="s">
        <v>22763</v>
      </c>
      <c r="T10043">
        <v>41</v>
      </c>
      <c r="U10043" s="26" t="str">
        <f t="shared" si="365"/>
        <v>2025.006S.Amarillovirales_3reorgfam.zip</v>
      </c>
    </row>
    <row r="10044" spans="1:21">
      <c r="A10044">
        <v>10043</v>
      </c>
      <c r="B10044" s="27" t="s">
        <v>1124</v>
      </c>
      <c r="D10044" s="27" t="s">
        <v>1859</v>
      </c>
      <c r="F10044" s="27" t="s">
        <v>1867</v>
      </c>
      <c r="H10044" s="27" t="s">
        <v>1874</v>
      </c>
      <c r="J10044" s="27" t="s">
        <v>1875</v>
      </c>
      <c r="L10044" s="27" t="s">
        <v>282</v>
      </c>
      <c r="N10044" s="27" t="s">
        <v>8883</v>
      </c>
      <c r="O10044" s="27" t="s">
        <v>20783</v>
      </c>
      <c r="P10044" s="27" t="s">
        <v>8911</v>
      </c>
      <c r="Q10044" s="26" t="str">
        <f>HYPERLINK("https://ictv.global/taxonomy/taxondetails?taxnode_id=202503112&amp;ictv_id=ICTV19710117","ICTV19710117")</f>
        <v>ICTV19710117</v>
      </c>
      <c r="R10044" t="s">
        <v>581</v>
      </c>
      <c r="S10044" t="s">
        <v>22763</v>
      </c>
      <c r="T10044">
        <v>41</v>
      </c>
      <c r="U10044" s="26" t="str">
        <f t="shared" si="365"/>
        <v>2025.006S.Amarillovirales_3reorgfam.zip</v>
      </c>
    </row>
    <row r="10045" spans="1:21">
      <c r="A10045">
        <v>10044</v>
      </c>
      <c r="B10045" s="27" t="s">
        <v>1124</v>
      </c>
      <c r="D10045" s="27" t="s">
        <v>1859</v>
      </c>
      <c r="F10045" s="27" t="s">
        <v>1867</v>
      </c>
      <c r="H10045" s="27" t="s">
        <v>1874</v>
      </c>
      <c r="J10045" s="27" t="s">
        <v>1875</v>
      </c>
      <c r="L10045" s="27" t="s">
        <v>282</v>
      </c>
      <c r="N10045" s="27" t="s">
        <v>8883</v>
      </c>
      <c r="O10045" s="27" t="s">
        <v>20783</v>
      </c>
      <c r="P10045" s="27" t="s">
        <v>8912</v>
      </c>
      <c r="Q10045" s="26" t="str">
        <f>HYPERLINK("https://ictv.global/taxonomy/taxondetails?taxnode_id=202503096&amp;ictv_id=ICTV19710108","ICTV19710108")</f>
        <v>ICTV19710108</v>
      </c>
      <c r="R10045" t="s">
        <v>581</v>
      </c>
      <c r="S10045" t="s">
        <v>22763</v>
      </c>
      <c r="T10045">
        <v>41</v>
      </c>
      <c r="U10045" s="26" t="str">
        <f t="shared" si="365"/>
        <v>2025.006S.Amarillovirales_3reorgfam.zip</v>
      </c>
    </row>
    <row r="10046" spans="1:21">
      <c r="A10046">
        <v>10045</v>
      </c>
      <c r="B10046" s="27" t="s">
        <v>1124</v>
      </c>
      <c r="D10046" s="27" t="s">
        <v>1859</v>
      </c>
      <c r="F10046" s="27" t="s">
        <v>1867</v>
      </c>
      <c r="H10046" s="27" t="s">
        <v>1874</v>
      </c>
      <c r="J10046" s="27" t="s">
        <v>1875</v>
      </c>
      <c r="L10046" s="27" t="s">
        <v>282</v>
      </c>
      <c r="N10046" s="27" t="s">
        <v>8883</v>
      </c>
      <c r="O10046" s="27" t="s">
        <v>20783</v>
      </c>
      <c r="P10046" s="27" t="s">
        <v>8913</v>
      </c>
      <c r="Q10046" s="26" t="str">
        <f>HYPERLINK("https://ictv.global/taxonomy/taxondetails?taxnode_id=202503097&amp;ictv_id=ICTV19910741","ICTV19910741")</f>
        <v>ICTV19910741</v>
      </c>
      <c r="R10046" t="s">
        <v>581</v>
      </c>
      <c r="S10046" t="s">
        <v>22763</v>
      </c>
      <c r="T10046">
        <v>41</v>
      </c>
      <c r="U10046" s="26" t="str">
        <f t="shared" si="365"/>
        <v>2025.006S.Amarillovirales_3reorgfam.zip</v>
      </c>
    </row>
    <row r="10047" spans="1:21">
      <c r="A10047">
        <v>10046</v>
      </c>
      <c r="B10047" s="27" t="s">
        <v>1124</v>
      </c>
      <c r="D10047" s="27" t="s">
        <v>1859</v>
      </c>
      <c r="F10047" s="27" t="s">
        <v>1867</v>
      </c>
      <c r="H10047" s="27" t="s">
        <v>1874</v>
      </c>
      <c r="J10047" s="27" t="s">
        <v>1875</v>
      </c>
      <c r="L10047" s="27" t="s">
        <v>282</v>
      </c>
      <c r="N10047" s="27" t="s">
        <v>8883</v>
      </c>
      <c r="O10047" s="27" t="s">
        <v>20783</v>
      </c>
      <c r="P10047" s="27" t="s">
        <v>22762</v>
      </c>
      <c r="Q10047" s="26" t="str">
        <f>HYPERLINK("https://ictv.global/taxonomy/taxondetails?taxnode_id=202523330&amp;ictv_id=ICTV202523330","ICTV202523330")</f>
        <v>ICTV202523330</v>
      </c>
      <c r="R10047" t="s">
        <v>581</v>
      </c>
      <c r="S10047" t="s">
        <v>22760</v>
      </c>
      <c r="T10047">
        <v>41</v>
      </c>
      <c r="U10047" s="26" t="str">
        <f>HYPERLINK("https://ictv.global/ictv/proposals/2025.007S.Orthoflavivirus_2nsp_1spren.zip","2025.007S.Orthoflavivirus_2nsp_1spren.zip")</f>
        <v>2025.007S.Orthoflavivirus_2nsp_1spren.zip</v>
      </c>
    </row>
    <row r="10048" spans="1:21">
      <c r="A10048">
        <v>10047</v>
      </c>
      <c r="B10048" s="27" t="s">
        <v>1124</v>
      </c>
      <c r="D10048" s="27" t="s">
        <v>1859</v>
      </c>
      <c r="F10048" s="27" t="s">
        <v>1867</v>
      </c>
      <c r="H10048" s="27" t="s">
        <v>1874</v>
      </c>
      <c r="J10048" s="27" t="s">
        <v>1875</v>
      </c>
      <c r="L10048" s="27" t="s">
        <v>282</v>
      </c>
      <c r="N10048" s="27" t="s">
        <v>8883</v>
      </c>
      <c r="O10048" s="27" t="s">
        <v>20783</v>
      </c>
      <c r="P10048" s="27" t="s">
        <v>8914</v>
      </c>
      <c r="Q10048" s="26" t="str">
        <f>HYPERLINK("https://ictv.global/taxonomy/taxondetails?taxnode_id=202503098&amp;ictv_id=ICTV19710109","ICTV19710109")</f>
        <v>ICTV19710109</v>
      </c>
      <c r="R10048" t="s">
        <v>581</v>
      </c>
      <c r="S10048" t="s">
        <v>22763</v>
      </c>
      <c r="T10048">
        <v>41</v>
      </c>
      <c r="U10048" s="26" t="str">
        <f>HYPERLINK("https://ictv.global/ictv/proposals/2025.006S.Amarillovirales_3reorgfam.zip","2025.006S.Amarillovirales_3reorgfam.zip")</f>
        <v>2025.006S.Amarillovirales_3reorgfam.zip</v>
      </c>
    </row>
    <row r="10049" spans="1:21">
      <c r="A10049">
        <v>10048</v>
      </c>
      <c r="B10049" s="27" t="s">
        <v>1124</v>
      </c>
      <c r="D10049" s="27" t="s">
        <v>1859</v>
      </c>
      <c r="F10049" s="27" t="s">
        <v>1867</v>
      </c>
      <c r="H10049" s="27" t="s">
        <v>1874</v>
      </c>
      <c r="J10049" s="27" t="s">
        <v>1875</v>
      </c>
      <c r="L10049" s="27" t="s">
        <v>282</v>
      </c>
      <c r="N10049" s="27" t="s">
        <v>8883</v>
      </c>
      <c r="O10049" s="27" t="s">
        <v>20783</v>
      </c>
      <c r="P10049" s="27" t="s">
        <v>8915</v>
      </c>
      <c r="Q10049" s="26" t="str">
        <f>HYPERLINK("https://ictv.global/taxonomy/taxondetails?taxnode_id=202503099&amp;ictv_id=ICTV19990838","ICTV19990838")</f>
        <v>ICTV19990838</v>
      </c>
      <c r="R10049" t="s">
        <v>581</v>
      </c>
      <c r="S10049" t="s">
        <v>22763</v>
      </c>
      <c r="T10049">
        <v>41</v>
      </c>
      <c r="U10049" s="26" t="str">
        <f>HYPERLINK("https://ictv.global/ictv/proposals/2025.006S.Amarillovirales_3reorgfam.zip","2025.006S.Amarillovirales_3reorgfam.zip")</f>
        <v>2025.006S.Amarillovirales_3reorgfam.zip</v>
      </c>
    </row>
    <row r="10050" spans="1:21">
      <c r="A10050">
        <v>10049</v>
      </c>
      <c r="B10050" s="27" t="s">
        <v>1124</v>
      </c>
      <c r="D10050" s="27" t="s">
        <v>1859</v>
      </c>
      <c r="F10050" s="27" t="s">
        <v>1867</v>
      </c>
      <c r="H10050" s="27" t="s">
        <v>1874</v>
      </c>
      <c r="J10050" s="27" t="s">
        <v>1875</v>
      </c>
      <c r="L10050" s="27" t="s">
        <v>282</v>
      </c>
      <c r="N10050" s="27" t="s">
        <v>8883</v>
      </c>
      <c r="O10050" s="27" t="s">
        <v>20783</v>
      </c>
      <c r="P10050" s="27" t="s">
        <v>8916</v>
      </c>
      <c r="Q10050" s="26" t="str">
        <f>HYPERLINK("https://ictv.global/taxonomy/taxondetails?taxnode_id=202503100&amp;ictv_id=ICTV19990839","ICTV19990839")</f>
        <v>ICTV19990839</v>
      </c>
      <c r="R10050" t="s">
        <v>581</v>
      </c>
      <c r="S10050" t="s">
        <v>22763</v>
      </c>
      <c r="T10050">
        <v>41</v>
      </c>
      <c r="U10050" s="26" t="str">
        <f>HYPERLINK("https://ictv.global/ictv/proposals/2025.006S.Amarillovirales_3reorgfam.zip","2025.006S.Amarillovirales_3reorgfam.zip")</f>
        <v>2025.006S.Amarillovirales_3reorgfam.zip</v>
      </c>
    </row>
    <row r="10051" spans="1:21">
      <c r="A10051">
        <v>10050</v>
      </c>
      <c r="B10051" s="27" t="s">
        <v>1124</v>
      </c>
      <c r="D10051" s="27" t="s">
        <v>1859</v>
      </c>
      <c r="F10051" s="27" t="s">
        <v>1867</v>
      </c>
      <c r="H10051" s="27" t="s">
        <v>1874</v>
      </c>
      <c r="J10051" s="27" t="s">
        <v>1875</v>
      </c>
      <c r="L10051" s="27" t="s">
        <v>282</v>
      </c>
      <c r="N10051" s="27" t="s">
        <v>8883</v>
      </c>
      <c r="O10051" s="27" t="s">
        <v>20783</v>
      </c>
      <c r="P10051" s="27" t="s">
        <v>22761</v>
      </c>
      <c r="Q10051" s="26" t="str">
        <f>HYPERLINK("https://ictv.global/taxonomy/taxondetails?taxnode_id=202523329&amp;ictv_id=ICTV202523329","ICTV202523329")</f>
        <v>ICTV202523329</v>
      </c>
      <c r="R10051" t="s">
        <v>581</v>
      </c>
      <c r="S10051" t="s">
        <v>22760</v>
      </c>
      <c r="T10051">
        <v>41</v>
      </c>
      <c r="U10051" s="26" t="str">
        <f>HYPERLINK("https://ictv.global/ictv/proposals/2025.007S.Orthoflavivirus_2nsp_1spren.zip","2025.007S.Orthoflavivirus_2nsp_1spren.zip")</f>
        <v>2025.007S.Orthoflavivirus_2nsp_1spren.zip</v>
      </c>
    </row>
    <row r="10052" spans="1:21">
      <c r="A10052">
        <v>10051</v>
      </c>
      <c r="B10052" s="27" t="s">
        <v>1124</v>
      </c>
      <c r="D10052" s="27" t="s">
        <v>1859</v>
      </c>
      <c r="F10052" s="27" t="s">
        <v>1867</v>
      </c>
      <c r="H10052" s="27" t="s">
        <v>1874</v>
      </c>
      <c r="J10052" s="27" t="s">
        <v>1875</v>
      </c>
      <c r="L10052" s="27" t="s">
        <v>282</v>
      </c>
      <c r="N10052" s="27" t="s">
        <v>8883</v>
      </c>
      <c r="O10052" s="27" t="s">
        <v>20783</v>
      </c>
      <c r="P10052" s="27" t="s">
        <v>8917</v>
      </c>
      <c r="Q10052" s="26" t="str">
        <f>HYPERLINK("https://ictv.global/taxonomy/taxondetails?taxnode_id=202503119&amp;ictv_id=ICTV19990858","ICTV19990858")</f>
        <v>ICTV19990858</v>
      </c>
      <c r="R10052" t="s">
        <v>581</v>
      </c>
      <c r="S10052" t="s">
        <v>22763</v>
      </c>
      <c r="T10052">
        <v>41</v>
      </c>
      <c r="U10052" s="26" t="str">
        <f t="shared" ref="U10052:U10070" si="366">HYPERLINK("https://ictv.global/ictv/proposals/2025.006S.Amarillovirales_3reorgfam.zip","2025.006S.Amarillovirales_3reorgfam.zip")</f>
        <v>2025.006S.Amarillovirales_3reorgfam.zip</v>
      </c>
    </row>
    <row r="10053" spans="1:21">
      <c r="A10053">
        <v>10052</v>
      </c>
      <c r="B10053" s="27" t="s">
        <v>1124</v>
      </c>
      <c r="D10053" s="27" t="s">
        <v>1859</v>
      </c>
      <c r="F10053" s="27" t="s">
        <v>1867</v>
      </c>
      <c r="H10053" s="27" t="s">
        <v>1874</v>
      </c>
      <c r="J10053" s="27" t="s">
        <v>1875</v>
      </c>
      <c r="L10053" s="27" t="s">
        <v>282</v>
      </c>
      <c r="N10053" s="27" t="s">
        <v>8883</v>
      </c>
      <c r="O10053" s="27" t="s">
        <v>20783</v>
      </c>
      <c r="P10053" s="27" t="s">
        <v>8918</v>
      </c>
      <c r="Q10053" s="26" t="str">
        <f>HYPERLINK("https://ictv.global/taxonomy/taxondetails?taxnode_id=202503101&amp;ictv_id=ICTV19710113","ICTV19710113")</f>
        <v>ICTV19710113</v>
      </c>
      <c r="R10053" t="s">
        <v>581</v>
      </c>
      <c r="S10053" t="s">
        <v>22763</v>
      </c>
      <c r="T10053">
        <v>41</v>
      </c>
      <c r="U10053" s="26" t="str">
        <f t="shared" si="366"/>
        <v>2025.006S.Amarillovirales_3reorgfam.zip</v>
      </c>
    </row>
    <row r="10054" spans="1:21">
      <c r="A10054">
        <v>10053</v>
      </c>
      <c r="B10054" s="27" t="s">
        <v>1124</v>
      </c>
      <c r="D10054" s="27" t="s">
        <v>1859</v>
      </c>
      <c r="F10054" s="27" t="s">
        <v>1867</v>
      </c>
      <c r="H10054" s="27" t="s">
        <v>1874</v>
      </c>
      <c r="J10054" s="27" t="s">
        <v>1875</v>
      </c>
      <c r="L10054" s="27" t="s">
        <v>282</v>
      </c>
      <c r="N10054" s="27" t="s">
        <v>8883</v>
      </c>
      <c r="O10054" s="27" t="s">
        <v>20783</v>
      </c>
      <c r="P10054" s="27" t="s">
        <v>8919</v>
      </c>
      <c r="Q10054" s="26" t="str">
        <f>HYPERLINK("https://ictv.global/taxonomy/taxondetails?taxnode_id=202503102&amp;ictv_id=ICTV19710114","ICTV19710114")</f>
        <v>ICTV19710114</v>
      </c>
      <c r="R10054" t="s">
        <v>581</v>
      </c>
      <c r="S10054" t="s">
        <v>22763</v>
      </c>
      <c r="T10054">
        <v>41</v>
      </c>
      <c r="U10054" s="26" t="str">
        <f t="shared" si="366"/>
        <v>2025.006S.Amarillovirales_3reorgfam.zip</v>
      </c>
    </row>
    <row r="10055" spans="1:21">
      <c r="A10055">
        <v>10054</v>
      </c>
      <c r="B10055" s="27" t="s">
        <v>1124</v>
      </c>
      <c r="D10055" s="27" t="s">
        <v>1859</v>
      </c>
      <c r="F10055" s="27" t="s">
        <v>1867</v>
      </c>
      <c r="H10055" s="27" t="s">
        <v>1874</v>
      </c>
      <c r="J10055" s="27" t="s">
        <v>1875</v>
      </c>
      <c r="L10055" s="27" t="s">
        <v>282</v>
      </c>
      <c r="N10055" s="27" t="s">
        <v>8883</v>
      </c>
      <c r="O10055" s="27" t="s">
        <v>20783</v>
      </c>
      <c r="P10055" s="27" t="s">
        <v>8920</v>
      </c>
      <c r="Q10055" s="26" t="str">
        <f>HYPERLINK("https://ictv.global/taxonomy/taxondetails?taxnode_id=202503109&amp;ictv_id=ICTV19910755","ICTV19910755")</f>
        <v>ICTV19910755</v>
      </c>
      <c r="R10055" t="s">
        <v>581</v>
      </c>
      <c r="S10055" t="s">
        <v>22763</v>
      </c>
      <c r="T10055">
        <v>41</v>
      </c>
      <c r="U10055" s="26" t="str">
        <f t="shared" si="366"/>
        <v>2025.006S.Amarillovirales_3reorgfam.zip</v>
      </c>
    </row>
    <row r="10056" spans="1:21">
      <c r="A10056">
        <v>10055</v>
      </c>
      <c r="B10056" s="27" t="s">
        <v>1124</v>
      </c>
      <c r="D10056" s="27" t="s">
        <v>1859</v>
      </c>
      <c r="F10056" s="27" t="s">
        <v>1867</v>
      </c>
      <c r="H10056" s="27" t="s">
        <v>1874</v>
      </c>
      <c r="J10056" s="27" t="s">
        <v>1875</v>
      </c>
      <c r="L10056" s="27" t="s">
        <v>282</v>
      </c>
      <c r="N10056" s="27" t="s">
        <v>8883</v>
      </c>
      <c r="O10056" s="27" t="s">
        <v>20783</v>
      </c>
      <c r="P10056" s="27" t="s">
        <v>8921</v>
      </c>
      <c r="Q10056" s="26" t="str">
        <f>HYPERLINK("https://ictv.global/taxonomy/taxondetails?taxnode_id=202503103&amp;ictv_id=ICTV19760623","ICTV19760623")</f>
        <v>ICTV19760623</v>
      </c>
      <c r="R10056" t="s">
        <v>581</v>
      </c>
      <c r="S10056" t="s">
        <v>22763</v>
      </c>
      <c r="T10056">
        <v>41</v>
      </c>
      <c r="U10056" s="26" t="str">
        <f t="shared" si="366"/>
        <v>2025.006S.Amarillovirales_3reorgfam.zip</v>
      </c>
    </row>
    <row r="10057" spans="1:21">
      <c r="A10057">
        <v>10056</v>
      </c>
      <c r="B10057" s="27" t="s">
        <v>1124</v>
      </c>
      <c r="D10057" s="27" t="s">
        <v>1859</v>
      </c>
      <c r="F10057" s="27" t="s">
        <v>1867</v>
      </c>
      <c r="H10057" s="27" t="s">
        <v>1874</v>
      </c>
      <c r="J10057" s="27" t="s">
        <v>1875</v>
      </c>
      <c r="L10057" s="27" t="s">
        <v>282</v>
      </c>
      <c r="N10057" s="27" t="s">
        <v>8883</v>
      </c>
      <c r="O10057" s="27" t="s">
        <v>20783</v>
      </c>
      <c r="P10057" s="27" t="s">
        <v>8922</v>
      </c>
      <c r="Q10057" s="26" t="str">
        <f>HYPERLINK("https://ictv.global/taxonomy/taxondetails?taxnode_id=202503104&amp;ictv_id=ICTV19710115","ICTV19710115")</f>
        <v>ICTV19710115</v>
      </c>
      <c r="R10057" t="s">
        <v>581</v>
      </c>
      <c r="S10057" t="s">
        <v>22763</v>
      </c>
      <c r="T10057">
        <v>41</v>
      </c>
      <c r="U10057" s="26" t="str">
        <f t="shared" si="366"/>
        <v>2025.006S.Amarillovirales_3reorgfam.zip</v>
      </c>
    </row>
    <row r="10058" spans="1:21">
      <c r="A10058">
        <v>10057</v>
      </c>
      <c r="B10058" s="27" t="s">
        <v>1124</v>
      </c>
      <c r="D10058" s="27" t="s">
        <v>1859</v>
      </c>
      <c r="F10058" s="27" t="s">
        <v>1867</v>
      </c>
      <c r="H10058" s="27" t="s">
        <v>1874</v>
      </c>
      <c r="J10058" s="27" t="s">
        <v>1875</v>
      </c>
      <c r="L10058" s="27" t="s">
        <v>282</v>
      </c>
      <c r="N10058" s="27" t="s">
        <v>8883</v>
      </c>
      <c r="O10058" s="27" t="s">
        <v>20783</v>
      </c>
      <c r="P10058" s="27" t="s">
        <v>8923</v>
      </c>
      <c r="Q10058" s="26" t="str">
        <f>HYPERLINK("https://ictv.global/taxonomy/taxondetails?taxnode_id=202503106&amp;ictv_id=ICTV19990845","ICTV19990845")</f>
        <v>ICTV19990845</v>
      </c>
      <c r="R10058" t="s">
        <v>581</v>
      </c>
      <c r="S10058" t="s">
        <v>22763</v>
      </c>
      <c r="T10058">
        <v>41</v>
      </c>
      <c r="U10058" s="26" t="str">
        <f t="shared" si="366"/>
        <v>2025.006S.Amarillovirales_3reorgfam.zip</v>
      </c>
    </row>
    <row r="10059" spans="1:21">
      <c r="A10059">
        <v>10058</v>
      </c>
      <c r="B10059" s="27" t="s">
        <v>1124</v>
      </c>
      <c r="D10059" s="27" t="s">
        <v>1859</v>
      </c>
      <c r="F10059" s="27" t="s">
        <v>1867</v>
      </c>
      <c r="H10059" s="27" t="s">
        <v>1874</v>
      </c>
      <c r="J10059" s="27" t="s">
        <v>1875</v>
      </c>
      <c r="L10059" s="27" t="s">
        <v>282</v>
      </c>
      <c r="N10059" s="27" t="s">
        <v>8883</v>
      </c>
      <c r="O10059" s="27" t="s">
        <v>20783</v>
      </c>
      <c r="P10059" s="27" t="s">
        <v>8924</v>
      </c>
      <c r="Q10059" s="26" t="str">
        <f>HYPERLINK("https://ictv.global/taxonomy/taxondetails?taxnode_id=202503107&amp;ictv_id=ICTV19760628","ICTV19760628")</f>
        <v>ICTV19760628</v>
      </c>
      <c r="R10059" t="s">
        <v>581</v>
      </c>
      <c r="S10059" t="s">
        <v>22763</v>
      </c>
      <c r="T10059">
        <v>41</v>
      </c>
      <c r="U10059" s="26" t="str">
        <f t="shared" si="366"/>
        <v>2025.006S.Amarillovirales_3reorgfam.zip</v>
      </c>
    </row>
    <row r="10060" spans="1:21">
      <c r="A10060">
        <v>10059</v>
      </c>
      <c r="B10060" s="27" t="s">
        <v>1124</v>
      </c>
      <c r="D10060" s="27" t="s">
        <v>1859</v>
      </c>
      <c r="F10060" s="27" t="s">
        <v>1867</v>
      </c>
      <c r="H10060" s="27" t="s">
        <v>1874</v>
      </c>
      <c r="J10060" s="27" t="s">
        <v>1875</v>
      </c>
      <c r="L10060" s="27" t="s">
        <v>282</v>
      </c>
      <c r="N10060" s="27" t="s">
        <v>8883</v>
      </c>
      <c r="O10060" s="27" t="s">
        <v>20783</v>
      </c>
      <c r="P10060" s="27" t="s">
        <v>8925</v>
      </c>
      <c r="Q10060" s="26" t="str">
        <f>HYPERLINK("https://ictv.global/taxonomy/taxondetails?taxnode_id=202503110&amp;ictv_id=ICTV19790927","ICTV19790927")</f>
        <v>ICTV19790927</v>
      </c>
      <c r="R10060" t="s">
        <v>581</v>
      </c>
      <c r="S10060" t="s">
        <v>22763</v>
      </c>
      <c r="T10060">
        <v>41</v>
      </c>
      <c r="U10060" s="26" t="str">
        <f t="shared" si="366"/>
        <v>2025.006S.Amarillovirales_3reorgfam.zip</v>
      </c>
    </row>
    <row r="10061" spans="1:21">
      <c r="A10061">
        <v>10060</v>
      </c>
      <c r="B10061" s="27" t="s">
        <v>1124</v>
      </c>
      <c r="D10061" s="27" t="s">
        <v>1859</v>
      </c>
      <c r="F10061" s="27" t="s">
        <v>1867</v>
      </c>
      <c r="H10061" s="27" t="s">
        <v>1874</v>
      </c>
      <c r="J10061" s="27" t="s">
        <v>1875</v>
      </c>
      <c r="L10061" s="27" t="s">
        <v>282</v>
      </c>
      <c r="N10061" s="27" t="s">
        <v>8883</v>
      </c>
      <c r="O10061" s="27" t="s">
        <v>20783</v>
      </c>
      <c r="P10061" s="27" t="s">
        <v>8926</v>
      </c>
      <c r="Q10061" s="26" t="str">
        <f>HYPERLINK("https://ictv.global/taxonomy/taxondetails?taxnode_id=202503111&amp;ictv_id=ICTV19990850","ICTV19990850")</f>
        <v>ICTV19990850</v>
      </c>
      <c r="R10061" t="s">
        <v>581</v>
      </c>
      <c r="S10061" t="s">
        <v>22763</v>
      </c>
      <c r="T10061">
        <v>41</v>
      </c>
      <c r="U10061" s="26" t="str">
        <f t="shared" si="366"/>
        <v>2025.006S.Amarillovirales_3reorgfam.zip</v>
      </c>
    </row>
    <row r="10062" spans="1:21">
      <c r="A10062">
        <v>10061</v>
      </c>
      <c r="B10062" s="27" t="s">
        <v>1124</v>
      </c>
      <c r="D10062" s="27" t="s">
        <v>1859</v>
      </c>
      <c r="F10062" s="27" t="s">
        <v>1867</v>
      </c>
      <c r="H10062" s="27" t="s">
        <v>1874</v>
      </c>
      <c r="J10062" s="27" t="s">
        <v>1875</v>
      </c>
      <c r="L10062" s="27" t="s">
        <v>282</v>
      </c>
      <c r="N10062" s="27" t="s">
        <v>8883</v>
      </c>
      <c r="O10062" s="27" t="s">
        <v>20783</v>
      </c>
      <c r="P10062" s="27" t="s">
        <v>8927</v>
      </c>
      <c r="Q10062" s="26" t="str">
        <f>HYPERLINK("https://ictv.global/taxonomy/taxondetails?taxnode_id=202503113&amp;ictv_id=ICTV19760634","ICTV19760634")</f>
        <v>ICTV19760634</v>
      </c>
      <c r="R10062" t="s">
        <v>581</v>
      </c>
      <c r="S10062" t="s">
        <v>22763</v>
      </c>
      <c r="T10062">
        <v>41</v>
      </c>
      <c r="U10062" s="26" t="str">
        <f t="shared" si="366"/>
        <v>2025.006S.Amarillovirales_3reorgfam.zip</v>
      </c>
    </row>
    <row r="10063" spans="1:21">
      <c r="A10063">
        <v>10062</v>
      </c>
      <c r="B10063" s="27" t="s">
        <v>1124</v>
      </c>
      <c r="D10063" s="27" t="s">
        <v>1859</v>
      </c>
      <c r="F10063" s="27" t="s">
        <v>1867</v>
      </c>
      <c r="H10063" s="27" t="s">
        <v>1874</v>
      </c>
      <c r="J10063" s="27" t="s">
        <v>1875</v>
      </c>
      <c r="L10063" s="27" t="s">
        <v>282</v>
      </c>
      <c r="N10063" s="27" t="s">
        <v>8883</v>
      </c>
      <c r="O10063" s="27" t="s">
        <v>20783</v>
      </c>
      <c r="P10063" s="27" t="s">
        <v>8928</v>
      </c>
      <c r="Q10063" s="26" t="str">
        <f>HYPERLINK("https://ictv.global/taxonomy/taxondetails?taxnode_id=202503115&amp;ictv_id=ICTV19760635","ICTV19760635")</f>
        <v>ICTV19760635</v>
      </c>
      <c r="R10063" t="s">
        <v>581</v>
      </c>
      <c r="S10063" t="s">
        <v>22763</v>
      </c>
      <c r="T10063">
        <v>41</v>
      </c>
      <c r="U10063" s="26" t="str">
        <f t="shared" si="366"/>
        <v>2025.006S.Amarillovirales_3reorgfam.zip</v>
      </c>
    </row>
    <row r="10064" spans="1:21">
      <c r="A10064">
        <v>10063</v>
      </c>
      <c r="B10064" s="27" t="s">
        <v>1124</v>
      </c>
      <c r="D10064" s="27" t="s">
        <v>1859</v>
      </c>
      <c r="F10064" s="27" t="s">
        <v>1867</v>
      </c>
      <c r="H10064" s="27" t="s">
        <v>1874</v>
      </c>
      <c r="J10064" s="27" t="s">
        <v>1875</v>
      </c>
      <c r="L10064" s="27" t="s">
        <v>282</v>
      </c>
      <c r="N10064" s="27" t="s">
        <v>8883</v>
      </c>
      <c r="O10064" s="27" t="s">
        <v>20783</v>
      </c>
      <c r="P10064" s="27" t="s">
        <v>8929</v>
      </c>
      <c r="Q10064" s="26" t="str">
        <f>HYPERLINK("https://ictv.global/taxonomy/taxondetails?taxnode_id=202503116&amp;ictv_id=ICTV19710120","ICTV19710120")</f>
        <v>ICTV19710120</v>
      </c>
      <c r="R10064" t="s">
        <v>581</v>
      </c>
      <c r="S10064" t="s">
        <v>22763</v>
      </c>
      <c r="T10064">
        <v>41</v>
      </c>
      <c r="U10064" s="26" t="str">
        <f t="shared" si="366"/>
        <v>2025.006S.Amarillovirales_3reorgfam.zip</v>
      </c>
    </row>
    <row r="10065" spans="1:21">
      <c r="A10065">
        <v>10064</v>
      </c>
      <c r="B10065" s="27" t="s">
        <v>1124</v>
      </c>
      <c r="D10065" s="27" t="s">
        <v>1859</v>
      </c>
      <c r="F10065" s="27" t="s">
        <v>1867</v>
      </c>
      <c r="H10065" s="27" t="s">
        <v>1874</v>
      </c>
      <c r="J10065" s="27" t="s">
        <v>1875</v>
      </c>
      <c r="L10065" s="27" t="s">
        <v>282</v>
      </c>
      <c r="N10065" s="27" t="s">
        <v>8883</v>
      </c>
      <c r="O10065" s="27" t="s">
        <v>20783</v>
      </c>
      <c r="P10065" s="27" t="s">
        <v>8930</v>
      </c>
      <c r="Q10065" s="26" t="str">
        <f>HYPERLINK("https://ictv.global/taxonomy/taxondetails?taxnode_id=202503117&amp;ictv_id=ICTV19710122","ICTV19710122")</f>
        <v>ICTV19710122</v>
      </c>
      <c r="R10065" t="s">
        <v>581</v>
      </c>
      <c r="S10065" t="s">
        <v>22763</v>
      </c>
      <c r="T10065">
        <v>41</v>
      </c>
      <c r="U10065" s="26" t="str">
        <f t="shared" si="366"/>
        <v>2025.006S.Amarillovirales_3reorgfam.zip</v>
      </c>
    </row>
    <row r="10066" spans="1:21">
      <c r="A10066">
        <v>10065</v>
      </c>
      <c r="B10066" s="27" t="s">
        <v>1124</v>
      </c>
      <c r="D10066" s="27" t="s">
        <v>1859</v>
      </c>
      <c r="F10066" s="27" t="s">
        <v>1867</v>
      </c>
      <c r="H10066" s="27" t="s">
        <v>1874</v>
      </c>
      <c r="J10066" s="27" t="s">
        <v>1875</v>
      </c>
      <c r="L10066" s="27" t="s">
        <v>282</v>
      </c>
      <c r="N10066" s="27" t="s">
        <v>8883</v>
      </c>
      <c r="O10066" s="27" t="s">
        <v>20783</v>
      </c>
      <c r="P10066" s="27" t="s">
        <v>8931</v>
      </c>
      <c r="Q10066" s="26" t="str">
        <f>HYPERLINK("https://ictv.global/taxonomy/taxondetails?taxnode_id=202503108&amp;ictv_id=ICTV19910756","ICTV19910756")</f>
        <v>ICTV19910756</v>
      </c>
      <c r="R10066" t="s">
        <v>581</v>
      </c>
      <c r="S10066" t="s">
        <v>22763</v>
      </c>
      <c r="T10066">
        <v>41</v>
      </c>
      <c r="U10066" s="26" t="str">
        <f t="shared" si="366"/>
        <v>2025.006S.Amarillovirales_3reorgfam.zip</v>
      </c>
    </row>
    <row r="10067" spans="1:21">
      <c r="A10067">
        <v>10066</v>
      </c>
      <c r="B10067" s="27" t="s">
        <v>1124</v>
      </c>
      <c r="D10067" s="27" t="s">
        <v>1859</v>
      </c>
      <c r="F10067" s="27" t="s">
        <v>1867</v>
      </c>
      <c r="H10067" s="27" t="s">
        <v>1874</v>
      </c>
      <c r="J10067" s="27" t="s">
        <v>1875</v>
      </c>
      <c r="L10067" s="27" t="s">
        <v>282</v>
      </c>
      <c r="N10067" s="27" t="s">
        <v>8883</v>
      </c>
      <c r="O10067" s="27" t="s">
        <v>20783</v>
      </c>
      <c r="P10067" s="27" t="s">
        <v>8932</v>
      </c>
      <c r="Q10067" s="26" t="str">
        <f>HYPERLINK("https://ictv.global/taxonomy/taxondetails?taxnode_id=202503118&amp;ictv_id=ICTV19990857","ICTV19990857")</f>
        <v>ICTV19990857</v>
      </c>
      <c r="R10067" t="s">
        <v>581</v>
      </c>
      <c r="S10067" t="s">
        <v>22763</v>
      </c>
      <c r="T10067">
        <v>41</v>
      </c>
      <c r="U10067" s="26" t="str">
        <f t="shared" si="366"/>
        <v>2025.006S.Amarillovirales_3reorgfam.zip</v>
      </c>
    </row>
    <row r="10068" spans="1:21">
      <c r="A10068">
        <v>10067</v>
      </c>
      <c r="B10068" s="27" t="s">
        <v>1124</v>
      </c>
      <c r="D10068" s="27" t="s">
        <v>1859</v>
      </c>
      <c r="F10068" s="27" t="s">
        <v>1867</v>
      </c>
      <c r="H10068" s="27" t="s">
        <v>1874</v>
      </c>
      <c r="J10068" s="27" t="s">
        <v>1875</v>
      </c>
      <c r="L10068" s="27" t="s">
        <v>282</v>
      </c>
      <c r="N10068" s="27" t="s">
        <v>8883</v>
      </c>
      <c r="O10068" s="27" t="s">
        <v>20783</v>
      </c>
      <c r="P10068" s="27" t="s">
        <v>8933</v>
      </c>
      <c r="Q10068" s="26" t="str">
        <f>HYPERLINK("https://ictv.global/taxonomy/taxondetails?taxnode_id=202503120&amp;ictv_id=ICTV19990859","ICTV19990859")</f>
        <v>ICTV19990859</v>
      </c>
      <c r="R10068" t="s">
        <v>581</v>
      </c>
      <c r="S10068" t="s">
        <v>22763</v>
      </c>
      <c r="T10068">
        <v>41</v>
      </c>
      <c r="U10068" s="26" t="str">
        <f t="shared" si="366"/>
        <v>2025.006S.Amarillovirales_3reorgfam.zip</v>
      </c>
    </row>
    <row r="10069" spans="1:21">
      <c r="A10069">
        <v>10068</v>
      </c>
      <c r="B10069" s="27" t="s">
        <v>1124</v>
      </c>
      <c r="D10069" s="27" t="s">
        <v>1859</v>
      </c>
      <c r="F10069" s="27" t="s">
        <v>1867</v>
      </c>
      <c r="H10069" s="27" t="s">
        <v>1874</v>
      </c>
      <c r="J10069" s="27" t="s">
        <v>1875</v>
      </c>
      <c r="L10069" s="27" t="s">
        <v>282</v>
      </c>
      <c r="N10069" s="27" t="s">
        <v>8883</v>
      </c>
      <c r="O10069" s="27" t="s">
        <v>20783</v>
      </c>
      <c r="P10069" s="27" t="s">
        <v>8934</v>
      </c>
      <c r="Q10069" s="26" t="str">
        <f>HYPERLINK("https://ictv.global/taxonomy/taxondetails?taxnode_id=202503122&amp;ictv_id=ICTV19910772","ICTV19910772")</f>
        <v>ICTV19910772</v>
      </c>
      <c r="R10069" t="s">
        <v>581</v>
      </c>
      <c r="S10069" t="s">
        <v>22763</v>
      </c>
      <c r="T10069">
        <v>41</v>
      </c>
      <c r="U10069" s="26" t="str">
        <f t="shared" si="366"/>
        <v>2025.006S.Amarillovirales_3reorgfam.zip</v>
      </c>
    </row>
    <row r="10070" spans="1:21">
      <c r="A10070">
        <v>10069</v>
      </c>
      <c r="B10070" s="27" t="s">
        <v>1124</v>
      </c>
      <c r="D10070" s="27" t="s">
        <v>1859</v>
      </c>
      <c r="F10070" s="27" t="s">
        <v>1867</v>
      </c>
      <c r="H10070" s="27" t="s">
        <v>1874</v>
      </c>
      <c r="J10070" s="27" t="s">
        <v>1875</v>
      </c>
      <c r="L10070" s="27" t="s">
        <v>282</v>
      </c>
      <c r="N10070" s="27" t="s">
        <v>8883</v>
      </c>
      <c r="O10070" s="27" t="s">
        <v>20783</v>
      </c>
      <c r="P10070" s="27" t="s">
        <v>8935</v>
      </c>
      <c r="Q10070" s="26" t="str">
        <f>HYPERLINK("https://ictv.global/taxonomy/taxondetails?taxnode_id=202503123&amp;ictv_id=ICTV19990862","ICTV19990862")</f>
        <v>ICTV19990862</v>
      </c>
      <c r="R10070" t="s">
        <v>581</v>
      </c>
      <c r="S10070" t="s">
        <v>22763</v>
      </c>
      <c r="T10070">
        <v>41</v>
      </c>
      <c r="U10070" s="26" t="str">
        <f t="shared" si="366"/>
        <v>2025.006S.Amarillovirales_3reorgfam.zip</v>
      </c>
    </row>
    <row r="10071" spans="1:21">
      <c r="A10071">
        <v>10070</v>
      </c>
      <c r="B10071" s="27" t="s">
        <v>1124</v>
      </c>
      <c r="D10071" s="27" t="s">
        <v>1859</v>
      </c>
      <c r="F10071" s="27" t="s">
        <v>1867</v>
      </c>
      <c r="H10071" s="27" t="s">
        <v>1874</v>
      </c>
      <c r="J10071" s="27" t="s">
        <v>1875</v>
      </c>
      <c r="L10071" s="27" t="s">
        <v>282</v>
      </c>
      <c r="N10071" s="27" t="s">
        <v>8883</v>
      </c>
      <c r="O10071" s="27" t="s">
        <v>20783</v>
      </c>
      <c r="P10071" s="27" t="s">
        <v>22759</v>
      </c>
      <c r="Q10071" s="26" t="str">
        <f>HYPERLINK("https://ictv.global/taxonomy/taxondetails?taxnode_id=202523328&amp;ictv_id=ICTV202523328","ICTV202523328")</f>
        <v>ICTV202523328</v>
      </c>
      <c r="R10071" t="s">
        <v>581</v>
      </c>
      <c r="S10071" t="s">
        <v>22760</v>
      </c>
      <c r="T10071">
        <v>41</v>
      </c>
      <c r="U10071" s="26" t="str">
        <f>HYPERLINK("https://ictv.global/ictv/proposals/2025.007S.Orthoflavivirus_2nsp_1spren.zip","2025.007S.Orthoflavivirus_2nsp_1spren.zip")</f>
        <v>2025.007S.Orthoflavivirus_2nsp_1spren.zip</v>
      </c>
    </row>
    <row r="10072" spans="1:21">
      <c r="A10072">
        <v>10071</v>
      </c>
      <c r="B10072" s="27" t="s">
        <v>1124</v>
      </c>
      <c r="D10072" s="27" t="s">
        <v>1859</v>
      </c>
      <c r="F10072" s="27" t="s">
        <v>1867</v>
      </c>
      <c r="H10072" s="27" t="s">
        <v>1874</v>
      </c>
      <c r="J10072" s="27" t="s">
        <v>1875</v>
      </c>
      <c r="L10072" s="27" t="s">
        <v>282</v>
      </c>
      <c r="N10072" s="27" t="s">
        <v>8883</v>
      </c>
      <c r="O10072" s="27" t="s">
        <v>21415</v>
      </c>
      <c r="P10072" s="27" t="s">
        <v>21416</v>
      </c>
      <c r="Q10072" s="26" t="str">
        <f>HYPERLINK("https://ictv.global/taxonomy/taxondetails?taxnode_id=202522299&amp;ictv_id=ICTV202522299","ICTV202522299")</f>
        <v>ICTV202522299</v>
      </c>
      <c r="R10072" t="s">
        <v>581</v>
      </c>
      <c r="S10072" t="s">
        <v>823</v>
      </c>
      <c r="T10072">
        <v>41</v>
      </c>
      <c r="U10072" s="26" t="str">
        <f t="shared" ref="U10072:U10103" si="367">HYPERLINK("https://ictv.global/ictv/proposals/2025.006S.Amarillovirales_3reorgfam.zip","2025.006S.Amarillovirales_3reorgfam.zip")</f>
        <v>2025.006S.Amarillovirales_3reorgfam.zip</v>
      </c>
    </row>
    <row r="10073" spans="1:21">
      <c r="A10073">
        <v>10072</v>
      </c>
      <c r="B10073" s="27" t="s">
        <v>1124</v>
      </c>
      <c r="D10073" s="27" t="s">
        <v>1859</v>
      </c>
      <c r="F10073" s="27" t="s">
        <v>1867</v>
      </c>
      <c r="H10073" s="27" t="s">
        <v>1874</v>
      </c>
      <c r="J10073" s="27" t="s">
        <v>1875</v>
      </c>
      <c r="L10073" s="27" t="s">
        <v>282</v>
      </c>
      <c r="N10073" s="27" t="s">
        <v>21421</v>
      </c>
      <c r="P10073" s="27" t="s">
        <v>21422</v>
      </c>
      <c r="Q10073" s="26" t="str">
        <f>HYPERLINK("https://ictv.global/taxonomy/taxondetails?taxnode_id=202522302&amp;ictv_id=ICTV202522302","ICTV202522302")</f>
        <v>ICTV202522302</v>
      </c>
      <c r="R10073" t="s">
        <v>581</v>
      </c>
      <c r="S10073" t="s">
        <v>823</v>
      </c>
      <c r="T10073">
        <v>41</v>
      </c>
      <c r="U10073" s="26" t="str">
        <f t="shared" si="367"/>
        <v>2025.006S.Amarillovirales_3reorgfam.zip</v>
      </c>
    </row>
    <row r="10074" spans="1:21">
      <c r="A10074">
        <v>10073</v>
      </c>
      <c r="B10074" s="27" t="s">
        <v>1124</v>
      </c>
      <c r="D10074" s="27" t="s">
        <v>1859</v>
      </c>
      <c r="F10074" s="27" t="s">
        <v>1867</v>
      </c>
      <c r="H10074" s="27" t="s">
        <v>1874</v>
      </c>
      <c r="J10074" s="27" t="s">
        <v>1875</v>
      </c>
      <c r="L10074" s="27" t="s">
        <v>282</v>
      </c>
      <c r="N10074" s="27" t="s">
        <v>21423</v>
      </c>
      <c r="P10074" s="27" t="s">
        <v>21424</v>
      </c>
      <c r="Q10074" s="26" t="str">
        <f>HYPERLINK("https://ictv.global/taxonomy/taxondetails?taxnode_id=202522303&amp;ictv_id=ICTV202522303","ICTV202522303")</f>
        <v>ICTV202522303</v>
      </c>
      <c r="R10074" t="s">
        <v>581</v>
      </c>
      <c r="S10074" t="s">
        <v>823</v>
      </c>
      <c r="T10074">
        <v>41</v>
      </c>
      <c r="U10074" s="26" t="str">
        <f t="shared" si="367"/>
        <v>2025.006S.Amarillovirales_3reorgfam.zip</v>
      </c>
    </row>
    <row r="10075" spans="1:21">
      <c r="A10075">
        <v>10074</v>
      </c>
      <c r="B10075" s="27" t="s">
        <v>1124</v>
      </c>
      <c r="D10075" s="27" t="s">
        <v>1859</v>
      </c>
      <c r="F10075" s="27" t="s">
        <v>1867</v>
      </c>
      <c r="H10075" s="27" t="s">
        <v>1874</v>
      </c>
      <c r="J10075" s="27" t="s">
        <v>1875</v>
      </c>
      <c r="L10075" s="27" t="s">
        <v>20784</v>
      </c>
      <c r="N10075" s="27" t="s">
        <v>20785</v>
      </c>
      <c r="P10075" s="27" t="s">
        <v>20799</v>
      </c>
      <c r="Q10075" s="26" t="str">
        <f>HYPERLINK("https://ictv.global/taxonomy/taxondetails?taxnode_id=202503138&amp;ictv_id=ICTV20165295","ICTV20165295")</f>
        <v>ICTV20165295</v>
      </c>
      <c r="R10075" t="s">
        <v>581</v>
      </c>
      <c r="S10075" t="s">
        <v>824</v>
      </c>
      <c r="T10075">
        <v>41</v>
      </c>
      <c r="U10075" s="26" t="str">
        <f t="shared" si="367"/>
        <v>2025.006S.Amarillovirales_3reorgfam.zip</v>
      </c>
    </row>
    <row r="10076" spans="1:21">
      <c r="A10076">
        <v>10075</v>
      </c>
      <c r="B10076" s="27" t="s">
        <v>1124</v>
      </c>
      <c r="D10076" s="27" t="s">
        <v>1859</v>
      </c>
      <c r="F10076" s="27" t="s">
        <v>1867</v>
      </c>
      <c r="H10076" s="27" t="s">
        <v>1874</v>
      </c>
      <c r="J10076" s="27" t="s">
        <v>1875</v>
      </c>
      <c r="L10076" s="27" t="s">
        <v>20784</v>
      </c>
      <c r="N10076" s="27" t="s">
        <v>20785</v>
      </c>
      <c r="P10076" s="27" t="s">
        <v>20789</v>
      </c>
      <c r="Q10076" s="26" t="str">
        <f>HYPERLINK("https://ictv.global/taxonomy/taxondetails?taxnode_id=202503128&amp;ictv_id=ICTV20165285","ICTV20165285")</f>
        <v>ICTV20165285</v>
      </c>
      <c r="R10076" t="s">
        <v>581</v>
      </c>
      <c r="S10076" t="s">
        <v>824</v>
      </c>
      <c r="T10076">
        <v>41</v>
      </c>
      <c r="U10076" s="26" t="str">
        <f t="shared" si="367"/>
        <v>2025.006S.Amarillovirales_3reorgfam.zip</v>
      </c>
    </row>
    <row r="10077" spans="1:21">
      <c r="A10077">
        <v>10076</v>
      </c>
      <c r="B10077" s="27" t="s">
        <v>1124</v>
      </c>
      <c r="D10077" s="27" t="s">
        <v>1859</v>
      </c>
      <c r="F10077" s="27" t="s">
        <v>1867</v>
      </c>
      <c r="H10077" s="27" t="s">
        <v>1874</v>
      </c>
      <c r="J10077" s="27" t="s">
        <v>1875</v>
      </c>
      <c r="L10077" s="27" t="s">
        <v>20784</v>
      </c>
      <c r="N10077" s="27" t="s">
        <v>20785</v>
      </c>
      <c r="P10077" s="27" t="s">
        <v>20786</v>
      </c>
      <c r="Q10077" s="26" t="str">
        <f>HYPERLINK("https://ictv.global/taxonomy/taxondetails?taxnode_id=202503125&amp;ictv_id=ICTV20165283","ICTV20165283")</f>
        <v>ICTV20165283</v>
      </c>
      <c r="R10077" t="s">
        <v>581</v>
      </c>
      <c r="S10077" t="s">
        <v>824</v>
      </c>
      <c r="T10077">
        <v>41</v>
      </c>
      <c r="U10077" s="26" t="str">
        <f t="shared" si="367"/>
        <v>2025.006S.Amarillovirales_3reorgfam.zip</v>
      </c>
    </row>
    <row r="10078" spans="1:21">
      <c r="A10078">
        <v>10077</v>
      </c>
      <c r="B10078" s="27" t="s">
        <v>1124</v>
      </c>
      <c r="D10078" s="27" t="s">
        <v>1859</v>
      </c>
      <c r="F10078" s="27" t="s">
        <v>1867</v>
      </c>
      <c r="H10078" s="27" t="s">
        <v>1874</v>
      </c>
      <c r="J10078" s="27" t="s">
        <v>1875</v>
      </c>
      <c r="L10078" s="27" t="s">
        <v>20784</v>
      </c>
      <c r="N10078" s="27" t="s">
        <v>20785</v>
      </c>
      <c r="P10078" s="27" t="s">
        <v>20795</v>
      </c>
      <c r="Q10078" s="26" t="str">
        <f>HYPERLINK("https://ictv.global/taxonomy/taxondetails?taxnode_id=202503134&amp;ictv_id=ICTV20165291","ICTV20165291")</f>
        <v>ICTV20165291</v>
      </c>
      <c r="R10078" t="s">
        <v>581</v>
      </c>
      <c r="S10078" t="s">
        <v>824</v>
      </c>
      <c r="T10078">
        <v>41</v>
      </c>
      <c r="U10078" s="26" t="str">
        <f t="shared" si="367"/>
        <v>2025.006S.Amarillovirales_3reorgfam.zip</v>
      </c>
    </row>
    <row r="10079" spans="1:21">
      <c r="A10079">
        <v>10078</v>
      </c>
      <c r="B10079" s="27" t="s">
        <v>1124</v>
      </c>
      <c r="D10079" s="27" t="s">
        <v>1859</v>
      </c>
      <c r="F10079" s="27" t="s">
        <v>1867</v>
      </c>
      <c r="H10079" s="27" t="s">
        <v>1874</v>
      </c>
      <c r="J10079" s="27" t="s">
        <v>1875</v>
      </c>
      <c r="L10079" s="27" t="s">
        <v>20784</v>
      </c>
      <c r="N10079" s="27" t="s">
        <v>20785</v>
      </c>
      <c r="P10079" s="27" t="s">
        <v>20788</v>
      </c>
      <c r="Q10079" s="26" t="str">
        <f>HYPERLINK("https://ictv.global/taxonomy/taxondetails?taxnode_id=202503127&amp;ictv_id=ICTV19910774","ICTV19910774")</f>
        <v>ICTV19910774</v>
      </c>
      <c r="R10079" t="s">
        <v>581</v>
      </c>
      <c r="S10079" t="s">
        <v>824</v>
      </c>
      <c r="T10079">
        <v>41</v>
      </c>
      <c r="U10079" s="26" t="str">
        <f t="shared" si="367"/>
        <v>2025.006S.Amarillovirales_3reorgfam.zip</v>
      </c>
    </row>
    <row r="10080" spans="1:21">
      <c r="A10080">
        <v>10079</v>
      </c>
      <c r="B10080" s="27" t="s">
        <v>1124</v>
      </c>
      <c r="D10080" s="27" t="s">
        <v>1859</v>
      </c>
      <c r="F10080" s="27" t="s">
        <v>1867</v>
      </c>
      <c r="H10080" s="27" t="s">
        <v>1874</v>
      </c>
      <c r="J10080" s="27" t="s">
        <v>1875</v>
      </c>
      <c r="L10080" s="27" t="s">
        <v>20784</v>
      </c>
      <c r="N10080" s="27" t="s">
        <v>20785</v>
      </c>
      <c r="P10080" s="27" t="s">
        <v>20796</v>
      </c>
      <c r="Q10080" s="26" t="str">
        <f>HYPERLINK("https://ictv.global/taxonomy/taxondetails?taxnode_id=202503135&amp;ictv_id=ICTV20165292","ICTV20165292")</f>
        <v>ICTV20165292</v>
      </c>
      <c r="R10080" t="s">
        <v>581</v>
      </c>
      <c r="S10080" t="s">
        <v>824</v>
      </c>
      <c r="T10080">
        <v>41</v>
      </c>
      <c r="U10080" s="26" t="str">
        <f t="shared" si="367"/>
        <v>2025.006S.Amarillovirales_3reorgfam.zip</v>
      </c>
    </row>
    <row r="10081" spans="1:21">
      <c r="A10081">
        <v>10080</v>
      </c>
      <c r="B10081" s="27" t="s">
        <v>1124</v>
      </c>
      <c r="D10081" s="27" t="s">
        <v>1859</v>
      </c>
      <c r="F10081" s="27" t="s">
        <v>1867</v>
      </c>
      <c r="H10081" s="27" t="s">
        <v>1874</v>
      </c>
      <c r="J10081" s="27" t="s">
        <v>1875</v>
      </c>
      <c r="L10081" s="27" t="s">
        <v>20784</v>
      </c>
      <c r="N10081" s="27" t="s">
        <v>20785</v>
      </c>
      <c r="P10081" s="27" t="s">
        <v>20791</v>
      </c>
      <c r="Q10081" s="26" t="str">
        <f>HYPERLINK("https://ictv.global/taxonomy/taxondetails?taxnode_id=202503130&amp;ictv_id=ICTV20165287","ICTV20165287")</f>
        <v>ICTV20165287</v>
      </c>
      <c r="R10081" t="s">
        <v>581</v>
      </c>
      <c r="S10081" t="s">
        <v>824</v>
      </c>
      <c r="T10081">
        <v>41</v>
      </c>
      <c r="U10081" s="26" t="str">
        <f t="shared" si="367"/>
        <v>2025.006S.Amarillovirales_3reorgfam.zip</v>
      </c>
    </row>
    <row r="10082" spans="1:21">
      <c r="A10082">
        <v>10081</v>
      </c>
      <c r="B10082" s="27" t="s">
        <v>1124</v>
      </c>
      <c r="D10082" s="27" t="s">
        <v>1859</v>
      </c>
      <c r="F10082" s="27" t="s">
        <v>1867</v>
      </c>
      <c r="H10082" s="27" t="s">
        <v>1874</v>
      </c>
      <c r="J10082" s="27" t="s">
        <v>1875</v>
      </c>
      <c r="L10082" s="27" t="s">
        <v>20784</v>
      </c>
      <c r="N10082" s="27" t="s">
        <v>20785</v>
      </c>
      <c r="P10082" s="27" t="s">
        <v>20793</v>
      </c>
      <c r="Q10082" s="26" t="str">
        <f>HYPERLINK("https://ictv.global/taxonomy/taxondetails?taxnode_id=202503132&amp;ictv_id=ICTV20165289","ICTV20165289")</f>
        <v>ICTV20165289</v>
      </c>
      <c r="R10082" t="s">
        <v>581</v>
      </c>
      <c r="S10082" t="s">
        <v>824</v>
      </c>
      <c r="T10082">
        <v>41</v>
      </c>
      <c r="U10082" s="26" t="str">
        <f t="shared" si="367"/>
        <v>2025.006S.Amarillovirales_3reorgfam.zip</v>
      </c>
    </row>
    <row r="10083" spans="1:21">
      <c r="A10083">
        <v>10082</v>
      </c>
      <c r="B10083" s="27" t="s">
        <v>1124</v>
      </c>
      <c r="D10083" s="27" t="s">
        <v>1859</v>
      </c>
      <c r="F10083" s="27" t="s">
        <v>1867</v>
      </c>
      <c r="H10083" s="27" t="s">
        <v>1874</v>
      </c>
      <c r="J10083" s="27" t="s">
        <v>1875</v>
      </c>
      <c r="L10083" s="27" t="s">
        <v>20784</v>
      </c>
      <c r="N10083" s="27" t="s">
        <v>20785</v>
      </c>
      <c r="P10083" s="27" t="s">
        <v>20798</v>
      </c>
      <c r="Q10083" s="26" t="str">
        <f>HYPERLINK("https://ictv.global/taxonomy/taxondetails?taxnode_id=202503137&amp;ictv_id=ICTV20165294","ICTV20165294")</f>
        <v>ICTV20165294</v>
      </c>
      <c r="R10083" t="s">
        <v>581</v>
      </c>
      <c r="S10083" t="s">
        <v>824</v>
      </c>
      <c r="T10083">
        <v>41</v>
      </c>
      <c r="U10083" s="26" t="str">
        <f t="shared" si="367"/>
        <v>2025.006S.Amarillovirales_3reorgfam.zip</v>
      </c>
    </row>
    <row r="10084" spans="1:21">
      <c r="A10084">
        <v>10083</v>
      </c>
      <c r="B10084" s="27" t="s">
        <v>1124</v>
      </c>
      <c r="D10084" s="27" t="s">
        <v>1859</v>
      </c>
      <c r="F10084" s="27" t="s">
        <v>1867</v>
      </c>
      <c r="H10084" s="27" t="s">
        <v>1874</v>
      </c>
      <c r="J10084" s="27" t="s">
        <v>1875</v>
      </c>
      <c r="L10084" s="27" t="s">
        <v>20784</v>
      </c>
      <c r="N10084" s="27" t="s">
        <v>20785</v>
      </c>
      <c r="P10084" s="27" t="s">
        <v>20790</v>
      </c>
      <c r="Q10084" s="26" t="str">
        <f>HYPERLINK("https://ictv.global/taxonomy/taxondetails?taxnode_id=202503129&amp;ictv_id=ICTV20165286","ICTV20165286")</f>
        <v>ICTV20165286</v>
      </c>
      <c r="R10084" t="s">
        <v>581</v>
      </c>
      <c r="S10084" t="s">
        <v>824</v>
      </c>
      <c r="T10084">
        <v>41</v>
      </c>
      <c r="U10084" s="26" t="str">
        <f t="shared" si="367"/>
        <v>2025.006S.Amarillovirales_3reorgfam.zip</v>
      </c>
    </row>
    <row r="10085" spans="1:21">
      <c r="A10085">
        <v>10084</v>
      </c>
      <c r="B10085" s="27" t="s">
        <v>1124</v>
      </c>
      <c r="D10085" s="27" t="s">
        <v>1859</v>
      </c>
      <c r="F10085" s="27" t="s">
        <v>1867</v>
      </c>
      <c r="H10085" s="27" t="s">
        <v>1874</v>
      </c>
      <c r="J10085" s="27" t="s">
        <v>1875</v>
      </c>
      <c r="L10085" s="27" t="s">
        <v>20784</v>
      </c>
      <c r="N10085" s="27" t="s">
        <v>20785</v>
      </c>
      <c r="P10085" s="27" t="s">
        <v>20787</v>
      </c>
      <c r="Q10085" s="26" t="str">
        <f>HYPERLINK("https://ictv.global/taxonomy/taxondetails?taxnode_id=202503126&amp;ictv_id=ICTV20165284","ICTV20165284")</f>
        <v>ICTV20165284</v>
      </c>
      <c r="R10085" t="s">
        <v>581</v>
      </c>
      <c r="S10085" t="s">
        <v>824</v>
      </c>
      <c r="T10085">
        <v>41</v>
      </c>
      <c r="U10085" s="26" t="str">
        <f t="shared" si="367"/>
        <v>2025.006S.Amarillovirales_3reorgfam.zip</v>
      </c>
    </row>
    <row r="10086" spans="1:21">
      <c r="A10086">
        <v>10085</v>
      </c>
      <c r="B10086" s="27" t="s">
        <v>1124</v>
      </c>
      <c r="D10086" s="27" t="s">
        <v>1859</v>
      </c>
      <c r="F10086" s="27" t="s">
        <v>1867</v>
      </c>
      <c r="H10086" s="27" t="s">
        <v>1874</v>
      </c>
      <c r="J10086" s="27" t="s">
        <v>1875</v>
      </c>
      <c r="L10086" s="27" t="s">
        <v>20784</v>
      </c>
      <c r="N10086" s="27" t="s">
        <v>20785</v>
      </c>
      <c r="P10086" s="27" t="s">
        <v>20792</v>
      </c>
      <c r="Q10086" s="26" t="str">
        <f>HYPERLINK("https://ictv.global/taxonomy/taxondetails?taxnode_id=202503131&amp;ictv_id=ICTV20165288","ICTV20165288")</f>
        <v>ICTV20165288</v>
      </c>
      <c r="R10086" t="s">
        <v>581</v>
      </c>
      <c r="S10086" t="s">
        <v>824</v>
      </c>
      <c r="T10086">
        <v>41</v>
      </c>
      <c r="U10086" s="26" t="str">
        <f t="shared" si="367"/>
        <v>2025.006S.Amarillovirales_3reorgfam.zip</v>
      </c>
    </row>
    <row r="10087" spans="1:21">
      <c r="A10087">
        <v>10086</v>
      </c>
      <c r="B10087" s="27" t="s">
        <v>1124</v>
      </c>
      <c r="D10087" s="27" t="s">
        <v>1859</v>
      </c>
      <c r="F10087" s="27" t="s">
        <v>1867</v>
      </c>
      <c r="H10087" s="27" t="s">
        <v>1874</v>
      </c>
      <c r="J10087" s="27" t="s">
        <v>1875</v>
      </c>
      <c r="L10087" s="27" t="s">
        <v>20784</v>
      </c>
      <c r="N10087" s="27" t="s">
        <v>20785</v>
      </c>
      <c r="P10087" s="27" t="s">
        <v>20794</v>
      </c>
      <c r="Q10087" s="26" t="str">
        <f>HYPERLINK("https://ictv.global/taxonomy/taxondetails?taxnode_id=202503133&amp;ictv_id=ICTV20165290","ICTV20165290")</f>
        <v>ICTV20165290</v>
      </c>
      <c r="R10087" t="s">
        <v>581</v>
      </c>
      <c r="S10087" t="s">
        <v>824</v>
      </c>
      <c r="T10087">
        <v>41</v>
      </c>
      <c r="U10087" s="26" t="str">
        <f t="shared" si="367"/>
        <v>2025.006S.Amarillovirales_3reorgfam.zip</v>
      </c>
    </row>
    <row r="10088" spans="1:21">
      <c r="A10088">
        <v>10087</v>
      </c>
      <c r="B10088" s="27" t="s">
        <v>1124</v>
      </c>
      <c r="D10088" s="27" t="s">
        <v>1859</v>
      </c>
      <c r="F10088" s="27" t="s">
        <v>1867</v>
      </c>
      <c r="H10088" s="27" t="s">
        <v>1874</v>
      </c>
      <c r="J10088" s="27" t="s">
        <v>1875</v>
      </c>
      <c r="L10088" s="27" t="s">
        <v>20784</v>
      </c>
      <c r="N10088" s="27" t="s">
        <v>20785</v>
      </c>
      <c r="P10088" s="27" t="s">
        <v>20797</v>
      </c>
      <c r="Q10088" s="26" t="str">
        <f>HYPERLINK("https://ictv.global/taxonomy/taxondetails?taxnode_id=202503136&amp;ictv_id=ICTV20165293","ICTV20165293")</f>
        <v>ICTV20165293</v>
      </c>
      <c r="R10088" t="s">
        <v>581</v>
      </c>
      <c r="S10088" t="s">
        <v>824</v>
      </c>
      <c r="T10088">
        <v>41</v>
      </c>
      <c r="U10088" s="26" t="str">
        <f t="shared" si="367"/>
        <v>2025.006S.Amarillovirales_3reorgfam.zip</v>
      </c>
    </row>
    <row r="10089" spans="1:21">
      <c r="A10089">
        <v>10088</v>
      </c>
      <c r="B10089" s="27" t="s">
        <v>1124</v>
      </c>
      <c r="D10089" s="27" t="s">
        <v>1859</v>
      </c>
      <c r="F10089" s="27" t="s">
        <v>1867</v>
      </c>
      <c r="H10089" s="27" t="s">
        <v>1874</v>
      </c>
      <c r="J10089" s="27" t="s">
        <v>1875</v>
      </c>
      <c r="L10089" s="27" t="s">
        <v>20784</v>
      </c>
      <c r="N10089" s="27" t="s">
        <v>479</v>
      </c>
      <c r="P10089" s="27" t="s">
        <v>8936</v>
      </c>
      <c r="Q10089" s="26" t="str">
        <f>HYPERLINK("https://ictv.global/taxonomy/taxondetails?taxnode_id=202503144&amp;ictv_id=ICTV20165298","ICTV20165298")</f>
        <v>ICTV20165298</v>
      </c>
      <c r="R10089" t="s">
        <v>581</v>
      </c>
      <c r="S10089" t="s">
        <v>22763</v>
      </c>
      <c r="T10089">
        <v>41</v>
      </c>
      <c r="U10089" s="26" t="str">
        <f t="shared" si="367"/>
        <v>2025.006S.Amarillovirales_3reorgfam.zip</v>
      </c>
    </row>
    <row r="10090" spans="1:21">
      <c r="A10090">
        <v>10089</v>
      </c>
      <c r="B10090" s="27" t="s">
        <v>1124</v>
      </c>
      <c r="D10090" s="27" t="s">
        <v>1859</v>
      </c>
      <c r="F10090" s="27" t="s">
        <v>1867</v>
      </c>
      <c r="H10090" s="27" t="s">
        <v>1874</v>
      </c>
      <c r="J10090" s="27" t="s">
        <v>1875</v>
      </c>
      <c r="L10090" s="27" t="s">
        <v>20784</v>
      </c>
      <c r="N10090" s="27" t="s">
        <v>479</v>
      </c>
      <c r="P10090" s="27" t="s">
        <v>8937</v>
      </c>
      <c r="Q10090" s="26" t="str">
        <f>HYPERLINK("https://ictv.global/taxonomy/taxondetails?taxnode_id=202503145&amp;ictv_id=ICTV20165299","ICTV20165299")</f>
        <v>ICTV20165299</v>
      </c>
      <c r="R10090" t="s">
        <v>581</v>
      </c>
      <c r="S10090" t="s">
        <v>22763</v>
      </c>
      <c r="T10090">
        <v>41</v>
      </c>
      <c r="U10090" s="26" t="str">
        <f t="shared" si="367"/>
        <v>2025.006S.Amarillovirales_3reorgfam.zip</v>
      </c>
    </row>
    <row r="10091" spans="1:21">
      <c r="A10091">
        <v>10090</v>
      </c>
      <c r="B10091" s="27" t="s">
        <v>1124</v>
      </c>
      <c r="D10091" s="27" t="s">
        <v>1859</v>
      </c>
      <c r="F10091" s="27" t="s">
        <v>1867</v>
      </c>
      <c r="H10091" s="27" t="s">
        <v>1874</v>
      </c>
      <c r="J10091" s="27" t="s">
        <v>1875</v>
      </c>
      <c r="L10091" s="27" t="s">
        <v>20784</v>
      </c>
      <c r="N10091" s="27" t="s">
        <v>479</v>
      </c>
      <c r="P10091" s="27" t="s">
        <v>8938</v>
      </c>
      <c r="Q10091" s="26" t="str">
        <f>HYPERLINK("https://ictv.global/taxonomy/taxondetails?taxnode_id=202503147&amp;ictv_id=ICTV20165301","ICTV20165301")</f>
        <v>ICTV20165301</v>
      </c>
      <c r="R10091" t="s">
        <v>581</v>
      </c>
      <c r="S10091" t="s">
        <v>22763</v>
      </c>
      <c r="T10091">
        <v>41</v>
      </c>
      <c r="U10091" s="26" t="str">
        <f t="shared" si="367"/>
        <v>2025.006S.Amarillovirales_3reorgfam.zip</v>
      </c>
    </row>
    <row r="10092" spans="1:21">
      <c r="A10092">
        <v>10091</v>
      </c>
      <c r="B10092" s="27" t="s">
        <v>1124</v>
      </c>
      <c r="D10092" s="27" t="s">
        <v>1859</v>
      </c>
      <c r="F10092" s="27" t="s">
        <v>1867</v>
      </c>
      <c r="H10092" s="27" t="s">
        <v>1874</v>
      </c>
      <c r="J10092" s="27" t="s">
        <v>1875</v>
      </c>
      <c r="L10092" s="27" t="s">
        <v>20784</v>
      </c>
      <c r="N10092" s="27" t="s">
        <v>479</v>
      </c>
      <c r="P10092" s="27" t="s">
        <v>8939</v>
      </c>
      <c r="Q10092" s="26" t="str">
        <f>HYPERLINK("https://ictv.global/taxonomy/taxondetails?taxnode_id=202503143&amp;ictv_id=ICTV20165297","ICTV20165297")</f>
        <v>ICTV20165297</v>
      </c>
      <c r="R10092" t="s">
        <v>581</v>
      </c>
      <c r="S10092" t="s">
        <v>22763</v>
      </c>
      <c r="T10092">
        <v>41</v>
      </c>
      <c r="U10092" s="26" t="str">
        <f t="shared" si="367"/>
        <v>2025.006S.Amarillovirales_3reorgfam.zip</v>
      </c>
    </row>
    <row r="10093" spans="1:21">
      <c r="A10093">
        <v>10092</v>
      </c>
      <c r="B10093" s="27" t="s">
        <v>1124</v>
      </c>
      <c r="D10093" s="27" t="s">
        <v>1859</v>
      </c>
      <c r="F10093" s="27" t="s">
        <v>1867</v>
      </c>
      <c r="H10093" s="27" t="s">
        <v>1874</v>
      </c>
      <c r="J10093" s="27" t="s">
        <v>1875</v>
      </c>
      <c r="L10093" s="27" t="s">
        <v>20784</v>
      </c>
      <c r="N10093" s="27" t="s">
        <v>479</v>
      </c>
      <c r="P10093" s="27" t="s">
        <v>8940</v>
      </c>
      <c r="Q10093" s="26" t="str">
        <f>HYPERLINK("https://ictv.global/taxonomy/taxondetails?taxnode_id=202503142&amp;ictv_id=ICTV20165296","ICTV20165296")</f>
        <v>ICTV20165296</v>
      </c>
      <c r="R10093" t="s">
        <v>581</v>
      </c>
      <c r="S10093" t="s">
        <v>22763</v>
      </c>
      <c r="T10093">
        <v>41</v>
      </c>
      <c r="U10093" s="26" t="str">
        <f t="shared" si="367"/>
        <v>2025.006S.Amarillovirales_3reorgfam.zip</v>
      </c>
    </row>
    <row r="10094" spans="1:21">
      <c r="A10094">
        <v>10093</v>
      </c>
      <c r="B10094" s="27" t="s">
        <v>1124</v>
      </c>
      <c r="D10094" s="27" t="s">
        <v>1859</v>
      </c>
      <c r="F10094" s="27" t="s">
        <v>1867</v>
      </c>
      <c r="H10094" s="27" t="s">
        <v>1874</v>
      </c>
      <c r="J10094" s="27" t="s">
        <v>1875</v>
      </c>
      <c r="L10094" s="27" t="s">
        <v>20784</v>
      </c>
      <c r="N10094" s="27" t="s">
        <v>479</v>
      </c>
      <c r="P10094" s="27" t="s">
        <v>8941</v>
      </c>
      <c r="Q10094" s="26" t="str">
        <f>HYPERLINK("https://ictv.global/taxonomy/taxondetails?taxnode_id=202503149&amp;ictv_id=ICTV20165303","ICTV20165303")</f>
        <v>ICTV20165303</v>
      </c>
      <c r="R10094" t="s">
        <v>581</v>
      </c>
      <c r="S10094" t="s">
        <v>22763</v>
      </c>
      <c r="T10094">
        <v>41</v>
      </c>
      <c r="U10094" s="26" t="str">
        <f t="shared" si="367"/>
        <v>2025.006S.Amarillovirales_3reorgfam.zip</v>
      </c>
    </row>
    <row r="10095" spans="1:21">
      <c r="A10095">
        <v>10094</v>
      </c>
      <c r="B10095" s="27" t="s">
        <v>1124</v>
      </c>
      <c r="D10095" s="27" t="s">
        <v>1859</v>
      </c>
      <c r="F10095" s="27" t="s">
        <v>1867</v>
      </c>
      <c r="H10095" s="27" t="s">
        <v>1874</v>
      </c>
      <c r="J10095" s="27" t="s">
        <v>1875</v>
      </c>
      <c r="L10095" s="27" t="s">
        <v>20784</v>
      </c>
      <c r="N10095" s="27" t="s">
        <v>479</v>
      </c>
      <c r="P10095" s="27" t="s">
        <v>8942</v>
      </c>
      <c r="Q10095" s="26" t="str">
        <f>HYPERLINK("https://ictv.global/taxonomy/taxondetails?taxnode_id=202503140&amp;ictv_id=ICTV20125924","ICTV20125924")</f>
        <v>ICTV20125924</v>
      </c>
      <c r="R10095" t="s">
        <v>581</v>
      </c>
      <c r="S10095" t="s">
        <v>22763</v>
      </c>
      <c r="T10095">
        <v>41</v>
      </c>
      <c r="U10095" s="26" t="str">
        <f t="shared" si="367"/>
        <v>2025.006S.Amarillovirales_3reorgfam.zip</v>
      </c>
    </row>
    <row r="10096" spans="1:21">
      <c r="A10096">
        <v>10095</v>
      </c>
      <c r="B10096" s="27" t="s">
        <v>1124</v>
      </c>
      <c r="D10096" s="27" t="s">
        <v>1859</v>
      </c>
      <c r="F10096" s="27" t="s">
        <v>1867</v>
      </c>
      <c r="H10096" s="27" t="s">
        <v>1874</v>
      </c>
      <c r="J10096" s="27" t="s">
        <v>1875</v>
      </c>
      <c r="L10096" s="27" t="s">
        <v>20784</v>
      </c>
      <c r="N10096" s="27" t="s">
        <v>479</v>
      </c>
      <c r="P10096" s="27" t="s">
        <v>8943</v>
      </c>
      <c r="Q10096" s="26" t="str">
        <f>HYPERLINK("https://ictv.global/taxonomy/taxondetails?taxnode_id=202503141&amp;ictv_id=ICTV20125925","ICTV20125925")</f>
        <v>ICTV20125925</v>
      </c>
      <c r="R10096" t="s">
        <v>581</v>
      </c>
      <c r="S10096" t="s">
        <v>22763</v>
      </c>
      <c r="T10096">
        <v>41</v>
      </c>
      <c r="U10096" s="26" t="str">
        <f t="shared" si="367"/>
        <v>2025.006S.Amarillovirales_3reorgfam.zip</v>
      </c>
    </row>
    <row r="10097" spans="1:21">
      <c r="A10097">
        <v>10096</v>
      </c>
      <c r="B10097" s="27" t="s">
        <v>1124</v>
      </c>
      <c r="D10097" s="27" t="s">
        <v>1859</v>
      </c>
      <c r="F10097" s="27" t="s">
        <v>1867</v>
      </c>
      <c r="H10097" s="27" t="s">
        <v>1874</v>
      </c>
      <c r="J10097" s="27" t="s">
        <v>1875</v>
      </c>
      <c r="L10097" s="27" t="s">
        <v>20784</v>
      </c>
      <c r="N10097" s="27" t="s">
        <v>479</v>
      </c>
      <c r="P10097" s="27" t="s">
        <v>8944</v>
      </c>
      <c r="Q10097" s="26" t="str">
        <f>HYPERLINK("https://ictv.global/taxonomy/taxondetails?taxnode_id=202503146&amp;ictv_id=ICTV20165300","ICTV20165300")</f>
        <v>ICTV20165300</v>
      </c>
      <c r="R10097" t="s">
        <v>581</v>
      </c>
      <c r="S10097" t="s">
        <v>22763</v>
      </c>
      <c r="T10097">
        <v>41</v>
      </c>
      <c r="U10097" s="26" t="str">
        <f t="shared" si="367"/>
        <v>2025.006S.Amarillovirales_3reorgfam.zip</v>
      </c>
    </row>
    <row r="10098" spans="1:21">
      <c r="A10098">
        <v>10097</v>
      </c>
      <c r="B10098" s="27" t="s">
        <v>1124</v>
      </c>
      <c r="D10098" s="27" t="s">
        <v>1859</v>
      </c>
      <c r="F10098" s="27" t="s">
        <v>1867</v>
      </c>
      <c r="H10098" s="27" t="s">
        <v>1874</v>
      </c>
      <c r="J10098" s="27" t="s">
        <v>1875</v>
      </c>
      <c r="L10098" s="27" t="s">
        <v>20784</v>
      </c>
      <c r="N10098" s="27" t="s">
        <v>479</v>
      </c>
      <c r="P10098" s="27" t="s">
        <v>8945</v>
      </c>
      <c r="Q10098" s="26" t="str">
        <f>HYPERLINK("https://ictv.global/taxonomy/taxondetails?taxnode_id=202503148&amp;ictv_id=ICTV20165302","ICTV20165302")</f>
        <v>ICTV20165302</v>
      </c>
      <c r="R10098" t="s">
        <v>581</v>
      </c>
      <c r="S10098" t="s">
        <v>22763</v>
      </c>
      <c r="T10098">
        <v>41</v>
      </c>
      <c r="U10098" s="26" t="str">
        <f t="shared" si="367"/>
        <v>2025.006S.Amarillovirales_3reorgfam.zip</v>
      </c>
    </row>
    <row r="10099" spans="1:21">
      <c r="A10099">
        <v>10098</v>
      </c>
      <c r="B10099" s="27" t="s">
        <v>1124</v>
      </c>
      <c r="D10099" s="27" t="s">
        <v>1859</v>
      </c>
      <c r="F10099" s="27" t="s">
        <v>1867</v>
      </c>
      <c r="H10099" s="27" t="s">
        <v>1874</v>
      </c>
      <c r="J10099" s="27" t="s">
        <v>1875</v>
      </c>
      <c r="L10099" s="27" t="s">
        <v>20784</v>
      </c>
      <c r="N10099" s="27" t="s">
        <v>479</v>
      </c>
      <c r="P10099" s="27" t="s">
        <v>8946</v>
      </c>
      <c r="Q10099" s="26" t="str">
        <f>HYPERLINK("https://ictv.global/taxonomy/taxondetails?taxnode_id=202503150&amp;ictv_id=ICTV20165304","ICTV20165304")</f>
        <v>ICTV20165304</v>
      </c>
      <c r="R10099" t="s">
        <v>581</v>
      </c>
      <c r="S10099" t="s">
        <v>22763</v>
      </c>
      <c r="T10099">
        <v>41</v>
      </c>
      <c r="U10099" s="26" t="str">
        <f t="shared" si="367"/>
        <v>2025.006S.Amarillovirales_3reorgfam.zip</v>
      </c>
    </row>
    <row r="10100" spans="1:21">
      <c r="A10100">
        <v>10099</v>
      </c>
      <c r="B10100" s="27" t="s">
        <v>1124</v>
      </c>
      <c r="D10100" s="27" t="s">
        <v>1859</v>
      </c>
      <c r="F10100" s="27" t="s">
        <v>1867</v>
      </c>
      <c r="H10100" s="27" t="s">
        <v>1874</v>
      </c>
      <c r="J10100" s="27" t="s">
        <v>1875</v>
      </c>
      <c r="L10100" s="27" t="s">
        <v>20800</v>
      </c>
      <c r="N10100" s="27" t="s">
        <v>21425</v>
      </c>
      <c r="P10100" s="27" t="s">
        <v>21426</v>
      </c>
      <c r="Q10100" s="26" t="str">
        <f>HYPERLINK("https://ictv.global/taxonomy/taxondetails?taxnode_id=202522304&amp;ictv_id=ICTV202522304","ICTV202522304")</f>
        <v>ICTV202522304</v>
      </c>
      <c r="R10100" t="s">
        <v>581</v>
      </c>
      <c r="S10100" t="s">
        <v>823</v>
      </c>
      <c r="T10100">
        <v>41</v>
      </c>
      <c r="U10100" s="26" t="str">
        <f t="shared" si="367"/>
        <v>2025.006S.Amarillovirales_3reorgfam.zip</v>
      </c>
    </row>
    <row r="10101" spans="1:21">
      <c r="A10101">
        <v>10100</v>
      </c>
      <c r="B10101" s="27" t="s">
        <v>1124</v>
      </c>
      <c r="D10101" s="27" t="s">
        <v>1859</v>
      </c>
      <c r="F10101" s="27" t="s">
        <v>1867</v>
      </c>
      <c r="H10101" s="27" t="s">
        <v>1874</v>
      </c>
      <c r="J10101" s="27" t="s">
        <v>1875</v>
      </c>
      <c r="L10101" s="27" t="s">
        <v>20800</v>
      </c>
      <c r="N10101" s="27" t="s">
        <v>21427</v>
      </c>
      <c r="P10101" s="27" t="s">
        <v>21428</v>
      </c>
      <c r="Q10101" s="26" t="str">
        <f>HYPERLINK("https://ictv.global/taxonomy/taxondetails?taxnode_id=202522305&amp;ictv_id=ICTV202522305","ICTV202522305")</f>
        <v>ICTV202522305</v>
      </c>
      <c r="R10101" t="s">
        <v>581</v>
      </c>
      <c r="S10101" t="s">
        <v>823</v>
      </c>
      <c r="T10101">
        <v>41</v>
      </c>
      <c r="U10101" s="26" t="str">
        <f t="shared" si="367"/>
        <v>2025.006S.Amarillovirales_3reorgfam.zip</v>
      </c>
    </row>
    <row r="10102" spans="1:21">
      <c r="A10102">
        <v>10101</v>
      </c>
      <c r="B10102" s="27" t="s">
        <v>1124</v>
      </c>
      <c r="D10102" s="27" t="s">
        <v>1859</v>
      </c>
      <c r="F10102" s="27" t="s">
        <v>1867</v>
      </c>
      <c r="H10102" s="27" t="s">
        <v>1874</v>
      </c>
      <c r="J10102" s="27" t="s">
        <v>1875</v>
      </c>
      <c r="L10102" s="27" t="s">
        <v>20800</v>
      </c>
      <c r="N10102" s="27" t="s">
        <v>21429</v>
      </c>
      <c r="P10102" s="27" t="s">
        <v>21430</v>
      </c>
      <c r="Q10102" s="26" t="str">
        <f>HYPERLINK("https://ictv.global/taxonomy/taxondetails?taxnode_id=202522306&amp;ictv_id=ICTV202522306","ICTV202522306")</f>
        <v>ICTV202522306</v>
      </c>
      <c r="R10102" t="s">
        <v>581</v>
      </c>
      <c r="S10102" t="s">
        <v>823</v>
      </c>
      <c r="T10102">
        <v>41</v>
      </c>
      <c r="U10102" s="26" t="str">
        <f t="shared" si="367"/>
        <v>2025.006S.Amarillovirales_3reorgfam.zip</v>
      </c>
    </row>
    <row r="10103" spans="1:21">
      <c r="A10103">
        <v>10102</v>
      </c>
      <c r="B10103" s="27" t="s">
        <v>1124</v>
      </c>
      <c r="D10103" s="27" t="s">
        <v>1859</v>
      </c>
      <c r="F10103" s="27" t="s">
        <v>1867</v>
      </c>
      <c r="H10103" s="27" t="s">
        <v>1874</v>
      </c>
      <c r="J10103" s="27" t="s">
        <v>1875</v>
      </c>
      <c r="L10103" s="27" t="s">
        <v>20800</v>
      </c>
      <c r="N10103" s="27" t="s">
        <v>21431</v>
      </c>
      <c r="P10103" s="27" t="s">
        <v>21432</v>
      </c>
      <c r="Q10103" s="26" t="str">
        <f>HYPERLINK("https://ictv.global/taxonomy/taxondetails?taxnode_id=202522307&amp;ictv_id=ICTV202522307","ICTV202522307")</f>
        <v>ICTV202522307</v>
      </c>
      <c r="R10103" t="s">
        <v>581</v>
      </c>
      <c r="S10103" t="s">
        <v>823</v>
      </c>
      <c r="T10103">
        <v>41</v>
      </c>
      <c r="U10103" s="26" t="str">
        <f t="shared" si="367"/>
        <v>2025.006S.Amarillovirales_3reorgfam.zip</v>
      </c>
    </row>
    <row r="10104" spans="1:21">
      <c r="A10104">
        <v>10103</v>
      </c>
      <c r="B10104" s="27" t="s">
        <v>1124</v>
      </c>
      <c r="D10104" s="27" t="s">
        <v>1859</v>
      </c>
      <c r="F10104" s="27" t="s">
        <v>1867</v>
      </c>
      <c r="H10104" s="27" t="s">
        <v>1874</v>
      </c>
      <c r="J10104" s="27" t="s">
        <v>1875</v>
      </c>
      <c r="L10104" s="27" t="s">
        <v>20800</v>
      </c>
      <c r="N10104" s="27" t="s">
        <v>20801</v>
      </c>
      <c r="P10104" s="27" t="s">
        <v>20958</v>
      </c>
      <c r="Q10104" s="26" t="str">
        <f>HYPERLINK("https://ictv.global/taxonomy/taxondetails?taxnode_id=202514007&amp;ictv_id=ICTV202214007","ICTV202214007")</f>
        <v>ICTV202214007</v>
      </c>
      <c r="R10104" t="s">
        <v>581</v>
      </c>
      <c r="S10104" t="s">
        <v>824</v>
      </c>
      <c r="T10104">
        <v>41</v>
      </c>
      <c r="U10104" s="26" t="str">
        <f>HYPERLINK("https://ictv.global/ictv/proposals/2025.005S.Pestivirus_8spren.zip","2025.005S.Pestivirus_8spren.zip")</f>
        <v>2025.005S.Pestivirus_8spren.zip</v>
      </c>
    </row>
    <row r="10105" spans="1:21">
      <c r="A10105">
        <v>10104</v>
      </c>
      <c r="B10105" s="27" t="s">
        <v>1124</v>
      </c>
      <c r="D10105" s="27" t="s">
        <v>1859</v>
      </c>
      <c r="F10105" s="27" t="s">
        <v>1867</v>
      </c>
      <c r="H10105" s="27" t="s">
        <v>1874</v>
      </c>
      <c r="J10105" s="27" t="s">
        <v>1875</v>
      </c>
      <c r="L10105" s="27" t="s">
        <v>20800</v>
      </c>
      <c r="N10105" s="27" t="s">
        <v>20801</v>
      </c>
      <c r="P10105" s="27" t="s">
        <v>20849</v>
      </c>
      <c r="Q10105" s="26" t="str">
        <f>HYPERLINK("https://ictv.global/taxonomy/taxondetails?taxnode_id=202505780&amp;ictv_id=ICTV20175780","ICTV20175780")</f>
        <v>ICTV20175780</v>
      </c>
      <c r="R10105" t="s">
        <v>581</v>
      </c>
      <c r="S10105" t="s">
        <v>824</v>
      </c>
      <c r="T10105">
        <v>41</v>
      </c>
      <c r="U10105" s="26" t="str">
        <f>HYPERLINK("https://ictv.global/ictv/proposals/2025.006S.Amarillovirales_3reorgfam.zip","2025.006S.Amarillovirales_3reorgfam.zip")</f>
        <v>2025.006S.Amarillovirales_3reorgfam.zip</v>
      </c>
    </row>
    <row r="10106" spans="1:21">
      <c r="A10106">
        <v>10105</v>
      </c>
      <c r="B10106" s="27" t="s">
        <v>1124</v>
      </c>
      <c r="D10106" s="27" t="s">
        <v>1859</v>
      </c>
      <c r="F10106" s="27" t="s">
        <v>1867</v>
      </c>
      <c r="H10106" s="27" t="s">
        <v>1874</v>
      </c>
      <c r="J10106" s="27" t="s">
        <v>1875</v>
      </c>
      <c r="L10106" s="27" t="s">
        <v>20800</v>
      </c>
      <c r="N10106" s="27" t="s">
        <v>20801</v>
      </c>
      <c r="P10106" s="27" t="s">
        <v>20961</v>
      </c>
      <c r="Q10106" s="26" t="str">
        <f>HYPERLINK("https://ictv.global/taxonomy/taxondetails?taxnode_id=202514010&amp;ictv_id=ICTV202214010","ICTV202214010")</f>
        <v>ICTV202214010</v>
      </c>
      <c r="R10106" t="s">
        <v>581</v>
      </c>
      <c r="S10106" t="s">
        <v>824</v>
      </c>
      <c r="T10106">
        <v>41</v>
      </c>
      <c r="U10106" s="26" t="str">
        <f>HYPERLINK("https://ictv.global/ictv/proposals/2025.005S.Pestivirus_8spren.zip","2025.005S.Pestivirus_8spren.zip")</f>
        <v>2025.005S.Pestivirus_8spren.zip</v>
      </c>
    </row>
    <row r="10107" spans="1:21">
      <c r="A10107">
        <v>10106</v>
      </c>
      <c r="B10107" s="27" t="s">
        <v>1124</v>
      </c>
      <c r="D10107" s="27" t="s">
        <v>1859</v>
      </c>
      <c r="F10107" s="27" t="s">
        <v>1867</v>
      </c>
      <c r="H10107" s="27" t="s">
        <v>1874</v>
      </c>
      <c r="J10107" s="27" t="s">
        <v>1875</v>
      </c>
      <c r="L10107" s="27" t="s">
        <v>20800</v>
      </c>
      <c r="N10107" s="27" t="s">
        <v>20801</v>
      </c>
      <c r="P10107" s="27" t="s">
        <v>20850</v>
      </c>
      <c r="Q10107" s="26" t="str">
        <f>HYPERLINK("https://ictv.global/taxonomy/taxondetails?taxnode_id=202505781&amp;ictv_id=ICTV20175781","ICTV20175781")</f>
        <v>ICTV20175781</v>
      </c>
      <c r="R10107" t="s">
        <v>581</v>
      </c>
      <c r="S10107" t="s">
        <v>824</v>
      </c>
      <c r="T10107">
        <v>41</v>
      </c>
      <c r="U10107" s="26" t="str">
        <f>HYPERLINK("https://ictv.global/ictv/proposals/2025.006S.Amarillovirales_3reorgfam.zip","2025.006S.Amarillovirales_3reorgfam.zip")</f>
        <v>2025.006S.Amarillovirales_3reorgfam.zip</v>
      </c>
    </row>
    <row r="10108" spans="1:21">
      <c r="A10108">
        <v>10107</v>
      </c>
      <c r="B10108" s="27" t="s">
        <v>1124</v>
      </c>
      <c r="D10108" s="27" t="s">
        <v>1859</v>
      </c>
      <c r="F10108" s="27" t="s">
        <v>1867</v>
      </c>
      <c r="H10108" s="27" t="s">
        <v>1874</v>
      </c>
      <c r="J10108" s="27" t="s">
        <v>1875</v>
      </c>
      <c r="L10108" s="27" t="s">
        <v>20800</v>
      </c>
      <c r="N10108" s="27" t="s">
        <v>20801</v>
      </c>
      <c r="P10108" s="27" t="s">
        <v>20853</v>
      </c>
      <c r="Q10108" s="26" t="str">
        <f>HYPERLINK("https://ictv.global/taxonomy/taxondetails?taxnode_id=202505784&amp;ictv_id=ICTV20175784","ICTV20175784")</f>
        <v>ICTV20175784</v>
      </c>
      <c r="R10108" t="s">
        <v>581</v>
      </c>
      <c r="S10108" t="s">
        <v>824</v>
      </c>
      <c r="T10108">
        <v>41</v>
      </c>
      <c r="U10108" s="26" t="str">
        <f>HYPERLINK("https://ictv.global/ictv/proposals/2025.006S.Amarillovirales_3reorgfam.zip","2025.006S.Amarillovirales_3reorgfam.zip")</f>
        <v>2025.006S.Amarillovirales_3reorgfam.zip</v>
      </c>
    </row>
    <row r="10109" spans="1:21">
      <c r="A10109">
        <v>10108</v>
      </c>
      <c r="B10109" s="27" t="s">
        <v>1124</v>
      </c>
      <c r="D10109" s="27" t="s">
        <v>1859</v>
      </c>
      <c r="F10109" s="27" t="s">
        <v>1867</v>
      </c>
      <c r="H10109" s="27" t="s">
        <v>1874</v>
      </c>
      <c r="J10109" s="27" t="s">
        <v>1875</v>
      </c>
      <c r="L10109" s="27" t="s">
        <v>20800</v>
      </c>
      <c r="N10109" s="27" t="s">
        <v>20801</v>
      </c>
      <c r="P10109" s="27" t="s">
        <v>20803</v>
      </c>
      <c r="Q10109" s="26" t="str">
        <f>HYPERLINK("https://ictv.global/taxonomy/taxondetails?taxnode_id=202503153&amp;ictv_id=ICTV19990865","ICTV19990865")</f>
        <v>ICTV19990865</v>
      </c>
      <c r="R10109" t="s">
        <v>581</v>
      </c>
      <c r="S10109" t="s">
        <v>824</v>
      </c>
      <c r="T10109">
        <v>41</v>
      </c>
      <c r="U10109" s="26" t="str">
        <f>HYPERLINK("https://ictv.global/ictv/proposals/2025.006S.Amarillovirales_3reorgfam.zip","2025.006S.Amarillovirales_3reorgfam.zip")</f>
        <v>2025.006S.Amarillovirales_3reorgfam.zip</v>
      </c>
    </row>
    <row r="10110" spans="1:21">
      <c r="A10110">
        <v>10109</v>
      </c>
      <c r="B10110" s="27" t="s">
        <v>1124</v>
      </c>
      <c r="D10110" s="27" t="s">
        <v>1859</v>
      </c>
      <c r="F10110" s="27" t="s">
        <v>1867</v>
      </c>
      <c r="H10110" s="27" t="s">
        <v>1874</v>
      </c>
      <c r="J10110" s="27" t="s">
        <v>1875</v>
      </c>
      <c r="L10110" s="27" t="s">
        <v>20800</v>
      </c>
      <c r="N10110" s="27" t="s">
        <v>20801</v>
      </c>
      <c r="P10110" s="27" t="s">
        <v>20852</v>
      </c>
      <c r="Q10110" s="26" t="str">
        <f>HYPERLINK("https://ictv.global/taxonomy/taxondetails?taxnode_id=202505783&amp;ictv_id=ICTV20175783","ICTV20175783")</f>
        <v>ICTV20175783</v>
      </c>
      <c r="R10110" t="s">
        <v>581</v>
      </c>
      <c r="S10110" t="s">
        <v>824</v>
      </c>
      <c r="T10110">
        <v>41</v>
      </c>
      <c r="U10110" s="26" t="str">
        <f>HYPERLINK("https://ictv.global/ictv/proposals/2025.006S.Amarillovirales_3reorgfam.zip","2025.006S.Amarillovirales_3reorgfam.zip")</f>
        <v>2025.006S.Amarillovirales_3reorgfam.zip</v>
      </c>
    </row>
    <row r="10111" spans="1:21">
      <c r="A10111">
        <v>10110</v>
      </c>
      <c r="B10111" s="27" t="s">
        <v>1124</v>
      </c>
      <c r="D10111" s="27" t="s">
        <v>1859</v>
      </c>
      <c r="F10111" s="27" t="s">
        <v>1867</v>
      </c>
      <c r="H10111" s="27" t="s">
        <v>1874</v>
      </c>
      <c r="J10111" s="27" t="s">
        <v>1875</v>
      </c>
      <c r="L10111" s="27" t="s">
        <v>20800</v>
      </c>
      <c r="N10111" s="27" t="s">
        <v>20801</v>
      </c>
      <c r="P10111" s="27" t="s">
        <v>20957</v>
      </c>
      <c r="Q10111" s="26" t="str">
        <f>HYPERLINK("https://ictv.global/taxonomy/taxondetails?taxnode_id=202514006&amp;ictv_id=ICTV202214006","ICTV202214006")</f>
        <v>ICTV202214006</v>
      </c>
      <c r="R10111" t="s">
        <v>581</v>
      </c>
      <c r="S10111" t="s">
        <v>824</v>
      </c>
      <c r="T10111">
        <v>41</v>
      </c>
      <c r="U10111" s="26" t="str">
        <f>HYPERLINK("https://ictv.global/ictv/proposals/2025.005S.Pestivirus_8spren.zip","2025.005S.Pestivirus_8spren.zip")</f>
        <v>2025.005S.Pestivirus_8spren.zip</v>
      </c>
    </row>
    <row r="10112" spans="1:21">
      <c r="A10112">
        <v>10111</v>
      </c>
      <c r="B10112" s="27" t="s">
        <v>1124</v>
      </c>
      <c r="D10112" s="27" t="s">
        <v>1859</v>
      </c>
      <c r="F10112" s="27" t="s">
        <v>1867</v>
      </c>
      <c r="H10112" s="27" t="s">
        <v>1874</v>
      </c>
      <c r="J10112" s="27" t="s">
        <v>1875</v>
      </c>
      <c r="L10112" s="27" t="s">
        <v>20800</v>
      </c>
      <c r="N10112" s="27" t="s">
        <v>20801</v>
      </c>
      <c r="P10112" s="27" t="s">
        <v>20851</v>
      </c>
      <c r="Q10112" s="26" t="str">
        <f>HYPERLINK("https://ictv.global/taxonomy/taxondetails?taxnode_id=202505782&amp;ictv_id=ICTV20175782","ICTV20175782")</f>
        <v>ICTV20175782</v>
      </c>
      <c r="R10112" t="s">
        <v>581</v>
      </c>
      <c r="S10112" t="s">
        <v>824</v>
      </c>
      <c r="T10112">
        <v>41</v>
      </c>
      <c r="U10112" s="26" t="str">
        <f>HYPERLINK("https://ictv.global/ictv/proposals/2025.006S.Amarillovirales_3reorgfam.zip","2025.006S.Amarillovirales_3reorgfam.zip")</f>
        <v>2025.006S.Amarillovirales_3reorgfam.zip</v>
      </c>
    </row>
    <row r="10113" spans="1:21">
      <c r="A10113">
        <v>10112</v>
      </c>
      <c r="B10113" s="27" t="s">
        <v>1124</v>
      </c>
      <c r="D10113" s="27" t="s">
        <v>1859</v>
      </c>
      <c r="F10113" s="27" t="s">
        <v>1867</v>
      </c>
      <c r="H10113" s="27" t="s">
        <v>1874</v>
      </c>
      <c r="J10113" s="27" t="s">
        <v>1875</v>
      </c>
      <c r="L10113" s="27" t="s">
        <v>20800</v>
      </c>
      <c r="N10113" s="27" t="s">
        <v>20801</v>
      </c>
      <c r="P10113" s="27" t="s">
        <v>20959</v>
      </c>
      <c r="Q10113" s="26" t="str">
        <f>HYPERLINK("https://ictv.global/taxonomy/taxondetails?taxnode_id=202514008&amp;ictv_id=ICTV202214008","ICTV202214008")</f>
        <v>ICTV202214008</v>
      </c>
      <c r="R10113" t="s">
        <v>581</v>
      </c>
      <c r="S10113" t="s">
        <v>824</v>
      </c>
      <c r="T10113">
        <v>41</v>
      </c>
      <c r="U10113" s="26" t="str">
        <f>HYPERLINK("https://ictv.global/ictv/proposals/2025.005S.Pestivirus_8spren.zip","2025.005S.Pestivirus_8spren.zip")</f>
        <v>2025.005S.Pestivirus_8spren.zip</v>
      </c>
    </row>
    <row r="10114" spans="1:21">
      <c r="A10114">
        <v>10113</v>
      </c>
      <c r="B10114" s="27" t="s">
        <v>1124</v>
      </c>
      <c r="D10114" s="27" t="s">
        <v>1859</v>
      </c>
      <c r="F10114" s="27" t="s">
        <v>1867</v>
      </c>
      <c r="H10114" s="27" t="s">
        <v>1874</v>
      </c>
      <c r="J10114" s="27" t="s">
        <v>1875</v>
      </c>
      <c r="L10114" s="27" t="s">
        <v>20800</v>
      </c>
      <c r="N10114" s="27" t="s">
        <v>20801</v>
      </c>
      <c r="P10114" s="27" t="s">
        <v>20960</v>
      </c>
      <c r="Q10114" s="26" t="str">
        <f>HYPERLINK("https://ictv.global/taxonomy/taxondetails?taxnode_id=202514009&amp;ictv_id=ICTV202214009","ICTV202214009")</f>
        <v>ICTV202214009</v>
      </c>
      <c r="R10114" t="s">
        <v>581</v>
      </c>
      <c r="S10114" t="s">
        <v>824</v>
      </c>
      <c r="T10114">
        <v>41</v>
      </c>
      <c r="U10114" s="26" t="str">
        <f>HYPERLINK("https://ictv.global/ictv/proposals/2025.005S.Pestivirus_8spren.zip","2025.005S.Pestivirus_8spren.zip")</f>
        <v>2025.005S.Pestivirus_8spren.zip</v>
      </c>
    </row>
    <row r="10115" spans="1:21">
      <c r="A10115">
        <v>10114</v>
      </c>
      <c r="B10115" s="27" t="s">
        <v>1124</v>
      </c>
      <c r="D10115" s="27" t="s">
        <v>1859</v>
      </c>
      <c r="F10115" s="27" t="s">
        <v>1867</v>
      </c>
      <c r="H10115" s="27" t="s">
        <v>1874</v>
      </c>
      <c r="J10115" s="27" t="s">
        <v>1875</v>
      </c>
      <c r="L10115" s="27" t="s">
        <v>20800</v>
      </c>
      <c r="N10115" s="27" t="s">
        <v>20801</v>
      </c>
      <c r="P10115" s="27" t="s">
        <v>20802</v>
      </c>
      <c r="Q10115" s="26" t="str">
        <f>HYPERLINK("https://ictv.global/taxonomy/taxondetails?taxnode_id=202503152&amp;ictv_id=ICTV19760642","ICTV19760642")</f>
        <v>ICTV19760642</v>
      </c>
      <c r="R10115" t="s">
        <v>581</v>
      </c>
      <c r="S10115" t="s">
        <v>824</v>
      </c>
      <c r="T10115">
        <v>41</v>
      </c>
      <c r="U10115" s="26" t="str">
        <f>HYPERLINK("https://ictv.global/ictv/proposals/2025.006S.Amarillovirales_3reorgfam.zip","2025.006S.Amarillovirales_3reorgfam.zip")</f>
        <v>2025.006S.Amarillovirales_3reorgfam.zip</v>
      </c>
    </row>
    <row r="10116" spans="1:21">
      <c r="A10116">
        <v>10115</v>
      </c>
      <c r="B10116" s="27" t="s">
        <v>1124</v>
      </c>
      <c r="D10116" s="27" t="s">
        <v>1859</v>
      </c>
      <c r="F10116" s="27" t="s">
        <v>1867</v>
      </c>
      <c r="H10116" s="27" t="s">
        <v>1874</v>
      </c>
      <c r="J10116" s="27" t="s">
        <v>1875</v>
      </c>
      <c r="L10116" s="27" t="s">
        <v>20800</v>
      </c>
      <c r="N10116" s="27" t="s">
        <v>20801</v>
      </c>
      <c r="P10116" s="27" t="s">
        <v>20956</v>
      </c>
      <c r="Q10116" s="26" t="str">
        <f>HYPERLINK("https://ictv.global/taxonomy/taxondetails?taxnode_id=202514005&amp;ictv_id=ICTV202214005","ICTV202214005")</f>
        <v>ICTV202214005</v>
      </c>
      <c r="R10116" t="s">
        <v>581</v>
      </c>
      <c r="S10116" t="s">
        <v>824</v>
      </c>
      <c r="T10116">
        <v>41</v>
      </c>
      <c r="U10116" s="26" t="str">
        <f>HYPERLINK("https://ictv.global/ictv/proposals/2025.005S.Pestivirus_8spren.zip","2025.005S.Pestivirus_8spren.zip")</f>
        <v>2025.005S.Pestivirus_8spren.zip</v>
      </c>
    </row>
    <row r="10117" spans="1:21">
      <c r="A10117">
        <v>10116</v>
      </c>
      <c r="B10117" s="27" t="s">
        <v>1124</v>
      </c>
      <c r="D10117" s="27" t="s">
        <v>1859</v>
      </c>
      <c r="F10117" s="27" t="s">
        <v>1867</v>
      </c>
      <c r="H10117" s="27" t="s">
        <v>1874</v>
      </c>
      <c r="J10117" s="27" t="s">
        <v>1875</v>
      </c>
      <c r="L10117" s="27" t="s">
        <v>20800</v>
      </c>
      <c r="N10117" s="27" t="s">
        <v>20801</v>
      </c>
      <c r="P10117" s="27" t="s">
        <v>20854</v>
      </c>
      <c r="Q10117" s="26" t="str">
        <f>HYPERLINK("https://ictv.global/taxonomy/taxondetails?taxnode_id=202505785&amp;ictv_id=ICTV20175785","ICTV20175785")</f>
        <v>ICTV20175785</v>
      </c>
      <c r="R10117" t="s">
        <v>581</v>
      </c>
      <c r="S10117" t="s">
        <v>824</v>
      </c>
      <c r="T10117">
        <v>41</v>
      </c>
      <c r="U10117" s="26" t="str">
        <f>HYPERLINK("https://ictv.global/ictv/proposals/2025.006S.Amarillovirales_3reorgfam.zip","2025.006S.Amarillovirales_3reorgfam.zip")</f>
        <v>2025.006S.Amarillovirales_3reorgfam.zip</v>
      </c>
    </row>
    <row r="10118" spans="1:21">
      <c r="A10118">
        <v>10117</v>
      </c>
      <c r="B10118" s="27" t="s">
        <v>1124</v>
      </c>
      <c r="D10118" s="27" t="s">
        <v>1859</v>
      </c>
      <c r="F10118" s="27" t="s">
        <v>1867</v>
      </c>
      <c r="H10118" s="27" t="s">
        <v>1874</v>
      </c>
      <c r="J10118" s="27" t="s">
        <v>1875</v>
      </c>
      <c r="L10118" s="27" t="s">
        <v>20800</v>
      </c>
      <c r="N10118" s="27" t="s">
        <v>20801</v>
      </c>
      <c r="P10118" s="27" t="s">
        <v>20962</v>
      </c>
      <c r="Q10118" s="26" t="str">
        <f>HYPERLINK("https://ictv.global/taxonomy/taxondetails?taxnode_id=202514011&amp;ictv_id=ICTV202214011","ICTV202214011")</f>
        <v>ICTV202214011</v>
      </c>
      <c r="R10118" t="s">
        <v>581</v>
      </c>
      <c r="S10118" t="s">
        <v>824</v>
      </c>
      <c r="T10118">
        <v>41</v>
      </c>
      <c r="U10118" s="26" t="str">
        <f>HYPERLINK("https://ictv.global/ictv/proposals/2025.005S.Pestivirus_8spren.zip","2025.005S.Pestivirus_8spren.zip")</f>
        <v>2025.005S.Pestivirus_8spren.zip</v>
      </c>
    </row>
    <row r="10119" spans="1:21">
      <c r="A10119">
        <v>10118</v>
      </c>
      <c r="B10119" s="27" t="s">
        <v>1124</v>
      </c>
      <c r="D10119" s="27" t="s">
        <v>1859</v>
      </c>
      <c r="F10119" s="27" t="s">
        <v>1867</v>
      </c>
      <c r="H10119" s="27" t="s">
        <v>1874</v>
      </c>
      <c r="J10119" s="27" t="s">
        <v>1875</v>
      </c>
      <c r="L10119" s="27" t="s">
        <v>20800</v>
      </c>
      <c r="N10119" s="27" t="s">
        <v>20801</v>
      </c>
      <c r="P10119" s="27" t="s">
        <v>20855</v>
      </c>
      <c r="Q10119" s="26" t="str">
        <f>HYPERLINK("https://ictv.global/taxonomy/taxondetails?taxnode_id=202505786&amp;ictv_id=ICTV20175786","ICTV20175786")</f>
        <v>ICTV20175786</v>
      </c>
      <c r="R10119" t="s">
        <v>581</v>
      </c>
      <c r="S10119" t="s">
        <v>824</v>
      </c>
      <c r="T10119">
        <v>41</v>
      </c>
      <c r="U10119" s="26" t="str">
        <f>HYPERLINK("https://ictv.global/ictv/proposals/2025.006S.Amarillovirales_3reorgfam.zip","2025.006S.Amarillovirales_3reorgfam.zip")</f>
        <v>2025.006S.Amarillovirales_3reorgfam.zip</v>
      </c>
    </row>
    <row r="10120" spans="1:21">
      <c r="A10120">
        <v>10119</v>
      </c>
      <c r="B10120" s="27" t="s">
        <v>1124</v>
      </c>
      <c r="D10120" s="27" t="s">
        <v>1859</v>
      </c>
      <c r="F10120" s="27" t="s">
        <v>1867</v>
      </c>
      <c r="H10120" s="27" t="s">
        <v>1874</v>
      </c>
      <c r="J10120" s="27" t="s">
        <v>1875</v>
      </c>
      <c r="L10120" s="27" t="s">
        <v>20800</v>
      </c>
      <c r="N10120" s="27" t="s">
        <v>20801</v>
      </c>
      <c r="P10120" s="27" t="s">
        <v>20955</v>
      </c>
      <c r="Q10120" s="26" t="str">
        <f>HYPERLINK("https://ictv.global/taxonomy/taxondetails?taxnode_id=202514004&amp;ictv_id=ICTV202214004","ICTV202214004")</f>
        <v>ICTV202214004</v>
      </c>
      <c r="R10120" t="s">
        <v>581</v>
      </c>
      <c r="S10120" t="s">
        <v>824</v>
      </c>
      <c r="T10120">
        <v>41</v>
      </c>
      <c r="U10120" s="26" t="str">
        <f>HYPERLINK("https://ictv.global/ictv/proposals/2025.005S.Pestivirus_8spren.zip","2025.005S.Pestivirus_8spren.zip")</f>
        <v>2025.005S.Pestivirus_8spren.zip</v>
      </c>
    </row>
    <row r="10121" spans="1:21">
      <c r="A10121">
        <v>10120</v>
      </c>
      <c r="B10121" s="27" t="s">
        <v>1124</v>
      </c>
      <c r="D10121" s="27" t="s">
        <v>1859</v>
      </c>
      <c r="F10121" s="27" t="s">
        <v>1867</v>
      </c>
      <c r="H10121" s="27" t="s">
        <v>1874</v>
      </c>
      <c r="J10121" s="27" t="s">
        <v>1875</v>
      </c>
      <c r="L10121" s="27" t="s">
        <v>20800</v>
      </c>
      <c r="N10121" s="27" t="s">
        <v>20801</v>
      </c>
      <c r="P10121" s="27" t="s">
        <v>20805</v>
      </c>
      <c r="Q10121" s="26" t="str">
        <f>HYPERLINK("https://ictv.global/taxonomy/taxondetails?taxnode_id=202503155&amp;ictv_id=ICTV19760643","ICTV19760643")</f>
        <v>ICTV19760643</v>
      </c>
      <c r="R10121" t="s">
        <v>581</v>
      </c>
      <c r="S10121" t="s">
        <v>824</v>
      </c>
      <c r="T10121">
        <v>41</v>
      </c>
      <c r="U10121" s="26" t="str">
        <f>HYPERLINK("https://ictv.global/ictv/proposals/2025.006S.Amarillovirales_3reorgfam.zip","2025.006S.Amarillovirales_3reorgfam.zip")</f>
        <v>2025.006S.Amarillovirales_3reorgfam.zip</v>
      </c>
    </row>
    <row r="10122" spans="1:21">
      <c r="A10122">
        <v>10121</v>
      </c>
      <c r="B10122" s="27" t="s">
        <v>1124</v>
      </c>
      <c r="D10122" s="27" t="s">
        <v>1859</v>
      </c>
      <c r="F10122" s="27" t="s">
        <v>1867</v>
      </c>
      <c r="H10122" s="27" t="s">
        <v>1874</v>
      </c>
      <c r="J10122" s="27" t="s">
        <v>1875</v>
      </c>
      <c r="L10122" s="27" t="s">
        <v>20800</v>
      </c>
      <c r="N10122" s="27" t="s">
        <v>20801</v>
      </c>
      <c r="P10122" s="27" t="s">
        <v>20804</v>
      </c>
      <c r="Q10122" s="26" t="str">
        <f>HYPERLINK("https://ictv.global/taxonomy/taxondetails?taxnode_id=202503154&amp;ictv_id=ICTV19990866","ICTV19990866")</f>
        <v>ICTV19990866</v>
      </c>
      <c r="R10122" t="s">
        <v>581</v>
      </c>
      <c r="S10122" t="s">
        <v>824</v>
      </c>
      <c r="T10122">
        <v>41</v>
      </c>
      <c r="U10122" s="26" t="str">
        <f>HYPERLINK("https://ictv.global/ictv/proposals/2025.006S.Amarillovirales_3reorgfam.zip","2025.006S.Amarillovirales_3reorgfam.zip")</f>
        <v>2025.006S.Amarillovirales_3reorgfam.zip</v>
      </c>
    </row>
    <row r="10123" spans="1:21">
      <c r="A10123">
        <v>10122</v>
      </c>
      <c r="B10123" s="27" t="s">
        <v>1124</v>
      </c>
      <c r="D10123" s="27" t="s">
        <v>1859</v>
      </c>
      <c r="F10123" s="27" t="s">
        <v>1867</v>
      </c>
      <c r="H10123" s="27" t="s">
        <v>1876</v>
      </c>
      <c r="J10123" s="27" t="s">
        <v>1877</v>
      </c>
      <c r="L10123" s="27" t="s">
        <v>269</v>
      </c>
      <c r="N10123" s="27" t="s">
        <v>270</v>
      </c>
      <c r="P10123" s="27" t="s">
        <v>14244</v>
      </c>
      <c r="Q10123" s="26" t="str">
        <f>HYPERLINK("https://ictv.global/taxonomy/taxondetails?taxnode_id=202503927&amp;ictv_id=ICTV19910986","ICTV19910986")</f>
        <v>ICTV19910986</v>
      </c>
      <c r="R10123" t="s">
        <v>581</v>
      </c>
      <c r="S10123" t="s">
        <v>824</v>
      </c>
      <c r="T10123">
        <v>39</v>
      </c>
      <c r="U10123" s="26" t="str">
        <f t="shared" ref="U10123:U10131" si="368">HYPERLINK("https://ictv.global/ictv/proposals/2023.010S.Nodaviridae_9sprenamed.zip","2023.010S.Nodaviridae_9sprenamed.zip")</f>
        <v>2023.010S.Nodaviridae_9sprenamed.zip</v>
      </c>
    </row>
    <row r="10124" spans="1:21">
      <c r="A10124">
        <v>10123</v>
      </c>
      <c r="B10124" s="27" t="s">
        <v>1124</v>
      </c>
      <c r="D10124" s="27" t="s">
        <v>1859</v>
      </c>
      <c r="F10124" s="27" t="s">
        <v>1867</v>
      </c>
      <c r="H10124" s="27" t="s">
        <v>1876</v>
      </c>
      <c r="J10124" s="27" t="s">
        <v>1877</v>
      </c>
      <c r="L10124" s="27" t="s">
        <v>269</v>
      </c>
      <c r="N10124" s="27" t="s">
        <v>270</v>
      </c>
      <c r="P10124" s="27" t="s">
        <v>14245</v>
      </c>
      <c r="Q10124" s="26" t="str">
        <f>HYPERLINK("https://ictv.global/taxonomy/taxondetails?taxnode_id=202503928&amp;ictv_id=ICTV19910987","ICTV19910987")</f>
        <v>ICTV19910987</v>
      </c>
      <c r="R10124" t="s">
        <v>581</v>
      </c>
      <c r="S10124" t="s">
        <v>824</v>
      </c>
      <c r="T10124">
        <v>39</v>
      </c>
      <c r="U10124" s="26" t="str">
        <f t="shared" si="368"/>
        <v>2023.010S.Nodaviridae_9sprenamed.zip</v>
      </c>
    </row>
    <row r="10125" spans="1:21">
      <c r="A10125">
        <v>10124</v>
      </c>
      <c r="B10125" s="27" t="s">
        <v>1124</v>
      </c>
      <c r="D10125" s="27" t="s">
        <v>1859</v>
      </c>
      <c r="F10125" s="27" t="s">
        <v>1867</v>
      </c>
      <c r="H10125" s="27" t="s">
        <v>1876</v>
      </c>
      <c r="J10125" s="27" t="s">
        <v>1877</v>
      </c>
      <c r="L10125" s="27" t="s">
        <v>269</v>
      </c>
      <c r="N10125" s="27" t="s">
        <v>270</v>
      </c>
      <c r="P10125" s="27" t="s">
        <v>14246</v>
      </c>
      <c r="Q10125" s="26" t="str">
        <f>HYPERLINK("https://ictv.global/taxonomy/taxondetails?taxnode_id=202503926&amp;ictv_id=ICTV19820586","ICTV19820586")</f>
        <v>ICTV19820586</v>
      </c>
      <c r="R10125" t="s">
        <v>581</v>
      </c>
      <c r="S10125" t="s">
        <v>824</v>
      </c>
      <c r="T10125">
        <v>39</v>
      </c>
      <c r="U10125" s="26" t="str">
        <f t="shared" si="368"/>
        <v>2023.010S.Nodaviridae_9sprenamed.zip</v>
      </c>
    </row>
    <row r="10126" spans="1:21">
      <c r="A10126">
        <v>10125</v>
      </c>
      <c r="B10126" s="27" t="s">
        <v>1124</v>
      </c>
      <c r="D10126" s="27" t="s">
        <v>1859</v>
      </c>
      <c r="F10126" s="27" t="s">
        <v>1867</v>
      </c>
      <c r="H10126" s="27" t="s">
        <v>1876</v>
      </c>
      <c r="J10126" s="27" t="s">
        <v>1877</v>
      </c>
      <c r="L10126" s="27" t="s">
        <v>269</v>
      </c>
      <c r="N10126" s="27" t="s">
        <v>270</v>
      </c>
      <c r="P10126" s="27" t="s">
        <v>14247</v>
      </c>
      <c r="Q10126" s="26" t="str">
        <f>HYPERLINK("https://ictv.global/taxonomy/taxondetails?taxnode_id=202503929&amp;ictv_id=ICTV19810542","ICTV19810542")</f>
        <v>ICTV19810542</v>
      </c>
      <c r="R10126" t="s">
        <v>581</v>
      </c>
      <c r="S10126" t="s">
        <v>824</v>
      </c>
      <c r="T10126">
        <v>39</v>
      </c>
      <c r="U10126" s="26" t="str">
        <f t="shared" si="368"/>
        <v>2023.010S.Nodaviridae_9sprenamed.zip</v>
      </c>
    </row>
    <row r="10127" spans="1:21">
      <c r="A10127">
        <v>10126</v>
      </c>
      <c r="B10127" s="27" t="s">
        <v>1124</v>
      </c>
      <c r="D10127" s="27" t="s">
        <v>1859</v>
      </c>
      <c r="F10127" s="27" t="s">
        <v>1867</v>
      </c>
      <c r="H10127" s="27" t="s">
        <v>1876</v>
      </c>
      <c r="J10127" s="27" t="s">
        <v>1877</v>
      </c>
      <c r="L10127" s="27" t="s">
        <v>269</v>
      </c>
      <c r="N10127" s="27" t="s">
        <v>270</v>
      </c>
      <c r="P10127" s="27" t="s">
        <v>14248</v>
      </c>
      <c r="Q10127" s="26" t="str">
        <f>HYPERLINK("https://ictv.global/taxonomy/taxondetails?taxnode_id=202503930&amp;ictv_id=ICTV20021206","ICTV20021206")</f>
        <v>ICTV20021206</v>
      </c>
      <c r="R10127" t="s">
        <v>581</v>
      </c>
      <c r="S10127" t="s">
        <v>824</v>
      </c>
      <c r="T10127">
        <v>39</v>
      </c>
      <c r="U10127" s="26" t="str">
        <f t="shared" si="368"/>
        <v>2023.010S.Nodaviridae_9sprenamed.zip</v>
      </c>
    </row>
    <row r="10128" spans="1:21">
      <c r="A10128">
        <v>10127</v>
      </c>
      <c r="B10128" s="27" t="s">
        <v>1124</v>
      </c>
      <c r="D10128" s="27" t="s">
        <v>1859</v>
      </c>
      <c r="F10128" s="27" t="s">
        <v>1867</v>
      </c>
      <c r="H10128" s="27" t="s">
        <v>1876</v>
      </c>
      <c r="J10128" s="27" t="s">
        <v>1877</v>
      </c>
      <c r="L10128" s="27" t="s">
        <v>269</v>
      </c>
      <c r="N10128" s="27" t="s">
        <v>271</v>
      </c>
      <c r="P10128" s="27" t="s">
        <v>14249</v>
      </c>
      <c r="Q10128" s="26" t="str">
        <f>HYPERLINK("https://ictv.global/taxonomy/taxondetails?taxnode_id=202503933&amp;ictv_id=ICTV19961425","ICTV19961425")</f>
        <v>ICTV19961425</v>
      </c>
      <c r="R10128" t="s">
        <v>581</v>
      </c>
      <c r="S10128" t="s">
        <v>824</v>
      </c>
      <c r="T10128">
        <v>39</v>
      </c>
      <c r="U10128" s="26" t="str">
        <f t="shared" si="368"/>
        <v>2023.010S.Nodaviridae_9sprenamed.zip</v>
      </c>
    </row>
    <row r="10129" spans="1:21">
      <c r="A10129">
        <v>10128</v>
      </c>
      <c r="B10129" s="27" t="s">
        <v>1124</v>
      </c>
      <c r="D10129" s="27" t="s">
        <v>1859</v>
      </c>
      <c r="F10129" s="27" t="s">
        <v>1867</v>
      </c>
      <c r="H10129" s="27" t="s">
        <v>1876</v>
      </c>
      <c r="J10129" s="27" t="s">
        <v>1877</v>
      </c>
      <c r="L10129" s="27" t="s">
        <v>269</v>
      </c>
      <c r="N10129" s="27" t="s">
        <v>271</v>
      </c>
      <c r="P10129" s="27" t="s">
        <v>14250</v>
      </c>
      <c r="Q10129" s="26" t="str">
        <f>HYPERLINK("https://ictv.global/taxonomy/taxondetails?taxnode_id=202503934&amp;ictv_id=ICTV19951375","ICTV19951375")</f>
        <v>ICTV19951375</v>
      </c>
      <c r="R10129" t="s">
        <v>581</v>
      </c>
      <c r="S10129" t="s">
        <v>824</v>
      </c>
      <c r="T10129">
        <v>39</v>
      </c>
      <c r="U10129" s="26" t="str">
        <f t="shared" si="368"/>
        <v>2023.010S.Nodaviridae_9sprenamed.zip</v>
      </c>
    </row>
    <row r="10130" spans="1:21">
      <c r="A10130">
        <v>10129</v>
      </c>
      <c r="B10130" s="27" t="s">
        <v>1124</v>
      </c>
      <c r="D10130" s="27" t="s">
        <v>1859</v>
      </c>
      <c r="F10130" s="27" t="s">
        <v>1867</v>
      </c>
      <c r="H10130" s="27" t="s">
        <v>1876</v>
      </c>
      <c r="J10130" s="27" t="s">
        <v>1877</v>
      </c>
      <c r="L10130" s="27" t="s">
        <v>269</v>
      </c>
      <c r="N10130" s="27" t="s">
        <v>271</v>
      </c>
      <c r="P10130" s="27" t="s">
        <v>14251</v>
      </c>
      <c r="Q10130" s="26" t="str">
        <f>HYPERLINK("https://ictv.global/taxonomy/taxondetails?taxnode_id=202503935&amp;ictv_id=ICTV19961427","ICTV19961427")</f>
        <v>ICTV19961427</v>
      </c>
      <c r="R10130" t="s">
        <v>581</v>
      </c>
      <c r="S10130" t="s">
        <v>824</v>
      </c>
      <c r="T10130">
        <v>39</v>
      </c>
      <c r="U10130" s="26" t="str">
        <f t="shared" si="368"/>
        <v>2023.010S.Nodaviridae_9sprenamed.zip</v>
      </c>
    </row>
    <row r="10131" spans="1:21">
      <c r="A10131">
        <v>10130</v>
      </c>
      <c r="B10131" s="27" t="s">
        <v>1124</v>
      </c>
      <c r="D10131" s="27" t="s">
        <v>1859</v>
      </c>
      <c r="F10131" s="27" t="s">
        <v>1867</v>
      </c>
      <c r="H10131" s="27" t="s">
        <v>1876</v>
      </c>
      <c r="J10131" s="27" t="s">
        <v>1877</v>
      </c>
      <c r="L10131" s="27" t="s">
        <v>269</v>
      </c>
      <c r="N10131" s="27" t="s">
        <v>271</v>
      </c>
      <c r="P10131" s="27" t="s">
        <v>14252</v>
      </c>
      <c r="Q10131" s="26" t="str">
        <f>HYPERLINK("https://ictv.global/taxonomy/taxondetails?taxnode_id=202503932&amp;ictv_id=ICTV19961421","ICTV19961421")</f>
        <v>ICTV19961421</v>
      </c>
      <c r="R10131" t="s">
        <v>581</v>
      </c>
      <c r="S10131" t="s">
        <v>824</v>
      </c>
      <c r="T10131">
        <v>39</v>
      </c>
      <c r="U10131" s="26" t="str">
        <f t="shared" si="368"/>
        <v>2023.010S.Nodaviridae_9sprenamed.zip</v>
      </c>
    </row>
    <row r="10132" spans="1:21">
      <c r="A10132">
        <v>10131</v>
      </c>
      <c r="B10132" s="27" t="s">
        <v>1124</v>
      </c>
      <c r="D10132" s="27" t="s">
        <v>1859</v>
      </c>
      <c r="F10132" s="27" t="s">
        <v>1867</v>
      </c>
      <c r="H10132" s="27" t="s">
        <v>1876</v>
      </c>
      <c r="J10132" s="27" t="s">
        <v>1877</v>
      </c>
      <c r="L10132" s="27" t="s">
        <v>1878</v>
      </c>
      <c r="N10132" s="27" t="s">
        <v>715</v>
      </c>
      <c r="P10132" s="27" t="s">
        <v>20846</v>
      </c>
      <c r="Q10132" s="26" t="str">
        <f>HYPERLINK("https://ictv.global/taxonomy/taxondetails?taxnode_id=202505368&amp;ictv_id=ICTV20154614","ICTV20154614")</f>
        <v>ICTV20154614</v>
      </c>
      <c r="R10132" t="s">
        <v>581</v>
      </c>
      <c r="S10132" t="s">
        <v>824</v>
      </c>
      <c r="T10132">
        <v>41</v>
      </c>
      <c r="U10132" s="26" t="str">
        <f>HYPERLINK("https://ictv.global/ictv/proposals/2025.004S.Sinaivirus_2spren.zip","2025.004S.Sinaivirus_2spren.zip")</f>
        <v>2025.004S.Sinaivirus_2spren.zip</v>
      </c>
    </row>
    <row r="10133" spans="1:21">
      <c r="A10133">
        <v>10132</v>
      </c>
      <c r="B10133" s="27" t="s">
        <v>1124</v>
      </c>
      <c r="D10133" s="27" t="s">
        <v>1859</v>
      </c>
      <c r="F10133" s="27" t="s">
        <v>1867</v>
      </c>
      <c r="H10133" s="27" t="s">
        <v>1876</v>
      </c>
      <c r="J10133" s="27" t="s">
        <v>1877</v>
      </c>
      <c r="L10133" s="27" t="s">
        <v>1878</v>
      </c>
      <c r="N10133" s="27" t="s">
        <v>715</v>
      </c>
      <c r="P10133" s="27" t="s">
        <v>20847</v>
      </c>
      <c r="Q10133" s="26" t="str">
        <f>HYPERLINK("https://ictv.global/taxonomy/taxondetails?taxnode_id=202505369&amp;ictv_id=ICTV20154615","ICTV20154615")</f>
        <v>ICTV20154615</v>
      </c>
      <c r="R10133" t="s">
        <v>581</v>
      </c>
      <c r="S10133" t="s">
        <v>824</v>
      </c>
      <c r="T10133">
        <v>41</v>
      </c>
      <c r="U10133" s="26" t="str">
        <f>HYPERLINK("https://ictv.global/ictv/proposals/2025.004S.Sinaivirus_2spren.zip","2025.004S.Sinaivirus_2spren.zip")</f>
        <v>2025.004S.Sinaivirus_2spren.zip</v>
      </c>
    </row>
    <row r="10134" spans="1:21">
      <c r="A10134">
        <v>10133</v>
      </c>
      <c r="B10134" s="27" t="s">
        <v>1124</v>
      </c>
      <c r="D10134" s="27" t="s">
        <v>1859</v>
      </c>
      <c r="F10134" s="27" t="s">
        <v>1867</v>
      </c>
      <c r="H10134" s="27" t="s">
        <v>1879</v>
      </c>
      <c r="J10134" s="27" t="s">
        <v>1880</v>
      </c>
      <c r="L10134" s="27" t="s">
        <v>21318</v>
      </c>
      <c r="N10134" s="27" t="s">
        <v>21319</v>
      </c>
      <c r="P10134" s="27" t="s">
        <v>21326</v>
      </c>
      <c r="Q10134" s="26" t="str">
        <f>HYPERLINK("https://ictv.global/taxonomy/taxondetails?taxnode_id=202522220&amp;ictv_id=ICTV202522220","ICTV202522220")</f>
        <v>ICTV202522220</v>
      </c>
      <c r="R10134" t="s">
        <v>581</v>
      </c>
      <c r="S10134" t="s">
        <v>823</v>
      </c>
      <c r="T10134">
        <v>41</v>
      </c>
      <c r="U10134" s="26" t="str">
        <f t="shared" ref="U10134:U10175" si="369">HYPERLINK("https://ictv.global/ictv/proposals/2025.005F.Ambiguiviridae_newfam.zip","2025.005F.Ambiguiviridae_newfam.zip")</f>
        <v>2025.005F.Ambiguiviridae_newfam.zip</v>
      </c>
    </row>
    <row r="10135" spans="1:21">
      <c r="A10135">
        <v>10134</v>
      </c>
      <c r="B10135" s="27" t="s">
        <v>1124</v>
      </c>
      <c r="D10135" s="27" t="s">
        <v>1859</v>
      </c>
      <c r="F10135" s="27" t="s">
        <v>1867</v>
      </c>
      <c r="H10135" s="27" t="s">
        <v>1879</v>
      </c>
      <c r="J10135" s="27" t="s">
        <v>1880</v>
      </c>
      <c r="L10135" s="27" t="s">
        <v>21318</v>
      </c>
      <c r="N10135" s="27" t="s">
        <v>21319</v>
      </c>
      <c r="P10135" s="27" t="s">
        <v>21341</v>
      </c>
      <c r="Q10135" s="26" t="str">
        <f>HYPERLINK("https://ictv.global/taxonomy/taxondetails?taxnode_id=202522235&amp;ictv_id=ICTV202522235","ICTV202522235")</f>
        <v>ICTV202522235</v>
      </c>
      <c r="R10135" t="s">
        <v>581</v>
      </c>
      <c r="S10135" t="s">
        <v>823</v>
      </c>
      <c r="T10135">
        <v>41</v>
      </c>
      <c r="U10135" s="26" t="str">
        <f t="shared" si="369"/>
        <v>2025.005F.Ambiguiviridae_newfam.zip</v>
      </c>
    </row>
    <row r="10136" spans="1:21">
      <c r="A10136">
        <v>10135</v>
      </c>
      <c r="B10136" s="27" t="s">
        <v>1124</v>
      </c>
      <c r="D10136" s="27" t="s">
        <v>1859</v>
      </c>
      <c r="F10136" s="27" t="s">
        <v>1867</v>
      </c>
      <c r="H10136" s="27" t="s">
        <v>1879</v>
      </c>
      <c r="J10136" s="27" t="s">
        <v>1880</v>
      </c>
      <c r="L10136" s="27" t="s">
        <v>21318</v>
      </c>
      <c r="N10136" s="27" t="s">
        <v>21319</v>
      </c>
      <c r="P10136" s="27" t="s">
        <v>21330</v>
      </c>
      <c r="Q10136" s="26" t="str">
        <f>HYPERLINK("https://ictv.global/taxonomy/taxondetails?taxnode_id=202522224&amp;ictv_id=ICTV202522224","ICTV202522224")</f>
        <v>ICTV202522224</v>
      </c>
      <c r="R10136" t="s">
        <v>581</v>
      </c>
      <c r="S10136" t="s">
        <v>823</v>
      </c>
      <c r="T10136">
        <v>41</v>
      </c>
      <c r="U10136" s="26" t="str">
        <f t="shared" si="369"/>
        <v>2025.005F.Ambiguiviridae_newfam.zip</v>
      </c>
    </row>
    <row r="10137" spans="1:21">
      <c r="A10137">
        <v>10136</v>
      </c>
      <c r="B10137" s="27" t="s">
        <v>1124</v>
      </c>
      <c r="D10137" s="27" t="s">
        <v>1859</v>
      </c>
      <c r="F10137" s="27" t="s">
        <v>1867</v>
      </c>
      <c r="H10137" s="27" t="s">
        <v>1879</v>
      </c>
      <c r="J10137" s="27" t="s">
        <v>1880</v>
      </c>
      <c r="L10137" s="27" t="s">
        <v>21318</v>
      </c>
      <c r="N10137" s="27" t="s">
        <v>21319</v>
      </c>
      <c r="P10137" s="27" t="s">
        <v>21347</v>
      </c>
      <c r="Q10137" s="26" t="str">
        <f>HYPERLINK("https://ictv.global/taxonomy/taxondetails?taxnode_id=202522241&amp;ictv_id=ICTV202522241","ICTV202522241")</f>
        <v>ICTV202522241</v>
      </c>
      <c r="R10137" t="s">
        <v>581</v>
      </c>
      <c r="S10137" t="s">
        <v>823</v>
      </c>
      <c r="T10137">
        <v>41</v>
      </c>
      <c r="U10137" s="26" t="str">
        <f t="shared" si="369"/>
        <v>2025.005F.Ambiguiviridae_newfam.zip</v>
      </c>
    </row>
    <row r="10138" spans="1:21">
      <c r="A10138">
        <v>10137</v>
      </c>
      <c r="B10138" s="27" t="s">
        <v>1124</v>
      </c>
      <c r="D10138" s="27" t="s">
        <v>1859</v>
      </c>
      <c r="F10138" s="27" t="s">
        <v>1867</v>
      </c>
      <c r="H10138" s="27" t="s">
        <v>1879</v>
      </c>
      <c r="J10138" s="27" t="s">
        <v>1880</v>
      </c>
      <c r="L10138" s="27" t="s">
        <v>21318</v>
      </c>
      <c r="N10138" s="27" t="s">
        <v>21319</v>
      </c>
      <c r="P10138" s="27" t="s">
        <v>21333</v>
      </c>
      <c r="Q10138" s="26" t="str">
        <f>HYPERLINK("https://ictv.global/taxonomy/taxondetails?taxnode_id=202522227&amp;ictv_id=ICTV202522227","ICTV202522227")</f>
        <v>ICTV202522227</v>
      </c>
      <c r="R10138" t="s">
        <v>581</v>
      </c>
      <c r="S10138" t="s">
        <v>823</v>
      </c>
      <c r="T10138">
        <v>41</v>
      </c>
      <c r="U10138" s="26" t="str">
        <f t="shared" si="369"/>
        <v>2025.005F.Ambiguiviridae_newfam.zip</v>
      </c>
    </row>
    <row r="10139" spans="1:21">
      <c r="A10139">
        <v>10138</v>
      </c>
      <c r="B10139" s="27" t="s">
        <v>1124</v>
      </c>
      <c r="D10139" s="27" t="s">
        <v>1859</v>
      </c>
      <c r="F10139" s="27" t="s">
        <v>1867</v>
      </c>
      <c r="H10139" s="27" t="s">
        <v>1879</v>
      </c>
      <c r="J10139" s="27" t="s">
        <v>1880</v>
      </c>
      <c r="L10139" s="27" t="s">
        <v>21318</v>
      </c>
      <c r="N10139" s="27" t="s">
        <v>21319</v>
      </c>
      <c r="P10139" s="27" t="s">
        <v>21320</v>
      </c>
      <c r="Q10139" s="26" t="str">
        <f>HYPERLINK("https://ictv.global/taxonomy/taxondetails?taxnode_id=202522214&amp;ictv_id=ICTV202522214","ICTV202522214")</f>
        <v>ICTV202522214</v>
      </c>
      <c r="R10139" t="s">
        <v>581</v>
      </c>
      <c r="S10139" t="s">
        <v>823</v>
      </c>
      <c r="T10139">
        <v>41</v>
      </c>
      <c r="U10139" s="26" t="str">
        <f t="shared" si="369"/>
        <v>2025.005F.Ambiguiviridae_newfam.zip</v>
      </c>
    </row>
    <row r="10140" spans="1:21">
      <c r="A10140">
        <v>10139</v>
      </c>
      <c r="B10140" s="27" t="s">
        <v>1124</v>
      </c>
      <c r="D10140" s="27" t="s">
        <v>1859</v>
      </c>
      <c r="F10140" s="27" t="s">
        <v>1867</v>
      </c>
      <c r="H10140" s="27" t="s">
        <v>1879</v>
      </c>
      <c r="J10140" s="27" t="s">
        <v>1880</v>
      </c>
      <c r="L10140" s="27" t="s">
        <v>21318</v>
      </c>
      <c r="N10140" s="27" t="s">
        <v>21319</v>
      </c>
      <c r="P10140" s="27" t="s">
        <v>21327</v>
      </c>
      <c r="Q10140" s="26" t="str">
        <f>HYPERLINK("https://ictv.global/taxonomy/taxondetails?taxnode_id=202522221&amp;ictv_id=ICTV202522221","ICTV202522221")</f>
        <v>ICTV202522221</v>
      </c>
      <c r="R10140" t="s">
        <v>581</v>
      </c>
      <c r="S10140" t="s">
        <v>823</v>
      </c>
      <c r="T10140">
        <v>41</v>
      </c>
      <c r="U10140" s="26" t="str">
        <f t="shared" si="369"/>
        <v>2025.005F.Ambiguiviridae_newfam.zip</v>
      </c>
    </row>
    <row r="10141" spans="1:21">
      <c r="A10141">
        <v>10140</v>
      </c>
      <c r="B10141" s="27" t="s">
        <v>1124</v>
      </c>
      <c r="D10141" s="27" t="s">
        <v>1859</v>
      </c>
      <c r="F10141" s="27" t="s">
        <v>1867</v>
      </c>
      <c r="H10141" s="27" t="s">
        <v>1879</v>
      </c>
      <c r="J10141" s="27" t="s">
        <v>1880</v>
      </c>
      <c r="L10141" s="27" t="s">
        <v>21318</v>
      </c>
      <c r="N10141" s="27" t="s">
        <v>21319</v>
      </c>
      <c r="P10141" s="27" t="s">
        <v>21342</v>
      </c>
      <c r="Q10141" s="26" t="str">
        <f>HYPERLINK("https://ictv.global/taxonomy/taxondetails?taxnode_id=202522236&amp;ictv_id=ICTV202522236","ICTV202522236")</f>
        <v>ICTV202522236</v>
      </c>
      <c r="R10141" t="s">
        <v>581</v>
      </c>
      <c r="S10141" t="s">
        <v>823</v>
      </c>
      <c r="T10141">
        <v>41</v>
      </c>
      <c r="U10141" s="26" t="str">
        <f t="shared" si="369"/>
        <v>2025.005F.Ambiguiviridae_newfam.zip</v>
      </c>
    </row>
    <row r="10142" spans="1:21">
      <c r="A10142">
        <v>10141</v>
      </c>
      <c r="B10142" s="27" t="s">
        <v>1124</v>
      </c>
      <c r="D10142" s="27" t="s">
        <v>1859</v>
      </c>
      <c r="F10142" s="27" t="s">
        <v>1867</v>
      </c>
      <c r="H10142" s="27" t="s">
        <v>1879</v>
      </c>
      <c r="J10142" s="27" t="s">
        <v>1880</v>
      </c>
      <c r="L10142" s="27" t="s">
        <v>21318</v>
      </c>
      <c r="N10142" s="27" t="s">
        <v>21319</v>
      </c>
      <c r="P10142" s="27" t="s">
        <v>21345</v>
      </c>
      <c r="Q10142" s="26" t="str">
        <f>HYPERLINK("https://ictv.global/taxonomy/taxondetails?taxnode_id=202522239&amp;ictv_id=ICTV202522239","ICTV202522239")</f>
        <v>ICTV202522239</v>
      </c>
      <c r="R10142" t="s">
        <v>581</v>
      </c>
      <c r="S10142" t="s">
        <v>823</v>
      </c>
      <c r="T10142">
        <v>41</v>
      </c>
      <c r="U10142" s="26" t="str">
        <f t="shared" si="369"/>
        <v>2025.005F.Ambiguiviridae_newfam.zip</v>
      </c>
    </row>
    <row r="10143" spans="1:21">
      <c r="A10143">
        <v>10142</v>
      </c>
      <c r="B10143" s="27" t="s">
        <v>1124</v>
      </c>
      <c r="D10143" s="27" t="s">
        <v>1859</v>
      </c>
      <c r="F10143" s="27" t="s">
        <v>1867</v>
      </c>
      <c r="H10143" s="27" t="s">
        <v>1879</v>
      </c>
      <c r="J10143" s="27" t="s">
        <v>1880</v>
      </c>
      <c r="L10143" s="27" t="s">
        <v>21318</v>
      </c>
      <c r="N10143" s="27" t="s">
        <v>21319</v>
      </c>
      <c r="P10143" s="27" t="s">
        <v>21348</v>
      </c>
      <c r="Q10143" s="26" t="str">
        <f>HYPERLINK("https://ictv.global/taxonomy/taxondetails?taxnode_id=202522242&amp;ictv_id=ICTV202522242","ICTV202522242")</f>
        <v>ICTV202522242</v>
      </c>
      <c r="R10143" t="s">
        <v>581</v>
      </c>
      <c r="S10143" t="s">
        <v>823</v>
      </c>
      <c r="T10143">
        <v>41</v>
      </c>
      <c r="U10143" s="26" t="str">
        <f t="shared" si="369"/>
        <v>2025.005F.Ambiguiviridae_newfam.zip</v>
      </c>
    </row>
    <row r="10144" spans="1:21">
      <c r="A10144">
        <v>10143</v>
      </c>
      <c r="B10144" s="27" t="s">
        <v>1124</v>
      </c>
      <c r="D10144" s="27" t="s">
        <v>1859</v>
      </c>
      <c r="F10144" s="27" t="s">
        <v>1867</v>
      </c>
      <c r="H10144" s="27" t="s">
        <v>1879</v>
      </c>
      <c r="J10144" s="27" t="s">
        <v>1880</v>
      </c>
      <c r="L10144" s="27" t="s">
        <v>21318</v>
      </c>
      <c r="N10144" s="27" t="s">
        <v>21319</v>
      </c>
      <c r="P10144" s="27" t="s">
        <v>21334</v>
      </c>
      <c r="Q10144" s="26" t="str">
        <f>HYPERLINK("https://ictv.global/taxonomy/taxondetails?taxnode_id=202522228&amp;ictv_id=ICTV202522228","ICTV202522228")</f>
        <v>ICTV202522228</v>
      </c>
      <c r="R10144" t="s">
        <v>581</v>
      </c>
      <c r="S10144" t="s">
        <v>823</v>
      </c>
      <c r="T10144">
        <v>41</v>
      </c>
      <c r="U10144" s="26" t="str">
        <f t="shared" si="369"/>
        <v>2025.005F.Ambiguiviridae_newfam.zip</v>
      </c>
    </row>
    <row r="10145" spans="1:21">
      <c r="A10145">
        <v>10144</v>
      </c>
      <c r="B10145" s="27" t="s">
        <v>1124</v>
      </c>
      <c r="D10145" s="27" t="s">
        <v>1859</v>
      </c>
      <c r="F10145" s="27" t="s">
        <v>1867</v>
      </c>
      <c r="H10145" s="27" t="s">
        <v>1879</v>
      </c>
      <c r="J10145" s="27" t="s">
        <v>1880</v>
      </c>
      <c r="L10145" s="27" t="s">
        <v>21318</v>
      </c>
      <c r="N10145" s="27" t="s">
        <v>21319</v>
      </c>
      <c r="P10145" s="27" t="s">
        <v>21321</v>
      </c>
      <c r="Q10145" s="26" t="str">
        <f>HYPERLINK("https://ictv.global/taxonomy/taxondetails?taxnode_id=202522215&amp;ictv_id=ICTV202522215","ICTV202522215")</f>
        <v>ICTV202522215</v>
      </c>
      <c r="R10145" t="s">
        <v>581</v>
      </c>
      <c r="S10145" t="s">
        <v>823</v>
      </c>
      <c r="T10145">
        <v>41</v>
      </c>
      <c r="U10145" s="26" t="str">
        <f t="shared" si="369"/>
        <v>2025.005F.Ambiguiviridae_newfam.zip</v>
      </c>
    </row>
    <row r="10146" spans="1:21">
      <c r="A10146">
        <v>10145</v>
      </c>
      <c r="B10146" s="27" t="s">
        <v>1124</v>
      </c>
      <c r="D10146" s="27" t="s">
        <v>1859</v>
      </c>
      <c r="F10146" s="27" t="s">
        <v>1867</v>
      </c>
      <c r="H10146" s="27" t="s">
        <v>1879</v>
      </c>
      <c r="J10146" s="27" t="s">
        <v>1880</v>
      </c>
      <c r="L10146" s="27" t="s">
        <v>21318</v>
      </c>
      <c r="N10146" s="27" t="s">
        <v>21319</v>
      </c>
      <c r="P10146" s="27" t="s">
        <v>21322</v>
      </c>
      <c r="Q10146" s="26" t="str">
        <f>HYPERLINK("https://ictv.global/taxonomy/taxondetails?taxnode_id=202522216&amp;ictv_id=ICTV202522216","ICTV202522216")</f>
        <v>ICTV202522216</v>
      </c>
      <c r="R10146" t="s">
        <v>581</v>
      </c>
      <c r="S10146" t="s">
        <v>823</v>
      </c>
      <c r="T10146">
        <v>41</v>
      </c>
      <c r="U10146" s="26" t="str">
        <f t="shared" si="369"/>
        <v>2025.005F.Ambiguiviridae_newfam.zip</v>
      </c>
    </row>
    <row r="10147" spans="1:21">
      <c r="A10147">
        <v>10146</v>
      </c>
      <c r="B10147" s="27" t="s">
        <v>1124</v>
      </c>
      <c r="D10147" s="27" t="s">
        <v>1859</v>
      </c>
      <c r="F10147" s="27" t="s">
        <v>1867</v>
      </c>
      <c r="H10147" s="27" t="s">
        <v>1879</v>
      </c>
      <c r="J10147" s="27" t="s">
        <v>1880</v>
      </c>
      <c r="L10147" s="27" t="s">
        <v>21318</v>
      </c>
      <c r="N10147" s="27" t="s">
        <v>21319</v>
      </c>
      <c r="P10147" s="27" t="s">
        <v>21323</v>
      </c>
      <c r="Q10147" s="26" t="str">
        <f>HYPERLINK("https://ictv.global/taxonomy/taxondetails?taxnode_id=202522217&amp;ictv_id=ICTV202522217","ICTV202522217")</f>
        <v>ICTV202522217</v>
      </c>
      <c r="R10147" t="s">
        <v>581</v>
      </c>
      <c r="S10147" t="s">
        <v>823</v>
      </c>
      <c r="T10147">
        <v>41</v>
      </c>
      <c r="U10147" s="26" t="str">
        <f t="shared" si="369"/>
        <v>2025.005F.Ambiguiviridae_newfam.zip</v>
      </c>
    </row>
    <row r="10148" spans="1:21">
      <c r="A10148">
        <v>10147</v>
      </c>
      <c r="B10148" s="27" t="s">
        <v>1124</v>
      </c>
      <c r="D10148" s="27" t="s">
        <v>1859</v>
      </c>
      <c r="F10148" s="27" t="s">
        <v>1867</v>
      </c>
      <c r="H10148" s="27" t="s">
        <v>1879</v>
      </c>
      <c r="J10148" s="27" t="s">
        <v>1880</v>
      </c>
      <c r="L10148" s="27" t="s">
        <v>21318</v>
      </c>
      <c r="N10148" s="27" t="s">
        <v>21319</v>
      </c>
      <c r="P10148" s="27" t="s">
        <v>21329</v>
      </c>
      <c r="Q10148" s="26" t="str">
        <f>HYPERLINK("https://ictv.global/taxonomy/taxondetails?taxnode_id=202522223&amp;ictv_id=ICTV202522223","ICTV202522223")</f>
        <v>ICTV202522223</v>
      </c>
      <c r="R10148" t="s">
        <v>581</v>
      </c>
      <c r="S10148" t="s">
        <v>823</v>
      </c>
      <c r="T10148">
        <v>41</v>
      </c>
      <c r="U10148" s="26" t="str">
        <f t="shared" si="369"/>
        <v>2025.005F.Ambiguiviridae_newfam.zip</v>
      </c>
    </row>
    <row r="10149" spans="1:21">
      <c r="A10149">
        <v>10148</v>
      </c>
      <c r="B10149" s="27" t="s">
        <v>1124</v>
      </c>
      <c r="D10149" s="27" t="s">
        <v>1859</v>
      </c>
      <c r="F10149" s="27" t="s">
        <v>1867</v>
      </c>
      <c r="H10149" s="27" t="s">
        <v>1879</v>
      </c>
      <c r="J10149" s="27" t="s">
        <v>1880</v>
      </c>
      <c r="L10149" s="27" t="s">
        <v>21318</v>
      </c>
      <c r="N10149" s="27" t="s">
        <v>21319</v>
      </c>
      <c r="P10149" s="27" t="s">
        <v>21324</v>
      </c>
      <c r="Q10149" s="26" t="str">
        <f>HYPERLINK("https://ictv.global/taxonomy/taxondetails?taxnode_id=202522218&amp;ictv_id=ICTV202522218","ICTV202522218")</f>
        <v>ICTV202522218</v>
      </c>
      <c r="R10149" t="s">
        <v>581</v>
      </c>
      <c r="S10149" t="s">
        <v>823</v>
      </c>
      <c r="T10149">
        <v>41</v>
      </c>
      <c r="U10149" s="26" t="str">
        <f t="shared" si="369"/>
        <v>2025.005F.Ambiguiviridae_newfam.zip</v>
      </c>
    </row>
    <row r="10150" spans="1:21">
      <c r="A10150">
        <v>10149</v>
      </c>
      <c r="B10150" s="27" t="s">
        <v>1124</v>
      </c>
      <c r="D10150" s="27" t="s">
        <v>1859</v>
      </c>
      <c r="F10150" s="27" t="s">
        <v>1867</v>
      </c>
      <c r="H10150" s="27" t="s">
        <v>1879</v>
      </c>
      <c r="J10150" s="27" t="s">
        <v>1880</v>
      </c>
      <c r="L10150" s="27" t="s">
        <v>21318</v>
      </c>
      <c r="N10150" s="27" t="s">
        <v>21319</v>
      </c>
      <c r="P10150" s="27" t="s">
        <v>21325</v>
      </c>
      <c r="Q10150" s="26" t="str">
        <f>HYPERLINK("https://ictv.global/taxonomy/taxondetails?taxnode_id=202522219&amp;ictv_id=ICTV202522219","ICTV202522219")</f>
        <v>ICTV202522219</v>
      </c>
      <c r="R10150" t="s">
        <v>581</v>
      </c>
      <c r="S10150" t="s">
        <v>823</v>
      </c>
      <c r="T10150">
        <v>41</v>
      </c>
      <c r="U10150" s="26" t="str">
        <f t="shared" si="369"/>
        <v>2025.005F.Ambiguiviridae_newfam.zip</v>
      </c>
    </row>
    <row r="10151" spans="1:21">
      <c r="A10151">
        <v>10150</v>
      </c>
      <c r="B10151" s="27" t="s">
        <v>1124</v>
      </c>
      <c r="D10151" s="27" t="s">
        <v>1859</v>
      </c>
      <c r="F10151" s="27" t="s">
        <v>1867</v>
      </c>
      <c r="H10151" s="27" t="s">
        <v>1879</v>
      </c>
      <c r="J10151" s="27" t="s">
        <v>1880</v>
      </c>
      <c r="L10151" s="27" t="s">
        <v>21318</v>
      </c>
      <c r="N10151" s="27" t="s">
        <v>21319</v>
      </c>
      <c r="P10151" s="27" t="s">
        <v>21331</v>
      </c>
      <c r="Q10151" s="26" t="str">
        <f>HYPERLINK("https://ictv.global/taxonomy/taxondetails?taxnode_id=202522225&amp;ictv_id=ICTV202522225","ICTV202522225")</f>
        <v>ICTV202522225</v>
      </c>
      <c r="R10151" t="s">
        <v>581</v>
      </c>
      <c r="S10151" t="s">
        <v>823</v>
      </c>
      <c r="T10151">
        <v>41</v>
      </c>
      <c r="U10151" s="26" t="str">
        <f t="shared" si="369"/>
        <v>2025.005F.Ambiguiviridae_newfam.zip</v>
      </c>
    </row>
    <row r="10152" spans="1:21">
      <c r="A10152">
        <v>10151</v>
      </c>
      <c r="B10152" s="27" t="s">
        <v>1124</v>
      </c>
      <c r="D10152" s="27" t="s">
        <v>1859</v>
      </c>
      <c r="F10152" s="27" t="s">
        <v>1867</v>
      </c>
      <c r="H10152" s="27" t="s">
        <v>1879</v>
      </c>
      <c r="J10152" s="27" t="s">
        <v>1880</v>
      </c>
      <c r="L10152" s="27" t="s">
        <v>21318</v>
      </c>
      <c r="N10152" s="27" t="s">
        <v>21319</v>
      </c>
      <c r="P10152" s="27" t="s">
        <v>21328</v>
      </c>
      <c r="Q10152" s="26" t="str">
        <f>HYPERLINK("https://ictv.global/taxonomy/taxondetails?taxnode_id=202522222&amp;ictv_id=ICTV202522222","ICTV202522222")</f>
        <v>ICTV202522222</v>
      </c>
      <c r="R10152" t="s">
        <v>581</v>
      </c>
      <c r="S10152" t="s">
        <v>823</v>
      </c>
      <c r="T10152">
        <v>41</v>
      </c>
      <c r="U10152" s="26" t="str">
        <f t="shared" si="369"/>
        <v>2025.005F.Ambiguiviridae_newfam.zip</v>
      </c>
    </row>
    <row r="10153" spans="1:21">
      <c r="A10153">
        <v>10152</v>
      </c>
      <c r="B10153" s="27" t="s">
        <v>1124</v>
      </c>
      <c r="D10153" s="27" t="s">
        <v>1859</v>
      </c>
      <c r="F10153" s="27" t="s">
        <v>1867</v>
      </c>
      <c r="H10153" s="27" t="s">
        <v>1879</v>
      </c>
      <c r="J10153" s="27" t="s">
        <v>1880</v>
      </c>
      <c r="L10153" s="27" t="s">
        <v>21318</v>
      </c>
      <c r="N10153" s="27" t="s">
        <v>21319</v>
      </c>
      <c r="P10153" s="27" t="s">
        <v>21343</v>
      </c>
      <c r="Q10153" s="26" t="str">
        <f>HYPERLINK("https://ictv.global/taxonomy/taxondetails?taxnode_id=202522237&amp;ictv_id=ICTV202522237","ICTV202522237")</f>
        <v>ICTV202522237</v>
      </c>
      <c r="R10153" t="s">
        <v>581</v>
      </c>
      <c r="S10153" t="s">
        <v>823</v>
      </c>
      <c r="T10153">
        <v>41</v>
      </c>
      <c r="U10153" s="26" t="str">
        <f t="shared" si="369"/>
        <v>2025.005F.Ambiguiviridae_newfam.zip</v>
      </c>
    </row>
    <row r="10154" spans="1:21">
      <c r="A10154">
        <v>10153</v>
      </c>
      <c r="B10154" s="27" t="s">
        <v>1124</v>
      </c>
      <c r="D10154" s="27" t="s">
        <v>1859</v>
      </c>
      <c r="F10154" s="27" t="s">
        <v>1867</v>
      </c>
      <c r="H10154" s="27" t="s">
        <v>1879</v>
      </c>
      <c r="J10154" s="27" t="s">
        <v>1880</v>
      </c>
      <c r="L10154" s="27" t="s">
        <v>21318</v>
      </c>
      <c r="N10154" s="27" t="s">
        <v>21319</v>
      </c>
      <c r="P10154" s="27" t="s">
        <v>21332</v>
      </c>
      <c r="Q10154" s="26" t="str">
        <f>HYPERLINK("https://ictv.global/taxonomy/taxondetails?taxnode_id=202522226&amp;ictv_id=ICTV202522226","ICTV202522226")</f>
        <v>ICTV202522226</v>
      </c>
      <c r="R10154" t="s">
        <v>581</v>
      </c>
      <c r="S10154" t="s">
        <v>823</v>
      </c>
      <c r="T10154">
        <v>41</v>
      </c>
      <c r="U10154" s="26" t="str">
        <f t="shared" si="369"/>
        <v>2025.005F.Ambiguiviridae_newfam.zip</v>
      </c>
    </row>
    <row r="10155" spans="1:21">
      <c r="A10155">
        <v>10154</v>
      </c>
      <c r="B10155" s="27" t="s">
        <v>1124</v>
      </c>
      <c r="D10155" s="27" t="s">
        <v>1859</v>
      </c>
      <c r="F10155" s="27" t="s">
        <v>1867</v>
      </c>
      <c r="H10155" s="27" t="s">
        <v>1879</v>
      </c>
      <c r="J10155" s="27" t="s">
        <v>1880</v>
      </c>
      <c r="L10155" s="27" t="s">
        <v>21318</v>
      </c>
      <c r="N10155" s="27" t="s">
        <v>21319</v>
      </c>
      <c r="P10155" s="27" t="s">
        <v>21340</v>
      </c>
      <c r="Q10155" s="26" t="str">
        <f>HYPERLINK("https://ictv.global/taxonomy/taxondetails?taxnode_id=202522234&amp;ictv_id=ICTV202522234","ICTV202522234")</f>
        <v>ICTV202522234</v>
      </c>
      <c r="R10155" t="s">
        <v>581</v>
      </c>
      <c r="S10155" t="s">
        <v>823</v>
      </c>
      <c r="T10155">
        <v>41</v>
      </c>
      <c r="U10155" s="26" t="str">
        <f t="shared" si="369"/>
        <v>2025.005F.Ambiguiviridae_newfam.zip</v>
      </c>
    </row>
    <row r="10156" spans="1:21">
      <c r="A10156">
        <v>10155</v>
      </c>
      <c r="B10156" s="27" t="s">
        <v>1124</v>
      </c>
      <c r="D10156" s="27" t="s">
        <v>1859</v>
      </c>
      <c r="F10156" s="27" t="s">
        <v>1867</v>
      </c>
      <c r="H10156" s="27" t="s">
        <v>1879</v>
      </c>
      <c r="J10156" s="27" t="s">
        <v>1880</v>
      </c>
      <c r="L10156" s="27" t="s">
        <v>21318</v>
      </c>
      <c r="N10156" s="27" t="s">
        <v>21319</v>
      </c>
      <c r="P10156" s="27" t="s">
        <v>21335</v>
      </c>
      <c r="Q10156" s="26" t="str">
        <f>HYPERLINK("https://ictv.global/taxonomy/taxondetails?taxnode_id=202522229&amp;ictv_id=ICTV202522229","ICTV202522229")</f>
        <v>ICTV202522229</v>
      </c>
      <c r="R10156" t="s">
        <v>581</v>
      </c>
      <c r="S10156" t="s">
        <v>823</v>
      </c>
      <c r="T10156">
        <v>41</v>
      </c>
      <c r="U10156" s="26" t="str">
        <f t="shared" si="369"/>
        <v>2025.005F.Ambiguiviridae_newfam.zip</v>
      </c>
    </row>
    <row r="10157" spans="1:21">
      <c r="A10157">
        <v>10156</v>
      </c>
      <c r="B10157" s="27" t="s">
        <v>1124</v>
      </c>
      <c r="D10157" s="27" t="s">
        <v>1859</v>
      </c>
      <c r="F10157" s="27" t="s">
        <v>1867</v>
      </c>
      <c r="H10157" s="27" t="s">
        <v>1879</v>
      </c>
      <c r="J10157" s="27" t="s">
        <v>1880</v>
      </c>
      <c r="L10157" s="27" t="s">
        <v>21318</v>
      </c>
      <c r="N10157" s="27" t="s">
        <v>21319</v>
      </c>
      <c r="P10157" s="27" t="s">
        <v>21336</v>
      </c>
      <c r="Q10157" s="26" t="str">
        <f>HYPERLINK("https://ictv.global/taxonomy/taxondetails?taxnode_id=202522230&amp;ictv_id=ICTV202522230","ICTV202522230")</f>
        <v>ICTV202522230</v>
      </c>
      <c r="R10157" t="s">
        <v>581</v>
      </c>
      <c r="S10157" t="s">
        <v>823</v>
      </c>
      <c r="T10157">
        <v>41</v>
      </c>
      <c r="U10157" s="26" t="str">
        <f t="shared" si="369"/>
        <v>2025.005F.Ambiguiviridae_newfam.zip</v>
      </c>
    </row>
    <row r="10158" spans="1:21">
      <c r="A10158">
        <v>10157</v>
      </c>
      <c r="B10158" s="27" t="s">
        <v>1124</v>
      </c>
      <c r="D10158" s="27" t="s">
        <v>1859</v>
      </c>
      <c r="F10158" s="27" t="s">
        <v>1867</v>
      </c>
      <c r="H10158" s="27" t="s">
        <v>1879</v>
      </c>
      <c r="J10158" s="27" t="s">
        <v>1880</v>
      </c>
      <c r="L10158" s="27" t="s">
        <v>21318</v>
      </c>
      <c r="N10158" s="27" t="s">
        <v>21319</v>
      </c>
      <c r="P10158" s="27" t="s">
        <v>21337</v>
      </c>
      <c r="Q10158" s="26" t="str">
        <f>HYPERLINK("https://ictv.global/taxonomy/taxondetails?taxnode_id=202522231&amp;ictv_id=ICTV202522231","ICTV202522231")</f>
        <v>ICTV202522231</v>
      </c>
      <c r="R10158" t="s">
        <v>581</v>
      </c>
      <c r="S10158" t="s">
        <v>823</v>
      </c>
      <c r="T10158">
        <v>41</v>
      </c>
      <c r="U10158" s="26" t="str">
        <f t="shared" si="369"/>
        <v>2025.005F.Ambiguiviridae_newfam.zip</v>
      </c>
    </row>
    <row r="10159" spans="1:21">
      <c r="A10159">
        <v>10158</v>
      </c>
      <c r="B10159" s="27" t="s">
        <v>1124</v>
      </c>
      <c r="D10159" s="27" t="s">
        <v>1859</v>
      </c>
      <c r="F10159" s="27" t="s">
        <v>1867</v>
      </c>
      <c r="H10159" s="27" t="s">
        <v>1879</v>
      </c>
      <c r="J10159" s="27" t="s">
        <v>1880</v>
      </c>
      <c r="L10159" s="27" t="s">
        <v>21318</v>
      </c>
      <c r="N10159" s="27" t="s">
        <v>21319</v>
      </c>
      <c r="P10159" s="27" t="s">
        <v>21338</v>
      </c>
      <c r="Q10159" s="26" t="str">
        <f>HYPERLINK("https://ictv.global/taxonomy/taxondetails?taxnode_id=202522232&amp;ictv_id=ICTV202522232","ICTV202522232")</f>
        <v>ICTV202522232</v>
      </c>
      <c r="R10159" t="s">
        <v>581</v>
      </c>
      <c r="S10159" t="s">
        <v>823</v>
      </c>
      <c r="T10159">
        <v>41</v>
      </c>
      <c r="U10159" s="26" t="str">
        <f t="shared" si="369"/>
        <v>2025.005F.Ambiguiviridae_newfam.zip</v>
      </c>
    </row>
    <row r="10160" spans="1:21">
      <c r="A10160">
        <v>10159</v>
      </c>
      <c r="B10160" s="27" t="s">
        <v>1124</v>
      </c>
      <c r="D10160" s="27" t="s">
        <v>1859</v>
      </c>
      <c r="F10160" s="27" t="s">
        <v>1867</v>
      </c>
      <c r="H10160" s="27" t="s">
        <v>1879</v>
      </c>
      <c r="J10160" s="27" t="s">
        <v>1880</v>
      </c>
      <c r="L10160" s="27" t="s">
        <v>21318</v>
      </c>
      <c r="N10160" s="27" t="s">
        <v>21319</v>
      </c>
      <c r="P10160" s="27" t="s">
        <v>21339</v>
      </c>
      <c r="Q10160" s="26" t="str">
        <f>HYPERLINK("https://ictv.global/taxonomy/taxondetails?taxnode_id=202522233&amp;ictv_id=ICTV202522233","ICTV202522233")</f>
        <v>ICTV202522233</v>
      </c>
      <c r="R10160" t="s">
        <v>581</v>
      </c>
      <c r="S10160" t="s">
        <v>823</v>
      </c>
      <c r="T10160">
        <v>41</v>
      </c>
      <c r="U10160" s="26" t="str">
        <f t="shared" si="369"/>
        <v>2025.005F.Ambiguiviridae_newfam.zip</v>
      </c>
    </row>
    <row r="10161" spans="1:21">
      <c r="A10161">
        <v>10160</v>
      </c>
      <c r="B10161" s="27" t="s">
        <v>1124</v>
      </c>
      <c r="D10161" s="27" t="s">
        <v>1859</v>
      </c>
      <c r="F10161" s="27" t="s">
        <v>1867</v>
      </c>
      <c r="H10161" s="27" t="s">
        <v>1879</v>
      </c>
      <c r="J10161" s="27" t="s">
        <v>1880</v>
      </c>
      <c r="L10161" s="27" t="s">
        <v>21318</v>
      </c>
      <c r="N10161" s="27" t="s">
        <v>21319</v>
      </c>
      <c r="P10161" s="27" t="s">
        <v>21344</v>
      </c>
      <c r="Q10161" s="26" t="str">
        <f>HYPERLINK("https://ictv.global/taxonomy/taxondetails?taxnode_id=202522238&amp;ictv_id=ICTV202522238","ICTV202522238")</f>
        <v>ICTV202522238</v>
      </c>
      <c r="R10161" t="s">
        <v>581</v>
      </c>
      <c r="S10161" t="s">
        <v>823</v>
      </c>
      <c r="T10161">
        <v>41</v>
      </c>
      <c r="U10161" s="26" t="str">
        <f t="shared" si="369"/>
        <v>2025.005F.Ambiguiviridae_newfam.zip</v>
      </c>
    </row>
    <row r="10162" spans="1:21">
      <c r="A10162">
        <v>10161</v>
      </c>
      <c r="B10162" s="27" t="s">
        <v>1124</v>
      </c>
      <c r="D10162" s="27" t="s">
        <v>1859</v>
      </c>
      <c r="F10162" s="27" t="s">
        <v>1867</v>
      </c>
      <c r="H10162" s="27" t="s">
        <v>1879</v>
      </c>
      <c r="J10162" s="27" t="s">
        <v>1880</v>
      </c>
      <c r="L10162" s="27" t="s">
        <v>21318</v>
      </c>
      <c r="N10162" s="27" t="s">
        <v>21319</v>
      </c>
      <c r="P10162" s="27" t="s">
        <v>21346</v>
      </c>
      <c r="Q10162" s="26" t="str">
        <f>HYPERLINK("https://ictv.global/taxonomy/taxondetails?taxnode_id=202522240&amp;ictv_id=ICTV202522240","ICTV202522240")</f>
        <v>ICTV202522240</v>
      </c>
      <c r="R10162" t="s">
        <v>581</v>
      </c>
      <c r="S10162" t="s">
        <v>823</v>
      </c>
      <c r="T10162">
        <v>41</v>
      </c>
      <c r="U10162" s="26" t="str">
        <f t="shared" si="369"/>
        <v>2025.005F.Ambiguiviridae_newfam.zip</v>
      </c>
    </row>
    <row r="10163" spans="1:21">
      <c r="A10163">
        <v>10162</v>
      </c>
      <c r="B10163" s="27" t="s">
        <v>1124</v>
      </c>
      <c r="D10163" s="27" t="s">
        <v>1859</v>
      </c>
      <c r="F10163" s="27" t="s">
        <v>1867</v>
      </c>
      <c r="H10163" s="27" t="s">
        <v>1879</v>
      </c>
      <c r="J10163" s="27" t="s">
        <v>1880</v>
      </c>
      <c r="L10163" s="27" t="s">
        <v>21318</v>
      </c>
      <c r="N10163" s="27" t="s">
        <v>21349</v>
      </c>
      <c r="P10163" s="27" t="s">
        <v>21356</v>
      </c>
      <c r="Q10163" s="26" t="str">
        <f>HYPERLINK("https://ictv.global/taxonomy/taxondetails?taxnode_id=202522249&amp;ictv_id=ICTV202522249","ICTV202522249")</f>
        <v>ICTV202522249</v>
      </c>
      <c r="R10163" t="s">
        <v>581</v>
      </c>
      <c r="S10163" t="s">
        <v>823</v>
      </c>
      <c r="T10163">
        <v>41</v>
      </c>
      <c r="U10163" s="26" t="str">
        <f t="shared" si="369"/>
        <v>2025.005F.Ambiguiviridae_newfam.zip</v>
      </c>
    </row>
    <row r="10164" spans="1:21">
      <c r="A10164">
        <v>10163</v>
      </c>
      <c r="B10164" s="27" t="s">
        <v>1124</v>
      </c>
      <c r="D10164" s="27" t="s">
        <v>1859</v>
      </c>
      <c r="F10164" s="27" t="s">
        <v>1867</v>
      </c>
      <c r="H10164" s="27" t="s">
        <v>1879</v>
      </c>
      <c r="J10164" s="27" t="s">
        <v>1880</v>
      </c>
      <c r="L10164" s="27" t="s">
        <v>21318</v>
      </c>
      <c r="N10164" s="27" t="s">
        <v>21349</v>
      </c>
      <c r="P10164" s="27" t="s">
        <v>21353</v>
      </c>
      <c r="Q10164" s="26" t="str">
        <f>HYPERLINK("https://ictv.global/taxonomy/taxondetails?taxnode_id=202522246&amp;ictv_id=ICTV202522246","ICTV202522246")</f>
        <v>ICTV202522246</v>
      </c>
      <c r="R10164" t="s">
        <v>581</v>
      </c>
      <c r="S10164" t="s">
        <v>823</v>
      </c>
      <c r="T10164">
        <v>41</v>
      </c>
      <c r="U10164" s="26" t="str">
        <f t="shared" si="369"/>
        <v>2025.005F.Ambiguiviridae_newfam.zip</v>
      </c>
    </row>
    <row r="10165" spans="1:21">
      <c r="A10165">
        <v>10164</v>
      </c>
      <c r="B10165" s="27" t="s">
        <v>1124</v>
      </c>
      <c r="D10165" s="27" t="s">
        <v>1859</v>
      </c>
      <c r="F10165" s="27" t="s">
        <v>1867</v>
      </c>
      <c r="H10165" s="27" t="s">
        <v>1879</v>
      </c>
      <c r="J10165" s="27" t="s">
        <v>1880</v>
      </c>
      <c r="L10165" s="27" t="s">
        <v>21318</v>
      </c>
      <c r="N10165" s="27" t="s">
        <v>21349</v>
      </c>
      <c r="P10165" s="27" t="s">
        <v>21358</v>
      </c>
      <c r="Q10165" s="26" t="str">
        <f>HYPERLINK("https://ictv.global/taxonomy/taxondetails?taxnode_id=202522251&amp;ictv_id=ICTV202522251","ICTV202522251")</f>
        <v>ICTV202522251</v>
      </c>
      <c r="R10165" t="s">
        <v>581</v>
      </c>
      <c r="S10165" t="s">
        <v>823</v>
      </c>
      <c r="T10165">
        <v>41</v>
      </c>
      <c r="U10165" s="26" t="str">
        <f t="shared" si="369"/>
        <v>2025.005F.Ambiguiviridae_newfam.zip</v>
      </c>
    </row>
    <row r="10166" spans="1:21">
      <c r="A10166">
        <v>10165</v>
      </c>
      <c r="B10166" s="27" t="s">
        <v>1124</v>
      </c>
      <c r="D10166" s="27" t="s">
        <v>1859</v>
      </c>
      <c r="F10166" s="27" t="s">
        <v>1867</v>
      </c>
      <c r="H10166" s="27" t="s">
        <v>1879</v>
      </c>
      <c r="J10166" s="27" t="s">
        <v>1880</v>
      </c>
      <c r="L10166" s="27" t="s">
        <v>21318</v>
      </c>
      <c r="N10166" s="27" t="s">
        <v>21349</v>
      </c>
      <c r="P10166" s="27" t="s">
        <v>21354</v>
      </c>
      <c r="Q10166" s="26" t="str">
        <f>HYPERLINK("https://ictv.global/taxonomy/taxondetails?taxnode_id=202522247&amp;ictv_id=ICTV202522247","ICTV202522247")</f>
        <v>ICTV202522247</v>
      </c>
      <c r="R10166" t="s">
        <v>581</v>
      </c>
      <c r="S10166" t="s">
        <v>823</v>
      </c>
      <c r="T10166">
        <v>41</v>
      </c>
      <c r="U10166" s="26" t="str">
        <f t="shared" si="369"/>
        <v>2025.005F.Ambiguiviridae_newfam.zip</v>
      </c>
    </row>
    <row r="10167" spans="1:21">
      <c r="A10167">
        <v>10166</v>
      </c>
      <c r="B10167" s="27" t="s">
        <v>1124</v>
      </c>
      <c r="D10167" s="27" t="s">
        <v>1859</v>
      </c>
      <c r="F10167" s="27" t="s">
        <v>1867</v>
      </c>
      <c r="H10167" s="27" t="s">
        <v>1879</v>
      </c>
      <c r="J10167" s="27" t="s">
        <v>1880</v>
      </c>
      <c r="L10167" s="27" t="s">
        <v>21318</v>
      </c>
      <c r="N10167" s="27" t="s">
        <v>21349</v>
      </c>
      <c r="P10167" s="27" t="s">
        <v>21350</v>
      </c>
      <c r="Q10167" s="26" t="str">
        <f>HYPERLINK("https://ictv.global/taxonomy/taxondetails?taxnode_id=202522243&amp;ictv_id=ICTV202522243","ICTV202522243")</f>
        <v>ICTV202522243</v>
      </c>
      <c r="R10167" t="s">
        <v>581</v>
      </c>
      <c r="S10167" t="s">
        <v>823</v>
      </c>
      <c r="T10167">
        <v>41</v>
      </c>
      <c r="U10167" s="26" t="str">
        <f t="shared" si="369"/>
        <v>2025.005F.Ambiguiviridae_newfam.zip</v>
      </c>
    </row>
    <row r="10168" spans="1:21">
      <c r="A10168">
        <v>10167</v>
      </c>
      <c r="B10168" s="27" t="s">
        <v>1124</v>
      </c>
      <c r="D10168" s="27" t="s">
        <v>1859</v>
      </c>
      <c r="F10168" s="27" t="s">
        <v>1867</v>
      </c>
      <c r="H10168" s="27" t="s">
        <v>1879</v>
      </c>
      <c r="J10168" s="27" t="s">
        <v>1880</v>
      </c>
      <c r="L10168" s="27" t="s">
        <v>21318</v>
      </c>
      <c r="N10168" s="27" t="s">
        <v>21349</v>
      </c>
      <c r="P10168" s="27" t="s">
        <v>21351</v>
      </c>
      <c r="Q10168" s="26" t="str">
        <f>HYPERLINK("https://ictv.global/taxonomy/taxondetails?taxnode_id=202522244&amp;ictv_id=ICTV202522244","ICTV202522244")</f>
        <v>ICTV202522244</v>
      </c>
      <c r="R10168" t="s">
        <v>581</v>
      </c>
      <c r="S10168" t="s">
        <v>823</v>
      </c>
      <c r="T10168">
        <v>41</v>
      </c>
      <c r="U10168" s="26" t="str">
        <f t="shared" si="369"/>
        <v>2025.005F.Ambiguiviridae_newfam.zip</v>
      </c>
    </row>
    <row r="10169" spans="1:21">
      <c r="A10169">
        <v>10168</v>
      </c>
      <c r="B10169" s="27" t="s">
        <v>1124</v>
      </c>
      <c r="D10169" s="27" t="s">
        <v>1859</v>
      </c>
      <c r="F10169" s="27" t="s">
        <v>1867</v>
      </c>
      <c r="H10169" s="27" t="s">
        <v>1879</v>
      </c>
      <c r="J10169" s="27" t="s">
        <v>1880</v>
      </c>
      <c r="L10169" s="27" t="s">
        <v>21318</v>
      </c>
      <c r="N10169" s="27" t="s">
        <v>21349</v>
      </c>
      <c r="P10169" s="27" t="s">
        <v>21355</v>
      </c>
      <c r="Q10169" s="26" t="str">
        <f>HYPERLINK("https://ictv.global/taxonomy/taxondetails?taxnode_id=202522248&amp;ictv_id=ICTV202522248","ICTV202522248")</f>
        <v>ICTV202522248</v>
      </c>
      <c r="R10169" t="s">
        <v>581</v>
      </c>
      <c r="S10169" t="s">
        <v>823</v>
      </c>
      <c r="T10169">
        <v>41</v>
      </c>
      <c r="U10169" s="26" t="str">
        <f t="shared" si="369"/>
        <v>2025.005F.Ambiguiviridae_newfam.zip</v>
      </c>
    </row>
    <row r="10170" spans="1:21">
      <c r="A10170">
        <v>10169</v>
      </c>
      <c r="B10170" s="27" t="s">
        <v>1124</v>
      </c>
      <c r="D10170" s="27" t="s">
        <v>1859</v>
      </c>
      <c r="F10170" s="27" t="s">
        <v>1867</v>
      </c>
      <c r="H10170" s="27" t="s">
        <v>1879</v>
      </c>
      <c r="J10170" s="27" t="s">
        <v>1880</v>
      </c>
      <c r="L10170" s="27" t="s">
        <v>21318</v>
      </c>
      <c r="N10170" s="27" t="s">
        <v>21349</v>
      </c>
      <c r="P10170" s="27" t="s">
        <v>21352</v>
      </c>
      <c r="Q10170" s="26" t="str">
        <f>HYPERLINK("https://ictv.global/taxonomy/taxondetails?taxnode_id=202522245&amp;ictv_id=ICTV202522245","ICTV202522245")</f>
        <v>ICTV202522245</v>
      </c>
      <c r="R10170" t="s">
        <v>581</v>
      </c>
      <c r="S10170" t="s">
        <v>823</v>
      </c>
      <c r="T10170">
        <v>41</v>
      </c>
      <c r="U10170" s="26" t="str">
        <f t="shared" si="369"/>
        <v>2025.005F.Ambiguiviridae_newfam.zip</v>
      </c>
    </row>
    <row r="10171" spans="1:21">
      <c r="A10171">
        <v>10170</v>
      </c>
      <c r="B10171" s="27" t="s">
        <v>1124</v>
      </c>
      <c r="D10171" s="27" t="s">
        <v>1859</v>
      </c>
      <c r="F10171" s="27" t="s">
        <v>1867</v>
      </c>
      <c r="H10171" s="27" t="s">
        <v>1879</v>
      </c>
      <c r="J10171" s="27" t="s">
        <v>1880</v>
      </c>
      <c r="L10171" s="27" t="s">
        <v>21318</v>
      </c>
      <c r="N10171" s="27" t="s">
        <v>21349</v>
      </c>
      <c r="P10171" s="27" t="s">
        <v>21357</v>
      </c>
      <c r="Q10171" s="26" t="str">
        <f>HYPERLINK("https://ictv.global/taxonomy/taxondetails?taxnode_id=202522250&amp;ictv_id=ICTV202522250","ICTV202522250")</f>
        <v>ICTV202522250</v>
      </c>
      <c r="R10171" t="s">
        <v>581</v>
      </c>
      <c r="S10171" t="s">
        <v>823</v>
      </c>
      <c r="T10171">
        <v>41</v>
      </c>
      <c r="U10171" s="26" t="str">
        <f t="shared" si="369"/>
        <v>2025.005F.Ambiguiviridae_newfam.zip</v>
      </c>
    </row>
    <row r="10172" spans="1:21">
      <c r="A10172">
        <v>10171</v>
      </c>
      <c r="B10172" s="27" t="s">
        <v>1124</v>
      </c>
      <c r="D10172" s="27" t="s">
        <v>1859</v>
      </c>
      <c r="F10172" s="27" t="s">
        <v>1867</v>
      </c>
      <c r="H10172" s="27" t="s">
        <v>1879</v>
      </c>
      <c r="J10172" s="27" t="s">
        <v>1880</v>
      </c>
      <c r="L10172" s="27" t="s">
        <v>21318</v>
      </c>
      <c r="N10172" s="27" t="s">
        <v>21359</v>
      </c>
      <c r="P10172" s="27" t="s">
        <v>21362</v>
      </c>
      <c r="Q10172" s="26" t="str">
        <f>HYPERLINK("https://ictv.global/taxonomy/taxondetails?taxnode_id=202522254&amp;ictv_id=ICTV202522254","ICTV202522254")</f>
        <v>ICTV202522254</v>
      </c>
      <c r="R10172" t="s">
        <v>581</v>
      </c>
      <c r="S10172" t="s">
        <v>823</v>
      </c>
      <c r="T10172">
        <v>41</v>
      </c>
      <c r="U10172" s="26" t="str">
        <f t="shared" si="369"/>
        <v>2025.005F.Ambiguiviridae_newfam.zip</v>
      </c>
    </row>
    <row r="10173" spans="1:21">
      <c r="A10173">
        <v>10172</v>
      </c>
      <c r="B10173" s="27" t="s">
        <v>1124</v>
      </c>
      <c r="D10173" s="27" t="s">
        <v>1859</v>
      </c>
      <c r="F10173" s="27" t="s">
        <v>1867</v>
      </c>
      <c r="H10173" s="27" t="s">
        <v>1879</v>
      </c>
      <c r="J10173" s="27" t="s">
        <v>1880</v>
      </c>
      <c r="L10173" s="27" t="s">
        <v>21318</v>
      </c>
      <c r="N10173" s="27" t="s">
        <v>21359</v>
      </c>
      <c r="P10173" s="27" t="s">
        <v>21363</v>
      </c>
      <c r="Q10173" s="26" t="str">
        <f>HYPERLINK("https://ictv.global/taxonomy/taxondetails?taxnode_id=202522255&amp;ictv_id=ICTV202522255","ICTV202522255")</f>
        <v>ICTV202522255</v>
      </c>
      <c r="R10173" t="s">
        <v>581</v>
      </c>
      <c r="S10173" t="s">
        <v>823</v>
      </c>
      <c r="T10173">
        <v>41</v>
      </c>
      <c r="U10173" s="26" t="str">
        <f t="shared" si="369"/>
        <v>2025.005F.Ambiguiviridae_newfam.zip</v>
      </c>
    </row>
    <row r="10174" spans="1:21">
      <c r="A10174">
        <v>10173</v>
      </c>
      <c r="B10174" s="27" t="s">
        <v>1124</v>
      </c>
      <c r="D10174" s="27" t="s">
        <v>1859</v>
      </c>
      <c r="F10174" s="27" t="s">
        <v>1867</v>
      </c>
      <c r="H10174" s="27" t="s">
        <v>1879</v>
      </c>
      <c r="J10174" s="27" t="s">
        <v>1880</v>
      </c>
      <c r="L10174" s="27" t="s">
        <v>21318</v>
      </c>
      <c r="N10174" s="27" t="s">
        <v>21359</v>
      </c>
      <c r="P10174" s="27" t="s">
        <v>21360</v>
      </c>
      <c r="Q10174" s="26" t="str">
        <f>HYPERLINK("https://ictv.global/taxonomy/taxondetails?taxnode_id=202522252&amp;ictv_id=ICTV202522252","ICTV202522252")</f>
        <v>ICTV202522252</v>
      </c>
      <c r="R10174" t="s">
        <v>581</v>
      </c>
      <c r="S10174" t="s">
        <v>823</v>
      </c>
      <c r="T10174">
        <v>41</v>
      </c>
      <c r="U10174" s="26" t="str">
        <f t="shared" si="369"/>
        <v>2025.005F.Ambiguiviridae_newfam.zip</v>
      </c>
    </row>
    <row r="10175" spans="1:21">
      <c r="A10175">
        <v>10174</v>
      </c>
      <c r="B10175" s="27" t="s">
        <v>1124</v>
      </c>
      <c r="D10175" s="27" t="s">
        <v>1859</v>
      </c>
      <c r="F10175" s="27" t="s">
        <v>1867</v>
      </c>
      <c r="H10175" s="27" t="s">
        <v>1879</v>
      </c>
      <c r="J10175" s="27" t="s">
        <v>1880</v>
      </c>
      <c r="L10175" s="27" t="s">
        <v>21318</v>
      </c>
      <c r="N10175" s="27" t="s">
        <v>21359</v>
      </c>
      <c r="P10175" s="27" t="s">
        <v>21361</v>
      </c>
      <c r="Q10175" s="26" t="str">
        <f>HYPERLINK("https://ictv.global/taxonomy/taxondetails?taxnode_id=202522253&amp;ictv_id=ICTV202522253","ICTV202522253")</f>
        <v>ICTV202522253</v>
      </c>
      <c r="R10175" t="s">
        <v>581</v>
      </c>
      <c r="S10175" t="s">
        <v>823</v>
      </c>
      <c r="T10175">
        <v>41</v>
      </c>
      <c r="U10175" s="26" t="str">
        <f t="shared" si="369"/>
        <v>2025.005F.Ambiguiviridae_newfam.zip</v>
      </c>
    </row>
    <row r="10176" spans="1:21">
      <c r="A10176">
        <v>10175</v>
      </c>
      <c r="B10176" s="27" t="s">
        <v>1124</v>
      </c>
      <c r="D10176" s="27" t="s">
        <v>1859</v>
      </c>
      <c r="F10176" s="27" t="s">
        <v>1867</v>
      </c>
      <c r="H10176" s="27" t="s">
        <v>1879</v>
      </c>
      <c r="J10176" s="27" t="s">
        <v>1880</v>
      </c>
      <c r="L10176" s="27" t="s">
        <v>11</v>
      </c>
      <c r="N10176" s="27" t="s">
        <v>12</v>
      </c>
      <c r="P10176" s="27" t="s">
        <v>14253</v>
      </c>
      <c r="Q10176" s="26" t="str">
        <f>HYPERLINK("https://ictv.global/taxonomy/taxondetails?taxnode_id=202502815&amp;ictv_id=ICTV20042078","ICTV20042078")</f>
        <v>ICTV20042078</v>
      </c>
      <c r="R10176" t="s">
        <v>581</v>
      </c>
      <c r="S10176" t="s">
        <v>824</v>
      </c>
      <c r="T10176">
        <v>39</v>
      </c>
      <c r="U10176" s="26" t="str">
        <f>HYPERLINK("https://ictv.global/ictv/proposals/2023.005S.Tetraviridae_13sprenamed.zip","2023.005S.Tetraviridae_13sprenamed.zip")</f>
        <v>2023.005S.Tetraviridae_13sprenamed.zip</v>
      </c>
    </row>
    <row r="10177" spans="1:21">
      <c r="A10177">
        <v>10176</v>
      </c>
      <c r="B10177" s="27" t="s">
        <v>1124</v>
      </c>
      <c r="D10177" s="27" t="s">
        <v>1859</v>
      </c>
      <c r="F10177" s="27" t="s">
        <v>1867</v>
      </c>
      <c r="H10177" s="27" t="s">
        <v>1879</v>
      </c>
      <c r="J10177" s="27" t="s">
        <v>1880</v>
      </c>
      <c r="L10177" s="27" t="s">
        <v>201</v>
      </c>
      <c r="M10177" s="27" t="s">
        <v>1187</v>
      </c>
      <c r="N10177" s="27" t="s">
        <v>383</v>
      </c>
      <c r="P10177" s="27" t="s">
        <v>8947</v>
      </c>
      <c r="Q10177" s="26" t="str">
        <f>HYPERLINK("https://ictv.global/taxonomy/taxondetails?taxnode_id=202505270&amp;ictv_id=ICTV19952482","ICTV19952482")</f>
        <v>ICTV19952482</v>
      </c>
      <c r="R10177" t="s">
        <v>581</v>
      </c>
      <c r="S10177" t="s">
        <v>824</v>
      </c>
      <c r="T10177">
        <v>38</v>
      </c>
      <c r="U10177" s="26" t="str">
        <f t="shared" ref="U10177:U10186" si="370">HYPERLINK("https://ictv.global/ictv/proposals/2022.015P.Tombusviridae_rename.zip","2022.015P.Tombusviridae_rename.zip")</f>
        <v>2022.015P.Tombusviridae_rename.zip</v>
      </c>
    </row>
    <row r="10178" spans="1:21">
      <c r="A10178">
        <v>10177</v>
      </c>
      <c r="B10178" s="27" t="s">
        <v>1124</v>
      </c>
      <c r="D10178" s="27" t="s">
        <v>1859</v>
      </c>
      <c r="F10178" s="27" t="s">
        <v>1867</v>
      </c>
      <c r="H10178" s="27" t="s">
        <v>1879</v>
      </c>
      <c r="J10178" s="27" t="s">
        <v>1880</v>
      </c>
      <c r="L10178" s="27" t="s">
        <v>201</v>
      </c>
      <c r="M10178" s="27" t="s">
        <v>1187</v>
      </c>
      <c r="N10178" s="27" t="s">
        <v>383</v>
      </c>
      <c r="P10178" s="27" t="s">
        <v>8948</v>
      </c>
      <c r="Q10178" s="26" t="str">
        <f>HYPERLINK("https://ictv.global/taxonomy/taxondetails?taxnode_id=202505267&amp;ictv_id=ICTV19982743","ICTV19982743")</f>
        <v>ICTV19982743</v>
      </c>
      <c r="R10178" t="s">
        <v>581</v>
      </c>
      <c r="S10178" t="s">
        <v>824</v>
      </c>
      <c r="T10178">
        <v>38</v>
      </c>
      <c r="U10178" s="26" t="str">
        <f t="shared" si="370"/>
        <v>2022.015P.Tombusviridae_rename.zip</v>
      </c>
    </row>
    <row r="10179" spans="1:21">
      <c r="A10179">
        <v>10178</v>
      </c>
      <c r="B10179" s="27" t="s">
        <v>1124</v>
      </c>
      <c r="D10179" s="27" t="s">
        <v>1859</v>
      </c>
      <c r="F10179" s="27" t="s">
        <v>1867</v>
      </c>
      <c r="H10179" s="27" t="s">
        <v>1879</v>
      </c>
      <c r="J10179" s="27" t="s">
        <v>1880</v>
      </c>
      <c r="L10179" s="27" t="s">
        <v>201</v>
      </c>
      <c r="M10179" s="27" t="s">
        <v>1187</v>
      </c>
      <c r="N10179" s="27" t="s">
        <v>383</v>
      </c>
      <c r="P10179" s="27" t="s">
        <v>8949</v>
      </c>
      <c r="Q10179" s="26" t="str">
        <f>HYPERLINK("https://ictv.global/taxonomy/taxondetails?taxnode_id=202505269&amp;ictv_id=ICTV20165502","ICTV20165502")</f>
        <v>ICTV20165502</v>
      </c>
      <c r="R10179" t="s">
        <v>581</v>
      </c>
      <c r="S10179" t="s">
        <v>824</v>
      </c>
      <c r="T10179">
        <v>38</v>
      </c>
      <c r="U10179" s="26" t="str">
        <f t="shared" si="370"/>
        <v>2022.015P.Tombusviridae_rename.zip</v>
      </c>
    </row>
    <row r="10180" spans="1:21">
      <c r="A10180">
        <v>10179</v>
      </c>
      <c r="B10180" s="27" t="s">
        <v>1124</v>
      </c>
      <c r="D10180" s="27" t="s">
        <v>1859</v>
      </c>
      <c r="F10180" s="27" t="s">
        <v>1867</v>
      </c>
      <c r="H10180" s="27" t="s">
        <v>1879</v>
      </c>
      <c r="J10180" s="27" t="s">
        <v>1880</v>
      </c>
      <c r="L10180" s="27" t="s">
        <v>201</v>
      </c>
      <c r="M10180" s="27" t="s">
        <v>1187</v>
      </c>
      <c r="N10180" s="27" t="s">
        <v>383</v>
      </c>
      <c r="P10180" s="27" t="s">
        <v>8950</v>
      </c>
      <c r="Q10180" s="26" t="str">
        <f>HYPERLINK("https://ictv.global/taxonomy/taxondetails?taxnode_id=202509878&amp;ictv_id=ICTV202009878","ICTV202009878")</f>
        <v>ICTV202009878</v>
      </c>
      <c r="R10180" t="s">
        <v>581</v>
      </c>
      <c r="S10180" t="s">
        <v>824</v>
      </c>
      <c r="T10180">
        <v>38</v>
      </c>
      <c r="U10180" s="26" t="str">
        <f t="shared" si="370"/>
        <v>2022.015P.Tombusviridae_rename.zip</v>
      </c>
    </row>
    <row r="10181" spans="1:21">
      <c r="A10181">
        <v>10180</v>
      </c>
      <c r="B10181" s="27" t="s">
        <v>1124</v>
      </c>
      <c r="D10181" s="27" t="s">
        <v>1859</v>
      </c>
      <c r="F10181" s="27" t="s">
        <v>1867</v>
      </c>
      <c r="H10181" s="27" t="s">
        <v>1879</v>
      </c>
      <c r="J10181" s="27" t="s">
        <v>1880</v>
      </c>
      <c r="L10181" s="27" t="s">
        <v>201</v>
      </c>
      <c r="M10181" s="27" t="s">
        <v>1187</v>
      </c>
      <c r="N10181" s="27" t="s">
        <v>383</v>
      </c>
      <c r="P10181" s="27" t="s">
        <v>8951</v>
      </c>
      <c r="Q10181" s="26" t="str">
        <f>HYPERLINK("https://ictv.global/taxonomy/taxondetails?taxnode_id=202505271&amp;ictv_id=ICTV19952483","ICTV19952483")</f>
        <v>ICTV19952483</v>
      </c>
      <c r="R10181" t="s">
        <v>581</v>
      </c>
      <c r="S10181" t="s">
        <v>824</v>
      </c>
      <c r="T10181">
        <v>38</v>
      </c>
      <c r="U10181" s="26" t="str">
        <f t="shared" si="370"/>
        <v>2022.015P.Tombusviridae_rename.zip</v>
      </c>
    </row>
    <row r="10182" spans="1:21">
      <c r="A10182">
        <v>10181</v>
      </c>
      <c r="B10182" s="27" t="s">
        <v>1124</v>
      </c>
      <c r="D10182" s="27" t="s">
        <v>1859</v>
      </c>
      <c r="F10182" s="27" t="s">
        <v>1867</v>
      </c>
      <c r="H10182" s="27" t="s">
        <v>1879</v>
      </c>
      <c r="J10182" s="27" t="s">
        <v>1880</v>
      </c>
      <c r="L10182" s="27" t="s">
        <v>201</v>
      </c>
      <c r="M10182" s="27" t="s">
        <v>1187</v>
      </c>
      <c r="N10182" s="27" t="s">
        <v>383</v>
      </c>
      <c r="P10182" s="27" t="s">
        <v>8952</v>
      </c>
      <c r="Q10182" s="26" t="str">
        <f>HYPERLINK("https://ictv.global/taxonomy/taxondetails?taxnode_id=202505268&amp;ictv_id=ICTV19931949","ICTV19931949")</f>
        <v>ICTV19931949</v>
      </c>
      <c r="R10182" t="s">
        <v>581</v>
      </c>
      <c r="S10182" t="s">
        <v>824</v>
      </c>
      <c r="T10182">
        <v>38</v>
      </c>
      <c r="U10182" s="26" t="str">
        <f t="shared" si="370"/>
        <v>2022.015P.Tombusviridae_rename.zip</v>
      </c>
    </row>
    <row r="10183" spans="1:21">
      <c r="A10183">
        <v>10182</v>
      </c>
      <c r="B10183" s="27" t="s">
        <v>1124</v>
      </c>
      <c r="D10183" s="27" t="s">
        <v>1859</v>
      </c>
      <c r="F10183" s="27" t="s">
        <v>1867</v>
      </c>
      <c r="H10183" s="27" t="s">
        <v>1879</v>
      </c>
      <c r="J10183" s="27" t="s">
        <v>1880</v>
      </c>
      <c r="L10183" s="27" t="s">
        <v>201</v>
      </c>
      <c r="M10183" s="27" t="s">
        <v>1187</v>
      </c>
      <c r="N10183" s="27" t="s">
        <v>383</v>
      </c>
      <c r="P10183" s="27" t="s">
        <v>8953</v>
      </c>
      <c r="Q10183" s="26" t="str">
        <f>HYPERLINK("https://ictv.global/taxonomy/taxondetails?taxnode_id=202505275&amp;ictv_id=ICTV19952484","ICTV19952484")</f>
        <v>ICTV19952484</v>
      </c>
      <c r="R10183" t="s">
        <v>581</v>
      </c>
      <c r="S10183" t="s">
        <v>824</v>
      </c>
      <c r="T10183">
        <v>38</v>
      </c>
      <c r="U10183" s="26" t="str">
        <f t="shared" si="370"/>
        <v>2022.015P.Tombusviridae_rename.zip</v>
      </c>
    </row>
    <row r="10184" spans="1:21">
      <c r="A10184">
        <v>10183</v>
      </c>
      <c r="B10184" s="27" t="s">
        <v>1124</v>
      </c>
      <c r="D10184" s="27" t="s">
        <v>1859</v>
      </c>
      <c r="F10184" s="27" t="s">
        <v>1867</v>
      </c>
      <c r="H10184" s="27" t="s">
        <v>1879</v>
      </c>
      <c r="J10184" s="27" t="s">
        <v>1880</v>
      </c>
      <c r="L10184" s="27" t="s">
        <v>201</v>
      </c>
      <c r="M10184" s="27" t="s">
        <v>1187</v>
      </c>
      <c r="N10184" s="27" t="s">
        <v>383</v>
      </c>
      <c r="P10184" s="27" t="s">
        <v>8954</v>
      </c>
      <c r="Q10184" s="26" t="str">
        <f>HYPERLINK("https://ictv.global/taxonomy/taxondetails?taxnode_id=202505274&amp;ictv_id=ICTV20042288","ICTV20042288")</f>
        <v>ICTV20042288</v>
      </c>
      <c r="R10184" t="s">
        <v>581</v>
      </c>
      <c r="S10184" t="s">
        <v>824</v>
      </c>
      <c r="T10184">
        <v>38</v>
      </c>
      <c r="U10184" s="26" t="str">
        <f t="shared" si="370"/>
        <v>2022.015P.Tombusviridae_rename.zip</v>
      </c>
    </row>
    <row r="10185" spans="1:21">
      <c r="A10185">
        <v>10184</v>
      </c>
      <c r="B10185" s="27" t="s">
        <v>1124</v>
      </c>
      <c r="D10185" s="27" t="s">
        <v>1859</v>
      </c>
      <c r="F10185" s="27" t="s">
        <v>1867</v>
      </c>
      <c r="H10185" s="27" t="s">
        <v>1879</v>
      </c>
      <c r="J10185" s="27" t="s">
        <v>1880</v>
      </c>
      <c r="L10185" s="27" t="s">
        <v>201</v>
      </c>
      <c r="M10185" s="27" t="s">
        <v>1187</v>
      </c>
      <c r="N10185" s="27" t="s">
        <v>383</v>
      </c>
      <c r="P10185" s="27" t="s">
        <v>8955</v>
      </c>
      <c r="Q10185" s="26" t="str">
        <f>HYPERLINK("https://ictv.global/taxonomy/taxondetails?taxnode_id=202505272&amp;ictv_id=ICTV20165503","ICTV20165503")</f>
        <v>ICTV20165503</v>
      </c>
      <c r="R10185" t="s">
        <v>581</v>
      </c>
      <c r="S10185" t="s">
        <v>824</v>
      </c>
      <c r="T10185">
        <v>38</v>
      </c>
      <c r="U10185" s="26" t="str">
        <f t="shared" si="370"/>
        <v>2022.015P.Tombusviridae_rename.zip</v>
      </c>
    </row>
    <row r="10186" spans="1:21">
      <c r="A10186">
        <v>10185</v>
      </c>
      <c r="B10186" s="27" t="s">
        <v>1124</v>
      </c>
      <c r="D10186" s="27" t="s">
        <v>1859</v>
      </c>
      <c r="F10186" s="27" t="s">
        <v>1867</v>
      </c>
      <c r="H10186" s="27" t="s">
        <v>1879</v>
      </c>
      <c r="J10186" s="27" t="s">
        <v>1880</v>
      </c>
      <c r="L10186" s="27" t="s">
        <v>201</v>
      </c>
      <c r="M10186" s="27" t="s">
        <v>1187</v>
      </c>
      <c r="N10186" s="27" t="s">
        <v>383</v>
      </c>
      <c r="P10186" s="27" t="s">
        <v>8956</v>
      </c>
      <c r="Q10186" s="26" t="str">
        <f>HYPERLINK("https://ictv.global/taxonomy/taxondetails?taxnode_id=202509879&amp;ictv_id=ICTV202009879","ICTV202009879")</f>
        <v>ICTV202009879</v>
      </c>
      <c r="R10186" t="s">
        <v>581</v>
      </c>
      <c r="S10186" t="s">
        <v>824</v>
      </c>
      <c r="T10186">
        <v>38</v>
      </c>
      <c r="U10186" s="26" t="str">
        <f t="shared" si="370"/>
        <v>2022.015P.Tombusviridae_rename.zip</v>
      </c>
    </row>
    <row r="10187" spans="1:21">
      <c r="A10187">
        <v>10186</v>
      </c>
      <c r="B10187" s="27" t="s">
        <v>1124</v>
      </c>
      <c r="D10187" s="27" t="s">
        <v>1859</v>
      </c>
      <c r="F10187" s="27" t="s">
        <v>1867</v>
      </c>
      <c r="H10187" s="27" t="s">
        <v>1879</v>
      </c>
      <c r="J10187" s="27" t="s">
        <v>1880</v>
      </c>
      <c r="L10187" s="27" t="s">
        <v>201</v>
      </c>
      <c r="M10187" s="27" t="s">
        <v>1187</v>
      </c>
      <c r="N10187" s="27" t="s">
        <v>383</v>
      </c>
      <c r="P10187" s="27" t="s">
        <v>8957</v>
      </c>
      <c r="Q10187" s="26" t="str">
        <f>HYPERLINK("https://ictv.global/taxonomy/taxondetails?taxnode_id=202505273&amp;ictv_id=ICTV19982747","ICTV19982747")</f>
        <v>ICTV19982747</v>
      </c>
      <c r="R10187" t="s">
        <v>581</v>
      </c>
      <c r="S10187" t="s">
        <v>824</v>
      </c>
      <c r="T10187">
        <v>39</v>
      </c>
      <c r="U10187" s="26" t="str">
        <f>HYPERLINK("https://ictv.global/ictv/proposals/2023.019P.Solemoviridae_rename_sp.zip","2023.019P.Solemoviridae_rename_sp.zip")</f>
        <v>2023.019P.Solemoviridae_rename_sp.zip</v>
      </c>
    </row>
    <row r="10188" spans="1:21">
      <c r="A10188">
        <v>10187</v>
      </c>
      <c r="B10188" s="27" t="s">
        <v>1124</v>
      </c>
      <c r="D10188" s="27" t="s">
        <v>1859</v>
      </c>
      <c r="F10188" s="27" t="s">
        <v>1867</v>
      </c>
      <c r="H10188" s="27" t="s">
        <v>1879</v>
      </c>
      <c r="J10188" s="27" t="s">
        <v>1880</v>
      </c>
      <c r="L10188" s="27" t="s">
        <v>201</v>
      </c>
      <c r="M10188" s="27" t="s">
        <v>1188</v>
      </c>
      <c r="N10188" s="27" t="s">
        <v>707</v>
      </c>
      <c r="P10188" s="27" t="s">
        <v>8958</v>
      </c>
      <c r="Q10188" s="26" t="str">
        <f>HYPERLINK("https://ictv.global/taxonomy/taxondetails?taxnode_id=202509897&amp;ictv_id=ICTV202009897","ICTV202009897")</f>
        <v>ICTV202009897</v>
      </c>
      <c r="R10188" t="s">
        <v>581</v>
      </c>
      <c r="S10188" t="s">
        <v>824</v>
      </c>
      <c r="T10188">
        <v>38</v>
      </c>
      <c r="U10188" s="26" t="str">
        <f t="shared" ref="U10188:U10219" si="371">HYPERLINK("https://ictv.global/ictv/proposals/2022.015P.Tombusviridae_rename.zip","2022.015P.Tombusviridae_rename.zip")</f>
        <v>2022.015P.Tombusviridae_rename.zip</v>
      </c>
    </row>
    <row r="10189" spans="1:21">
      <c r="A10189">
        <v>10188</v>
      </c>
      <c r="B10189" s="27" t="s">
        <v>1124</v>
      </c>
      <c r="D10189" s="27" t="s">
        <v>1859</v>
      </c>
      <c r="F10189" s="27" t="s">
        <v>1867</v>
      </c>
      <c r="H10189" s="27" t="s">
        <v>1879</v>
      </c>
      <c r="J10189" s="27" t="s">
        <v>1880</v>
      </c>
      <c r="L10189" s="27" t="s">
        <v>201</v>
      </c>
      <c r="M10189" s="27" t="s">
        <v>1188</v>
      </c>
      <c r="N10189" s="27" t="s">
        <v>707</v>
      </c>
      <c r="P10189" s="27" t="s">
        <v>8959</v>
      </c>
      <c r="Q10189" s="26" t="str">
        <f>HYPERLINK("https://ictv.global/taxonomy/taxondetails?taxnode_id=202505195&amp;ictv_id=ICTV20084910","ICTV20084910")</f>
        <v>ICTV20084910</v>
      </c>
      <c r="R10189" t="s">
        <v>581</v>
      </c>
      <c r="S10189" t="s">
        <v>824</v>
      </c>
      <c r="T10189">
        <v>38</v>
      </c>
      <c r="U10189" s="26" t="str">
        <f t="shared" si="371"/>
        <v>2022.015P.Tombusviridae_rename.zip</v>
      </c>
    </row>
    <row r="10190" spans="1:21">
      <c r="A10190">
        <v>10189</v>
      </c>
      <c r="B10190" s="27" t="s">
        <v>1124</v>
      </c>
      <c r="D10190" s="27" t="s">
        <v>1859</v>
      </c>
      <c r="F10190" s="27" t="s">
        <v>1867</v>
      </c>
      <c r="H10190" s="27" t="s">
        <v>1879</v>
      </c>
      <c r="J10190" s="27" t="s">
        <v>1880</v>
      </c>
      <c r="L10190" s="27" t="s">
        <v>201</v>
      </c>
      <c r="M10190" s="27" t="s">
        <v>1188</v>
      </c>
      <c r="N10190" s="27" t="s">
        <v>707</v>
      </c>
      <c r="P10190" s="27" t="s">
        <v>8960</v>
      </c>
      <c r="Q10190" s="26" t="str">
        <f>HYPERLINK("https://ictv.global/taxonomy/taxondetails?taxnode_id=202505201&amp;ictv_id=ICTV19871243","ICTV19871243")</f>
        <v>ICTV19871243</v>
      </c>
      <c r="R10190" t="s">
        <v>581</v>
      </c>
      <c r="S10190" t="s">
        <v>824</v>
      </c>
      <c r="T10190">
        <v>38</v>
      </c>
      <c r="U10190" s="26" t="str">
        <f t="shared" si="371"/>
        <v>2022.015P.Tombusviridae_rename.zip</v>
      </c>
    </row>
    <row r="10191" spans="1:21">
      <c r="A10191">
        <v>10190</v>
      </c>
      <c r="B10191" s="27" t="s">
        <v>1124</v>
      </c>
      <c r="D10191" s="27" t="s">
        <v>1859</v>
      </c>
      <c r="F10191" s="27" t="s">
        <v>1867</v>
      </c>
      <c r="H10191" s="27" t="s">
        <v>1879</v>
      </c>
      <c r="J10191" s="27" t="s">
        <v>1880</v>
      </c>
      <c r="L10191" s="27" t="s">
        <v>201</v>
      </c>
      <c r="M10191" s="27" t="s">
        <v>1188</v>
      </c>
      <c r="N10191" s="27" t="s">
        <v>707</v>
      </c>
      <c r="P10191" s="27" t="s">
        <v>8961</v>
      </c>
      <c r="Q10191" s="26" t="str">
        <f>HYPERLINK("https://ictv.global/taxonomy/taxondetails?taxnode_id=202505196&amp;ictv_id=ICTV20115437","ICTV20115437")</f>
        <v>ICTV20115437</v>
      </c>
      <c r="R10191" t="s">
        <v>581</v>
      </c>
      <c r="S10191" t="s">
        <v>824</v>
      </c>
      <c r="T10191">
        <v>38</v>
      </c>
      <c r="U10191" s="26" t="str">
        <f t="shared" si="371"/>
        <v>2022.015P.Tombusviridae_rename.zip</v>
      </c>
    </row>
    <row r="10192" spans="1:21">
      <c r="A10192">
        <v>10191</v>
      </c>
      <c r="B10192" s="27" t="s">
        <v>1124</v>
      </c>
      <c r="D10192" s="27" t="s">
        <v>1859</v>
      </c>
      <c r="F10192" s="27" t="s">
        <v>1867</v>
      </c>
      <c r="H10192" s="27" t="s">
        <v>1879</v>
      </c>
      <c r="J10192" s="27" t="s">
        <v>1880</v>
      </c>
      <c r="L10192" s="27" t="s">
        <v>201</v>
      </c>
      <c r="M10192" s="27" t="s">
        <v>1188</v>
      </c>
      <c r="N10192" s="27" t="s">
        <v>707</v>
      </c>
      <c r="P10192" s="27" t="s">
        <v>8962</v>
      </c>
      <c r="Q10192" s="26" t="str">
        <f>HYPERLINK("https://ictv.global/taxonomy/taxondetails?taxnode_id=202505197&amp;ictv_id=ICTV19871238","ICTV19871238")</f>
        <v>ICTV19871238</v>
      </c>
      <c r="R10192" t="s">
        <v>581</v>
      </c>
      <c r="S10192" t="s">
        <v>824</v>
      </c>
      <c r="T10192">
        <v>38</v>
      </c>
      <c r="U10192" s="26" t="str">
        <f t="shared" si="371"/>
        <v>2022.015P.Tombusviridae_rename.zip</v>
      </c>
    </row>
    <row r="10193" spans="1:21">
      <c r="A10193">
        <v>10192</v>
      </c>
      <c r="B10193" s="27" t="s">
        <v>1124</v>
      </c>
      <c r="D10193" s="27" t="s">
        <v>1859</v>
      </c>
      <c r="F10193" s="27" t="s">
        <v>1867</v>
      </c>
      <c r="H10193" s="27" t="s">
        <v>1879</v>
      </c>
      <c r="J10193" s="27" t="s">
        <v>1880</v>
      </c>
      <c r="L10193" s="27" t="s">
        <v>201</v>
      </c>
      <c r="M10193" s="27" t="s">
        <v>1188</v>
      </c>
      <c r="N10193" s="27" t="s">
        <v>707</v>
      </c>
      <c r="P10193" s="27" t="s">
        <v>8963</v>
      </c>
      <c r="Q10193" s="26" t="str">
        <f>HYPERLINK("https://ictv.global/taxonomy/taxondetails?taxnode_id=202505198&amp;ictv_id=ICTV20115438","ICTV20115438")</f>
        <v>ICTV20115438</v>
      </c>
      <c r="R10193" t="s">
        <v>581</v>
      </c>
      <c r="S10193" t="s">
        <v>824</v>
      </c>
      <c r="T10193">
        <v>38</v>
      </c>
      <c r="U10193" s="26" t="str">
        <f t="shared" si="371"/>
        <v>2022.015P.Tombusviridae_rename.zip</v>
      </c>
    </row>
    <row r="10194" spans="1:21">
      <c r="A10194">
        <v>10193</v>
      </c>
      <c r="B10194" s="27" t="s">
        <v>1124</v>
      </c>
      <c r="D10194" s="27" t="s">
        <v>1859</v>
      </c>
      <c r="F10194" s="27" t="s">
        <v>1867</v>
      </c>
      <c r="H10194" s="27" t="s">
        <v>1879</v>
      </c>
      <c r="J10194" s="27" t="s">
        <v>1880</v>
      </c>
      <c r="L10194" s="27" t="s">
        <v>201</v>
      </c>
      <c r="M10194" s="27" t="s">
        <v>1188</v>
      </c>
      <c r="N10194" s="27" t="s">
        <v>707</v>
      </c>
      <c r="P10194" s="27" t="s">
        <v>8964</v>
      </c>
      <c r="Q10194" s="26" t="str">
        <f>HYPERLINK("https://ictv.global/taxonomy/taxondetails?taxnode_id=202505199&amp;ictv_id=ICTV20115696","ICTV20115696")</f>
        <v>ICTV20115696</v>
      </c>
      <c r="R10194" t="s">
        <v>581</v>
      </c>
      <c r="S10194" t="s">
        <v>824</v>
      </c>
      <c r="T10194">
        <v>38</v>
      </c>
      <c r="U10194" s="26" t="str">
        <f t="shared" si="371"/>
        <v>2022.015P.Tombusviridae_rename.zip</v>
      </c>
    </row>
    <row r="10195" spans="1:21">
      <c r="A10195">
        <v>10194</v>
      </c>
      <c r="B10195" s="27" t="s">
        <v>1124</v>
      </c>
      <c r="D10195" s="27" t="s">
        <v>1859</v>
      </c>
      <c r="F10195" s="27" t="s">
        <v>1867</v>
      </c>
      <c r="H10195" s="27" t="s">
        <v>1879</v>
      </c>
      <c r="J10195" s="27" t="s">
        <v>1880</v>
      </c>
      <c r="L10195" s="27" t="s">
        <v>201</v>
      </c>
      <c r="M10195" s="27" t="s">
        <v>1188</v>
      </c>
      <c r="N10195" s="27" t="s">
        <v>707</v>
      </c>
      <c r="P10195" s="27" t="s">
        <v>8965</v>
      </c>
      <c r="Q10195" s="26" t="str">
        <f>HYPERLINK("https://ictv.global/taxonomy/taxondetails?taxnode_id=202505200&amp;ictv_id=ICTV19871242","ICTV19871242")</f>
        <v>ICTV19871242</v>
      </c>
      <c r="R10195" t="s">
        <v>581</v>
      </c>
      <c r="S10195" t="s">
        <v>824</v>
      </c>
      <c r="T10195">
        <v>38</v>
      </c>
      <c r="U10195" s="26" t="str">
        <f t="shared" si="371"/>
        <v>2022.015P.Tombusviridae_rename.zip</v>
      </c>
    </row>
    <row r="10196" spans="1:21">
      <c r="A10196">
        <v>10195</v>
      </c>
      <c r="B10196" s="27" t="s">
        <v>1124</v>
      </c>
      <c r="D10196" s="27" t="s">
        <v>1859</v>
      </c>
      <c r="F10196" s="27" t="s">
        <v>1867</v>
      </c>
      <c r="H10196" s="27" t="s">
        <v>1879</v>
      </c>
      <c r="J10196" s="27" t="s">
        <v>1880</v>
      </c>
      <c r="L10196" s="27" t="s">
        <v>201</v>
      </c>
      <c r="M10196" s="27" t="s">
        <v>1188</v>
      </c>
      <c r="N10196" s="27" t="s">
        <v>489</v>
      </c>
      <c r="P10196" s="27" t="s">
        <v>8966</v>
      </c>
      <c r="Q10196" s="26" t="str">
        <f>HYPERLINK("https://ictv.global/taxonomy/taxondetails?taxnode_id=202505205&amp;ictv_id=ICTV19710324","ICTV19710324")</f>
        <v>ICTV19710324</v>
      </c>
      <c r="R10196" t="s">
        <v>581</v>
      </c>
      <c r="S10196" t="s">
        <v>824</v>
      </c>
      <c r="T10196">
        <v>38</v>
      </c>
      <c r="U10196" s="26" t="str">
        <f t="shared" si="371"/>
        <v>2022.015P.Tombusviridae_rename.zip</v>
      </c>
    </row>
    <row r="10197" spans="1:21">
      <c r="A10197">
        <v>10196</v>
      </c>
      <c r="B10197" s="27" t="s">
        <v>1124</v>
      </c>
      <c r="D10197" s="27" t="s">
        <v>1859</v>
      </c>
      <c r="F10197" s="27" t="s">
        <v>1867</v>
      </c>
      <c r="H10197" s="27" t="s">
        <v>1879</v>
      </c>
      <c r="J10197" s="27" t="s">
        <v>1880</v>
      </c>
      <c r="L10197" s="27" t="s">
        <v>201</v>
      </c>
      <c r="M10197" s="27" t="s">
        <v>1188</v>
      </c>
      <c r="N10197" s="27" t="s">
        <v>489</v>
      </c>
      <c r="P10197" s="27" t="s">
        <v>8967</v>
      </c>
      <c r="Q10197" s="26" t="str">
        <f>HYPERLINK("https://ictv.global/taxonomy/taxondetails?taxnode_id=202505203&amp;ictv_id=ICTV19982561","ICTV19982561")</f>
        <v>ICTV19982561</v>
      </c>
      <c r="R10197" t="s">
        <v>581</v>
      </c>
      <c r="S10197" t="s">
        <v>824</v>
      </c>
      <c r="T10197">
        <v>38</v>
      </c>
      <c r="U10197" s="26" t="str">
        <f t="shared" si="371"/>
        <v>2022.015P.Tombusviridae_rename.zip</v>
      </c>
    </row>
    <row r="10198" spans="1:21">
      <c r="A10198">
        <v>10197</v>
      </c>
      <c r="B10198" s="27" t="s">
        <v>1124</v>
      </c>
      <c r="D10198" s="27" t="s">
        <v>1859</v>
      </c>
      <c r="F10198" s="27" t="s">
        <v>1867</v>
      </c>
      <c r="H10198" s="27" t="s">
        <v>1879</v>
      </c>
      <c r="J10198" s="27" t="s">
        <v>1880</v>
      </c>
      <c r="L10198" s="27" t="s">
        <v>201</v>
      </c>
      <c r="M10198" s="27" t="s">
        <v>1188</v>
      </c>
      <c r="N10198" s="27" t="s">
        <v>489</v>
      </c>
      <c r="P10198" s="27" t="s">
        <v>8968</v>
      </c>
      <c r="Q10198" s="26" t="str">
        <f>HYPERLINK("https://ictv.global/taxonomy/taxondetails?taxnode_id=202506636&amp;ictv_id=ICTV201856636","ICTV201856636")</f>
        <v>ICTV201856636</v>
      </c>
      <c r="R10198" t="s">
        <v>581</v>
      </c>
      <c r="S10198" t="s">
        <v>824</v>
      </c>
      <c r="T10198">
        <v>38</v>
      </c>
      <c r="U10198" s="26" t="str">
        <f t="shared" si="371"/>
        <v>2022.015P.Tombusviridae_rename.zip</v>
      </c>
    </row>
    <row r="10199" spans="1:21">
      <c r="A10199">
        <v>10198</v>
      </c>
      <c r="B10199" s="27" t="s">
        <v>1124</v>
      </c>
      <c r="D10199" s="27" t="s">
        <v>1859</v>
      </c>
      <c r="F10199" s="27" t="s">
        <v>1867</v>
      </c>
      <c r="H10199" s="27" t="s">
        <v>1879</v>
      </c>
      <c r="J10199" s="27" t="s">
        <v>1880</v>
      </c>
      <c r="L10199" s="27" t="s">
        <v>201</v>
      </c>
      <c r="M10199" s="27" t="s">
        <v>1188</v>
      </c>
      <c r="N10199" s="27" t="s">
        <v>489</v>
      </c>
      <c r="P10199" s="27" t="s">
        <v>8969</v>
      </c>
      <c r="Q10199" s="26" t="str">
        <f>HYPERLINK("https://ictv.global/taxonomy/taxondetails?taxnode_id=202505204&amp;ictv_id=ICTV20084933","ICTV20084933")</f>
        <v>ICTV20084933</v>
      </c>
      <c r="R10199" t="s">
        <v>581</v>
      </c>
      <c r="S10199" t="s">
        <v>824</v>
      </c>
      <c r="T10199">
        <v>38</v>
      </c>
      <c r="U10199" s="26" t="str">
        <f t="shared" si="371"/>
        <v>2022.015P.Tombusviridae_rename.zip</v>
      </c>
    </row>
    <row r="10200" spans="1:21">
      <c r="A10200">
        <v>10199</v>
      </c>
      <c r="B10200" s="27" t="s">
        <v>1124</v>
      </c>
      <c r="D10200" s="27" t="s">
        <v>1859</v>
      </c>
      <c r="F10200" s="27" t="s">
        <v>1867</v>
      </c>
      <c r="H10200" s="27" t="s">
        <v>1879</v>
      </c>
      <c r="J10200" s="27" t="s">
        <v>1880</v>
      </c>
      <c r="L10200" s="27" t="s">
        <v>201</v>
      </c>
      <c r="M10200" s="27" t="s">
        <v>1188</v>
      </c>
      <c r="N10200" s="27" t="s">
        <v>202</v>
      </c>
      <c r="P10200" s="27" t="s">
        <v>8970</v>
      </c>
      <c r="Q10200" s="26" t="str">
        <f>HYPERLINK("https://ictv.global/taxonomy/taxondetails?taxnode_id=202505210&amp;ictv_id=ICTV19982542","ICTV19982542")</f>
        <v>ICTV19982542</v>
      </c>
      <c r="R10200" t="s">
        <v>581</v>
      </c>
      <c r="S10200" t="s">
        <v>824</v>
      </c>
      <c r="T10200">
        <v>38</v>
      </c>
      <c r="U10200" s="26" t="str">
        <f t="shared" si="371"/>
        <v>2022.015P.Tombusviridae_rename.zip</v>
      </c>
    </row>
    <row r="10201" spans="1:21">
      <c r="A10201">
        <v>10200</v>
      </c>
      <c r="B10201" s="27" t="s">
        <v>1124</v>
      </c>
      <c r="D10201" s="27" t="s">
        <v>1859</v>
      </c>
      <c r="F10201" s="27" t="s">
        <v>1867</v>
      </c>
      <c r="H10201" s="27" t="s">
        <v>1879</v>
      </c>
      <c r="J10201" s="27" t="s">
        <v>1880</v>
      </c>
      <c r="L10201" s="27" t="s">
        <v>201</v>
      </c>
      <c r="M10201" s="27" t="s">
        <v>1188</v>
      </c>
      <c r="N10201" s="27" t="s">
        <v>202</v>
      </c>
      <c r="P10201" s="27" t="s">
        <v>8971</v>
      </c>
      <c r="Q10201" s="26" t="str">
        <f>HYPERLINK("https://ictv.global/taxonomy/taxondetails?taxnode_id=202505207&amp;ictv_id=ICTV20074720","ICTV20074720")</f>
        <v>ICTV20074720</v>
      </c>
      <c r="R10201" t="s">
        <v>581</v>
      </c>
      <c r="S10201" t="s">
        <v>824</v>
      </c>
      <c r="T10201">
        <v>38</v>
      </c>
      <c r="U10201" s="26" t="str">
        <f t="shared" si="371"/>
        <v>2022.015P.Tombusviridae_rename.zip</v>
      </c>
    </row>
    <row r="10202" spans="1:21">
      <c r="A10202">
        <v>10201</v>
      </c>
      <c r="B10202" s="27" t="s">
        <v>1124</v>
      </c>
      <c r="D10202" s="27" t="s">
        <v>1859</v>
      </c>
      <c r="F10202" s="27" t="s">
        <v>1867</v>
      </c>
      <c r="H10202" s="27" t="s">
        <v>1879</v>
      </c>
      <c r="J10202" s="27" t="s">
        <v>1880</v>
      </c>
      <c r="L10202" s="27" t="s">
        <v>201</v>
      </c>
      <c r="M10202" s="27" t="s">
        <v>1188</v>
      </c>
      <c r="N10202" s="27" t="s">
        <v>202</v>
      </c>
      <c r="P10202" s="27" t="s">
        <v>8972</v>
      </c>
      <c r="Q10202" s="26" t="str">
        <f>HYPERLINK("https://ictv.global/taxonomy/taxondetails?taxnode_id=202505211&amp;ictv_id=ICTV20154364","ICTV20154364")</f>
        <v>ICTV20154364</v>
      </c>
      <c r="R10202" t="s">
        <v>581</v>
      </c>
      <c r="S10202" t="s">
        <v>824</v>
      </c>
      <c r="T10202">
        <v>38</v>
      </c>
      <c r="U10202" s="26" t="str">
        <f t="shared" si="371"/>
        <v>2022.015P.Tombusviridae_rename.zip</v>
      </c>
    </row>
    <row r="10203" spans="1:21">
      <c r="A10203">
        <v>10202</v>
      </c>
      <c r="B10203" s="27" t="s">
        <v>1124</v>
      </c>
      <c r="D10203" s="27" t="s">
        <v>1859</v>
      </c>
      <c r="F10203" s="27" t="s">
        <v>1867</v>
      </c>
      <c r="H10203" s="27" t="s">
        <v>1879</v>
      </c>
      <c r="J10203" s="27" t="s">
        <v>1880</v>
      </c>
      <c r="L10203" s="27" t="s">
        <v>201</v>
      </c>
      <c r="M10203" s="27" t="s">
        <v>1188</v>
      </c>
      <c r="N10203" s="27" t="s">
        <v>202</v>
      </c>
      <c r="P10203" s="27" t="s">
        <v>8973</v>
      </c>
      <c r="Q10203" s="26" t="str">
        <f>HYPERLINK("https://ictv.global/taxonomy/taxondetails?taxnode_id=202509900&amp;ictv_id=ICTV202009900","ICTV202009900")</f>
        <v>ICTV202009900</v>
      </c>
      <c r="R10203" t="s">
        <v>581</v>
      </c>
      <c r="S10203" t="s">
        <v>824</v>
      </c>
      <c r="T10203">
        <v>38</v>
      </c>
      <c r="U10203" s="26" t="str">
        <f t="shared" si="371"/>
        <v>2022.015P.Tombusviridae_rename.zip</v>
      </c>
    </row>
    <row r="10204" spans="1:21">
      <c r="A10204">
        <v>10203</v>
      </c>
      <c r="B10204" s="27" t="s">
        <v>1124</v>
      </c>
      <c r="D10204" s="27" t="s">
        <v>1859</v>
      </c>
      <c r="F10204" s="27" t="s">
        <v>1867</v>
      </c>
      <c r="H10204" s="27" t="s">
        <v>1879</v>
      </c>
      <c r="J10204" s="27" t="s">
        <v>1880</v>
      </c>
      <c r="L10204" s="27" t="s">
        <v>201</v>
      </c>
      <c r="M10204" s="27" t="s">
        <v>1188</v>
      </c>
      <c r="N10204" s="27" t="s">
        <v>202</v>
      </c>
      <c r="P10204" s="27" t="s">
        <v>8974</v>
      </c>
      <c r="Q10204" s="26" t="str">
        <f>HYPERLINK("https://ictv.global/taxonomy/taxondetails?taxnode_id=202505208&amp;ictv_id=ICTV20095097","ICTV20095097")</f>
        <v>ICTV20095097</v>
      </c>
      <c r="R10204" t="s">
        <v>581</v>
      </c>
      <c r="S10204" t="s">
        <v>824</v>
      </c>
      <c r="T10204">
        <v>38</v>
      </c>
      <c r="U10204" s="26" t="str">
        <f t="shared" si="371"/>
        <v>2022.015P.Tombusviridae_rename.zip</v>
      </c>
    </row>
    <row r="10205" spans="1:21">
      <c r="A10205">
        <v>10204</v>
      </c>
      <c r="B10205" s="27" t="s">
        <v>1124</v>
      </c>
      <c r="D10205" s="27" t="s">
        <v>1859</v>
      </c>
      <c r="F10205" s="27" t="s">
        <v>1867</v>
      </c>
      <c r="H10205" s="27" t="s">
        <v>1879</v>
      </c>
      <c r="J10205" s="27" t="s">
        <v>1880</v>
      </c>
      <c r="L10205" s="27" t="s">
        <v>201</v>
      </c>
      <c r="M10205" s="27" t="s">
        <v>1188</v>
      </c>
      <c r="N10205" s="27" t="s">
        <v>202</v>
      </c>
      <c r="P10205" s="27" t="s">
        <v>8975</v>
      </c>
      <c r="Q10205" s="26" t="str">
        <f>HYPERLINK("https://ictv.global/taxonomy/taxondetails?taxnode_id=202505209&amp;ictv_id=ICTV20095098","ICTV20095098")</f>
        <v>ICTV20095098</v>
      </c>
      <c r="R10205" t="s">
        <v>581</v>
      </c>
      <c r="S10205" t="s">
        <v>824</v>
      </c>
      <c r="T10205">
        <v>38</v>
      </c>
      <c r="U10205" s="26" t="str">
        <f t="shared" si="371"/>
        <v>2022.015P.Tombusviridae_rename.zip</v>
      </c>
    </row>
    <row r="10206" spans="1:21">
      <c r="A10206">
        <v>10205</v>
      </c>
      <c r="B10206" s="27" t="s">
        <v>1124</v>
      </c>
      <c r="D10206" s="27" t="s">
        <v>1859</v>
      </c>
      <c r="F10206" s="27" t="s">
        <v>1867</v>
      </c>
      <c r="H10206" s="27" t="s">
        <v>1879</v>
      </c>
      <c r="J10206" s="27" t="s">
        <v>1880</v>
      </c>
      <c r="L10206" s="27" t="s">
        <v>201</v>
      </c>
      <c r="M10206" s="27" t="s">
        <v>1188</v>
      </c>
      <c r="N10206" s="27" t="s">
        <v>203</v>
      </c>
      <c r="P10206" s="27" t="s">
        <v>8976</v>
      </c>
      <c r="Q10206" s="26" t="str">
        <f>HYPERLINK("https://ictv.global/taxonomy/taxondetails?taxnode_id=202505213&amp;ictv_id=ICTV19982543","ICTV19982543")</f>
        <v>ICTV19982543</v>
      </c>
      <c r="R10206" t="s">
        <v>581</v>
      </c>
      <c r="S10206" t="s">
        <v>824</v>
      </c>
      <c r="T10206">
        <v>38</v>
      </c>
      <c r="U10206" s="26" t="str">
        <f t="shared" si="371"/>
        <v>2022.015P.Tombusviridae_rename.zip</v>
      </c>
    </row>
    <row r="10207" spans="1:21">
      <c r="A10207">
        <v>10206</v>
      </c>
      <c r="B10207" s="27" t="s">
        <v>1124</v>
      </c>
      <c r="D10207" s="27" t="s">
        <v>1859</v>
      </c>
      <c r="F10207" s="27" t="s">
        <v>1867</v>
      </c>
      <c r="H10207" s="27" t="s">
        <v>1879</v>
      </c>
      <c r="J10207" s="27" t="s">
        <v>1880</v>
      </c>
      <c r="L10207" s="27" t="s">
        <v>201</v>
      </c>
      <c r="M10207" s="27" t="s">
        <v>1188</v>
      </c>
      <c r="N10207" s="27" t="s">
        <v>708</v>
      </c>
      <c r="P10207" s="27" t="s">
        <v>8977</v>
      </c>
      <c r="Q10207" s="26" t="str">
        <f>HYPERLINK("https://ictv.global/taxonomy/taxondetails?taxnode_id=202505218&amp;ictv_id=ICTV19871244","ICTV19871244")</f>
        <v>ICTV19871244</v>
      </c>
      <c r="R10207" t="s">
        <v>581</v>
      </c>
      <c r="S10207" t="s">
        <v>824</v>
      </c>
      <c r="T10207">
        <v>38</v>
      </c>
      <c r="U10207" s="26" t="str">
        <f t="shared" si="371"/>
        <v>2022.015P.Tombusviridae_rename.zip</v>
      </c>
    </row>
    <row r="10208" spans="1:21">
      <c r="A10208">
        <v>10207</v>
      </c>
      <c r="B10208" s="27" t="s">
        <v>1124</v>
      </c>
      <c r="D10208" s="27" t="s">
        <v>1859</v>
      </c>
      <c r="F10208" s="27" t="s">
        <v>1867</v>
      </c>
      <c r="H10208" s="27" t="s">
        <v>1879</v>
      </c>
      <c r="J10208" s="27" t="s">
        <v>1880</v>
      </c>
      <c r="L10208" s="27" t="s">
        <v>201</v>
      </c>
      <c r="M10208" s="27" t="s">
        <v>1188</v>
      </c>
      <c r="N10208" s="27" t="s">
        <v>708</v>
      </c>
      <c r="P10208" s="27" t="s">
        <v>8978</v>
      </c>
      <c r="Q10208" s="26" t="str">
        <f>HYPERLINK("https://ictv.global/taxonomy/taxondetails?taxnode_id=202505215&amp;ictv_id=ICTV19991701","ICTV19991701")</f>
        <v>ICTV19991701</v>
      </c>
      <c r="R10208" t="s">
        <v>581</v>
      </c>
      <c r="S10208" t="s">
        <v>824</v>
      </c>
      <c r="T10208">
        <v>38</v>
      </c>
      <c r="U10208" s="26" t="str">
        <f t="shared" si="371"/>
        <v>2022.015P.Tombusviridae_rename.zip</v>
      </c>
    </row>
    <row r="10209" spans="1:21">
      <c r="A10209">
        <v>10208</v>
      </c>
      <c r="B10209" s="27" t="s">
        <v>1124</v>
      </c>
      <c r="D10209" s="27" t="s">
        <v>1859</v>
      </c>
      <c r="F10209" s="27" t="s">
        <v>1867</v>
      </c>
      <c r="H10209" s="27" t="s">
        <v>1879</v>
      </c>
      <c r="J10209" s="27" t="s">
        <v>1880</v>
      </c>
      <c r="L10209" s="27" t="s">
        <v>201</v>
      </c>
      <c r="M10209" s="27" t="s">
        <v>1188</v>
      </c>
      <c r="N10209" s="27" t="s">
        <v>708</v>
      </c>
      <c r="P10209" s="27" t="s">
        <v>8979</v>
      </c>
      <c r="Q10209" s="26" t="str">
        <f>HYPERLINK("https://ictv.global/taxonomy/taxondetails?taxnode_id=202505216&amp;ictv_id=ICTV19871241","ICTV19871241")</f>
        <v>ICTV19871241</v>
      </c>
      <c r="R10209" t="s">
        <v>581</v>
      </c>
      <c r="S10209" t="s">
        <v>824</v>
      </c>
      <c r="T10209">
        <v>38</v>
      </c>
      <c r="U10209" s="26" t="str">
        <f t="shared" si="371"/>
        <v>2022.015P.Tombusviridae_rename.zip</v>
      </c>
    </row>
    <row r="10210" spans="1:21">
      <c r="A10210">
        <v>10209</v>
      </c>
      <c r="B10210" s="27" t="s">
        <v>1124</v>
      </c>
      <c r="D10210" s="27" t="s">
        <v>1859</v>
      </c>
      <c r="F10210" s="27" t="s">
        <v>1867</v>
      </c>
      <c r="H10210" s="27" t="s">
        <v>1879</v>
      </c>
      <c r="J10210" s="27" t="s">
        <v>1880</v>
      </c>
      <c r="L10210" s="27" t="s">
        <v>201</v>
      </c>
      <c r="M10210" s="27" t="s">
        <v>1188</v>
      </c>
      <c r="N10210" s="27" t="s">
        <v>708</v>
      </c>
      <c r="P10210" s="27" t="s">
        <v>8980</v>
      </c>
      <c r="Q10210" s="26" t="str">
        <f>HYPERLINK("https://ictv.global/taxonomy/taxondetails?taxnode_id=202505217&amp;ictv_id=ICTV20042121","ICTV20042121")</f>
        <v>ICTV20042121</v>
      </c>
      <c r="R10210" t="s">
        <v>581</v>
      </c>
      <c r="S10210" t="s">
        <v>824</v>
      </c>
      <c r="T10210">
        <v>38</v>
      </c>
      <c r="U10210" s="26" t="str">
        <f t="shared" si="371"/>
        <v>2022.015P.Tombusviridae_rename.zip</v>
      </c>
    </row>
    <row r="10211" spans="1:21">
      <c r="A10211">
        <v>10210</v>
      </c>
      <c r="B10211" s="27" t="s">
        <v>1124</v>
      </c>
      <c r="D10211" s="27" t="s">
        <v>1859</v>
      </c>
      <c r="F10211" s="27" t="s">
        <v>1867</v>
      </c>
      <c r="H10211" s="27" t="s">
        <v>1879</v>
      </c>
      <c r="J10211" s="27" t="s">
        <v>1880</v>
      </c>
      <c r="L10211" s="27" t="s">
        <v>201</v>
      </c>
      <c r="M10211" s="27" t="s">
        <v>1188</v>
      </c>
      <c r="N10211" s="27" t="s">
        <v>490</v>
      </c>
      <c r="P10211" s="27" t="s">
        <v>8981</v>
      </c>
      <c r="Q10211" s="26" t="str">
        <f>HYPERLINK("https://ictv.global/taxonomy/taxondetails?taxnode_id=202505220&amp;ictv_id=ICTV20042132","ICTV20042132")</f>
        <v>ICTV20042132</v>
      </c>
      <c r="R10211" t="s">
        <v>581</v>
      </c>
      <c r="S10211" t="s">
        <v>824</v>
      </c>
      <c r="T10211">
        <v>38</v>
      </c>
      <c r="U10211" s="26" t="str">
        <f t="shared" si="371"/>
        <v>2022.015P.Tombusviridae_rename.zip</v>
      </c>
    </row>
    <row r="10212" spans="1:21">
      <c r="A10212">
        <v>10211</v>
      </c>
      <c r="B10212" s="27" t="s">
        <v>1124</v>
      </c>
      <c r="D10212" s="27" t="s">
        <v>1859</v>
      </c>
      <c r="F10212" s="27" t="s">
        <v>1867</v>
      </c>
      <c r="H10212" s="27" t="s">
        <v>1879</v>
      </c>
      <c r="J10212" s="27" t="s">
        <v>1880</v>
      </c>
      <c r="L10212" s="27" t="s">
        <v>201</v>
      </c>
      <c r="M10212" s="27" t="s">
        <v>1188</v>
      </c>
      <c r="N10212" s="27" t="s">
        <v>490</v>
      </c>
      <c r="P10212" s="27" t="s">
        <v>8982</v>
      </c>
      <c r="Q10212" s="26" t="str">
        <f>HYPERLINK("https://ictv.global/taxonomy/taxondetails?taxnode_id=202505222&amp;ictv_id=ICTV19982563","ICTV19982563")</f>
        <v>ICTV19982563</v>
      </c>
      <c r="R10212" t="s">
        <v>581</v>
      </c>
      <c r="S10212" t="s">
        <v>824</v>
      </c>
      <c r="T10212">
        <v>38</v>
      </c>
      <c r="U10212" s="26" t="str">
        <f t="shared" si="371"/>
        <v>2022.015P.Tombusviridae_rename.zip</v>
      </c>
    </row>
    <row r="10213" spans="1:21">
      <c r="A10213">
        <v>10212</v>
      </c>
      <c r="B10213" s="27" t="s">
        <v>1124</v>
      </c>
      <c r="D10213" s="27" t="s">
        <v>1859</v>
      </c>
      <c r="F10213" s="27" t="s">
        <v>1867</v>
      </c>
      <c r="H10213" s="27" t="s">
        <v>1879</v>
      </c>
      <c r="J10213" s="27" t="s">
        <v>1880</v>
      </c>
      <c r="L10213" s="27" t="s">
        <v>201</v>
      </c>
      <c r="M10213" s="27" t="s">
        <v>1188</v>
      </c>
      <c r="N10213" s="27" t="s">
        <v>490</v>
      </c>
      <c r="P10213" s="27" t="s">
        <v>8983</v>
      </c>
      <c r="Q10213" s="26" t="str">
        <f>HYPERLINK("https://ictv.global/taxonomy/taxondetails?taxnode_id=202505221&amp;ictv_id=ICTV19982560","ICTV19982560")</f>
        <v>ICTV19982560</v>
      </c>
      <c r="R10213" t="s">
        <v>581</v>
      </c>
      <c r="S10213" t="s">
        <v>824</v>
      </c>
      <c r="T10213">
        <v>38</v>
      </c>
      <c r="U10213" s="26" t="str">
        <f t="shared" si="371"/>
        <v>2022.015P.Tombusviridae_rename.zip</v>
      </c>
    </row>
    <row r="10214" spans="1:21">
      <c r="A10214">
        <v>10213</v>
      </c>
      <c r="B10214" s="27" t="s">
        <v>1124</v>
      </c>
      <c r="D10214" s="27" t="s">
        <v>1859</v>
      </c>
      <c r="F10214" s="27" t="s">
        <v>1867</v>
      </c>
      <c r="H10214" s="27" t="s">
        <v>1879</v>
      </c>
      <c r="J10214" s="27" t="s">
        <v>1880</v>
      </c>
      <c r="L10214" s="27" t="s">
        <v>201</v>
      </c>
      <c r="M10214" s="27" t="s">
        <v>1188</v>
      </c>
      <c r="N10214" s="27" t="s">
        <v>491</v>
      </c>
      <c r="P10214" s="27" t="s">
        <v>8984</v>
      </c>
      <c r="Q10214" s="26" t="str">
        <f>HYPERLINK("https://ictv.global/taxonomy/taxondetails?taxnode_id=202505228&amp;ictv_id=ICTV19871239","ICTV19871239")</f>
        <v>ICTV19871239</v>
      </c>
      <c r="R10214" t="s">
        <v>581</v>
      </c>
      <c r="S10214" t="s">
        <v>824</v>
      </c>
      <c r="T10214">
        <v>38</v>
      </c>
      <c r="U10214" s="26" t="str">
        <f t="shared" si="371"/>
        <v>2022.015P.Tombusviridae_rename.zip</v>
      </c>
    </row>
    <row r="10215" spans="1:21">
      <c r="A10215">
        <v>10214</v>
      </c>
      <c r="B10215" s="27" t="s">
        <v>1124</v>
      </c>
      <c r="D10215" s="27" t="s">
        <v>1859</v>
      </c>
      <c r="F10215" s="27" t="s">
        <v>1867</v>
      </c>
      <c r="H10215" s="27" t="s">
        <v>1879</v>
      </c>
      <c r="J10215" s="27" t="s">
        <v>1880</v>
      </c>
      <c r="L10215" s="27" t="s">
        <v>201</v>
      </c>
      <c r="M10215" s="27" t="s">
        <v>1188</v>
      </c>
      <c r="N10215" s="27" t="s">
        <v>709</v>
      </c>
      <c r="P10215" s="27" t="s">
        <v>8985</v>
      </c>
      <c r="Q10215" s="26" t="str">
        <f>HYPERLINK("https://ictv.global/taxonomy/taxondetails?taxnode_id=202505233&amp;ictv_id=ICTV20115440","ICTV20115440")</f>
        <v>ICTV20115440</v>
      </c>
      <c r="R10215" t="s">
        <v>581</v>
      </c>
      <c r="S10215" t="s">
        <v>824</v>
      </c>
      <c r="T10215">
        <v>38</v>
      </c>
      <c r="U10215" s="26" t="str">
        <f t="shared" si="371"/>
        <v>2022.015P.Tombusviridae_rename.zip</v>
      </c>
    </row>
    <row r="10216" spans="1:21">
      <c r="A10216">
        <v>10215</v>
      </c>
      <c r="B10216" s="27" t="s">
        <v>1124</v>
      </c>
      <c r="D10216" s="27" t="s">
        <v>1859</v>
      </c>
      <c r="F10216" s="27" t="s">
        <v>1867</v>
      </c>
      <c r="H10216" s="27" t="s">
        <v>1879</v>
      </c>
      <c r="J10216" s="27" t="s">
        <v>1880</v>
      </c>
      <c r="L10216" s="27" t="s">
        <v>201</v>
      </c>
      <c r="M10216" s="27" t="s">
        <v>1188</v>
      </c>
      <c r="N10216" s="27" t="s">
        <v>709</v>
      </c>
      <c r="P10216" s="27" t="s">
        <v>8986</v>
      </c>
      <c r="Q10216" s="26" t="str">
        <f>HYPERLINK("https://ictv.global/taxonomy/taxondetails?taxnode_id=202505231&amp;ictv_id=ICTV19911553","ICTV19911553")</f>
        <v>ICTV19911553</v>
      </c>
      <c r="R10216" t="s">
        <v>581</v>
      </c>
      <c r="S10216" t="s">
        <v>824</v>
      </c>
      <c r="T10216">
        <v>38</v>
      </c>
      <c r="U10216" s="26" t="str">
        <f t="shared" si="371"/>
        <v>2022.015P.Tombusviridae_rename.zip</v>
      </c>
    </row>
    <row r="10217" spans="1:21">
      <c r="A10217">
        <v>10216</v>
      </c>
      <c r="B10217" s="27" t="s">
        <v>1124</v>
      </c>
      <c r="D10217" s="27" t="s">
        <v>1859</v>
      </c>
      <c r="F10217" s="27" t="s">
        <v>1867</v>
      </c>
      <c r="H10217" s="27" t="s">
        <v>1879</v>
      </c>
      <c r="J10217" s="27" t="s">
        <v>1880</v>
      </c>
      <c r="L10217" s="27" t="s">
        <v>201</v>
      </c>
      <c r="M10217" s="27" t="s">
        <v>1188</v>
      </c>
      <c r="N10217" s="27" t="s">
        <v>709</v>
      </c>
      <c r="P10217" s="27" t="s">
        <v>8987</v>
      </c>
      <c r="Q10217" s="26" t="str">
        <f>HYPERLINK("https://ictv.global/taxonomy/taxondetails?taxnode_id=202505232&amp;ictv_id=ICTV20084920","ICTV20084920")</f>
        <v>ICTV20084920</v>
      </c>
      <c r="R10217" t="s">
        <v>581</v>
      </c>
      <c r="S10217" t="s">
        <v>824</v>
      </c>
      <c r="T10217">
        <v>38</v>
      </c>
      <c r="U10217" s="26" t="str">
        <f t="shared" si="371"/>
        <v>2022.015P.Tombusviridae_rename.zip</v>
      </c>
    </row>
    <row r="10218" spans="1:21">
      <c r="A10218">
        <v>10217</v>
      </c>
      <c r="B10218" s="27" t="s">
        <v>1124</v>
      </c>
      <c r="D10218" s="27" t="s">
        <v>1859</v>
      </c>
      <c r="F10218" s="27" t="s">
        <v>1867</v>
      </c>
      <c r="H10218" s="27" t="s">
        <v>1879</v>
      </c>
      <c r="J10218" s="27" t="s">
        <v>1880</v>
      </c>
      <c r="L10218" s="27" t="s">
        <v>201</v>
      </c>
      <c r="M10218" s="27" t="s">
        <v>1188</v>
      </c>
      <c r="N10218" s="27" t="s">
        <v>709</v>
      </c>
      <c r="P10218" s="27" t="s">
        <v>8988</v>
      </c>
      <c r="Q10218" s="26" t="str">
        <f>HYPERLINK("https://ictv.global/taxonomy/taxondetails?taxnode_id=202505230&amp;ictv_id=ICTV19991703","ICTV19991703")</f>
        <v>ICTV19991703</v>
      </c>
      <c r="R10218" t="s">
        <v>581</v>
      </c>
      <c r="S10218" t="s">
        <v>824</v>
      </c>
      <c r="T10218">
        <v>38</v>
      </c>
      <c r="U10218" s="26" t="str">
        <f t="shared" si="371"/>
        <v>2022.015P.Tombusviridae_rename.zip</v>
      </c>
    </row>
    <row r="10219" spans="1:21">
      <c r="A10219">
        <v>10218</v>
      </c>
      <c r="B10219" s="27" t="s">
        <v>1124</v>
      </c>
      <c r="D10219" s="27" t="s">
        <v>1859</v>
      </c>
      <c r="F10219" s="27" t="s">
        <v>1867</v>
      </c>
      <c r="H10219" s="27" t="s">
        <v>1879</v>
      </c>
      <c r="J10219" s="27" t="s">
        <v>1880</v>
      </c>
      <c r="L10219" s="27" t="s">
        <v>201</v>
      </c>
      <c r="M10219" s="27" t="s">
        <v>1188</v>
      </c>
      <c r="N10219" s="27" t="s">
        <v>492</v>
      </c>
      <c r="P10219" s="27" t="s">
        <v>8989</v>
      </c>
      <c r="Q10219" s="26" t="str">
        <f>HYPERLINK("https://ictv.global/taxonomy/taxondetails?taxnode_id=202505235&amp;ictv_id=ICTV20125732","ICTV20125732")</f>
        <v>ICTV20125732</v>
      </c>
      <c r="R10219" t="s">
        <v>581</v>
      </c>
      <c r="S10219" t="s">
        <v>824</v>
      </c>
      <c r="T10219">
        <v>38</v>
      </c>
      <c r="U10219" s="26" t="str">
        <f t="shared" si="371"/>
        <v>2022.015P.Tombusviridae_rename.zip</v>
      </c>
    </row>
    <row r="10220" spans="1:21">
      <c r="A10220">
        <v>10219</v>
      </c>
      <c r="B10220" s="27" t="s">
        <v>1124</v>
      </c>
      <c r="D10220" s="27" t="s">
        <v>1859</v>
      </c>
      <c r="F10220" s="27" t="s">
        <v>1867</v>
      </c>
      <c r="H10220" s="27" t="s">
        <v>1879</v>
      </c>
      <c r="J10220" s="27" t="s">
        <v>1880</v>
      </c>
      <c r="L10220" s="27" t="s">
        <v>201</v>
      </c>
      <c r="M10220" s="27" t="s">
        <v>1188</v>
      </c>
      <c r="N10220" s="27" t="s">
        <v>306</v>
      </c>
      <c r="P10220" s="27" t="s">
        <v>20157</v>
      </c>
      <c r="Q10220" s="26" t="str">
        <f>HYPERLINK("https://ictv.global/taxonomy/taxondetails?taxnode_id=202520761&amp;ictv_id=ICTV202420761","ICTV202420761")</f>
        <v>ICTV202420761</v>
      </c>
      <c r="R10220" t="s">
        <v>581</v>
      </c>
      <c r="S10220" t="s">
        <v>823</v>
      </c>
      <c r="T10220">
        <v>40</v>
      </c>
      <c r="U10220" s="26" t="str">
        <f>HYPERLINK("https://ictv.global/ictv/proposals/2024.018P.Tombusviridae_1nsp.zip","2024.018P.Tombusviridae_1nsp.zip")</f>
        <v>2024.018P.Tombusviridae_1nsp.zip</v>
      </c>
    </row>
    <row r="10221" spans="1:21">
      <c r="A10221">
        <v>10220</v>
      </c>
      <c r="B10221" s="27" t="s">
        <v>1124</v>
      </c>
      <c r="D10221" s="27" t="s">
        <v>1859</v>
      </c>
      <c r="F10221" s="27" t="s">
        <v>1867</v>
      </c>
      <c r="H10221" s="27" t="s">
        <v>1879</v>
      </c>
      <c r="J10221" s="27" t="s">
        <v>1880</v>
      </c>
      <c r="L10221" s="27" t="s">
        <v>201</v>
      </c>
      <c r="M10221" s="27" t="s">
        <v>1188</v>
      </c>
      <c r="N10221" s="27" t="s">
        <v>306</v>
      </c>
      <c r="P10221" s="27" t="s">
        <v>8990</v>
      </c>
      <c r="Q10221" s="26" t="str">
        <f>HYPERLINK("https://ictv.global/taxonomy/taxondetails?taxnode_id=202505237&amp;ictv_id=ICTV19931875","ICTV19931875")</f>
        <v>ICTV19931875</v>
      </c>
      <c r="R10221" t="s">
        <v>581</v>
      </c>
      <c r="S10221" t="s">
        <v>824</v>
      </c>
      <c r="T10221">
        <v>38</v>
      </c>
      <c r="U10221" s="26" t="str">
        <f t="shared" ref="U10221:U10232" si="372">HYPERLINK("https://ictv.global/ictv/proposals/2022.015P.Tombusviridae_rename.zip","2022.015P.Tombusviridae_rename.zip")</f>
        <v>2022.015P.Tombusviridae_rename.zip</v>
      </c>
    </row>
    <row r="10222" spans="1:21">
      <c r="A10222">
        <v>10221</v>
      </c>
      <c r="B10222" s="27" t="s">
        <v>1124</v>
      </c>
      <c r="D10222" s="27" t="s">
        <v>1859</v>
      </c>
      <c r="F10222" s="27" t="s">
        <v>1867</v>
      </c>
      <c r="H10222" s="27" t="s">
        <v>1879</v>
      </c>
      <c r="J10222" s="27" t="s">
        <v>1880</v>
      </c>
      <c r="L10222" s="27" t="s">
        <v>201</v>
      </c>
      <c r="M10222" s="27" t="s">
        <v>1188</v>
      </c>
      <c r="N10222" s="27" t="s">
        <v>418</v>
      </c>
      <c r="P10222" s="27" t="s">
        <v>8991</v>
      </c>
      <c r="Q10222" s="26" t="str">
        <f>HYPERLINK("https://ictv.global/taxonomy/taxondetails?taxnode_id=202505239&amp;ictv_id=ICTV20115441","ICTV20115441")</f>
        <v>ICTV20115441</v>
      </c>
      <c r="R10222" t="s">
        <v>581</v>
      </c>
      <c r="S10222" t="s">
        <v>824</v>
      </c>
      <c r="T10222">
        <v>38</v>
      </c>
      <c r="U10222" s="26" t="str">
        <f t="shared" si="372"/>
        <v>2022.015P.Tombusviridae_rename.zip</v>
      </c>
    </row>
    <row r="10223" spans="1:21">
      <c r="A10223">
        <v>10222</v>
      </c>
      <c r="B10223" s="27" t="s">
        <v>1124</v>
      </c>
      <c r="D10223" s="27" t="s">
        <v>1859</v>
      </c>
      <c r="F10223" s="27" t="s">
        <v>1867</v>
      </c>
      <c r="H10223" s="27" t="s">
        <v>1879</v>
      </c>
      <c r="J10223" s="27" t="s">
        <v>1880</v>
      </c>
      <c r="L10223" s="27" t="s">
        <v>201</v>
      </c>
      <c r="M10223" s="27" t="s">
        <v>1188</v>
      </c>
      <c r="N10223" s="27" t="s">
        <v>418</v>
      </c>
      <c r="P10223" s="27" t="s">
        <v>8992</v>
      </c>
      <c r="Q10223" s="26" t="str">
        <f>HYPERLINK("https://ictv.global/taxonomy/taxondetails?taxnode_id=202505240&amp;ictv_id=ICTV19982565","ICTV19982565")</f>
        <v>ICTV19982565</v>
      </c>
      <c r="R10223" t="s">
        <v>581</v>
      </c>
      <c r="S10223" t="s">
        <v>824</v>
      </c>
      <c r="T10223">
        <v>38</v>
      </c>
      <c r="U10223" s="26" t="str">
        <f t="shared" si="372"/>
        <v>2022.015P.Tombusviridae_rename.zip</v>
      </c>
    </row>
    <row r="10224" spans="1:21">
      <c r="A10224">
        <v>10223</v>
      </c>
      <c r="B10224" s="27" t="s">
        <v>1124</v>
      </c>
      <c r="D10224" s="27" t="s">
        <v>1859</v>
      </c>
      <c r="F10224" s="27" t="s">
        <v>1867</v>
      </c>
      <c r="H10224" s="27" t="s">
        <v>1879</v>
      </c>
      <c r="J10224" s="27" t="s">
        <v>1880</v>
      </c>
      <c r="L10224" s="27" t="s">
        <v>201</v>
      </c>
      <c r="M10224" s="27" t="s">
        <v>1188</v>
      </c>
      <c r="N10224" s="27" t="s">
        <v>418</v>
      </c>
      <c r="P10224" s="27" t="s">
        <v>8993</v>
      </c>
      <c r="Q10224" s="26" t="str">
        <f>HYPERLINK("https://ictv.global/taxonomy/taxondetails?taxnode_id=202505241&amp;ictv_id=ICTV20143766","ICTV20143766")</f>
        <v>ICTV20143766</v>
      </c>
      <c r="R10224" t="s">
        <v>581</v>
      </c>
      <c r="S10224" t="s">
        <v>824</v>
      </c>
      <c r="T10224">
        <v>38</v>
      </c>
      <c r="U10224" s="26" t="str">
        <f t="shared" si="372"/>
        <v>2022.015P.Tombusviridae_rename.zip</v>
      </c>
    </row>
    <row r="10225" spans="1:21">
      <c r="A10225">
        <v>10224</v>
      </c>
      <c r="B10225" s="27" t="s">
        <v>1124</v>
      </c>
      <c r="D10225" s="27" t="s">
        <v>1859</v>
      </c>
      <c r="F10225" s="27" t="s">
        <v>1867</v>
      </c>
      <c r="H10225" s="27" t="s">
        <v>1879</v>
      </c>
      <c r="J10225" s="27" t="s">
        <v>1880</v>
      </c>
      <c r="L10225" s="27" t="s">
        <v>201</v>
      </c>
      <c r="M10225" s="27" t="s">
        <v>1188</v>
      </c>
      <c r="N10225" s="27" t="s">
        <v>710</v>
      </c>
      <c r="P10225" s="27" t="s">
        <v>8994</v>
      </c>
      <c r="Q10225" s="26" t="str">
        <f>HYPERLINK("https://ictv.global/taxonomy/taxondetails?taxnode_id=202505246&amp;ictv_id=ICTV20143793","ICTV20143793")</f>
        <v>ICTV20143793</v>
      </c>
      <c r="R10225" t="s">
        <v>581</v>
      </c>
      <c r="S10225" t="s">
        <v>824</v>
      </c>
      <c r="T10225">
        <v>38</v>
      </c>
      <c r="U10225" s="26" t="str">
        <f t="shared" si="372"/>
        <v>2022.015P.Tombusviridae_rename.zip</v>
      </c>
    </row>
    <row r="10226" spans="1:21">
      <c r="A10226">
        <v>10225</v>
      </c>
      <c r="B10226" s="27" t="s">
        <v>1124</v>
      </c>
      <c r="D10226" s="27" t="s">
        <v>1859</v>
      </c>
      <c r="F10226" s="27" t="s">
        <v>1867</v>
      </c>
      <c r="H10226" s="27" t="s">
        <v>1879</v>
      </c>
      <c r="J10226" s="27" t="s">
        <v>1880</v>
      </c>
      <c r="L10226" s="27" t="s">
        <v>201</v>
      </c>
      <c r="M10226" s="27" t="s">
        <v>1188</v>
      </c>
      <c r="N10226" s="27" t="s">
        <v>710</v>
      </c>
      <c r="P10226" s="27" t="s">
        <v>8995</v>
      </c>
      <c r="Q10226" s="26" t="str">
        <f>HYPERLINK("https://ictv.global/taxonomy/taxondetails?taxnode_id=202505244&amp;ictv_id=ICTV20143792","ICTV20143792")</f>
        <v>ICTV20143792</v>
      </c>
      <c r="R10226" t="s">
        <v>581</v>
      </c>
      <c r="S10226" t="s">
        <v>824</v>
      </c>
      <c r="T10226">
        <v>38</v>
      </c>
      <c r="U10226" s="26" t="str">
        <f t="shared" si="372"/>
        <v>2022.015P.Tombusviridae_rename.zip</v>
      </c>
    </row>
    <row r="10227" spans="1:21">
      <c r="A10227">
        <v>10226</v>
      </c>
      <c r="B10227" s="27" t="s">
        <v>1124</v>
      </c>
      <c r="D10227" s="27" t="s">
        <v>1859</v>
      </c>
      <c r="F10227" s="27" t="s">
        <v>1867</v>
      </c>
      <c r="H10227" s="27" t="s">
        <v>1879</v>
      </c>
      <c r="J10227" s="27" t="s">
        <v>1880</v>
      </c>
      <c r="L10227" s="27" t="s">
        <v>201</v>
      </c>
      <c r="M10227" s="27" t="s">
        <v>1188</v>
      </c>
      <c r="N10227" s="27" t="s">
        <v>710</v>
      </c>
      <c r="P10227" s="27" t="s">
        <v>8996</v>
      </c>
      <c r="Q10227" s="26" t="str">
        <f>HYPERLINK("https://ictv.global/taxonomy/taxondetails?taxnode_id=202506290&amp;ictv_id=ICTV201856290","ICTV201856290")</f>
        <v>ICTV201856290</v>
      </c>
      <c r="R10227" t="s">
        <v>581</v>
      </c>
      <c r="S10227" t="s">
        <v>824</v>
      </c>
      <c r="T10227">
        <v>38</v>
      </c>
      <c r="U10227" s="26" t="str">
        <f t="shared" si="372"/>
        <v>2022.015P.Tombusviridae_rename.zip</v>
      </c>
    </row>
    <row r="10228" spans="1:21">
      <c r="A10228">
        <v>10227</v>
      </c>
      <c r="B10228" s="27" t="s">
        <v>1124</v>
      </c>
      <c r="D10228" s="27" t="s">
        <v>1859</v>
      </c>
      <c r="F10228" s="27" t="s">
        <v>1867</v>
      </c>
      <c r="H10228" s="27" t="s">
        <v>1879</v>
      </c>
      <c r="J10228" s="27" t="s">
        <v>1880</v>
      </c>
      <c r="L10228" s="27" t="s">
        <v>201</v>
      </c>
      <c r="M10228" s="27" t="s">
        <v>1188</v>
      </c>
      <c r="N10228" s="27" t="s">
        <v>710</v>
      </c>
      <c r="P10228" s="27" t="s">
        <v>8997</v>
      </c>
      <c r="Q10228" s="26" t="str">
        <f>HYPERLINK("https://ictv.global/taxonomy/taxondetails?taxnode_id=202509875&amp;ictv_id=ICTV202009875","ICTV202009875")</f>
        <v>ICTV202009875</v>
      </c>
      <c r="R10228" t="s">
        <v>581</v>
      </c>
      <c r="S10228" t="s">
        <v>824</v>
      </c>
      <c r="T10228">
        <v>38</v>
      </c>
      <c r="U10228" s="26" t="str">
        <f t="shared" si="372"/>
        <v>2022.015P.Tombusviridae_rename.zip</v>
      </c>
    </row>
    <row r="10229" spans="1:21">
      <c r="A10229">
        <v>10228</v>
      </c>
      <c r="B10229" s="27" t="s">
        <v>1124</v>
      </c>
      <c r="D10229" s="27" t="s">
        <v>1859</v>
      </c>
      <c r="F10229" s="27" t="s">
        <v>1867</v>
      </c>
      <c r="H10229" s="27" t="s">
        <v>1879</v>
      </c>
      <c r="J10229" s="27" t="s">
        <v>1880</v>
      </c>
      <c r="L10229" s="27" t="s">
        <v>201</v>
      </c>
      <c r="M10229" s="27" t="s">
        <v>1188</v>
      </c>
      <c r="N10229" s="27" t="s">
        <v>710</v>
      </c>
      <c r="P10229" s="27" t="s">
        <v>8998</v>
      </c>
      <c r="Q10229" s="26" t="str">
        <f>HYPERLINK("https://ictv.global/taxonomy/taxondetails?taxnode_id=202505245&amp;ictv_id=ICTV20095147","ICTV20095147")</f>
        <v>ICTV20095147</v>
      </c>
      <c r="R10229" t="s">
        <v>581</v>
      </c>
      <c r="S10229" t="s">
        <v>824</v>
      </c>
      <c r="T10229">
        <v>38</v>
      </c>
      <c r="U10229" s="26" t="str">
        <f t="shared" si="372"/>
        <v>2022.015P.Tombusviridae_rename.zip</v>
      </c>
    </row>
    <row r="10230" spans="1:21">
      <c r="A10230">
        <v>10229</v>
      </c>
      <c r="B10230" s="27" t="s">
        <v>1124</v>
      </c>
      <c r="D10230" s="27" t="s">
        <v>1859</v>
      </c>
      <c r="F10230" s="27" t="s">
        <v>1867</v>
      </c>
      <c r="H10230" s="27" t="s">
        <v>1879</v>
      </c>
      <c r="J10230" s="27" t="s">
        <v>1880</v>
      </c>
      <c r="L10230" s="27" t="s">
        <v>201</v>
      </c>
      <c r="M10230" s="27" t="s">
        <v>1188</v>
      </c>
      <c r="N10230" s="27" t="s">
        <v>710</v>
      </c>
      <c r="P10230" s="27" t="s">
        <v>8999</v>
      </c>
      <c r="Q10230" s="26" t="str">
        <f>HYPERLINK("https://ictv.global/taxonomy/taxondetails?taxnode_id=202505247&amp;ictv_id=ICTV20143794","ICTV20143794")</f>
        <v>ICTV20143794</v>
      </c>
      <c r="R10230" t="s">
        <v>581</v>
      </c>
      <c r="S10230" t="s">
        <v>824</v>
      </c>
      <c r="T10230">
        <v>38</v>
      </c>
      <c r="U10230" s="26" t="str">
        <f t="shared" si="372"/>
        <v>2022.015P.Tombusviridae_rename.zip</v>
      </c>
    </row>
    <row r="10231" spans="1:21">
      <c r="A10231">
        <v>10230</v>
      </c>
      <c r="B10231" s="27" t="s">
        <v>1124</v>
      </c>
      <c r="D10231" s="27" t="s">
        <v>1859</v>
      </c>
      <c r="F10231" s="27" t="s">
        <v>1867</v>
      </c>
      <c r="H10231" s="27" t="s">
        <v>1879</v>
      </c>
      <c r="J10231" s="27" t="s">
        <v>1880</v>
      </c>
      <c r="L10231" s="27" t="s">
        <v>201</v>
      </c>
      <c r="M10231" s="27" t="s">
        <v>1188</v>
      </c>
      <c r="N10231" s="27" t="s">
        <v>710</v>
      </c>
      <c r="P10231" s="27" t="s">
        <v>9000</v>
      </c>
      <c r="Q10231" s="26" t="str">
        <f>HYPERLINK("https://ictv.global/taxonomy/taxondetails?taxnode_id=202505243&amp;ictv_id=ICTV20143791","ICTV20143791")</f>
        <v>ICTV20143791</v>
      </c>
      <c r="R10231" t="s">
        <v>581</v>
      </c>
      <c r="S10231" t="s">
        <v>824</v>
      </c>
      <c r="T10231">
        <v>38</v>
      </c>
      <c r="U10231" s="26" t="str">
        <f t="shared" si="372"/>
        <v>2022.015P.Tombusviridae_rename.zip</v>
      </c>
    </row>
    <row r="10232" spans="1:21">
      <c r="A10232">
        <v>10231</v>
      </c>
      <c r="B10232" s="27" t="s">
        <v>1124</v>
      </c>
      <c r="D10232" s="27" t="s">
        <v>1859</v>
      </c>
      <c r="F10232" s="27" t="s">
        <v>1867</v>
      </c>
      <c r="H10232" s="27" t="s">
        <v>1879</v>
      </c>
      <c r="J10232" s="27" t="s">
        <v>1880</v>
      </c>
      <c r="L10232" s="27" t="s">
        <v>201</v>
      </c>
      <c r="M10232" s="27" t="s">
        <v>1188</v>
      </c>
      <c r="N10232" s="27" t="s">
        <v>710</v>
      </c>
      <c r="P10232" s="27" t="s">
        <v>9001</v>
      </c>
      <c r="Q10232" s="26" t="str">
        <f>HYPERLINK("https://ictv.global/taxonomy/taxondetails?taxnode_id=202509876&amp;ictv_id=ICTV202009876","ICTV202009876")</f>
        <v>ICTV202009876</v>
      </c>
      <c r="R10232" t="s">
        <v>581</v>
      </c>
      <c r="S10232" t="s">
        <v>824</v>
      </c>
      <c r="T10232">
        <v>38</v>
      </c>
      <c r="U10232" s="26" t="str">
        <f t="shared" si="372"/>
        <v>2022.015P.Tombusviridae_rename.zip</v>
      </c>
    </row>
    <row r="10233" spans="1:21">
      <c r="A10233">
        <v>10232</v>
      </c>
      <c r="B10233" s="27" t="s">
        <v>1124</v>
      </c>
      <c r="D10233" s="27" t="s">
        <v>1859</v>
      </c>
      <c r="F10233" s="27" t="s">
        <v>1867</v>
      </c>
      <c r="H10233" s="27" t="s">
        <v>1879</v>
      </c>
      <c r="J10233" s="27" t="s">
        <v>1880</v>
      </c>
      <c r="L10233" s="27" t="s">
        <v>201</v>
      </c>
      <c r="M10233" s="27" t="s">
        <v>1188</v>
      </c>
      <c r="N10233" s="27" t="s">
        <v>21930</v>
      </c>
      <c r="P10233" s="27" t="s">
        <v>21937</v>
      </c>
      <c r="Q10233" s="26" t="str">
        <f>HYPERLINK("https://ictv.global/taxonomy/taxondetails?taxnode_id=202522745&amp;ictv_id=ICTV202522745","ICTV202522745")</f>
        <v>ICTV202522745</v>
      </c>
      <c r="R10233" t="s">
        <v>581</v>
      </c>
      <c r="S10233" t="s">
        <v>823</v>
      </c>
      <c r="T10233">
        <v>41</v>
      </c>
      <c r="U10233" s="26" t="str">
        <f t="shared" ref="U10233:U10241" si="373">HYPERLINK("https://ictv.global/ictv/proposals/2025.018P.Tombusviridae_1ng_9nsp.zip","2025.018P.Tombusviridae_1ng_9nsp.zip")</f>
        <v>2025.018P.Tombusviridae_1ng_9nsp.zip</v>
      </c>
    </row>
    <row r="10234" spans="1:21">
      <c r="A10234">
        <v>10233</v>
      </c>
      <c r="B10234" s="27" t="s">
        <v>1124</v>
      </c>
      <c r="D10234" s="27" t="s">
        <v>1859</v>
      </c>
      <c r="F10234" s="27" t="s">
        <v>1867</v>
      </c>
      <c r="H10234" s="27" t="s">
        <v>1879</v>
      </c>
      <c r="J10234" s="27" t="s">
        <v>1880</v>
      </c>
      <c r="L10234" s="27" t="s">
        <v>201</v>
      </c>
      <c r="M10234" s="27" t="s">
        <v>1188</v>
      </c>
      <c r="N10234" s="27" t="s">
        <v>21930</v>
      </c>
      <c r="P10234" s="27" t="s">
        <v>21936</v>
      </c>
      <c r="Q10234" s="26" t="str">
        <f>HYPERLINK("https://ictv.global/taxonomy/taxondetails?taxnode_id=202522744&amp;ictv_id=ICTV202522744","ICTV202522744")</f>
        <v>ICTV202522744</v>
      </c>
      <c r="R10234" t="s">
        <v>581</v>
      </c>
      <c r="S10234" t="s">
        <v>823</v>
      </c>
      <c r="T10234">
        <v>41</v>
      </c>
      <c r="U10234" s="26" t="str">
        <f t="shared" si="373"/>
        <v>2025.018P.Tombusviridae_1ng_9nsp.zip</v>
      </c>
    </row>
    <row r="10235" spans="1:21">
      <c r="A10235">
        <v>10234</v>
      </c>
      <c r="B10235" s="27" t="s">
        <v>1124</v>
      </c>
      <c r="D10235" s="27" t="s">
        <v>1859</v>
      </c>
      <c r="F10235" s="27" t="s">
        <v>1867</v>
      </c>
      <c r="H10235" s="27" t="s">
        <v>1879</v>
      </c>
      <c r="J10235" s="27" t="s">
        <v>1880</v>
      </c>
      <c r="L10235" s="27" t="s">
        <v>201</v>
      </c>
      <c r="M10235" s="27" t="s">
        <v>1188</v>
      </c>
      <c r="N10235" s="27" t="s">
        <v>21930</v>
      </c>
      <c r="P10235" s="27" t="s">
        <v>21933</v>
      </c>
      <c r="Q10235" s="26" t="str">
        <f>HYPERLINK("https://ictv.global/taxonomy/taxondetails?taxnode_id=202522741&amp;ictv_id=ICTV202522741","ICTV202522741")</f>
        <v>ICTV202522741</v>
      </c>
      <c r="R10235" t="s">
        <v>581</v>
      </c>
      <c r="S10235" t="s">
        <v>823</v>
      </c>
      <c r="T10235">
        <v>41</v>
      </c>
      <c r="U10235" s="26" t="str">
        <f t="shared" si="373"/>
        <v>2025.018P.Tombusviridae_1ng_9nsp.zip</v>
      </c>
    </row>
    <row r="10236" spans="1:21">
      <c r="A10236">
        <v>10235</v>
      </c>
      <c r="B10236" s="27" t="s">
        <v>1124</v>
      </c>
      <c r="D10236" s="27" t="s">
        <v>1859</v>
      </c>
      <c r="F10236" s="27" t="s">
        <v>1867</v>
      </c>
      <c r="H10236" s="27" t="s">
        <v>1879</v>
      </c>
      <c r="J10236" s="27" t="s">
        <v>1880</v>
      </c>
      <c r="L10236" s="27" t="s">
        <v>201</v>
      </c>
      <c r="M10236" s="27" t="s">
        <v>1188</v>
      </c>
      <c r="N10236" s="27" t="s">
        <v>21930</v>
      </c>
      <c r="P10236" s="27" t="s">
        <v>21932</v>
      </c>
      <c r="Q10236" s="26" t="str">
        <f>HYPERLINK("https://ictv.global/taxonomy/taxondetails?taxnode_id=202522740&amp;ictv_id=ICTV202522740","ICTV202522740")</f>
        <v>ICTV202522740</v>
      </c>
      <c r="R10236" t="s">
        <v>581</v>
      </c>
      <c r="S10236" t="s">
        <v>823</v>
      </c>
      <c r="T10236">
        <v>41</v>
      </c>
      <c r="U10236" s="26" t="str">
        <f t="shared" si="373"/>
        <v>2025.018P.Tombusviridae_1ng_9nsp.zip</v>
      </c>
    </row>
    <row r="10237" spans="1:21">
      <c r="A10237">
        <v>10236</v>
      </c>
      <c r="B10237" s="27" t="s">
        <v>1124</v>
      </c>
      <c r="D10237" s="27" t="s">
        <v>1859</v>
      </c>
      <c r="F10237" s="27" t="s">
        <v>1867</v>
      </c>
      <c r="H10237" s="27" t="s">
        <v>1879</v>
      </c>
      <c r="J10237" s="27" t="s">
        <v>1880</v>
      </c>
      <c r="L10237" s="27" t="s">
        <v>201</v>
      </c>
      <c r="M10237" s="27" t="s">
        <v>1188</v>
      </c>
      <c r="N10237" s="27" t="s">
        <v>21930</v>
      </c>
      <c r="P10237" s="27" t="s">
        <v>21934</v>
      </c>
      <c r="Q10237" s="26" t="str">
        <f>HYPERLINK("https://ictv.global/taxonomy/taxondetails?taxnode_id=202522742&amp;ictv_id=ICTV202522742","ICTV202522742")</f>
        <v>ICTV202522742</v>
      </c>
      <c r="R10237" t="s">
        <v>581</v>
      </c>
      <c r="S10237" t="s">
        <v>823</v>
      </c>
      <c r="T10237">
        <v>41</v>
      </c>
      <c r="U10237" s="26" t="str">
        <f t="shared" si="373"/>
        <v>2025.018P.Tombusviridae_1ng_9nsp.zip</v>
      </c>
    </row>
    <row r="10238" spans="1:21">
      <c r="A10238">
        <v>10237</v>
      </c>
      <c r="B10238" s="27" t="s">
        <v>1124</v>
      </c>
      <c r="D10238" s="27" t="s">
        <v>1859</v>
      </c>
      <c r="F10238" s="27" t="s">
        <v>1867</v>
      </c>
      <c r="H10238" s="27" t="s">
        <v>1879</v>
      </c>
      <c r="J10238" s="27" t="s">
        <v>1880</v>
      </c>
      <c r="L10238" s="27" t="s">
        <v>201</v>
      </c>
      <c r="M10238" s="27" t="s">
        <v>1188</v>
      </c>
      <c r="N10238" s="27" t="s">
        <v>21930</v>
      </c>
      <c r="P10238" s="27" t="s">
        <v>21939</v>
      </c>
      <c r="Q10238" s="26" t="str">
        <f>HYPERLINK("https://ictv.global/taxonomy/taxondetails?taxnode_id=202522747&amp;ictv_id=ICTV202522747","ICTV202522747")</f>
        <v>ICTV202522747</v>
      </c>
      <c r="R10238" t="s">
        <v>581</v>
      </c>
      <c r="S10238" t="s">
        <v>823</v>
      </c>
      <c r="T10238">
        <v>41</v>
      </c>
      <c r="U10238" s="26" t="str">
        <f t="shared" si="373"/>
        <v>2025.018P.Tombusviridae_1ng_9nsp.zip</v>
      </c>
    </row>
    <row r="10239" spans="1:21">
      <c r="A10239">
        <v>10238</v>
      </c>
      <c r="B10239" s="27" t="s">
        <v>1124</v>
      </c>
      <c r="D10239" s="27" t="s">
        <v>1859</v>
      </c>
      <c r="F10239" s="27" t="s">
        <v>1867</v>
      </c>
      <c r="H10239" s="27" t="s">
        <v>1879</v>
      </c>
      <c r="J10239" s="27" t="s">
        <v>1880</v>
      </c>
      <c r="L10239" s="27" t="s">
        <v>201</v>
      </c>
      <c r="M10239" s="27" t="s">
        <v>1188</v>
      </c>
      <c r="N10239" s="27" t="s">
        <v>21930</v>
      </c>
      <c r="P10239" s="27" t="s">
        <v>21935</v>
      </c>
      <c r="Q10239" s="26" t="str">
        <f>HYPERLINK("https://ictv.global/taxonomy/taxondetails?taxnode_id=202522743&amp;ictv_id=ICTV202522743","ICTV202522743")</f>
        <v>ICTV202522743</v>
      </c>
      <c r="R10239" t="s">
        <v>581</v>
      </c>
      <c r="S10239" t="s">
        <v>823</v>
      </c>
      <c r="T10239">
        <v>41</v>
      </c>
      <c r="U10239" s="26" t="str">
        <f t="shared" si="373"/>
        <v>2025.018P.Tombusviridae_1ng_9nsp.zip</v>
      </c>
    </row>
    <row r="10240" spans="1:21">
      <c r="A10240">
        <v>10239</v>
      </c>
      <c r="B10240" s="27" t="s">
        <v>1124</v>
      </c>
      <c r="D10240" s="27" t="s">
        <v>1859</v>
      </c>
      <c r="F10240" s="27" t="s">
        <v>1867</v>
      </c>
      <c r="H10240" s="27" t="s">
        <v>1879</v>
      </c>
      <c r="J10240" s="27" t="s">
        <v>1880</v>
      </c>
      <c r="L10240" s="27" t="s">
        <v>201</v>
      </c>
      <c r="M10240" s="27" t="s">
        <v>1188</v>
      </c>
      <c r="N10240" s="27" t="s">
        <v>21930</v>
      </c>
      <c r="P10240" s="27" t="s">
        <v>21931</v>
      </c>
      <c r="Q10240" s="26" t="str">
        <f>HYPERLINK("https://ictv.global/taxonomy/taxondetails?taxnode_id=202522739&amp;ictv_id=ICTV202522739","ICTV202522739")</f>
        <v>ICTV202522739</v>
      </c>
      <c r="R10240" t="s">
        <v>581</v>
      </c>
      <c r="S10240" t="s">
        <v>823</v>
      </c>
      <c r="T10240">
        <v>41</v>
      </c>
      <c r="U10240" s="26" t="str">
        <f t="shared" si="373"/>
        <v>2025.018P.Tombusviridae_1ng_9nsp.zip</v>
      </c>
    </row>
    <row r="10241" spans="1:21">
      <c r="A10241">
        <v>10240</v>
      </c>
      <c r="B10241" s="27" t="s">
        <v>1124</v>
      </c>
      <c r="D10241" s="27" t="s">
        <v>1859</v>
      </c>
      <c r="F10241" s="27" t="s">
        <v>1867</v>
      </c>
      <c r="H10241" s="27" t="s">
        <v>1879</v>
      </c>
      <c r="J10241" s="27" t="s">
        <v>1880</v>
      </c>
      <c r="L10241" s="27" t="s">
        <v>201</v>
      </c>
      <c r="M10241" s="27" t="s">
        <v>1188</v>
      </c>
      <c r="N10241" s="27" t="s">
        <v>21930</v>
      </c>
      <c r="P10241" s="27" t="s">
        <v>21938</v>
      </c>
      <c r="Q10241" s="26" t="str">
        <f>HYPERLINK("https://ictv.global/taxonomy/taxondetails?taxnode_id=202522746&amp;ictv_id=ICTV202522746","ICTV202522746")</f>
        <v>ICTV202522746</v>
      </c>
      <c r="R10241" t="s">
        <v>581</v>
      </c>
      <c r="S10241" t="s">
        <v>823</v>
      </c>
      <c r="T10241">
        <v>41</v>
      </c>
      <c r="U10241" s="26" t="str">
        <f t="shared" si="373"/>
        <v>2025.018P.Tombusviridae_1ng_9nsp.zip</v>
      </c>
    </row>
    <row r="10242" spans="1:21">
      <c r="A10242">
        <v>10241</v>
      </c>
      <c r="B10242" s="27" t="s">
        <v>1124</v>
      </c>
      <c r="D10242" s="27" t="s">
        <v>1859</v>
      </c>
      <c r="F10242" s="27" t="s">
        <v>1867</v>
      </c>
      <c r="H10242" s="27" t="s">
        <v>1879</v>
      </c>
      <c r="J10242" s="27" t="s">
        <v>1880</v>
      </c>
      <c r="L10242" s="27" t="s">
        <v>201</v>
      </c>
      <c r="M10242" s="27" t="s">
        <v>1188</v>
      </c>
      <c r="N10242" s="27" t="s">
        <v>419</v>
      </c>
      <c r="P10242" s="27" t="s">
        <v>9002</v>
      </c>
      <c r="Q10242" s="26" t="str">
        <f>HYPERLINK("https://ictv.global/taxonomy/taxondetails?taxnode_id=202505255&amp;ictv_id=ICTV19871457","ICTV19871457")</f>
        <v>ICTV19871457</v>
      </c>
      <c r="R10242" t="s">
        <v>581</v>
      </c>
      <c r="S10242" t="s">
        <v>824</v>
      </c>
      <c r="T10242">
        <v>38</v>
      </c>
      <c r="U10242" s="26" t="str">
        <f t="shared" ref="U10242:U10258" si="374">HYPERLINK("https://ictv.global/ictv/proposals/2022.015P.Tombusviridae_rename.zip","2022.015P.Tombusviridae_rename.zip")</f>
        <v>2022.015P.Tombusviridae_rename.zip</v>
      </c>
    </row>
    <row r="10243" spans="1:21">
      <c r="A10243">
        <v>10242</v>
      </c>
      <c r="B10243" s="27" t="s">
        <v>1124</v>
      </c>
      <c r="D10243" s="27" t="s">
        <v>1859</v>
      </c>
      <c r="F10243" s="27" t="s">
        <v>1867</v>
      </c>
      <c r="H10243" s="27" t="s">
        <v>1879</v>
      </c>
      <c r="J10243" s="27" t="s">
        <v>1880</v>
      </c>
      <c r="L10243" s="27" t="s">
        <v>201</v>
      </c>
      <c r="M10243" s="27" t="s">
        <v>1188</v>
      </c>
      <c r="N10243" s="27" t="s">
        <v>419</v>
      </c>
      <c r="P10243" s="27" t="s">
        <v>9003</v>
      </c>
      <c r="Q10243" s="26" t="str">
        <f>HYPERLINK("https://ictv.global/taxonomy/taxondetails?taxnode_id=202505251&amp;ictv_id=ICTV20042141","ICTV20042141")</f>
        <v>ICTV20042141</v>
      </c>
      <c r="R10243" t="s">
        <v>581</v>
      </c>
      <c r="S10243" t="s">
        <v>824</v>
      </c>
      <c r="T10243">
        <v>38</v>
      </c>
      <c r="U10243" s="26" t="str">
        <f t="shared" si="374"/>
        <v>2022.015P.Tombusviridae_rename.zip</v>
      </c>
    </row>
    <row r="10244" spans="1:21">
      <c r="A10244">
        <v>10243</v>
      </c>
      <c r="B10244" s="27" t="s">
        <v>1124</v>
      </c>
      <c r="D10244" s="27" t="s">
        <v>1859</v>
      </c>
      <c r="F10244" s="27" t="s">
        <v>1867</v>
      </c>
      <c r="H10244" s="27" t="s">
        <v>1879</v>
      </c>
      <c r="J10244" s="27" t="s">
        <v>1880</v>
      </c>
      <c r="L10244" s="27" t="s">
        <v>201</v>
      </c>
      <c r="M10244" s="27" t="s">
        <v>1188</v>
      </c>
      <c r="N10244" s="27" t="s">
        <v>419</v>
      </c>
      <c r="P10244" s="27" t="s">
        <v>9004</v>
      </c>
      <c r="Q10244" s="26" t="str">
        <f>HYPERLINK("https://ictv.global/taxonomy/taxondetails?taxnode_id=202505252&amp;ictv_id=ICTV19911858","ICTV19911858")</f>
        <v>ICTV19911858</v>
      </c>
      <c r="R10244" t="s">
        <v>581</v>
      </c>
      <c r="S10244" t="s">
        <v>824</v>
      </c>
      <c r="T10244">
        <v>38</v>
      </c>
      <c r="U10244" s="26" t="str">
        <f t="shared" si="374"/>
        <v>2022.015P.Tombusviridae_rename.zip</v>
      </c>
    </row>
    <row r="10245" spans="1:21">
      <c r="A10245">
        <v>10244</v>
      </c>
      <c r="B10245" s="27" t="s">
        <v>1124</v>
      </c>
      <c r="D10245" s="27" t="s">
        <v>1859</v>
      </c>
      <c r="F10245" s="27" t="s">
        <v>1867</v>
      </c>
      <c r="H10245" s="27" t="s">
        <v>1879</v>
      </c>
      <c r="J10245" s="27" t="s">
        <v>1880</v>
      </c>
      <c r="L10245" s="27" t="s">
        <v>201</v>
      </c>
      <c r="M10245" s="27" t="s">
        <v>1188</v>
      </c>
      <c r="N10245" s="27" t="s">
        <v>419</v>
      </c>
      <c r="P10245" s="27" t="s">
        <v>9005</v>
      </c>
      <c r="Q10245" s="26" t="str">
        <f>HYPERLINK("https://ictv.global/taxonomy/taxondetails?taxnode_id=202505253&amp;ictv_id=ICTV19821358","ICTV19821358")</f>
        <v>ICTV19821358</v>
      </c>
      <c r="R10245" t="s">
        <v>581</v>
      </c>
      <c r="S10245" t="s">
        <v>824</v>
      </c>
      <c r="T10245">
        <v>38</v>
      </c>
      <c r="U10245" s="26" t="str">
        <f t="shared" si="374"/>
        <v>2022.015P.Tombusviridae_rename.zip</v>
      </c>
    </row>
    <row r="10246" spans="1:21">
      <c r="A10246">
        <v>10245</v>
      </c>
      <c r="B10246" s="27" t="s">
        <v>1124</v>
      </c>
      <c r="D10246" s="27" t="s">
        <v>1859</v>
      </c>
      <c r="F10246" s="27" t="s">
        <v>1867</v>
      </c>
      <c r="H10246" s="27" t="s">
        <v>1879</v>
      </c>
      <c r="J10246" s="27" t="s">
        <v>1880</v>
      </c>
      <c r="L10246" s="27" t="s">
        <v>201</v>
      </c>
      <c r="M10246" s="27" t="s">
        <v>1188</v>
      </c>
      <c r="N10246" s="27" t="s">
        <v>419</v>
      </c>
      <c r="P10246" s="27" t="s">
        <v>9006</v>
      </c>
      <c r="Q10246" s="26" t="str">
        <f>HYPERLINK("https://ictv.global/taxonomy/taxondetails?taxnode_id=202505249&amp;ictv_id=ICTV19710328","ICTV19710328")</f>
        <v>ICTV19710328</v>
      </c>
      <c r="R10246" t="s">
        <v>581</v>
      </c>
      <c r="S10246" t="s">
        <v>824</v>
      </c>
      <c r="T10246">
        <v>38</v>
      </c>
      <c r="U10246" s="26" t="str">
        <f t="shared" si="374"/>
        <v>2022.015P.Tombusviridae_rename.zip</v>
      </c>
    </row>
    <row r="10247" spans="1:21">
      <c r="A10247">
        <v>10246</v>
      </c>
      <c r="B10247" s="27" t="s">
        <v>1124</v>
      </c>
      <c r="D10247" s="27" t="s">
        <v>1859</v>
      </c>
      <c r="F10247" s="27" t="s">
        <v>1867</v>
      </c>
      <c r="H10247" s="27" t="s">
        <v>1879</v>
      </c>
      <c r="J10247" s="27" t="s">
        <v>1880</v>
      </c>
      <c r="L10247" s="27" t="s">
        <v>201</v>
      </c>
      <c r="M10247" s="27" t="s">
        <v>1188</v>
      </c>
      <c r="N10247" s="27" t="s">
        <v>419</v>
      </c>
      <c r="P10247" s="27" t="s">
        <v>9007</v>
      </c>
      <c r="Q10247" s="26" t="str">
        <f>HYPERLINK("https://ictv.global/taxonomy/taxondetails?taxnode_id=202505250&amp;ictv_id=ICTV19710329","ICTV19710329")</f>
        <v>ICTV19710329</v>
      </c>
      <c r="R10247" t="s">
        <v>581</v>
      </c>
      <c r="S10247" t="s">
        <v>824</v>
      </c>
      <c r="T10247">
        <v>38</v>
      </c>
      <c r="U10247" s="26" t="str">
        <f t="shared" si="374"/>
        <v>2022.015P.Tombusviridae_rename.zip</v>
      </c>
    </row>
    <row r="10248" spans="1:21">
      <c r="A10248">
        <v>10247</v>
      </c>
      <c r="B10248" s="27" t="s">
        <v>1124</v>
      </c>
      <c r="D10248" s="27" t="s">
        <v>1859</v>
      </c>
      <c r="F10248" s="27" t="s">
        <v>1867</v>
      </c>
      <c r="H10248" s="27" t="s">
        <v>1879</v>
      </c>
      <c r="J10248" s="27" t="s">
        <v>1880</v>
      </c>
      <c r="L10248" s="27" t="s">
        <v>201</v>
      </c>
      <c r="M10248" s="27" t="s">
        <v>1188</v>
      </c>
      <c r="N10248" s="27" t="s">
        <v>419</v>
      </c>
      <c r="P10248" s="27" t="s">
        <v>9008</v>
      </c>
      <c r="Q10248" s="26" t="str">
        <f>HYPERLINK("https://ictv.global/taxonomy/taxondetails?taxnode_id=202505256&amp;ictv_id=ICTV20084944","ICTV20084944")</f>
        <v>ICTV20084944</v>
      </c>
      <c r="R10248" t="s">
        <v>581</v>
      </c>
      <c r="S10248" t="s">
        <v>824</v>
      </c>
      <c r="T10248">
        <v>38</v>
      </c>
      <c r="U10248" s="26" t="str">
        <f t="shared" si="374"/>
        <v>2022.015P.Tombusviridae_rename.zip</v>
      </c>
    </row>
    <row r="10249" spans="1:21">
      <c r="A10249">
        <v>10248</v>
      </c>
      <c r="B10249" s="27" t="s">
        <v>1124</v>
      </c>
      <c r="D10249" s="27" t="s">
        <v>1859</v>
      </c>
      <c r="F10249" s="27" t="s">
        <v>1867</v>
      </c>
      <c r="H10249" s="27" t="s">
        <v>1879</v>
      </c>
      <c r="J10249" s="27" t="s">
        <v>1880</v>
      </c>
      <c r="L10249" s="27" t="s">
        <v>201</v>
      </c>
      <c r="M10249" s="27" t="s">
        <v>1188</v>
      </c>
      <c r="N10249" s="27" t="s">
        <v>419</v>
      </c>
      <c r="P10249" s="27" t="s">
        <v>9009</v>
      </c>
      <c r="Q10249" s="26" t="str">
        <f>HYPERLINK("https://ictv.global/taxonomy/taxondetails?taxnode_id=202505257&amp;ictv_id=ICTV19911862","ICTV19911862")</f>
        <v>ICTV19911862</v>
      </c>
      <c r="R10249" t="s">
        <v>581</v>
      </c>
      <c r="S10249" t="s">
        <v>824</v>
      </c>
      <c r="T10249">
        <v>38</v>
      </c>
      <c r="U10249" s="26" t="str">
        <f t="shared" si="374"/>
        <v>2022.015P.Tombusviridae_rename.zip</v>
      </c>
    </row>
    <row r="10250" spans="1:21">
      <c r="A10250">
        <v>10249</v>
      </c>
      <c r="B10250" s="27" t="s">
        <v>1124</v>
      </c>
      <c r="D10250" s="27" t="s">
        <v>1859</v>
      </c>
      <c r="F10250" s="27" t="s">
        <v>1867</v>
      </c>
      <c r="H10250" s="27" t="s">
        <v>1879</v>
      </c>
      <c r="J10250" s="27" t="s">
        <v>1880</v>
      </c>
      <c r="L10250" s="27" t="s">
        <v>201</v>
      </c>
      <c r="M10250" s="27" t="s">
        <v>1188</v>
      </c>
      <c r="N10250" s="27" t="s">
        <v>419</v>
      </c>
      <c r="P10250" s="27" t="s">
        <v>9010</v>
      </c>
      <c r="Q10250" s="26" t="str">
        <f>HYPERLINK("https://ictv.global/taxonomy/taxondetails?taxnode_id=202505258&amp;ictv_id=ICTV20084946","ICTV20084946")</f>
        <v>ICTV20084946</v>
      </c>
      <c r="R10250" t="s">
        <v>581</v>
      </c>
      <c r="S10250" t="s">
        <v>824</v>
      </c>
      <c r="T10250">
        <v>38</v>
      </c>
      <c r="U10250" s="26" t="str">
        <f t="shared" si="374"/>
        <v>2022.015P.Tombusviridae_rename.zip</v>
      </c>
    </row>
    <row r="10251" spans="1:21">
      <c r="A10251">
        <v>10250</v>
      </c>
      <c r="B10251" s="27" t="s">
        <v>1124</v>
      </c>
      <c r="D10251" s="27" t="s">
        <v>1859</v>
      </c>
      <c r="F10251" s="27" t="s">
        <v>1867</v>
      </c>
      <c r="H10251" s="27" t="s">
        <v>1879</v>
      </c>
      <c r="J10251" s="27" t="s">
        <v>1880</v>
      </c>
      <c r="L10251" s="27" t="s">
        <v>201</v>
      </c>
      <c r="M10251" s="27" t="s">
        <v>1188</v>
      </c>
      <c r="N10251" s="27" t="s">
        <v>419</v>
      </c>
      <c r="P10251" s="27" t="s">
        <v>9011</v>
      </c>
      <c r="Q10251" s="26" t="str">
        <f>HYPERLINK("https://ictv.global/taxonomy/taxondetails?taxnode_id=202505265&amp;ictv_id=ICTV19710331","ICTV19710331")</f>
        <v>ICTV19710331</v>
      </c>
      <c r="R10251" t="s">
        <v>581</v>
      </c>
      <c r="S10251" t="s">
        <v>824</v>
      </c>
      <c r="T10251">
        <v>38</v>
      </c>
      <c r="U10251" s="26" t="str">
        <f t="shared" si="374"/>
        <v>2022.015P.Tombusviridae_rename.zip</v>
      </c>
    </row>
    <row r="10252" spans="1:21">
      <c r="A10252">
        <v>10251</v>
      </c>
      <c r="B10252" s="27" t="s">
        <v>1124</v>
      </c>
      <c r="D10252" s="27" t="s">
        <v>1859</v>
      </c>
      <c r="F10252" s="27" t="s">
        <v>1867</v>
      </c>
      <c r="H10252" s="27" t="s">
        <v>1879</v>
      </c>
      <c r="J10252" s="27" t="s">
        <v>1880</v>
      </c>
      <c r="L10252" s="27" t="s">
        <v>201</v>
      </c>
      <c r="M10252" s="27" t="s">
        <v>1188</v>
      </c>
      <c r="N10252" s="27" t="s">
        <v>419</v>
      </c>
      <c r="P10252" s="27" t="s">
        <v>9012</v>
      </c>
      <c r="Q10252" s="26" t="str">
        <f>HYPERLINK("https://ictv.global/taxonomy/taxondetails?taxnode_id=202505254&amp;ictv_id=ICTV20084942","ICTV20084942")</f>
        <v>ICTV20084942</v>
      </c>
      <c r="R10252" t="s">
        <v>581</v>
      </c>
      <c r="S10252" t="s">
        <v>824</v>
      </c>
      <c r="T10252">
        <v>38</v>
      </c>
      <c r="U10252" s="26" t="str">
        <f t="shared" si="374"/>
        <v>2022.015P.Tombusviridae_rename.zip</v>
      </c>
    </row>
    <row r="10253" spans="1:21">
      <c r="A10253">
        <v>10252</v>
      </c>
      <c r="B10253" s="27" t="s">
        <v>1124</v>
      </c>
      <c r="D10253" s="27" t="s">
        <v>1859</v>
      </c>
      <c r="F10253" s="27" t="s">
        <v>1867</v>
      </c>
      <c r="H10253" s="27" t="s">
        <v>1879</v>
      </c>
      <c r="J10253" s="27" t="s">
        <v>1880</v>
      </c>
      <c r="L10253" s="27" t="s">
        <v>201</v>
      </c>
      <c r="M10253" s="27" t="s">
        <v>1188</v>
      </c>
      <c r="N10253" s="27" t="s">
        <v>419</v>
      </c>
      <c r="P10253" s="27" t="s">
        <v>9013</v>
      </c>
      <c r="Q10253" s="26" t="str">
        <f>HYPERLINK("https://ictv.global/taxonomy/taxondetails?taxnode_id=202505259&amp;ictv_id=ICTV19871458","ICTV19871458")</f>
        <v>ICTV19871458</v>
      </c>
      <c r="R10253" t="s">
        <v>581</v>
      </c>
      <c r="S10253" t="s">
        <v>824</v>
      </c>
      <c r="T10253">
        <v>38</v>
      </c>
      <c r="U10253" s="26" t="str">
        <f t="shared" si="374"/>
        <v>2022.015P.Tombusviridae_rename.zip</v>
      </c>
    </row>
    <row r="10254" spans="1:21">
      <c r="A10254">
        <v>10253</v>
      </c>
      <c r="B10254" s="27" t="s">
        <v>1124</v>
      </c>
      <c r="D10254" s="27" t="s">
        <v>1859</v>
      </c>
      <c r="F10254" s="27" t="s">
        <v>1867</v>
      </c>
      <c r="H10254" s="27" t="s">
        <v>1879</v>
      </c>
      <c r="J10254" s="27" t="s">
        <v>1880</v>
      </c>
      <c r="L10254" s="27" t="s">
        <v>201</v>
      </c>
      <c r="M10254" s="27" t="s">
        <v>1188</v>
      </c>
      <c r="N10254" s="27" t="s">
        <v>419</v>
      </c>
      <c r="P10254" s="27" t="s">
        <v>9014</v>
      </c>
      <c r="Q10254" s="26" t="str">
        <f>HYPERLINK("https://ictv.global/taxonomy/taxondetails?taxnode_id=202505260&amp;ictv_id=ICTV19871459","ICTV19871459")</f>
        <v>ICTV19871459</v>
      </c>
      <c r="R10254" t="s">
        <v>581</v>
      </c>
      <c r="S10254" t="s">
        <v>824</v>
      </c>
      <c r="T10254">
        <v>38</v>
      </c>
      <c r="U10254" s="26" t="str">
        <f t="shared" si="374"/>
        <v>2022.015P.Tombusviridae_rename.zip</v>
      </c>
    </row>
    <row r="10255" spans="1:21">
      <c r="A10255">
        <v>10254</v>
      </c>
      <c r="B10255" s="27" t="s">
        <v>1124</v>
      </c>
      <c r="D10255" s="27" t="s">
        <v>1859</v>
      </c>
      <c r="F10255" s="27" t="s">
        <v>1867</v>
      </c>
      <c r="H10255" s="27" t="s">
        <v>1879</v>
      </c>
      <c r="J10255" s="27" t="s">
        <v>1880</v>
      </c>
      <c r="L10255" s="27" t="s">
        <v>201</v>
      </c>
      <c r="M10255" s="27" t="s">
        <v>1188</v>
      </c>
      <c r="N10255" s="27" t="s">
        <v>419</v>
      </c>
      <c r="P10255" s="27" t="s">
        <v>9015</v>
      </c>
      <c r="Q10255" s="26" t="str">
        <f>HYPERLINK("https://ictv.global/taxonomy/taxondetails?taxnode_id=202505262&amp;ictv_id=ICTV20084950","ICTV20084950")</f>
        <v>ICTV20084950</v>
      </c>
      <c r="R10255" t="s">
        <v>581</v>
      </c>
      <c r="S10255" t="s">
        <v>824</v>
      </c>
      <c r="T10255">
        <v>38</v>
      </c>
      <c r="U10255" s="26" t="str">
        <f t="shared" si="374"/>
        <v>2022.015P.Tombusviridae_rename.zip</v>
      </c>
    </row>
    <row r="10256" spans="1:21">
      <c r="A10256">
        <v>10255</v>
      </c>
      <c r="B10256" s="27" t="s">
        <v>1124</v>
      </c>
      <c r="D10256" s="27" t="s">
        <v>1859</v>
      </c>
      <c r="F10256" s="27" t="s">
        <v>1867</v>
      </c>
      <c r="H10256" s="27" t="s">
        <v>1879</v>
      </c>
      <c r="J10256" s="27" t="s">
        <v>1880</v>
      </c>
      <c r="L10256" s="27" t="s">
        <v>201</v>
      </c>
      <c r="M10256" s="27" t="s">
        <v>1188</v>
      </c>
      <c r="N10256" s="27" t="s">
        <v>419</v>
      </c>
      <c r="P10256" s="27" t="s">
        <v>9016</v>
      </c>
      <c r="Q10256" s="26" t="str">
        <f>HYPERLINK("https://ictv.global/taxonomy/taxondetails?taxnode_id=202505261&amp;ictv_id=ICTV19760848","ICTV19760848")</f>
        <v>ICTV19760848</v>
      </c>
      <c r="R10256" t="s">
        <v>581</v>
      </c>
      <c r="S10256" t="s">
        <v>824</v>
      </c>
      <c r="T10256">
        <v>38</v>
      </c>
      <c r="U10256" s="26" t="str">
        <f t="shared" si="374"/>
        <v>2022.015P.Tombusviridae_rename.zip</v>
      </c>
    </row>
    <row r="10257" spans="1:21">
      <c r="A10257">
        <v>10256</v>
      </c>
      <c r="B10257" s="27" t="s">
        <v>1124</v>
      </c>
      <c r="D10257" s="27" t="s">
        <v>1859</v>
      </c>
      <c r="F10257" s="27" t="s">
        <v>1867</v>
      </c>
      <c r="H10257" s="27" t="s">
        <v>1879</v>
      </c>
      <c r="J10257" s="27" t="s">
        <v>1880</v>
      </c>
      <c r="L10257" s="27" t="s">
        <v>201</v>
      </c>
      <c r="M10257" s="27" t="s">
        <v>1188</v>
      </c>
      <c r="N10257" s="27" t="s">
        <v>419</v>
      </c>
      <c r="P10257" s="27" t="s">
        <v>9017</v>
      </c>
      <c r="Q10257" s="26" t="str">
        <f>HYPERLINK("https://ictv.global/taxonomy/taxondetails?taxnode_id=202505263&amp;ictv_id=ICTV19710330","ICTV19710330")</f>
        <v>ICTV19710330</v>
      </c>
      <c r="R10257" t="s">
        <v>581</v>
      </c>
      <c r="S10257" t="s">
        <v>824</v>
      </c>
      <c r="T10257">
        <v>38</v>
      </c>
      <c r="U10257" s="26" t="str">
        <f t="shared" si="374"/>
        <v>2022.015P.Tombusviridae_rename.zip</v>
      </c>
    </row>
    <row r="10258" spans="1:21">
      <c r="A10258">
        <v>10257</v>
      </c>
      <c r="B10258" s="27" t="s">
        <v>1124</v>
      </c>
      <c r="D10258" s="27" t="s">
        <v>1859</v>
      </c>
      <c r="F10258" s="27" t="s">
        <v>1867</v>
      </c>
      <c r="H10258" s="27" t="s">
        <v>1879</v>
      </c>
      <c r="J10258" s="27" t="s">
        <v>1880</v>
      </c>
      <c r="L10258" s="27" t="s">
        <v>201</v>
      </c>
      <c r="M10258" s="27" t="s">
        <v>1188</v>
      </c>
      <c r="N10258" s="27" t="s">
        <v>419</v>
      </c>
      <c r="P10258" s="27" t="s">
        <v>9018</v>
      </c>
      <c r="Q10258" s="26" t="str">
        <f>HYPERLINK("https://ictv.global/taxonomy/taxondetails?taxnode_id=202505264&amp;ictv_id=ICTV19952286","ICTV19952286")</f>
        <v>ICTV19952286</v>
      </c>
      <c r="R10258" t="s">
        <v>581</v>
      </c>
      <c r="S10258" t="s">
        <v>824</v>
      </c>
      <c r="T10258">
        <v>38</v>
      </c>
      <c r="U10258" s="26" t="str">
        <f t="shared" si="374"/>
        <v>2022.015P.Tombusviridae_rename.zip</v>
      </c>
    </row>
    <row r="10259" spans="1:21">
      <c r="A10259">
        <v>10258</v>
      </c>
      <c r="B10259" s="27" t="s">
        <v>1124</v>
      </c>
      <c r="D10259" s="27" t="s">
        <v>1859</v>
      </c>
      <c r="F10259" s="27" t="s">
        <v>1867</v>
      </c>
      <c r="H10259" s="27" t="s">
        <v>1879</v>
      </c>
      <c r="J10259" s="27" t="s">
        <v>1880</v>
      </c>
      <c r="L10259" s="27" t="s">
        <v>201</v>
      </c>
      <c r="M10259" s="27" t="s">
        <v>1188</v>
      </c>
      <c r="N10259" s="27" t="s">
        <v>9019</v>
      </c>
      <c r="P10259" s="27" t="s">
        <v>9020</v>
      </c>
      <c r="Q10259" s="26" t="str">
        <f>HYPERLINK("https://ictv.global/taxonomy/taxondetails?taxnode_id=202513879&amp;ictv_id=ICTV202113879","ICTV202113879")</f>
        <v>ICTV202113879</v>
      </c>
      <c r="R10259" t="s">
        <v>581</v>
      </c>
      <c r="S10259" t="s">
        <v>823</v>
      </c>
      <c r="T10259">
        <v>37</v>
      </c>
      <c r="U10259" s="26" t="str">
        <f>HYPERLINK("https://ictv.global/ictv/proposals/2021.018P.R.Tombusviridae_1ng_2ns.zip","2021.018P.R.Tombusviridae_1ng_2ns.zip")</f>
        <v>2021.018P.R.Tombusviridae_1ng_2ns.zip</v>
      </c>
    </row>
    <row r="10260" spans="1:21">
      <c r="A10260">
        <v>10259</v>
      </c>
      <c r="B10260" s="27" t="s">
        <v>1124</v>
      </c>
      <c r="D10260" s="27" t="s">
        <v>1859</v>
      </c>
      <c r="F10260" s="27" t="s">
        <v>1867</v>
      </c>
      <c r="H10260" s="27" t="s">
        <v>1879</v>
      </c>
      <c r="J10260" s="27" t="s">
        <v>1880</v>
      </c>
      <c r="L10260" s="27" t="s">
        <v>201</v>
      </c>
      <c r="M10260" s="27" t="s">
        <v>1188</v>
      </c>
      <c r="N10260" s="27" t="s">
        <v>9019</v>
      </c>
      <c r="P10260" s="27" t="s">
        <v>9021</v>
      </c>
      <c r="Q10260" s="26" t="str">
        <f>HYPERLINK("https://ictv.global/taxonomy/taxondetails?taxnode_id=202505281&amp;ictv_id=ICTV20143788","ICTV20143788")</f>
        <v>ICTV20143788</v>
      </c>
      <c r="R10260" t="s">
        <v>581</v>
      </c>
      <c r="S10260" t="s">
        <v>22764</v>
      </c>
      <c r="T10260">
        <v>37</v>
      </c>
      <c r="U10260" s="26" t="str">
        <f>HYPERLINK("https://ictv.global/ictv/proposals/2021.018P.R.Tombusviridae_1ng_2ns.zip","2021.018P.R.Tombusviridae_1ng_2ns.zip")</f>
        <v>2021.018P.R.Tombusviridae_1ng_2ns.zip</v>
      </c>
    </row>
    <row r="10261" spans="1:21">
      <c r="A10261">
        <v>10260</v>
      </c>
      <c r="B10261" s="27" t="s">
        <v>1124</v>
      </c>
      <c r="D10261" s="27" t="s">
        <v>1859</v>
      </c>
      <c r="F10261" s="27" t="s">
        <v>1867</v>
      </c>
      <c r="H10261" s="27" t="s">
        <v>1879</v>
      </c>
      <c r="J10261" s="27" t="s">
        <v>1880</v>
      </c>
      <c r="L10261" s="27" t="s">
        <v>201</v>
      </c>
      <c r="M10261" s="27" t="s">
        <v>1188</v>
      </c>
      <c r="N10261" s="27" t="s">
        <v>493</v>
      </c>
      <c r="P10261" s="27" t="s">
        <v>9022</v>
      </c>
      <c r="Q10261" s="26" t="str">
        <f>HYPERLINK("https://ictv.global/taxonomy/taxondetails?taxnode_id=202505284&amp;ictv_id=ICTV20095146","ICTV20095146")</f>
        <v>ICTV20095146</v>
      </c>
      <c r="R10261" t="s">
        <v>581</v>
      </c>
      <c r="S10261" t="s">
        <v>824</v>
      </c>
      <c r="T10261">
        <v>38</v>
      </c>
      <c r="U10261" s="26" t="str">
        <f t="shared" ref="U10261:U10269" si="375">HYPERLINK("https://ictv.global/ictv/proposals/2022.015P.Tombusviridae_rename.zip","2022.015P.Tombusviridae_rename.zip")</f>
        <v>2022.015P.Tombusviridae_rename.zip</v>
      </c>
    </row>
    <row r="10262" spans="1:21">
      <c r="A10262">
        <v>10261</v>
      </c>
      <c r="B10262" s="27" t="s">
        <v>1124</v>
      </c>
      <c r="D10262" s="27" t="s">
        <v>1859</v>
      </c>
      <c r="F10262" s="27" t="s">
        <v>1867</v>
      </c>
      <c r="H10262" s="27" t="s">
        <v>1879</v>
      </c>
      <c r="J10262" s="27" t="s">
        <v>1880</v>
      </c>
      <c r="L10262" s="27" t="s">
        <v>201</v>
      </c>
      <c r="M10262" s="27" t="s">
        <v>1189</v>
      </c>
      <c r="N10262" s="27" t="s">
        <v>305</v>
      </c>
      <c r="P10262" s="27" t="s">
        <v>9023</v>
      </c>
      <c r="Q10262" s="26" t="str">
        <f>HYPERLINK("https://ictv.global/taxonomy/taxondetails?taxnode_id=202505224&amp;ictv_id=ICTV19811120","ICTV19811120")</f>
        <v>ICTV19811120</v>
      </c>
      <c r="R10262" t="s">
        <v>581</v>
      </c>
      <c r="S10262" t="s">
        <v>824</v>
      </c>
      <c r="T10262">
        <v>38</v>
      </c>
      <c r="U10262" s="26" t="str">
        <f t="shared" si="375"/>
        <v>2022.015P.Tombusviridae_rename.zip</v>
      </c>
    </row>
    <row r="10263" spans="1:21">
      <c r="A10263">
        <v>10262</v>
      </c>
      <c r="B10263" s="27" t="s">
        <v>1124</v>
      </c>
      <c r="D10263" s="27" t="s">
        <v>1859</v>
      </c>
      <c r="F10263" s="27" t="s">
        <v>1867</v>
      </c>
      <c r="H10263" s="27" t="s">
        <v>1879</v>
      </c>
      <c r="J10263" s="27" t="s">
        <v>1880</v>
      </c>
      <c r="L10263" s="27" t="s">
        <v>201</v>
      </c>
      <c r="M10263" s="27" t="s">
        <v>1189</v>
      </c>
      <c r="N10263" s="27" t="s">
        <v>305</v>
      </c>
      <c r="P10263" s="27" t="s">
        <v>9024</v>
      </c>
      <c r="Q10263" s="26" t="str">
        <f>HYPERLINK("https://ictv.global/taxonomy/taxondetails?taxnode_id=202505226&amp;ictv_id=ICTV19821203","ICTV19821203")</f>
        <v>ICTV19821203</v>
      </c>
      <c r="R10263" t="s">
        <v>581</v>
      </c>
      <c r="S10263" t="s">
        <v>824</v>
      </c>
      <c r="T10263">
        <v>38</v>
      </c>
      <c r="U10263" s="26" t="str">
        <f t="shared" si="375"/>
        <v>2022.015P.Tombusviridae_rename.zip</v>
      </c>
    </row>
    <row r="10264" spans="1:21">
      <c r="A10264">
        <v>10263</v>
      </c>
      <c r="B10264" s="27" t="s">
        <v>1124</v>
      </c>
      <c r="D10264" s="27" t="s">
        <v>1859</v>
      </c>
      <c r="F10264" s="27" t="s">
        <v>1867</v>
      </c>
      <c r="H10264" s="27" t="s">
        <v>1879</v>
      </c>
      <c r="J10264" s="27" t="s">
        <v>1880</v>
      </c>
      <c r="L10264" s="27" t="s">
        <v>201</v>
      </c>
      <c r="M10264" s="27" t="s">
        <v>1189</v>
      </c>
      <c r="N10264" s="27" t="s">
        <v>305</v>
      </c>
      <c r="P10264" s="27" t="s">
        <v>9025</v>
      </c>
      <c r="Q10264" s="26" t="str">
        <f>HYPERLINK("https://ictv.global/taxonomy/taxondetails?taxnode_id=202505225&amp;ictv_id=ICTV19821202","ICTV19821202")</f>
        <v>ICTV19821202</v>
      </c>
      <c r="R10264" t="s">
        <v>581</v>
      </c>
      <c r="S10264" t="s">
        <v>824</v>
      </c>
      <c r="T10264">
        <v>38</v>
      </c>
      <c r="U10264" s="26" t="str">
        <f t="shared" si="375"/>
        <v>2022.015P.Tombusviridae_rename.zip</v>
      </c>
    </row>
    <row r="10265" spans="1:21">
      <c r="A10265">
        <v>10264</v>
      </c>
      <c r="B10265" s="27" t="s">
        <v>1124</v>
      </c>
      <c r="D10265" s="27" t="s">
        <v>1859</v>
      </c>
      <c r="F10265" s="27" t="s">
        <v>1867</v>
      </c>
      <c r="H10265" s="27" t="s">
        <v>1879</v>
      </c>
      <c r="J10265" s="27" t="s">
        <v>1880</v>
      </c>
      <c r="L10265" s="27" t="s">
        <v>201</v>
      </c>
      <c r="M10265" s="27" t="s">
        <v>1189</v>
      </c>
      <c r="N10265" s="27" t="s">
        <v>280</v>
      </c>
      <c r="P10265" s="27" t="s">
        <v>9026</v>
      </c>
      <c r="Q10265" s="26" t="str">
        <f>HYPERLINK("https://ictv.global/taxonomy/taxondetails?taxnode_id=202506618&amp;ictv_id=ICTV201856618","ICTV201856618")</f>
        <v>ICTV201856618</v>
      </c>
      <c r="R10265" t="s">
        <v>581</v>
      </c>
      <c r="S10265" t="s">
        <v>824</v>
      </c>
      <c r="T10265">
        <v>38</v>
      </c>
      <c r="U10265" s="26" t="str">
        <f t="shared" si="375"/>
        <v>2022.015P.Tombusviridae_rename.zip</v>
      </c>
    </row>
    <row r="10266" spans="1:21">
      <c r="A10266">
        <v>10265</v>
      </c>
      <c r="B10266" s="27" t="s">
        <v>1124</v>
      </c>
      <c r="D10266" s="27" t="s">
        <v>1859</v>
      </c>
      <c r="F10266" s="27" t="s">
        <v>1867</v>
      </c>
      <c r="H10266" s="27" t="s">
        <v>1879</v>
      </c>
      <c r="J10266" s="27" t="s">
        <v>1880</v>
      </c>
      <c r="L10266" s="27" t="s">
        <v>201</v>
      </c>
      <c r="M10266" s="27" t="s">
        <v>1189</v>
      </c>
      <c r="N10266" s="27" t="s">
        <v>280</v>
      </c>
      <c r="P10266" s="27" t="s">
        <v>9027</v>
      </c>
      <c r="Q10266" s="26" t="str">
        <f>HYPERLINK("https://ictv.global/taxonomy/taxondetails?taxnode_id=202503772&amp;ictv_id=ICTV19911696","ICTV19911696")</f>
        <v>ICTV19911696</v>
      </c>
      <c r="R10266" t="s">
        <v>581</v>
      </c>
      <c r="S10266" t="s">
        <v>824</v>
      </c>
      <c r="T10266">
        <v>38</v>
      </c>
      <c r="U10266" s="26" t="str">
        <f t="shared" si="375"/>
        <v>2022.015P.Tombusviridae_rename.zip</v>
      </c>
    </row>
    <row r="10267" spans="1:21">
      <c r="A10267">
        <v>10266</v>
      </c>
      <c r="B10267" s="27" t="s">
        <v>1124</v>
      </c>
      <c r="D10267" s="27" t="s">
        <v>1859</v>
      </c>
      <c r="F10267" s="27" t="s">
        <v>1867</v>
      </c>
      <c r="H10267" s="27" t="s">
        <v>1879</v>
      </c>
      <c r="J10267" s="27" t="s">
        <v>1880</v>
      </c>
      <c r="L10267" s="27" t="s">
        <v>201</v>
      </c>
      <c r="M10267" s="27" t="s">
        <v>1189</v>
      </c>
      <c r="N10267" s="27" t="s">
        <v>280</v>
      </c>
      <c r="P10267" s="27" t="s">
        <v>9028</v>
      </c>
      <c r="Q10267" s="26" t="str">
        <f>HYPERLINK("https://ictv.global/taxonomy/taxondetails?taxnode_id=202503765&amp;ictv_id=ICTV20132153","ICTV20132153")</f>
        <v>ICTV20132153</v>
      </c>
      <c r="R10267" t="s">
        <v>581</v>
      </c>
      <c r="S10267" t="s">
        <v>824</v>
      </c>
      <c r="T10267">
        <v>38</v>
      </c>
      <c r="U10267" s="26" t="str">
        <f t="shared" si="375"/>
        <v>2022.015P.Tombusviridae_rename.zip</v>
      </c>
    </row>
    <row r="10268" spans="1:21">
      <c r="A10268">
        <v>10267</v>
      </c>
      <c r="B10268" s="27" t="s">
        <v>1124</v>
      </c>
      <c r="D10268" s="27" t="s">
        <v>1859</v>
      </c>
      <c r="F10268" s="27" t="s">
        <v>1867</v>
      </c>
      <c r="H10268" s="27" t="s">
        <v>1879</v>
      </c>
      <c r="J10268" s="27" t="s">
        <v>1880</v>
      </c>
      <c r="L10268" s="27" t="s">
        <v>201</v>
      </c>
      <c r="M10268" s="27" t="s">
        <v>1189</v>
      </c>
      <c r="N10268" s="27" t="s">
        <v>280</v>
      </c>
      <c r="P10268" s="27" t="s">
        <v>9029</v>
      </c>
      <c r="Q10268" s="26" t="str">
        <f>HYPERLINK("https://ictv.global/taxonomy/taxondetails?taxnode_id=202503766&amp;ictv_id=ICTV20132154","ICTV20132154")</f>
        <v>ICTV20132154</v>
      </c>
      <c r="R10268" t="s">
        <v>581</v>
      </c>
      <c r="S10268" t="s">
        <v>824</v>
      </c>
      <c r="T10268">
        <v>38</v>
      </c>
      <c r="U10268" s="26" t="str">
        <f t="shared" si="375"/>
        <v>2022.015P.Tombusviridae_rename.zip</v>
      </c>
    </row>
    <row r="10269" spans="1:21">
      <c r="A10269">
        <v>10268</v>
      </c>
      <c r="B10269" s="27" t="s">
        <v>1124</v>
      </c>
      <c r="D10269" s="27" t="s">
        <v>1859</v>
      </c>
      <c r="F10269" s="27" t="s">
        <v>1867</v>
      </c>
      <c r="H10269" s="27" t="s">
        <v>1879</v>
      </c>
      <c r="J10269" s="27" t="s">
        <v>1880</v>
      </c>
      <c r="L10269" s="27" t="s">
        <v>201</v>
      </c>
      <c r="M10269" s="27" t="s">
        <v>1189</v>
      </c>
      <c r="N10269" s="27" t="s">
        <v>280</v>
      </c>
      <c r="P10269" s="27" t="s">
        <v>9030</v>
      </c>
      <c r="Q10269" s="26" t="str">
        <f>HYPERLINK("https://ictv.global/taxonomy/taxondetails?taxnode_id=202507551&amp;ictv_id=ICTV201907551","ICTV201907551")</f>
        <v>ICTV201907551</v>
      </c>
      <c r="R10269" t="s">
        <v>581</v>
      </c>
      <c r="S10269" t="s">
        <v>824</v>
      </c>
      <c r="T10269">
        <v>38</v>
      </c>
      <c r="U10269" s="26" t="str">
        <f t="shared" si="375"/>
        <v>2022.015P.Tombusviridae_rename.zip</v>
      </c>
    </row>
    <row r="10270" spans="1:21">
      <c r="A10270">
        <v>10269</v>
      </c>
      <c r="B10270" s="27" t="s">
        <v>1124</v>
      </c>
      <c r="D10270" s="27" t="s">
        <v>1859</v>
      </c>
      <c r="F10270" s="27" t="s">
        <v>1867</v>
      </c>
      <c r="H10270" s="27" t="s">
        <v>1879</v>
      </c>
      <c r="J10270" s="27" t="s">
        <v>1880</v>
      </c>
      <c r="L10270" s="27" t="s">
        <v>201</v>
      </c>
      <c r="M10270" s="27" t="s">
        <v>1189</v>
      </c>
      <c r="N10270" s="27" t="s">
        <v>280</v>
      </c>
      <c r="P10270" s="27" t="s">
        <v>9031</v>
      </c>
      <c r="Q10270" s="26" t="str">
        <f>HYPERLINK("https://ictv.global/taxonomy/taxondetails?taxnode_id=202503767&amp;ictv_id=ICTV19952388","ICTV19952388")</f>
        <v>ICTV19952388</v>
      </c>
      <c r="R10270" t="s">
        <v>581</v>
      </c>
      <c r="S10270" t="s">
        <v>22764</v>
      </c>
      <c r="T10270">
        <v>39</v>
      </c>
      <c r="U10270" s="26" t="str">
        <f>HYPERLINK("https://ictv.global/ictv/proposals/2023.019P.Solemoviridae_rename_sp.zip","2023.019P.Solemoviridae_rename_sp.zip")</f>
        <v>2023.019P.Solemoviridae_rename_sp.zip</v>
      </c>
    </row>
    <row r="10271" spans="1:21">
      <c r="A10271">
        <v>10270</v>
      </c>
      <c r="B10271" s="27" t="s">
        <v>1124</v>
      </c>
      <c r="D10271" s="27" t="s">
        <v>1859</v>
      </c>
      <c r="F10271" s="27" t="s">
        <v>1867</v>
      </c>
      <c r="H10271" s="27" t="s">
        <v>1879</v>
      </c>
      <c r="J10271" s="27" t="s">
        <v>1880</v>
      </c>
      <c r="L10271" s="27" t="s">
        <v>201</v>
      </c>
      <c r="M10271" s="27" t="s">
        <v>1189</v>
      </c>
      <c r="N10271" s="27" t="s">
        <v>280</v>
      </c>
      <c r="P10271" s="27" t="s">
        <v>9032</v>
      </c>
      <c r="Q10271" s="26" t="str">
        <f>HYPERLINK("https://ictv.global/taxonomy/taxondetails?taxnode_id=202506615&amp;ictv_id=ICTV201856615","ICTV201856615")</f>
        <v>ICTV201856615</v>
      </c>
      <c r="R10271" t="s">
        <v>581</v>
      </c>
      <c r="S10271" t="s">
        <v>824</v>
      </c>
      <c r="T10271">
        <v>38</v>
      </c>
      <c r="U10271" s="26" t="str">
        <f>HYPERLINK("https://ictv.global/ictv/proposals/2022.015P.Tombusviridae_rename.zip","2022.015P.Tombusviridae_rename.zip")</f>
        <v>2022.015P.Tombusviridae_rename.zip</v>
      </c>
    </row>
    <row r="10272" spans="1:21">
      <c r="A10272">
        <v>10271</v>
      </c>
      <c r="B10272" s="27" t="s">
        <v>1124</v>
      </c>
      <c r="D10272" s="27" t="s">
        <v>1859</v>
      </c>
      <c r="F10272" s="27" t="s">
        <v>1867</v>
      </c>
      <c r="H10272" s="27" t="s">
        <v>1879</v>
      </c>
      <c r="J10272" s="27" t="s">
        <v>1880</v>
      </c>
      <c r="L10272" s="27" t="s">
        <v>201</v>
      </c>
      <c r="M10272" s="27" t="s">
        <v>1189</v>
      </c>
      <c r="N10272" s="27" t="s">
        <v>280</v>
      </c>
      <c r="P10272" s="27" t="s">
        <v>9033</v>
      </c>
      <c r="Q10272" s="26" t="str">
        <f>HYPERLINK("https://ictv.global/taxonomy/taxondetails?taxnode_id=202503768&amp;ictv_id=ICTV20026164","ICTV20026164")</f>
        <v>ICTV20026164</v>
      </c>
      <c r="R10272" t="s">
        <v>581</v>
      </c>
      <c r="S10272" t="s">
        <v>824</v>
      </c>
      <c r="T10272">
        <v>38</v>
      </c>
      <c r="U10272" s="26" t="str">
        <f>HYPERLINK("https://ictv.global/ictv/proposals/2022.015P.Tombusviridae_rename.zip","2022.015P.Tombusviridae_rename.zip")</f>
        <v>2022.015P.Tombusviridae_rename.zip</v>
      </c>
    </row>
    <row r="10273" spans="1:21">
      <c r="A10273">
        <v>10272</v>
      </c>
      <c r="B10273" s="27" t="s">
        <v>1124</v>
      </c>
      <c r="D10273" s="27" t="s">
        <v>1859</v>
      </c>
      <c r="F10273" s="27" t="s">
        <v>1867</v>
      </c>
      <c r="H10273" s="27" t="s">
        <v>1879</v>
      </c>
      <c r="J10273" s="27" t="s">
        <v>1880</v>
      </c>
      <c r="L10273" s="27" t="s">
        <v>201</v>
      </c>
      <c r="M10273" s="27" t="s">
        <v>1189</v>
      </c>
      <c r="N10273" s="27" t="s">
        <v>280</v>
      </c>
      <c r="P10273" s="27" t="s">
        <v>9034</v>
      </c>
      <c r="Q10273" s="26" t="str">
        <f>HYPERLINK("https://ictv.global/taxonomy/taxondetails?taxnode_id=202503769&amp;ictv_id=ICTV19952389","ICTV19952389")</f>
        <v>ICTV19952389</v>
      </c>
      <c r="R10273" t="s">
        <v>581</v>
      </c>
      <c r="S10273" t="s">
        <v>22764</v>
      </c>
      <c r="T10273">
        <v>39</v>
      </c>
      <c r="U10273" s="26" t="str">
        <f>HYPERLINK("https://ictv.global/ictv/proposals/2023.019P.Solemoviridae_rename_sp.zip","2023.019P.Solemoviridae_rename_sp.zip")</f>
        <v>2023.019P.Solemoviridae_rename_sp.zip</v>
      </c>
    </row>
    <row r="10274" spans="1:21">
      <c r="A10274">
        <v>10273</v>
      </c>
      <c r="B10274" s="27" t="s">
        <v>1124</v>
      </c>
      <c r="D10274" s="27" t="s">
        <v>1859</v>
      </c>
      <c r="F10274" s="27" t="s">
        <v>1867</v>
      </c>
      <c r="H10274" s="27" t="s">
        <v>1879</v>
      </c>
      <c r="J10274" s="27" t="s">
        <v>1880</v>
      </c>
      <c r="L10274" s="27" t="s">
        <v>201</v>
      </c>
      <c r="M10274" s="27" t="s">
        <v>1189</v>
      </c>
      <c r="N10274" s="27" t="s">
        <v>280</v>
      </c>
      <c r="P10274" s="27" t="s">
        <v>9035</v>
      </c>
      <c r="Q10274" s="26" t="str">
        <f>HYPERLINK("https://ictv.global/taxonomy/taxondetails?taxnode_id=202503770&amp;ictv_id=ICTV19911690","ICTV19911690")</f>
        <v>ICTV19911690</v>
      </c>
      <c r="R10274" t="s">
        <v>581</v>
      </c>
      <c r="S10274" t="s">
        <v>824</v>
      </c>
      <c r="T10274">
        <v>38</v>
      </c>
      <c r="U10274" s="26" t="str">
        <f>HYPERLINK("https://ictv.global/ictv/proposals/2022.015P.Tombusviridae_rename.zip","2022.015P.Tombusviridae_rename.zip")</f>
        <v>2022.015P.Tombusviridae_rename.zip</v>
      </c>
    </row>
    <row r="10275" spans="1:21">
      <c r="A10275">
        <v>10274</v>
      </c>
      <c r="B10275" s="27" t="s">
        <v>1124</v>
      </c>
      <c r="D10275" s="27" t="s">
        <v>1859</v>
      </c>
      <c r="F10275" s="27" t="s">
        <v>1867</v>
      </c>
      <c r="H10275" s="27" t="s">
        <v>1879</v>
      </c>
      <c r="J10275" s="27" t="s">
        <v>1880</v>
      </c>
      <c r="L10275" s="27" t="s">
        <v>201</v>
      </c>
      <c r="M10275" s="27" t="s">
        <v>1189</v>
      </c>
      <c r="N10275" s="27" t="s">
        <v>280</v>
      </c>
      <c r="P10275" s="27" t="s">
        <v>9036</v>
      </c>
      <c r="Q10275" s="26" t="str">
        <f>HYPERLINK("https://ictv.global/taxonomy/taxondetails?taxnode_id=202503771&amp;ictv_id=ICTV20094013","ICTV20094013")</f>
        <v>ICTV20094013</v>
      </c>
      <c r="R10275" t="s">
        <v>581</v>
      </c>
      <c r="S10275" t="s">
        <v>824</v>
      </c>
      <c r="T10275">
        <v>38</v>
      </c>
      <c r="U10275" s="26" t="str">
        <f>HYPERLINK("https://ictv.global/ictv/proposals/2022.015P.Tombusviridae_rename.zip","2022.015P.Tombusviridae_rename.zip")</f>
        <v>2022.015P.Tombusviridae_rename.zip</v>
      </c>
    </row>
    <row r="10276" spans="1:21">
      <c r="A10276">
        <v>10275</v>
      </c>
      <c r="B10276" s="27" t="s">
        <v>1124</v>
      </c>
      <c r="D10276" s="27" t="s">
        <v>1859</v>
      </c>
      <c r="F10276" s="27" t="s">
        <v>1867</v>
      </c>
      <c r="H10276" s="27" t="s">
        <v>1879</v>
      </c>
      <c r="J10276" s="27" t="s">
        <v>1880</v>
      </c>
      <c r="L10276" s="27" t="s">
        <v>201</v>
      </c>
      <c r="M10276" s="27" t="s">
        <v>1189</v>
      </c>
      <c r="N10276" s="27" t="s">
        <v>280</v>
      </c>
      <c r="P10276" s="27" t="s">
        <v>14254</v>
      </c>
      <c r="Q10276" s="26" t="str">
        <f>HYPERLINK("https://ictv.global/taxonomy/taxondetails?taxnode_id=202503793&amp;ictv_id=ICTV19952393","ICTV19952393")</f>
        <v>ICTV19952393</v>
      </c>
      <c r="R10276" t="s">
        <v>581</v>
      </c>
      <c r="S10276" t="s">
        <v>22764</v>
      </c>
      <c r="T10276">
        <v>39</v>
      </c>
      <c r="U10276" s="26" t="str">
        <f>HYPERLINK("https://ictv.global/ictv/proposals/2023.019P.Solemoviridae_rename_sp.zip","2023.019P.Solemoviridae_rename_sp.zip")</f>
        <v>2023.019P.Solemoviridae_rename_sp.zip</v>
      </c>
    </row>
    <row r="10277" spans="1:21">
      <c r="A10277">
        <v>10276</v>
      </c>
      <c r="B10277" s="27" t="s">
        <v>1124</v>
      </c>
      <c r="D10277" s="27" t="s">
        <v>1859</v>
      </c>
      <c r="F10277" s="27" t="s">
        <v>1867</v>
      </c>
      <c r="H10277" s="27" t="s">
        <v>1879</v>
      </c>
      <c r="J10277" s="27" t="s">
        <v>1880</v>
      </c>
      <c r="L10277" s="27" t="s">
        <v>201</v>
      </c>
      <c r="M10277" s="27" t="s">
        <v>1189</v>
      </c>
      <c r="N10277" s="27" t="s">
        <v>280</v>
      </c>
      <c r="P10277" s="27" t="s">
        <v>9037</v>
      </c>
      <c r="Q10277" s="26" t="str">
        <f>HYPERLINK("https://ictv.global/taxonomy/taxondetails?taxnode_id=202507550&amp;ictv_id=ICTV201907550","ICTV201907550")</f>
        <v>ICTV201907550</v>
      </c>
      <c r="R10277" t="s">
        <v>581</v>
      </c>
      <c r="S10277" t="s">
        <v>824</v>
      </c>
      <c r="T10277">
        <v>38</v>
      </c>
      <c r="U10277" s="26" t="str">
        <f>HYPERLINK("https://ictv.global/ictv/proposals/2022.015P.Tombusviridae_rename.zip","2022.015P.Tombusviridae_rename.zip")</f>
        <v>2022.015P.Tombusviridae_rename.zip</v>
      </c>
    </row>
    <row r="10278" spans="1:21">
      <c r="A10278">
        <v>10277</v>
      </c>
      <c r="B10278" s="27" t="s">
        <v>1124</v>
      </c>
      <c r="D10278" s="27" t="s">
        <v>1859</v>
      </c>
      <c r="F10278" s="27" t="s">
        <v>1867</v>
      </c>
      <c r="H10278" s="27" t="s">
        <v>1879</v>
      </c>
      <c r="J10278" s="27" t="s">
        <v>1880</v>
      </c>
      <c r="L10278" s="27" t="s">
        <v>201</v>
      </c>
      <c r="M10278" s="27" t="s">
        <v>1189</v>
      </c>
      <c r="N10278" s="27" t="s">
        <v>280</v>
      </c>
      <c r="P10278" s="27" t="s">
        <v>9038</v>
      </c>
      <c r="Q10278" s="26" t="str">
        <f>HYPERLINK("https://ictv.global/taxonomy/taxondetails?taxnode_id=202507552&amp;ictv_id=ICTV201907552","ICTV201907552")</f>
        <v>ICTV201907552</v>
      </c>
      <c r="R10278" t="s">
        <v>581</v>
      </c>
      <c r="S10278" t="s">
        <v>824</v>
      </c>
      <c r="T10278">
        <v>38</v>
      </c>
      <c r="U10278" s="26" t="str">
        <f>HYPERLINK("https://ictv.global/ictv/proposals/2022.015P.Tombusviridae_rename.zip","2022.015P.Tombusviridae_rename.zip")</f>
        <v>2022.015P.Tombusviridae_rename.zip</v>
      </c>
    </row>
    <row r="10279" spans="1:21">
      <c r="A10279">
        <v>10278</v>
      </c>
      <c r="B10279" s="27" t="s">
        <v>1124</v>
      </c>
      <c r="D10279" s="27" t="s">
        <v>1859</v>
      </c>
      <c r="F10279" s="27" t="s">
        <v>1881</v>
      </c>
      <c r="H10279" s="27" t="s">
        <v>1882</v>
      </c>
      <c r="J10279" s="27" t="s">
        <v>1883</v>
      </c>
      <c r="L10279" s="27" t="s">
        <v>266</v>
      </c>
      <c r="N10279" s="27" t="s">
        <v>243</v>
      </c>
      <c r="P10279" s="27" t="s">
        <v>14255</v>
      </c>
      <c r="Q10279" s="26" t="str">
        <f>HYPERLINK("https://ictv.global/taxonomy/taxondetails?taxnode_id=202503918&amp;ictv_id=ICTV19991119","ICTV19991119")</f>
        <v>ICTV19991119</v>
      </c>
      <c r="R10279" t="s">
        <v>581</v>
      </c>
      <c r="S10279" t="s">
        <v>824</v>
      </c>
      <c r="T10279">
        <v>39</v>
      </c>
      <c r="U10279" s="26" t="str">
        <f>HYPERLINK("https://ictv.global/ictv/proposals/2023.003F.Narnaviridae_spren.zip","2023.003F.Narnaviridae_spren.zip")</f>
        <v>2023.003F.Narnaviridae_spren.zip</v>
      </c>
    </row>
    <row r="10280" spans="1:21">
      <c r="A10280">
        <v>10279</v>
      </c>
      <c r="B10280" s="27" t="s">
        <v>1124</v>
      </c>
      <c r="D10280" s="27" t="s">
        <v>1859</v>
      </c>
      <c r="F10280" s="27" t="s">
        <v>1881</v>
      </c>
      <c r="H10280" s="27" t="s">
        <v>1882</v>
      </c>
      <c r="J10280" s="27" t="s">
        <v>1883</v>
      </c>
      <c r="L10280" s="27" t="s">
        <v>266</v>
      </c>
      <c r="N10280" s="27" t="s">
        <v>243</v>
      </c>
      <c r="P10280" s="27" t="s">
        <v>14256</v>
      </c>
      <c r="Q10280" s="26" t="str">
        <f>HYPERLINK("https://ictv.global/taxonomy/taxondetails?taxnode_id=202503917&amp;ictv_id=ICTV19981765","ICTV19981765")</f>
        <v>ICTV19981765</v>
      </c>
      <c r="R10280" t="s">
        <v>581</v>
      </c>
      <c r="S10280" t="s">
        <v>824</v>
      </c>
      <c r="T10280">
        <v>39</v>
      </c>
      <c r="U10280" s="26" t="str">
        <f>HYPERLINK("https://ictv.global/ictv/proposals/2023.003F.Narnaviridae_spren.zip","2023.003F.Narnaviridae_spren.zip")</f>
        <v>2023.003F.Narnaviridae_spren.zip</v>
      </c>
    </row>
    <row r="10281" spans="1:21">
      <c r="A10281">
        <v>10280</v>
      </c>
      <c r="B10281" s="27" t="s">
        <v>1124</v>
      </c>
      <c r="D10281" s="27" t="s">
        <v>1859</v>
      </c>
      <c r="F10281" s="27" t="s">
        <v>1881</v>
      </c>
      <c r="H10281" s="27" t="s">
        <v>1882</v>
      </c>
      <c r="J10281" s="27" t="s">
        <v>1883</v>
      </c>
      <c r="L10281" s="27" t="s">
        <v>20158</v>
      </c>
      <c r="N10281" s="27" t="s">
        <v>20159</v>
      </c>
      <c r="P10281" s="27" t="s">
        <v>20160</v>
      </c>
      <c r="Q10281" s="26" t="str">
        <f>HYPERLINK("https://ictv.global/taxonomy/taxondetails?taxnode_id=202520113&amp;ictv_id=ICTV202420113","ICTV202420113")</f>
        <v>ICTV202420113</v>
      </c>
      <c r="R10281" t="s">
        <v>581</v>
      </c>
      <c r="S10281" t="s">
        <v>823</v>
      </c>
      <c r="T10281">
        <v>40</v>
      </c>
      <c r="U10281" s="26" t="str">
        <f t="shared" ref="U10281:U10296" si="376">HYPERLINK("https://ictv.global/ictv/proposals/2024.003F.Splipalmiviridae_newfam.zip","2024.003F.Splipalmiviridae_newfam.zip")</f>
        <v>2024.003F.Splipalmiviridae_newfam.zip</v>
      </c>
    </row>
    <row r="10282" spans="1:21">
      <c r="A10282">
        <v>10281</v>
      </c>
      <c r="B10282" s="27" t="s">
        <v>1124</v>
      </c>
      <c r="D10282" s="27" t="s">
        <v>1859</v>
      </c>
      <c r="F10282" s="27" t="s">
        <v>1881</v>
      </c>
      <c r="H10282" s="27" t="s">
        <v>1882</v>
      </c>
      <c r="J10282" s="27" t="s">
        <v>1883</v>
      </c>
      <c r="L10282" s="27" t="s">
        <v>20158</v>
      </c>
      <c r="N10282" s="27" t="s">
        <v>20159</v>
      </c>
      <c r="P10282" s="27" t="s">
        <v>20161</v>
      </c>
      <c r="Q10282" s="26" t="str">
        <f>HYPERLINK("https://ictv.global/taxonomy/taxondetails?taxnode_id=202520115&amp;ictv_id=ICTV202420115","ICTV202420115")</f>
        <v>ICTV202420115</v>
      </c>
      <c r="R10282" t="s">
        <v>581</v>
      </c>
      <c r="S10282" t="s">
        <v>823</v>
      </c>
      <c r="T10282">
        <v>40</v>
      </c>
      <c r="U10282" s="26" t="str">
        <f t="shared" si="376"/>
        <v>2024.003F.Splipalmiviridae_newfam.zip</v>
      </c>
    </row>
    <row r="10283" spans="1:21">
      <c r="A10283">
        <v>10282</v>
      </c>
      <c r="B10283" s="27" t="s">
        <v>1124</v>
      </c>
      <c r="D10283" s="27" t="s">
        <v>1859</v>
      </c>
      <c r="F10283" s="27" t="s">
        <v>1881</v>
      </c>
      <c r="H10283" s="27" t="s">
        <v>1882</v>
      </c>
      <c r="J10283" s="27" t="s">
        <v>1883</v>
      </c>
      <c r="L10283" s="27" t="s">
        <v>20158</v>
      </c>
      <c r="N10283" s="27" t="s">
        <v>20159</v>
      </c>
      <c r="P10283" s="27" t="s">
        <v>20162</v>
      </c>
      <c r="Q10283" s="26" t="str">
        <f>HYPERLINK("https://ictv.global/taxonomy/taxondetails?taxnode_id=202520114&amp;ictv_id=ICTV202420114","ICTV202420114")</f>
        <v>ICTV202420114</v>
      </c>
      <c r="R10283" t="s">
        <v>581</v>
      </c>
      <c r="S10283" t="s">
        <v>823</v>
      </c>
      <c r="T10283">
        <v>40</v>
      </c>
      <c r="U10283" s="26" t="str">
        <f t="shared" si="376"/>
        <v>2024.003F.Splipalmiviridae_newfam.zip</v>
      </c>
    </row>
    <row r="10284" spans="1:21">
      <c r="A10284">
        <v>10283</v>
      </c>
      <c r="B10284" s="27" t="s">
        <v>1124</v>
      </c>
      <c r="D10284" s="27" t="s">
        <v>1859</v>
      </c>
      <c r="F10284" s="27" t="s">
        <v>1881</v>
      </c>
      <c r="H10284" s="27" t="s">
        <v>1882</v>
      </c>
      <c r="J10284" s="27" t="s">
        <v>1883</v>
      </c>
      <c r="L10284" s="27" t="s">
        <v>20158</v>
      </c>
      <c r="N10284" s="27" t="s">
        <v>20159</v>
      </c>
      <c r="P10284" s="27" t="s">
        <v>20163</v>
      </c>
      <c r="Q10284" s="26" t="str">
        <f>HYPERLINK("https://ictv.global/taxonomy/taxondetails?taxnode_id=202520116&amp;ictv_id=ICTV202420116","ICTV202420116")</f>
        <v>ICTV202420116</v>
      </c>
      <c r="R10284" t="s">
        <v>581</v>
      </c>
      <c r="S10284" t="s">
        <v>823</v>
      </c>
      <c r="T10284">
        <v>40</v>
      </c>
      <c r="U10284" s="26" t="str">
        <f t="shared" si="376"/>
        <v>2024.003F.Splipalmiviridae_newfam.zip</v>
      </c>
    </row>
    <row r="10285" spans="1:21">
      <c r="A10285">
        <v>10284</v>
      </c>
      <c r="B10285" s="27" t="s">
        <v>1124</v>
      </c>
      <c r="D10285" s="27" t="s">
        <v>1859</v>
      </c>
      <c r="F10285" s="27" t="s">
        <v>1881</v>
      </c>
      <c r="H10285" s="27" t="s">
        <v>1882</v>
      </c>
      <c r="J10285" s="27" t="s">
        <v>1883</v>
      </c>
      <c r="L10285" s="27" t="s">
        <v>20158</v>
      </c>
      <c r="N10285" s="27" t="s">
        <v>20164</v>
      </c>
      <c r="P10285" s="27" t="s">
        <v>20165</v>
      </c>
      <c r="Q10285" s="26" t="str">
        <f>HYPERLINK("https://ictv.global/taxonomy/taxondetails?taxnode_id=202520108&amp;ictv_id=ICTV202420108","ICTV202420108")</f>
        <v>ICTV202420108</v>
      </c>
      <c r="R10285" t="s">
        <v>581</v>
      </c>
      <c r="S10285" t="s">
        <v>823</v>
      </c>
      <c r="T10285">
        <v>40</v>
      </c>
      <c r="U10285" s="26" t="str">
        <f t="shared" si="376"/>
        <v>2024.003F.Splipalmiviridae_newfam.zip</v>
      </c>
    </row>
    <row r="10286" spans="1:21">
      <c r="A10286">
        <v>10285</v>
      </c>
      <c r="B10286" s="27" t="s">
        <v>1124</v>
      </c>
      <c r="D10286" s="27" t="s">
        <v>1859</v>
      </c>
      <c r="F10286" s="27" t="s">
        <v>1881</v>
      </c>
      <c r="H10286" s="27" t="s">
        <v>1882</v>
      </c>
      <c r="J10286" s="27" t="s">
        <v>1883</v>
      </c>
      <c r="L10286" s="27" t="s">
        <v>20158</v>
      </c>
      <c r="N10286" s="27" t="s">
        <v>20164</v>
      </c>
      <c r="P10286" s="27" t="s">
        <v>20166</v>
      </c>
      <c r="Q10286" s="26" t="str">
        <f>HYPERLINK("https://ictv.global/taxonomy/taxondetails?taxnode_id=202520109&amp;ictv_id=ICTV202420109","ICTV202420109")</f>
        <v>ICTV202420109</v>
      </c>
      <c r="R10286" t="s">
        <v>581</v>
      </c>
      <c r="S10286" t="s">
        <v>823</v>
      </c>
      <c r="T10286">
        <v>40</v>
      </c>
      <c r="U10286" s="26" t="str">
        <f t="shared" si="376"/>
        <v>2024.003F.Splipalmiviridae_newfam.zip</v>
      </c>
    </row>
    <row r="10287" spans="1:21">
      <c r="A10287">
        <v>10286</v>
      </c>
      <c r="B10287" s="27" t="s">
        <v>1124</v>
      </c>
      <c r="D10287" s="27" t="s">
        <v>1859</v>
      </c>
      <c r="F10287" s="27" t="s">
        <v>1881</v>
      </c>
      <c r="H10287" s="27" t="s">
        <v>1882</v>
      </c>
      <c r="J10287" s="27" t="s">
        <v>1883</v>
      </c>
      <c r="L10287" s="27" t="s">
        <v>20158</v>
      </c>
      <c r="N10287" s="27" t="s">
        <v>20164</v>
      </c>
      <c r="P10287" s="27" t="s">
        <v>20167</v>
      </c>
      <c r="Q10287" s="26" t="str">
        <f>HYPERLINK("https://ictv.global/taxonomy/taxondetails?taxnode_id=202520110&amp;ictv_id=ICTV202420110","ICTV202420110")</f>
        <v>ICTV202420110</v>
      </c>
      <c r="R10287" t="s">
        <v>581</v>
      </c>
      <c r="S10287" t="s">
        <v>823</v>
      </c>
      <c r="T10287">
        <v>40</v>
      </c>
      <c r="U10287" s="26" t="str">
        <f t="shared" si="376"/>
        <v>2024.003F.Splipalmiviridae_newfam.zip</v>
      </c>
    </row>
    <row r="10288" spans="1:21">
      <c r="A10288">
        <v>10287</v>
      </c>
      <c r="B10288" s="27" t="s">
        <v>1124</v>
      </c>
      <c r="D10288" s="27" t="s">
        <v>1859</v>
      </c>
      <c r="F10288" s="27" t="s">
        <v>1881</v>
      </c>
      <c r="H10288" s="27" t="s">
        <v>1882</v>
      </c>
      <c r="J10288" s="27" t="s">
        <v>1883</v>
      </c>
      <c r="L10288" s="27" t="s">
        <v>20158</v>
      </c>
      <c r="N10288" s="27" t="s">
        <v>20164</v>
      </c>
      <c r="P10288" s="27" t="s">
        <v>20168</v>
      </c>
      <c r="Q10288" s="26" t="str">
        <f>HYPERLINK("https://ictv.global/taxonomy/taxondetails?taxnode_id=202520107&amp;ictv_id=ICTV202420107","ICTV202420107")</f>
        <v>ICTV202420107</v>
      </c>
      <c r="R10288" t="s">
        <v>581</v>
      </c>
      <c r="S10288" t="s">
        <v>823</v>
      </c>
      <c r="T10288">
        <v>40</v>
      </c>
      <c r="U10288" s="26" t="str">
        <f t="shared" si="376"/>
        <v>2024.003F.Splipalmiviridae_newfam.zip</v>
      </c>
    </row>
    <row r="10289" spans="1:21">
      <c r="A10289">
        <v>10288</v>
      </c>
      <c r="B10289" s="27" t="s">
        <v>1124</v>
      </c>
      <c r="D10289" s="27" t="s">
        <v>1859</v>
      </c>
      <c r="F10289" s="27" t="s">
        <v>1881</v>
      </c>
      <c r="H10289" s="27" t="s">
        <v>1882</v>
      </c>
      <c r="J10289" s="27" t="s">
        <v>1883</v>
      </c>
      <c r="L10289" s="27" t="s">
        <v>20158</v>
      </c>
      <c r="N10289" s="27" t="s">
        <v>20164</v>
      </c>
      <c r="P10289" s="27" t="s">
        <v>20169</v>
      </c>
      <c r="Q10289" s="26" t="str">
        <f>HYPERLINK("https://ictv.global/taxonomy/taxondetails?taxnode_id=202520112&amp;ictv_id=ICTV202420112","ICTV202420112")</f>
        <v>ICTV202420112</v>
      </c>
      <c r="R10289" t="s">
        <v>581</v>
      </c>
      <c r="S10289" t="s">
        <v>823</v>
      </c>
      <c r="T10289">
        <v>40</v>
      </c>
      <c r="U10289" s="26" t="str">
        <f t="shared" si="376"/>
        <v>2024.003F.Splipalmiviridae_newfam.zip</v>
      </c>
    </row>
    <row r="10290" spans="1:21">
      <c r="A10290">
        <v>10289</v>
      </c>
      <c r="B10290" s="27" t="s">
        <v>1124</v>
      </c>
      <c r="D10290" s="27" t="s">
        <v>1859</v>
      </c>
      <c r="F10290" s="27" t="s">
        <v>1881</v>
      </c>
      <c r="H10290" s="27" t="s">
        <v>1882</v>
      </c>
      <c r="J10290" s="27" t="s">
        <v>1883</v>
      </c>
      <c r="L10290" s="27" t="s">
        <v>20158</v>
      </c>
      <c r="N10290" s="27" t="s">
        <v>20164</v>
      </c>
      <c r="P10290" s="27" t="s">
        <v>20170</v>
      </c>
      <c r="Q10290" s="26" t="str">
        <f>HYPERLINK("https://ictv.global/taxonomy/taxondetails?taxnode_id=202520111&amp;ictv_id=ICTV202420111","ICTV202420111")</f>
        <v>ICTV202420111</v>
      </c>
      <c r="R10290" t="s">
        <v>581</v>
      </c>
      <c r="S10290" t="s">
        <v>823</v>
      </c>
      <c r="T10290">
        <v>40</v>
      </c>
      <c r="U10290" s="26" t="str">
        <f t="shared" si="376"/>
        <v>2024.003F.Splipalmiviridae_newfam.zip</v>
      </c>
    </row>
    <row r="10291" spans="1:21">
      <c r="A10291">
        <v>10290</v>
      </c>
      <c r="B10291" s="27" t="s">
        <v>1124</v>
      </c>
      <c r="D10291" s="27" t="s">
        <v>1859</v>
      </c>
      <c r="F10291" s="27" t="s">
        <v>1881</v>
      </c>
      <c r="H10291" s="27" t="s">
        <v>1882</v>
      </c>
      <c r="J10291" s="27" t="s">
        <v>1883</v>
      </c>
      <c r="L10291" s="27" t="s">
        <v>20158</v>
      </c>
      <c r="N10291" s="27" t="s">
        <v>20171</v>
      </c>
      <c r="P10291" s="27" t="s">
        <v>20172</v>
      </c>
      <c r="Q10291" s="26" t="str">
        <f>HYPERLINK("https://ictv.global/taxonomy/taxondetails?taxnode_id=202520104&amp;ictv_id=ICTV202420104","ICTV202420104")</f>
        <v>ICTV202420104</v>
      </c>
      <c r="R10291" t="s">
        <v>581</v>
      </c>
      <c r="S10291" t="s">
        <v>823</v>
      </c>
      <c r="T10291">
        <v>40</v>
      </c>
      <c r="U10291" s="26" t="str">
        <f t="shared" si="376"/>
        <v>2024.003F.Splipalmiviridae_newfam.zip</v>
      </c>
    </row>
    <row r="10292" spans="1:21">
      <c r="A10292">
        <v>10291</v>
      </c>
      <c r="B10292" s="27" t="s">
        <v>1124</v>
      </c>
      <c r="D10292" s="27" t="s">
        <v>1859</v>
      </c>
      <c r="F10292" s="27" t="s">
        <v>1881</v>
      </c>
      <c r="H10292" s="27" t="s">
        <v>1882</v>
      </c>
      <c r="J10292" s="27" t="s">
        <v>1883</v>
      </c>
      <c r="L10292" s="27" t="s">
        <v>20158</v>
      </c>
      <c r="N10292" s="27" t="s">
        <v>20171</v>
      </c>
      <c r="P10292" s="27" t="s">
        <v>20173</v>
      </c>
      <c r="Q10292" s="26" t="str">
        <f>HYPERLINK("https://ictv.global/taxonomy/taxondetails?taxnode_id=202520102&amp;ictv_id=ICTV202420102","ICTV202420102")</f>
        <v>ICTV202420102</v>
      </c>
      <c r="R10292" t="s">
        <v>581</v>
      </c>
      <c r="S10292" t="s">
        <v>823</v>
      </c>
      <c r="T10292">
        <v>40</v>
      </c>
      <c r="U10292" s="26" t="str">
        <f t="shared" si="376"/>
        <v>2024.003F.Splipalmiviridae_newfam.zip</v>
      </c>
    </row>
    <row r="10293" spans="1:21">
      <c r="A10293">
        <v>10292</v>
      </c>
      <c r="B10293" s="27" t="s">
        <v>1124</v>
      </c>
      <c r="D10293" s="27" t="s">
        <v>1859</v>
      </c>
      <c r="F10293" s="27" t="s">
        <v>1881</v>
      </c>
      <c r="H10293" s="27" t="s">
        <v>1882</v>
      </c>
      <c r="J10293" s="27" t="s">
        <v>1883</v>
      </c>
      <c r="L10293" s="27" t="s">
        <v>20158</v>
      </c>
      <c r="N10293" s="27" t="s">
        <v>20171</v>
      </c>
      <c r="P10293" s="27" t="s">
        <v>20174</v>
      </c>
      <c r="Q10293" s="26" t="str">
        <f>HYPERLINK("https://ictv.global/taxonomy/taxondetails?taxnode_id=202520103&amp;ictv_id=ICTV202420103","ICTV202420103")</f>
        <v>ICTV202420103</v>
      </c>
      <c r="R10293" t="s">
        <v>581</v>
      </c>
      <c r="S10293" t="s">
        <v>823</v>
      </c>
      <c r="T10293">
        <v>40</v>
      </c>
      <c r="U10293" s="26" t="str">
        <f t="shared" si="376"/>
        <v>2024.003F.Splipalmiviridae_newfam.zip</v>
      </c>
    </row>
    <row r="10294" spans="1:21">
      <c r="A10294">
        <v>10293</v>
      </c>
      <c r="B10294" s="27" t="s">
        <v>1124</v>
      </c>
      <c r="D10294" s="27" t="s">
        <v>1859</v>
      </c>
      <c r="F10294" s="27" t="s">
        <v>1881</v>
      </c>
      <c r="H10294" s="27" t="s">
        <v>1882</v>
      </c>
      <c r="J10294" s="27" t="s">
        <v>1883</v>
      </c>
      <c r="L10294" s="27" t="s">
        <v>20158</v>
      </c>
      <c r="N10294" s="27" t="s">
        <v>20171</v>
      </c>
      <c r="P10294" s="27" t="s">
        <v>20175</v>
      </c>
      <c r="Q10294" s="26" t="str">
        <f>HYPERLINK("https://ictv.global/taxonomy/taxondetails?taxnode_id=202520105&amp;ictv_id=ICTV202420105","ICTV202420105")</f>
        <v>ICTV202420105</v>
      </c>
      <c r="R10294" t="s">
        <v>581</v>
      </c>
      <c r="S10294" t="s">
        <v>823</v>
      </c>
      <c r="T10294">
        <v>40</v>
      </c>
      <c r="U10294" s="26" t="str">
        <f t="shared" si="376"/>
        <v>2024.003F.Splipalmiviridae_newfam.zip</v>
      </c>
    </row>
    <row r="10295" spans="1:21">
      <c r="A10295">
        <v>10294</v>
      </c>
      <c r="B10295" s="27" t="s">
        <v>1124</v>
      </c>
      <c r="D10295" s="27" t="s">
        <v>1859</v>
      </c>
      <c r="F10295" s="27" t="s">
        <v>1881</v>
      </c>
      <c r="H10295" s="27" t="s">
        <v>1882</v>
      </c>
      <c r="J10295" s="27" t="s">
        <v>1883</v>
      </c>
      <c r="L10295" s="27" t="s">
        <v>20158</v>
      </c>
      <c r="N10295" s="27" t="s">
        <v>20171</v>
      </c>
      <c r="P10295" s="27" t="s">
        <v>20176</v>
      </c>
      <c r="Q10295" s="26" t="str">
        <f>HYPERLINK("https://ictv.global/taxonomy/taxondetails?taxnode_id=202520106&amp;ictv_id=ICTV202420106","ICTV202420106")</f>
        <v>ICTV202420106</v>
      </c>
      <c r="R10295" t="s">
        <v>581</v>
      </c>
      <c r="S10295" t="s">
        <v>823</v>
      </c>
      <c r="T10295">
        <v>40</v>
      </c>
      <c r="U10295" s="26" t="str">
        <f t="shared" si="376"/>
        <v>2024.003F.Splipalmiviridae_newfam.zip</v>
      </c>
    </row>
    <row r="10296" spans="1:21">
      <c r="A10296">
        <v>10295</v>
      </c>
      <c r="B10296" s="27" t="s">
        <v>1124</v>
      </c>
      <c r="D10296" s="27" t="s">
        <v>1859</v>
      </c>
      <c r="F10296" s="27" t="s">
        <v>1881</v>
      </c>
      <c r="H10296" s="27" t="s">
        <v>1882</v>
      </c>
      <c r="J10296" s="27" t="s">
        <v>1883</v>
      </c>
      <c r="L10296" s="27" t="s">
        <v>20158</v>
      </c>
      <c r="N10296" s="27" t="s">
        <v>20171</v>
      </c>
      <c r="P10296" s="27" t="s">
        <v>20177</v>
      </c>
      <c r="Q10296" s="26" t="str">
        <f>HYPERLINK("https://ictv.global/taxonomy/taxondetails?taxnode_id=202520101&amp;ictv_id=ICTV202420101","ICTV202420101")</f>
        <v>ICTV202420101</v>
      </c>
      <c r="R10296" t="s">
        <v>581</v>
      </c>
      <c r="S10296" t="s">
        <v>823</v>
      </c>
      <c r="T10296">
        <v>40</v>
      </c>
      <c r="U10296" s="26" t="str">
        <f t="shared" si="376"/>
        <v>2024.003F.Splipalmiviridae_newfam.zip</v>
      </c>
    </row>
    <row r="10297" spans="1:21">
      <c r="A10297">
        <v>10296</v>
      </c>
      <c r="B10297" s="27" t="s">
        <v>1124</v>
      </c>
      <c r="D10297" s="27" t="s">
        <v>1859</v>
      </c>
      <c r="F10297" s="27" t="s">
        <v>1881</v>
      </c>
      <c r="H10297" s="27" t="s">
        <v>1884</v>
      </c>
      <c r="J10297" s="27" t="s">
        <v>1885</v>
      </c>
      <c r="L10297" s="27" t="s">
        <v>1886</v>
      </c>
      <c r="N10297" s="27" t="s">
        <v>9039</v>
      </c>
      <c r="P10297" s="27" t="s">
        <v>9040</v>
      </c>
      <c r="Q10297" s="26" t="str">
        <f>HYPERLINK("https://ictv.global/taxonomy/taxondetails?taxnode_id=202513794&amp;ictv_id=ICTV202113794","ICTV202113794")</f>
        <v>ICTV202113794</v>
      </c>
      <c r="R10297" t="s">
        <v>581</v>
      </c>
      <c r="S10297" t="s">
        <v>823</v>
      </c>
      <c r="T10297">
        <v>37</v>
      </c>
      <c r="U10297" s="26" t="str">
        <f t="shared" ref="U10297:U10328" si="377">HYPERLINK("https://ictv.global/ictv/proposals/2021.003F.R.Mitoviridae_100nsp_4ngen.zip","2021.003F.R.Mitoviridae_100nsp_4ngen.zip")</f>
        <v>2021.003F.R.Mitoviridae_100nsp_4ngen.zip</v>
      </c>
    </row>
    <row r="10298" spans="1:21">
      <c r="A10298">
        <v>10297</v>
      </c>
      <c r="B10298" s="27" t="s">
        <v>1124</v>
      </c>
      <c r="D10298" s="27" t="s">
        <v>1859</v>
      </c>
      <c r="F10298" s="27" t="s">
        <v>1881</v>
      </c>
      <c r="H10298" s="27" t="s">
        <v>1884</v>
      </c>
      <c r="J10298" s="27" t="s">
        <v>1885</v>
      </c>
      <c r="L10298" s="27" t="s">
        <v>1886</v>
      </c>
      <c r="N10298" s="27" t="s">
        <v>9039</v>
      </c>
      <c r="P10298" s="27" t="s">
        <v>9041</v>
      </c>
      <c r="Q10298" s="26" t="str">
        <f>HYPERLINK("https://ictv.global/taxonomy/taxondetails?taxnode_id=202513795&amp;ictv_id=ICTV202113795","ICTV202113795")</f>
        <v>ICTV202113795</v>
      </c>
      <c r="R10298" t="s">
        <v>581</v>
      </c>
      <c r="S10298" t="s">
        <v>823</v>
      </c>
      <c r="T10298">
        <v>37</v>
      </c>
      <c r="U10298" s="26" t="str">
        <f t="shared" si="377"/>
        <v>2021.003F.R.Mitoviridae_100nsp_4ngen.zip</v>
      </c>
    </row>
    <row r="10299" spans="1:21">
      <c r="A10299">
        <v>10298</v>
      </c>
      <c r="B10299" s="27" t="s">
        <v>1124</v>
      </c>
      <c r="D10299" s="27" t="s">
        <v>1859</v>
      </c>
      <c r="F10299" s="27" t="s">
        <v>1881</v>
      </c>
      <c r="H10299" s="27" t="s">
        <v>1884</v>
      </c>
      <c r="J10299" s="27" t="s">
        <v>1885</v>
      </c>
      <c r="L10299" s="27" t="s">
        <v>1886</v>
      </c>
      <c r="N10299" s="27" t="s">
        <v>9039</v>
      </c>
      <c r="P10299" s="27" t="s">
        <v>9042</v>
      </c>
      <c r="Q10299" s="26" t="str">
        <f>HYPERLINK("https://ictv.global/taxonomy/taxondetails?taxnode_id=202513796&amp;ictv_id=ICTV202113796","ICTV202113796")</f>
        <v>ICTV202113796</v>
      </c>
      <c r="R10299" t="s">
        <v>581</v>
      </c>
      <c r="S10299" t="s">
        <v>823</v>
      </c>
      <c r="T10299">
        <v>37</v>
      </c>
      <c r="U10299" s="26" t="str">
        <f t="shared" si="377"/>
        <v>2021.003F.R.Mitoviridae_100nsp_4ngen.zip</v>
      </c>
    </row>
    <row r="10300" spans="1:21">
      <c r="A10300">
        <v>10299</v>
      </c>
      <c r="B10300" s="27" t="s">
        <v>1124</v>
      </c>
      <c r="D10300" s="27" t="s">
        <v>1859</v>
      </c>
      <c r="F10300" s="27" t="s">
        <v>1881</v>
      </c>
      <c r="H10300" s="27" t="s">
        <v>1884</v>
      </c>
      <c r="J10300" s="27" t="s">
        <v>1885</v>
      </c>
      <c r="L10300" s="27" t="s">
        <v>1886</v>
      </c>
      <c r="N10300" s="27" t="s">
        <v>9039</v>
      </c>
      <c r="P10300" s="27" t="s">
        <v>9043</v>
      </c>
      <c r="Q10300" s="26" t="str">
        <f>HYPERLINK("https://ictv.global/taxonomy/taxondetails?taxnode_id=202513798&amp;ictv_id=ICTV202113798","ICTV202113798")</f>
        <v>ICTV202113798</v>
      </c>
      <c r="R10300" t="s">
        <v>581</v>
      </c>
      <c r="S10300" t="s">
        <v>823</v>
      </c>
      <c r="T10300">
        <v>37</v>
      </c>
      <c r="U10300" s="26" t="str">
        <f t="shared" si="377"/>
        <v>2021.003F.R.Mitoviridae_100nsp_4ngen.zip</v>
      </c>
    </row>
    <row r="10301" spans="1:21">
      <c r="A10301">
        <v>10300</v>
      </c>
      <c r="B10301" s="27" t="s">
        <v>1124</v>
      </c>
      <c r="D10301" s="27" t="s">
        <v>1859</v>
      </c>
      <c r="F10301" s="27" t="s">
        <v>1881</v>
      </c>
      <c r="H10301" s="27" t="s">
        <v>1884</v>
      </c>
      <c r="J10301" s="27" t="s">
        <v>1885</v>
      </c>
      <c r="L10301" s="27" t="s">
        <v>1886</v>
      </c>
      <c r="N10301" s="27" t="s">
        <v>9039</v>
      </c>
      <c r="P10301" s="27" t="s">
        <v>9044</v>
      </c>
      <c r="Q10301" s="26" t="str">
        <f>HYPERLINK("https://ictv.global/taxonomy/taxondetails?taxnode_id=202513799&amp;ictv_id=ICTV202113799","ICTV202113799")</f>
        <v>ICTV202113799</v>
      </c>
      <c r="R10301" t="s">
        <v>581</v>
      </c>
      <c r="S10301" t="s">
        <v>823</v>
      </c>
      <c r="T10301">
        <v>37</v>
      </c>
      <c r="U10301" s="26" t="str">
        <f t="shared" si="377"/>
        <v>2021.003F.R.Mitoviridae_100nsp_4ngen.zip</v>
      </c>
    </row>
    <row r="10302" spans="1:21">
      <c r="A10302">
        <v>10301</v>
      </c>
      <c r="B10302" s="27" t="s">
        <v>1124</v>
      </c>
      <c r="D10302" s="27" t="s">
        <v>1859</v>
      </c>
      <c r="F10302" s="27" t="s">
        <v>1881</v>
      </c>
      <c r="H10302" s="27" t="s">
        <v>1884</v>
      </c>
      <c r="J10302" s="27" t="s">
        <v>1885</v>
      </c>
      <c r="L10302" s="27" t="s">
        <v>1886</v>
      </c>
      <c r="N10302" s="27" t="s">
        <v>9039</v>
      </c>
      <c r="P10302" s="27" t="s">
        <v>9045</v>
      </c>
      <c r="Q10302" s="26" t="str">
        <f>HYPERLINK("https://ictv.global/taxonomy/taxondetails?taxnode_id=202513797&amp;ictv_id=ICTV202113797","ICTV202113797")</f>
        <v>ICTV202113797</v>
      </c>
      <c r="R10302" t="s">
        <v>581</v>
      </c>
      <c r="S10302" t="s">
        <v>823</v>
      </c>
      <c r="T10302">
        <v>37</v>
      </c>
      <c r="U10302" s="26" t="str">
        <f t="shared" si="377"/>
        <v>2021.003F.R.Mitoviridae_100nsp_4ngen.zip</v>
      </c>
    </row>
    <row r="10303" spans="1:21">
      <c r="A10303">
        <v>10302</v>
      </c>
      <c r="B10303" s="27" t="s">
        <v>1124</v>
      </c>
      <c r="D10303" s="27" t="s">
        <v>1859</v>
      </c>
      <c r="F10303" s="27" t="s">
        <v>1881</v>
      </c>
      <c r="H10303" s="27" t="s">
        <v>1884</v>
      </c>
      <c r="J10303" s="27" t="s">
        <v>1885</v>
      </c>
      <c r="L10303" s="27" t="s">
        <v>1886</v>
      </c>
      <c r="N10303" s="27" t="s">
        <v>9039</v>
      </c>
      <c r="P10303" s="27" t="s">
        <v>9046</v>
      </c>
      <c r="Q10303" s="26" t="str">
        <f>HYPERLINK("https://ictv.global/taxonomy/taxondetails?taxnode_id=202513800&amp;ictv_id=ICTV202113800","ICTV202113800")</f>
        <v>ICTV202113800</v>
      </c>
      <c r="R10303" t="s">
        <v>581</v>
      </c>
      <c r="S10303" t="s">
        <v>823</v>
      </c>
      <c r="T10303">
        <v>37</v>
      </c>
      <c r="U10303" s="26" t="str">
        <f t="shared" si="377"/>
        <v>2021.003F.R.Mitoviridae_100nsp_4ngen.zip</v>
      </c>
    </row>
    <row r="10304" spans="1:21">
      <c r="A10304">
        <v>10303</v>
      </c>
      <c r="B10304" s="27" t="s">
        <v>1124</v>
      </c>
      <c r="D10304" s="27" t="s">
        <v>1859</v>
      </c>
      <c r="F10304" s="27" t="s">
        <v>1881</v>
      </c>
      <c r="H10304" s="27" t="s">
        <v>1884</v>
      </c>
      <c r="J10304" s="27" t="s">
        <v>1885</v>
      </c>
      <c r="L10304" s="27" t="s">
        <v>1886</v>
      </c>
      <c r="N10304" s="27" t="s">
        <v>9039</v>
      </c>
      <c r="P10304" s="27" t="s">
        <v>9047</v>
      </c>
      <c r="Q10304" s="26" t="str">
        <f>HYPERLINK("https://ictv.global/taxonomy/taxondetails?taxnode_id=202513801&amp;ictv_id=ICTV202113801","ICTV202113801")</f>
        <v>ICTV202113801</v>
      </c>
      <c r="R10304" t="s">
        <v>581</v>
      </c>
      <c r="S10304" t="s">
        <v>823</v>
      </c>
      <c r="T10304">
        <v>37</v>
      </c>
      <c r="U10304" s="26" t="str">
        <f t="shared" si="377"/>
        <v>2021.003F.R.Mitoviridae_100nsp_4ngen.zip</v>
      </c>
    </row>
    <row r="10305" spans="1:21">
      <c r="A10305">
        <v>10304</v>
      </c>
      <c r="B10305" s="27" t="s">
        <v>1124</v>
      </c>
      <c r="D10305" s="27" t="s">
        <v>1859</v>
      </c>
      <c r="F10305" s="27" t="s">
        <v>1881</v>
      </c>
      <c r="H10305" s="27" t="s">
        <v>1884</v>
      </c>
      <c r="J10305" s="27" t="s">
        <v>1885</v>
      </c>
      <c r="L10305" s="27" t="s">
        <v>1886</v>
      </c>
      <c r="N10305" s="27" t="s">
        <v>9039</v>
      </c>
      <c r="P10305" s="27" t="s">
        <v>9048</v>
      </c>
      <c r="Q10305" s="26" t="str">
        <f>HYPERLINK("https://ictv.global/taxonomy/taxondetails?taxnode_id=202513802&amp;ictv_id=ICTV202113802","ICTV202113802")</f>
        <v>ICTV202113802</v>
      </c>
      <c r="R10305" t="s">
        <v>581</v>
      </c>
      <c r="S10305" t="s">
        <v>823</v>
      </c>
      <c r="T10305">
        <v>37</v>
      </c>
      <c r="U10305" s="26" t="str">
        <f t="shared" si="377"/>
        <v>2021.003F.R.Mitoviridae_100nsp_4ngen.zip</v>
      </c>
    </row>
    <row r="10306" spans="1:21">
      <c r="A10306">
        <v>10305</v>
      </c>
      <c r="B10306" s="27" t="s">
        <v>1124</v>
      </c>
      <c r="D10306" s="27" t="s">
        <v>1859</v>
      </c>
      <c r="F10306" s="27" t="s">
        <v>1881</v>
      </c>
      <c r="H10306" s="27" t="s">
        <v>1884</v>
      </c>
      <c r="J10306" s="27" t="s">
        <v>1885</v>
      </c>
      <c r="L10306" s="27" t="s">
        <v>1886</v>
      </c>
      <c r="N10306" s="27" t="s">
        <v>9039</v>
      </c>
      <c r="P10306" s="27" t="s">
        <v>9049</v>
      </c>
      <c r="Q10306" s="26" t="str">
        <f>HYPERLINK("https://ictv.global/taxonomy/taxondetails?taxnode_id=202513803&amp;ictv_id=ICTV202113803","ICTV202113803")</f>
        <v>ICTV202113803</v>
      </c>
      <c r="R10306" t="s">
        <v>581</v>
      </c>
      <c r="S10306" t="s">
        <v>823</v>
      </c>
      <c r="T10306">
        <v>37</v>
      </c>
      <c r="U10306" s="26" t="str">
        <f t="shared" si="377"/>
        <v>2021.003F.R.Mitoviridae_100nsp_4ngen.zip</v>
      </c>
    </row>
    <row r="10307" spans="1:21">
      <c r="A10307">
        <v>10306</v>
      </c>
      <c r="B10307" s="27" t="s">
        <v>1124</v>
      </c>
      <c r="D10307" s="27" t="s">
        <v>1859</v>
      </c>
      <c r="F10307" s="27" t="s">
        <v>1881</v>
      </c>
      <c r="H10307" s="27" t="s">
        <v>1884</v>
      </c>
      <c r="J10307" s="27" t="s">
        <v>1885</v>
      </c>
      <c r="L10307" s="27" t="s">
        <v>1886</v>
      </c>
      <c r="N10307" s="27" t="s">
        <v>9039</v>
      </c>
      <c r="P10307" s="27" t="s">
        <v>9050</v>
      </c>
      <c r="Q10307" s="26" t="str">
        <f>HYPERLINK("https://ictv.global/taxonomy/taxondetails?taxnode_id=202513804&amp;ictv_id=ICTV202113804","ICTV202113804")</f>
        <v>ICTV202113804</v>
      </c>
      <c r="R10307" t="s">
        <v>581</v>
      </c>
      <c r="S10307" t="s">
        <v>823</v>
      </c>
      <c r="T10307">
        <v>37</v>
      </c>
      <c r="U10307" s="26" t="str">
        <f t="shared" si="377"/>
        <v>2021.003F.R.Mitoviridae_100nsp_4ngen.zip</v>
      </c>
    </row>
    <row r="10308" spans="1:21">
      <c r="A10308">
        <v>10307</v>
      </c>
      <c r="B10308" s="27" t="s">
        <v>1124</v>
      </c>
      <c r="D10308" s="27" t="s">
        <v>1859</v>
      </c>
      <c r="F10308" s="27" t="s">
        <v>1881</v>
      </c>
      <c r="H10308" s="27" t="s">
        <v>1884</v>
      </c>
      <c r="J10308" s="27" t="s">
        <v>1885</v>
      </c>
      <c r="L10308" s="27" t="s">
        <v>1886</v>
      </c>
      <c r="N10308" s="27" t="s">
        <v>9039</v>
      </c>
      <c r="P10308" s="27" t="s">
        <v>9051</v>
      </c>
      <c r="Q10308" s="26" t="str">
        <f>HYPERLINK("https://ictv.global/taxonomy/taxondetails?taxnode_id=202503911&amp;ictv_id=ICTV19981764","ICTV19981764")</f>
        <v>ICTV19981764</v>
      </c>
      <c r="R10308" t="s">
        <v>581</v>
      </c>
      <c r="S10308" t="s">
        <v>22764</v>
      </c>
      <c r="T10308">
        <v>37</v>
      </c>
      <c r="U10308" s="26" t="str">
        <f t="shared" si="377"/>
        <v>2021.003F.R.Mitoviridae_100nsp_4ngen.zip</v>
      </c>
    </row>
    <row r="10309" spans="1:21">
      <c r="A10309">
        <v>10308</v>
      </c>
      <c r="B10309" s="27" t="s">
        <v>1124</v>
      </c>
      <c r="D10309" s="27" t="s">
        <v>1859</v>
      </c>
      <c r="F10309" s="27" t="s">
        <v>1881</v>
      </c>
      <c r="H10309" s="27" t="s">
        <v>1884</v>
      </c>
      <c r="J10309" s="27" t="s">
        <v>1885</v>
      </c>
      <c r="L10309" s="27" t="s">
        <v>1886</v>
      </c>
      <c r="N10309" s="27" t="s">
        <v>9039</v>
      </c>
      <c r="P10309" s="27" t="s">
        <v>9052</v>
      </c>
      <c r="Q10309" s="26" t="str">
        <f>HYPERLINK("https://ictv.global/taxonomy/taxondetails?taxnode_id=202513805&amp;ictv_id=ICTV202113805","ICTV202113805")</f>
        <v>ICTV202113805</v>
      </c>
      <c r="R10309" t="s">
        <v>581</v>
      </c>
      <c r="S10309" t="s">
        <v>823</v>
      </c>
      <c r="T10309">
        <v>37</v>
      </c>
      <c r="U10309" s="26" t="str">
        <f t="shared" si="377"/>
        <v>2021.003F.R.Mitoviridae_100nsp_4ngen.zip</v>
      </c>
    </row>
    <row r="10310" spans="1:21">
      <c r="A10310">
        <v>10309</v>
      </c>
      <c r="B10310" s="27" t="s">
        <v>1124</v>
      </c>
      <c r="D10310" s="27" t="s">
        <v>1859</v>
      </c>
      <c r="F10310" s="27" t="s">
        <v>1881</v>
      </c>
      <c r="H10310" s="27" t="s">
        <v>1884</v>
      </c>
      <c r="J10310" s="27" t="s">
        <v>1885</v>
      </c>
      <c r="L10310" s="27" t="s">
        <v>1886</v>
      </c>
      <c r="N10310" s="27" t="s">
        <v>9039</v>
      </c>
      <c r="P10310" s="27" t="s">
        <v>9053</v>
      </c>
      <c r="Q10310" s="26" t="str">
        <f>HYPERLINK("https://ictv.global/taxonomy/taxondetails?taxnode_id=202513806&amp;ictv_id=ICTV202113806","ICTV202113806")</f>
        <v>ICTV202113806</v>
      </c>
      <c r="R10310" t="s">
        <v>581</v>
      </c>
      <c r="S10310" t="s">
        <v>823</v>
      </c>
      <c r="T10310">
        <v>37</v>
      </c>
      <c r="U10310" s="26" t="str">
        <f t="shared" si="377"/>
        <v>2021.003F.R.Mitoviridae_100nsp_4ngen.zip</v>
      </c>
    </row>
    <row r="10311" spans="1:21">
      <c r="A10311">
        <v>10310</v>
      </c>
      <c r="B10311" s="27" t="s">
        <v>1124</v>
      </c>
      <c r="D10311" s="27" t="s">
        <v>1859</v>
      </c>
      <c r="F10311" s="27" t="s">
        <v>1881</v>
      </c>
      <c r="H10311" s="27" t="s">
        <v>1884</v>
      </c>
      <c r="J10311" s="27" t="s">
        <v>1885</v>
      </c>
      <c r="L10311" s="27" t="s">
        <v>1886</v>
      </c>
      <c r="N10311" s="27" t="s">
        <v>9039</v>
      </c>
      <c r="P10311" s="27" t="s">
        <v>9054</v>
      </c>
      <c r="Q10311" s="26" t="str">
        <f>HYPERLINK("https://ictv.global/taxonomy/taxondetails?taxnode_id=202513807&amp;ictv_id=ICTV202113807","ICTV202113807")</f>
        <v>ICTV202113807</v>
      </c>
      <c r="R10311" t="s">
        <v>581</v>
      </c>
      <c r="S10311" t="s">
        <v>823</v>
      </c>
      <c r="T10311">
        <v>37</v>
      </c>
      <c r="U10311" s="26" t="str">
        <f t="shared" si="377"/>
        <v>2021.003F.R.Mitoviridae_100nsp_4ngen.zip</v>
      </c>
    </row>
    <row r="10312" spans="1:21">
      <c r="A10312">
        <v>10311</v>
      </c>
      <c r="B10312" s="27" t="s">
        <v>1124</v>
      </c>
      <c r="D10312" s="27" t="s">
        <v>1859</v>
      </c>
      <c r="F10312" s="27" t="s">
        <v>1881</v>
      </c>
      <c r="H10312" s="27" t="s">
        <v>1884</v>
      </c>
      <c r="J10312" s="27" t="s">
        <v>1885</v>
      </c>
      <c r="L10312" s="27" t="s">
        <v>1886</v>
      </c>
      <c r="N10312" s="27" t="s">
        <v>9039</v>
      </c>
      <c r="P10312" s="27" t="s">
        <v>9055</v>
      </c>
      <c r="Q10312" s="26" t="str">
        <f>HYPERLINK("https://ictv.global/taxonomy/taxondetails?taxnode_id=202513808&amp;ictv_id=ICTV202113808","ICTV202113808")</f>
        <v>ICTV202113808</v>
      </c>
      <c r="R10312" t="s">
        <v>581</v>
      </c>
      <c r="S10312" t="s">
        <v>823</v>
      </c>
      <c r="T10312">
        <v>37</v>
      </c>
      <c r="U10312" s="26" t="str">
        <f t="shared" si="377"/>
        <v>2021.003F.R.Mitoviridae_100nsp_4ngen.zip</v>
      </c>
    </row>
    <row r="10313" spans="1:21">
      <c r="A10313">
        <v>10312</v>
      </c>
      <c r="B10313" s="27" t="s">
        <v>1124</v>
      </c>
      <c r="D10313" s="27" t="s">
        <v>1859</v>
      </c>
      <c r="F10313" s="27" t="s">
        <v>1881</v>
      </c>
      <c r="H10313" s="27" t="s">
        <v>1884</v>
      </c>
      <c r="J10313" s="27" t="s">
        <v>1885</v>
      </c>
      <c r="L10313" s="27" t="s">
        <v>1886</v>
      </c>
      <c r="N10313" s="27" t="s">
        <v>9039</v>
      </c>
      <c r="P10313" s="27" t="s">
        <v>9056</v>
      </c>
      <c r="Q10313" s="26" t="str">
        <f>HYPERLINK("https://ictv.global/taxonomy/taxondetails?taxnode_id=202513809&amp;ictv_id=ICTV202113809","ICTV202113809")</f>
        <v>ICTV202113809</v>
      </c>
      <c r="R10313" t="s">
        <v>581</v>
      </c>
      <c r="S10313" t="s">
        <v>823</v>
      </c>
      <c r="T10313">
        <v>37</v>
      </c>
      <c r="U10313" s="26" t="str">
        <f t="shared" si="377"/>
        <v>2021.003F.R.Mitoviridae_100nsp_4ngen.zip</v>
      </c>
    </row>
    <row r="10314" spans="1:21">
      <c r="A10314">
        <v>10313</v>
      </c>
      <c r="B10314" s="27" t="s">
        <v>1124</v>
      </c>
      <c r="D10314" s="27" t="s">
        <v>1859</v>
      </c>
      <c r="F10314" s="27" t="s">
        <v>1881</v>
      </c>
      <c r="H10314" s="27" t="s">
        <v>1884</v>
      </c>
      <c r="J10314" s="27" t="s">
        <v>1885</v>
      </c>
      <c r="L10314" s="27" t="s">
        <v>1886</v>
      </c>
      <c r="N10314" s="27" t="s">
        <v>9039</v>
      </c>
      <c r="P10314" s="27" t="s">
        <v>9057</v>
      </c>
      <c r="Q10314" s="26" t="str">
        <f>HYPERLINK("https://ictv.global/taxonomy/taxondetails?taxnode_id=202513810&amp;ictv_id=ICTV202113810","ICTV202113810")</f>
        <v>ICTV202113810</v>
      </c>
      <c r="R10314" t="s">
        <v>581</v>
      </c>
      <c r="S10314" t="s">
        <v>823</v>
      </c>
      <c r="T10314">
        <v>37</v>
      </c>
      <c r="U10314" s="26" t="str">
        <f t="shared" si="377"/>
        <v>2021.003F.R.Mitoviridae_100nsp_4ngen.zip</v>
      </c>
    </row>
    <row r="10315" spans="1:21">
      <c r="A10315">
        <v>10314</v>
      </c>
      <c r="B10315" s="27" t="s">
        <v>1124</v>
      </c>
      <c r="D10315" s="27" t="s">
        <v>1859</v>
      </c>
      <c r="F10315" s="27" t="s">
        <v>1881</v>
      </c>
      <c r="H10315" s="27" t="s">
        <v>1884</v>
      </c>
      <c r="J10315" s="27" t="s">
        <v>1885</v>
      </c>
      <c r="L10315" s="27" t="s">
        <v>1886</v>
      </c>
      <c r="N10315" s="27" t="s">
        <v>9039</v>
      </c>
      <c r="P10315" s="27" t="s">
        <v>9058</v>
      </c>
      <c r="Q10315" s="26" t="str">
        <f>HYPERLINK("https://ictv.global/taxonomy/taxondetails?taxnode_id=202513811&amp;ictv_id=ICTV202113811","ICTV202113811")</f>
        <v>ICTV202113811</v>
      </c>
      <c r="R10315" t="s">
        <v>581</v>
      </c>
      <c r="S10315" t="s">
        <v>823</v>
      </c>
      <c r="T10315">
        <v>37</v>
      </c>
      <c r="U10315" s="26" t="str">
        <f t="shared" si="377"/>
        <v>2021.003F.R.Mitoviridae_100nsp_4ngen.zip</v>
      </c>
    </row>
    <row r="10316" spans="1:21">
      <c r="A10316">
        <v>10315</v>
      </c>
      <c r="B10316" s="27" t="s">
        <v>1124</v>
      </c>
      <c r="D10316" s="27" t="s">
        <v>1859</v>
      </c>
      <c r="F10316" s="27" t="s">
        <v>1881</v>
      </c>
      <c r="H10316" s="27" t="s">
        <v>1884</v>
      </c>
      <c r="J10316" s="27" t="s">
        <v>1885</v>
      </c>
      <c r="L10316" s="27" t="s">
        <v>1886</v>
      </c>
      <c r="N10316" s="27" t="s">
        <v>9039</v>
      </c>
      <c r="P10316" s="27" t="s">
        <v>9059</v>
      </c>
      <c r="Q10316" s="26" t="str">
        <f>HYPERLINK("https://ictv.global/taxonomy/taxondetails?taxnode_id=202513812&amp;ictv_id=ICTV202113812","ICTV202113812")</f>
        <v>ICTV202113812</v>
      </c>
      <c r="R10316" t="s">
        <v>581</v>
      </c>
      <c r="S10316" t="s">
        <v>823</v>
      </c>
      <c r="T10316">
        <v>37</v>
      </c>
      <c r="U10316" s="26" t="str">
        <f t="shared" si="377"/>
        <v>2021.003F.R.Mitoviridae_100nsp_4ngen.zip</v>
      </c>
    </row>
    <row r="10317" spans="1:21">
      <c r="A10317">
        <v>10316</v>
      </c>
      <c r="B10317" s="27" t="s">
        <v>1124</v>
      </c>
      <c r="D10317" s="27" t="s">
        <v>1859</v>
      </c>
      <c r="F10317" s="27" t="s">
        <v>1881</v>
      </c>
      <c r="H10317" s="27" t="s">
        <v>1884</v>
      </c>
      <c r="J10317" s="27" t="s">
        <v>1885</v>
      </c>
      <c r="L10317" s="27" t="s">
        <v>1886</v>
      </c>
      <c r="N10317" s="27" t="s">
        <v>9039</v>
      </c>
      <c r="P10317" s="27" t="s">
        <v>9060</v>
      </c>
      <c r="Q10317" s="26" t="str">
        <f>HYPERLINK("https://ictv.global/taxonomy/taxondetails?taxnode_id=202513813&amp;ictv_id=ICTV202113813","ICTV202113813")</f>
        <v>ICTV202113813</v>
      </c>
      <c r="R10317" t="s">
        <v>581</v>
      </c>
      <c r="S10317" t="s">
        <v>823</v>
      </c>
      <c r="T10317">
        <v>37</v>
      </c>
      <c r="U10317" s="26" t="str">
        <f t="shared" si="377"/>
        <v>2021.003F.R.Mitoviridae_100nsp_4ngen.zip</v>
      </c>
    </row>
    <row r="10318" spans="1:21">
      <c r="A10318">
        <v>10317</v>
      </c>
      <c r="B10318" s="27" t="s">
        <v>1124</v>
      </c>
      <c r="D10318" s="27" t="s">
        <v>1859</v>
      </c>
      <c r="F10318" s="27" t="s">
        <v>1881</v>
      </c>
      <c r="H10318" s="27" t="s">
        <v>1884</v>
      </c>
      <c r="J10318" s="27" t="s">
        <v>1885</v>
      </c>
      <c r="L10318" s="27" t="s">
        <v>1886</v>
      </c>
      <c r="N10318" s="27" t="s">
        <v>9039</v>
      </c>
      <c r="P10318" s="27" t="s">
        <v>9061</v>
      </c>
      <c r="Q10318" s="26" t="str">
        <f>HYPERLINK("https://ictv.global/taxonomy/taxondetails?taxnode_id=202513814&amp;ictv_id=ICTV202113814","ICTV202113814")</f>
        <v>ICTV202113814</v>
      </c>
      <c r="R10318" t="s">
        <v>581</v>
      </c>
      <c r="S10318" t="s">
        <v>823</v>
      </c>
      <c r="T10318">
        <v>37</v>
      </c>
      <c r="U10318" s="26" t="str">
        <f t="shared" si="377"/>
        <v>2021.003F.R.Mitoviridae_100nsp_4ngen.zip</v>
      </c>
    </row>
    <row r="10319" spans="1:21">
      <c r="A10319">
        <v>10318</v>
      </c>
      <c r="B10319" s="27" t="s">
        <v>1124</v>
      </c>
      <c r="D10319" s="27" t="s">
        <v>1859</v>
      </c>
      <c r="F10319" s="27" t="s">
        <v>1881</v>
      </c>
      <c r="H10319" s="27" t="s">
        <v>1884</v>
      </c>
      <c r="J10319" s="27" t="s">
        <v>1885</v>
      </c>
      <c r="L10319" s="27" t="s">
        <v>1886</v>
      </c>
      <c r="N10319" s="27" t="s">
        <v>9039</v>
      </c>
      <c r="P10319" s="27" t="s">
        <v>9062</v>
      </c>
      <c r="Q10319" s="26" t="str">
        <f>HYPERLINK("https://ictv.global/taxonomy/taxondetails?taxnode_id=202513815&amp;ictv_id=ICTV202113815","ICTV202113815")</f>
        <v>ICTV202113815</v>
      </c>
      <c r="R10319" t="s">
        <v>581</v>
      </c>
      <c r="S10319" t="s">
        <v>823</v>
      </c>
      <c r="T10319">
        <v>37</v>
      </c>
      <c r="U10319" s="26" t="str">
        <f t="shared" si="377"/>
        <v>2021.003F.R.Mitoviridae_100nsp_4ngen.zip</v>
      </c>
    </row>
    <row r="10320" spans="1:21">
      <c r="A10320">
        <v>10319</v>
      </c>
      <c r="B10320" s="27" t="s">
        <v>1124</v>
      </c>
      <c r="D10320" s="27" t="s">
        <v>1859</v>
      </c>
      <c r="F10320" s="27" t="s">
        <v>1881</v>
      </c>
      <c r="H10320" s="27" t="s">
        <v>1884</v>
      </c>
      <c r="J10320" s="27" t="s">
        <v>1885</v>
      </c>
      <c r="L10320" s="27" t="s">
        <v>1886</v>
      </c>
      <c r="N10320" s="27" t="s">
        <v>9039</v>
      </c>
      <c r="P10320" s="27" t="s">
        <v>9063</v>
      </c>
      <c r="Q10320" s="26" t="str">
        <f>HYPERLINK("https://ictv.global/taxonomy/taxondetails?taxnode_id=202512426&amp;ictv_id=ICTV202112426","ICTV202112426")</f>
        <v>ICTV202112426</v>
      </c>
      <c r="R10320" t="s">
        <v>581</v>
      </c>
      <c r="S10320" t="s">
        <v>823</v>
      </c>
      <c r="T10320">
        <v>37</v>
      </c>
      <c r="U10320" s="26" t="str">
        <f t="shared" si="377"/>
        <v>2021.003F.R.Mitoviridae_100nsp_4ngen.zip</v>
      </c>
    </row>
    <row r="10321" spans="1:21">
      <c r="A10321">
        <v>10320</v>
      </c>
      <c r="B10321" s="27" t="s">
        <v>1124</v>
      </c>
      <c r="D10321" s="27" t="s">
        <v>1859</v>
      </c>
      <c r="F10321" s="27" t="s">
        <v>1881</v>
      </c>
      <c r="H10321" s="27" t="s">
        <v>1884</v>
      </c>
      <c r="J10321" s="27" t="s">
        <v>1885</v>
      </c>
      <c r="L10321" s="27" t="s">
        <v>1886</v>
      </c>
      <c r="N10321" s="27" t="s">
        <v>9039</v>
      </c>
      <c r="P10321" s="27" t="s">
        <v>9064</v>
      </c>
      <c r="Q10321" s="26" t="str">
        <f>HYPERLINK("https://ictv.global/taxonomy/taxondetails?taxnode_id=202512427&amp;ictv_id=ICTV202112427","ICTV202112427")</f>
        <v>ICTV202112427</v>
      </c>
      <c r="R10321" t="s">
        <v>581</v>
      </c>
      <c r="S10321" t="s">
        <v>823</v>
      </c>
      <c r="T10321">
        <v>37</v>
      </c>
      <c r="U10321" s="26" t="str">
        <f t="shared" si="377"/>
        <v>2021.003F.R.Mitoviridae_100nsp_4ngen.zip</v>
      </c>
    </row>
    <row r="10322" spans="1:21">
      <c r="A10322">
        <v>10321</v>
      </c>
      <c r="B10322" s="27" t="s">
        <v>1124</v>
      </c>
      <c r="D10322" s="27" t="s">
        <v>1859</v>
      </c>
      <c r="F10322" s="27" t="s">
        <v>1881</v>
      </c>
      <c r="H10322" s="27" t="s">
        <v>1884</v>
      </c>
      <c r="J10322" s="27" t="s">
        <v>1885</v>
      </c>
      <c r="L10322" s="27" t="s">
        <v>1886</v>
      </c>
      <c r="N10322" s="27" t="s">
        <v>9039</v>
      </c>
      <c r="P10322" s="27" t="s">
        <v>9065</v>
      </c>
      <c r="Q10322" s="26" t="str">
        <f>HYPERLINK("https://ictv.global/taxonomy/taxondetails?taxnode_id=202512428&amp;ictv_id=ICTV202112428","ICTV202112428")</f>
        <v>ICTV202112428</v>
      </c>
      <c r="R10322" t="s">
        <v>581</v>
      </c>
      <c r="S10322" t="s">
        <v>823</v>
      </c>
      <c r="T10322">
        <v>37</v>
      </c>
      <c r="U10322" s="26" t="str">
        <f t="shared" si="377"/>
        <v>2021.003F.R.Mitoviridae_100nsp_4ngen.zip</v>
      </c>
    </row>
    <row r="10323" spans="1:21">
      <c r="A10323">
        <v>10322</v>
      </c>
      <c r="B10323" s="27" t="s">
        <v>1124</v>
      </c>
      <c r="D10323" s="27" t="s">
        <v>1859</v>
      </c>
      <c r="F10323" s="27" t="s">
        <v>1881</v>
      </c>
      <c r="H10323" s="27" t="s">
        <v>1884</v>
      </c>
      <c r="J10323" s="27" t="s">
        <v>1885</v>
      </c>
      <c r="L10323" s="27" t="s">
        <v>1886</v>
      </c>
      <c r="N10323" s="27" t="s">
        <v>9039</v>
      </c>
      <c r="P10323" s="27" t="s">
        <v>9066</v>
      </c>
      <c r="Q10323" s="26" t="str">
        <f>HYPERLINK("https://ictv.global/taxonomy/taxondetails?taxnode_id=202512429&amp;ictv_id=ICTV202112429","ICTV202112429")</f>
        <v>ICTV202112429</v>
      </c>
      <c r="R10323" t="s">
        <v>581</v>
      </c>
      <c r="S10323" t="s">
        <v>823</v>
      </c>
      <c r="T10323">
        <v>37</v>
      </c>
      <c r="U10323" s="26" t="str">
        <f t="shared" si="377"/>
        <v>2021.003F.R.Mitoviridae_100nsp_4ngen.zip</v>
      </c>
    </row>
    <row r="10324" spans="1:21">
      <c r="A10324">
        <v>10323</v>
      </c>
      <c r="B10324" s="27" t="s">
        <v>1124</v>
      </c>
      <c r="D10324" s="27" t="s">
        <v>1859</v>
      </c>
      <c r="F10324" s="27" t="s">
        <v>1881</v>
      </c>
      <c r="H10324" s="27" t="s">
        <v>1884</v>
      </c>
      <c r="J10324" s="27" t="s">
        <v>1885</v>
      </c>
      <c r="L10324" s="27" t="s">
        <v>1886</v>
      </c>
      <c r="N10324" s="27" t="s">
        <v>9039</v>
      </c>
      <c r="P10324" s="27" t="s">
        <v>9067</v>
      </c>
      <c r="Q10324" s="26" t="str">
        <f>HYPERLINK("https://ictv.global/taxonomy/taxondetails?taxnode_id=202512430&amp;ictv_id=ICTV202112430","ICTV202112430")</f>
        <v>ICTV202112430</v>
      </c>
      <c r="R10324" t="s">
        <v>581</v>
      </c>
      <c r="S10324" t="s">
        <v>823</v>
      </c>
      <c r="T10324">
        <v>37</v>
      </c>
      <c r="U10324" s="26" t="str">
        <f t="shared" si="377"/>
        <v>2021.003F.R.Mitoviridae_100nsp_4ngen.zip</v>
      </c>
    </row>
    <row r="10325" spans="1:21">
      <c r="A10325">
        <v>10324</v>
      </c>
      <c r="B10325" s="27" t="s">
        <v>1124</v>
      </c>
      <c r="D10325" s="27" t="s">
        <v>1859</v>
      </c>
      <c r="F10325" s="27" t="s">
        <v>1881</v>
      </c>
      <c r="H10325" s="27" t="s">
        <v>1884</v>
      </c>
      <c r="J10325" s="27" t="s">
        <v>1885</v>
      </c>
      <c r="L10325" s="27" t="s">
        <v>1886</v>
      </c>
      <c r="N10325" s="27" t="s">
        <v>9039</v>
      </c>
      <c r="P10325" s="27" t="s">
        <v>9068</v>
      </c>
      <c r="Q10325" s="26" t="str">
        <f>HYPERLINK("https://ictv.global/taxonomy/taxondetails?taxnode_id=202512431&amp;ictv_id=ICTV202112431","ICTV202112431")</f>
        <v>ICTV202112431</v>
      </c>
      <c r="R10325" t="s">
        <v>581</v>
      </c>
      <c r="S10325" t="s">
        <v>823</v>
      </c>
      <c r="T10325">
        <v>37</v>
      </c>
      <c r="U10325" s="26" t="str">
        <f t="shared" si="377"/>
        <v>2021.003F.R.Mitoviridae_100nsp_4ngen.zip</v>
      </c>
    </row>
    <row r="10326" spans="1:21">
      <c r="A10326">
        <v>10325</v>
      </c>
      <c r="B10326" s="27" t="s">
        <v>1124</v>
      </c>
      <c r="D10326" s="27" t="s">
        <v>1859</v>
      </c>
      <c r="F10326" s="27" t="s">
        <v>1881</v>
      </c>
      <c r="H10326" s="27" t="s">
        <v>1884</v>
      </c>
      <c r="J10326" s="27" t="s">
        <v>1885</v>
      </c>
      <c r="L10326" s="27" t="s">
        <v>1886</v>
      </c>
      <c r="N10326" s="27" t="s">
        <v>9039</v>
      </c>
      <c r="P10326" s="27" t="s">
        <v>9069</v>
      </c>
      <c r="Q10326" s="26" t="str">
        <f>HYPERLINK("https://ictv.global/taxonomy/taxondetails?taxnode_id=202512432&amp;ictv_id=ICTV202112432","ICTV202112432")</f>
        <v>ICTV202112432</v>
      </c>
      <c r="R10326" t="s">
        <v>581</v>
      </c>
      <c r="S10326" t="s">
        <v>823</v>
      </c>
      <c r="T10326">
        <v>37</v>
      </c>
      <c r="U10326" s="26" t="str">
        <f t="shared" si="377"/>
        <v>2021.003F.R.Mitoviridae_100nsp_4ngen.zip</v>
      </c>
    </row>
    <row r="10327" spans="1:21">
      <c r="A10327">
        <v>10326</v>
      </c>
      <c r="B10327" s="27" t="s">
        <v>1124</v>
      </c>
      <c r="D10327" s="27" t="s">
        <v>1859</v>
      </c>
      <c r="F10327" s="27" t="s">
        <v>1881</v>
      </c>
      <c r="H10327" s="27" t="s">
        <v>1884</v>
      </c>
      <c r="J10327" s="27" t="s">
        <v>1885</v>
      </c>
      <c r="L10327" s="27" t="s">
        <v>1886</v>
      </c>
      <c r="N10327" s="27" t="s">
        <v>9039</v>
      </c>
      <c r="P10327" s="27" t="s">
        <v>9070</v>
      </c>
      <c r="Q10327" s="26" t="str">
        <f>HYPERLINK("https://ictv.global/taxonomy/taxondetails?taxnode_id=202503915&amp;ictv_id=ICTV20026216","ICTV20026216")</f>
        <v>ICTV20026216</v>
      </c>
      <c r="R10327" t="s">
        <v>581</v>
      </c>
      <c r="S10327" t="s">
        <v>22764</v>
      </c>
      <c r="T10327">
        <v>37</v>
      </c>
      <c r="U10327" s="26" t="str">
        <f t="shared" si="377"/>
        <v>2021.003F.R.Mitoviridae_100nsp_4ngen.zip</v>
      </c>
    </row>
    <row r="10328" spans="1:21">
      <c r="A10328">
        <v>10327</v>
      </c>
      <c r="B10328" s="27" t="s">
        <v>1124</v>
      </c>
      <c r="D10328" s="27" t="s">
        <v>1859</v>
      </c>
      <c r="F10328" s="27" t="s">
        <v>1881</v>
      </c>
      <c r="H10328" s="27" t="s">
        <v>1884</v>
      </c>
      <c r="J10328" s="27" t="s">
        <v>1885</v>
      </c>
      <c r="L10328" s="27" t="s">
        <v>1886</v>
      </c>
      <c r="N10328" s="27" t="s">
        <v>9039</v>
      </c>
      <c r="P10328" s="27" t="s">
        <v>9071</v>
      </c>
      <c r="Q10328" s="26" t="str">
        <f>HYPERLINK("https://ictv.global/taxonomy/taxondetails?taxnode_id=202512433&amp;ictv_id=ICTV202112433","ICTV202112433")</f>
        <v>ICTV202112433</v>
      </c>
      <c r="R10328" t="s">
        <v>581</v>
      </c>
      <c r="S10328" t="s">
        <v>823</v>
      </c>
      <c r="T10328">
        <v>37</v>
      </c>
      <c r="U10328" s="26" t="str">
        <f t="shared" si="377"/>
        <v>2021.003F.R.Mitoviridae_100nsp_4ngen.zip</v>
      </c>
    </row>
    <row r="10329" spans="1:21">
      <c r="A10329">
        <v>10328</v>
      </c>
      <c r="B10329" s="27" t="s">
        <v>1124</v>
      </c>
      <c r="D10329" s="27" t="s">
        <v>1859</v>
      </c>
      <c r="F10329" s="27" t="s">
        <v>1881</v>
      </c>
      <c r="H10329" s="27" t="s">
        <v>1884</v>
      </c>
      <c r="J10329" s="27" t="s">
        <v>1885</v>
      </c>
      <c r="L10329" s="27" t="s">
        <v>1886</v>
      </c>
      <c r="N10329" s="27" t="s">
        <v>9039</v>
      </c>
      <c r="P10329" s="27" t="s">
        <v>9072</v>
      </c>
      <c r="Q10329" s="26" t="str">
        <f>HYPERLINK("https://ictv.global/taxonomy/taxondetails?taxnode_id=202512434&amp;ictv_id=ICTV202112434","ICTV202112434")</f>
        <v>ICTV202112434</v>
      </c>
      <c r="R10329" t="s">
        <v>581</v>
      </c>
      <c r="S10329" t="s">
        <v>823</v>
      </c>
      <c r="T10329">
        <v>37</v>
      </c>
      <c r="U10329" s="26" t="str">
        <f t="shared" ref="U10329:U10360" si="378">HYPERLINK("https://ictv.global/ictv/proposals/2021.003F.R.Mitoviridae_100nsp_4ngen.zip","2021.003F.R.Mitoviridae_100nsp_4ngen.zip")</f>
        <v>2021.003F.R.Mitoviridae_100nsp_4ngen.zip</v>
      </c>
    </row>
    <row r="10330" spans="1:21">
      <c r="A10330">
        <v>10329</v>
      </c>
      <c r="B10330" s="27" t="s">
        <v>1124</v>
      </c>
      <c r="D10330" s="27" t="s">
        <v>1859</v>
      </c>
      <c r="F10330" s="27" t="s">
        <v>1881</v>
      </c>
      <c r="H10330" s="27" t="s">
        <v>1884</v>
      </c>
      <c r="J10330" s="27" t="s">
        <v>1885</v>
      </c>
      <c r="L10330" s="27" t="s">
        <v>1886</v>
      </c>
      <c r="N10330" s="27" t="s">
        <v>9039</v>
      </c>
      <c r="P10330" s="27" t="s">
        <v>9073</v>
      </c>
      <c r="Q10330" s="26" t="str">
        <f>HYPERLINK("https://ictv.global/taxonomy/taxondetails?taxnode_id=202512435&amp;ictv_id=ICTV202112435","ICTV202112435")</f>
        <v>ICTV202112435</v>
      </c>
      <c r="R10330" t="s">
        <v>581</v>
      </c>
      <c r="S10330" t="s">
        <v>823</v>
      </c>
      <c r="T10330">
        <v>37</v>
      </c>
      <c r="U10330" s="26" t="str">
        <f t="shared" si="378"/>
        <v>2021.003F.R.Mitoviridae_100nsp_4ngen.zip</v>
      </c>
    </row>
    <row r="10331" spans="1:21">
      <c r="A10331">
        <v>10330</v>
      </c>
      <c r="B10331" s="27" t="s">
        <v>1124</v>
      </c>
      <c r="D10331" s="27" t="s">
        <v>1859</v>
      </c>
      <c r="F10331" s="27" t="s">
        <v>1881</v>
      </c>
      <c r="H10331" s="27" t="s">
        <v>1884</v>
      </c>
      <c r="J10331" s="27" t="s">
        <v>1885</v>
      </c>
      <c r="L10331" s="27" t="s">
        <v>1886</v>
      </c>
      <c r="N10331" s="27" t="s">
        <v>9039</v>
      </c>
      <c r="P10331" s="27" t="s">
        <v>9074</v>
      </c>
      <c r="Q10331" s="26" t="str">
        <f>HYPERLINK("https://ictv.global/taxonomy/taxondetails?taxnode_id=202512436&amp;ictv_id=ICTV202112436","ICTV202112436")</f>
        <v>ICTV202112436</v>
      </c>
      <c r="R10331" t="s">
        <v>581</v>
      </c>
      <c r="S10331" t="s">
        <v>823</v>
      </c>
      <c r="T10331">
        <v>37</v>
      </c>
      <c r="U10331" s="26" t="str">
        <f t="shared" si="378"/>
        <v>2021.003F.R.Mitoviridae_100nsp_4ngen.zip</v>
      </c>
    </row>
    <row r="10332" spans="1:21">
      <c r="A10332">
        <v>10331</v>
      </c>
      <c r="B10332" s="27" t="s">
        <v>1124</v>
      </c>
      <c r="D10332" s="27" t="s">
        <v>1859</v>
      </c>
      <c r="F10332" s="27" t="s">
        <v>1881</v>
      </c>
      <c r="H10332" s="27" t="s">
        <v>1884</v>
      </c>
      <c r="J10332" s="27" t="s">
        <v>1885</v>
      </c>
      <c r="L10332" s="27" t="s">
        <v>1886</v>
      </c>
      <c r="N10332" s="27" t="s">
        <v>9039</v>
      </c>
      <c r="P10332" s="27" t="s">
        <v>9075</v>
      </c>
      <c r="Q10332" s="26" t="str">
        <f>HYPERLINK("https://ictv.global/taxonomy/taxondetails?taxnode_id=202512444&amp;ictv_id=ICTV202112444","ICTV202112444")</f>
        <v>ICTV202112444</v>
      </c>
      <c r="R10332" t="s">
        <v>581</v>
      </c>
      <c r="S10332" t="s">
        <v>823</v>
      </c>
      <c r="T10332">
        <v>37</v>
      </c>
      <c r="U10332" s="26" t="str">
        <f t="shared" si="378"/>
        <v>2021.003F.R.Mitoviridae_100nsp_4ngen.zip</v>
      </c>
    </row>
    <row r="10333" spans="1:21">
      <c r="A10333">
        <v>10332</v>
      </c>
      <c r="B10333" s="27" t="s">
        <v>1124</v>
      </c>
      <c r="D10333" s="27" t="s">
        <v>1859</v>
      </c>
      <c r="F10333" s="27" t="s">
        <v>1881</v>
      </c>
      <c r="H10333" s="27" t="s">
        <v>1884</v>
      </c>
      <c r="J10333" s="27" t="s">
        <v>1885</v>
      </c>
      <c r="L10333" s="27" t="s">
        <v>1886</v>
      </c>
      <c r="N10333" s="27" t="s">
        <v>9039</v>
      </c>
      <c r="P10333" s="27" t="s">
        <v>9076</v>
      </c>
      <c r="Q10333" s="26" t="str">
        <f>HYPERLINK("https://ictv.global/taxonomy/taxondetails?taxnode_id=202512437&amp;ictv_id=ICTV202112437","ICTV202112437")</f>
        <v>ICTV202112437</v>
      </c>
      <c r="R10333" t="s">
        <v>581</v>
      </c>
      <c r="S10333" t="s">
        <v>823</v>
      </c>
      <c r="T10333">
        <v>37</v>
      </c>
      <c r="U10333" s="26" t="str">
        <f t="shared" si="378"/>
        <v>2021.003F.R.Mitoviridae_100nsp_4ngen.zip</v>
      </c>
    </row>
    <row r="10334" spans="1:21">
      <c r="A10334">
        <v>10333</v>
      </c>
      <c r="B10334" s="27" t="s">
        <v>1124</v>
      </c>
      <c r="D10334" s="27" t="s">
        <v>1859</v>
      </c>
      <c r="F10334" s="27" t="s">
        <v>1881</v>
      </c>
      <c r="H10334" s="27" t="s">
        <v>1884</v>
      </c>
      <c r="J10334" s="27" t="s">
        <v>1885</v>
      </c>
      <c r="L10334" s="27" t="s">
        <v>1886</v>
      </c>
      <c r="N10334" s="27" t="s">
        <v>9039</v>
      </c>
      <c r="P10334" s="27" t="s">
        <v>9077</v>
      </c>
      <c r="Q10334" s="26" t="str">
        <f>HYPERLINK("https://ictv.global/taxonomy/taxondetails?taxnode_id=202512438&amp;ictv_id=ICTV202112438","ICTV202112438")</f>
        <v>ICTV202112438</v>
      </c>
      <c r="R10334" t="s">
        <v>581</v>
      </c>
      <c r="S10334" t="s">
        <v>823</v>
      </c>
      <c r="T10334">
        <v>37</v>
      </c>
      <c r="U10334" s="26" t="str">
        <f t="shared" si="378"/>
        <v>2021.003F.R.Mitoviridae_100nsp_4ngen.zip</v>
      </c>
    </row>
    <row r="10335" spans="1:21">
      <c r="A10335">
        <v>10334</v>
      </c>
      <c r="B10335" s="27" t="s">
        <v>1124</v>
      </c>
      <c r="D10335" s="27" t="s">
        <v>1859</v>
      </c>
      <c r="F10335" s="27" t="s">
        <v>1881</v>
      </c>
      <c r="H10335" s="27" t="s">
        <v>1884</v>
      </c>
      <c r="J10335" s="27" t="s">
        <v>1885</v>
      </c>
      <c r="L10335" s="27" t="s">
        <v>1886</v>
      </c>
      <c r="N10335" s="27" t="s">
        <v>9039</v>
      </c>
      <c r="P10335" s="27" t="s">
        <v>9078</v>
      </c>
      <c r="Q10335" s="26" t="str">
        <f>HYPERLINK("https://ictv.global/taxonomy/taxondetails?taxnode_id=202512439&amp;ictv_id=ICTV202112439","ICTV202112439")</f>
        <v>ICTV202112439</v>
      </c>
      <c r="R10335" t="s">
        <v>581</v>
      </c>
      <c r="S10335" t="s">
        <v>823</v>
      </c>
      <c r="T10335">
        <v>37</v>
      </c>
      <c r="U10335" s="26" t="str">
        <f t="shared" si="378"/>
        <v>2021.003F.R.Mitoviridae_100nsp_4ngen.zip</v>
      </c>
    </row>
    <row r="10336" spans="1:21">
      <c r="A10336">
        <v>10335</v>
      </c>
      <c r="B10336" s="27" t="s">
        <v>1124</v>
      </c>
      <c r="D10336" s="27" t="s">
        <v>1859</v>
      </c>
      <c r="F10336" s="27" t="s">
        <v>1881</v>
      </c>
      <c r="H10336" s="27" t="s">
        <v>1884</v>
      </c>
      <c r="J10336" s="27" t="s">
        <v>1885</v>
      </c>
      <c r="L10336" s="27" t="s">
        <v>1886</v>
      </c>
      <c r="N10336" s="27" t="s">
        <v>9039</v>
      </c>
      <c r="P10336" s="27" t="s">
        <v>9079</v>
      </c>
      <c r="Q10336" s="26" t="str">
        <f>HYPERLINK("https://ictv.global/taxonomy/taxondetails?taxnode_id=202512440&amp;ictv_id=ICTV202112440","ICTV202112440")</f>
        <v>ICTV202112440</v>
      </c>
      <c r="R10336" t="s">
        <v>581</v>
      </c>
      <c r="S10336" t="s">
        <v>823</v>
      </c>
      <c r="T10336">
        <v>37</v>
      </c>
      <c r="U10336" s="26" t="str">
        <f t="shared" si="378"/>
        <v>2021.003F.R.Mitoviridae_100nsp_4ngen.zip</v>
      </c>
    </row>
    <row r="10337" spans="1:21">
      <c r="A10337">
        <v>10336</v>
      </c>
      <c r="B10337" s="27" t="s">
        <v>1124</v>
      </c>
      <c r="D10337" s="27" t="s">
        <v>1859</v>
      </c>
      <c r="F10337" s="27" t="s">
        <v>1881</v>
      </c>
      <c r="H10337" s="27" t="s">
        <v>1884</v>
      </c>
      <c r="J10337" s="27" t="s">
        <v>1885</v>
      </c>
      <c r="L10337" s="27" t="s">
        <v>1886</v>
      </c>
      <c r="N10337" s="27" t="s">
        <v>9039</v>
      </c>
      <c r="P10337" s="27" t="s">
        <v>9080</v>
      </c>
      <c r="Q10337" s="26" t="str">
        <f>HYPERLINK("https://ictv.global/taxonomy/taxondetails?taxnode_id=202512441&amp;ictv_id=ICTV202112441","ICTV202112441")</f>
        <v>ICTV202112441</v>
      </c>
      <c r="R10337" t="s">
        <v>581</v>
      </c>
      <c r="S10337" t="s">
        <v>823</v>
      </c>
      <c r="T10337">
        <v>37</v>
      </c>
      <c r="U10337" s="26" t="str">
        <f t="shared" si="378"/>
        <v>2021.003F.R.Mitoviridae_100nsp_4ngen.zip</v>
      </c>
    </row>
    <row r="10338" spans="1:21">
      <c r="A10338">
        <v>10337</v>
      </c>
      <c r="B10338" s="27" t="s">
        <v>1124</v>
      </c>
      <c r="D10338" s="27" t="s">
        <v>1859</v>
      </c>
      <c r="F10338" s="27" t="s">
        <v>1881</v>
      </c>
      <c r="H10338" s="27" t="s">
        <v>1884</v>
      </c>
      <c r="J10338" s="27" t="s">
        <v>1885</v>
      </c>
      <c r="L10338" s="27" t="s">
        <v>1886</v>
      </c>
      <c r="N10338" s="27" t="s">
        <v>9039</v>
      </c>
      <c r="P10338" s="27" t="s">
        <v>9081</v>
      </c>
      <c r="Q10338" s="26" t="str">
        <f>HYPERLINK("https://ictv.global/taxonomy/taxondetails?taxnode_id=202512442&amp;ictv_id=ICTV202112442","ICTV202112442")</f>
        <v>ICTV202112442</v>
      </c>
      <c r="R10338" t="s">
        <v>581</v>
      </c>
      <c r="S10338" t="s">
        <v>823</v>
      </c>
      <c r="T10338">
        <v>37</v>
      </c>
      <c r="U10338" s="26" t="str">
        <f t="shared" si="378"/>
        <v>2021.003F.R.Mitoviridae_100nsp_4ngen.zip</v>
      </c>
    </row>
    <row r="10339" spans="1:21">
      <c r="A10339">
        <v>10338</v>
      </c>
      <c r="B10339" s="27" t="s">
        <v>1124</v>
      </c>
      <c r="D10339" s="27" t="s">
        <v>1859</v>
      </c>
      <c r="F10339" s="27" t="s">
        <v>1881</v>
      </c>
      <c r="H10339" s="27" t="s">
        <v>1884</v>
      </c>
      <c r="J10339" s="27" t="s">
        <v>1885</v>
      </c>
      <c r="L10339" s="27" t="s">
        <v>1886</v>
      </c>
      <c r="N10339" s="27" t="s">
        <v>9039</v>
      </c>
      <c r="P10339" s="27" t="s">
        <v>9082</v>
      </c>
      <c r="Q10339" s="26" t="str">
        <f>HYPERLINK("https://ictv.global/taxonomy/taxondetails?taxnode_id=202512443&amp;ictv_id=ICTV202112443","ICTV202112443")</f>
        <v>ICTV202112443</v>
      </c>
      <c r="R10339" t="s">
        <v>581</v>
      </c>
      <c r="S10339" t="s">
        <v>823</v>
      </c>
      <c r="T10339">
        <v>37</v>
      </c>
      <c r="U10339" s="26" t="str">
        <f t="shared" si="378"/>
        <v>2021.003F.R.Mitoviridae_100nsp_4ngen.zip</v>
      </c>
    </row>
    <row r="10340" spans="1:21">
      <c r="A10340">
        <v>10339</v>
      </c>
      <c r="B10340" s="27" t="s">
        <v>1124</v>
      </c>
      <c r="D10340" s="27" t="s">
        <v>1859</v>
      </c>
      <c r="F10340" s="27" t="s">
        <v>1881</v>
      </c>
      <c r="H10340" s="27" t="s">
        <v>1884</v>
      </c>
      <c r="J10340" s="27" t="s">
        <v>1885</v>
      </c>
      <c r="L10340" s="27" t="s">
        <v>1886</v>
      </c>
      <c r="N10340" s="27" t="s">
        <v>9039</v>
      </c>
      <c r="P10340" s="27" t="s">
        <v>9083</v>
      </c>
      <c r="Q10340" s="26" t="str">
        <f>HYPERLINK("https://ictv.global/taxonomy/taxondetails?taxnode_id=202512445&amp;ictv_id=ICTV202112445","ICTV202112445")</f>
        <v>ICTV202112445</v>
      </c>
      <c r="R10340" t="s">
        <v>581</v>
      </c>
      <c r="S10340" t="s">
        <v>823</v>
      </c>
      <c r="T10340">
        <v>37</v>
      </c>
      <c r="U10340" s="26" t="str">
        <f t="shared" si="378"/>
        <v>2021.003F.R.Mitoviridae_100nsp_4ngen.zip</v>
      </c>
    </row>
    <row r="10341" spans="1:21">
      <c r="A10341">
        <v>10340</v>
      </c>
      <c r="B10341" s="27" t="s">
        <v>1124</v>
      </c>
      <c r="D10341" s="27" t="s">
        <v>1859</v>
      </c>
      <c r="F10341" s="27" t="s">
        <v>1881</v>
      </c>
      <c r="H10341" s="27" t="s">
        <v>1884</v>
      </c>
      <c r="J10341" s="27" t="s">
        <v>1885</v>
      </c>
      <c r="L10341" s="27" t="s">
        <v>1886</v>
      </c>
      <c r="N10341" s="27" t="s">
        <v>9039</v>
      </c>
      <c r="P10341" s="27" t="s">
        <v>9084</v>
      </c>
      <c r="Q10341" s="26" t="str">
        <f>HYPERLINK("https://ictv.global/taxonomy/taxondetails?taxnode_id=202512446&amp;ictv_id=ICTV202112446","ICTV202112446")</f>
        <v>ICTV202112446</v>
      </c>
      <c r="R10341" t="s">
        <v>581</v>
      </c>
      <c r="S10341" t="s">
        <v>823</v>
      </c>
      <c r="T10341">
        <v>37</v>
      </c>
      <c r="U10341" s="26" t="str">
        <f t="shared" si="378"/>
        <v>2021.003F.R.Mitoviridae_100nsp_4ngen.zip</v>
      </c>
    </row>
    <row r="10342" spans="1:21">
      <c r="A10342">
        <v>10341</v>
      </c>
      <c r="B10342" s="27" t="s">
        <v>1124</v>
      </c>
      <c r="D10342" s="27" t="s">
        <v>1859</v>
      </c>
      <c r="F10342" s="27" t="s">
        <v>1881</v>
      </c>
      <c r="H10342" s="27" t="s">
        <v>1884</v>
      </c>
      <c r="J10342" s="27" t="s">
        <v>1885</v>
      </c>
      <c r="L10342" s="27" t="s">
        <v>1886</v>
      </c>
      <c r="N10342" s="27" t="s">
        <v>9039</v>
      </c>
      <c r="P10342" s="27" t="s">
        <v>9085</v>
      </c>
      <c r="Q10342" s="26" t="str">
        <f>HYPERLINK("https://ictv.global/taxonomy/taxondetails?taxnode_id=202512447&amp;ictv_id=ICTV202112447","ICTV202112447")</f>
        <v>ICTV202112447</v>
      </c>
      <c r="R10342" t="s">
        <v>581</v>
      </c>
      <c r="S10342" t="s">
        <v>823</v>
      </c>
      <c r="T10342">
        <v>37</v>
      </c>
      <c r="U10342" s="26" t="str">
        <f t="shared" si="378"/>
        <v>2021.003F.R.Mitoviridae_100nsp_4ngen.zip</v>
      </c>
    </row>
    <row r="10343" spans="1:21">
      <c r="A10343">
        <v>10342</v>
      </c>
      <c r="B10343" s="27" t="s">
        <v>1124</v>
      </c>
      <c r="D10343" s="27" t="s">
        <v>1859</v>
      </c>
      <c r="F10343" s="27" t="s">
        <v>1881</v>
      </c>
      <c r="H10343" s="27" t="s">
        <v>1884</v>
      </c>
      <c r="J10343" s="27" t="s">
        <v>1885</v>
      </c>
      <c r="L10343" s="27" t="s">
        <v>1886</v>
      </c>
      <c r="N10343" s="27" t="s">
        <v>9039</v>
      </c>
      <c r="P10343" s="27" t="s">
        <v>9086</v>
      </c>
      <c r="Q10343" s="26" t="str">
        <f>HYPERLINK("https://ictv.global/taxonomy/taxondetails?taxnode_id=202512448&amp;ictv_id=ICTV202112448","ICTV202112448")</f>
        <v>ICTV202112448</v>
      </c>
      <c r="R10343" t="s">
        <v>581</v>
      </c>
      <c r="S10343" t="s">
        <v>823</v>
      </c>
      <c r="T10343">
        <v>37</v>
      </c>
      <c r="U10343" s="26" t="str">
        <f t="shared" si="378"/>
        <v>2021.003F.R.Mitoviridae_100nsp_4ngen.zip</v>
      </c>
    </row>
    <row r="10344" spans="1:21">
      <c r="A10344">
        <v>10343</v>
      </c>
      <c r="B10344" s="27" t="s">
        <v>1124</v>
      </c>
      <c r="D10344" s="27" t="s">
        <v>1859</v>
      </c>
      <c r="F10344" s="27" t="s">
        <v>1881</v>
      </c>
      <c r="H10344" s="27" t="s">
        <v>1884</v>
      </c>
      <c r="J10344" s="27" t="s">
        <v>1885</v>
      </c>
      <c r="L10344" s="27" t="s">
        <v>1886</v>
      </c>
      <c r="N10344" s="27" t="s">
        <v>9039</v>
      </c>
      <c r="P10344" s="27" t="s">
        <v>9087</v>
      </c>
      <c r="Q10344" s="26" t="str">
        <f>HYPERLINK("https://ictv.global/taxonomy/taxondetails?taxnode_id=202512449&amp;ictv_id=ICTV202112449","ICTV202112449")</f>
        <v>ICTV202112449</v>
      </c>
      <c r="R10344" t="s">
        <v>581</v>
      </c>
      <c r="S10344" t="s">
        <v>823</v>
      </c>
      <c r="T10344">
        <v>37</v>
      </c>
      <c r="U10344" s="26" t="str">
        <f t="shared" si="378"/>
        <v>2021.003F.R.Mitoviridae_100nsp_4ngen.zip</v>
      </c>
    </row>
    <row r="10345" spans="1:21">
      <c r="A10345">
        <v>10344</v>
      </c>
      <c r="B10345" s="27" t="s">
        <v>1124</v>
      </c>
      <c r="D10345" s="27" t="s">
        <v>1859</v>
      </c>
      <c r="F10345" s="27" t="s">
        <v>1881</v>
      </c>
      <c r="H10345" s="27" t="s">
        <v>1884</v>
      </c>
      <c r="J10345" s="27" t="s">
        <v>1885</v>
      </c>
      <c r="L10345" s="27" t="s">
        <v>1886</v>
      </c>
      <c r="N10345" s="27" t="s">
        <v>9039</v>
      </c>
      <c r="P10345" s="27" t="s">
        <v>9088</v>
      </c>
      <c r="Q10345" s="26" t="str">
        <f>HYPERLINK("https://ictv.global/taxonomy/taxondetails?taxnode_id=202512450&amp;ictv_id=ICTV202112450","ICTV202112450")</f>
        <v>ICTV202112450</v>
      </c>
      <c r="R10345" t="s">
        <v>581</v>
      </c>
      <c r="S10345" t="s">
        <v>823</v>
      </c>
      <c r="T10345">
        <v>37</v>
      </c>
      <c r="U10345" s="26" t="str">
        <f t="shared" si="378"/>
        <v>2021.003F.R.Mitoviridae_100nsp_4ngen.zip</v>
      </c>
    </row>
    <row r="10346" spans="1:21">
      <c r="A10346">
        <v>10345</v>
      </c>
      <c r="B10346" s="27" t="s">
        <v>1124</v>
      </c>
      <c r="D10346" s="27" t="s">
        <v>1859</v>
      </c>
      <c r="F10346" s="27" t="s">
        <v>1881</v>
      </c>
      <c r="H10346" s="27" t="s">
        <v>1884</v>
      </c>
      <c r="J10346" s="27" t="s">
        <v>1885</v>
      </c>
      <c r="L10346" s="27" t="s">
        <v>1886</v>
      </c>
      <c r="N10346" s="27" t="s">
        <v>9089</v>
      </c>
      <c r="P10346" s="27" t="s">
        <v>9090</v>
      </c>
      <c r="Q10346" s="26" t="str">
        <f>HYPERLINK("https://ictv.global/taxonomy/taxondetails?taxnode_id=202512462&amp;ictv_id=ICTV202112462","ICTV202112462")</f>
        <v>ICTV202112462</v>
      </c>
      <c r="R10346" t="s">
        <v>581</v>
      </c>
      <c r="S10346" t="s">
        <v>823</v>
      </c>
      <c r="T10346">
        <v>37</v>
      </c>
      <c r="U10346" s="26" t="str">
        <f t="shared" si="378"/>
        <v>2021.003F.R.Mitoviridae_100nsp_4ngen.zip</v>
      </c>
    </row>
    <row r="10347" spans="1:21">
      <c r="A10347">
        <v>10346</v>
      </c>
      <c r="B10347" s="27" t="s">
        <v>1124</v>
      </c>
      <c r="D10347" s="27" t="s">
        <v>1859</v>
      </c>
      <c r="F10347" s="27" t="s">
        <v>1881</v>
      </c>
      <c r="H10347" s="27" t="s">
        <v>1884</v>
      </c>
      <c r="J10347" s="27" t="s">
        <v>1885</v>
      </c>
      <c r="L10347" s="27" t="s">
        <v>1886</v>
      </c>
      <c r="N10347" s="27" t="s">
        <v>9091</v>
      </c>
      <c r="P10347" s="27" t="s">
        <v>9092</v>
      </c>
      <c r="Q10347" s="26" t="str">
        <f>HYPERLINK("https://ictv.global/taxonomy/taxondetails?taxnode_id=202512452&amp;ictv_id=ICTV202112452","ICTV202112452")</f>
        <v>ICTV202112452</v>
      </c>
      <c r="R10347" t="s">
        <v>581</v>
      </c>
      <c r="S10347" t="s">
        <v>823</v>
      </c>
      <c r="T10347">
        <v>37</v>
      </c>
      <c r="U10347" s="26" t="str">
        <f t="shared" si="378"/>
        <v>2021.003F.R.Mitoviridae_100nsp_4ngen.zip</v>
      </c>
    </row>
    <row r="10348" spans="1:21">
      <c r="A10348">
        <v>10347</v>
      </c>
      <c r="B10348" s="27" t="s">
        <v>1124</v>
      </c>
      <c r="D10348" s="27" t="s">
        <v>1859</v>
      </c>
      <c r="F10348" s="27" t="s">
        <v>1881</v>
      </c>
      <c r="H10348" s="27" t="s">
        <v>1884</v>
      </c>
      <c r="J10348" s="27" t="s">
        <v>1885</v>
      </c>
      <c r="L10348" s="27" t="s">
        <v>1886</v>
      </c>
      <c r="N10348" s="27" t="s">
        <v>9091</v>
      </c>
      <c r="P10348" s="27" t="s">
        <v>9093</v>
      </c>
      <c r="Q10348" s="26" t="str">
        <f>HYPERLINK("https://ictv.global/taxonomy/taxondetails?taxnode_id=202512453&amp;ictv_id=ICTV202112453","ICTV202112453")</f>
        <v>ICTV202112453</v>
      </c>
      <c r="R10348" t="s">
        <v>581</v>
      </c>
      <c r="S10348" t="s">
        <v>823</v>
      </c>
      <c r="T10348">
        <v>37</v>
      </c>
      <c r="U10348" s="26" t="str">
        <f t="shared" si="378"/>
        <v>2021.003F.R.Mitoviridae_100nsp_4ngen.zip</v>
      </c>
    </row>
    <row r="10349" spans="1:21">
      <c r="A10349">
        <v>10348</v>
      </c>
      <c r="B10349" s="27" t="s">
        <v>1124</v>
      </c>
      <c r="D10349" s="27" t="s">
        <v>1859</v>
      </c>
      <c r="F10349" s="27" t="s">
        <v>1881</v>
      </c>
      <c r="H10349" s="27" t="s">
        <v>1884</v>
      </c>
      <c r="J10349" s="27" t="s">
        <v>1885</v>
      </c>
      <c r="L10349" s="27" t="s">
        <v>1886</v>
      </c>
      <c r="N10349" s="27" t="s">
        <v>9091</v>
      </c>
      <c r="P10349" s="27" t="s">
        <v>9094</v>
      </c>
      <c r="Q10349" s="26" t="str">
        <f>HYPERLINK("https://ictv.global/taxonomy/taxondetails?taxnode_id=202512459&amp;ictv_id=ICTV202112459","ICTV202112459")</f>
        <v>ICTV202112459</v>
      </c>
      <c r="R10349" t="s">
        <v>581</v>
      </c>
      <c r="S10349" t="s">
        <v>823</v>
      </c>
      <c r="T10349">
        <v>37</v>
      </c>
      <c r="U10349" s="26" t="str">
        <f t="shared" si="378"/>
        <v>2021.003F.R.Mitoviridae_100nsp_4ngen.zip</v>
      </c>
    </row>
    <row r="10350" spans="1:21">
      <c r="A10350">
        <v>10349</v>
      </c>
      <c r="B10350" s="27" t="s">
        <v>1124</v>
      </c>
      <c r="D10350" s="27" t="s">
        <v>1859</v>
      </c>
      <c r="F10350" s="27" t="s">
        <v>1881</v>
      </c>
      <c r="H10350" s="27" t="s">
        <v>1884</v>
      </c>
      <c r="J10350" s="27" t="s">
        <v>1885</v>
      </c>
      <c r="L10350" s="27" t="s">
        <v>1886</v>
      </c>
      <c r="N10350" s="27" t="s">
        <v>9091</v>
      </c>
      <c r="P10350" s="27" t="s">
        <v>9095</v>
      </c>
      <c r="Q10350" s="26" t="str">
        <f>HYPERLINK("https://ictv.global/taxonomy/taxondetails?taxnode_id=202512454&amp;ictv_id=ICTV202112454","ICTV202112454")</f>
        <v>ICTV202112454</v>
      </c>
      <c r="R10350" t="s">
        <v>581</v>
      </c>
      <c r="S10350" t="s">
        <v>823</v>
      </c>
      <c r="T10350">
        <v>37</v>
      </c>
      <c r="U10350" s="26" t="str">
        <f t="shared" si="378"/>
        <v>2021.003F.R.Mitoviridae_100nsp_4ngen.zip</v>
      </c>
    </row>
    <row r="10351" spans="1:21">
      <c r="A10351">
        <v>10350</v>
      </c>
      <c r="B10351" s="27" t="s">
        <v>1124</v>
      </c>
      <c r="D10351" s="27" t="s">
        <v>1859</v>
      </c>
      <c r="F10351" s="27" t="s">
        <v>1881</v>
      </c>
      <c r="H10351" s="27" t="s">
        <v>1884</v>
      </c>
      <c r="J10351" s="27" t="s">
        <v>1885</v>
      </c>
      <c r="L10351" s="27" t="s">
        <v>1886</v>
      </c>
      <c r="N10351" s="27" t="s">
        <v>9091</v>
      </c>
      <c r="P10351" s="27" t="s">
        <v>9096</v>
      </c>
      <c r="Q10351" s="26" t="str">
        <f>HYPERLINK("https://ictv.global/taxonomy/taxondetails?taxnode_id=202512455&amp;ictv_id=ICTV202112455","ICTV202112455")</f>
        <v>ICTV202112455</v>
      </c>
      <c r="R10351" t="s">
        <v>581</v>
      </c>
      <c r="S10351" t="s">
        <v>823</v>
      </c>
      <c r="T10351">
        <v>37</v>
      </c>
      <c r="U10351" s="26" t="str">
        <f t="shared" si="378"/>
        <v>2021.003F.R.Mitoviridae_100nsp_4ngen.zip</v>
      </c>
    </row>
    <row r="10352" spans="1:21">
      <c r="A10352">
        <v>10351</v>
      </c>
      <c r="B10352" s="27" t="s">
        <v>1124</v>
      </c>
      <c r="D10352" s="27" t="s">
        <v>1859</v>
      </c>
      <c r="F10352" s="27" t="s">
        <v>1881</v>
      </c>
      <c r="H10352" s="27" t="s">
        <v>1884</v>
      </c>
      <c r="J10352" s="27" t="s">
        <v>1885</v>
      </c>
      <c r="L10352" s="27" t="s">
        <v>1886</v>
      </c>
      <c r="N10352" s="27" t="s">
        <v>9091</v>
      </c>
      <c r="P10352" s="27" t="s">
        <v>9097</v>
      </c>
      <c r="Q10352" s="26" t="str">
        <f>HYPERLINK("https://ictv.global/taxonomy/taxondetails?taxnode_id=202512456&amp;ictv_id=ICTV202112456","ICTV202112456")</f>
        <v>ICTV202112456</v>
      </c>
      <c r="R10352" t="s">
        <v>581</v>
      </c>
      <c r="S10352" t="s">
        <v>823</v>
      </c>
      <c r="T10352">
        <v>37</v>
      </c>
      <c r="U10352" s="26" t="str">
        <f t="shared" si="378"/>
        <v>2021.003F.R.Mitoviridae_100nsp_4ngen.zip</v>
      </c>
    </row>
    <row r="10353" spans="1:21">
      <c r="A10353">
        <v>10352</v>
      </c>
      <c r="B10353" s="27" t="s">
        <v>1124</v>
      </c>
      <c r="D10353" s="27" t="s">
        <v>1859</v>
      </c>
      <c r="F10353" s="27" t="s">
        <v>1881</v>
      </c>
      <c r="H10353" s="27" t="s">
        <v>1884</v>
      </c>
      <c r="J10353" s="27" t="s">
        <v>1885</v>
      </c>
      <c r="L10353" s="27" t="s">
        <v>1886</v>
      </c>
      <c r="N10353" s="27" t="s">
        <v>9091</v>
      </c>
      <c r="P10353" s="27" t="s">
        <v>9098</v>
      </c>
      <c r="Q10353" s="26" t="str">
        <f>HYPERLINK("https://ictv.global/taxonomy/taxondetails?taxnode_id=202512457&amp;ictv_id=ICTV202112457","ICTV202112457")</f>
        <v>ICTV202112457</v>
      </c>
      <c r="R10353" t="s">
        <v>581</v>
      </c>
      <c r="S10353" t="s">
        <v>823</v>
      </c>
      <c r="T10353">
        <v>37</v>
      </c>
      <c r="U10353" s="26" t="str">
        <f t="shared" si="378"/>
        <v>2021.003F.R.Mitoviridae_100nsp_4ngen.zip</v>
      </c>
    </row>
    <row r="10354" spans="1:21">
      <c r="A10354">
        <v>10353</v>
      </c>
      <c r="B10354" s="27" t="s">
        <v>1124</v>
      </c>
      <c r="D10354" s="27" t="s">
        <v>1859</v>
      </c>
      <c r="F10354" s="27" t="s">
        <v>1881</v>
      </c>
      <c r="H10354" s="27" t="s">
        <v>1884</v>
      </c>
      <c r="J10354" s="27" t="s">
        <v>1885</v>
      </c>
      <c r="L10354" s="27" t="s">
        <v>1886</v>
      </c>
      <c r="N10354" s="27" t="s">
        <v>9091</v>
      </c>
      <c r="P10354" s="27" t="s">
        <v>9099</v>
      </c>
      <c r="Q10354" s="26" t="str">
        <f>HYPERLINK("https://ictv.global/taxonomy/taxondetails?taxnode_id=202512458&amp;ictv_id=ICTV202112458","ICTV202112458")</f>
        <v>ICTV202112458</v>
      </c>
      <c r="R10354" t="s">
        <v>581</v>
      </c>
      <c r="S10354" t="s">
        <v>823</v>
      </c>
      <c r="T10354">
        <v>37</v>
      </c>
      <c r="U10354" s="26" t="str">
        <f t="shared" si="378"/>
        <v>2021.003F.R.Mitoviridae_100nsp_4ngen.zip</v>
      </c>
    </row>
    <row r="10355" spans="1:21">
      <c r="A10355">
        <v>10354</v>
      </c>
      <c r="B10355" s="27" t="s">
        <v>1124</v>
      </c>
      <c r="D10355" s="27" t="s">
        <v>1859</v>
      </c>
      <c r="F10355" s="27" t="s">
        <v>1881</v>
      </c>
      <c r="H10355" s="27" t="s">
        <v>1884</v>
      </c>
      <c r="J10355" s="27" t="s">
        <v>1885</v>
      </c>
      <c r="L10355" s="27" t="s">
        <v>1886</v>
      </c>
      <c r="N10355" s="27" t="s">
        <v>9091</v>
      </c>
      <c r="P10355" s="27" t="s">
        <v>9100</v>
      </c>
      <c r="Q10355" s="26" t="str">
        <f>HYPERLINK("https://ictv.global/taxonomy/taxondetails?taxnode_id=202512460&amp;ictv_id=ICTV202112460","ICTV202112460")</f>
        <v>ICTV202112460</v>
      </c>
      <c r="R10355" t="s">
        <v>581</v>
      </c>
      <c r="S10355" t="s">
        <v>823</v>
      </c>
      <c r="T10355">
        <v>37</v>
      </c>
      <c r="U10355" s="26" t="str">
        <f t="shared" si="378"/>
        <v>2021.003F.R.Mitoviridae_100nsp_4ngen.zip</v>
      </c>
    </row>
    <row r="10356" spans="1:21">
      <c r="A10356">
        <v>10355</v>
      </c>
      <c r="B10356" s="27" t="s">
        <v>1124</v>
      </c>
      <c r="D10356" s="27" t="s">
        <v>1859</v>
      </c>
      <c r="F10356" s="27" t="s">
        <v>1881</v>
      </c>
      <c r="H10356" s="27" t="s">
        <v>1884</v>
      </c>
      <c r="J10356" s="27" t="s">
        <v>1885</v>
      </c>
      <c r="L10356" s="27" t="s">
        <v>1886</v>
      </c>
      <c r="N10356" s="27" t="s">
        <v>9101</v>
      </c>
      <c r="P10356" s="27" t="s">
        <v>9102</v>
      </c>
      <c r="Q10356" s="26" t="str">
        <f>HYPERLINK("https://ictv.global/taxonomy/taxondetails?taxnode_id=202513750&amp;ictv_id=ICTV202113750","ICTV202113750")</f>
        <v>ICTV202113750</v>
      </c>
      <c r="R10356" t="s">
        <v>581</v>
      </c>
      <c r="S10356" t="s">
        <v>823</v>
      </c>
      <c r="T10356">
        <v>37</v>
      </c>
      <c r="U10356" s="26" t="str">
        <f t="shared" si="378"/>
        <v>2021.003F.R.Mitoviridae_100nsp_4ngen.zip</v>
      </c>
    </row>
    <row r="10357" spans="1:21">
      <c r="A10357">
        <v>10356</v>
      </c>
      <c r="B10357" s="27" t="s">
        <v>1124</v>
      </c>
      <c r="D10357" s="27" t="s">
        <v>1859</v>
      </c>
      <c r="F10357" s="27" t="s">
        <v>1881</v>
      </c>
      <c r="H10357" s="27" t="s">
        <v>1884</v>
      </c>
      <c r="J10357" s="27" t="s">
        <v>1885</v>
      </c>
      <c r="L10357" s="27" t="s">
        <v>1886</v>
      </c>
      <c r="N10357" s="27" t="s">
        <v>9101</v>
      </c>
      <c r="P10357" s="27" t="s">
        <v>9103</v>
      </c>
      <c r="Q10357" s="26" t="str">
        <f>HYPERLINK("https://ictv.global/taxonomy/taxondetails?taxnode_id=202513751&amp;ictv_id=ICTV202113751","ICTV202113751")</f>
        <v>ICTV202113751</v>
      </c>
      <c r="R10357" t="s">
        <v>581</v>
      </c>
      <c r="S10357" t="s">
        <v>823</v>
      </c>
      <c r="T10357">
        <v>37</v>
      </c>
      <c r="U10357" s="26" t="str">
        <f t="shared" si="378"/>
        <v>2021.003F.R.Mitoviridae_100nsp_4ngen.zip</v>
      </c>
    </row>
    <row r="10358" spans="1:21">
      <c r="A10358">
        <v>10357</v>
      </c>
      <c r="B10358" s="27" t="s">
        <v>1124</v>
      </c>
      <c r="D10358" s="27" t="s">
        <v>1859</v>
      </c>
      <c r="F10358" s="27" t="s">
        <v>1881</v>
      </c>
      <c r="H10358" s="27" t="s">
        <v>1884</v>
      </c>
      <c r="J10358" s="27" t="s">
        <v>1885</v>
      </c>
      <c r="L10358" s="27" t="s">
        <v>1886</v>
      </c>
      <c r="N10358" s="27" t="s">
        <v>9101</v>
      </c>
      <c r="P10358" s="27" t="s">
        <v>9104</v>
      </c>
      <c r="Q10358" s="26" t="str">
        <f>HYPERLINK("https://ictv.global/taxonomy/taxondetails?taxnode_id=202513752&amp;ictv_id=ICTV202113752","ICTV202113752")</f>
        <v>ICTV202113752</v>
      </c>
      <c r="R10358" t="s">
        <v>581</v>
      </c>
      <c r="S10358" t="s">
        <v>823</v>
      </c>
      <c r="T10358">
        <v>37</v>
      </c>
      <c r="U10358" s="26" t="str">
        <f t="shared" si="378"/>
        <v>2021.003F.R.Mitoviridae_100nsp_4ngen.zip</v>
      </c>
    </row>
    <row r="10359" spans="1:21">
      <c r="A10359">
        <v>10358</v>
      </c>
      <c r="B10359" s="27" t="s">
        <v>1124</v>
      </c>
      <c r="D10359" s="27" t="s">
        <v>1859</v>
      </c>
      <c r="F10359" s="27" t="s">
        <v>1881</v>
      </c>
      <c r="H10359" s="27" t="s">
        <v>1884</v>
      </c>
      <c r="J10359" s="27" t="s">
        <v>1885</v>
      </c>
      <c r="L10359" s="27" t="s">
        <v>1886</v>
      </c>
      <c r="N10359" s="27" t="s">
        <v>9101</v>
      </c>
      <c r="P10359" s="27" t="s">
        <v>9105</v>
      </c>
      <c r="Q10359" s="26" t="str">
        <f>HYPERLINK("https://ictv.global/taxonomy/taxondetails?taxnode_id=202513753&amp;ictv_id=ICTV202113753","ICTV202113753")</f>
        <v>ICTV202113753</v>
      </c>
      <c r="R10359" t="s">
        <v>581</v>
      </c>
      <c r="S10359" t="s">
        <v>823</v>
      </c>
      <c r="T10359">
        <v>37</v>
      </c>
      <c r="U10359" s="26" t="str">
        <f t="shared" si="378"/>
        <v>2021.003F.R.Mitoviridae_100nsp_4ngen.zip</v>
      </c>
    </row>
    <row r="10360" spans="1:21">
      <c r="A10360">
        <v>10359</v>
      </c>
      <c r="B10360" s="27" t="s">
        <v>1124</v>
      </c>
      <c r="D10360" s="27" t="s">
        <v>1859</v>
      </c>
      <c r="F10360" s="27" t="s">
        <v>1881</v>
      </c>
      <c r="H10360" s="27" t="s">
        <v>1884</v>
      </c>
      <c r="J10360" s="27" t="s">
        <v>1885</v>
      </c>
      <c r="L10360" s="27" t="s">
        <v>1886</v>
      </c>
      <c r="N10360" s="27" t="s">
        <v>9101</v>
      </c>
      <c r="P10360" s="27" t="s">
        <v>9106</v>
      </c>
      <c r="Q10360" s="26" t="str">
        <f>HYPERLINK("https://ictv.global/taxonomy/taxondetails?taxnode_id=202513754&amp;ictv_id=ICTV202113754","ICTV202113754")</f>
        <v>ICTV202113754</v>
      </c>
      <c r="R10360" t="s">
        <v>581</v>
      </c>
      <c r="S10360" t="s">
        <v>823</v>
      </c>
      <c r="T10360">
        <v>37</v>
      </c>
      <c r="U10360" s="26" t="str">
        <f t="shared" si="378"/>
        <v>2021.003F.R.Mitoviridae_100nsp_4ngen.zip</v>
      </c>
    </row>
    <row r="10361" spans="1:21">
      <c r="A10361">
        <v>10360</v>
      </c>
      <c r="B10361" s="27" t="s">
        <v>1124</v>
      </c>
      <c r="D10361" s="27" t="s">
        <v>1859</v>
      </c>
      <c r="F10361" s="27" t="s">
        <v>1881</v>
      </c>
      <c r="H10361" s="27" t="s">
        <v>1884</v>
      </c>
      <c r="J10361" s="27" t="s">
        <v>1885</v>
      </c>
      <c r="L10361" s="27" t="s">
        <v>1886</v>
      </c>
      <c r="N10361" s="27" t="s">
        <v>9101</v>
      </c>
      <c r="P10361" s="27" t="s">
        <v>9107</v>
      </c>
      <c r="Q10361" s="26" t="str">
        <f>HYPERLINK("https://ictv.global/taxonomy/taxondetails?taxnode_id=202513755&amp;ictv_id=ICTV202113755","ICTV202113755")</f>
        <v>ICTV202113755</v>
      </c>
      <c r="R10361" t="s">
        <v>581</v>
      </c>
      <c r="S10361" t="s">
        <v>823</v>
      </c>
      <c r="T10361">
        <v>37</v>
      </c>
      <c r="U10361" s="26" t="str">
        <f t="shared" ref="U10361:U10392" si="379">HYPERLINK("https://ictv.global/ictv/proposals/2021.003F.R.Mitoviridae_100nsp_4ngen.zip","2021.003F.R.Mitoviridae_100nsp_4ngen.zip")</f>
        <v>2021.003F.R.Mitoviridae_100nsp_4ngen.zip</v>
      </c>
    </row>
    <row r="10362" spans="1:21">
      <c r="A10362">
        <v>10361</v>
      </c>
      <c r="B10362" s="27" t="s">
        <v>1124</v>
      </c>
      <c r="D10362" s="27" t="s">
        <v>1859</v>
      </c>
      <c r="F10362" s="27" t="s">
        <v>1881</v>
      </c>
      <c r="H10362" s="27" t="s">
        <v>1884</v>
      </c>
      <c r="J10362" s="27" t="s">
        <v>1885</v>
      </c>
      <c r="L10362" s="27" t="s">
        <v>1886</v>
      </c>
      <c r="N10362" s="27" t="s">
        <v>9101</v>
      </c>
      <c r="P10362" s="27" t="s">
        <v>9108</v>
      </c>
      <c r="Q10362" s="26" t="str">
        <f>HYPERLINK("https://ictv.global/taxonomy/taxondetails?taxnode_id=202513756&amp;ictv_id=ICTV202113756","ICTV202113756")</f>
        <v>ICTV202113756</v>
      </c>
      <c r="R10362" t="s">
        <v>581</v>
      </c>
      <c r="S10362" t="s">
        <v>823</v>
      </c>
      <c r="T10362">
        <v>37</v>
      </c>
      <c r="U10362" s="26" t="str">
        <f t="shared" si="379"/>
        <v>2021.003F.R.Mitoviridae_100nsp_4ngen.zip</v>
      </c>
    </row>
    <row r="10363" spans="1:21">
      <c r="A10363">
        <v>10362</v>
      </c>
      <c r="B10363" s="27" t="s">
        <v>1124</v>
      </c>
      <c r="D10363" s="27" t="s">
        <v>1859</v>
      </c>
      <c r="F10363" s="27" t="s">
        <v>1881</v>
      </c>
      <c r="H10363" s="27" t="s">
        <v>1884</v>
      </c>
      <c r="J10363" s="27" t="s">
        <v>1885</v>
      </c>
      <c r="L10363" s="27" t="s">
        <v>1886</v>
      </c>
      <c r="N10363" s="27" t="s">
        <v>9101</v>
      </c>
      <c r="P10363" s="27" t="s">
        <v>9109</v>
      </c>
      <c r="Q10363" s="26" t="str">
        <f>HYPERLINK("https://ictv.global/taxonomy/taxondetails?taxnode_id=202513757&amp;ictv_id=ICTV202113757","ICTV202113757")</f>
        <v>ICTV202113757</v>
      </c>
      <c r="R10363" t="s">
        <v>581</v>
      </c>
      <c r="S10363" t="s">
        <v>823</v>
      </c>
      <c r="T10363">
        <v>37</v>
      </c>
      <c r="U10363" s="26" t="str">
        <f t="shared" si="379"/>
        <v>2021.003F.R.Mitoviridae_100nsp_4ngen.zip</v>
      </c>
    </row>
    <row r="10364" spans="1:21">
      <c r="A10364">
        <v>10363</v>
      </c>
      <c r="B10364" s="27" t="s">
        <v>1124</v>
      </c>
      <c r="D10364" s="27" t="s">
        <v>1859</v>
      </c>
      <c r="F10364" s="27" t="s">
        <v>1881</v>
      </c>
      <c r="H10364" s="27" t="s">
        <v>1884</v>
      </c>
      <c r="J10364" s="27" t="s">
        <v>1885</v>
      </c>
      <c r="L10364" s="27" t="s">
        <v>1886</v>
      </c>
      <c r="N10364" s="27" t="s">
        <v>9101</v>
      </c>
      <c r="P10364" s="27" t="s">
        <v>9110</v>
      </c>
      <c r="Q10364" s="26" t="str">
        <f>HYPERLINK("https://ictv.global/taxonomy/taxondetails?taxnode_id=202513758&amp;ictv_id=ICTV202113758","ICTV202113758")</f>
        <v>ICTV202113758</v>
      </c>
      <c r="R10364" t="s">
        <v>581</v>
      </c>
      <c r="S10364" t="s">
        <v>823</v>
      </c>
      <c r="T10364">
        <v>37</v>
      </c>
      <c r="U10364" s="26" t="str">
        <f t="shared" si="379"/>
        <v>2021.003F.R.Mitoviridae_100nsp_4ngen.zip</v>
      </c>
    </row>
    <row r="10365" spans="1:21">
      <c r="A10365">
        <v>10364</v>
      </c>
      <c r="B10365" s="27" t="s">
        <v>1124</v>
      </c>
      <c r="D10365" s="27" t="s">
        <v>1859</v>
      </c>
      <c r="F10365" s="27" t="s">
        <v>1881</v>
      </c>
      <c r="H10365" s="27" t="s">
        <v>1884</v>
      </c>
      <c r="J10365" s="27" t="s">
        <v>1885</v>
      </c>
      <c r="L10365" s="27" t="s">
        <v>1886</v>
      </c>
      <c r="N10365" s="27" t="s">
        <v>9101</v>
      </c>
      <c r="P10365" s="27" t="s">
        <v>9111</v>
      </c>
      <c r="Q10365" s="26" t="str">
        <f>HYPERLINK("https://ictv.global/taxonomy/taxondetails?taxnode_id=202513759&amp;ictv_id=ICTV202113759","ICTV202113759")</f>
        <v>ICTV202113759</v>
      </c>
      <c r="R10365" t="s">
        <v>581</v>
      </c>
      <c r="S10365" t="s">
        <v>823</v>
      </c>
      <c r="T10365">
        <v>37</v>
      </c>
      <c r="U10365" s="26" t="str">
        <f t="shared" si="379"/>
        <v>2021.003F.R.Mitoviridae_100nsp_4ngen.zip</v>
      </c>
    </row>
    <row r="10366" spans="1:21">
      <c r="A10366">
        <v>10365</v>
      </c>
      <c r="B10366" s="27" t="s">
        <v>1124</v>
      </c>
      <c r="D10366" s="27" t="s">
        <v>1859</v>
      </c>
      <c r="F10366" s="27" t="s">
        <v>1881</v>
      </c>
      <c r="H10366" s="27" t="s">
        <v>1884</v>
      </c>
      <c r="J10366" s="27" t="s">
        <v>1885</v>
      </c>
      <c r="L10366" s="27" t="s">
        <v>1886</v>
      </c>
      <c r="N10366" s="27" t="s">
        <v>9101</v>
      </c>
      <c r="P10366" s="27" t="s">
        <v>9112</v>
      </c>
      <c r="Q10366" s="26" t="str">
        <f>HYPERLINK("https://ictv.global/taxonomy/taxondetails?taxnode_id=202513760&amp;ictv_id=ICTV202113760","ICTV202113760")</f>
        <v>ICTV202113760</v>
      </c>
      <c r="R10366" t="s">
        <v>581</v>
      </c>
      <c r="S10366" t="s">
        <v>823</v>
      </c>
      <c r="T10366">
        <v>37</v>
      </c>
      <c r="U10366" s="26" t="str">
        <f t="shared" si="379"/>
        <v>2021.003F.R.Mitoviridae_100nsp_4ngen.zip</v>
      </c>
    </row>
    <row r="10367" spans="1:21">
      <c r="A10367">
        <v>10366</v>
      </c>
      <c r="B10367" s="27" t="s">
        <v>1124</v>
      </c>
      <c r="D10367" s="27" t="s">
        <v>1859</v>
      </c>
      <c r="F10367" s="27" t="s">
        <v>1881</v>
      </c>
      <c r="H10367" s="27" t="s">
        <v>1884</v>
      </c>
      <c r="J10367" s="27" t="s">
        <v>1885</v>
      </c>
      <c r="L10367" s="27" t="s">
        <v>1886</v>
      </c>
      <c r="N10367" s="27" t="s">
        <v>9101</v>
      </c>
      <c r="P10367" s="27" t="s">
        <v>9113</v>
      </c>
      <c r="Q10367" s="26" t="str">
        <f>HYPERLINK("https://ictv.global/taxonomy/taxondetails?taxnode_id=202513761&amp;ictv_id=ICTV202113761","ICTV202113761")</f>
        <v>ICTV202113761</v>
      </c>
      <c r="R10367" t="s">
        <v>581</v>
      </c>
      <c r="S10367" t="s">
        <v>823</v>
      </c>
      <c r="T10367">
        <v>37</v>
      </c>
      <c r="U10367" s="26" t="str">
        <f t="shared" si="379"/>
        <v>2021.003F.R.Mitoviridae_100nsp_4ngen.zip</v>
      </c>
    </row>
    <row r="10368" spans="1:21">
      <c r="A10368">
        <v>10367</v>
      </c>
      <c r="B10368" s="27" t="s">
        <v>1124</v>
      </c>
      <c r="D10368" s="27" t="s">
        <v>1859</v>
      </c>
      <c r="F10368" s="27" t="s">
        <v>1881</v>
      </c>
      <c r="H10368" s="27" t="s">
        <v>1884</v>
      </c>
      <c r="J10368" s="27" t="s">
        <v>1885</v>
      </c>
      <c r="L10368" s="27" t="s">
        <v>1886</v>
      </c>
      <c r="N10368" s="27" t="s">
        <v>9101</v>
      </c>
      <c r="P10368" s="27" t="s">
        <v>9114</v>
      </c>
      <c r="Q10368" s="26" t="str">
        <f>HYPERLINK("https://ictv.global/taxonomy/taxondetails?taxnode_id=202513762&amp;ictv_id=ICTV202113762","ICTV202113762")</f>
        <v>ICTV202113762</v>
      </c>
      <c r="R10368" t="s">
        <v>581</v>
      </c>
      <c r="S10368" t="s">
        <v>823</v>
      </c>
      <c r="T10368">
        <v>37</v>
      </c>
      <c r="U10368" s="26" t="str">
        <f t="shared" si="379"/>
        <v>2021.003F.R.Mitoviridae_100nsp_4ngen.zip</v>
      </c>
    </row>
    <row r="10369" spans="1:21">
      <c r="A10369">
        <v>10368</v>
      </c>
      <c r="B10369" s="27" t="s">
        <v>1124</v>
      </c>
      <c r="D10369" s="27" t="s">
        <v>1859</v>
      </c>
      <c r="F10369" s="27" t="s">
        <v>1881</v>
      </c>
      <c r="H10369" s="27" t="s">
        <v>1884</v>
      </c>
      <c r="J10369" s="27" t="s">
        <v>1885</v>
      </c>
      <c r="L10369" s="27" t="s">
        <v>1886</v>
      </c>
      <c r="N10369" s="27" t="s">
        <v>9101</v>
      </c>
      <c r="P10369" s="27" t="s">
        <v>9115</v>
      </c>
      <c r="Q10369" s="26" t="str">
        <f>HYPERLINK("https://ictv.global/taxonomy/taxondetails?taxnode_id=202513763&amp;ictv_id=ICTV202113763","ICTV202113763")</f>
        <v>ICTV202113763</v>
      </c>
      <c r="R10369" t="s">
        <v>581</v>
      </c>
      <c r="S10369" t="s">
        <v>823</v>
      </c>
      <c r="T10369">
        <v>37</v>
      </c>
      <c r="U10369" s="26" t="str">
        <f t="shared" si="379"/>
        <v>2021.003F.R.Mitoviridae_100nsp_4ngen.zip</v>
      </c>
    </row>
    <row r="10370" spans="1:21">
      <c r="A10370">
        <v>10369</v>
      </c>
      <c r="B10370" s="27" t="s">
        <v>1124</v>
      </c>
      <c r="D10370" s="27" t="s">
        <v>1859</v>
      </c>
      <c r="F10370" s="27" t="s">
        <v>1881</v>
      </c>
      <c r="H10370" s="27" t="s">
        <v>1884</v>
      </c>
      <c r="J10370" s="27" t="s">
        <v>1885</v>
      </c>
      <c r="L10370" s="27" t="s">
        <v>1886</v>
      </c>
      <c r="N10370" s="27" t="s">
        <v>9101</v>
      </c>
      <c r="P10370" s="27" t="s">
        <v>9116</v>
      </c>
      <c r="Q10370" s="26" t="str">
        <f>HYPERLINK("https://ictv.global/taxonomy/taxondetails?taxnode_id=202513764&amp;ictv_id=ICTV202113764","ICTV202113764")</f>
        <v>ICTV202113764</v>
      </c>
      <c r="R10370" t="s">
        <v>581</v>
      </c>
      <c r="S10370" t="s">
        <v>823</v>
      </c>
      <c r="T10370">
        <v>37</v>
      </c>
      <c r="U10370" s="26" t="str">
        <f t="shared" si="379"/>
        <v>2021.003F.R.Mitoviridae_100nsp_4ngen.zip</v>
      </c>
    </row>
    <row r="10371" spans="1:21">
      <c r="A10371">
        <v>10370</v>
      </c>
      <c r="B10371" s="27" t="s">
        <v>1124</v>
      </c>
      <c r="D10371" s="27" t="s">
        <v>1859</v>
      </c>
      <c r="F10371" s="27" t="s">
        <v>1881</v>
      </c>
      <c r="H10371" s="27" t="s">
        <v>1884</v>
      </c>
      <c r="J10371" s="27" t="s">
        <v>1885</v>
      </c>
      <c r="L10371" s="27" t="s">
        <v>1886</v>
      </c>
      <c r="N10371" s="27" t="s">
        <v>9101</v>
      </c>
      <c r="P10371" s="27" t="s">
        <v>9117</v>
      </c>
      <c r="Q10371" s="26" t="str">
        <f>HYPERLINK("https://ictv.global/taxonomy/taxondetails?taxnode_id=202513765&amp;ictv_id=ICTV202113765","ICTV202113765")</f>
        <v>ICTV202113765</v>
      </c>
      <c r="R10371" t="s">
        <v>581</v>
      </c>
      <c r="S10371" t="s">
        <v>823</v>
      </c>
      <c r="T10371">
        <v>37</v>
      </c>
      <c r="U10371" s="26" t="str">
        <f t="shared" si="379"/>
        <v>2021.003F.R.Mitoviridae_100nsp_4ngen.zip</v>
      </c>
    </row>
    <row r="10372" spans="1:21">
      <c r="A10372">
        <v>10371</v>
      </c>
      <c r="B10372" s="27" t="s">
        <v>1124</v>
      </c>
      <c r="D10372" s="27" t="s">
        <v>1859</v>
      </c>
      <c r="F10372" s="27" t="s">
        <v>1881</v>
      </c>
      <c r="H10372" s="27" t="s">
        <v>1884</v>
      </c>
      <c r="J10372" s="27" t="s">
        <v>1885</v>
      </c>
      <c r="L10372" s="27" t="s">
        <v>1886</v>
      </c>
      <c r="N10372" s="27" t="s">
        <v>9101</v>
      </c>
      <c r="P10372" s="27" t="s">
        <v>9118</v>
      </c>
      <c r="Q10372" s="26" t="str">
        <f>HYPERLINK("https://ictv.global/taxonomy/taxondetails?taxnode_id=202513766&amp;ictv_id=ICTV202113766","ICTV202113766")</f>
        <v>ICTV202113766</v>
      </c>
      <c r="R10372" t="s">
        <v>581</v>
      </c>
      <c r="S10372" t="s">
        <v>823</v>
      </c>
      <c r="T10372">
        <v>37</v>
      </c>
      <c r="U10372" s="26" t="str">
        <f t="shared" si="379"/>
        <v>2021.003F.R.Mitoviridae_100nsp_4ngen.zip</v>
      </c>
    </row>
    <row r="10373" spans="1:21">
      <c r="A10373">
        <v>10372</v>
      </c>
      <c r="B10373" s="27" t="s">
        <v>1124</v>
      </c>
      <c r="D10373" s="27" t="s">
        <v>1859</v>
      </c>
      <c r="F10373" s="27" t="s">
        <v>1881</v>
      </c>
      <c r="H10373" s="27" t="s">
        <v>1884</v>
      </c>
      <c r="J10373" s="27" t="s">
        <v>1885</v>
      </c>
      <c r="L10373" s="27" t="s">
        <v>1886</v>
      </c>
      <c r="N10373" s="27" t="s">
        <v>9101</v>
      </c>
      <c r="P10373" s="27" t="s">
        <v>9119</v>
      </c>
      <c r="Q10373" s="26" t="str">
        <f>HYPERLINK("https://ictv.global/taxonomy/taxondetails?taxnode_id=202513767&amp;ictv_id=ICTV202113767","ICTV202113767")</f>
        <v>ICTV202113767</v>
      </c>
      <c r="R10373" t="s">
        <v>581</v>
      </c>
      <c r="S10373" t="s">
        <v>823</v>
      </c>
      <c r="T10373">
        <v>37</v>
      </c>
      <c r="U10373" s="26" t="str">
        <f t="shared" si="379"/>
        <v>2021.003F.R.Mitoviridae_100nsp_4ngen.zip</v>
      </c>
    </row>
    <row r="10374" spans="1:21">
      <c r="A10374">
        <v>10373</v>
      </c>
      <c r="B10374" s="27" t="s">
        <v>1124</v>
      </c>
      <c r="D10374" s="27" t="s">
        <v>1859</v>
      </c>
      <c r="F10374" s="27" t="s">
        <v>1881</v>
      </c>
      <c r="H10374" s="27" t="s">
        <v>1884</v>
      </c>
      <c r="J10374" s="27" t="s">
        <v>1885</v>
      </c>
      <c r="L10374" s="27" t="s">
        <v>1886</v>
      </c>
      <c r="N10374" s="27" t="s">
        <v>9101</v>
      </c>
      <c r="P10374" s="27" t="s">
        <v>9120</v>
      </c>
      <c r="Q10374" s="26" t="str">
        <f>HYPERLINK("https://ictv.global/taxonomy/taxondetails?taxnode_id=202513768&amp;ictv_id=ICTV202113768","ICTV202113768")</f>
        <v>ICTV202113768</v>
      </c>
      <c r="R10374" t="s">
        <v>581</v>
      </c>
      <c r="S10374" t="s">
        <v>823</v>
      </c>
      <c r="T10374">
        <v>37</v>
      </c>
      <c r="U10374" s="26" t="str">
        <f t="shared" si="379"/>
        <v>2021.003F.R.Mitoviridae_100nsp_4ngen.zip</v>
      </c>
    </row>
    <row r="10375" spans="1:21">
      <c r="A10375">
        <v>10374</v>
      </c>
      <c r="B10375" s="27" t="s">
        <v>1124</v>
      </c>
      <c r="D10375" s="27" t="s">
        <v>1859</v>
      </c>
      <c r="F10375" s="27" t="s">
        <v>1881</v>
      </c>
      <c r="H10375" s="27" t="s">
        <v>1884</v>
      </c>
      <c r="J10375" s="27" t="s">
        <v>1885</v>
      </c>
      <c r="L10375" s="27" t="s">
        <v>1886</v>
      </c>
      <c r="N10375" s="27" t="s">
        <v>9101</v>
      </c>
      <c r="P10375" s="27" t="s">
        <v>9121</v>
      </c>
      <c r="Q10375" s="26" t="str">
        <f>HYPERLINK("https://ictv.global/taxonomy/taxondetails?taxnode_id=202513769&amp;ictv_id=ICTV202113769","ICTV202113769")</f>
        <v>ICTV202113769</v>
      </c>
      <c r="R10375" t="s">
        <v>581</v>
      </c>
      <c r="S10375" t="s">
        <v>823</v>
      </c>
      <c r="T10375">
        <v>37</v>
      </c>
      <c r="U10375" s="26" t="str">
        <f t="shared" si="379"/>
        <v>2021.003F.R.Mitoviridae_100nsp_4ngen.zip</v>
      </c>
    </row>
    <row r="10376" spans="1:21">
      <c r="A10376">
        <v>10375</v>
      </c>
      <c r="B10376" s="27" t="s">
        <v>1124</v>
      </c>
      <c r="D10376" s="27" t="s">
        <v>1859</v>
      </c>
      <c r="F10376" s="27" t="s">
        <v>1881</v>
      </c>
      <c r="H10376" s="27" t="s">
        <v>1884</v>
      </c>
      <c r="J10376" s="27" t="s">
        <v>1885</v>
      </c>
      <c r="L10376" s="27" t="s">
        <v>1886</v>
      </c>
      <c r="N10376" s="27" t="s">
        <v>9101</v>
      </c>
      <c r="P10376" s="27" t="s">
        <v>9122</v>
      </c>
      <c r="Q10376" s="26" t="str">
        <f>HYPERLINK("https://ictv.global/taxonomy/taxondetails?taxnode_id=202513770&amp;ictv_id=ICTV202113770","ICTV202113770")</f>
        <v>ICTV202113770</v>
      </c>
      <c r="R10376" t="s">
        <v>581</v>
      </c>
      <c r="S10376" t="s">
        <v>823</v>
      </c>
      <c r="T10376">
        <v>37</v>
      </c>
      <c r="U10376" s="26" t="str">
        <f t="shared" si="379"/>
        <v>2021.003F.R.Mitoviridae_100nsp_4ngen.zip</v>
      </c>
    </row>
    <row r="10377" spans="1:21">
      <c r="A10377">
        <v>10376</v>
      </c>
      <c r="B10377" s="27" t="s">
        <v>1124</v>
      </c>
      <c r="D10377" s="27" t="s">
        <v>1859</v>
      </c>
      <c r="F10377" s="27" t="s">
        <v>1881</v>
      </c>
      <c r="H10377" s="27" t="s">
        <v>1884</v>
      </c>
      <c r="J10377" s="27" t="s">
        <v>1885</v>
      </c>
      <c r="L10377" s="27" t="s">
        <v>1886</v>
      </c>
      <c r="N10377" s="27" t="s">
        <v>9101</v>
      </c>
      <c r="P10377" s="27" t="s">
        <v>9123</v>
      </c>
      <c r="Q10377" s="26" t="str">
        <f>HYPERLINK("https://ictv.global/taxonomy/taxondetails?taxnode_id=202513771&amp;ictv_id=ICTV202113771","ICTV202113771")</f>
        <v>ICTV202113771</v>
      </c>
      <c r="R10377" t="s">
        <v>581</v>
      </c>
      <c r="S10377" t="s">
        <v>823</v>
      </c>
      <c r="T10377">
        <v>37</v>
      </c>
      <c r="U10377" s="26" t="str">
        <f t="shared" si="379"/>
        <v>2021.003F.R.Mitoviridae_100nsp_4ngen.zip</v>
      </c>
    </row>
    <row r="10378" spans="1:21">
      <c r="A10378">
        <v>10377</v>
      </c>
      <c r="B10378" s="27" t="s">
        <v>1124</v>
      </c>
      <c r="D10378" s="27" t="s">
        <v>1859</v>
      </c>
      <c r="F10378" s="27" t="s">
        <v>1881</v>
      </c>
      <c r="H10378" s="27" t="s">
        <v>1884</v>
      </c>
      <c r="J10378" s="27" t="s">
        <v>1885</v>
      </c>
      <c r="L10378" s="27" t="s">
        <v>1886</v>
      </c>
      <c r="N10378" s="27" t="s">
        <v>9101</v>
      </c>
      <c r="P10378" s="27" t="s">
        <v>9124</v>
      </c>
      <c r="Q10378" s="26" t="str">
        <f>HYPERLINK("https://ictv.global/taxonomy/taxondetails?taxnode_id=202513772&amp;ictv_id=ICTV202113772","ICTV202113772")</f>
        <v>ICTV202113772</v>
      </c>
      <c r="R10378" t="s">
        <v>581</v>
      </c>
      <c r="S10378" t="s">
        <v>823</v>
      </c>
      <c r="T10378">
        <v>37</v>
      </c>
      <c r="U10378" s="26" t="str">
        <f t="shared" si="379"/>
        <v>2021.003F.R.Mitoviridae_100nsp_4ngen.zip</v>
      </c>
    </row>
    <row r="10379" spans="1:21">
      <c r="A10379">
        <v>10378</v>
      </c>
      <c r="B10379" s="27" t="s">
        <v>1124</v>
      </c>
      <c r="D10379" s="27" t="s">
        <v>1859</v>
      </c>
      <c r="F10379" s="27" t="s">
        <v>1881</v>
      </c>
      <c r="H10379" s="27" t="s">
        <v>1884</v>
      </c>
      <c r="J10379" s="27" t="s">
        <v>1885</v>
      </c>
      <c r="L10379" s="27" t="s">
        <v>1886</v>
      </c>
      <c r="N10379" s="27" t="s">
        <v>9101</v>
      </c>
      <c r="P10379" s="27" t="s">
        <v>9125</v>
      </c>
      <c r="Q10379" s="26" t="str">
        <f>HYPERLINK("https://ictv.global/taxonomy/taxondetails?taxnode_id=202513773&amp;ictv_id=ICTV202113773","ICTV202113773")</f>
        <v>ICTV202113773</v>
      </c>
      <c r="R10379" t="s">
        <v>581</v>
      </c>
      <c r="S10379" t="s">
        <v>823</v>
      </c>
      <c r="T10379">
        <v>37</v>
      </c>
      <c r="U10379" s="26" t="str">
        <f t="shared" si="379"/>
        <v>2021.003F.R.Mitoviridae_100nsp_4ngen.zip</v>
      </c>
    </row>
    <row r="10380" spans="1:21">
      <c r="A10380">
        <v>10379</v>
      </c>
      <c r="B10380" s="27" t="s">
        <v>1124</v>
      </c>
      <c r="D10380" s="27" t="s">
        <v>1859</v>
      </c>
      <c r="F10380" s="27" t="s">
        <v>1881</v>
      </c>
      <c r="H10380" s="27" t="s">
        <v>1884</v>
      </c>
      <c r="J10380" s="27" t="s">
        <v>1885</v>
      </c>
      <c r="L10380" s="27" t="s">
        <v>1886</v>
      </c>
      <c r="N10380" s="27" t="s">
        <v>9101</v>
      </c>
      <c r="P10380" s="27" t="s">
        <v>9126</v>
      </c>
      <c r="Q10380" s="26" t="str">
        <f>HYPERLINK("https://ictv.global/taxonomy/taxondetails?taxnode_id=202513774&amp;ictv_id=ICTV202113774","ICTV202113774")</f>
        <v>ICTV202113774</v>
      </c>
      <c r="R10380" t="s">
        <v>581</v>
      </c>
      <c r="S10380" t="s">
        <v>823</v>
      </c>
      <c r="T10380">
        <v>37</v>
      </c>
      <c r="U10380" s="26" t="str">
        <f t="shared" si="379"/>
        <v>2021.003F.R.Mitoviridae_100nsp_4ngen.zip</v>
      </c>
    </row>
    <row r="10381" spans="1:21">
      <c r="A10381">
        <v>10380</v>
      </c>
      <c r="B10381" s="27" t="s">
        <v>1124</v>
      </c>
      <c r="D10381" s="27" t="s">
        <v>1859</v>
      </c>
      <c r="F10381" s="27" t="s">
        <v>1881</v>
      </c>
      <c r="H10381" s="27" t="s">
        <v>1884</v>
      </c>
      <c r="J10381" s="27" t="s">
        <v>1885</v>
      </c>
      <c r="L10381" s="27" t="s">
        <v>1886</v>
      </c>
      <c r="N10381" s="27" t="s">
        <v>9101</v>
      </c>
      <c r="P10381" s="27" t="s">
        <v>9127</v>
      </c>
      <c r="Q10381" s="26" t="str">
        <f>HYPERLINK("https://ictv.global/taxonomy/taxondetails?taxnode_id=202513775&amp;ictv_id=ICTV202113775","ICTV202113775")</f>
        <v>ICTV202113775</v>
      </c>
      <c r="R10381" t="s">
        <v>581</v>
      </c>
      <c r="S10381" t="s">
        <v>823</v>
      </c>
      <c r="T10381">
        <v>37</v>
      </c>
      <c r="U10381" s="26" t="str">
        <f t="shared" si="379"/>
        <v>2021.003F.R.Mitoviridae_100nsp_4ngen.zip</v>
      </c>
    </row>
    <row r="10382" spans="1:21">
      <c r="A10382">
        <v>10381</v>
      </c>
      <c r="B10382" s="27" t="s">
        <v>1124</v>
      </c>
      <c r="D10382" s="27" t="s">
        <v>1859</v>
      </c>
      <c r="F10382" s="27" t="s">
        <v>1881</v>
      </c>
      <c r="H10382" s="27" t="s">
        <v>1884</v>
      </c>
      <c r="J10382" s="27" t="s">
        <v>1885</v>
      </c>
      <c r="L10382" s="27" t="s">
        <v>1886</v>
      </c>
      <c r="N10382" s="27" t="s">
        <v>9101</v>
      </c>
      <c r="P10382" s="27" t="s">
        <v>9128</v>
      </c>
      <c r="Q10382" s="26" t="str">
        <f>HYPERLINK("https://ictv.global/taxonomy/taxondetails?taxnode_id=202513776&amp;ictv_id=ICTV202113776","ICTV202113776")</f>
        <v>ICTV202113776</v>
      </c>
      <c r="R10382" t="s">
        <v>581</v>
      </c>
      <c r="S10382" t="s">
        <v>823</v>
      </c>
      <c r="T10382">
        <v>37</v>
      </c>
      <c r="U10382" s="26" t="str">
        <f t="shared" si="379"/>
        <v>2021.003F.R.Mitoviridae_100nsp_4ngen.zip</v>
      </c>
    </row>
    <row r="10383" spans="1:21">
      <c r="A10383">
        <v>10382</v>
      </c>
      <c r="B10383" s="27" t="s">
        <v>1124</v>
      </c>
      <c r="D10383" s="27" t="s">
        <v>1859</v>
      </c>
      <c r="F10383" s="27" t="s">
        <v>1881</v>
      </c>
      <c r="H10383" s="27" t="s">
        <v>1884</v>
      </c>
      <c r="J10383" s="27" t="s">
        <v>1885</v>
      </c>
      <c r="L10383" s="27" t="s">
        <v>1886</v>
      </c>
      <c r="N10383" s="27" t="s">
        <v>9101</v>
      </c>
      <c r="P10383" s="27" t="s">
        <v>9129</v>
      </c>
      <c r="Q10383" s="26" t="str">
        <f>HYPERLINK("https://ictv.global/taxonomy/taxondetails?taxnode_id=202513777&amp;ictv_id=ICTV202113777","ICTV202113777")</f>
        <v>ICTV202113777</v>
      </c>
      <c r="R10383" t="s">
        <v>581</v>
      </c>
      <c r="S10383" t="s">
        <v>823</v>
      </c>
      <c r="T10383">
        <v>37</v>
      </c>
      <c r="U10383" s="26" t="str">
        <f t="shared" si="379"/>
        <v>2021.003F.R.Mitoviridae_100nsp_4ngen.zip</v>
      </c>
    </row>
    <row r="10384" spans="1:21">
      <c r="A10384">
        <v>10383</v>
      </c>
      <c r="B10384" s="27" t="s">
        <v>1124</v>
      </c>
      <c r="D10384" s="27" t="s">
        <v>1859</v>
      </c>
      <c r="F10384" s="27" t="s">
        <v>1881</v>
      </c>
      <c r="H10384" s="27" t="s">
        <v>1884</v>
      </c>
      <c r="J10384" s="27" t="s">
        <v>1885</v>
      </c>
      <c r="L10384" s="27" t="s">
        <v>1886</v>
      </c>
      <c r="N10384" s="27" t="s">
        <v>9101</v>
      </c>
      <c r="P10384" s="27" t="s">
        <v>9130</v>
      </c>
      <c r="Q10384" s="26" t="str">
        <f>HYPERLINK("https://ictv.global/taxonomy/taxondetails?taxnode_id=202513778&amp;ictv_id=ICTV202113778","ICTV202113778")</f>
        <v>ICTV202113778</v>
      </c>
      <c r="R10384" t="s">
        <v>581</v>
      </c>
      <c r="S10384" t="s">
        <v>823</v>
      </c>
      <c r="T10384">
        <v>37</v>
      </c>
      <c r="U10384" s="26" t="str">
        <f t="shared" si="379"/>
        <v>2021.003F.R.Mitoviridae_100nsp_4ngen.zip</v>
      </c>
    </row>
    <row r="10385" spans="1:21">
      <c r="A10385">
        <v>10384</v>
      </c>
      <c r="B10385" s="27" t="s">
        <v>1124</v>
      </c>
      <c r="D10385" s="27" t="s">
        <v>1859</v>
      </c>
      <c r="F10385" s="27" t="s">
        <v>1881</v>
      </c>
      <c r="H10385" s="27" t="s">
        <v>1884</v>
      </c>
      <c r="J10385" s="27" t="s">
        <v>1885</v>
      </c>
      <c r="L10385" s="27" t="s">
        <v>1886</v>
      </c>
      <c r="N10385" s="27" t="s">
        <v>9101</v>
      </c>
      <c r="P10385" s="27" t="s">
        <v>9131</v>
      </c>
      <c r="Q10385" s="26" t="str">
        <f>HYPERLINK("https://ictv.global/taxonomy/taxondetails?taxnode_id=202513779&amp;ictv_id=ICTV202113779","ICTV202113779")</f>
        <v>ICTV202113779</v>
      </c>
      <c r="R10385" t="s">
        <v>581</v>
      </c>
      <c r="S10385" t="s">
        <v>823</v>
      </c>
      <c r="T10385">
        <v>37</v>
      </c>
      <c r="U10385" s="26" t="str">
        <f t="shared" si="379"/>
        <v>2021.003F.R.Mitoviridae_100nsp_4ngen.zip</v>
      </c>
    </row>
    <row r="10386" spans="1:21">
      <c r="A10386">
        <v>10385</v>
      </c>
      <c r="B10386" s="27" t="s">
        <v>1124</v>
      </c>
      <c r="D10386" s="27" t="s">
        <v>1859</v>
      </c>
      <c r="F10386" s="27" t="s">
        <v>1881</v>
      </c>
      <c r="H10386" s="27" t="s">
        <v>1884</v>
      </c>
      <c r="J10386" s="27" t="s">
        <v>1885</v>
      </c>
      <c r="L10386" s="27" t="s">
        <v>1886</v>
      </c>
      <c r="N10386" s="27" t="s">
        <v>9101</v>
      </c>
      <c r="P10386" s="27" t="s">
        <v>9132</v>
      </c>
      <c r="Q10386" s="26" t="str">
        <f>HYPERLINK("https://ictv.global/taxonomy/taxondetails?taxnode_id=202513781&amp;ictv_id=ICTV202113781","ICTV202113781")</f>
        <v>ICTV202113781</v>
      </c>
      <c r="R10386" t="s">
        <v>581</v>
      </c>
      <c r="S10386" t="s">
        <v>823</v>
      </c>
      <c r="T10386">
        <v>37</v>
      </c>
      <c r="U10386" s="26" t="str">
        <f t="shared" si="379"/>
        <v>2021.003F.R.Mitoviridae_100nsp_4ngen.zip</v>
      </c>
    </row>
    <row r="10387" spans="1:21">
      <c r="A10387">
        <v>10386</v>
      </c>
      <c r="B10387" s="27" t="s">
        <v>1124</v>
      </c>
      <c r="D10387" s="27" t="s">
        <v>1859</v>
      </c>
      <c r="F10387" s="27" t="s">
        <v>1881</v>
      </c>
      <c r="H10387" s="27" t="s">
        <v>1884</v>
      </c>
      <c r="J10387" s="27" t="s">
        <v>1885</v>
      </c>
      <c r="L10387" s="27" t="s">
        <v>1886</v>
      </c>
      <c r="N10387" s="27" t="s">
        <v>9101</v>
      </c>
      <c r="P10387" s="27" t="s">
        <v>9133</v>
      </c>
      <c r="Q10387" s="26" t="str">
        <f>HYPERLINK("https://ictv.global/taxonomy/taxondetails?taxnode_id=202513780&amp;ictv_id=ICTV202113780","ICTV202113780")</f>
        <v>ICTV202113780</v>
      </c>
      <c r="R10387" t="s">
        <v>581</v>
      </c>
      <c r="S10387" t="s">
        <v>823</v>
      </c>
      <c r="T10387">
        <v>37</v>
      </c>
      <c r="U10387" s="26" t="str">
        <f t="shared" si="379"/>
        <v>2021.003F.R.Mitoviridae_100nsp_4ngen.zip</v>
      </c>
    </row>
    <row r="10388" spans="1:21">
      <c r="A10388">
        <v>10387</v>
      </c>
      <c r="B10388" s="27" t="s">
        <v>1124</v>
      </c>
      <c r="D10388" s="27" t="s">
        <v>1859</v>
      </c>
      <c r="F10388" s="27" t="s">
        <v>1881</v>
      </c>
      <c r="H10388" s="27" t="s">
        <v>1884</v>
      </c>
      <c r="J10388" s="27" t="s">
        <v>1885</v>
      </c>
      <c r="L10388" s="27" t="s">
        <v>1886</v>
      </c>
      <c r="N10388" s="27" t="s">
        <v>9101</v>
      </c>
      <c r="P10388" s="27" t="s">
        <v>9134</v>
      </c>
      <c r="Q10388" s="26" t="str">
        <f>HYPERLINK("https://ictv.global/taxonomy/taxondetails?taxnode_id=202513782&amp;ictv_id=ICTV202113782","ICTV202113782")</f>
        <v>ICTV202113782</v>
      </c>
      <c r="R10388" t="s">
        <v>581</v>
      </c>
      <c r="S10388" t="s">
        <v>823</v>
      </c>
      <c r="T10388">
        <v>37</v>
      </c>
      <c r="U10388" s="26" t="str">
        <f t="shared" si="379"/>
        <v>2021.003F.R.Mitoviridae_100nsp_4ngen.zip</v>
      </c>
    </row>
    <row r="10389" spans="1:21">
      <c r="A10389">
        <v>10388</v>
      </c>
      <c r="B10389" s="27" t="s">
        <v>1124</v>
      </c>
      <c r="D10389" s="27" t="s">
        <v>1859</v>
      </c>
      <c r="F10389" s="27" t="s">
        <v>1881</v>
      </c>
      <c r="H10389" s="27" t="s">
        <v>1884</v>
      </c>
      <c r="J10389" s="27" t="s">
        <v>1885</v>
      </c>
      <c r="L10389" s="27" t="s">
        <v>1886</v>
      </c>
      <c r="N10389" s="27" t="s">
        <v>9101</v>
      </c>
      <c r="P10389" s="27" t="s">
        <v>9135</v>
      </c>
      <c r="Q10389" s="26" t="str">
        <f>HYPERLINK("https://ictv.global/taxonomy/taxondetails?taxnode_id=202513783&amp;ictv_id=ICTV202113783","ICTV202113783")</f>
        <v>ICTV202113783</v>
      </c>
      <c r="R10389" t="s">
        <v>581</v>
      </c>
      <c r="S10389" t="s">
        <v>823</v>
      </c>
      <c r="T10389">
        <v>37</v>
      </c>
      <c r="U10389" s="26" t="str">
        <f t="shared" si="379"/>
        <v>2021.003F.R.Mitoviridae_100nsp_4ngen.zip</v>
      </c>
    </row>
    <row r="10390" spans="1:21">
      <c r="A10390">
        <v>10389</v>
      </c>
      <c r="B10390" s="27" t="s">
        <v>1124</v>
      </c>
      <c r="D10390" s="27" t="s">
        <v>1859</v>
      </c>
      <c r="F10390" s="27" t="s">
        <v>1881</v>
      </c>
      <c r="H10390" s="27" t="s">
        <v>1884</v>
      </c>
      <c r="J10390" s="27" t="s">
        <v>1885</v>
      </c>
      <c r="L10390" s="27" t="s">
        <v>1886</v>
      </c>
      <c r="N10390" s="27" t="s">
        <v>9101</v>
      </c>
      <c r="P10390" s="27" t="s">
        <v>9136</v>
      </c>
      <c r="Q10390" s="26" t="str">
        <f>HYPERLINK("https://ictv.global/taxonomy/taxondetails?taxnode_id=202513784&amp;ictv_id=ICTV202113784","ICTV202113784")</f>
        <v>ICTV202113784</v>
      </c>
      <c r="R10390" t="s">
        <v>581</v>
      </c>
      <c r="S10390" t="s">
        <v>823</v>
      </c>
      <c r="T10390">
        <v>37</v>
      </c>
      <c r="U10390" s="26" t="str">
        <f t="shared" si="379"/>
        <v>2021.003F.R.Mitoviridae_100nsp_4ngen.zip</v>
      </c>
    </row>
    <row r="10391" spans="1:21">
      <c r="A10391">
        <v>10390</v>
      </c>
      <c r="B10391" s="27" t="s">
        <v>1124</v>
      </c>
      <c r="D10391" s="27" t="s">
        <v>1859</v>
      </c>
      <c r="F10391" s="27" t="s">
        <v>1881</v>
      </c>
      <c r="H10391" s="27" t="s">
        <v>1884</v>
      </c>
      <c r="J10391" s="27" t="s">
        <v>1885</v>
      </c>
      <c r="L10391" s="27" t="s">
        <v>1886</v>
      </c>
      <c r="N10391" s="27" t="s">
        <v>9101</v>
      </c>
      <c r="P10391" s="27" t="s">
        <v>9137</v>
      </c>
      <c r="Q10391" s="26" t="str">
        <f>HYPERLINK("https://ictv.global/taxonomy/taxondetails?taxnode_id=202513785&amp;ictv_id=ICTV202113785","ICTV202113785")</f>
        <v>ICTV202113785</v>
      </c>
      <c r="R10391" t="s">
        <v>581</v>
      </c>
      <c r="S10391" t="s">
        <v>823</v>
      </c>
      <c r="T10391">
        <v>37</v>
      </c>
      <c r="U10391" s="26" t="str">
        <f t="shared" si="379"/>
        <v>2021.003F.R.Mitoviridae_100nsp_4ngen.zip</v>
      </c>
    </row>
    <row r="10392" spans="1:21">
      <c r="A10392">
        <v>10391</v>
      </c>
      <c r="B10392" s="27" t="s">
        <v>1124</v>
      </c>
      <c r="D10392" s="27" t="s">
        <v>1859</v>
      </c>
      <c r="F10392" s="27" t="s">
        <v>1881</v>
      </c>
      <c r="H10392" s="27" t="s">
        <v>1884</v>
      </c>
      <c r="J10392" s="27" t="s">
        <v>1885</v>
      </c>
      <c r="L10392" s="27" t="s">
        <v>1886</v>
      </c>
      <c r="N10392" s="27" t="s">
        <v>9101</v>
      </c>
      <c r="P10392" s="27" t="s">
        <v>9138</v>
      </c>
      <c r="Q10392" s="26" t="str">
        <f>HYPERLINK("https://ictv.global/taxonomy/taxondetails?taxnode_id=202503912&amp;ictv_id=ICTV20026217","ICTV20026217")</f>
        <v>ICTV20026217</v>
      </c>
      <c r="R10392" t="s">
        <v>581</v>
      </c>
      <c r="S10392" t="s">
        <v>22764</v>
      </c>
      <c r="T10392">
        <v>37</v>
      </c>
      <c r="U10392" s="26" t="str">
        <f t="shared" si="379"/>
        <v>2021.003F.R.Mitoviridae_100nsp_4ngen.zip</v>
      </c>
    </row>
    <row r="10393" spans="1:21">
      <c r="A10393">
        <v>10392</v>
      </c>
      <c r="B10393" s="27" t="s">
        <v>1124</v>
      </c>
      <c r="D10393" s="27" t="s">
        <v>1859</v>
      </c>
      <c r="F10393" s="27" t="s">
        <v>1881</v>
      </c>
      <c r="H10393" s="27" t="s">
        <v>1884</v>
      </c>
      <c r="J10393" s="27" t="s">
        <v>1885</v>
      </c>
      <c r="L10393" s="27" t="s">
        <v>1886</v>
      </c>
      <c r="N10393" s="27" t="s">
        <v>9101</v>
      </c>
      <c r="P10393" s="27" t="s">
        <v>9139</v>
      </c>
      <c r="Q10393" s="26" t="str">
        <f>HYPERLINK("https://ictv.global/taxonomy/taxondetails?taxnode_id=202503913&amp;ictv_id=ICTV20026218","ICTV20026218")</f>
        <v>ICTV20026218</v>
      </c>
      <c r="R10393" t="s">
        <v>581</v>
      </c>
      <c r="S10393" t="s">
        <v>22764</v>
      </c>
      <c r="T10393">
        <v>37</v>
      </c>
      <c r="U10393" s="26" t="str">
        <f t="shared" ref="U10393:U10401" si="380">HYPERLINK("https://ictv.global/ictv/proposals/2021.003F.R.Mitoviridae_100nsp_4ngen.zip","2021.003F.R.Mitoviridae_100nsp_4ngen.zip")</f>
        <v>2021.003F.R.Mitoviridae_100nsp_4ngen.zip</v>
      </c>
    </row>
    <row r="10394" spans="1:21">
      <c r="A10394">
        <v>10393</v>
      </c>
      <c r="B10394" s="27" t="s">
        <v>1124</v>
      </c>
      <c r="D10394" s="27" t="s">
        <v>1859</v>
      </c>
      <c r="F10394" s="27" t="s">
        <v>1881</v>
      </c>
      <c r="H10394" s="27" t="s">
        <v>1884</v>
      </c>
      <c r="J10394" s="27" t="s">
        <v>1885</v>
      </c>
      <c r="L10394" s="27" t="s">
        <v>1886</v>
      </c>
      <c r="N10394" s="27" t="s">
        <v>9101</v>
      </c>
      <c r="P10394" s="27" t="s">
        <v>9140</v>
      </c>
      <c r="Q10394" s="26" t="str">
        <f>HYPERLINK("https://ictv.global/taxonomy/taxondetails?taxnode_id=202503914&amp;ictv_id=ICTV20026219","ICTV20026219")</f>
        <v>ICTV20026219</v>
      </c>
      <c r="R10394" t="s">
        <v>581</v>
      </c>
      <c r="S10394" t="s">
        <v>22764</v>
      </c>
      <c r="T10394">
        <v>37</v>
      </c>
      <c r="U10394" s="26" t="str">
        <f t="shared" si="380"/>
        <v>2021.003F.R.Mitoviridae_100nsp_4ngen.zip</v>
      </c>
    </row>
    <row r="10395" spans="1:21">
      <c r="A10395">
        <v>10394</v>
      </c>
      <c r="B10395" s="27" t="s">
        <v>1124</v>
      </c>
      <c r="D10395" s="27" t="s">
        <v>1859</v>
      </c>
      <c r="F10395" s="27" t="s">
        <v>1881</v>
      </c>
      <c r="H10395" s="27" t="s">
        <v>1884</v>
      </c>
      <c r="J10395" s="27" t="s">
        <v>1885</v>
      </c>
      <c r="L10395" s="27" t="s">
        <v>1886</v>
      </c>
      <c r="N10395" s="27" t="s">
        <v>9101</v>
      </c>
      <c r="P10395" s="27" t="s">
        <v>9141</v>
      </c>
      <c r="Q10395" s="26" t="str">
        <f>HYPERLINK("https://ictv.global/taxonomy/taxondetails?taxnode_id=202513786&amp;ictv_id=ICTV202113786","ICTV202113786")</f>
        <v>ICTV202113786</v>
      </c>
      <c r="R10395" t="s">
        <v>581</v>
      </c>
      <c r="S10395" t="s">
        <v>823</v>
      </c>
      <c r="T10395">
        <v>37</v>
      </c>
      <c r="U10395" s="26" t="str">
        <f t="shared" si="380"/>
        <v>2021.003F.R.Mitoviridae_100nsp_4ngen.zip</v>
      </c>
    </row>
    <row r="10396" spans="1:21">
      <c r="A10396">
        <v>10395</v>
      </c>
      <c r="B10396" s="27" t="s">
        <v>1124</v>
      </c>
      <c r="D10396" s="27" t="s">
        <v>1859</v>
      </c>
      <c r="F10396" s="27" t="s">
        <v>1881</v>
      </c>
      <c r="H10396" s="27" t="s">
        <v>1884</v>
      </c>
      <c r="J10396" s="27" t="s">
        <v>1885</v>
      </c>
      <c r="L10396" s="27" t="s">
        <v>1886</v>
      </c>
      <c r="N10396" s="27" t="s">
        <v>9101</v>
      </c>
      <c r="P10396" s="27" t="s">
        <v>9142</v>
      </c>
      <c r="Q10396" s="26" t="str">
        <f>HYPERLINK("https://ictv.global/taxonomy/taxondetails?taxnode_id=202513787&amp;ictv_id=ICTV202113787","ICTV202113787")</f>
        <v>ICTV202113787</v>
      </c>
      <c r="R10396" t="s">
        <v>581</v>
      </c>
      <c r="S10396" t="s">
        <v>823</v>
      </c>
      <c r="T10396">
        <v>37</v>
      </c>
      <c r="U10396" s="26" t="str">
        <f t="shared" si="380"/>
        <v>2021.003F.R.Mitoviridae_100nsp_4ngen.zip</v>
      </c>
    </row>
    <row r="10397" spans="1:21">
      <c r="A10397">
        <v>10396</v>
      </c>
      <c r="B10397" s="27" t="s">
        <v>1124</v>
      </c>
      <c r="D10397" s="27" t="s">
        <v>1859</v>
      </c>
      <c r="F10397" s="27" t="s">
        <v>1881</v>
      </c>
      <c r="H10397" s="27" t="s">
        <v>1884</v>
      </c>
      <c r="J10397" s="27" t="s">
        <v>1885</v>
      </c>
      <c r="L10397" s="27" t="s">
        <v>1886</v>
      </c>
      <c r="N10397" s="27" t="s">
        <v>9101</v>
      </c>
      <c r="P10397" s="27" t="s">
        <v>9143</v>
      </c>
      <c r="Q10397" s="26" t="str">
        <f>HYPERLINK("https://ictv.global/taxonomy/taxondetails?taxnode_id=202513788&amp;ictv_id=ICTV202113788","ICTV202113788")</f>
        <v>ICTV202113788</v>
      </c>
      <c r="R10397" t="s">
        <v>581</v>
      </c>
      <c r="S10397" t="s">
        <v>823</v>
      </c>
      <c r="T10397">
        <v>37</v>
      </c>
      <c r="U10397" s="26" t="str">
        <f t="shared" si="380"/>
        <v>2021.003F.R.Mitoviridae_100nsp_4ngen.zip</v>
      </c>
    </row>
    <row r="10398" spans="1:21">
      <c r="A10398">
        <v>10397</v>
      </c>
      <c r="B10398" s="27" t="s">
        <v>1124</v>
      </c>
      <c r="D10398" s="27" t="s">
        <v>1859</v>
      </c>
      <c r="F10398" s="27" t="s">
        <v>1881</v>
      </c>
      <c r="H10398" s="27" t="s">
        <v>1884</v>
      </c>
      <c r="J10398" s="27" t="s">
        <v>1885</v>
      </c>
      <c r="L10398" s="27" t="s">
        <v>1886</v>
      </c>
      <c r="N10398" s="27" t="s">
        <v>9101</v>
      </c>
      <c r="P10398" s="27" t="s">
        <v>9144</v>
      </c>
      <c r="Q10398" s="26" t="str">
        <f>HYPERLINK("https://ictv.global/taxonomy/taxondetails?taxnode_id=202513789&amp;ictv_id=ICTV202113789","ICTV202113789")</f>
        <v>ICTV202113789</v>
      </c>
      <c r="R10398" t="s">
        <v>581</v>
      </c>
      <c r="S10398" t="s">
        <v>823</v>
      </c>
      <c r="T10398">
        <v>37</v>
      </c>
      <c r="U10398" s="26" t="str">
        <f t="shared" si="380"/>
        <v>2021.003F.R.Mitoviridae_100nsp_4ngen.zip</v>
      </c>
    </row>
    <row r="10399" spans="1:21">
      <c r="A10399">
        <v>10398</v>
      </c>
      <c r="B10399" s="27" t="s">
        <v>1124</v>
      </c>
      <c r="D10399" s="27" t="s">
        <v>1859</v>
      </c>
      <c r="F10399" s="27" t="s">
        <v>1881</v>
      </c>
      <c r="H10399" s="27" t="s">
        <v>1884</v>
      </c>
      <c r="J10399" s="27" t="s">
        <v>1885</v>
      </c>
      <c r="L10399" s="27" t="s">
        <v>1886</v>
      </c>
      <c r="N10399" s="27" t="s">
        <v>9101</v>
      </c>
      <c r="P10399" s="27" t="s">
        <v>9145</v>
      </c>
      <c r="Q10399" s="26" t="str">
        <f>HYPERLINK("https://ictv.global/taxonomy/taxondetails?taxnode_id=202513790&amp;ictv_id=ICTV202113790","ICTV202113790")</f>
        <v>ICTV202113790</v>
      </c>
      <c r="R10399" t="s">
        <v>581</v>
      </c>
      <c r="S10399" t="s">
        <v>823</v>
      </c>
      <c r="T10399">
        <v>37</v>
      </c>
      <c r="U10399" s="26" t="str">
        <f t="shared" si="380"/>
        <v>2021.003F.R.Mitoviridae_100nsp_4ngen.zip</v>
      </c>
    </row>
    <row r="10400" spans="1:21">
      <c r="A10400">
        <v>10399</v>
      </c>
      <c r="B10400" s="27" t="s">
        <v>1124</v>
      </c>
      <c r="D10400" s="27" t="s">
        <v>1859</v>
      </c>
      <c r="F10400" s="27" t="s">
        <v>1881</v>
      </c>
      <c r="H10400" s="27" t="s">
        <v>1884</v>
      </c>
      <c r="J10400" s="27" t="s">
        <v>1885</v>
      </c>
      <c r="L10400" s="27" t="s">
        <v>1886</v>
      </c>
      <c r="N10400" s="27" t="s">
        <v>9101</v>
      </c>
      <c r="P10400" s="27" t="s">
        <v>9146</v>
      </c>
      <c r="Q10400" s="26" t="str">
        <f>HYPERLINK("https://ictv.global/taxonomy/taxondetails?taxnode_id=202513791&amp;ictv_id=ICTV202113791","ICTV202113791")</f>
        <v>ICTV202113791</v>
      </c>
      <c r="R10400" t="s">
        <v>581</v>
      </c>
      <c r="S10400" t="s">
        <v>823</v>
      </c>
      <c r="T10400">
        <v>37</v>
      </c>
      <c r="U10400" s="26" t="str">
        <f t="shared" si="380"/>
        <v>2021.003F.R.Mitoviridae_100nsp_4ngen.zip</v>
      </c>
    </row>
    <row r="10401" spans="1:21">
      <c r="A10401">
        <v>10400</v>
      </c>
      <c r="B10401" s="27" t="s">
        <v>1124</v>
      </c>
      <c r="D10401" s="27" t="s">
        <v>1859</v>
      </c>
      <c r="F10401" s="27" t="s">
        <v>1881</v>
      </c>
      <c r="H10401" s="27" t="s">
        <v>1884</v>
      </c>
      <c r="J10401" s="27" t="s">
        <v>1885</v>
      </c>
      <c r="L10401" s="27" t="s">
        <v>1886</v>
      </c>
      <c r="N10401" s="27" t="s">
        <v>9101</v>
      </c>
      <c r="P10401" s="27" t="s">
        <v>9147</v>
      </c>
      <c r="Q10401" s="26" t="str">
        <f>HYPERLINK("https://ictv.global/taxonomy/taxondetails?taxnode_id=202513792&amp;ictv_id=ICTV202113792","ICTV202113792")</f>
        <v>ICTV202113792</v>
      </c>
      <c r="R10401" t="s">
        <v>581</v>
      </c>
      <c r="S10401" t="s">
        <v>823</v>
      </c>
      <c r="T10401">
        <v>37</v>
      </c>
      <c r="U10401" s="26" t="str">
        <f t="shared" si="380"/>
        <v>2021.003F.R.Mitoviridae_100nsp_4ngen.zip</v>
      </c>
    </row>
    <row r="10402" spans="1:21">
      <c r="A10402">
        <v>10401</v>
      </c>
      <c r="B10402" s="27" t="s">
        <v>1124</v>
      </c>
      <c r="D10402" s="27" t="s">
        <v>1859</v>
      </c>
      <c r="F10402" s="27" t="s">
        <v>1881</v>
      </c>
      <c r="H10402" s="27" t="s">
        <v>2679</v>
      </c>
      <c r="J10402" s="27" t="s">
        <v>2680</v>
      </c>
      <c r="L10402" s="27" t="s">
        <v>2681</v>
      </c>
      <c r="N10402" s="27" t="s">
        <v>14257</v>
      </c>
      <c r="P10402" s="27" t="s">
        <v>14258</v>
      </c>
      <c r="Q10402" s="26" t="str">
        <f>HYPERLINK("https://ictv.global/taxonomy/taxondetails?taxnode_id=202516036&amp;ictv_id=ICTV202316036","ICTV202316036")</f>
        <v>ICTV202316036</v>
      </c>
      <c r="R10402" t="s">
        <v>581</v>
      </c>
      <c r="S10402" t="s">
        <v>823</v>
      </c>
      <c r="T10402">
        <v>39</v>
      </c>
      <c r="U10402" s="26" t="str">
        <f t="shared" ref="U10402:U10421" si="381">HYPERLINK("https://ictv.global/ictv/proposals/2023.001B.Leviviricetes_reorg.zip","2023.001B.Leviviricetes_reorg.zip")</f>
        <v>2023.001B.Leviviricetes_reorg.zip</v>
      </c>
    </row>
    <row r="10403" spans="1:21">
      <c r="A10403">
        <v>10402</v>
      </c>
      <c r="B10403" s="27" t="s">
        <v>1124</v>
      </c>
      <c r="D10403" s="27" t="s">
        <v>1859</v>
      </c>
      <c r="F10403" s="27" t="s">
        <v>1881</v>
      </c>
      <c r="H10403" s="27" t="s">
        <v>2679</v>
      </c>
      <c r="J10403" s="27" t="s">
        <v>2680</v>
      </c>
      <c r="L10403" s="27" t="s">
        <v>2681</v>
      </c>
      <c r="N10403" s="27" t="s">
        <v>14259</v>
      </c>
      <c r="P10403" s="27" t="s">
        <v>14260</v>
      </c>
      <c r="Q10403" s="26" t="str">
        <f>HYPERLINK("https://ictv.global/taxonomy/taxondetails?taxnode_id=202510801&amp;ictv_id=ICTV202010801","ICTV202010801")</f>
        <v>ICTV202010801</v>
      </c>
      <c r="R10403" t="s">
        <v>581</v>
      </c>
      <c r="S10403" t="s">
        <v>22764</v>
      </c>
      <c r="T10403">
        <v>39</v>
      </c>
      <c r="U10403" s="26" t="str">
        <f t="shared" si="381"/>
        <v>2023.001B.Leviviricetes_reorg.zip</v>
      </c>
    </row>
    <row r="10404" spans="1:21">
      <c r="A10404">
        <v>10403</v>
      </c>
      <c r="B10404" s="27" t="s">
        <v>1124</v>
      </c>
      <c r="D10404" s="27" t="s">
        <v>1859</v>
      </c>
      <c r="F10404" s="27" t="s">
        <v>1881</v>
      </c>
      <c r="H10404" s="27" t="s">
        <v>2679</v>
      </c>
      <c r="J10404" s="27" t="s">
        <v>2680</v>
      </c>
      <c r="L10404" s="27" t="s">
        <v>2681</v>
      </c>
      <c r="N10404" s="27" t="s">
        <v>14259</v>
      </c>
      <c r="P10404" s="27" t="s">
        <v>14261</v>
      </c>
      <c r="Q10404" s="26" t="str">
        <f>HYPERLINK("https://ictv.global/taxonomy/taxondetails?taxnode_id=202510802&amp;ictv_id=ICTV202010802","ICTV202010802")</f>
        <v>ICTV202010802</v>
      </c>
      <c r="R10404" t="s">
        <v>581</v>
      </c>
      <c r="S10404" t="s">
        <v>22764</v>
      </c>
      <c r="T10404">
        <v>39</v>
      </c>
      <c r="U10404" s="26" t="str">
        <f t="shared" si="381"/>
        <v>2023.001B.Leviviricetes_reorg.zip</v>
      </c>
    </row>
    <row r="10405" spans="1:21">
      <c r="A10405">
        <v>10404</v>
      </c>
      <c r="B10405" s="27" t="s">
        <v>1124</v>
      </c>
      <c r="D10405" s="27" t="s">
        <v>1859</v>
      </c>
      <c r="F10405" s="27" t="s">
        <v>1881</v>
      </c>
      <c r="H10405" s="27" t="s">
        <v>2679</v>
      </c>
      <c r="J10405" s="27" t="s">
        <v>2680</v>
      </c>
      <c r="L10405" s="27" t="s">
        <v>2681</v>
      </c>
      <c r="N10405" s="27" t="s">
        <v>14259</v>
      </c>
      <c r="P10405" s="27" t="s">
        <v>14262</v>
      </c>
      <c r="Q10405" s="26" t="str">
        <f>HYPERLINK("https://ictv.global/taxonomy/taxondetails?taxnode_id=202510803&amp;ictv_id=ICTV202010803","ICTV202010803")</f>
        <v>ICTV202010803</v>
      </c>
      <c r="R10405" t="s">
        <v>581</v>
      </c>
      <c r="S10405" t="s">
        <v>22764</v>
      </c>
      <c r="T10405">
        <v>39</v>
      </c>
      <c r="U10405" s="26" t="str">
        <f t="shared" si="381"/>
        <v>2023.001B.Leviviricetes_reorg.zip</v>
      </c>
    </row>
    <row r="10406" spans="1:21">
      <c r="A10406">
        <v>10405</v>
      </c>
      <c r="B10406" s="27" t="s">
        <v>1124</v>
      </c>
      <c r="D10406" s="27" t="s">
        <v>1859</v>
      </c>
      <c r="F10406" s="27" t="s">
        <v>1881</v>
      </c>
      <c r="H10406" s="27" t="s">
        <v>2679</v>
      </c>
      <c r="J10406" s="27" t="s">
        <v>2680</v>
      </c>
      <c r="L10406" s="27" t="s">
        <v>2681</v>
      </c>
      <c r="N10406" s="27" t="s">
        <v>14259</v>
      </c>
      <c r="P10406" s="27" t="s">
        <v>14263</v>
      </c>
      <c r="Q10406" s="26" t="str">
        <f>HYPERLINK("https://ictv.global/taxonomy/taxondetails?taxnode_id=202510805&amp;ictv_id=ICTV202010805","ICTV202010805")</f>
        <v>ICTV202010805</v>
      </c>
      <c r="R10406" t="s">
        <v>581</v>
      </c>
      <c r="S10406" t="s">
        <v>22764</v>
      </c>
      <c r="T10406">
        <v>39</v>
      </c>
      <c r="U10406" s="26" t="str">
        <f t="shared" si="381"/>
        <v>2023.001B.Leviviricetes_reorg.zip</v>
      </c>
    </row>
    <row r="10407" spans="1:21">
      <c r="A10407">
        <v>10406</v>
      </c>
      <c r="B10407" s="27" t="s">
        <v>1124</v>
      </c>
      <c r="D10407" s="27" t="s">
        <v>1859</v>
      </c>
      <c r="F10407" s="27" t="s">
        <v>1881</v>
      </c>
      <c r="H10407" s="27" t="s">
        <v>2679</v>
      </c>
      <c r="J10407" s="27" t="s">
        <v>2680</v>
      </c>
      <c r="L10407" s="27" t="s">
        <v>2681</v>
      </c>
      <c r="N10407" s="27" t="s">
        <v>14259</v>
      </c>
      <c r="P10407" s="27" t="s">
        <v>14264</v>
      </c>
      <c r="Q10407" s="26" t="str">
        <f>HYPERLINK("https://ictv.global/taxonomy/taxondetails?taxnode_id=202510806&amp;ictv_id=ICTV202010806","ICTV202010806")</f>
        <v>ICTV202010806</v>
      </c>
      <c r="R10407" t="s">
        <v>581</v>
      </c>
      <c r="S10407" t="s">
        <v>22764</v>
      </c>
      <c r="T10407">
        <v>39</v>
      </c>
      <c r="U10407" s="26" t="str">
        <f t="shared" si="381"/>
        <v>2023.001B.Leviviricetes_reorg.zip</v>
      </c>
    </row>
    <row r="10408" spans="1:21">
      <c r="A10408">
        <v>10407</v>
      </c>
      <c r="B10408" s="27" t="s">
        <v>1124</v>
      </c>
      <c r="D10408" s="27" t="s">
        <v>1859</v>
      </c>
      <c r="F10408" s="27" t="s">
        <v>1881</v>
      </c>
      <c r="H10408" s="27" t="s">
        <v>2679</v>
      </c>
      <c r="J10408" s="27" t="s">
        <v>2680</v>
      </c>
      <c r="L10408" s="27" t="s">
        <v>2681</v>
      </c>
      <c r="N10408" s="27" t="s">
        <v>14259</v>
      </c>
      <c r="P10408" s="27" t="s">
        <v>14265</v>
      </c>
      <c r="Q10408" s="26" t="str">
        <f>HYPERLINK("https://ictv.global/taxonomy/taxondetails?taxnode_id=202510748&amp;ictv_id=ICTV202010748","ICTV202010748")</f>
        <v>ICTV202010748</v>
      </c>
      <c r="R10408" t="s">
        <v>581</v>
      </c>
      <c r="S10408" t="s">
        <v>22764</v>
      </c>
      <c r="T10408">
        <v>39</v>
      </c>
      <c r="U10408" s="26" t="str">
        <f t="shared" si="381"/>
        <v>2023.001B.Leviviricetes_reorg.zip</v>
      </c>
    </row>
    <row r="10409" spans="1:21">
      <c r="A10409">
        <v>10408</v>
      </c>
      <c r="B10409" s="27" t="s">
        <v>1124</v>
      </c>
      <c r="D10409" s="27" t="s">
        <v>1859</v>
      </c>
      <c r="F10409" s="27" t="s">
        <v>1881</v>
      </c>
      <c r="H10409" s="27" t="s">
        <v>2679</v>
      </c>
      <c r="J10409" s="27" t="s">
        <v>2680</v>
      </c>
      <c r="L10409" s="27" t="s">
        <v>2681</v>
      </c>
      <c r="N10409" s="27" t="s">
        <v>14266</v>
      </c>
      <c r="P10409" s="27" t="s">
        <v>14267</v>
      </c>
      <c r="Q10409" s="26" t="str">
        <f>HYPERLINK("https://ictv.global/taxonomy/taxondetails?taxnode_id=202516037&amp;ictv_id=ICTV202316037","ICTV202316037")</f>
        <v>ICTV202316037</v>
      </c>
      <c r="R10409" t="s">
        <v>581</v>
      </c>
      <c r="S10409" t="s">
        <v>823</v>
      </c>
      <c r="T10409">
        <v>39</v>
      </c>
      <c r="U10409" s="26" t="str">
        <f t="shared" si="381"/>
        <v>2023.001B.Leviviricetes_reorg.zip</v>
      </c>
    </row>
    <row r="10410" spans="1:21">
      <c r="A10410">
        <v>10409</v>
      </c>
      <c r="B10410" s="27" t="s">
        <v>1124</v>
      </c>
      <c r="D10410" s="27" t="s">
        <v>1859</v>
      </c>
      <c r="F10410" s="27" t="s">
        <v>1881</v>
      </c>
      <c r="H10410" s="27" t="s">
        <v>2679</v>
      </c>
      <c r="J10410" s="27" t="s">
        <v>2680</v>
      </c>
      <c r="L10410" s="27" t="s">
        <v>2681</v>
      </c>
      <c r="N10410" s="27" t="s">
        <v>14266</v>
      </c>
      <c r="P10410" s="27" t="s">
        <v>14268</v>
      </c>
      <c r="Q10410" s="26" t="str">
        <f>HYPERLINK("https://ictv.global/taxonomy/taxondetails?taxnode_id=202516038&amp;ictv_id=ICTV202316038","ICTV202316038")</f>
        <v>ICTV202316038</v>
      </c>
      <c r="R10410" t="s">
        <v>581</v>
      </c>
      <c r="S10410" t="s">
        <v>823</v>
      </c>
      <c r="T10410">
        <v>39</v>
      </c>
      <c r="U10410" s="26" t="str">
        <f t="shared" si="381"/>
        <v>2023.001B.Leviviricetes_reorg.zip</v>
      </c>
    </row>
    <row r="10411" spans="1:21">
      <c r="A10411">
        <v>10410</v>
      </c>
      <c r="B10411" s="27" t="s">
        <v>1124</v>
      </c>
      <c r="D10411" s="27" t="s">
        <v>1859</v>
      </c>
      <c r="F10411" s="27" t="s">
        <v>1881</v>
      </c>
      <c r="H10411" s="27" t="s">
        <v>2679</v>
      </c>
      <c r="J10411" s="27" t="s">
        <v>2680</v>
      </c>
      <c r="L10411" s="27" t="s">
        <v>2681</v>
      </c>
      <c r="N10411" s="27" t="s">
        <v>14266</v>
      </c>
      <c r="P10411" s="27" t="s">
        <v>14269</v>
      </c>
      <c r="Q10411" s="26" t="str">
        <f>HYPERLINK("https://ictv.global/taxonomy/taxondetails?taxnode_id=202516039&amp;ictv_id=ICTV202316039","ICTV202316039")</f>
        <v>ICTV202316039</v>
      </c>
      <c r="R10411" t="s">
        <v>581</v>
      </c>
      <c r="S10411" t="s">
        <v>823</v>
      </c>
      <c r="T10411">
        <v>39</v>
      </c>
      <c r="U10411" s="26" t="str">
        <f t="shared" si="381"/>
        <v>2023.001B.Leviviricetes_reorg.zip</v>
      </c>
    </row>
    <row r="10412" spans="1:21">
      <c r="A10412">
        <v>10411</v>
      </c>
      <c r="B10412" s="27" t="s">
        <v>1124</v>
      </c>
      <c r="D10412" s="27" t="s">
        <v>1859</v>
      </c>
      <c r="F10412" s="27" t="s">
        <v>1881</v>
      </c>
      <c r="H10412" s="27" t="s">
        <v>2679</v>
      </c>
      <c r="J10412" s="27" t="s">
        <v>2680</v>
      </c>
      <c r="L10412" s="27" t="s">
        <v>2681</v>
      </c>
      <c r="N10412" s="27" t="s">
        <v>14266</v>
      </c>
      <c r="P10412" s="27" t="s">
        <v>14270</v>
      </c>
      <c r="Q10412" s="26" t="str">
        <f>HYPERLINK("https://ictv.global/taxonomy/taxondetails?taxnode_id=202516040&amp;ictv_id=ICTV202316040","ICTV202316040")</f>
        <v>ICTV202316040</v>
      </c>
      <c r="R10412" t="s">
        <v>581</v>
      </c>
      <c r="S10412" t="s">
        <v>823</v>
      </c>
      <c r="T10412">
        <v>39</v>
      </c>
      <c r="U10412" s="26" t="str">
        <f t="shared" si="381"/>
        <v>2023.001B.Leviviricetes_reorg.zip</v>
      </c>
    </row>
    <row r="10413" spans="1:21">
      <c r="A10413">
        <v>10412</v>
      </c>
      <c r="B10413" s="27" t="s">
        <v>1124</v>
      </c>
      <c r="D10413" s="27" t="s">
        <v>1859</v>
      </c>
      <c r="F10413" s="27" t="s">
        <v>1881</v>
      </c>
      <c r="H10413" s="27" t="s">
        <v>2679</v>
      </c>
      <c r="J10413" s="27" t="s">
        <v>2680</v>
      </c>
      <c r="L10413" s="27" t="s">
        <v>2681</v>
      </c>
      <c r="N10413" s="27" t="s">
        <v>14266</v>
      </c>
      <c r="P10413" s="27" t="s">
        <v>14271</v>
      </c>
      <c r="Q10413" s="26" t="str">
        <f>HYPERLINK("https://ictv.global/taxonomy/taxondetails?taxnode_id=202516041&amp;ictv_id=ICTV202316041","ICTV202316041")</f>
        <v>ICTV202316041</v>
      </c>
      <c r="R10413" t="s">
        <v>581</v>
      </c>
      <c r="S10413" t="s">
        <v>823</v>
      </c>
      <c r="T10413">
        <v>39</v>
      </c>
      <c r="U10413" s="26" t="str">
        <f t="shared" si="381"/>
        <v>2023.001B.Leviviricetes_reorg.zip</v>
      </c>
    </row>
    <row r="10414" spans="1:21">
      <c r="A10414">
        <v>10413</v>
      </c>
      <c r="B10414" s="27" t="s">
        <v>1124</v>
      </c>
      <c r="D10414" s="27" t="s">
        <v>1859</v>
      </c>
      <c r="F10414" s="27" t="s">
        <v>1881</v>
      </c>
      <c r="H10414" s="27" t="s">
        <v>2679</v>
      </c>
      <c r="J10414" s="27" t="s">
        <v>2680</v>
      </c>
      <c r="L10414" s="27" t="s">
        <v>2681</v>
      </c>
      <c r="N10414" s="27" t="s">
        <v>14266</v>
      </c>
      <c r="P10414" s="27" t="s">
        <v>14272</v>
      </c>
      <c r="Q10414" s="26" t="str">
        <f>HYPERLINK("https://ictv.global/taxonomy/taxondetails?taxnode_id=202510808&amp;ictv_id=ICTV202010808","ICTV202010808")</f>
        <v>ICTV202010808</v>
      </c>
      <c r="R10414" t="s">
        <v>581</v>
      </c>
      <c r="S10414" t="s">
        <v>22764</v>
      </c>
      <c r="T10414">
        <v>39</v>
      </c>
      <c r="U10414" s="26" t="str">
        <f t="shared" si="381"/>
        <v>2023.001B.Leviviricetes_reorg.zip</v>
      </c>
    </row>
    <row r="10415" spans="1:21">
      <c r="A10415">
        <v>10414</v>
      </c>
      <c r="B10415" s="27" t="s">
        <v>1124</v>
      </c>
      <c r="D10415" s="27" t="s">
        <v>1859</v>
      </c>
      <c r="F10415" s="27" t="s">
        <v>1881</v>
      </c>
      <c r="H10415" s="27" t="s">
        <v>2679</v>
      </c>
      <c r="J10415" s="27" t="s">
        <v>2680</v>
      </c>
      <c r="L10415" s="27" t="s">
        <v>2681</v>
      </c>
      <c r="N10415" s="27" t="s">
        <v>14266</v>
      </c>
      <c r="P10415" s="27" t="s">
        <v>14273</v>
      </c>
      <c r="Q10415" s="26" t="str">
        <f>HYPERLINK("https://ictv.global/taxonomy/taxondetails?taxnode_id=202510812&amp;ictv_id=ICTV202010812","ICTV202010812")</f>
        <v>ICTV202010812</v>
      </c>
      <c r="R10415" t="s">
        <v>581</v>
      </c>
      <c r="S10415" t="s">
        <v>22764</v>
      </c>
      <c r="T10415">
        <v>39</v>
      </c>
      <c r="U10415" s="26" t="str">
        <f t="shared" si="381"/>
        <v>2023.001B.Leviviricetes_reorg.zip</v>
      </c>
    </row>
    <row r="10416" spans="1:21">
      <c r="A10416">
        <v>10415</v>
      </c>
      <c r="B10416" s="27" t="s">
        <v>1124</v>
      </c>
      <c r="D10416" s="27" t="s">
        <v>1859</v>
      </c>
      <c r="F10416" s="27" t="s">
        <v>1881</v>
      </c>
      <c r="H10416" s="27" t="s">
        <v>2679</v>
      </c>
      <c r="J10416" s="27" t="s">
        <v>2680</v>
      </c>
      <c r="L10416" s="27" t="s">
        <v>2681</v>
      </c>
      <c r="N10416" s="27" t="s">
        <v>14266</v>
      </c>
      <c r="P10416" s="27" t="s">
        <v>14274</v>
      </c>
      <c r="Q10416" s="26" t="str">
        <f>HYPERLINK("https://ictv.global/taxonomy/taxondetails?taxnode_id=202510813&amp;ictv_id=ICTV202010813","ICTV202010813")</f>
        <v>ICTV202010813</v>
      </c>
      <c r="R10416" t="s">
        <v>581</v>
      </c>
      <c r="S10416" t="s">
        <v>22764</v>
      </c>
      <c r="T10416">
        <v>39</v>
      </c>
      <c r="U10416" s="26" t="str">
        <f t="shared" si="381"/>
        <v>2023.001B.Leviviricetes_reorg.zip</v>
      </c>
    </row>
    <row r="10417" spans="1:21">
      <c r="A10417">
        <v>10416</v>
      </c>
      <c r="B10417" s="27" t="s">
        <v>1124</v>
      </c>
      <c r="D10417" s="27" t="s">
        <v>1859</v>
      </c>
      <c r="F10417" s="27" t="s">
        <v>1881</v>
      </c>
      <c r="H10417" s="27" t="s">
        <v>2679</v>
      </c>
      <c r="J10417" s="27" t="s">
        <v>2680</v>
      </c>
      <c r="L10417" s="27" t="s">
        <v>2681</v>
      </c>
      <c r="N10417" s="27" t="s">
        <v>14266</v>
      </c>
      <c r="P10417" s="27" t="s">
        <v>14275</v>
      </c>
      <c r="Q10417" s="26" t="str">
        <f>HYPERLINK("https://ictv.global/taxonomy/taxondetails?taxnode_id=202510809&amp;ictv_id=ICTV202010809","ICTV202010809")</f>
        <v>ICTV202010809</v>
      </c>
      <c r="R10417" t="s">
        <v>581</v>
      </c>
      <c r="S10417" t="s">
        <v>22764</v>
      </c>
      <c r="T10417">
        <v>39</v>
      </c>
      <c r="U10417" s="26" t="str">
        <f t="shared" si="381"/>
        <v>2023.001B.Leviviricetes_reorg.zip</v>
      </c>
    </row>
    <row r="10418" spans="1:21">
      <c r="A10418">
        <v>10417</v>
      </c>
      <c r="B10418" s="27" t="s">
        <v>1124</v>
      </c>
      <c r="D10418" s="27" t="s">
        <v>1859</v>
      </c>
      <c r="F10418" s="27" t="s">
        <v>1881</v>
      </c>
      <c r="H10418" s="27" t="s">
        <v>2679</v>
      </c>
      <c r="J10418" s="27" t="s">
        <v>2680</v>
      </c>
      <c r="L10418" s="27" t="s">
        <v>2681</v>
      </c>
      <c r="N10418" s="27" t="s">
        <v>14266</v>
      </c>
      <c r="P10418" s="27" t="s">
        <v>14276</v>
      </c>
      <c r="Q10418" s="26" t="str">
        <f>HYPERLINK("https://ictv.global/taxonomy/taxondetails?taxnode_id=202510810&amp;ictv_id=ICTV202010810","ICTV202010810")</f>
        <v>ICTV202010810</v>
      </c>
      <c r="R10418" t="s">
        <v>581</v>
      </c>
      <c r="S10418" t="s">
        <v>22764</v>
      </c>
      <c r="T10418">
        <v>39</v>
      </c>
      <c r="U10418" s="26" t="str">
        <f t="shared" si="381"/>
        <v>2023.001B.Leviviricetes_reorg.zip</v>
      </c>
    </row>
    <row r="10419" spans="1:21">
      <c r="A10419">
        <v>10418</v>
      </c>
      <c r="B10419" s="27" t="s">
        <v>1124</v>
      </c>
      <c r="D10419" s="27" t="s">
        <v>1859</v>
      </c>
      <c r="F10419" s="27" t="s">
        <v>1881</v>
      </c>
      <c r="H10419" s="27" t="s">
        <v>2679</v>
      </c>
      <c r="J10419" s="27" t="s">
        <v>2680</v>
      </c>
      <c r="L10419" s="27" t="s">
        <v>2681</v>
      </c>
      <c r="N10419" s="27" t="s">
        <v>14266</v>
      </c>
      <c r="P10419" s="27" t="s">
        <v>14277</v>
      </c>
      <c r="Q10419" s="26" t="str">
        <f>HYPERLINK("https://ictv.global/taxonomy/taxondetails?taxnode_id=202510814&amp;ictv_id=ICTV202010814","ICTV202010814")</f>
        <v>ICTV202010814</v>
      </c>
      <c r="R10419" t="s">
        <v>581</v>
      </c>
      <c r="S10419" t="s">
        <v>22764</v>
      </c>
      <c r="T10419">
        <v>39</v>
      </c>
      <c r="U10419" s="26" t="str">
        <f t="shared" si="381"/>
        <v>2023.001B.Leviviricetes_reorg.zip</v>
      </c>
    </row>
    <row r="10420" spans="1:21">
      <c r="A10420">
        <v>10419</v>
      </c>
      <c r="B10420" s="27" t="s">
        <v>1124</v>
      </c>
      <c r="D10420" s="27" t="s">
        <v>1859</v>
      </c>
      <c r="F10420" s="27" t="s">
        <v>1881</v>
      </c>
      <c r="H10420" s="27" t="s">
        <v>2679</v>
      </c>
      <c r="J10420" s="27" t="s">
        <v>2680</v>
      </c>
      <c r="L10420" s="27" t="s">
        <v>2681</v>
      </c>
      <c r="N10420" s="27" t="s">
        <v>14266</v>
      </c>
      <c r="P10420" s="27" t="s">
        <v>14278</v>
      </c>
      <c r="Q10420" s="26" t="str">
        <f>HYPERLINK("https://ictv.global/taxonomy/taxondetails?taxnode_id=202510815&amp;ictv_id=ICTV202010815","ICTV202010815")</f>
        <v>ICTV202010815</v>
      </c>
      <c r="R10420" t="s">
        <v>581</v>
      </c>
      <c r="S10420" t="s">
        <v>22764</v>
      </c>
      <c r="T10420">
        <v>39</v>
      </c>
      <c r="U10420" s="26" t="str">
        <f t="shared" si="381"/>
        <v>2023.001B.Leviviricetes_reorg.zip</v>
      </c>
    </row>
    <row r="10421" spans="1:21">
      <c r="A10421">
        <v>10420</v>
      </c>
      <c r="B10421" s="27" t="s">
        <v>1124</v>
      </c>
      <c r="D10421" s="27" t="s">
        <v>1859</v>
      </c>
      <c r="F10421" s="27" t="s">
        <v>1881</v>
      </c>
      <c r="H10421" s="27" t="s">
        <v>2679</v>
      </c>
      <c r="J10421" s="27" t="s">
        <v>2680</v>
      </c>
      <c r="L10421" s="27" t="s">
        <v>2681</v>
      </c>
      <c r="N10421" s="27" t="s">
        <v>14279</v>
      </c>
      <c r="P10421" s="27" t="s">
        <v>14280</v>
      </c>
      <c r="Q10421" s="26" t="str">
        <f>HYPERLINK("https://ictv.global/taxonomy/taxondetails?taxnode_id=202510804&amp;ictv_id=ICTV202010804","ICTV202010804")</f>
        <v>ICTV202010804</v>
      </c>
      <c r="R10421" t="s">
        <v>581</v>
      </c>
      <c r="S10421" t="s">
        <v>22764</v>
      </c>
      <c r="T10421">
        <v>39</v>
      </c>
      <c r="U10421" s="26" t="str">
        <f t="shared" si="381"/>
        <v>2023.001B.Leviviricetes_reorg.zip</v>
      </c>
    </row>
    <row r="10422" spans="1:21">
      <c r="A10422">
        <v>10421</v>
      </c>
      <c r="B10422" s="27" t="s">
        <v>1124</v>
      </c>
      <c r="D10422" s="27" t="s">
        <v>1859</v>
      </c>
      <c r="F10422" s="27" t="s">
        <v>1881</v>
      </c>
      <c r="H10422" s="27" t="s">
        <v>2679</v>
      </c>
      <c r="J10422" s="27" t="s">
        <v>2680</v>
      </c>
      <c r="L10422" s="27" t="s">
        <v>2681</v>
      </c>
      <c r="N10422" s="27" t="s">
        <v>2682</v>
      </c>
      <c r="P10422" s="27" t="s">
        <v>2683</v>
      </c>
      <c r="Q10422" s="26" t="str">
        <f>HYPERLINK("https://ictv.global/taxonomy/taxondetails?taxnode_id=202510696&amp;ictv_id=ICTV202010696","ICTV202010696")</f>
        <v>ICTV202010696</v>
      </c>
      <c r="R10422" t="s">
        <v>581</v>
      </c>
      <c r="S10422" t="s">
        <v>823</v>
      </c>
      <c r="T10422">
        <v>36</v>
      </c>
      <c r="U10422" s="26" t="str">
        <f>HYPERLINK("https://ictv.global/ictv/proposals/2020.095B.R.Leviviricetes.zip","2020.095B.R.Leviviricetes.zip")</f>
        <v>2020.095B.R.Leviviricetes.zip</v>
      </c>
    </row>
    <row r="10423" spans="1:21">
      <c r="A10423">
        <v>10422</v>
      </c>
      <c r="B10423" s="27" t="s">
        <v>1124</v>
      </c>
      <c r="D10423" s="27" t="s">
        <v>1859</v>
      </c>
      <c r="F10423" s="27" t="s">
        <v>1881</v>
      </c>
      <c r="H10423" s="27" t="s">
        <v>2679</v>
      </c>
      <c r="J10423" s="27" t="s">
        <v>2680</v>
      </c>
      <c r="L10423" s="27" t="s">
        <v>2681</v>
      </c>
      <c r="N10423" s="27" t="s">
        <v>2684</v>
      </c>
      <c r="P10423" s="27" t="s">
        <v>2685</v>
      </c>
      <c r="Q10423" s="26" t="str">
        <f>HYPERLINK("https://ictv.global/taxonomy/taxondetails?taxnode_id=202510699&amp;ictv_id=ICTV202010699","ICTV202010699")</f>
        <v>ICTV202010699</v>
      </c>
      <c r="R10423" t="s">
        <v>581</v>
      </c>
      <c r="S10423" t="s">
        <v>823</v>
      </c>
      <c r="T10423">
        <v>36</v>
      </c>
      <c r="U10423" s="26" t="str">
        <f>HYPERLINK("https://ictv.global/ictv/proposals/2020.095B.R.Leviviricetes.zip","2020.095B.R.Leviviricetes.zip")</f>
        <v>2020.095B.R.Leviviricetes.zip</v>
      </c>
    </row>
    <row r="10424" spans="1:21">
      <c r="A10424">
        <v>10423</v>
      </c>
      <c r="B10424" s="27" t="s">
        <v>1124</v>
      </c>
      <c r="D10424" s="27" t="s">
        <v>1859</v>
      </c>
      <c r="F10424" s="27" t="s">
        <v>1881</v>
      </c>
      <c r="H10424" s="27" t="s">
        <v>2679</v>
      </c>
      <c r="J10424" s="27" t="s">
        <v>2680</v>
      </c>
      <c r="L10424" s="27" t="s">
        <v>2681</v>
      </c>
      <c r="N10424" s="27" t="s">
        <v>2684</v>
      </c>
      <c r="P10424" s="27" t="s">
        <v>2686</v>
      </c>
      <c r="Q10424" s="26" t="str">
        <f>HYPERLINK("https://ictv.global/taxonomy/taxondetails?taxnode_id=202510698&amp;ictv_id=ICTV202010698","ICTV202010698")</f>
        <v>ICTV202010698</v>
      </c>
      <c r="R10424" t="s">
        <v>581</v>
      </c>
      <c r="S10424" t="s">
        <v>823</v>
      </c>
      <c r="T10424">
        <v>36</v>
      </c>
      <c r="U10424" s="26" t="str">
        <f>HYPERLINK("https://ictv.global/ictv/proposals/2020.095B.R.Leviviricetes.zip","2020.095B.R.Leviviricetes.zip")</f>
        <v>2020.095B.R.Leviviricetes.zip</v>
      </c>
    </row>
    <row r="10425" spans="1:21">
      <c r="A10425">
        <v>10424</v>
      </c>
      <c r="B10425" s="27" t="s">
        <v>1124</v>
      </c>
      <c r="D10425" s="27" t="s">
        <v>1859</v>
      </c>
      <c r="F10425" s="27" t="s">
        <v>1881</v>
      </c>
      <c r="H10425" s="27" t="s">
        <v>2679</v>
      </c>
      <c r="J10425" s="27" t="s">
        <v>2680</v>
      </c>
      <c r="L10425" s="27" t="s">
        <v>2681</v>
      </c>
      <c r="N10425" s="27" t="s">
        <v>2684</v>
      </c>
      <c r="P10425" s="27" t="s">
        <v>14281</v>
      </c>
      <c r="Q10425" s="26" t="str">
        <f>HYPERLINK("https://ictv.global/taxonomy/taxondetails?taxnode_id=202516042&amp;ictv_id=ICTV202316042","ICTV202316042")</f>
        <v>ICTV202316042</v>
      </c>
      <c r="R10425" t="s">
        <v>581</v>
      </c>
      <c r="S10425" t="s">
        <v>823</v>
      </c>
      <c r="T10425">
        <v>39</v>
      </c>
      <c r="U10425" s="26" t="str">
        <f>HYPERLINK("https://ictv.global/ictv/proposals/2023.001B.Leviviricetes_reorg.zip","2023.001B.Leviviricetes_reorg.zip")</f>
        <v>2023.001B.Leviviricetes_reorg.zip</v>
      </c>
    </row>
    <row r="10426" spans="1:21">
      <c r="A10426">
        <v>10425</v>
      </c>
      <c r="B10426" s="27" t="s">
        <v>1124</v>
      </c>
      <c r="D10426" s="27" t="s">
        <v>1859</v>
      </c>
      <c r="F10426" s="27" t="s">
        <v>1881</v>
      </c>
      <c r="H10426" s="27" t="s">
        <v>2679</v>
      </c>
      <c r="J10426" s="27" t="s">
        <v>2680</v>
      </c>
      <c r="L10426" s="27" t="s">
        <v>2681</v>
      </c>
      <c r="N10426" s="27" t="s">
        <v>2684</v>
      </c>
      <c r="P10426" s="27" t="s">
        <v>14282</v>
      </c>
      <c r="Q10426" s="26" t="str">
        <f>HYPERLINK("https://ictv.global/taxonomy/taxondetails?taxnode_id=202510828&amp;ictv_id=ICTV202010828","ICTV202010828")</f>
        <v>ICTV202010828</v>
      </c>
      <c r="R10426" t="s">
        <v>581</v>
      </c>
      <c r="S10426" t="s">
        <v>22764</v>
      </c>
      <c r="T10426">
        <v>39</v>
      </c>
      <c r="U10426" s="26" t="str">
        <f>HYPERLINK("https://ictv.global/ictv/proposals/2023.001B.Leviviricetes_reorg.zip","2023.001B.Leviviricetes_reorg.zip")</f>
        <v>2023.001B.Leviviricetes_reorg.zip</v>
      </c>
    </row>
    <row r="10427" spans="1:21">
      <c r="A10427">
        <v>10426</v>
      </c>
      <c r="B10427" s="27" t="s">
        <v>1124</v>
      </c>
      <c r="D10427" s="27" t="s">
        <v>1859</v>
      </c>
      <c r="F10427" s="27" t="s">
        <v>1881</v>
      </c>
      <c r="H10427" s="27" t="s">
        <v>2679</v>
      </c>
      <c r="J10427" s="27" t="s">
        <v>2680</v>
      </c>
      <c r="L10427" s="27" t="s">
        <v>2681</v>
      </c>
      <c r="N10427" s="27" t="s">
        <v>2687</v>
      </c>
      <c r="P10427" s="27" t="s">
        <v>2688</v>
      </c>
      <c r="Q10427" s="26" t="str">
        <f>HYPERLINK("https://ictv.global/taxonomy/taxondetails?taxnode_id=202510701&amp;ictv_id=ICTV202010701","ICTV202010701")</f>
        <v>ICTV202010701</v>
      </c>
      <c r="R10427" t="s">
        <v>581</v>
      </c>
      <c r="S10427" t="s">
        <v>823</v>
      </c>
      <c r="T10427">
        <v>36</v>
      </c>
      <c r="U10427" s="26" t="str">
        <f>HYPERLINK("https://ictv.global/ictv/proposals/2020.095B.R.Leviviricetes.zip","2020.095B.R.Leviviricetes.zip")</f>
        <v>2020.095B.R.Leviviricetes.zip</v>
      </c>
    </row>
    <row r="10428" spans="1:21">
      <c r="A10428">
        <v>10427</v>
      </c>
      <c r="B10428" s="27" t="s">
        <v>1124</v>
      </c>
      <c r="D10428" s="27" t="s">
        <v>1859</v>
      </c>
      <c r="F10428" s="27" t="s">
        <v>1881</v>
      </c>
      <c r="H10428" s="27" t="s">
        <v>2679</v>
      </c>
      <c r="J10428" s="27" t="s">
        <v>2680</v>
      </c>
      <c r="L10428" s="27" t="s">
        <v>2681</v>
      </c>
      <c r="N10428" s="27" t="s">
        <v>14283</v>
      </c>
      <c r="P10428" s="27" t="s">
        <v>14284</v>
      </c>
      <c r="Q10428" s="26" t="str">
        <f>HYPERLINK("https://ictv.global/taxonomy/taxondetails?taxnode_id=202516043&amp;ictv_id=ICTV202316043","ICTV202316043")</f>
        <v>ICTV202316043</v>
      </c>
      <c r="R10428" t="s">
        <v>581</v>
      </c>
      <c r="S10428" t="s">
        <v>823</v>
      </c>
      <c r="T10428">
        <v>39</v>
      </c>
      <c r="U10428" s="26" t="str">
        <f>HYPERLINK("https://ictv.global/ictv/proposals/2023.001B.Leviviricetes_reorg.zip","2023.001B.Leviviricetes_reorg.zip")</f>
        <v>2023.001B.Leviviricetes_reorg.zip</v>
      </c>
    </row>
    <row r="10429" spans="1:21">
      <c r="A10429">
        <v>10428</v>
      </c>
      <c r="B10429" s="27" t="s">
        <v>1124</v>
      </c>
      <c r="D10429" s="27" t="s">
        <v>1859</v>
      </c>
      <c r="F10429" s="27" t="s">
        <v>1881</v>
      </c>
      <c r="H10429" s="27" t="s">
        <v>2679</v>
      </c>
      <c r="J10429" s="27" t="s">
        <v>2680</v>
      </c>
      <c r="L10429" s="27" t="s">
        <v>2681</v>
      </c>
      <c r="N10429" s="27" t="s">
        <v>14283</v>
      </c>
      <c r="P10429" s="27" t="s">
        <v>14285</v>
      </c>
      <c r="Q10429" s="26" t="str">
        <f>HYPERLINK("https://ictv.global/taxonomy/taxondetails?taxnode_id=202516044&amp;ictv_id=ICTV202316044","ICTV202316044")</f>
        <v>ICTV202316044</v>
      </c>
      <c r="R10429" t="s">
        <v>581</v>
      </c>
      <c r="S10429" t="s">
        <v>823</v>
      </c>
      <c r="T10429">
        <v>39</v>
      </c>
      <c r="U10429" s="26" t="str">
        <f>HYPERLINK("https://ictv.global/ictv/proposals/2023.001B.Leviviricetes_reorg.zip","2023.001B.Leviviricetes_reorg.zip")</f>
        <v>2023.001B.Leviviricetes_reorg.zip</v>
      </c>
    </row>
    <row r="10430" spans="1:21">
      <c r="A10430">
        <v>10429</v>
      </c>
      <c r="B10430" s="27" t="s">
        <v>1124</v>
      </c>
      <c r="D10430" s="27" t="s">
        <v>1859</v>
      </c>
      <c r="F10430" s="27" t="s">
        <v>1881</v>
      </c>
      <c r="H10430" s="27" t="s">
        <v>2679</v>
      </c>
      <c r="J10430" s="27" t="s">
        <v>2680</v>
      </c>
      <c r="L10430" s="27" t="s">
        <v>2681</v>
      </c>
      <c r="N10430" s="27" t="s">
        <v>14286</v>
      </c>
      <c r="P10430" s="27" t="s">
        <v>14287</v>
      </c>
      <c r="Q10430" s="26" t="str">
        <f>HYPERLINK("https://ictv.global/taxonomy/taxondetails?taxnode_id=202516045&amp;ictv_id=ICTV202316045","ICTV202316045")</f>
        <v>ICTV202316045</v>
      </c>
      <c r="R10430" t="s">
        <v>581</v>
      </c>
      <c r="S10430" t="s">
        <v>823</v>
      </c>
      <c r="T10430">
        <v>39</v>
      </c>
      <c r="U10430" s="26" t="str">
        <f>HYPERLINK("https://ictv.global/ictv/proposals/2023.001B.Leviviricetes_reorg.zip","2023.001B.Leviviricetes_reorg.zip")</f>
        <v>2023.001B.Leviviricetes_reorg.zip</v>
      </c>
    </row>
    <row r="10431" spans="1:21">
      <c r="A10431">
        <v>10430</v>
      </c>
      <c r="B10431" s="27" t="s">
        <v>1124</v>
      </c>
      <c r="D10431" s="27" t="s">
        <v>1859</v>
      </c>
      <c r="F10431" s="27" t="s">
        <v>1881</v>
      </c>
      <c r="H10431" s="27" t="s">
        <v>2679</v>
      </c>
      <c r="J10431" s="27" t="s">
        <v>2680</v>
      </c>
      <c r="L10431" s="27" t="s">
        <v>2681</v>
      </c>
      <c r="N10431" s="27" t="s">
        <v>14288</v>
      </c>
      <c r="P10431" s="27" t="s">
        <v>14289</v>
      </c>
      <c r="Q10431" s="26" t="str">
        <f>HYPERLINK("https://ictv.global/taxonomy/taxondetails?taxnode_id=202516046&amp;ictv_id=ICTV202316046","ICTV202316046")</f>
        <v>ICTV202316046</v>
      </c>
      <c r="R10431" t="s">
        <v>581</v>
      </c>
      <c r="S10431" t="s">
        <v>823</v>
      </c>
      <c r="T10431">
        <v>39</v>
      </c>
      <c r="U10431" s="26" t="str">
        <f>HYPERLINK("https://ictv.global/ictv/proposals/2023.001B.Leviviricetes_reorg.zip","2023.001B.Leviviricetes_reorg.zip")</f>
        <v>2023.001B.Leviviricetes_reorg.zip</v>
      </c>
    </row>
    <row r="10432" spans="1:21">
      <c r="A10432">
        <v>10431</v>
      </c>
      <c r="B10432" s="27" t="s">
        <v>1124</v>
      </c>
      <c r="D10432" s="27" t="s">
        <v>1859</v>
      </c>
      <c r="F10432" s="27" t="s">
        <v>1881</v>
      </c>
      <c r="H10432" s="27" t="s">
        <v>2679</v>
      </c>
      <c r="J10432" s="27" t="s">
        <v>2680</v>
      </c>
      <c r="L10432" s="27" t="s">
        <v>2681</v>
      </c>
      <c r="N10432" s="27" t="s">
        <v>14290</v>
      </c>
      <c r="P10432" s="27" t="s">
        <v>14291</v>
      </c>
      <c r="Q10432" s="26" t="str">
        <f>HYPERLINK("https://ictv.global/taxonomy/taxondetails?taxnode_id=202516047&amp;ictv_id=ICTV202316047","ICTV202316047")</f>
        <v>ICTV202316047</v>
      </c>
      <c r="R10432" t="s">
        <v>581</v>
      </c>
      <c r="S10432" t="s">
        <v>823</v>
      </c>
      <c r="T10432">
        <v>39</v>
      </c>
      <c r="U10432" s="26" t="str">
        <f>HYPERLINK("https://ictv.global/ictv/proposals/2023.001B.Leviviricetes_reorg.zip","2023.001B.Leviviricetes_reorg.zip")</f>
        <v>2023.001B.Leviviricetes_reorg.zip</v>
      </c>
    </row>
    <row r="10433" spans="1:21">
      <c r="A10433">
        <v>10432</v>
      </c>
      <c r="B10433" s="27" t="s">
        <v>1124</v>
      </c>
      <c r="D10433" s="27" t="s">
        <v>1859</v>
      </c>
      <c r="F10433" s="27" t="s">
        <v>1881</v>
      </c>
      <c r="H10433" s="27" t="s">
        <v>2679</v>
      </c>
      <c r="J10433" s="27" t="s">
        <v>2680</v>
      </c>
      <c r="L10433" s="27" t="s">
        <v>2681</v>
      </c>
      <c r="N10433" s="27" t="s">
        <v>2689</v>
      </c>
      <c r="P10433" s="27" t="s">
        <v>2690</v>
      </c>
      <c r="Q10433" s="26" t="str">
        <f>HYPERLINK("https://ictv.global/taxonomy/taxondetails?taxnode_id=202510703&amp;ictv_id=ICTV202010703","ICTV202010703")</f>
        <v>ICTV202010703</v>
      </c>
      <c r="R10433" t="s">
        <v>581</v>
      </c>
      <c r="S10433" t="s">
        <v>823</v>
      </c>
      <c r="T10433">
        <v>36</v>
      </c>
      <c r="U10433" s="26" t="str">
        <f>HYPERLINK("https://ictv.global/ictv/proposals/2020.095B.R.Leviviricetes.zip","2020.095B.R.Leviviricetes.zip")</f>
        <v>2020.095B.R.Leviviricetes.zip</v>
      </c>
    </row>
    <row r="10434" spans="1:21">
      <c r="A10434">
        <v>10433</v>
      </c>
      <c r="B10434" s="27" t="s">
        <v>1124</v>
      </c>
      <c r="D10434" s="27" t="s">
        <v>1859</v>
      </c>
      <c r="F10434" s="27" t="s">
        <v>1881</v>
      </c>
      <c r="H10434" s="27" t="s">
        <v>2679</v>
      </c>
      <c r="J10434" s="27" t="s">
        <v>2680</v>
      </c>
      <c r="L10434" s="27" t="s">
        <v>2681</v>
      </c>
      <c r="N10434" s="27" t="s">
        <v>2689</v>
      </c>
      <c r="P10434" s="27" t="s">
        <v>2691</v>
      </c>
      <c r="Q10434" s="26" t="str">
        <f>HYPERLINK("https://ictv.global/taxonomy/taxondetails?taxnode_id=202510704&amp;ictv_id=ICTV202010704","ICTV202010704")</f>
        <v>ICTV202010704</v>
      </c>
      <c r="R10434" t="s">
        <v>581</v>
      </c>
      <c r="S10434" t="s">
        <v>823</v>
      </c>
      <c r="T10434">
        <v>36</v>
      </c>
      <c r="U10434" s="26" t="str">
        <f>HYPERLINK("https://ictv.global/ictv/proposals/2020.095B.R.Leviviricetes.zip","2020.095B.R.Leviviricetes.zip")</f>
        <v>2020.095B.R.Leviviricetes.zip</v>
      </c>
    </row>
    <row r="10435" spans="1:21">
      <c r="A10435">
        <v>10434</v>
      </c>
      <c r="B10435" s="27" t="s">
        <v>1124</v>
      </c>
      <c r="D10435" s="27" t="s">
        <v>1859</v>
      </c>
      <c r="F10435" s="27" t="s">
        <v>1881</v>
      </c>
      <c r="H10435" s="27" t="s">
        <v>2679</v>
      </c>
      <c r="J10435" s="27" t="s">
        <v>2680</v>
      </c>
      <c r="L10435" s="27" t="s">
        <v>2681</v>
      </c>
      <c r="N10435" s="27" t="s">
        <v>14292</v>
      </c>
      <c r="P10435" s="27" t="s">
        <v>14293</v>
      </c>
      <c r="Q10435" s="26" t="str">
        <f>HYPERLINK("https://ictv.global/taxonomy/taxondetails?taxnode_id=202516048&amp;ictv_id=ICTV202316048","ICTV202316048")</f>
        <v>ICTV202316048</v>
      </c>
      <c r="R10435" t="s">
        <v>581</v>
      </c>
      <c r="S10435" t="s">
        <v>823</v>
      </c>
      <c r="T10435">
        <v>39</v>
      </c>
      <c r="U10435" s="26" t="str">
        <f t="shared" ref="U10435:U10467" si="382">HYPERLINK("https://ictv.global/ictv/proposals/2023.001B.Leviviricetes_reorg.zip","2023.001B.Leviviricetes_reorg.zip")</f>
        <v>2023.001B.Leviviricetes_reorg.zip</v>
      </c>
    </row>
    <row r="10436" spans="1:21">
      <c r="A10436">
        <v>10435</v>
      </c>
      <c r="B10436" s="27" t="s">
        <v>1124</v>
      </c>
      <c r="D10436" s="27" t="s">
        <v>1859</v>
      </c>
      <c r="F10436" s="27" t="s">
        <v>1881</v>
      </c>
      <c r="H10436" s="27" t="s">
        <v>2679</v>
      </c>
      <c r="J10436" s="27" t="s">
        <v>2680</v>
      </c>
      <c r="L10436" s="27" t="s">
        <v>2681</v>
      </c>
      <c r="N10436" s="27" t="s">
        <v>14292</v>
      </c>
      <c r="P10436" s="27" t="s">
        <v>14294</v>
      </c>
      <c r="Q10436" s="26" t="str">
        <f>HYPERLINK("https://ictv.global/taxonomy/taxondetails?taxnode_id=202516049&amp;ictv_id=ICTV202316049","ICTV202316049")</f>
        <v>ICTV202316049</v>
      </c>
      <c r="R10436" t="s">
        <v>581</v>
      </c>
      <c r="S10436" t="s">
        <v>823</v>
      </c>
      <c r="T10436">
        <v>39</v>
      </c>
      <c r="U10436" s="26" t="str">
        <f t="shared" si="382"/>
        <v>2023.001B.Leviviricetes_reorg.zip</v>
      </c>
    </row>
    <row r="10437" spans="1:21">
      <c r="A10437">
        <v>10436</v>
      </c>
      <c r="B10437" s="27" t="s">
        <v>1124</v>
      </c>
      <c r="D10437" s="27" t="s">
        <v>1859</v>
      </c>
      <c r="F10437" s="27" t="s">
        <v>1881</v>
      </c>
      <c r="H10437" s="27" t="s">
        <v>2679</v>
      </c>
      <c r="J10437" s="27" t="s">
        <v>2680</v>
      </c>
      <c r="L10437" s="27" t="s">
        <v>2681</v>
      </c>
      <c r="N10437" s="27" t="s">
        <v>14295</v>
      </c>
      <c r="P10437" s="27" t="s">
        <v>14296</v>
      </c>
      <c r="Q10437" s="26" t="str">
        <f>HYPERLINK("https://ictv.global/taxonomy/taxondetails?taxnode_id=202516050&amp;ictv_id=ICTV202316050","ICTV202316050")</f>
        <v>ICTV202316050</v>
      </c>
      <c r="R10437" t="s">
        <v>581</v>
      </c>
      <c r="S10437" t="s">
        <v>823</v>
      </c>
      <c r="T10437">
        <v>39</v>
      </c>
      <c r="U10437" s="26" t="str">
        <f t="shared" si="382"/>
        <v>2023.001B.Leviviricetes_reorg.zip</v>
      </c>
    </row>
    <row r="10438" spans="1:21">
      <c r="A10438">
        <v>10437</v>
      </c>
      <c r="B10438" s="27" t="s">
        <v>1124</v>
      </c>
      <c r="D10438" s="27" t="s">
        <v>1859</v>
      </c>
      <c r="F10438" s="27" t="s">
        <v>1881</v>
      </c>
      <c r="H10438" s="27" t="s">
        <v>2679</v>
      </c>
      <c r="J10438" s="27" t="s">
        <v>2680</v>
      </c>
      <c r="L10438" s="27" t="s">
        <v>2681</v>
      </c>
      <c r="N10438" s="27" t="s">
        <v>14297</v>
      </c>
      <c r="P10438" s="27" t="s">
        <v>14298</v>
      </c>
      <c r="Q10438" s="26" t="str">
        <f>HYPERLINK("https://ictv.global/taxonomy/taxondetails?taxnode_id=202516051&amp;ictv_id=ICTV202316051","ICTV202316051")</f>
        <v>ICTV202316051</v>
      </c>
      <c r="R10438" t="s">
        <v>581</v>
      </c>
      <c r="S10438" t="s">
        <v>823</v>
      </c>
      <c r="T10438">
        <v>39</v>
      </c>
      <c r="U10438" s="26" t="str">
        <f t="shared" si="382"/>
        <v>2023.001B.Leviviricetes_reorg.zip</v>
      </c>
    </row>
    <row r="10439" spans="1:21">
      <c r="A10439">
        <v>10438</v>
      </c>
      <c r="B10439" s="27" t="s">
        <v>1124</v>
      </c>
      <c r="D10439" s="27" t="s">
        <v>1859</v>
      </c>
      <c r="F10439" s="27" t="s">
        <v>1881</v>
      </c>
      <c r="H10439" s="27" t="s">
        <v>2679</v>
      </c>
      <c r="J10439" s="27" t="s">
        <v>2680</v>
      </c>
      <c r="L10439" s="27" t="s">
        <v>2681</v>
      </c>
      <c r="N10439" s="27" t="s">
        <v>14297</v>
      </c>
      <c r="P10439" s="27" t="s">
        <v>14299</v>
      </c>
      <c r="Q10439" s="26" t="str">
        <f>HYPERLINK("https://ictv.global/taxonomy/taxondetails?taxnode_id=202516052&amp;ictv_id=ICTV202316052","ICTV202316052")</f>
        <v>ICTV202316052</v>
      </c>
      <c r="R10439" t="s">
        <v>581</v>
      </c>
      <c r="S10439" t="s">
        <v>823</v>
      </c>
      <c r="T10439">
        <v>39</v>
      </c>
      <c r="U10439" s="26" t="str">
        <f t="shared" si="382"/>
        <v>2023.001B.Leviviricetes_reorg.zip</v>
      </c>
    </row>
    <row r="10440" spans="1:21">
      <c r="A10440">
        <v>10439</v>
      </c>
      <c r="B10440" s="27" t="s">
        <v>1124</v>
      </c>
      <c r="D10440" s="27" t="s">
        <v>1859</v>
      </c>
      <c r="F10440" s="27" t="s">
        <v>1881</v>
      </c>
      <c r="H10440" s="27" t="s">
        <v>2679</v>
      </c>
      <c r="J10440" s="27" t="s">
        <v>2680</v>
      </c>
      <c r="L10440" s="27" t="s">
        <v>2681</v>
      </c>
      <c r="N10440" s="27" t="s">
        <v>14300</v>
      </c>
      <c r="P10440" s="27" t="s">
        <v>14301</v>
      </c>
      <c r="Q10440" s="26" t="str">
        <f>HYPERLINK("https://ictv.global/taxonomy/taxondetails?taxnode_id=202516053&amp;ictv_id=ICTV202316053","ICTV202316053")</f>
        <v>ICTV202316053</v>
      </c>
      <c r="R10440" t="s">
        <v>581</v>
      </c>
      <c r="S10440" t="s">
        <v>823</v>
      </c>
      <c r="T10440">
        <v>39</v>
      </c>
      <c r="U10440" s="26" t="str">
        <f t="shared" si="382"/>
        <v>2023.001B.Leviviricetes_reorg.zip</v>
      </c>
    </row>
    <row r="10441" spans="1:21">
      <c r="A10441">
        <v>10440</v>
      </c>
      <c r="B10441" s="27" t="s">
        <v>1124</v>
      </c>
      <c r="D10441" s="27" t="s">
        <v>1859</v>
      </c>
      <c r="F10441" s="27" t="s">
        <v>1881</v>
      </c>
      <c r="H10441" s="27" t="s">
        <v>2679</v>
      </c>
      <c r="J10441" s="27" t="s">
        <v>2680</v>
      </c>
      <c r="L10441" s="27" t="s">
        <v>2681</v>
      </c>
      <c r="N10441" s="27" t="s">
        <v>14302</v>
      </c>
      <c r="P10441" s="27" t="s">
        <v>14303</v>
      </c>
      <c r="Q10441" s="26" t="str">
        <f>HYPERLINK("https://ictv.global/taxonomy/taxondetails?taxnode_id=202516054&amp;ictv_id=ICTV202316054","ICTV202316054")</f>
        <v>ICTV202316054</v>
      </c>
      <c r="R10441" t="s">
        <v>581</v>
      </c>
      <c r="S10441" t="s">
        <v>823</v>
      </c>
      <c r="T10441">
        <v>39</v>
      </c>
      <c r="U10441" s="26" t="str">
        <f t="shared" si="382"/>
        <v>2023.001B.Leviviricetes_reorg.zip</v>
      </c>
    </row>
    <row r="10442" spans="1:21">
      <c r="A10442">
        <v>10441</v>
      </c>
      <c r="B10442" s="27" t="s">
        <v>1124</v>
      </c>
      <c r="D10442" s="27" t="s">
        <v>1859</v>
      </c>
      <c r="F10442" s="27" t="s">
        <v>1881</v>
      </c>
      <c r="H10442" s="27" t="s">
        <v>2679</v>
      </c>
      <c r="J10442" s="27" t="s">
        <v>2680</v>
      </c>
      <c r="L10442" s="27" t="s">
        <v>2681</v>
      </c>
      <c r="N10442" s="27" t="s">
        <v>14302</v>
      </c>
      <c r="P10442" s="27" t="s">
        <v>14304</v>
      </c>
      <c r="Q10442" s="26" t="str">
        <f>HYPERLINK("https://ictv.global/taxonomy/taxondetails?taxnode_id=202516055&amp;ictv_id=ICTV202316055","ICTV202316055")</f>
        <v>ICTV202316055</v>
      </c>
      <c r="R10442" t="s">
        <v>581</v>
      </c>
      <c r="S10442" t="s">
        <v>823</v>
      </c>
      <c r="T10442">
        <v>39</v>
      </c>
      <c r="U10442" s="26" t="str">
        <f t="shared" si="382"/>
        <v>2023.001B.Leviviricetes_reorg.zip</v>
      </c>
    </row>
    <row r="10443" spans="1:21">
      <c r="A10443">
        <v>10442</v>
      </c>
      <c r="B10443" s="27" t="s">
        <v>1124</v>
      </c>
      <c r="D10443" s="27" t="s">
        <v>1859</v>
      </c>
      <c r="F10443" s="27" t="s">
        <v>1881</v>
      </c>
      <c r="H10443" s="27" t="s">
        <v>2679</v>
      </c>
      <c r="J10443" s="27" t="s">
        <v>2680</v>
      </c>
      <c r="L10443" s="27" t="s">
        <v>2681</v>
      </c>
      <c r="N10443" s="27" t="s">
        <v>14302</v>
      </c>
      <c r="P10443" s="27" t="s">
        <v>14305</v>
      </c>
      <c r="Q10443" s="26" t="str">
        <f>HYPERLINK("https://ictv.global/taxonomy/taxondetails?taxnode_id=202516056&amp;ictv_id=ICTV202316056","ICTV202316056")</f>
        <v>ICTV202316056</v>
      </c>
      <c r="R10443" t="s">
        <v>581</v>
      </c>
      <c r="S10443" t="s">
        <v>823</v>
      </c>
      <c r="T10443">
        <v>39</v>
      </c>
      <c r="U10443" s="26" t="str">
        <f t="shared" si="382"/>
        <v>2023.001B.Leviviricetes_reorg.zip</v>
      </c>
    </row>
    <row r="10444" spans="1:21">
      <c r="A10444">
        <v>10443</v>
      </c>
      <c r="B10444" s="27" t="s">
        <v>1124</v>
      </c>
      <c r="D10444" s="27" t="s">
        <v>1859</v>
      </c>
      <c r="F10444" s="27" t="s">
        <v>1881</v>
      </c>
      <c r="H10444" s="27" t="s">
        <v>2679</v>
      </c>
      <c r="J10444" s="27" t="s">
        <v>2680</v>
      </c>
      <c r="L10444" s="27" t="s">
        <v>2681</v>
      </c>
      <c r="N10444" s="27" t="s">
        <v>14306</v>
      </c>
      <c r="P10444" s="27" t="s">
        <v>14307</v>
      </c>
      <c r="Q10444" s="26" t="str">
        <f>HYPERLINK("https://ictv.global/taxonomy/taxondetails?taxnode_id=202516057&amp;ictv_id=ICTV202316057","ICTV202316057")</f>
        <v>ICTV202316057</v>
      </c>
      <c r="R10444" t="s">
        <v>581</v>
      </c>
      <c r="S10444" t="s">
        <v>823</v>
      </c>
      <c r="T10444">
        <v>39</v>
      </c>
      <c r="U10444" s="26" t="str">
        <f t="shared" si="382"/>
        <v>2023.001B.Leviviricetes_reorg.zip</v>
      </c>
    </row>
    <row r="10445" spans="1:21">
      <c r="A10445">
        <v>10444</v>
      </c>
      <c r="B10445" s="27" t="s">
        <v>1124</v>
      </c>
      <c r="D10445" s="27" t="s">
        <v>1859</v>
      </c>
      <c r="F10445" s="27" t="s">
        <v>1881</v>
      </c>
      <c r="H10445" s="27" t="s">
        <v>2679</v>
      </c>
      <c r="J10445" s="27" t="s">
        <v>2680</v>
      </c>
      <c r="L10445" s="27" t="s">
        <v>2681</v>
      </c>
      <c r="N10445" s="27" t="s">
        <v>14308</v>
      </c>
      <c r="P10445" s="27" t="s">
        <v>14309</v>
      </c>
      <c r="Q10445" s="26" t="str">
        <f>HYPERLINK("https://ictv.global/taxonomy/taxondetails?taxnode_id=202516058&amp;ictv_id=ICTV202316058","ICTV202316058")</f>
        <v>ICTV202316058</v>
      </c>
      <c r="R10445" t="s">
        <v>581</v>
      </c>
      <c r="S10445" t="s">
        <v>823</v>
      </c>
      <c r="T10445">
        <v>39</v>
      </c>
      <c r="U10445" s="26" t="str">
        <f t="shared" si="382"/>
        <v>2023.001B.Leviviricetes_reorg.zip</v>
      </c>
    </row>
    <row r="10446" spans="1:21">
      <c r="A10446">
        <v>10445</v>
      </c>
      <c r="B10446" s="27" t="s">
        <v>1124</v>
      </c>
      <c r="D10446" s="27" t="s">
        <v>1859</v>
      </c>
      <c r="F10446" s="27" t="s">
        <v>1881</v>
      </c>
      <c r="H10446" s="27" t="s">
        <v>2679</v>
      </c>
      <c r="J10446" s="27" t="s">
        <v>2680</v>
      </c>
      <c r="L10446" s="27" t="s">
        <v>2681</v>
      </c>
      <c r="N10446" s="27" t="s">
        <v>14310</v>
      </c>
      <c r="P10446" s="27" t="s">
        <v>14311</v>
      </c>
      <c r="Q10446" s="26" t="str">
        <f>HYPERLINK("https://ictv.global/taxonomy/taxondetails?taxnode_id=202516059&amp;ictv_id=ICTV202316059","ICTV202316059")</f>
        <v>ICTV202316059</v>
      </c>
      <c r="R10446" t="s">
        <v>581</v>
      </c>
      <c r="S10446" t="s">
        <v>823</v>
      </c>
      <c r="T10446">
        <v>39</v>
      </c>
      <c r="U10446" s="26" t="str">
        <f t="shared" si="382"/>
        <v>2023.001B.Leviviricetes_reorg.zip</v>
      </c>
    </row>
    <row r="10447" spans="1:21">
      <c r="A10447">
        <v>10446</v>
      </c>
      <c r="B10447" s="27" t="s">
        <v>1124</v>
      </c>
      <c r="D10447" s="27" t="s">
        <v>1859</v>
      </c>
      <c r="F10447" s="27" t="s">
        <v>1881</v>
      </c>
      <c r="H10447" s="27" t="s">
        <v>2679</v>
      </c>
      <c r="J10447" s="27" t="s">
        <v>2680</v>
      </c>
      <c r="L10447" s="27" t="s">
        <v>2681</v>
      </c>
      <c r="N10447" s="27" t="s">
        <v>14312</v>
      </c>
      <c r="P10447" s="27" t="s">
        <v>14313</v>
      </c>
      <c r="Q10447" s="26" t="str">
        <f>HYPERLINK("https://ictv.global/taxonomy/taxondetails?taxnode_id=202516060&amp;ictv_id=ICTV202316060","ICTV202316060")</f>
        <v>ICTV202316060</v>
      </c>
      <c r="R10447" t="s">
        <v>581</v>
      </c>
      <c r="S10447" t="s">
        <v>823</v>
      </c>
      <c r="T10447">
        <v>39</v>
      </c>
      <c r="U10447" s="26" t="str">
        <f t="shared" si="382"/>
        <v>2023.001B.Leviviricetes_reorg.zip</v>
      </c>
    </row>
    <row r="10448" spans="1:21">
      <c r="A10448">
        <v>10447</v>
      </c>
      <c r="B10448" s="27" t="s">
        <v>1124</v>
      </c>
      <c r="D10448" s="27" t="s">
        <v>1859</v>
      </c>
      <c r="F10448" s="27" t="s">
        <v>1881</v>
      </c>
      <c r="H10448" s="27" t="s">
        <v>2679</v>
      </c>
      <c r="J10448" s="27" t="s">
        <v>2680</v>
      </c>
      <c r="L10448" s="27" t="s">
        <v>2681</v>
      </c>
      <c r="N10448" s="27" t="s">
        <v>14314</v>
      </c>
      <c r="P10448" s="27" t="s">
        <v>14315</v>
      </c>
      <c r="Q10448" s="26" t="str">
        <f>HYPERLINK("https://ictv.global/taxonomy/taxondetails?taxnode_id=202516061&amp;ictv_id=ICTV202316061","ICTV202316061")</f>
        <v>ICTV202316061</v>
      </c>
      <c r="R10448" t="s">
        <v>581</v>
      </c>
      <c r="S10448" t="s">
        <v>823</v>
      </c>
      <c r="T10448">
        <v>39</v>
      </c>
      <c r="U10448" s="26" t="str">
        <f t="shared" si="382"/>
        <v>2023.001B.Leviviricetes_reorg.zip</v>
      </c>
    </row>
    <row r="10449" spans="1:21">
      <c r="A10449">
        <v>10448</v>
      </c>
      <c r="B10449" s="27" t="s">
        <v>1124</v>
      </c>
      <c r="D10449" s="27" t="s">
        <v>1859</v>
      </c>
      <c r="F10449" s="27" t="s">
        <v>1881</v>
      </c>
      <c r="H10449" s="27" t="s">
        <v>2679</v>
      </c>
      <c r="J10449" s="27" t="s">
        <v>2680</v>
      </c>
      <c r="L10449" s="27" t="s">
        <v>2681</v>
      </c>
      <c r="N10449" s="27" t="s">
        <v>14316</v>
      </c>
      <c r="P10449" s="27" t="s">
        <v>14317</v>
      </c>
      <c r="Q10449" s="26" t="str">
        <f>HYPERLINK("https://ictv.global/taxonomy/taxondetails?taxnode_id=202516062&amp;ictv_id=ICTV202316062","ICTV202316062")</f>
        <v>ICTV202316062</v>
      </c>
      <c r="R10449" t="s">
        <v>581</v>
      </c>
      <c r="S10449" t="s">
        <v>823</v>
      </c>
      <c r="T10449">
        <v>39</v>
      </c>
      <c r="U10449" s="26" t="str">
        <f t="shared" si="382"/>
        <v>2023.001B.Leviviricetes_reorg.zip</v>
      </c>
    </row>
    <row r="10450" spans="1:21">
      <c r="A10450">
        <v>10449</v>
      </c>
      <c r="B10450" s="27" t="s">
        <v>1124</v>
      </c>
      <c r="D10450" s="27" t="s">
        <v>1859</v>
      </c>
      <c r="F10450" s="27" t="s">
        <v>1881</v>
      </c>
      <c r="H10450" s="27" t="s">
        <v>2679</v>
      </c>
      <c r="J10450" s="27" t="s">
        <v>2680</v>
      </c>
      <c r="L10450" s="27" t="s">
        <v>2681</v>
      </c>
      <c r="N10450" s="27" t="s">
        <v>14318</v>
      </c>
      <c r="P10450" s="27" t="s">
        <v>14319</v>
      </c>
      <c r="Q10450" s="26" t="str">
        <f>HYPERLINK("https://ictv.global/taxonomy/taxondetails?taxnode_id=202516063&amp;ictv_id=ICTV202316063","ICTV202316063")</f>
        <v>ICTV202316063</v>
      </c>
      <c r="R10450" t="s">
        <v>581</v>
      </c>
      <c r="S10450" t="s">
        <v>823</v>
      </c>
      <c r="T10450">
        <v>39</v>
      </c>
      <c r="U10450" s="26" t="str">
        <f t="shared" si="382"/>
        <v>2023.001B.Leviviricetes_reorg.zip</v>
      </c>
    </row>
    <row r="10451" spans="1:21">
      <c r="A10451">
        <v>10450</v>
      </c>
      <c r="B10451" s="27" t="s">
        <v>1124</v>
      </c>
      <c r="D10451" s="27" t="s">
        <v>1859</v>
      </c>
      <c r="F10451" s="27" t="s">
        <v>1881</v>
      </c>
      <c r="H10451" s="27" t="s">
        <v>2679</v>
      </c>
      <c r="J10451" s="27" t="s">
        <v>2680</v>
      </c>
      <c r="L10451" s="27" t="s">
        <v>2681</v>
      </c>
      <c r="N10451" s="27" t="s">
        <v>14320</v>
      </c>
      <c r="P10451" s="27" t="s">
        <v>14321</v>
      </c>
      <c r="Q10451" s="26" t="str">
        <f>HYPERLINK("https://ictv.global/taxonomy/taxondetails?taxnode_id=202516064&amp;ictv_id=ICTV202316064","ICTV202316064")</f>
        <v>ICTV202316064</v>
      </c>
      <c r="R10451" t="s">
        <v>581</v>
      </c>
      <c r="S10451" t="s">
        <v>823</v>
      </c>
      <c r="T10451">
        <v>39</v>
      </c>
      <c r="U10451" s="26" t="str">
        <f t="shared" si="382"/>
        <v>2023.001B.Leviviricetes_reorg.zip</v>
      </c>
    </row>
    <row r="10452" spans="1:21">
      <c r="A10452">
        <v>10451</v>
      </c>
      <c r="B10452" s="27" t="s">
        <v>1124</v>
      </c>
      <c r="D10452" s="27" t="s">
        <v>1859</v>
      </c>
      <c r="F10452" s="27" t="s">
        <v>1881</v>
      </c>
      <c r="H10452" s="27" t="s">
        <v>2679</v>
      </c>
      <c r="J10452" s="27" t="s">
        <v>2680</v>
      </c>
      <c r="L10452" s="27" t="s">
        <v>2681</v>
      </c>
      <c r="N10452" s="27" t="s">
        <v>14322</v>
      </c>
      <c r="P10452" s="27" t="s">
        <v>14323</v>
      </c>
      <c r="Q10452" s="26" t="str">
        <f>HYPERLINK("https://ictv.global/taxonomy/taxondetails?taxnode_id=202516065&amp;ictv_id=ICTV202316065","ICTV202316065")</f>
        <v>ICTV202316065</v>
      </c>
      <c r="R10452" t="s">
        <v>581</v>
      </c>
      <c r="S10452" t="s">
        <v>823</v>
      </c>
      <c r="T10452">
        <v>39</v>
      </c>
      <c r="U10452" s="26" t="str">
        <f t="shared" si="382"/>
        <v>2023.001B.Leviviricetes_reorg.zip</v>
      </c>
    </row>
    <row r="10453" spans="1:21">
      <c r="A10453">
        <v>10452</v>
      </c>
      <c r="B10453" s="27" t="s">
        <v>1124</v>
      </c>
      <c r="D10453" s="27" t="s">
        <v>1859</v>
      </c>
      <c r="F10453" s="27" t="s">
        <v>1881</v>
      </c>
      <c r="H10453" s="27" t="s">
        <v>2679</v>
      </c>
      <c r="J10453" s="27" t="s">
        <v>2680</v>
      </c>
      <c r="L10453" s="27" t="s">
        <v>2681</v>
      </c>
      <c r="N10453" s="27" t="s">
        <v>14324</v>
      </c>
      <c r="P10453" s="27" t="s">
        <v>14325</v>
      </c>
      <c r="Q10453" s="26" t="str">
        <f>HYPERLINK("https://ictv.global/taxonomy/taxondetails?taxnode_id=202516066&amp;ictv_id=ICTV202316066","ICTV202316066")</f>
        <v>ICTV202316066</v>
      </c>
      <c r="R10453" t="s">
        <v>581</v>
      </c>
      <c r="S10453" t="s">
        <v>823</v>
      </c>
      <c r="T10453">
        <v>39</v>
      </c>
      <c r="U10453" s="26" t="str">
        <f t="shared" si="382"/>
        <v>2023.001B.Leviviricetes_reorg.zip</v>
      </c>
    </row>
    <row r="10454" spans="1:21">
      <c r="A10454">
        <v>10453</v>
      </c>
      <c r="B10454" s="27" t="s">
        <v>1124</v>
      </c>
      <c r="D10454" s="27" t="s">
        <v>1859</v>
      </c>
      <c r="F10454" s="27" t="s">
        <v>1881</v>
      </c>
      <c r="H10454" s="27" t="s">
        <v>2679</v>
      </c>
      <c r="J10454" s="27" t="s">
        <v>2680</v>
      </c>
      <c r="L10454" s="27" t="s">
        <v>2681</v>
      </c>
      <c r="N10454" s="27" t="s">
        <v>14324</v>
      </c>
      <c r="P10454" s="27" t="s">
        <v>14326</v>
      </c>
      <c r="Q10454" s="26" t="str">
        <f>HYPERLINK("https://ictv.global/taxonomy/taxondetails?taxnode_id=202516067&amp;ictv_id=ICTV202316067","ICTV202316067")</f>
        <v>ICTV202316067</v>
      </c>
      <c r="R10454" t="s">
        <v>581</v>
      </c>
      <c r="S10454" t="s">
        <v>823</v>
      </c>
      <c r="T10454">
        <v>39</v>
      </c>
      <c r="U10454" s="26" t="str">
        <f t="shared" si="382"/>
        <v>2023.001B.Leviviricetes_reorg.zip</v>
      </c>
    </row>
    <row r="10455" spans="1:21">
      <c r="A10455">
        <v>10454</v>
      </c>
      <c r="B10455" s="27" t="s">
        <v>1124</v>
      </c>
      <c r="D10455" s="27" t="s">
        <v>1859</v>
      </c>
      <c r="F10455" s="27" t="s">
        <v>1881</v>
      </c>
      <c r="H10455" s="27" t="s">
        <v>2679</v>
      </c>
      <c r="J10455" s="27" t="s">
        <v>2680</v>
      </c>
      <c r="L10455" s="27" t="s">
        <v>2681</v>
      </c>
      <c r="N10455" s="27" t="s">
        <v>14324</v>
      </c>
      <c r="P10455" s="27" t="s">
        <v>14327</v>
      </c>
      <c r="Q10455" s="26" t="str">
        <f>HYPERLINK("https://ictv.global/taxonomy/taxondetails?taxnode_id=202516068&amp;ictv_id=ICTV202316068","ICTV202316068")</f>
        <v>ICTV202316068</v>
      </c>
      <c r="R10455" t="s">
        <v>581</v>
      </c>
      <c r="S10455" t="s">
        <v>823</v>
      </c>
      <c r="T10455">
        <v>39</v>
      </c>
      <c r="U10455" s="26" t="str">
        <f t="shared" si="382"/>
        <v>2023.001B.Leviviricetes_reorg.zip</v>
      </c>
    </row>
    <row r="10456" spans="1:21">
      <c r="A10456">
        <v>10455</v>
      </c>
      <c r="B10456" s="27" t="s">
        <v>1124</v>
      </c>
      <c r="D10456" s="27" t="s">
        <v>1859</v>
      </c>
      <c r="F10456" s="27" t="s">
        <v>1881</v>
      </c>
      <c r="H10456" s="27" t="s">
        <v>2679</v>
      </c>
      <c r="J10456" s="27" t="s">
        <v>2680</v>
      </c>
      <c r="L10456" s="27" t="s">
        <v>2681</v>
      </c>
      <c r="N10456" s="27" t="s">
        <v>14324</v>
      </c>
      <c r="P10456" s="27" t="s">
        <v>14328</v>
      </c>
      <c r="Q10456" s="26" t="str">
        <f>HYPERLINK("https://ictv.global/taxonomy/taxondetails?taxnode_id=202516069&amp;ictv_id=ICTV202316069","ICTV202316069")</f>
        <v>ICTV202316069</v>
      </c>
      <c r="R10456" t="s">
        <v>581</v>
      </c>
      <c r="S10456" t="s">
        <v>823</v>
      </c>
      <c r="T10456">
        <v>39</v>
      </c>
      <c r="U10456" s="26" t="str">
        <f t="shared" si="382"/>
        <v>2023.001B.Leviviricetes_reorg.zip</v>
      </c>
    </row>
    <row r="10457" spans="1:21">
      <c r="A10457">
        <v>10456</v>
      </c>
      <c r="B10457" s="27" t="s">
        <v>1124</v>
      </c>
      <c r="D10457" s="27" t="s">
        <v>1859</v>
      </c>
      <c r="F10457" s="27" t="s">
        <v>1881</v>
      </c>
      <c r="H10457" s="27" t="s">
        <v>2679</v>
      </c>
      <c r="J10457" s="27" t="s">
        <v>2680</v>
      </c>
      <c r="L10457" s="27" t="s">
        <v>2681</v>
      </c>
      <c r="N10457" s="27" t="s">
        <v>14324</v>
      </c>
      <c r="P10457" s="27" t="s">
        <v>14329</v>
      </c>
      <c r="Q10457" s="26" t="str">
        <f>HYPERLINK("https://ictv.global/taxonomy/taxondetails?taxnode_id=202516070&amp;ictv_id=ICTV202316070","ICTV202316070")</f>
        <v>ICTV202316070</v>
      </c>
      <c r="R10457" t="s">
        <v>581</v>
      </c>
      <c r="S10457" t="s">
        <v>823</v>
      </c>
      <c r="T10457">
        <v>39</v>
      </c>
      <c r="U10457" s="26" t="str">
        <f t="shared" si="382"/>
        <v>2023.001B.Leviviricetes_reorg.zip</v>
      </c>
    </row>
    <row r="10458" spans="1:21">
      <c r="A10458">
        <v>10457</v>
      </c>
      <c r="B10458" s="27" t="s">
        <v>1124</v>
      </c>
      <c r="D10458" s="27" t="s">
        <v>1859</v>
      </c>
      <c r="F10458" s="27" t="s">
        <v>1881</v>
      </c>
      <c r="H10458" s="27" t="s">
        <v>2679</v>
      </c>
      <c r="J10458" s="27" t="s">
        <v>2680</v>
      </c>
      <c r="L10458" s="27" t="s">
        <v>2681</v>
      </c>
      <c r="N10458" s="27" t="s">
        <v>14324</v>
      </c>
      <c r="P10458" s="27" t="s">
        <v>14330</v>
      </c>
      <c r="Q10458" s="26" t="str">
        <f>HYPERLINK("https://ictv.global/taxonomy/taxondetails?taxnode_id=202516071&amp;ictv_id=ICTV202316071","ICTV202316071")</f>
        <v>ICTV202316071</v>
      </c>
      <c r="R10458" t="s">
        <v>581</v>
      </c>
      <c r="S10458" t="s">
        <v>823</v>
      </c>
      <c r="T10458">
        <v>39</v>
      </c>
      <c r="U10458" s="26" t="str">
        <f t="shared" si="382"/>
        <v>2023.001B.Leviviricetes_reorg.zip</v>
      </c>
    </row>
    <row r="10459" spans="1:21">
      <c r="A10459">
        <v>10458</v>
      </c>
      <c r="B10459" s="27" t="s">
        <v>1124</v>
      </c>
      <c r="D10459" s="27" t="s">
        <v>1859</v>
      </c>
      <c r="F10459" s="27" t="s">
        <v>1881</v>
      </c>
      <c r="H10459" s="27" t="s">
        <v>2679</v>
      </c>
      <c r="J10459" s="27" t="s">
        <v>2680</v>
      </c>
      <c r="L10459" s="27" t="s">
        <v>2681</v>
      </c>
      <c r="N10459" s="27" t="s">
        <v>14324</v>
      </c>
      <c r="P10459" s="27" t="s">
        <v>14331</v>
      </c>
      <c r="Q10459" s="26" t="str">
        <f>HYPERLINK("https://ictv.global/taxonomy/taxondetails?taxnode_id=202516072&amp;ictv_id=ICTV202316072","ICTV202316072")</f>
        <v>ICTV202316072</v>
      </c>
      <c r="R10459" t="s">
        <v>581</v>
      </c>
      <c r="S10459" t="s">
        <v>823</v>
      </c>
      <c r="T10459">
        <v>39</v>
      </c>
      <c r="U10459" s="26" t="str">
        <f t="shared" si="382"/>
        <v>2023.001B.Leviviricetes_reorg.zip</v>
      </c>
    </row>
    <row r="10460" spans="1:21">
      <c r="A10460">
        <v>10459</v>
      </c>
      <c r="B10460" s="27" t="s">
        <v>1124</v>
      </c>
      <c r="D10460" s="27" t="s">
        <v>1859</v>
      </c>
      <c r="F10460" s="27" t="s">
        <v>1881</v>
      </c>
      <c r="H10460" s="27" t="s">
        <v>2679</v>
      </c>
      <c r="J10460" s="27" t="s">
        <v>2680</v>
      </c>
      <c r="L10460" s="27" t="s">
        <v>2681</v>
      </c>
      <c r="N10460" s="27" t="s">
        <v>14324</v>
      </c>
      <c r="P10460" s="27" t="s">
        <v>14332</v>
      </c>
      <c r="Q10460" s="26" t="str">
        <f>HYPERLINK("https://ictv.global/taxonomy/taxondetails?taxnode_id=202516073&amp;ictv_id=ICTV202316073","ICTV202316073")</f>
        <v>ICTV202316073</v>
      </c>
      <c r="R10460" t="s">
        <v>581</v>
      </c>
      <c r="S10460" t="s">
        <v>823</v>
      </c>
      <c r="T10460">
        <v>39</v>
      </c>
      <c r="U10460" s="26" t="str">
        <f t="shared" si="382"/>
        <v>2023.001B.Leviviricetes_reorg.zip</v>
      </c>
    </row>
    <row r="10461" spans="1:21">
      <c r="A10461">
        <v>10460</v>
      </c>
      <c r="B10461" s="27" t="s">
        <v>1124</v>
      </c>
      <c r="D10461" s="27" t="s">
        <v>1859</v>
      </c>
      <c r="F10461" s="27" t="s">
        <v>1881</v>
      </c>
      <c r="H10461" s="27" t="s">
        <v>2679</v>
      </c>
      <c r="J10461" s="27" t="s">
        <v>2680</v>
      </c>
      <c r="L10461" s="27" t="s">
        <v>2681</v>
      </c>
      <c r="N10461" s="27" t="s">
        <v>14324</v>
      </c>
      <c r="P10461" s="27" t="s">
        <v>14333</v>
      </c>
      <c r="Q10461" s="26" t="str">
        <f>HYPERLINK("https://ictv.global/taxonomy/taxondetails?taxnode_id=202516074&amp;ictv_id=ICTV202316074","ICTV202316074")</f>
        <v>ICTV202316074</v>
      </c>
      <c r="R10461" t="s">
        <v>581</v>
      </c>
      <c r="S10461" t="s">
        <v>823</v>
      </c>
      <c r="T10461">
        <v>39</v>
      </c>
      <c r="U10461" s="26" t="str">
        <f t="shared" si="382"/>
        <v>2023.001B.Leviviricetes_reorg.zip</v>
      </c>
    </row>
    <row r="10462" spans="1:21">
      <c r="A10462">
        <v>10461</v>
      </c>
      <c r="B10462" s="27" t="s">
        <v>1124</v>
      </c>
      <c r="D10462" s="27" t="s">
        <v>1859</v>
      </c>
      <c r="F10462" s="27" t="s">
        <v>1881</v>
      </c>
      <c r="H10462" s="27" t="s">
        <v>2679</v>
      </c>
      <c r="J10462" s="27" t="s">
        <v>2680</v>
      </c>
      <c r="L10462" s="27" t="s">
        <v>2681</v>
      </c>
      <c r="N10462" s="27" t="s">
        <v>14324</v>
      </c>
      <c r="P10462" s="27" t="s">
        <v>14334</v>
      </c>
      <c r="Q10462" s="26" t="str">
        <f>HYPERLINK("https://ictv.global/taxonomy/taxondetails?taxnode_id=202516075&amp;ictv_id=ICTV202316075","ICTV202316075")</f>
        <v>ICTV202316075</v>
      </c>
      <c r="R10462" t="s">
        <v>581</v>
      </c>
      <c r="S10462" t="s">
        <v>823</v>
      </c>
      <c r="T10462">
        <v>39</v>
      </c>
      <c r="U10462" s="26" t="str">
        <f t="shared" si="382"/>
        <v>2023.001B.Leviviricetes_reorg.zip</v>
      </c>
    </row>
    <row r="10463" spans="1:21">
      <c r="A10463">
        <v>10462</v>
      </c>
      <c r="B10463" s="27" t="s">
        <v>1124</v>
      </c>
      <c r="D10463" s="27" t="s">
        <v>1859</v>
      </c>
      <c r="F10463" s="27" t="s">
        <v>1881</v>
      </c>
      <c r="H10463" s="27" t="s">
        <v>2679</v>
      </c>
      <c r="J10463" s="27" t="s">
        <v>2680</v>
      </c>
      <c r="L10463" s="27" t="s">
        <v>2681</v>
      </c>
      <c r="N10463" s="27" t="s">
        <v>14335</v>
      </c>
      <c r="P10463" s="27" t="s">
        <v>14336</v>
      </c>
      <c r="Q10463" s="26" t="str">
        <f>HYPERLINK("https://ictv.global/taxonomy/taxondetails?taxnode_id=202516076&amp;ictv_id=ICTV202316076","ICTV202316076")</f>
        <v>ICTV202316076</v>
      </c>
      <c r="R10463" t="s">
        <v>581</v>
      </c>
      <c r="S10463" t="s">
        <v>823</v>
      </c>
      <c r="T10463">
        <v>39</v>
      </c>
      <c r="U10463" s="26" t="str">
        <f t="shared" si="382"/>
        <v>2023.001B.Leviviricetes_reorg.zip</v>
      </c>
    </row>
    <row r="10464" spans="1:21">
      <c r="A10464">
        <v>10463</v>
      </c>
      <c r="B10464" s="27" t="s">
        <v>1124</v>
      </c>
      <c r="D10464" s="27" t="s">
        <v>1859</v>
      </c>
      <c r="F10464" s="27" t="s">
        <v>1881</v>
      </c>
      <c r="H10464" s="27" t="s">
        <v>2679</v>
      </c>
      <c r="J10464" s="27" t="s">
        <v>2680</v>
      </c>
      <c r="L10464" s="27" t="s">
        <v>2681</v>
      </c>
      <c r="N10464" s="27" t="s">
        <v>14337</v>
      </c>
      <c r="P10464" s="27" t="s">
        <v>14338</v>
      </c>
      <c r="Q10464" s="26" t="str">
        <f>HYPERLINK("https://ictv.global/taxonomy/taxondetails?taxnode_id=202516077&amp;ictv_id=ICTV202316077","ICTV202316077")</f>
        <v>ICTV202316077</v>
      </c>
      <c r="R10464" t="s">
        <v>581</v>
      </c>
      <c r="S10464" t="s">
        <v>823</v>
      </c>
      <c r="T10464">
        <v>39</v>
      </c>
      <c r="U10464" s="26" t="str">
        <f t="shared" si="382"/>
        <v>2023.001B.Leviviricetes_reorg.zip</v>
      </c>
    </row>
    <row r="10465" spans="1:21">
      <c r="A10465">
        <v>10464</v>
      </c>
      <c r="B10465" s="27" t="s">
        <v>1124</v>
      </c>
      <c r="D10465" s="27" t="s">
        <v>1859</v>
      </c>
      <c r="F10465" s="27" t="s">
        <v>1881</v>
      </c>
      <c r="H10465" s="27" t="s">
        <v>2679</v>
      </c>
      <c r="J10465" s="27" t="s">
        <v>2680</v>
      </c>
      <c r="L10465" s="27" t="s">
        <v>2681</v>
      </c>
      <c r="N10465" s="27" t="s">
        <v>14337</v>
      </c>
      <c r="P10465" s="27" t="s">
        <v>14339</v>
      </c>
      <c r="Q10465" s="26" t="str">
        <f>HYPERLINK("https://ictv.global/taxonomy/taxondetails?taxnode_id=202516078&amp;ictv_id=ICTV202316078","ICTV202316078")</f>
        <v>ICTV202316078</v>
      </c>
      <c r="R10465" t="s">
        <v>581</v>
      </c>
      <c r="S10465" t="s">
        <v>823</v>
      </c>
      <c r="T10465">
        <v>39</v>
      </c>
      <c r="U10465" s="26" t="str">
        <f t="shared" si="382"/>
        <v>2023.001B.Leviviricetes_reorg.zip</v>
      </c>
    </row>
    <row r="10466" spans="1:21">
      <c r="A10466">
        <v>10465</v>
      </c>
      <c r="B10466" s="27" t="s">
        <v>1124</v>
      </c>
      <c r="D10466" s="27" t="s">
        <v>1859</v>
      </c>
      <c r="F10466" s="27" t="s">
        <v>1881</v>
      </c>
      <c r="H10466" s="27" t="s">
        <v>2679</v>
      </c>
      <c r="J10466" s="27" t="s">
        <v>2680</v>
      </c>
      <c r="L10466" s="27" t="s">
        <v>2681</v>
      </c>
      <c r="N10466" s="27" t="s">
        <v>14340</v>
      </c>
      <c r="P10466" s="27" t="s">
        <v>14341</v>
      </c>
      <c r="Q10466" s="26" t="str">
        <f>HYPERLINK("https://ictv.global/taxonomy/taxondetails?taxnode_id=202516079&amp;ictv_id=ICTV202316079","ICTV202316079")</f>
        <v>ICTV202316079</v>
      </c>
      <c r="R10466" t="s">
        <v>581</v>
      </c>
      <c r="S10466" t="s">
        <v>823</v>
      </c>
      <c r="T10466">
        <v>39</v>
      </c>
      <c r="U10466" s="26" t="str">
        <f t="shared" si="382"/>
        <v>2023.001B.Leviviricetes_reorg.zip</v>
      </c>
    </row>
    <row r="10467" spans="1:21">
      <c r="A10467">
        <v>10466</v>
      </c>
      <c r="B10467" s="27" t="s">
        <v>1124</v>
      </c>
      <c r="D10467" s="27" t="s">
        <v>1859</v>
      </c>
      <c r="F10467" s="27" t="s">
        <v>1881</v>
      </c>
      <c r="H10467" s="27" t="s">
        <v>2679</v>
      </c>
      <c r="J10467" s="27" t="s">
        <v>2680</v>
      </c>
      <c r="L10467" s="27" t="s">
        <v>2681</v>
      </c>
      <c r="N10467" s="27" t="s">
        <v>14340</v>
      </c>
      <c r="P10467" s="27" t="s">
        <v>14342</v>
      </c>
      <c r="Q10467" s="26" t="str">
        <f>HYPERLINK("https://ictv.global/taxonomy/taxondetails?taxnode_id=202516080&amp;ictv_id=ICTV202316080","ICTV202316080")</f>
        <v>ICTV202316080</v>
      </c>
      <c r="R10467" t="s">
        <v>581</v>
      </c>
      <c r="S10467" t="s">
        <v>823</v>
      </c>
      <c r="T10467">
        <v>39</v>
      </c>
      <c r="U10467" s="26" t="str">
        <f t="shared" si="382"/>
        <v>2023.001B.Leviviricetes_reorg.zip</v>
      </c>
    </row>
    <row r="10468" spans="1:21">
      <c r="A10468">
        <v>10467</v>
      </c>
      <c r="B10468" s="27" t="s">
        <v>1124</v>
      </c>
      <c r="D10468" s="27" t="s">
        <v>1859</v>
      </c>
      <c r="F10468" s="27" t="s">
        <v>1881</v>
      </c>
      <c r="H10468" s="27" t="s">
        <v>2679</v>
      </c>
      <c r="J10468" s="27" t="s">
        <v>2680</v>
      </c>
      <c r="L10468" s="27" t="s">
        <v>2681</v>
      </c>
      <c r="N10468" s="27" t="s">
        <v>2692</v>
      </c>
      <c r="P10468" s="27" t="s">
        <v>2693</v>
      </c>
      <c r="Q10468" s="26" t="str">
        <f>HYPERLINK("https://ictv.global/taxonomy/taxondetails?taxnode_id=202510706&amp;ictv_id=ICTV202010706","ICTV202010706")</f>
        <v>ICTV202010706</v>
      </c>
      <c r="R10468" t="s">
        <v>581</v>
      </c>
      <c r="S10468" t="s">
        <v>823</v>
      </c>
      <c r="T10468">
        <v>36</v>
      </c>
      <c r="U10468" s="26" t="str">
        <f>HYPERLINK("https://ictv.global/ictv/proposals/2020.095B.R.Leviviricetes.zip","2020.095B.R.Leviviricetes.zip")</f>
        <v>2020.095B.R.Leviviricetes.zip</v>
      </c>
    </row>
    <row r="10469" spans="1:21">
      <c r="A10469">
        <v>10468</v>
      </c>
      <c r="B10469" s="27" t="s">
        <v>1124</v>
      </c>
      <c r="D10469" s="27" t="s">
        <v>1859</v>
      </c>
      <c r="F10469" s="27" t="s">
        <v>1881</v>
      </c>
      <c r="H10469" s="27" t="s">
        <v>2679</v>
      </c>
      <c r="J10469" s="27" t="s">
        <v>2680</v>
      </c>
      <c r="L10469" s="27" t="s">
        <v>2681</v>
      </c>
      <c r="N10469" s="27" t="s">
        <v>14343</v>
      </c>
      <c r="P10469" s="27" t="s">
        <v>14344</v>
      </c>
      <c r="Q10469" s="26" t="str">
        <f>HYPERLINK("https://ictv.global/taxonomy/taxondetails?taxnode_id=202516081&amp;ictv_id=ICTV202316081","ICTV202316081")</f>
        <v>ICTV202316081</v>
      </c>
      <c r="R10469" t="s">
        <v>581</v>
      </c>
      <c r="S10469" t="s">
        <v>823</v>
      </c>
      <c r="T10469">
        <v>39</v>
      </c>
      <c r="U10469" s="26" t="str">
        <f t="shared" ref="U10469:U10474" si="383">HYPERLINK("https://ictv.global/ictv/proposals/2023.001B.Leviviricetes_reorg.zip","2023.001B.Leviviricetes_reorg.zip")</f>
        <v>2023.001B.Leviviricetes_reorg.zip</v>
      </c>
    </row>
    <row r="10470" spans="1:21">
      <c r="A10470">
        <v>10469</v>
      </c>
      <c r="B10470" s="27" t="s">
        <v>1124</v>
      </c>
      <c r="D10470" s="27" t="s">
        <v>1859</v>
      </c>
      <c r="F10470" s="27" t="s">
        <v>1881</v>
      </c>
      <c r="H10470" s="27" t="s">
        <v>2679</v>
      </c>
      <c r="J10470" s="27" t="s">
        <v>2680</v>
      </c>
      <c r="L10470" s="27" t="s">
        <v>2681</v>
      </c>
      <c r="N10470" s="27" t="s">
        <v>14343</v>
      </c>
      <c r="P10470" s="27" t="s">
        <v>14345</v>
      </c>
      <c r="Q10470" s="26" t="str">
        <f>HYPERLINK("https://ictv.global/taxonomy/taxondetails?taxnode_id=202516082&amp;ictv_id=ICTV202316082","ICTV202316082")</f>
        <v>ICTV202316082</v>
      </c>
      <c r="R10470" t="s">
        <v>581</v>
      </c>
      <c r="S10470" t="s">
        <v>823</v>
      </c>
      <c r="T10470">
        <v>39</v>
      </c>
      <c r="U10470" s="26" t="str">
        <f t="shared" si="383"/>
        <v>2023.001B.Leviviricetes_reorg.zip</v>
      </c>
    </row>
    <row r="10471" spans="1:21">
      <c r="A10471">
        <v>10470</v>
      </c>
      <c r="B10471" s="27" t="s">
        <v>1124</v>
      </c>
      <c r="D10471" s="27" t="s">
        <v>1859</v>
      </c>
      <c r="F10471" s="27" t="s">
        <v>1881</v>
      </c>
      <c r="H10471" s="27" t="s">
        <v>2679</v>
      </c>
      <c r="J10471" s="27" t="s">
        <v>2680</v>
      </c>
      <c r="L10471" s="27" t="s">
        <v>2681</v>
      </c>
      <c r="N10471" s="27" t="s">
        <v>14346</v>
      </c>
      <c r="P10471" s="27" t="s">
        <v>14347</v>
      </c>
      <c r="Q10471" s="26" t="str">
        <f>HYPERLINK("https://ictv.global/taxonomy/taxondetails?taxnode_id=202516083&amp;ictv_id=ICTV202316083","ICTV202316083")</f>
        <v>ICTV202316083</v>
      </c>
      <c r="R10471" t="s">
        <v>581</v>
      </c>
      <c r="S10471" t="s">
        <v>823</v>
      </c>
      <c r="T10471">
        <v>39</v>
      </c>
      <c r="U10471" s="26" t="str">
        <f t="shared" si="383"/>
        <v>2023.001B.Leviviricetes_reorg.zip</v>
      </c>
    </row>
    <row r="10472" spans="1:21">
      <c r="A10472">
        <v>10471</v>
      </c>
      <c r="B10472" s="27" t="s">
        <v>1124</v>
      </c>
      <c r="D10472" s="27" t="s">
        <v>1859</v>
      </c>
      <c r="F10472" s="27" t="s">
        <v>1881</v>
      </c>
      <c r="H10472" s="27" t="s">
        <v>2679</v>
      </c>
      <c r="J10472" s="27" t="s">
        <v>2680</v>
      </c>
      <c r="L10472" s="27" t="s">
        <v>2681</v>
      </c>
      <c r="N10472" s="27" t="s">
        <v>14348</v>
      </c>
      <c r="P10472" s="27" t="s">
        <v>14349</v>
      </c>
      <c r="Q10472" s="26" t="str">
        <f>HYPERLINK("https://ictv.global/taxonomy/taxondetails?taxnode_id=202516084&amp;ictv_id=ICTV202316084","ICTV202316084")</f>
        <v>ICTV202316084</v>
      </c>
      <c r="R10472" t="s">
        <v>581</v>
      </c>
      <c r="S10472" t="s">
        <v>823</v>
      </c>
      <c r="T10472">
        <v>39</v>
      </c>
      <c r="U10472" s="26" t="str">
        <f t="shared" si="383"/>
        <v>2023.001B.Leviviricetes_reorg.zip</v>
      </c>
    </row>
    <row r="10473" spans="1:21">
      <c r="A10473">
        <v>10472</v>
      </c>
      <c r="B10473" s="27" t="s">
        <v>1124</v>
      </c>
      <c r="D10473" s="27" t="s">
        <v>1859</v>
      </c>
      <c r="F10473" s="27" t="s">
        <v>1881</v>
      </c>
      <c r="H10473" s="27" t="s">
        <v>2679</v>
      </c>
      <c r="J10473" s="27" t="s">
        <v>2680</v>
      </c>
      <c r="L10473" s="27" t="s">
        <v>2681</v>
      </c>
      <c r="N10473" s="27" t="s">
        <v>14350</v>
      </c>
      <c r="P10473" s="27" t="s">
        <v>14351</v>
      </c>
      <c r="Q10473" s="26" t="str">
        <f>HYPERLINK("https://ictv.global/taxonomy/taxondetails?taxnode_id=202516085&amp;ictv_id=ICTV202316085","ICTV202316085")</f>
        <v>ICTV202316085</v>
      </c>
      <c r="R10473" t="s">
        <v>581</v>
      </c>
      <c r="S10473" t="s">
        <v>823</v>
      </c>
      <c r="T10473">
        <v>39</v>
      </c>
      <c r="U10473" s="26" t="str">
        <f t="shared" si="383"/>
        <v>2023.001B.Leviviricetes_reorg.zip</v>
      </c>
    </row>
    <row r="10474" spans="1:21">
      <c r="A10474">
        <v>10473</v>
      </c>
      <c r="B10474" s="27" t="s">
        <v>1124</v>
      </c>
      <c r="D10474" s="27" t="s">
        <v>1859</v>
      </c>
      <c r="F10474" s="27" t="s">
        <v>1881</v>
      </c>
      <c r="H10474" s="27" t="s">
        <v>2679</v>
      </c>
      <c r="J10474" s="27" t="s">
        <v>2680</v>
      </c>
      <c r="L10474" s="27" t="s">
        <v>2681</v>
      </c>
      <c r="N10474" s="27" t="s">
        <v>14352</v>
      </c>
      <c r="P10474" s="27" t="s">
        <v>14353</v>
      </c>
      <c r="Q10474" s="26" t="str">
        <f>HYPERLINK("https://ictv.global/taxonomy/taxondetails?taxnode_id=202516086&amp;ictv_id=ICTV202316086","ICTV202316086")</f>
        <v>ICTV202316086</v>
      </c>
      <c r="R10474" t="s">
        <v>581</v>
      </c>
      <c r="S10474" t="s">
        <v>823</v>
      </c>
      <c r="T10474">
        <v>39</v>
      </c>
      <c r="U10474" s="26" t="str">
        <f t="shared" si="383"/>
        <v>2023.001B.Leviviricetes_reorg.zip</v>
      </c>
    </row>
    <row r="10475" spans="1:21">
      <c r="A10475">
        <v>10474</v>
      </c>
      <c r="B10475" s="27" t="s">
        <v>1124</v>
      </c>
      <c r="D10475" s="27" t="s">
        <v>1859</v>
      </c>
      <c r="F10475" s="27" t="s">
        <v>1881</v>
      </c>
      <c r="H10475" s="27" t="s">
        <v>2679</v>
      </c>
      <c r="J10475" s="27" t="s">
        <v>2680</v>
      </c>
      <c r="L10475" s="27" t="s">
        <v>2681</v>
      </c>
      <c r="N10475" s="27" t="s">
        <v>2694</v>
      </c>
      <c r="P10475" s="27" t="s">
        <v>2695</v>
      </c>
      <c r="Q10475" s="26" t="str">
        <f>HYPERLINK("https://ictv.global/taxonomy/taxondetails?taxnode_id=202510708&amp;ictv_id=ICTV202010708","ICTV202010708")</f>
        <v>ICTV202010708</v>
      </c>
      <c r="R10475" t="s">
        <v>581</v>
      </c>
      <c r="S10475" t="s">
        <v>823</v>
      </c>
      <c r="T10475">
        <v>36</v>
      </c>
      <c r="U10475" s="26" t="str">
        <f>HYPERLINK("https://ictv.global/ictv/proposals/2020.095B.R.Leviviricetes.zip","2020.095B.R.Leviviricetes.zip")</f>
        <v>2020.095B.R.Leviviricetes.zip</v>
      </c>
    </row>
    <row r="10476" spans="1:21">
      <c r="A10476">
        <v>10475</v>
      </c>
      <c r="B10476" s="27" t="s">
        <v>1124</v>
      </c>
      <c r="D10476" s="27" t="s">
        <v>1859</v>
      </c>
      <c r="F10476" s="27" t="s">
        <v>1881</v>
      </c>
      <c r="H10476" s="27" t="s">
        <v>2679</v>
      </c>
      <c r="J10476" s="27" t="s">
        <v>2680</v>
      </c>
      <c r="L10476" s="27" t="s">
        <v>2681</v>
      </c>
      <c r="N10476" s="27" t="s">
        <v>2694</v>
      </c>
      <c r="P10476" s="27" t="s">
        <v>14354</v>
      </c>
      <c r="Q10476" s="26" t="str">
        <f>HYPERLINK("https://ictv.global/taxonomy/taxondetails?taxnode_id=202516087&amp;ictv_id=ICTV202316087","ICTV202316087")</f>
        <v>ICTV202316087</v>
      </c>
      <c r="R10476" t="s">
        <v>581</v>
      </c>
      <c r="S10476" t="s">
        <v>823</v>
      </c>
      <c r="T10476">
        <v>39</v>
      </c>
      <c r="U10476" s="26" t="str">
        <f t="shared" ref="U10476:U10494" si="384">HYPERLINK("https://ictv.global/ictv/proposals/2023.001B.Leviviricetes_reorg.zip","2023.001B.Leviviricetes_reorg.zip")</f>
        <v>2023.001B.Leviviricetes_reorg.zip</v>
      </c>
    </row>
    <row r="10477" spans="1:21">
      <c r="A10477">
        <v>10476</v>
      </c>
      <c r="B10477" s="27" t="s">
        <v>1124</v>
      </c>
      <c r="D10477" s="27" t="s">
        <v>1859</v>
      </c>
      <c r="F10477" s="27" t="s">
        <v>1881</v>
      </c>
      <c r="H10477" s="27" t="s">
        <v>2679</v>
      </c>
      <c r="J10477" s="27" t="s">
        <v>2680</v>
      </c>
      <c r="L10477" s="27" t="s">
        <v>2681</v>
      </c>
      <c r="N10477" s="27" t="s">
        <v>2694</v>
      </c>
      <c r="P10477" s="27" t="s">
        <v>14355</v>
      </c>
      <c r="Q10477" s="26" t="str">
        <f>HYPERLINK("https://ictv.global/taxonomy/taxondetails?taxnode_id=202516088&amp;ictv_id=ICTV202316088","ICTV202316088")</f>
        <v>ICTV202316088</v>
      </c>
      <c r="R10477" t="s">
        <v>581</v>
      </c>
      <c r="S10477" t="s">
        <v>823</v>
      </c>
      <c r="T10477">
        <v>39</v>
      </c>
      <c r="U10477" s="26" t="str">
        <f t="shared" si="384"/>
        <v>2023.001B.Leviviricetes_reorg.zip</v>
      </c>
    </row>
    <row r="10478" spans="1:21">
      <c r="A10478">
        <v>10477</v>
      </c>
      <c r="B10478" s="27" t="s">
        <v>1124</v>
      </c>
      <c r="D10478" s="27" t="s">
        <v>1859</v>
      </c>
      <c r="F10478" s="27" t="s">
        <v>1881</v>
      </c>
      <c r="H10478" s="27" t="s">
        <v>2679</v>
      </c>
      <c r="J10478" s="27" t="s">
        <v>2680</v>
      </c>
      <c r="L10478" s="27" t="s">
        <v>2681</v>
      </c>
      <c r="N10478" s="27" t="s">
        <v>2694</v>
      </c>
      <c r="P10478" s="27" t="s">
        <v>14356</v>
      </c>
      <c r="Q10478" s="26" t="str">
        <f>HYPERLINK("https://ictv.global/taxonomy/taxondetails?taxnode_id=202516089&amp;ictv_id=ICTV202316089","ICTV202316089")</f>
        <v>ICTV202316089</v>
      </c>
      <c r="R10478" t="s">
        <v>581</v>
      </c>
      <c r="S10478" t="s">
        <v>823</v>
      </c>
      <c r="T10478">
        <v>39</v>
      </c>
      <c r="U10478" s="26" t="str">
        <f t="shared" si="384"/>
        <v>2023.001B.Leviviricetes_reorg.zip</v>
      </c>
    </row>
    <row r="10479" spans="1:21">
      <c r="A10479">
        <v>10478</v>
      </c>
      <c r="B10479" s="27" t="s">
        <v>1124</v>
      </c>
      <c r="D10479" s="27" t="s">
        <v>1859</v>
      </c>
      <c r="F10479" s="27" t="s">
        <v>1881</v>
      </c>
      <c r="H10479" s="27" t="s">
        <v>2679</v>
      </c>
      <c r="J10479" s="27" t="s">
        <v>2680</v>
      </c>
      <c r="L10479" s="27" t="s">
        <v>2681</v>
      </c>
      <c r="N10479" s="27" t="s">
        <v>2694</v>
      </c>
      <c r="P10479" s="27" t="s">
        <v>14357</v>
      </c>
      <c r="Q10479" s="26" t="str">
        <f>HYPERLINK("https://ictv.global/taxonomy/taxondetails?taxnode_id=202516090&amp;ictv_id=ICTV202316090","ICTV202316090")</f>
        <v>ICTV202316090</v>
      </c>
      <c r="R10479" t="s">
        <v>581</v>
      </c>
      <c r="S10479" t="s">
        <v>823</v>
      </c>
      <c r="T10479">
        <v>39</v>
      </c>
      <c r="U10479" s="26" t="str">
        <f t="shared" si="384"/>
        <v>2023.001B.Leviviricetes_reorg.zip</v>
      </c>
    </row>
    <row r="10480" spans="1:21">
      <c r="A10480">
        <v>10479</v>
      </c>
      <c r="B10480" s="27" t="s">
        <v>1124</v>
      </c>
      <c r="D10480" s="27" t="s">
        <v>1859</v>
      </c>
      <c r="F10480" s="27" t="s">
        <v>1881</v>
      </c>
      <c r="H10480" s="27" t="s">
        <v>2679</v>
      </c>
      <c r="J10480" s="27" t="s">
        <v>2680</v>
      </c>
      <c r="L10480" s="27" t="s">
        <v>2681</v>
      </c>
      <c r="N10480" s="27" t="s">
        <v>2694</v>
      </c>
      <c r="P10480" s="27" t="s">
        <v>14358</v>
      </c>
      <c r="Q10480" s="26" t="str">
        <f>HYPERLINK("https://ictv.global/taxonomy/taxondetails?taxnode_id=202516091&amp;ictv_id=ICTV202316091","ICTV202316091")</f>
        <v>ICTV202316091</v>
      </c>
      <c r="R10480" t="s">
        <v>581</v>
      </c>
      <c r="S10480" t="s">
        <v>823</v>
      </c>
      <c r="T10480">
        <v>39</v>
      </c>
      <c r="U10480" s="26" t="str">
        <f t="shared" si="384"/>
        <v>2023.001B.Leviviricetes_reorg.zip</v>
      </c>
    </row>
    <row r="10481" spans="1:21">
      <c r="A10481">
        <v>10480</v>
      </c>
      <c r="B10481" s="27" t="s">
        <v>1124</v>
      </c>
      <c r="D10481" s="27" t="s">
        <v>1859</v>
      </c>
      <c r="F10481" s="27" t="s">
        <v>1881</v>
      </c>
      <c r="H10481" s="27" t="s">
        <v>2679</v>
      </c>
      <c r="J10481" s="27" t="s">
        <v>2680</v>
      </c>
      <c r="L10481" s="27" t="s">
        <v>2681</v>
      </c>
      <c r="N10481" s="27" t="s">
        <v>2694</v>
      </c>
      <c r="P10481" s="27" t="s">
        <v>14359</v>
      </c>
      <c r="Q10481" s="26" t="str">
        <f>HYPERLINK("https://ictv.global/taxonomy/taxondetails?taxnode_id=202516092&amp;ictv_id=ICTV202316092","ICTV202316092")</f>
        <v>ICTV202316092</v>
      </c>
      <c r="R10481" t="s">
        <v>581</v>
      </c>
      <c r="S10481" t="s">
        <v>823</v>
      </c>
      <c r="T10481">
        <v>39</v>
      </c>
      <c r="U10481" s="26" t="str">
        <f t="shared" si="384"/>
        <v>2023.001B.Leviviricetes_reorg.zip</v>
      </c>
    </row>
    <row r="10482" spans="1:21">
      <c r="A10482">
        <v>10481</v>
      </c>
      <c r="B10482" s="27" t="s">
        <v>1124</v>
      </c>
      <c r="D10482" s="27" t="s">
        <v>1859</v>
      </c>
      <c r="F10482" s="27" t="s">
        <v>1881</v>
      </c>
      <c r="H10482" s="27" t="s">
        <v>2679</v>
      </c>
      <c r="J10482" s="27" t="s">
        <v>2680</v>
      </c>
      <c r="L10482" s="27" t="s">
        <v>2681</v>
      </c>
      <c r="N10482" s="27" t="s">
        <v>2694</v>
      </c>
      <c r="P10482" s="27" t="s">
        <v>14360</v>
      </c>
      <c r="Q10482" s="26" t="str">
        <f>HYPERLINK("https://ictv.global/taxonomy/taxondetails?taxnode_id=202516093&amp;ictv_id=ICTV202316093","ICTV202316093")</f>
        <v>ICTV202316093</v>
      </c>
      <c r="R10482" t="s">
        <v>581</v>
      </c>
      <c r="S10482" t="s">
        <v>823</v>
      </c>
      <c r="T10482">
        <v>39</v>
      </c>
      <c r="U10482" s="26" t="str">
        <f t="shared" si="384"/>
        <v>2023.001B.Leviviricetes_reorg.zip</v>
      </c>
    </row>
    <row r="10483" spans="1:21">
      <c r="A10483">
        <v>10482</v>
      </c>
      <c r="B10483" s="27" t="s">
        <v>1124</v>
      </c>
      <c r="D10483" s="27" t="s">
        <v>1859</v>
      </c>
      <c r="F10483" s="27" t="s">
        <v>1881</v>
      </c>
      <c r="H10483" s="27" t="s">
        <v>2679</v>
      </c>
      <c r="J10483" s="27" t="s">
        <v>2680</v>
      </c>
      <c r="L10483" s="27" t="s">
        <v>2681</v>
      </c>
      <c r="N10483" s="27" t="s">
        <v>2694</v>
      </c>
      <c r="P10483" s="27" t="s">
        <v>14361</v>
      </c>
      <c r="Q10483" s="26" t="str">
        <f>HYPERLINK("https://ictv.global/taxonomy/taxondetails?taxnode_id=202516094&amp;ictv_id=ICTV202316094","ICTV202316094")</f>
        <v>ICTV202316094</v>
      </c>
      <c r="R10483" t="s">
        <v>581</v>
      </c>
      <c r="S10483" t="s">
        <v>823</v>
      </c>
      <c r="T10483">
        <v>39</v>
      </c>
      <c r="U10483" s="26" t="str">
        <f t="shared" si="384"/>
        <v>2023.001B.Leviviricetes_reorg.zip</v>
      </c>
    </row>
    <row r="10484" spans="1:21">
      <c r="A10484">
        <v>10483</v>
      </c>
      <c r="B10484" s="27" t="s">
        <v>1124</v>
      </c>
      <c r="D10484" s="27" t="s">
        <v>1859</v>
      </c>
      <c r="F10484" s="27" t="s">
        <v>1881</v>
      </c>
      <c r="H10484" s="27" t="s">
        <v>2679</v>
      </c>
      <c r="J10484" s="27" t="s">
        <v>2680</v>
      </c>
      <c r="L10484" s="27" t="s">
        <v>2681</v>
      </c>
      <c r="N10484" s="27" t="s">
        <v>2694</v>
      </c>
      <c r="P10484" s="27" t="s">
        <v>14362</v>
      </c>
      <c r="Q10484" s="26" t="str">
        <f>HYPERLINK("https://ictv.global/taxonomy/taxondetails?taxnode_id=202516095&amp;ictv_id=ICTV202316095","ICTV202316095")</f>
        <v>ICTV202316095</v>
      </c>
      <c r="R10484" t="s">
        <v>581</v>
      </c>
      <c r="S10484" t="s">
        <v>823</v>
      </c>
      <c r="T10484">
        <v>39</v>
      </c>
      <c r="U10484" s="26" t="str">
        <f t="shared" si="384"/>
        <v>2023.001B.Leviviricetes_reorg.zip</v>
      </c>
    </row>
    <row r="10485" spans="1:21">
      <c r="A10485">
        <v>10484</v>
      </c>
      <c r="B10485" s="27" t="s">
        <v>1124</v>
      </c>
      <c r="D10485" s="27" t="s">
        <v>1859</v>
      </c>
      <c r="F10485" s="27" t="s">
        <v>1881</v>
      </c>
      <c r="H10485" s="27" t="s">
        <v>2679</v>
      </c>
      <c r="J10485" s="27" t="s">
        <v>2680</v>
      </c>
      <c r="L10485" s="27" t="s">
        <v>2681</v>
      </c>
      <c r="N10485" s="27" t="s">
        <v>2694</v>
      </c>
      <c r="P10485" s="27" t="s">
        <v>14363</v>
      </c>
      <c r="Q10485" s="26" t="str">
        <f>HYPERLINK("https://ictv.global/taxonomy/taxondetails?taxnode_id=202516096&amp;ictv_id=ICTV202316096","ICTV202316096")</f>
        <v>ICTV202316096</v>
      </c>
      <c r="R10485" t="s">
        <v>581</v>
      </c>
      <c r="S10485" t="s">
        <v>823</v>
      </c>
      <c r="T10485">
        <v>39</v>
      </c>
      <c r="U10485" s="26" t="str">
        <f t="shared" si="384"/>
        <v>2023.001B.Leviviricetes_reorg.zip</v>
      </c>
    </row>
    <row r="10486" spans="1:21">
      <c r="A10486">
        <v>10485</v>
      </c>
      <c r="B10486" s="27" t="s">
        <v>1124</v>
      </c>
      <c r="D10486" s="27" t="s">
        <v>1859</v>
      </c>
      <c r="F10486" s="27" t="s">
        <v>1881</v>
      </c>
      <c r="H10486" s="27" t="s">
        <v>2679</v>
      </c>
      <c r="J10486" s="27" t="s">
        <v>2680</v>
      </c>
      <c r="L10486" s="27" t="s">
        <v>2681</v>
      </c>
      <c r="N10486" s="27" t="s">
        <v>2694</v>
      </c>
      <c r="P10486" s="27" t="s">
        <v>14364</v>
      </c>
      <c r="Q10486" s="26" t="str">
        <f>HYPERLINK("https://ictv.global/taxonomy/taxondetails?taxnode_id=202516097&amp;ictv_id=ICTV202316097","ICTV202316097")</f>
        <v>ICTV202316097</v>
      </c>
      <c r="R10486" t="s">
        <v>581</v>
      </c>
      <c r="S10486" t="s">
        <v>823</v>
      </c>
      <c r="T10486">
        <v>39</v>
      </c>
      <c r="U10486" s="26" t="str">
        <f t="shared" si="384"/>
        <v>2023.001B.Leviviricetes_reorg.zip</v>
      </c>
    </row>
    <row r="10487" spans="1:21">
      <c r="A10487">
        <v>10486</v>
      </c>
      <c r="B10487" s="27" t="s">
        <v>1124</v>
      </c>
      <c r="D10487" s="27" t="s">
        <v>1859</v>
      </c>
      <c r="F10487" s="27" t="s">
        <v>1881</v>
      </c>
      <c r="H10487" s="27" t="s">
        <v>2679</v>
      </c>
      <c r="J10487" s="27" t="s">
        <v>2680</v>
      </c>
      <c r="L10487" s="27" t="s">
        <v>2681</v>
      </c>
      <c r="N10487" s="27" t="s">
        <v>2694</v>
      </c>
      <c r="P10487" s="27" t="s">
        <v>14365</v>
      </c>
      <c r="Q10487" s="26" t="str">
        <f>HYPERLINK("https://ictv.global/taxonomy/taxondetails?taxnode_id=202516098&amp;ictv_id=ICTV202316098","ICTV202316098")</f>
        <v>ICTV202316098</v>
      </c>
      <c r="R10487" t="s">
        <v>581</v>
      </c>
      <c r="S10487" t="s">
        <v>823</v>
      </c>
      <c r="T10487">
        <v>39</v>
      </c>
      <c r="U10487" s="26" t="str">
        <f t="shared" si="384"/>
        <v>2023.001B.Leviviricetes_reorg.zip</v>
      </c>
    </row>
    <row r="10488" spans="1:21">
      <c r="A10488">
        <v>10487</v>
      </c>
      <c r="B10488" s="27" t="s">
        <v>1124</v>
      </c>
      <c r="D10488" s="27" t="s">
        <v>1859</v>
      </c>
      <c r="F10488" s="27" t="s">
        <v>1881</v>
      </c>
      <c r="H10488" s="27" t="s">
        <v>2679</v>
      </c>
      <c r="J10488" s="27" t="s">
        <v>2680</v>
      </c>
      <c r="L10488" s="27" t="s">
        <v>2681</v>
      </c>
      <c r="N10488" s="27" t="s">
        <v>2694</v>
      </c>
      <c r="P10488" s="27" t="s">
        <v>14366</v>
      </c>
      <c r="Q10488" s="26" t="str">
        <f>HYPERLINK("https://ictv.global/taxonomy/taxondetails?taxnode_id=202516099&amp;ictv_id=ICTV202316099","ICTV202316099")</f>
        <v>ICTV202316099</v>
      </c>
      <c r="R10488" t="s">
        <v>581</v>
      </c>
      <c r="S10488" t="s">
        <v>823</v>
      </c>
      <c r="T10488">
        <v>39</v>
      </c>
      <c r="U10488" s="26" t="str">
        <f t="shared" si="384"/>
        <v>2023.001B.Leviviricetes_reorg.zip</v>
      </c>
    </row>
    <row r="10489" spans="1:21">
      <c r="A10489">
        <v>10488</v>
      </c>
      <c r="B10489" s="27" t="s">
        <v>1124</v>
      </c>
      <c r="D10489" s="27" t="s">
        <v>1859</v>
      </c>
      <c r="F10489" s="27" t="s">
        <v>1881</v>
      </c>
      <c r="H10489" s="27" t="s">
        <v>2679</v>
      </c>
      <c r="J10489" s="27" t="s">
        <v>2680</v>
      </c>
      <c r="L10489" s="27" t="s">
        <v>2681</v>
      </c>
      <c r="N10489" s="27" t="s">
        <v>2694</v>
      </c>
      <c r="P10489" s="27" t="s">
        <v>14367</v>
      </c>
      <c r="Q10489" s="26" t="str">
        <f>HYPERLINK("https://ictv.global/taxonomy/taxondetails?taxnode_id=202516100&amp;ictv_id=ICTV202316100","ICTV202316100")</f>
        <v>ICTV202316100</v>
      </c>
      <c r="R10489" t="s">
        <v>581</v>
      </c>
      <c r="S10489" t="s">
        <v>823</v>
      </c>
      <c r="T10489">
        <v>39</v>
      </c>
      <c r="U10489" s="26" t="str">
        <f t="shared" si="384"/>
        <v>2023.001B.Leviviricetes_reorg.zip</v>
      </c>
    </row>
    <row r="10490" spans="1:21">
      <c r="A10490">
        <v>10489</v>
      </c>
      <c r="B10490" s="27" t="s">
        <v>1124</v>
      </c>
      <c r="D10490" s="27" t="s">
        <v>1859</v>
      </c>
      <c r="F10490" s="27" t="s">
        <v>1881</v>
      </c>
      <c r="H10490" s="27" t="s">
        <v>2679</v>
      </c>
      <c r="J10490" s="27" t="s">
        <v>2680</v>
      </c>
      <c r="L10490" s="27" t="s">
        <v>2681</v>
      </c>
      <c r="N10490" s="27" t="s">
        <v>2694</v>
      </c>
      <c r="P10490" s="27" t="s">
        <v>14368</v>
      </c>
      <c r="Q10490" s="26" t="str">
        <f>HYPERLINK("https://ictv.global/taxonomy/taxondetails?taxnode_id=202516101&amp;ictv_id=ICTV202316101","ICTV202316101")</f>
        <v>ICTV202316101</v>
      </c>
      <c r="R10490" t="s">
        <v>581</v>
      </c>
      <c r="S10490" t="s">
        <v>823</v>
      </c>
      <c r="T10490">
        <v>39</v>
      </c>
      <c r="U10490" s="26" t="str">
        <f t="shared" si="384"/>
        <v>2023.001B.Leviviricetes_reorg.zip</v>
      </c>
    </row>
    <row r="10491" spans="1:21">
      <c r="A10491">
        <v>10490</v>
      </c>
      <c r="B10491" s="27" t="s">
        <v>1124</v>
      </c>
      <c r="D10491" s="27" t="s">
        <v>1859</v>
      </c>
      <c r="F10491" s="27" t="s">
        <v>1881</v>
      </c>
      <c r="H10491" s="27" t="s">
        <v>2679</v>
      </c>
      <c r="J10491" s="27" t="s">
        <v>2680</v>
      </c>
      <c r="L10491" s="27" t="s">
        <v>2681</v>
      </c>
      <c r="N10491" s="27" t="s">
        <v>2694</v>
      </c>
      <c r="P10491" s="27" t="s">
        <v>14369</v>
      </c>
      <c r="Q10491" s="26" t="str">
        <f>HYPERLINK("https://ictv.global/taxonomy/taxondetails?taxnode_id=202516102&amp;ictv_id=ICTV202316102","ICTV202316102")</f>
        <v>ICTV202316102</v>
      </c>
      <c r="R10491" t="s">
        <v>581</v>
      </c>
      <c r="S10491" t="s">
        <v>823</v>
      </c>
      <c r="T10491">
        <v>39</v>
      </c>
      <c r="U10491" s="26" t="str">
        <f t="shared" si="384"/>
        <v>2023.001B.Leviviricetes_reorg.zip</v>
      </c>
    </row>
    <row r="10492" spans="1:21">
      <c r="A10492">
        <v>10491</v>
      </c>
      <c r="B10492" s="27" t="s">
        <v>1124</v>
      </c>
      <c r="D10492" s="27" t="s">
        <v>1859</v>
      </c>
      <c r="F10492" s="27" t="s">
        <v>1881</v>
      </c>
      <c r="H10492" s="27" t="s">
        <v>2679</v>
      </c>
      <c r="J10492" s="27" t="s">
        <v>2680</v>
      </c>
      <c r="L10492" s="27" t="s">
        <v>2681</v>
      </c>
      <c r="N10492" s="27" t="s">
        <v>2694</v>
      </c>
      <c r="P10492" s="27" t="s">
        <v>14370</v>
      </c>
      <c r="Q10492" s="26" t="str">
        <f>HYPERLINK("https://ictv.global/taxonomy/taxondetails?taxnode_id=202516103&amp;ictv_id=ICTV202316103","ICTV202316103")</f>
        <v>ICTV202316103</v>
      </c>
      <c r="R10492" t="s">
        <v>581</v>
      </c>
      <c r="S10492" t="s">
        <v>823</v>
      </c>
      <c r="T10492">
        <v>39</v>
      </c>
      <c r="U10492" s="26" t="str">
        <f t="shared" si="384"/>
        <v>2023.001B.Leviviricetes_reorg.zip</v>
      </c>
    </row>
    <row r="10493" spans="1:21">
      <c r="A10493">
        <v>10492</v>
      </c>
      <c r="B10493" s="27" t="s">
        <v>1124</v>
      </c>
      <c r="D10493" s="27" t="s">
        <v>1859</v>
      </c>
      <c r="F10493" s="27" t="s">
        <v>1881</v>
      </c>
      <c r="H10493" s="27" t="s">
        <v>2679</v>
      </c>
      <c r="J10493" s="27" t="s">
        <v>2680</v>
      </c>
      <c r="L10493" s="27" t="s">
        <v>2681</v>
      </c>
      <c r="N10493" s="27" t="s">
        <v>2694</v>
      </c>
      <c r="P10493" s="27" t="s">
        <v>14371</v>
      </c>
      <c r="Q10493" s="26" t="str">
        <f>HYPERLINK("https://ictv.global/taxonomy/taxondetails?taxnode_id=202516104&amp;ictv_id=ICTV202316104","ICTV202316104")</f>
        <v>ICTV202316104</v>
      </c>
      <c r="R10493" t="s">
        <v>581</v>
      </c>
      <c r="S10493" t="s">
        <v>823</v>
      </c>
      <c r="T10493">
        <v>39</v>
      </c>
      <c r="U10493" s="26" t="str">
        <f t="shared" si="384"/>
        <v>2023.001B.Leviviricetes_reorg.zip</v>
      </c>
    </row>
    <row r="10494" spans="1:21">
      <c r="A10494">
        <v>10493</v>
      </c>
      <c r="B10494" s="27" t="s">
        <v>1124</v>
      </c>
      <c r="D10494" s="27" t="s">
        <v>1859</v>
      </c>
      <c r="F10494" s="27" t="s">
        <v>1881</v>
      </c>
      <c r="H10494" s="27" t="s">
        <v>2679</v>
      </c>
      <c r="J10494" s="27" t="s">
        <v>2680</v>
      </c>
      <c r="L10494" s="27" t="s">
        <v>2681</v>
      </c>
      <c r="N10494" s="27" t="s">
        <v>2694</v>
      </c>
      <c r="P10494" s="27" t="s">
        <v>14372</v>
      </c>
      <c r="Q10494" s="26" t="str">
        <f>HYPERLINK("https://ictv.global/taxonomy/taxondetails?taxnode_id=202516105&amp;ictv_id=ICTV202316105","ICTV202316105")</f>
        <v>ICTV202316105</v>
      </c>
      <c r="R10494" t="s">
        <v>581</v>
      </c>
      <c r="S10494" t="s">
        <v>823</v>
      </c>
      <c r="T10494">
        <v>39</v>
      </c>
      <c r="U10494" s="26" t="str">
        <f t="shared" si="384"/>
        <v>2023.001B.Leviviricetes_reorg.zip</v>
      </c>
    </row>
    <row r="10495" spans="1:21">
      <c r="A10495">
        <v>10494</v>
      </c>
      <c r="B10495" s="27" t="s">
        <v>1124</v>
      </c>
      <c r="D10495" s="27" t="s">
        <v>1859</v>
      </c>
      <c r="F10495" s="27" t="s">
        <v>1881</v>
      </c>
      <c r="H10495" s="27" t="s">
        <v>2679</v>
      </c>
      <c r="J10495" s="27" t="s">
        <v>2680</v>
      </c>
      <c r="L10495" s="27" t="s">
        <v>2681</v>
      </c>
      <c r="N10495" s="27" t="s">
        <v>2694</v>
      </c>
      <c r="P10495" s="27" t="s">
        <v>2696</v>
      </c>
      <c r="Q10495" s="26" t="str">
        <f>HYPERLINK("https://ictv.global/taxonomy/taxondetails?taxnode_id=202510709&amp;ictv_id=ICTV202010709","ICTV202010709")</f>
        <v>ICTV202010709</v>
      </c>
      <c r="R10495" t="s">
        <v>581</v>
      </c>
      <c r="S10495" t="s">
        <v>823</v>
      </c>
      <c r="T10495">
        <v>36</v>
      </c>
      <c r="U10495" s="26" t="str">
        <f>HYPERLINK("https://ictv.global/ictv/proposals/2020.095B.R.Leviviricetes.zip","2020.095B.R.Leviviricetes.zip")</f>
        <v>2020.095B.R.Leviviricetes.zip</v>
      </c>
    </row>
    <row r="10496" spans="1:21">
      <c r="A10496">
        <v>10495</v>
      </c>
      <c r="B10496" s="27" t="s">
        <v>1124</v>
      </c>
      <c r="D10496" s="27" t="s">
        <v>1859</v>
      </c>
      <c r="F10496" s="27" t="s">
        <v>1881</v>
      </c>
      <c r="H10496" s="27" t="s">
        <v>2679</v>
      </c>
      <c r="J10496" s="27" t="s">
        <v>2680</v>
      </c>
      <c r="L10496" s="27" t="s">
        <v>2681</v>
      </c>
      <c r="N10496" s="27" t="s">
        <v>14373</v>
      </c>
      <c r="P10496" s="27" t="s">
        <v>14374</v>
      </c>
      <c r="Q10496" s="26" t="str">
        <f>HYPERLINK("https://ictv.global/taxonomy/taxondetails?taxnode_id=202516106&amp;ictv_id=ICTV202316106","ICTV202316106")</f>
        <v>ICTV202316106</v>
      </c>
      <c r="R10496" t="s">
        <v>581</v>
      </c>
      <c r="S10496" t="s">
        <v>823</v>
      </c>
      <c r="T10496">
        <v>39</v>
      </c>
      <c r="U10496" s="26" t="str">
        <f t="shared" ref="U10496:U10538" si="385">HYPERLINK("https://ictv.global/ictv/proposals/2023.001B.Leviviricetes_reorg.zip","2023.001B.Leviviricetes_reorg.zip")</f>
        <v>2023.001B.Leviviricetes_reorg.zip</v>
      </c>
    </row>
    <row r="10497" spans="1:21">
      <c r="A10497">
        <v>10496</v>
      </c>
      <c r="B10497" s="27" t="s">
        <v>1124</v>
      </c>
      <c r="D10497" s="27" t="s">
        <v>1859</v>
      </c>
      <c r="F10497" s="27" t="s">
        <v>1881</v>
      </c>
      <c r="H10497" s="27" t="s">
        <v>2679</v>
      </c>
      <c r="J10497" s="27" t="s">
        <v>2680</v>
      </c>
      <c r="L10497" s="27" t="s">
        <v>2681</v>
      </c>
      <c r="N10497" s="27" t="s">
        <v>14373</v>
      </c>
      <c r="P10497" s="27" t="s">
        <v>14375</v>
      </c>
      <c r="Q10497" s="26" t="str">
        <f>HYPERLINK("https://ictv.global/taxonomy/taxondetails?taxnode_id=202516107&amp;ictv_id=ICTV202316107","ICTV202316107")</f>
        <v>ICTV202316107</v>
      </c>
      <c r="R10497" t="s">
        <v>581</v>
      </c>
      <c r="S10497" t="s">
        <v>823</v>
      </c>
      <c r="T10497">
        <v>39</v>
      </c>
      <c r="U10497" s="26" t="str">
        <f t="shared" si="385"/>
        <v>2023.001B.Leviviricetes_reorg.zip</v>
      </c>
    </row>
    <row r="10498" spans="1:21">
      <c r="A10498">
        <v>10497</v>
      </c>
      <c r="B10498" s="27" t="s">
        <v>1124</v>
      </c>
      <c r="D10498" s="27" t="s">
        <v>1859</v>
      </c>
      <c r="F10498" s="27" t="s">
        <v>1881</v>
      </c>
      <c r="H10498" s="27" t="s">
        <v>2679</v>
      </c>
      <c r="J10498" s="27" t="s">
        <v>2680</v>
      </c>
      <c r="L10498" s="27" t="s">
        <v>2681</v>
      </c>
      <c r="N10498" s="27" t="s">
        <v>14373</v>
      </c>
      <c r="P10498" s="27" t="s">
        <v>14376</v>
      </c>
      <c r="Q10498" s="26" t="str">
        <f>HYPERLINK("https://ictv.global/taxonomy/taxondetails?taxnode_id=202516108&amp;ictv_id=ICTV202316108","ICTV202316108")</f>
        <v>ICTV202316108</v>
      </c>
      <c r="R10498" t="s">
        <v>581</v>
      </c>
      <c r="S10498" t="s">
        <v>823</v>
      </c>
      <c r="T10498">
        <v>39</v>
      </c>
      <c r="U10498" s="26" t="str">
        <f t="shared" si="385"/>
        <v>2023.001B.Leviviricetes_reorg.zip</v>
      </c>
    </row>
    <row r="10499" spans="1:21">
      <c r="A10499">
        <v>10498</v>
      </c>
      <c r="B10499" s="27" t="s">
        <v>1124</v>
      </c>
      <c r="D10499" s="27" t="s">
        <v>1859</v>
      </c>
      <c r="F10499" s="27" t="s">
        <v>1881</v>
      </c>
      <c r="H10499" s="27" t="s">
        <v>2679</v>
      </c>
      <c r="J10499" s="27" t="s">
        <v>2680</v>
      </c>
      <c r="L10499" s="27" t="s">
        <v>2681</v>
      </c>
      <c r="N10499" s="27" t="s">
        <v>14373</v>
      </c>
      <c r="P10499" s="27" t="s">
        <v>14377</v>
      </c>
      <c r="Q10499" s="26" t="str">
        <f>HYPERLINK("https://ictv.global/taxonomy/taxondetails?taxnode_id=202516109&amp;ictv_id=ICTV202316109","ICTV202316109")</f>
        <v>ICTV202316109</v>
      </c>
      <c r="R10499" t="s">
        <v>581</v>
      </c>
      <c r="S10499" t="s">
        <v>823</v>
      </c>
      <c r="T10499">
        <v>39</v>
      </c>
      <c r="U10499" s="26" t="str">
        <f t="shared" si="385"/>
        <v>2023.001B.Leviviricetes_reorg.zip</v>
      </c>
    </row>
    <row r="10500" spans="1:21">
      <c r="A10500">
        <v>10499</v>
      </c>
      <c r="B10500" s="27" t="s">
        <v>1124</v>
      </c>
      <c r="D10500" s="27" t="s">
        <v>1859</v>
      </c>
      <c r="F10500" s="27" t="s">
        <v>1881</v>
      </c>
      <c r="H10500" s="27" t="s">
        <v>2679</v>
      </c>
      <c r="J10500" s="27" t="s">
        <v>2680</v>
      </c>
      <c r="L10500" s="27" t="s">
        <v>2681</v>
      </c>
      <c r="N10500" s="27" t="s">
        <v>14378</v>
      </c>
      <c r="P10500" s="27" t="s">
        <v>14379</v>
      </c>
      <c r="Q10500" s="26" t="str">
        <f>HYPERLINK("https://ictv.global/taxonomy/taxondetails?taxnode_id=202516110&amp;ictv_id=ICTV202316110","ICTV202316110")</f>
        <v>ICTV202316110</v>
      </c>
      <c r="R10500" t="s">
        <v>581</v>
      </c>
      <c r="S10500" t="s">
        <v>823</v>
      </c>
      <c r="T10500">
        <v>39</v>
      </c>
      <c r="U10500" s="26" t="str">
        <f t="shared" si="385"/>
        <v>2023.001B.Leviviricetes_reorg.zip</v>
      </c>
    </row>
    <row r="10501" spans="1:21">
      <c r="A10501">
        <v>10500</v>
      </c>
      <c r="B10501" s="27" t="s">
        <v>1124</v>
      </c>
      <c r="D10501" s="27" t="s">
        <v>1859</v>
      </c>
      <c r="F10501" s="27" t="s">
        <v>1881</v>
      </c>
      <c r="H10501" s="27" t="s">
        <v>2679</v>
      </c>
      <c r="J10501" s="27" t="s">
        <v>2680</v>
      </c>
      <c r="L10501" s="27" t="s">
        <v>2681</v>
      </c>
      <c r="N10501" s="27" t="s">
        <v>14380</v>
      </c>
      <c r="P10501" s="27" t="s">
        <v>14381</v>
      </c>
      <c r="Q10501" s="26" t="str">
        <f>HYPERLINK("https://ictv.global/taxonomy/taxondetails?taxnode_id=202516111&amp;ictv_id=ICTV202316111","ICTV202316111")</f>
        <v>ICTV202316111</v>
      </c>
      <c r="R10501" t="s">
        <v>581</v>
      </c>
      <c r="S10501" t="s">
        <v>823</v>
      </c>
      <c r="T10501">
        <v>39</v>
      </c>
      <c r="U10501" s="26" t="str">
        <f t="shared" si="385"/>
        <v>2023.001B.Leviviricetes_reorg.zip</v>
      </c>
    </row>
    <row r="10502" spans="1:21">
      <c r="A10502">
        <v>10501</v>
      </c>
      <c r="B10502" s="27" t="s">
        <v>1124</v>
      </c>
      <c r="D10502" s="27" t="s">
        <v>1859</v>
      </c>
      <c r="F10502" s="27" t="s">
        <v>1881</v>
      </c>
      <c r="H10502" s="27" t="s">
        <v>2679</v>
      </c>
      <c r="J10502" s="27" t="s">
        <v>2680</v>
      </c>
      <c r="L10502" s="27" t="s">
        <v>2681</v>
      </c>
      <c r="N10502" s="27" t="s">
        <v>14382</v>
      </c>
      <c r="P10502" s="27" t="s">
        <v>14383</v>
      </c>
      <c r="Q10502" s="26" t="str">
        <f>HYPERLINK("https://ictv.global/taxonomy/taxondetails?taxnode_id=202516112&amp;ictv_id=ICTV202316112","ICTV202316112")</f>
        <v>ICTV202316112</v>
      </c>
      <c r="R10502" t="s">
        <v>581</v>
      </c>
      <c r="S10502" t="s">
        <v>823</v>
      </c>
      <c r="T10502">
        <v>39</v>
      </c>
      <c r="U10502" s="26" t="str">
        <f t="shared" si="385"/>
        <v>2023.001B.Leviviricetes_reorg.zip</v>
      </c>
    </row>
    <row r="10503" spans="1:21">
      <c r="A10503">
        <v>10502</v>
      </c>
      <c r="B10503" s="27" t="s">
        <v>1124</v>
      </c>
      <c r="D10503" s="27" t="s">
        <v>1859</v>
      </c>
      <c r="F10503" s="27" t="s">
        <v>1881</v>
      </c>
      <c r="H10503" s="27" t="s">
        <v>2679</v>
      </c>
      <c r="J10503" s="27" t="s">
        <v>2680</v>
      </c>
      <c r="L10503" s="27" t="s">
        <v>2681</v>
      </c>
      <c r="N10503" s="27" t="s">
        <v>14384</v>
      </c>
      <c r="P10503" s="27" t="s">
        <v>14385</v>
      </c>
      <c r="Q10503" s="26" t="str">
        <f>HYPERLINK("https://ictv.global/taxonomy/taxondetails?taxnode_id=202516113&amp;ictv_id=ICTV202316113","ICTV202316113")</f>
        <v>ICTV202316113</v>
      </c>
      <c r="R10503" t="s">
        <v>581</v>
      </c>
      <c r="S10503" t="s">
        <v>823</v>
      </c>
      <c r="T10503">
        <v>39</v>
      </c>
      <c r="U10503" s="26" t="str">
        <f t="shared" si="385"/>
        <v>2023.001B.Leviviricetes_reorg.zip</v>
      </c>
    </row>
    <row r="10504" spans="1:21">
      <c r="A10504">
        <v>10503</v>
      </c>
      <c r="B10504" s="27" t="s">
        <v>1124</v>
      </c>
      <c r="D10504" s="27" t="s">
        <v>1859</v>
      </c>
      <c r="F10504" s="27" t="s">
        <v>1881</v>
      </c>
      <c r="H10504" s="27" t="s">
        <v>2679</v>
      </c>
      <c r="J10504" s="27" t="s">
        <v>2680</v>
      </c>
      <c r="L10504" s="27" t="s">
        <v>2681</v>
      </c>
      <c r="N10504" s="27" t="s">
        <v>14386</v>
      </c>
      <c r="P10504" s="27" t="s">
        <v>14387</v>
      </c>
      <c r="Q10504" s="26" t="str">
        <f>HYPERLINK("https://ictv.global/taxonomy/taxondetails?taxnode_id=202516114&amp;ictv_id=ICTV202316114","ICTV202316114")</f>
        <v>ICTV202316114</v>
      </c>
      <c r="R10504" t="s">
        <v>581</v>
      </c>
      <c r="S10504" t="s">
        <v>823</v>
      </c>
      <c r="T10504">
        <v>39</v>
      </c>
      <c r="U10504" s="26" t="str">
        <f t="shared" si="385"/>
        <v>2023.001B.Leviviricetes_reorg.zip</v>
      </c>
    </row>
    <row r="10505" spans="1:21">
      <c r="A10505">
        <v>10504</v>
      </c>
      <c r="B10505" s="27" t="s">
        <v>1124</v>
      </c>
      <c r="D10505" s="27" t="s">
        <v>1859</v>
      </c>
      <c r="F10505" s="27" t="s">
        <v>1881</v>
      </c>
      <c r="H10505" s="27" t="s">
        <v>2679</v>
      </c>
      <c r="J10505" s="27" t="s">
        <v>2680</v>
      </c>
      <c r="L10505" s="27" t="s">
        <v>2681</v>
      </c>
      <c r="N10505" s="27" t="s">
        <v>14386</v>
      </c>
      <c r="P10505" s="27" t="s">
        <v>14388</v>
      </c>
      <c r="Q10505" s="26" t="str">
        <f>HYPERLINK("https://ictv.global/taxonomy/taxondetails?taxnode_id=202516115&amp;ictv_id=ICTV202316115","ICTV202316115")</f>
        <v>ICTV202316115</v>
      </c>
      <c r="R10505" t="s">
        <v>581</v>
      </c>
      <c r="S10505" t="s">
        <v>823</v>
      </c>
      <c r="T10505">
        <v>39</v>
      </c>
      <c r="U10505" s="26" t="str">
        <f t="shared" si="385"/>
        <v>2023.001B.Leviviricetes_reorg.zip</v>
      </c>
    </row>
    <row r="10506" spans="1:21">
      <c r="A10506">
        <v>10505</v>
      </c>
      <c r="B10506" s="27" t="s">
        <v>1124</v>
      </c>
      <c r="D10506" s="27" t="s">
        <v>1859</v>
      </c>
      <c r="F10506" s="27" t="s">
        <v>1881</v>
      </c>
      <c r="H10506" s="27" t="s">
        <v>2679</v>
      </c>
      <c r="J10506" s="27" t="s">
        <v>2680</v>
      </c>
      <c r="L10506" s="27" t="s">
        <v>2681</v>
      </c>
      <c r="N10506" s="27" t="s">
        <v>14389</v>
      </c>
      <c r="P10506" s="27" t="s">
        <v>14390</v>
      </c>
      <c r="Q10506" s="26" t="str">
        <f>HYPERLINK("https://ictv.global/taxonomy/taxondetails?taxnode_id=202516116&amp;ictv_id=ICTV202316116","ICTV202316116")</f>
        <v>ICTV202316116</v>
      </c>
      <c r="R10506" t="s">
        <v>581</v>
      </c>
      <c r="S10506" t="s">
        <v>823</v>
      </c>
      <c r="T10506">
        <v>39</v>
      </c>
      <c r="U10506" s="26" t="str">
        <f t="shared" si="385"/>
        <v>2023.001B.Leviviricetes_reorg.zip</v>
      </c>
    </row>
    <row r="10507" spans="1:21">
      <c r="A10507">
        <v>10506</v>
      </c>
      <c r="B10507" s="27" t="s">
        <v>1124</v>
      </c>
      <c r="D10507" s="27" t="s">
        <v>1859</v>
      </c>
      <c r="F10507" s="27" t="s">
        <v>1881</v>
      </c>
      <c r="H10507" s="27" t="s">
        <v>2679</v>
      </c>
      <c r="J10507" s="27" t="s">
        <v>2680</v>
      </c>
      <c r="L10507" s="27" t="s">
        <v>2681</v>
      </c>
      <c r="N10507" s="27" t="s">
        <v>14391</v>
      </c>
      <c r="P10507" s="27" t="s">
        <v>14392</v>
      </c>
      <c r="Q10507" s="26" t="str">
        <f>HYPERLINK("https://ictv.global/taxonomy/taxondetails?taxnode_id=202516117&amp;ictv_id=ICTV202316117","ICTV202316117")</f>
        <v>ICTV202316117</v>
      </c>
      <c r="R10507" t="s">
        <v>581</v>
      </c>
      <c r="S10507" t="s">
        <v>823</v>
      </c>
      <c r="T10507">
        <v>39</v>
      </c>
      <c r="U10507" s="26" t="str">
        <f t="shared" si="385"/>
        <v>2023.001B.Leviviricetes_reorg.zip</v>
      </c>
    </row>
    <row r="10508" spans="1:21">
      <c r="A10508">
        <v>10507</v>
      </c>
      <c r="B10508" s="27" t="s">
        <v>1124</v>
      </c>
      <c r="D10508" s="27" t="s">
        <v>1859</v>
      </c>
      <c r="F10508" s="27" t="s">
        <v>1881</v>
      </c>
      <c r="H10508" s="27" t="s">
        <v>2679</v>
      </c>
      <c r="J10508" s="27" t="s">
        <v>2680</v>
      </c>
      <c r="L10508" s="27" t="s">
        <v>2681</v>
      </c>
      <c r="N10508" s="27" t="s">
        <v>14393</v>
      </c>
      <c r="P10508" s="27" t="s">
        <v>14394</v>
      </c>
      <c r="Q10508" s="26" t="str">
        <f>HYPERLINK("https://ictv.global/taxonomy/taxondetails?taxnode_id=202516118&amp;ictv_id=ICTV202316118","ICTV202316118")</f>
        <v>ICTV202316118</v>
      </c>
      <c r="R10508" t="s">
        <v>581</v>
      </c>
      <c r="S10508" t="s">
        <v>823</v>
      </c>
      <c r="T10508">
        <v>39</v>
      </c>
      <c r="U10508" s="26" t="str">
        <f t="shared" si="385"/>
        <v>2023.001B.Leviviricetes_reorg.zip</v>
      </c>
    </row>
    <row r="10509" spans="1:21">
      <c r="A10509">
        <v>10508</v>
      </c>
      <c r="B10509" s="27" t="s">
        <v>1124</v>
      </c>
      <c r="D10509" s="27" t="s">
        <v>1859</v>
      </c>
      <c r="F10509" s="27" t="s">
        <v>1881</v>
      </c>
      <c r="H10509" s="27" t="s">
        <v>2679</v>
      </c>
      <c r="J10509" s="27" t="s">
        <v>2680</v>
      </c>
      <c r="L10509" s="27" t="s">
        <v>2681</v>
      </c>
      <c r="N10509" s="27" t="s">
        <v>14395</v>
      </c>
      <c r="P10509" s="27" t="s">
        <v>14396</v>
      </c>
      <c r="Q10509" s="26" t="str">
        <f>HYPERLINK("https://ictv.global/taxonomy/taxondetails?taxnode_id=202516119&amp;ictv_id=ICTV202316119","ICTV202316119")</f>
        <v>ICTV202316119</v>
      </c>
      <c r="R10509" t="s">
        <v>581</v>
      </c>
      <c r="S10509" t="s">
        <v>823</v>
      </c>
      <c r="T10509">
        <v>39</v>
      </c>
      <c r="U10509" s="26" t="str">
        <f t="shared" si="385"/>
        <v>2023.001B.Leviviricetes_reorg.zip</v>
      </c>
    </row>
    <row r="10510" spans="1:21">
      <c r="A10510">
        <v>10509</v>
      </c>
      <c r="B10510" s="27" t="s">
        <v>1124</v>
      </c>
      <c r="D10510" s="27" t="s">
        <v>1859</v>
      </c>
      <c r="F10510" s="27" t="s">
        <v>1881</v>
      </c>
      <c r="H10510" s="27" t="s">
        <v>2679</v>
      </c>
      <c r="J10510" s="27" t="s">
        <v>2680</v>
      </c>
      <c r="L10510" s="27" t="s">
        <v>2681</v>
      </c>
      <c r="N10510" s="27" t="s">
        <v>14397</v>
      </c>
      <c r="P10510" s="27" t="s">
        <v>14398</v>
      </c>
      <c r="Q10510" s="26" t="str">
        <f>HYPERLINK("https://ictv.global/taxonomy/taxondetails?taxnode_id=202516120&amp;ictv_id=ICTV202316120","ICTV202316120")</f>
        <v>ICTV202316120</v>
      </c>
      <c r="R10510" t="s">
        <v>581</v>
      </c>
      <c r="S10510" t="s">
        <v>823</v>
      </c>
      <c r="T10510">
        <v>39</v>
      </c>
      <c r="U10510" s="26" t="str">
        <f t="shared" si="385"/>
        <v>2023.001B.Leviviricetes_reorg.zip</v>
      </c>
    </row>
    <row r="10511" spans="1:21">
      <c r="A10511">
        <v>10510</v>
      </c>
      <c r="B10511" s="27" t="s">
        <v>1124</v>
      </c>
      <c r="D10511" s="27" t="s">
        <v>1859</v>
      </c>
      <c r="F10511" s="27" t="s">
        <v>1881</v>
      </c>
      <c r="H10511" s="27" t="s">
        <v>2679</v>
      </c>
      <c r="J10511" s="27" t="s">
        <v>2680</v>
      </c>
      <c r="L10511" s="27" t="s">
        <v>2681</v>
      </c>
      <c r="N10511" s="27" t="s">
        <v>14399</v>
      </c>
      <c r="P10511" s="27" t="s">
        <v>14400</v>
      </c>
      <c r="Q10511" s="26" t="str">
        <f>HYPERLINK("https://ictv.global/taxonomy/taxondetails?taxnode_id=202510764&amp;ictv_id=ICTV202010764","ICTV202010764")</f>
        <v>ICTV202010764</v>
      </c>
      <c r="R10511" t="s">
        <v>581</v>
      </c>
      <c r="S10511" t="s">
        <v>22764</v>
      </c>
      <c r="T10511">
        <v>39</v>
      </c>
      <c r="U10511" s="26" t="str">
        <f t="shared" si="385"/>
        <v>2023.001B.Leviviricetes_reorg.zip</v>
      </c>
    </row>
    <row r="10512" spans="1:21">
      <c r="A10512">
        <v>10511</v>
      </c>
      <c r="B10512" s="27" t="s">
        <v>1124</v>
      </c>
      <c r="D10512" s="27" t="s">
        <v>1859</v>
      </c>
      <c r="F10512" s="27" t="s">
        <v>1881</v>
      </c>
      <c r="H10512" s="27" t="s">
        <v>2679</v>
      </c>
      <c r="J10512" s="27" t="s">
        <v>2680</v>
      </c>
      <c r="L10512" s="27" t="s">
        <v>2681</v>
      </c>
      <c r="N10512" s="27" t="s">
        <v>14399</v>
      </c>
      <c r="P10512" s="27" t="s">
        <v>14401</v>
      </c>
      <c r="Q10512" s="26" t="str">
        <f>HYPERLINK("https://ictv.global/taxonomy/taxondetails?taxnode_id=202516121&amp;ictv_id=ICTV202316121","ICTV202316121")</f>
        <v>ICTV202316121</v>
      </c>
      <c r="R10512" t="s">
        <v>581</v>
      </c>
      <c r="S10512" t="s">
        <v>823</v>
      </c>
      <c r="T10512">
        <v>39</v>
      </c>
      <c r="U10512" s="26" t="str">
        <f t="shared" si="385"/>
        <v>2023.001B.Leviviricetes_reorg.zip</v>
      </c>
    </row>
    <row r="10513" spans="1:21">
      <c r="A10513">
        <v>10512</v>
      </c>
      <c r="B10513" s="27" t="s">
        <v>1124</v>
      </c>
      <c r="D10513" s="27" t="s">
        <v>1859</v>
      </c>
      <c r="F10513" s="27" t="s">
        <v>1881</v>
      </c>
      <c r="H10513" s="27" t="s">
        <v>2679</v>
      </c>
      <c r="J10513" s="27" t="s">
        <v>2680</v>
      </c>
      <c r="L10513" s="27" t="s">
        <v>2681</v>
      </c>
      <c r="N10513" s="27" t="s">
        <v>14399</v>
      </c>
      <c r="P10513" s="27" t="s">
        <v>14402</v>
      </c>
      <c r="Q10513" s="26" t="str">
        <f>HYPERLINK("https://ictv.global/taxonomy/taxondetails?taxnode_id=202516122&amp;ictv_id=ICTV202316122","ICTV202316122")</f>
        <v>ICTV202316122</v>
      </c>
      <c r="R10513" t="s">
        <v>581</v>
      </c>
      <c r="S10513" t="s">
        <v>823</v>
      </c>
      <c r="T10513">
        <v>39</v>
      </c>
      <c r="U10513" s="26" t="str">
        <f t="shared" si="385"/>
        <v>2023.001B.Leviviricetes_reorg.zip</v>
      </c>
    </row>
    <row r="10514" spans="1:21">
      <c r="A10514">
        <v>10513</v>
      </c>
      <c r="B10514" s="27" t="s">
        <v>1124</v>
      </c>
      <c r="D10514" s="27" t="s">
        <v>1859</v>
      </c>
      <c r="F10514" s="27" t="s">
        <v>1881</v>
      </c>
      <c r="H10514" s="27" t="s">
        <v>2679</v>
      </c>
      <c r="J10514" s="27" t="s">
        <v>2680</v>
      </c>
      <c r="L10514" s="27" t="s">
        <v>2681</v>
      </c>
      <c r="N10514" s="27" t="s">
        <v>14399</v>
      </c>
      <c r="P10514" s="27" t="s">
        <v>14403</v>
      </c>
      <c r="Q10514" s="26" t="str">
        <f>HYPERLINK("https://ictv.global/taxonomy/taxondetails?taxnode_id=202516123&amp;ictv_id=ICTV202316123","ICTV202316123")</f>
        <v>ICTV202316123</v>
      </c>
      <c r="R10514" t="s">
        <v>581</v>
      </c>
      <c r="S10514" t="s">
        <v>823</v>
      </c>
      <c r="T10514">
        <v>39</v>
      </c>
      <c r="U10514" s="26" t="str">
        <f t="shared" si="385"/>
        <v>2023.001B.Leviviricetes_reorg.zip</v>
      </c>
    </row>
    <row r="10515" spans="1:21">
      <c r="A10515">
        <v>10514</v>
      </c>
      <c r="B10515" s="27" t="s">
        <v>1124</v>
      </c>
      <c r="D10515" s="27" t="s">
        <v>1859</v>
      </c>
      <c r="F10515" s="27" t="s">
        <v>1881</v>
      </c>
      <c r="H10515" s="27" t="s">
        <v>2679</v>
      </c>
      <c r="J10515" s="27" t="s">
        <v>2680</v>
      </c>
      <c r="L10515" s="27" t="s">
        <v>2681</v>
      </c>
      <c r="N10515" s="27" t="s">
        <v>14399</v>
      </c>
      <c r="P10515" s="27" t="s">
        <v>14404</v>
      </c>
      <c r="Q10515" s="26" t="str">
        <f>HYPERLINK("https://ictv.global/taxonomy/taxondetails?taxnode_id=202516124&amp;ictv_id=ICTV202316124","ICTV202316124")</f>
        <v>ICTV202316124</v>
      </c>
      <c r="R10515" t="s">
        <v>581</v>
      </c>
      <c r="S10515" t="s">
        <v>823</v>
      </c>
      <c r="T10515">
        <v>39</v>
      </c>
      <c r="U10515" s="26" t="str">
        <f t="shared" si="385"/>
        <v>2023.001B.Leviviricetes_reorg.zip</v>
      </c>
    </row>
    <row r="10516" spans="1:21">
      <c r="A10516">
        <v>10515</v>
      </c>
      <c r="B10516" s="27" t="s">
        <v>1124</v>
      </c>
      <c r="D10516" s="27" t="s">
        <v>1859</v>
      </c>
      <c r="F10516" s="27" t="s">
        <v>1881</v>
      </c>
      <c r="H10516" s="27" t="s">
        <v>2679</v>
      </c>
      <c r="J10516" s="27" t="s">
        <v>2680</v>
      </c>
      <c r="L10516" s="27" t="s">
        <v>2681</v>
      </c>
      <c r="N10516" s="27" t="s">
        <v>14399</v>
      </c>
      <c r="P10516" s="27" t="s">
        <v>14405</v>
      </c>
      <c r="Q10516" s="26" t="str">
        <f>HYPERLINK("https://ictv.global/taxonomy/taxondetails?taxnode_id=202516125&amp;ictv_id=ICTV202316125","ICTV202316125")</f>
        <v>ICTV202316125</v>
      </c>
      <c r="R10516" t="s">
        <v>581</v>
      </c>
      <c r="S10516" t="s">
        <v>823</v>
      </c>
      <c r="T10516">
        <v>39</v>
      </c>
      <c r="U10516" s="26" t="str">
        <f t="shared" si="385"/>
        <v>2023.001B.Leviviricetes_reorg.zip</v>
      </c>
    </row>
    <row r="10517" spans="1:21">
      <c r="A10517">
        <v>10516</v>
      </c>
      <c r="B10517" s="27" t="s">
        <v>1124</v>
      </c>
      <c r="D10517" s="27" t="s">
        <v>1859</v>
      </c>
      <c r="F10517" s="27" t="s">
        <v>1881</v>
      </c>
      <c r="H10517" s="27" t="s">
        <v>2679</v>
      </c>
      <c r="J10517" s="27" t="s">
        <v>2680</v>
      </c>
      <c r="L10517" s="27" t="s">
        <v>2681</v>
      </c>
      <c r="N10517" s="27" t="s">
        <v>14399</v>
      </c>
      <c r="P10517" s="27" t="s">
        <v>14406</v>
      </c>
      <c r="Q10517" s="26" t="str">
        <f>HYPERLINK("https://ictv.global/taxonomy/taxondetails?taxnode_id=202516126&amp;ictv_id=ICTV202316126","ICTV202316126")</f>
        <v>ICTV202316126</v>
      </c>
      <c r="R10517" t="s">
        <v>581</v>
      </c>
      <c r="S10517" t="s">
        <v>823</v>
      </c>
      <c r="T10517">
        <v>39</v>
      </c>
      <c r="U10517" s="26" t="str">
        <f t="shared" si="385"/>
        <v>2023.001B.Leviviricetes_reorg.zip</v>
      </c>
    </row>
    <row r="10518" spans="1:21">
      <c r="A10518">
        <v>10517</v>
      </c>
      <c r="B10518" s="27" t="s">
        <v>1124</v>
      </c>
      <c r="D10518" s="27" t="s">
        <v>1859</v>
      </c>
      <c r="F10518" s="27" t="s">
        <v>1881</v>
      </c>
      <c r="H10518" s="27" t="s">
        <v>2679</v>
      </c>
      <c r="J10518" s="27" t="s">
        <v>2680</v>
      </c>
      <c r="L10518" s="27" t="s">
        <v>2681</v>
      </c>
      <c r="N10518" s="27" t="s">
        <v>14399</v>
      </c>
      <c r="P10518" s="27" t="s">
        <v>14407</v>
      </c>
      <c r="Q10518" s="26" t="str">
        <f>HYPERLINK("https://ictv.global/taxonomy/taxondetails?taxnode_id=202516127&amp;ictv_id=ICTV202316127","ICTV202316127")</f>
        <v>ICTV202316127</v>
      </c>
      <c r="R10518" t="s">
        <v>581</v>
      </c>
      <c r="S10518" t="s">
        <v>823</v>
      </c>
      <c r="T10518">
        <v>39</v>
      </c>
      <c r="U10518" s="26" t="str">
        <f t="shared" si="385"/>
        <v>2023.001B.Leviviricetes_reorg.zip</v>
      </c>
    </row>
    <row r="10519" spans="1:21">
      <c r="A10519">
        <v>10518</v>
      </c>
      <c r="B10519" s="27" t="s">
        <v>1124</v>
      </c>
      <c r="D10519" s="27" t="s">
        <v>1859</v>
      </c>
      <c r="F10519" s="27" t="s">
        <v>1881</v>
      </c>
      <c r="H10519" s="27" t="s">
        <v>2679</v>
      </c>
      <c r="J10519" s="27" t="s">
        <v>2680</v>
      </c>
      <c r="L10519" s="27" t="s">
        <v>2681</v>
      </c>
      <c r="N10519" s="27" t="s">
        <v>14399</v>
      </c>
      <c r="P10519" s="27" t="s">
        <v>14408</v>
      </c>
      <c r="Q10519" s="26" t="str">
        <f>HYPERLINK("https://ictv.global/taxonomy/taxondetails?taxnode_id=202516128&amp;ictv_id=ICTV202316128","ICTV202316128")</f>
        <v>ICTV202316128</v>
      </c>
      <c r="R10519" t="s">
        <v>581</v>
      </c>
      <c r="S10519" t="s">
        <v>823</v>
      </c>
      <c r="T10519">
        <v>39</v>
      </c>
      <c r="U10519" s="26" t="str">
        <f t="shared" si="385"/>
        <v>2023.001B.Leviviricetes_reorg.zip</v>
      </c>
    </row>
    <row r="10520" spans="1:21">
      <c r="A10520">
        <v>10519</v>
      </c>
      <c r="B10520" s="27" t="s">
        <v>1124</v>
      </c>
      <c r="D10520" s="27" t="s">
        <v>1859</v>
      </c>
      <c r="F10520" s="27" t="s">
        <v>1881</v>
      </c>
      <c r="H10520" s="27" t="s">
        <v>2679</v>
      </c>
      <c r="J10520" s="27" t="s">
        <v>2680</v>
      </c>
      <c r="L10520" s="27" t="s">
        <v>2681</v>
      </c>
      <c r="N10520" s="27" t="s">
        <v>14409</v>
      </c>
      <c r="P10520" s="27" t="s">
        <v>14410</v>
      </c>
      <c r="Q10520" s="26" t="str">
        <f>HYPERLINK("https://ictv.global/taxonomy/taxondetails?taxnode_id=202516129&amp;ictv_id=ICTV202316129","ICTV202316129")</f>
        <v>ICTV202316129</v>
      </c>
      <c r="R10520" t="s">
        <v>581</v>
      </c>
      <c r="S10520" t="s">
        <v>823</v>
      </c>
      <c r="T10520">
        <v>39</v>
      </c>
      <c r="U10520" s="26" t="str">
        <f t="shared" si="385"/>
        <v>2023.001B.Leviviricetes_reorg.zip</v>
      </c>
    </row>
    <row r="10521" spans="1:21">
      <c r="A10521">
        <v>10520</v>
      </c>
      <c r="B10521" s="27" t="s">
        <v>1124</v>
      </c>
      <c r="D10521" s="27" t="s">
        <v>1859</v>
      </c>
      <c r="F10521" s="27" t="s">
        <v>1881</v>
      </c>
      <c r="H10521" s="27" t="s">
        <v>2679</v>
      </c>
      <c r="J10521" s="27" t="s">
        <v>2680</v>
      </c>
      <c r="L10521" s="27" t="s">
        <v>2681</v>
      </c>
      <c r="N10521" s="27" t="s">
        <v>14409</v>
      </c>
      <c r="P10521" s="27" t="s">
        <v>14411</v>
      </c>
      <c r="Q10521" s="26" t="str">
        <f>HYPERLINK("https://ictv.global/taxonomy/taxondetails?taxnode_id=202516130&amp;ictv_id=ICTV202316130","ICTV202316130")</f>
        <v>ICTV202316130</v>
      </c>
      <c r="R10521" t="s">
        <v>581</v>
      </c>
      <c r="S10521" t="s">
        <v>823</v>
      </c>
      <c r="T10521">
        <v>39</v>
      </c>
      <c r="U10521" s="26" t="str">
        <f t="shared" si="385"/>
        <v>2023.001B.Leviviricetes_reorg.zip</v>
      </c>
    </row>
    <row r="10522" spans="1:21">
      <c r="A10522">
        <v>10521</v>
      </c>
      <c r="B10522" s="27" t="s">
        <v>1124</v>
      </c>
      <c r="D10522" s="27" t="s">
        <v>1859</v>
      </c>
      <c r="F10522" s="27" t="s">
        <v>1881</v>
      </c>
      <c r="H10522" s="27" t="s">
        <v>2679</v>
      </c>
      <c r="J10522" s="27" t="s">
        <v>2680</v>
      </c>
      <c r="L10522" s="27" t="s">
        <v>2681</v>
      </c>
      <c r="N10522" s="27" t="s">
        <v>14412</v>
      </c>
      <c r="P10522" s="27" t="s">
        <v>14413</v>
      </c>
      <c r="Q10522" s="26" t="str">
        <f>HYPERLINK("https://ictv.global/taxonomy/taxondetails?taxnode_id=202516131&amp;ictv_id=ICTV202316131","ICTV202316131")</f>
        <v>ICTV202316131</v>
      </c>
      <c r="R10522" t="s">
        <v>581</v>
      </c>
      <c r="S10522" t="s">
        <v>823</v>
      </c>
      <c r="T10522">
        <v>39</v>
      </c>
      <c r="U10522" s="26" t="str">
        <f t="shared" si="385"/>
        <v>2023.001B.Leviviricetes_reorg.zip</v>
      </c>
    </row>
    <row r="10523" spans="1:21">
      <c r="A10523">
        <v>10522</v>
      </c>
      <c r="B10523" s="27" t="s">
        <v>1124</v>
      </c>
      <c r="D10523" s="27" t="s">
        <v>1859</v>
      </c>
      <c r="F10523" s="27" t="s">
        <v>1881</v>
      </c>
      <c r="H10523" s="27" t="s">
        <v>2679</v>
      </c>
      <c r="J10523" s="27" t="s">
        <v>2680</v>
      </c>
      <c r="L10523" s="27" t="s">
        <v>2681</v>
      </c>
      <c r="N10523" s="27" t="s">
        <v>14414</v>
      </c>
      <c r="P10523" s="27" t="s">
        <v>14415</v>
      </c>
      <c r="Q10523" s="26" t="str">
        <f>HYPERLINK("https://ictv.global/taxonomy/taxondetails?taxnode_id=202516132&amp;ictv_id=ICTV202316132","ICTV202316132")</f>
        <v>ICTV202316132</v>
      </c>
      <c r="R10523" t="s">
        <v>581</v>
      </c>
      <c r="S10523" t="s">
        <v>823</v>
      </c>
      <c r="T10523">
        <v>39</v>
      </c>
      <c r="U10523" s="26" t="str">
        <f t="shared" si="385"/>
        <v>2023.001B.Leviviricetes_reorg.zip</v>
      </c>
    </row>
    <row r="10524" spans="1:21">
      <c r="A10524">
        <v>10523</v>
      </c>
      <c r="B10524" s="27" t="s">
        <v>1124</v>
      </c>
      <c r="D10524" s="27" t="s">
        <v>1859</v>
      </c>
      <c r="F10524" s="27" t="s">
        <v>1881</v>
      </c>
      <c r="H10524" s="27" t="s">
        <v>2679</v>
      </c>
      <c r="J10524" s="27" t="s">
        <v>2680</v>
      </c>
      <c r="L10524" s="27" t="s">
        <v>2681</v>
      </c>
      <c r="N10524" s="27" t="s">
        <v>14416</v>
      </c>
      <c r="P10524" s="27" t="s">
        <v>14417</v>
      </c>
      <c r="Q10524" s="26" t="str">
        <f>HYPERLINK("https://ictv.global/taxonomy/taxondetails?taxnode_id=202516133&amp;ictv_id=ICTV202316133","ICTV202316133")</f>
        <v>ICTV202316133</v>
      </c>
      <c r="R10524" t="s">
        <v>581</v>
      </c>
      <c r="S10524" t="s">
        <v>823</v>
      </c>
      <c r="T10524">
        <v>39</v>
      </c>
      <c r="U10524" s="26" t="str">
        <f t="shared" si="385"/>
        <v>2023.001B.Leviviricetes_reorg.zip</v>
      </c>
    </row>
    <row r="10525" spans="1:21">
      <c r="A10525">
        <v>10524</v>
      </c>
      <c r="B10525" s="27" t="s">
        <v>1124</v>
      </c>
      <c r="D10525" s="27" t="s">
        <v>1859</v>
      </c>
      <c r="F10525" s="27" t="s">
        <v>1881</v>
      </c>
      <c r="H10525" s="27" t="s">
        <v>2679</v>
      </c>
      <c r="J10525" s="27" t="s">
        <v>2680</v>
      </c>
      <c r="L10525" s="27" t="s">
        <v>2681</v>
      </c>
      <c r="N10525" s="27" t="s">
        <v>14418</v>
      </c>
      <c r="P10525" s="27" t="s">
        <v>14419</v>
      </c>
      <c r="Q10525" s="26" t="str">
        <f>HYPERLINK("https://ictv.global/taxonomy/taxondetails?taxnode_id=202516134&amp;ictv_id=ICTV202316134","ICTV202316134")</f>
        <v>ICTV202316134</v>
      </c>
      <c r="R10525" t="s">
        <v>581</v>
      </c>
      <c r="S10525" t="s">
        <v>823</v>
      </c>
      <c r="T10525">
        <v>39</v>
      </c>
      <c r="U10525" s="26" t="str">
        <f t="shared" si="385"/>
        <v>2023.001B.Leviviricetes_reorg.zip</v>
      </c>
    </row>
    <row r="10526" spans="1:21">
      <c r="A10526">
        <v>10525</v>
      </c>
      <c r="B10526" s="27" t="s">
        <v>1124</v>
      </c>
      <c r="D10526" s="27" t="s">
        <v>1859</v>
      </c>
      <c r="F10526" s="27" t="s">
        <v>1881</v>
      </c>
      <c r="H10526" s="27" t="s">
        <v>2679</v>
      </c>
      <c r="J10526" s="27" t="s">
        <v>2680</v>
      </c>
      <c r="L10526" s="27" t="s">
        <v>2681</v>
      </c>
      <c r="N10526" s="27" t="s">
        <v>14420</v>
      </c>
      <c r="P10526" s="27" t="s">
        <v>14421</v>
      </c>
      <c r="Q10526" s="26" t="str">
        <f>HYPERLINK("https://ictv.global/taxonomy/taxondetails?taxnode_id=202516135&amp;ictv_id=ICTV202316135","ICTV202316135")</f>
        <v>ICTV202316135</v>
      </c>
      <c r="R10526" t="s">
        <v>581</v>
      </c>
      <c r="S10526" t="s">
        <v>823</v>
      </c>
      <c r="T10526">
        <v>39</v>
      </c>
      <c r="U10526" s="26" t="str">
        <f t="shared" si="385"/>
        <v>2023.001B.Leviviricetes_reorg.zip</v>
      </c>
    </row>
    <row r="10527" spans="1:21">
      <c r="A10527">
        <v>10526</v>
      </c>
      <c r="B10527" s="27" t="s">
        <v>1124</v>
      </c>
      <c r="D10527" s="27" t="s">
        <v>1859</v>
      </c>
      <c r="F10527" s="27" t="s">
        <v>1881</v>
      </c>
      <c r="H10527" s="27" t="s">
        <v>2679</v>
      </c>
      <c r="J10527" s="27" t="s">
        <v>2680</v>
      </c>
      <c r="L10527" s="27" t="s">
        <v>2681</v>
      </c>
      <c r="N10527" s="27" t="s">
        <v>14422</v>
      </c>
      <c r="P10527" s="27" t="s">
        <v>14423</v>
      </c>
      <c r="Q10527" s="26" t="str">
        <f>HYPERLINK("https://ictv.global/taxonomy/taxondetails?taxnode_id=202516136&amp;ictv_id=ICTV202316136","ICTV202316136")</f>
        <v>ICTV202316136</v>
      </c>
      <c r="R10527" t="s">
        <v>581</v>
      </c>
      <c r="S10527" t="s">
        <v>823</v>
      </c>
      <c r="T10527">
        <v>39</v>
      </c>
      <c r="U10527" s="26" t="str">
        <f t="shared" si="385"/>
        <v>2023.001B.Leviviricetes_reorg.zip</v>
      </c>
    </row>
    <row r="10528" spans="1:21">
      <c r="A10528">
        <v>10527</v>
      </c>
      <c r="B10528" s="27" t="s">
        <v>1124</v>
      </c>
      <c r="D10528" s="27" t="s">
        <v>1859</v>
      </c>
      <c r="F10528" s="27" t="s">
        <v>1881</v>
      </c>
      <c r="H10528" s="27" t="s">
        <v>2679</v>
      </c>
      <c r="J10528" s="27" t="s">
        <v>2680</v>
      </c>
      <c r="L10528" s="27" t="s">
        <v>2681</v>
      </c>
      <c r="N10528" s="27" t="s">
        <v>14422</v>
      </c>
      <c r="P10528" s="27" t="s">
        <v>14424</v>
      </c>
      <c r="Q10528" s="26" t="str">
        <f>HYPERLINK("https://ictv.global/taxonomy/taxondetails?taxnode_id=202516137&amp;ictv_id=ICTV202316137","ICTV202316137")</f>
        <v>ICTV202316137</v>
      </c>
      <c r="R10528" t="s">
        <v>581</v>
      </c>
      <c r="S10528" t="s">
        <v>823</v>
      </c>
      <c r="T10528">
        <v>39</v>
      </c>
      <c r="U10528" s="26" t="str">
        <f t="shared" si="385"/>
        <v>2023.001B.Leviviricetes_reorg.zip</v>
      </c>
    </row>
    <row r="10529" spans="1:21">
      <c r="A10529">
        <v>10528</v>
      </c>
      <c r="B10529" s="27" t="s">
        <v>1124</v>
      </c>
      <c r="D10529" s="27" t="s">
        <v>1859</v>
      </c>
      <c r="F10529" s="27" t="s">
        <v>1881</v>
      </c>
      <c r="H10529" s="27" t="s">
        <v>2679</v>
      </c>
      <c r="J10529" s="27" t="s">
        <v>2680</v>
      </c>
      <c r="L10529" s="27" t="s">
        <v>2681</v>
      </c>
      <c r="N10529" s="27" t="s">
        <v>14425</v>
      </c>
      <c r="P10529" s="27" t="s">
        <v>14426</v>
      </c>
      <c r="Q10529" s="26" t="str">
        <f>HYPERLINK("https://ictv.global/taxonomy/taxondetails?taxnode_id=202516138&amp;ictv_id=ICTV202316138","ICTV202316138")</f>
        <v>ICTV202316138</v>
      </c>
      <c r="R10529" t="s">
        <v>581</v>
      </c>
      <c r="S10529" t="s">
        <v>823</v>
      </c>
      <c r="T10529">
        <v>39</v>
      </c>
      <c r="U10529" s="26" t="str">
        <f t="shared" si="385"/>
        <v>2023.001B.Leviviricetes_reorg.zip</v>
      </c>
    </row>
    <row r="10530" spans="1:21">
      <c r="A10530">
        <v>10529</v>
      </c>
      <c r="B10530" s="27" t="s">
        <v>1124</v>
      </c>
      <c r="D10530" s="27" t="s">
        <v>1859</v>
      </c>
      <c r="F10530" s="27" t="s">
        <v>1881</v>
      </c>
      <c r="H10530" s="27" t="s">
        <v>2679</v>
      </c>
      <c r="J10530" s="27" t="s">
        <v>2680</v>
      </c>
      <c r="L10530" s="27" t="s">
        <v>2681</v>
      </c>
      <c r="N10530" s="27" t="s">
        <v>14427</v>
      </c>
      <c r="P10530" s="27" t="s">
        <v>14428</v>
      </c>
      <c r="Q10530" s="26" t="str">
        <f>HYPERLINK("https://ictv.global/taxonomy/taxondetails?taxnode_id=202516139&amp;ictv_id=ICTV202316139","ICTV202316139")</f>
        <v>ICTV202316139</v>
      </c>
      <c r="R10530" t="s">
        <v>581</v>
      </c>
      <c r="S10530" t="s">
        <v>823</v>
      </c>
      <c r="T10530">
        <v>39</v>
      </c>
      <c r="U10530" s="26" t="str">
        <f t="shared" si="385"/>
        <v>2023.001B.Leviviricetes_reorg.zip</v>
      </c>
    </row>
    <row r="10531" spans="1:21">
      <c r="A10531">
        <v>10530</v>
      </c>
      <c r="B10531" s="27" t="s">
        <v>1124</v>
      </c>
      <c r="D10531" s="27" t="s">
        <v>1859</v>
      </c>
      <c r="F10531" s="27" t="s">
        <v>1881</v>
      </c>
      <c r="H10531" s="27" t="s">
        <v>2679</v>
      </c>
      <c r="J10531" s="27" t="s">
        <v>2680</v>
      </c>
      <c r="L10531" s="27" t="s">
        <v>2681</v>
      </c>
      <c r="N10531" s="27" t="s">
        <v>14427</v>
      </c>
      <c r="P10531" s="27" t="s">
        <v>14429</v>
      </c>
      <c r="Q10531" s="26" t="str">
        <f>HYPERLINK("https://ictv.global/taxonomy/taxondetails?taxnode_id=202516140&amp;ictv_id=ICTV202316140","ICTV202316140")</f>
        <v>ICTV202316140</v>
      </c>
      <c r="R10531" t="s">
        <v>581</v>
      </c>
      <c r="S10531" t="s">
        <v>823</v>
      </c>
      <c r="T10531">
        <v>39</v>
      </c>
      <c r="U10531" s="26" t="str">
        <f t="shared" si="385"/>
        <v>2023.001B.Leviviricetes_reorg.zip</v>
      </c>
    </row>
    <row r="10532" spans="1:21">
      <c r="A10532">
        <v>10531</v>
      </c>
      <c r="B10532" s="27" t="s">
        <v>1124</v>
      </c>
      <c r="D10532" s="27" t="s">
        <v>1859</v>
      </c>
      <c r="F10532" s="27" t="s">
        <v>1881</v>
      </c>
      <c r="H10532" s="27" t="s">
        <v>2679</v>
      </c>
      <c r="J10532" s="27" t="s">
        <v>2680</v>
      </c>
      <c r="L10532" s="27" t="s">
        <v>2681</v>
      </c>
      <c r="N10532" s="27" t="s">
        <v>14430</v>
      </c>
      <c r="P10532" s="27" t="s">
        <v>14431</v>
      </c>
      <c r="Q10532" s="26" t="str">
        <f>HYPERLINK("https://ictv.global/taxonomy/taxondetails?taxnode_id=202516141&amp;ictv_id=ICTV202316141","ICTV202316141")</f>
        <v>ICTV202316141</v>
      </c>
      <c r="R10532" t="s">
        <v>581</v>
      </c>
      <c r="S10532" t="s">
        <v>823</v>
      </c>
      <c r="T10532">
        <v>39</v>
      </c>
      <c r="U10532" s="26" t="str">
        <f t="shared" si="385"/>
        <v>2023.001B.Leviviricetes_reorg.zip</v>
      </c>
    </row>
    <row r="10533" spans="1:21">
      <c r="A10533">
        <v>10532</v>
      </c>
      <c r="B10533" s="27" t="s">
        <v>1124</v>
      </c>
      <c r="D10533" s="27" t="s">
        <v>1859</v>
      </c>
      <c r="F10533" s="27" t="s">
        <v>1881</v>
      </c>
      <c r="H10533" s="27" t="s">
        <v>2679</v>
      </c>
      <c r="J10533" s="27" t="s">
        <v>2680</v>
      </c>
      <c r="L10533" s="27" t="s">
        <v>2681</v>
      </c>
      <c r="N10533" s="27" t="s">
        <v>14432</v>
      </c>
      <c r="P10533" s="27" t="s">
        <v>14433</v>
      </c>
      <c r="Q10533" s="26" t="str">
        <f>HYPERLINK("https://ictv.global/taxonomy/taxondetails?taxnode_id=202516142&amp;ictv_id=ICTV202316142","ICTV202316142")</f>
        <v>ICTV202316142</v>
      </c>
      <c r="R10533" t="s">
        <v>581</v>
      </c>
      <c r="S10533" t="s">
        <v>823</v>
      </c>
      <c r="T10533">
        <v>39</v>
      </c>
      <c r="U10533" s="26" t="str">
        <f t="shared" si="385"/>
        <v>2023.001B.Leviviricetes_reorg.zip</v>
      </c>
    </row>
    <row r="10534" spans="1:21">
      <c r="A10534">
        <v>10533</v>
      </c>
      <c r="B10534" s="27" t="s">
        <v>1124</v>
      </c>
      <c r="D10534" s="27" t="s">
        <v>1859</v>
      </c>
      <c r="F10534" s="27" t="s">
        <v>1881</v>
      </c>
      <c r="H10534" s="27" t="s">
        <v>2679</v>
      </c>
      <c r="J10534" s="27" t="s">
        <v>2680</v>
      </c>
      <c r="L10534" s="27" t="s">
        <v>2681</v>
      </c>
      <c r="N10534" s="27" t="s">
        <v>2697</v>
      </c>
      <c r="P10534" s="27" t="s">
        <v>14434</v>
      </c>
      <c r="Q10534" s="26" t="str">
        <f>HYPERLINK("https://ictv.global/taxonomy/taxondetails?taxnode_id=202516143&amp;ictv_id=ICTV202316143","ICTV202316143")</f>
        <v>ICTV202316143</v>
      </c>
      <c r="R10534" t="s">
        <v>581</v>
      </c>
      <c r="S10534" t="s">
        <v>823</v>
      </c>
      <c r="T10534">
        <v>39</v>
      </c>
      <c r="U10534" s="26" t="str">
        <f t="shared" si="385"/>
        <v>2023.001B.Leviviricetes_reorg.zip</v>
      </c>
    </row>
    <row r="10535" spans="1:21">
      <c r="A10535">
        <v>10534</v>
      </c>
      <c r="B10535" s="27" t="s">
        <v>1124</v>
      </c>
      <c r="D10535" s="27" t="s">
        <v>1859</v>
      </c>
      <c r="F10535" s="27" t="s">
        <v>1881</v>
      </c>
      <c r="H10535" s="27" t="s">
        <v>2679</v>
      </c>
      <c r="J10535" s="27" t="s">
        <v>2680</v>
      </c>
      <c r="L10535" s="27" t="s">
        <v>2681</v>
      </c>
      <c r="N10535" s="27" t="s">
        <v>2697</v>
      </c>
      <c r="P10535" s="27" t="s">
        <v>14435</v>
      </c>
      <c r="Q10535" s="26" t="str">
        <f>HYPERLINK("https://ictv.global/taxonomy/taxondetails?taxnode_id=202516144&amp;ictv_id=ICTV202316144","ICTV202316144")</f>
        <v>ICTV202316144</v>
      </c>
      <c r="R10535" t="s">
        <v>581</v>
      </c>
      <c r="S10535" t="s">
        <v>823</v>
      </c>
      <c r="T10535">
        <v>39</v>
      </c>
      <c r="U10535" s="26" t="str">
        <f t="shared" si="385"/>
        <v>2023.001B.Leviviricetes_reorg.zip</v>
      </c>
    </row>
    <row r="10536" spans="1:21">
      <c r="A10536">
        <v>10535</v>
      </c>
      <c r="B10536" s="27" t="s">
        <v>1124</v>
      </c>
      <c r="D10536" s="27" t="s">
        <v>1859</v>
      </c>
      <c r="F10536" s="27" t="s">
        <v>1881</v>
      </c>
      <c r="H10536" s="27" t="s">
        <v>2679</v>
      </c>
      <c r="J10536" s="27" t="s">
        <v>2680</v>
      </c>
      <c r="L10536" s="27" t="s">
        <v>2681</v>
      </c>
      <c r="N10536" s="27" t="s">
        <v>2697</v>
      </c>
      <c r="P10536" s="27" t="s">
        <v>14436</v>
      </c>
      <c r="Q10536" s="26" t="str">
        <f>HYPERLINK("https://ictv.global/taxonomy/taxondetails?taxnode_id=202516145&amp;ictv_id=ICTV202316145","ICTV202316145")</f>
        <v>ICTV202316145</v>
      </c>
      <c r="R10536" t="s">
        <v>581</v>
      </c>
      <c r="S10536" t="s">
        <v>823</v>
      </c>
      <c r="T10536">
        <v>39</v>
      </c>
      <c r="U10536" s="26" t="str">
        <f t="shared" si="385"/>
        <v>2023.001B.Leviviricetes_reorg.zip</v>
      </c>
    </row>
    <row r="10537" spans="1:21">
      <c r="A10537">
        <v>10536</v>
      </c>
      <c r="B10537" s="27" t="s">
        <v>1124</v>
      </c>
      <c r="D10537" s="27" t="s">
        <v>1859</v>
      </c>
      <c r="F10537" s="27" t="s">
        <v>1881</v>
      </c>
      <c r="H10537" s="27" t="s">
        <v>2679</v>
      </c>
      <c r="J10537" s="27" t="s">
        <v>2680</v>
      </c>
      <c r="L10537" s="27" t="s">
        <v>2681</v>
      </c>
      <c r="N10537" s="27" t="s">
        <v>2697</v>
      </c>
      <c r="P10537" s="27" t="s">
        <v>14437</v>
      </c>
      <c r="Q10537" s="26" t="str">
        <f>HYPERLINK("https://ictv.global/taxonomy/taxondetails?taxnode_id=202516146&amp;ictv_id=ICTV202316146","ICTV202316146")</f>
        <v>ICTV202316146</v>
      </c>
      <c r="R10537" t="s">
        <v>581</v>
      </c>
      <c r="S10537" t="s">
        <v>823</v>
      </c>
      <c r="T10537">
        <v>39</v>
      </c>
      <c r="U10537" s="26" t="str">
        <f t="shared" si="385"/>
        <v>2023.001B.Leviviricetes_reorg.zip</v>
      </c>
    </row>
    <row r="10538" spans="1:21">
      <c r="A10538">
        <v>10537</v>
      </c>
      <c r="B10538" s="27" t="s">
        <v>1124</v>
      </c>
      <c r="D10538" s="27" t="s">
        <v>1859</v>
      </c>
      <c r="F10538" s="27" t="s">
        <v>1881</v>
      </c>
      <c r="H10538" s="27" t="s">
        <v>2679</v>
      </c>
      <c r="J10538" s="27" t="s">
        <v>2680</v>
      </c>
      <c r="L10538" s="27" t="s">
        <v>2681</v>
      </c>
      <c r="N10538" s="27" t="s">
        <v>2697</v>
      </c>
      <c r="P10538" s="27" t="s">
        <v>14438</v>
      </c>
      <c r="Q10538" s="26" t="str">
        <f>HYPERLINK("https://ictv.global/taxonomy/taxondetails?taxnode_id=202516147&amp;ictv_id=ICTV202316147","ICTV202316147")</f>
        <v>ICTV202316147</v>
      </c>
      <c r="R10538" t="s">
        <v>581</v>
      </c>
      <c r="S10538" t="s">
        <v>823</v>
      </c>
      <c r="T10538">
        <v>39</v>
      </c>
      <c r="U10538" s="26" t="str">
        <f t="shared" si="385"/>
        <v>2023.001B.Leviviricetes_reorg.zip</v>
      </c>
    </row>
    <row r="10539" spans="1:21">
      <c r="A10539">
        <v>10538</v>
      </c>
      <c r="B10539" s="27" t="s">
        <v>1124</v>
      </c>
      <c r="D10539" s="27" t="s">
        <v>1859</v>
      </c>
      <c r="F10539" s="27" t="s">
        <v>1881</v>
      </c>
      <c r="H10539" s="27" t="s">
        <v>2679</v>
      </c>
      <c r="J10539" s="27" t="s">
        <v>2680</v>
      </c>
      <c r="L10539" s="27" t="s">
        <v>2681</v>
      </c>
      <c r="N10539" s="27" t="s">
        <v>2697</v>
      </c>
      <c r="P10539" s="27" t="s">
        <v>2698</v>
      </c>
      <c r="Q10539" s="26" t="str">
        <f>HYPERLINK("https://ictv.global/taxonomy/taxondetails?taxnode_id=202510711&amp;ictv_id=ICTV202010711","ICTV202010711")</f>
        <v>ICTV202010711</v>
      </c>
      <c r="R10539" t="s">
        <v>581</v>
      </c>
      <c r="S10539" t="s">
        <v>823</v>
      </c>
      <c r="T10539">
        <v>36</v>
      </c>
      <c r="U10539" s="26" t="str">
        <f>HYPERLINK("https://ictv.global/ictv/proposals/2020.095B.R.Leviviricetes.zip","2020.095B.R.Leviviricetes.zip")</f>
        <v>2020.095B.R.Leviviricetes.zip</v>
      </c>
    </row>
    <row r="10540" spans="1:21">
      <c r="A10540">
        <v>10539</v>
      </c>
      <c r="B10540" s="27" t="s">
        <v>1124</v>
      </c>
      <c r="D10540" s="27" t="s">
        <v>1859</v>
      </c>
      <c r="F10540" s="27" t="s">
        <v>1881</v>
      </c>
      <c r="H10540" s="27" t="s">
        <v>2679</v>
      </c>
      <c r="J10540" s="27" t="s">
        <v>2680</v>
      </c>
      <c r="L10540" s="27" t="s">
        <v>2681</v>
      </c>
      <c r="N10540" s="27" t="s">
        <v>2697</v>
      </c>
      <c r="P10540" s="27" t="s">
        <v>14439</v>
      </c>
      <c r="Q10540" s="26" t="str">
        <f>HYPERLINK("https://ictv.global/taxonomy/taxondetails?taxnode_id=202516148&amp;ictv_id=ICTV202316148","ICTV202316148")</f>
        <v>ICTV202316148</v>
      </c>
      <c r="R10540" t="s">
        <v>581</v>
      </c>
      <c r="S10540" t="s">
        <v>823</v>
      </c>
      <c r="T10540">
        <v>39</v>
      </c>
      <c r="U10540" s="26" t="str">
        <f t="shared" ref="U10540:U10552" si="386">HYPERLINK("https://ictv.global/ictv/proposals/2023.001B.Leviviricetes_reorg.zip","2023.001B.Leviviricetes_reorg.zip")</f>
        <v>2023.001B.Leviviricetes_reorg.zip</v>
      </c>
    </row>
    <row r="10541" spans="1:21">
      <c r="A10541">
        <v>10540</v>
      </c>
      <c r="B10541" s="27" t="s">
        <v>1124</v>
      </c>
      <c r="D10541" s="27" t="s">
        <v>1859</v>
      </c>
      <c r="F10541" s="27" t="s">
        <v>1881</v>
      </c>
      <c r="H10541" s="27" t="s">
        <v>2679</v>
      </c>
      <c r="J10541" s="27" t="s">
        <v>2680</v>
      </c>
      <c r="L10541" s="27" t="s">
        <v>2681</v>
      </c>
      <c r="N10541" s="27" t="s">
        <v>2697</v>
      </c>
      <c r="P10541" s="27" t="s">
        <v>14440</v>
      </c>
      <c r="Q10541" s="26" t="str">
        <f>HYPERLINK("https://ictv.global/taxonomy/taxondetails?taxnode_id=202516149&amp;ictv_id=ICTV202316149","ICTV202316149")</f>
        <v>ICTV202316149</v>
      </c>
      <c r="R10541" t="s">
        <v>581</v>
      </c>
      <c r="S10541" t="s">
        <v>823</v>
      </c>
      <c r="T10541">
        <v>39</v>
      </c>
      <c r="U10541" s="26" t="str">
        <f t="shared" si="386"/>
        <v>2023.001B.Leviviricetes_reorg.zip</v>
      </c>
    </row>
    <row r="10542" spans="1:21">
      <c r="A10542">
        <v>10541</v>
      </c>
      <c r="B10542" s="27" t="s">
        <v>1124</v>
      </c>
      <c r="D10542" s="27" t="s">
        <v>1859</v>
      </c>
      <c r="F10542" s="27" t="s">
        <v>1881</v>
      </c>
      <c r="H10542" s="27" t="s">
        <v>2679</v>
      </c>
      <c r="J10542" s="27" t="s">
        <v>2680</v>
      </c>
      <c r="L10542" s="27" t="s">
        <v>2681</v>
      </c>
      <c r="N10542" s="27" t="s">
        <v>14441</v>
      </c>
      <c r="P10542" s="27" t="s">
        <v>14442</v>
      </c>
      <c r="Q10542" s="26" t="str">
        <f>HYPERLINK("https://ictv.global/taxonomy/taxondetails?taxnode_id=202516150&amp;ictv_id=ICTV202316150","ICTV202316150")</f>
        <v>ICTV202316150</v>
      </c>
      <c r="R10542" t="s">
        <v>581</v>
      </c>
      <c r="S10542" t="s">
        <v>823</v>
      </c>
      <c r="T10542">
        <v>39</v>
      </c>
      <c r="U10542" s="26" t="str">
        <f t="shared" si="386"/>
        <v>2023.001B.Leviviricetes_reorg.zip</v>
      </c>
    </row>
    <row r="10543" spans="1:21">
      <c r="A10543">
        <v>10542</v>
      </c>
      <c r="B10543" s="27" t="s">
        <v>1124</v>
      </c>
      <c r="D10543" s="27" t="s">
        <v>1859</v>
      </c>
      <c r="F10543" s="27" t="s">
        <v>1881</v>
      </c>
      <c r="H10543" s="27" t="s">
        <v>2679</v>
      </c>
      <c r="J10543" s="27" t="s">
        <v>2680</v>
      </c>
      <c r="L10543" s="27" t="s">
        <v>2681</v>
      </c>
      <c r="N10543" s="27" t="s">
        <v>14443</v>
      </c>
      <c r="P10543" s="27" t="s">
        <v>14444</v>
      </c>
      <c r="Q10543" s="26" t="str">
        <f>HYPERLINK("https://ictv.global/taxonomy/taxondetails?taxnode_id=202516151&amp;ictv_id=ICTV202316151","ICTV202316151")</f>
        <v>ICTV202316151</v>
      </c>
      <c r="R10543" t="s">
        <v>581</v>
      </c>
      <c r="S10543" t="s">
        <v>823</v>
      </c>
      <c r="T10543">
        <v>39</v>
      </c>
      <c r="U10543" s="26" t="str">
        <f t="shared" si="386"/>
        <v>2023.001B.Leviviricetes_reorg.zip</v>
      </c>
    </row>
    <row r="10544" spans="1:21">
      <c r="A10544">
        <v>10543</v>
      </c>
      <c r="B10544" s="27" t="s">
        <v>1124</v>
      </c>
      <c r="D10544" s="27" t="s">
        <v>1859</v>
      </c>
      <c r="F10544" s="27" t="s">
        <v>1881</v>
      </c>
      <c r="H10544" s="27" t="s">
        <v>2679</v>
      </c>
      <c r="J10544" s="27" t="s">
        <v>2680</v>
      </c>
      <c r="L10544" s="27" t="s">
        <v>2681</v>
      </c>
      <c r="N10544" s="27" t="s">
        <v>14445</v>
      </c>
      <c r="P10544" s="27" t="s">
        <v>14446</v>
      </c>
      <c r="Q10544" s="26" t="str">
        <f>HYPERLINK("https://ictv.global/taxonomy/taxondetails?taxnode_id=202516152&amp;ictv_id=ICTV202316152","ICTV202316152")</f>
        <v>ICTV202316152</v>
      </c>
      <c r="R10544" t="s">
        <v>581</v>
      </c>
      <c r="S10544" t="s">
        <v>823</v>
      </c>
      <c r="T10544">
        <v>39</v>
      </c>
      <c r="U10544" s="26" t="str">
        <f t="shared" si="386"/>
        <v>2023.001B.Leviviricetes_reorg.zip</v>
      </c>
    </row>
    <row r="10545" spans="1:21">
      <c r="A10545">
        <v>10544</v>
      </c>
      <c r="B10545" s="27" t="s">
        <v>1124</v>
      </c>
      <c r="D10545" s="27" t="s">
        <v>1859</v>
      </c>
      <c r="F10545" s="27" t="s">
        <v>1881</v>
      </c>
      <c r="H10545" s="27" t="s">
        <v>2679</v>
      </c>
      <c r="J10545" s="27" t="s">
        <v>2680</v>
      </c>
      <c r="L10545" s="27" t="s">
        <v>2681</v>
      </c>
      <c r="N10545" s="27" t="s">
        <v>14447</v>
      </c>
      <c r="P10545" s="27" t="s">
        <v>14448</v>
      </c>
      <c r="Q10545" s="26" t="str">
        <f>HYPERLINK("https://ictv.global/taxonomy/taxondetails?taxnode_id=202516153&amp;ictv_id=ICTV202316153","ICTV202316153")</f>
        <v>ICTV202316153</v>
      </c>
      <c r="R10545" t="s">
        <v>581</v>
      </c>
      <c r="S10545" t="s">
        <v>823</v>
      </c>
      <c r="T10545">
        <v>39</v>
      </c>
      <c r="U10545" s="26" t="str">
        <f t="shared" si="386"/>
        <v>2023.001B.Leviviricetes_reorg.zip</v>
      </c>
    </row>
    <row r="10546" spans="1:21">
      <c r="A10546">
        <v>10545</v>
      </c>
      <c r="B10546" s="27" t="s">
        <v>1124</v>
      </c>
      <c r="D10546" s="27" t="s">
        <v>1859</v>
      </c>
      <c r="F10546" s="27" t="s">
        <v>1881</v>
      </c>
      <c r="H10546" s="27" t="s">
        <v>2679</v>
      </c>
      <c r="J10546" s="27" t="s">
        <v>2680</v>
      </c>
      <c r="L10546" s="27" t="s">
        <v>2681</v>
      </c>
      <c r="N10546" s="27" t="s">
        <v>14449</v>
      </c>
      <c r="P10546" s="27" t="s">
        <v>14450</v>
      </c>
      <c r="Q10546" s="26" t="str">
        <f>HYPERLINK("https://ictv.global/taxonomy/taxondetails?taxnode_id=202510811&amp;ictv_id=ICTV202010811","ICTV202010811")</f>
        <v>ICTV202010811</v>
      </c>
      <c r="R10546" t="s">
        <v>581</v>
      </c>
      <c r="S10546" t="s">
        <v>22764</v>
      </c>
      <c r="T10546">
        <v>39</v>
      </c>
      <c r="U10546" s="26" t="str">
        <f t="shared" si="386"/>
        <v>2023.001B.Leviviricetes_reorg.zip</v>
      </c>
    </row>
    <row r="10547" spans="1:21">
      <c r="A10547">
        <v>10546</v>
      </c>
      <c r="B10547" s="27" t="s">
        <v>1124</v>
      </c>
      <c r="D10547" s="27" t="s">
        <v>1859</v>
      </c>
      <c r="F10547" s="27" t="s">
        <v>1881</v>
      </c>
      <c r="H10547" s="27" t="s">
        <v>2679</v>
      </c>
      <c r="J10547" s="27" t="s">
        <v>2680</v>
      </c>
      <c r="L10547" s="27" t="s">
        <v>2681</v>
      </c>
      <c r="N10547" s="27" t="s">
        <v>14451</v>
      </c>
      <c r="P10547" s="27" t="s">
        <v>14452</v>
      </c>
      <c r="Q10547" s="26" t="str">
        <f>HYPERLINK("https://ictv.global/taxonomy/taxondetails?taxnode_id=202516154&amp;ictv_id=ICTV202316154","ICTV202316154")</f>
        <v>ICTV202316154</v>
      </c>
      <c r="R10547" t="s">
        <v>581</v>
      </c>
      <c r="S10547" t="s">
        <v>823</v>
      </c>
      <c r="T10547">
        <v>39</v>
      </c>
      <c r="U10547" s="26" t="str">
        <f t="shared" si="386"/>
        <v>2023.001B.Leviviricetes_reorg.zip</v>
      </c>
    </row>
    <row r="10548" spans="1:21">
      <c r="A10548">
        <v>10547</v>
      </c>
      <c r="B10548" s="27" t="s">
        <v>1124</v>
      </c>
      <c r="D10548" s="27" t="s">
        <v>1859</v>
      </c>
      <c r="F10548" s="27" t="s">
        <v>1881</v>
      </c>
      <c r="H10548" s="27" t="s">
        <v>2679</v>
      </c>
      <c r="J10548" s="27" t="s">
        <v>2680</v>
      </c>
      <c r="L10548" s="27" t="s">
        <v>2681</v>
      </c>
      <c r="N10548" s="27" t="s">
        <v>14453</v>
      </c>
      <c r="P10548" s="27" t="s">
        <v>14454</v>
      </c>
      <c r="Q10548" s="26" t="str">
        <f>HYPERLINK("https://ictv.global/taxonomy/taxondetails?taxnode_id=202516155&amp;ictv_id=ICTV202316155","ICTV202316155")</f>
        <v>ICTV202316155</v>
      </c>
      <c r="R10548" t="s">
        <v>581</v>
      </c>
      <c r="S10548" t="s">
        <v>823</v>
      </c>
      <c r="T10548">
        <v>39</v>
      </c>
      <c r="U10548" s="26" t="str">
        <f t="shared" si="386"/>
        <v>2023.001B.Leviviricetes_reorg.zip</v>
      </c>
    </row>
    <row r="10549" spans="1:21">
      <c r="A10549">
        <v>10548</v>
      </c>
      <c r="B10549" s="27" t="s">
        <v>1124</v>
      </c>
      <c r="D10549" s="27" t="s">
        <v>1859</v>
      </c>
      <c r="F10549" s="27" t="s">
        <v>1881</v>
      </c>
      <c r="H10549" s="27" t="s">
        <v>2679</v>
      </c>
      <c r="J10549" s="27" t="s">
        <v>2680</v>
      </c>
      <c r="L10549" s="27" t="s">
        <v>2681</v>
      </c>
      <c r="N10549" s="27" t="s">
        <v>14455</v>
      </c>
      <c r="P10549" s="27" t="s">
        <v>14456</v>
      </c>
      <c r="Q10549" s="26" t="str">
        <f>HYPERLINK("https://ictv.global/taxonomy/taxondetails?taxnode_id=202516156&amp;ictv_id=ICTV202316156","ICTV202316156")</f>
        <v>ICTV202316156</v>
      </c>
      <c r="R10549" t="s">
        <v>581</v>
      </c>
      <c r="S10549" t="s">
        <v>823</v>
      </c>
      <c r="T10549">
        <v>39</v>
      </c>
      <c r="U10549" s="26" t="str">
        <f t="shared" si="386"/>
        <v>2023.001B.Leviviricetes_reorg.zip</v>
      </c>
    </row>
    <row r="10550" spans="1:21">
      <c r="A10550">
        <v>10549</v>
      </c>
      <c r="B10550" s="27" t="s">
        <v>1124</v>
      </c>
      <c r="D10550" s="27" t="s">
        <v>1859</v>
      </c>
      <c r="F10550" s="27" t="s">
        <v>1881</v>
      </c>
      <c r="H10550" s="27" t="s">
        <v>2679</v>
      </c>
      <c r="J10550" s="27" t="s">
        <v>2680</v>
      </c>
      <c r="L10550" s="27" t="s">
        <v>2681</v>
      </c>
      <c r="N10550" s="27" t="s">
        <v>14457</v>
      </c>
      <c r="P10550" s="27" t="s">
        <v>14458</v>
      </c>
      <c r="Q10550" s="26" t="str">
        <f>HYPERLINK("https://ictv.global/taxonomy/taxondetails?taxnode_id=202516157&amp;ictv_id=ICTV202316157","ICTV202316157")</f>
        <v>ICTV202316157</v>
      </c>
      <c r="R10550" t="s">
        <v>581</v>
      </c>
      <c r="S10550" t="s">
        <v>823</v>
      </c>
      <c r="T10550">
        <v>39</v>
      </c>
      <c r="U10550" s="26" t="str">
        <f t="shared" si="386"/>
        <v>2023.001B.Leviviricetes_reorg.zip</v>
      </c>
    </row>
    <row r="10551" spans="1:21">
      <c r="A10551">
        <v>10550</v>
      </c>
      <c r="B10551" s="27" t="s">
        <v>1124</v>
      </c>
      <c r="D10551" s="27" t="s">
        <v>1859</v>
      </c>
      <c r="F10551" s="27" t="s">
        <v>1881</v>
      </c>
      <c r="H10551" s="27" t="s">
        <v>2679</v>
      </c>
      <c r="J10551" s="27" t="s">
        <v>2680</v>
      </c>
      <c r="L10551" s="27" t="s">
        <v>2681</v>
      </c>
      <c r="N10551" s="27" t="s">
        <v>14459</v>
      </c>
      <c r="P10551" s="27" t="s">
        <v>14460</v>
      </c>
      <c r="Q10551" s="26" t="str">
        <f>HYPERLINK("https://ictv.global/taxonomy/taxondetails?taxnode_id=202516158&amp;ictv_id=ICTV202316158","ICTV202316158")</f>
        <v>ICTV202316158</v>
      </c>
      <c r="R10551" t="s">
        <v>581</v>
      </c>
      <c r="S10551" t="s">
        <v>823</v>
      </c>
      <c r="T10551">
        <v>39</v>
      </c>
      <c r="U10551" s="26" t="str">
        <f t="shared" si="386"/>
        <v>2023.001B.Leviviricetes_reorg.zip</v>
      </c>
    </row>
    <row r="10552" spans="1:21">
      <c r="A10552">
        <v>10551</v>
      </c>
      <c r="B10552" s="27" t="s">
        <v>1124</v>
      </c>
      <c r="D10552" s="27" t="s">
        <v>1859</v>
      </c>
      <c r="F10552" s="27" t="s">
        <v>1881</v>
      </c>
      <c r="H10552" s="27" t="s">
        <v>2679</v>
      </c>
      <c r="J10552" s="27" t="s">
        <v>2680</v>
      </c>
      <c r="L10552" s="27" t="s">
        <v>2681</v>
      </c>
      <c r="N10552" s="27" t="s">
        <v>14461</v>
      </c>
      <c r="P10552" s="27" t="s">
        <v>14462</v>
      </c>
      <c r="Q10552" s="26" t="str">
        <f>HYPERLINK("https://ictv.global/taxonomy/taxondetails?taxnode_id=202516159&amp;ictv_id=ICTV202316159","ICTV202316159")</f>
        <v>ICTV202316159</v>
      </c>
      <c r="R10552" t="s">
        <v>581</v>
      </c>
      <c r="S10552" t="s">
        <v>823</v>
      </c>
      <c r="T10552">
        <v>39</v>
      </c>
      <c r="U10552" s="26" t="str">
        <f t="shared" si="386"/>
        <v>2023.001B.Leviviricetes_reorg.zip</v>
      </c>
    </row>
    <row r="10553" spans="1:21">
      <c r="A10553">
        <v>10552</v>
      </c>
      <c r="B10553" s="27" t="s">
        <v>1124</v>
      </c>
      <c r="D10553" s="27" t="s">
        <v>1859</v>
      </c>
      <c r="F10553" s="27" t="s">
        <v>1881</v>
      </c>
      <c r="H10553" s="27" t="s">
        <v>2679</v>
      </c>
      <c r="J10553" s="27" t="s">
        <v>2680</v>
      </c>
      <c r="L10553" s="27" t="s">
        <v>2681</v>
      </c>
      <c r="N10553" s="27" t="s">
        <v>2699</v>
      </c>
      <c r="P10553" s="27" t="s">
        <v>2700</v>
      </c>
      <c r="Q10553" s="26" t="str">
        <f>HYPERLINK("https://ictv.global/taxonomy/taxondetails?taxnode_id=202510713&amp;ictv_id=ICTV202010713","ICTV202010713")</f>
        <v>ICTV202010713</v>
      </c>
      <c r="R10553" t="s">
        <v>581</v>
      </c>
      <c r="S10553" t="s">
        <v>823</v>
      </c>
      <c r="T10553">
        <v>36</v>
      </c>
      <c r="U10553" s="26" t="str">
        <f>HYPERLINK("https://ictv.global/ictv/proposals/2020.095B.R.Leviviricetes.zip","2020.095B.R.Leviviricetes.zip")</f>
        <v>2020.095B.R.Leviviricetes.zip</v>
      </c>
    </row>
    <row r="10554" spans="1:21">
      <c r="A10554">
        <v>10553</v>
      </c>
      <c r="B10554" s="27" t="s">
        <v>1124</v>
      </c>
      <c r="D10554" s="27" t="s">
        <v>1859</v>
      </c>
      <c r="F10554" s="27" t="s">
        <v>1881</v>
      </c>
      <c r="H10554" s="27" t="s">
        <v>2679</v>
      </c>
      <c r="J10554" s="27" t="s">
        <v>2680</v>
      </c>
      <c r="L10554" s="27" t="s">
        <v>2681</v>
      </c>
      <c r="N10554" s="27" t="s">
        <v>14463</v>
      </c>
      <c r="P10554" s="27" t="s">
        <v>14464</v>
      </c>
      <c r="Q10554" s="26" t="str">
        <f>HYPERLINK("https://ictv.global/taxonomy/taxondetails?taxnode_id=202516160&amp;ictv_id=ICTV202316160","ICTV202316160")</f>
        <v>ICTV202316160</v>
      </c>
      <c r="R10554" t="s">
        <v>581</v>
      </c>
      <c r="S10554" t="s">
        <v>823</v>
      </c>
      <c r="T10554">
        <v>39</v>
      </c>
      <c r="U10554" s="26" t="str">
        <f>HYPERLINK("https://ictv.global/ictv/proposals/2023.001B.Leviviricetes_reorg.zip","2023.001B.Leviviricetes_reorg.zip")</f>
        <v>2023.001B.Leviviricetes_reorg.zip</v>
      </c>
    </row>
    <row r="10555" spans="1:21">
      <c r="A10555">
        <v>10554</v>
      </c>
      <c r="B10555" s="27" t="s">
        <v>1124</v>
      </c>
      <c r="D10555" s="27" t="s">
        <v>1859</v>
      </c>
      <c r="F10555" s="27" t="s">
        <v>1881</v>
      </c>
      <c r="H10555" s="27" t="s">
        <v>2679</v>
      </c>
      <c r="J10555" s="27" t="s">
        <v>2680</v>
      </c>
      <c r="L10555" s="27" t="s">
        <v>2681</v>
      </c>
      <c r="N10555" s="27" t="s">
        <v>2701</v>
      </c>
      <c r="P10555" s="27" t="s">
        <v>2702</v>
      </c>
      <c r="Q10555" s="26" t="str">
        <f>HYPERLINK("https://ictv.global/taxonomy/taxondetails?taxnode_id=202510715&amp;ictv_id=ICTV202010715","ICTV202010715")</f>
        <v>ICTV202010715</v>
      </c>
      <c r="R10555" t="s">
        <v>581</v>
      </c>
      <c r="S10555" t="s">
        <v>823</v>
      </c>
      <c r="T10555">
        <v>36</v>
      </c>
      <c r="U10555" s="26" t="str">
        <f>HYPERLINK("https://ictv.global/ictv/proposals/2020.095B.R.Leviviricetes.zip","2020.095B.R.Leviviricetes.zip")</f>
        <v>2020.095B.R.Leviviricetes.zip</v>
      </c>
    </row>
    <row r="10556" spans="1:21">
      <c r="A10556">
        <v>10555</v>
      </c>
      <c r="B10556" s="27" t="s">
        <v>1124</v>
      </c>
      <c r="D10556" s="27" t="s">
        <v>1859</v>
      </c>
      <c r="F10556" s="27" t="s">
        <v>1881</v>
      </c>
      <c r="H10556" s="27" t="s">
        <v>2679</v>
      </c>
      <c r="J10556" s="27" t="s">
        <v>2680</v>
      </c>
      <c r="L10556" s="27" t="s">
        <v>2681</v>
      </c>
      <c r="N10556" s="27" t="s">
        <v>14465</v>
      </c>
      <c r="P10556" s="27" t="s">
        <v>14466</v>
      </c>
      <c r="Q10556" s="26" t="str">
        <f>HYPERLINK("https://ictv.global/taxonomy/taxondetails?taxnode_id=202516161&amp;ictv_id=ICTV202316161","ICTV202316161")</f>
        <v>ICTV202316161</v>
      </c>
      <c r="R10556" t="s">
        <v>581</v>
      </c>
      <c r="S10556" t="s">
        <v>823</v>
      </c>
      <c r="T10556">
        <v>39</v>
      </c>
      <c r="U10556" s="26" t="str">
        <f>HYPERLINK("https://ictv.global/ictv/proposals/2023.001B.Leviviricetes_reorg.zip","2023.001B.Leviviricetes_reorg.zip")</f>
        <v>2023.001B.Leviviricetes_reorg.zip</v>
      </c>
    </row>
    <row r="10557" spans="1:21">
      <c r="A10557">
        <v>10556</v>
      </c>
      <c r="B10557" s="27" t="s">
        <v>1124</v>
      </c>
      <c r="D10557" s="27" t="s">
        <v>1859</v>
      </c>
      <c r="F10557" s="27" t="s">
        <v>1881</v>
      </c>
      <c r="H10557" s="27" t="s">
        <v>2679</v>
      </c>
      <c r="J10557" s="27" t="s">
        <v>2680</v>
      </c>
      <c r="L10557" s="27" t="s">
        <v>2681</v>
      </c>
      <c r="N10557" s="27" t="s">
        <v>14465</v>
      </c>
      <c r="P10557" s="27" t="s">
        <v>14467</v>
      </c>
      <c r="Q10557" s="26" t="str">
        <f>HYPERLINK("https://ictv.global/taxonomy/taxondetails?taxnode_id=202516162&amp;ictv_id=ICTV202316162","ICTV202316162")</f>
        <v>ICTV202316162</v>
      </c>
      <c r="R10557" t="s">
        <v>581</v>
      </c>
      <c r="S10557" t="s">
        <v>823</v>
      </c>
      <c r="T10557">
        <v>39</v>
      </c>
      <c r="U10557" s="26" t="str">
        <f>HYPERLINK("https://ictv.global/ictv/proposals/2023.001B.Leviviricetes_reorg.zip","2023.001B.Leviviricetes_reorg.zip")</f>
        <v>2023.001B.Leviviricetes_reorg.zip</v>
      </c>
    </row>
    <row r="10558" spans="1:21">
      <c r="A10558">
        <v>10557</v>
      </c>
      <c r="B10558" s="27" t="s">
        <v>1124</v>
      </c>
      <c r="D10558" s="27" t="s">
        <v>1859</v>
      </c>
      <c r="F10558" s="27" t="s">
        <v>1881</v>
      </c>
      <c r="H10558" s="27" t="s">
        <v>2679</v>
      </c>
      <c r="J10558" s="27" t="s">
        <v>2680</v>
      </c>
      <c r="L10558" s="27" t="s">
        <v>2681</v>
      </c>
      <c r="N10558" s="27" t="s">
        <v>2703</v>
      </c>
      <c r="P10558" s="27" t="s">
        <v>2704</v>
      </c>
      <c r="Q10558" s="26" t="str">
        <f>HYPERLINK("https://ictv.global/taxonomy/taxondetails?taxnode_id=202510717&amp;ictv_id=ICTV202010717","ICTV202010717")</f>
        <v>ICTV202010717</v>
      </c>
      <c r="R10558" t="s">
        <v>581</v>
      </c>
      <c r="S10558" t="s">
        <v>823</v>
      </c>
      <c r="T10558">
        <v>36</v>
      </c>
      <c r="U10558" s="26" t="str">
        <f>HYPERLINK("https://ictv.global/ictv/proposals/2020.095B.R.Leviviricetes.zip","2020.095B.R.Leviviricetes.zip")</f>
        <v>2020.095B.R.Leviviricetes.zip</v>
      </c>
    </row>
    <row r="10559" spans="1:21">
      <c r="A10559">
        <v>10558</v>
      </c>
      <c r="B10559" s="27" t="s">
        <v>1124</v>
      </c>
      <c r="D10559" s="27" t="s">
        <v>1859</v>
      </c>
      <c r="F10559" s="27" t="s">
        <v>1881</v>
      </c>
      <c r="H10559" s="27" t="s">
        <v>2679</v>
      </c>
      <c r="J10559" s="27" t="s">
        <v>2680</v>
      </c>
      <c r="L10559" s="27" t="s">
        <v>2681</v>
      </c>
      <c r="N10559" s="27" t="s">
        <v>14468</v>
      </c>
      <c r="P10559" s="27" t="s">
        <v>14469</v>
      </c>
      <c r="Q10559" s="26" t="str">
        <f>HYPERLINK("https://ictv.global/taxonomy/taxondetails?taxnode_id=202516163&amp;ictv_id=ICTV202316163","ICTV202316163")</f>
        <v>ICTV202316163</v>
      </c>
      <c r="R10559" t="s">
        <v>581</v>
      </c>
      <c r="S10559" t="s">
        <v>823</v>
      </c>
      <c r="T10559">
        <v>39</v>
      </c>
      <c r="U10559" s="26" t="str">
        <f t="shared" ref="U10559:U10569" si="387">HYPERLINK("https://ictv.global/ictv/proposals/2023.001B.Leviviricetes_reorg.zip","2023.001B.Leviviricetes_reorg.zip")</f>
        <v>2023.001B.Leviviricetes_reorg.zip</v>
      </c>
    </row>
    <row r="10560" spans="1:21">
      <c r="A10560">
        <v>10559</v>
      </c>
      <c r="B10560" s="27" t="s">
        <v>1124</v>
      </c>
      <c r="D10560" s="27" t="s">
        <v>1859</v>
      </c>
      <c r="F10560" s="27" t="s">
        <v>1881</v>
      </c>
      <c r="H10560" s="27" t="s">
        <v>2679</v>
      </c>
      <c r="J10560" s="27" t="s">
        <v>2680</v>
      </c>
      <c r="L10560" s="27" t="s">
        <v>2681</v>
      </c>
      <c r="N10560" s="27" t="s">
        <v>14470</v>
      </c>
      <c r="P10560" s="27" t="s">
        <v>14471</v>
      </c>
      <c r="Q10560" s="26" t="str">
        <f>HYPERLINK("https://ictv.global/taxonomy/taxondetails?taxnode_id=202516164&amp;ictv_id=ICTV202316164","ICTV202316164")</f>
        <v>ICTV202316164</v>
      </c>
      <c r="R10560" t="s">
        <v>581</v>
      </c>
      <c r="S10560" t="s">
        <v>823</v>
      </c>
      <c r="T10560">
        <v>39</v>
      </c>
      <c r="U10560" s="26" t="str">
        <f t="shared" si="387"/>
        <v>2023.001B.Leviviricetes_reorg.zip</v>
      </c>
    </row>
    <row r="10561" spans="1:21">
      <c r="A10561">
        <v>10560</v>
      </c>
      <c r="B10561" s="27" t="s">
        <v>1124</v>
      </c>
      <c r="D10561" s="27" t="s">
        <v>1859</v>
      </c>
      <c r="F10561" s="27" t="s">
        <v>1881</v>
      </c>
      <c r="H10561" s="27" t="s">
        <v>2679</v>
      </c>
      <c r="J10561" s="27" t="s">
        <v>2680</v>
      </c>
      <c r="L10561" s="27" t="s">
        <v>2681</v>
      </c>
      <c r="N10561" s="27" t="s">
        <v>14472</v>
      </c>
      <c r="P10561" s="27" t="s">
        <v>14473</v>
      </c>
      <c r="Q10561" s="26" t="str">
        <f>HYPERLINK("https://ictv.global/taxonomy/taxondetails?taxnode_id=202516165&amp;ictv_id=ICTV202316165","ICTV202316165")</f>
        <v>ICTV202316165</v>
      </c>
      <c r="R10561" t="s">
        <v>581</v>
      </c>
      <c r="S10561" t="s">
        <v>823</v>
      </c>
      <c r="T10561">
        <v>39</v>
      </c>
      <c r="U10561" s="26" t="str">
        <f t="shared" si="387"/>
        <v>2023.001B.Leviviricetes_reorg.zip</v>
      </c>
    </row>
    <row r="10562" spans="1:21">
      <c r="A10562">
        <v>10561</v>
      </c>
      <c r="B10562" s="27" t="s">
        <v>1124</v>
      </c>
      <c r="D10562" s="27" t="s">
        <v>1859</v>
      </c>
      <c r="F10562" s="27" t="s">
        <v>1881</v>
      </c>
      <c r="H10562" s="27" t="s">
        <v>2679</v>
      </c>
      <c r="J10562" s="27" t="s">
        <v>2680</v>
      </c>
      <c r="L10562" s="27" t="s">
        <v>2681</v>
      </c>
      <c r="N10562" s="27" t="s">
        <v>14474</v>
      </c>
      <c r="P10562" s="27" t="s">
        <v>14475</v>
      </c>
      <c r="Q10562" s="26" t="str">
        <f>HYPERLINK("https://ictv.global/taxonomy/taxondetails?taxnode_id=202516166&amp;ictv_id=ICTV202316166","ICTV202316166")</f>
        <v>ICTV202316166</v>
      </c>
      <c r="R10562" t="s">
        <v>581</v>
      </c>
      <c r="S10562" t="s">
        <v>823</v>
      </c>
      <c r="T10562">
        <v>39</v>
      </c>
      <c r="U10562" s="26" t="str">
        <f t="shared" si="387"/>
        <v>2023.001B.Leviviricetes_reorg.zip</v>
      </c>
    </row>
    <row r="10563" spans="1:21">
      <c r="A10563">
        <v>10562</v>
      </c>
      <c r="B10563" s="27" t="s">
        <v>1124</v>
      </c>
      <c r="D10563" s="27" t="s">
        <v>1859</v>
      </c>
      <c r="F10563" s="27" t="s">
        <v>1881</v>
      </c>
      <c r="H10563" s="27" t="s">
        <v>2679</v>
      </c>
      <c r="J10563" s="27" t="s">
        <v>2680</v>
      </c>
      <c r="L10563" s="27" t="s">
        <v>2681</v>
      </c>
      <c r="N10563" s="27" t="s">
        <v>14476</v>
      </c>
      <c r="P10563" s="27" t="s">
        <v>14477</v>
      </c>
      <c r="Q10563" s="26" t="str">
        <f>HYPERLINK("https://ictv.global/taxonomy/taxondetails?taxnode_id=202516167&amp;ictv_id=ICTV202316167","ICTV202316167")</f>
        <v>ICTV202316167</v>
      </c>
      <c r="R10563" t="s">
        <v>581</v>
      </c>
      <c r="S10563" t="s">
        <v>823</v>
      </c>
      <c r="T10563">
        <v>39</v>
      </c>
      <c r="U10563" s="26" t="str">
        <f t="shared" si="387"/>
        <v>2023.001B.Leviviricetes_reorg.zip</v>
      </c>
    </row>
    <row r="10564" spans="1:21">
      <c r="A10564">
        <v>10563</v>
      </c>
      <c r="B10564" s="27" t="s">
        <v>1124</v>
      </c>
      <c r="D10564" s="27" t="s">
        <v>1859</v>
      </c>
      <c r="F10564" s="27" t="s">
        <v>1881</v>
      </c>
      <c r="H10564" s="27" t="s">
        <v>2679</v>
      </c>
      <c r="J10564" s="27" t="s">
        <v>2680</v>
      </c>
      <c r="L10564" s="27" t="s">
        <v>2681</v>
      </c>
      <c r="N10564" s="27" t="s">
        <v>14478</v>
      </c>
      <c r="P10564" s="27" t="s">
        <v>14479</v>
      </c>
      <c r="Q10564" s="26" t="str">
        <f>HYPERLINK("https://ictv.global/taxonomy/taxondetails?taxnode_id=202516168&amp;ictv_id=ICTV202316168","ICTV202316168")</f>
        <v>ICTV202316168</v>
      </c>
      <c r="R10564" t="s">
        <v>581</v>
      </c>
      <c r="S10564" t="s">
        <v>823</v>
      </c>
      <c r="T10564">
        <v>39</v>
      </c>
      <c r="U10564" s="26" t="str">
        <f t="shared" si="387"/>
        <v>2023.001B.Leviviricetes_reorg.zip</v>
      </c>
    </row>
    <row r="10565" spans="1:21">
      <c r="A10565">
        <v>10564</v>
      </c>
      <c r="B10565" s="27" t="s">
        <v>1124</v>
      </c>
      <c r="D10565" s="27" t="s">
        <v>1859</v>
      </c>
      <c r="F10565" s="27" t="s">
        <v>1881</v>
      </c>
      <c r="H10565" s="27" t="s">
        <v>2679</v>
      </c>
      <c r="J10565" s="27" t="s">
        <v>2680</v>
      </c>
      <c r="L10565" s="27" t="s">
        <v>2681</v>
      </c>
      <c r="N10565" s="27" t="s">
        <v>14480</v>
      </c>
      <c r="P10565" s="27" t="s">
        <v>14481</v>
      </c>
      <c r="Q10565" s="26" t="str">
        <f>HYPERLINK("https://ictv.global/taxonomy/taxondetails?taxnode_id=202516169&amp;ictv_id=ICTV202316169","ICTV202316169")</f>
        <v>ICTV202316169</v>
      </c>
      <c r="R10565" t="s">
        <v>581</v>
      </c>
      <c r="S10565" t="s">
        <v>823</v>
      </c>
      <c r="T10565">
        <v>39</v>
      </c>
      <c r="U10565" s="26" t="str">
        <f t="shared" si="387"/>
        <v>2023.001B.Leviviricetes_reorg.zip</v>
      </c>
    </row>
    <row r="10566" spans="1:21">
      <c r="A10566">
        <v>10565</v>
      </c>
      <c r="B10566" s="27" t="s">
        <v>1124</v>
      </c>
      <c r="D10566" s="27" t="s">
        <v>1859</v>
      </c>
      <c r="F10566" s="27" t="s">
        <v>1881</v>
      </c>
      <c r="H10566" s="27" t="s">
        <v>2679</v>
      </c>
      <c r="J10566" s="27" t="s">
        <v>2680</v>
      </c>
      <c r="L10566" s="27" t="s">
        <v>2681</v>
      </c>
      <c r="N10566" s="27" t="s">
        <v>14482</v>
      </c>
      <c r="P10566" s="27" t="s">
        <v>14483</v>
      </c>
      <c r="Q10566" s="26" t="str">
        <f>HYPERLINK("https://ictv.global/taxonomy/taxondetails?taxnode_id=202510765&amp;ictv_id=ICTV202010765","ICTV202010765")</f>
        <v>ICTV202010765</v>
      </c>
      <c r="R10566" t="s">
        <v>581</v>
      </c>
      <c r="S10566" t="s">
        <v>22764</v>
      </c>
      <c r="T10566">
        <v>39</v>
      </c>
      <c r="U10566" s="26" t="str">
        <f t="shared" si="387"/>
        <v>2023.001B.Leviviricetes_reorg.zip</v>
      </c>
    </row>
    <row r="10567" spans="1:21">
      <c r="A10567">
        <v>10566</v>
      </c>
      <c r="B10567" s="27" t="s">
        <v>1124</v>
      </c>
      <c r="D10567" s="27" t="s">
        <v>1859</v>
      </c>
      <c r="F10567" s="27" t="s">
        <v>1881</v>
      </c>
      <c r="H10567" s="27" t="s">
        <v>2679</v>
      </c>
      <c r="J10567" s="27" t="s">
        <v>2680</v>
      </c>
      <c r="L10567" s="27" t="s">
        <v>2681</v>
      </c>
      <c r="N10567" s="27" t="s">
        <v>14482</v>
      </c>
      <c r="P10567" s="27" t="s">
        <v>14484</v>
      </c>
      <c r="Q10567" s="26" t="str">
        <f>HYPERLINK("https://ictv.global/taxonomy/taxondetails?taxnode_id=202510766&amp;ictv_id=ICTV202010766","ICTV202010766")</f>
        <v>ICTV202010766</v>
      </c>
      <c r="R10567" t="s">
        <v>581</v>
      </c>
      <c r="S10567" t="s">
        <v>22764</v>
      </c>
      <c r="T10567">
        <v>39</v>
      </c>
      <c r="U10567" s="26" t="str">
        <f t="shared" si="387"/>
        <v>2023.001B.Leviviricetes_reorg.zip</v>
      </c>
    </row>
    <row r="10568" spans="1:21">
      <c r="A10568">
        <v>10567</v>
      </c>
      <c r="B10568" s="27" t="s">
        <v>1124</v>
      </c>
      <c r="D10568" s="27" t="s">
        <v>1859</v>
      </c>
      <c r="F10568" s="27" t="s">
        <v>1881</v>
      </c>
      <c r="H10568" s="27" t="s">
        <v>2679</v>
      </c>
      <c r="J10568" s="27" t="s">
        <v>2680</v>
      </c>
      <c r="L10568" s="27" t="s">
        <v>2681</v>
      </c>
      <c r="N10568" s="27" t="s">
        <v>14482</v>
      </c>
      <c r="P10568" s="27" t="s">
        <v>14485</v>
      </c>
      <c r="Q10568" s="26" t="str">
        <f>HYPERLINK("https://ictv.global/taxonomy/taxondetails?taxnode_id=202510767&amp;ictv_id=ICTV202010767","ICTV202010767")</f>
        <v>ICTV202010767</v>
      </c>
      <c r="R10568" t="s">
        <v>581</v>
      </c>
      <c r="S10568" t="s">
        <v>22764</v>
      </c>
      <c r="T10568">
        <v>39</v>
      </c>
      <c r="U10568" s="26" t="str">
        <f t="shared" si="387"/>
        <v>2023.001B.Leviviricetes_reorg.zip</v>
      </c>
    </row>
    <row r="10569" spans="1:21">
      <c r="A10569">
        <v>10568</v>
      </c>
      <c r="B10569" s="27" t="s">
        <v>1124</v>
      </c>
      <c r="D10569" s="27" t="s">
        <v>1859</v>
      </c>
      <c r="F10569" s="27" t="s">
        <v>1881</v>
      </c>
      <c r="H10569" s="27" t="s">
        <v>2679</v>
      </c>
      <c r="J10569" s="27" t="s">
        <v>2680</v>
      </c>
      <c r="L10569" s="27" t="s">
        <v>2681</v>
      </c>
      <c r="N10569" s="27" t="s">
        <v>14482</v>
      </c>
      <c r="P10569" s="27" t="s">
        <v>14486</v>
      </c>
      <c r="Q10569" s="26" t="str">
        <f>HYPERLINK("https://ictv.global/taxonomy/taxondetails?taxnode_id=202510768&amp;ictv_id=ICTV202010768","ICTV202010768")</f>
        <v>ICTV202010768</v>
      </c>
      <c r="R10569" t="s">
        <v>581</v>
      </c>
      <c r="S10569" t="s">
        <v>22764</v>
      </c>
      <c r="T10569">
        <v>39</v>
      </c>
      <c r="U10569" s="26" t="str">
        <f t="shared" si="387"/>
        <v>2023.001B.Leviviricetes_reorg.zip</v>
      </c>
    </row>
    <row r="10570" spans="1:21">
      <c r="A10570">
        <v>10569</v>
      </c>
      <c r="B10570" s="27" t="s">
        <v>1124</v>
      </c>
      <c r="D10570" s="27" t="s">
        <v>1859</v>
      </c>
      <c r="F10570" s="27" t="s">
        <v>1881</v>
      </c>
      <c r="H10570" s="27" t="s">
        <v>2679</v>
      </c>
      <c r="J10570" s="27" t="s">
        <v>2680</v>
      </c>
      <c r="L10570" s="27" t="s">
        <v>2681</v>
      </c>
      <c r="N10570" s="27" t="s">
        <v>2705</v>
      </c>
      <c r="P10570" s="27" t="s">
        <v>2706</v>
      </c>
      <c r="Q10570" s="26" t="str">
        <f>HYPERLINK("https://ictv.global/taxonomy/taxondetails?taxnode_id=202510719&amp;ictv_id=ICTV202010719","ICTV202010719")</f>
        <v>ICTV202010719</v>
      </c>
      <c r="R10570" t="s">
        <v>581</v>
      </c>
      <c r="S10570" t="s">
        <v>823</v>
      </c>
      <c r="T10570">
        <v>36</v>
      </c>
      <c r="U10570" s="26" t="str">
        <f>HYPERLINK("https://ictv.global/ictv/proposals/2020.095B.R.Leviviricetes.zip","2020.095B.R.Leviviricetes.zip")</f>
        <v>2020.095B.R.Leviviricetes.zip</v>
      </c>
    </row>
    <row r="10571" spans="1:21">
      <c r="A10571">
        <v>10570</v>
      </c>
      <c r="B10571" s="27" t="s">
        <v>1124</v>
      </c>
      <c r="D10571" s="27" t="s">
        <v>1859</v>
      </c>
      <c r="F10571" s="27" t="s">
        <v>1881</v>
      </c>
      <c r="H10571" s="27" t="s">
        <v>2679</v>
      </c>
      <c r="J10571" s="27" t="s">
        <v>2680</v>
      </c>
      <c r="L10571" s="27" t="s">
        <v>2681</v>
      </c>
      <c r="N10571" s="27" t="s">
        <v>2707</v>
      </c>
      <c r="P10571" s="27" t="s">
        <v>2708</v>
      </c>
      <c r="Q10571" s="26" t="str">
        <f>HYPERLINK("https://ictv.global/taxonomy/taxondetails?taxnode_id=202510723&amp;ictv_id=ICTV202010723","ICTV202010723")</f>
        <v>ICTV202010723</v>
      </c>
      <c r="R10571" t="s">
        <v>581</v>
      </c>
      <c r="S10571" t="s">
        <v>823</v>
      </c>
      <c r="T10571">
        <v>36</v>
      </c>
      <c r="U10571" s="26" t="str">
        <f>HYPERLINK("https://ictv.global/ictv/proposals/2020.095B.R.Leviviricetes.zip","2020.095B.R.Leviviricetes.zip")</f>
        <v>2020.095B.R.Leviviricetes.zip</v>
      </c>
    </row>
    <row r="10572" spans="1:21">
      <c r="A10572">
        <v>10571</v>
      </c>
      <c r="B10572" s="27" t="s">
        <v>1124</v>
      </c>
      <c r="D10572" s="27" t="s">
        <v>1859</v>
      </c>
      <c r="F10572" s="27" t="s">
        <v>1881</v>
      </c>
      <c r="H10572" s="27" t="s">
        <v>2679</v>
      </c>
      <c r="J10572" s="27" t="s">
        <v>2680</v>
      </c>
      <c r="L10572" s="27" t="s">
        <v>2681</v>
      </c>
      <c r="N10572" s="27" t="s">
        <v>2707</v>
      </c>
      <c r="P10572" s="27" t="s">
        <v>2709</v>
      </c>
      <c r="Q10572" s="26" t="str">
        <f>HYPERLINK("https://ictv.global/taxonomy/taxondetails?taxnode_id=202510721&amp;ictv_id=ICTV202010721","ICTV202010721")</f>
        <v>ICTV202010721</v>
      </c>
      <c r="R10572" t="s">
        <v>581</v>
      </c>
      <c r="S10572" t="s">
        <v>823</v>
      </c>
      <c r="T10572">
        <v>36</v>
      </c>
      <c r="U10572" s="26" t="str">
        <f>HYPERLINK("https://ictv.global/ictv/proposals/2020.095B.R.Leviviricetes.zip","2020.095B.R.Leviviricetes.zip")</f>
        <v>2020.095B.R.Leviviricetes.zip</v>
      </c>
    </row>
    <row r="10573" spans="1:21">
      <c r="A10573">
        <v>10572</v>
      </c>
      <c r="B10573" s="27" t="s">
        <v>1124</v>
      </c>
      <c r="D10573" s="27" t="s">
        <v>1859</v>
      </c>
      <c r="F10573" s="27" t="s">
        <v>1881</v>
      </c>
      <c r="H10573" s="27" t="s">
        <v>2679</v>
      </c>
      <c r="J10573" s="27" t="s">
        <v>2680</v>
      </c>
      <c r="L10573" s="27" t="s">
        <v>2681</v>
      </c>
      <c r="N10573" s="27" t="s">
        <v>2707</v>
      </c>
      <c r="P10573" s="27" t="s">
        <v>2710</v>
      </c>
      <c r="Q10573" s="26" t="str">
        <f>HYPERLINK("https://ictv.global/taxonomy/taxondetails?taxnode_id=202510722&amp;ictv_id=ICTV202010722","ICTV202010722")</f>
        <v>ICTV202010722</v>
      </c>
      <c r="R10573" t="s">
        <v>581</v>
      </c>
      <c r="S10573" t="s">
        <v>823</v>
      </c>
      <c r="T10573">
        <v>36</v>
      </c>
      <c r="U10573" s="26" t="str">
        <f>HYPERLINK("https://ictv.global/ictv/proposals/2020.095B.R.Leviviricetes.zip","2020.095B.R.Leviviricetes.zip")</f>
        <v>2020.095B.R.Leviviricetes.zip</v>
      </c>
    </row>
    <row r="10574" spans="1:21">
      <c r="A10574">
        <v>10573</v>
      </c>
      <c r="B10574" s="27" t="s">
        <v>1124</v>
      </c>
      <c r="D10574" s="27" t="s">
        <v>1859</v>
      </c>
      <c r="F10574" s="27" t="s">
        <v>1881</v>
      </c>
      <c r="H10574" s="27" t="s">
        <v>2679</v>
      </c>
      <c r="J10574" s="27" t="s">
        <v>2680</v>
      </c>
      <c r="L10574" s="27" t="s">
        <v>2681</v>
      </c>
      <c r="N10574" s="27" t="s">
        <v>2711</v>
      </c>
      <c r="P10574" s="27" t="s">
        <v>14487</v>
      </c>
      <c r="Q10574" s="26" t="str">
        <f>HYPERLINK("https://ictv.global/taxonomy/taxondetails?taxnode_id=202516170&amp;ictv_id=ICTV202316170","ICTV202316170")</f>
        <v>ICTV202316170</v>
      </c>
      <c r="R10574" t="s">
        <v>581</v>
      </c>
      <c r="S10574" t="s">
        <v>823</v>
      </c>
      <c r="T10574">
        <v>39</v>
      </c>
      <c r="U10574" s="26" t="str">
        <f>HYPERLINK("https://ictv.global/ictv/proposals/2023.001B.Leviviricetes_reorg.zip","2023.001B.Leviviricetes_reorg.zip")</f>
        <v>2023.001B.Leviviricetes_reorg.zip</v>
      </c>
    </row>
    <row r="10575" spans="1:21">
      <c r="A10575">
        <v>10574</v>
      </c>
      <c r="B10575" s="27" t="s">
        <v>1124</v>
      </c>
      <c r="D10575" s="27" t="s">
        <v>1859</v>
      </c>
      <c r="F10575" s="27" t="s">
        <v>1881</v>
      </c>
      <c r="H10575" s="27" t="s">
        <v>2679</v>
      </c>
      <c r="J10575" s="27" t="s">
        <v>2680</v>
      </c>
      <c r="L10575" s="27" t="s">
        <v>2681</v>
      </c>
      <c r="N10575" s="27" t="s">
        <v>2711</v>
      </c>
      <c r="P10575" s="27" t="s">
        <v>2712</v>
      </c>
      <c r="Q10575" s="26" t="str">
        <f>HYPERLINK("https://ictv.global/taxonomy/taxondetails?taxnode_id=202510725&amp;ictv_id=ICTV202010725","ICTV202010725")</f>
        <v>ICTV202010725</v>
      </c>
      <c r="R10575" t="s">
        <v>581</v>
      </c>
      <c r="S10575" t="s">
        <v>823</v>
      </c>
      <c r="T10575">
        <v>36</v>
      </c>
      <c r="U10575" s="26" t="str">
        <f>HYPERLINK("https://ictv.global/ictv/proposals/2020.095B.R.Leviviricetes.zip","2020.095B.R.Leviviricetes.zip")</f>
        <v>2020.095B.R.Leviviricetes.zip</v>
      </c>
    </row>
    <row r="10576" spans="1:21">
      <c r="A10576">
        <v>10575</v>
      </c>
      <c r="B10576" s="27" t="s">
        <v>1124</v>
      </c>
      <c r="D10576" s="27" t="s">
        <v>1859</v>
      </c>
      <c r="F10576" s="27" t="s">
        <v>1881</v>
      </c>
      <c r="H10576" s="27" t="s">
        <v>2679</v>
      </c>
      <c r="J10576" s="27" t="s">
        <v>2680</v>
      </c>
      <c r="L10576" s="27" t="s">
        <v>2681</v>
      </c>
      <c r="N10576" s="27" t="s">
        <v>2711</v>
      </c>
      <c r="P10576" s="27" t="s">
        <v>14488</v>
      </c>
      <c r="Q10576" s="26" t="str">
        <f>HYPERLINK("https://ictv.global/taxonomy/taxondetails?taxnode_id=202516171&amp;ictv_id=ICTV202316171","ICTV202316171")</f>
        <v>ICTV202316171</v>
      </c>
      <c r="R10576" t="s">
        <v>581</v>
      </c>
      <c r="S10576" t="s">
        <v>823</v>
      </c>
      <c r="T10576">
        <v>39</v>
      </c>
      <c r="U10576" s="26" t="str">
        <f>HYPERLINK("https://ictv.global/ictv/proposals/2023.001B.Leviviricetes_reorg.zip","2023.001B.Leviviricetes_reorg.zip")</f>
        <v>2023.001B.Leviviricetes_reorg.zip</v>
      </c>
    </row>
    <row r="10577" spans="1:21">
      <c r="A10577">
        <v>10576</v>
      </c>
      <c r="B10577" s="27" t="s">
        <v>1124</v>
      </c>
      <c r="D10577" s="27" t="s">
        <v>1859</v>
      </c>
      <c r="F10577" s="27" t="s">
        <v>1881</v>
      </c>
      <c r="H10577" s="27" t="s">
        <v>2679</v>
      </c>
      <c r="J10577" s="27" t="s">
        <v>2680</v>
      </c>
      <c r="L10577" s="27" t="s">
        <v>2681</v>
      </c>
      <c r="N10577" s="27" t="s">
        <v>2711</v>
      </c>
      <c r="P10577" s="27" t="s">
        <v>14489</v>
      </c>
      <c r="Q10577" s="26" t="str">
        <f>HYPERLINK("https://ictv.global/taxonomy/taxondetails?taxnode_id=202516172&amp;ictv_id=ICTV202316172","ICTV202316172")</f>
        <v>ICTV202316172</v>
      </c>
      <c r="R10577" t="s">
        <v>581</v>
      </c>
      <c r="S10577" t="s">
        <v>823</v>
      </c>
      <c r="T10577">
        <v>39</v>
      </c>
      <c r="U10577" s="26" t="str">
        <f>HYPERLINK("https://ictv.global/ictv/proposals/2023.001B.Leviviricetes_reorg.zip","2023.001B.Leviviricetes_reorg.zip")</f>
        <v>2023.001B.Leviviricetes_reorg.zip</v>
      </c>
    </row>
    <row r="10578" spans="1:21">
      <c r="A10578">
        <v>10577</v>
      </c>
      <c r="B10578" s="27" t="s">
        <v>1124</v>
      </c>
      <c r="D10578" s="27" t="s">
        <v>1859</v>
      </c>
      <c r="F10578" s="27" t="s">
        <v>1881</v>
      </c>
      <c r="H10578" s="27" t="s">
        <v>2679</v>
      </c>
      <c r="J10578" s="27" t="s">
        <v>2680</v>
      </c>
      <c r="L10578" s="27" t="s">
        <v>2681</v>
      </c>
      <c r="N10578" s="27" t="s">
        <v>2711</v>
      </c>
      <c r="P10578" s="27" t="s">
        <v>14490</v>
      </c>
      <c r="Q10578" s="26" t="str">
        <f>HYPERLINK("https://ictv.global/taxonomy/taxondetails?taxnode_id=202516173&amp;ictv_id=ICTV202316173","ICTV202316173")</f>
        <v>ICTV202316173</v>
      </c>
      <c r="R10578" t="s">
        <v>581</v>
      </c>
      <c r="S10578" t="s">
        <v>823</v>
      </c>
      <c r="T10578">
        <v>39</v>
      </c>
      <c r="U10578" s="26" t="str">
        <f>HYPERLINK("https://ictv.global/ictv/proposals/2023.001B.Leviviricetes_reorg.zip","2023.001B.Leviviricetes_reorg.zip")</f>
        <v>2023.001B.Leviviricetes_reorg.zip</v>
      </c>
    </row>
    <row r="10579" spans="1:21">
      <c r="A10579">
        <v>10578</v>
      </c>
      <c r="B10579" s="27" t="s">
        <v>1124</v>
      </c>
      <c r="D10579" s="27" t="s">
        <v>1859</v>
      </c>
      <c r="F10579" s="27" t="s">
        <v>1881</v>
      </c>
      <c r="H10579" s="27" t="s">
        <v>2679</v>
      </c>
      <c r="J10579" s="27" t="s">
        <v>2680</v>
      </c>
      <c r="L10579" s="27" t="s">
        <v>2681</v>
      </c>
      <c r="N10579" s="27" t="s">
        <v>2713</v>
      </c>
      <c r="P10579" s="27" t="s">
        <v>2714</v>
      </c>
      <c r="Q10579" s="26" t="str">
        <f>HYPERLINK("https://ictv.global/taxonomy/taxondetails?taxnode_id=202510727&amp;ictv_id=ICTV202010727","ICTV202010727")</f>
        <v>ICTV202010727</v>
      </c>
      <c r="R10579" t="s">
        <v>581</v>
      </c>
      <c r="S10579" t="s">
        <v>823</v>
      </c>
      <c r="T10579">
        <v>36</v>
      </c>
      <c r="U10579" s="26" t="str">
        <f>HYPERLINK("https://ictv.global/ictv/proposals/2020.095B.R.Leviviricetes.zip","2020.095B.R.Leviviricetes.zip")</f>
        <v>2020.095B.R.Leviviricetes.zip</v>
      </c>
    </row>
    <row r="10580" spans="1:21">
      <c r="A10580">
        <v>10579</v>
      </c>
      <c r="B10580" s="27" t="s">
        <v>1124</v>
      </c>
      <c r="D10580" s="27" t="s">
        <v>1859</v>
      </c>
      <c r="F10580" s="27" t="s">
        <v>1881</v>
      </c>
      <c r="H10580" s="27" t="s">
        <v>2679</v>
      </c>
      <c r="J10580" s="27" t="s">
        <v>2680</v>
      </c>
      <c r="L10580" s="27" t="s">
        <v>2681</v>
      </c>
      <c r="N10580" s="27" t="s">
        <v>2715</v>
      </c>
      <c r="P10580" s="27" t="s">
        <v>2716</v>
      </c>
      <c r="Q10580" s="26" t="str">
        <f>HYPERLINK("https://ictv.global/taxonomy/taxondetails?taxnode_id=202510729&amp;ictv_id=ICTV202010729","ICTV202010729")</f>
        <v>ICTV202010729</v>
      </c>
      <c r="R10580" t="s">
        <v>581</v>
      </c>
      <c r="S10580" t="s">
        <v>823</v>
      </c>
      <c r="T10580">
        <v>36</v>
      </c>
      <c r="U10580" s="26" t="str">
        <f>HYPERLINK("https://ictv.global/ictv/proposals/2020.095B.R.Leviviricetes.zip","2020.095B.R.Leviviricetes.zip")</f>
        <v>2020.095B.R.Leviviricetes.zip</v>
      </c>
    </row>
    <row r="10581" spans="1:21">
      <c r="A10581">
        <v>10580</v>
      </c>
      <c r="B10581" s="27" t="s">
        <v>1124</v>
      </c>
      <c r="D10581" s="27" t="s">
        <v>1859</v>
      </c>
      <c r="F10581" s="27" t="s">
        <v>1881</v>
      </c>
      <c r="H10581" s="27" t="s">
        <v>2679</v>
      </c>
      <c r="J10581" s="27" t="s">
        <v>2680</v>
      </c>
      <c r="L10581" s="27" t="s">
        <v>2681</v>
      </c>
      <c r="N10581" s="27" t="s">
        <v>2715</v>
      </c>
      <c r="P10581" s="27" t="s">
        <v>14491</v>
      </c>
      <c r="Q10581" s="26" t="str">
        <f>HYPERLINK("https://ictv.global/taxonomy/taxondetails?taxnode_id=202516174&amp;ictv_id=ICTV202316174","ICTV202316174")</f>
        <v>ICTV202316174</v>
      </c>
      <c r="R10581" t="s">
        <v>581</v>
      </c>
      <c r="S10581" t="s">
        <v>823</v>
      </c>
      <c r="T10581">
        <v>39</v>
      </c>
      <c r="U10581" s="26" t="str">
        <f>HYPERLINK("https://ictv.global/ictv/proposals/2023.001B.Leviviricetes_reorg.zip","2023.001B.Leviviricetes_reorg.zip")</f>
        <v>2023.001B.Leviviricetes_reorg.zip</v>
      </c>
    </row>
    <row r="10582" spans="1:21">
      <c r="A10582">
        <v>10581</v>
      </c>
      <c r="B10582" s="27" t="s">
        <v>1124</v>
      </c>
      <c r="D10582" s="27" t="s">
        <v>1859</v>
      </c>
      <c r="F10582" s="27" t="s">
        <v>1881</v>
      </c>
      <c r="H10582" s="27" t="s">
        <v>2679</v>
      </c>
      <c r="J10582" s="27" t="s">
        <v>2680</v>
      </c>
      <c r="L10582" s="27" t="s">
        <v>2681</v>
      </c>
      <c r="N10582" s="27" t="s">
        <v>2717</v>
      </c>
      <c r="P10582" s="27" t="s">
        <v>2718</v>
      </c>
      <c r="Q10582" s="26" t="str">
        <f>HYPERLINK("https://ictv.global/taxonomy/taxondetails?taxnode_id=202510731&amp;ictv_id=ICTV202010731","ICTV202010731")</f>
        <v>ICTV202010731</v>
      </c>
      <c r="R10582" t="s">
        <v>581</v>
      </c>
      <c r="S10582" t="s">
        <v>823</v>
      </c>
      <c r="T10582">
        <v>36</v>
      </c>
      <c r="U10582" s="26" t="str">
        <f>HYPERLINK("https://ictv.global/ictv/proposals/2020.095B.R.Leviviricetes.zip","2020.095B.R.Leviviricetes.zip")</f>
        <v>2020.095B.R.Leviviricetes.zip</v>
      </c>
    </row>
    <row r="10583" spans="1:21">
      <c r="A10583">
        <v>10582</v>
      </c>
      <c r="B10583" s="27" t="s">
        <v>1124</v>
      </c>
      <c r="D10583" s="27" t="s">
        <v>1859</v>
      </c>
      <c r="F10583" s="27" t="s">
        <v>1881</v>
      </c>
      <c r="H10583" s="27" t="s">
        <v>2679</v>
      </c>
      <c r="J10583" s="27" t="s">
        <v>2680</v>
      </c>
      <c r="L10583" s="27" t="s">
        <v>2681</v>
      </c>
      <c r="N10583" s="27" t="s">
        <v>2719</v>
      </c>
      <c r="P10583" s="27" t="s">
        <v>2720</v>
      </c>
      <c r="Q10583" s="26" t="str">
        <f>HYPERLINK("https://ictv.global/taxonomy/taxondetails?taxnode_id=202510733&amp;ictv_id=ICTV202010733","ICTV202010733")</f>
        <v>ICTV202010733</v>
      </c>
      <c r="R10583" t="s">
        <v>581</v>
      </c>
      <c r="S10583" t="s">
        <v>823</v>
      </c>
      <c r="T10583">
        <v>36</v>
      </c>
      <c r="U10583" s="26" t="str">
        <f>HYPERLINK("https://ictv.global/ictv/proposals/2020.095B.R.Leviviricetes.zip","2020.095B.R.Leviviricetes.zip")</f>
        <v>2020.095B.R.Leviviricetes.zip</v>
      </c>
    </row>
    <row r="10584" spans="1:21">
      <c r="A10584">
        <v>10583</v>
      </c>
      <c r="B10584" s="27" t="s">
        <v>1124</v>
      </c>
      <c r="D10584" s="27" t="s">
        <v>1859</v>
      </c>
      <c r="F10584" s="27" t="s">
        <v>1881</v>
      </c>
      <c r="H10584" s="27" t="s">
        <v>2679</v>
      </c>
      <c r="J10584" s="27" t="s">
        <v>2680</v>
      </c>
      <c r="L10584" s="27" t="s">
        <v>2681</v>
      </c>
      <c r="N10584" s="27" t="s">
        <v>2721</v>
      </c>
      <c r="P10584" s="27" t="s">
        <v>2722</v>
      </c>
      <c r="Q10584" s="26" t="str">
        <f>HYPERLINK("https://ictv.global/taxonomy/taxondetails?taxnode_id=202510735&amp;ictv_id=ICTV202010735","ICTV202010735")</f>
        <v>ICTV202010735</v>
      </c>
      <c r="R10584" t="s">
        <v>581</v>
      </c>
      <c r="S10584" t="s">
        <v>823</v>
      </c>
      <c r="T10584">
        <v>36</v>
      </c>
      <c r="U10584" s="26" t="str">
        <f>HYPERLINK("https://ictv.global/ictv/proposals/2020.095B.R.Leviviricetes.zip","2020.095B.R.Leviviricetes.zip")</f>
        <v>2020.095B.R.Leviviricetes.zip</v>
      </c>
    </row>
    <row r="10585" spans="1:21">
      <c r="A10585">
        <v>10584</v>
      </c>
      <c r="B10585" s="27" t="s">
        <v>1124</v>
      </c>
      <c r="D10585" s="27" t="s">
        <v>1859</v>
      </c>
      <c r="F10585" s="27" t="s">
        <v>1881</v>
      </c>
      <c r="H10585" s="27" t="s">
        <v>2679</v>
      </c>
      <c r="J10585" s="27" t="s">
        <v>2680</v>
      </c>
      <c r="L10585" s="27" t="s">
        <v>2681</v>
      </c>
      <c r="N10585" s="27" t="s">
        <v>2723</v>
      </c>
      <c r="P10585" s="27" t="s">
        <v>14492</v>
      </c>
      <c r="Q10585" s="26" t="str">
        <f>HYPERLINK("https://ictv.global/taxonomy/taxondetails?taxnode_id=202516175&amp;ictv_id=ICTV202316175","ICTV202316175")</f>
        <v>ICTV202316175</v>
      </c>
      <c r="R10585" t="s">
        <v>581</v>
      </c>
      <c r="S10585" t="s">
        <v>823</v>
      </c>
      <c r="T10585">
        <v>39</v>
      </c>
      <c r="U10585" s="26" t="str">
        <f>HYPERLINK("https://ictv.global/ictv/proposals/2023.001B.Leviviricetes_reorg.zip","2023.001B.Leviviricetes_reorg.zip")</f>
        <v>2023.001B.Leviviricetes_reorg.zip</v>
      </c>
    </row>
    <row r="10586" spans="1:21">
      <c r="A10586">
        <v>10585</v>
      </c>
      <c r="B10586" s="27" t="s">
        <v>1124</v>
      </c>
      <c r="D10586" s="27" t="s">
        <v>1859</v>
      </c>
      <c r="F10586" s="27" t="s">
        <v>1881</v>
      </c>
      <c r="H10586" s="27" t="s">
        <v>2679</v>
      </c>
      <c r="J10586" s="27" t="s">
        <v>2680</v>
      </c>
      <c r="L10586" s="27" t="s">
        <v>2681</v>
      </c>
      <c r="N10586" s="27" t="s">
        <v>2723</v>
      </c>
      <c r="P10586" s="27" t="s">
        <v>2724</v>
      </c>
      <c r="Q10586" s="26" t="str">
        <f>HYPERLINK("https://ictv.global/taxonomy/taxondetails?taxnode_id=202510737&amp;ictv_id=ICTV202010737","ICTV202010737")</f>
        <v>ICTV202010737</v>
      </c>
      <c r="R10586" t="s">
        <v>581</v>
      </c>
      <c r="S10586" t="s">
        <v>823</v>
      </c>
      <c r="T10586">
        <v>36</v>
      </c>
      <c r="U10586" s="26" t="str">
        <f>HYPERLINK("https://ictv.global/ictv/proposals/2020.095B.R.Leviviricetes.zip","2020.095B.R.Leviviricetes.zip")</f>
        <v>2020.095B.R.Leviviricetes.zip</v>
      </c>
    </row>
    <row r="10587" spans="1:21">
      <c r="A10587">
        <v>10586</v>
      </c>
      <c r="B10587" s="27" t="s">
        <v>1124</v>
      </c>
      <c r="D10587" s="27" t="s">
        <v>1859</v>
      </c>
      <c r="F10587" s="27" t="s">
        <v>1881</v>
      </c>
      <c r="H10587" s="27" t="s">
        <v>2679</v>
      </c>
      <c r="J10587" s="27" t="s">
        <v>2680</v>
      </c>
      <c r="L10587" s="27" t="s">
        <v>2681</v>
      </c>
      <c r="N10587" s="27" t="s">
        <v>2723</v>
      </c>
      <c r="P10587" s="27" t="s">
        <v>14493</v>
      </c>
      <c r="Q10587" s="26" t="str">
        <f>HYPERLINK("https://ictv.global/taxonomy/taxondetails?taxnode_id=202516176&amp;ictv_id=ICTV202316176","ICTV202316176")</f>
        <v>ICTV202316176</v>
      </c>
      <c r="R10587" t="s">
        <v>581</v>
      </c>
      <c r="S10587" t="s">
        <v>823</v>
      </c>
      <c r="T10587">
        <v>39</v>
      </c>
      <c r="U10587" s="26" t="str">
        <f>HYPERLINK("https://ictv.global/ictv/proposals/2023.001B.Leviviricetes_reorg.zip","2023.001B.Leviviricetes_reorg.zip")</f>
        <v>2023.001B.Leviviricetes_reorg.zip</v>
      </c>
    </row>
    <row r="10588" spans="1:21">
      <c r="A10588">
        <v>10587</v>
      </c>
      <c r="B10588" s="27" t="s">
        <v>1124</v>
      </c>
      <c r="D10588" s="27" t="s">
        <v>1859</v>
      </c>
      <c r="F10588" s="27" t="s">
        <v>1881</v>
      </c>
      <c r="H10588" s="27" t="s">
        <v>2679</v>
      </c>
      <c r="J10588" s="27" t="s">
        <v>2680</v>
      </c>
      <c r="L10588" s="27" t="s">
        <v>2681</v>
      </c>
      <c r="N10588" s="27" t="s">
        <v>2725</v>
      </c>
      <c r="P10588" s="27" t="s">
        <v>14494</v>
      </c>
      <c r="Q10588" s="26" t="str">
        <f>HYPERLINK("https://ictv.global/taxonomy/taxondetails?taxnode_id=202516177&amp;ictv_id=ICTV202316177","ICTV202316177")</f>
        <v>ICTV202316177</v>
      </c>
      <c r="R10588" t="s">
        <v>581</v>
      </c>
      <c r="S10588" t="s">
        <v>823</v>
      </c>
      <c r="T10588">
        <v>39</v>
      </c>
      <c r="U10588" s="26" t="str">
        <f>HYPERLINK("https://ictv.global/ictv/proposals/2023.001B.Leviviricetes_reorg.zip","2023.001B.Leviviricetes_reorg.zip")</f>
        <v>2023.001B.Leviviricetes_reorg.zip</v>
      </c>
    </row>
    <row r="10589" spans="1:21">
      <c r="A10589">
        <v>10588</v>
      </c>
      <c r="B10589" s="27" t="s">
        <v>1124</v>
      </c>
      <c r="D10589" s="27" t="s">
        <v>1859</v>
      </c>
      <c r="F10589" s="27" t="s">
        <v>1881</v>
      </c>
      <c r="H10589" s="27" t="s">
        <v>2679</v>
      </c>
      <c r="J10589" s="27" t="s">
        <v>2680</v>
      </c>
      <c r="L10589" s="27" t="s">
        <v>2681</v>
      </c>
      <c r="N10589" s="27" t="s">
        <v>2725</v>
      </c>
      <c r="P10589" s="27" t="s">
        <v>2726</v>
      </c>
      <c r="Q10589" s="26" t="str">
        <f>HYPERLINK("https://ictv.global/taxonomy/taxondetails?taxnode_id=202510740&amp;ictv_id=ICTV202010740","ICTV202010740")</f>
        <v>ICTV202010740</v>
      </c>
      <c r="R10589" t="s">
        <v>581</v>
      </c>
      <c r="S10589" t="s">
        <v>823</v>
      </c>
      <c r="T10589">
        <v>36</v>
      </c>
      <c r="U10589" s="26" t="str">
        <f>HYPERLINK("https://ictv.global/ictv/proposals/2020.095B.R.Leviviricetes.zip","2020.095B.R.Leviviricetes.zip")</f>
        <v>2020.095B.R.Leviviricetes.zip</v>
      </c>
    </row>
    <row r="10590" spans="1:21">
      <c r="A10590">
        <v>10589</v>
      </c>
      <c r="B10590" s="27" t="s">
        <v>1124</v>
      </c>
      <c r="D10590" s="27" t="s">
        <v>1859</v>
      </c>
      <c r="F10590" s="27" t="s">
        <v>1881</v>
      </c>
      <c r="H10590" s="27" t="s">
        <v>2679</v>
      </c>
      <c r="J10590" s="27" t="s">
        <v>2680</v>
      </c>
      <c r="L10590" s="27" t="s">
        <v>2681</v>
      </c>
      <c r="N10590" s="27" t="s">
        <v>2725</v>
      </c>
      <c r="P10590" s="27" t="s">
        <v>14495</v>
      </c>
      <c r="Q10590" s="26" t="str">
        <f>HYPERLINK("https://ictv.global/taxonomy/taxondetails?taxnode_id=202510819&amp;ictv_id=ICTV202010819","ICTV202010819")</f>
        <v>ICTV202010819</v>
      </c>
      <c r="R10590" t="s">
        <v>581</v>
      </c>
      <c r="S10590" t="s">
        <v>22764</v>
      </c>
      <c r="T10590">
        <v>39</v>
      </c>
      <c r="U10590" s="26" t="str">
        <f t="shared" ref="U10590:U10597" si="388">HYPERLINK("https://ictv.global/ictv/proposals/2023.001B.Leviviricetes_reorg.zip","2023.001B.Leviviricetes_reorg.zip")</f>
        <v>2023.001B.Leviviricetes_reorg.zip</v>
      </c>
    </row>
    <row r="10591" spans="1:21">
      <c r="A10591">
        <v>10590</v>
      </c>
      <c r="B10591" s="27" t="s">
        <v>1124</v>
      </c>
      <c r="D10591" s="27" t="s">
        <v>1859</v>
      </c>
      <c r="F10591" s="27" t="s">
        <v>1881</v>
      </c>
      <c r="H10591" s="27" t="s">
        <v>2679</v>
      </c>
      <c r="J10591" s="27" t="s">
        <v>2680</v>
      </c>
      <c r="L10591" s="27" t="s">
        <v>2681</v>
      </c>
      <c r="N10591" s="27" t="s">
        <v>2725</v>
      </c>
      <c r="P10591" s="27" t="s">
        <v>14496</v>
      </c>
      <c r="Q10591" s="26" t="str">
        <f>HYPERLINK("https://ictv.global/taxonomy/taxondetails?taxnode_id=202516178&amp;ictv_id=ICTV202316178","ICTV202316178")</f>
        <v>ICTV202316178</v>
      </c>
      <c r="R10591" t="s">
        <v>581</v>
      </c>
      <c r="S10591" t="s">
        <v>823</v>
      </c>
      <c r="T10591">
        <v>39</v>
      </c>
      <c r="U10591" s="26" t="str">
        <f t="shared" si="388"/>
        <v>2023.001B.Leviviricetes_reorg.zip</v>
      </c>
    </row>
    <row r="10592" spans="1:21">
      <c r="A10592">
        <v>10591</v>
      </c>
      <c r="B10592" s="27" t="s">
        <v>1124</v>
      </c>
      <c r="D10592" s="27" t="s">
        <v>1859</v>
      </c>
      <c r="F10592" s="27" t="s">
        <v>1881</v>
      </c>
      <c r="H10592" s="27" t="s">
        <v>2679</v>
      </c>
      <c r="J10592" s="27" t="s">
        <v>2680</v>
      </c>
      <c r="L10592" s="27" t="s">
        <v>2681</v>
      </c>
      <c r="N10592" s="27" t="s">
        <v>2725</v>
      </c>
      <c r="P10592" s="27" t="s">
        <v>14497</v>
      </c>
      <c r="Q10592" s="26" t="str">
        <f>HYPERLINK("https://ictv.global/taxonomy/taxondetails?taxnode_id=202516179&amp;ictv_id=ICTV202316179","ICTV202316179")</f>
        <v>ICTV202316179</v>
      </c>
      <c r="R10592" t="s">
        <v>581</v>
      </c>
      <c r="S10592" t="s">
        <v>823</v>
      </c>
      <c r="T10592">
        <v>39</v>
      </c>
      <c r="U10592" s="26" t="str">
        <f t="shared" si="388"/>
        <v>2023.001B.Leviviricetes_reorg.zip</v>
      </c>
    </row>
    <row r="10593" spans="1:21">
      <c r="A10593">
        <v>10592</v>
      </c>
      <c r="B10593" s="27" t="s">
        <v>1124</v>
      </c>
      <c r="D10593" s="27" t="s">
        <v>1859</v>
      </c>
      <c r="F10593" s="27" t="s">
        <v>1881</v>
      </c>
      <c r="H10593" s="27" t="s">
        <v>2679</v>
      </c>
      <c r="J10593" s="27" t="s">
        <v>2680</v>
      </c>
      <c r="L10593" s="27" t="s">
        <v>2681</v>
      </c>
      <c r="N10593" s="27" t="s">
        <v>2725</v>
      </c>
      <c r="P10593" s="27" t="s">
        <v>14498</v>
      </c>
      <c r="Q10593" s="26" t="str">
        <f>HYPERLINK("https://ictv.global/taxonomy/taxondetails?taxnode_id=202516180&amp;ictv_id=ICTV202316180","ICTV202316180")</f>
        <v>ICTV202316180</v>
      </c>
      <c r="R10593" t="s">
        <v>581</v>
      </c>
      <c r="S10593" t="s">
        <v>823</v>
      </c>
      <c r="T10593">
        <v>39</v>
      </c>
      <c r="U10593" s="26" t="str">
        <f t="shared" si="388"/>
        <v>2023.001B.Leviviricetes_reorg.zip</v>
      </c>
    </row>
    <row r="10594" spans="1:21">
      <c r="A10594">
        <v>10593</v>
      </c>
      <c r="B10594" s="27" t="s">
        <v>1124</v>
      </c>
      <c r="D10594" s="27" t="s">
        <v>1859</v>
      </c>
      <c r="F10594" s="27" t="s">
        <v>1881</v>
      </c>
      <c r="H10594" s="27" t="s">
        <v>2679</v>
      </c>
      <c r="J10594" s="27" t="s">
        <v>2680</v>
      </c>
      <c r="L10594" s="27" t="s">
        <v>2681</v>
      </c>
      <c r="N10594" s="27" t="s">
        <v>2725</v>
      </c>
      <c r="P10594" s="27" t="s">
        <v>14499</v>
      </c>
      <c r="Q10594" s="26" t="str">
        <f>HYPERLINK("https://ictv.global/taxonomy/taxondetails?taxnode_id=202516181&amp;ictv_id=ICTV202316181","ICTV202316181")</f>
        <v>ICTV202316181</v>
      </c>
      <c r="R10594" t="s">
        <v>581</v>
      </c>
      <c r="S10594" t="s">
        <v>823</v>
      </c>
      <c r="T10594">
        <v>39</v>
      </c>
      <c r="U10594" s="26" t="str">
        <f t="shared" si="388"/>
        <v>2023.001B.Leviviricetes_reorg.zip</v>
      </c>
    </row>
    <row r="10595" spans="1:21">
      <c r="A10595">
        <v>10594</v>
      </c>
      <c r="B10595" s="27" t="s">
        <v>1124</v>
      </c>
      <c r="D10595" s="27" t="s">
        <v>1859</v>
      </c>
      <c r="F10595" s="27" t="s">
        <v>1881</v>
      </c>
      <c r="H10595" s="27" t="s">
        <v>2679</v>
      </c>
      <c r="J10595" s="27" t="s">
        <v>2680</v>
      </c>
      <c r="L10595" s="27" t="s">
        <v>2681</v>
      </c>
      <c r="N10595" s="27" t="s">
        <v>2725</v>
      </c>
      <c r="P10595" s="27" t="s">
        <v>14500</v>
      </c>
      <c r="Q10595" s="26" t="str">
        <f>HYPERLINK("https://ictv.global/taxonomy/taxondetails?taxnode_id=202516182&amp;ictv_id=ICTV202316182","ICTV202316182")</f>
        <v>ICTV202316182</v>
      </c>
      <c r="R10595" t="s">
        <v>581</v>
      </c>
      <c r="S10595" t="s">
        <v>823</v>
      </c>
      <c r="T10595">
        <v>39</v>
      </c>
      <c r="U10595" s="26" t="str">
        <f t="shared" si="388"/>
        <v>2023.001B.Leviviricetes_reorg.zip</v>
      </c>
    </row>
    <row r="10596" spans="1:21">
      <c r="A10596">
        <v>10595</v>
      </c>
      <c r="B10596" s="27" t="s">
        <v>1124</v>
      </c>
      <c r="D10596" s="27" t="s">
        <v>1859</v>
      </c>
      <c r="F10596" s="27" t="s">
        <v>1881</v>
      </c>
      <c r="H10596" s="27" t="s">
        <v>2679</v>
      </c>
      <c r="J10596" s="27" t="s">
        <v>2680</v>
      </c>
      <c r="L10596" s="27" t="s">
        <v>2681</v>
      </c>
      <c r="N10596" s="27" t="s">
        <v>2725</v>
      </c>
      <c r="P10596" s="27" t="s">
        <v>14501</v>
      </c>
      <c r="Q10596" s="26" t="str">
        <f>HYPERLINK("https://ictv.global/taxonomy/taxondetails?taxnode_id=202516183&amp;ictv_id=ICTV202316183","ICTV202316183")</f>
        <v>ICTV202316183</v>
      </c>
      <c r="R10596" t="s">
        <v>581</v>
      </c>
      <c r="S10596" t="s">
        <v>823</v>
      </c>
      <c r="T10596">
        <v>39</v>
      </c>
      <c r="U10596" s="26" t="str">
        <f t="shared" si="388"/>
        <v>2023.001B.Leviviricetes_reorg.zip</v>
      </c>
    </row>
    <row r="10597" spans="1:21">
      <c r="A10597">
        <v>10596</v>
      </c>
      <c r="B10597" s="27" t="s">
        <v>1124</v>
      </c>
      <c r="D10597" s="27" t="s">
        <v>1859</v>
      </c>
      <c r="F10597" s="27" t="s">
        <v>1881</v>
      </c>
      <c r="H10597" s="27" t="s">
        <v>2679</v>
      </c>
      <c r="J10597" s="27" t="s">
        <v>2680</v>
      </c>
      <c r="L10597" s="27" t="s">
        <v>2681</v>
      </c>
      <c r="N10597" s="27" t="s">
        <v>2725</v>
      </c>
      <c r="P10597" s="27" t="s">
        <v>14502</v>
      </c>
      <c r="Q10597" s="26" t="str">
        <f>HYPERLINK("https://ictv.global/taxonomy/taxondetails?taxnode_id=202516184&amp;ictv_id=ICTV202316184","ICTV202316184")</f>
        <v>ICTV202316184</v>
      </c>
      <c r="R10597" t="s">
        <v>581</v>
      </c>
      <c r="S10597" t="s">
        <v>823</v>
      </c>
      <c r="T10597">
        <v>39</v>
      </c>
      <c r="U10597" s="26" t="str">
        <f t="shared" si="388"/>
        <v>2023.001B.Leviviricetes_reorg.zip</v>
      </c>
    </row>
    <row r="10598" spans="1:21">
      <c r="A10598">
        <v>10597</v>
      </c>
      <c r="B10598" s="27" t="s">
        <v>1124</v>
      </c>
      <c r="D10598" s="27" t="s">
        <v>1859</v>
      </c>
      <c r="F10598" s="27" t="s">
        <v>1881</v>
      </c>
      <c r="H10598" s="27" t="s">
        <v>2679</v>
      </c>
      <c r="J10598" s="27" t="s">
        <v>2680</v>
      </c>
      <c r="L10598" s="27" t="s">
        <v>2681</v>
      </c>
      <c r="N10598" s="27" t="s">
        <v>2725</v>
      </c>
      <c r="P10598" s="27" t="s">
        <v>2727</v>
      </c>
      <c r="Q10598" s="26" t="str">
        <f>HYPERLINK("https://ictv.global/taxonomy/taxondetails?taxnode_id=202510741&amp;ictv_id=ICTV202010741","ICTV202010741")</f>
        <v>ICTV202010741</v>
      </c>
      <c r="R10598" t="s">
        <v>581</v>
      </c>
      <c r="S10598" t="s">
        <v>823</v>
      </c>
      <c r="T10598">
        <v>36</v>
      </c>
      <c r="U10598" s="26" t="str">
        <f t="shared" ref="U10598:U10605" si="389">HYPERLINK("https://ictv.global/ictv/proposals/2020.095B.R.Leviviricetes.zip","2020.095B.R.Leviviricetes.zip")</f>
        <v>2020.095B.R.Leviviricetes.zip</v>
      </c>
    </row>
    <row r="10599" spans="1:21">
      <c r="A10599">
        <v>10598</v>
      </c>
      <c r="B10599" s="27" t="s">
        <v>1124</v>
      </c>
      <c r="D10599" s="27" t="s">
        <v>1859</v>
      </c>
      <c r="F10599" s="27" t="s">
        <v>1881</v>
      </c>
      <c r="H10599" s="27" t="s">
        <v>2679</v>
      </c>
      <c r="J10599" s="27" t="s">
        <v>2680</v>
      </c>
      <c r="L10599" s="27" t="s">
        <v>2681</v>
      </c>
      <c r="N10599" s="27" t="s">
        <v>2725</v>
      </c>
      <c r="P10599" s="27" t="s">
        <v>2728</v>
      </c>
      <c r="Q10599" s="26" t="str">
        <f>HYPERLINK("https://ictv.global/taxonomy/taxondetails?taxnode_id=202510743&amp;ictv_id=ICTV202010743","ICTV202010743")</f>
        <v>ICTV202010743</v>
      </c>
      <c r="R10599" t="s">
        <v>581</v>
      </c>
      <c r="S10599" t="s">
        <v>823</v>
      </c>
      <c r="T10599">
        <v>36</v>
      </c>
      <c r="U10599" s="26" t="str">
        <f t="shared" si="389"/>
        <v>2020.095B.R.Leviviricetes.zip</v>
      </c>
    </row>
    <row r="10600" spans="1:21">
      <c r="A10600">
        <v>10599</v>
      </c>
      <c r="B10600" s="27" t="s">
        <v>1124</v>
      </c>
      <c r="D10600" s="27" t="s">
        <v>1859</v>
      </c>
      <c r="F10600" s="27" t="s">
        <v>1881</v>
      </c>
      <c r="H10600" s="27" t="s">
        <v>2679</v>
      </c>
      <c r="J10600" s="27" t="s">
        <v>2680</v>
      </c>
      <c r="L10600" s="27" t="s">
        <v>2681</v>
      </c>
      <c r="N10600" s="27" t="s">
        <v>2725</v>
      </c>
      <c r="P10600" s="27" t="s">
        <v>2729</v>
      </c>
      <c r="Q10600" s="26" t="str">
        <f>HYPERLINK("https://ictv.global/taxonomy/taxondetails?taxnode_id=202510742&amp;ictv_id=ICTV202010742","ICTV202010742")</f>
        <v>ICTV202010742</v>
      </c>
      <c r="R10600" t="s">
        <v>581</v>
      </c>
      <c r="S10600" t="s">
        <v>823</v>
      </c>
      <c r="T10600">
        <v>36</v>
      </c>
      <c r="U10600" s="26" t="str">
        <f t="shared" si="389"/>
        <v>2020.095B.R.Leviviricetes.zip</v>
      </c>
    </row>
    <row r="10601" spans="1:21">
      <c r="A10601">
        <v>10600</v>
      </c>
      <c r="B10601" s="27" t="s">
        <v>1124</v>
      </c>
      <c r="D10601" s="27" t="s">
        <v>1859</v>
      </c>
      <c r="F10601" s="27" t="s">
        <v>1881</v>
      </c>
      <c r="H10601" s="27" t="s">
        <v>2679</v>
      </c>
      <c r="J10601" s="27" t="s">
        <v>2680</v>
      </c>
      <c r="L10601" s="27" t="s">
        <v>2681</v>
      </c>
      <c r="N10601" s="27" t="s">
        <v>2725</v>
      </c>
      <c r="P10601" s="27" t="s">
        <v>2730</v>
      </c>
      <c r="Q10601" s="26" t="str">
        <f>HYPERLINK("https://ictv.global/taxonomy/taxondetails?taxnode_id=202510739&amp;ictv_id=ICTV202010739","ICTV202010739")</f>
        <v>ICTV202010739</v>
      </c>
      <c r="R10601" t="s">
        <v>581</v>
      </c>
      <c r="S10601" t="s">
        <v>823</v>
      </c>
      <c r="T10601">
        <v>36</v>
      </c>
      <c r="U10601" s="26" t="str">
        <f t="shared" si="389"/>
        <v>2020.095B.R.Leviviricetes.zip</v>
      </c>
    </row>
    <row r="10602" spans="1:21">
      <c r="A10602">
        <v>10601</v>
      </c>
      <c r="B10602" s="27" t="s">
        <v>1124</v>
      </c>
      <c r="D10602" s="27" t="s">
        <v>1859</v>
      </c>
      <c r="F10602" s="27" t="s">
        <v>1881</v>
      </c>
      <c r="H10602" s="27" t="s">
        <v>2679</v>
      </c>
      <c r="J10602" s="27" t="s">
        <v>2680</v>
      </c>
      <c r="L10602" s="27" t="s">
        <v>2681</v>
      </c>
      <c r="N10602" s="27" t="s">
        <v>2725</v>
      </c>
      <c r="P10602" s="27" t="s">
        <v>2731</v>
      </c>
      <c r="Q10602" s="26" t="str">
        <f>HYPERLINK("https://ictv.global/taxonomy/taxondetails?taxnode_id=202510744&amp;ictv_id=ICTV202010744","ICTV202010744")</f>
        <v>ICTV202010744</v>
      </c>
      <c r="R10602" t="s">
        <v>581</v>
      </c>
      <c r="S10602" t="s">
        <v>823</v>
      </c>
      <c r="T10602">
        <v>36</v>
      </c>
      <c r="U10602" s="26" t="str">
        <f t="shared" si="389"/>
        <v>2020.095B.R.Leviviricetes.zip</v>
      </c>
    </row>
    <row r="10603" spans="1:21">
      <c r="A10603">
        <v>10602</v>
      </c>
      <c r="B10603" s="27" t="s">
        <v>1124</v>
      </c>
      <c r="D10603" s="27" t="s">
        <v>1859</v>
      </c>
      <c r="F10603" s="27" t="s">
        <v>1881</v>
      </c>
      <c r="H10603" s="27" t="s">
        <v>2679</v>
      </c>
      <c r="J10603" s="27" t="s">
        <v>2680</v>
      </c>
      <c r="L10603" s="27" t="s">
        <v>2681</v>
      </c>
      <c r="N10603" s="27" t="s">
        <v>2732</v>
      </c>
      <c r="P10603" s="27" t="s">
        <v>2733</v>
      </c>
      <c r="Q10603" s="26" t="str">
        <f>HYPERLINK("https://ictv.global/taxonomy/taxondetails?taxnode_id=202510746&amp;ictv_id=ICTV202010746","ICTV202010746")</f>
        <v>ICTV202010746</v>
      </c>
      <c r="R10603" t="s">
        <v>581</v>
      </c>
      <c r="S10603" t="s">
        <v>823</v>
      </c>
      <c r="T10603">
        <v>36</v>
      </c>
      <c r="U10603" s="26" t="str">
        <f t="shared" si="389"/>
        <v>2020.095B.R.Leviviricetes.zip</v>
      </c>
    </row>
    <row r="10604" spans="1:21">
      <c r="A10604">
        <v>10603</v>
      </c>
      <c r="B10604" s="27" t="s">
        <v>1124</v>
      </c>
      <c r="D10604" s="27" t="s">
        <v>1859</v>
      </c>
      <c r="F10604" s="27" t="s">
        <v>1881</v>
      </c>
      <c r="H10604" s="27" t="s">
        <v>2679</v>
      </c>
      <c r="J10604" s="27" t="s">
        <v>2680</v>
      </c>
      <c r="L10604" s="27" t="s">
        <v>2681</v>
      </c>
      <c r="N10604" s="27" t="s">
        <v>2734</v>
      </c>
      <c r="P10604" s="27" t="s">
        <v>2735</v>
      </c>
      <c r="Q10604" s="26" t="str">
        <f>HYPERLINK("https://ictv.global/taxonomy/taxondetails?taxnode_id=202510750&amp;ictv_id=ICTV202010750","ICTV202010750")</f>
        <v>ICTV202010750</v>
      </c>
      <c r="R10604" t="s">
        <v>581</v>
      </c>
      <c r="S10604" t="s">
        <v>823</v>
      </c>
      <c r="T10604">
        <v>36</v>
      </c>
      <c r="U10604" s="26" t="str">
        <f t="shared" si="389"/>
        <v>2020.095B.R.Leviviricetes.zip</v>
      </c>
    </row>
    <row r="10605" spans="1:21">
      <c r="A10605">
        <v>10604</v>
      </c>
      <c r="B10605" s="27" t="s">
        <v>1124</v>
      </c>
      <c r="D10605" s="27" t="s">
        <v>1859</v>
      </c>
      <c r="F10605" s="27" t="s">
        <v>1881</v>
      </c>
      <c r="H10605" s="27" t="s">
        <v>2679</v>
      </c>
      <c r="J10605" s="27" t="s">
        <v>2680</v>
      </c>
      <c r="L10605" s="27" t="s">
        <v>2681</v>
      </c>
      <c r="N10605" s="27" t="s">
        <v>2736</v>
      </c>
      <c r="P10605" s="27" t="s">
        <v>2737</v>
      </c>
      <c r="Q10605" s="26" t="str">
        <f>HYPERLINK("https://ictv.global/taxonomy/taxondetails?taxnode_id=202510752&amp;ictv_id=ICTV202010752","ICTV202010752")</f>
        <v>ICTV202010752</v>
      </c>
      <c r="R10605" t="s">
        <v>581</v>
      </c>
      <c r="S10605" t="s">
        <v>823</v>
      </c>
      <c r="T10605">
        <v>36</v>
      </c>
      <c r="U10605" s="26" t="str">
        <f t="shared" si="389"/>
        <v>2020.095B.R.Leviviricetes.zip</v>
      </c>
    </row>
    <row r="10606" spans="1:21">
      <c r="A10606">
        <v>10605</v>
      </c>
      <c r="B10606" s="27" t="s">
        <v>1124</v>
      </c>
      <c r="D10606" s="27" t="s">
        <v>1859</v>
      </c>
      <c r="F10606" s="27" t="s">
        <v>1881</v>
      </c>
      <c r="H10606" s="27" t="s">
        <v>2679</v>
      </c>
      <c r="J10606" s="27" t="s">
        <v>2680</v>
      </c>
      <c r="L10606" s="27" t="s">
        <v>2681</v>
      </c>
      <c r="N10606" s="27" t="s">
        <v>2736</v>
      </c>
      <c r="P10606" s="27" t="s">
        <v>14503</v>
      </c>
      <c r="Q10606" s="26" t="str">
        <f>HYPERLINK("https://ictv.global/taxonomy/taxondetails?taxnode_id=202516185&amp;ictv_id=ICTV202316185","ICTV202316185")</f>
        <v>ICTV202316185</v>
      </c>
      <c r="R10606" t="s">
        <v>581</v>
      </c>
      <c r="S10606" t="s">
        <v>823</v>
      </c>
      <c r="T10606">
        <v>39</v>
      </c>
      <c r="U10606" s="26" t="str">
        <f>HYPERLINK("https://ictv.global/ictv/proposals/2023.001B.Leviviricetes_reorg.zip","2023.001B.Leviviricetes_reorg.zip")</f>
        <v>2023.001B.Leviviricetes_reorg.zip</v>
      </c>
    </row>
    <row r="10607" spans="1:21">
      <c r="A10607">
        <v>10606</v>
      </c>
      <c r="B10607" s="27" t="s">
        <v>1124</v>
      </c>
      <c r="D10607" s="27" t="s">
        <v>1859</v>
      </c>
      <c r="F10607" s="27" t="s">
        <v>1881</v>
      </c>
      <c r="H10607" s="27" t="s">
        <v>2679</v>
      </c>
      <c r="J10607" s="27" t="s">
        <v>2680</v>
      </c>
      <c r="L10607" s="27" t="s">
        <v>2681</v>
      </c>
      <c r="N10607" s="27" t="s">
        <v>2736</v>
      </c>
      <c r="P10607" s="27" t="s">
        <v>14504</v>
      </c>
      <c r="Q10607" s="26" t="str">
        <f>HYPERLINK("https://ictv.global/taxonomy/taxondetails?taxnode_id=202516186&amp;ictv_id=ICTV202316186","ICTV202316186")</f>
        <v>ICTV202316186</v>
      </c>
      <c r="R10607" t="s">
        <v>581</v>
      </c>
      <c r="S10607" t="s">
        <v>823</v>
      </c>
      <c r="T10607">
        <v>39</v>
      </c>
      <c r="U10607" s="26" t="str">
        <f>HYPERLINK("https://ictv.global/ictv/proposals/2023.001B.Leviviricetes_reorg.zip","2023.001B.Leviviricetes_reorg.zip")</f>
        <v>2023.001B.Leviviricetes_reorg.zip</v>
      </c>
    </row>
    <row r="10608" spans="1:21">
      <c r="A10608">
        <v>10607</v>
      </c>
      <c r="B10608" s="27" t="s">
        <v>1124</v>
      </c>
      <c r="D10608" s="27" t="s">
        <v>1859</v>
      </c>
      <c r="F10608" s="27" t="s">
        <v>1881</v>
      </c>
      <c r="H10608" s="27" t="s">
        <v>2679</v>
      </c>
      <c r="J10608" s="27" t="s">
        <v>2680</v>
      </c>
      <c r="L10608" s="27" t="s">
        <v>2681</v>
      </c>
      <c r="N10608" s="27" t="s">
        <v>2736</v>
      </c>
      <c r="P10608" s="27" t="s">
        <v>14505</v>
      </c>
      <c r="Q10608" s="26" t="str">
        <f>HYPERLINK("https://ictv.global/taxonomy/taxondetails?taxnode_id=202516187&amp;ictv_id=ICTV202316187","ICTV202316187")</f>
        <v>ICTV202316187</v>
      </c>
      <c r="R10608" t="s">
        <v>581</v>
      </c>
      <c r="S10608" t="s">
        <v>823</v>
      </c>
      <c r="T10608">
        <v>39</v>
      </c>
      <c r="U10608" s="26" t="str">
        <f>HYPERLINK("https://ictv.global/ictv/proposals/2023.001B.Leviviricetes_reorg.zip","2023.001B.Leviviricetes_reorg.zip")</f>
        <v>2023.001B.Leviviricetes_reorg.zip</v>
      </c>
    </row>
    <row r="10609" spans="1:21">
      <c r="A10609">
        <v>10608</v>
      </c>
      <c r="B10609" s="27" t="s">
        <v>1124</v>
      </c>
      <c r="D10609" s="27" t="s">
        <v>1859</v>
      </c>
      <c r="F10609" s="27" t="s">
        <v>1881</v>
      </c>
      <c r="H10609" s="27" t="s">
        <v>2679</v>
      </c>
      <c r="J10609" s="27" t="s">
        <v>2680</v>
      </c>
      <c r="L10609" s="27" t="s">
        <v>2681</v>
      </c>
      <c r="N10609" s="27" t="s">
        <v>2738</v>
      </c>
      <c r="P10609" s="27" t="s">
        <v>2739</v>
      </c>
      <c r="Q10609" s="26" t="str">
        <f>HYPERLINK("https://ictv.global/taxonomy/taxondetails?taxnode_id=202510754&amp;ictv_id=ICTV202010754","ICTV202010754")</f>
        <v>ICTV202010754</v>
      </c>
      <c r="R10609" t="s">
        <v>581</v>
      </c>
      <c r="S10609" t="s">
        <v>823</v>
      </c>
      <c r="T10609">
        <v>36</v>
      </c>
      <c r="U10609" s="26" t="str">
        <f>HYPERLINK("https://ictv.global/ictv/proposals/2020.095B.R.Leviviricetes.zip","2020.095B.R.Leviviricetes.zip")</f>
        <v>2020.095B.R.Leviviricetes.zip</v>
      </c>
    </row>
    <row r="10610" spans="1:21">
      <c r="A10610">
        <v>10609</v>
      </c>
      <c r="B10610" s="27" t="s">
        <v>1124</v>
      </c>
      <c r="D10610" s="27" t="s">
        <v>1859</v>
      </c>
      <c r="F10610" s="27" t="s">
        <v>1881</v>
      </c>
      <c r="H10610" s="27" t="s">
        <v>2679</v>
      </c>
      <c r="J10610" s="27" t="s">
        <v>2680</v>
      </c>
      <c r="L10610" s="27" t="s">
        <v>2681</v>
      </c>
      <c r="N10610" s="27" t="s">
        <v>2740</v>
      </c>
      <c r="P10610" s="27" t="s">
        <v>2741</v>
      </c>
      <c r="Q10610" s="26" t="str">
        <f>HYPERLINK("https://ictv.global/taxonomy/taxondetails?taxnode_id=202510756&amp;ictv_id=ICTV202010756","ICTV202010756")</f>
        <v>ICTV202010756</v>
      </c>
      <c r="R10610" t="s">
        <v>581</v>
      </c>
      <c r="S10610" t="s">
        <v>823</v>
      </c>
      <c r="T10610">
        <v>36</v>
      </c>
      <c r="U10610" s="26" t="str">
        <f>HYPERLINK("https://ictv.global/ictv/proposals/2020.095B.R.Leviviricetes.zip","2020.095B.R.Leviviricetes.zip")</f>
        <v>2020.095B.R.Leviviricetes.zip</v>
      </c>
    </row>
    <row r="10611" spans="1:21">
      <c r="A10611">
        <v>10610</v>
      </c>
      <c r="B10611" s="27" t="s">
        <v>1124</v>
      </c>
      <c r="D10611" s="27" t="s">
        <v>1859</v>
      </c>
      <c r="F10611" s="27" t="s">
        <v>1881</v>
      </c>
      <c r="H10611" s="27" t="s">
        <v>2679</v>
      </c>
      <c r="J10611" s="27" t="s">
        <v>2680</v>
      </c>
      <c r="L10611" s="27" t="s">
        <v>2681</v>
      </c>
      <c r="N10611" s="27" t="s">
        <v>2742</v>
      </c>
      <c r="P10611" s="27" t="s">
        <v>2743</v>
      </c>
      <c r="Q10611" s="26" t="str">
        <f>HYPERLINK("https://ictv.global/taxonomy/taxondetails?taxnode_id=202510758&amp;ictv_id=ICTV202010758","ICTV202010758")</f>
        <v>ICTV202010758</v>
      </c>
      <c r="R10611" t="s">
        <v>581</v>
      </c>
      <c r="S10611" t="s">
        <v>823</v>
      </c>
      <c r="T10611">
        <v>36</v>
      </c>
      <c r="U10611" s="26" t="str">
        <f>HYPERLINK("https://ictv.global/ictv/proposals/2020.095B.R.Leviviricetes.zip","2020.095B.R.Leviviricetes.zip")</f>
        <v>2020.095B.R.Leviviricetes.zip</v>
      </c>
    </row>
    <row r="10612" spans="1:21">
      <c r="A10612">
        <v>10611</v>
      </c>
      <c r="B10612" s="27" t="s">
        <v>1124</v>
      </c>
      <c r="D10612" s="27" t="s">
        <v>1859</v>
      </c>
      <c r="F10612" s="27" t="s">
        <v>1881</v>
      </c>
      <c r="H10612" s="27" t="s">
        <v>2679</v>
      </c>
      <c r="J10612" s="27" t="s">
        <v>2680</v>
      </c>
      <c r="L10612" s="27" t="s">
        <v>2681</v>
      </c>
      <c r="N10612" s="27" t="s">
        <v>2744</v>
      </c>
      <c r="P10612" s="27" t="s">
        <v>2745</v>
      </c>
      <c r="Q10612" s="26" t="str">
        <f>HYPERLINK("https://ictv.global/taxonomy/taxondetails?taxnode_id=202510760&amp;ictv_id=ICTV202010760","ICTV202010760")</f>
        <v>ICTV202010760</v>
      </c>
      <c r="R10612" t="s">
        <v>581</v>
      </c>
      <c r="S10612" t="s">
        <v>823</v>
      </c>
      <c r="T10612">
        <v>36</v>
      </c>
      <c r="U10612" s="26" t="str">
        <f>HYPERLINK("https://ictv.global/ictv/proposals/2020.095B.R.Leviviricetes.zip","2020.095B.R.Leviviricetes.zip")</f>
        <v>2020.095B.R.Leviviricetes.zip</v>
      </c>
    </row>
    <row r="10613" spans="1:21">
      <c r="A10613">
        <v>10612</v>
      </c>
      <c r="B10613" s="27" t="s">
        <v>1124</v>
      </c>
      <c r="D10613" s="27" t="s">
        <v>1859</v>
      </c>
      <c r="F10613" s="27" t="s">
        <v>1881</v>
      </c>
      <c r="H10613" s="27" t="s">
        <v>2679</v>
      </c>
      <c r="J10613" s="27" t="s">
        <v>2680</v>
      </c>
      <c r="L10613" s="27" t="s">
        <v>2681</v>
      </c>
      <c r="N10613" s="27" t="s">
        <v>2746</v>
      </c>
      <c r="P10613" s="27" t="s">
        <v>2747</v>
      </c>
      <c r="Q10613" s="26" t="str">
        <f>HYPERLINK("https://ictv.global/taxonomy/taxondetails?taxnode_id=202510762&amp;ictv_id=ICTV202010762","ICTV202010762")</f>
        <v>ICTV202010762</v>
      </c>
      <c r="R10613" t="s">
        <v>581</v>
      </c>
      <c r="S10613" t="s">
        <v>823</v>
      </c>
      <c r="T10613">
        <v>36</v>
      </c>
      <c r="U10613" s="26" t="str">
        <f>HYPERLINK("https://ictv.global/ictv/proposals/2020.095B.R.Leviviricetes.zip","2020.095B.R.Leviviricetes.zip")</f>
        <v>2020.095B.R.Leviviricetes.zip</v>
      </c>
    </row>
    <row r="10614" spans="1:21">
      <c r="A10614">
        <v>10613</v>
      </c>
      <c r="B10614" s="27" t="s">
        <v>1124</v>
      </c>
      <c r="D10614" s="27" t="s">
        <v>1859</v>
      </c>
      <c r="F10614" s="27" t="s">
        <v>1881</v>
      </c>
      <c r="H10614" s="27" t="s">
        <v>2679</v>
      </c>
      <c r="J10614" s="27" t="s">
        <v>2680</v>
      </c>
      <c r="L10614" s="27" t="s">
        <v>2681</v>
      </c>
      <c r="N10614" s="27" t="s">
        <v>2746</v>
      </c>
      <c r="P10614" s="27" t="s">
        <v>14506</v>
      </c>
      <c r="Q10614" s="26" t="str">
        <f>HYPERLINK("https://ictv.global/taxonomy/taxondetails?taxnode_id=202516188&amp;ictv_id=ICTV202316188","ICTV202316188")</f>
        <v>ICTV202316188</v>
      </c>
      <c r="R10614" t="s">
        <v>581</v>
      </c>
      <c r="S10614" t="s">
        <v>823</v>
      </c>
      <c r="T10614">
        <v>39</v>
      </c>
      <c r="U10614" s="26" t="str">
        <f>HYPERLINK("https://ictv.global/ictv/proposals/2023.001B.Leviviricetes_reorg.zip","2023.001B.Leviviricetes_reorg.zip")</f>
        <v>2023.001B.Leviviricetes_reorg.zip</v>
      </c>
    </row>
    <row r="10615" spans="1:21">
      <c r="A10615">
        <v>10614</v>
      </c>
      <c r="B10615" s="27" t="s">
        <v>1124</v>
      </c>
      <c r="D10615" s="27" t="s">
        <v>1859</v>
      </c>
      <c r="F10615" s="27" t="s">
        <v>1881</v>
      </c>
      <c r="H10615" s="27" t="s">
        <v>2679</v>
      </c>
      <c r="J10615" s="27" t="s">
        <v>2680</v>
      </c>
      <c r="L10615" s="27" t="s">
        <v>2681</v>
      </c>
      <c r="N10615" s="27" t="s">
        <v>2746</v>
      </c>
      <c r="P10615" s="27" t="s">
        <v>14507</v>
      </c>
      <c r="Q10615" s="26" t="str">
        <f>HYPERLINK("https://ictv.global/taxonomy/taxondetails?taxnode_id=202516189&amp;ictv_id=ICTV202316189","ICTV202316189")</f>
        <v>ICTV202316189</v>
      </c>
      <c r="R10615" t="s">
        <v>581</v>
      </c>
      <c r="S10615" t="s">
        <v>823</v>
      </c>
      <c r="T10615">
        <v>39</v>
      </c>
      <c r="U10615" s="26" t="str">
        <f>HYPERLINK("https://ictv.global/ictv/proposals/2023.001B.Leviviricetes_reorg.zip","2023.001B.Leviviricetes_reorg.zip")</f>
        <v>2023.001B.Leviviricetes_reorg.zip</v>
      </c>
    </row>
    <row r="10616" spans="1:21">
      <c r="A10616">
        <v>10615</v>
      </c>
      <c r="B10616" s="27" t="s">
        <v>1124</v>
      </c>
      <c r="D10616" s="27" t="s">
        <v>1859</v>
      </c>
      <c r="F10616" s="27" t="s">
        <v>1881</v>
      </c>
      <c r="H10616" s="27" t="s">
        <v>2679</v>
      </c>
      <c r="J10616" s="27" t="s">
        <v>2680</v>
      </c>
      <c r="L10616" s="27" t="s">
        <v>2681</v>
      </c>
      <c r="N10616" s="27" t="s">
        <v>2748</v>
      </c>
      <c r="P10616" s="27" t="s">
        <v>14508</v>
      </c>
      <c r="Q10616" s="26" t="str">
        <f>HYPERLINK("https://ictv.global/taxonomy/taxondetails?taxnode_id=202516190&amp;ictv_id=ICTV202316190","ICTV202316190")</f>
        <v>ICTV202316190</v>
      </c>
      <c r="R10616" t="s">
        <v>581</v>
      </c>
      <c r="S10616" t="s">
        <v>823</v>
      </c>
      <c r="T10616">
        <v>39</v>
      </c>
      <c r="U10616" s="26" t="str">
        <f>HYPERLINK("https://ictv.global/ictv/proposals/2023.001B.Leviviricetes_reorg.zip","2023.001B.Leviviricetes_reorg.zip")</f>
        <v>2023.001B.Leviviricetes_reorg.zip</v>
      </c>
    </row>
    <row r="10617" spans="1:21">
      <c r="A10617">
        <v>10616</v>
      </c>
      <c r="B10617" s="27" t="s">
        <v>1124</v>
      </c>
      <c r="D10617" s="27" t="s">
        <v>1859</v>
      </c>
      <c r="F10617" s="27" t="s">
        <v>1881</v>
      </c>
      <c r="H10617" s="27" t="s">
        <v>2679</v>
      </c>
      <c r="J10617" s="27" t="s">
        <v>2680</v>
      </c>
      <c r="L10617" s="27" t="s">
        <v>2681</v>
      </c>
      <c r="N10617" s="27" t="s">
        <v>2748</v>
      </c>
      <c r="P10617" s="27" t="s">
        <v>2749</v>
      </c>
      <c r="Q10617" s="26" t="str">
        <f>HYPERLINK("https://ictv.global/taxonomy/taxondetails?taxnode_id=202510773&amp;ictv_id=ICTV202010773","ICTV202010773")</f>
        <v>ICTV202010773</v>
      </c>
      <c r="R10617" t="s">
        <v>581</v>
      </c>
      <c r="S10617" t="s">
        <v>823</v>
      </c>
      <c r="T10617">
        <v>36</v>
      </c>
      <c r="U10617" s="26" t="str">
        <f>HYPERLINK("https://ictv.global/ictv/proposals/2020.095B.R.Leviviricetes.zip","2020.095B.R.Leviviricetes.zip")</f>
        <v>2020.095B.R.Leviviricetes.zip</v>
      </c>
    </row>
    <row r="10618" spans="1:21">
      <c r="A10618">
        <v>10617</v>
      </c>
      <c r="B10618" s="27" t="s">
        <v>1124</v>
      </c>
      <c r="D10618" s="27" t="s">
        <v>1859</v>
      </c>
      <c r="F10618" s="27" t="s">
        <v>1881</v>
      </c>
      <c r="H10618" s="27" t="s">
        <v>2679</v>
      </c>
      <c r="J10618" s="27" t="s">
        <v>2680</v>
      </c>
      <c r="L10618" s="27" t="s">
        <v>2681</v>
      </c>
      <c r="N10618" s="27" t="s">
        <v>2748</v>
      </c>
      <c r="P10618" s="27" t="s">
        <v>2750</v>
      </c>
      <c r="Q10618" s="26" t="str">
        <f>HYPERLINK("https://ictv.global/taxonomy/taxondetails?taxnode_id=202510774&amp;ictv_id=ICTV202010774","ICTV202010774")</f>
        <v>ICTV202010774</v>
      </c>
      <c r="R10618" t="s">
        <v>581</v>
      </c>
      <c r="S10618" t="s">
        <v>823</v>
      </c>
      <c r="T10618">
        <v>36</v>
      </c>
      <c r="U10618" s="26" t="str">
        <f>HYPERLINK("https://ictv.global/ictv/proposals/2020.095B.R.Leviviricetes.zip","2020.095B.R.Leviviricetes.zip")</f>
        <v>2020.095B.R.Leviviricetes.zip</v>
      </c>
    </row>
    <row r="10619" spans="1:21">
      <c r="A10619">
        <v>10618</v>
      </c>
      <c r="B10619" s="27" t="s">
        <v>1124</v>
      </c>
      <c r="D10619" s="27" t="s">
        <v>1859</v>
      </c>
      <c r="F10619" s="27" t="s">
        <v>1881</v>
      </c>
      <c r="H10619" s="27" t="s">
        <v>2679</v>
      </c>
      <c r="J10619" s="27" t="s">
        <v>2680</v>
      </c>
      <c r="L10619" s="27" t="s">
        <v>2681</v>
      </c>
      <c r="N10619" s="27" t="s">
        <v>2748</v>
      </c>
      <c r="P10619" s="27" t="s">
        <v>2751</v>
      </c>
      <c r="Q10619" s="26" t="str">
        <f>HYPERLINK("https://ictv.global/taxonomy/taxondetails?taxnode_id=202510770&amp;ictv_id=ICTV202010770","ICTV202010770")</f>
        <v>ICTV202010770</v>
      </c>
      <c r="R10619" t="s">
        <v>581</v>
      </c>
      <c r="S10619" t="s">
        <v>823</v>
      </c>
      <c r="T10619">
        <v>36</v>
      </c>
      <c r="U10619" s="26" t="str">
        <f>HYPERLINK("https://ictv.global/ictv/proposals/2020.095B.R.Leviviricetes.zip","2020.095B.R.Leviviricetes.zip")</f>
        <v>2020.095B.R.Leviviricetes.zip</v>
      </c>
    </row>
    <row r="10620" spans="1:21">
      <c r="A10620">
        <v>10619</v>
      </c>
      <c r="B10620" s="27" t="s">
        <v>1124</v>
      </c>
      <c r="D10620" s="27" t="s">
        <v>1859</v>
      </c>
      <c r="F10620" s="27" t="s">
        <v>1881</v>
      </c>
      <c r="H10620" s="27" t="s">
        <v>2679</v>
      </c>
      <c r="J10620" s="27" t="s">
        <v>2680</v>
      </c>
      <c r="L10620" s="27" t="s">
        <v>2681</v>
      </c>
      <c r="N10620" s="27" t="s">
        <v>2748</v>
      </c>
      <c r="P10620" s="27" t="s">
        <v>2752</v>
      </c>
      <c r="Q10620" s="26" t="str">
        <f>HYPERLINK("https://ictv.global/taxonomy/taxondetails?taxnode_id=202510771&amp;ictv_id=ICTV202010771","ICTV202010771")</f>
        <v>ICTV202010771</v>
      </c>
      <c r="R10620" t="s">
        <v>581</v>
      </c>
      <c r="S10620" t="s">
        <v>823</v>
      </c>
      <c r="T10620">
        <v>36</v>
      </c>
      <c r="U10620" s="26" t="str">
        <f>HYPERLINK("https://ictv.global/ictv/proposals/2020.095B.R.Leviviricetes.zip","2020.095B.R.Leviviricetes.zip")</f>
        <v>2020.095B.R.Leviviricetes.zip</v>
      </c>
    </row>
    <row r="10621" spans="1:21">
      <c r="A10621">
        <v>10620</v>
      </c>
      <c r="B10621" s="27" t="s">
        <v>1124</v>
      </c>
      <c r="D10621" s="27" t="s">
        <v>1859</v>
      </c>
      <c r="F10621" s="27" t="s">
        <v>1881</v>
      </c>
      <c r="H10621" s="27" t="s">
        <v>2679</v>
      </c>
      <c r="J10621" s="27" t="s">
        <v>2680</v>
      </c>
      <c r="L10621" s="27" t="s">
        <v>2681</v>
      </c>
      <c r="N10621" s="27" t="s">
        <v>2748</v>
      </c>
      <c r="P10621" s="27" t="s">
        <v>2753</v>
      </c>
      <c r="Q10621" s="26" t="str">
        <f>HYPERLINK("https://ictv.global/taxonomy/taxondetails?taxnode_id=202510772&amp;ictv_id=ICTV202010772","ICTV202010772")</f>
        <v>ICTV202010772</v>
      </c>
      <c r="R10621" t="s">
        <v>581</v>
      </c>
      <c r="S10621" t="s">
        <v>823</v>
      </c>
      <c r="T10621">
        <v>36</v>
      </c>
      <c r="U10621" s="26" t="str">
        <f>HYPERLINK("https://ictv.global/ictv/proposals/2020.095B.R.Leviviricetes.zip","2020.095B.R.Leviviricetes.zip")</f>
        <v>2020.095B.R.Leviviricetes.zip</v>
      </c>
    </row>
    <row r="10622" spans="1:21">
      <c r="A10622">
        <v>10621</v>
      </c>
      <c r="B10622" s="27" t="s">
        <v>1124</v>
      </c>
      <c r="D10622" s="27" t="s">
        <v>1859</v>
      </c>
      <c r="F10622" s="27" t="s">
        <v>1881</v>
      </c>
      <c r="H10622" s="27" t="s">
        <v>2679</v>
      </c>
      <c r="J10622" s="27" t="s">
        <v>2680</v>
      </c>
      <c r="L10622" s="27" t="s">
        <v>2681</v>
      </c>
      <c r="N10622" s="27" t="s">
        <v>2748</v>
      </c>
      <c r="P10622" s="27" t="s">
        <v>14509</v>
      </c>
      <c r="Q10622" s="26" t="str">
        <f>HYPERLINK("https://ictv.global/taxonomy/taxondetails?taxnode_id=202516191&amp;ictv_id=ICTV202316191","ICTV202316191")</f>
        <v>ICTV202316191</v>
      </c>
      <c r="R10622" t="s">
        <v>581</v>
      </c>
      <c r="S10622" t="s">
        <v>823</v>
      </c>
      <c r="T10622">
        <v>39</v>
      </c>
      <c r="U10622" s="26" t="str">
        <f>HYPERLINK("https://ictv.global/ictv/proposals/2023.001B.Leviviricetes_reorg.zip","2023.001B.Leviviricetes_reorg.zip")</f>
        <v>2023.001B.Leviviricetes_reorg.zip</v>
      </c>
    </row>
    <row r="10623" spans="1:21">
      <c r="A10623">
        <v>10622</v>
      </c>
      <c r="B10623" s="27" t="s">
        <v>1124</v>
      </c>
      <c r="D10623" s="27" t="s">
        <v>1859</v>
      </c>
      <c r="F10623" s="27" t="s">
        <v>1881</v>
      </c>
      <c r="H10623" s="27" t="s">
        <v>2679</v>
      </c>
      <c r="J10623" s="27" t="s">
        <v>2680</v>
      </c>
      <c r="L10623" s="27" t="s">
        <v>2681</v>
      </c>
      <c r="N10623" s="27" t="s">
        <v>2748</v>
      </c>
      <c r="P10623" s="27" t="s">
        <v>14510</v>
      </c>
      <c r="Q10623" s="26" t="str">
        <f>HYPERLINK("https://ictv.global/taxonomy/taxondetails?taxnode_id=202516192&amp;ictv_id=ICTV202316192","ICTV202316192")</f>
        <v>ICTV202316192</v>
      </c>
      <c r="R10623" t="s">
        <v>581</v>
      </c>
      <c r="S10623" t="s">
        <v>823</v>
      </c>
      <c r="T10623">
        <v>39</v>
      </c>
      <c r="U10623" s="26" t="str">
        <f>HYPERLINK("https://ictv.global/ictv/proposals/2023.001B.Leviviricetes_reorg.zip","2023.001B.Leviviricetes_reorg.zip")</f>
        <v>2023.001B.Leviviricetes_reorg.zip</v>
      </c>
    </row>
    <row r="10624" spans="1:21">
      <c r="A10624">
        <v>10623</v>
      </c>
      <c r="B10624" s="27" t="s">
        <v>1124</v>
      </c>
      <c r="D10624" s="27" t="s">
        <v>1859</v>
      </c>
      <c r="F10624" s="27" t="s">
        <v>1881</v>
      </c>
      <c r="H10624" s="27" t="s">
        <v>2679</v>
      </c>
      <c r="J10624" s="27" t="s">
        <v>2680</v>
      </c>
      <c r="L10624" s="27" t="s">
        <v>2681</v>
      </c>
      <c r="N10624" s="27" t="s">
        <v>2748</v>
      </c>
      <c r="P10624" s="27" t="s">
        <v>14511</v>
      </c>
      <c r="Q10624" s="26" t="str">
        <f>HYPERLINK("https://ictv.global/taxonomy/taxondetails?taxnode_id=202516193&amp;ictv_id=ICTV202316193","ICTV202316193")</f>
        <v>ICTV202316193</v>
      </c>
      <c r="R10624" t="s">
        <v>581</v>
      </c>
      <c r="S10624" t="s">
        <v>823</v>
      </c>
      <c r="T10624">
        <v>39</v>
      </c>
      <c r="U10624" s="26" t="str">
        <f>HYPERLINK("https://ictv.global/ictv/proposals/2023.001B.Leviviricetes_reorg.zip","2023.001B.Leviviricetes_reorg.zip")</f>
        <v>2023.001B.Leviviricetes_reorg.zip</v>
      </c>
    </row>
    <row r="10625" spans="1:21">
      <c r="A10625">
        <v>10624</v>
      </c>
      <c r="B10625" s="27" t="s">
        <v>1124</v>
      </c>
      <c r="D10625" s="27" t="s">
        <v>1859</v>
      </c>
      <c r="F10625" s="27" t="s">
        <v>1881</v>
      </c>
      <c r="H10625" s="27" t="s">
        <v>2679</v>
      </c>
      <c r="J10625" s="27" t="s">
        <v>2680</v>
      </c>
      <c r="L10625" s="27" t="s">
        <v>2681</v>
      </c>
      <c r="N10625" s="27" t="s">
        <v>2748</v>
      </c>
      <c r="P10625" s="27" t="s">
        <v>14512</v>
      </c>
      <c r="Q10625" s="26" t="str">
        <f>HYPERLINK("https://ictv.global/taxonomy/taxondetails?taxnode_id=202516194&amp;ictv_id=ICTV202316194","ICTV202316194")</f>
        <v>ICTV202316194</v>
      </c>
      <c r="R10625" t="s">
        <v>581</v>
      </c>
      <c r="S10625" t="s">
        <v>823</v>
      </c>
      <c r="T10625">
        <v>39</v>
      </c>
      <c r="U10625" s="26" t="str">
        <f>HYPERLINK("https://ictv.global/ictv/proposals/2023.001B.Leviviricetes_reorg.zip","2023.001B.Leviviricetes_reorg.zip")</f>
        <v>2023.001B.Leviviricetes_reorg.zip</v>
      </c>
    </row>
    <row r="10626" spans="1:21">
      <c r="A10626">
        <v>10625</v>
      </c>
      <c r="B10626" s="27" t="s">
        <v>1124</v>
      </c>
      <c r="D10626" s="27" t="s">
        <v>1859</v>
      </c>
      <c r="F10626" s="27" t="s">
        <v>1881</v>
      </c>
      <c r="H10626" s="27" t="s">
        <v>2679</v>
      </c>
      <c r="J10626" s="27" t="s">
        <v>2680</v>
      </c>
      <c r="L10626" s="27" t="s">
        <v>2681</v>
      </c>
      <c r="N10626" s="27" t="s">
        <v>2748</v>
      </c>
      <c r="P10626" s="27" t="s">
        <v>14513</v>
      </c>
      <c r="Q10626" s="26" t="str">
        <f>HYPERLINK("https://ictv.global/taxonomy/taxondetails?taxnode_id=202516195&amp;ictv_id=ICTV202316195","ICTV202316195")</f>
        <v>ICTV202316195</v>
      </c>
      <c r="R10626" t="s">
        <v>581</v>
      </c>
      <c r="S10626" t="s">
        <v>823</v>
      </c>
      <c r="T10626">
        <v>39</v>
      </c>
      <c r="U10626" s="26" t="str">
        <f>HYPERLINK("https://ictv.global/ictv/proposals/2023.001B.Leviviricetes_reorg.zip","2023.001B.Leviviricetes_reorg.zip")</f>
        <v>2023.001B.Leviviricetes_reorg.zip</v>
      </c>
    </row>
    <row r="10627" spans="1:21">
      <c r="A10627">
        <v>10626</v>
      </c>
      <c r="B10627" s="27" t="s">
        <v>1124</v>
      </c>
      <c r="D10627" s="27" t="s">
        <v>1859</v>
      </c>
      <c r="F10627" s="27" t="s">
        <v>1881</v>
      </c>
      <c r="H10627" s="27" t="s">
        <v>2679</v>
      </c>
      <c r="J10627" s="27" t="s">
        <v>2680</v>
      </c>
      <c r="L10627" s="27" t="s">
        <v>2681</v>
      </c>
      <c r="N10627" s="27" t="s">
        <v>2754</v>
      </c>
      <c r="P10627" s="27" t="s">
        <v>2755</v>
      </c>
      <c r="Q10627" s="26" t="str">
        <f>HYPERLINK("https://ictv.global/taxonomy/taxondetails?taxnode_id=202510776&amp;ictv_id=ICTV202010776","ICTV202010776")</f>
        <v>ICTV202010776</v>
      </c>
      <c r="R10627" t="s">
        <v>581</v>
      </c>
      <c r="S10627" t="s">
        <v>823</v>
      </c>
      <c r="T10627">
        <v>36</v>
      </c>
      <c r="U10627" s="26" t="str">
        <f>HYPERLINK("https://ictv.global/ictv/proposals/2020.095B.R.Leviviricetes.zip","2020.095B.R.Leviviricetes.zip")</f>
        <v>2020.095B.R.Leviviricetes.zip</v>
      </c>
    </row>
    <row r="10628" spans="1:21">
      <c r="A10628">
        <v>10627</v>
      </c>
      <c r="B10628" s="27" t="s">
        <v>1124</v>
      </c>
      <c r="D10628" s="27" t="s">
        <v>1859</v>
      </c>
      <c r="F10628" s="27" t="s">
        <v>1881</v>
      </c>
      <c r="H10628" s="27" t="s">
        <v>2679</v>
      </c>
      <c r="J10628" s="27" t="s">
        <v>2680</v>
      </c>
      <c r="L10628" s="27" t="s">
        <v>2681</v>
      </c>
      <c r="N10628" s="27" t="s">
        <v>2756</v>
      </c>
      <c r="P10628" s="27" t="s">
        <v>14514</v>
      </c>
      <c r="Q10628" s="26" t="str">
        <f>HYPERLINK("https://ictv.global/taxonomy/taxondetails?taxnode_id=202516196&amp;ictv_id=ICTV202316196","ICTV202316196")</f>
        <v>ICTV202316196</v>
      </c>
      <c r="R10628" t="s">
        <v>581</v>
      </c>
      <c r="S10628" t="s">
        <v>823</v>
      </c>
      <c r="T10628">
        <v>39</v>
      </c>
      <c r="U10628" s="26" t="str">
        <f>HYPERLINK("https://ictv.global/ictv/proposals/2023.001B.Leviviricetes_reorg.zip","2023.001B.Leviviricetes_reorg.zip")</f>
        <v>2023.001B.Leviviricetes_reorg.zip</v>
      </c>
    </row>
    <row r="10629" spans="1:21">
      <c r="A10629">
        <v>10628</v>
      </c>
      <c r="B10629" s="27" t="s">
        <v>1124</v>
      </c>
      <c r="D10629" s="27" t="s">
        <v>1859</v>
      </c>
      <c r="F10629" s="27" t="s">
        <v>1881</v>
      </c>
      <c r="H10629" s="27" t="s">
        <v>2679</v>
      </c>
      <c r="J10629" s="27" t="s">
        <v>2680</v>
      </c>
      <c r="L10629" s="27" t="s">
        <v>2681</v>
      </c>
      <c r="N10629" s="27" t="s">
        <v>2756</v>
      </c>
      <c r="P10629" s="27" t="s">
        <v>14515</v>
      </c>
      <c r="Q10629" s="26" t="str">
        <f>HYPERLINK("https://ictv.global/taxonomy/taxondetails?taxnode_id=202516197&amp;ictv_id=ICTV202316197","ICTV202316197")</f>
        <v>ICTV202316197</v>
      </c>
      <c r="R10629" t="s">
        <v>581</v>
      </c>
      <c r="S10629" t="s">
        <v>823</v>
      </c>
      <c r="T10629">
        <v>39</v>
      </c>
      <c r="U10629" s="26" t="str">
        <f>HYPERLINK("https://ictv.global/ictv/proposals/2023.001B.Leviviricetes_reorg.zip","2023.001B.Leviviricetes_reorg.zip")</f>
        <v>2023.001B.Leviviricetes_reorg.zip</v>
      </c>
    </row>
    <row r="10630" spans="1:21">
      <c r="A10630">
        <v>10629</v>
      </c>
      <c r="B10630" s="27" t="s">
        <v>1124</v>
      </c>
      <c r="D10630" s="27" t="s">
        <v>1859</v>
      </c>
      <c r="F10630" s="27" t="s">
        <v>1881</v>
      </c>
      <c r="H10630" s="27" t="s">
        <v>2679</v>
      </c>
      <c r="J10630" s="27" t="s">
        <v>2680</v>
      </c>
      <c r="L10630" s="27" t="s">
        <v>2681</v>
      </c>
      <c r="N10630" s="27" t="s">
        <v>2756</v>
      </c>
      <c r="P10630" s="27" t="s">
        <v>2757</v>
      </c>
      <c r="Q10630" s="26" t="str">
        <f>HYPERLINK("https://ictv.global/taxonomy/taxondetails?taxnode_id=202510778&amp;ictv_id=ICTV202010778","ICTV202010778")</f>
        <v>ICTV202010778</v>
      </c>
      <c r="R10630" t="s">
        <v>581</v>
      </c>
      <c r="S10630" t="s">
        <v>823</v>
      </c>
      <c r="T10630">
        <v>36</v>
      </c>
      <c r="U10630" s="26" t="str">
        <f>HYPERLINK("https://ictv.global/ictv/proposals/2020.095B.R.Leviviricetes.zip","2020.095B.R.Leviviricetes.zip")</f>
        <v>2020.095B.R.Leviviricetes.zip</v>
      </c>
    </row>
    <row r="10631" spans="1:21">
      <c r="A10631">
        <v>10630</v>
      </c>
      <c r="B10631" s="27" t="s">
        <v>1124</v>
      </c>
      <c r="D10631" s="27" t="s">
        <v>1859</v>
      </c>
      <c r="F10631" s="27" t="s">
        <v>1881</v>
      </c>
      <c r="H10631" s="27" t="s">
        <v>2679</v>
      </c>
      <c r="J10631" s="27" t="s">
        <v>2680</v>
      </c>
      <c r="L10631" s="27" t="s">
        <v>2681</v>
      </c>
      <c r="N10631" s="27" t="s">
        <v>2756</v>
      </c>
      <c r="P10631" s="27" t="s">
        <v>14516</v>
      </c>
      <c r="Q10631" s="26" t="str">
        <f>HYPERLINK("https://ictv.global/taxonomy/taxondetails?taxnode_id=202510784&amp;ictv_id=ICTV202010784","ICTV202010784")</f>
        <v>ICTV202010784</v>
      </c>
      <c r="R10631" t="s">
        <v>581</v>
      </c>
      <c r="S10631" t="s">
        <v>22764</v>
      </c>
      <c r="T10631">
        <v>39</v>
      </c>
      <c r="U10631" s="26" t="str">
        <f>HYPERLINK("https://ictv.global/ictv/proposals/2023.001B.Leviviricetes_reorg.zip","2023.001B.Leviviricetes_reorg.zip")</f>
        <v>2023.001B.Leviviricetes_reorg.zip</v>
      </c>
    </row>
    <row r="10632" spans="1:21">
      <c r="A10632">
        <v>10631</v>
      </c>
      <c r="B10632" s="27" t="s">
        <v>1124</v>
      </c>
      <c r="D10632" s="27" t="s">
        <v>1859</v>
      </c>
      <c r="F10632" s="27" t="s">
        <v>1881</v>
      </c>
      <c r="H10632" s="27" t="s">
        <v>2679</v>
      </c>
      <c r="J10632" s="27" t="s">
        <v>2680</v>
      </c>
      <c r="L10632" s="27" t="s">
        <v>2681</v>
      </c>
      <c r="N10632" s="27" t="s">
        <v>2756</v>
      </c>
      <c r="P10632" s="27" t="s">
        <v>14517</v>
      </c>
      <c r="Q10632" s="26" t="str">
        <f>HYPERLINK("https://ictv.global/taxonomy/taxondetails?taxnode_id=202516198&amp;ictv_id=ICTV202316198","ICTV202316198")</f>
        <v>ICTV202316198</v>
      </c>
      <c r="R10632" t="s">
        <v>581</v>
      </c>
      <c r="S10632" t="s">
        <v>823</v>
      </c>
      <c r="T10632">
        <v>39</v>
      </c>
      <c r="U10632" s="26" t="str">
        <f>HYPERLINK("https://ictv.global/ictv/proposals/2023.001B.Leviviricetes_reorg.zip","2023.001B.Leviviricetes_reorg.zip")</f>
        <v>2023.001B.Leviviricetes_reorg.zip</v>
      </c>
    </row>
    <row r="10633" spans="1:21">
      <c r="A10633">
        <v>10632</v>
      </c>
      <c r="B10633" s="27" t="s">
        <v>1124</v>
      </c>
      <c r="D10633" s="27" t="s">
        <v>1859</v>
      </c>
      <c r="F10633" s="27" t="s">
        <v>1881</v>
      </c>
      <c r="H10633" s="27" t="s">
        <v>2679</v>
      </c>
      <c r="J10633" s="27" t="s">
        <v>2680</v>
      </c>
      <c r="L10633" s="27" t="s">
        <v>2681</v>
      </c>
      <c r="N10633" s="27" t="s">
        <v>2756</v>
      </c>
      <c r="P10633" s="27" t="s">
        <v>14518</v>
      </c>
      <c r="Q10633" s="26" t="str">
        <f>HYPERLINK("https://ictv.global/taxonomy/taxondetails?taxnode_id=202516199&amp;ictv_id=ICTV202316199","ICTV202316199")</f>
        <v>ICTV202316199</v>
      </c>
      <c r="R10633" t="s">
        <v>581</v>
      </c>
      <c r="S10633" t="s">
        <v>823</v>
      </c>
      <c r="T10633">
        <v>39</v>
      </c>
      <c r="U10633" s="26" t="str">
        <f>HYPERLINK("https://ictv.global/ictv/proposals/2023.001B.Leviviricetes_reorg.zip","2023.001B.Leviviricetes_reorg.zip")</f>
        <v>2023.001B.Leviviricetes_reorg.zip</v>
      </c>
    </row>
    <row r="10634" spans="1:21">
      <c r="A10634">
        <v>10633</v>
      </c>
      <c r="B10634" s="27" t="s">
        <v>1124</v>
      </c>
      <c r="D10634" s="27" t="s">
        <v>1859</v>
      </c>
      <c r="F10634" s="27" t="s">
        <v>1881</v>
      </c>
      <c r="H10634" s="27" t="s">
        <v>2679</v>
      </c>
      <c r="J10634" s="27" t="s">
        <v>2680</v>
      </c>
      <c r="L10634" s="27" t="s">
        <v>2681</v>
      </c>
      <c r="N10634" s="27" t="s">
        <v>2756</v>
      </c>
      <c r="P10634" s="27" t="s">
        <v>14519</v>
      </c>
      <c r="Q10634" s="26" t="str">
        <f>HYPERLINK("https://ictv.global/taxonomy/taxondetails?taxnode_id=202516200&amp;ictv_id=ICTV202316200","ICTV202316200")</f>
        <v>ICTV202316200</v>
      </c>
      <c r="R10634" t="s">
        <v>581</v>
      </c>
      <c r="S10634" t="s">
        <v>823</v>
      </c>
      <c r="T10634">
        <v>39</v>
      </c>
      <c r="U10634" s="26" t="str">
        <f>HYPERLINK("https://ictv.global/ictv/proposals/2023.001B.Leviviricetes_reorg.zip","2023.001B.Leviviricetes_reorg.zip")</f>
        <v>2023.001B.Leviviricetes_reorg.zip</v>
      </c>
    </row>
    <row r="10635" spans="1:21">
      <c r="A10635">
        <v>10634</v>
      </c>
      <c r="B10635" s="27" t="s">
        <v>1124</v>
      </c>
      <c r="D10635" s="27" t="s">
        <v>1859</v>
      </c>
      <c r="F10635" s="27" t="s">
        <v>1881</v>
      </c>
      <c r="H10635" s="27" t="s">
        <v>2679</v>
      </c>
      <c r="J10635" s="27" t="s">
        <v>2680</v>
      </c>
      <c r="L10635" s="27" t="s">
        <v>2681</v>
      </c>
      <c r="N10635" s="27" t="s">
        <v>2758</v>
      </c>
      <c r="P10635" s="27" t="s">
        <v>2759</v>
      </c>
      <c r="Q10635" s="26" t="str">
        <f>HYPERLINK("https://ictv.global/taxonomy/taxondetails?taxnode_id=202510780&amp;ictv_id=ICTV202010780","ICTV202010780")</f>
        <v>ICTV202010780</v>
      </c>
      <c r="R10635" t="s">
        <v>581</v>
      </c>
      <c r="S10635" t="s">
        <v>823</v>
      </c>
      <c r="T10635">
        <v>36</v>
      </c>
      <c r="U10635" s="26" t="str">
        <f t="shared" ref="U10635:U10640" si="390">HYPERLINK("https://ictv.global/ictv/proposals/2020.095B.R.Leviviricetes.zip","2020.095B.R.Leviviricetes.zip")</f>
        <v>2020.095B.R.Leviviricetes.zip</v>
      </c>
    </row>
    <row r="10636" spans="1:21">
      <c r="A10636">
        <v>10635</v>
      </c>
      <c r="B10636" s="27" t="s">
        <v>1124</v>
      </c>
      <c r="D10636" s="27" t="s">
        <v>1859</v>
      </c>
      <c r="F10636" s="27" t="s">
        <v>1881</v>
      </c>
      <c r="H10636" s="27" t="s">
        <v>2679</v>
      </c>
      <c r="J10636" s="27" t="s">
        <v>2680</v>
      </c>
      <c r="L10636" s="27" t="s">
        <v>2681</v>
      </c>
      <c r="N10636" s="27" t="s">
        <v>2760</v>
      </c>
      <c r="P10636" s="27" t="s">
        <v>2761</v>
      </c>
      <c r="Q10636" s="26" t="str">
        <f>HYPERLINK("https://ictv.global/taxonomy/taxondetails?taxnode_id=202510782&amp;ictv_id=ICTV202010782","ICTV202010782")</f>
        <v>ICTV202010782</v>
      </c>
      <c r="R10636" t="s">
        <v>581</v>
      </c>
      <c r="S10636" t="s">
        <v>823</v>
      </c>
      <c r="T10636">
        <v>36</v>
      </c>
      <c r="U10636" s="26" t="str">
        <f t="shared" si="390"/>
        <v>2020.095B.R.Leviviricetes.zip</v>
      </c>
    </row>
    <row r="10637" spans="1:21">
      <c r="A10637">
        <v>10636</v>
      </c>
      <c r="B10637" s="27" t="s">
        <v>1124</v>
      </c>
      <c r="D10637" s="27" t="s">
        <v>1859</v>
      </c>
      <c r="F10637" s="27" t="s">
        <v>1881</v>
      </c>
      <c r="H10637" s="27" t="s">
        <v>2679</v>
      </c>
      <c r="J10637" s="27" t="s">
        <v>2680</v>
      </c>
      <c r="L10637" s="27" t="s">
        <v>2681</v>
      </c>
      <c r="N10637" s="27" t="s">
        <v>2762</v>
      </c>
      <c r="P10637" s="27" t="s">
        <v>2763</v>
      </c>
      <c r="Q10637" s="26" t="str">
        <f>HYPERLINK("https://ictv.global/taxonomy/taxondetails?taxnode_id=202510786&amp;ictv_id=ICTV202010786","ICTV202010786")</f>
        <v>ICTV202010786</v>
      </c>
      <c r="R10637" t="s">
        <v>581</v>
      </c>
      <c r="S10637" t="s">
        <v>823</v>
      </c>
      <c r="T10637">
        <v>36</v>
      </c>
      <c r="U10637" s="26" t="str">
        <f t="shared" si="390"/>
        <v>2020.095B.R.Leviviricetes.zip</v>
      </c>
    </row>
    <row r="10638" spans="1:21">
      <c r="A10638">
        <v>10637</v>
      </c>
      <c r="B10638" s="27" t="s">
        <v>1124</v>
      </c>
      <c r="D10638" s="27" t="s">
        <v>1859</v>
      </c>
      <c r="F10638" s="27" t="s">
        <v>1881</v>
      </c>
      <c r="H10638" s="27" t="s">
        <v>2679</v>
      </c>
      <c r="J10638" s="27" t="s">
        <v>2680</v>
      </c>
      <c r="L10638" s="27" t="s">
        <v>2681</v>
      </c>
      <c r="N10638" s="27" t="s">
        <v>2764</v>
      </c>
      <c r="P10638" s="27" t="s">
        <v>2765</v>
      </c>
      <c r="Q10638" s="26" t="str">
        <f>HYPERLINK("https://ictv.global/taxonomy/taxondetails?taxnode_id=202510788&amp;ictv_id=ICTV202010788","ICTV202010788")</f>
        <v>ICTV202010788</v>
      </c>
      <c r="R10638" t="s">
        <v>581</v>
      </c>
      <c r="S10638" t="s">
        <v>823</v>
      </c>
      <c r="T10638">
        <v>36</v>
      </c>
      <c r="U10638" s="26" t="str">
        <f t="shared" si="390"/>
        <v>2020.095B.R.Leviviricetes.zip</v>
      </c>
    </row>
    <row r="10639" spans="1:21">
      <c r="A10639">
        <v>10638</v>
      </c>
      <c r="B10639" s="27" t="s">
        <v>1124</v>
      </c>
      <c r="D10639" s="27" t="s">
        <v>1859</v>
      </c>
      <c r="F10639" s="27" t="s">
        <v>1881</v>
      </c>
      <c r="H10639" s="27" t="s">
        <v>2679</v>
      </c>
      <c r="J10639" s="27" t="s">
        <v>2680</v>
      </c>
      <c r="L10639" s="27" t="s">
        <v>2681</v>
      </c>
      <c r="N10639" s="27" t="s">
        <v>2766</v>
      </c>
      <c r="P10639" s="27" t="s">
        <v>2767</v>
      </c>
      <c r="Q10639" s="26" t="str">
        <f>HYPERLINK("https://ictv.global/taxonomy/taxondetails?taxnode_id=202510790&amp;ictv_id=ICTV202010790","ICTV202010790")</f>
        <v>ICTV202010790</v>
      </c>
      <c r="R10639" t="s">
        <v>581</v>
      </c>
      <c r="S10639" t="s">
        <v>823</v>
      </c>
      <c r="T10639">
        <v>36</v>
      </c>
      <c r="U10639" s="26" t="str">
        <f t="shared" si="390"/>
        <v>2020.095B.R.Leviviricetes.zip</v>
      </c>
    </row>
    <row r="10640" spans="1:21">
      <c r="A10640">
        <v>10639</v>
      </c>
      <c r="B10640" s="27" t="s">
        <v>1124</v>
      </c>
      <c r="D10640" s="27" t="s">
        <v>1859</v>
      </c>
      <c r="F10640" s="27" t="s">
        <v>1881</v>
      </c>
      <c r="H10640" s="27" t="s">
        <v>2679</v>
      </c>
      <c r="J10640" s="27" t="s">
        <v>2680</v>
      </c>
      <c r="L10640" s="27" t="s">
        <v>2681</v>
      </c>
      <c r="N10640" s="27" t="s">
        <v>2768</v>
      </c>
      <c r="P10640" s="27" t="s">
        <v>2769</v>
      </c>
      <c r="Q10640" s="26" t="str">
        <f>HYPERLINK("https://ictv.global/taxonomy/taxondetails?taxnode_id=202510792&amp;ictv_id=ICTV202010792","ICTV202010792")</f>
        <v>ICTV202010792</v>
      </c>
      <c r="R10640" t="s">
        <v>581</v>
      </c>
      <c r="S10640" t="s">
        <v>823</v>
      </c>
      <c r="T10640">
        <v>36</v>
      </c>
      <c r="U10640" s="26" t="str">
        <f t="shared" si="390"/>
        <v>2020.095B.R.Leviviricetes.zip</v>
      </c>
    </row>
    <row r="10641" spans="1:21">
      <c r="A10641">
        <v>10640</v>
      </c>
      <c r="B10641" s="27" t="s">
        <v>1124</v>
      </c>
      <c r="D10641" s="27" t="s">
        <v>1859</v>
      </c>
      <c r="F10641" s="27" t="s">
        <v>1881</v>
      </c>
      <c r="H10641" s="27" t="s">
        <v>2679</v>
      </c>
      <c r="J10641" s="27" t="s">
        <v>2680</v>
      </c>
      <c r="L10641" s="27" t="s">
        <v>2681</v>
      </c>
      <c r="N10641" s="27" t="s">
        <v>2768</v>
      </c>
      <c r="P10641" s="27" t="s">
        <v>14520</v>
      </c>
      <c r="Q10641" s="26" t="str">
        <f>HYPERLINK("https://ictv.global/taxonomy/taxondetails?taxnode_id=202516201&amp;ictv_id=ICTV202316201","ICTV202316201")</f>
        <v>ICTV202316201</v>
      </c>
      <c r="R10641" t="s">
        <v>581</v>
      </c>
      <c r="S10641" t="s">
        <v>823</v>
      </c>
      <c r="T10641">
        <v>39</v>
      </c>
      <c r="U10641" s="26" t="str">
        <f>HYPERLINK("https://ictv.global/ictv/proposals/2023.001B.Leviviricetes_reorg.zip","2023.001B.Leviviricetes_reorg.zip")</f>
        <v>2023.001B.Leviviricetes_reorg.zip</v>
      </c>
    </row>
    <row r="10642" spans="1:21">
      <c r="A10642">
        <v>10641</v>
      </c>
      <c r="B10642" s="27" t="s">
        <v>1124</v>
      </c>
      <c r="D10642" s="27" t="s">
        <v>1859</v>
      </c>
      <c r="F10642" s="27" t="s">
        <v>1881</v>
      </c>
      <c r="H10642" s="27" t="s">
        <v>2679</v>
      </c>
      <c r="J10642" s="27" t="s">
        <v>2680</v>
      </c>
      <c r="L10642" s="27" t="s">
        <v>2681</v>
      </c>
      <c r="N10642" s="27" t="s">
        <v>2768</v>
      </c>
      <c r="P10642" s="27" t="s">
        <v>2770</v>
      </c>
      <c r="Q10642" s="26" t="str">
        <f>HYPERLINK("https://ictv.global/taxonomy/taxondetails?taxnode_id=202510793&amp;ictv_id=ICTV202010793","ICTV202010793")</f>
        <v>ICTV202010793</v>
      </c>
      <c r="R10642" t="s">
        <v>581</v>
      </c>
      <c r="S10642" t="s">
        <v>823</v>
      </c>
      <c r="T10642">
        <v>36</v>
      </c>
      <c r="U10642" s="26" t="str">
        <f>HYPERLINK("https://ictv.global/ictv/proposals/2020.095B.R.Leviviricetes.zip","2020.095B.R.Leviviricetes.zip")</f>
        <v>2020.095B.R.Leviviricetes.zip</v>
      </c>
    </row>
    <row r="10643" spans="1:21">
      <c r="A10643">
        <v>10642</v>
      </c>
      <c r="B10643" s="27" t="s">
        <v>1124</v>
      </c>
      <c r="D10643" s="27" t="s">
        <v>1859</v>
      </c>
      <c r="F10643" s="27" t="s">
        <v>1881</v>
      </c>
      <c r="H10643" s="27" t="s">
        <v>2679</v>
      </c>
      <c r="J10643" s="27" t="s">
        <v>2680</v>
      </c>
      <c r="L10643" s="27" t="s">
        <v>2681</v>
      </c>
      <c r="N10643" s="27" t="s">
        <v>2768</v>
      </c>
      <c r="P10643" s="27" t="s">
        <v>2771</v>
      </c>
      <c r="Q10643" s="26" t="str">
        <f>HYPERLINK("https://ictv.global/taxonomy/taxondetails?taxnode_id=202510794&amp;ictv_id=ICTV202010794","ICTV202010794")</f>
        <v>ICTV202010794</v>
      </c>
      <c r="R10643" t="s">
        <v>581</v>
      </c>
      <c r="S10643" t="s">
        <v>823</v>
      </c>
      <c r="T10643">
        <v>36</v>
      </c>
      <c r="U10643" s="26" t="str">
        <f>HYPERLINK("https://ictv.global/ictv/proposals/2020.095B.R.Leviviricetes.zip","2020.095B.R.Leviviricetes.zip")</f>
        <v>2020.095B.R.Leviviricetes.zip</v>
      </c>
    </row>
    <row r="10644" spans="1:21">
      <c r="A10644">
        <v>10643</v>
      </c>
      <c r="B10644" s="27" t="s">
        <v>1124</v>
      </c>
      <c r="D10644" s="27" t="s">
        <v>1859</v>
      </c>
      <c r="F10644" s="27" t="s">
        <v>1881</v>
      </c>
      <c r="H10644" s="27" t="s">
        <v>2679</v>
      </c>
      <c r="J10644" s="27" t="s">
        <v>2680</v>
      </c>
      <c r="L10644" s="27" t="s">
        <v>2681</v>
      </c>
      <c r="N10644" s="27" t="s">
        <v>2768</v>
      </c>
      <c r="P10644" s="27" t="s">
        <v>14521</v>
      </c>
      <c r="Q10644" s="26" t="str">
        <f>HYPERLINK("https://ictv.global/taxonomy/taxondetails?taxnode_id=202516202&amp;ictv_id=ICTV202316202","ICTV202316202")</f>
        <v>ICTV202316202</v>
      </c>
      <c r="R10644" t="s">
        <v>581</v>
      </c>
      <c r="S10644" t="s">
        <v>823</v>
      </c>
      <c r="T10644">
        <v>39</v>
      </c>
      <c r="U10644" s="26" t="str">
        <f>HYPERLINK("https://ictv.global/ictv/proposals/2023.001B.Leviviricetes_reorg.zip","2023.001B.Leviviricetes_reorg.zip")</f>
        <v>2023.001B.Leviviricetes_reorg.zip</v>
      </c>
    </row>
    <row r="10645" spans="1:21">
      <c r="A10645">
        <v>10644</v>
      </c>
      <c r="B10645" s="27" t="s">
        <v>1124</v>
      </c>
      <c r="D10645" s="27" t="s">
        <v>1859</v>
      </c>
      <c r="F10645" s="27" t="s">
        <v>1881</v>
      </c>
      <c r="H10645" s="27" t="s">
        <v>2679</v>
      </c>
      <c r="J10645" s="27" t="s">
        <v>2680</v>
      </c>
      <c r="L10645" s="27" t="s">
        <v>2681</v>
      </c>
      <c r="N10645" s="27" t="s">
        <v>2768</v>
      </c>
      <c r="P10645" s="27" t="s">
        <v>14522</v>
      </c>
      <c r="Q10645" s="26" t="str">
        <f>HYPERLINK("https://ictv.global/taxonomy/taxondetails?taxnode_id=202510823&amp;ictv_id=ICTV202010823","ICTV202010823")</f>
        <v>ICTV202010823</v>
      </c>
      <c r="R10645" t="s">
        <v>581</v>
      </c>
      <c r="S10645" t="s">
        <v>22764</v>
      </c>
      <c r="T10645">
        <v>39</v>
      </c>
      <c r="U10645" s="26" t="str">
        <f>HYPERLINK("https://ictv.global/ictv/proposals/2023.001B.Leviviricetes_reorg.zip","2023.001B.Leviviricetes_reorg.zip")</f>
        <v>2023.001B.Leviviricetes_reorg.zip</v>
      </c>
    </row>
    <row r="10646" spans="1:21">
      <c r="A10646">
        <v>10645</v>
      </c>
      <c r="B10646" s="27" t="s">
        <v>1124</v>
      </c>
      <c r="D10646" s="27" t="s">
        <v>1859</v>
      </c>
      <c r="F10646" s="27" t="s">
        <v>1881</v>
      </c>
      <c r="H10646" s="27" t="s">
        <v>2679</v>
      </c>
      <c r="J10646" s="27" t="s">
        <v>2680</v>
      </c>
      <c r="L10646" s="27" t="s">
        <v>2681</v>
      </c>
      <c r="N10646" s="27" t="s">
        <v>2768</v>
      </c>
      <c r="P10646" s="27" t="s">
        <v>14523</v>
      </c>
      <c r="Q10646" s="26" t="str">
        <f>HYPERLINK("https://ictv.global/taxonomy/taxondetails?taxnode_id=202516203&amp;ictv_id=ICTV202316203","ICTV202316203")</f>
        <v>ICTV202316203</v>
      </c>
      <c r="R10646" t="s">
        <v>581</v>
      </c>
      <c r="S10646" t="s">
        <v>823</v>
      </c>
      <c r="T10646">
        <v>39</v>
      </c>
      <c r="U10646" s="26" t="str">
        <f>HYPERLINK("https://ictv.global/ictv/proposals/2023.001B.Leviviricetes_reorg.zip","2023.001B.Leviviricetes_reorg.zip")</f>
        <v>2023.001B.Leviviricetes_reorg.zip</v>
      </c>
    </row>
    <row r="10647" spans="1:21">
      <c r="A10647">
        <v>10646</v>
      </c>
      <c r="B10647" s="27" t="s">
        <v>1124</v>
      </c>
      <c r="D10647" s="27" t="s">
        <v>1859</v>
      </c>
      <c r="F10647" s="27" t="s">
        <v>1881</v>
      </c>
      <c r="H10647" s="27" t="s">
        <v>2679</v>
      </c>
      <c r="J10647" s="27" t="s">
        <v>2680</v>
      </c>
      <c r="L10647" s="27" t="s">
        <v>2681</v>
      </c>
      <c r="N10647" s="27" t="s">
        <v>2772</v>
      </c>
      <c r="P10647" s="27" t="s">
        <v>2773</v>
      </c>
      <c r="Q10647" s="26" t="str">
        <f>HYPERLINK("https://ictv.global/taxonomy/taxondetails?taxnode_id=202510796&amp;ictv_id=ICTV202010796","ICTV202010796")</f>
        <v>ICTV202010796</v>
      </c>
      <c r="R10647" t="s">
        <v>581</v>
      </c>
      <c r="S10647" t="s">
        <v>823</v>
      </c>
      <c r="T10647">
        <v>36</v>
      </c>
      <c r="U10647" s="26" t="str">
        <f t="shared" ref="U10647:U10653" si="391">HYPERLINK("https://ictv.global/ictv/proposals/2020.095B.R.Leviviricetes.zip","2020.095B.R.Leviviricetes.zip")</f>
        <v>2020.095B.R.Leviviricetes.zip</v>
      </c>
    </row>
    <row r="10648" spans="1:21">
      <c r="A10648">
        <v>10647</v>
      </c>
      <c r="B10648" s="27" t="s">
        <v>1124</v>
      </c>
      <c r="D10648" s="27" t="s">
        <v>1859</v>
      </c>
      <c r="F10648" s="27" t="s">
        <v>1881</v>
      </c>
      <c r="H10648" s="27" t="s">
        <v>2679</v>
      </c>
      <c r="J10648" s="27" t="s">
        <v>2680</v>
      </c>
      <c r="L10648" s="27" t="s">
        <v>2681</v>
      </c>
      <c r="N10648" s="27" t="s">
        <v>2772</v>
      </c>
      <c r="P10648" s="27" t="s">
        <v>2774</v>
      </c>
      <c r="Q10648" s="26" t="str">
        <f>HYPERLINK("https://ictv.global/taxonomy/taxondetails?taxnode_id=202510797&amp;ictv_id=ICTV202010797","ICTV202010797")</f>
        <v>ICTV202010797</v>
      </c>
      <c r="R10648" t="s">
        <v>581</v>
      </c>
      <c r="S10648" t="s">
        <v>823</v>
      </c>
      <c r="T10648">
        <v>36</v>
      </c>
      <c r="U10648" s="26" t="str">
        <f t="shared" si="391"/>
        <v>2020.095B.R.Leviviricetes.zip</v>
      </c>
    </row>
    <row r="10649" spans="1:21">
      <c r="A10649">
        <v>10648</v>
      </c>
      <c r="B10649" s="27" t="s">
        <v>1124</v>
      </c>
      <c r="D10649" s="27" t="s">
        <v>1859</v>
      </c>
      <c r="F10649" s="27" t="s">
        <v>1881</v>
      </c>
      <c r="H10649" s="27" t="s">
        <v>2679</v>
      </c>
      <c r="J10649" s="27" t="s">
        <v>2680</v>
      </c>
      <c r="L10649" s="27" t="s">
        <v>2681</v>
      </c>
      <c r="N10649" s="27" t="s">
        <v>2775</v>
      </c>
      <c r="P10649" s="27" t="s">
        <v>2776</v>
      </c>
      <c r="Q10649" s="26" t="str">
        <f>HYPERLINK("https://ictv.global/taxonomy/taxondetails?taxnode_id=202510799&amp;ictv_id=ICTV202010799","ICTV202010799")</f>
        <v>ICTV202010799</v>
      </c>
      <c r="R10649" t="s">
        <v>581</v>
      </c>
      <c r="S10649" t="s">
        <v>823</v>
      </c>
      <c r="T10649">
        <v>36</v>
      </c>
      <c r="U10649" s="26" t="str">
        <f t="shared" si="391"/>
        <v>2020.095B.R.Leviviricetes.zip</v>
      </c>
    </row>
    <row r="10650" spans="1:21">
      <c r="A10650">
        <v>10649</v>
      </c>
      <c r="B10650" s="27" t="s">
        <v>1124</v>
      </c>
      <c r="D10650" s="27" t="s">
        <v>1859</v>
      </c>
      <c r="F10650" s="27" t="s">
        <v>1881</v>
      </c>
      <c r="H10650" s="27" t="s">
        <v>2679</v>
      </c>
      <c r="J10650" s="27" t="s">
        <v>2680</v>
      </c>
      <c r="L10650" s="27" t="s">
        <v>2681</v>
      </c>
      <c r="N10650" s="27" t="s">
        <v>2777</v>
      </c>
      <c r="P10650" s="27" t="s">
        <v>2778</v>
      </c>
      <c r="Q10650" s="26" t="str">
        <f>HYPERLINK("https://ictv.global/taxonomy/taxondetails?taxnode_id=202510817&amp;ictv_id=ICTV202010817","ICTV202010817")</f>
        <v>ICTV202010817</v>
      </c>
      <c r="R10650" t="s">
        <v>581</v>
      </c>
      <c r="S10650" t="s">
        <v>823</v>
      </c>
      <c r="T10650">
        <v>36</v>
      </c>
      <c r="U10650" s="26" t="str">
        <f t="shared" si="391"/>
        <v>2020.095B.R.Leviviricetes.zip</v>
      </c>
    </row>
    <row r="10651" spans="1:21">
      <c r="A10651">
        <v>10650</v>
      </c>
      <c r="B10651" s="27" t="s">
        <v>1124</v>
      </c>
      <c r="D10651" s="27" t="s">
        <v>1859</v>
      </c>
      <c r="F10651" s="27" t="s">
        <v>1881</v>
      </c>
      <c r="H10651" s="27" t="s">
        <v>2679</v>
      </c>
      <c r="J10651" s="27" t="s">
        <v>2680</v>
      </c>
      <c r="L10651" s="27" t="s">
        <v>2681</v>
      </c>
      <c r="N10651" s="27" t="s">
        <v>2779</v>
      </c>
      <c r="P10651" s="27" t="s">
        <v>2780</v>
      </c>
      <c r="Q10651" s="26" t="str">
        <f>HYPERLINK("https://ictv.global/taxonomy/taxondetails?taxnode_id=202510821&amp;ictv_id=ICTV202010821","ICTV202010821")</f>
        <v>ICTV202010821</v>
      </c>
      <c r="R10651" t="s">
        <v>581</v>
      </c>
      <c r="S10651" t="s">
        <v>823</v>
      </c>
      <c r="T10651">
        <v>36</v>
      </c>
      <c r="U10651" s="26" t="str">
        <f t="shared" si="391"/>
        <v>2020.095B.R.Leviviricetes.zip</v>
      </c>
    </row>
    <row r="10652" spans="1:21">
      <c r="A10652">
        <v>10651</v>
      </c>
      <c r="B10652" s="27" t="s">
        <v>1124</v>
      </c>
      <c r="D10652" s="27" t="s">
        <v>1859</v>
      </c>
      <c r="F10652" s="27" t="s">
        <v>1881</v>
      </c>
      <c r="H10652" s="27" t="s">
        <v>2679</v>
      </c>
      <c r="J10652" s="27" t="s">
        <v>2680</v>
      </c>
      <c r="L10652" s="27" t="s">
        <v>2681</v>
      </c>
      <c r="N10652" s="27" t="s">
        <v>2781</v>
      </c>
      <c r="P10652" s="27" t="s">
        <v>2782</v>
      </c>
      <c r="Q10652" s="26" t="str">
        <f>HYPERLINK("https://ictv.global/taxonomy/taxondetails?taxnode_id=202510826&amp;ictv_id=ICTV202010826","ICTV202010826")</f>
        <v>ICTV202010826</v>
      </c>
      <c r="R10652" t="s">
        <v>581</v>
      </c>
      <c r="S10652" t="s">
        <v>823</v>
      </c>
      <c r="T10652">
        <v>36</v>
      </c>
      <c r="U10652" s="26" t="str">
        <f t="shared" si="391"/>
        <v>2020.095B.R.Leviviricetes.zip</v>
      </c>
    </row>
    <row r="10653" spans="1:21">
      <c r="A10653">
        <v>10652</v>
      </c>
      <c r="B10653" s="27" t="s">
        <v>1124</v>
      </c>
      <c r="D10653" s="27" t="s">
        <v>1859</v>
      </c>
      <c r="F10653" s="27" t="s">
        <v>1881</v>
      </c>
      <c r="H10653" s="27" t="s">
        <v>2679</v>
      </c>
      <c r="J10653" s="27" t="s">
        <v>2680</v>
      </c>
      <c r="L10653" s="27" t="s">
        <v>2681</v>
      </c>
      <c r="N10653" s="27" t="s">
        <v>2781</v>
      </c>
      <c r="P10653" s="27" t="s">
        <v>2783</v>
      </c>
      <c r="Q10653" s="26" t="str">
        <f>HYPERLINK("https://ictv.global/taxonomy/taxondetails?taxnode_id=202510825&amp;ictv_id=ICTV202010825","ICTV202010825")</f>
        <v>ICTV202010825</v>
      </c>
      <c r="R10653" t="s">
        <v>581</v>
      </c>
      <c r="S10653" t="s">
        <v>823</v>
      </c>
      <c r="T10653">
        <v>36</v>
      </c>
      <c r="U10653" s="26" t="str">
        <f t="shared" si="391"/>
        <v>2020.095B.R.Leviviricetes.zip</v>
      </c>
    </row>
    <row r="10654" spans="1:21">
      <c r="A10654">
        <v>10653</v>
      </c>
      <c r="B10654" s="27" t="s">
        <v>1124</v>
      </c>
      <c r="D10654" s="27" t="s">
        <v>1859</v>
      </c>
      <c r="F10654" s="27" t="s">
        <v>1881</v>
      </c>
      <c r="H10654" s="27" t="s">
        <v>2679</v>
      </c>
      <c r="J10654" s="27" t="s">
        <v>2680</v>
      </c>
      <c r="L10654" s="27" t="s">
        <v>2681</v>
      </c>
      <c r="N10654" s="27" t="s">
        <v>2784</v>
      </c>
      <c r="P10654" s="27" t="s">
        <v>14524</v>
      </c>
      <c r="Q10654" s="26" t="str">
        <f>HYPERLINK("https://ictv.global/taxonomy/taxondetails?taxnode_id=202516204&amp;ictv_id=ICTV202316204","ICTV202316204")</f>
        <v>ICTV202316204</v>
      </c>
      <c r="R10654" t="s">
        <v>581</v>
      </c>
      <c r="S10654" t="s">
        <v>823</v>
      </c>
      <c r="T10654">
        <v>39</v>
      </c>
      <c r="U10654" s="26" t="str">
        <f>HYPERLINK("https://ictv.global/ictv/proposals/2023.001B.Leviviricetes_reorg.zip","2023.001B.Leviviricetes_reorg.zip")</f>
        <v>2023.001B.Leviviricetes_reorg.zip</v>
      </c>
    </row>
    <row r="10655" spans="1:21">
      <c r="A10655">
        <v>10654</v>
      </c>
      <c r="B10655" s="27" t="s">
        <v>1124</v>
      </c>
      <c r="D10655" s="27" t="s">
        <v>1859</v>
      </c>
      <c r="F10655" s="27" t="s">
        <v>1881</v>
      </c>
      <c r="H10655" s="27" t="s">
        <v>2679</v>
      </c>
      <c r="J10655" s="27" t="s">
        <v>2680</v>
      </c>
      <c r="L10655" s="27" t="s">
        <v>2681</v>
      </c>
      <c r="N10655" s="27" t="s">
        <v>2784</v>
      </c>
      <c r="P10655" s="27" t="s">
        <v>2785</v>
      </c>
      <c r="Q10655" s="26" t="str">
        <f>HYPERLINK("https://ictv.global/taxonomy/taxondetails?taxnode_id=202510830&amp;ictv_id=ICTV202010830","ICTV202010830")</f>
        <v>ICTV202010830</v>
      </c>
      <c r="R10655" t="s">
        <v>581</v>
      </c>
      <c r="S10655" t="s">
        <v>823</v>
      </c>
      <c r="T10655">
        <v>36</v>
      </c>
      <c r="U10655" s="26" t="str">
        <f>HYPERLINK("https://ictv.global/ictv/proposals/2020.095B.R.Leviviricetes.zip","2020.095B.R.Leviviricetes.zip")</f>
        <v>2020.095B.R.Leviviricetes.zip</v>
      </c>
    </row>
    <row r="10656" spans="1:21">
      <c r="A10656">
        <v>10655</v>
      </c>
      <c r="B10656" s="27" t="s">
        <v>1124</v>
      </c>
      <c r="D10656" s="27" t="s">
        <v>1859</v>
      </c>
      <c r="F10656" s="27" t="s">
        <v>1881</v>
      </c>
      <c r="H10656" s="27" t="s">
        <v>2679</v>
      </c>
      <c r="J10656" s="27" t="s">
        <v>2680</v>
      </c>
      <c r="L10656" s="27" t="s">
        <v>2681</v>
      </c>
      <c r="N10656" s="27" t="s">
        <v>2786</v>
      </c>
      <c r="P10656" s="27" t="s">
        <v>2787</v>
      </c>
      <c r="Q10656" s="26" t="str">
        <f>HYPERLINK("https://ictv.global/taxonomy/taxondetails?taxnode_id=202510832&amp;ictv_id=ICTV202010832","ICTV202010832")</f>
        <v>ICTV202010832</v>
      </c>
      <c r="R10656" t="s">
        <v>581</v>
      </c>
      <c r="S10656" t="s">
        <v>823</v>
      </c>
      <c r="T10656">
        <v>36</v>
      </c>
      <c r="U10656" s="26" t="str">
        <f>HYPERLINK("https://ictv.global/ictv/proposals/2020.095B.R.Leviviricetes.zip","2020.095B.R.Leviviricetes.zip")</f>
        <v>2020.095B.R.Leviviricetes.zip</v>
      </c>
    </row>
    <row r="10657" spans="1:21">
      <c r="A10657">
        <v>10656</v>
      </c>
      <c r="B10657" s="27" t="s">
        <v>1124</v>
      </c>
      <c r="D10657" s="27" t="s">
        <v>1859</v>
      </c>
      <c r="F10657" s="27" t="s">
        <v>1881</v>
      </c>
      <c r="H10657" s="27" t="s">
        <v>2679</v>
      </c>
      <c r="J10657" s="27" t="s">
        <v>2680</v>
      </c>
      <c r="L10657" s="27" t="s">
        <v>2681</v>
      </c>
      <c r="N10657" s="27" t="s">
        <v>2788</v>
      </c>
      <c r="P10657" s="27" t="s">
        <v>2789</v>
      </c>
      <c r="Q10657" s="26" t="str">
        <f>HYPERLINK("https://ictv.global/taxonomy/taxondetails?taxnode_id=202510834&amp;ictv_id=ICTV202010834","ICTV202010834")</f>
        <v>ICTV202010834</v>
      </c>
      <c r="R10657" t="s">
        <v>581</v>
      </c>
      <c r="S10657" t="s">
        <v>823</v>
      </c>
      <c r="T10657">
        <v>36</v>
      </c>
      <c r="U10657" s="26" t="str">
        <f>HYPERLINK("https://ictv.global/ictv/proposals/2020.095B.R.Leviviricetes.zip","2020.095B.R.Leviviricetes.zip")</f>
        <v>2020.095B.R.Leviviricetes.zip</v>
      </c>
    </row>
    <row r="10658" spans="1:21">
      <c r="A10658">
        <v>10657</v>
      </c>
      <c r="B10658" s="27" t="s">
        <v>1124</v>
      </c>
      <c r="D10658" s="27" t="s">
        <v>1859</v>
      </c>
      <c r="F10658" s="27" t="s">
        <v>1881</v>
      </c>
      <c r="H10658" s="27" t="s">
        <v>2679</v>
      </c>
      <c r="J10658" s="27" t="s">
        <v>2680</v>
      </c>
      <c r="L10658" s="27" t="s">
        <v>2681</v>
      </c>
      <c r="N10658" s="27" t="s">
        <v>2790</v>
      </c>
      <c r="P10658" s="27" t="s">
        <v>2791</v>
      </c>
      <c r="Q10658" s="26" t="str">
        <f>HYPERLINK("https://ictv.global/taxonomy/taxondetails?taxnode_id=202510836&amp;ictv_id=ICTV202010836","ICTV202010836")</f>
        <v>ICTV202010836</v>
      </c>
      <c r="R10658" t="s">
        <v>581</v>
      </c>
      <c r="S10658" t="s">
        <v>823</v>
      </c>
      <c r="T10658">
        <v>36</v>
      </c>
      <c r="U10658" s="26" t="str">
        <f>HYPERLINK("https://ictv.global/ictv/proposals/2020.095B.R.Leviviricetes.zip","2020.095B.R.Leviviricetes.zip")</f>
        <v>2020.095B.R.Leviviricetes.zip</v>
      </c>
    </row>
    <row r="10659" spans="1:21">
      <c r="A10659">
        <v>10658</v>
      </c>
      <c r="B10659" s="27" t="s">
        <v>1124</v>
      </c>
      <c r="D10659" s="27" t="s">
        <v>1859</v>
      </c>
      <c r="F10659" s="27" t="s">
        <v>1881</v>
      </c>
      <c r="H10659" s="27" t="s">
        <v>2679</v>
      </c>
      <c r="J10659" s="27" t="s">
        <v>2680</v>
      </c>
      <c r="L10659" s="27" t="s">
        <v>2681</v>
      </c>
      <c r="N10659" s="27" t="s">
        <v>2792</v>
      </c>
      <c r="P10659" s="27" t="s">
        <v>14525</v>
      </c>
      <c r="Q10659" s="26" t="str">
        <f>HYPERLINK("https://ictv.global/taxonomy/taxondetails?taxnode_id=202516205&amp;ictv_id=ICTV202316205","ICTV202316205")</f>
        <v>ICTV202316205</v>
      </c>
      <c r="R10659" t="s">
        <v>581</v>
      </c>
      <c r="S10659" t="s">
        <v>823</v>
      </c>
      <c r="T10659">
        <v>39</v>
      </c>
      <c r="U10659" s="26" t="str">
        <f>HYPERLINK("https://ictv.global/ictv/proposals/2023.001B.Leviviricetes_reorg.zip","2023.001B.Leviviricetes_reorg.zip")</f>
        <v>2023.001B.Leviviricetes_reorg.zip</v>
      </c>
    </row>
    <row r="10660" spans="1:21">
      <c r="A10660">
        <v>10659</v>
      </c>
      <c r="B10660" s="27" t="s">
        <v>1124</v>
      </c>
      <c r="D10660" s="27" t="s">
        <v>1859</v>
      </c>
      <c r="F10660" s="27" t="s">
        <v>1881</v>
      </c>
      <c r="H10660" s="27" t="s">
        <v>2679</v>
      </c>
      <c r="J10660" s="27" t="s">
        <v>2680</v>
      </c>
      <c r="L10660" s="27" t="s">
        <v>2681</v>
      </c>
      <c r="N10660" s="27" t="s">
        <v>2792</v>
      </c>
      <c r="P10660" s="27" t="s">
        <v>2793</v>
      </c>
      <c r="Q10660" s="26" t="str">
        <f>HYPERLINK("https://ictv.global/taxonomy/taxondetails?taxnode_id=202510838&amp;ictv_id=ICTV202010838","ICTV202010838")</f>
        <v>ICTV202010838</v>
      </c>
      <c r="R10660" t="s">
        <v>581</v>
      </c>
      <c r="S10660" t="s">
        <v>823</v>
      </c>
      <c r="T10660">
        <v>36</v>
      </c>
      <c r="U10660" s="26" t="str">
        <f>HYPERLINK("https://ictv.global/ictv/proposals/2020.095B.R.Leviviricetes.zip","2020.095B.R.Leviviricetes.zip")</f>
        <v>2020.095B.R.Leviviricetes.zip</v>
      </c>
    </row>
    <row r="10661" spans="1:21">
      <c r="A10661">
        <v>10660</v>
      </c>
      <c r="B10661" s="27" t="s">
        <v>1124</v>
      </c>
      <c r="D10661" s="27" t="s">
        <v>1859</v>
      </c>
      <c r="F10661" s="27" t="s">
        <v>1881</v>
      </c>
      <c r="H10661" s="27" t="s">
        <v>2679</v>
      </c>
      <c r="J10661" s="27" t="s">
        <v>2680</v>
      </c>
      <c r="L10661" s="27" t="s">
        <v>2681</v>
      </c>
      <c r="N10661" s="27" t="s">
        <v>2794</v>
      </c>
      <c r="P10661" s="27" t="s">
        <v>14526</v>
      </c>
      <c r="Q10661" s="26" t="str">
        <f>HYPERLINK("https://ictv.global/taxonomy/taxondetails?taxnode_id=202516206&amp;ictv_id=ICTV202316206","ICTV202316206")</f>
        <v>ICTV202316206</v>
      </c>
      <c r="R10661" t="s">
        <v>581</v>
      </c>
      <c r="S10661" t="s">
        <v>823</v>
      </c>
      <c r="T10661">
        <v>39</v>
      </c>
      <c r="U10661" s="26" t="str">
        <f>HYPERLINK("https://ictv.global/ictv/proposals/2023.001B.Leviviricetes_reorg.zip","2023.001B.Leviviricetes_reorg.zip")</f>
        <v>2023.001B.Leviviricetes_reorg.zip</v>
      </c>
    </row>
    <row r="10662" spans="1:21">
      <c r="A10662">
        <v>10661</v>
      </c>
      <c r="B10662" s="27" t="s">
        <v>1124</v>
      </c>
      <c r="D10662" s="27" t="s">
        <v>1859</v>
      </c>
      <c r="F10662" s="27" t="s">
        <v>1881</v>
      </c>
      <c r="H10662" s="27" t="s">
        <v>2679</v>
      </c>
      <c r="J10662" s="27" t="s">
        <v>2680</v>
      </c>
      <c r="L10662" s="27" t="s">
        <v>2681</v>
      </c>
      <c r="N10662" s="27" t="s">
        <v>2794</v>
      </c>
      <c r="P10662" s="27" t="s">
        <v>2795</v>
      </c>
      <c r="Q10662" s="26" t="str">
        <f>HYPERLINK("https://ictv.global/taxonomy/taxondetails?taxnode_id=202510840&amp;ictv_id=ICTV202010840","ICTV202010840")</f>
        <v>ICTV202010840</v>
      </c>
      <c r="R10662" t="s">
        <v>581</v>
      </c>
      <c r="S10662" t="s">
        <v>823</v>
      </c>
      <c r="T10662">
        <v>36</v>
      </c>
      <c r="U10662" s="26" t="str">
        <f>HYPERLINK("https://ictv.global/ictv/proposals/2020.095B.R.Leviviricetes.zip","2020.095B.R.Leviviricetes.zip")</f>
        <v>2020.095B.R.Leviviricetes.zip</v>
      </c>
    </row>
    <row r="10663" spans="1:21">
      <c r="A10663">
        <v>10662</v>
      </c>
      <c r="B10663" s="27" t="s">
        <v>1124</v>
      </c>
      <c r="D10663" s="27" t="s">
        <v>1859</v>
      </c>
      <c r="F10663" s="27" t="s">
        <v>1881</v>
      </c>
      <c r="H10663" s="27" t="s">
        <v>2679</v>
      </c>
      <c r="J10663" s="27" t="s">
        <v>2680</v>
      </c>
      <c r="L10663" s="27" t="s">
        <v>2681</v>
      </c>
      <c r="N10663" s="27" t="s">
        <v>2794</v>
      </c>
      <c r="P10663" s="27" t="s">
        <v>2796</v>
      </c>
      <c r="Q10663" s="26" t="str">
        <f>HYPERLINK("https://ictv.global/taxonomy/taxondetails?taxnode_id=202510841&amp;ictv_id=ICTV202010841","ICTV202010841")</f>
        <v>ICTV202010841</v>
      </c>
      <c r="R10663" t="s">
        <v>581</v>
      </c>
      <c r="S10663" t="s">
        <v>823</v>
      </c>
      <c r="T10663">
        <v>36</v>
      </c>
      <c r="U10663" s="26" t="str">
        <f>HYPERLINK("https://ictv.global/ictv/proposals/2020.095B.R.Leviviricetes.zip","2020.095B.R.Leviviricetes.zip")</f>
        <v>2020.095B.R.Leviviricetes.zip</v>
      </c>
    </row>
    <row r="10664" spans="1:21">
      <c r="A10664">
        <v>10663</v>
      </c>
      <c r="B10664" s="27" t="s">
        <v>1124</v>
      </c>
      <c r="D10664" s="27" t="s">
        <v>1859</v>
      </c>
      <c r="F10664" s="27" t="s">
        <v>1881</v>
      </c>
      <c r="H10664" s="27" t="s">
        <v>2679</v>
      </c>
      <c r="J10664" s="27" t="s">
        <v>2680</v>
      </c>
      <c r="L10664" s="27" t="s">
        <v>2797</v>
      </c>
      <c r="N10664" s="27" t="s">
        <v>2798</v>
      </c>
      <c r="P10664" s="27" t="s">
        <v>14527</v>
      </c>
      <c r="Q10664" s="26" t="str">
        <f>HYPERLINK("https://ictv.global/taxonomy/taxondetails?taxnode_id=202516207&amp;ictv_id=ICTV202316207","ICTV202316207")</f>
        <v>ICTV202316207</v>
      </c>
      <c r="R10664" t="s">
        <v>581</v>
      </c>
      <c r="S10664" t="s">
        <v>823</v>
      </c>
      <c r="T10664">
        <v>39</v>
      </c>
      <c r="U10664" s="26" t="str">
        <f>HYPERLINK("https://ictv.global/ictv/proposals/2023.001B.Leviviricetes_reorg.zip","2023.001B.Leviviricetes_reorg.zip")</f>
        <v>2023.001B.Leviviricetes_reorg.zip</v>
      </c>
    </row>
    <row r="10665" spans="1:21">
      <c r="A10665">
        <v>10664</v>
      </c>
      <c r="B10665" s="27" t="s">
        <v>1124</v>
      </c>
      <c r="D10665" s="27" t="s">
        <v>1859</v>
      </c>
      <c r="F10665" s="27" t="s">
        <v>1881</v>
      </c>
      <c r="H10665" s="27" t="s">
        <v>2679</v>
      </c>
      <c r="J10665" s="27" t="s">
        <v>2680</v>
      </c>
      <c r="L10665" s="27" t="s">
        <v>2797</v>
      </c>
      <c r="N10665" s="27" t="s">
        <v>2798</v>
      </c>
      <c r="P10665" s="27" t="s">
        <v>2799</v>
      </c>
      <c r="Q10665" s="26" t="str">
        <f>HYPERLINK("https://ictv.global/taxonomy/taxondetails?taxnode_id=202510844&amp;ictv_id=ICTV202010844","ICTV202010844")</f>
        <v>ICTV202010844</v>
      </c>
      <c r="R10665" t="s">
        <v>581</v>
      </c>
      <c r="S10665" t="s">
        <v>823</v>
      </c>
      <c r="T10665">
        <v>36</v>
      </c>
      <c r="U10665" s="26" t="str">
        <f>HYPERLINK("https://ictv.global/ictv/proposals/2020.095B.R.Leviviricetes.zip","2020.095B.R.Leviviricetes.zip")</f>
        <v>2020.095B.R.Leviviricetes.zip</v>
      </c>
    </row>
    <row r="10666" spans="1:21">
      <c r="A10666">
        <v>10665</v>
      </c>
      <c r="B10666" s="27" t="s">
        <v>1124</v>
      </c>
      <c r="D10666" s="27" t="s">
        <v>1859</v>
      </c>
      <c r="F10666" s="27" t="s">
        <v>1881</v>
      </c>
      <c r="H10666" s="27" t="s">
        <v>2679</v>
      </c>
      <c r="J10666" s="27" t="s">
        <v>2680</v>
      </c>
      <c r="L10666" s="27" t="s">
        <v>2797</v>
      </c>
      <c r="N10666" s="27" t="s">
        <v>2800</v>
      </c>
      <c r="P10666" s="27" t="s">
        <v>2801</v>
      </c>
      <c r="Q10666" s="26" t="str">
        <f>HYPERLINK("https://ictv.global/taxonomy/taxondetails?taxnode_id=202510846&amp;ictv_id=ICTV202010846","ICTV202010846")</f>
        <v>ICTV202010846</v>
      </c>
      <c r="R10666" t="s">
        <v>581</v>
      </c>
      <c r="S10666" t="s">
        <v>823</v>
      </c>
      <c r="T10666">
        <v>36</v>
      </c>
      <c r="U10666" s="26" t="str">
        <f>HYPERLINK("https://ictv.global/ictv/proposals/2020.095B.R.Leviviricetes.zip","2020.095B.R.Leviviricetes.zip")</f>
        <v>2020.095B.R.Leviviricetes.zip</v>
      </c>
    </row>
    <row r="10667" spans="1:21">
      <c r="A10667">
        <v>10666</v>
      </c>
      <c r="B10667" s="27" t="s">
        <v>1124</v>
      </c>
      <c r="D10667" s="27" t="s">
        <v>1859</v>
      </c>
      <c r="F10667" s="27" t="s">
        <v>1881</v>
      </c>
      <c r="H10667" s="27" t="s">
        <v>2679</v>
      </c>
      <c r="J10667" s="27" t="s">
        <v>2680</v>
      </c>
      <c r="L10667" s="27" t="s">
        <v>2797</v>
      </c>
      <c r="N10667" s="27" t="s">
        <v>14528</v>
      </c>
      <c r="P10667" s="27" t="s">
        <v>14529</v>
      </c>
      <c r="Q10667" s="26" t="str">
        <f>HYPERLINK("https://ictv.global/taxonomy/taxondetails?taxnode_id=202516208&amp;ictv_id=ICTV202316208","ICTV202316208")</f>
        <v>ICTV202316208</v>
      </c>
      <c r="R10667" t="s">
        <v>581</v>
      </c>
      <c r="S10667" t="s">
        <v>823</v>
      </c>
      <c r="T10667">
        <v>39</v>
      </c>
      <c r="U10667" s="26" t="str">
        <f>HYPERLINK("https://ictv.global/ictv/proposals/2023.001B.Leviviricetes_reorg.zip","2023.001B.Leviviricetes_reorg.zip")</f>
        <v>2023.001B.Leviviricetes_reorg.zip</v>
      </c>
    </row>
    <row r="10668" spans="1:21">
      <c r="A10668">
        <v>10667</v>
      </c>
      <c r="B10668" s="27" t="s">
        <v>1124</v>
      </c>
      <c r="D10668" s="27" t="s">
        <v>1859</v>
      </c>
      <c r="F10668" s="27" t="s">
        <v>1881</v>
      </c>
      <c r="H10668" s="27" t="s">
        <v>2679</v>
      </c>
      <c r="J10668" s="27" t="s">
        <v>2680</v>
      </c>
      <c r="L10668" s="27" t="s">
        <v>2797</v>
      </c>
      <c r="N10668" s="27" t="s">
        <v>14530</v>
      </c>
      <c r="P10668" s="27" t="s">
        <v>14531</v>
      </c>
      <c r="Q10668" s="26" t="str">
        <f>HYPERLINK("https://ictv.global/taxonomy/taxondetails?taxnode_id=202516209&amp;ictv_id=ICTV202316209","ICTV202316209")</f>
        <v>ICTV202316209</v>
      </c>
      <c r="R10668" t="s">
        <v>581</v>
      </c>
      <c r="S10668" t="s">
        <v>823</v>
      </c>
      <c r="T10668">
        <v>39</v>
      </c>
      <c r="U10668" s="26" t="str">
        <f>HYPERLINK("https://ictv.global/ictv/proposals/2023.001B.Leviviricetes_reorg.zip","2023.001B.Leviviricetes_reorg.zip")</f>
        <v>2023.001B.Leviviricetes_reorg.zip</v>
      </c>
    </row>
    <row r="10669" spans="1:21">
      <c r="A10669">
        <v>10668</v>
      </c>
      <c r="B10669" s="27" t="s">
        <v>1124</v>
      </c>
      <c r="D10669" s="27" t="s">
        <v>1859</v>
      </c>
      <c r="F10669" s="27" t="s">
        <v>1881</v>
      </c>
      <c r="H10669" s="27" t="s">
        <v>2679</v>
      </c>
      <c r="J10669" s="27" t="s">
        <v>2680</v>
      </c>
      <c r="L10669" s="27" t="s">
        <v>2797</v>
      </c>
      <c r="N10669" s="27" t="s">
        <v>14530</v>
      </c>
      <c r="P10669" s="27" t="s">
        <v>14532</v>
      </c>
      <c r="Q10669" s="26" t="str">
        <f>HYPERLINK("https://ictv.global/taxonomy/taxondetails?taxnode_id=202516210&amp;ictv_id=ICTV202316210","ICTV202316210")</f>
        <v>ICTV202316210</v>
      </c>
      <c r="R10669" t="s">
        <v>581</v>
      </c>
      <c r="S10669" t="s">
        <v>823</v>
      </c>
      <c r="T10669">
        <v>39</v>
      </c>
      <c r="U10669" s="26" t="str">
        <f>HYPERLINK("https://ictv.global/ictv/proposals/2023.001B.Leviviricetes_reorg.zip","2023.001B.Leviviricetes_reorg.zip")</f>
        <v>2023.001B.Leviviricetes_reorg.zip</v>
      </c>
    </row>
    <row r="10670" spans="1:21">
      <c r="A10670">
        <v>10669</v>
      </c>
      <c r="B10670" s="27" t="s">
        <v>1124</v>
      </c>
      <c r="D10670" s="27" t="s">
        <v>1859</v>
      </c>
      <c r="F10670" s="27" t="s">
        <v>1881</v>
      </c>
      <c r="H10670" s="27" t="s">
        <v>2679</v>
      </c>
      <c r="J10670" s="27" t="s">
        <v>2680</v>
      </c>
      <c r="L10670" s="27" t="s">
        <v>2797</v>
      </c>
      <c r="N10670" s="27" t="s">
        <v>14533</v>
      </c>
      <c r="P10670" s="27" t="s">
        <v>14534</v>
      </c>
      <c r="Q10670" s="26" t="str">
        <f>HYPERLINK("https://ictv.global/taxonomy/taxondetails?taxnode_id=202516211&amp;ictv_id=ICTV202316211","ICTV202316211")</f>
        <v>ICTV202316211</v>
      </c>
      <c r="R10670" t="s">
        <v>581</v>
      </c>
      <c r="S10670" t="s">
        <v>823</v>
      </c>
      <c r="T10670">
        <v>39</v>
      </c>
      <c r="U10670" s="26" t="str">
        <f>HYPERLINK("https://ictv.global/ictv/proposals/2023.001B.Leviviricetes_reorg.zip","2023.001B.Leviviricetes_reorg.zip")</f>
        <v>2023.001B.Leviviricetes_reorg.zip</v>
      </c>
    </row>
    <row r="10671" spans="1:21">
      <c r="A10671">
        <v>10670</v>
      </c>
      <c r="B10671" s="27" t="s">
        <v>1124</v>
      </c>
      <c r="D10671" s="27" t="s">
        <v>1859</v>
      </c>
      <c r="F10671" s="27" t="s">
        <v>1881</v>
      </c>
      <c r="H10671" s="27" t="s">
        <v>2679</v>
      </c>
      <c r="J10671" s="27" t="s">
        <v>2680</v>
      </c>
      <c r="L10671" s="27" t="s">
        <v>2797</v>
      </c>
      <c r="N10671" s="27" t="s">
        <v>14535</v>
      </c>
      <c r="P10671" s="27" t="s">
        <v>14536</v>
      </c>
      <c r="Q10671" s="26" t="str">
        <f>HYPERLINK("https://ictv.global/taxonomy/taxondetails?taxnode_id=202516212&amp;ictv_id=ICTV202316212","ICTV202316212")</f>
        <v>ICTV202316212</v>
      </c>
      <c r="R10671" t="s">
        <v>581</v>
      </c>
      <c r="S10671" t="s">
        <v>823</v>
      </c>
      <c r="T10671">
        <v>39</v>
      </c>
      <c r="U10671" s="26" t="str">
        <f>HYPERLINK("https://ictv.global/ictv/proposals/2023.001B.Leviviricetes_reorg.zip","2023.001B.Leviviricetes_reorg.zip")</f>
        <v>2023.001B.Leviviricetes_reorg.zip</v>
      </c>
    </row>
    <row r="10672" spans="1:21">
      <c r="A10672">
        <v>10671</v>
      </c>
      <c r="B10672" s="27" t="s">
        <v>1124</v>
      </c>
      <c r="D10672" s="27" t="s">
        <v>1859</v>
      </c>
      <c r="F10672" s="27" t="s">
        <v>1881</v>
      </c>
      <c r="H10672" s="27" t="s">
        <v>2679</v>
      </c>
      <c r="J10672" s="27" t="s">
        <v>2680</v>
      </c>
      <c r="L10672" s="27" t="s">
        <v>2797</v>
      </c>
      <c r="N10672" s="27" t="s">
        <v>2802</v>
      </c>
      <c r="P10672" s="27" t="s">
        <v>2803</v>
      </c>
      <c r="Q10672" s="26" t="str">
        <f>HYPERLINK("https://ictv.global/taxonomy/taxondetails?taxnode_id=202510848&amp;ictv_id=ICTV202010848","ICTV202010848")</f>
        <v>ICTV202010848</v>
      </c>
      <c r="R10672" t="s">
        <v>581</v>
      </c>
      <c r="S10672" t="s">
        <v>823</v>
      </c>
      <c r="T10672">
        <v>36</v>
      </c>
      <c r="U10672" s="26" t="str">
        <f>HYPERLINK("https://ictv.global/ictv/proposals/2020.095B.R.Leviviricetes.zip","2020.095B.R.Leviviricetes.zip")</f>
        <v>2020.095B.R.Leviviricetes.zip</v>
      </c>
    </row>
    <row r="10673" spans="1:21">
      <c r="A10673">
        <v>10672</v>
      </c>
      <c r="B10673" s="27" t="s">
        <v>1124</v>
      </c>
      <c r="D10673" s="27" t="s">
        <v>1859</v>
      </c>
      <c r="F10673" s="27" t="s">
        <v>1881</v>
      </c>
      <c r="H10673" s="27" t="s">
        <v>2679</v>
      </c>
      <c r="J10673" s="27" t="s">
        <v>2680</v>
      </c>
      <c r="L10673" s="27" t="s">
        <v>2797</v>
      </c>
      <c r="N10673" s="27" t="s">
        <v>2804</v>
      </c>
      <c r="P10673" s="27" t="s">
        <v>2805</v>
      </c>
      <c r="Q10673" s="26" t="str">
        <f>HYPERLINK("https://ictv.global/taxonomy/taxondetails?taxnode_id=202510850&amp;ictv_id=ICTV202010850","ICTV202010850")</f>
        <v>ICTV202010850</v>
      </c>
      <c r="R10673" t="s">
        <v>581</v>
      </c>
      <c r="S10673" t="s">
        <v>823</v>
      </c>
      <c r="T10673">
        <v>36</v>
      </c>
      <c r="U10673" s="26" t="str">
        <f>HYPERLINK("https://ictv.global/ictv/proposals/2020.095B.R.Leviviricetes.zip","2020.095B.R.Leviviricetes.zip")</f>
        <v>2020.095B.R.Leviviricetes.zip</v>
      </c>
    </row>
    <row r="10674" spans="1:21">
      <c r="A10674">
        <v>10673</v>
      </c>
      <c r="B10674" s="27" t="s">
        <v>1124</v>
      </c>
      <c r="D10674" s="27" t="s">
        <v>1859</v>
      </c>
      <c r="F10674" s="27" t="s">
        <v>1881</v>
      </c>
      <c r="H10674" s="27" t="s">
        <v>2679</v>
      </c>
      <c r="J10674" s="27" t="s">
        <v>2680</v>
      </c>
      <c r="L10674" s="27" t="s">
        <v>2797</v>
      </c>
      <c r="N10674" s="27" t="s">
        <v>2806</v>
      </c>
      <c r="P10674" s="27" t="s">
        <v>2807</v>
      </c>
      <c r="Q10674" s="26" t="str">
        <f>HYPERLINK("https://ictv.global/taxonomy/taxondetails?taxnode_id=202510852&amp;ictv_id=ICTV202010852","ICTV202010852")</f>
        <v>ICTV202010852</v>
      </c>
      <c r="R10674" t="s">
        <v>581</v>
      </c>
      <c r="S10674" t="s">
        <v>823</v>
      </c>
      <c r="T10674">
        <v>36</v>
      </c>
      <c r="U10674" s="26" t="str">
        <f>HYPERLINK("https://ictv.global/ictv/proposals/2020.095B.R.Leviviricetes.zip","2020.095B.R.Leviviricetes.zip")</f>
        <v>2020.095B.R.Leviviricetes.zip</v>
      </c>
    </row>
    <row r="10675" spans="1:21">
      <c r="A10675">
        <v>10674</v>
      </c>
      <c r="B10675" s="27" t="s">
        <v>1124</v>
      </c>
      <c r="D10675" s="27" t="s">
        <v>1859</v>
      </c>
      <c r="F10675" s="27" t="s">
        <v>1881</v>
      </c>
      <c r="H10675" s="27" t="s">
        <v>2679</v>
      </c>
      <c r="J10675" s="27" t="s">
        <v>2680</v>
      </c>
      <c r="L10675" s="27" t="s">
        <v>2797</v>
      </c>
      <c r="N10675" s="27" t="s">
        <v>2808</v>
      </c>
      <c r="P10675" s="27" t="s">
        <v>2809</v>
      </c>
      <c r="Q10675" s="26" t="str">
        <f>HYPERLINK("https://ictv.global/taxonomy/taxondetails?taxnode_id=202510854&amp;ictv_id=ICTV202010854","ICTV202010854")</f>
        <v>ICTV202010854</v>
      </c>
      <c r="R10675" t="s">
        <v>581</v>
      </c>
      <c r="S10675" t="s">
        <v>823</v>
      </c>
      <c r="T10675">
        <v>36</v>
      </c>
      <c r="U10675" s="26" t="str">
        <f>HYPERLINK("https://ictv.global/ictv/proposals/2020.095B.R.Leviviricetes.zip","2020.095B.R.Leviviricetes.zip")</f>
        <v>2020.095B.R.Leviviricetes.zip</v>
      </c>
    </row>
    <row r="10676" spans="1:21">
      <c r="A10676">
        <v>10675</v>
      </c>
      <c r="B10676" s="27" t="s">
        <v>1124</v>
      </c>
      <c r="D10676" s="27" t="s">
        <v>1859</v>
      </c>
      <c r="F10676" s="27" t="s">
        <v>1881</v>
      </c>
      <c r="H10676" s="27" t="s">
        <v>2679</v>
      </c>
      <c r="J10676" s="27" t="s">
        <v>2680</v>
      </c>
      <c r="L10676" s="27" t="s">
        <v>2810</v>
      </c>
      <c r="N10676" s="27" t="s">
        <v>2811</v>
      </c>
      <c r="P10676" s="27" t="s">
        <v>2812</v>
      </c>
      <c r="Q10676" s="26" t="str">
        <f>HYPERLINK("https://ictv.global/taxonomy/taxondetails?taxnode_id=202510223&amp;ictv_id=ICTV202010223","ICTV202010223")</f>
        <v>ICTV202010223</v>
      </c>
      <c r="R10676" t="s">
        <v>581</v>
      </c>
      <c r="S10676" t="s">
        <v>823</v>
      </c>
      <c r="T10676">
        <v>36</v>
      </c>
      <c r="U10676" s="26" t="str">
        <f>HYPERLINK("https://ictv.global/ictv/proposals/2020.095B.R.Leviviricetes.zip","2020.095B.R.Leviviricetes.zip")</f>
        <v>2020.095B.R.Leviviricetes.zip</v>
      </c>
    </row>
    <row r="10677" spans="1:21">
      <c r="A10677">
        <v>10676</v>
      </c>
      <c r="B10677" s="27" t="s">
        <v>1124</v>
      </c>
      <c r="D10677" s="27" t="s">
        <v>1859</v>
      </c>
      <c r="F10677" s="27" t="s">
        <v>1881</v>
      </c>
      <c r="H10677" s="27" t="s">
        <v>2679</v>
      </c>
      <c r="J10677" s="27" t="s">
        <v>2680</v>
      </c>
      <c r="L10677" s="27" t="s">
        <v>2810</v>
      </c>
      <c r="N10677" s="27" t="s">
        <v>2811</v>
      </c>
      <c r="P10677" s="27" t="s">
        <v>14537</v>
      </c>
      <c r="Q10677" s="26" t="str">
        <f>HYPERLINK("https://ictv.global/taxonomy/taxondetails?taxnode_id=202516213&amp;ictv_id=ICTV202316213","ICTV202316213")</f>
        <v>ICTV202316213</v>
      </c>
      <c r="R10677" t="s">
        <v>581</v>
      </c>
      <c r="S10677" t="s">
        <v>823</v>
      </c>
      <c r="T10677">
        <v>39</v>
      </c>
      <c r="U10677" s="26" t="str">
        <f>HYPERLINK("https://ictv.global/ictv/proposals/2023.001B.Leviviricetes_reorg.zip","2023.001B.Leviviricetes_reorg.zip")</f>
        <v>2023.001B.Leviviricetes_reorg.zip</v>
      </c>
    </row>
    <row r="10678" spans="1:21">
      <c r="A10678">
        <v>10677</v>
      </c>
      <c r="B10678" s="27" t="s">
        <v>1124</v>
      </c>
      <c r="D10678" s="27" t="s">
        <v>1859</v>
      </c>
      <c r="F10678" s="27" t="s">
        <v>1881</v>
      </c>
      <c r="H10678" s="27" t="s">
        <v>2679</v>
      </c>
      <c r="J10678" s="27" t="s">
        <v>2680</v>
      </c>
      <c r="L10678" s="27" t="s">
        <v>2810</v>
      </c>
      <c r="N10678" s="27" t="s">
        <v>2811</v>
      </c>
      <c r="P10678" s="27" t="s">
        <v>14538</v>
      </c>
      <c r="Q10678" s="26" t="str">
        <f>HYPERLINK("https://ictv.global/taxonomy/taxondetails?taxnode_id=202516214&amp;ictv_id=ICTV202316214","ICTV202316214")</f>
        <v>ICTV202316214</v>
      </c>
      <c r="R10678" t="s">
        <v>581</v>
      </c>
      <c r="S10678" t="s">
        <v>823</v>
      </c>
      <c r="T10678">
        <v>39</v>
      </c>
      <c r="U10678" s="26" t="str">
        <f>HYPERLINK("https://ictv.global/ictv/proposals/2023.001B.Leviviricetes_reorg.zip","2023.001B.Leviviricetes_reorg.zip")</f>
        <v>2023.001B.Leviviricetes_reorg.zip</v>
      </c>
    </row>
    <row r="10679" spans="1:21">
      <c r="A10679">
        <v>10678</v>
      </c>
      <c r="B10679" s="27" t="s">
        <v>1124</v>
      </c>
      <c r="D10679" s="27" t="s">
        <v>1859</v>
      </c>
      <c r="F10679" s="27" t="s">
        <v>1881</v>
      </c>
      <c r="H10679" s="27" t="s">
        <v>2679</v>
      </c>
      <c r="J10679" s="27" t="s">
        <v>2680</v>
      </c>
      <c r="L10679" s="27" t="s">
        <v>2810</v>
      </c>
      <c r="N10679" s="27" t="s">
        <v>2811</v>
      </c>
      <c r="P10679" s="27" t="s">
        <v>14539</v>
      </c>
      <c r="Q10679" s="26" t="str">
        <f>HYPERLINK("https://ictv.global/taxonomy/taxondetails?taxnode_id=202516215&amp;ictv_id=ICTV202316215","ICTV202316215")</f>
        <v>ICTV202316215</v>
      </c>
      <c r="R10679" t="s">
        <v>581</v>
      </c>
      <c r="S10679" t="s">
        <v>823</v>
      </c>
      <c r="T10679">
        <v>39</v>
      </c>
      <c r="U10679" s="26" t="str">
        <f>HYPERLINK("https://ictv.global/ictv/proposals/2023.001B.Leviviricetes_reorg.zip","2023.001B.Leviviricetes_reorg.zip")</f>
        <v>2023.001B.Leviviricetes_reorg.zip</v>
      </c>
    </row>
    <row r="10680" spans="1:21">
      <c r="A10680">
        <v>10679</v>
      </c>
      <c r="B10680" s="27" t="s">
        <v>1124</v>
      </c>
      <c r="D10680" s="27" t="s">
        <v>1859</v>
      </c>
      <c r="F10680" s="27" t="s">
        <v>1881</v>
      </c>
      <c r="H10680" s="27" t="s">
        <v>2679</v>
      </c>
      <c r="J10680" s="27" t="s">
        <v>2680</v>
      </c>
      <c r="L10680" s="27" t="s">
        <v>2810</v>
      </c>
      <c r="N10680" s="27" t="s">
        <v>2811</v>
      </c>
      <c r="P10680" s="27" t="s">
        <v>14540</v>
      </c>
      <c r="Q10680" s="26" t="str">
        <f>HYPERLINK("https://ictv.global/taxonomy/taxondetails?taxnode_id=202516216&amp;ictv_id=ICTV202316216","ICTV202316216")</f>
        <v>ICTV202316216</v>
      </c>
      <c r="R10680" t="s">
        <v>581</v>
      </c>
      <c r="S10680" t="s">
        <v>823</v>
      </c>
      <c r="T10680">
        <v>39</v>
      </c>
      <c r="U10680" s="26" t="str">
        <f>HYPERLINK("https://ictv.global/ictv/proposals/2023.001B.Leviviricetes_reorg.zip","2023.001B.Leviviricetes_reorg.zip")</f>
        <v>2023.001B.Leviviricetes_reorg.zip</v>
      </c>
    </row>
    <row r="10681" spans="1:21">
      <c r="A10681">
        <v>10680</v>
      </c>
      <c r="B10681" s="27" t="s">
        <v>1124</v>
      </c>
      <c r="D10681" s="27" t="s">
        <v>1859</v>
      </c>
      <c r="F10681" s="27" t="s">
        <v>1881</v>
      </c>
      <c r="H10681" s="27" t="s">
        <v>2679</v>
      </c>
      <c r="J10681" s="27" t="s">
        <v>2680</v>
      </c>
      <c r="L10681" s="27" t="s">
        <v>2810</v>
      </c>
      <c r="N10681" s="27" t="s">
        <v>2811</v>
      </c>
      <c r="P10681" s="27" t="s">
        <v>14541</v>
      </c>
      <c r="Q10681" s="26" t="str">
        <f>HYPERLINK("https://ictv.global/taxonomy/taxondetails?taxnode_id=202516217&amp;ictv_id=ICTV202316217","ICTV202316217")</f>
        <v>ICTV202316217</v>
      </c>
      <c r="R10681" t="s">
        <v>581</v>
      </c>
      <c r="S10681" t="s">
        <v>823</v>
      </c>
      <c r="T10681">
        <v>39</v>
      </c>
      <c r="U10681" s="26" t="str">
        <f>HYPERLINK("https://ictv.global/ictv/proposals/2023.001B.Leviviricetes_reorg.zip","2023.001B.Leviviricetes_reorg.zip")</f>
        <v>2023.001B.Leviviricetes_reorg.zip</v>
      </c>
    </row>
    <row r="10682" spans="1:21">
      <c r="A10682">
        <v>10681</v>
      </c>
      <c r="B10682" s="27" t="s">
        <v>1124</v>
      </c>
      <c r="D10682" s="27" t="s">
        <v>1859</v>
      </c>
      <c r="F10682" s="27" t="s">
        <v>1881</v>
      </c>
      <c r="H10682" s="27" t="s">
        <v>2679</v>
      </c>
      <c r="J10682" s="27" t="s">
        <v>2680</v>
      </c>
      <c r="L10682" s="27" t="s">
        <v>2810</v>
      </c>
      <c r="N10682" s="27" t="s">
        <v>2813</v>
      </c>
      <c r="P10682" s="27" t="s">
        <v>2814</v>
      </c>
      <c r="Q10682" s="26" t="str">
        <f>HYPERLINK("https://ictv.global/taxonomy/taxondetails?taxnode_id=202510225&amp;ictv_id=ICTV202010225","ICTV202010225")</f>
        <v>ICTV202010225</v>
      </c>
      <c r="R10682" t="s">
        <v>581</v>
      </c>
      <c r="S10682" t="s">
        <v>823</v>
      </c>
      <c r="T10682">
        <v>36</v>
      </c>
      <c r="U10682" s="26" t="str">
        <f>HYPERLINK("https://ictv.global/ictv/proposals/2020.095B.R.Leviviricetes.zip","2020.095B.R.Leviviricetes.zip")</f>
        <v>2020.095B.R.Leviviricetes.zip</v>
      </c>
    </row>
    <row r="10683" spans="1:21">
      <c r="A10683">
        <v>10682</v>
      </c>
      <c r="B10683" s="27" t="s">
        <v>1124</v>
      </c>
      <c r="D10683" s="27" t="s">
        <v>1859</v>
      </c>
      <c r="F10683" s="27" t="s">
        <v>1881</v>
      </c>
      <c r="H10683" s="27" t="s">
        <v>2679</v>
      </c>
      <c r="J10683" s="27" t="s">
        <v>2680</v>
      </c>
      <c r="L10683" s="27" t="s">
        <v>2810</v>
      </c>
      <c r="N10683" s="27" t="s">
        <v>2813</v>
      </c>
      <c r="P10683" s="27" t="s">
        <v>2815</v>
      </c>
      <c r="Q10683" s="26" t="str">
        <f>HYPERLINK("https://ictv.global/taxonomy/taxondetails?taxnode_id=202510226&amp;ictv_id=ICTV202010226","ICTV202010226")</f>
        <v>ICTV202010226</v>
      </c>
      <c r="R10683" t="s">
        <v>581</v>
      </c>
      <c r="S10683" t="s">
        <v>823</v>
      </c>
      <c r="T10683">
        <v>36</v>
      </c>
      <c r="U10683" s="26" t="str">
        <f>HYPERLINK("https://ictv.global/ictv/proposals/2020.095B.R.Leviviricetes.zip","2020.095B.R.Leviviricetes.zip")</f>
        <v>2020.095B.R.Leviviricetes.zip</v>
      </c>
    </row>
    <row r="10684" spans="1:21">
      <c r="A10684">
        <v>10683</v>
      </c>
      <c r="B10684" s="27" t="s">
        <v>1124</v>
      </c>
      <c r="D10684" s="27" t="s">
        <v>1859</v>
      </c>
      <c r="F10684" s="27" t="s">
        <v>1881</v>
      </c>
      <c r="H10684" s="27" t="s">
        <v>2679</v>
      </c>
      <c r="J10684" s="27" t="s">
        <v>2680</v>
      </c>
      <c r="L10684" s="27" t="s">
        <v>2810</v>
      </c>
      <c r="N10684" s="27" t="s">
        <v>2813</v>
      </c>
      <c r="P10684" s="27" t="s">
        <v>14542</v>
      </c>
      <c r="Q10684" s="26" t="str">
        <f>HYPERLINK("https://ictv.global/taxonomy/taxondetails?taxnode_id=202516218&amp;ictv_id=ICTV202316218","ICTV202316218")</f>
        <v>ICTV202316218</v>
      </c>
      <c r="R10684" t="s">
        <v>581</v>
      </c>
      <c r="S10684" t="s">
        <v>823</v>
      </c>
      <c r="T10684">
        <v>39</v>
      </c>
      <c r="U10684" s="26" t="str">
        <f>HYPERLINK("https://ictv.global/ictv/proposals/2023.001B.Leviviricetes_reorg.zip","2023.001B.Leviviricetes_reorg.zip")</f>
        <v>2023.001B.Leviviricetes_reorg.zip</v>
      </c>
    </row>
    <row r="10685" spans="1:21">
      <c r="A10685">
        <v>10684</v>
      </c>
      <c r="B10685" s="27" t="s">
        <v>1124</v>
      </c>
      <c r="D10685" s="27" t="s">
        <v>1859</v>
      </c>
      <c r="F10685" s="27" t="s">
        <v>1881</v>
      </c>
      <c r="H10685" s="27" t="s">
        <v>2679</v>
      </c>
      <c r="J10685" s="27" t="s">
        <v>2680</v>
      </c>
      <c r="L10685" s="27" t="s">
        <v>2810</v>
      </c>
      <c r="N10685" s="27" t="s">
        <v>2813</v>
      </c>
      <c r="P10685" s="27" t="s">
        <v>14543</v>
      </c>
      <c r="Q10685" s="26" t="str">
        <f>HYPERLINK("https://ictv.global/taxonomy/taxondetails?taxnode_id=202516219&amp;ictv_id=ICTV202316219","ICTV202316219")</f>
        <v>ICTV202316219</v>
      </c>
      <c r="R10685" t="s">
        <v>581</v>
      </c>
      <c r="S10685" t="s">
        <v>823</v>
      </c>
      <c r="T10685">
        <v>39</v>
      </c>
      <c r="U10685" s="26" t="str">
        <f>HYPERLINK("https://ictv.global/ictv/proposals/2023.001B.Leviviricetes_reorg.zip","2023.001B.Leviviricetes_reorg.zip")</f>
        <v>2023.001B.Leviviricetes_reorg.zip</v>
      </c>
    </row>
    <row r="10686" spans="1:21">
      <c r="A10686">
        <v>10685</v>
      </c>
      <c r="B10686" s="27" t="s">
        <v>1124</v>
      </c>
      <c r="D10686" s="27" t="s">
        <v>1859</v>
      </c>
      <c r="F10686" s="27" t="s">
        <v>1881</v>
      </c>
      <c r="H10686" s="27" t="s">
        <v>2679</v>
      </c>
      <c r="J10686" s="27" t="s">
        <v>2680</v>
      </c>
      <c r="L10686" s="27" t="s">
        <v>2810</v>
      </c>
      <c r="N10686" s="27" t="s">
        <v>2813</v>
      </c>
      <c r="P10686" s="27" t="s">
        <v>14544</v>
      </c>
      <c r="Q10686" s="26" t="str">
        <f>HYPERLINK("https://ictv.global/taxonomy/taxondetails?taxnode_id=202516220&amp;ictv_id=ICTV202316220","ICTV202316220")</f>
        <v>ICTV202316220</v>
      </c>
      <c r="R10686" t="s">
        <v>581</v>
      </c>
      <c r="S10686" t="s">
        <v>823</v>
      </c>
      <c r="T10686">
        <v>39</v>
      </c>
      <c r="U10686" s="26" t="str">
        <f>HYPERLINK("https://ictv.global/ictv/proposals/2023.001B.Leviviricetes_reorg.zip","2023.001B.Leviviricetes_reorg.zip")</f>
        <v>2023.001B.Leviviricetes_reorg.zip</v>
      </c>
    </row>
    <row r="10687" spans="1:21">
      <c r="A10687">
        <v>10686</v>
      </c>
      <c r="B10687" s="27" t="s">
        <v>1124</v>
      </c>
      <c r="D10687" s="27" t="s">
        <v>1859</v>
      </c>
      <c r="F10687" s="27" t="s">
        <v>1881</v>
      </c>
      <c r="H10687" s="27" t="s">
        <v>2679</v>
      </c>
      <c r="J10687" s="27" t="s">
        <v>2680</v>
      </c>
      <c r="L10687" s="27" t="s">
        <v>2810</v>
      </c>
      <c r="N10687" s="27" t="s">
        <v>2816</v>
      </c>
      <c r="P10687" s="27" t="s">
        <v>2817</v>
      </c>
      <c r="Q10687" s="26" t="str">
        <f>HYPERLINK("https://ictv.global/taxonomy/taxondetails?taxnode_id=202510229&amp;ictv_id=ICTV202010229","ICTV202010229")</f>
        <v>ICTV202010229</v>
      </c>
      <c r="R10687" t="s">
        <v>581</v>
      </c>
      <c r="S10687" t="s">
        <v>823</v>
      </c>
      <c r="T10687">
        <v>36</v>
      </c>
      <c r="U10687" s="26" t="str">
        <f>HYPERLINK("https://ictv.global/ictv/proposals/2020.095B.R.Leviviricetes.zip","2020.095B.R.Leviviricetes.zip")</f>
        <v>2020.095B.R.Leviviricetes.zip</v>
      </c>
    </row>
    <row r="10688" spans="1:21">
      <c r="A10688">
        <v>10687</v>
      </c>
      <c r="B10688" s="27" t="s">
        <v>1124</v>
      </c>
      <c r="D10688" s="27" t="s">
        <v>1859</v>
      </c>
      <c r="F10688" s="27" t="s">
        <v>1881</v>
      </c>
      <c r="H10688" s="27" t="s">
        <v>2679</v>
      </c>
      <c r="J10688" s="27" t="s">
        <v>2680</v>
      </c>
      <c r="L10688" s="27" t="s">
        <v>2810</v>
      </c>
      <c r="N10688" s="27" t="s">
        <v>2816</v>
      </c>
      <c r="P10688" s="27" t="s">
        <v>2818</v>
      </c>
      <c r="Q10688" s="26" t="str">
        <f>HYPERLINK("https://ictv.global/taxonomy/taxondetails?taxnode_id=202510228&amp;ictv_id=ICTV202010228","ICTV202010228")</f>
        <v>ICTV202010228</v>
      </c>
      <c r="R10688" t="s">
        <v>581</v>
      </c>
      <c r="S10688" t="s">
        <v>823</v>
      </c>
      <c r="T10688">
        <v>36</v>
      </c>
      <c r="U10688" s="26" t="str">
        <f>HYPERLINK("https://ictv.global/ictv/proposals/2020.095B.R.Leviviricetes.zip","2020.095B.R.Leviviricetes.zip")</f>
        <v>2020.095B.R.Leviviricetes.zip</v>
      </c>
    </row>
    <row r="10689" spans="1:21">
      <c r="A10689">
        <v>10688</v>
      </c>
      <c r="B10689" s="27" t="s">
        <v>1124</v>
      </c>
      <c r="D10689" s="27" t="s">
        <v>1859</v>
      </c>
      <c r="F10689" s="27" t="s">
        <v>1881</v>
      </c>
      <c r="H10689" s="27" t="s">
        <v>2679</v>
      </c>
      <c r="J10689" s="27" t="s">
        <v>2680</v>
      </c>
      <c r="L10689" s="27" t="s">
        <v>2810</v>
      </c>
      <c r="N10689" s="27" t="s">
        <v>2816</v>
      </c>
      <c r="P10689" s="27" t="s">
        <v>2819</v>
      </c>
      <c r="Q10689" s="26" t="str">
        <f>HYPERLINK("https://ictv.global/taxonomy/taxondetails?taxnode_id=202510230&amp;ictv_id=ICTV202010230","ICTV202010230")</f>
        <v>ICTV202010230</v>
      </c>
      <c r="R10689" t="s">
        <v>581</v>
      </c>
      <c r="S10689" t="s">
        <v>823</v>
      </c>
      <c r="T10689">
        <v>36</v>
      </c>
      <c r="U10689" s="26" t="str">
        <f>HYPERLINK("https://ictv.global/ictv/proposals/2020.095B.R.Leviviricetes.zip","2020.095B.R.Leviviricetes.zip")</f>
        <v>2020.095B.R.Leviviricetes.zip</v>
      </c>
    </row>
    <row r="10690" spans="1:21">
      <c r="A10690">
        <v>10689</v>
      </c>
      <c r="B10690" s="27" t="s">
        <v>1124</v>
      </c>
      <c r="D10690" s="27" t="s">
        <v>1859</v>
      </c>
      <c r="F10690" s="27" t="s">
        <v>1881</v>
      </c>
      <c r="H10690" s="27" t="s">
        <v>2679</v>
      </c>
      <c r="J10690" s="27" t="s">
        <v>2680</v>
      </c>
      <c r="L10690" s="27" t="s">
        <v>2810</v>
      </c>
      <c r="N10690" s="27" t="s">
        <v>2816</v>
      </c>
      <c r="P10690" s="27" t="s">
        <v>14545</v>
      </c>
      <c r="Q10690" s="26" t="str">
        <f>HYPERLINK("https://ictv.global/taxonomy/taxondetails?taxnode_id=202510232&amp;ictv_id=ICTV202010232","ICTV202010232")</f>
        <v>ICTV202010232</v>
      </c>
      <c r="R10690" t="s">
        <v>581</v>
      </c>
      <c r="S10690" t="s">
        <v>22764</v>
      </c>
      <c r="T10690">
        <v>39</v>
      </c>
      <c r="U10690" s="26" t="str">
        <f t="shared" ref="U10690:U10703" si="392">HYPERLINK("https://ictv.global/ictv/proposals/2023.001B.Leviviricetes_reorg.zip","2023.001B.Leviviricetes_reorg.zip")</f>
        <v>2023.001B.Leviviricetes_reorg.zip</v>
      </c>
    </row>
    <row r="10691" spans="1:21">
      <c r="A10691">
        <v>10690</v>
      </c>
      <c r="B10691" s="27" t="s">
        <v>1124</v>
      </c>
      <c r="D10691" s="27" t="s">
        <v>1859</v>
      </c>
      <c r="F10691" s="27" t="s">
        <v>1881</v>
      </c>
      <c r="H10691" s="27" t="s">
        <v>2679</v>
      </c>
      <c r="J10691" s="27" t="s">
        <v>2680</v>
      </c>
      <c r="L10691" s="27" t="s">
        <v>2810</v>
      </c>
      <c r="N10691" s="27" t="s">
        <v>2816</v>
      </c>
      <c r="P10691" s="27" t="s">
        <v>14546</v>
      </c>
      <c r="Q10691" s="26" t="str">
        <f>HYPERLINK("https://ictv.global/taxonomy/taxondetails?taxnode_id=202516221&amp;ictv_id=ICTV202316221","ICTV202316221")</f>
        <v>ICTV202316221</v>
      </c>
      <c r="R10691" t="s">
        <v>581</v>
      </c>
      <c r="S10691" t="s">
        <v>823</v>
      </c>
      <c r="T10691">
        <v>39</v>
      </c>
      <c r="U10691" s="26" t="str">
        <f t="shared" si="392"/>
        <v>2023.001B.Leviviricetes_reorg.zip</v>
      </c>
    </row>
    <row r="10692" spans="1:21">
      <c r="A10692">
        <v>10691</v>
      </c>
      <c r="B10692" s="27" t="s">
        <v>1124</v>
      </c>
      <c r="D10692" s="27" t="s">
        <v>1859</v>
      </c>
      <c r="F10692" s="27" t="s">
        <v>1881</v>
      </c>
      <c r="H10692" s="27" t="s">
        <v>2679</v>
      </c>
      <c r="J10692" s="27" t="s">
        <v>2680</v>
      </c>
      <c r="L10692" s="27" t="s">
        <v>2810</v>
      </c>
      <c r="N10692" s="27" t="s">
        <v>2816</v>
      </c>
      <c r="P10692" s="27" t="s">
        <v>14547</v>
      </c>
      <c r="Q10692" s="26" t="str">
        <f>HYPERLINK("https://ictv.global/taxonomy/taxondetails?taxnode_id=202516222&amp;ictv_id=ICTV202316222","ICTV202316222")</f>
        <v>ICTV202316222</v>
      </c>
      <c r="R10692" t="s">
        <v>581</v>
      </c>
      <c r="S10692" t="s">
        <v>823</v>
      </c>
      <c r="T10692">
        <v>39</v>
      </c>
      <c r="U10692" s="26" t="str">
        <f t="shared" si="392"/>
        <v>2023.001B.Leviviricetes_reorg.zip</v>
      </c>
    </row>
    <row r="10693" spans="1:21">
      <c r="A10693">
        <v>10692</v>
      </c>
      <c r="B10693" s="27" t="s">
        <v>1124</v>
      </c>
      <c r="D10693" s="27" t="s">
        <v>1859</v>
      </c>
      <c r="F10693" s="27" t="s">
        <v>1881</v>
      </c>
      <c r="H10693" s="27" t="s">
        <v>2679</v>
      </c>
      <c r="J10693" s="27" t="s">
        <v>2680</v>
      </c>
      <c r="L10693" s="27" t="s">
        <v>2810</v>
      </c>
      <c r="N10693" s="27" t="s">
        <v>2816</v>
      </c>
      <c r="P10693" s="27" t="s">
        <v>14548</v>
      </c>
      <c r="Q10693" s="26" t="str">
        <f>HYPERLINK("https://ictv.global/taxonomy/taxondetails?taxnode_id=202516223&amp;ictv_id=ICTV202316223","ICTV202316223")</f>
        <v>ICTV202316223</v>
      </c>
      <c r="R10693" t="s">
        <v>581</v>
      </c>
      <c r="S10693" t="s">
        <v>823</v>
      </c>
      <c r="T10693">
        <v>39</v>
      </c>
      <c r="U10693" s="26" t="str">
        <f t="shared" si="392"/>
        <v>2023.001B.Leviviricetes_reorg.zip</v>
      </c>
    </row>
    <row r="10694" spans="1:21">
      <c r="A10694">
        <v>10693</v>
      </c>
      <c r="B10694" s="27" t="s">
        <v>1124</v>
      </c>
      <c r="D10694" s="27" t="s">
        <v>1859</v>
      </c>
      <c r="F10694" s="27" t="s">
        <v>1881</v>
      </c>
      <c r="H10694" s="27" t="s">
        <v>2679</v>
      </c>
      <c r="J10694" s="27" t="s">
        <v>2680</v>
      </c>
      <c r="L10694" s="27" t="s">
        <v>2810</v>
      </c>
      <c r="N10694" s="27" t="s">
        <v>2816</v>
      </c>
      <c r="P10694" s="27" t="s">
        <v>14549</v>
      </c>
      <c r="Q10694" s="26" t="str">
        <f>HYPERLINK("https://ictv.global/taxonomy/taxondetails?taxnode_id=202516224&amp;ictv_id=ICTV202316224","ICTV202316224")</f>
        <v>ICTV202316224</v>
      </c>
      <c r="R10694" t="s">
        <v>581</v>
      </c>
      <c r="S10694" t="s">
        <v>823</v>
      </c>
      <c r="T10694">
        <v>39</v>
      </c>
      <c r="U10694" s="26" t="str">
        <f t="shared" si="392"/>
        <v>2023.001B.Leviviricetes_reorg.zip</v>
      </c>
    </row>
    <row r="10695" spans="1:21">
      <c r="A10695">
        <v>10694</v>
      </c>
      <c r="B10695" s="27" t="s">
        <v>1124</v>
      </c>
      <c r="D10695" s="27" t="s">
        <v>1859</v>
      </c>
      <c r="F10695" s="27" t="s">
        <v>1881</v>
      </c>
      <c r="H10695" s="27" t="s">
        <v>2679</v>
      </c>
      <c r="J10695" s="27" t="s">
        <v>2680</v>
      </c>
      <c r="L10695" s="27" t="s">
        <v>2810</v>
      </c>
      <c r="N10695" s="27" t="s">
        <v>2816</v>
      </c>
      <c r="P10695" s="27" t="s">
        <v>14550</v>
      </c>
      <c r="Q10695" s="26" t="str">
        <f>HYPERLINK("https://ictv.global/taxonomy/taxondetails?taxnode_id=202516225&amp;ictv_id=ICTV202316225","ICTV202316225")</f>
        <v>ICTV202316225</v>
      </c>
      <c r="R10695" t="s">
        <v>581</v>
      </c>
      <c r="S10695" t="s">
        <v>823</v>
      </c>
      <c r="T10695">
        <v>39</v>
      </c>
      <c r="U10695" s="26" t="str">
        <f t="shared" si="392"/>
        <v>2023.001B.Leviviricetes_reorg.zip</v>
      </c>
    </row>
    <row r="10696" spans="1:21">
      <c r="A10696">
        <v>10695</v>
      </c>
      <c r="B10696" s="27" t="s">
        <v>1124</v>
      </c>
      <c r="D10696" s="27" t="s">
        <v>1859</v>
      </c>
      <c r="F10696" s="27" t="s">
        <v>1881</v>
      </c>
      <c r="H10696" s="27" t="s">
        <v>2679</v>
      </c>
      <c r="J10696" s="27" t="s">
        <v>2680</v>
      </c>
      <c r="L10696" s="27" t="s">
        <v>2810</v>
      </c>
      <c r="N10696" s="27" t="s">
        <v>2816</v>
      </c>
      <c r="P10696" s="27" t="s">
        <v>14551</v>
      </c>
      <c r="Q10696" s="26" t="str">
        <f>HYPERLINK("https://ictv.global/taxonomy/taxondetails?taxnode_id=202516226&amp;ictv_id=ICTV202316226","ICTV202316226")</f>
        <v>ICTV202316226</v>
      </c>
      <c r="R10696" t="s">
        <v>581</v>
      </c>
      <c r="S10696" t="s">
        <v>823</v>
      </c>
      <c r="T10696">
        <v>39</v>
      </c>
      <c r="U10696" s="26" t="str">
        <f t="shared" si="392"/>
        <v>2023.001B.Leviviricetes_reorg.zip</v>
      </c>
    </row>
    <row r="10697" spans="1:21">
      <c r="A10697">
        <v>10696</v>
      </c>
      <c r="B10697" s="27" t="s">
        <v>1124</v>
      </c>
      <c r="D10697" s="27" t="s">
        <v>1859</v>
      </c>
      <c r="F10697" s="27" t="s">
        <v>1881</v>
      </c>
      <c r="H10697" s="27" t="s">
        <v>2679</v>
      </c>
      <c r="J10697" s="27" t="s">
        <v>2680</v>
      </c>
      <c r="L10697" s="27" t="s">
        <v>2810</v>
      </c>
      <c r="N10697" s="27" t="s">
        <v>2816</v>
      </c>
      <c r="P10697" s="27" t="s">
        <v>14552</v>
      </c>
      <c r="Q10697" s="26" t="str">
        <f>HYPERLINK("https://ictv.global/taxonomy/taxondetails?taxnode_id=202510450&amp;ictv_id=ICTV202010450","ICTV202010450")</f>
        <v>ICTV202010450</v>
      </c>
      <c r="R10697" t="s">
        <v>581</v>
      </c>
      <c r="S10697" t="s">
        <v>22764</v>
      </c>
      <c r="T10697">
        <v>39</v>
      </c>
      <c r="U10697" s="26" t="str">
        <f t="shared" si="392"/>
        <v>2023.001B.Leviviricetes_reorg.zip</v>
      </c>
    </row>
    <row r="10698" spans="1:21">
      <c r="A10698">
        <v>10697</v>
      </c>
      <c r="B10698" s="27" t="s">
        <v>1124</v>
      </c>
      <c r="D10698" s="27" t="s">
        <v>1859</v>
      </c>
      <c r="F10698" s="27" t="s">
        <v>1881</v>
      </c>
      <c r="H10698" s="27" t="s">
        <v>2679</v>
      </c>
      <c r="J10698" s="27" t="s">
        <v>2680</v>
      </c>
      <c r="L10698" s="27" t="s">
        <v>2810</v>
      </c>
      <c r="N10698" s="27" t="s">
        <v>2816</v>
      </c>
      <c r="P10698" s="27" t="s">
        <v>14553</v>
      </c>
      <c r="Q10698" s="26" t="str">
        <f>HYPERLINK("https://ictv.global/taxonomy/taxondetails?taxnode_id=202516227&amp;ictv_id=ICTV202316227","ICTV202316227")</f>
        <v>ICTV202316227</v>
      </c>
      <c r="R10698" t="s">
        <v>581</v>
      </c>
      <c r="S10698" t="s">
        <v>823</v>
      </c>
      <c r="T10698">
        <v>39</v>
      </c>
      <c r="U10698" s="26" t="str">
        <f t="shared" si="392"/>
        <v>2023.001B.Leviviricetes_reorg.zip</v>
      </c>
    </row>
    <row r="10699" spans="1:21">
      <c r="A10699">
        <v>10698</v>
      </c>
      <c r="B10699" s="27" t="s">
        <v>1124</v>
      </c>
      <c r="D10699" s="27" t="s">
        <v>1859</v>
      </c>
      <c r="F10699" s="27" t="s">
        <v>1881</v>
      </c>
      <c r="H10699" s="27" t="s">
        <v>2679</v>
      </c>
      <c r="J10699" s="27" t="s">
        <v>2680</v>
      </c>
      <c r="L10699" s="27" t="s">
        <v>2810</v>
      </c>
      <c r="N10699" s="27" t="s">
        <v>2816</v>
      </c>
      <c r="P10699" s="27" t="s">
        <v>14554</v>
      </c>
      <c r="Q10699" s="26" t="str">
        <f>HYPERLINK("https://ictv.global/taxonomy/taxondetails?taxnode_id=202516228&amp;ictv_id=ICTV202316228","ICTV202316228")</f>
        <v>ICTV202316228</v>
      </c>
      <c r="R10699" t="s">
        <v>581</v>
      </c>
      <c r="S10699" t="s">
        <v>823</v>
      </c>
      <c r="T10699">
        <v>39</v>
      </c>
      <c r="U10699" s="26" t="str">
        <f t="shared" si="392"/>
        <v>2023.001B.Leviviricetes_reorg.zip</v>
      </c>
    </row>
    <row r="10700" spans="1:21">
      <c r="A10700">
        <v>10699</v>
      </c>
      <c r="B10700" s="27" t="s">
        <v>1124</v>
      </c>
      <c r="D10700" s="27" t="s">
        <v>1859</v>
      </c>
      <c r="F10700" s="27" t="s">
        <v>1881</v>
      </c>
      <c r="H10700" s="27" t="s">
        <v>2679</v>
      </c>
      <c r="J10700" s="27" t="s">
        <v>2680</v>
      </c>
      <c r="L10700" s="27" t="s">
        <v>2810</v>
      </c>
      <c r="N10700" s="27" t="s">
        <v>2816</v>
      </c>
      <c r="P10700" s="27" t="s">
        <v>14555</v>
      </c>
      <c r="Q10700" s="26" t="str">
        <f>HYPERLINK("https://ictv.global/taxonomy/taxondetails?taxnode_id=202516229&amp;ictv_id=ICTV202316229","ICTV202316229")</f>
        <v>ICTV202316229</v>
      </c>
      <c r="R10700" t="s">
        <v>581</v>
      </c>
      <c r="S10700" t="s">
        <v>823</v>
      </c>
      <c r="T10700">
        <v>39</v>
      </c>
      <c r="U10700" s="26" t="str">
        <f t="shared" si="392"/>
        <v>2023.001B.Leviviricetes_reorg.zip</v>
      </c>
    </row>
    <row r="10701" spans="1:21">
      <c r="A10701">
        <v>10700</v>
      </c>
      <c r="B10701" s="27" t="s">
        <v>1124</v>
      </c>
      <c r="D10701" s="27" t="s">
        <v>1859</v>
      </c>
      <c r="F10701" s="27" t="s">
        <v>1881</v>
      </c>
      <c r="H10701" s="27" t="s">
        <v>2679</v>
      </c>
      <c r="J10701" s="27" t="s">
        <v>2680</v>
      </c>
      <c r="L10701" s="27" t="s">
        <v>2810</v>
      </c>
      <c r="N10701" s="27" t="s">
        <v>2816</v>
      </c>
      <c r="P10701" s="27" t="s">
        <v>14556</v>
      </c>
      <c r="Q10701" s="26" t="str">
        <f>HYPERLINK("https://ictv.global/taxonomy/taxondetails?taxnode_id=202516230&amp;ictv_id=ICTV202316230","ICTV202316230")</f>
        <v>ICTV202316230</v>
      </c>
      <c r="R10701" t="s">
        <v>581</v>
      </c>
      <c r="S10701" t="s">
        <v>823</v>
      </c>
      <c r="T10701">
        <v>39</v>
      </c>
      <c r="U10701" s="26" t="str">
        <f t="shared" si="392"/>
        <v>2023.001B.Leviviricetes_reorg.zip</v>
      </c>
    </row>
    <row r="10702" spans="1:21">
      <c r="A10702">
        <v>10701</v>
      </c>
      <c r="B10702" s="27" t="s">
        <v>1124</v>
      </c>
      <c r="D10702" s="27" t="s">
        <v>1859</v>
      </c>
      <c r="F10702" s="27" t="s">
        <v>1881</v>
      </c>
      <c r="H10702" s="27" t="s">
        <v>2679</v>
      </c>
      <c r="J10702" s="27" t="s">
        <v>2680</v>
      </c>
      <c r="L10702" s="27" t="s">
        <v>2810</v>
      </c>
      <c r="N10702" s="27" t="s">
        <v>2820</v>
      </c>
      <c r="P10702" s="27" t="s">
        <v>14557</v>
      </c>
      <c r="Q10702" s="26" t="str">
        <f>HYPERLINK("https://ictv.global/taxonomy/taxondetails?taxnode_id=202516231&amp;ictv_id=ICTV202316231","ICTV202316231")</f>
        <v>ICTV202316231</v>
      </c>
      <c r="R10702" t="s">
        <v>581</v>
      </c>
      <c r="S10702" t="s">
        <v>823</v>
      </c>
      <c r="T10702">
        <v>39</v>
      </c>
      <c r="U10702" s="26" t="str">
        <f t="shared" si="392"/>
        <v>2023.001B.Leviviricetes_reorg.zip</v>
      </c>
    </row>
    <row r="10703" spans="1:21">
      <c r="A10703">
        <v>10702</v>
      </c>
      <c r="B10703" s="27" t="s">
        <v>1124</v>
      </c>
      <c r="D10703" s="27" t="s">
        <v>1859</v>
      </c>
      <c r="F10703" s="27" t="s">
        <v>1881</v>
      </c>
      <c r="H10703" s="27" t="s">
        <v>2679</v>
      </c>
      <c r="J10703" s="27" t="s">
        <v>2680</v>
      </c>
      <c r="L10703" s="27" t="s">
        <v>2810</v>
      </c>
      <c r="N10703" s="27" t="s">
        <v>2820</v>
      </c>
      <c r="P10703" s="27" t="s">
        <v>14558</v>
      </c>
      <c r="Q10703" s="26" t="str">
        <f>HYPERLINK("https://ictv.global/taxonomy/taxondetails?taxnode_id=202516232&amp;ictv_id=ICTV202316232","ICTV202316232")</f>
        <v>ICTV202316232</v>
      </c>
      <c r="R10703" t="s">
        <v>581</v>
      </c>
      <c r="S10703" t="s">
        <v>823</v>
      </c>
      <c r="T10703">
        <v>39</v>
      </c>
      <c r="U10703" s="26" t="str">
        <f t="shared" si="392"/>
        <v>2023.001B.Leviviricetes_reorg.zip</v>
      </c>
    </row>
    <row r="10704" spans="1:21">
      <c r="A10704">
        <v>10703</v>
      </c>
      <c r="B10704" s="27" t="s">
        <v>1124</v>
      </c>
      <c r="D10704" s="27" t="s">
        <v>1859</v>
      </c>
      <c r="F10704" s="27" t="s">
        <v>1881</v>
      </c>
      <c r="H10704" s="27" t="s">
        <v>2679</v>
      </c>
      <c r="J10704" s="27" t="s">
        <v>2680</v>
      </c>
      <c r="L10704" s="27" t="s">
        <v>2810</v>
      </c>
      <c r="N10704" s="27" t="s">
        <v>2820</v>
      </c>
      <c r="P10704" s="27" t="s">
        <v>2821</v>
      </c>
      <c r="Q10704" s="26" t="str">
        <f>HYPERLINK("https://ictv.global/taxonomy/taxondetails?taxnode_id=202510237&amp;ictv_id=ICTV202010237","ICTV202010237")</f>
        <v>ICTV202010237</v>
      </c>
      <c r="R10704" t="s">
        <v>581</v>
      </c>
      <c r="S10704" t="s">
        <v>823</v>
      </c>
      <c r="T10704">
        <v>36</v>
      </c>
      <c r="U10704" s="26" t="str">
        <f>HYPERLINK("https://ictv.global/ictv/proposals/2020.095B.R.Leviviricetes.zip","2020.095B.R.Leviviricetes.zip")</f>
        <v>2020.095B.R.Leviviricetes.zip</v>
      </c>
    </row>
    <row r="10705" spans="1:21">
      <c r="A10705">
        <v>10704</v>
      </c>
      <c r="B10705" s="27" t="s">
        <v>1124</v>
      </c>
      <c r="D10705" s="27" t="s">
        <v>1859</v>
      </c>
      <c r="F10705" s="27" t="s">
        <v>1881</v>
      </c>
      <c r="H10705" s="27" t="s">
        <v>2679</v>
      </c>
      <c r="J10705" s="27" t="s">
        <v>2680</v>
      </c>
      <c r="L10705" s="27" t="s">
        <v>2810</v>
      </c>
      <c r="N10705" s="27" t="s">
        <v>2820</v>
      </c>
      <c r="P10705" s="27" t="s">
        <v>2822</v>
      </c>
      <c r="Q10705" s="26" t="str">
        <f>HYPERLINK("https://ictv.global/taxonomy/taxondetails?taxnode_id=202510238&amp;ictv_id=ICTV202010238","ICTV202010238")</f>
        <v>ICTV202010238</v>
      </c>
      <c r="R10705" t="s">
        <v>581</v>
      </c>
      <c r="S10705" t="s">
        <v>823</v>
      </c>
      <c r="T10705">
        <v>36</v>
      </c>
      <c r="U10705" s="26" t="str">
        <f>HYPERLINK("https://ictv.global/ictv/proposals/2020.095B.R.Leviviricetes.zip","2020.095B.R.Leviviricetes.zip")</f>
        <v>2020.095B.R.Leviviricetes.zip</v>
      </c>
    </row>
    <row r="10706" spans="1:21">
      <c r="A10706">
        <v>10705</v>
      </c>
      <c r="B10706" s="27" t="s">
        <v>1124</v>
      </c>
      <c r="D10706" s="27" t="s">
        <v>1859</v>
      </c>
      <c r="F10706" s="27" t="s">
        <v>1881</v>
      </c>
      <c r="H10706" s="27" t="s">
        <v>2679</v>
      </c>
      <c r="J10706" s="27" t="s">
        <v>2680</v>
      </c>
      <c r="L10706" s="27" t="s">
        <v>2810</v>
      </c>
      <c r="N10706" s="27" t="s">
        <v>2820</v>
      </c>
      <c r="P10706" s="27" t="s">
        <v>2823</v>
      </c>
      <c r="Q10706" s="26" t="str">
        <f>HYPERLINK("https://ictv.global/taxonomy/taxondetails?taxnode_id=202510236&amp;ictv_id=ICTV202010236","ICTV202010236")</f>
        <v>ICTV202010236</v>
      </c>
      <c r="R10706" t="s">
        <v>581</v>
      </c>
      <c r="S10706" t="s">
        <v>823</v>
      </c>
      <c r="T10706">
        <v>36</v>
      </c>
      <c r="U10706" s="26" t="str">
        <f>HYPERLINK("https://ictv.global/ictv/proposals/2020.095B.R.Leviviricetes.zip","2020.095B.R.Leviviricetes.zip")</f>
        <v>2020.095B.R.Leviviricetes.zip</v>
      </c>
    </row>
    <row r="10707" spans="1:21">
      <c r="A10707">
        <v>10706</v>
      </c>
      <c r="B10707" s="27" t="s">
        <v>1124</v>
      </c>
      <c r="D10707" s="27" t="s">
        <v>1859</v>
      </c>
      <c r="F10707" s="27" t="s">
        <v>1881</v>
      </c>
      <c r="H10707" s="27" t="s">
        <v>2679</v>
      </c>
      <c r="J10707" s="27" t="s">
        <v>2680</v>
      </c>
      <c r="L10707" s="27" t="s">
        <v>2810</v>
      </c>
      <c r="N10707" s="27" t="s">
        <v>2820</v>
      </c>
      <c r="P10707" s="27" t="s">
        <v>14559</v>
      </c>
      <c r="Q10707" s="26" t="str">
        <f>HYPERLINK("https://ictv.global/taxonomy/taxondetails?taxnode_id=202516233&amp;ictv_id=ICTV202316233","ICTV202316233")</f>
        <v>ICTV202316233</v>
      </c>
      <c r="R10707" t="s">
        <v>581</v>
      </c>
      <c r="S10707" t="s">
        <v>823</v>
      </c>
      <c r="T10707">
        <v>39</v>
      </c>
      <c r="U10707" s="26" t="str">
        <f>HYPERLINK("https://ictv.global/ictv/proposals/2023.001B.Leviviricetes_reorg.zip","2023.001B.Leviviricetes_reorg.zip")</f>
        <v>2023.001B.Leviviricetes_reorg.zip</v>
      </c>
    </row>
    <row r="10708" spans="1:21">
      <c r="A10708">
        <v>10707</v>
      </c>
      <c r="B10708" s="27" t="s">
        <v>1124</v>
      </c>
      <c r="D10708" s="27" t="s">
        <v>1859</v>
      </c>
      <c r="F10708" s="27" t="s">
        <v>1881</v>
      </c>
      <c r="H10708" s="27" t="s">
        <v>2679</v>
      </c>
      <c r="J10708" s="27" t="s">
        <v>2680</v>
      </c>
      <c r="L10708" s="27" t="s">
        <v>2810</v>
      </c>
      <c r="N10708" s="27" t="s">
        <v>2824</v>
      </c>
      <c r="P10708" s="27" t="s">
        <v>2825</v>
      </c>
      <c r="Q10708" s="26" t="str">
        <f>HYPERLINK("https://ictv.global/taxonomy/taxondetails?taxnode_id=202510240&amp;ictv_id=ICTV202010240","ICTV202010240")</f>
        <v>ICTV202010240</v>
      </c>
      <c r="R10708" t="s">
        <v>581</v>
      </c>
      <c r="S10708" t="s">
        <v>823</v>
      </c>
      <c r="T10708">
        <v>36</v>
      </c>
      <c r="U10708" s="26" t="str">
        <f t="shared" ref="U10708:U10718" si="393">HYPERLINK("https://ictv.global/ictv/proposals/2020.095B.R.Leviviricetes.zip","2020.095B.R.Leviviricetes.zip")</f>
        <v>2020.095B.R.Leviviricetes.zip</v>
      </c>
    </row>
    <row r="10709" spans="1:21">
      <c r="A10709">
        <v>10708</v>
      </c>
      <c r="B10709" s="27" t="s">
        <v>1124</v>
      </c>
      <c r="D10709" s="27" t="s">
        <v>1859</v>
      </c>
      <c r="F10709" s="27" t="s">
        <v>1881</v>
      </c>
      <c r="H10709" s="27" t="s">
        <v>2679</v>
      </c>
      <c r="J10709" s="27" t="s">
        <v>2680</v>
      </c>
      <c r="L10709" s="27" t="s">
        <v>2810</v>
      </c>
      <c r="N10709" s="27" t="s">
        <v>2826</v>
      </c>
      <c r="P10709" s="27" t="s">
        <v>2827</v>
      </c>
      <c r="Q10709" s="26" t="str">
        <f>HYPERLINK("https://ictv.global/taxonomy/taxondetails?taxnode_id=202510244&amp;ictv_id=ICTV202010244","ICTV202010244")</f>
        <v>ICTV202010244</v>
      </c>
      <c r="R10709" t="s">
        <v>581</v>
      </c>
      <c r="S10709" t="s">
        <v>823</v>
      </c>
      <c r="T10709">
        <v>36</v>
      </c>
      <c r="U10709" s="26" t="str">
        <f t="shared" si="393"/>
        <v>2020.095B.R.Leviviricetes.zip</v>
      </c>
    </row>
    <row r="10710" spans="1:21">
      <c r="A10710">
        <v>10709</v>
      </c>
      <c r="B10710" s="27" t="s">
        <v>1124</v>
      </c>
      <c r="D10710" s="27" t="s">
        <v>1859</v>
      </c>
      <c r="F10710" s="27" t="s">
        <v>1881</v>
      </c>
      <c r="H10710" s="27" t="s">
        <v>2679</v>
      </c>
      <c r="J10710" s="27" t="s">
        <v>2680</v>
      </c>
      <c r="L10710" s="27" t="s">
        <v>2810</v>
      </c>
      <c r="N10710" s="27" t="s">
        <v>2828</v>
      </c>
      <c r="P10710" s="27" t="s">
        <v>2829</v>
      </c>
      <c r="Q10710" s="26" t="str">
        <f>HYPERLINK("https://ictv.global/taxonomy/taxondetails?taxnode_id=202510246&amp;ictv_id=ICTV202010246","ICTV202010246")</f>
        <v>ICTV202010246</v>
      </c>
      <c r="R10710" t="s">
        <v>581</v>
      </c>
      <c r="S10710" t="s">
        <v>823</v>
      </c>
      <c r="T10710">
        <v>36</v>
      </c>
      <c r="U10710" s="26" t="str">
        <f t="shared" si="393"/>
        <v>2020.095B.R.Leviviricetes.zip</v>
      </c>
    </row>
    <row r="10711" spans="1:21">
      <c r="A10711">
        <v>10710</v>
      </c>
      <c r="B10711" s="27" t="s">
        <v>1124</v>
      </c>
      <c r="D10711" s="27" t="s">
        <v>1859</v>
      </c>
      <c r="F10711" s="27" t="s">
        <v>1881</v>
      </c>
      <c r="H10711" s="27" t="s">
        <v>2679</v>
      </c>
      <c r="J10711" s="27" t="s">
        <v>2680</v>
      </c>
      <c r="L10711" s="27" t="s">
        <v>2810</v>
      </c>
      <c r="N10711" s="27" t="s">
        <v>2830</v>
      </c>
      <c r="P10711" s="27" t="s">
        <v>2831</v>
      </c>
      <c r="Q10711" s="26" t="str">
        <f>HYPERLINK("https://ictv.global/taxonomy/taxondetails?taxnode_id=202510250&amp;ictv_id=ICTV202010250","ICTV202010250")</f>
        <v>ICTV202010250</v>
      </c>
      <c r="R10711" t="s">
        <v>581</v>
      </c>
      <c r="S10711" t="s">
        <v>823</v>
      </c>
      <c r="T10711">
        <v>36</v>
      </c>
      <c r="U10711" s="26" t="str">
        <f t="shared" si="393"/>
        <v>2020.095B.R.Leviviricetes.zip</v>
      </c>
    </row>
    <row r="10712" spans="1:21">
      <c r="A10712">
        <v>10711</v>
      </c>
      <c r="B10712" s="27" t="s">
        <v>1124</v>
      </c>
      <c r="D10712" s="27" t="s">
        <v>1859</v>
      </c>
      <c r="F10712" s="27" t="s">
        <v>1881</v>
      </c>
      <c r="H10712" s="27" t="s">
        <v>2679</v>
      </c>
      <c r="J10712" s="27" t="s">
        <v>2680</v>
      </c>
      <c r="L10712" s="27" t="s">
        <v>2810</v>
      </c>
      <c r="N10712" s="27" t="s">
        <v>2832</v>
      </c>
      <c r="P10712" s="27" t="s">
        <v>2833</v>
      </c>
      <c r="Q10712" s="26" t="str">
        <f>HYPERLINK("https://ictv.global/taxonomy/taxondetails?taxnode_id=202510252&amp;ictv_id=ICTV202010252","ICTV202010252")</f>
        <v>ICTV202010252</v>
      </c>
      <c r="R10712" t="s">
        <v>581</v>
      </c>
      <c r="S10712" t="s">
        <v>823</v>
      </c>
      <c r="T10712">
        <v>36</v>
      </c>
      <c r="U10712" s="26" t="str">
        <f t="shared" si="393"/>
        <v>2020.095B.R.Leviviricetes.zip</v>
      </c>
    </row>
    <row r="10713" spans="1:21">
      <c r="A10713">
        <v>10712</v>
      </c>
      <c r="B10713" s="27" t="s">
        <v>1124</v>
      </c>
      <c r="D10713" s="27" t="s">
        <v>1859</v>
      </c>
      <c r="F10713" s="27" t="s">
        <v>1881</v>
      </c>
      <c r="H10713" s="27" t="s">
        <v>2679</v>
      </c>
      <c r="J10713" s="27" t="s">
        <v>2680</v>
      </c>
      <c r="L10713" s="27" t="s">
        <v>2810</v>
      </c>
      <c r="N10713" s="27" t="s">
        <v>2834</v>
      </c>
      <c r="P10713" s="27" t="s">
        <v>2835</v>
      </c>
      <c r="Q10713" s="26" t="str">
        <f>HYPERLINK("https://ictv.global/taxonomy/taxondetails?taxnode_id=202510254&amp;ictv_id=ICTV202010254","ICTV202010254")</f>
        <v>ICTV202010254</v>
      </c>
      <c r="R10713" t="s">
        <v>581</v>
      </c>
      <c r="S10713" t="s">
        <v>823</v>
      </c>
      <c r="T10713">
        <v>36</v>
      </c>
      <c r="U10713" s="26" t="str">
        <f t="shared" si="393"/>
        <v>2020.095B.R.Leviviricetes.zip</v>
      </c>
    </row>
    <row r="10714" spans="1:21">
      <c r="A10714">
        <v>10713</v>
      </c>
      <c r="B10714" s="27" t="s">
        <v>1124</v>
      </c>
      <c r="D10714" s="27" t="s">
        <v>1859</v>
      </c>
      <c r="F10714" s="27" t="s">
        <v>1881</v>
      </c>
      <c r="H10714" s="27" t="s">
        <v>2679</v>
      </c>
      <c r="J10714" s="27" t="s">
        <v>2680</v>
      </c>
      <c r="L10714" s="27" t="s">
        <v>2810</v>
      </c>
      <c r="N10714" s="27" t="s">
        <v>2836</v>
      </c>
      <c r="P10714" s="27" t="s">
        <v>2837</v>
      </c>
      <c r="Q10714" s="26" t="str">
        <f>HYPERLINK("https://ictv.global/taxonomy/taxondetails?taxnode_id=202510256&amp;ictv_id=ICTV202010256","ICTV202010256")</f>
        <v>ICTV202010256</v>
      </c>
      <c r="R10714" t="s">
        <v>581</v>
      </c>
      <c r="S10714" t="s">
        <v>823</v>
      </c>
      <c r="T10714">
        <v>36</v>
      </c>
      <c r="U10714" s="26" t="str">
        <f t="shared" si="393"/>
        <v>2020.095B.R.Leviviricetes.zip</v>
      </c>
    </row>
    <row r="10715" spans="1:21">
      <c r="A10715">
        <v>10714</v>
      </c>
      <c r="B10715" s="27" t="s">
        <v>1124</v>
      </c>
      <c r="D10715" s="27" t="s">
        <v>1859</v>
      </c>
      <c r="F10715" s="27" t="s">
        <v>1881</v>
      </c>
      <c r="H10715" s="27" t="s">
        <v>2679</v>
      </c>
      <c r="J10715" s="27" t="s">
        <v>2680</v>
      </c>
      <c r="L10715" s="27" t="s">
        <v>2810</v>
      </c>
      <c r="N10715" s="27" t="s">
        <v>2838</v>
      </c>
      <c r="P10715" s="27" t="s">
        <v>2839</v>
      </c>
      <c r="Q10715" s="26" t="str">
        <f>HYPERLINK("https://ictv.global/taxonomy/taxondetails?taxnode_id=202510258&amp;ictv_id=ICTV202010258","ICTV202010258")</f>
        <v>ICTV202010258</v>
      </c>
      <c r="R10715" t="s">
        <v>581</v>
      </c>
      <c r="S10715" t="s">
        <v>823</v>
      </c>
      <c r="T10715">
        <v>36</v>
      </c>
      <c r="U10715" s="26" t="str">
        <f t="shared" si="393"/>
        <v>2020.095B.R.Leviviricetes.zip</v>
      </c>
    </row>
    <row r="10716" spans="1:21">
      <c r="A10716">
        <v>10715</v>
      </c>
      <c r="B10716" s="27" t="s">
        <v>1124</v>
      </c>
      <c r="D10716" s="27" t="s">
        <v>1859</v>
      </c>
      <c r="F10716" s="27" t="s">
        <v>1881</v>
      </c>
      <c r="H10716" s="27" t="s">
        <v>2679</v>
      </c>
      <c r="J10716" s="27" t="s">
        <v>2680</v>
      </c>
      <c r="L10716" s="27" t="s">
        <v>2810</v>
      </c>
      <c r="N10716" s="27" t="s">
        <v>2840</v>
      </c>
      <c r="P10716" s="27" t="s">
        <v>2841</v>
      </c>
      <c r="Q10716" s="26" t="str">
        <f>HYPERLINK("https://ictv.global/taxonomy/taxondetails?taxnode_id=202510265&amp;ictv_id=ICTV202010265","ICTV202010265")</f>
        <v>ICTV202010265</v>
      </c>
      <c r="R10716" t="s">
        <v>581</v>
      </c>
      <c r="S10716" t="s">
        <v>823</v>
      </c>
      <c r="T10716">
        <v>36</v>
      </c>
      <c r="U10716" s="26" t="str">
        <f t="shared" si="393"/>
        <v>2020.095B.R.Leviviricetes.zip</v>
      </c>
    </row>
    <row r="10717" spans="1:21">
      <c r="A10717">
        <v>10716</v>
      </c>
      <c r="B10717" s="27" t="s">
        <v>1124</v>
      </c>
      <c r="D10717" s="27" t="s">
        <v>1859</v>
      </c>
      <c r="F10717" s="27" t="s">
        <v>1881</v>
      </c>
      <c r="H10717" s="27" t="s">
        <v>2679</v>
      </c>
      <c r="J10717" s="27" t="s">
        <v>2680</v>
      </c>
      <c r="L10717" s="27" t="s">
        <v>2810</v>
      </c>
      <c r="N10717" s="27" t="s">
        <v>2842</v>
      </c>
      <c r="P10717" s="27" t="s">
        <v>2843</v>
      </c>
      <c r="Q10717" s="26" t="str">
        <f>HYPERLINK("https://ictv.global/taxonomy/taxondetails?taxnode_id=202510267&amp;ictv_id=ICTV202010267","ICTV202010267")</f>
        <v>ICTV202010267</v>
      </c>
      <c r="R10717" t="s">
        <v>581</v>
      </c>
      <c r="S10717" t="s">
        <v>823</v>
      </c>
      <c r="T10717">
        <v>36</v>
      </c>
      <c r="U10717" s="26" t="str">
        <f t="shared" si="393"/>
        <v>2020.095B.R.Leviviricetes.zip</v>
      </c>
    </row>
    <row r="10718" spans="1:21">
      <c r="A10718">
        <v>10717</v>
      </c>
      <c r="B10718" s="27" t="s">
        <v>1124</v>
      </c>
      <c r="D10718" s="27" t="s">
        <v>1859</v>
      </c>
      <c r="F10718" s="27" t="s">
        <v>1881</v>
      </c>
      <c r="H10718" s="27" t="s">
        <v>2679</v>
      </c>
      <c r="J10718" s="27" t="s">
        <v>2680</v>
      </c>
      <c r="L10718" s="27" t="s">
        <v>2810</v>
      </c>
      <c r="N10718" s="27" t="s">
        <v>2844</v>
      </c>
      <c r="P10718" s="27" t="s">
        <v>2845</v>
      </c>
      <c r="Q10718" s="26" t="str">
        <f>HYPERLINK("https://ictv.global/taxonomy/taxondetails?taxnode_id=202510278&amp;ictv_id=ICTV202010278","ICTV202010278")</f>
        <v>ICTV202010278</v>
      </c>
      <c r="R10718" t="s">
        <v>581</v>
      </c>
      <c r="S10718" t="s">
        <v>823</v>
      </c>
      <c r="T10718">
        <v>36</v>
      </c>
      <c r="U10718" s="26" t="str">
        <f t="shared" si="393"/>
        <v>2020.095B.R.Leviviricetes.zip</v>
      </c>
    </row>
    <row r="10719" spans="1:21">
      <c r="A10719">
        <v>10718</v>
      </c>
      <c r="B10719" s="27" t="s">
        <v>1124</v>
      </c>
      <c r="D10719" s="27" t="s">
        <v>1859</v>
      </c>
      <c r="F10719" s="27" t="s">
        <v>1881</v>
      </c>
      <c r="H10719" s="27" t="s">
        <v>2679</v>
      </c>
      <c r="J10719" s="27" t="s">
        <v>2680</v>
      </c>
      <c r="L10719" s="27" t="s">
        <v>2810</v>
      </c>
      <c r="N10719" s="27" t="s">
        <v>2846</v>
      </c>
      <c r="P10719" s="27" t="s">
        <v>14560</v>
      </c>
      <c r="Q10719" s="26" t="str">
        <f>HYPERLINK("https://ictv.global/taxonomy/taxondetails?taxnode_id=202516234&amp;ictv_id=ICTV202316234","ICTV202316234")</f>
        <v>ICTV202316234</v>
      </c>
      <c r="R10719" t="s">
        <v>581</v>
      </c>
      <c r="S10719" t="s">
        <v>823</v>
      </c>
      <c r="T10719">
        <v>39</v>
      </c>
      <c r="U10719" s="26" t="str">
        <f>HYPERLINK("https://ictv.global/ictv/proposals/2023.001B.Leviviricetes_reorg.zip","2023.001B.Leviviricetes_reorg.zip")</f>
        <v>2023.001B.Leviviricetes_reorg.zip</v>
      </c>
    </row>
    <row r="10720" spans="1:21">
      <c r="A10720">
        <v>10719</v>
      </c>
      <c r="B10720" s="27" t="s">
        <v>1124</v>
      </c>
      <c r="D10720" s="27" t="s">
        <v>1859</v>
      </c>
      <c r="F10720" s="27" t="s">
        <v>1881</v>
      </c>
      <c r="H10720" s="27" t="s">
        <v>2679</v>
      </c>
      <c r="J10720" s="27" t="s">
        <v>2680</v>
      </c>
      <c r="L10720" s="27" t="s">
        <v>2810</v>
      </c>
      <c r="N10720" s="27" t="s">
        <v>2846</v>
      </c>
      <c r="P10720" s="27" t="s">
        <v>14561</v>
      </c>
      <c r="Q10720" s="26" t="str">
        <f>HYPERLINK("https://ictv.global/taxonomy/taxondetails?taxnode_id=202516235&amp;ictv_id=ICTV202316235","ICTV202316235")</f>
        <v>ICTV202316235</v>
      </c>
      <c r="R10720" t="s">
        <v>581</v>
      </c>
      <c r="S10720" t="s">
        <v>823</v>
      </c>
      <c r="T10720">
        <v>39</v>
      </c>
      <c r="U10720" s="26" t="str">
        <f>HYPERLINK("https://ictv.global/ictv/proposals/2023.001B.Leviviricetes_reorg.zip","2023.001B.Leviviricetes_reorg.zip")</f>
        <v>2023.001B.Leviviricetes_reorg.zip</v>
      </c>
    </row>
    <row r="10721" spans="1:21">
      <c r="A10721">
        <v>10720</v>
      </c>
      <c r="B10721" s="27" t="s">
        <v>1124</v>
      </c>
      <c r="D10721" s="27" t="s">
        <v>1859</v>
      </c>
      <c r="F10721" s="27" t="s">
        <v>1881</v>
      </c>
      <c r="H10721" s="27" t="s">
        <v>2679</v>
      </c>
      <c r="J10721" s="27" t="s">
        <v>2680</v>
      </c>
      <c r="L10721" s="27" t="s">
        <v>2810</v>
      </c>
      <c r="N10721" s="27" t="s">
        <v>2846</v>
      </c>
      <c r="P10721" s="27" t="s">
        <v>14562</v>
      </c>
      <c r="Q10721" s="26" t="str">
        <f>HYPERLINK("https://ictv.global/taxonomy/taxondetails?taxnode_id=202516236&amp;ictv_id=ICTV202316236","ICTV202316236")</f>
        <v>ICTV202316236</v>
      </c>
      <c r="R10721" t="s">
        <v>581</v>
      </c>
      <c r="S10721" t="s">
        <v>823</v>
      </c>
      <c r="T10721">
        <v>39</v>
      </c>
      <c r="U10721" s="26" t="str">
        <f>HYPERLINK("https://ictv.global/ictv/proposals/2023.001B.Leviviricetes_reorg.zip","2023.001B.Leviviricetes_reorg.zip")</f>
        <v>2023.001B.Leviviricetes_reorg.zip</v>
      </c>
    </row>
    <row r="10722" spans="1:21">
      <c r="A10722">
        <v>10721</v>
      </c>
      <c r="B10722" s="27" t="s">
        <v>1124</v>
      </c>
      <c r="D10722" s="27" t="s">
        <v>1859</v>
      </c>
      <c r="F10722" s="27" t="s">
        <v>1881</v>
      </c>
      <c r="H10722" s="27" t="s">
        <v>2679</v>
      </c>
      <c r="J10722" s="27" t="s">
        <v>2680</v>
      </c>
      <c r="L10722" s="27" t="s">
        <v>2810</v>
      </c>
      <c r="N10722" s="27" t="s">
        <v>2846</v>
      </c>
      <c r="P10722" s="27" t="s">
        <v>2847</v>
      </c>
      <c r="Q10722" s="26" t="str">
        <f>HYPERLINK("https://ictv.global/taxonomy/taxondetails?taxnode_id=202510280&amp;ictv_id=ICTV202010280","ICTV202010280")</f>
        <v>ICTV202010280</v>
      </c>
      <c r="R10722" t="s">
        <v>581</v>
      </c>
      <c r="S10722" t="s">
        <v>823</v>
      </c>
      <c r="T10722">
        <v>36</v>
      </c>
      <c r="U10722" s="26" t="str">
        <f>HYPERLINK("https://ictv.global/ictv/proposals/2020.095B.R.Leviviricetes.zip","2020.095B.R.Leviviricetes.zip")</f>
        <v>2020.095B.R.Leviviricetes.zip</v>
      </c>
    </row>
    <row r="10723" spans="1:21">
      <c r="A10723">
        <v>10722</v>
      </c>
      <c r="B10723" s="27" t="s">
        <v>1124</v>
      </c>
      <c r="D10723" s="27" t="s">
        <v>1859</v>
      </c>
      <c r="F10723" s="27" t="s">
        <v>1881</v>
      </c>
      <c r="H10723" s="27" t="s">
        <v>2679</v>
      </c>
      <c r="J10723" s="27" t="s">
        <v>2680</v>
      </c>
      <c r="L10723" s="27" t="s">
        <v>2810</v>
      </c>
      <c r="N10723" s="27" t="s">
        <v>2846</v>
      </c>
      <c r="P10723" s="27" t="s">
        <v>14563</v>
      </c>
      <c r="Q10723" s="26" t="str">
        <f>HYPERLINK("https://ictv.global/taxonomy/taxondetails?taxnode_id=202516237&amp;ictv_id=ICTV202316237","ICTV202316237")</f>
        <v>ICTV202316237</v>
      </c>
      <c r="R10723" t="s">
        <v>581</v>
      </c>
      <c r="S10723" t="s">
        <v>823</v>
      </c>
      <c r="T10723">
        <v>39</v>
      </c>
      <c r="U10723" s="26" t="str">
        <f>HYPERLINK("https://ictv.global/ictv/proposals/2023.001B.Leviviricetes_reorg.zip","2023.001B.Leviviricetes_reorg.zip")</f>
        <v>2023.001B.Leviviricetes_reorg.zip</v>
      </c>
    </row>
    <row r="10724" spans="1:21">
      <c r="A10724">
        <v>10723</v>
      </c>
      <c r="B10724" s="27" t="s">
        <v>1124</v>
      </c>
      <c r="D10724" s="27" t="s">
        <v>1859</v>
      </c>
      <c r="F10724" s="27" t="s">
        <v>1881</v>
      </c>
      <c r="H10724" s="27" t="s">
        <v>2679</v>
      </c>
      <c r="J10724" s="27" t="s">
        <v>2680</v>
      </c>
      <c r="L10724" s="27" t="s">
        <v>2810</v>
      </c>
      <c r="N10724" s="27" t="s">
        <v>2846</v>
      </c>
      <c r="P10724" s="27" t="s">
        <v>14564</v>
      </c>
      <c r="Q10724" s="26" t="str">
        <f>HYPERLINK("https://ictv.global/taxonomy/taxondetails?taxnode_id=202516238&amp;ictv_id=ICTV202316238","ICTV202316238")</f>
        <v>ICTV202316238</v>
      </c>
      <c r="R10724" t="s">
        <v>581</v>
      </c>
      <c r="S10724" t="s">
        <v>823</v>
      </c>
      <c r="T10724">
        <v>39</v>
      </c>
      <c r="U10724" s="26" t="str">
        <f>HYPERLINK("https://ictv.global/ictv/proposals/2023.001B.Leviviricetes_reorg.zip","2023.001B.Leviviricetes_reorg.zip")</f>
        <v>2023.001B.Leviviricetes_reorg.zip</v>
      </c>
    </row>
    <row r="10725" spans="1:21">
      <c r="A10725">
        <v>10724</v>
      </c>
      <c r="B10725" s="27" t="s">
        <v>1124</v>
      </c>
      <c r="D10725" s="27" t="s">
        <v>1859</v>
      </c>
      <c r="F10725" s="27" t="s">
        <v>1881</v>
      </c>
      <c r="H10725" s="27" t="s">
        <v>2679</v>
      </c>
      <c r="J10725" s="27" t="s">
        <v>2680</v>
      </c>
      <c r="L10725" s="27" t="s">
        <v>2810</v>
      </c>
      <c r="N10725" s="27" t="s">
        <v>2846</v>
      </c>
      <c r="P10725" s="27" t="s">
        <v>14565</v>
      </c>
      <c r="Q10725" s="26" t="str">
        <f>HYPERLINK("https://ictv.global/taxonomy/taxondetails?taxnode_id=202516239&amp;ictv_id=ICTV202316239","ICTV202316239")</f>
        <v>ICTV202316239</v>
      </c>
      <c r="R10725" t="s">
        <v>581</v>
      </c>
      <c r="S10725" t="s">
        <v>823</v>
      </c>
      <c r="T10725">
        <v>39</v>
      </c>
      <c r="U10725" s="26" t="str">
        <f>HYPERLINK("https://ictv.global/ictv/proposals/2023.001B.Leviviricetes_reorg.zip","2023.001B.Leviviricetes_reorg.zip")</f>
        <v>2023.001B.Leviviricetes_reorg.zip</v>
      </c>
    </row>
    <row r="10726" spans="1:21">
      <c r="A10726">
        <v>10725</v>
      </c>
      <c r="B10726" s="27" t="s">
        <v>1124</v>
      </c>
      <c r="D10726" s="27" t="s">
        <v>1859</v>
      </c>
      <c r="F10726" s="27" t="s">
        <v>1881</v>
      </c>
      <c r="H10726" s="27" t="s">
        <v>2679</v>
      </c>
      <c r="J10726" s="27" t="s">
        <v>2680</v>
      </c>
      <c r="L10726" s="27" t="s">
        <v>2810</v>
      </c>
      <c r="N10726" s="27" t="s">
        <v>2848</v>
      </c>
      <c r="P10726" s="27" t="s">
        <v>2849</v>
      </c>
      <c r="Q10726" s="26" t="str">
        <f>HYPERLINK("https://ictv.global/taxonomy/taxondetails?taxnode_id=202510282&amp;ictv_id=ICTV202010282","ICTV202010282")</f>
        <v>ICTV202010282</v>
      </c>
      <c r="R10726" t="s">
        <v>581</v>
      </c>
      <c r="S10726" t="s">
        <v>823</v>
      </c>
      <c r="T10726">
        <v>36</v>
      </c>
      <c r="U10726" s="26" t="str">
        <f>HYPERLINK("https://ictv.global/ictv/proposals/2020.095B.R.Leviviricetes.zip","2020.095B.R.Leviviricetes.zip")</f>
        <v>2020.095B.R.Leviviricetes.zip</v>
      </c>
    </row>
    <row r="10727" spans="1:21">
      <c r="A10727">
        <v>10726</v>
      </c>
      <c r="B10727" s="27" t="s">
        <v>1124</v>
      </c>
      <c r="D10727" s="27" t="s">
        <v>1859</v>
      </c>
      <c r="F10727" s="27" t="s">
        <v>1881</v>
      </c>
      <c r="H10727" s="27" t="s">
        <v>2679</v>
      </c>
      <c r="J10727" s="27" t="s">
        <v>2680</v>
      </c>
      <c r="L10727" s="27" t="s">
        <v>2810</v>
      </c>
      <c r="N10727" s="27" t="s">
        <v>2848</v>
      </c>
      <c r="P10727" s="27" t="s">
        <v>2850</v>
      </c>
      <c r="Q10727" s="26" t="str">
        <f>HYPERLINK("https://ictv.global/taxonomy/taxondetails?taxnode_id=202510283&amp;ictv_id=ICTV202010283","ICTV202010283")</f>
        <v>ICTV202010283</v>
      </c>
      <c r="R10727" t="s">
        <v>581</v>
      </c>
      <c r="S10727" t="s">
        <v>823</v>
      </c>
      <c r="T10727">
        <v>36</v>
      </c>
      <c r="U10727" s="26" t="str">
        <f>HYPERLINK("https://ictv.global/ictv/proposals/2020.095B.R.Leviviricetes.zip","2020.095B.R.Leviviricetes.zip")</f>
        <v>2020.095B.R.Leviviricetes.zip</v>
      </c>
    </row>
    <row r="10728" spans="1:21">
      <c r="A10728">
        <v>10727</v>
      </c>
      <c r="B10728" s="27" t="s">
        <v>1124</v>
      </c>
      <c r="D10728" s="27" t="s">
        <v>1859</v>
      </c>
      <c r="F10728" s="27" t="s">
        <v>1881</v>
      </c>
      <c r="H10728" s="27" t="s">
        <v>2679</v>
      </c>
      <c r="J10728" s="27" t="s">
        <v>2680</v>
      </c>
      <c r="L10728" s="27" t="s">
        <v>2810</v>
      </c>
      <c r="N10728" s="27" t="s">
        <v>2851</v>
      </c>
      <c r="P10728" s="27" t="s">
        <v>2852</v>
      </c>
      <c r="Q10728" s="26" t="str">
        <f>HYPERLINK("https://ictv.global/taxonomy/taxondetails?taxnode_id=202510286&amp;ictv_id=ICTV202010286","ICTV202010286")</f>
        <v>ICTV202010286</v>
      </c>
      <c r="R10728" t="s">
        <v>581</v>
      </c>
      <c r="S10728" t="s">
        <v>823</v>
      </c>
      <c r="T10728">
        <v>36</v>
      </c>
      <c r="U10728" s="26" t="str">
        <f>HYPERLINK("https://ictv.global/ictv/proposals/2020.095B.R.Leviviricetes.zip","2020.095B.R.Leviviricetes.zip")</f>
        <v>2020.095B.R.Leviviricetes.zip</v>
      </c>
    </row>
    <row r="10729" spans="1:21">
      <c r="A10729">
        <v>10728</v>
      </c>
      <c r="B10729" s="27" t="s">
        <v>1124</v>
      </c>
      <c r="D10729" s="27" t="s">
        <v>1859</v>
      </c>
      <c r="F10729" s="27" t="s">
        <v>1881</v>
      </c>
      <c r="H10729" s="27" t="s">
        <v>2679</v>
      </c>
      <c r="J10729" s="27" t="s">
        <v>2680</v>
      </c>
      <c r="L10729" s="27" t="s">
        <v>2810</v>
      </c>
      <c r="N10729" s="27" t="s">
        <v>2851</v>
      </c>
      <c r="P10729" s="27" t="s">
        <v>14566</v>
      </c>
      <c r="Q10729" s="26" t="str">
        <f>HYPERLINK("https://ictv.global/taxonomy/taxondetails?taxnode_id=202516240&amp;ictv_id=ICTV202316240","ICTV202316240")</f>
        <v>ICTV202316240</v>
      </c>
      <c r="R10729" t="s">
        <v>581</v>
      </c>
      <c r="S10729" t="s">
        <v>823</v>
      </c>
      <c r="T10729">
        <v>39</v>
      </c>
      <c r="U10729" s="26" t="str">
        <f>HYPERLINK("https://ictv.global/ictv/proposals/2023.001B.Leviviricetes_reorg.zip","2023.001B.Leviviricetes_reorg.zip")</f>
        <v>2023.001B.Leviviricetes_reorg.zip</v>
      </c>
    </row>
    <row r="10730" spans="1:21">
      <c r="A10730">
        <v>10729</v>
      </c>
      <c r="B10730" s="27" t="s">
        <v>1124</v>
      </c>
      <c r="D10730" s="27" t="s">
        <v>1859</v>
      </c>
      <c r="F10730" s="27" t="s">
        <v>1881</v>
      </c>
      <c r="H10730" s="27" t="s">
        <v>2679</v>
      </c>
      <c r="J10730" s="27" t="s">
        <v>2680</v>
      </c>
      <c r="L10730" s="27" t="s">
        <v>2810</v>
      </c>
      <c r="N10730" s="27" t="s">
        <v>2851</v>
      </c>
      <c r="P10730" s="27" t="s">
        <v>2853</v>
      </c>
      <c r="Q10730" s="26" t="str">
        <f>HYPERLINK("https://ictv.global/taxonomy/taxondetails?taxnode_id=202510285&amp;ictv_id=ICTV202010285","ICTV202010285")</f>
        <v>ICTV202010285</v>
      </c>
      <c r="R10730" t="s">
        <v>581</v>
      </c>
      <c r="S10730" t="s">
        <v>823</v>
      </c>
      <c r="T10730">
        <v>36</v>
      </c>
      <c r="U10730" s="26" t="str">
        <f>HYPERLINK("https://ictv.global/ictv/proposals/2020.095B.R.Leviviricetes.zip","2020.095B.R.Leviviricetes.zip")</f>
        <v>2020.095B.R.Leviviricetes.zip</v>
      </c>
    </row>
    <row r="10731" spans="1:21">
      <c r="A10731">
        <v>10730</v>
      </c>
      <c r="B10731" s="27" t="s">
        <v>1124</v>
      </c>
      <c r="D10731" s="27" t="s">
        <v>1859</v>
      </c>
      <c r="F10731" s="27" t="s">
        <v>1881</v>
      </c>
      <c r="H10731" s="27" t="s">
        <v>2679</v>
      </c>
      <c r="J10731" s="27" t="s">
        <v>2680</v>
      </c>
      <c r="L10731" s="27" t="s">
        <v>2810</v>
      </c>
      <c r="N10731" s="27" t="s">
        <v>2854</v>
      </c>
      <c r="P10731" s="27" t="s">
        <v>14567</v>
      </c>
      <c r="Q10731" s="26" t="str">
        <f>HYPERLINK("https://ictv.global/taxonomy/taxondetails?taxnode_id=202516241&amp;ictv_id=ICTV202316241","ICTV202316241")</f>
        <v>ICTV202316241</v>
      </c>
      <c r="R10731" t="s">
        <v>581</v>
      </c>
      <c r="S10731" t="s">
        <v>823</v>
      </c>
      <c r="T10731">
        <v>39</v>
      </c>
      <c r="U10731" s="26" t="str">
        <f>HYPERLINK("https://ictv.global/ictv/proposals/2023.001B.Leviviricetes_reorg.zip","2023.001B.Leviviricetes_reorg.zip")</f>
        <v>2023.001B.Leviviricetes_reorg.zip</v>
      </c>
    </row>
    <row r="10732" spans="1:21">
      <c r="A10732">
        <v>10731</v>
      </c>
      <c r="B10732" s="27" t="s">
        <v>1124</v>
      </c>
      <c r="D10732" s="27" t="s">
        <v>1859</v>
      </c>
      <c r="F10732" s="27" t="s">
        <v>1881</v>
      </c>
      <c r="H10732" s="27" t="s">
        <v>2679</v>
      </c>
      <c r="J10732" s="27" t="s">
        <v>2680</v>
      </c>
      <c r="L10732" s="27" t="s">
        <v>2810</v>
      </c>
      <c r="N10732" s="27" t="s">
        <v>2854</v>
      </c>
      <c r="P10732" s="27" t="s">
        <v>14568</v>
      </c>
      <c r="Q10732" s="26" t="str">
        <f>HYPERLINK("https://ictv.global/taxonomy/taxondetails?taxnode_id=202516242&amp;ictv_id=ICTV202316242","ICTV202316242")</f>
        <v>ICTV202316242</v>
      </c>
      <c r="R10732" t="s">
        <v>581</v>
      </c>
      <c r="S10732" t="s">
        <v>823</v>
      </c>
      <c r="T10732">
        <v>39</v>
      </c>
      <c r="U10732" s="26" t="str">
        <f>HYPERLINK("https://ictv.global/ictv/proposals/2023.001B.Leviviricetes_reorg.zip","2023.001B.Leviviricetes_reorg.zip")</f>
        <v>2023.001B.Leviviricetes_reorg.zip</v>
      </c>
    </row>
    <row r="10733" spans="1:21">
      <c r="A10733">
        <v>10732</v>
      </c>
      <c r="B10733" s="27" t="s">
        <v>1124</v>
      </c>
      <c r="D10733" s="27" t="s">
        <v>1859</v>
      </c>
      <c r="F10733" s="27" t="s">
        <v>1881</v>
      </c>
      <c r="H10733" s="27" t="s">
        <v>2679</v>
      </c>
      <c r="J10733" s="27" t="s">
        <v>2680</v>
      </c>
      <c r="L10733" s="27" t="s">
        <v>2810</v>
      </c>
      <c r="N10733" s="27" t="s">
        <v>2854</v>
      </c>
      <c r="P10733" s="27" t="s">
        <v>14569</v>
      </c>
      <c r="Q10733" s="26" t="str">
        <f>HYPERLINK("https://ictv.global/taxonomy/taxondetails?taxnode_id=202516243&amp;ictv_id=ICTV202316243","ICTV202316243")</f>
        <v>ICTV202316243</v>
      </c>
      <c r="R10733" t="s">
        <v>581</v>
      </c>
      <c r="S10733" t="s">
        <v>823</v>
      </c>
      <c r="T10733">
        <v>39</v>
      </c>
      <c r="U10733" s="26" t="str">
        <f>HYPERLINK("https://ictv.global/ictv/proposals/2023.001B.Leviviricetes_reorg.zip","2023.001B.Leviviricetes_reorg.zip")</f>
        <v>2023.001B.Leviviricetes_reorg.zip</v>
      </c>
    </row>
    <row r="10734" spans="1:21">
      <c r="A10734">
        <v>10733</v>
      </c>
      <c r="B10734" s="27" t="s">
        <v>1124</v>
      </c>
      <c r="D10734" s="27" t="s">
        <v>1859</v>
      </c>
      <c r="F10734" s="27" t="s">
        <v>1881</v>
      </c>
      <c r="H10734" s="27" t="s">
        <v>2679</v>
      </c>
      <c r="J10734" s="27" t="s">
        <v>2680</v>
      </c>
      <c r="L10734" s="27" t="s">
        <v>2810</v>
      </c>
      <c r="N10734" s="27" t="s">
        <v>2854</v>
      </c>
      <c r="P10734" s="27" t="s">
        <v>2855</v>
      </c>
      <c r="Q10734" s="26" t="str">
        <f>HYPERLINK("https://ictv.global/taxonomy/taxondetails?taxnode_id=202510289&amp;ictv_id=ICTV202010289","ICTV202010289")</f>
        <v>ICTV202010289</v>
      </c>
      <c r="R10734" t="s">
        <v>581</v>
      </c>
      <c r="S10734" t="s">
        <v>823</v>
      </c>
      <c r="T10734">
        <v>36</v>
      </c>
      <c r="U10734" s="26" t="str">
        <f>HYPERLINK("https://ictv.global/ictv/proposals/2020.095B.R.Leviviricetes.zip","2020.095B.R.Leviviricetes.zip")</f>
        <v>2020.095B.R.Leviviricetes.zip</v>
      </c>
    </row>
    <row r="10735" spans="1:21">
      <c r="A10735">
        <v>10734</v>
      </c>
      <c r="B10735" s="27" t="s">
        <v>1124</v>
      </c>
      <c r="D10735" s="27" t="s">
        <v>1859</v>
      </c>
      <c r="F10735" s="27" t="s">
        <v>1881</v>
      </c>
      <c r="H10735" s="27" t="s">
        <v>2679</v>
      </c>
      <c r="J10735" s="27" t="s">
        <v>2680</v>
      </c>
      <c r="L10735" s="27" t="s">
        <v>2810</v>
      </c>
      <c r="N10735" s="27" t="s">
        <v>2854</v>
      </c>
      <c r="P10735" s="27" t="s">
        <v>2856</v>
      </c>
      <c r="Q10735" s="26" t="str">
        <f>HYPERLINK("https://ictv.global/taxonomy/taxondetails?taxnode_id=202510288&amp;ictv_id=ICTV202010288","ICTV202010288")</f>
        <v>ICTV202010288</v>
      </c>
      <c r="R10735" t="s">
        <v>581</v>
      </c>
      <c r="S10735" t="s">
        <v>823</v>
      </c>
      <c r="T10735">
        <v>36</v>
      </c>
      <c r="U10735" s="26" t="str">
        <f>HYPERLINK("https://ictv.global/ictv/proposals/2020.095B.R.Leviviricetes.zip","2020.095B.R.Leviviricetes.zip")</f>
        <v>2020.095B.R.Leviviricetes.zip</v>
      </c>
    </row>
    <row r="10736" spans="1:21">
      <c r="A10736">
        <v>10735</v>
      </c>
      <c r="B10736" s="27" t="s">
        <v>1124</v>
      </c>
      <c r="D10736" s="27" t="s">
        <v>1859</v>
      </c>
      <c r="F10736" s="27" t="s">
        <v>1881</v>
      </c>
      <c r="H10736" s="27" t="s">
        <v>2679</v>
      </c>
      <c r="J10736" s="27" t="s">
        <v>2680</v>
      </c>
      <c r="L10736" s="27" t="s">
        <v>2810</v>
      </c>
      <c r="N10736" s="27" t="s">
        <v>2854</v>
      </c>
      <c r="P10736" s="27" t="s">
        <v>2857</v>
      </c>
      <c r="Q10736" s="26" t="str">
        <f>HYPERLINK("https://ictv.global/taxonomy/taxondetails?taxnode_id=202510290&amp;ictv_id=ICTV202010290","ICTV202010290")</f>
        <v>ICTV202010290</v>
      </c>
      <c r="R10736" t="s">
        <v>581</v>
      </c>
      <c r="S10736" t="s">
        <v>823</v>
      </c>
      <c r="T10736">
        <v>36</v>
      </c>
      <c r="U10736" s="26" t="str">
        <f>HYPERLINK("https://ictv.global/ictv/proposals/2020.095B.R.Leviviricetes.zip","2020.095B.R.Leviviricetes.zip")</f>
        <v>2020.095B.R.Leviviricetes.zip</v>
      </c>
    </row>
    <row r="10737" spans="1:21">
      <c r="A10737">
        <v>10736</v>
      </c>
      <c r="B10737" s="27" t="s">
        <v>1124</v>
      </c>
      <c r="D10737" s="27" t="s">
        <v>1859</v>
      </c>
      <c r="F10737" s="27" t="s">
        <v>1881</v>
      </c>
      <c r="H10737" s="27" t="s">
        <v>2679</v>
      </c>
      <c r="J10737" s="27" t="s">
        <v>2680</v>
      </c>
      <c r="L10737" s="27" t="s">
        <v>2810</v>
      </c>
      <c r="N10737" s="27" t="s">
        <v>2854</v>
      </c>
      <c r="P10737" s="27" t="s">
        <v>14570</v>
      </c>
      <c r="Q10737" s="26" t="str">
        <f>HYPERLINK("https://ictv.global/taxonomy/taxondetails?taxnode_id=202516244&amp;ictv_id=ICTV202316244","ICTV202316244")</f>
        <v>ICTV202316244</v>
      </c>
      <c r="R10737" t="s">
        <v>581</v>
      </c>
      <c r="S10737" t="s">
        <v>823</v>
      </c>
      <c r="T10737">
        <v>39</v>
      </c>
      <c r="U10737" s="26" t="str">
        <f>HYPERLINK("https://ictv.global/ictv/proposals/2023.001B.Leviviricetes_reorg.zip","2023.001B.Leviviricetes_reorg.zip")</f>
        <v>2023.001B.Leviviricetes_reorg.zip</v>
      </c>
    </row>
    <row r="10738" spans="1:21">
      <c r="A10738">
        <v>10737</v>
      </c>
      <c r="B10738" s="27" t="s">
        <v>1124</v>
      </c>
      <c r="D10738" s="27" t="s">
        <v>1859</v>
      </c>
      <c r="F10738" s="27" t="s">
        <v>1881</v>
      </c>
      <c r="H10738" s="27" t="s">
        <v>2679</v>
      </c>
      <c r="J10738" s="27" t="s">
        <v>2680</v>
      </c>
      <c r="L10738" s="27" t="s">
        <v>2810</v>
      </c>
      <c r="N10738" s="27" t="s">
        <v>2854</v>
      </c>
      <c r="P10738" s="27" t="s">
        <v>14571</v>
      </c>
      <c r="Q10738" s="26" t="str">
        <f>HYPERLINK("https://ictv.global/taxonomy/taxondetails?taxnode_id=202516245&amp;ictv_id=ICTV202316245","ICTV202316245")</f>
        <v>ICTV202316245</v>
      </c>
      <c r="R10738" t="s">
        <v>581</v>
      </c>
      <c r="S10738" t="s">
        <v>823</v>
      </c>
      <c r="T10738">
        <v>39</v>
      </c>
      <c r="U10738" s="26" t="str">
        <f>HYPERLINK("https://ictv.global/ictv/proposals/2023.001B.Leviviricetes_reorg.zip","2023.001B.Leviviricetes_reorg.zip")</f>
        <v>2023.001B.Leviviricetes_reorg.zip</v>
      </c>
    </row>
    <row r="10739" spans="1:21">
      <c r="A10739">
        <v>10738</v>
      </c>
      <c r="B10739" s="27" t="s">
        <v>1124</v>
      </c>
      <c r="D10739" s="27" t="s">
        <v>1859</v>
      </c>
      <c r="F10739" s="27" t="s">
        <v>1881</v>
      </c>
      <c r="H10739" s="27" t="s">
        <v>2679</v>
      </c>
      <c r="J10739" s="27" t="s">
        <v>2680</v>
      </c>
      <c r="L10739" s="27" t="s">
        <v>2810</v>
      </c>
      <c r="N10739" s="27" t="s">
        <v>2854</v>
      </c>
      <c r="P10739" s="27" t="s">
        <v>14572</v>
      </c>
      <c r="Q10739" s="26" t="str">
        <f>HYPERLINK("https://ictv.global/taxonomy/taxondetails?taxnode_id=202516246&amp;ictv_id=ICTV202316246","ICTV202316246")</f>
        <v>ICTV202316246</v>
      </c>
      <c r="R10739" t="s">
        <v>581</v>
      </c>
      <c r="S10739" t="s">
        <v>823</v>
      </c>
      <c r="T10739">
        <v>39</v>
      </c>
      <c r="U10739" s="26" t="str">
        <f>HYPERLINK("https://ictv.global/ictv/proposals/2023.001B.Leviviricetes_reorg.zip","2023.001B.Leviviricetes_reorg.zip")</f>
        <v>2023.001B.Leviviricetes_reorg.zip</v>
      </c>
    </row>
    <row r="10740" spans="1:21">
      <c r="A10740">
        <v>10739</v>
      </c>
      <c r="B10740" s="27" t="s">
        <v>1124</v>
      </c>
      <c r="D10740" s="27" t="s">
        <v>1859</v>
      </c>
      <c r="F10740" s="27" t="s">
        <v>1881</v>
      </c>
      <c r="H10740" s="27" t="s">
        <v>2679</v>
      </c>
      <c r="J10740" s="27" t="s">
        <v>2680</v>
      </c>
      <c r="L10740" s="27" t="s">
        <v>2810</v>
      </c>
      <c r="N10740" s="27" t="s">
        <v>2854</v>
      </c>
      <c r="P10740" s="27" t="s">
        <v>14573</v>
      </c>
      <c r="Q10740" s="26" t="str">
        <f>HYPERLINK("https://ictv.global/taxonomy/taxondetails?taxnode_id=202516247&amp;ictv_id=ICTV202316247","ICTV202316247")</f>
        <v>ICTV202316247</v>
      </c>
      <c r="R10740" t="s">
        <v>581</v>
      </c>
      <c r="S10740" t="s">
        <v>823</v>
      </c>
      <c r="T10740">
        <v>39</v>
      </c>
      <c r="U10740" s="26" t="str">
        <f>HYPERLINK("https://ictv.global/ictv/proposals/2023.001B.Leviviricetes_reorg.zip","2023.001B.Leviviricetes_reorg.zip")</f>
        <v>2023.001B.Leviviricetes_reorg.zip</v>
      </c>
    </row>
    <row r="10741" spans="1:21">
      <c r="A10741">
        <v>10740</v>
      </c>
      <c r="B10741" s="27" t="s">
        <v>1124</v>
      </c>
      <c r="D10741" s="27" t="s">
        <v>1859</v>
      </c>
      <c r="F10741" s="27" t="s">
        <v>1881</v>
      </c>
      <c r="H10741" s="27" t="s">
        <v>2679</v>
      </c>
      <c r="J10741" s="27" t="s">
        <v>2680</v>
      </c>
      <c r="L10741" s="27" t="s">
        <v>2810</v>
      </c>
      <c r="N10741" s="27" t="s">
        <v>2854</v>
      </c>
      <c r="P10741" s="27" t="s">
        <v>14574</v>
      </c>
      <c r="Q10741" s="26" t="str">
        <f>HYPERLINK("https://ictv.global/taxonomy/taxondetails?taxnode_id=202516248&amp;ictv_id=ICTV202316248","ICTV202316248")</f>
        <v>ICTV202316248</v>
      </c>
      <c r="R10741" t="s">
        <v>581</v>
      </c>
      <c r="S10741" t="s">
        <v>823</v>
      </c>
      <c r="T10741">
        <v>39</v>
      </c>
      <c r="U10741" s="26" t="str">
        <f>HYPERLINK("https://ictv.global/ictv/proposals/2023.001B.Leviviricetes_reorg.zip","2023.001B.Leviviricetes_reorg.zip")</f>
        <v>2023.001B.Leviviricetes_reorg.zip</v>
      </c>
    </row>
    <row r="10742" spans="1:21">
      <c r="A10742">
        <v>10741</v>
      </c>
      <c r="B10742" s="27" t="s">
        <v>1124</v>
      </c>
      <c r="D10742" s="27" t="s">
        <v>1859</v>
      </c>
      <c r="F10742" s="27" t="s">
        <v>1881</v>
      </c>
      <c r="H10742" s="27" t="s">
        <v>2679</v>
      </c>
      <c r="J10742" s="27" t="s">
        <v>2680</v>
      </c>
      <c r="L10742" s="27" t="s">
        <v>2810</v>
      </c>
      <c r="N10742" s="27" t="s">
        <v>2858</v>
      </c>
      <c r="P10742" s="27" t="s">
        <v>2859</v>
      </c>
      <c r="Q10742" s="26" t="str">
        <f>HYPERLINK("https://ictv.global/taxonomy/taxondetails?taxnode_id=202510292&amp;ictv_id=ICTV202010292","ICTV202010292")</f>
        <v>ICTV202010292</v>
      </c>
      <c r="R10742" t="s">
        <v>581</v>
      </c>
      <c r="S10742" t="s">
        <v>823</v>
      </c>
      <c r="T10742">
        <v>36</v>
      </c>
      <c r="U10742" s="26" t="str">
        <f>HYPERLINK("https://ictv.global/ictv/proposals/2020.095B.R.Leviviricetes.zip","2020.095B.R.Leviviricetes.zip")</f>
        <v>2020.095B.R.Leviviricetes.zip</v>
      </c>
    </row>
    <row r="10743" spans="1:21">
      <c r="A10743">
        <v>10742</v>
      </c>
      <c r="B10743" s="27" t="s">
        <v>1124</v>
      </c>
      <c r="D10743" s="27" t="s">
        <v>1859</v>
      </c>
      <c r="F10743" s="27" t="s">
        <v>1881</v>
      </c>
      <c r="H10743" s="27" t="s">
        <v>2679</v>
      </c>
      <c r="J10743" s="27" t="s">
        <v>2680</v>
      </c>
      <c r="L10743" s="27" t="s">
        <v>2810</v>
      </c>
      <c r="N10743" s="27" t="s">
        <v>2860</v>
      </c>
      <c r="P10743" s="27" t="s">
        <v>2861</v>
      </c>
      <c r="Q10743" s="26" t="str">
        <f>HYPERLINK("https://ictv.global/taxonomy/taxondetails?taxnode_id=202510294&amp;ictv_id=ICTV202010294","ICTV202010294")</f>
        <v>ICTV202010294</v>
      </c>
      <c r="R10743" t="s">
        <v>581</v>
      </c>
      <c r="S10743" t="s">
        <v>823</v>
      </c>
      <c r="T10743">
        <v>36</v>
      </c>
      <c r="U10743" s="26" t="str">
        <f>HYPERLINK("https://ictv.global/ictv/proposals/2020.095B.R.Leviviricetes.zip","2020.095B.R.Leviviricetes.zip")</f>
        <v>2020.095B.R.Leviviricetes.zip</v>
      </c>
    </row>
    <row r="10744" spans="1:21">
      <c r="A10744">
        <v>10743</v>
      </c>
      <c r="B10744" s="27" t="s">
        <v>1124</v>
      </c>
      <c r="D10744" s="27" t="s">
        <v>1859</v>
      </c>
      <c r="F10744" s="27" t="s">
        <v>1881</v>
      </c>
      <c r="H10744" s="27" t="s">
        <v>2679</v>
      </c>
      <c r="J10744" s="27" t="s">
        <v>2680</v>
      </c>
      <c r="L10744" s="27" t="s">
        <v>2810</v>
      </c>
      <c r="N10744" s="27" t="s">
        <v>2862</v>
      </c>
      <c r="P10744" s="27" t="s">
        <v>2863</v>
      </c>
      <c r="Q10744" s="26" t="str">
        <f>HYPERLINK("https://ictv.global/taxonomy/taxondetails?taxnode_id=202510296&amp;ictv_id=ICTV202010296","ICTV202010296")</f>
        <v>ICTV202010296</v>
      </c>
      <c r="R10744" t="s">
        <v>581</v>
      </c>
      <c r="S10744" t="s">
        <v>823</v>
      </c>
      <c r="T10744">
        <v>36</v>
      </c>
      <c r="U10744" s="26" t="str">
        <f>HYPERLINK("https://ictv.global/ictv/proposals/2020.095B.R.Leviviricetes.zip","2020.095B.R.Leviviricetes.zip")</f>
        <v>2020.095B.R.Leviviricetes.zip</v>
      </c>
    </row>
    <row r="10745" spans="1:21">
      <c r="A10745">
        <v>10744</v>
      </c>
      <c r="B10745" s="27" t="s">
        <v>1124</v>
      </c>
      <c r="D10745" s="27" t="s">
        <v>1859</v>
      </c>
      <c r="F10745" s="27" t="s">
        <v>1881</v>
      </c>
      <c r="H10745" s="27" t="s">
        <v>2679</v>
      </c>
      <c r="J10745" s="27" t="s">
        <v>2680</v>
      </c>
      <c r="L10745" s="27" t="s">
        <v>2810</v>
      </c>
      <c r="N10745" s="27" t="s">
        <v>2862</v>
      </c>
      <c r="P10745" s="27" t="s">
        <v>2864</v>
      </c>
      <c r="Q10745" s="26" t="str">
        <f>HYPERLINK("https://ictv.global/taxonomy/taxondetails?taxnode_id=202510297&amp;ictv_id=ICTV202010297","ICTV202010297")</f>
        <v>ICTV202010297</v>
      </c>
      <c r="R10745" t="s">
        <v>581</v>
      </c>
      <c r="S10745" t="s">
        <v>823</v>
      </c>
      <c r="T10745">
        <v>36</v>
      </c>
      <c r="U10745" s="26" t="str">
        <f>HYPERLINK("https://ictv.global/ictv/proposals/2020.095B.R.Leviviricetes.zip","2020.095B.R.Leviviricetes.zip")</f>
        <v>2020.095B.R.Leviviricetes.zip</v>
      </c>
    </row>
    <row r="10746" spans="1:21">
      <c r="A10746">
        <v>10745</v>
      </c>
      <c r="B10746" s="27" t="s">
        <v>1124</v>
      </c>
      <c r="D10746" s="27" t="s">
        <v>1859</v>
      </c>
      <c r="F10746" s="27" t="s">
        <v>1881</v>
      </c>
      <c r="H10746" s="27" t="s">
        <v>2679</v>
      </c>
      <c r="J10746" s="27" t="s">
        <v>2680</v>
      </c>
      <c r="L10746" s="27" t="s">
        <v>2810</v>
      </c>
      <c r="N10746" s="27" t="s">
        <v>2862</v>
      </c>
      <c r="P10746" s="27" t="s">
        <v>14575</v>
      </c>
      <c r="Q10746" s="26" t="str">
        <f>HYPERLINK("https://ictv.global/taxonomy/taxondetails?taxnode_id=202516249&amp;ictv_id=ICTV202316249","ICTV202316249")</f>
        <v>ICTV202316249</v>
      </c>
      <c r="R10746" t="s">
        <v>581</v>
      </c>
      <c r="S10746" t="s">
        <v>823</v>
      </c>
      <c r="T10746">
        <v>39</v>
      </c>
      <c r="U10746" s="26" t="str">
        <f>HYPERLINK("https://ictv.global/ictv/proposals/2023.001B.Leviviricetes_reorg.zip","2023.001B.Leviviricetes_reorg.zip")</f>
        <v>2023.001B.Leviviricetes_reorg.zip</v>
      </c>
    </row>
    <row r="10747" spans="1:21">
      <c r="A10747">
        <v>10746</v>
      </c>
      <c r="B10747" s="27" t="s">
        <v>1124</v>
      </c>
      <c r="D10747" s="27" t="s">
        <v>1859</v>
      </c>
      <c r="F10747" s="27" t="s">
        <v>1881</v>
      </c>
      <c r="H10747" s="27" t="s">
        <v>2679</v>
      </c>
      <c r="J10747" s="27" t="s">
        <v>2680</v>
      </c>
      <c r="L10747" s="27" t="s">
        <v>2810</v>
      </c>
      <c r="N10747" s="27" t="s">
        <v>2862</v>
      </c>
      <c r="P10747" s="27" t="s">
        <v>2865</v>
      </c>
      <c r="Q10747" s="26" t="str">
        <f>HYPERLINK("https://ictv.global/taxonomy/taxondetails?taxnode_id=202510298&amp;ictv_id=ICTV202010298","ICTV202010298")</f>
        <v>ICTV202010298</v>
      </c>
      <c r="R10747" t="s">
        <v>581</v>
      </c>
      <c r="S10747" t="s">
        <v>823</v>
      </c>
      <c r="T10747">
        <v>36</v>
      </c>
      <c r="U10747" s="26" t="str">
        <f>HYPERLINK("https://ictv.global/ictv/proposals/2020.095B.R.Leviviricetes.zip","2020.095B.R.Leviviricetes.zip")</f>
        <v>2020.095B.R.Leviviricetes.zip</v>
      </c>
    </row>
    <row r="10748" spans="1:21">
      <c r="A10748">
        <v>10747</v>
      </c>
      <c r="B10748" s="27" t="s">
        <v>1124</v>
      </c>
      <c r="D10748" s="27" t="s">
        <v>1859</v>
      </c>
      <c r="F10748" s="27" t="s">
        <v>1881</v>
      </c>
      <c r="H10748" s="27" t="s">
        <v>2679</v>
      </c>
      <c r="J10748" s="27" t="s">
        <v>2680</v>
      </c>
      <c r="L10748" s="27" t="s">
        <v>2810</v>
      </c>
      <c r="N10748" s="27" t="s">
        <v>2862</v>
      </c>
      <c r="P10748" s="27" t="s">
        <v>14576</v>
      </c>
      <c r="Q10748" s="26" t="str">
        <f>HYPERLINK("https://ictv.global/taxonomy/taxondetails?taxnode_id=202516250&amp;ictv_id=ICTV202316250","ICTV202316250")</f>
        <v>ICTV202316250</v>
      </c>
      <c r="R10748" t="s">
        <v>581</v>
      </c>
      <c r="S10748" t="s">
        <v>823</v>
      </c>
      <c r="T10748">
        <v>39</v>
      </c>
      <c r="U10748" s="26" t="str">
        <f>HYPERLINK("https://ictv.global/ictv/proposals/2023.001B.Leviviricetes_reorg.zip","2023.001B.Leviviricetes_reorg.zip")</f>
        <v>2023.001B.Leviviricetes_reorg.zip</v>
      </c>
    </row>
    <row r="10749" spans="1:21">
      <c r="A10749">
        <v>10748</v>
      </c>
      <c r="B10749" s="27" t="s">
        <v>1124</v>
      </c>
      <c r="D10749" s="27" t="s">
        <v>1859</v>
      </c>
      <c r="F10749" s="27" t="s">
        <v>1881</v>
      </c>
      <c r="H10749" s="27" t="s">
        <v>2679</v>
      </c>
      <c r="J10749" s="27" t="s">
        <v>2680</v>
      </c>
      <c r="L10749" s="27" t="s">
        <v>2810</v>
      </c>
      <c r="N10749" s="27" t="s">
        <v>2862</v>
      </c>
      <c r="P10749" s="27" t="s">
        <v>14577</v>
      </c>
      <c r="Q10749" s="26" t="str">
        <f>HYPERLINK("https://ictv.global/taxonomy/taxondetails?taxnode_id=202516251&amp;ictv_id=ICTV202316251","ICTV202316251")</f>
        <v>ICTV202316251</v>
      </c>
      <c r="R10749" t="s">
        <v>581</v>
      </c>
      <c r="S10749" t="s">
        <v>823</v>
      </c>
      <c r="T10749">
        <v>39</v>
      </c>
      <c r="U10749" s="26" t="str">
        <f>HYPERLINK("https://ictv.global/ictv/proposals/2023.001B.Leviviricetes_reorg.zip","2023.001B.Leviviricetes_reorg.zip")</f>
        <v>2023.001B.Leviviricetes_reorg.zip</v>
      </c>
    </row>
    <row r="10750" spans="1:21">
      <c r="A10750">
        <v>10749</v>
      </c>
      <c r="B10750" s="27" t="s">
        <v>1124</v>
      </c>
      <c r="D10750" s="27" t="s">
        <v>1859</v>
      </c>
      <c r="F10750" s="27" t="s">
        <v>1881</v>
      </c>
      <c r="H10750" s="27" t="s">
        <v>2679</v>
      </c>
      <c r="J10750" s="27" t="s">
        <v>2680</v>
      </c>
      <c r="L10750" s="27" t="s">
        <v>2810</v>
      </c>
      <c r="N10750" s="27" t="s">
        <v>2862</v>
      </c>
      <c r="P10750" s="27" t="s">
        <v>14578</v>
      </c>
      <c r="Q10750" s="26" t="str">
        <f>HYPERLINK("https://ictv.global/taxonomy/taxondetails?taxnode_id=202516252&amp;ictv_id=ICTV202316252","ICTV202316252")</f>
        <v>ICTV202316252</v>
      </c>
      <c r="R10750" t="s">
        <v>581</v>
      </c>
      <c r="S10750" t="s">
        <v>823</v>
      </c>
      <c r="T10750">
        <v>39</v>
      </c>
      <c r="U10750" s="26" t="str">
        <f>HYPERLINK("https://ictv.global/ictv/proposals/2023.001B.Leviviricetes_reorg.zip","2023.001B.Leviviricetes_reorg.zip")</f>
        <v>2023.001B.Leviviricetes_reorg.zip</v>
      </c>
    </row>
    <row r="10751" spans="1:21">
      <c r="A10751">
        <v>10750</v>
      </c>
      <c r="B10751" s="27" t="s">
        <v>1124</v>
      </c>
      <c r="D10751" s="27" t="s">
        <v>1859</v>
      </c>
      <c r="F10751" s="27" t="s">
        <v>1881</v>
      </c>
      <c r="H10751" s="27" t="s">
        <v>2679</v>
      </c>
      <c r="J10751" s="27" t="s">
        <v>2680</v>
      </c>
      <c r="L10751" s="27" t="s">
        <v>2810</v>
      </c>
      <c r="N10751" s="27" t="s">
        <v>2862</v>
      </c>
      <c r="P10751" s="27" t="s">
        <v>14579</v>
      </c>
      <c r="Q10751" s="26" t="str">
        <f>HYPERLINK("https://ictv.global/taxonomy/taxondetails?taxnode_id=202516253&amp;ictv_id=ICTV202316253","ICTV202316253")</f>
        <v>ICTV202316253</v>
      </c>
      <c r="R10751" t="s">
        <v>581</v>
      </c>
      <c r="S10751" t="s">
        <v>823</v>
      </c>
      <c r="T10751">
        <v>39</v>
      </c>
      <c r="U10751" s="26" t="str">
        <f>HYPERLINK("https://ictv.global/ictv/proposals/2023.001B.Leviviricetes_reorg.zip","2023.001B.Leviviricetes_reorg.zip")</f>
        <v>2023.001B.Leviviricetes_reorg.zip</v>
      </c>
    </row>
    <row r="10752" spans="1:21">
      <c r="A10752">
        <v>10751</v>
      </c>
      <c r="B10752" s="27" t="s">
        <v>1124</v>
      </c>
      <c r="D10752" s="27" t="s">
        <v>1859</v>
      </c>
      <c r="F10752" s="27" t="s">
        <v>1881</v>
      </c>
      <c r="H10752" s="27" t="s">
        <v>2679</v>
      </c>
      <c r="J10752" s="27" t="s">
        <v>2680</v>
      </c>
      <c r="L10752" s="27" t="s">
        <v>2810</v>
      </c>
      <c r="N10752" s="27" t="s">
        <v>2862</v>
      </c>
      <c r="P10752" s="27" t="s">
        <v>2866</v>
      </c>
      <c r="Q10752" s="26" t="str">
        <f>HYPERLINK("https://ictv.global/taxonomy/taxondetails?taxnode_id=202510299&amp;ictv_id=ICTV202010299","ICTV202010299")</f>
        <v>ICTV202010299</v>
      </c>
      <c r="R10752" t="s">
        <v>581</v>
      </c>
      <c r="S10752" t="s">
        <v>823</v>
      </c>
      <c r="T10752">
        <v>36</v>
      </c>
      <c r="U10752" s="26" t="str">
        <f>HYPERLINK("https://ictv.global/ictv/proposals/2020.095B.R.Leviviricetes.zip","2020.095B.R.Leviviricetes.zip")</f>
        <v>2020.095B.R.Leviviricetes.zip</v>
      </c>
    </row>
    <row r="10753" spans="1:21">
      <c r="A10753">
        <v>10752</v>
      </c>
      <c r="B10753" s="27" t="s">
        <v>1124</v>
      </c>
      <c r="D10753" s="27" t="s">
        <v>1859</v>
      </c>
      <c r="F10753" s="27" t="s">
        <v>1881</v>
      </c>
      <c r="H10753" s="27" t="s">
        <v>2679</v>
      </c>
      <c r="J10753" s="27" t="s">
        <v>2680</v>
      </c>
      <c r="L10753" s="27" t="s">
        <v>2810</v>
      </c>
      <c r="N10753" s="27" t="s">
        <v>2862</v>
      </c>
      <c r="P10753" s="27" t="s">
        <v>2867</v>
      </c>
      <c r="Q10753" s="26" t="str">
        <f>HYPERLINK("https://ictv.global/taxonomy/taxondetails?taxnode_id=202510300&amp;ictv_id=ICTV202010300","ICTV202010300")</f>
        <v>ICTV202010300</v>
      </c>
      <c r="R10753" t="s">
        <v>581</v>
      </c>
      <c r="S10753" t="s">
        <v>823</v>
      </c>
      <c r="T10753">
        <v>36</v>
      </c>
      <c r="U10753" s="26" t="str">
        <f>HYPERLINK("https://ictv.global/ictv/proposals/2020.095B.R.Leviviricetes.zip","2020.095B.R.Leviviricetes.zip")</f>
        <v>2020.095B.R.Leviviricetes.zip</v>
      </c>
    </row>
    <row r="10754" spans="1:21">
      <c r="A10754">
        <v>10753</v>
      </c>
      <c r="B10754" s="27" t="s">
        <v>1124</v>
      </c>
      <c r="D10754" s="27" t="s">
        <v>1859</v>
      </c>
      <c r="F10754" s="27" t="s">
        <v>1881</v>
      </c>
      <c r="H10754" s="27" t="s">
        <v>2679</v>
      </c>
      <c r="J10754" s="27" t="s">
        <v>2680</v>
      </c>
      <c r="L10754" s="27" t="s">
        <v>2810</v>
      </c>
      <c r="N10754" s="27" t="s">
        <v>2862</v>
      </c>
      <c r="P10754" s="27" t="s">
        <v>2868</v>
      </c>
      <c r="Q10754" s="26" t="str">
        <f>HYPERLINK("https://ictv.global/taxonomy/taxondetails?taxnode_id=202510301&amp;ictv_id=ICTV202010301","ICTV202010301")</f>
        <v>ICTV202010301</v>
      </c>
      <c r="R10754" t="s">
        <v>581</v>
      </c>
      <c r="S10754" t="s">
        <v>823</v>
      </c>
      <c r="T10754">
        <v>36</v>
      </c>
      <c r="U10754" s="26" t="str">
        <f>HYPERLINK("https://ictv.global/ictv/proposals/2020.095B.R.Leviviricetes.zip","2020.095B.R.Leviviricetes.zip")</f>
        <v>2020.095B.R.Leviviricetes.zip</v>
      </c>
    </row>
    <row r="10755" spans="1:21">
      <c r="A10755">
        <v>10754</v>
      </c>
      <c r="B10755" s="27" t="s">
        <v>1124</v>
      </c>
      <c r="D10755" s="27" t="s">
        <v>1859</v>
      </c>
      <c r="F10755" s="27" t="s">
        <v>1881</v>
      </c>
      <c r="H10755" s="27" t="s">
        <v>2679</v>
      </c>
      <c r="J10755" s="27" t="s">
        <v>2680</v>
      </c>
      <c r="L10755" s="27" t="s">
        <v>2810</v>
      </c>
      <c r="N10755" s="27" t="s">
        <v>2862</v>
      </c>
      <c r="P10755" s="27" t="s">
        <v>14580</v>
      </c>
      <c r="Q10755" s="26" t="str">
        <f>HYPERLINK("https://ictv.global/taxonomy/taxondetails?taxnode_id=202516254&amp;ictv_id=ICTV202316254","ICTV202316254")</f>
        <v>ICTV202316254</v>
      </c>
      <c r="R10755" t="s">
        <v>581</v>
      </c>
      <c r="S10755" t="s">
        <v>823</v>
      </c>
      <c r="T10755">
        <v>39</v>
      </c>
      <c r="U10755" s="26" t="str">
        <f>HYPERLINK("https://ictv.global/ictv/proposals/2023.001B.Leviviricetes_reorg.zip","2023.001B.Leviviricetes_reorg.zip")</f>
        <v>2023.001B.Leviviricetes_reorg.zip</v>
      </c>
    </row>
    <row r="10756" spans="1:21">
      <c r="A10756">
        <v>10755</v>
      </c>
      <c r="B10756" s="27" t="s">
        <v>1124</v>
      </c>
      <c r="D10756" s="27" t="s">
        <v>1859</v>
      </c>
      <c r="F10756" s="27" t="s">
        <v>1881</v>
      </c>
      <c r="H10756" s="27" t="s">
        <v>2679</v>
      </c>
      <c r="J10756" s="27" t="s">
        <v>2680</v>
      </c>
      <c r="L10756" s="27" t="s">
        <v>2810</v>
      </c>
      <c r="N10756" s="27" t="s">
        <v>2862</v>
      </c>
      <c r="P10756" s="27" t="s">
        <v>14581</v>
      </c>
      <c r="Q10756" s="26" t="str">
        <f>HYPERLINK("https://ictv.global/taxonomy/taxondetails?taxnode_id=202516255&amp;ictv_id=ICTV202316255","ICTV202316255")</f>
        <v>ICTV202316255</v>
      </c>
      <c r="R10756" t="s">
        <v>581</v>
      </c>
      <c r="S10756" t="s">
        <v>823</v>
      </c>
      <c r="T10756">
        <v>39</v>
      </c>
      <c r="U10756" s="26" t="str">
        <f>HYPERLINK("https://ictv.global/ictv/proposals/2023.001B.Leviviricetes_reorg.zip","2023.001B.Leviviricetes_reorg.zip")</f>
        <v>2023.001B.Leviviricetes_reorg.zip</v>
      </c>
    </row>
    <row r="10757" spans="1:21">
      <c r="A10757">
        <v>10756</v>
      </c>
      <c r="B10757" s="27" t="s">
        <v>1124</v>
      </c>
      <c r="D10757" s="27" t="s">
        <v>1859</v>
      </c>
      <c r="F10757" s="27" t="s">
        <v>1881</v>
      </c>
      <c r="H10757" s="27" t="s">
        <v>2679</v>
      </c>
      <c r="J10757" s="27" t="s">
        <v>2680</v>
      </c>
      <c r="L10757" s="27" t="s">
        <v>2810</v>
      </c>
      <c r="N10757" s="27" t="s">
        <v>2862</v>
      </c>
      <c r="P10757" s="27" t="s">
        <v>14582</v>
      </c>
      <c r="Q10757" s="26" t="str">
        <f>HYPERLINK("https://ictv.global/taxonomy/taxondetails?taxnode_id=202516256&amp;ictv_id=ICTV202316256","ICTV202316256")</f>
        <v>ICTV202316256</v>
      </c>
      <c r="R10757" t="s">
        <v>581</v>
      </c>
      <c r="S10757" t="s">
        <v>823</v>
      </c>
      <c r="T10757">
        <v>39</v>
      </c>
      <c r="U10757" s="26" t="str">
        <f>HYPERLINK("https://ictv.global/ictv/proposals/2023.001B.Leviviricetes_reorg.zip","2023.001B.Leviviricetes_reorg.zip")</f>
        <v>2023.001B.Leviviricetes_reorg.zip</v>
      </c>
    </row>
    <row r="10758" spans="1:21">
      <c r="A10758">
        <v>10757</v>
      </c>
      <c r="B10758" s="27" t="s">
        <v>1124</v>
      </c>
      <c r="D10758" s="27" t="s">
        <v>1859</v>
      </c>
      <c r="F10758" s="27" t="s">
        <v>1881</v>
      </c>
      <c r="H10758" s="27" t="s">
        <v>2679</v>
      </c>
      <c r="J10758" s="27" t="s">
        <v>2680</v>
      </c>
      <c r="L10758" s="27" t="s">
        <v>2810</v>
      </c>
      <c r="N10758" s="27" t="s">
        <v>2862</v>
      </c>
      <c r="P10758" s="27" t="s">
        <v>14583</v>
      </c>
      <c r="Q10758" s="26" t="str">
        <f>HYPERLINK("https://ictv.global/taxonomy/taxondetails?taxnode_id=202516257&amp;ictv_id=ICTV202316257","ICTV202316257")</f>
        <v>ICTV202316257</v>
      </c>
      <c r="R10758" t="s">
        <v>581</v>
      </c>
      <c r="S10758" t="s">
        <v>823</v>
      </c>
      <c r="T10758">
        <v>39</v>
      </c>
      <c r="U10758" s="26" t="str">
        <f>HYPERLINK("https://ictv.global/ictv/proposals/2023.001B.Leviviricetes_reorg.zip","2023.001B.Leviviricetes_reorg.zip")</f>
        <v>2023.001B.Leviviricetes_reorg.zip</v>
      </c>
    </row>
    <row r="10759" spans="1:21">
      <c r="A10759">
        <v>10758</v>
      </c>
      <c r="B10759" s="27" t="s">
        <v>1124</v>
      </c>
      <c r="D10759" s="27" t="s">
        <v>1859</v>
      </c>
      <c r="F10759" s="27" t="s">
        <v>1881</v>
      </c>
      <c r="H10759" s="27" t="s">
        <v>2679</v>
      </c>
      <c r="J10759" s="27" t="s">
        <v>2680</v>
      </c>
      <c r="L10759" s="27" t="s">
        <v>2810</v>
      </c>
      <c r="N10759" s="27" t="s">
        <v>2869</v>
      </c>
      <c r="P10759" s="27" t="s">
        <v>2870</v>
      </c>
      <c r="Q10759" s="26" t="str">
        <f>HYPERLINK("https://ictv.global/taxonomy/taxondetails?taxnode_id=202510303&amp;ictv_id=ICTV202010303","ICTV202010303")</f>
        <v>ICTV202010303</v>
      </c>
      <c r="R10759" t="s">
        <v>581</v>
      </c>
      <c r="S10759" t="s">
        <v>823</v>
      </c>
      <c r="T10759">
        <v>36</v>
      </c>
      <c r="U10759" s="26" t="str">
        <f>HYPERLINK("https://ictv.global/ictv/proposals/2020.095B.R.Leviviricetes.zip","2020.095B.R.Leviviricetes.zip")</f>
        <v>2020.095B.R.Leviviricetes.zip</v>
      </c>
    </row>
    <row r="10760" spans="1:21">
      <c r="A10760">
        <v>10759</v>
      </c>
      <c r="B10760" s="27" t="s">
        <v>1124</v>
      </c>
      <c r="D10760" s="27" t="s">
        <v>1859</v>
      </c>
      <c r="F10760" s="27" t="s">
        <v>1881</v>
      </c>
      <c r="H10760" s="27" t="s">
        <v>2679</v>
      </c>
      <c r="J10760" s="27" t="s">
        <v>2680</v>
      </c>
      <c r="L10760" s="27" t="s">
        <v>2810</v>
      </c>
      <c r="N10760" s="27" t="s">
        <v>2871</v>
      </c>
      <c r="P10760" s="27" t="s">
        <v>2872</v>
      </c>
      <c r="Q10760" s="26" t="str">
        <f>HYPERLINK("https://ictv.global/taxonomy/taxondetails?taxnode_id=202510305&amp;ictv_id=ICTV202010305","ICTV202010305")</f>
        <v>ICTV202010305</v>
      </c>
      <c r="R10760" t="s">
        <v>581</v>
      </c>
      <c r="S10760" t="s">
        <v>823</v>
      </c>
      <c r="T10760">
        <v>36</v>
      </c>
      <c r="U10760" s="26" t="str">
        <f>HYPERLINK("https://ictv.global/ictv/proposals/2020.095B.R.Leviviricetes.zip","2020.095B.R.Leviviricetes.zip")</f>
        <v>2020.095B.R.Leviviricetes.zip</v>
      </c>
    </row>
    <row r="10761" spans="1:21">
      <c r="A10761">
        <v>10760</v>
      </c>
      <c r="B10761" s="27" t="s">
        <v>1124</v>
      </c>
      <c r="D10761" s="27" t="s">
        <v>1859</v>
      </c>
      <c r="F10761" s="27" t="s">
        <v>1881</v>
      </c>
      <c r="H10761" s="27" t="s">
        <v>2679</v>
      </c>
      <c r="J10761" s="27" t="s">
        <v>2680</v>
      </c>
      <c r="L10761" s="27" t="s">
        <v>2810</v>
      </c>
      <c r="N10761" s="27" t="s">
        <v>2873</v>
      </c>
      <c r="P10761" s="27" t="s">
        <v>2874</v>
      </c>
      <c r="Q10761" s="26" t="str">
        <f>HYPERLINK("https://ictv.global/taxonomy/taxondetails?taxnode_id=202510307&amp;ictv_id=ICTV202010307","ICTV202010307")</f>
        <v>ICTV202010307</v>
      </c>
      <c r="R10761" t="s">
        <v>581</v>
      </c>
      <c r="S10761" t="s">
        <v>823</v>
      </c>
      <c r="T10761">
        <v>36</v>
      </c>
      <c r="U10761" s="26" t="str">
        <f>HYPERLINK("https://ictv.global/ictv/proposals/2020.095B.R.Leviviricetes.zip","2020.095B.R.Leviviricetes.zip")</f>
        <v>2020.095B.R.Leviviricetes.zip</v>
      </c>
    </row>
    <row r="10762" spans="1:21">
      <c r="A10762">
        <v>10761</v>
      </c>
      <c r="B10762" s="27" t="s">
        <v>1124</v>
      </c>
      <c r="D10762" s="27" t="s">
        <v>1859</v>
      </c>
      <c r="F10762" s="27" t="s">
        <v>1881</v>
      </c>
      <c r="H10762" s="27" t="s">
        <v>2679</v>
      </c>
      <c r="J10762" s="27" t="s">
        <v>2680</v>
      </c>
      <c r="L10762" s="27" t="s">
        <v>2810</v>
      </c>
      <c r="N10762" s="27" t="s">
        <v>2875</v>
      </c>
      <c r="P10762" s="27" t="s">
        <v>2876</v>
      </c>
      <c r="Q10762" s="26" t="str">
        <f>HYPERLINK("https://ictv.global/taxonomy/taxondetails?taxnode_id=202510309&amp;ictv_id=ICTV202010309","ICTV202010309")</f>
        <v>ICTV202010309</v>
      </c>
      <c r="R10762" t="s">
        <v>581</v>
      </c>
      <c r="S10762" t="s">
        <v>823</v>
      </c>
      <c r="T10762">
        <v>36</v>
      </c>
      <c r="U10762" s="26" t="str">
        <f>HYPERLINK("https://ictv.global/ictv/proposals/2020.095B.R.Leviviricetes.zip","2020.095B.R.Leviviricetes.zip")</f>
        <v>2020.095B.R.Leviviricetes.zip</v>
      </c>
    </row>
    <row r="10763" spans="1:21">
      <c r="A10763">
        <v>10762</v>
      </c>
      <c r="B10763" s="27" t="s">
        <v>1124</v>
      </c>
      <c r="D10763" s="27" t="s">
        <v>1859</v>
      </c>
      <c r="F10763" s="27" t="s">
        <v>1881</v>
      </c>
      <c r="H10763" s="27" t="s">
        <v>2679</v>
      </c>
      <c r="J10763" s="27" t="s">
        <v>2680</v>
      </c>
      <c r="L10763" s="27" t="s">
        <v>2810</v>
      </c>
      <c r="N10763" s="27" t="s">
        <v>2875</v>
      </c>
      <c r="P10763" s="27" t="s">
        <v>14584</v>
      </c>
      <c r="Q10763" s="26" t="str">
        <f>HYPERLINK("https://ictv.global/taxonomy/taxondetails?taxnode_id=202516258&amp;ictv_id=ICTV202316258","ICTV202316258")</f>
        <v>ICTV202316258</v>
      </c>
      <c r="R10763" t="s">
        <v>581</v>
      </c>
      <c r="S10763" t="s">
        <v>823</v>
      </c>
      <c r="T10763">
        <v>39</v>
      </c>
      <c r="U10763" s="26" t="str">
        <f>HYPERLINK("https://ictv.global/ictv/proposals/2023.001B.Leviviricetes_reorg.zip","2023.001B.Leviviricetes_reorg.zip")</f>
        <v>2023.001B.Leviviricetes_reorg.zip</v>
      </c>
    </row>
    <row r="10764" spans="1:21">
      <c r="A10764">
        <v>10763</v>
      </c>
      <c r="B10764" s="27" t="s">
        <v>1124</v>
      </c>
      <c r="D10764" s="27" t="s">
        <v>1859</v>
      </c>
      <c r="F10764" s="27" t="s">
        <v>1881</v>
      </c>
      <c r="H10764" s="27" t="s">
        <v>2679</v>
      </c>
      <c r="J10764" s="27" t="s">
        <v>2680</v>
      </c>
      <c r="L10764" s="27" t="s">
        <v>2810</v>
      </c>
      <c r="N10764" s="27" t="s">
        <v>2877</v>
      </c>
      <c r="P10764" s="27" t="s">
        <v>14585</v>
      </c>
      <c r="Q10764" s="26" t="str">
        <f>HYPERLINK("https://ictv.global/taxonomy/taxondetails?taxnode_id=202516259&amp;ictv_id=ICTV202316259","ICTV202316259")</f>
        <v>ICTV202316259</v>
      </c>
      <c r="R10764" t="s">
        <v>581</v>
      </c>
      <c r="S10764" t="s">
        <v>823</v>
      </c>
      <c r="T10764">
        <v>39</v>
      </c>
      <c r="U10764" s="26" t="str">
        <f>HYPERLINK("https://ictv.global/ictv/proposals/2023.001B.Leviviricetes_reorg.zip","2023.001B.Leviviricetes_reorg.zip")</f>
        <v>2023.001B.Leviviricetes_reorg.zip</v>
      </c>
    </row>
    <row r="10765" spans="1:21">
      <c r="A10765">
        <v>10764</v>
      </c>
      <c r="B10765" s="27" t="s">
        <v>1124</v>
      </c>
      <c r="D10765" s="27" t="s">
        <v>1859</v>
      </c>
      <c r="F10765" s="27" t="s">
        <v>1881</v>
      </c>
      <c r="H10765" s="27" t="s">
        <v>2679</v>
      </c>
      <c r="J10765" s="27" t="s">
        <v>2680</v>
      </c>
      <c r="L10765" s="27" t="s">
        <v>2810</v>
      </c>
      <c r="N10765" s="27" t="s">
        <v>2877</v>
      </c>
      <c r="P10765" s="27" t="s">
        <v>14586</v>
      </c>
      <c r="Q10765" s="26" t="str">
        <f>HYPERLINK("https://ictv.global/taxonomy/taxondetails?taxnode_id=202516260&amp;ictv_id=ICTV202316260","ICTV202316260")</f>
        <v>ICTV202316260</v>
      </c>
      <c r="R10765" t="s">
        <v>581</v>
      </c>
      <c r="S10765" t="s">
        <v>823</v>
      </c>
      <c r="T10765">
        <v>39</v>
      </c>
      <c r="U10765" s="26" t="str">
        <f>HYPERLINK("https://ictv.global/ictv/proposals/2023.001B.Leviviricetes_reorg.zip","2023.001B.Leviviricetes_reorg.zip")</f>
        <v>2023.001B.Leviviricetes_reorg.zip</v>
      </c>
    </row>
    <row r="10766" spans="1:21">
      <c r="A10766">
        <v>10765</v>
      </c>
      <c r="B10766" s="27" t="s">
        <v>1124</v>
      </c>
      <c r="D10766" s="27" t="s">
        <v>1859</v>
      </c>
      <c r="F10766" s="27" t="s">
        <v>1881</v>
      </c>
      <c r="H10766" s="27" t="s">
        <v>2679</v>
      </c>
      <c r="J10766" s="27" t="s">
        <v>2680</v>
      </c>
      <c r="L10766" s="27" t="s">
        <v>2810</v>
      </c>
      <c r="N10766" s="27" t="s">
        <v>2877</v>
      </c>
      <c r="P10766" s="27" t="s">
        <v>14587</v>
      </c>
      <c r="Q10766" s="26" t="str">
        <f>HYPERLINK("https://ictv.global/taxonomy/taxondetails?taxnode_id=202516261&amp;ictv_id=ICTV202316261","ICTV202316261")</f>
        <v>ICTV202316261</v>
      </c>
      <c r="R10766" t="s">
        <v>581</v>
      </c>
      <c r="S10766" t="s">
        <v>823</v>
      </c>
      <c r="T10766">
        <v>39</v>
      </c>
      <c r="U10766" s="26" t="str">
        <f>HYPERLINK("https://ictv.global/ictv/proposals/2023.001B.Leviviricetes_reorg.zip","2023.001B.Leviviricetes_reorg.zip")</f>
        <v>2023.001B.Leviviricetes_reorg.zip</v>
      </c>
    </row>
    <row r="10767" spans="1:21">
      <c r="A10767">
        <v>10766</v>
      </c>
      <c r="B10767" s="27" t="s">
        <v>1124</v>
      </c>
      <c r="D10767" s="27" t="s">
        <v>1859</v>
      </c>
      <c r="F10767" s="27" t="s">
        <v>1881</v>
      </c>
      <c r="H10767" s="27" t="s">
        <v>2679</v>
      </c>
      <c r="J10767" s="27" t="s">
        <v>2680</v>
      </c>
      <c r="L10767" s="27" t="s">
        <v>2810</v>
      </c>
      <c r="N10767" s="27" t="s">
        <v>2877</v>
      </c>
      <c r="P10767" s="27" t="s">
        <v>2878</v>
      </c>
      <c r="Q10767" s="26" t="str">
        <f>HYPERLINK("https://ictv.global/taxonomy/taxondetails?taxnode_id=202510325&amp;ictv_id=ICTV202010325","ICTV202010325")</f>
        <v>ICTV202010325</v>
      </c>
      <c r="R10767" t="s">
        <v>581</v>
      </c>
      <c r="S10767" t="s">
        <v>823</v>
      </c>
      <c r="T10767">
        <v>36</v>
      </c>
      <c r="U10767" s="26" t="str">
        <f>HYPERLINK("https://ictv.global/ictv/proposals/2020.095B.R.Leviviricetes.zip","2020.095B.R.Leviviricetes.zip")</f>
        <v>2020.095B.R.Leviviricetes.zip</v>
      </c>
    </row>
    <row r="10768" spans="1:21">
      <c r="A10768">
        <v>10767</v>
      </c>
      <c r="B10768" s="27" t="s">
        <v>1124</v>
      </c>
      <c r="D10768" s="27" t="s">
        <v>1859</v>
      </c>
      <c r="F10768" s="27" t="s">
        <v>1881</v>
      </c>
      <c r="H10768" s="27" t="s">
        <v>2679</v>
      </c>
      <c r="J10768" s="27" t="s">
        <v>2680</v>
      </c>
      <c r="L10768" s="27" t="s">
        <v>2810</v>
      </c>
      <c r="N10768" s="27" t="s">
        <v>2879</v>
      </c>
      <c r="P10768" s="27" t="s">
        <v>2880</v>
      </c>
      <c r="Q10768" s="26" t="str">
        <f>HYPERLINK("https://ictv.global/taxonomy/taxondetails?taxnode_id=202510327&amp;ictv_id=ICTV202010327","ICTV202010327")</f>
        <v>ICTV202010327</v>
      </c>
      <c r="R10768" t="s">
        <v>581</v>
      </c>
      <c r="S10768" t="s">
        <v>823</v>
      </c>
      <c r="T10768">
        <v>36</v>
      </c>
      <c r="U10768" s="26" t="str">
        <f>HYPERLINK("https://ictv.global/ictv/proposals/2020.095B.R.Leviviricetes.zip","2020.095B.R.Leviviricetes.zip")</f>
        <v>2020.095B.R.Leviviricetes.zip</v>
      </c>
    </row>
    <row r="10769" spans="1:21">
      <c r="A10769">
        <v>10768</v>
      </c>
      <c r="B10769" s="27" t="s">
        <v>1124</v>
      </c>
      <c r="D10769" s="27" t="s">
        <v>1859</v>
      </c>
      <c r="F10769" s="27" t="s">
        <v>1881</v>
      </c>
      <c r="H10769" s="27" t="s">
        <v>2679</v>
      </c>
      <c r="J10769" s="27" t="s">
        <v>2680</v>
      </c>
      <c r="L10769" s="27" t="s">
        <v>2810</v>
      </c>
      <c r="N10769" s="27" t="s">
        <v>2881</v>
      </c>
      <c r="P10769" s="27" t="s">
        <v>2882</v>
      </c>
      <c r="Q10769" s="26" t="str">
        <f>HYPERLINK("https://ictv.global/taxonomy/taxondetails?taxnode_id=202510329&amp;ictv_id=ICTV202010329","ICTV202010329")</f>
        <v>ICTV202010329</v>
      </c>
      <c r="R10769" t="s">
        <v>581</v>
      </c>
      <c r="S10769" t="s">
        <v>823</v>
      </c>
      <c r="T10769">
        <v>36</v>
      </c>
      <c r="U10769" s="26" t="str">
        <f>HYPERLINK("https://ictv.global/ictv/proposals/2020.095B.R.Leviviricetes.zip","2020.095B.R.Leviviricetes.zip")</f>
        <v>2020.095B.R.Leviviricetes.zip</v>
      </c>
    </row>
    <row r="10770" spans="1:21">
      <c r="A10770">
        <v>10769</v>
      </c>
      <c r="B10770" s="27" t="s">
        <v>1124</v>
      </c>
      <c r="D10770" s="27" t="s">
        <v>1859</v>
      </c>
      <c r="F10770" s="27" t="s">
        <v>1881</v>
      </c>
      <c r="H10770" s="27" t="s">
        <v>2679</v>
      </c>
      <c r="J10770" s="27" t="s">
        <v>2680</v>
      </c>
      <c r="L10770" s="27" t="s">
        <v>2810</v>
      </c>
      <c r="N10770" s="27" t="s">
        <v>2883</v>
      </c>
      <c r="P10770" s="27" t="s">
        <v>2884</v>
      </c>
      <c r="Q10770" s="26" t="str">
        <f>HYPERLINK("https://ictv.global/taxonomy/taxondetails?taxnode_id=202510331&amp;ictv_id=ICTV202010331","ICTV202010331")</f>
        <v>ICTV202010331</v>
      </c>
      <c r="R10770" t="s">
        <v>581</v>
      </c>
      <c r="S10770" t="s">
        <v>823</v>
      </c>
      <c r="T10770">
        <v>36</v>
      </c>
      <c r="U10770" s="26" t="str">
        <f>HYPERLINK("https://ictv.global/ictv/proposals/2020.095B.R.Leviviricetes.zip","2020.095B.R.Leviviricetes.zip")</f>
        <v>2020.095B.R.Leviviricetes.zip</v>
      </c>
    </row>
    <row r="10771" spans="1:21">
      <c r="A10771">
        <v>10770</v>
      </c>
      <c r="B10771" s="27" t="s">
        <v>1124</v>
      </c>
      <c r="D10771" s="27" t="s">
        <v>1859</v>
      </c>
      <c r="F10771" s="27" t="s">
        <v>1881</v>
      </c>
      <c r="H10771" s="27" t="s">
        <v>2679</v>
      </c>
      <c r="J10771" s="27" t="s">
        <v>2680</v>
      </c>
      <c r="L10771" s="27" t="s">
        <v>2810</v>
      </c>
      <c r="N10771" s="27" t="s">
        <v>2883</v>
      </c>
      <c r="P10771" s="27" t="s">
        <v>2885</v>
      </c>
      <c r="Q10771" s="26" t="str">
        <f>HYPERLINK("https://ictv.global/taxonomy/taxondetails?taxnode_id=202510332&amp;ictv_id=ICTV202010332","ICTV202010332")</f>
        <v>ICTV202010332</v>
      </c>
      <c r="R10771" t="s">
        <v>581</v>
      </c>
      <c r="S10771" t="s">
        <v>823</v>
      </c>
      <c r="T10771">
        <v>36</v>
      </c>
      <c r="U10771" s="26" t="str">
        <f>HYPERLINK("https://ictv.global/ictv/proposals/2020.095B.R.Leviviricetes.zip","2020.095B.R.Leviviricetes.zip")</f>
        <v>2020.095B.R.Leviviricetes.zip</v>
      </c>
    </row>
    <row r="10772" spans="1:21">
      <c r="A10772">
        <v>10771</v>
      </c>
      <c r="B10772" s="27" t="s">
        <v>1124</v>
      </c>
      <c r="D10772" s="27" t="s">
        <v>1859</v>
      </c>
      <c r="F10772" s="27" t="s">
        <v>1881</v>
      </c>
      <c r="H10772" s="27" t="s">
        <v>2679</v>
      </c>
      <c r="J10772" s="27" t="s">
        <v>2680</v>
      </c>
      <c r="L10772" s="27" t="s">
        <v>2810</v>
      </c>
      <c r="N10772" s="27" t="s">
        <v>2883</v>
      </c>
      <c r="P10772" s="27" t="s">
        <v>14588</v>
      </c>
      <c r="Q10772" s="26" t="str">
        <f>HYPERLINK("https://ictv.global/taxonomy/taxondetails?taxnode_id=202516262&amp;ictv_id=ICTV202316262","ICTV202316262")</f>
        <v>ICTV202316262</v>
      </c>
      <c r="R10772" t="s">
        <v>581</v>
      </c>
      <c r="S10772" t="s">
        <v>823</v>
      </c>
      <c r="T10772">
        <v>39</v>
      </c>
      <c r="U10772" s="26" t="str">
        <f>HYPERLINK("https://ictv.global/ictv/proposals/2023.001B.Leviviricetes_reorg.zip","2023.001B.Leviviricetes_reorg.zip")</f>
        <v>2023.001B.Leviviricetes_reorg.zip</v>
      </c>
    </row>
    <row r="10773" spans="1:21">
      <c r="A10773">
        <v>10772</v>
      </c>
      <c r="B10773" s="27" t="s">
        <v>1124</v>
      </c>
      <c r="D10773" s="27" t="s">
        <v>1859</v>
      </c>
      <c r="F10773" s="27" t="s">
        <v>1881</v>
      </c>
      <c r="H10773" s="27" t="s">
        <v>2679</v>
      </c>
      <c r="J10773" s="27" t="s">
        <v>2680</v>
      </c>
      <c r="L10773" s="27" t="s">
        <v>2810</v>
      </c>
      <c r="N10773" s="27" t="s">
        <v>2886</v>
      </c>
      <c r="P10773" s="27" t="s">
        <v>2887</v>
      </c>
      <c r="Q10773" s="26" t="str">
        <f>HYPERLINK("https://ictv.global/taxonomy/taxondetails?taxnode_id=202510338&amp;ictv_id=ICTV202010338","ICTV202010338")</f>
        <v>ICTV202010338</v>
      </c>
      <c r="R10773" t="s">
        <v>581</v>
      </c>
      <c r="S10773" t="s">
        <v>823</v>
      </c>
      <c r="T10773">
        <v>36</v>
      </c>
      <c r="U10773" s="26" t="str">
        <f>HYPERLINK("https://ictv.global/ictv/proposals/2020.095B.R.Leviviricetes.zip","2020.095B.R.Leviviricetes.zip")</f>
        <v>2020.095B.R.Leviviricetes.zip</v>
      </c>
    </row>
    <row r="10774" spans="1:21">
      <c r="A10774">
        <v>10773</v>
      </c>
      <c r="B10774" s="27" t="s">
        <v>1124</v>
      </c>
      <c r="D10774" s="27" t="s">
        <v>1859</v>
      </c>
      <c r="F10774" s="27" t="s">
        <v>1881</v>
      </c>
      <c r="H10774" s="27" t="s">
        <v>2679</v>
      </c>
      <c r="J10774" s="27" t="s">
        <v>2680</v>
      </c>
      <c r="L10774" s="27" t="s">
        <v>2810</v>
      </c>
      <c r="N10774" s="27" t="s">
        <v>2888</v>
      </c>
      <c r="P10774" s="27" t="s">
        <v>2889</v>
      </c>
      <c r="Q10774" s="26" t="str">
        <f>HYPERLINK("https://ictv.global/taxonomy/taxondetails?taxnode_id=202510340&amp;ictv_id=ICTV202010340","ICTV202010340")</f>
        <v>ICTV202010340</v>
      </c>
      <c r="R10774" t="s">
        <v>581</v>
      </c>
      <c r="S10774" t="s">
        <v>823</v>
      </c>
      <c r="T10774">
        <v>36</v>
      </c>
      <c r="U10774" s="26" t="str">
        <f>HYPERLINK("https://ictv.global/ictv/proposals/2020.095B.R.Leviviricetes.zip","2020.095B.R.Leviviricetes.zip")</f>
        <v>2020.095B.R.Leviviricetes.zip</v>
      </c>
    </row>
    <row r="10775" spans="1:21">
      <c r="A10775">
        <v>10774</v>
      </c>
      <c r="B10775" s="27" t="s">
        <v>1124</v>
      </c>
      <c r="D10775" s="27" t="s">
        <v>1859</v>
      </c>
      <c r="F10775" s="27" t="s">
        <v>1881</v>
      </c>
      <c r="H10775" s="27" t="s">
        <v>2679</v>
      </c>
      <c r="J10775" s="27" t="s">
        <v>2680</v>
      </c>
      <c r="L10775" s="27" t="s">
        <v>2810</v>
      </c>
      <c r="N10775" s="27" t="s">
        <v>2890</v>
      </c>
      <c r="P10775" s="27" t="s">
        <v>2891</v>
      </c>
      <c r="Q10775" s="26" t="str">
        <f>HYPERLINK("https://ictv.global/taxonomy/taxondetails?taxnode_id=202510342&amp;ictv_id=ICTV202010342","ICTV202010342")</f>
        <v>ICTV202010342</v>
      </c>
      <c r="R10775" t="s">
        <v>581</v>
      </c>
      <c r="S10775" t="s">
        <v>823</v>
      </c>
      <c r="T10775">
        <v>36</v>
      </c>
      <c r="U10775" s="26" t="str">
        <f>HYPERLINK("https://ictv.global/ictv/proposals/2020.095B.R.Leviviricetes.zip","2020.095B.R.Leviviricetes.zip")</f>
        <v>2020.095B.R.Leviviricetes.zip</v>
      </c>
    </row>
    <row r="10776" spans="1:21">
      <c r="A10776">
        <v>10775</v>
      </c>
      <c r="B10776" s="27" t="s">
        <v>1124</v>
      </c>
      <c r="D10776" s="27" t="s">
        <v>1859</v>
      </c>
      <c r="F10776" s="27" t="s">
        <v>1881</v>
      </c>
      <c r="H10776" s="27" t="s">
        <v>2679</v>
      </c>
      <c r="J10776" s="27" t="s">
        <v>2680</v>
      </c>
      <c r="L10776" s="27" t="s">
        <v>2810</v>
      </c>
      <c r="N10776" s="27" t="s">
        <v>2892</v>
      </c>
      <c r="P10776" s="27" t="s">
        <v>2893</v>
      </c>
      <c r="Q10776" s="26" t="str">
        <f>HYPERLINK("https://ictv.global/taxonomy/taxondetails?taxnode_id=202510344&amp;ictv_id=ICTV202010344","ICTV202010344")</f>
        <v>ICTV202010344</v>
      </c>
      <c r="R10776" t="s">
        <v>581</v>
      </c>
      <c r="S10776" t="s">
        <v>823</v>
      </c>
      <c r="T10776">
        <v>36</v>
      </c>
      <c r="U10776" s="26" t="str">
        <f>HYPERLINK("https://ictv.global/ictv/proposals/2020.095B.R.Leviviricetes.zip","2020.095B.R.Leviviricetes.zip")</f>
        <v>2020.095B.R.Leviviricetes.zip</v>
      </c>
    </row>
    <row r="10777" spans="1:21">
      <c r="A10777">
        <v>10776</v>
      </c>
      <c r="B10777" s="27" t="s">
        <v>1124</v>
      </c>
      <c r="D10777" s="27" t="s">
        <v>1859</v>
      </c>
      <c r="F10777" s="27" t="s">
        <v>1881</v>
      </c>
      <c r="H10777" s="27" t="s">
        <v>2679</v>
      </c>
      <c r="J10777" s="27" t="s">
        <v>2680</v>
      </c>
      <c r="L10777" s="27" t="s">
        <v>2810</v>
      </c>
      <c r="N10777" s="27" t="s">
        <v>14589</v>
      </c>
      <c r="P10777" s="27" t="s">
        <v>14590</v>
      </c>
      <c r="Q10777" s="26" t="str">
        <f>HYPERLINK("https://ictv.global/taxonomy/taxondetails?taxnode_id=202510322&amp;ictv_id=ICTV202010322","ICTV202010322")</f>
        <v>ICTV202010322</v>
      </c>
      <c r="R10777" t="s">
        <v>581</v>
      </c>
      <c r="S10777" t="s">
        <v>22764</v>
      </c>
      <c r="T10777">
        <v>39</v>
      </c>
      <c r="U10777" s="26" t="str">
        <f>HYPERLINK("https://ictv.global/ictv/proposals/2023.001B.Leviviricetes_reorg.zip","2023.001B.Leviviricetes_reorg.zip")</f>
        <v>2023.001B.Leviviricetes_reorg.zip</v>
      </c>
    </row>
    <row r="10778" spans="1:21">
      <c r="A10778">
        <v>10777</v>
      </c>
      <c r="B10778" s="27" t="s">
        <v>1124</v>
      </c>
      <c r="D10778" s="27" t="s">
        <v>1859</v>
      </c>
      <c r="F10778" s="27" t="s">
        <v>1881</v>
      </c>
      <c r="H10778" s="27" t="s">
        <v>2679</v>
      </c>
      <c r="J10778" s="27" t="s">
        <v>2680</v>
      </c>
      <c r="L10778" s="27" t="s">
        <v>2810</v>
      </c>
      <c r="N10778" s="27" t="s">
        <v>14591</v>
      </c>
      <c r="P10778" s="27" t="s">
        <v>14592</v>
      </c>
      <c r="Q10778" s="26" t="str">
        <f>HYPERLINK("https://ictv.global/taxonomy/taxondetails?taxnode_id=202510562&amp;ictv_id=ICTV202010562","ICTV202010562")</f>
        <v>ICTV202010562</v>
      </c>
      <c r="R10778" t="s">
        <v>581</v>
      </c>
      <c r="S10778" t="s">
        <v>22764</v>
      </c>
      <c r="T10778">
        <v>39</v>
      </c>
      <c r="U10778" s="26" t="str">
        <f>HYPERLINK("https://ictv.global/ictv/proposals/2023.001B.Leviviricetes_reorg.zip","2023.001B.Leviviricetes_reorg.zip")</f>
        <v>2023.001B.Leviviricetes_reorg.zip</v>
      </c>
    </row>
    <row r="10779" spans="1:21">
      <c r="A10779">
        <v>10778</v>
      </c>
      <c r="B10779" s="27" t="s">
        <v>1124</v>
      </c>
      <c r="D10779" s="27" t="s">
        <v>1859</v>
      </c>
      <c r="F10779" s="27" t="s">
        <v>1881</v>
      </c>
      <c r="H10779" s="27" t="s">
        <v>2679</v>
      </c>
      <c r="J10779" s="27" t="s">
        <v>2680</v>
      </c>
      <c r="L10779" s="27" t="s">
        <v>2810</v>
      </c>
      <c r="N10779" s="27" t="s">
        <v>2894</v>
      </c>
      <c r="P10779" s="27" t="s">
        <v>14593</v>
      </c>
      <c r="Q10779" s="26" t="str">
        <f>HYPERLINK("https://ictv.global/taxonomy/taxondetails?taxnode_id=202516263&amp;ictv_id=ICTV202316263","ICTV202316263")</f>
        <v>ICTV202316263</v>
      </c>
      <c r="R10779" t="s">
        <v>581</v>
      </c>
      <c r="S10779" t="s">
        <v>823</v>
      </c>
      <c r="T10779">
        <v>39</v>
      </c>
      <c r="U10779" s="26" t="str">
        <f>HYPERLINK("https://ictv.global/ictv/proposals/2023.001B.Leviviricetes_reorg.zip","2023.001B.Leviviricetes_reorg.zip")</f>
        <v>2023.001B.Leviviricetes_reorg.zip</v>
      </c>
    </row>
    <row r="10780" spans="1:21">
      <c r="A10780">
        <v>10779</v>
      </c>
      <c r="B10780" s="27" t="s">
        <v>1124</v>
      </c>
      <c r="D10780" s="27" t="s">
        <v>1859</v>
      </c>
      <c r="F10780" s="27" t="s">
        <v>1881</v>
      </c>
      <c r="H10780" s="27" t="s">
        <v>2679</v>
      </c>
      <c r="J10780" s="27" t="s">
        <v>2680</v>
      </c>
      <c r="L10780" s="27" t="s">
        <v>2810</v>
      </c>
      <c r="N10780" s="27" t="s">
        <v>2894</v>
      </c>
      <c r="P10780" s="27" t="s">
        <v>2895</v>
      </c>
      <c r="Q10780" s="26" t="str">
        <f>HYPERLINK("https://ictv.global/taxonomy/taxondetails?taxnode_id=202510346&amp;ictv_id=ICTV202010346","ICTV202010346")</f>
        <v>ICTV202010346</v>
      </c>
      <c r="R10780" t="s">
        <v>581</v>
      </c>
      <c r="S10780" t="s">
        <v>823</v>
      </c>
      <c r="T10780">
        <v>36</v>
      </c>
      <c r="U10780" s="26" t="str">
        <f>HYPERLINK("https://ictv.global/ictv/proposals/2020.095B.R.Leviviricetes.zip","2020.095B.R.Leviviricetes.zip")</f>
        <v>2020.095B.R.Leviviricetes.zip</v>
      </c>
    </row>
    <row r="10781" spans="1:21">
      <c r="A10781">
        <v>10780</v>
      </c>
      <c r="B10781" s="27" t="s">
        <v>1124</v>
      </c>
      <c r="D10781" s="27" t="s">
        <v>1859</v>
      </c>
      <c r="F10781" s="27" t="s">
        <v>1881</v>
      </c>
      <c r="H10781" s="27" t="s">
        <v>2679</v>
      </c>
      <c r="J10781" s="27" t="s">
        <v>2680</v>
      </c>
      <c r="L10781" s="27" t="s">
        <v>2810</v>
      </c>
      <c r="N10781" s="27" t="s">
        <v>2894</v>
      </c>
      <c r="P10781" s="27" t="s">
        <v>14594</v>
      </c>
      <c r="Q10781" s="26" t="str">
        <f>HYPERLINK("https://ictv.global/taxonomy/taxondetails?taxnode_id=202516264&amp;ictv_id=ICTV202316264","ICTV202316264")</f>
        <v>ICTV202316264</v>
      </c>
      <c r="R10781" t="s">
        <v>581</v>
      </c>
      <c r="S10781" t="s">
        <v>823</v>
      </c>
      <c r="T10781">
        <v>39</v>
      </c>
      <c r="U10781" s="26" t="str">
        <f>HYPERLINK("https://ictv.global/ictv/proposals/2023.001B.Leviviricetes_reorg.zip","2023.001B.Leviviricetes_reorg.zip")</f>
        <v>2023.001B.Leviviricetes_reorg.zip</v>
      </c>
    </row>
    <row r="10782" spans="1:21">
      <c r="A10782">
        <v>10781</v>
      </c>
      <c r="B10782" s="27" t="s">
        <v>1124</v>
      </c>
      <c r="D10782" s="27" t="s">
        <v>1859</v>
      </c>
      <c r="F10782" s="27" t="s">
        <v>1881</v>
      </c>
      <c r="H10782" s="27" t="s">
        <v>2679</v>
      </c>
      <c r="J10782" s="27" t="s">
        <v>2680</v>
      </c>
      <c r="L10782" s="27" t="s">
        <v>2810</v>
      </c>
      <c r="N10782" s="27" t="s">
        <v>14595</v>
      </c>
      <c r="P10782" s="27" t="s">
        <v>14596</v>
      </c>
      <c r="Q10782" s="26" t="str">
        <f>HYPERLINK("https://ictv.global/taxonomy/taxondetails?taxnode_id=202510600&amp;ictv_id=ICTV202010600","ICTV202010600")</f>
        <v>ICTV202010600</v>
      </c>
      <c r="R10782" t="s">
        <v>581</v>
      </c>
      <c r="S10782" t="s">
        <v>22764</v>
      </c>
      <c r="T10782">
        <v>39</v>
      </c>
      <c r="U10782" s="26" t="str">
        <f>HYPERLINK("https://ictv.global/ictv/proposals/2023.001B.Leviviricetes_reorg.zip","2023.001B.Leviviricetes_reorg.zip")</f>
        <v>2023.001B.Leviviricetes_reorg.zip</v>
      </c>
    </row>
    <row r="10783" spans="1:21">
      <c r="A10783">
        <v>10782</v>
      </c>
      <c r="B10783" s="27" t="s">
        <v>1124</v>
      </c>
      <c r="D10783" s="27" t="s">
        <v>1859</v>
      </c>
      <c r="F10783" s="27" t="s">
        <v>1881</v>
      </c>
      <c r="H10783" s="27" t="s">
        <v>2679</v>
      </c>
      <c r="J10783" s="27" t="s">
        <v>2680</v>
      </c>
      <c r="L10783" s="27" t="s">
        <v>2810</v>
      </c>
      <c r="N10783" s="27" t="s">
        <v>14597</v>
      </c>
      <c r="P10783" s="27" t="s">
        <v>14598</v>
      </c>
      <c r="Q10783" s="26" t="str">
        <f>HYPERLINK("https://ictv.global/taxonomy/taxondetails?taxnode_id=202510497&amp;ictv_id=ICTV202010497","ICTV202010497")</f>
        <v>ICTV202010497</v>
      </c>
      <c r="R10783" t="s">
        <v>581</v>
      </c>
      <c r="S10783" t="s">
        <v>22764</v>
      </c>
      <c r="T10783">
        <v>39</v>
      </c>
      <c r="U10783" s="26" t="str">
        <f>HYPERLINK("https://ictv.global/ictv/proposals/2023.001B.Leviviricetes_reorg.zip","2023.001B.Leviviricetes_reorg.zip")</f>
        <v>2023.001B.Leviviricetes_reorg.zip</v>
      </c>
    </row>
    <row r="10784" spans="1:21">
      <c r="A10784">
        <v>10783</v>
      </c>
      <c r="B10784" s="27" t="s">
        <v>1124</v>
      </c>
      <c r="D10784" s="27" t="s">
        <v>1859</v>
      </c>
      <c r="F10784" s="27" t="s">
        <v>1881</v>
      </c>
      <c r="H10784" s="27" t="s">
        <v>2679</v>
      </c>
      <c r="J10784" s="27" t="s">
        <v>2680</v>
      </c>
      <c r="L10784" s="27" t="s">
        <v>2810</v>
      </c>
      <c r="N10784" s="27" t="s">
        <v>14597</v>
      </c>
      <c r="P10784" s="27" t="s">
        <v>14599</v>
      </c>
      <c r="Q10784" s="26" t="str">
        <f>HYPERLINK("https://ictv.global/taxonomy/taxondetails?taxnode_id=202510498&amp;ictv_id=ICTV202010498","ICTV202010498")</f>
        <v>ICTV202010498</v>
      </c>
      <c r="R10784" t="s">
        <v>581</v>
      </c>
      <c r="S10784" t="s">
        <v>22764</v>
      </c>
      <c r="T10784">
        <v>39</v>
      </c>
      <c r="U10784" s="26" t="str">
        <f>HYPERLINK("https://ictv.global/ictv/proposals/2023.001B.Leviviricetes_reorg.zip","2023.001B.Leviviricetes_reorg.zip")</f>
        <v>2023.001B.Leviviricetes_reorg.zip</v>
      </c>
    </row>
    <row r="10785" spans="1:21">
      <c r="A10785">
        <v>10784</v>
      </c>
      <c r="B10785" s="27" t="s">
        <v>1124</v>
      </c>
      <c r="D10785" s="27" t="s">
        <v>1859</v>
      </c>
      <c r="F10785" s="27" t="s">
        <v>1881</v>
      </c>
      <c r="H10785" s="27" t="s">
        <v>2679</v>
      </c>
      <c r="J10785" s="27" t="s">
        <v>2680</v>
      </c>
      <c r="L10785" s="27" t="s">
        <v>2810</v>
      </c>
      <c r="N10785" s="27" t="s">
        <v>2896</v>
      </c>
      <c r="P10785" s="27" t="s">
        <v>14600</v>
      </c>
      <c r="Q10785" s="26" t="str">
        <f>HYPERLINK("https://ictv.global/taxonomy/taxondetails?taxnode_id=202516265&amp;ictv_id=ICTV202316265","ICTV202316265")</f>
        <v>ICTV202316265</v>
      </c>
      <c r="R10785" t="s">
        <v>581</v>
      </c>
      <c r="S10785" t="s">
        <v>823</v>
      </c>
      <c r="T10785">
        <v>39</v>
      </c>
      <c r="U10785" s="26" t="str">
        <f>HYPERLINK("https://ictv.global/ictv/proposals/2023.001B.Leviviricetes_reorg.zip","2023.001B.Leviviricetes_reorg.zip")</f>
        <v>2023.001B.Leviviricetes_reorg.zip</v>
      </c>
    </row>
    <row r="10786" spans="1:21">
      <c r="A10786">
        <v>10785</v>
      </c>
      <c r="B10786" s="27" t="s">
        <v>1124</v>
      </c>
      <c r="D10786" s="27" t="s">
        <v>1859</v>
      </c>
      <c r="F10786" s="27" t="s">
        <v>1881</v>
      </c>
      <c r="H10786" s="27" t="s">
        <v>2679</v>
      </c>
      <c r="J10786" s="27" t="s">
        <v>2680</v>
      </c>
      <c r="L10786" s="27" t="s">
        <v>2810</v>
      </c>
      <c r="N10786" s="27" t="s">
        <v>2896</v>
      </c>
      <c r="P10786" s="27" t="s">
        <v>2897</v>
      </c>
      <c r="Q10786" s="26" t="str">
        <f>HYPERLINK("https://ictv.global/taxonomy/taxondetails?taxnode_id=202510348&amp;ictv_id=ICTV202010348","ICTV202010348")</f>
        <v>ICTV202010348</v>
      </c>
      <c r="R10786" t="s">
        <v>581</v>
      </c>
      <c r="S10786" t="s">
        <v>823</v>
      </c>
      <c r="T10786">
        <v>36</v>
      </c>
      <c r="U10786" s="26" t="str">
        <f>HYPERLINK("https://ictv.global/ictv/proposals/2020.095B.R.Leviviricetes.zip","2020.095B.R.Leviviricetes.zip")</f>
        <v>2020.095B.R.Leviviricetes.zip</v>
      </c>
    </row>
    <row r="10787" spans="1:21">
      <c r="A10787">
        <v>10786</v>
      </c>
      <c r="B10787" s="27" t="s">
        <v>1124</v>
      </c>
      <c r="D10787" s="27" t="s">
        <v>1859</v>
      </c>
      <c r="F10787" s="27" t="s">
        <v>1881</v>
      </c>
      <c r="H10787" s="27" t="s">
        <v>2679</v>
      </c>
      <c r="J10787" s="27" t="s">
        <v>2680</v>
      </c>
      <c r="L10787" s="27" t="s">
        <v>2810</v>
      </c>
      <c r="N10787" s="27" t="s">
        <v>14601</v>
      </c>
      <c r="P10787" s="27" t="s">
        <v>14602</v>
      </c>
      <c r="Q10787" s="26" t="str">
        <f>HYPERLINK("https://ictv.global/taxonomy/taxondetails?taxnode_id=202510617&amp;ictv_id=ICTV202010617","ICTV202010617")</f>
        <v>ICTV202010617</v>
      </c>
      <c r="R10787" t="s">
        <v>581</v>
      </c>
      <c r="S10787" t="s">
        <v>22764</v>
      </c>
      <c r="T10787">
        <v>39</v>
      </c>
      <c r="U10787" s="26" t="str">
        <f t="shared" ref="U10787:U10797" si="394">HYPERLINK("https://ictv.global/ictv/proposals/2023.001B.Leviviricetes_reorg.zip","2023.001B.Leviviricetes_reorg.zip")</f>
        <v>2023.001B.Leviviricetes_reorg.zip</v>
      </c>
    </row>
    <row r="10788" spans="1:21">
      <c r="A10788">
        <v>10787</v>
      </c>
      <c r="B10788" s="27" t="s">
        <v>1124</v>
      </c>
      <c r="D10788" s="27" t="s">
        <v>1859</v>
      </c>
      <c r="F10788" s="27" t="s">
        <v>1881</v>
      </c>
      <c r="H10788" s="27" t="s">
        <v>2679</v>
      </c>
      <c r="J10788" s="27" t="s">
        <v>2680</v>
      </c>
      <c r="L10788" s="27" t="s">
        <v>2810</v>
      </c>
      <c r="N10788" s="27" t="s">
        <v>14603</v>
      </c>
      <c r="P10788" s="27" t="s">
        <v>14604</v>
      </c>
      <c r="Q10788" s="26" t="str">
        <f>HYPERLINK("https://ictv.global/taxonomy/taxondetails?taxnode_id=202510234&amp;ictv_id=ICTV202010234","ICTV202010234")</f>
        <v>ICTV202010234</v>
      </c>
      <c r="R10788" t="s">
        <v>581</v>
      </c>
      <c r="S10788" t="s">
        <v>22764</v>
      </c>
      <c r="T10788">
        <v>39</v>
      </c>
      <c r="U10788" s="26" t="str">
        <f t="shared" si="394"/>
        <v>2023.001B.Leviviricetes_reorg.zip</v>
      </c>
    </row>
    <row r="10789" spans="1:21">
      <c r="A10789">
        <v>10788</v>
      </c>
      <c r="B10789" s="27" t="s">
        <v>1124</v>
      </c>
      <c r="D10789" s="27" t="s">
        <v>1859</v>
      </c>
      <c r="F10789" s="27" t="s">
        <v>1881</v>
      </c>
      <c r="H10789" s="27" t="s">
        <v>2679</v>
      </c>
      <c r="J10789" s="27" t="s">
        <v>2680</v>
      </c>
      <c r="L10789" s="27" t="s">
        <v>2810</v>
      </c>
      <c r="N10789" s="27" t="s">
        <v>14603</v>
      </c>
      <c r="P10789" s="27" t="s">
        <v>14605</v>
      </c>
      <c r="Q10789" s="26" t="str">
        <f>HYPERLINK("https://ictv.global/taxonomy/taxondetails?taxnode_id=202510630&amp;ictv_id=ICTV202010630","ICTV202010630")</f>
        <v>ICTV202010630</v>
      </c>
      <c r="R10789" t="s">
        <v>581</v>
      </c>
      <c r="S10789" t="s">
        <v>22764</v>
      </c>
      <c r="T10789">
        <v>39</v>
      </c>
      <c r="U10789" s="26" t="str">
        <f t="shared" si="394"/>
        <v>2023.001B.Leviviricetes_reorg.zip</v>
      </c>
    </row>
    <row r="10790" spans="1:21">
      <c r="A10790">
        <v>10789</v>
      </c>
      <c r="B10790" s="27" t="s">
        <v>1124</v>
      </c>
      <c r="D10790" s="27" t="s">
        <v>1859</v>
      </c>
      <c r="F10790" s="27" t="s">
        <v>1881</v>
      </c>
      <c r="H10790" s="27" t="s">
        <v>2679</v>
      </c>
      <c r="J10790" s="27" t="s">
        <v>2680</v>
      </c>
      <c r="L10790" s="27" t="s">
        <v>2810</v>
      </c>
      <c r="N10790" s="27" t="s">
        <v>14603</v>
      </c>
      <c r="P10790" s="27" t="s">
        <v>14606</v>
      </c>
      <c r="Q10790" s="26" t="str">
        <f>HYPERLINK("https://ictv.global/taxonomy/taxondetails?taxnode_id=202516266&amp;ictv_id=ICTV202316266","ICTV202316266")</f>
        <v>ICTV202316266</v>
      </c>
      <c r="R10790" t="s">
        <v>581</v>
      </c>
      <c r="S10790" t="s">
        <v>823</v>
      </c>
      <c r="T10790">
        <v>39</v>
      </c>
      <c r="U10790" s="26" t="str">
        <f t="shared" si="394"/>
        <v>2023.001B.Leviviricetes_reorg.zip</v>
      </c>
    </row>
    <row r="10791" spans="1:21">
      <c r="A10791">
        <v>10790</v>
      </c>
      <c r="B10791" s="27" t="s">
        <v>1124</v>
      </c>
      <c r="D10791" s="27" t="s">
        <v>1859</v>
      </c>
      <c r="F10791" s="27" t="s">
        <v>1881</v>
      </c>
      <c r="H10791" s="27" t="s">
        <v>2679</v>
      </c>
      <c r="J10791" s="27" t="s">
        <v>2680</v>
      </c>
      <c r="L10791" s="27" t="s">
        <v>2810</v>
      </c>
      <c r="N10791" s="27" t="s">
        <v>14607</v>
      </c>
      <c r="P10791" s="27" t="s">
        <v>14608</v>
      </c>
      <c r="Q10791" s="26" t="str">
        <f>HYPERLINK("https://ictv.global/taxonomy/taxondetails?taxnode_id=202510665&amp;ictv_id=ICTV202010665","ICTV202010665")</f>
        <v>ICTV202010665</v>
      </c>
      <c r="R10791" t="s">
        <v>581</v>
      </c>
      <c r="S10791" t="s">
        <v>22764</v>
      </c>
      <c r="T10791">
        <v>39</v>
      </c>
      <c r="U10791" s="26" t="str">
        <f t="shared" si="394"/>
        <v>2023.001B.Leviviricetes_reorg.zip</v>
      </c>
    </row>
    <row r="10792" spans="1:21">
      <c r="A10792">
        <v>10791</v>
      </c>
      <c r="B10792" s="27" t="s">
        <v>1124</v>
      </c>
      <c r="D10792" s="27" t="s">
        <v>1859</v>
      </c>
      <c r="F10792" s="27" t="s">
        <v>1881</v>
      </c>
      <c r="H10792" s="27" t="s">
        <v>2679</v>
      </c>
      <c r="J10792" s="27" t="s">
        <v>2680</v>
      </c>
      <c r="L10792" s="27" t="s">
        <v>2810</v>
      </c>
      <c r="N10792" s="27" t="s">
        <v>14607</v>
      </c>
      <c r="P10792" s="27" t="s">
        <v>14609</v>
      </c>
      <c r="Q10792" s="26" t="str">
        <f>HYPERLINK("https://ictv.global/taxonomy/taxondetails?taxnode_id=202510502&amp;ictv_id=ICTV202010502","ICTV202010502")</f>
        <v>ICTV202010502</v>
      </c>
      <c r="R10792" t="s">
        <v>581</v>
      </c>
      <c r="S10792" t="s">
        <v>22764</v>
      </c>
      <c r="T10792">
        <v>39</v>
      </c>
      <c r="U10792" s="26" t="str">
        <f t="shared" si="394"/>
        <v>2023.001B.Leviviricetes_reorg.zip</v>
      </c>
    </row>
    <row r="10793" spans="1:21">
      <c r="A10793">
        <v>10792</v>
      </c>
      <c r="B10793" s="27" t="s">
        <v>1124</v>
      </c>
      <c r="D10793" s="27" t="s">
        <v>1859</v>
      </c>
      <c r="F10793" s="27" t="s">
        <v>1881</v>
      </c>
      <c r="H10793" s="27" t="s">
        <v>2679</v>
      </c>
      <c r="J10793" s="27" t="s">
        <v>2680</v>
      </c>
      <c r="L10793" s="27" t="s">
        <v>2810</v>
      </c>
      <c r="N10793" s="27" t="s">
        <v>14607</v>
      </c>
      <c r="P10793" s="27" t="s">
        <v>14610</v>
      </c>
      <c r="Q10793" s="26" t="str">
        <f>HYPERLINK("https://ictv.global/taxonomy/taxondetails?taxnode_id=202516267&amp;ictv_id=ICTV202316267","ICTV202316267")</f>
        <v>ICTV202316267</v>
      </c>
      <c r="R10793" t="s">
        <v>581</v>
      </c>
      <c r="S10793" t="s">
        <v>823</v>
      </c>
      <c r="T10793">
        <v>39</v>
      </c>
      <c r="U10793" s="26" t="str">
        <f t="shared" si="394"/>
        <v>2023.001B.Leviviricetes_reorg.zip</v>
      </c>
    </row>
    <row r="10794" spans="1:21">
      <c r="A10794">
        <v>10793</v>
      </c>
      <c r="B10794" s="27" t="s">
        <v>1124</v>
      </c>
      <c r="D10794" s="27" t="s">
        <v>1859</v>
      </c>
      <c r="F10794" s="27" t="s">
        <v>1881</v>
      </c>
      <c r="H10794" s="27" t="s">
        <v>2679</v>
      </c>
      <c r="J10794" s="27" t="s">
        <v>2680</v>
      </c>
      <c r="L10794" s="27" t="s">
        <v>2810</v>
      </c>
      <c r="N10794" s="27" t="s">
        <v>14611</v>
      </c>
      <c r="P10794" s="27" t="s">
        <v>14612</v>
      </c>
      <c r="Q10794" s="26" t="str">
        <f>HYPERLINK("https://ictv.global/taxonomy/taxondetails?taxnode_id=202516268&amp;ictv_id=ICTV202316268","ICTV202316268")</f>
        <v>ICTV202316268</v>
      </c>
      <c r="R10794" t="s">
        <v>581</v>
      </c>
      <c r="S10794" t="s">
        <v>823</v>
      </c>
      <c r="T10794">
        <v>39</v>
      </c>
      <c r="U10794" s="26" t="str">
        <f t="shared" si="394"/>
        <v>2023.001B.Leviviricetes_reorg.zip</v>
      </c>
    </row>
    <row r="10795" spans="1:21">
      <c r="A10795">
        <v>10794</v>
      </c>
      <c r="B10795" s="27" t="s">
        <v>1124</v>
      </c>
      <c r="D10795" s="27" t="s">
        <v>1859</v>
      </c>
      <c r="F10795" s="27" t="s">
        <v>1881</v>
      </c>
      <c r="H10795" s="27" t="s">
        <v>2679</v>
      </c>
      <c r="J10795" s="27" t="s">
        <v>2680</v>
      </c>
      <c r="L10795" s="27" t="s">
        <v>2810</v>
      </c>
      <c r="N10795" s="27" t="s">
        <v>14613</v>
      </c>
      <c r="P10795" s="27" t="s">
        <v>14614</v>
      </c>
      <c r="Q10795" s="26" t="str">
        <f>HYPERLINK("https://ictv.global/taxonomy/taxondetails?taxnode_id=202516269&amp;ictv_id=ICTV202316269","ICTV202316269")</f>
        <v>ICTV202316269</v>
      </c>
      <c r="R10795" t="s">
        <v>581</v>
      </c>
      <c r="S10795" t="s">
        <v>823</v>
      </c>
      <c r="T10795">
        <v>39</v>
      </c>
      <c r="U10795" s="26" t="str">
        <f t="shared" si="394"/>
        <v>2023.001B.Leviviricetes_reorg.zip</v>
      </c>
    </row>
    <row r="10796" spans="1:21">
      <c r="A10796">
        <v>10795</v>
      </c>
      <c r="B10796" s="27" t="s">
        <v>1124</v>
      </c>
      <c r="D10796" s="27" t="s">
        <v>1859</v>
      </c>
      <c r="F10796" s="27" t="s">
        <v>1881</v>
      </c>
      <c r="H10796" s="27" t="s">
        <v>2679</v>
      </c>
      <c r="J10796" s="27" t="s">
        <v>2680</v>
      </c>
      <c r="L10796" s="27" t="s">
        <v>2810</v>
      </c>
      <c r="N10796" s="27" t="s">
        <v>14615</v>
      </c>
      <c r="P10796" s="27" t="s">
        <v>14616</v>
      </c>
      <c r="Q10796" s="26" t="str">
        <f>HYPERLINK("https://ictv.global/taxonomy/taxondetails?taxnode_id=202510477&amp;ictv_id=ICTV202010477","ICTV202010477")</f>
        <v>ICTV202010477</v>
      </c>
      <c r="R10796" t="s">
        <v>581</v>
      </c>
      <c r="S10796" t="s">
        <v>22764</v>
      </c>
      <c r="T10796">
        <v>39</v>
      </c>
      <c r="U10796" s="26" t="str">
        <f t="shared" si="394"/>
        <v>2023.001B.Leviviricetes_reorg.zip</v>
      </c>
    </row>
    <row r="10797" spans="1:21">
      <c r="A10797">
        <v>10796</v>
      </c>
      <c r="B10797" s="27" t="s">
        <v>1124</v>
      </c>
      <c r="D10797" s="27" t="s">
        <v>1859</v>
      </c>
      <c r="F10797" s="27" t="s">
        <v>1881</v>
      </c>
      <c r="H10797" s="27" t="s">
        <v>2679</v>
      </c>
      <c r="J10797" s="27" t="s">
        <v>2680</v>
      </c>
      <c r="L10797" s="27" t="s">
        <v>2810</v>
      </c>
      <c r="N10797" s="27" t="s">
        <v>14617</v>
      </c>
      <c r="P10797" s="27" t="s">
        <v>14618</v>
      </c>
      <c r="Q10797" s="26" t="str">
        <f>HYPERLINK("https://ictv.global/taxonomy/taxondetails?taxnode_id=202516270&amp;ictv_id=ICTV202316270","ICTV202316270")</f>
        <v>ICTV202316270</v>
      </c>
      <c r="R10797" t="s">
        <v>581</v>
      </c>
      <c r="S10797" t="s">
        <v>823</v>
      </c>
      <c r="T10797">
        <v>39</v>
      </c>
      <c r="U10797" s="26" t="str">
        <f t="shared" si="394"/>
        <v>2023.001B.Leviviricetes_reorg.zip</v>
      </c>
    </row>
    <row r="10798" spans="1:21">
      <c r="A10798">
        <v>10797</v>
      </c>
      <c r="B10798" s="27" t="s">
        <v>1124</v>
      </c>
      <c r="D10798" s="27" t="s">
        <v>1859</v>
      </c>
      <c r="F10798" s="27" t="s">
        <v>1881</v>
      </c>
      <c r="H10798" s="27" t="s">
        <v>2679</v>
      </c>
      <c r="J10798" s="27" t="s">
        <v>2680</v>
      </c>
      <c r="L10798" s="27" t="s">
        <v>2810</v>
      </c>
      <c r="N10798" s="27" t="s">
        <v>2898</v>
      </c>
      <c r="P10798" s="27" t="s">
        <v>2899</v>
      </c>
      <c r="Q10798" s="26" t="str">
        <f>HYPERLINK("https://ictv.global/taxonomy/taxondetails?taxnode_id=202503757&amp;ictv_id=ICTV19991069","ICTV19991069")</f>
        <v>ICTV19991069</v>
      </c>
      <c r="R10798" t="s">
        <v>581</v>
      </c>
      <c r="S10798" t="s">
        <v>824</v>
      </c>
      <c r="T10798">
        <v>36</v>
      </c>
      <c r="U10798" s="26" t="str">
        <f>HYPERLINK("https://ictv.global/ictv/proposals/2020.095B.R.Leviviricetes.zip","2020.095B.R.Leviviricetes.zip")</f>
        <v>2020.095B.R.Leviviricetes.zip</v>
      </c>
    </row>
    <row r="10799" spans="1:21">
      <c r="A10799">
        <v>10798</v>
      </c>
      <c r="B10799" s="27" t="s">
        <v>1124</v>
      </c>
      <c r="D10799" s="27" t="s">
        <v>1859</v>
      </c>
      <c r="F10799" s="27" t="s">
        <v>1881</v>
      </c>
      <c r="H10799" s="27" t="s">
        <v>2679</v>
      </c>
      <c r="J10799" s="27" t="s">
        <v>2680</v>
      </c>
      <c r="L10799" s="27" t="s">
        <v>2810</v>
      </c>
      <c r="N10799" s="27" t="s">
        <v>2898</v>
      </c>
      <c r="P10799" s="27" t="s">
        <v>2900</v>
      </c>
      <c r="Q10799" s="26" t="str">
        <f>HYPERLINK("https://ictv.global/taxonomy/taxondetails?taxnode_id=202510217&amp;ictv_id=ICTV202010217","ICTV202010217")</f>
        <v>ICTV202010217</v>
      </c>
      <c r="R10799" t="s">
        <v>581</v>
      </c>
      <c r="S10799" t="s">
        <v>823</v>
      </c>
      <c r="T10799">
        <v>36</v>
      </c>
      <c r="U10799" s="26" t="str">
        <f>HYPERLINK("https://ictv.global/ictv/proposals/2020.095B.R.Leviviricetes.zip","2020.095B.R.Leviviricetes.zip")</f>
        <v>2020.095B.R.Leviviricetes.zip</v>
      </c>
    </row>
    <row r="10800" spans="1:21">
      <c r="A10800">
        <v>10799</v>
      </c>
      <c r="B10800" s="27" t="s">
        <v>1124</v>
      </c>
      <c r="D10800" s="27" t="s">
        <v>1859</v>
      </c>
      <c r="F10800" s="27" t="s">
        <v>1881</v>
      </c>
      <c r="H10800" s="27" t="s">
        <v>2679</v>
      </c>
      <c r="J10800" s="27" t="s">
        <v>2680</v>
      </c>
      <c r="L10800" s="27" t="s">
        <v>2810</v>
      </c>
      <c r="N10800" s="27" t="s">
        <v>2898</v>
      </c>
      <c r="P10800" s="27" t="s">
        <v>2901</v>
      </c>
      <c r="Q10800" s="26" t="str">
        <f>HYPERLINK("https://ictv.global/taxonomy/taxondetails?taxnode_id=202503758&amp;ictv_id=ICTV19991070","ICTV19991070")</f>
        <v>ICTV19991070</v>
      </c>
      <c r="R10800" t="s">
        <v>581</v>
      </c>
      <c r="S10800" t="s">
        <v>22766</v>
      </c>
      <c r="T10800">
        <v>36</v>
      </c>
      <c r="U10800" s="26" t="str">
        <f>HYPERLINK("https://ictv.global/ictv/proposals/2020.001G.R.Abolish_type_species.pdf","2020.001G.R.Abolish_type_species.pdf")</f>
        <v>2020.001G.R.Abolish_type_species.pdf</v>
      </c>
    </row>
    <row r="10801" spans="1:21">
      <c r="A10801">
        <v>10800</v>
      </c>
      <c r="B10801" s="27" t="s">
        <v>1124</v>
      </c>
      <c r="D10801" s="27" t="s">
        <v>1859</v>
      </c>
      <c r="F10801" s="27" t="s">
        <v>1881</v>
      </c>
      <c r="H10801" s="27" t="s">
        <v>2679</v>
      </c>
      <c r="J10801" s="27" t="s">
        <v>2680</v>
      </c>
      <c r="L10801" s="27" t="s">
        <v>2810</v>
      </c>
      <c r="N10801" s="27" t="s">
        <v>2902</v>
      </c>
      <c r="P10801" s="27" t="s">
        <v>2903</v>
      </c>
      <c r="Q10801" s="26" t="str">
        <f>HYPERLINK("https://ictv.global/taxonomy/taxondetails?taxnode_id=202510350&amp;ictv_id=ICTV202010350","ICTV202010350")</f>
        <v>ICTV202010350</v>
      </c>
      <c r="R10801" t="s">
        <v>581</v>
      </c>
      <c r="S10801" t="s">
        <v>823</v>
      </c>
      <c r="T10801">
        <v>36</v>
      </c>
      <c r="U10801" s="26" t="str">
        <f>HYPERLINK("https://ictv.global/ictv/proposals/2020.095B.R.Leviviricetes.zip","2020.095B.R.Leviviricetes.zip")</f>
        <v>2020.095B.R.Leviviricetes.zip</v>
      </c>
    </row>
    <row r="10802" spans="1:21">
      <c r="A10802">
        <v>10801</v>
      </c>
      <c r="B10802" s="27" t="s">
        <v>1124</v>
      </c>
      <c r="D10802" s="27" t="s">
        <v>1859</v>
      </c>
      <c r="F10802" s="27" t="s">
        <v>1881</v>
      </c>
      <c r="H10802" s="27" t="s">
        <v>2679</v>
      </c>
      <c r="J10802" s="27" t="s">
        <v>2680</v>
      </c>
      <c r="L10802" s="27" t="s">
        <v>2810</v>
      </c>
      <c r="N10802" s="27" t="s">
        <v>14619</v>
      </c>
      <c r="P10802" s="27" t="s">
        <v>14620</v>
      </c>
      <c r="Q10802" s="26" t="str">
        <f>HYPERLINK("https://ictv.global/taxonomy/taxondetails?taxnode_id=202516271&amp;ictv_id=ICTV202316271","ICTV202316271")</f>
        <v>ICTV202316271</v>
      </c>
      <c r="R10802" t="s">
        <v>581</v>
      </c>
      <c r="S10802" t="s">
        <v>823</v>
      </c>
      <c r="T10802">
        <v>39</v>
      </c>
      <c r="U10802" s="26" t="str">
        <f>HYPERLINK("https://ictv.global/ictv/proposals/2023.001B.Leviviricetes_reorg.zip","2023.001B.Leviviricetes_reorg.zip")</f>
        <v>2023.001B.Leviviricetes_reorg.zip</v>
      </c>
    </row>
    <row r="10803" spans="1:21">
      <c r="A10803">
        <v>10802</v>
      </c>
      <c r="B10803" s="27" t="s">
        <v>1124</v>
      </c>
      <c r="D10803" s="27" t="s">
        <v>1859</v>
      </c>
      <c r="F10803" s="27" t="s">
        <v>1881</v>
      </c>
      <c r="H10803" s="27" t="s">
        <v>2679</v>
      </c>
      <c r="J10803" s="27" t="s">
        <v>2680</v>
      </c>
      <c r="L10803" s="27" t="s">
        <v>2810</v>
      </c>
      <c r="N10803" s="27" t="s">
        <v>2904</v>
      </c>
      <c r="P10803" s="27" t="s">
        <v>14621</v>
      </c>
      <c r="Q10803" s="26" t="str">
        <f>HYPERLINK("https://ictv.global/taxonomy/taxondetails?taxnode_id=202516272&amp;ictv_id=ICTV202316272","ICTV202316272")</f>
        <v>ICTV202316272</v>
      </c>
      <c r="R10803" t="s">
        <v>581</v>
      </c>
      <c r="S10803" t="s">
        <v>823</v>
      </c>
      <c r="T10803">
        <v>39</v>
      </c>
      <c r="U10803" s="26" t="str">
        <f>HYPERLINK("https://ictv.global/ictv/proposals/2023.001B.Leviviricetes_reorg.zip","2023.001B.Leviviricetes_reorg.zip")</f>
        <v>2023.001B.Leviviricetes_reorg.zip</v>
      </c>
    </row>
    <row r="10804" spans="1:21">
      <c r="A10804">
        <v>10803</v>
      </c>
      <c r="B10804" s="27" t="s">
        <v>1124</v>
      </c>
      <c r="D10804" s="27" t="s">
        <v>1859</v>
      </c>
      <c r="F10804" s="27" t="s">
        <v>1881</v>
      </c>
      <c r="H10804" s="27" t="s">
        <v>2679</v>
      </c>
      <c r="J10804" s="27" t="s">
        <v>2680</v>
      </c>
      <c r="L10804" s="27" t="s">
        <v>2810</v>
      </c>
      <c r="N10804" s="27" t="s">
        <v>2904</v>
      </c>
      <c r="P10804" s="27" t="s">
        <v>14622</v>
      </c>
      <c r="Q10804" s="26" t="str">
        <f>HYPERLINK("https://ictv.global/taxonomy/taxondetails?taxnode_id=202510553&amp;ictv_id=ICTV202010553","ICTV202010553")</f>
        <v>ICTV202010553</v>
      </c>
      <c r="R10804" t="s">
        <v>581</v>
      </c>
      <c r="S10804" t="s">
        <v>22764</v>
      </c>
      <c r="T10804">
        <v>39</v>
      </c>
      <c r="U10804" s="26" t="str">
        <f>HYPERLINK("https://ictv.global/ictv/proposals/2023.001B.Leviviricetes_reorg.zip","2023.001B.Leviviricetes_reorg.zip")</f>
        <v>2023.001B.Leviviricetes_reorg.zip</v>
      </c>
    </row>
    <row r="10805" spans="1:21">
      <c r="A10805">
        <v>10804</v>
      </c>
      <c r="B10805" s="27" t="s">
        <v>1124</v>
      </c>
      <c r="D10805" s="27" t="s">
        <v>1859</v>
      </c>
      <c r="F10805" s="27" t="s">
        <v>1881</v>
      </c>
      <c r="H10805" s="27" t="s">
        <v>2679</v>
      </c>
      <c r="J10805" s="27" t="s">
        <v>2680</v>
      </c>
      <c r="L10805" s="27" t="s">
        <v>2810</v>
      </c>
      <c r="N10805" s="27" t="s">
        <v>2904</v>
      </c>
      <c r="P10805" s="27" t="s">
        <v>14623</v>
      </c>
      <c r="Q10805" s="26" t="str">
        <f>HYPERLINK("https://ictv.global/taxonomy/taxondetails?taxnode_id=202510554&amp;ictv_id=ICTV202010554","ICTV202010554")</f>
        <v>ICTV202010554</v>
      </c>
      <c r="R10805" t="s">
        <v>581</v>
      </c>
      <c r="S10805" t="s">
        <v>22764</v>
      </c>
      <c r="T10805">
        <v>39</v>
      </c>
      <c r="U10805" s="26" t="str">
        <f>HYPERLINK("https://ictv.global/ictv/proposals/2023.001B.Leviviricetes_reorg.zip","2023.001B.Leviviricetes_reorg.zip")</f>
        <v>2023.001B.Leviviricetes_reorg.zip</v>
      </c>
    </row>
    <row r="10806" spans="1:21">
      <c r="A10806">
        <v>10805</v>
      </c>
      <c r="B10806" s="27" t="s">
        <v>1124</v>
      </c>
      <c r="D10806" s="27" t="s">
        <v>1859</v>
      </c>
      <c r="F10806" s="27" t="s">
        <v>1881</v>
      </c>
      <c r="H10806" s="27" t="s">
        <v>2679</v>
      </c>
      <c r="J10806" s="27" t="s">
        <v>2680</v>
      </c>
      <c r="L10806" s="27" t="s">
        <v>2810</v>
      </c>
      <c r="N10806" s="27" t="s">
        <v>2904</v>
      </c>
      <c r="P10806" s="27" t="s">
        <v>2905</v>
      </c>
      <c r="Q10806" s="26" t="str">
        <f>HYPERLINK("https://ictv.global/taxonomy/taxondetails?taxnode_id=202510352&amp;ictv_id=ICTV202010352","ICTV202010352")</f>
        <v>ICTV202010352</v>
      </c>
      <c r="R10806" t="s">
        <v>581</v>
      </c>
      <c r="S10806" t="s">
        <v>823</v>
      </c>
      <c r="T10806">
        <v>36</v>
      </c>
      <c r="U10806" s="26" t="str">
        <f>HYPERLINK("https://ictv.global/ictv/proposals/2020.095B.R.Leviviricetes.zip","2020.095B.R.Leviviricetes.zip")</f>
        <v>2020.095B.R.Leviviricetes.zip</v>
      </c>
    </row>
    <row r="10807" spans="1:21">
      <c r="A10807">
        <v>10806</v>
      </c>
      <c r="B10807" s="27" t="s">
        <v>1124</v>
      </c>
      <c r="D10807" s="27" t="s">
        <v>1859</v>
      </c>
      <c r="F10807" s="27" t="s">
        <v>1881</v>
      </c>
      <c r="H10807" s="27" t="s">
        <v>2679</v>
      </c>
      <c r="J10807" s="27" t="s">
        <v>2680</v>
      </c>
      <c r="L10807" s="27" t="s">
        <v>2810</v>
      </c>
      <c r="N10807" s="27" t="s">
        <v>2904</v>
      </c>
      <c r="P10807" s="27" t="s">
        <v>14624</v>
      </c>
      <c r="Q10807" s="26" t="str">
        <f>HYPERLINK("https://ictv.global/taxonomy/taxondetails?taxnode_id=202516273&amp;ictv_id=ICTV202316273","ICTV202316273")</f>
        <v>ICTV202316273</v>
      </c>
      <c r="R10807" t="s">
        <v>581</v>
      </c>
      <c r="S10807" t="s">
        <v>823</v>
      </c>
      <c r="T10807">
        <v>39</v>
      </c>
      <c r="U10807" s="26" t="str">
        <f t="shared" ref="U10807:U10815" si="395">HYPERLINK("https://ictv.global/ictv/proposals/2023.001B.Leviviricetes_reorg.zip","2023.001B.Leviviricetes_reorg.zip")</f>
        <v>2023.001B.Leviviricetes_reorg.zip</v>
      </c>
    </row>
    <row r="10808" spans="1:21">
      <c r="A10808">
        <v>10807</v>
      </c>
      <c r="B10808" s="27" t="s">
        <v>1124</v>
      </c>
      <c r="D10808" s="27" t="s">
        <v>1859</v>
      </c>
      <c r="F10808" s="27" t="s">
        <v>1881</v>
      </c>
      <c r="H10808" s="27" t="s">
        <v>2679</v>
      </c>
      <c r="J10808" s="27" t="s">
        <v>2680</v>
      </c>
      <c r="L10808" s="27" t="s">
        <v>2810</v>
      </c>
      <c r="N10808" s="27" t="s">
        <v>2904</v>
      </c>
      <c r="P10808" s="27" t="s">
        <v>14625</v>
      </c>
      <c r="Q10808" s="26" t="str">
        <f>HYPERLINK("https://ictv.global/taxonomy/taxondetails?taxnode_id=202516274&amp;ictv_id=ICTV202316274","ICTV202316274")</f>
        <v>ICTV202316274</v>
      </c>
      <c r="R10808" t="s">
        <v>581</v>
      </c>
      <c r="S10808" t="s">
        <v>823</v>
      </c>
      <c r="T10808">
        <v>39</v>
      </c>
      <c r="U10808" s="26" t="str">
        <f t="shared" si="395"/>
        <v>2023.001B.Leviviricetes_reorg.zip</v>
      </c>
    </row>
    <row r="10809" spans="1:21">
      <c r="A10809">
        <v>10808</v>
      </c>
      <c r="B10809" s="27" t="s">
        <v>1124</v>
      </c>
      <c r="D10809" s="27" t="s">
        <v>1859</v>
      </c>
      <c r="F10809" s="27" t="s">
        <v>1881</v>
      </c>
      <c r="H10809" s="27" t="s">
        <v>2679</v>
      </c>
      <c r="J10809" s="27" t="s">
        <v>2680</v>
      </c>
      <c r="L10809" s="27" t="s">
        <v>2810</v>
      </c>
      <c r="N10809" s="27" t="s">
        <v>2904</v>
      </c>
      <c r="P10809" s="27" t="s">
        <v>14626</v>
      </c>
      <c r="Q10809" s="26" t="str">
        <f>HYPERLINK("https://ictv.global/taxonomy/taxondetails?taxnode_id=202516275&amp;ictv_id=ICTV202316275","ICTV202316275")</f>
        <v>ICTV202316275</v>
      </c>
      <c r="R10809" t="s">
        <v>581</v>
      </c>
      <c r="S10809" t="s">
        <v>823</v>
      </c>
      <c r="T10809">
        <v>39</v>
      </c>
      <c r="U10809" s="26" t="str">
        <f t="shared" si="395"/>
        <v>2023.001B.Leviviricetes_reorg.zip</v>
      </c>
    </row>
    <row r="10810" spans="1:21">
      <c r="A10810">
        <v>10809</v>
      </c>
      <c r="B10810" s="27" t="s">
        <v>1124</v>
      </c>
      <c r="D10810" s="27" t="s">
        <v>1859</v>
      </c>
      <c r="F10810" s="27" t="s">
        <v>1881</v>
      </c>
      <c r="H10810" s="27" t="s">
        <v>2679</v>
      </c>
      <c r="J10810" s="27" t="s">
        <v>2680</v>
      </c>
      <c r="L10810" s="27" t="s">
        <v>2810</v>
      </c>
      <c r="N10810" s="27" t="s">
        <v>2904</v>
      </c>
      <c r="P10810" s="27" t="s">
        <v>14627</v>
      </c>
      <c r="Q10810" s="26" t="str">
        <f>HYPERLINK("https://ictv.global/taxonomy/taxondetails?taxnode_id=202516276&amp;ictv_id=ICTV202316276","ICTV202316276")</f>
        <v>ICTV202316276</v>
      </c>
      <c r="R10810" t="s">
        <v>581</v>
      </c>
      <c r="S10810" t="s">
        <v>823</v>
      </c>
      <c r="T10810">
        <v>39</v>
      </c>
      <c r="U10810" s="26" t="str">
        <f t="shared" si="395"/>
        <v>2023.001B.Leviviricetes_reorg.zip</v>
      </c>
    </row>
    <row r="10811" spans="1:21">
      <c r="A10811">
        <v>10810</v>
      </c>
      <c r="B10811" s="27" t="s">
        <v>1124</v>
      </c>
      <c r="D10811" s="27" t="s">
        <v>1859</v>
      </c>
      <c r="F10811" s="27" t="s">
        <v>1881</v>
      </c>
      <c r="H10811" s="27" t="s">
        <v>2679</v>
      </c>
      <c r="J10811" s="27" t="s">
        <v>2680</v>
      </c>
      <c r="L10811" s="27" t="s">
        <v>2810</v>
      </c>
      <c r="N10811" s="27" t="s">
        <v>2904</v>
      </c>
      <c r="P10811" s="27" t="s">
        <v>14628</v>
      </c>
      <c r="Q10811" s="26" t="str">
        <f>HYPERLINK("https://ictv.global/taxonomy/taxondetails?taxnode_id=202510552&amp;ictv_id=ICTV202010552","ICTV202010552")</f>
        <v>ICTV202010552</v>
      </c>
      <c r="R10811" t="s">
        <v>581</v>
      </c>
      <c r="S10811" t="s">
        <v>22764</v>
      </c>
      <c r="T10811">
        <v>39</v>
      </c>
      <c r="U10811" s="26" t="str">
        <f t="shared" si="395"/>
        <v>2023.001B.Leviviricetes_reorg.zip</v>
      </c>
    </row>
    <row r="10812" spans="1:21">
      <c r="A10812">
        <v>10811</v>
      </c>
      <c r="B10812" s="27" t="s">
        <v>1124</v>
      </c>
      <c r="D10812" s="27" t="s">
        <v>1859</v>
      </c>
      <c r="F10812" s="27" t="s">
        <v>1881</v>
      </c>
      <c r="H10812" s="27" t="s">
        <v>2679</v>
      </c>
      <c r="J10812" s="27" t="s">
        <v>2680</v>
      </c>
      <c r="L10812" s="27" t="s">
        <v>2810</v>
      </c>
      <c r="N10812" s="27" t="s">
        <v>14629</v>
      </c>
      <c r="P10812" s="27" t="s">
        <v>14630</v>
      </c>
      <c r="Q10812" s="26" t="str">
        <f>HYPERLINK("https://ictv.global/taxonomy/taxondetails?taxnode_id=202516277&amp;ictv_id=ICTV202316277","ICTV202316277")</f>
        <v>ICTV202316277</v>
      </c>
      <c r="R10812" t="s">
        <v>581</v>
      </c>
      <c r="S10812" t="s">
        <v>823</v>
      </c>
      <c r="T10812">
        <v>39</v>
      </c>
      <c r="U10812" s="26" t="str">
        <f t="shared" si="395"/>
        <v>2023.001B.Leviviricetes_reorg.zip</v>
      </c>
    </row>
    <row r="10813" spans="1:21">
      <c r="A10813">
        <v>10812</v>
      </c>
      <c r="B10813" s="27" t="s">
        <v>1124</v>
      </c>
      <c r="D10813" s="27" t="s">
        <v>1859</v>
      </c>
      <c r="F10813" s="27" t="s">
        <v>1881</v>
      </c>
      <c r="H10813" s="27" t="s">
        <v>2679</v>
      </c>
      <c r="J10813" s="27" t="s">
        <v>2680</v>
      </c>
      <c r="L10813" s="27" t="s">
        <v>2810</v>
      </c>
      <c r="N10813" s="27" t="s">
        <v>14631</v>
      </c>
      <c r="P10813" s="27" t="s">
        <v>14632</v>
      </c>
      <c r="Q10813" s="26" t="str">
        <f>HYPERLINK("https://ictv.global/taxonomy/taxondetails?taxnode_id=202516278&amp;ictv_id=ICTV202316278","ICTV202316278")</f>
        <v>ICTV202316278</v>
      </c>
      <c r="R10813" t="s">
        <v>581</v>
      </c>
      <c r="S10813" t="s">
        <v>823</v>
      </c>
      <c r="T10813">
        <v>39</v>
      </c>
      <c r="U10813" s="26" t="str">
        <f t="shared" si="395"/>
        <v>2023.001B.Leviviricetes_reorg.zip</v>
      </c>
    </row>
    <row r="10814" spans="1:21">
      <c r="A10814">
        <v>10813</v>
      </c>
      <c r="B10814" s="27" t="s">
        <v>1124</v>
      </c>
      <c r="D10814" s="27" t="s">
        <v>1859</v>
      </c>
      <c r="F10814" s="27" t="s">
        <v>1881</v>
      </c>
      <c r="H10814" s="27" t="s">
        <v>2679</v>
      </c>
      <c r="J10814" s="27" t="s">
        <v>2680</v>
      </c>
      <c r="L10814" s="27" t="s">
        <v>2810</v>
      </c>
      <c r="N10814" s="27" t="s">
        <v>14631</v>
      </c>
      <c r="P10814" s="27" t="s">
        <v>14633</v>
      </c>
      <c r="Q10814" s="26" t="str">
        <f>HYPERLINK("https://ictv.global/taxonomy/taxondetails?taxnode_id=202516279&amp;ictv_id=ICTV202316279","ICTV202316279")</f>
        <v>ICTV202316279</v>
      </c>
      <c r="R10814" t="s">
        <v>581</v>
      </c>
      <c r="S10814" t="s">
        <v>823</v>
      </c>
      <c r="T10814">
        <v>39</v>
      </c>
      <c r="U10814" s="26" t="str">
        <f t="shared" si="395"/>
        <v>2023.001B.Leviviricetes_reorg.zip</v>
      </c>
    </row>
    <row r="10815" spans="1:21">
      <c r="A10815">
        <v>10814</v>
      </c>
      <c r="B10815" s="27" t="s">
        <v>1124</v>
      </c>
      <c r="D10815" s="27" t="s">
        <v>1859</v>
      </c>
      <c r="F10815" s="27" t="s">
        <v>1881</v>
      </c>
      <c r="H10815" s="27" t="s">
        <v>2679</v>
      </c>
      <c r="J10815" s="27" t="s">
        <v>2680</v>
      </c>
      <c r="L10815" s="27" t="s">
        <v>2810</v>
      </c>
      <c r="N10815" s="27" t="s">
        <v>14634</v>
      </c>
      <c r="P10815" s="27" t="s">
        <v>14635</v>
      </c>
      <c r="Q10815" s="26" t="str">
        <f>HYPERLINK("https://ictv.global/taxonomy/taxondetails?taxnode_id=202516280&amp;ictv_id=ICTV202316280","ICTV202316280")</f>
        <v>ICTV202316280</v>
      </c>
      <c r="R10815" t="s">
        <v>581</v>
      </c>
      <c r="S10815" t="s">
        <v>823</v>
      </c>
      <c r="T10815">
        <v>39</v>
      </c>
      <c r="U10815" s="26" t="str">
        <f t="shared" si="395"/>
        <v>2023.001B.Leviviricetes_reorg.zip</v>
      </c>
    </row>
    <row r="10816" spans="1:21">
      <c r="A10816">
        <v>10815</v>
      </c>
      <c r="B10816" s="27" t="s">
        <v>1124</v>
      </c>
      <c r="D10816" s="27" t="s">
        <v>1859</v>
      </c>
      <c r="F10816" s="27" t="s">
        <v>1881</v>
      </c>
      <c r="H10816" s="27" t="s">
        <v>2679</v>
      </c>
      <c r="J10816" s="27" t="s">
        <v>2680</v>
      </c>
      <c r="L10816" s="27" t="s">
        <v>2810</v>
      </c>
      <c r="N10816" s="27" t="s">
        <v>2906</v>
      </c>
      <c r="P10816" s="27" t="s">
        <v>2907</v>
      </c>
      <c r="Q10816" s="26" t="str">
        <f>HYPERLINK("https://ictv.global/taxonomy/taxondetails?taxnode_id=202510356&amp;ictv_id=ICTV202010356","ICTV202010356")</f>
        <v>ICTV202010356</v>
      </c>
      <c r="R10816" t="s">
        <v>581</v>
      </c>
      <c r="S10816" t="s">
        <v>823</v>
      </c>
      <c r="T10816">
        <v>36</v>
      </c>
      <c r="U10816" s="26" t="str">
        <f>HYPERLINK("https://ictv.global/ictv/proposals/2020.095B.R.Leviviricetes.zip","2020.095B.R.Leviviricetes.zip")</f>
        <v>2020.095B.R.Leviviricetes.zip</v>
      </c>
    </row>
    <row r="10817" spans="1:21">
      <c r="A10817">
        <v>10816</v>
      </c>
      <c r="B10817" s="27" t="s">
        <v>1124</v>
      </c>
      <c r="D10817" s="27" t="s">
        <v>1859</v>
      </c>
      <c r="F10817" s="27" t="s">
        <v>1881</v>
      </c>
      <c r="H10817" s="27" t="s">
        <v>2679</v>
      </c>
      <c r="J10817" s="27" t="s">
        <v>2680</v>
      </c>
      <c r="L10817" s="27" t="s">
        <v>2810</v>
      </c>
      <c r="N10817" s="27" t="s">
        <v>14636</v>
      </c>
      <c r="P10817" s="27" t="s">
        <v>14637</v>
      </c>
      <c r="Q10817" s="26" t="str">
        <f>HYPERLINK("https://ictv.global/taxonomy/taxondetails?taxnode_id=202516281&amp;ictv_id=ICTV202316281","ICTV202316281")</f>
        <v>ICTV202316281</v>
      </c>
      <c r="R10817" t="s">
        <v>581</v>
      </c>
      <c r="S10817" t="s">
        <v>823</v>
      </c>
      <c r="T10817">
        <v>39</v>
      </c>
      <c r="U10817" s="26" t="str">
        <f>HYPERLINK("https://ictv.global/ictv/proposals/2023.001B.Leviviricetes_reorg.zip","2023.001B.Leviviricetes_reorg.zip")</f>
        <v>2023.001B.Leviviricetes_reorg.zip</v>
      </c>
    </row>
    <row r="10818" spans="1:21">
      <c r="A10818">
        <v>10817</v>
      </c>
      <c r="B10818" s="27" t="s">
        <v>1124</v>
      </c>
      <c r="D10818" s="27" t="s">
        <v>1859</v>
      </c>
      <c r="F10818" s="27" t="s">
        <v>1881</v>
      </c>
      <c r="H10818" s="27" t="s">
        <v>2679</v>
      </c>
      <c r="J10818" s="27" t="s">
        <v>2680</v>
      </c>
      <c r="L10818" s="27" t="s">
        <v>2810</v>
      </c>
      <c r="N10818" s="27" t="s">
        <v>14638</v>
      </c>
      <c r="P10818" s="27" t="s">
        <v>14639</v>
      </c>
      <c r="Q10818" s="26" t="str">
        <f>HYPERLINK("https://ictv.global/taxonomy/taxondetails?taxnode_id=202516282&amp;ictv_id=ICTV202316282","ICTV202316282")</f>
        <v>ICTV202316282</v>
      </c>
      <c r="R10818" t="s">
        <v>581</v>
      </c>
      <c r="S10818" t="s">
        <v>823</v>
      </c>
      <c r="T10818">
        <v>39</v>
      </c>
      <c r="U10818" s="26" t="str">
        <f>HYPERLINK("https://ictv.global/ictv/proposals/2023.001B.Leviviricetes_reorg.zip","2023.001B.Leviviricetes_reorg.zip")</f>
        <v>2023.001B.Leviviricetes_reorg.zip</v>
      </c>
    </row>
    <row r="10819" spans="1:21">
      <c r="A10819">
        <v>10818</v>
      </c>
      <c r="B10819" s="27" t="s">
        <v>1124</v>
      </c>
      <c r="D10819" s="27" t="s">
        <v>1859</v>
      </c>
      <c r="F10819" s="27" t="s">
        <v>1881</v>
      </c>
      <c r="H10819" s="27" t="s">
        <v>2679</v>
      </c>
      <c r="J10819" s="27" t="s">
        <v>2680</v>
      </c>
      <c r="L10819" s="27" t="s">
        <v>2810</v>
      </c>
      <c r="N10819" s="27" t="s">
        <v>14640</v>
      </c>
      <c r="P10819" s="27" t="s">
        <v>14641</v>
      </c>
      <c r="Q10819" s="26" t="str">
        <f>HYPERLINK("https://ictv.global/taxonomy/taxondetails?taxnode_id=202516283&amp;ictv_id=ICTV202316283","ICTV202316283")</f>
        <v>ICTV202316283</v>
      </c>
      <c r="R10819" t="s">
        <v>581</v>
      </c>
      <c r="S10819" t="s">
        <v>823</v>
      </c>
      <c r="T10819">
        <v>39</v>
      </c>
      <c r="U10819" s="26" t="str">
        <f>HYPERLINK("https://ictv.global/ictv/proposals/2023.001B.Leviviricetes_reorg.zip","2023.001B.Leviviricetes_reorg.zip")</f>
        <v>2023.001B.Leviviricetes_reorg.zip</v>
      </c>
    </row>
    <row r="10820" spans="1:21">
      <c r="A10820">
        <v>10819</v>
      </c>
      <c r="B10820" s="27" t="s">
        <v>1124</v>
      </c>
      <c r="D10820" s="27" t="s">
        <v>1859</v>
      </c>
      <c r="F10820" s="27" t="s">
        <v>1881</v>
      </c>
      <c r="H10820" s="27" t="s">
        <v>2679</v>
      </c>
      <c r="J10820" s="27" t="s">
        <v>2680</v>
      </c>
      <c r="L10820" s="27" t="s">
        <v>2810</v>
      </c>
      <c r="N10820" s="27" t="s">
        <v>2908</v>
      </c>
      <c r="P10820" s="27" t="s">
        <v>2909</v>
      </c>
      <c r="Q10820" s="26" t="str">
        <f>HYPERLINK("https://ictv.global/taxonomy/taxondetails?taxnode_id=202510360&amp;ictv_id=ICTV202010360","ICTV202010360")</f>
        <v>ICTV202010360</v>
      </c>
      <c r="R10820" t="s">
        <v>581</v>
      </c>
      <c r="S10820" t="s">
        <v>823</v>
      </c>
      <c r="T10820">
        <v>36</v>
      </c>
      <c r="U10820" s="26" t="str">
        <f>HYPERLINK("https://ictv.global/ictv/proposals/2020.095B.R.Leviviricetes.zip","2020.095B.R.Leviviricetes.zip")</f>
        <v>2020.095B.R.Leviviricetes.zip</v>
      </c>
    </row>
    <row r="10821" spans="1:21">
      <c r="A10821">
        <v>10820</v>
      </c>
      <c r="B10821" s="27" t="s">
        <v>1124</v>
      </c>
      <c r="D10821" s="27" t="s">
        <v>1859</v>
      </c>
      <c r="F10821" s="27" t="s">
        <v>1881</v>
      </c>
      <c r="H10821" s="27" t="s">
        <v>2679</v>
      </c>
      <c r="J10821" s="27" t="s">
        <v>2680</v>
      </c>
      <c r="L10821" s="27" t="s">
        <v>2810</v>
      </c>
      <c r="N10821" s="27" t="s">
        <v>14642</v>
      </c>
      <c r="P10821" s="27" t="s">
        <v>14643</v>
      </c>
      <c r="Q10821" s="26" t="str">
        <f>HYPERLINK("https://ictv.global/taxonomy/taxondetails?taxnode_id=202516284&amp;ictv_id=ICTV202316284","ICTV202316284")</f>
        <v>ICTV202316284</v>
      </c>
      <c r="R10821" t="s">
        <v>581</v>
      </c>
      <c r="S10821" t="s">
        <v>823</v>
      </c>
      <c r="T10821">
        <v>39</v>
      </c>
      <c r="U10821" s="26" t="str">
        <f>HYPERLINK("https://ictv.global/ictv/proposals/2023.001B.Leviviricetes_reorg.zip","2023.001B.Leviviricetes_reorg.zip")</f>
        <v>2023.001B.Leviviricetes_reorg.zip</v>
      </c>
    </row>
    <row r="10822" spans="1:21">
      <c r="A10822">
        <v>10821</v>
      </c>
      <c r="B10822" s="27" t="s">
        <v>1124</v>
      </c>
      <c r="D10822" s="27" t="s">
        <v>1859</v>
      </c>
      <c r="F10822" s="27" t="s">
        <v>1881</v>
      </c>
      <c r="H10822" s="27" t="s">
        <v>2679</v>
      </c>
      <c r="J10822" s="27" t="s">
        <v>2680</v>
      </c>
      <c r="L10822" s="27" t="s">
        <v>2810</v>
      </c>
      <c r="N10822" s="27" t="s">
        <v>2910</v>
      </c>
      <c r="P10822" s="27" t="s">
        <v>2911</v>
      </c>
      <c r="Q10822" s="26" t="str">
        <f>HYPERLINK("https://ictv.global/taxonomy/taxondetails?taxnode_id=202510362&amp;ictv_id=ICTV202010362","ICTV202010362")</f>
        <v>ICTV202010362</v>
      </c>
      <c r="R10822" t="s">
        <v>581</v>
      </c>
      <c r="S10822" t="s">
        <v>823</v>
      </c>
      <c r="T10822">
        <v>36</v>
      </c>
      <c r="U10822" s="26" t="str">
        <f>HYPERLINK("https://ictv.global/ictv/proposals/2020.095B.R.Leviviricetes.zip","2020.095B.R.Leviviricetes.zip")</f>
        <v>2020.095B.R.Leviviricetes.zip</v>
      </c>
    </row>
    <row r="10823" spans="1:21">
      <c r="A10823">
        <v>10822</v>
      </c>
      <c r="B10823" s="27" t="s">
        <v>1124</v>
      </c>
      <c r="D10823" s="27" t="s">
        <v>1859</v>
      </c>
      <c r="F10823" s="27" t="s">
        <v>1881</v>
      </c>
      <c r="H10823" s="27" t="s">
        <v>2679</v>
      </c>
      <c r="J10823" s="27" t="s">
        <v>2680</v>
      </c>
      <c r="L10823" s="27" t="s">
        <v>2810</v>
      </c>
      <c r="N10823" s="27" t="s">
        <v>2912</v>
      </c>
      <c r="P10823" s="27" t="s">
        <v>2913</v>
      </c>
      <c r="Q10823" s="26" t="str">
        <f>HYPERLINK("https://ictv.global/taxonomy/taxondetails?taxnode_id=202510364&amp;ictv_id=ICTV202010364","ICTV202010364")</f>
        <v>ICTV202010364</v>
      </c>
      <c r="R10823" t="s">
        <v>581</v>
      </c>
      <c r="S10823" t="s">
        <v>823</v>
      </c>
      <c r="T10823">
        <v>36</v>
      </c>
      <c r="U10823" s="26" t="str">
        <f>HYPERLINK("https://ictv.global/ictv/proposals/2020.095B.R.Leviviricetes.zip","2020.095B.R.Leviviricetes.zip")</f>
        <v>2020.095B.R.Leviviricetes.zip</v>
      </c>
    </row>
    <row r="10824" spans="1:21">
      <c r="A10824">
        <v>10823</v>
      </c>
      <c r="B10824" s="27" t="s">
        <v>1124</v>
      </c>
      <c r="D10824" s="27" t="s">
        <v>1859</v>
      </c>
      <c r="F10824" s="27" t="s">
        <v>1881</v>
      </c>
      <c r="H10824" s="27" t="s">
        <v>2679</v>
      </c>
      <c r="J10824" s="27" t="s">
        <v>2680</v>
      </c>
      <c r="L10824" s="27" t="s">
        <v>2810</v>
      </c>
      <c r="N10824" s="27" t="s">
        <v>14644</v>
      </c>
      <c r="P10824" s="27" t="s">
        <v>14645</v>
      </c>
      <c r="Q10824" s="26" t="str">
        <f>HYPERLINK("https://ictv.global/taxonomy/taxondetails?taxnode_id=202516285&amp;ictv_id=ICTV202316285","ICTV202316285")</f>
        <v>ICTV202316285</v>
      </c>
      <c r="R10824" t="s">
        <v>581</v>
      </c>
      <c r="S10824" t="s">
        <v>823</v>
      </c>
      <c r="T10824">
        <v>39</v>
      </c>
      <c r="U10824" s="26" t="str">
        <f>HYPERLINK("https://ictv.global/ictv/proposals/2023.001B.Leviviricetes_reorg.zip","2023.001B.Leviviricetes_reorg.zip")</f>
        <v>2023.001B.Leviviricetes_reorg.zip</v>
      </c>
    </row>
    <row r="10825" spans="1:21">
      <c r="A10825">
        <v>10824</v>
      </c>
      <c r="B10825" s="27" t="s">
        <v>1124</v>
      </c>
      <c r="D10825" s="27" t="s">
        <v>1859</v>
      </c>
      <c r="F10825" s="27" t="s">
        <v>1881</v>
      </c>
      <c r="H10825" s="27" t="s">
        <v>2679</v>
      </c>
      <c r="J10825" s="27" t="s">
        <v>2680</v>
      </c>
      <c r="L10825" s="27" t="s">
        <v>2810</v>
      </c>
      <c r="N10825" s="27" t="s">
        <v>2914</v>
      </c>
      <c r="P10825" s="27" t="s">
        <v>2915</v>
      </c>
      <c r="Q10825" s="26" t="str">
        <f>HYPERLINK("https://ictv.global/taxonomy/taxondetails?taxnode_id=202510369&amp;ictv_id=ICTV202010369","ICTV202010369")</f>
        <v>ICTV202010369</v>
      </c>
      <c r="R10825" t="s">
        <v>581</v>
      </c>
      <c r="S10825" t="s">
        <v>823</v>
      </c>
      <c r="T10825">
        <v>36</v>
      </c>
      <c r="U10825" s="26" t="str">
        <f>HYPERLINK("https://ictv.global/ictv/proposals/2020.095B.R.Leviviricetes.zip","2020.095B.R.Leviviricetes.zip")</f>
        <v>2020.095B.R.Leviviricetes.zip</v>
      </c>
    </row>
    <row r="10826" spans="1:21">
      <c r="A10826">
        <v>10825</v>
      </c>
      <c r="B10826" s="27" t="s">
        <v>1124</v>
      </c>
      <c r="D10826" s="27" t="s">
        <v>1859</v>
      </c>
      <c r="F10826" s="27" t="s">
        <v>1881</v>
      </c>
      <c r="H10826" s="27" t="s">
        <v>2679</v>
      </c>
      <c r="J10826" s="27" t="s">
        <v>2680</v>
      </c>
      <c r="L10826" s="27" t="s">
        <v>2810</v>
      </c>
      <c r="N10826" s="27" t="s">
        <v>2914</v>
      </c>
      <c r="P10826" s="27" t="s">
        <v>2916</v>
      </c>
      <c r="Q10826" s="26" t="str">
        <f>HYPERLINK("https://ictv.global/taxonomy/taxondetails?taxnode_id=202510368&amp;ictv_id=ICTV202010368","ICTV202010368")</f>
        <v>ICTV202010368</v>
      </c>
      <c r="R10826" t="s">
        <v>581</v>
      </c>
      <c r="S10826" t="s">
        <v>823</v>
      </c>
      <c r="T10826">
        <v>36</v>
      </c>
      <c r="U10826" s="26" t="str">
        <f>HYPERLINK("https://ictv.global/ictv/proposals/2020.095B.R.Leviviricetes.zip","2020.095B.R.Leviviricetes.zip")</f>
        <v>2020.095B.R.Leviviricetes.zip</v>
      </c>
    </row>
    <row r="10827" spans="1:21">
      <c r="A10827">
        <v>10826</v>
      </c>
      <c r="B10827" s="27" t="s">
        <v>1124</v>
      </c>
      <c r="D10827" s="27" t="s">
        <v>1859</v>
      </c>
      <c r="F10827" s="27" t="s">
        <v>1881</v>
      </c>
      <c r="H10827" s="27" t="s">
        <v>2679</v>
      </c>
      <c r="J10827" s="27" t="s">
        <v>2680</v>
      </c>
      <c r="L10827" s="27" t="s">
        <v>2810</v>
      </c>
      <c r="N10827" s="27" t="s">
        <v>2917</v>
      </c>
      <c r="P10827" s="27" t="s">
        <v>2918</v>
      </c>
      <c r="Q10827" s="26" t="str">
        <f>HYPERLINK("https://ictv.global/taxonomy/taxondetails?taxnode_id=202510371&amp;ictv_id=ICTV202010371","ICTV202010371")</f>
        <v>ICTV202010371</v>
      </c>
      <c r="R10827" t="s">
        <v>581</v>
      </c>
      <c r="S10827" t="s">
        <v>823</v>
      </c>
      <c r="T10827">
        <v>36</v>
      </c>
      <c r="U10827" s="26" t="str">
        <f>HYPERLINK("https://ictv.global/ictv/proposals/2020.095B.R.Leviviricetes.zip","2020.095B.R.Leviviricetes.zip")</f>
        <v>2020.095B.R.Leviviricetes.zip</v>
      </c>
    </row>
    <row r="10828" spans="1:21">
      <c r="A10828">
        <v>10827</v>
      </c>
      <c r="B10828" s="27" t="s">
        <v>1124</v>
      </c>
      <c r="D10828" s="27" t="s">
        <v>1859</v>
      </c>
      <c r="F10828" s="27" t="s">
        <v>1881</v>
      </c>
      <c r="H10828" s="27" t="s">
        <v>2679</v>
      </c>
      <c r="J10828" s="27" t="s">
        <v>2680</v>
      </c>
      <c r="L10828" s="27" t="s">
        <v>2810</v>
      </c>
      <c r="N10828" s="27" t="s">
        <v>2919</v>
      </c>
      <c r="P10828" s="27" t="s">
        <v>2920</v>
      </c>
      <c r="Q10828" s="26" t="str">
        <f>HYPERLINK("https://ictv.global/taxonomy/taxondetails?taxnode_id=202510373&amp;ictv_id=ICTV202010373","ICTV202010373")</f>
        <v>ICTV202010373</v>
      </c>
      <c r="R10828" t="s">
        <v>581</v>
      </c>
      <c r="S10828" t="s">
        <v>823</v>
      </c>
      <c r="T10828">
        <v>36</v>
      </c>
      <c r="U10828" s="26" t="str">
        <f>HYPERLINK("https://ictv.global/ictv/proposals/2020.095B.R.Leviviricetes.zip","2020.095B.R.Leviviricetes.zip")</f>
        <v>2020.095B.R.Leviviricetes.zip</v>
      </c>
    </row>
    <row r="10829" spans="1:21">
      <c r="A10829">
        <v>10828</v>
      </c>
      <c r="B10829" s="27" t="s">
        <v>1124</v>
      </c>
      <c r="D10829" s="27" t="s">
        <v>1859</v>
      </c>
      <c r="F10829" s="27" t="s">
        <v>1881</v>
      </c>
      <c r="H10829" s="27" t="s">
        <v>2679</v>
      </c>
      <c r="J10829" s="27" t="s">
        <v>2680</v>
      </c>
      <c r="L10829" s="27" t="s">
        <v>2810</v>
      </c>
      <c r="N10829" s="27" t="s">
        <v>14646</v>
      </c>
      <c r="P10829" s="27" t="s">
        <v>14647</v>
      </c>
      <c r="Q10829" s="26" t="str">
        <f>HYPERLINK("https://ictv.global/taxonomy/taxondetails?taxnode_id=202516286&amp;ictv_id=ICTV202316286","ICTV202316286")</f>
        <v>ICTV202316286</v>
      </c>
      <c r="R10829" t="s">
        <v>581</v>
      </c>
      <c r="S10829" t="s">
        <v>823</v>
      </c>
      <c r="T10829">
        <v>39</v>
      </c>
      <c r="U10829" s="26" t="str">
        <f>HYPERLINK("https://ictv.global/ictv/proposals/2023.001B.Leviviricetes_reorg.zip","2023.001B.Leviviricetes_reorg.zip")</f>
        <v>2023.001B.Leviviricetes_reorg.zip</v>
      </c>
    </row>
    <row r="10830" spans="1:21">
      <c r="A10830">
        <v>10829</v>
      </c>
      <c r="B10830" s="27" t="s">
        <v>1124</v>
      </c>
      <c r="D10830" s="27" t="s">
        <v>1859</v>
      </c>
      <c r="F10830" s="27" t="s">
        <v>1881</v>
      </c>
      <c r="H10830" s="27" t="s">
        <v>2679</v>
      </c>
      <c r="J10830" s="27" t="s">
        <v>2680</v>
      </c>
      <c r="L10830" s="27" t="s">
        <v>2810</v>
      </c>
      <c r="N10830" s="27" t="s">
        <v>14648</v>
      </c>
      <c r="P10830" s="27" t="s">
        <v>14649</v>
      </c>
      <c r="Q10830" s="26" t="str">
        <f>HYPERLINK("https://ictv.global/taxonomy/taxondetails?taxnode_id=202516287&amp;ictv_id=ICTV202316287","ICTV202316287")</f>
        <v>ICTV202316287</v>
      </c>
      <c r="R10830" t="s">
        <v>581</v>
      </c>
      <c r="S10830" t="s">
        <v>823</v>
      </c>
      <c r="T10830">
        <v>39</v>
      </c>
      <c r="U10830" s="26" t="str">
        <f>HYPERLINK("https://ictv.global/ictv/proposals/2023.001B.Leviviricetes_reorg.zip","2023.001B.Leviviricetes_reorg.zip")</f>
        <v>2023.001B.Leviviricetes_reorg.zip</v>
      </c>
    </row>
    <row r="10831" spans="1:21">
      <c r="A10831">
        <v>10830</v>
      </c>
      <c r="B10831" s="27" t="s">
        <v>1124</v>
      </c>
      <c r="D10831" s="27" t="s">
        <v>1859</v>
      </c>
      <c r="F10831" s="27" t="s">
        <v>1881</v>
      </c>
      <c r="H10831" s="27" t="s">
        <v>2679</v>
      </c>
      <c r="J10831" s="27" t="s">
        <v>2680</v>
      </c>
      <c r="L10831" s="27" t="s">
        <v>2810</v>
      </c>
      <c r="N10831" s="27" t="s">
        <v>14650</v>
      </c>
      <c r="P10831" s="27" t="s">
        <v>14651</v>
      </c>
      <c r="Q10831" s="26" t="str">
        <f>HYPERLINK("https://ictv.global/taxonomy/taxondetails?taxnode_id=202516288&amp;ictv_id=ICTV202316288","ICTV202316288")</f>
        <v>ICTV202316288</v>
      </c>
      <c r="R10831" t="s">
        <v>581</v>
      </c>
      <c r="S10831" t="s">
        <v>823</v>
      </c>
      <c r="T10831">
        <v>39</v>
      </c>
      <c r="U10831" s="26" t="str">
        <f>HYPERLINK("https://ictv.global/ictv/proposals/2023.001B.Leviviricetes_reorg.zip","2023.001B.Leviviricetes_reorg.zip")</f>
        <v>2023.001B.Leviviricetes_reorg.zip</v>
      </c>
    </row>
    <row r="10832" spans="1:21">
      <c r="A10832">
        <v>10831</v>
      </c>
      <c r="B10832" s="27" t="s">
        <v>1124</v>
      </c>
      <c r="D10832" s="27" t="s">
        <v>1859</v>
      </c>
      <c r="F10832" s="27" t="s">
        <v>1881</v>
      </c>
      <c r="H10832" s="27" t="s">
        <v>2679</v>
      </c>
      <c r="J10832" s="27" t="s">
        <v>2680</v>
      </c>
      <c r="L10832" s="27" t="s">
        <v>2810</v>
      </c>
      <c r="N10832" s="27" t="s">
        <v>14652</v>
      </c>
      <c r="P10832" s="27" t="s">
        <v>14653</v>
      </c>
      <c r="Q10832" s="26" t="str">
        <f>HYPERLINK("https://ictv.global/taxonomy/taxondetails?taxnode_id=202516289&amp;ictv_id=ICTV202316289","ICTV202316289")</f>
        <v>ICTV202316289</v>
      </c>
      <c r="R10832" t="s">
        <v>581</v>
      </c>
      <c r="S10832" t="s">
        <v>823</v>
      </c>
      <c r="T10832">
        <v>39</v>
      </c>
      <c r="U10832" s="26" t="str">
        <f>HYPERLINK("https://ictv.global/ictv/proposals/2023.001B.Leviviricetes_reorg.zip","2023.001B.Leviviricetes_reorg.zip")</f>
        <v>2023.001B.Leviviricetes_reorg.zip</v>
      </c>
    </row>
    <row r="10833" spans="1:21">
      <c r="A10833">
        <v>10832</v>
      </c>
      <c r="B10833" s="27" t="s">
        <v>1124</v>
      </c>
      <c r="D10833" s="27" t="s">
        <v>1859</v>
      </c>
      <c r="F10833" s="27" t="s">
        <v>1881</v>
      </c>
      <c r="H10833" s="27" t="s">
        <v>2679</v>
      </c>
      <c r="J10833" s="27" t="s">
        <v>2680</v>
      </c>
      <c r="L10833" s="27" t="s">
        <v>2810</v>
      </c>
      <c r="N10833" s="27" t="s">
        <v>14654</v>
      </c>
      <c r="P10833" s="27" t="s">
        <v>14655</v>
      </c>
      <c r="Q10833" s="26" t="str">
        <f>HYPERLINK("https://ictv.global/taxonomy/taxondetails?taxnode_id=202516290&amp;ictv_id=ICTV202316290","ICTV202316290")</f>
        <v>ICTV202316290</v>
      </c>
      <c r="R10833" t="s">
        <v>581</v>
      </c>
      <c r="S10833" t="s">
        <v>823</v>
      </c>
      <c r="T10833">
        <v>39</v>
      </c>
      <c r="U10833" s="26" t="str">
        <f>HYPERLINK("https://ictv.global/ictv/proposals/2023.001B.Leviviricetes_reorg.zip","2023.001B.Leviviricetes_reorg.zip")</f>
        <v>2023.001B.Leviviricetes_reorg.zip</v>
      </c>
    </row>
    <row r="10834" spans="1:21">
      <c r="A10834">
        <v>10833</v>
      </c>
      <c r="B10834" s="27" t="s">
        <v>1124</v>
      </c>
      <c r="D10834" s="27" t="s">
        <v>1859</v>
      </c>
      <c r="F10834" s="27" t="s">
        <v>1881</v>
      </c>
      <c r="H10834" s="27" t="s">
        <v>2679</v>
      </c>
      <c r="J10834" s="27" t="s">
        <v>2680</v>
      </c>
      <c r="L10834" s="27" t="s">
        <v>2810</v>
      </c>
      <c r="N10834" s="27" t="s">
        <v>2921</v>
      </c>
      <c r="P10834" s="27" t="s">
        <v>2922</v>
      </c>
      <c r="Q10834" s="26" t="str">
        <f>HYPERLINK("https://ictv.global/taxonomy/taxondetails?taxnode_id=202510375&amp;ictv_id=ICTV202010375","ICTV202010375")</f>
        <v>ICTV202010375</v>
      </c>
      <c r="R10834" t="s">
        <v>581</v>
      </c>
      <c r="S10834" t="s">
        <v>823</v>
      </c>
      <c r="T10834">
        <v>36</v>
      </c>
      <c r="U10834" s="26" t="str">
        <f>HYPERLINK("https://ictv.global/ictv/proposals/2020.095B.R.Leviviricetes.zip","2020.095B.R.Leviviricetes.zip")</f>
        <v>2020.095B.R.Leviviricetes.zip</v>
      </c>
    </row>
    <row r="10835" spans="1:21">
      <c r="A10835">
        <v>10834</v>
      </c>
      <c r="B10835" s="27" t="s">
        <v>1124</v>
      </c>
      <c r="D10835" s="27" t="s">
        <v>1859</v>
      </c>
      <c r="F10835" s="27" t="s">
        <v>1881</v>
      </c>
      <c r="H10835" s="27" t="s">
        <v>2679</v>
      </c>
      <c r="J10835" s="27" t="s">
        <v>2680</v>
      </c>
      <c r="L10835" s="27" t="s">
        <v>2810</v>
      </c>
      <c r="N10835" s="27" t="s">
        <v>2923</v>
      </c>
      <c r="P10835" s="27" t="s">
        <v>2924</v>
      </c>
      <c r="Q10835" s="26" t="str">
        <f>HYPERLINK("https://ictv.global/taxonomy/taxondetails?taxnode_id=202510377&amp;ictv_id=ICTV202010377","ICTV202010377")</f>
        <v>ICTV202010377</v>
      </c>
      <c r="R10835" t="s">
        <v>581</v>
      </c>
      <c r="S10835" t="s">
        <v>823</v>
      </c>
      <c r="T10835">
        <v>36</v>
      </c>
      <c r="U10835" s="26" t="str">
        <f>HYPERLINK("https://ictv.global/ictv/proposals/2020.095B.R.Leviviricetes.zip","2020.095B.R.Leviviricetes.zip")</f>
        <v>2020.095B.R.Leviviricetes.zip</v>
      </c>
    </row>
    <row r="10836" spans="1:21">
      <c r="A10836">
        <v>10835</v>
      </c>
      <c r="B10836" s="27" t="s">
        <v>1124</v>
      </c>
      <c r="D10836" s="27" t="s">
        <v>1859</v>
      </c>
      <c r="F10836" s="27" t="s">
        <v>1881</v>
      </c>
      <c r="H10836" s="27" t="s">
        <v>2679</v>
      </c>
      <c r="J10836" s="27" t="s">
        <v>2680</v>
      </c>
      <c r="L10836" s="27" t="s">
        <v>2810</v>
      </c>
      <c r="N10836" s="27" t="s">
        <v>14656</v>
      </c>
      <c r="P10836" s="27" t="s">
        <v>14657</v>
      </c>
      <c r="Q10836" s="26" t="str">
        <f>HYPERLINK("https://ictv.global/taxonomy/taxondetails?taxnode_id=202510261&amp;ictv_id=ICTV202010261","ICTV202010261")</f>
        <v>ICTV202010261</v>
      </c>
      <c r="R10836" t="s">
        <v>581</v>
      </c>
      <c r="S10836" t="s">
        <v>22764</v>
      </c>
      <c r="T10836">
        <v>39</v>
      </c>
      <c r="U10836" s="26" t="str">
        <f>HYPERLINK("https://ictv.global/ictv/proposals/2023.001B.Leviviricetes_reorg.zip","2023.001B.Leviviricetes_reorg.zip")</f>
        <v>2023.001B.Leviviricetes_reorg.zip</v>
      </c>
    </row>
    <row r="10837" spans="1:21">
      <c r="A10837">
        <v>10836</v>
      </c>
      <c r="B10837" s="27" t="s">
        <v>1124</v>
      </c>
      <c r="D10837" s="27" t="s">
        <v>1859</v>
      </c>
      <c r="F10837" s="27" t="s">
        <v>1881</v>
      </c>
      <c r="H10837" s="27" t="s">
        <v>2679</v>
      </c>
      <c r="J10837" s="27" t="s">
        <v>2680</v>
      </c>
      <c r="L10837" s="27" t="s">
        <v>2810</v>
      </c>
      <c r="N10837" s="27" t="s">
        <v>14656</v>
      </c>
      <c r="P10837" s="27" t="s">
        <v>14658</v>
      </c>
      <c r="Q10837" s="26" t="str">
        <f>HYPERLINK("https://ictv.global/taxonomy/taxondetails?taxnode_id=202510263&amp;ictv_id=ICTV202010263","ICTV202010263")</f>
        <v>ICTV202010263</v>
      </c>
      <c r="R10837" t="s">
        <v>581</v>
      </c>
      <c r="S10837" t="s">
        <v>22764</v>
      </c>
      <c r="T10837">
        <v>39</v>
      </c>
      <c r="U10837" s="26" t="str">
        <f>HYPERLINK("https://ictv.global/ictv/proposals/2023.001B.Leviviricetes_reorg.zip","2023.001B.Leviviricetes_reorg.zip")</f>
        <v>2023.001B.Leviviricetes_reorg.zip</v>
      </c>
    </row>
    <row r="10838" spans="1:21">
      <c r="A10838">
        <v>10837</v>
      </c>
      <c r="B10838" s="27" t="s">
        <v>1124</v>
      </c>
      <c r="D10838" s="27" t="s">
        <v>1859</v>
      </c>
      <c r="F10838" s="27" t="s">
        <v>1881</v>
      </c>
      <c r="H10838" s="27" t="s">
        <v>2679</v>
      </c>
      <c r="J10838" s="27" t="s">
        <v>2680</v>
      </c>
      <c r="L10838" s="27" t="s">
        <v>2810</v>
      </c>
      <c r="N10838" s="27" t="s">
        <v>14656</v>
      </c>
      <c r="P10838" s="27" t="s">
        <v>14659</v>
      </c>
      <c r="Q10838" s="26" t="str">
        <f>HYPERLINK("https://ictv.global/taxonomy/taxondetails?taxnode_id=202516291&amp;ictv_id=ICTV202316291","ICTV202316291")</f>
        <v>ICTV202316291</v>
      </c>
      <c r="R10838" t="s">
        <v>581</v>
      </c>
      <c r="S10838" t="s">
        <v>823</v>
      </c>
      <c r="T10838">
        <v>39</v>
      </c>
      <c r="U10838" s="26" t="str">
        <f>HYPERLINK("https://ictv.global/ictv/proposals/2023.001B.Leviviricetes_reorg.zip","2023.001B.Leviviricetes_reorg.zip")</f>
        <v>2023.001B.Leviviricetes_reorg.zip</v>
      </c>
    </row>
    <row r="10839" spans="1:21">
      <c r="A10839">
        <v>10838</v>
      </c>
      <c r="B10839" s="27" t="s">
        <v>1124</v>
      </c>
      <c r="D10839" s="27" t="s">
        <v>1859</v>
      </c>
      <c r="F10839" s="27" t="s">
        <v>1881</v>
      </c>
      <c r="H10839" s="27" t="s">
        <v>2679</v>
      </c>
      <c r="J10839" s="27" t="s">
        <v>2680</v>
      </c>
      <c r="L10839" s="27" t="s">
        <v>2810</v>
      </c>
      <c r="N10839" s="27" t="s">
        <v>2925</v>
      </c>
      <c r="P10839" s="27" t="s">
        <v>2926</v>
      </c>
      <c r="Q10839" s="26" t="str">
        <f>HYPERLINK("https://ictv.global/taxonomy/taxondetails?taxnode_id=202510379&amp;ictv_id=ICTV202010379","ICTV202010379")</f>
        <v>ICTV202010379</v>
      </c>
      <c r="R10839" t="s">
        <v>581</v>
      </c>
      <c r="S10839" t="s">
        <v>823</v>
      </c>
      <c r="T10839">
        <v>36</v>
      </c>
      <c r="U10839" s="26" t="str">
        <f>HYPERLINK("https://ictv.global/ictv/proposals/2020.095B.R.Leviviricetes.zip","2020.095B.R.Leviviricetes.zip")</f>
        <v>2020.095B.R.Leviviricetes.zip</v>
      </c>
    </row>
    <row r="10840" spans="1:21">
      <c r="A10840">
        <v>10839</v>
      </c>
      <c r="B10840" s="27" t="s">
        <v>1124</v>
      </c>
      <c r="D10840" s="27" t="s">
        <v>1859</v>
      </c>
      <c r="F10840" s="27" t="s">
        <v>1881</v>
      </c>
      <c r="H10840" s="27" t="s">
        <v>2679</v>
      </c>
      <c r="J10840" s="27" t="s">
        <v>2680</v>
      </c>
      <c r="L10840" s="27" t="s">
        <v>2810</v>
      </c>
      <c r="N10840" s="27" t="s">
        <v>2927</v>
      </c>
      <c r="P10840" s="27" t="s">
        <v>2928</v>
      </c>
      <c r="Q10840" s="26" t="str">
        <f>HYPERLINK("https://ictv.global/taxonomy/taxondetails?taxnode_id=202510381&amp;ictv_id=ICTV202010381","ICTV202010381")</f>
        <v>ICTV202010381</v>
      </c>
      <c r="R10840" t="s">
        <v>581</v>
      </c>
      <c r="S10840" t="s">
        <v>823</v>
      </c>
      <c r="T10840">
        <v>36</v>
      </c>
      <c r="U10840" s="26" t="str">
        <f>HYPERLINK("https://ictv.global/ictv/proposals/2020.095B.R.Leviviricetes.zip","2020.095B.R.Leviviricetes.zip")</f>
        <v>2020.095B.R.Leviviricetes.zip</v>
      </c>
    </row>
    <row r="10841" spans="1:21">
      <c r="A10841">
        <v>10840</v>
      </c>
      <c r="B10841" s="27" t="s">
        <v>1124</v>
      </c>
      <c r="D10841" s="27" t="s">
        <v>1859</v>
      </c>
      <c r="F10841" s="27" t="s">
        <v>1881</v>
      </c>
      <c r="H10841" s="27" t="s">
        <v>2679</v>
      </c>
      <c r="J10841" s="27" t="s">
        <v>2680</v>
      </c>
      <c r="L10841" s="27" t="s">
        <v>2810</v>
      </c>
      <c r="N10841" s="27" t="s">
        <v>14660</v>
      </c>
      <c r="P10841" s="27" t="s">
        <v>14661</v>
      </c>
      <c r="Q10841" s="26" t="str">
        <f>HYPERLINK("https://ictv.global/taxonomy/taxondetails?taxnode_id=202516292&amp;ictv_id=ICTV202316292","ICTV202316292")</f>
        <v>ICTV202316292</v>
      </c>
      <c r="R10841" t="s">
        <v>581</v>
      </c>
      <c r="S10841" t="s">
        <v>823</v>
      </c>
      <c r="T10841">
        <v>39</v>
      </c>
      <c r="U10841" s="26" t="str">
        <f t="shared" ref="U10841:U10848" si="396">HYPERLINK("https://ictv.global/ictv/proposals/2023.001B.Leviviricetes_reorg.zip","2023.001B.Leviviricetes_reorg.zip")</f>
        <v>2023.001B.Leviviricetes_reorg.zip</v>
      </c>
    </row>
    <row r="10842" spans="1:21">
      <c r="A10842">
        <v>10841</v>
      </c>
      <c r="B10842" s="27" t="s">
        <v>1124</v>
      </c>
      <c r="D10842" s="27" t="s">
        <v>1859</v>
      </c>
      <c r="F10842" s="27" t="s">
        <v>1881</v>
      </c>
      <c r="H10842" s="27" t="s">
        <v>2679</v>
      </c>
      <c r="J10842" s="27" t="s">
        <v>2680</v>
      </c>
      <c r="L10842" s="27" t="s">
        <v>2810</v>
      </c>
      <c r="N10842" s="27" t="s">
        <v>14662</v>
      </c>
      <c r="P10842" s="27" t="s">
        <v>14663</v>
      </c>
      <c r="Q10842" s="26" t="str">
        <f>HYPERLINK("https://ictv.global/taxonomy/taxondetails?taxnode_id=202516293&amp;ictv_id=ICTV202316293","ICTV202316293")</f>
        <v>ICTV202316293</v>
      </c>
      <c r="R10842" t="s">
        <v>581</v>
      </c>
      <c r="S10842" t="s">
        <v>823</v>
      </c>
      <c r="T10842">
        <v>39</v>
      </c>
      <c r="U10842" s="26" t="str">
        <f t="shared" si="396"/>
        <v>2023.001B.Leviviricetes_reorg.zip</v>
      </c>
    </row>
    <row r="10843" spans="1:21">
      <c r="A10843">
        <v>10842</v>
      </c>
      <c r="B10843" s="27" t="s">
        <v>1124</v>
      </c>
      <c r="D10843" s="27" t="s">
        <v>1859</v>
      </c>
      <c r="F10843" s="27" t="s">
        <v>1881</v>
      </c>
      <c r="H10843" s="27" t="s">
        <v>2679</v>
      </c>
      <c r="J10843" s="27" t="s">
        <v>2680</v>
      </c>
      <c r="L10843" s="27" t="s">
        <v>2810</v>
      </c>
      <c r="N10843" s="27" t="s">
        <v>14662</v>
      </c>
      <c r="P10843" s="27" t="s">
        <v>14664</v>
      </c>
      <c r="Q10843" s="26" t="str">
        <f>HYPERLINK("https://ictv.global/taxonomy/taxondetails?taxnode_id=202510483&amp;ictv_id=ICTV202010483","ICTV202010483")</f>
        <v>ICTV202010483</v>
      </c>
      <c r="R10843" t="s">
        <v>581</v>
      </c>
      <c r="S10843" t="s">
        <v>22764</v>
      </c>
      <c r="T10843">
        <v>39</v>
      </c>
      <c r="U10843" s="26" t="str">
        <f t="shared" si="396"/>
        <v>2023.001B.Leviviricetes_reorg.zip</v>
      </c>
    </row>
    <row r="10844" spans="1:21">
      <c r="A10844">
        <v>10843</v>
      </c>
      <c r="B10844" s="27" t="s">
        <v>1124</v>
      </c>
      <c r="D10844" s="27" t="s">
        <v>1859</v>
      </c>
      <c r="F10844" s="27" t="s">
        <v>1881</v>
      </c>
      <c r="H10844" s="27" t="s">
        <v>2679</v>
      </c>
      <c r="J10844" s="27" t="s">
        <v>2680</v>
      </c>
      <c r="L10844" s="27" t="s">
        <v>2810</v>
      </c>
      <c r="N10844" s="27" t="s">
        <v>14662</v>
      </c>
      <c r="P10844" s="27" t="s">
        <v>14665</v>
      </c>
      <c r="Q10844" s="26" t="str">
        <f>HYPERLINK("https://ictv.global/taxonomy/taxondetails?taxnode_id=202510496&amp;ictv_id=ICTV202010496","ICTV202010496")</f>
        <v>ICTV202010496</v>
      </c>
      <c r="R10844" t="s">
        <v>581</v>
      </c>
      <c r="S10844" t="s">
        <v>22764</v>
      </c>
      <c r="T10844">
        <v>39</v>
      </c>
      <c r="U10844" s="26" t="str">
        <f t="shared" si="396"/>
        <v>2023.001B.Leviviricetes_reorg.zip</v>
      </c>
    </row>
    <row r="10845" spans="1:21">
      <c r="A10845">
        <v>10844</v>
      </c>
      <c r="B10845" s="27" t="s">
        <v>1124</v>
      </c>
      <c r="D10845" s="27" t="s">
        <v>1859</v>
      </c>
      <c r="F10845" s="27" t="s">
        <v>1881</v>
      </c>
      <c r="H10845" s="27" t="s">
        <v>2679</v>
      </c>
      <c r="J10845" s="27" t="s">
        <v>2680</v>
      </c>
      <c r="L10845" s="27" t="s">
        <v>2810</v>
      </c>
      <c r="N10845" s="27" t="s">
        <v>14662</v>
      </c>
      <c r="P10845" s="27" t="s">
        <v>14666</v>
      </c>
      <c r="Q10845" s="26" t="str">
        <f>HYPERLINK("https://ictv.global/taxonomy/taxondetails?taxnode_id=202516294&amp;ictv_id=ICTV202316294","ICTV202316294")</f>
        <v>ICTV202316294</v>
      </c>
      <c r="R10845" t="s">
        <v>581</v>
      </c>
      <c r="S10845" t="s">
        <v>823</v>
      </c>
      <c r="T10845">
        <v>39</v>
      </c>
      <c r="U10845" s="26" t="str">
        <f t="shared" si="396"/>
        <v>2023.001B.Leviviricetes_reorg.zip</v>
      </c>
    </row>
    <row r="10846" spans="1:21">
      <c r="A10846">
        <v>10845</v>
      </c>
      <c r="B10846" s="27" t="s">
        <v>1124</v>
      </c>
      <c r="D10846" s="27" t="s">
        <v>1859</v>
      </c>
      <c r="F10846" s="27" t="s">
        <v>1881</v>
      </c>
      <c r="H10846" s="27" t="s">
        <v>2679</v>
      </c>
      <c r="J10846" s="27" t="s">
        <v>2680</v>
      </c>
      <c r="L10846" s="27" t="s">
        <v>2810</v>
      </c>
      <c r="N10846" s="27" t="s">
        <v>14662</v>
      </c>
      <c r="P10846" s="27" t="s">
        <v>14667</v>
      </c>
      <c r="Q10846" s="26" t="str">
        <f>HYPERLINK("https://ictv.global/taxonomy/taxondetails?taxnode_id=202516295&amp;ictv_id=ICTV202316295","ICTV202316295")</f>
        <v>ICTV202316295</v>
      </c>
      <c r="R10846" t="s">
        <v>581</v>
      </c>
      <c r="S10846" t="s">
        <v>823</v>
      </c>
      <c r="T10846">
        <v>39</v>
      </c>
      <c r="U10846" s="26" t="str">
        <f t="shared" si="396"/>
        <v>2023.001B.Leviviricetes_reorg.zip</v>
      </c>
    </row>
    <row r="10847" spans="1:21">
      <c r="A10847">
        <v>10846</v>
      </c>
      <c r="B10847" s="27" t="s">
        <v>1124</v>
      </c>
      <c r="D10847" s="27" t="s">
        <v>1859</v>
      </c>
      <c r="F10847" s="27" t="s">
        <v>1881</v>
      </c>
      <c r="H10847" s="27" t="s">
        <v>2679</v>
      </c>
      <c r="J10847" s="27" t="s">
        <v>2680</v>
      </c>
      <c r="L10847" s="27" t="s">
        <v>2810</v>
      </c>
      <c r="N10847" s="27" t="s">
        <v>14662</v>
      </c>
      <c r="P10847" s="27" t="s">
        <v>14668</v>
      </c>
      <c r="Q10847" s="26" t="str">
        <f>HYPERLINK("https://ictv.global/taxonomy/taxondetails?taxnode_id=202510482&amp;ictv_id=ICTV202010482","ICTV202010482")</f>
        <v>ICTV202010482</v>
      </c>
      <c r="R10847" t="s">
        <v>581</v>
      </c>
      <c r="S10847" t="s">
        <v>22764</v>
      </c>
      <c r="T10847">
        <v>39</v>
      </c>
      <c r="U10847" s="26" t="str">
        <f t="shared" si="396"/>
        <v>2023.001B.Leviviricetes_reorg.zip</v>
      </c>
    </row>
    <row r="10848" spans="1:21">
      <c r="A10848">
        <v>10847</v>
      </c>
      <c r="B10848" s="27" t="s">
        <v>1124</v>
      </c>
      <c r="D10848" s="27" t="s">
        <v>1859</v>
      </c>
      <c r="F10848" s="27" t="s">
        <v>1881</v>
      </c>
      <c r="H10848" s="27" t="s">
        <v>2679</v>
      </c>
      <c r="J10848" s="27" t="s">
        <v>2680</v>
      </c>
      <c r="L10848" s="27" t="s">
        <v>2810</v>
      </c>
      <c r="N10848" s="27" t="s">
        <v>14662</v>
      </c>
      <c r="P10848" s="27" t="s">
        <v>14669</v>
      </c>
      <c r="Q10848" s="26" t="str">
        <f>HYPERLINK("https://ictv.global/taxonomy/taxondetails?taxnode_id=202516296&amp;ictv_id=ICTV202316296","ICTV202316296")</f>
        <v>ICTV202316296</v>
      </c>
      <c r="R10848" t="s">
        <v>581</v>
      </c>
      <c r="S10848" t="s">
        <v>823</v>
      </c>
      <c r="T10848">
        <v>39</v>
      </c>
      <c r="U10848" s="26" t="str">
        <f t="shared" si="396"/>
        <v>2023.001B.Leviviricetes_reorg.zip</v>
      </c>
    </row>
    <row r="10849" spans="1:21">
      <c r="A10849">
        <v>10848</v>
      </c>
      <c r="B10849" s="27" t="s">
        <v>1124</v>
      </c>
      <c r="D10849" s="27" t="s">
        <v>1859</v>
      </c>
      <c r="F10849" s="27" t="s">
        <v>1881</v>
      </c>
      <c r="H10849" s="27" t="s">
        <v>2679</v>
      </c>
      <c r="J10849" s="27" t="s">
        <v>2680</v>
      </c>
      <c r="L10849" s="27" t="s">
        <v>2810</v>
      </c>
      <c r="N10849" s="27" t="s">
        <v>2929</v>
      </c>
      <c r="P10849" s="27" t="s">
        <v>2930</v>
      </c>
      <c r="Q10849" s="26" t="str">
        <f>HYPERLINK("https://ictv.global/taxonomy/taxondetails?taxnode_id=202510383&amp;ictv_id=ICTV202010383","ICTV202010383")</f>
        <v>ICTV202010383</v>
      </c>
      <c r="R10849" t="s">
        <v>581</v>
      </c>
      <c r="S10849" t="s">
        <v>823</v>
      </c>
      <c r="T10849">
        <v>36</v>
      </c>
      <c r="U10849" s="26" t="str">
        <f>HYPERLINK("https://ictv.global/ictv/proposals/2020.095B.R.Leviviricetes.zip","2020.095B.R.Leviviricetes.zip")</f>
        <v>2020.095B.R.Leviviricetes.zip</v>
      </c>
    </row>
    <row r="10850" spans="1:21">
      <c r="A10850">
        <v>10849</v>
      </c>
      <c r="B10850" s="27" t="s">
        <v>1124</v>
      </c>
      <c r="D10850" s="27" t="s">
        <v>1859</v>
      </c>
      <c r="F10850" s="27" t="s">
        <v>1881</v>
      </c>
      <c r="H10850" s="27" t="s">
        <v>2679</v>
      </c>
      <c r="J10850" s="27" t="s">
        <v>2680</v>
      </c>
      <c r="L10850" s="27" t="s">
        <v>2810</v>
      </c>
      <c r="N10850" s="27" t="s">
        <v>14670</v>
      </c>
      <c r="P10850" s="27" t="s">
        <v>14671</v>
      </c>
      <c r="Q10850" s="26" t="str">
        <f>HYPERLINK("https://ictv.global/taxonomy/taxondetails?taxnode_id=202516297&amp;ictv_id=ICTV202316297","ICTV202316297")</f>
        <v>ICTV202316297</v>
      </c>
      <c r="R10850" t="s">
        <v>581</v>
      </c>
      <c r="S10850" t="s">
        <v>823</v>
      </c>
      <c r="T10850">
        <v>39</v>
      </c>
      <c r="U10850" s="26" t="str">
        <f>HYPERLINK("https://ictv.global/ictv/proposals/2023.001B.Leviviricetes_reorg.zip","2023.001B.Leviviricetes_reorg.zip")</f>
        <v>2023.001B.Leviviricetes_reorg.zip</v>
      </c>
    </row>
    <row r="10851" spans="1:21">
      <c r="A10851">
        <v>10850</v>
      </c>
      <c r="B10851" s="27" t="s">
        <v>1124</v>
      </c>
      <c r="D10851" s="27" t="s">
        <v>1859</v>
      </c>
      <c r="F10851" s="27" t="s">
        <v>1881</v>
      </c>
      <c r="H10851" s="27" t="s">
        <v>2679</v>
      </c>
      <c r="J10851" s="27" t="s">
        <v>2680</v>
      </c>
      <c r="L10851" s="27" t="s">
        <v>2810</v>
      </c>
      <c r="N10851" s="27" t="s">
        <v>14672</v>
      </c>
      <c r="P10851" s="27" t="s">
        <v>14673</v>
      </c>
      <c r="Q10851" s="26" t="str">
        <f>HYPERLINK("https://ictv.global/taxonomy/taxondetails?taxnode_id=202516298&amp;ictv_id=ICTV202316298","ICTV202316298")</f>
        <v>ICTV202316298</v>
      </c>
      <c r="R10851" t="s">
        <v>581</v>
      </c>
      <c r="S10851" t="s">
        <v>823</v>
      </c>
      <c r="T10851">
        <v>39</v>
      </c>
      <c r="U10851" s="26" t="str">
        <f>HYPERLINK("https://ictv.global/ictv/proposals/2023.001B.Leviviricetes_reorg.zip","2023.001B.Leviviricetes_reorg.zip")</f>
        <v>2023.001B.Leviviricetes_reorg.zip</v>
      </c>
    </row>
    <row r="10852" spans="1:21">
      <c r="A10852">
        <v>10851</v>
      </c>
      <c r="B10852" s="27" t="s">
        <v>1124</v>
      </c>
      <c r="D10852" s="27" t="s">
        <v>1859</v>
      </c>
      <c r="F10852" s="27" t="s">
        <v>1881</v>
      </c>
      <c r="H10852" s="27" t="s">
        <v>2679</v>
      </c>
      <c r="J10852" s="27" t="s">
        <v>2680</v>
      </c>
      <c r="L10852" s="27" t="s">
        <v>2810</v>
      </c>
      <c r="N10852" s="27" t="s">
        <v>14674</v>
      </c>
      <c r="P10852" s="27" t="s">
        <v>14675</v>
      </c>
      <c r="Q10852" s="26" t="str">
        <f>HYPERLINK("https://ictv.global/taxonomy/taxondetails?taxnode_id=202516299&amp;ictv_id=ICTV202316299","ICTV202316299")</f>
        <v>ICTV202316299</v>
      </c>
      <c r="R10852" t="s">
        <v>581</v>
      </c>
      <c r="S10852" t="s">
        <v>823</v>
      </c>
      <c r="T10852">
        <v>39</v>
      </c>
      <c r="U10852" s="26" t="str">
        <f>HYPERLINK("https://ictv.global/ictv/proposals/2023.001B.Leviviricetes_reorg.zip","2023.001B.Leviviricetes_reorg.zip")</f>
        <v>2023.001B.Leviviricetes_reorg.zip</v>
      </c>
    </row>
    <row r="10853" spans="1:21">
      <c r="A10853">
        <v>10852</v>
      </c>
      <c r="B10853" s="27" t="s">
        <v>1124</v>
      </c>
      <c r="D10853" s="27" t="s">
        <v>1859</v>
      </c>
      <c r="F10853" s="27" t="s">
        <v>1881</v>
      </c>
      <c r="H10853" s="27" t="s">
        <v>2679</v>
      </c>
      <c r="J10853" s="27" t="s">
        <v>2680</v>
      </c>
      <c r="L10853" s="27" t="s">
        <v>2810</v>
      </c>
      <c r="N10853" s="27" t="s">
        <v>14676</v>
      </c>
      <c r="P10853" s="27" t="s">
        <v>14677</v>
      </c>
      <c r="Q10853" s="26" t="str">
        <f>HYPERLINK("https://ictv.global/taxonomy/taxondetails?taxnode_id=202516300&amp;ictv_id=ICTV202316300","ICTV202316300")</f>
        <v>ICTV202316300</v>
      </c>
      <c r="R10853" t="s">
        <v>581</v>
      </c>
      <c r="S10853" t="s">
        <v>823</v>
      </c>
      <c r="T10853">
        <v>39</v>
      </c>
      <c r="U10853" s="26" t="str">
        <f>HYPERLINK("https://ictv.global/ictv/proposals/2023.001B.Leviviricetes_reorg.zip","2023.001B.Leviviricetes_reorg.zip")</f>
        <v>2023.001B.Leviviricetes_reorg.zip</v>
      </c>
    </row>
    <row r="10854" spans="1:21">
      <c r="A10854">
        <v>10853</v>
      </c>
      <c r="B10854" s="27" t="s">
        <v>1124</v>
      </c>
      <c r="D10854" s="27" t="s">
        <v>1859</v>
      </c>
      <c r="F10854" s="27" t="s">
        <v>1881</v>
      </c>
      <c r="H10854" s="27" t="s">
        <v>2679</v>
      </c>
      <c r="J10854" s="27" t="s">
        <v>2680</v>
      </c>
      <c r="L10854" s="27" t="s">
        <v>2810</v>
      </c>
      <c r="N10854" s="27" t="s">
        <v>14676</v>
      </c>
      <c r="P10854" s="27" t="s">
        <v>14678</v>
      </c>
      <c r="Q10854" s="26" t="str">
        <f>HYPERLINK("https://ictv.global/taxonomy/taxondetails?taxnode_id=202516301&amp;ictv_id=ICTV202316301","ICTV202316301")</f>
        <v>ICTV202316301</v>
      </c>
      <c r="R10854" t="s">
        <v>581</v>
      </c>
      <c r="S10854" t="s">
        <v>823</v>
      </c>
      <c r="T10854">
        <v>39</v>
      </c>
      <c r="U10854" s="26" t="str">
        <f>HYPERLINK("https://ictv.global/ictv/proposals/2023.001B.Leviviricetes_reorg.zip","2023.001B.Leviviricetes_reorg.zip")</f>
        <v>2023.001B.Leviviricetes_reorg.zip</v>
      </c>
    </row>
    <row r="10855" spans="1:21">
      <c r="A10855">
        <v>10854</v>
      </c>
      <c r="B10855" s="27" t="s">
        <v>1124</v>
      </c>
      <c r="D10855" s="27" t="s">
        <v>1859</v>
      </c>
      <c r="F10855" s="27" t="s">
        <v>1881</v>
      </c>
      <c r="H10855" s="27" t="s">
        <v>2679</v>
      </c>
      <c r="J10855" s="27" t="s">
        <v>2680</v>
      </c>
      <c r="L10855" s="27" t="s">
        <v>2810</v>
      </c>
      <c r="N10855" s="27" t="s">
        <v>2931</v>
      </c>
      <c r="P10855" s="27" t="s">
        <v>2932</v>
      </c>
      <c r="Q10855" s="26" t="str">
        <f>HYPERLINK("https://ictv.global/taxonomy/taxondetails?taxnode_id=202510386&amp;ictv_id=ICTV202010386","ICTV202010386")</f>
        <v>ICTV202010386</v>
      </c>
      <c r="R10855" t="s">
        <v>581</v>
      </c>
      <c r="S10855" t="s">
        <v>823</v>
      </c>
      <c r="T10855">
        <v>36</v>
      </c>
      <c r="U10855" s="26" t="str">
        <f>HYPERLINK("https://ictv.global/ictv/proposals/2020.095B.R.Leviviricetes.zip","2020.095B.R.Leviviricetes.zip")</f>
        <v>2020.095B.R.Leviviricetes.zip</v>
      </c>
    </row>
    <row r="10856" spans="1:21">
      <c r="A10856">
        <v>10855</v>
      </c>
      <c r="B10856" s="27" t="s">
        <v>1124</v>
      </c>
      <c r="D10856" s="27" t="s">
        <v>1859</v>
      </c>
      <c r="F10856" s="27" t="s">
        <v>1881</v>
      </c>
      <c r="H10856" s="27" t="s">
        <v>2679</v>
      </c>
      <c r="J10856" s="27" t="s">
        <v>2680</v>
      </c>
      <c r="L10856" s="27" t="s">
        <v>2810</v>
      </c>
      <c r="N10856" s="27" t="s">
        <v>2931</v>
      </c>
      <c r="P10856" s="27" t="s">
        <v>2933</v>
      </c>
      <c r="Q10856" s="26" t="str">
        <f>HYPERLINK("https://ictv.global/taxonomy/taxondetails?taxnode_id=202510385&amp;ictv_id=ICTV202010385","ICTV202010385")</f>
        <v>ICTV202010385</v>
      </c>
      <c r="R10856" t="s">
        <v>581</v>
      </c>
      <c r="S10856" t="s">
        <v>823</v>
      </c>
      <c r="T10856">
        <v>36</v>
      </c>
      <c r="U10856" s="26" t="str">
        <f>HYPERLINK("https://ictv.global/ictv/proposals/2020.095B.R.Leviviricetes.zip","2020.095B.R.Leviviricetes.zip")</f>
        <v>2020.095B.R.Leviviricetes.zip</v>
      </c>
    </row>
    <row r="10857" spans="1:21">
      <c r="A10857">
        <v>10856</v>
      </c>
      <c r="B10857" s="27" t="s">
        <v>1124</v>
      </c>
      <c r="D10857" s="27" t="s">
        <v>1859</v>
      </c>
      <c r="F10857" s="27" t="s">
        <v>1881</v>
      </c>
      <c r="H10857" s="27" t="s">
        <v>2679</v>
      </c>
      <c r="J10857" s="27" t="s">
        <v>2680</v>
      </c>
      <c r="L10857" s="27" t="s">
        <v>2810</v>
      </c>
      <c r="N10857" s="27" t="s">
        <v>14679</v>
      </c>
      <c r="P10857" s="27" t="s">
        <v>14680</v>
      </c>
      <c r="Q10857" s="26" t="str">
        <f>HYPERLINK("https://ictv.global/taxonomy/taxondetails?taxnode_id=202516302&amp;ictv_id=ICTV202316302","ICTV202316302")</f>
        <v>ICTV202316302</v>
      </c>
      <c r="R10857" t="s">
        <v>581</v>
      </c>
      <c r="S10857" t="s">
        <v>823</v>
      </c>
      <c r="T10857">
        <v>39</v>
      </c>
      <c r="U10857" s="26" t="str">
        <f t="shared" ref="U10857:U10872" si="397">HYPERLINK("https://ictv.global/ictv/proposals/2023.001B.Leviviricetes_reorg.zip","2023.001B.Leviviricetes_reorg.zip")</f>
        <v>2023.001B.Leviviricetes_reorg.zip</v>
      </c>
    </row>
    <row r="10858" spans="1:21">
      <c r="A10858">
        <v>10857</v>
      </c>
      <c r="B10858" s="27" t="s">
        <v>1124</v>
      </c>
      <c r="D10858" s="27" t="s">
        <v>1859</v>
      </c>
      <c r="F10858" s="27" t="s">
        <v>1881</v>
      </c>
      <c r="H10858" s="27" t="s">
        <v>2679</v>
      </c>
      <c r="J10858" s="27" t="s">
        <v>2680</v>
      </c>
      <c r="L10858" s="27" t="s">
        <v>2810</v>
      </c>
      <c r="N10858" s="27" t="s">
        <v>14681</v>
      </c>
      <c r="P10858" s="27" t="s">
        <v>14682</v>
      </c>
      <c r="Q10858" s="26" t="str">
        <f>HYPERLINK("https://ictv.global/taxonomy/taxondetails?taxnode_id=202516303&amp;ictv_id=ICTV202316303","ICTV202316303")</f>
        <v>ICTV202316303</v>
      </c>
      <c r="R10858" t="s">
        <v>581</v>
      </c>
      <c r="S10858" t="s">
        <v>823</v>
      </c>
      <c r="T10858">
        <v>39</v>
      </c>
      <c r="U10858" s="26" t="str">
        <f t="shared" si="397"/>
        <v>2023.001B.Leviviricetes_reorg.zip</v>
      </c>
    </row>
    <row r="10859" spans="1:21">
      <c r="A10859">
        <v>10858</v>
      </c>
      <c r="B10859" s="27" t="s">
        <v>1124</v>
      </c>
      <c r="D10859" s="27" t="s">
        <v>1859</v>
      </c>
      <c r="F10859" s="27" t="s">
        <v>1881</v>
      </c>
      <c r="H10859" s="27" t="s">
        <v>2679</v>
      </c>
      <c r="J10859" s="27" t="s">
        <v>2680</v>
      </c>
      <c r="L10859" s="27" t="s">
        <v>2810</v>
      </c>
      <c r="N10859" s="27" t="s">
        <v>14683</v>
      </c>
      <c r="P10859" s="27" t="s">
        <v>14684</v>
      </c>
      <c r="Q10859" s="26" t="str">
        <f>HYPERLINK("https://ictv.global/taxonomy/taxondetails?taxnode_id=202516304&amp;ictv_id=ICTV202316304","ICTV202316304")</f>
        <v>ICTV202316304</v>
      </c>
      <c r="R10859" t="s">
        <v>581</v>
      </c>
      <c r="S10859" t="s">
        <v>823</v>
      </c>
      <c r="T10859">
        <v>39</v>
      </c>
      <c r="U10859" s="26" t="str">
        <f t="shared" si="397"/>
        <v>2023.001B.Leviviricetes_reorg.zip</v>
      </c>
    </row>
    <row r="10860" spans="1:21">
      <c r="A10860">
        <v>10859</v>
      </c>
      <c r="B10860" s="27" t="s">
        <v>1124</v>
      </c>
      <c r="D10860" s="27" t="s">
        <v>1859</v>
      </c>
      <c r="F10860" s="27" t="s">
        <v>1881</v>
      </c>
      <c r="H10860" s="27" t="s">
        <v>2679</v>
      </c>
      <c r="J10860" s="27" t="s">
        <v>2680</v>
      </c>
      <c r="L10860" s="27" t="s">
        <v>2810</v>
      </c>
      <c r="N10860" s="27" t="s">
        <v>14685</v>
      </c>
      <c r="P10860" s="27" t="s">
        <v>14686</v>
      </c>
      <c r="Q10860" s="26" t="str">
        <f>HYPERLINK("https://ictv.global/taxonomy/taxondetails?taxnode_id=202516305&amp;ictv_id=ICTV202316305","ICTV202316305")</f>
        <v>ICTV202316305</v>
      </c>
      <c r="R10860" t="s">
        <v>581</v>
      </c>
      <c r="S10860" t="s">
        <v>823</v>
      </c>
      <c r="T10860">
        <v>39</v>
      </c>
      <c r="U10860" s="26" t="str">
        <f t="shared" si="397"/>
        <v>2023.001B.Leviviricetes_reorg.zip</v>
      </c>
    </row>
    <row r="10861" spans="1:21">
      <c r="A10861">
        <v>10860</v>
      </c>
      <c r="B10861" s="27" t="s">
        <v>1124</v>
      </c>
      <c r="D10861" s="27" t="s">
        <v>1859</v>
      </c>
      <c r="F10861" s="27" t="s">
        <v>1881</v>
      </c>
      <c r="H10861" s="27" t="s">
        <v>2679</v>
      </c>
      <c r="J10861" s="27" t="s">
        <v>2680</v>
      </c>
      <c r="L10861" s="27" t="s">
        <v>2810</v>
      </c>
      <c r="N10861" s="27" t="s">
        <v>14687</v>
      </c>
      <c r="P10861" s="27" t="s">
        <v>14688</v>
      </c>
      <c r="Q10861" s="26" t="str">
        <f>HYPERLINK("https://ictv.global/taxonomy/taxondetails?taxnode_id=202516306&amp;ictv_id=ICTV202316306","ICTV202316306")</f>
        <v>ICTV202316306</v>
      </c>
      <c r="R10861" t="s">
        <v>581</v>
      </c>
      <c r="S10861" t="s">
        <v>823</v>
      </c>
      <c r="T10861">
        <v>39</v>
      </c>
      <c r="U10861" s="26" t="str">
        <f t="shared" si="397"/>
        <v>2023.001B.Leviviricetes_reorg.zip</v>
      </c>
    </row>
    <row r="10862" spans="1:21">
      <c r="A10862">
        <v>10861</v>
      </c>
      <c r="B10862" s="27" t="s">
        <v>1124</v>
      </c>
      <c r="D10862" s="27" t="s">
        <v>1859</v>
      </c>
      <c r="F10862" s="27" t="s">
        <v>1881</v>
      </c>
      <c r="H10862" s="27" t="s">
        <v>2679</v>
      </c>
      <c r="J10862" s="27" t="s">
        <v>2680</v>
      </c>
      <c r="L10862" s="27" t="s">
        <v>2810</v>
      </c>
      <c r="N10862" s="27" t="s">
        <v>14689</v>
      </c>
      <c r="P10862" s="27" t="s">
        <v>14690</v>
      </c>
      <c r="Q10862" s="26" t="str">
        <f>HYPERLINK("https://ictv.global/taxonomy/taxondetails?taxnode_id=202516307&amp;ictv_id=ICTV202316307","ICTV202316307")</f>
        <v>ICTV202316307</v>
      </c>
      <c r="R10862" t="s">
        <v>581</v>
      </c>
      <c r="S10862" t="s">
        <v>823</v>
      </c>
      <c r="T10862">
        <v>39</v>
      </c>
      <c r="U10862" s="26" t="str">
        <f t="shared" si="397"/>
        <v>2023.001B.Leviviricetes_reorg.zip</v>
      </c>
    </row>
    <row r="10863" spans="1:21">
      <c r="A10863">
        <v>10862</v>
      </c>
      <c r="B10863" s="27" t="s">
        <v>1124</v>
      </c>
      <c r="D10863" s="27" t="s">
        <v>1859</v>
      </c>
      <c r="F10863" s="27" t="s">
        <v>1881</v>
      </c>
      <c r="H10863" s="27" t="s">
        <v>2679</v>
      </c>
      <c r="J10863" s="27" t="s">
        <v>2680</v>
      </c>
      <c r="L10863" s="27" t="s">
        <v>2810</v>
      </c>
      <c r="N10863" s="27" t="s">
        <v>14691</v>
      </c>
      <c r="P10863" s="27" t="s">
        <v>14692</v>
      </c>
      <c r="Q10863" s="26" t="str">
        <f>HYPERLINK("https://ictv.global/taxonomy/taxondetails?taxnode_id=202516308&amp;ictv_id=ICTV202316308","ICTV202316308")</f>
        <v>ICTV202316308</v>
      </c>
      <c r="R10863" t="s">
        <v>581</v>
      </c>
      <c r="S10863" t="s">
        <v>823</v>
      </c>
      <c r="T10863">
        <v>39</v>
      </c>
      <c r="U10863" s="26" t="str">
        <f t="shared" si="397"/>
        <v>2023.001B.Leviviricetes_reorg.zip</v>
      </c>
    </row>
    <row r="10864" spans="1:21">
      <c r="A10864">
        <v>10863</v>
      </c>
      <c r="B10864" s="27" t="s">
        <v>1124</v>
      </c>
      <c r="D10864" s="27" t="s">
        <v>1859</v>
      </c>
      <c r="F10864" s="27" t="s">
        <v>1881</v>
      </c>
      <c r="H10864" s="27" t="s">
        <v>2679</v>
      </c>
      <c r="J10864" s="27" t="s">
        <v>2680</v>
      </c>
      <c r="L10864" s="27" t="s">
        <v>2810</v>
      </c>
      <c r="N10864" s="27" t="s">
        <v>14691</v>
      </c>
      <c r="P10864" s="27" t="s">
        <v>14693</v>
      </c>
      <c r="Q10864" s="26" t="str">
        <f>HYPERLINK("https://ictv.global/taxonomy/taxondetails?taxnode_id=202516309&amp;ictv_id=ICTV202316309","ICTV202316309")</f>
        <v>ICTV202316309</v>
      </c>
      <c r="R10864" t="s">
        <v>581</v>
      </c>
      <c r="S10864" t="s">
        <v>823</v>
      </c>
      <c r="T10864">
        <v>39</v>
      </c>
      <c r="U10864" s="26" t="str">
        <f t="shared" si="397"/>
        <v>2023.001B.Leviviricetes_reorg.zip</v>
      </c>
    </row>
    <row r="10865" spans="1:21">
      <c r="A10865">
        <v>10864</v>
      </c>
      <c r="B10865" s="27" t="s">
        <v>1124</v>
      </c>
      <c r="D10865" s="27" t="s">
        <v>1859</v>
      </c>
      <c r="F10865" s="27" t="s">
        <v>1881</v>
      </c>
      <c r="H10865" s="27" t="s">
        <v>2679</v>
      </c>
      <c r="J10865" s="27" t="s">
        <v>2680</v>
      </c>
      <c r="L10865" s="27" t="s">
        <v>2810</v>
      </c>
      <c r="N10865" s="27" t="s">
        <v>14691</v>
      </c>
      <c r="P10865" s="27" t="s">
        <v>14694</v>
      </c>
      <c r="Q10865" s="26" t="str">
        <f>HYPERLINK("https://ictv.global/taxonomy/taxondetails?taxnode_id=202516310&amp;ictv_id=ICTV202316310","ICTV202316310")</f>
        <v>ICTV202316310</v>
      </c>
      <c r="R10865" t="s">
        <v>581</v>
      </c>
      <c r="S10865" t="s">
        <v>823</v>
      </c>
      <c r="T10865">
        <v>39</v>
      </c>
      <c r="U10865" s="26" t="str">
        <f t="shared" si="397"/>
        <v>2023.001B.Leviviricetes_reorg.zip</v>
      </c>
    </row>
    <row r="10866" spans="1:21">
      <c r="A10866">
        <v>10865</v>
      </c>
      <c r="B10866" s="27" t="s">
        <v>1124</v>
      </c>
      <c r="D10866" s="27" t="s">
        <v>1859</v>
      </c>
      <c r="F10866" s="27" t="s">
        <v>1881</v>
      </c>
      <c r="H10866" s="27" t="s">
        <v>2679</v>
      </c>
      <c r="J10866" s="27" t="s">
        <v>2680</v>
      </c>
      <c r="L10866" s="27" t="s">
        <v>2810</v>
      </c>
      <c r="N10866" s="27" t="s">
        <v>14691</v>
      </c>
      <c r="P10866" s="27" t="s">
        <v>14695</v>
      </c>
      <c r="Q10866" s="26" t="str">
        <f>HYPERLINK("https://ictv.global/taxonomy/taxondetails?taxnode_id=202516311&amp;ictv_id=ICTV202316311","ICTV202316311")</f>
        <v>ICTV202316311</v>
      </c>
      <c r="R10866" t="s">
        <v>581</v>
      </c>
      <c r="S10866" t="s">
        <v>823</v>
      </c>
      <c r="T10866">
        <v>39</v>
      </c>
      <c r="U10866" s="26" t="str">
        <f t="shared" si="397"/>
        <v>2023.001B.Leviviricetes_reorg.zip</v>
      </c>
    </row>
    <row r="10867" spans="1:21">
      <c r="A10867">
        <v>10866</v>
      </c>
      <c r="B10867" s="27" t="s">
        <v>1124</v>
      </c>
      <c r="D10867" s="27" t="s">
        <v>1859</v>
      </c>
      <c r="F10867" s="27" t="s">
        <v>1881</v>
      </c>
      <c r="H10867" s="27" t="s">
        <v>2679</v>
      </c>
      <c r="J10867" s="27" t="s">
        <v>2680</v>
      </c>
      <c r="L10867" s="27" t="s">
        <v>2810</v>
      </c>
      <c r="N10867" s="27" t="s">
        <v>14696</v>
      </c>
      <c r="P10867" s="27" t="s">
        <v>14697</v>
      </c>
      <c r="Q10867" s="26" t="str">
        <f>HYPERLINK("https://ictv.global/taxonomy/taxondetails?taxnode_id=202516312&amp;ictv_id=ICTV202316312","ICTV202316312")</f>
        <v>ICTV202316312</v>
      </c>
      <c r="R10867" t="s">
        <v>581</v>
      </c>
      <c r="S10867" t="s">
        <v>823</v>
      </c>
      <c r="T10867">
        <v>39</v>
      </c>
      <c r="U10867" s="26" t="str">
        <f t="shared" si="397"/>
        <v>2023.001B.Leviviricetes_reorg.zip</v>
      </c>
    </row>
    <row r="10868" spans="1:21">
      <c r="A10868">
        <v>10867</v>
      </c>
      <c r="B10868" s="27" t="s">
        <v>1124</v>
      </c>
      <c r="D10868" s="27" t="s">
        <v>1859</v>
      </c>
      <c r="F10868" s="27" t="s">
        <v>1881</v>
      </c>
      <c r="H10868" s="27" t="s">
        <v>2679</v>
      </c>
      <c r="J10868" s="27" t="s">
        <v>2680</v>
      </c>
      <c r="L10868" s="27" t="s">
        <v>2810</v>
      </c>
      <c r="N10868" s="27" t="s">
        <v>14696</v>
      </c>
      <c r="P10868" s="27" t="s">
        <v>14698</v>
      </c>
      <c r="Q10868" s="26" t="str">
        <f>HYPERLINK("https://ictv.global/taxonomy/taxondetails?taxnode_id=202516313&amp;ictv_id=ICTV202316313","ICTV202316313")</f>
        <v>ICTV202316313</v>
      </c>
      <c r="R10868" t="s">
        <v>581</v>
      </c>
      <c r="S10868" t="s">
        <v>823</v>
      </c>
      <c r="T10868">
        <v>39</v>
      </c>
      <c r="U10868" s="26" t="str">
        <f t="shared" si="397"/>
        <v>2023.001B.Leviviricetes_reorg.zip</v>
      </c>
    </row>
    <row r="10869" spans="1:21">
      <c r="A10869">
        <v>10868</v>
      </c>
      <c r="B10869" s="27" t="s">
        <v>1124</v>
      </c>
      <c r="D10869" s="27" t="s">
        <v>1859</v>
      </c>
      <c r="F10869" s="27" t="s">
        <v>1881</v>
      </c>
      <c r="H10869" s="27" t="s">
        <v>2679</v>
      </c>
      <c r="J10869" s="27" t="s">
        <v>2680</v>
      </c>
      <c r="L10869" s="27" t="s">
        <v>2810</v>
      </c>
      <c r="N10869" s="27" t="s">
        <v>14699</v>
      </c>
      <c r="P10869" s="27" t="s">
        <v>14700</v>
      </c>
      <c r="Q10869" s="26" t="str">
        <f>HYPERLINK("https://ictv.global/taxonomy/taxondetails?taxnode_id=202516314&amp;ictv_id=ICTV202316314","ICTV202316314")</f>
        <v>ICTV202316314</v>
      </c>
      <c r="R10869" t="s">
        <v>581</v>
      </c>
      <c r="S10869" t="s">
        <v>823</v>
      </c>
      <c r="T10869">
        <v>39</v>
      </c>
      <c r="U10869" s="26" t="str">
        <f t="shared" si="397"/>
        <v>2023.001B.Leviviricetes_reorg.zip</v>
      </c>
    </row>
    <row r="10870" spans="1:21">
      <c r="A10870">
        <v>10869</v>
      </c>
      <c r="B10870" s="27" t="s">
        <v>1124</v>
      </c>
      <c r="D10870" s="27" t="s">
        <v>1859</v>
      </c>
      <c r="F10870" s="27" t="s">
        <v>1881</v>
      </c>
      <c r="H10870" s="27" t="s">
        <v>2679</v>
      </c>
      <c r="J10870" s="27" t="s">
        <v>2680</v>
      </c>
      <c r="L10870" s="27" t="s">
        <v>2810</v>
      </c>
      <c r="N10870" s="27" t="s">
        <v>14701</v>
      </c>
      <c r="P10870" s="27" t="s">
        <v>14702</v>
      </c>
      <c r="Q10870" s="26" t="str">
        <f>HYPERLINK("https://ictv.global/taxonomy/taxondetails?taxnode_id=202516315&amp;ictv_id=ICTV202316315","ICTV202316315")</f>
        <v>ICTV202316315</v>
      </c>
      <c r="R10870" t="s">
        <v>581</v>
      </c>
      <c r="S10870" t="s">
        <v>823</v>
      </c>
      <c r="T10870">
        <v>39</v>
      </c>
      <c r="U10870" s="26" t="str">
        <f t="shared" si="397"/>
        <v>2023.001B.Leviviricetes_reorg.zip</v>
      </c>
    </row>
    <row r="10871" spans="1:21">
      <c r="A10871">
        <v>10870</v>
      </c>
      <c r="B10871" s="27" t="s">
        <v>1124</v>
      </c>
      <c r="D10871" s="27" t="s">
        <v>1859</v>
      </c>
      <c r="F10871" s="27" t="s">
        <v>1881</v>
      </c>
      <c r="H10871" s="27" t="s">
        <v>2679</v>
      </c>
      <c r="J10871" s="27" t="s">
        <v>2680</v>
      </c>
      <c r="L10871" s="27" t="s">
        <v>2810</v>
      </c>
      <c r="N10871" s="27" t="s">
        <v>14703</v>
      </c>
      <c r="P10871" s="27" t="s">
        <v>14704</v>
      </c>
      <c r="Q10871" s="26" t="str">
        <f>HYPERLINK("https://ictv.global/taxonomy/taxondetails?taxnode_id=202516316&amp;ictv_id=ICTV202316316","ICTV202316316")</f>
        <v>ICTV202316316</v>
      </c>
      <c r="R10871" t="s">
        <v>581</v>
      </c>
      <c r="S10871" t="s">
        <v>823</v>
      </c>
      <c r="T10871">
        <v>39</v>
      </c>
      <c r="U10871" s="26" t="str">
        <f t="shared" si="397"/>
        <v>2023.001B.Leviviricetes_reorg.zip</v>
      </c>
    </row>
    <row r="10872" spans="1:21">
      <c r="A10872">
        <v>10871</v>
      </c>
      <c r="B10872" s="27" t="s">
        <v>1124</v>
      </c>
      <c r="D10872" s="27" t="s">
        <v>1859</v>
      </c>
      <c r="F10872" s="27" t="s">
        <v>1881</v>
      </c>
      <c r="H10872" s="27" t="s">
        <v>2679</v>
      </c>
      <c r="J10872" s="27" t="s">
        <v>2680</v>
      </c>
      <c r="L10872" s="27" t="s">
        <v>2810</v>
      </c>
      <c r="N10872" s="27" t="s">
        <v>14705</v>
      </c>
      <c r="P10872" s="27" t="s">
        <v>14706</v>
      </c>
      <c r="Q10872" s="26" t="str">
        <f>HYPERLINK("https://ictv.global/taxonomy/taxondetails?taxnode_id=202516317&amp;ictv_id=ICTV202316317","ICTV202316317")</f>
        <v>ICTV202316317</v>
      </c>
      <c r="R10872" t="s">
        <v>581</v>
      </c>
      <c r="S10872" t="s">
        <v>823</v>
      </c>
      <c r="T10872">
        <v>39</v>
      </c>
      <c r="U10872" s="26" t="str">
        <f t="shared" si="397"/>
        <v>2023.001B.Leviviricetes_reorg.zip</v>
      </c>
    </row>
    <row r="10873" spans="1:21">
      <c r="A10873">
        <v>10872</v>
      </c>
      <c r="B10873" s="27" t="s">
        <v>1124</v>
      </c>
      <c r="D10873" s="27" t="s">
        <v>1859</v>
      </c>
      <c r="F10873" s="27" t="s">
        <v>1881</v>
      </c>
      <c r="H10873" s="27" t="s">
        <v>2679</v>
      </c>
      <c r="J10873" s="27" t="s">
        <v>2680</v>
      </c>
      <c r="L10873" s="27" t="s">
        <v>2810</v>
      </c>
      <c r="N10873" s="27" t="s">
        <v>2934</v>
      </c>
      <c r="P10873" s="27" t="s">
        <v>2935</v>
      </c>
      <c r="Q10873" s="26" t="str">
        <f>HYPERLINK("https://ictv.global/taxonomy/taxondetails?taxnode_id=202510388&amp;ictv_id=ICTV202010388","ICTV202010388")</f>
        <v>ICTV202010388</v>
      </c>
      <c r="R10873" t="s">
        <v>581</v>
      </c>
      <c r="S10873" t="s">
        <v>823</v>
      </c>
      <c r="T10873">
        <v>36</v>
      </c>
      <c r="U10873" s="26" t="str">
        <f>HYPERLINK("https://ictv.global/ictv/proposals/2020.095B.R.Leviviricetes.zip","2020.095B.R.Leviviricetes.zip")</f>
        <v>2020.095B.R.Leviviricetes.zip</v>
      </c>
    </row>
    <row r="10874" spans="1:21">
      <c r="A10874">
        <v>10873</v>
      </c>
      <c r="B10874" s="27" t="s">
        <v>1124</v>
      </c>
      <c r="D10874" s="27" t="s">
        <v>1859</v>
      </c>
      <c r="F10874" s="27" t="s">
        <v>1881</v>
      </c>
      <c r="H10874" s="27" t="s">
        <v>2679</v>
      </c>
      <c r="J10874" s="27" t="s">
        <v>2680</v>
      </c>
      <c r="L10874" s="27" t="s">
        <v>2810</v>
      </c>
      <c r="N10874" s="27" t="s">
        <v>14707</v>
      </c>
      <c r="P10874" s="27" t="s">
        <v>14708</v>
      </c>
      <c r="Q10874" s="26" t="str">
        <f>HYPERLINK("https://ictv.global/taxonomy/taxondetails?taxnode_id=202516318&amp;ictv_id=ICTV202316318","ICTV202316318")</f>
        <v>ICTV202316318</v>
      </c>
      <c r="R10874" t="s">
        <v>581</v>
      </c>
      <c r="S10874" t="s">
        <v>823</v>
      </c>
      <c r="T10874">
        <v>39</v>
      </c>
      <c r="U10874" s="26" t="str">
        <f t="shared" ref="U10874:U10880" si="398">HYPERLINK("https://ictv.global/ictv/proposals/2023.001B.Leviviricetes_reorg.zip","2023.001B.Leviviricetes_reorg.zip")</f>
        <v>2023.001B.Leviviricetes_reorg.zip</v>
      </c>
    </row>
    <row r="10875" spans="1:21">
      <c r="A10875">
        <v>10874</v>
      </c>
      <c r="B10875" s="27" t="s">
        <v>1124</v>
      </c>
      <c r="D10875" s="27" t="s">
        <v>1859</v>
      </c>
      <c r="F10875" s="27" t="s">
        <v>1881</v>
      </c>
      <c r="H10875" s="27" t="s">
        <v>2679</v>
      </c>
      <c r="J10875" s="27" t="s">
        <v>2680</v>
      </c>
      <c r="L10875" s="27" t="s">
        <v>2810</v>
      </c>
      <c r="N10875" s="27" t="s">
        <v>14707</v>
      </c>
      <c r="P10875" s="27" t="s">
        <v>14709</v>
      </c>
      <c r="Q10875" s="26" t="str">
        <f>HYPERLINK("https://ictv.global/taxonomy/taxondetails?taxnode_id=202516319&amp;ictv_id=ICTV202316319","ICTV202316319")</f>
        <v>ICTV202316319</v>
      </c>
      <c r="R10875" t="s">
        <v>581</v>
      </c>
      <c r="S10875" t="s">
        <v>823</v>
      </c>
      <c r="T10875">
        <v>39</v>
      </c>
      <c r="U10875" s="26" t="str">
        <f t="shared" si="398"/>
        <v>2023.001B.Leviviricetes_reorg.zip</v>
      </c>
    </row>
    <row r="10876" spans="1:21">
      <c r="A10876">
        <v>10875</v>
      </c>
      <c r="B10876" s="27" t="s">
        <v>1124</v>
      </c>
      <c r="D10876" s="27" t="s">
        <v>1859</v>
      </c>
      <c r="F10876" s="27" t="s">
        <v>1881</v>
      </c>
      <c r="H10876" s="27" t="s">
        <v>2679</v>
      </c>
      <c r="J10876" s="27" t="s">
        <v>2680</v>
      </c>
      <c r="L10876" s="27" t="s">
        <v>2810</v>
      </c>
      <c r="N10876" s="27" t="s">
        <v>14707</v>
      </c>
      <c r="P10876" s="27" t="s">
        <v>14710</v>
      </c>
      <c r="Q10876" s="26" t="str">
        <f>HYPERLINK("https://ictv.global/taxonomy/taxondetails?taxnode_id=202516320&amp;ictv_id=ICTV202316320","ICTV202316320")</f>
        <v>ICTV202316320</v>
      </c>
      <c r="R10876" t="s">
        <v>581</v>
      </c>
      <c r="S10876" t="s">
        <v>823</v>
      </c>
      <c r="T10876">
        <v>39</v>
      </c>
      <c r="U10876" s="26" t="str">
        <f t="shared" si="398"/>
        <v>2023.001B.Leviviricetes_reorg.zip</v>
      </c>
    </row>
    <row r="10877" spans="1:21">
      <c r="A10877">
        <v>10876</v>
      </c>
      <c r="B10877" s="27" t="s">
        <v>1124</v>
      </c>
      <c r="D10877" s="27" t="s">
        <v>1859</v>
      </c>
      <c r="F10877" s="27" t="s">
        <v>1881</v>
      </c>
      <c r="H10877" s="27" t="s">
        <v>2679</v>
      </c>
      <c r="J10877" s="27" t="s">
        <v>2680</v>
      </c>
      <c r="L10877" s="27" t="s">
        <v>2810</v>
      </c>
      <c r="N10877" s="27" t="s">
        <v>14707</v>
      </c>
      <c r="P10877" s="27" t="s">
        <v>14711</v>
      </c>
      <c r="Q10877" s="26" t="str">
        <f>HYPERLINK("https://ictv.global/taxonomy/taxondetails?taxnode_id=202516321&amp;ictv_id=ICTV202316321","ICTV202316321")</f>
        <v>ICTV202316321</v>
      </c>
      <c r="R10877" t="s">
        <v>581</v>
      </c>
      <c r="S10877" t="s">
        <v>823</v>
      </c>
      <c r="T10877">
        <v>39</v>
      </c>
      <c r="U10877" s="26" t="str">
        <f t="shared" si="398"/>
        <v>2023.001B.Leviviricetes_reorg.zip</v>
      </c>
    </row>
    <row r="10878" spans="1:21">
      <c r="A10878">
        <v>10877</v>
      </c>
      <c r="B10878" s="27" t="s">
        <v>1124</v>
      </c>
      <c r="D10878" s="27" t="s">
        <v>1859</v>
      </c>
      <c r="F10878" s="27" t="s">
        <v>1881</v>
      </c>
      <c r="H10878" s="27" t="s">
        <v>2679</v>
      </c>
      <c r="J10878" s="27" t="s">
        <v>2680</v>
      </c>
      <c r="L10878" s="27" t="s">
        <v>2810</v>
      </c>
      <c r="N10878" s="27" t="s">
        <v>2936</v>
      </c>
      <c r="P10878" s="27" t="s">
        <v>14712</v>
      </c>
      <c r="Q10878" s="26" t="str">
        <f>HYPERLINK("https://ictv.global/taxonomy/taxondetails?taxnode_id=202516322&amp;ictv_id=ICTV202316322","ICTV202316322")</f>
        <v>ICTV202316322</v>
      </c>
      <c r="R10878" t="s">
        <v>581</v>
      </c>
      <c r="S10878" t="s">
        <v>823</v>
      </c>
      <c r="T10878">
        <v>39</v>
      </c>
      <c r="U10878" s="26" t="str">
        <f t="shared" si="398"/>
        <v>2023.001B.Leviviricetes_reorg.zip</v>
      </c>
    </row>
    <row r="10879" spans="1:21">
      <c r="A10879">
        <v>10878</v>
      </c>
      <c r="B10879" s="27" t="s">
        <v>1124</v>
      </c>
      <c r="D10879" s="27" t="s">
        <v>1859</v>
      </c>
      <c r="F10879" s="27" t="s">
        <v>1881</v>
      </c>
      <c r="H10879" s="27" t="s">
        <v>2679</v>
      </c>
      <c r="J10879" s="27" t="s">
        <v>2680</v>
      </c>
      <c r="L10879" s="27" t="s">
        <v>2810</v>
      </c>
      <c r="N10879" s="27" t="s">
        <v>2936</v>
      </c>
      <c r="P10879" s="27" t="s">
        <v>14713</v>
      </c>
      <c r="Q10879" s="26" t="str">
        <f>HYPERLINK("https://ictv.global/taxonomy/taxondetails?taxnode_id=202516323&amp;ictv_id=ICTV202316323","ICTV202316323")</f>
        <v>ICTV202316323</v>
      </c>
      <c r="R10879" t="s">
        <v>581</v>
      </c>
      <c r="S10879" t="s">
        <v>823</v>
      </c>
      <c r="T10879">
        <v>39</v>
      </c>
      <c r="U10879" s="26" t="str">
        <f t="shared" si="398"/>
        <v>2023.001B.Leviviricetes_reorg.zip</v>
      </c>
    </row>
    <row r="10880" spans="1:21">
      <c r="A10880">
        <v>10879</v>
      </c>
      <c r="B10880" s="27" t="s">
        <v>1124</v>
      </c>
      <c r="D10880" s="27" t="s">
        <v>1859</v>
      </c>
      <c r="F10880" s="27" t="s">
        <v>1881</v>
      </c>
      <c r="H10880" s="27" t="s">
        <v>2679</v>
      </c>
      <c r="J10880" s="27" t="s">
        <v>2680</v>
      </c>
      <c r="L10880" s="27" t="s">
        <v>2810</v>
      </c>
      <c r="N10880" s="27" t="s">
        <v>2936</v>
      </c>
      <c r="P10880" s="27" t="s">
        <v>14714</v>
      </c>
      <c r="Q10880" s="26" t="str">
        <f>HYPERLINK("https://ictv.global/taxonomy/taxondetails?taxnode_id=202516324&amp;ictv_id=ICTV202316324","ICTV202316324")</f>
        <v>ICTV202316324</v>
      </c>
      <c r="R10880" t="s">
        <v>581</v>
      </c>
      <c r="S10880" t="s">
        <v>823</v>
      </c>
      <c r="T10880">
        <v>39</v>
      </c>
      <c r="U10880" s="26" t="str">
        <f t="shared" si="398"/>
        <v>2023.001B.Leviviricetes_reorg.zip</v>
      </c>
    </row>
    <row r="10881" spans="1:21">
      <c r="A10881">
        <v>10880</v>
      </c>
      <c r="B10881" s="27" t="s">
        <v>1124</v>
      </c>
      <c r="D10881" s="27" t="s">
        <v>1859</v>
      </c>
      <c r="F10881" s="27" t="s">
        <v>1881</v>
      </c>
      <c r="H10881" s="27" t="s">
        <v>2679</v>
      </c>
      <c r="J10881" s="27" t="s">
        <v>2680</v>
      </c>
      <c r="L10881" s="27" t="s">
        <v>2810</v>
      </c>
      <c r="N10881" s="27" t="s">
        <v>2936</v>
      </c>
      <c r="P10881" s="27" t="s">
        <v>2937</v>
      </c>
      <c r="Q10881" s="26" t="str">
        <f>HYPERLINK("https://ictv.global/taxonomy/taxondetails?taxnode_id=202510390&amp;ictv_id=ICTV202010390","ICTV202010390")</f>
        <v>ICTV202010390</v>
      </c>
      <c r="R10881" t="s">
        <v>581</v>
      </c>
      <c r="S10881" t="s">
        <v>823</v>
      </c>
      <c r="T10881">
        <v>36</v>
      </c>
      <c r="U10881" s="26" t="str">
        <f>HYPERLINK("https://ictv.global/ictv/proposals/2020.095B.R.Leviviricetes.zip","2020.095B.R.Leviviricetes.zip")</f>
        <v>2020.095B.R.Leviviricetes.zip</v>
      </c>
    </row>
    <row r="10882" spans="1:21">
      <c r="A10882">
        <v>10881</v>
      </c>
      <c r="B10882" s="27" t="s">
        <v>1124</v>
      </c>
      <c r="D10882" s="27" t="s">
        <v>1859</v>
      </c>
      <c r="F10882" s="27" t="s">
        <v>1881</v>
      </c>
      <c r="H10882" s="27" t="s">
        <v>2679</v>
      </c>
      <c r="J10882" s="27" t="s">
        <v>2680</v>
      </c>
      <c r="L10882" s="27" t="s">
        <v>2810</v>
      </c>
      <c r="N10882" s="27" t="s">
        <v>2938</v>
      </c>
      <c r="P10882" s="27" t="s">
        <v>2939</v>
      </c>
      <c r="Q10882" s="26" t="str">
        <f>HYPERLINK("https://ictv.global/taxonomy/taxondetails?taxnode_id=202510392&amp;ictv_id=ICTV202010392","ICTV202010392")</f>
        <v>ICTV202010392</v>
      </c>
      <c r="R10882" t="s">
        <v>581</v>
      </c>
      <c r="S10882" t="s">
        <v>823</v>
      </c>
      <c r="T10882">
        <v>36</v>
      </c>
      <c r="U10882" s="26" t="str">
        <f>HYPERLINK("https://ictv.global/ictv/proposals/2020.095B.R.Leviviricetes.zip","2020.095B.R.Leviviricetes.zip")</f>
        <v>2020.095B.R.Leviviricetes.zip</v>
      </c>
    </row>
    <row r="10883" spans="1:21">
      <c r="A10883">
        <v>10882</v>
      </c>
      <c r="B10883" s="27" t="s">
        <v>1124</v>
      </c>
      <c r="D10883" s="27" t="s">
        <v>1859</v>
      </c>
      <c r="F10883" s="27" t="s">
        <v>1881</v>
      </c>
      <c r="H10883" s="27" t="s">
        <v>2679</v>
      </c>
      <c r="J10883" s="27" t="s">
        <v>2680</v>
      </c>
      <c r="L10883" s="27" t="s">
        <v>2810</v>
      </c>
      <c r="N10883" s="27" t="s">
        <v>14715</v>
      </c>
      <c r="P10883" s="27" t="s">
        <v>14716</v>
      </c>
      <c r="Q10883" s="26" t="str">
        <f>HYPERLINK("https://ictv.global/taxonomy/taxondetails?taxnode_id=202516325&amp;ictv_id=ICTV202316325","ICTV202316325")</f>
        <v>ICTV202316325</v>
      </c>
      <c r="R10883" t="s">
        <v>581</v>
      </c>
      <c r="S10883" t="s">
        <v>823</v>
      </c>
      <c r="T10883">
        <v>39</v>
      </c>
      <c r="U10883" s="26" t="str">
        <f>HYPERLINK("https://ictv.global/ictv/proposals/2023.001B.Leviviricetes_reorg.zip","2023.001B.Leviviricetes_reorg.zip")</f>
        <v>2023.001B.Leviviricetes_reorg.zip</v>
      </c>
    </row>
    <row r="10884" spans="1:21">
      <c r="A10884">
        <v>10883</v>
      </c>
      <c r="B10884" s="27" t="s">
        <v>1124</v>
      </c>
      <c r="D10884" s="27" t="s">
        <v>1859</v>
      </c>
      <c r="F10884" s="27" t="s">
        <v>1881</v>
      </c>
      <c r="H10884" s="27" t="s">
        <v>2679</v>
      </c>
      <c r="J10884" s="27" t="s">
        <v>2680</v>
      </c>
      <c r="L10884" s="27" t="s">
        <v>2810</v>
      </c>
      <c r="N10884" s="27" t="s">
        <v>2940</v>
      </c>
      <c r="P10884" s="27" t="s">
        <v>2941</v>
      </c>
      <c r="Q10884" s="26" t="str">
        <f>HYPERLINK("https://ictv.global/taxonomy/taxondetails?taxnode_id=202510395&amp;ictv_id=ICTV202010395","ICTV202010395")</f>
        <v>ICTV202010395</v>
      </c>
      <c r="R10884" t="s">
        <v>581</v>
      </c>
      <c r="S10884" t="s">
        <v>823</v>
      </c>
      <c r="T10884">
        <v>36</v>
      </c>
      <c r="U10884" s="26" t="str">
        <f t="shared" ref="U10884:U10890" si="399">HYPERLINK("https://ictv.global/ictv/proposals/2020.095B.R.Leviviricetes.zip","2020.095B.R.Leviviricetes.zip")</f>
        <v>2020.095B.R.Leviviricetes.zip</v>
      </c>
    </row>
    <row r="10885" spans="1:21">
      <c r="A10885">
        <v>10884</v>
      </c>
      <c r="B10885" s="27" t="s">
        <v>1124</v>
      </c>
      <c r="D10885" s="27" t="s">
        <v>1859</v>
      </c>
      <c r="F10885" s="27" t="s">
        <v>1881</v>
      </c>
      <c r="H10885" s="27" t="s">
        <v>2679</v>
      </c>
      <c r="J10885" s="27" t="s">
        <v>2680</v>
      </c>
      <c r="L10885" s="27" t="s">
        <v>2810</v>
      </c>
      <c r="N10885" s="27" t="s">
        <v>2940</v>
      </c>
      <c r="P10885" s="27" t="s">
        <v>2942</v>
      </c>
      <c r="Q10885" s="26" t="str">
        <f>HYPERLINK("https://ictv.global/taxonomy/taxondetails?taxnode_id=202510394&amp;ictv_id=ICTV202010394","ICTV202010394")</f>
        <v>ICTV202010394</v>
      </c>
      <c r="R10885" t="s">
        <v>581</v>
      </c>
      <c r="S10885" t="s">
        <v>823</v>
      </c>
      <c r="T10885">
        <v>36</v>
      </c>
      <c r="U10885" s="26" t="str">
        <f t="shared" si="399"/>
        <v>2020.095B.R.Leviviricetes.zip</v>
      </c>
    </row>
    <row r="10886" spans="1:21">
      <c r="A10886">
        <v>10885</v>
      </c>
      <c r="B10886" s="27" t="s">
        <v>1124</v>
      </c>
      <c r="D10886" s="27" t="s">
        <v>1859</v>
      </c>
      <c r="F10886" s="27" t="s">
        <v>1881</v>
      </c>
      <c r="H10886" s="27" t="s">
        <v>2679</v>
      </c>
      <c r="J10886" s="27" t="s">
        <v>2680</v>
      </c>
      <c r="L10886" s="27" t="s">
        <v>2810</v>
      </c>
      <c r="N10886" s="27" t="s">
        <v>2943</v>
      </c>
      <c r="P10886" s="27" t="s">
        <v>2944</v>
      </c>
      <c r="Q10886" s="26" t="str">
        <f>HYPERLINK("https://ictv.global/taxonomy/taxondetails?taxnode_id=202510398&amp;ictv_id=ICTV202010398","ICTV202010398")</f>
        <v>ICTV202010398</v>
      </c>
      <c r="R10886" t="s">
        <v>581</v>
      </c>
      <c r="S10886" t="s">
        <v>823</v>
      </c>
      <c r="T10886">
        <v>36</v>
      </c>
      <c r="U10886" s="26" t="str">
        <f t="shared" si="399"/>
        <v>2020.095B.R.Leviviricetes.zip</v>
      </c>
    </row>
    <row r="10887" spans="1:21">
      <c r="A10887">
        <v>10886</v>
      </c>
      <c r="B10887" s="27" t="s">
        <v>1124</v>
      </c>
      <c r="D10887" s="27" t="s">
        <v>1859</v>
      </c>
      <c r="F10887" s="27" t="s">
        <v>1881</v>
      </c>
      <c r="H10887" s="27" t="s">
        <v>2679</v>
      </c>
      <c r="J10887" s="27" t="s">
        <v>2680</v>
      </c>
      <c r="L10887" s="27" t="s">
        <v>2810</v>
      </c>
      <c r="N10887" s="27" t="s">
        <v>2943</v>
      </c>
      <c r="P10887" s="27" t="s">
        <v>2945</v>
      </c>
      <c r="Q10887" s="26" t="str">
        <f>HYPERLINK("https://ictv.global/taxonomy/taxondetails?taxnode_id=202510397&amp;ictv_id=ICTV202010397","ICTV202010397")</f>
        <v>ICTV202010397</v>
      </c>
      <c r="R10887" t="s">
        <v>581</v>
      </c>
      <c r="S10887" t="s">
        <v>823</v>
      </c>
      <c r="T10887">
        <v>36</v>
      </c>
      <c r="U10887" s="26" t="str">
        <f t="shared" si="399"/>
        <v>2020.095B.R.Leviviricetes.zip</v>
      </c>
    </row>
    <row r="10888" spans="1:21">
      <c r="A10888">
        <v>10887</v>
      </c>
      <c r="B10888" s="27" t="s">
        <v>1124</v>
      </c>
      <c r="D10888" s="27" t="s">
        <v>1859</v>
      </c>
      <c r="F10888" s="27" t="s">
        <v>1881</v>
      </c>
      <c r="H10888" s="27" t="s">
        <v>2679</v>
      </c>
      <c r="J10888" s="27" t="s">
        <v>2680</v>
      </c>
      <c r="L10888" s="27" t="s">
        <v>2810</v>
      </c>
      <c r="N10888" s="27" t="s">
        <v>2946</v>
      </c>
      <c r="P10888" s="27" t="s">
        <v>2947</v>
      </c>
      <c r="Q10888" s="26" t="str">
        <f>HYPERLINK("https://ictv.global/taxonomy/taxondetails?taxnode_id=202510400&amp;ictv_id=ICTV202010400","ICTV202010400")</f>
        <v>ICTV202010400</v>
      </c>
      <c r="R10888" t="s">
        <v>581</v>
      </c>
      <c r="S10888" t="s">
        <v>823</v>
      </c>
      <c r="T10888">
        <v>36</v>
      </c>
      <c r="U10888" s="26" t="str">
        <f t="shared" si="399"/>
        <v>2020.095B.R.Leviviricetes.zip</v>
      </c>
    </row>
    <row r="10889" spans="1:21">
      <c r="A10889">
        <v>10888</v>
      </c>
      <c r="B10889" s="27" t="s">
        <v>1124</v>
      </c>
      <c r="D10889" s="27" t="s">
        <v>1859</v>
      </c>
      <c r="F10889" s="27" t="s">
        <v>1881</v>
      </c>
      <c r="H10889" s="27" t="s">
        <v>2679</v>
      </c>
      <c r="J10889" s="27" t="s">
        <v>2680</v>
      </c>
      <c r="L10889" s="27" t="s">
        <v>2810</v>
      </c>
      <c r="N10889" s="27" t="s">
        <v>2948</v>
      </c>
      <c r="P10889" s="27" t="s">
        <v>2949</v>
      </c>
      <c r="Q10889" s="26" t="str">
        <f>HYPERLINK("https://ictv.global/taxonomy/taxondetails?taxnode_id=202510402&amp;ictv_id=ICTV202010402","ICTV202010402")</f>
        <v>ICTV202010402</v>
      </c>
      <c r="R10889" t="s">
        <v>581</v>
      </c>
      <c r="S10889" t="s">
        <v>823</v>
      </c>
      <c r="T10889">
        <v>36</v>
      </c>
      <c r="U10889" s="26" t="str">
        <f t="shared" si="399"/>
        <v>2020.095B.R.Leviviricetes.zip</v>
      </c>
    </row>
    <row r="10890" spans="1:21">
      <c r="A10890">
        <v>10889</v>
      </c>
      <c r="B10890" s="27" t="s">
        <v>1124</v>
      </c>
      <c r="D10890" s="27" t="s">
        <v>1859</v>
      </c>
      <c r="F10890" s="27" t="s">
        <v>1881</v>
      </c>
      <c r="H10890" s="27" t="s">
        <v>2679</v>
      </c>
      <c r="J10890" s="27" t="s">
        <v>2680</v>
      </c>
      <c r="L10890" s="27" t="s">
        <v>2810</v>
      </c>
      <c r="N10890" s="27" t="s">
        <v>2950</v>
      </c>
      <c r="P10890" s="27" t="s">
        <v>2951</v>
      </c>
      <c r="Q10890" s="26" t="str">
        <f>HYPERLINK("https://ictv.global/taxonomy/taxondetails?taxnode_id=202510404&amp;ictv_id=ICTV202010404","ICTV202010404")</f>
        <v>ICTV202010404</v>
      </c>
      <c r="R10890" t="s">
        <v>581</v>
      </c>
      <c r="S10890" t="s">
        <v>823</v>
      </c>
      <c r="T10890">
        <v>36</v>
      </c>
      <c r="U10890" s="26" t="str">
        <f t="shared" si="399"/>
        <v>2020.095B.R.Leviviricetes.zip</v>
      </c>
    </row>
    <row r="10891" spans="1:21">
      <c r="A10891">
        <v>10890</v>
      </c>
      <c r="B10891" s="27" t="s">
        <v>1124</v>
      </c>
      <c r="D10891" s="27" t="s">
        <v>1859</v>
      </c>
      <c r="F10891" s="27" t="s">
        <v>1881</v>
      </c>
      <c r="H10891" s="27" t="s">
        <v>2679</v>
      </c>
      <c r="J10891" s="27" t="s">
        <v>2680</v>
      </c>
      <c r="L10891" s="27" t="s">
        <v>2810</v>
      </c>
      <c r="N10891" s="27" t="s">
        <v>2950</v>
      </c>
      <c r="P10891" s="27" t="s">
        <v>14717</v>
      </c>
      <c r="Q10891" s="26" t="str">
        <f>HYPERLINK("https://ictv.global/taxonomy/taxondetails?taxnode_id=202516326&amp;ictv_id=ICTV202316326","ICTV202316326")</f>
        <v>ICTV202316326</v>
      </c>
      <c r="R10891" t="s">
        <v>581</v>
      </c>
      <c r="S10891" t="s">
        <v>823</v>
      </c>
      <c r="T10891">
        <v>39</v>
      </c>
      <c r="U10891" s="26" t="str">
        <f>HYPERLINK("https://ictv.global/ictv/proposals/2023.001B.Leviviricetes_reorg.zip","2023.001B.Leviviricetes_reorg.zip")</f>
        <v>2023.001B.Leviviricetes_reorg.zip</v>
      </c>
    </row>
    <row r="10892" spans="1:21">
      <c r="A10892">
        <v>10891</v>
      </c>
      <c r="B10892" s="27" t="s">
        <v>1124</v>
      </c>
      <c r="D10892" s="27" t="s">
        <v>1859</v>
      </c>
      <c r="F10892" s="27" t="s">
        <v>1881</v>
      </c>
      <c r="H10892" s="27" t="s">
        <v>2679</v>
      </c>
      <c r="J10892" s="27" t="s">
        <v>2680</v>
      </c>
      <c r="L10892" s="27" t="s">
        <v>2810</v>
      </c>
      <c r="N10892" s="27" t="s">
        <v>2952</v>
      </c>
      <c r="P10892" s="27" t="s">
        <v>2953</v>
      </c>
      <c r="Q10892" s="26" t="str">
        <f>HYPERLINK("https://ictv.global/taxonomy/taxondetails?taxnode_id=202510406&amp;ictv_id=ICTV202010406","ICTV202010406")</f>
        <v>ICTV202010406</v>
      </c>
      <c r="R10892" t="s">
        <v>581</v>
      </c>
      <c r="S10892" t="s">
        <v>823</v>
      </c>
      <c r="T10892">
        <v>36</v>
      </c>
      <c r="U10892" s="26" t="str">
        <f>HYPERLINK("https://ictv.global/ictv/proposals/2020.095B.R.Leviviricetes.zip","2020.095B.R.Leviviricetes.zip")</f>
        <v>2020.095B.R.Leviviricetes.zip</v>
      </c>
    </row>
    <row r="10893" spans="1:21">
      <c r="A10893">
        <v>10892</v>
      </c>
      <c r="B10893" s="27" t="s">
        <v>1124</v>
      </c>
      <c r="D10893" s="27" t="s">
        <v>1859</v>
      </c>
      <c r="F10893" s="27" t="s">
        <v>1881</v>
      </c>
      <c r="H10893" s="27" t="s">
        <v>2679</v>
      </c>
      <c r="J10893" s="27" t="s">
        <v>2680</v>
      </c>
      <c r="L10893" s="27" t="s">
        <v>2810</v>
      </c>
      <c r="N10893" s="27" t="s">
        <v>2954</v>
      </c>
      <c r="P10893" s="27" t="s">
        <v>2955</v>
      </c>
      <c r="Q10893" s="26" t="str">
        <f>HYPERLINK("https://ictv.global/taxonomy/taxondetails?taxnode_id=202510408&amp;ictv_id=ICTV202010408","ICTV202010408")</f>
        <v>ICTV202010408</v>
      </c>
      <c r="R10893" t="s">
        <v>581</v>
      </c>
      <c r="S10893" t="s">
        <v>823</v>
      </c>
      <c r="T10893">
        <v>36</v>
      </c>
      <c r="U10893" s="26" t="str">
        <f>HYPERLINK("https://ictv.global/ictv/proposals/2020.095B.R.Leviviricetes.zip","2020.095B.R.Leviviricetes.zip")</f>
        <v>2020.095B.R.Leviviricetes.zip</v>
      </c>
    </row>
    <row r="10894" spans="1:21">
      <c r="A10894">
        <v>10893</v>
      </c>
      <c r="B10894" s="27" t="s">
        <v>1124</v>
      </c>
      <c r="D10894" s="27" t="s">
        <v>1859</v>
      </c>
      <c r="F10894" s="27" t="s">
        <v>1881</v>
      </c>
      <c r="H10894" s="27" t="s">
        <v>2679</v>
      </c>
      <c r="J10894" s="27" t="s">
        <v>2680</v>
      </c>
      <c r="L10894" s="27" t="s">
        <v>2810</v>
      </c>
      <c r="N10894" s="27" t="s">
        <v>2954</v>
      </c>
      <c r="P10894" s="27" t="s">
        <v>2956</v>
      </c>
      <c r="Q10894" s="26" t="str">
        <f>HYPERLINK("https://ictv.global/taxonomy/taxondetails?taxnode_id=202510409&amp;ictv_id=ICTV202010409","ICTV202010409")</f>
        <v>ICTV202010409</v>
      </c>
      <c r="R10894" t="s">
        <v>581</v>
      </c>
      <c r="S10894" t="s">
        <v>823</v>
      </c>
      <c r="T10894">
        <v>36</v>
      </c>
      <c r="U10894" s="26" t="str">
        <f>HYPERLINK("https://ictv.global/ictv/proposals/2020.095B.R.Leviviricetes.zip","2020.095B.R.Leviviricetes.zip")</f>
        <v>2020.095B.R.Leviviricetes.zip</v>
      </c>
    </row>
    <row r="10895" spans="1:21">
      <c r="A10895">
        <v>10894</v>
      </c>
      <c r="B10895" s="27" t="s">
        <v>1124</v>
      </c>
      <c r="D10895" s="27" t="s">
        <v>1859</v>
      </c>
      <c r="F10895" s="27" t="s">
        <v>1881</v>
      </c>
      <c r="H10895" s="27" t="s">
        <v>2679</v>
      </c>
      <c r="J10895" s="27" t="s">
        <v>2680</v>
      </c>
      <c r="L10895" s="27" t="s">
        <v>2810</v>
      </c>
      <c r="N10895" s="27" t="s">
        <v>2954</v>
      </c>
      <c r="P10895" s="27" t="s">
        <v>14718</v>
      </c>
      <c r="Q10895" s="26" t="str">
        <f>HYPERLINK("https://ictv.global/taxonomy/taxondetails?taxnode_id=202516327&amp;ictv_id=ICTV202316327","ICTV202316327")</f>
        <v>ICTV202316327</v>
      </c>
      <c r="R10895" t="s">
        <v>581</v>
      </c>
      <c r="S10895" t="s">
        <v>823</v>
      </c>
      <c r="T10895">
        <v>39</v>
      </c>
      <c r="U10895" s="26" t="str">
        <f>HYPERLINK("https://ictv.global/ictv/proposals/2023.001B.Leviviricetes_reorg.zip","2023.001B.Leviviricetes_reorg.zip")</f>
        <v>2023.001B.Leviviricetes_reorg.zip</v>
      </c>
    </row>
    <row r="10896" spans="1:21">
      <c r="A10896">
        <v>10895</v>
      </c>
      <c r="B10896" s="27" t="s">
        <v>1124</v>
      </c>
      <c r="D10896" s="27" t="s">
        <v>1859</v>
      </c>
      <c r="F10896" s="27" t="s">
        <v>1881</v>
      </c>
      <c r="H10896" s="27" t="s">
        <v>2679</v>
      </c>
      <c r="J10896" s="27" t="s">
        <v>2680</v>
      </c>
      <c r="L10896" s="27" t="s">
        <v>2810</v>
      </c>
      <c r="N10896" s="27" t="s">
        <v>2954</v>
      </c>
      <c r="P10896" s="27" t="s">
        <v>14719</v>
      </c>
      <c r="Q10896" s="26" t="str">
        <f>HYPERLINK("https://ictv.global/taxonomy/taxondetails?taxnode_id=202516328&amp;ictv_id=ICTV202316328","ICTV202316328")</f>
        <v>ICTV202316328</v>
      </c>
      <c r="R10896" t="s">
        <v>581</v>
      </c>
      <c r="S10896" t="s">
        <v>823</v>
      </c>
      <c r="T10896">
        <v>39</v>
      </c>
      <c r="U10896" s="26" t="str">
        <f>HYPERLINK("https://ictv.global/ictv/proposals/2023.001B.Leviviricetes_reorg.zip","2023.001B.Leviviricetes_reorg.zip")</f>
        <v>2023.001B.Leviviricetes_reorg.zip</v>
      </c>
    </row>
    <row r="10897" spans="1:21">
      <c r="A10897">
        <v>10896</v>
      </c>
      <c r="B10897" s="27" t="s">
        <v>1124</v>
      </c>
      <c r="D10897" s="27" t="s">
        <v>1859</v>
      </c>
      <c r="F10897" s="27" t="s">
        <v>1881</v>
      </c>
      <c r="H10897" s="27" t="s">
        <v>2679</v>
      </c>
      <c r="J10897" s="27" t="s">
        <v>2680</v>
      </c>
      <c r="L10897" s="27" t="s">
        <v>2810</v>
      </c>
      <c r="N10897" s="27" t="s">
        <v>2957</v>
      </c>
      <c r="P10897" s="27" t="s">
        <v>2958</v>
      </c>
      <c r="Q10897" s="26" t="str">
        <f>HYPERLINK("https://ictv.global/taxonomy/taxondetails?taxnode_id=202510411&amp;ictv_id=ICTV202010411","ICTV202010411")</f>
        <v>ICTV202010411</v>
      </c>
      <c r="R10897" t="s">
        <v>581</v>
      </c>
      <c r="S10897" t="s">
        <v>823</v>
      </c>
      <c r="T10897">
        <v>36</v>
      </c>
      <c r="U10897" s="26" t="str">
        <f>HYPERLINK("https://ictv.global/ictv/proposals/2020.095B.R.Leviviricetes.zip","2020.095B.R.Leviviricetes.zip")</f>
        <v>2020.095B.R.Leviviricetes.zip</v>
      </c>
    </row>
    <row r="10898" spans="1:21">
      <c r="A10898">
        <v>10897</v>
      </c>
      <c r="B10898" s="27" t="s">
        <v>1124</v>
      </c>
      <c r="D10898" s="27" t="s">
        <v>1859</v>
      </c>
      <c r="F10898" s="27" t="s">
        <v>1881</v>
      </c>
      <c r="H10898" s="27" t="s">
        <v>2679</v>
      </c>
      <c r="J10898" s="27" t="s">
        <v>2680</v>
      </c>
      <c r="L10898" s="27" t="s">
        <v>2810</v>
      </c>
      <c r="N10898" s="27" t="s">
        <v>2959</v>
      </c>
      <c r="P10898" s="27" t="s">
        <v>2960</v>
      </c>
      <c r="Q10898" s="26" t="str">
        <f>HYPERLINK("https://ictv.global/taxonomy/taxondetails?taxnode_id=202510413&amp;ictv_id=ICTV202010413","ICTV202010413")</f>
        <v>ICTV202010413</v>
      </c>
      <c r="R10898" t="s">
        <v>581</v>
      </c>
      <c r="S10898" t="s">
        <v>823</v>
      </c>
      <c r="T10898">
        <v>36</v>
      </c>
      <c r="U10898" s="26" t="str">
        <f>HYPERLINK("https://ictv.global/ictv/proposals/2020.095B.R.Leviviricetes.zip","2020.095B.R.Leviviricetes.zip")</f>
        <v>2020.095B.R.Leviviricetes.zip</v>
      </c>
    </row>
    <row r="10899" spans="1:21">
      <c r="A10899">
        <v>10898</v>
      </c>
      <c r="B10899" s="27" t="s">
        <v>1124</v>
      </c>
      <c r="D10899" s="27" t="s">
        <v>1859</v>
      </c>
      <c r="F10899" s="27" t="s">
        <v>1881</v>
      </c>
      <c r="H10899" s="27" t="s">
        <v>2679</v>
      </c>
      <c r="J10899" s="27" t="s">
        <v>2680</v>
      </c>
      <c r="L10899" s="27" t="s">
        <v>2810</v>
      </c>
      <c r="N10899" s="27" t="s">
        <v>2959</v>
      </c>
      <c r="P10899" s="27" t="s">
        <v>2961</v>
      </c>
      <c r="Q10899" s="26" t="str">
        <f>HYPERLINK("https://ictv.global/taxonomy/taxondetails?taxnode_id=202510414&amp;ictv_id=ICTV202010414","ICTV202010414")</f>
        <v>ICTV202010414</v>
      </c>
      <c r="R10899" t="s">
        <v>581</v>
      </c>
      <c r="S10899" t="s">
        <v>823</v>
      </c>
      <c r="T10899">
        <v>36</v>
      </c>
      <c r="U10899" s="26" t="str">
        <f>HYPERLINK("https://ictv.global/ictv/proposals/2020.095B.R.Leviviricetes.zip","2020.095B.R.Leviviricetes.zip")</f>
        <v>2020.095B.R.Leviviricetes.zip</v>
      </c>
    </row>
    <row r="10900" spans="1:21">
      <c r="A10900">
        <v>10899</v>
      </c>
      <c r="B10900" s="27" t="s">
        <v>1124</v>
      </c>
      <c r="D10900" s="27" t="s">
        <v>1859</v>
      </c>
      <c r="F10900" s="27" t="s">
        <v>1881</v>
      </c>
      <c r="H10900" s="27" t="s">
        <v>2679</v>
      </c>
      <c r="J10900" s="27" t="s">
        <v>2680</v>
      </c>
      <c r="L10900" s="27" t="s">
        <v>2810</v>
      </c>
      <c r="N10900" s="27" t="s">
        <v>2959</v>
      </c>
      <c r="P10900" s="27" t="s">
        <v>14720</v>
      </c>
      <c r="Q10900" s="26" t="str">
        <f>HYPERLINK("https://ictv.global/taxonomy/taxondetails?taxnode_id=202516329&amp;ictv_id=ICTV202316329","ICTV202316329")</f>
        <v>ICTV202316329</v>
      </c>
      <c r="R10900" t="s">
        <v>581</v>
      </c>
      <c r="S10900" t="s">
        <v>823</v>
      </c>
      <c r="T10900">
        <v>39</v>
      </c>
      <c r="U10900" s="26" t="str">
        <f>HYPERLINK("https://ictv.global/ictv/proposals/2023.001B.Leviviricetes_reorg.zip","2023.001B.Leviviricetes_reorg.zip")</f>
        <v>2023.001B.Leviviricetes_reorg.zip</v>
      </c>
    </row>
    <row r="10901" spans="1:21">
      <c r="A10901">
        <v>10900</v>
      </c>
      <c r="B10901" s="27" t="s">
        <v>1124</v>
      </c>
      <c r="D10901" s="27" t="s">
        <v>1859</v>
      </c>
      <c r="F10901" s="27" t="s">
        <v>1881</v>
      </c>
      <c r="H10901" s="27" t="s">
        <v>2679</v>
      </c>
      <c r="J10901" s="27" t="s">
        <v>2680</v>
      </c>
      <c r="L10901" s="27" t="s">
        <v>2810</v>
      </c>
      <c r="N10901" s="27" t="s">
        <v>2959</v>
      </c>
      <c r="P10901" s="27" t="s">
        <v>14721</v>
      </c>
      <c r="Q10901" s="26" t="str">
        <f>HYPERLINK("https://ictv.global/taxonomy/taxondetails?taxnode_id=202516330&amp;ictv_id=ICTV202316330","ICTV202316330")</f>
        <v>ICTV202316330</v>
      </c>
      <c r="R10901" t="s">
        <v>581</v>
      </c>
      <c r="S10901" t="s">
        <v>823</v>
      </c>
      <c r="T10901">
        <v>39</v>
      </c>
      <c r="U10901" s="26" t="str">
        <f>HYPERLINK("https://ictv.global/ictv/proposals/2023.001B.Leviviricetes_reorg.zip","2023.001B.Leviviricetes_reorg.zip")</f>
        <v>2023.001B.Leviviricetes_reorg.zip</v>
      </c>
    </row>
    <row r="10902" spans="1:21">
      <c r="A10902">
        <v>10901</v>
      </c>
      <c r="B10902" s="27" t="s">
        <v>1124</v>
      </c>
      <c r="D10902" s="27" t="s">
        <v>1859</v>
      </c>
      <c r="F10902" s="27" t="s">
        <v>1881</v>
      </c>
      <c r="H10902" s="27" t="s">
        <v>2679</v>
      </c>
      <c r="J10902" s="27" t="s">
        <v>2680</v>
      </c>
      <c r="L10902" s="27" t="s">
        <v>2810</v>
      </c>
      <c r="N10902" s="27" t="s">
        <v>2959</v>
      </c>
      <c r="P10902" s="27" t="s">
        <v>14722</v>
      </c>
      <c r="Q10902" s="26" t="str">
        <f>HYPERLINK("https://ictv.global/taxonomy/taxondetails?taxnode_id=202516331&amp;ictv_id=ICTV202316331","ICTV202316331")</f>
        <v>ICTV202316331</v>
      </c>
      <c r="R10902" t="s">
        <v>581</v>
      </c>
      <c r="S10902" t="s">
        <v>823</v>
      </c>
      <c r="T10902">
        <v>39</v>
      </c>
      <c r="U10902" s="26" t="str">
        <f>HYPERLINK("https://ictv.global/ictv/proposals/2023.001B.Leviviricetes_reorg.zip","2023.001B.Leviviricetes_reorg.zip")</f>
        <v>2023.001B.Leviviricetes_reorg.zip</v>
      </c>
    </row>
    <row r="10903" spans="1:21">
      <c r="A10903">
        <v>10902</v>
      </c>
      <c r="B10903" s="27" t="s">
        <v>1124</v>
      </c>
      <c r="D10903" s="27" t="s">
        <v>1859</v>
      </c>
      <c r="F10903" s="27" t="s">
        <v>1881</v>
      </c>
      <c r="H10903" s="27" t="s">
        <v>2679</v>
      </c>
      <c r="J10903" s="27" t="s">
        <v>2680</v>
      </c>
      <c r="L10903" s="27" t="s">
        <v>2810</v>
      </c>
      <c r="N10903" s="27" t="s">
        <v>2959</v>
      </c>
      <c r="P10903" s="27" t="s">
        <v>14723</v>
      </c>
      <c r="Q10903" s="26" t="str">
        <f>HYPERLINK("https://ictv.global/taxonomy/taxondetails?taxnode_id=202516332&amp;ictv_id=ICTV202316332","ICTV202316332")</f>
        <v>ICTV202316332</v>
      </c>
      <c r="R10903" t="s">
        <v>581</v>
      </c>
      <c r="S10903" t="s">
        <v>823</v>
      </c>
      <c r="T10903">
        <v>39</v>
      </c>
      <c r="U10903" s="26" t="str">
        <f>HYPERLINK("https://ictv.global/ictv/proposals/2023.001B.Leviviricetes_reorg.zip","2023.001B.Leviviricetes_reorg.zip")</f>
        <v>2023.001B.Leviviricetes_reorg.zip</v>
      </c>
    </row>
    <row r="10904" spans="1:21">
      <c r="A10904">
        <v>10903</v>
      </c>
      <c r="B10904" s="27" t="s">
        <v>1124</v>
      </c>
      <c r="D10904" s="27" t="s">
        <v>1859</v>
      </c>
      <c r="F10904" s="27" t="s">
        <v>1881</v>
      </c>
      <c r="H10904" s="27" t="s">
        <v>2679</v>
      </c>
      <c r="J10904" s="27" t="s">
        <v>2680</v>
      </c>
      <c r="L10904" s="27" t="s">
        <v>2810</v>
      </c>
      <c r="N10904" s="27" t="s">
        <v>2959</v>
      </c>
      <c r="P10904" s="27" t="s">
        <v>14724</v>
      </c>
      <c r="Q10904" s="26" t="str">
        <f>HYPERLINK("https://ictv.global/taxonomy/taxondetails?taxnode_id=202516333&amp;ictv_id=ICTV202316333","ICTV202316333")</f>
        <v>ICTV202316333</v>
      </c>
      <c r="R10904" t="s">
        <v>581</v>
      </c>
      <c r="S10904" t="s">
        <v>823</v>
      </c>
      <c r="T10904">
        <v>39</v>
      </c>
      <c r="U10904" s="26" t="str">
        <f>HYPERLINK("https://ictv.global/ictv/proposals/2023.001B.Leviviricetes_reorg.zip","2023.001B.Leviviricetes_reorg.zip")</f>
        <v>2023.001B.Leviviricetes_reorg.zip</v>
      </c>
    </row>
    <row r="10905" spans="1:21">
      <c r="A10905">
        <v>10904</v>
      </c>
      <c r="B10905" s="27" t="s">
        <v>1124</v>
      </c>
      <c r="D10905" s="27" t="s">
        <v>1859</v>
      </c>
      <c r="F10905" s="27" t="s">
        <v>1881</v>
      </c>
      <c r="H10905" s="27" t="s">
        <v>2679</v>
      </c>
      <c r="J10905" s="27" t="s">
        <v>2680</v>
      </c>
      <c r="L10905" s="27" t="s">
        <v>2810</v>
      </c>
      <c r="N10905" s="27" t="s">
        <v>2962</v>
      </c>
      <c r="P10905" s="27" t="s">
        <v>2963</v>
      </c>
      <c r="Q10905" s="26" t="str">
        <f>HYPERLINK("https://ictv.global/taxonomy/taxondetails?taxnode_id=202510416&amp;ictv_id=ICTV202010416","ICTV202010416")</f>
        <v>ICTV202010416</v>
      </c>
      <c r="R10905" t="s">
        <v>581</v>
      </c>
      <c r="S10905" t="s">
        <v>823</v>
      </c>
      <c r="T10905">
        <v>36</v>
      </c>
      <c r="U10905" s="26" t="str">
        <f>HYPERLINK("https://ictv.global/ictv/proposals/2020.095B.R.Leviviricetes.zip","2020.095B.R.Leviviricetes.zip")</f>
        <v>2020.095B.R.Leviviricetes.zip</v>
      </c>
    </row>
    <row r="10906" spans="1:21">
      <c r="A10906">
        <v>10905</v>
      </c>
      <c r="B10906" s="27" t="s">
        <v>1124</v>
      </c>
      <c r="D10906" s="27" t="s">
        <v>1859</v>
      </c>
      <c r="F10906" s="27" t="s">
        <v>1881</v>
      </c>
      <c r="H10906" s="27" t="s">
        <v>2679</v>
      </c>
      <c r="J10906" s="27" t="s">
        <v>2680</v>
      </c>
      <c r="L10906" s="27" t="s">
        <v>2810</v>
      </c>
      <c r="N10906" s="27" t="s">
        <v>2962</v>
      </c>
      <c r="P10906" s="27" t="s">
        <v>14725</v>
      </c>
      <c r="Q10906" s="26" t="str">
        <f>HYPERLINK("https://ictv.global/taxonomy/taxondetails?taxnode_id=202510221&amp;ictv_id=ICTV202010221","ICTV202010221")</f>
        <v>ICTV202010221</v>
      </c>
      <c r="R10906" t="s">
        <v>581</v>
      </c>
      <c r="S10906" t="s">
        <v>22764</v>
      </c>
      <c r="T10906">
        <v>39</v>
      </c>
      <c r="U10906" s="26" t="str">
        <f>HYPERLINK("https://ictv.global/ictv/proposals/2023.001B.Leviviricetes_reorg.zip","2023.001B.Leviviricetes_reorg.zip")</f>
        <v>2023.001B.Leviviricetes_reorg.zip</v>
      </c>
    </row>
    <row r="10907" spans="1:21">
      <c r="A10907">
        <v>10906</v>
      </c>
      <c r="B10907" s="27" t="s">
        <v>1124</v>
      </c>
      <c r="D10907" s="27" t="s">
        <v>1859</v>
      </c>
      <c r="F10907" s="27" t="s">
        <v>1881</v>
      </c>
      <c r="H10907" s="27" t="s">
        <v>2679</v>
      </c>
      <c r="J10907" s="27" t="s">
        <v>2680</v>
      </c>
      <c r="L10907" s="27" t="s">
        <v>2810</v>
      </c>
      <c r="N10907" s="27" t="s">
        <v>14726</v>
      </c>
      <c r="P10907" s="27" t="s">
        <v>14727</v>
      </c>
      <c r="Q10907" s="26" t="str">
        <f>HYPERLINK("https://ictv.global/taxonomy/taxondetails?taxnode_id=202516334&amp;ictv_id=ICTV202316334","ICTV202316334")</f>
        <v>ICTV202316334</v>
      </c>
      <c r="R10907" t="s">
        <v>581</v>
      </c>
      <c r="S10907" t="s">
        <v>823</v>
      </c>
      <c r="T10907">
        <v>39</v>
      </c>
      <c r="U10907" s="26" t="str">
        <f>HYPERLINK("https://ictv.global/ictv/proposals/2023.001B.Leviviricetes_reorg.zip","2023.001B.Leviviricetes_reorg.zip")</f>
        <v>2023.001B.Leviviricetes_reorg.zip</v>
      </c>
    </row>
    <row r="10908" spans="1:21">
      <c r="A10908">
        <v>10907</v>
      </c>
      <c r="B10908" s="27" t="s">
        <v>1124</v>
      </c>
      <c r="D10908" s="27" t="s">
        <v>1859</v>
      </c>
      <c r="F10908" s="27" t="s">
        <v>1881</v>
      </c>
      <c r="H10908" s="27" t="s">
        <v>2679</v>
      </c>
      <c r="J10908" s="27" t="s">
        <v>2680</v>
      </c>
      <c r="L10908" s="27" t="s">
        <v>2810</v>
      </c>
      <c r="N10908" s="27" t="s">
        <v>2964</v>
      </c>
      <c r="P10908" s="27" t="s">
        <v>2965</v>
      </c>
      <c r="Q10908" s="26" t="str">
        <f>HYPERLINK("https://ictv.global/taxonomy/taxondetails?taxnode_id=202510419&amp;ictv_id=ICTV202010419","ICTV202010419")</f>
        <v>ICTV202010419</v>
      </c>
      <c r="R10908" t="s">
        <v>581</v>
      </c>
      <c r="S10908" t="s">
        <v>823</v>
      </c>
      <c r="T10908">
        <v>36</v>
      </c>
      <c r="U10908" s="26" t="str">
        <f>HYPERLINK("https://ictv.global/ictv/proposals/2020.095B.R.Leviviricetes.zip","2020.095B.R.Leviviricetes.zip")</f>
        <v>2020.095B.R.Leviviricetes.zip</v>
      </c>
    </row>
    <row r="10909" spans="1:21">
      <c r="A10909">
        <v>10908</v>
      </c>
      <c r="B10909" s="27" t="s">
        <v>1124</v>
      </c>
      <c r="D10909" s="27" t="s">
        <v>1859</v>
      </c>
      <c r="F10909" s="27" t="s">
        <v>1881</v>
      </c>
      <c r="H10909" s="27" t="s">
        <v>2679</v>
      </c>
      <c r="J10909" s="27" t="s">
        <v>2680</v>
      </c>
      <c r="L10909" s="27" t="s">
        <v>2810</v>
      </c>
      <c r="N10909" s="27" t="s">
        <v>2964</v>
      </c>
      <c r="P10909" s="27" t="s">
        <v>2966</v>
      </c>
      <c r="Q10909" s="26" t="str">
        <f>HYPERLINK("https://ictv.global/taxonomy/taxondetails?taxnode_id=202510418&amp;ictv_id=ICTV202010418","ICTV202010418")</f>
        <v>ICTV202010418</v>
      </c>
      <c r="R10909" t="s">
        <v>581</v>
      </c>
      <c r="S10909" t="s">
        <v>823</v>
      </c>
      <c r="T10909">
        <v>36</v>
      </c>
      <c r="U10909" s="26" t="str">
        <f>HYPERLINK("https://ictv.global/ictv/proposals/2020.095B.R.Leviviricetes.zip","2020.095B.R.Leviviricetes.zip")</f>
        <v>2020.095B.R.Leviviricetes.zip</v>
      </c>
    </row>
    <row r="10910" spans="1:21">
      <c r="A10910">
        <v>10909</v>
      </c>
      <c r="B10910" s="27" t="s">
        <v>1124</v>
      </c>
      <c r="D10910" s="27" t="s">
        <v>1859</v>
      </c>
      <c r="F10910" s="27" t="s">
        <v>1881</v>
      </c>
      <c r="H10910" s="27" t="s">
        <v>2679</v>
      </c>
      <c r="J10910" s="27" t="s">
        <v>2680</v>
      </c>
      <c r="L10910" s="27" t="s">
        <v>2810</v>
      </c>
      <c r="N10910" s="27" t="s">
        <v>2967</v>
      </c>
      <c r="P10910" s="27" t="s">
        <v>2968</v>
      </c>
      <c r="Q10910" s="26" t="str">
        <f>HYPERLINK("https://ictv.global/taxonomy/taxondetails?taxnode_id=202510423&amp;ictv_id=ICTV202010423","ICTV202010423")</f>
        <v>ICTV202010423</v>
      </c>
      <c r="R10910" t="s">
        <v>581</v>
      </c>
      <c r="S10910" t="s">
        <v>823</v>
      </c>
      <c r="T10910">
        <v>36</v>
      </c>
      <c r="U10910" s="26" t="str">
        <f>HYPERLINK("https://ictv.global/ictv/proposals/2020.095B.R.Leviviricetes.zip","2020.095B.R.Leviviricetes.zip")</f>
        <v>2020.095B.R.Leviviricetes.zip</v>
      </c>
    </row>
    <row r="10911" spans="1:21">
      <c r="A10911">
        <v>10910</v>
      </c>
      <c r="B10911" s="27" t="s">
        <v>1124</v>
      </c>
      <c r="D10911" s="27" t="s">
        <v>1859</v>
      </c>
      <c r="F10911" s="27" t="s">
        <v>1881</v>
      </c>
      <c r="H10911" s="27" t="s">
        <v>2679</v>
      </c>
      <c r="J10911" s="27" t="s">
        <v>2680</v>
      </c>
      <c r="L10911" s="27" t="s">
        <v>2810</v>
      </c>
      <c r="N10911" s="27" t="s">
        <v>14728</v>
      </c>
      <c r="P10911" s="27" t="s">
        <v>14729</v>
      </c>
      <c r="Q10911" s="26" t="str">
        <f>HYPERLINK("https://ictv.global/taxonomy/taxondetails?taxnode_id=202516335&amp;ictv_id=ICTV202316335","ICTV202316335")</f>
        <v>ICTV202316335</v>
      </c>
      <c r="R10911" t="s">
        <v>581</v>
      </c>
      <c r="S10911" t="s">
        <v>823</v>
      </c>
      <c r="T10911">
        <v>39</v>
      </c>
      <c r="U10911" s="26" t="str">
        <f>HYPERLINK("https://ictv.global/ictv/proposals/2023.001B.Leviviricetes_reorg.zip","2023.001B.Leviviricetes_reorg.zip")</f>
        <v>2023.001B.Leviviricetes_reorg.zip</v>
      </c>
    </row>
    <row r="10912" spans="1:21">
      <c r="A10912">
        <v>10911</v>
      </c>
      <c r="B10912" s="27" t="s">
        <v>1124</v>
      </c>
      <c r="D10912" s="27" t="s">
        <v>1859</v>
      </c>
      <c r="F10912" s="27" t="s">
        <v>1881</v>
      </c>
      <c r="H10912" s="27" t="s">
        <v>2679</v>
      </c>
      <c r="J10912" s="27" t="s">
        <v>2680</v>
      </c>
      <c r="L10912" s="27" t="s">
        <v>2810</v>
      </c>
      <c r="N10912" s="27" t="s">
        <v>14730</v>
      </c>
      <c r="P10912" s="27" t="s">
        <v>14731</v>
      </c>
      <c r="Q10912" s="26" t="str">
        <f>HYPERLINK("https://ictv.global/taxonomy/taxondetails?taxnode_id=202516336&amp;ictv_id=ICTV202316336","ICTV202316336")</f>
        <v>ICTV202316336</v>
      </c>
      <c r="R10912" t="s">
        <v>581</v>
      </c>
      <c r="S10912" t="s">
        <v>823</v>
      </c>
      <c r="T10912">
        <v>39</v>
      </c>
      <c r="U10912" s="26" t="str">
        <f>HYPERLINK("https://ictv.global/ictv/proposals/2023.001B.Leviviricetes_reorg.zip","2023.001B.Leviviricetes_reorg.zip")</f>
        <v>2023.001B.Leviviricetes_reorg.zip</v>
      </c>
    </row>
    <row r="10913" spans="1:21">
      <c r="A10913">
        <v>10912</v>
      </c>
      <c r="B10913" s="27" t="s">
        <v>1124</v>
      </c>
      <c r="D10913" s="27" t="s">
        <v>1859</v>
      </c>
      <c r="F10913" s="27" t="s">
        <v>1881</v>
      </c>
      <c r="H10913" s="27" t="s">
        <v>2679</v>
      </c>
      <c r="J10913" s="27" t="s">
        <v>2680</v>
      </c>
      <c r="L10913" s="27" t="s">
        <v>2810</v>
      </c>
      <c r="N10913" s="27" t="s">
        <v>2969</v>
      </c>
      <c r="P10913" s="27" t="s">
        <v>2970</v>
      </c>
      <c r="Q10913" s="26" t="str">
        <f>HYPERLINK("https://ictv.global/taxonomy/taxondetails?taxnode_id=202510425&amp;ictv_id=ICTV202010425","ICTV202010425")</f>
        <v>ICTV202010425</v>
      </c>
      <c r="R10913" t="s">
        <v>581</v>
      </c>
      <c r="S10913" t="s">
        <v>823</v>
      </c>
      <c r="T10913">
        <v>36</v>
      </c>
      <c r="U10913" s="26" t="str">
        <f>HYPERLINK("https://ictv.global/ictv/proposals/2020.095B.R.Leviviricetes.zip","2020.095B.R.Leviviricetes.zip")</f>
        <v>2020.095B.R.Leviviricetes.zip</v>
      </c>
    </row>
    <row r="10914" spans="1:21">
      <c r="A10914">
        <v>10913</v>
      </c>
      <c r="B10914" s="27" t="s">
        <v>1124</v>
      </c>
      <c r="D10914" s="27" t="s">
        <v>1859</v>
      </c>
      <c r="F10914" s="27" t="s">
        <v>1881</v>
      </c>
      <c r="H10914" s="27" t="s">
        <v>2679</v>
      </c>
      <c r="J10914" s="27" t="s">
        <v>2680</v>
      </c>
      <c r="L10914" s="27" t="s">
        <v>2810</v>
      </c>
      <c r="N10914" s="27" t="s">
        <v>2971</v>
      </c>
      <c r="P10914" s="27" t="s">
        <v>2972</v>
      </c>
      <c r="Q10914" s="26" t="str">
        <f>HYPERLINK("https://ictv.global/taxonomy/taxondetails?taxnode_id=202510427&amp;ictv_id=ICTV202010427","ICTV202010427")</f>
        <v>ICTV202010427</v>
      </c>
      <c r="R10914" t="s">
        <v>581</v>
      </c>
      <c r="S10914" t="s">
        <v>823</v>
      </c>
      <c r="T10914">
        <v>36</v>
      </c>
      <c r="U10914" s="26" t="str">
        <f>HYPERLINK("https://ictv.global/ictv/proposals/2020.095B.R.Leviviricetes.zip","2020.095B.R.Leviviricetes.zip")</f>
        <v>2020.095B.R.Leviviricetes.zip</v>
      </c>
    </row>
    <row r="10915" spans="1:21">
      <c r="A10915">
        <v>10914</v>
      </c>
      <c r="B10915" s="27" t="s">
        <v>1124</v>
      </c>
      <c r="D10915" s="27" t="s">
        <v>1859</v>
      </c>
      <c r="F10915" s="27" t="s">
        <v>1881</v>
      </c>
      <c r="H10915" s="27" t="s">
        <v>2679</v>
      </c>
      <c r="J10915" s="27" t="s">
        <v>2680</v>
      </c>
      <c r="L10915" s="27" t="s">
        <v>2810</v>
      </c>
      <c r="N10915" s="27" t="s">
        <v>14732</v>
      </c>
      <c r="P10915" s="27" t="s">
        <v>14733</v>
      </c>
      <c r="Q10915" s="26" t="str">
        <f>HYPERLINK("https://ictv.global/taxonomy/taxondetails?taxnode_id=202516337&amp;ictv_id=ICTV202316337","ICTV202316337")</f>
        <v>ICTV202316337</v>
      </c>
      <c r="R10915" t="s">
        <v>581</v>
      </c>
      <c r="S10915" t="s">
        <v>823</v>
      </c>
      <c r="T10915">
        <v>39</v>
      </c>
      <c r="U10915" s="26" t="str">
        <f>HYPERLINK("https://ictv.global/ictv/proposals/2023.001B.Leviviricetes_reorg.zip","2023.001B.Leviviricetes_reorg.zip")</f>
        <v>2023.001B.Leviviricetes_reorg.zip</v>
      </c>
    </row>
    <row r="10916" spans="1:21">
      <c r="A10916">
        <v>10915</v>
      </c>
      <c r="B10916" s="27" t="s">
        <v>1124</v>
      </c>
      <c r="D10916" s="27" t="s">
        <v>1859</v>
      </c>
      <c r="F10916" s="27" t="s">
        <v>1881</v>
      </c>
      <c r="H10916" s="27" t="s">
        <v>2679</v>
      </c>
      <c r="J10916" s="27" t="s">
        <v>2680</v>
      </c>
      <c r="L10916" s="27" t="s">
        <v>2810</v>
      </c>
      <c r="N10916" s="27" t="s">
        <v>14732</v>
      </c>
      <c r="P10916" s="27" t="s">
        <v>14734</v>
      </c>
      <c r="Q10916" s="26" t="str">
        <f>HYPERLINK("https://ictv.global/taxonomy/taxondetails?taxnode_id=202516338&amp;ictv_id=ICTV202316338","ICTV202316338")</f>
        <v>ICTV202316338</v>
      </c>
      <c r="R10916" t="s">
        <v>581</v>
      </c>
      <c r="S10916" t="s">
        <v>823</v>
      </c>
      <c r="T10916">
        <v>39</v>
      </c>
      <c r="U10916" s="26" t="str">
        <f>HYPERLINK("https://ictv.global/ictv/proposals/2023.001B.Leviviricetes_reorg.zip","2023.001B.Leviviricetes_reorg.zip")</f>
        <v>2023.001B.Leviviricetes_reorg.zip</v>
      </c>
    </row>
    <row r="10917" spans="1:21">
      <c r="A10917">
        <v>10916</v>
      </c>
      <c r="B10917" s="27" t="s">
        <v>1124</v>
      </c>
      <c r="D10917" s="27" t="s">
        <v>1859</v>
      </c>
      <c r="F10917" s="27" t="s">
        <v>1881</v>
      </c>
      <c r="H10917" s="27" t="s">
        <v>2679</v>
      </c>
      <c r="J10917" s="27" t="s">
        <v>2680</v>
      </c>
      <c r="L10917" s="27" t="s">
        <v>2810</v>
      </c>
      <c r="N10917" s="27" t="s">
        <v>2973</v>
      </c>
      <c r="P10917" s="27" t="s">
        <v>2974</v>
      </c>
      <c r="Q10917" s="26" t="str">
        <f>HYPERLINK("https://ictv.global/taxonomy/taxondetails?taxnode_id=202510429&amp;ictv_id=ICTV202010429","ICTV202010429")</f>
        <v>ICTV202010429</v>
      </c>
      <c r="R10917" t="s">
        <v>581</v>
      </c>
      <c r="S10917" t="s">
        <v>823</v>
      </c>
      <c r="T10917">
        <v>36</v>
      </c>
      <c r="U10917" s="26" t="str">
        <f>HYPERLINK("https://ictv.global/ictv/proposals/2020.095B.R.Leviviricetes.zip","2020.095B.R.Leviviricetes.zip")</f>
        <v>2020.095B.R.Leviviricetes.zip</v>
      </c>
    </row>
    <row r="10918" spans="1:21">
      <c r="A10918">
        <v>10917</v>
      </c>
      <c r="B10918" s="27" t="s">
        <v>1124</v>
      </c>
      <c r="D10918" s="27" t="s">
        <v>1859</v>
      </c>
      <c r="F10918" s="27" t="s">
        <v>1881</v>
      </c>
      <c r="H10918" s="27" t="s">
        <v>2679</v>
      </c>
      <c r="J10918" s="27" t="s">
        <v>2680</v>
      </c>
      <c r="L10918" s="27" t="s">
        <v>2810</v>
      </c>
      <c r="N10918" s="27" t="s">
        <v>14735</v>
      </c>
      <c r="P10918" s="27" t="s">
        <v>14736</v>
      </c>
      <c r="Q10918" s="26" t="str">
        <f>HYPERLINK("https://ictv.global/taxonomy/taxondetails?taxnode_id=202516339&amp;ictv_id=ICTV202316339","ICTV202316339")</f>
        <v>ICTV202316339</v>
      </c>
      <c r="R10918" t="s">
        <v>581</v>
      </c>
      <c r="S10918" t="s">
        <v>823</v>
      </c>
      <c r="T10918">
        <v>39</v>
      </c>
      <c r="U10918" s="26" t="str">
        <f t="shared" ref="U10918:U10962" si="400">HYPERLINK("https://ictv.global/ictv/proposals/2023.001B.Leviviricetes_reorg.zip","2023.001B.Leviviricetes_reorg.zip")</f>
        <v>2023.001B.Leviviricetes_reorg.zip</v>
      </c>
    </row>
    <row r="10919" spans="1:21">
      <c r="A10919">
        <v>10918</v>
      </c>
      <c r="B10919" s="27" t="s">
        <v>1124</v>
      </c>
      <c r="D10919" s="27" t="s">
        <v>1859</v>
      </c>
      <c r="F10919" s="27" t="s">
        <v>1881</v>
      </c>
      <c r="H10919" s="27" t="s">
        <v>2679</v>
      </c>
      <c r="J10919" s="27" t="s">
        <v>2680</v>
      </c>
      <c r="L10919" s="27" t="s">
        <v>2810</v>
      </c>
      <c r="N10919" s="27" t="s">
        <v>14737</v>
      </c>
      <c r="P10919" s="27" t="s">
        <v>14738</v>
      </c>
      <c r="Q10919" s="26" t="str">
        <f>HYPERLINK("https://ictv.global/taxonomy/taxondetails?taxnode_id=202516340&amp;ictv_id=ICTV202316340","ICTV202316340")</f>
        <v>ICTV202316340</v>
      </c>
      <c r="R10919" t="s">
        <v>581</v>
      </c>
      <c r="S10919" t="s">
        <v>823</v>
      </c>
      <c r="T10919">
        <v>39</v>
      </c>
      <c r="U10919" s="26" t="str">
        <f t="shared" si="400"/>
        <v>2023.001B.Leviviricetes_reorg.zip</v>
      </c>
    </row>
    <row r="10920" spans="1:21">
      <c r="A10920">
        <v>10919</v>
      </c>
      <c r="B10920" s="27" t="s">
        <v>1124</v>
      </c>
      <c r="D10920" s="27" t="s">
        <v>1859</v>
      </c>
      <c r="F10920" s="27" t="s">
        <v>1881</v>
      </c>
      <c r="H10920" s="27" t="s">
        <v>2679</v>
      </c>
      <c r="J10920" s="27" t="s">
        <v>2680</v>
      </c>
      <c r="L10920" s="27" t="s">
        <v>2810</v>
      </c>
      <c r="N10920" s="27" t="s">
        <v>14737</v>
      </c>
      <c r="P10920" s="27" t="s">
        <v>14739</v>
      </c>
      <c r="Q10920" s="26" t="str">
        <f>HYPERLINK("https://ictv.global/taxonomy/taxondetails?taxnode_id=202516341&amp;ictv_id=ICTV202316341","ICTV202316341")</f>
        <v>ICTV202316341</v>
      </c>
      <c r="R10920" t="s">
        <v>581</v>
      </c>
      <c r="S10920" t="s">
        <v>823</v>
      </c>
      <c r="T10920">
        <v>39</v>
      </c>
      <c r="U10920" s="26" t="str">
        <f t="shared" si="400"/>
        <v>2023.001B.Leviviricetes_reorg.zip</v>
      </c>
    </row>
    <row r="10921" spans="1:21">
      <c r="A10921">
        <v>10920</v>
      </c>
      <c r="B10921" s="27" t="s">
        <v>1124</v>
      </c>
      <c r="D10921" s="27" t="s">
        <v>1859</v>
      </c>
      <c r="F10921" s="27" t="s">
        <v>1881</v>
      </c>
      <c r="H10921" s="27" t="s">
        <v>2679</v>
      </c>
      <c r="J10921" s="27" t="s">
        <v>2680</v>
      </c>
      <c r="L10921" s="27" t="s">
        <v>2810</v>
      </c>
      <c r="N10921" s="27" t="s">
        <v>14737</v>
      </c>
      <c r="P10921" s="27" t="s">
        <v>14740</v>
      </c>
      <c r="Q10921" s="26" t="str">
        <f>HYPERLINK("https://ictv.global/taxonomy/taxondetails?taxnode_id=202516342&amp;ictv_id=ICTV202316342","ICTV202316342")</f>
        <v>ICTV202316342</v>
      </c>
      <c r="R10921" t="s">
        <v>581</v>
      </c>
      <c r="S10921" t="s">
        <v>823</v>
      </c>
      <c r="T10921">
        <v>39</v>
      </c>
      <c r="U10921" s="26" t="str">
        <f t="shared" si="400"/>
        <v>2023.001B.Leviviricetes_reorg.zip</v>
      </c>
    </row>
    <row r="10922" spans="1:21">
      <c r="A10922">
        <v>10921</v>
      </c>
      <c r="B10922" s="27" t="s">
        <v>1124</v>
      </c>
      <c r="D10922" s="27" t="s">
        <v>1859</v>
      </c>
      <c r="F10922" s="27" t="s">
        <v>1881</v>
      </c>
      <c r="H10922" s="27" t="s">
        <v>2679</v>
      </c>
      <c r="J10922" s="27" t="s">
        <v>2680</v>
      </c>
      <c r="L10922" s="27" t="s">
        <v>2810</v>
      </c>
      <c r="N10922" s="27" t="s">
        <v>14737</v>
      </c>
      <c r="P10922" s="27" t="s">
        <v>14741</v>
      </c>
      <c r="Q10922" s="26" t="str">
        <f>HYPERLINK("https://ictv.global/taxonomy/taxondetails?taxnode_id=202510313&amp;ictv_id=ICTV202010313","ICTV202010313")</f>
        <v>ICTV202010313</v>
      </c>
      <c r="R10922" t="s">
        <v>581</v>
      </c>
      <c r="S10922" t="s">
        <v>22764</v>
      </c>
      <c r="T10922">
        <v>39</v>
      </c>
      <c r="U10922" s="26" t="str">
        <f t="shared" si="400"/>
        <v>2023.001B.Leviviricetes_reorg.zip</v>
      </c>
    </row>
    <row r="10923" spans="1:21">
      <c r="A10923">
        <v>10922</v>
      </c>
      <c r="B10923" s="27" t="s">
        <v>1124</v>
      </c>
      <c r="D10923" s="27" t="s">
        <v>1859</v>
      </c>
      <c r="F10923" s="27" t="s">
        <v>1881</v>
      </c>
      <c r="H10923" s="27" t="s">
        <v>2679</v>
      </c>
      <c r="J10923" s="27" t="s">
        <v>2680</v>
      </c>
      <c r="L10923" s="27" t="s">
        <v>2810</v>
      </c>
      <c r="N10923" s="27" t="s">
        <v>14737</v>
      </c>
      <c r="P10923" s="27" t="s">
        <v>14742</v>
      </c>
      <c r="Q10923" s="26" t="str">
        <f>HYPERLINK("https://ictv.global/taxonomy/taxondetails?taxnode_id=202510312&amp;ictv_id=ICTV202010312","ICTV202010312")</f>
        <v>ICTV202010312</v>
      </c>
      <c r="R10923" t="s">
        <v>581</v>
      </c>
      <c r="S10923" t="s">
        <v>22764</v>
      </c>
      <c r="T10923">
        <v>39</v>
      </c>
      <c r="U10923" s="26" t="str">
        <f t="shared" si="400"/>
        <v>2023.001B.Leviviricetes_reorg.zip</v>
      </c>
    </row>
    <row r="10924" spans="1:21">
      <c r="A10924">
        <v>10923</v>
      </c>
      <c r="B10924" s="27" t="s">
        <v>1124</v>
      </c>
      <c r="D10924" s="27" t="s">
        <v>1859</v>
      </c>
      <c r="F10924" s="27" t="s">
        <v>1881</v>
      </c>
      <c r="H10924" s="27" t="s">
        <v>2679</v>
      </c>
      <c r="J10924" s="27" t="s">
        <v>2680</v>
      </c>
      <c r="L10924" s="27" t="s">
        <v>2810</v>
      </c>
      <c r="N10924" s="27" t="s">
        <v>14737</v>
      </c>
      <c r="P10924" s="27" t="s">
        <v>14743</v>
      </c>
      <c r="Q10924" s="26" t="str">
        <f>HYPERLINK("https://ictv.global/taxonomy/taxondetails?taxnode_id=202510315&amp;ictv_id=ICTV202010315","ICTV202010315")</f>
        <v>ICTV202010315</v>
      </c>
      <c r="R10924" t="s">
        <v>581</v>
      </c>
      <c r="S10924" t="s">
        <v>22764</v>
      </c>
      <c r="T10924">
        <v>39</v>
      </c>
      <c r="U10924" s="26" t="str">
        <f t="shared" si="400"/>
        <v>2023.001B.Leviviricetes_reorg.zip</v>
      </c>
    </row>
    <row r="10925" spans="1:21">
      <c r="A10925">
        <v>10924</v>
      </c>
      <c r="B10925" s="27" t="s">
        <v>1124</v>
      </c>
      <c r="D10925" s="27" t="s">
        <v>1859</v>
      </c>
      <c r="F10925" s="27" t="s">
        <v>1881</v>
      </c>
      <c r="H10925" s="27" t="s">
        <v>2679</v>
      </c>
      <c r="J10925" s="27" t="s">
        <v>2680</v>
      </c>
      <c r="L10925" s="27" t="s">
        <v>2810</v>
      </c>
      <c r="N10925" s="27" t="s">
        <v>14737</v>
      </c>
      <c r="P10925" s="27" t="s">
        <v>14744</v>
      </c>
      <c r="Q10925" s="26" t="str">
        <f>HYPERLINK("https://ictv.global/taxonomy/taxondetails?taxnode_id=202510316&amp;ictv_id=ICTV202010316","ICTV202010316")</f>
        <v>ICTV202010316</v>
      </c>
      <c r="R10925" t="s">
        <v>581</v>
      </c>
      <c r="S10925" t="s">
        <v>22764</v>
      </c>
      <c r="T10925">
        <v>39</v>
      </c>
      <c r="U10925" s="26" t="str">
        <f t="shared" si="400"/>
        <v>2023.001B.Leviviricetes_reorg.zip</v>
      </c>
    </row>
    <row r="10926" spans="1:21">
      <c r="A10926">
        <v>10925</v>
      </c>
      <c r="B10926" s="27" t="s">
        <v>1124</v>
      </c>
      <c r="D10926" s="27" t="s">
        <v>1859</v>
      </c>
      <c r="F10926" s="27" t="s">
        <v>1881</v>
      </c>
      <c r="H10926" s="27" t="s">
        <v>2679</v>
      </c>
      <c r="J10926" s="27" t="s">
        <v>2680</v>
      </c>
      <c r="L10926" s="27" t="s">
        <v>2810</v>
      </c>
      <c r="N10926" s="27" t="s">
        <v>14737</v>
      </c>
      <c r="P10926" s="27" t="s">
        <v>14745</v>
      </c>
      <c r="Q10926" s="26" t="str">
        <f>HYPERLINK("https://ictv.global/taxonomy/taxondetails?taxnode_id=202516343&amp;ictv_id=ICTV202316343","ICTV202316343")</f>
        <v>ICTV202316343</v>
      </c>
      <c r="R10926" t="s">
        <v>581</v>
      </c>
      <c r="S10926" t="s">
        <v>823</v>
      </c>
      <c r="T10926">
        <v>39</v>
      </c>
      <c r="U10926" s="26" t="str">
        <f t="shared" si="400"/>
        <v>2023.001B.Leviviricetes_reorg.zip</v>
      </c>
    </row>
    <row r="10927" spans="1:21">
      <c r="A10927">
        <v>10926</v>
      </c>
      <c r="B10927" s="27" t="s">
        <v>1124</v>
      </c>
      <c r="D10927" s="27" t="s">
        <v>1859</v>
      </c>
      <c r="F10927" s="27" t="s">
        <v>1881</v>
      </c>
      <c r="H10927" s="27" t="s">
        <v>2679</v>
      </c>
      <c r="J10927" s="27" t="s">
        <v>2680</v>
      </c>
      <c r="L10927" s="27" t="s">
        <v>2810</v>
      </c>
      <c r="N10927" s="27" t="s">
        <v>14737</v>
      </c>
      <c r="P10927" s="27" t="s">
        <v>14746</v>
      </c>
      <c r="Q10927" s="26" t="str">
        <f>HYPERLINK("https://ictv.global/taxonomy/taxondetails?taxnode_id=202516344&amp;ictv_id=ICTV202316344","ICTV202316344")</f>
        <v>ICTV202316344</v>
      </c>
      <c r="R10927" t="s">
        <v>581</v>
      </c>
      <c r="S10927" t="s">
        <v>823</v>
      </c>
      <c r="T10927">
        <v>39</v>
      </c>
      <c r="U10927" s="26" t="str">
        <f t="shared" si="400"/>
        <v>2023.001B.Leviviricetes_reorg.zip</v>
      </c>
    </row>
    <row r="10928" spans="1:21">
      <c r="A10928">
        <v>10927</v>
      </c>
      <c r="B10928" s="27" t="s">
        <v>1124</v>
      </c>
      <c r="D10928" s="27" t="s">
        <v>1859</v>
      </c>
      <c r="F10928" s="27" t="s">
        <v>1881</v>
      </c>
      <c r="H10928" s="27" t="s">
        <v>2679</v>
      </c>
      <c r="J10928" s="27" t="s">
        <v>2680</v>
      </c>
      <c r="L10928" s="27" t="s">
        <v>2810</v>
      </c>
      <c r="N10928" s="27" t="s">
        <v>14737</v>
      </c>
      <c r="P10928" s="27" t="s">
        <v>14747</v>
      </c>
      <c r="Q10928" s="26" t="str">
        <f>HYPERLINK("https://ictv.global/taxonomy/taxondetails?taxnode_id=202510599&amp;ictv_id=ICTV202010599","ICTV202010599")</f>
        <v>ICTV202010599</v>
      </c>
      <c r="R10928" t="s">
        <v>581</v>
      </c>
      <c r="S10928" t="s">
        <v>22764</v>
      </c>
      <c r="T10928">
        <v>39</v>
      </c>
      <c r="U10928" s="26" t="str">
        <f t="shared" si="400"/>
        <v>2023.001B.Leviviricetes_reorg.zip</v>
      </c>
    </row>
    <row r="10929" spans="1:21">
      <c r="A10929">
        <v>10928</v>
      </c>
      <c r="B10929" s="27" t="s">
        <v>1124</v>
      </c>
      <c r="D10929" s="27" t="s">
        <v>1859</v>
      </c>
      <c r="F10929" s="27" t="s">
        <v>1881</v>
      </c>
      <c r="H10929" s="27" t="s">
        <v>2679</v>
      </c>
      <c r="J10929" s="27" t="s">
        <v>2680</v>
      </c>
      <c r="L10929" s="27" t="s">
        <v>2810</v>
      </c>
      <c r="N10929" s="27" t="s">
        <v>14737</v>
      </c>
      <c r="P10929" s="27" t="s">
        <v>14748</v>
      </c>
      <c r="Q10929" s="26" t="str">
        <f>HYPERLINK("https://ictv.global/taxonomy/taxondetails?taxnode_id=202510570&amp;ictv_id=ICTV202010570","ICTV202010570")</f>
        <v>ICTV202010570</v>
      </c>
      <c r="R10929" t="s">
        <v>581</v>
      </c>
      <c r="S10929" t="s">
        <v>22764</v>
      </c>
      <c r="T10929">
        <v>39</v>
      </c>
      <c r="U10929" s="26" t="str">
        <f t="shared" si="400"/>
        <v>2023.001B.Leviviricetes_reorg.zip</v>
      </c>
    </row>
    <row r="10930" spans="1:21">
      <c r="A10930">
        <v>10929</v>
      </c>
      <c r="B10930" s="27" t="s">
        <v>1124</v>
      </c>
      <c r="D10930" s="27" t="s">
        <v>1859</v>
      </c>
      <c r="F10930" s="27" t="s">
        <v>1881</v>
      </c>
      <c r="H10930" s="27" t="s">
        <v>2679</v>
      </c>
      <c r="J10930" s="27" t="s">
        <v>2680</v>
      </c>
      <c r="L10930" s="27" t="s">
        <v>2810</v>
      </c>
      <c r="N10930" s="27" t="s">
        <v>14737</v>
      </c>
      <c r="P10930" s="27" t="s">
        <v>14749</v>
      </c>
      <c r="Q10930" s="26" t="str">
        <f>HYPERLINK("https://ictv.global/taxonomy/taxondetails?taxnode_id=202516345&amp;ictv_id=ICTV202316345","ICTV202316345")</f>
        <v>ICTV202316345</v>
      </c>
      <c r="R10930" t="s">
        <v>581</v>
      </c>
      <c r="S10930" t="s">
        <v>823</v>
      </c>
      <c r="T10930">
        <v>39</v>
      </c>
      <c r="U10930" s="26" t="str">
        <f t="shared" si="400"/>
        <v>2023.001B.Leviviricetes_reorg.zip</v>
      </c>
    </row>
    <row r="10931" spans="1:21">
      <c r="A10931">
        <v>10930</v>
      </c>
      <c r="B10931" s="27" t="s">
        <v>1124</v>
      </c>
      <c r="D10931" s="27" t="s">
        <v>1859</v>
      </c>
      <c r="F10931" s="27" t="s">
        <v>1881</v>
      </c>
      <c r="H10931" s="27" t="s">
        <v>2679</v>
      </c>
      <c r="J10931" s="27" t="s">
        <v>2680</v>
      </c>
      <c r="L10931" s="27" t="s">
        <v>2810</v>
      </c>
      <c r="N10931" s="27" t="s">
        <v>14737</v>
      </c>
      <c r="P10931" s="27" t="s">
        <v>14750</v>
      </c>
      <c r="Q10931" s="26" t="str">
        <f>HYPERLINK("https://ictv.global/taxonomy/taxondetails?taxnode_id=202516346&amp;ictv_id=ICTV202316346","ICTV202316346")</f>
        <v>ICTV202316346</v>
      </c>
      <c r="R10931" t="s">
        <v>581</v>
      </c>
      <c r="S10931" t="s">
        <v>823</v>
      </c>
      <c r="T10931">
        <v>39</v>
      </c>
      <c r="U10931" s="26" t="str">
        <f t="shared" si="400"/>
        <v>2023.001B.Leviviricetes_reorg.zip</v>
      </c>
    </row>
    <row r="10932" spans="1:21">
      <c r="A10932">
        <v>10931</v>
      </c>
      <c r="B10932" s="27" t="s">
        <v>1124</v>
      </c>
      <c r="D10932" s="27" t="s">
        <v>1859</v>
      </c>
      <c r="F10932" s="27" t="s">
        <v>1881</v>
      </c>
      <c r="H10932" s="27" t="s">
        <v>2679</v>
      </c>
      <c r="J10932" s="27" t="s">
        <v>2680</v>
      </c>
      <c r="L10932" s="27" t="s">
        <v>2810</v>
      </c>
      <c r="N10932" s="27" t="s">
        <v>14737</v>
      </c>
      <c r="P10932" s="27" t="s">
        <v>14751</v>
      </c>
      <c r="Q10932" s="26" t="str">
        <f>HYPERLINK("https://ictv.global/taxonomy/taxondetails?taxnode_id=202516347&amp;ictv_id=ICTV202316347","ICTV202316347")</f>
        <v>ICTV202316347</v>
      </c>
      <c r="R10932" t="s">
        <v>581</v>
      </c>
      <c r="S10932" t="s">
        <v>823</v>
      </c>
      <c r="T10932">
        <v>39</v>
      </c>
      <c r="U10932" s="26" t="str">
        <f t="shared" si="400"/>
        <v>2023.001B.Leviviricetes_reorg.zip</v>
      </c>
    </row>
    <row r="10933" spans="1:21">
      <c r="A10933">
        <v>10932</v>
      </c>
      <c r="B10933" s="27" t="s">
        <v>1124</v>
      </c>
      <c r="D10933" s="27" t="s">
        <v>1859</v>
      </c>
      <c r="F10933" s="27" t="s">
        <v>1881</v>
      </c>
      <c r="H10933" s="27" t="s">
        <v>2679</v>
      </c>
      <c r="J10933" s="27" t="s">
        <v>2680</v>
      </c>
      <c r="L10933" s="27" t="s">
        <v>2810</v>
      </c>
      <c r="N10933" s="27" t="s">
        <v>14737</v>
      </c>
      <c r="P10933" s="27" t="s">
        <v>14752</v>
      </c>
      <c r="Q10933" s="26" t="str">
        <f>HYPERLINK("https://ictv.global/taxonomy/taxondetails?taxnode_id=202516348&amp;ictv_id=ICTV202316348","ICTV202316348")</f>
        <v>ICTV202316348</v>
      </c>
      <c r="R10933" t="s">
        <v>581</v>
      </c>
      <c r="S10933" t="s">
        <v>823</v>
      </c>
      <c r="T10933">
        <v>39</v>
      </c>
      <c r="U10933" s="26" t="str">
        <f t="shared" si="400"/>
        <v>2023.001B.Leviviricetes_reorg.zip</v>
      </c>
    </row>
    <row r="10934" spans="1:21">
      <c r="A10934">
        <v>10933</v>
      </c>
      <c r="B10934" s="27" t="s">
        <v>1124</v>
      </c>
      <c r="D10934" s="27" t="s">
        <v>1859</v>
      </c>
      <c r="F10934" s="27" t="s">
        <v>1881</v>
      </c>
      <c r="H10934" s="27" t="s">
        <v>2679</v>
      </c>
      <c r="J10934" s="27" t="s">
        <v>2680</v>
      </c>
      <c r="L10934" s="27" t="s">
        <v>2810</v>
      </c>
      <c r="N10934" s="27" t="s">
        <v>14737</v>
      </c>
      <c r="P10934" s="27" t="s">
        <v>14753</v>
      </c>
      <c r="Q10934" s="26" t="str">
        <f>HYPERLINK("https://ictv.global/taxonomy/taxondetails?taxnode_id=202516349&amp;ictv_id=ICTV202316349","ICTV202316349")</f>
        <v>ICTV202316349</v>
      </c>
      <c r="R10934" t="s">
        <v>581</v>
      </c>
      <c r="S10934" t="s">
        <v>823</v>
      </c>
      <c r="T10934">
        <v>39</v>
      </c>
      <c r="U10934" s="26" t="str">
        <f t="shared" si="400"/>
        <v>2023.001B.Leviviricetes_reorg.zip</v>
      </c>
    </row>
    <row r="10935" spans="1:21">
      <c r="A10935">
        <v>10934</v>
      </c>
      <c r="B10935" s="27" t="s">
        <v>1124</v>
      </c>
      <c r="D10935" s="27" t="s">
        <v>1859</v>
      </c>
      <c r="F10935" s="27" t="s">
        <v>1881</v>
      </c>
      <c r="H10935" s="27" t="s">
        <v>2679</v>
      </c>
      <c r="J10935" s="27" t="s">
        <v>2680</v>
      </c>
      <c r="L10935" s="27" t="s">
        <v>2810</v>
      </c>
      <c r="N10935" s="27" t="s">
        <v>14737</v>
      </c>
      <c r="P10935" s="27" t="s">
        <v>14754</v>
      </c>
      <c r="Q10935" s="26" t="str">
        <f>HYPERLINK("https://ictv.global/taxonomy/taxondetails?taxnode_id=202516350&amp;ictv_id=ICTV202316350","ICTV202316350")</f>
        <v>ICTV202316350</v>
      </c>
      <c r="R10935" t="s">
        <v>581</v>
      </c>
      <c r="S10935" t="s">
        <v>823</v>
      </c>
      <c r="T10935">
        <v>39</v>
      </c>
      <c r="U10935" s="26" t="str">
        <f t="shared" si="400"/>
        <v>2023.001B.Leviviricetes_reorg.zip</v>
      </c>
    </row>
    <row r="10936" spans="1:21">
      <c r="A10936">
        <v>10935</v>
      </c>
      <c r="B10936" s="27" t="s">
        <v>1124</v>
      </c>
      <c r="D10936" s="27" t="s">
        <v>1859</v>
      </c>
      <c r="F10936" s="27" t="s">
        <v>1881</v>
      </c>
      <c r="H10936" s="27" t="s">
        <v>2679</v>
      </c>
      <c r="J10936" s="27" t="s">
        <v>2680</v>
      </c>
      <c r="L10936" s="27" t="s">
        <v>2810</v>
      </c>
      <c r="N10936" s="27" t="s">
        <v>14737</v>
      </c>
      <c r="P10936" s="27" t="s">
        <v>14755</v>
      </c>
      <c r="Q10936" s="26" t="str">
        <f>HYPERLINK("https://ictv.global/taxonomy/taxondetails?taxnode_id=202510311&amp;ictv_id=ICTV202010311","ICTV202010311")</f>
        <v>ICTV202010311</v>
      </c>
      <c r="R10936" t="s">
        <v>581</v>
      </c>
      <c r="S10936" t="s">
        <v>22764</v>
      </c>
      <c r="T10936">
        <v>39</v>
      </c>
      <c r="U10936" s="26" t="str">
        <f t="shared" si="400"/>
        <v>2023.001B.Leviviricetes_reorg.zip</v>
      </c>
    </row>
    <row r="10937" spans="1:21">
      <c r="A10937">
        <v>10936</v>
      </c>
      <c r="B10937" s="27" t="s">
        <v>1124</v>
      </c>
      <c r="D10937" s="27" t="s">
        <v>1859</v>
      </c>
      <c r="F10937" s="27" t="s">
        <v>1881</v>
      </c>
      <c r="H10937" s="27" t="s">
        <v>2679</v>
      </c>
      <c r="J10937" s="27" t="s">
        <v>2680</v>
      </c>
      <c r="L10937" s="27" t="s">
        <v>2810</v>
      </c>
      <c r="N10937" s="27" t="s">
        <v>14737</v>
      </c>
      <c r="P10937" s="27" t="s">
        <v>14756</v>
      </c>
      <c r="Q10937" s="26" t="str">
        <f>HYPERLINK("https://ictv.global/taxonomy/taxondetails?taxnode_id=202516351&amp;ictv_id=ICTV202316351","ICTV202316351")</f>
        <v>ICTV202316351</v>
      </c>
      <c r="R10937" t="s">
        <v>581</v>
      </c>
      <c r="S10937" t="s">
        <v>823</v>
      </c>
      <c r="T10937">
        <v>39</v>
      </c>
      <c r="U10937" s="26" t="str">
        <f t="shared" si="400"/>
        <v>2023.001B.Leviviricetes_reorg.zip</v>
      </c>
    </row>
    <row r="10938" spans="1:21">
      <c r="A10938">
        <v>10937</v>
      </c>
      <c r="B10938" s="27" t="s">
        <v>1124</v>
      </c>
      <c r="D10938" s="27" t="s">
        <v>1859</v>
      </c>
      <c r="F10938" s="27" t="s">
        <v>1881</v>
      </c>
      <c r="H10938" s="27" t="s">
        <v>2679</v>
      </c>
      <c r="J10938" s="27" t="s">
        <v>2680</v>
      </c>
      <c r="L10938" s="27" t="s">
        <v>2810</v>
      </c>
      <c r="N10938" s="27" t="s">
        <v>14737</v>
      </c>
      <c r="P10938" s="27" t="s">
        <v>14757</v>
      </c>
      <c r="Q10938" s="26" t="str">
        <f>HYPERLINK("https://ictv.global/taxonomy/taxondetails?taxnode_id=202510317&amp;ictv_id=ICTV202010317","ICTV202010317")</f>
        <v>ICTV202010317</v>
      </c>
      <c r="R10938" t="s">
        <v>581</v>
      </c>
      <c r="S10938" t="s">
        <v>22764</v>
      </c>
      <c r="T10938">
        <v>39</v>
      </c>
      <c r="U10938" s="26" t="str">
        <f t="shared" si="400"/>
        <v>2023.001B.Leviviricetes_reorg.zip</v>
      </c>
    </row>
    <row r="10939" spans="1:21">
      <c r="A10939">
        <v>10938</v>
      </c>
      <c r="B10939" s="27" t="s">
        <v>1124</v>
      </c>
      <c r="D10939" s="27" t="s">
        <v>1859</v>
      </c>
      <c r="F10939" s="27" t="s">
        <v>1881</v>
      </c>
      <c r="H10939" s="27" t="s">
        <v>2679</v>
      </c>
      <c r="J10939" s="27" t="s">
        <v>2680</v>
      </c>
      <c r="L10939" s="27" t="s">
        <v>2810</v>
      </c>
      <c r="N10939" s="27" t="s">
        <v>14737</v>
      </c>
      <c r="P10939" s="27" t="s">
        <v>14758</v>
      </c>
      <c r="Q10939" s="26" t="str">
        <f>HYPERLINK("https://ictv.global/taxonomy/taxondetails?taxnode_id=202510319&amp;ictv_id=ICTV202010319","ICTV202010319")</f>
        <v>ICTV202010319</v>
      </c>
      <c r="R10939" t="s">
        <v>581</v>
      </c>
      <c r="S10939" t="s">
        <v>22764</v>
      </c>
      <c r="T10939">
        <v>39</v>
      </c>
      <c r="U10939" s="26" t="str">
        <f t="shared" si="400"/>
        <v>2023.001B.Leviviricetes_reorg.zip</v>
      </c>
    </row>
    <row r="10940" spans="1:21">
      <c r="A10940">
        <v>10939</v>
      </c>
      <c r="B10940" s="27" t="s">
        <v>1124</v>
      </c>
      <c r="D10940" s="27" t="s">
        <v>1859</v>
      </c>
      <c r="F10940" s="27" t="s">
        <v>1881</v>
      </c>
      <c r="H10940" s="27" t="s">
        <v>2679</v>
      </c>
      <c r="J10940" s="27" t="s">
        <v>2680</v>
      </c>
      <c r="L10940" s="27" t="s">
        <v>2810</v>
      </c>
      <c r="N10940" s="27" t="s">
        <v>14737</v>
      </c>
      <c r="P10940" s="27" t="s">
        <v>14759</v>
      </c>
      <c r="Q10940" s="26" t="str">
        <f>HYPERLINK("https://ictv.global/taxonomy/taxondetails?taxnode_id=202510320&amp;ictv_id=ICTV202010320","ICTV202010320")</f>
        <v>ICTV202010320</v>
      </c>
      <c r="R10940" t="s">
        <v>581</v>
      </c>
      <c r="S10940" t="s">
        <v>22764</v>
      </c>
      <c r="T10940">
        <v>39</v>
      </c>
      <c r="U10940" s="26" t="str">
        <f t="shared" si="400"/>
        <v>2023.001B.Leviviricetes_reorg.zip</v>
      </c>
    </row>
    <row r="10941" spans="1:21">
      <c r="A10941">
        <v>10940</v>
      </c>
      <c r="B10941" s="27" t="s">
        <v>1124</v>
      </c>
      <c r="D10941" s="27" t="s">
        <v>1859</v>
      </c>
      <c r="F10941" s="27" t="s">
        <v>1881</v>
      </c>
      <c r="H10941" s="27" t="s">
        <v>2679</v>
      </c>
      <c r="J10941" s="27" t="s">
        <v>2680</v>
      </c>
      <c r="L10941" s="27" t="s">
        <v>2810</v>
      </c>
      <c r="N10941" s="27" t="s">
        <v>14737</v>
      </c>
      <c r="P10941" s="27" t="s">
        <v>14760</v>
      </c>
      <c r="Q10941" s="26" t="str">
        <f>HYPERLINK("https://ictv.global/taxonomy/taxondetails?taxnode_id=202516352&amp;ictv_id=ICTV202316352","ICTV202316352")</f>
        <v>ICTV202316352</v>
      </c>
      <c r="R10941" t="s">
        <v>581</v>
      </c>
      <c r="S10941" t="s">
        <v>823</v>
      </c>
      <c r="T10941">
        <v>39</v>
      </c>
      <c r="U10941" s="26" t="str">
        <f t="shared" si="400"/>
        <v>2023.001B.Leviviricetes_reorg.zip</v>
      </c>
    </row>
    <row r="10942" spans="1:21">
      <c r="A10942">
        <v>10941</v>
      </c>
      <c r="B10942" s="27" t="s">
        <v>1124</v>
      </c>
      <c r="D10942" s="27" t="s">
        <v>1859</v>
      </c>
      <c r="F10942" s="27" t="s">
        <v>1881</v>
      </c>
      <c r="H10942" s="27" t="s">
        <v>2679</v>
      </c>
      <c r="J10942" s="27" t="s">
        <v>2680</v>
      </c>
      <c r="L10942" s="27" t="s">
        <v>2810</v>
      </c>
      <c r="N10942" s="27" t="s">
        <v>14737</v>
      </c>
      <c r="P10942" s="27" t="s">
        <v>14761</v>
      </c>
      <c r="Q10942" s="26" t="str">
        <f>HYPERLINK("https://ictv.global/taxonomy/taxondetails?taxnode_id=202516353&amp;ictv_id=ICTV202316353","ICTV202316353")</f>
        <v>ICTV202316353</v>
      </c>
      <c r="R10942" t="s">
        <v>581</v>
      </c>
      <c r="S10942" t="s">
        <v>823</v>
      </c>
      <c r="T10942">
        <v>39</v>
      </c>
      <c r="U10942" s="26" t="str">
        <f t="shared" si="400"/>
        <v>2023.001B.Leviviricetes_reorg.zip</v>
      </c>
    </row>
    <row r="10943" spans="1:21">
      <c r="A10943">
        <v>10942</v>
      </c>
      <c r="B10943" s="27" t="s">
        <v>1124</v>
      </c>
      <c r="D10943" s="27" t="s">
        <v>1859</v>
      </c>
      <c r="F10943" s="27" t="s">
        <v>1881</v>
      </c>
      <c r="H10943" s="27" t="s">
        <v>2679</v>
      </c>
      <c r="J10943" s="27" t="s">
        <v>2680</v>
      </c>
      <c r="L10943" s="27" t="s">
        <v>2810</v>
      </c>
      <c r="N10943" s="27" t="s">
        <v>14737</v>
      </c>
      <c r="P10943" s="27" t="s">
        <v>14762</v>
      </c>
      <c r="Q10943" s="26" t="str">
        <f>HYPERLINK("https://ictv.global/taxonomy/taxondetails?taxnode_id=202516354&amp;ictv_id=ICTV202316354","ICTV202316354")</f>
        <v>ICTV202316354</v>
      </c>
      <c r="R10943" t="s">
        <v>581</v>
      </c>
      <c r="S10943" t="s">
        <v>823</v>
      </c>
      <c r="T10943">
        <v>39</v>
      </c>
      <c r="U10943" s="26" t="str">
        <f t="shared" si="400"/>
        <v>2023.001B.Leviviricetes_reorg.zip</v>
      </c>
    </row>
    <row r="10944" spans="1:21">
      <c r="A10944">
        <v>10943</v>
      </c>
      <c r="B10944" s="27" t="s">
        <v>1124</v>
      </c>
      <c r="D10944" s="27" t="s">
        <v>1859</v>
      </c>
      <c r="F10944" s="27" t="s">
        <v>1881</v>
      </c>
      <c r="H10944" s="27" t="s">
        <v>2679</v>
      </c>
      <c r="J10944" s="27" t="s">
        <v>2680</v>
      </c>
      <c r="L10944" s="27" t="s">
        <v>2810</v>
      </c>
      <c r="N10944" s="27" t="s">
        <v>14737</v>
      </c>
      <c r="P10944" s="27" t="s">
        <v>14763</v>
      </c>
      <c r="Q10944" s="26" t="str">
        <f>HYPERLINK("https://ictv.global/taxonomy/taxondetails?taxnode_id=202516355&amp;ictv_id=ICTV202316355","ICTV202316355")</f>
        <v>ICTV202316355</v>
      </c>
      <c r="R10944" t="s">
        <v>581</v>
      </c>
      <c r="S10944" t="s">
        <v>823</v>
      </c>
      <c r="T10944">
        <v>39</v>
      </c>
      <c r="U10944" s="26" t="str">
        <f t="shared" si="400"/>
        <v>2023.001B.Leviviricetes_reorg.zip</v>
      </c>
    </row>
    <row r="10945" spans="1:21">
      <c r="A10945">
        <v>10944</v>
      </c>
      <c r="B10945" s="27" t="s">
        <v>1124</v>
      </c>
      <c r="D10945" s="27" t="s">
        <v>1859</v>
      </c>
      <c r="F10945" s="27" t="s">
        <v>1881</v>
      </c>
      <c r="H10945" s="27" t="s">
        <v>2679</v>
      </c>
      <c r="J10945" s="27" t="s">
        <v>2680</v>
      </c>
      <c r="L10945" s="27" t="s">
        <v>2810</v>
      </c>
      <c r="N10945" s="27" t="s">
        <v>14737</v>
      </c>
      <c r="P10945" s="27" t="s">
        <v>14764</v>
      </c>
      <c r="Q10945" s="26" t="str">
        <f>HYPERLINK("https://ictv.global/taxonomy/taxondetails?taxnode_id=202516356&amp;ictv_id=ICTV202316356","ICTV202316356")</f>
        <v>ICTV202316356</v>
      </c>
      <c r="R10945" t="s">
        <v>581</v>
      </c>
      <c r="S10945" t="s">
        <v>823</v>
      </c>
      <c r="T10945">
        <v>39</v>
      </c>
      <c r="U10945" s="26" t="str">
        <f t="shared" si="400"/>
        <v>2023.001B.Leviviricetes_reorg.zip</v>
      </c>
    </row>
    <row r="10946" spans="1:21">
      <c r="A10946">
        <v>10945</v>
      </c>
      <c r="B10946" s="27" t="s">
        <v>1124</v>
      </c>
      <c r="D10946" s="27" t="s">
        <v>1859</v>
      </c>
      <c r="F10946" s="27" t="s">
        <v>1881</v>
      </c>
      <c r="H10946" s="27" t="s">
        <v>2679</v>
      </c>
      <c r="J10946" s="27" t="s">
        <v>2680</v>
      </c>
      <c r="L10946" s="27" t="s">
        <v>2810</v>
      </c>
      <c r="N10946" s="27" t="s">
        <v>14737</v>
      </c>
      <c r="P10946" s="27" t="s">
        <v>14765</v>
      </c>
      <c r="Q10946" s="26" t="str">
        <f>HYPERLINK("https://ictv.global/taxonomy/taxondetails?taxnode_id=202516357&amp;ictv_id=ICTV202316357","ICTV202316357")</f>
        <v>ICTV202316357</v>
      </c>
      <c r="R10946" t="s">
        <v>581</v>
      </c>
      <c r="S10946" t="s">
        <v>823</v>
      </c>
      <c r="T10946">
        <v>39</v>
      </c>
      <c r="U10946" s="26" t="str">
        <f t="shared" si="400"/>
        <v>2023.001B.Leviviricetes_reorg.zip</v>
      </c>
    </row>
    <row r="10947" spans="1:21">
      <c r="A10947">
        <v>10946</v>
      </c>
      <c r="B10947" s="27" t="s">
        <v>1124</v>
      </c>
      <c r="D10947" s="27" t="s">
        <v>1859</v>
      </c>
      <c r="F10947" s="27" t="s">
        <v>1881</v>
      </c>
      <c r="H10947" s="27" t="s">
        <v>2679</v>
      </c>
      <c r="J10947" s="27" t="s">
        <v>2680</v>
      </c>
      <c r="L10947" s="27" t="s">
        <v>2810</v>
      </c>
      <c r="N10947" s="27" t="s">
        <v>14737</v>
      </c>
      <c r="P10947" s="27" t="s">
        <v>14766</v>
      </c>
      <c r="Q10947" s="26" t="str">
        <f>HYPERLINK("https://ictv.global/taxonomy/taxondetails?taxnode_id=202510510&amp;ictv_id=ICTV202010510","ICTV202010510")</f>
        <v>ICTV202010510</v>
      </c>
      <c r="R10947" t="s">
        <v>581</v>
      </c>
      <c r="S10947" t="s">
        <v>22764</v>
      </c>
      <c r="T10947">
        <v>39</v>
      </c>
      <c r="U10947" s="26" t="str">
        <f t="shared" si="400"/>
        <v>2023.001B.Leviviricetes_reorg.zip</v>
      </c>
    </row>
    <row r="10948" spans="1:21">
      <c r="A10948">
        <v>10947</v>
      </c>
      <c r="B10948" s="27" t="s">
        <v>1124</v>
      </c>
      <c r="D10948" s="27" t="s">
        <v>1859</v>
      </c>
      <c r="F10948" s="27" t="s">
        <v>1881</v>
      </c>
      <c r="H10948" s="27" t="s">
        <v>2679</v>
      </c>
      <c r="J10948" s="27" t="s">
        <v>2680</v>
      </c>
      <c r="L10948" s="27" t="s">
        <v>2810</v>
      </c>
      <c r="N10948" s="27" t="s">
        <v>14737</v>
      </c>
      <c r="P10948" s="27" t="s">
        <v>14767</v>
      </c>
      <c r="Q10948" s="26" t="str">
        <f>HYPERLINK("https://ictv.global/taxonomy/taxondetails?taxnode_id=202510358&amp;ictv_id=ICTV202010358","ICTV202010358")</f>
        <v>ICTV202010358</v>
      </c>
      <c r="R10948" t="s">
        <v>581</v>
      </c>
      <c r="S10948" t="s">
        <v>22764</v>
      </c>
      <c r="T10948">
        <v>39</v>
      </c>
      <c r="U10948" s="26" t="str">
        <f t="shared" si="400"/>
        <v>2023.001B.Leviviricetes_reorg.zip</v>
      </c>
    </row>
    <row r="10949" spans="1:21">
      <c r="A10949">
        <v>10948</v>
      </c>
      <c r="B10949" s="27" t="s">
        <v>1124</v>
      </c>
      <c r="D10949" s="27" t="s">
        <v>1859</v>
      </c>
      <c r="F10949" s="27" t="s">
        <v>1881</v>
      </c>
      <c r="H10949" s="27" t="s">
        <v>2679</v>
      </c>
      <c r="J10949" s="27" t="s">
        <v>2680</v>
      </c>
      <c r="L10949" s="27" t="s">
        <v>2810</v>
      </c>
      <c r="N10949" s="27" t="s">
        <v>14737</v>
      </c>
      <c r="P10949" s="27" t="s">
        <v>14768</v>
      </c>
      <c r="Q10949" s="26" t="str">
        <f>HYPERLINK("https://ictv.global/taxonomy/taxondetails?taxnode_id=202516358&amp;ictv_id=ICTV202316358","ICTV202316358")</f>
        <v>ICTV202316358</v>
      </c>
      <c r="R10949" t="s">
        <v>581</v>
      </c>
      <c r="S10949" t="s">
        <v>823</v>
      </c>
      <c r="T10949">
        <v>39</v>
      </c>
      <c r="U10949" s="26" t="str">
        <f t="shared" si="400"/>
        <v>2023.001B.Leviviricetes_reorg.zip</v>
      </c>
    </row>
    <row r="10950" spans="1:21">
      <c r="A10950">
        <v>10949</v>
      </c>
      <c r="B10950" s="27" t="s">
        <v>1124</v>
      </c>
      <c r="D10950" s="27" t="s">
        <v>1859</v>
      </c>
      <c r="F10950" s="27" t="s">
        <v>1881</v>
      </c>
      <c r="H10950" s="27" t="s">
        <v>2679</v>
      </c>
      <c r="J10950" s="27" t="s">
        <v>2680</v>
      </c>
      <c r="L10950" s="27" t="s">
        <v>2810</v>
      </c>
      <c r="N10950" s="27" t="s">
        <v>14737</v>
      </c>
      <c r="P10950" s="27" t="s">
        <v>14769</v>
      </c>
      <c r="Q10950" s="26" t="str">
        <f>HYPERLINK("https://ictv.global/taxonomy/taxondetails?taxnode_id=202516359&amp;ictv_id=ICTV202316359","ICTV202316359")</f>
        <v>ICTV202316359</v>
      </c>
      <c r="R10950" t="s">
        <v>581</v>
      </c>
      <c r="S10950" t="s">
        <v>823</v>
      </c>
      <c r="T10950">
        <v>39</v>
      </c>
      <c r="U10950" s="26" t="str">
        <f t="shared" si="400"/>
        <v>2023.001B.Leviviricetes_reorg.zip</v>
      </c>
    </row>
    <row r="10951" spans="1:21">
      <c r="A10951">
        <v>10950</v>
      </c>
      <c r="B10951" s="27" t="s">
        <v>1124</v>
      </c>
      <c r="D10951" s="27" t="s">
        <v>1859</v>
      </c>
      <c r="F10951" s="27" t="s">
        <v>1881</v>
      </c>
      <c r="H10951" s="27" t="s">
        <v>2679</v>
      </c>
      <c r="J10951" s="27" t="s">
        <v>2680</v>
      </c>
      <c r="L10951" s="27" t="s">
        <v>2810</v>
      </c>
      <c r="N10951" s="27" t="s">
        <v>14737</v>
      </c>
      <c r="P10951" s="27" t="s">
        <v>14770</v>
      </c>
      <c r="Q10951" s="26" t="str">
        <f>HYPERLINK("https://ictv.global/taxonomy/taxondetails?taxnode_id=202516360&amp;ictv_id=ICTV202316360","ICTV202316360")</f>
        <v>ICTV202316360</v>
      </c>
      <c r="R10951" t="s">
        <v>581</v>
      </c>
      <c r="S10951" t="s">
        <v>823</v>
      </c>
      <c r="T10951">
        <v>39</v>
      </c>
      <c r="U10951" s="26" t="str">
        <f t="shared" si="400"/>
        <v>2023.001B.Leviviricetes_reorg.zip</v>
      </c>
    </row>
    <row r="10952" spans="1:21">
      <c r="A10952">
        <v>10951</v>
      </c>
      <c r="B10952" s="27" t="s">
        <v>1124</v>
      </c>
      <c r="D10952" s="27" t="s">
        <v>1859</v>
      </c>
      <c r="F10952" s="27" t="s">
        <v>1881</v>
      </c>
      <c r="H10952" s="27" t="s">
        <v>2679</v>
      </c>
      <c r="J10952" s="27" t="s">
        <v>2680</v>
      </c>
      <c r="L10952" s="27" t="s">
        <v>2810</v>
      </c>
      <c r="N10952" s="27" t="s">
        <v>14737</v>
      </c>
      <c r="P10952" s="27" t="s">
        <v>14771</v>
      </c>
      <c r="Q10952" s="26" t="str">
        <f>HYPERLINK("https://ictv.global/taxonomy/taxondetails?taxnode_id=202516361&amp;ictv_id=ICTV202316361","ICTV202316361")</f>
        <v>ICTV202316361</v>
      </c>
      <c r="R10952" t="s">
        <v>581</v>
      </c>
      <c r="S10952" t="s">
        <v>823</v>
      </c>
      <c r="T10952">
        <v>39</v>
      </c>
      <c r="U10952" s="26" t="str">
        <f t="shared" si="400"/>
        <v>2023.001B.Leviviricetes_reorg.zip</v>
      </c>
    </row>
    <row r="10953" spans="1:21">
      <c r="A10953">
        <v>10952</v>
      </c>
      <c r="B10953" s="27" t="s">
        <v>1124</v>
      </c>
      <c r="D10953" s="27" t="s">
        <v>1859</v>
      </c>
      <c r="F10953" s="27" t="s">
        <v>1881</v>
      </c>
      <c r="H10953" s="27" t="s">
        <v>2679</v>
      </c>
      <c r="J10953" s="27" t="s">
        <v>2680</v>
      </c>
      <c r="L10953" s="27" t="s">
        <v>2810</v>
      </c>
      <c r="N10953" s="27" t="s">
        <v>14737</v>
      </c>
      <c r="P10953" s="27" t="s">
        <v>14772</v>
      </c>
      <c r="Q10953" s="26" t="str">
        <f>HYPERLINK("https://ictv.global/taxonomy/taxondetails?taxnode_id=202516362&amp;ictv_id=ICTV202316362","ICTV202316362")</f>
        <v>ICTV202316362</v>
      </c>
      <c r="R10953" t="s">
        <v>581</v>
      </c>
      <c r="S10953" t="s">
        <v>823</v>
      </c>
      <c r="T10953">
        <v>39</v>
      </c>
      <c r="U10953" s="26" t="str">
        <f t="shared" si="400"/>
        <v>2023.001B.Leviviricetes_reorg.zip</v>
      </c>
    </row>
    <row r="10954" spans="1:21">
      <c r="A10954">
        <v>10953</v>
      </c>
      <c r="B10954" s="27" t="s">
        <v>1124</v>
      </c>
      <c r="D10954" s="27" t="s">
        <v>1859</v>
      </c>
      <c r="F10954" s="27" t="s">
        <v>1881</v>
      </c>
      <c r="H10954" s="27" t="s">
        <v>2679</v>
      </c>
      <c r="J10954" s="27" t="s">
        <v>2680</v>
      </c>
      <c r="L10954" s="27" t="s">
        <v>2810</v>
      </c>
      <c r="N10954" s="27" t="s">
        <v>14737</v>
      </c>
      <c r="P10954" s="27" t="s">
        <v>14773</v>
      </c>
      <c r="Q10954" s="26" t="str">
        <f>HYPERLINK("https://ictv.global/taxonomy/taxondetails?taxnode_id=202516363&amp;ictv_id=ICTV202316363","ICTV202316363")</f>
        <v>ICTV202316363</v>
      </c>
      <c r="R10954" t="s">
        <v>581</v>
      </c>
      <c r="S10954" t="s">
        <v>823</v>
      </c>
      <c r="T10954">
        <v>39</v>
      </c>
      <c r="U10954" s="26" t="str">
        <f t="shared" si="400"/>
        <v>2023.001B.Leviviricetes_reorg.zip</v>
      </c>
    </row>
    <row r="10955" spans="1:21">
      <c r="A10955">
        <v>10954</v>
      </c>
      <c r="B10955" s="27" t="s">
        <v>1124</v>
      </c>
      <c r="D10955" s="27" t="s">
        <v>1859</v>
      </c>
      <c r="F10955" s="27" t="s">
        <v>1881</v>
      </c>
      <c r="H10955" s="27" t="s">
        <v>2679</v>
      </c>
      <c r="J10955" s="27" t="s">
        <v>2680</v>
      </c>
      <c r="L10955" s="27" t="s">
        <v>2810</v>
      </c>
      <c r="N10955" s="27" t="s">
        <v>14737</v>
      </c>
      <c r="P10955" s="27" t="s">
        <v>14774</v>
      </c>
      <c r="Q10955" s="26" t="str">
        <f>HYPERLINK("https://ictv.global/taxonomy/taxondetails?taxnode_id=202516364&amp;ictv_id=ICTV202316364","ICTV202316364")</f>
        <v>ICTV202316364</v>
      </c>
      <c r="R10955" t="s">
        <v>581</v>
      </c>
      <c r="S10955" t="s">
        <v>823</v>
      </c>
      <c r="T10955">
        <v>39</v>
      </c>
      <c r="U10955" s="26" t="str">
        <f t="shared" si="400"/>
        <v>2023.001B.Leviviricetes_reorg.zip</v>
      </c>
    </row>
    <row r="10956" spans="1:21">
      <c r="A10956">
        <v>10955</v>
      </c>
      <c r="B10956" s="27" t="s">
        <v>1124</v>
      </c>
      <c r="D10956" s="27" t="s">
        <v>1859</v>
      </c>
      <c r="F10956" s="27" t="s">
        <v>1881</v>
      </c>
      <c r="H10956" s="27" t="s">
        <v>2679</v>
      </c>
      <c r="J10956" s="27" t="s">
        <v>2680</v>
      </c>
      <c r="L10956" s="27" t="s">
        <v>2810</v>
      </c>
      <c r="N10956" s="27" t="s">
        <v>14737</v>
      </c>
      <c r="P10956" s="27" t="s">
        <v>14775</v>
      </c>
      <c r="Q10956" s="26" t="str">
        <f>HYPERLINK("https://ictv.global/taxonomy/taxondetails?taxnode_id=202516365&amp;ictv_id=ICTV202316365","ICTV202316365")</f>
        <v>ICTV202316365</v>
      </c>
      <c r="R10956" t="s">
        <v>581</v>
      </c>
      <c r="S10956" t="s">
        <v>823</v>
      </c>
      <c r="T10956">
        <v>39</v>
      </c>
      <c r="U10956" s="26" t="str">
        <f t="shared" si="400"/>
        <v>2023.001B.Leviviricetes_reorg.zip</v>
      </c>
    </row>
    <row r="10957" spans="1:21">
      <c r="A10957">
        <v>10956</v>
      </c>
      <c r="B10957" s="27" t="s">
        <v>1124</v>
      </c>
      <c r="D10957" s="27" t="s">
        <v>1859</v>
      </c>
      <c r="F10957" s="27" t="s">
        <v>1881</v>
      </c>
      <c r="H10957" s="27" t="s">
        <v>2679</v>
      </c>
      <c r="J10957" s="27" t="s">
        <v>2680</v>
      </c>
      <c r="L10957" s="27" t="s">
        <v>2810</v>
      </c>
      <c r="N10957" s="27" t="s">
        <v>14737</v>
      </c>
      <c r="P10957" s="27" t="s">
        <v>14776</v>
      </c>
      <c r="Q10957" s="26" t="str">
        <f>HYPERLINK("https://ictv.global/taxonomy/taxondetails?taxnode_id=202516366&amp;ictv_id=ICTV202316366","ICTV202316366")</f>
        <v>ICTV202316366</v>
      </c>
      <c r="R10957" t="s">
        <v>581</v>
      </c>
      <c r="S10957" t="s">
        <v>823</v>
      </c>
      <c r="T10957">
        <v>39</v>
      </c>
      <c r="U10957" s="26" t="str">
        <f t="shared" si="400"/>
        <v>2023.001B.Leviviricetes_reorg.zip</v>
      </c>
    </row>
    <row r="10958" spans="1:21">
      <c r="A10958">
        <v>10957</v>
      </c>
      <c r="B10958" s="27" t="s">
        <v>1124</v>
      </c>
      <c r="D10958" s="27" t="s">
        <v>1859</v>
      </c>
      <c r="F10958" s="27" t="s">
        <v>1881</v>
      </c>
      <c r="H10958" s="27" t="s">
        <v>2679</v>
      </c>
      <c r="J10958" s="27" t="s">
        <v>2680</v>
      </c>
      <c r="L10958" s="27" t="s">
        <v>2810</v>
      </c>
      <c r="N10958" s="27" t="s">
        <v>14737</v>
      </c>
      <c r="P10958" s="27" t="s">
        <v>14777</v>
      </c>
      <c r="Q10958" s="26" t="str">
        <f>HYPERLINK("https://ictv.global/taxonomy/taxondetails?taxnode_id=202516367&amp;ictv_id=ICTV202316367","ICTV202316367")</f>
        <v>ICTV202316367</v>
      </c>
      <c r="R10958" t="s">
        <v>581</v>
      </c>
      <c r="S10958" t="s">
        <v>823</v>
      </c>
      <c r="T10958">
        <v>39</v>
      </c>
      <c r="U10958" s="26" t="str">
        <f t="shared" si="400"/>
        <v>2023.001B.Leviviricetes_reorg.zip</v>
      </c>
    </row>
    <row r="10959" spans="1:21">
      <c r="A10959">
        <v>10958</v>
      </c>
      <c r="B10959" s="27" t="s">
        <v>1124</v>
      </c>
      <c r="D10959" s="27" t="s">
        <v>1859</v>
      </c>
      <c r="F10959" s="27" t="s">
        <v>1881</v>
      </c>
      <c r="H10959" s="27" t="s">
        <v>2679</v>
      </c>
      <c r="J10959" s="27" t="s">
        <v>2680</v>
      </c>
      <c r="L10959" s="27" t="s">
        <v>2810</v>
      </c>
      <c r="N10959" s="27" t="s">
        <v>14737</v>
      </c>
      <c r="P10959" s="27" t="s">
        <v>14778</v>
      </c>
      <c r="Q10959" s="26" t="str">
        <f>HYPERLINK("https://ictv.global/taxonomy/taxondetails?taxnode_id=202516368&amp;ictv_id=ICTV202316368","ICTV202316368")</f>
        <v>ICTV202316368</v>
      </c>
      <c r="R10959" t="s">
        <v>581</v>
      </c>
      <c r="S10959" t="s">
        <v>823</v>
      </c>
      <c r="T10959">
        <v>39</v>
      </c>
      <c r="U10959" s="26" t="str">
        <f t="shared" si="400"/>
        <v>2023.001B.Leviviricetes_reorg.zip</v>
      </c>
    </row>
    <row r="10960" spans="1:21">
      <c r="A10960">
        <v>10959</v>
      </c>
      <c r="B10960" s="27" t="s">
        <v>1124</v>
      </c>
      <c r="D10960" s="27" t="s">
        <v>1859</v>
      </c>
      <c r="F10960" s="27" t="s">
        <v>1881</v>
      </c>
      <c r="H10960" s="27" t="s">
        <v>2679</v>
      </c>
      <c r="J10960" s="27" t="s">
        <v>2680</v>
      </c>
      <c r="L10960" s="27" t="s">
        <v>2810</v>
      </c>
      <c r="N10960" s="27" t="s">
        <v>14737</v>
      </c>
      <c r="P10960" s="27" t="s">
        <v>14779</v>
      </c>
      <c r="Q10960" s="26" t="str">
        <f>HYPERLINK("https://ictv.global/taxonomy/taxondetails?taxnode_id=202516369&amp;ictv_id=ICTV202316369","ICTV202316369")</f>
        <v>ICTV202316369</v>
      </c>
      <c r="R10960" t="s">
        <v>581</v>
      </c>
      <c r="S10960" t="s">
        <v>823</v>
      </c>
      <c r="T10960">
        <v>39</v>
      </c>
      <c r="U10960" s="26" t="str">
        <f t="shared" si="400"/>
        <v>2023.001B.Leviviricetes_reorg.zip</v>
      </c>
    </row>
    <row r="10961" spans="1:21">
      <c r="A10961">
        <v>10960</v>
      </c>
      <c r="B10961" s="27" t="s">
        <v>1124</v>
      </c>
      <c r="D10961" s="27" t="s">
        <v>1859</v>
      </c>
      <c r="F10961" s="27" t="s">
        <v>1881</v>
      </c>
      <c r="H10961" s="27" t="s">
        <v>2679</v>
      </c>
      <c r="J10961" s="27" t="s">
        <v>2680</v>
      </c>
      <c r="L10961" s="27" t="s">
        <v>2810</v>
      </c>
      <c r="N10961" s="27" t="s">
        <v>14737</v>
      </c>
      <c r="P10961" s="27" t="s">
        <v>14780</v>
      </c>
      <c r="Q10961" s="26" t="str">
        <f>HYPERLINK("https://ictv.global/taxonomy/taxondetails?taxnode_id=202516370&amp;ictv_id=ICTV202316370","ICTV202316370")</f>
        <v>ICTV202316370</v>
      </c>
      <c r="R10961" t="s">
        <v>581</v>
      </c>
      <c r="S10961" t="s">
        <v>823</v>
      </c>
      <c r="T10961">
        <v>39</v>
      </c>
      <c r="U10961" s="26" t="str">
        <f t="shared" si="400"/>
        <v>2023.001B.Leviviricetes_reorg.zip</v>
      </c>
    </row>
    <row r="10962" spans="1:21">
      <c r="A10962">
        <v>10961</v>
      </c>
      <c r="B10962" s="27" t="s">
        <v>1124</v>
      </c>
      <c r="D10962" s="27" t="s">
        <v>1859</v>
      </c>
      <c r="F10962" s="27" t="s">
        <v>1881</v>
      </c>
      <c r="H10962" s="27" t="s">
        <v>2679</v>
      </c>
      <c r="J10962" s="27" t="s">
        <v>2680</v>
      </c>
      <c r="L10962" s="27" t="s">
        <v>2810</v>
      </c>
      <c r="N10962" s="27" t="s">
        <v>14737</v>
      </c>
      <c r="P10962" s="27" t="s">
        <v>14781</v>
      </c>
      <c r="Q10962" s="26" t="str">
        <f>HYPERLINK("https://ictv.global/taxonomy/taxondetails?taxnode_id=202510270&amp;ictv_id=ICTV202010270","ICTV202010270")</f>
        <v>ICTV202010270</v>
      </c>
      <c r="R10962" t="s">
        <v>581</v>
      </c>
      <c r="S10962" t="s">
        <v>22764</v>
      </c>
      <c r="T10962">
        <v>39</v>
      </c>
      <c r="U10962" s="26" t="str">
        <f t="shared" si="400"/>
        <v>2023.001B.Leviviricetes_reorg.zip</v>
      </c>
    </row>
    <row r="10963" spans="1:21">
      <c r="A10963">
        <v>10962</v>
      </c>
      <c r="B10963" s="27" t="s">
        <v>1124</v>
      </c>
      <c r="D10963" s="27" t="s">
        <v>1859</v>
      </c>
      <c r="F10963" s="27" t="s">
        <v>1881</v>
      </c>
      <c r="H10963" s="27" t="s">
        <v>2679</v>
      </c>
      <c r="J10963" s="27" t="s">
        <v>2680</v>
      </c>
      <c r="L10963" s="27" t="s">
        <v>2810</v>
      </c>
      <c r="N10963" s="27" t="s">
        <v>2975</v>
      </c>
      <c r="P10963" s="27" t="s">
        <v>2976</v>
      </c>
      <c r="Q10963" s="26" t="str">
        <f>HYPERLINK("https://ictv.global/taxonomy/taxondetails?taxnode_id=202510431&amp;ictv_id=ICTV202010431","ICTV202010431")</f>
        <v>ICTV202010431</v>
      </c>
      <c r="R10963" t="s">
        <v>581</v>
      </c>
      <c r="S10963" t="s">
        <v>823</v>
      </c>
      <c r="T10963">
        <v>36</v>
      </c>
      <c r="U10963" s="26" t="str">
        <f>HYPERLINK("https://ictv.global/ictv/proposals/2020.095B.R.Leviviricetes.zip","2020.095B.R.Leviviricetes.zip")</f>
        <v>2020.095B.R.Leviviricetes.zip</v>
      </c>
    </row>
    <row r="10964" spans="1:21">
      <c r="A10964">
        <v>10963</v>
      </c>
      <c r="B10964" s="27" t="s">
        <v>1124</v>
      </c>
      <c r="D10964" s="27" t="s">
        <v>1859</v>
      </c>
      <c r="F10964" s="27" t="s">
        <v>1881</v>
      </c>
      <c r="H10964" s="27" t="s">
        <v>2679</v>
      </c>
      <c r="J10964" s="27" t="s">
        <v>2680</v>
      </c>
      <c r="L10964" s="27" t="s">
        <v>2810</v>
      </c>
      <c r="N10964" s="27" t="s">
        <v>2977</v>
      </c>
      <c r="P10964" s="27" t="s">
        <v>2978</v>
      </c>
      <c r="Q10964" s="26" t="str">
        <f>HYPERLINK("https://ictv.global/taxonomy/taxondetails?taxnode_id=202510433&amp;ictv_id=ICTV202010433","ICTV202010433")</f>
        <v>ICTV202010433</v>
      </c>
      <c r="R10964" t="s">
        <v>581</v>
      </c>
      <c r="S10964" t="s">
        <v>823</v>
      </c>
      <c r="T10964">
        <v>36</v>
      </c>
      <c r="U10964" s="26" t="str">
        <f>HYPERLINK("https://ictv.global/ictv/proposals/2020.095B.R.Leviviricetes.zip","2020.095B.R.Leviviricetes.zip")</f>
        <v>2020.095B.R.Leviviricetes.zip</v>
      </c>
    </row>
    <row r="10965" spans="1:21">
      <c r="A10965">
        <v>10964</v>
      </c>
      <c r="B10965" s="27" t="s">
        <v>1124</v>
      </c>
      <c r="D10965" s="27" t="s">
        <v>1859</v>
      </c>
      <c r="F10965" s="27" t="s">
        <v>1881</v>
      </c>
      <c r="H10965" s="27" t="s">
        <v>2679</v>
      </c>
      <c r="J10965" s="27" t="s">
        <v>2680</v>
      </c>
      <c r="L10965" s="27" t="s">
        <v>2810</v>
      </c>
      <c r="N10965" s="27" t="s">
        <v>14782</v>
      </c>
      <c r="P10965" s="27" t="s">
        <v>14783</v>
      </c>
      <c r="Q10965" s="26" t="str">
        <f>HYPERLINK("https://ictv.global/taxonomy/taxondetails?taxnode_id=202516371&amp;ictv_id=ICTV202316371","ICTV202316371")</f>
        <v>ICTV202316371</v>
      </c>
      <c r="R10965" t="s">
        <v>581</v>
      </c>
      <c r="S10965" t="s">
        <v>823</v>
      </c>
      <c r="T10965">
        <v>39</v>
      </c>
      <c r="U10965" s="26" t="str">
        <f t="shared" ref="U10965:U10995" si="401">HYPERLINK("https://ictv.global/ictv/proposals/2023.001B.Leviviricetes_reorg.zip","2023.001B.Leviviricetes_reorg.zip")</f>
        <v>2023.001B.Leviviricetes_reorg.zip</v>
      </c>
    </row>
    <row r="10966" spans="1:21">
      <c r="A10966">
        <v>10965</v>
      </c>
      <c r="B10966" s="27" t="s">
        <v>1124</v>
      </c>
      <c r="D10966" s="27" t="s">
        <v>1859</v>
      </c>
      <c r="F10966" s="27" t="s">
        <v>1881</v>
      </c>
      <c r="H10966" s="27" t="s">
        <v>2679</v>
      </c>
      <c r="J10966" s="27" t="s">
        <v>2680</v>
      </c>
      <c r="L10966" s="27" t="s">
        <v>2810</v>
      </c>
      <c r="N10966" s="27" t="s">
        <v>14782</v>
      </c>
      <c r="P10966" s="27" t="s">
        <v>14784</v>
      </c>
      <c r="Q10966" s="26" t="str">
        <f>HYPERLINK("https://ictv.global/taxonomy/taxondetails?taxnode_id=202516372&amp;ictv_id=ICTV202316372","ICTV202316372")</f>
        <v>ICTV202316372</v>
      </c>
      <c r="R10966" t="s">
        <v>581</v>
      </c>
      <c r="S10966" t="s">
        <v>823</v>
      </c>
      <c r="T10966">
        <v>39</v>
      </c>
      <c r="U10966" s="26" t="str">
        <f t="shared" si="401"/>
        <v>2023.001B.Leviviricetes_reorg.zip</v>
      </c>
    </row>
    <row r="10967" spans="1:21">
      <c r="A10967">
        <v>10966</v>
      </c>
      <c r="B10967" s="27" t="s">
        <v>1124</v>
      </c>
      <c r="D10967" s="27" t="s">
        <v>1859</v>
      </c>
      <c r="F10967" s="27" t="s">
        <v>1881</v>
      </c>
      <c r="H10967" s="27" t="s">
        <v>2679</v>
      </c>
      <c r="J10967" s="27" t="s">
        <v>2680</v>
      </c>
      <c r="L10967" s="27" t="s">
        <v>2810</v>
      </c>
      <c r="N10967" s="27" t="s">
        <v>14782</v>
      </c>
      <c r="P10967" s="27" t="s">
        <v>14785</v>
      </c>
      <c r="Q10967" s="26" t="str">
        <f>HYPERLINK("https://ictv.global/taxonomy/taxondetails?taxnode_id=202516373&amp;ictv_id=ICTV202316373","ICTV202316373")</f>
        <v>ICTV202316373</v>
      </c>
      <c r="R10967" t="s">
        <v>581</v>
      </c>
      <c r="S10967" t="s">
        <v>823</v>
      </c>
      <c r="T10967">
        <v>39</v>
      </c>
      <c r="U10967" s="26" t="str">
        <f t="shared" si="401"/>
        <v>2023.001B.Leviviricetes_reorg.zip</v>
      </c>
    </row>
    <row r="10968" spans="1:21">
      <c r="A10968">
        <v>10967</v>
      </c>
      <c r="B10968" s="27" t="s">
        <v>1124</v>
      </c>
      <c r="D10968" s="27" t="s">
        <v>1859</v>
      </c>
      <c r="F10968" s="27" t="s">
        <v>1881</v>
      </c>
      <c r="H10968" s="27" t="s">
        <v>2679</v>
      </c>
      <c r="J10968" s="27" t="s">
        <v>2680</v>
      </c>
      <c r="L10968" s="27" t="s">
        <v>2810</v>
      </c>
      <c r="N10968" s="27" t="s">
        <v>14782</v>
      </c>
      <c r="P10968" s="27" t="s">
        <v>14786</v>
      </c>
      <c r="Q10968" s="26" t="str">
        <f>HYPERLINK("https://ictv.global/taxonomy/taxondetails?taxnode_id=202516374&amp;ictv_id=ICTV202316374","ICTV202316374")</f>
        <v>ICTV202316374</v>
      </c>
      <c r="R10968" t="s">
        <v>581</v>
      </c>
      <c r="S10968" t="s">
        <v>823</v>
      </c>
      <c r="T10968">
        <v>39</v>
      </c>
      <c r="U10968" s="26" t="str">
        <f t="shared" si="401"/>
        <v>2023.001B.Leviviricetes_reorg.zip</v>
      </c>
    </row>
    <row r="10969" spans="1:21">
      <c r="A10969">
        <v>10968</v>
      </c>
      <c r="B10969" s="27" t="s">
        <v>1124</v>
      </c>
      <c r="D10969" s="27" t="s">
        <v>1859</v>
      </c>
      <c r="F10969" s="27" t="s">
        <v>1881</v>
      </c>
      <c r="H10969" s="27" t="s">
        <v>2679</v>
      </c>
      <c r="J10969" s="27" t="s">
        <v>2680</v>
      </c>
      <c r="L10969" s="27" t="s">
        <v>2810</v>
      </c>
      <c r="N10969" s="27" t="s">
        <v>14782</v>
      </c>
      <c r="P10969" s="27" t="s">
        <v>14787</v>
      </c>
      <c r="Q10969" s="26" t="str">
        <f>HYPERLINK("https://ictv.global/taxonomy/taxondetails?taxnode_id=202516375&amp;ictv_id=ICTV202316375","ICTV202316375")</f>
        <v>ICTV202316375</v>
      </c>
      <c r="R10969" t="s">
        <v>581</v>
      </c>
      <c r="S10969" t="s">
        <v>823</v>
      </c>
      <c r="T10969">
        <v>39</v>
      </c>
      <c r="U10969" s="26" t="str">
        <f t="shared" si="401"/>
        <v>2023.001B.Leviviricetes_reorg.zip</v>
      </c>
    </row>
    <row r="10970" spans="1:21">
      <c r="A10970">
        <v>10969</v>
      </c>
      <c r="B10970" s="27" t="s">
        <v>1124</v>
      </c>
      <c r="D10970" s="27" t="s">
        <v>1859</v>
      </c>
      <c r="F10970" s="27" t="s">
        <v>1881</v>
      </c>
      <c r="H10970" s="27" t="s">
        <v>2679</v>
      </c>
      <c r="J10970" s="27" t="s">
        <v>2680</v>
      </c>
      <c r="L10970" s="27" t="s">
        <v>2810</v>
      </c>
      <c r="N10970" s="27" t="s">
        <v>14782</v>
      </c>
      <c r="P10970" s="27" t="s">
        <v>14788</v>
      </c>
      <c r="Q10970" s="26" t="str">
        <f>HYPERLINK("https://ictv.global/taxonomy/taxondetails?taxnode_id=202516376&amp;ictv_id=ICTV202316376","ICTV202316376")</f>
        <v>ICTV202316376</v>
      </c>
      <c r="R10970" t="s">
        <v>581</v>
      </c>
      <c r="S10970" t="s">
        <v>823</v>
      </c>
      <c r="T10970">
        <v>39</v>
      </c>
      <c r="U10970" s="26" t="str">
        <f t="shared" si="401"/>
        <v>2023.001B.Leviviricetes_reorg.zip</v>
      </c>
    </row>
    <row r="10971" spans="1:21">
      <c r="A10971">
        <v>10970</v>
      </c>
      <c r="B10971" s="27" t="s">
        <v>1124</v>
      </c>
      <c r="D10971" s="27" t="s">
        <v>1859</v>
      </c>
      <c r="F10971" s="27" t="s">
        <v>1881</v>
      </c>
      <c r="H10971" s="27" t="s">
        <v>2679</v>
      </c>
      <c r="J10971" s="27" t="s">
        <v>2680</v>
      </c>
      <c r="L10971" s="27" t="s">
        <v>2810</v>
      </c>
      <c r="N10971" s="27" t="s">
        <v>14782</v>
      </c>
      <c r="P10971" s="27" t="s">
        <v>14789</v>
      </c>
      <c r="Q10971" s="26" t="str">
        <f>HYPERLINK("https://ictv.global/taxonomy/taxondetails?taxnode_id=202516377&amp;ictv_id=ICTV202316377","ICTV202316377")</f>
        <v>ICTV202316377</v>
      </c>
      <c r="R10971" t="s">
        <v>581</v>
      </c>
      <c r="S10971" t="s">
        <v>823</v>
      </c>
      <c r="T10971">
        <v>39</v>
      </c>
      <c r="U10971" s="26" t="str">
        <f t="shared" si="401"/>
        <v>2023.001B.Leviviricetes_reorg.zip</v>
      </c>
    </row>
    <row r="10972" spans="1:21">
      <c r="A10972">
        <v>10971</v>
      </c>
      <c r="B10972" s="27" t="s">
        <v>1124</v>
      </c>
      <c r="D10972" s="27" t="s">
        <v>1859</v>
      </c>
      <c r="F10972" s="27" t="s">
        <v>1881</v>
      </c>
      <c r="H10972" s="27" t="s">
        <v>2679</v>
      </c>
      <c r="J10972" s="27" t="s">
        <v>2680</v>
      </c>
      <c r="L10972" s="27" t="s">
        <v>2810</v>
      </c>
      <c r="N10972" s="27" t="s">
        <v>14782</v>
      </c>
      <c r="P10972" s="27" t="s">
        <v>14790</v>
      </c>
      <c r="Q10972" s="26" t="str">
        <f>HYPERLINK("https://ictv.global/taxonomy/taxondetails?taxnode_id=202516378&amp;ictv_id=ICTV202316378","ICTV202316378")</f>
        <v>ICTV202316378</v>
      </c>
      <c r="R10972" t="s">
        <v>581</v>
      </c>
      <c r="S10972" t="s">
        <v>823</v>
      </c>
      <c r="T10972">
        <v>39</v>
      </c>
      <c r="U10972" s="26" t="str">
        <f t="shared" si="401"/>
        <v>2023.001B.Leviviricetes_reorg.zip</v>
      </c>
    </row>
    <row r="10973" spans="1:21">
      <c r="A10973">
        <v>10972</v>
      </c>
      <c r="B10973" s="27" t="s">
        <v>1124</v>
      </c>
      <c r="D10973" s="27" t="s">
        <v>1859</v>
      </c>
      <c r="F10973" s="27" t="s">
        <v>1881</v>
      </c>
      <c r="H10973" s="27" t="s">
        <v>2679</v>
      </c>
      <c r="J10973" s="27" t="s">
        <v>2680</v>
      </c>
      <c r="L10973" s="27" t="s">
        <v>2810</v>
      </c>
      <c r="N10973" s="27" t="s">
        <v>14782</v>
      </c>
      <c r="P10973" s="27" t="s">
        <v>14791</v>
      </c>
      <c r="Q10973" s="26" t="str">
        <f>HYPERLINK("https://ictv.global/taxonomy/taxondetails?taxnode_id=202516379&amp;ictv_id=ICTV202316379","ICTV202316379")</f>
        <v>ICTV202316379</v>
      </c>
      <c r="R10973" t="s">
        <v>581</v>
      </c>
      <c r="S10973" t="s">
        <v>823</v>
      </c>
      <c r="T10973">
        <v>39</v>
      </c>
      <c r="U10973" s="26" t="str">
        <f t="shared" si="401"/>
        <v>2023.001B.Leviviricetes_reorg.zip</v>
      </c>
    </row>
    <row r="10974" spans="1:21">
      <c r="A10974">
        <v>10973</v>
      </c>
      <c r="B10974" s="27" t="s">
        <v>1124</v>
      </c>
      <c r="D10974" s="27" t="s">
        <v>1859</v>
      </c>
      <c r="F10974" s="27" t="s">
        <v>1881</v>
      </c>
      <c r="H10974" s="27" t="s">
        <v>2679</v>
      </c>
      <c r="J10974" s="27" t="s">
        <v>2680</v>
      </c>
      <c r="L10974" s="27" t="s">
        <v>2810</v>
      </c>
      <c r="N10974" s="27" t="s">
        <v>14782</v>
      </c>
      <c r="P10974" s="27" t="s">
        <v>14792</v>
      </c>
      <c r="Q10974" s="26" t="str">
        <f>HYPERLINK("https://ictv.global/taxonomy/taxondetails?taxnode_id=202516380&amp;ictv_id=ICTV202316380","ICTV202316380")</f>
        <v>ICTV202316380</v>
      </c>
      <c r="R10974" t="s">
        <v>581</v>
      </c>
      <c r="S10974" t="s">
        <v>823</v>
      </c>
      <c r="T10974">
        <v>39</v>
      </c>
      <c r="U10974" s="26" t="str">
        <f t="shared" si="401"/>
        <v>2023.001B.Leviviricetes_reorg.zip</v>
      </c>
    </row>
    <row r="10975" spans="1:21">
      <c r="A10975">
        <v>10974</v>
      </c>
      <c r="B10975" s="27" t="s">
        <v>1124</v>
      </c>
      <c r="D10975" s="27" t="s">
        <v>1859</v>
      </c>
      <c r="F10975" s="27" t="s">
        <v>1881</v>
      </c>
      <c r="H10975" s="27" t="s">
        <v>2679</v>
      </c>
      <c r="J10975" s="27" t="s">
        <v>2680</v>
      </c>
      <c r="L10975" s="27" t="s">
        <v>2810</v>
      </c>
      <c r="N10975" s="27" t="s">
        <v>14782</v>
      </c>
      <c r="P10975" s="27" t="s">
        <v>14793</v>
      </c>
      <c r="Q10975" s="26" t="str">
        <f>HYPERLINK("https://ictv.global/taxonomy/taxondetails?taxnode_id=202516381&amp;ictv_id=ICTV202316381","ICTV202316381")</f>
        <v>ICTV202316381</v>
      </c>
      <c r="R10975" t="s">
        <v>581</v>
      </c>
      <c r="S10975" t="s">
        <v>823</v>
      </c>
      <c r="T10975">
        <v>39</v>
      </c>
      <c r="U10975" s="26" t="str">
        <f t="shared" si="401"/>
        <v>2023.001B.Leviviricetes_reorg.zip</v>
      </c>
    </row>
    <row r="10976" spans="1:21">
      <c r="A10976">
        <v>10975</v>
      </c>
      <c r="B10976" s="27" t="s">
        <v>1124</v>
      </c>
      <c r="D10976" s="27" t="s">
        <v>1859</v>
      </c>
      <c r="F10976" s="27" t="s">
        <v>1881</v>
      </c>
      <c r="H10976" s="27" t="s">
        <v>2679</v>
      </c>
      <c r="J10976" s="27" t="s">
        <v>2680</v>
      </c>
      <c r="L10976" s="27" t="s">
        <v>2810</v>
      </c>
      <c r="N10976" s="27" t="s">
        <v>14782</v>
      </c>
      <c r="P10976" s="27" t="s">
        <v>14794</v>
      </c>
      <c r="Q10976" s="26" t="str">
        <f>HYPERLINK("https://ictv.global/taxonomy/taxondetails?taxnode_id=202516382&amp;ictv_id=ICTV202316382","ICTV202316382")</f>
        <v>ICTV202316382</v>
      </c>
      <c r="R10976" t="s">
        <v>581</v>
      </c>
      <c r="S10976" t="s">
        <v>823</v>
      </c>
      <c r="T10976">
        <v>39</v>
      </c>
      <c r="U10976" s="26" t="str">
        <f t="shared" si="401"/>
        <v>2023.001B.Leviviricetes_reorg.zip</v>
      </c>
    </row>
    <row r="10977" spans="1:21">
      <c r="A10977">
        <v>10976</v>
      </c>
      <c r="B10977" s="27" t="s">
        <v>1124</v>
      </c>
      <c r="D10977" s="27" t="s">
        <v>1859</v>
      </c>
      <c r="F10977" s="27" t="s">
        <v>1881</v>
      </c>
      <c r="H10977" s="27" t="s">
        <v>2679</v>
      </c>
      <c r="J10977" s="27" t="s">
        <v>2680</v>
      </c>
      <c r="L10977" s="27" t="s">
        <v>2810</v>
      </c>
      <c r="N10977" s="27" t="s">
        <v>14782</v>
      </c>
      <c r="P10977" s="27" t="s">
        <v>14795</v>
      </c>
      <c r="Q10977" s="26" t="str">
        <f>HYPERLINK("https://ictv.global/taxonomy/taxondetails?taxnode_id=202516383&amp;ictv_id=ICTV202316383","ICTV202316383")</f>
        <v>ICTV202316383</v>
      </c>
      <c r="R10977" t="s">
        <v>581</v>
      </c>
      <c r="S10977" t="s">
        <v>823</v>
      </c>
      <c r="T10977">
        <v>39</v>
      </c>
      <c r="U10977" s="26" t="str">
        <f t="shared" si="401"/>
        <v>2023.001B.Leviviricetes_reorg.zip</v>
      </c>
    </row>
    <row r="10978" spans="1:21">
      <c r="A10978">
        <v>10977</v>
      </c>
      <c r="B10978" s="27" t="s">
        <v>1124</v>
      </c>
      <c r="D10978" s="27" t="s">
        <v>1859</v>
      </c>
      <c r="F10978" s="27" t="s">
        <v>1881</v>
      </c>
      <c r="H10978" s="27" t="s">
        <v>2679</v>
      </c>
      <c r="J10978" s="27" t="s">
        <v>2680</v>
      </c>
      <c r="L10978" s="27" t="s">
        <v>2810</v>
      </c>
      <c r="N10978" s="27" t="s">
        <v>14796</v>
      </c>
      <c r="P10978" s="27" t="s">
        <v>14797</v>
      </c>
      <c r="Q10978" s="26" t="str">
        <f>HYPERLINK("https://ictv.global/taxonomy/taxondetails?taxnode_id=202516384&amp;ictv_id=ICTV202316384","ICTV202316384")</f>
        <v>ICTV202316384</v>
      </c>
      <c r="R10978" t="s">
        <v>581</v>
      </c>
      <c r="S10978" t="s">
        <v>823</v>
      </c>
      <c r="T10978">
        <v>39</v>
      </c>
      <c r="U10978" s="26" t="str">
        <f t="shared" si="401"/>
        <v>2023.001B.Leviviricetes_reorg.zip</v>
      </c>
    </row>
    <row r="10979" spans="1:21">
      <c r="A10979">
        <v>10978</v>
      </c>
      <c r="B10979" s="27" t="s">
        <v>1124</v>
      </c>
      <c r="D10979" s="27" t="s">
        <v>1859</v>
      </c>
      <c r="F10979" s="27" t="s">
        <v>1881</v>
      </c>
      <c r="H10979" s="27" t="s">
        <v>2679</v>
      </c>
      <c r="J10979" s="27" t="s">
        <v>2680</v>
      </c>
      <c r="L10979" s="27" t="s">
        <v>2810</v>
      </c>
      <c r="N10979" s="27" t="s">
        <v>14798</v>
      </c>
      <c r="P10979" s="27" t="s">
        <v>14799</v>
      </c>
      <c r="Q10979" s="26" t="str">
        <f>HYPERLINK("https://ictv.global/taxonomy/taxondetails?taxnode_id=202516385&amp;ictv_id=ICTV202316385","ICTV202316385")</f>
        <v>ICTV202316385</v>
      </c>
      <c r="R10979" t="s">
        <v>581</v>
      </c>
      <c r="S10979" t="s">
        <v>823</v>
      </c>
      <c r="T10979">
        <v>39</v>
      </c>
      <c r="U10979" s="26" t="str">
        <f t="shared" si="401"/>
        <v>2023.001B.Leviviricetes_reorg.zip</v>
      </c>
    </row>
    <row r="10980" spans="1:21">
      <c r="A10980">
        <v>10979</v>
      </c>
      <c r="B10980" s="27" t="s">
        <v>1124</v>
      </c>
      <c r="D10980" s="27" t="s">
        <v>1859</v>
      </c>
      <c r="F10980" s="27" t="s">
        <v>1881</v>
      </c>
      <c r="H10980" s="27" t="s">
        <v>2679</v>
      </c>
      <c r="J10980" s="27" t="s">
        <v>2680</v>
      </c>
      <c r="L10980" s="27" t="s">
        <v>2810</v>
      </c>
      <c r="N10980" s="27" t="s">
        <v>14800</v>
      </c>
      <c r="P10980" s="27" t="s">
        <v>14801</v>
      </c>
      <c r="Q10980" s="26" t="str">
        <f>HYPERLINK("https://ictv.global/taxonomy/taxondetails?taxnode_id=202516386&amp;ictv_id=ICTV202316386","ICTV202316386")</f>
        <v>ICTV202316386</v>
      </c>
      <c r="R10980" t="s">
        <v>581</v>
      </c>
      <c r="S10980" t="s">
        <v>823</v>
      </c>
      <c r="T10980">
        <v>39</v>
      </c>
      <c r="U10980" s="26" t="str">
        <f t="shared" si="401"/>
        <v>2023.001B.Leviviricetes_reorg.zip</v>
      </c>
    </row>
    <row r="10981" spans="1:21">
      <c r="A10981">
        <v>10980</v>
      </c>
      <c r="B10981" s="27" t="s">
        <v>1124</v>
      </c>
      <c r="D10981" s="27" t="s">
        <v>1859</v>
      </c>
      <c r="F10981" s="27" t="s">
        <v>1881</v>
      </c>
      <c r="H10981" s="27" t="s">
        <v>2679</v>
      </c>
      <c r="J10981" s="27" t="s">
        <v>2680</v>
      </c>
      <c r="L10981" s="27" t="s">
        <v>2810</v>
      </c>
      <c r="N10981" s="27" t="s">
        <v>14802</v>
      </c>
      <c r="P10981" s="27" t="s">
        <v>14803</v>
      </c>
      <c r="Q10981" s="26" t="str">
        <f>HYPERLINK("https://ictv.global/taxonomy/taxondetails?taxnode_id=202516387&amp;ictv_id=ICTV202316387","ICTV202316387")</f>
        <v>ICTV202316387</v>
      </c>
      <c r="R10981" t="s">
        <v>581</v>
      </c>
      <c r="S10981" t="s">
        <v>823</v>
      </c>
      <c r="T10981">
        <v>39</v>
      </c>
      <c r="U10981" s="26" t="str">
        <f t="shared" si="401"/>
        <v>2023.001B.Leviviricetes_reorg.zip</v>
      </c>
    </row>
    <row r="10982" spans="1:21">
      <c r="A10982">
        <v>10981</v>
      </c>
      <c r="B10982" s="27" t="s">
        <v>1124</v>
      </c>
      <c r="D10982" s="27" t="s">
        <v>1859</v>
      </c>
      <c r="F10982" s="27" t="s">
        <v>1881</v>
      </c>
      <c r="H10982" s="27" t="s">
        <v>2679</v>
      </c>
      <c r="J10982" s="27" t="s">
        <v>2680</v>
      </c>
      <c r="L10982" s="27" t="s">
        <v>2810</v>
      </c>
      <c r="N10982" s="27" t="s">
        <v>14804</v>
      </c>
      <c r="P10982" s="27" t="s">
        <v>14805</v>
      </c>
      <c r="Q10982" s="26" t="str">
        <f>HYPERLINK("https://ictv.global/taxonomy/taxondetails?taxnode_id=202516388&amp;ictv_id=ICTV202316388","ICTV202316388")</f>
        <v>ICTV202316388</v>
      </c>
      <c r="R10982" t="s">
        <v>581</v>
      </c>
      <c r="S10982" t="s">
        <v>823</v>
      </c>
      <c r="T10982">
        <v>39</v>
      </c>
      <c r="U10982" s="26" t="str">
        <f t="shared" si="401"/>
        <v>2023.001B.Leviviricetes_reorg.zip</v>
      </c>
    </row>
    <row r="10983" spans="1:21">
      <c r="A10983">
        <v>10982</v>
      </c>
      <c r="B10983" s="27" t="s">
        <v>1124</v>
      </c>
      <c r="D10983" s="27" t="s">
        <v>1859</v>
      </c>
      <c r="F10983" s="27" t="s">
        <v>1881</v>
      </c>
      <c r="H10983" s="27" t="s">
        <v>2679</v>
      </c>
      <c r="J10983" s="27" t="s">
        <v>2680</v>
      </c>
      <c r="L10983" s="27" t="s">
        <v>2810</v>
      </c>
      <c r="N10983" s="27" t="s">
        <v>14806</v>
      </c>
      <c r="P10983" s="27" t="s">
        <v>14807</v>
      </c>
      <c r="Q10983" s="26" t="str">
        <f>HYPERLINK("https://ictv.global/taxonomy/taxondetails?taxnode_id=202516389&amp;ictv_id=ICTV202316389","ICTV202316389")</f>
        <v>ICTV202316389</v>
      </c>
      <c r="R10983" t="s">
        <v>581</v>
      </c>
      <c r="S10983" t="s">
        <v>823</v>
      </c>
      <c r="T10983">
        <v>39</v>
      </c>
      <c r="U10983" s="26" t="str">
        <f t="shared" si="401"/>
        <v>2023.001B.Leviviricetes_reorg.zip</v>
      </c>
    </row>
    <row r="10984" spans="1:21">
      <c r="A10984">
        <v>10983</v>
      </c>
      <c r="B10984" s="27" t="s">
        <v>1124</v>
      </c>
      <c r="D10984" s="27" t="s">
        <v>1859</v>
      </c>
      <c r="F10984" s="27" t="s">
        <v>1881</v>
      </c>
      <c r="H10984" s="27" t="s">
        <v>2679</v>
      </c>
      <c r="J10984" s="27" t="s">
        <v>2680</v>
      </c>
      <c r="L10984" s="27" t="s">
        <v>2810</v>
      </c>
      <c r="N10984" s="27" t="s">
        <v>14808</v>
      </c>
      <c r="P10984" s="27" t="s">
        <v>14809</v>
      </c>
      <c r="Q10984" s="26" t="str">
        <f>HYPERLINK("https://ictv.global/taxonomy/taxondetails?taxnode_id=202516390&amp;ictv_id=ICTV202316390","ICTV202316390")</f>
        <v>ICTV202316390</v>
      </c>
      <c r="R10984" t="s">
        <v>581</v>
      </c>
      <c r="S10984" t="s">
        <v>823</v>
      </c>
      <c r="T10984">
        <v>39</v>
      </c>
      <c r="U10984" s="26" t="str">
        <f t="shared" si="401"/>
        <v>2023.001B.Leviviricetes_reorg.zip</v>
      </c>
    </row>
    <row r="10985" spans="1:21">
      <c r="A10985">
        <v>10984</v>
      </c>
      <c r="B10985" s="27" t="s">
        <v>1124</v>
      </c>
      <c r="D10985" s="27" t="s">
        <v>1859</v>
      </c>
      <c r="F10985" s="27" t="s">
        <v>1881</v>
      </c>
      <c r="H10985" s="27" t="s">
        <v>2679</v>
      </c>
      <c r="J10985" s="27" t="s">
        <v>2680</v>
      </c>
      <c r="L10985" s="27" t="s">
        <v>2810</v>
      </c>
      <c r="N10985" s="27" t="s">
        <v>14810</v>
      </c>
      <c r="P10985" s="27" t="s">
        <v>14811</v>
      </c>
      <c r="Q10985" s="26" t="str">
        <f>HYPERLINK("https://ictv.global/taxonomy/taxondetails?taxnode_id=202516391&amp;ictv_id=ICTV202316391","ICTV202316391")</f>
        <v>ICTV202316391</v>
      </c>
      <c r="R10985" t="s">
        <v>581</v>
      </c>
      <c r="S10985" t="s">
        <v>823</v>
      </c>
      <c r="T10985">
        <v>39</v>
      </c>
      <c r="U10985" s="26" t="str">
        <f t="shared" si="401"/>
        <v>2023.001B.Leviviricetes_reorg.zip</v>
      </c>
    </row>
    <row r="10986" spans="1:21">
      <c r="A10986">
        <v>10985</v>
      </c>
      <c r="B10986" s="27" t="s">
        <v>1124</v>
      </c>
      <c r="D10986" s="27" t="s">
        <v>1859</v>
      </c>
      <c r="F10986" s="27" t="s">
        <v>1881</v>
      </c>
      <c r="H10986" s="27" t="s">
        <v>2679</v>
      </c>
      <c r="J10986" s="27" t="s">
        <v>2680</v>
      </c>
      <c r="L10986" s="27" t="s">
        <v>2810</v>
      </c>
      <c r="N10986" s="27" t="s">
        <v>14810</v>
      </c>
      <c r="P10986" s="27" t="s">
        <v>14812</v>
      </c>
      <c r="Q10986" s="26" t="str">
        <f>HYPERLINK("https://ictv.global/taxonomy/taxondetails?taxnode_id=202516392&amp;ictv_id=ICTV202316392","ICTV202316392")</f>
        <v>ICTV202316392</v>
      </c>
      <c r="R10986" t="s">
        <v>581</v>
      </c>
      <c r="S10986" t="s">
        <v>823</v>
      </c>
      <c r="T10986">
        <v>39</v>
      </c>
      <c r="U10986" s="26" t="str">
        <f t="shared" si="401"/>
        <v>2023.001B.Leviviricetes_reorg.zip</v>
      </c>
    </row>
    <row r="10987" spans="1:21">
      <c r="A10987">
        <v>10986</v>
      </c>
      <c r="B10987" s="27" t="s">
        <v>1124</v>
      </c>
      <c r="D10987" s="27" t="s">
        <v>1859</v>
      </c>
      <c r="F10987" s="27" t="s">
        <v>1881</v>
      </c>
      <c r="H10987" s="27" t="s">
        <v>2679</v>
      </c>
      <c r="J10987" s="27" t="s">
        <v>2680</v>
      </c>
      <c r="L10987" s="27" t="s">
        <v>2810</v>
      </c>
      <c r="N10987" s="27" t="s">
        <v>14813</v>
      </c>
      <c r="P10987" s="27" t="s">
        <v>14814</v>
      </c>
      <c r="Q10987" s="26" t="str">
        <f>HYPERLINK("https://ictv.global/taxonomy/taxondetails?taxnode_id=202516393&amp;ictv_id=ICTV202316393","ICTV202316393")</f>
        <v>ICTV202316393</v>
      </c>
      <c r="R10987" t="s">
        <v>581</v>
      </c>
      <c r="S10987" t="s">
        <v>823</v>
      </c>
      <c r="T10987">
        <v>39</v>
      </c>
      <c r="U10987" s="26" t="str">
        <f t="shared" si="401"/>
        <v>2023.001B.Leviviricetes_reorg.zip</v>
      </c>
    </row>
    <row r="10988" spans="1:21">
      <c r="A10988">
        <v>10987</v>
      </c>
      <c r="B10988" s="27" t="s">
        <v>1124</v>
      </c>
      <c r="D10988" s="27" t="s">
        <v>1859</v>
      </c>
      <c r="F10988" s="27" t="s">
        <v>1881</v>
      </c>
      <c r="H10988" s="27" t="s">
        <v>2679</v>
      </c>
      <c r="J10988" s="27" t="s">
        <v>2680</v>
      </c>
      <c r="L10988" s="27" t="s">
        <v>2810</v>
      </c>
      <c r="N10988" s="27" t="s">
        <v>14815</v>
      </c>
      <c r="P10988" s="27" t="s">
        <v>14816</v>
      </c>
      <c r="Q10988" s="26" t="str">
        <f>HYPERLINK("https://ictv.global/taxonomy/taxondetails?taxnode_id=202516394&amp;ictv_id=ICTV202316394","ICTV202316394")</f>
        <v>ICTV202316394</v>
      </c>
      <c r="R10988" t="s">
        <v>581</v>
      </c>
      <c r="S10988" t="s">
        <v>823</v>
      </c>
      <c r="T10988">
        <v>39</v>
      </c>
      <c r="U10988" s="26" t="str">
        <f t="shared" si="401"/>
        <v>2023.001B.Leviviricetes_reorg.zip</v>
      </c>
    </row>
    <row r="10989" spans="1:21">
      <c r="A10989">
        <v>10988</v>
      </c>
      <c r="B10989" s="27" t="s">
        <v>1124</v>
      </c>
      <c r="D10989" s="27" t="s">
        <v>1859</v>
      </c>
      <c r="F10989" s="27" t="s">
        <v>1881</v>
      </c>
      <c r="H10989" s="27" t="s">
        <v>2679</v>
      </c>
      <c r="J10989" s="27" t="s">
        <v>2680</v>
      </c>
      <c r="L10989" s="27" t="s">
        <v>2810</v>
      </c>
      <c r="N10989" s="27" t="s">
        <v>14815</v>
      </c>
      <c r="P10989" s="27" t="s">
        <v>14817</v>
      </c>
      <c r="Q10989" s="26" t="str">
        <f>HYPERLINK("https://ictv.global/taxonomy/taxondetails?taxnode_id=202510318&amp;ictv_id=ICTV202010318","ICTV202010318")</f>
        <v>ICTV202010318</v>
      </c>
      <c r="R10989" t="s">
        <v>581</v>
      </c>
      <c r="S10989" t="s">
        <v>22764</v>
      </c>
      <c r="T10989">
        <v>39</v>
      </c>
      <c r="U10989" s="26" t="str">
        <f t="shared" si="401"/>
        <v>2023.001B.Leviviricetes_reorg.zip</v>
      </c>
    </row>
    <row r="10990" spans="1:21">
      <c r="A10990">
        <v>10989</v>
      </c>
      <c r="B10990" s="27" t="s">
        <v>1124</v>
      </c>
      <c r="D10990" s="27" t="s">
        <v>1859</v>
      </c>
      <c r="F10990" s="27" t="s">
        <v>1881</v>
      </c>
      <c r="H10990" s="27" t="s">
        <v>2679</v>
      </c>
      <c r="J10990" s="27" t="s">
        <v>2680</v>
      </c>
      <c r="L10990" s="27" t="s">
        <v>2810</v>
      </c>
      <c r="N10990" s="27" t="s">
        <v>14815</v>
      </c>
      <c r="P10990" s="27" t="s">
        <v>14818</v>
      </c>
      <c r="Q10990" s="26" t="str">
        <f>HYPERLINK("https://ictv.global/taxonomy/taxondetails?taxnode_id=202516395&amp;ictv_id=ICTV202316395","ICTV202316395")</f>
        <v>ICTV202316395</v>
      </c>
      <c r="R10990" t="s">
        <v>581</v>
      </c>
      <c r="S10990" t="s">
        <v>823</v>
      </c>
      <c r="T10990">
        <v>39</v>
      </c>
      <c r="U10990" s="26" t="str">
        <f t="shared" si="401"/>
        <v>2023.001B.Leviviricetes_reorg.zip</v>
      </c>
    </row>
    <row r="10991" spans="1:21">
      <c r="A10991">
        <v>10990</v>
      </c>
      <c r="B10991" s="27" t="s">
        <v>1124</v>
      </c>
      <c r="D10991" s="27" t="s">
        <v>1859</v>
      </c>
      <c r="F10991" s="27" t="s">
        <v>1881</v>
      </c>
      <c r="H10991" s="27" t="s">
        <v>2679</v>
      </c>
      <c r="J10991" s="27" t="s">
        <v>2680</v>
      </c>
      <c r="L10991" s="27" t="s">
        <v>2810</v>
      </c>
      <c r="N10991" s="27" t="s">
        <v>14815</v>
      </c>
      <c r="P10991" s="27" t="s">
        <v>14819</v>
      </c>
      <c r="Q10991" s="26" t="str">
        <f>HYPERLINK("https://ictv.global/taxonomy/taxondetails?taxnode_id=202516396&amp;ictv_id=ICTV202316396","ICTV202316396")</f>
        <v>ICTV202316396</v>
      </c>
      <c r="R10991" t="s">
        <v>581</v>
      </c>
      <c r="S10991" t="s">
        <v>823</v>
      </c>
      <c r="T10991">
        <v>39</v>
      </c>
      <c r="U10991" s="26" t="str">
        <f t="shared" si="401"/>
        <v>2023.001B.Leviviricetes_reorg.zip</v>
      </c>
    </row>
    <row r="10992" spans="1:21">
      <c r="A10992">
        <v>10991</v>
      </c>
      <c r="B10992" s="27" t="s">
        <v>1124</v>
      </c>
      <c r="D10992" s="27" t="s">
        <v>1859</v>
      </c>
      <c r="F10992" s="27" t="s">
        <v>1881</v>
      </c>
      <c r="H10992" s="27" t="s">
        <v>2679</v>
      </c>
      <c r="J10992" s="27" t="s">
        <v>2680</v>
      </c>
      <c r="L10992" s="27" t="s">
        <v>2810</v>
      </c>
      <c r="N10992" s="27" t="s">
        <v>14820</v>
      </c>
      <c r="P10992" s="27" t="s">
        <v>14821</v>
      </c>
      <c r="Q10992" s="26" t="str">
        <f>HYPERLINK("https://ictv.global/taxonomy/taxondetails?taxnode_id=202516397&amp;ictv_id=ICTV202316397","ICTV202316397")</f>
        <v>ICTV202316397</v>
      </c>
      <c r="R10992" t="s">
        <v>581</v>
      </c>
      <c r="S10992" t="s">
        <v>823</v>
      </c>
      <c r="T10992">
        <v>39</v>
      </c>
      <c r="U10992" s="26" t="str">
        <f t="shared" si="401"/>
        <v>2023.001B.Leviviricetes_reorg.zip</v>
      </c>
    </row>
    <row r="10993" spans="1:21">
      <c r="A10993">
        <v>10992</v>
      </c>
      <c r="B10993" s="27" t="s">
        <v>1124</v>
      </c>
      <c r="D10993" s="27" t="s">
        <v>1859</v>
      </c>
      <c r="F10993" s="27" t="s">
        <v>1881</v>
      </c>
      <c r="H10993" s="27" t="s">
        <v>2679</v>
      </c>
      <c r="J10993" s="27" t="s">
        <v>2680</v>
      </c>
      <c r="L10993" s="27" t="s">
        <v>2810</v>
      </c>
      <c r="N10993" s="27" t="s">
        <v>14820</v>
      </c>
      <c r="P10993" s="27" t="s">
        <v>14822</v>
      </c>
      <c r="Q10993" s="26" t="str">
        <f>HYPERLINK("https://ictv.global/taxonomy/taxondetails?taxnode_id=202516398&amp;ictv_id=ICTV202316398","ICTV202316398")</f>
        <v>ICTV202316398</v>
      </c>
      <c r="R10993" t="s">
        <v>581</v>
      </c>
      <c r="S10993" t="s">
        <v>823</v>
      </c>
      <c r="T10993">
        <v>39</v>
      </c>
      <c r="U10993" s="26" t="str">
        <f t="shared" si="401"/>
        <v>2023.001B.Leviviricetes_reorg.zip</v>
      </c>
    </row>
    <row r="10994" spans="1:21">
      <c r="A10994">
        <v>10993</v>
      </c>
      <c r="B10994" s="27" t="s">
        <v>1124</v>
      </c>
      <c r="D10994" s="27" t="s">
        <v>1859</v>
      </c>
      <c r="F10994" s="27" t="s">
        <v>1881</v>
      </c>
      <c r="H10994" s="27" t="s">
        <v>2679</v>
      </c>
      <c r="J10994" s="27" t="s">
        <v>2680</v>
      </c>
      <c r="L10994" s="27" t="s">
        <v>2810</v>
      </c>
      <c r="N10994" s="27" t="s">
        <v>14823</v>
      </c>
      <c r="P10994" s="27" t="s">
        <v>14824</v>
      </c>
      <c r="Q10994" s="26" t="str">
        <f>HYPERLINK("https://ictv.global/taxonomy/taxondetails?taxnode_id=202516399&amp;ictv_id=ICTV202316399","ICTV202316399")</f>
        <v>ICTV202316399</v>
      </c>
      <c r="R10994" t="s">
        <v>581</v>
      </c>
      <c r="S10994" t="s">
        <v>823</v>
      </c>
      <c r="T10994">
        <v>39</v>
      </c>
      <c r="U10994" s="26" t="str">
        <f t="shared" si="401"/>
        <v>2023.001B.Leviviricetes_reorg.zip</v>
      </c>
    </row>
    <row r="10995" spans="1:21">
      <c r="A10995">
        <v>10994</v>
      </c>
      <c r="B10995" s="27" t="s">
        <v>1124</v>
      </c>
      <c r="D10995" s="27" t="s">
        <v>1859</v>
      </c>
      <c r="F10995" s="27" t="s">
        <v>1881</v>
      </c>
      <c r="H10995" s="27" t="s">
        <v>2679</v>
      </c>
      <c r="J10995" s="27" t="s">
        <v>2680</v>
      </c>
      <c r="L10995" s="27" t="s">
        <v>2810</v>
      </c>
      <c r="N10995" s="27" t="s">
        <v>14825</v>
      </c>
      <c r="P10995" s="27" t="s">
        <v>14826</v>
      </c>
      <c r="Q10995" s="26" t="str">
        <f>HYPERLINK("https://ictv.global/taxonomy/taxondetails?taxnode_id=202510491&amp;ictv_id=ICTV202010491","ICTV202010491")</f>
        <v>ICTV202010491</v>
      </c>
      <c r="R10995" t="s">
        <v>581</v>
      </c>
      <c r="S10995" t="s">
        <v>22764</v>
      </c>
      <c r="T10995">
        <v>39</v>
      </c>
      <c r="U10995" s="26" t="str">
        <f t="shared" si="401"/>
        <v>2023.001B.Leviviricetes_reorg.zip</v>
      </c>
    </row>
    <row r="10996" spans="1:21">
      <c r="A10996">
        <v>10995</v>
      </c>
      <c r="B10996" s="27" t="s">
        <v>1124</v>
      </c>
      <c r="D10996" s="27" t="s">
        <v>1859</v>
      </c>
      <c r="F10996" s="27" t="s">
        <v>1881</v>
      </c>
      <c r="H10996" s="27" t="s">
        <v>2679</v>
      </c>
      <c r="J10996" s="27" t="s">
        <v>2680</v>
      </c>
      <c r="L10996" s="27" t="s">
        <v>2810</v>
      </c>
      <c r="N10996" s="27" t="s">
        <v>2979</v>
      </c>
      <c r="P10996" s="27" t="s">
        <v>2980</v>
      </c>
      <c r="Q10996" s="26" t="str">
        <f>HYPERLINK("https://ictv.global/taxonomy/taxondetails?taxnode_id=202510435&amp;ictv_id=ICTV202010435","ICTV202010435")</f>
        <v>ICTV202010435</v>
      </c>
      <c r="R10996" t="s">
        <v>581</v>
      </c>
      <c r="S10996" t="s">
        <v>823</v>
      </c>
      <c r="T10996">
        <v>36</v>
      </c>
      <c r="U10996" s="26" t="str">
        <f>HYPERLINK("https://ictv.global/ictv/proposals/2020.095B.R.Leviviricetes.zip","2020.095B.R.Leviviricetes.zip")</f>
        <v>2020.095B.R.Leviviricetes.zip</v>
      </c>
    </row>
    <row r="10997" spans="1:21">
      <c r="A10997">
        <v>10996</v>
      </c>
      <c r="B10997" s="27" t="s">
        <v>1124</v>
      </c>
      <c r="D10997" s="27" t="s">
        <v>1859</v>
      </c>
      <c r="F10997" s="27" t="s">
        <v>1881</v>
      </c>
      <c r="H10997" s="27" t="s">
        <v>2679</v>
      </c>
      <c r="J10997" s="27" t="s">
        <v>2680</v>
      </c>
      <c r="L10997" s="27" t="s">
        <v>2810</v>
      </c>
      <c r="N10997" s="27" t="s">
        <v>14827</v>
      </c>
      <c r="P10997" s="27" t="s">
        <v>14828</v>
      </c>
      <c r="Q10997" s="26" t="str">
        <f>HYPERLINK("https://ictv.global/taxonomy/taxondetails?taxnode_id=202516400&amp;ictv_id=ICTV202316400","ICTV202316400")</f>
        <v>ICTV202316400</v>
      </c>
      <c r="R10997" t="s">
        <v>581</v>
      </c>
      <c r="S10997" t="s">
        <v>823</v>
      </c>
      <c r="T10997">
        <v>39</v>
      </c>
      <c r="U10997" s="26" t="str">
        <f t="shared" ref="U10997:U11034" si="402">HYPERLINK("https://ictv.global/ictv/proposals/2023.001B.Leviviricetes_reorg.zip","2023.001B.Leviviricetes_reorg.zip")</f>
        <v>2023.001B.Leviviricetes_reorg.zip</v>
      </c>
    </row>
    <row r="10998" spans="1:21">
      <c r="A10998">
        <v>10997</v>
      </c>
      <c r="B10998" s="27" t="s">
        <v>1124</v>
      </c>
      <c r="D10998" s="27" t="s">
        <v>1859</v>
      </c>
      <c r="F10998" s="27" t="s">
        <v>1881</v>
      </c>
      <c r="H10998" s="27" t="s">
        <v>2679</v>
      </c>
      <c r="J10998" s="27" t="s">
        <v>2680</v>
      </c>
      <c r="L10998" s="27" t="s">
        <v>2810</v>
      </c>
      <c r="N10998" s="27" t="s">
        <v>14827</v>
      </c>
      <c r="P10998" s="27" t="s">
        <v>14829</v>
      </c>
      <c r="Q10998" s="26" t="str">
        <f>HYPERLINK("https://ictv.global/taxonomy/taxondetails?taxnode_id=202510271&amp;ictv_id=ICTV202010271","ICTV202010271")</f>
        <v>ICTV202010271</v>
      </c>
      <c r="R10998" t="s">
        <v>581</v>
      </c>
      <c r="S10998" t="s">
        <v>22764</v>
      </c>
      <c r="T10998">
        <v>39</v>
      </c>
      <c r="U10998" s="26" t="str">
        <f t="shared" si="402"/>
        <v>2023.001B.Leviviricetes_reorg.zip</v>
      </c>
    </row>
    <row r="10999" spans="1:21">
      <c r="A10999">
        <v>10998</v>
      </c>
      <c r="B10999" s="27" t="s">
        <v>1124</v>
      </c>
      <c r="D10999" s="27" t="s">
        <v>1859</v>
      </c>
      <c r="F10999" s="27" t="s">
        <v>1881</v>
      </c>
      <c r="H10999" s="27" t="s">
        <v>2679</v>
      </c>
      <c r="J10999" s="27" t="s">
        <v>2680</v>
      </c>
      <c r="L10999" s="27" t="s">
        <v>2810</v>
      </c>
      <c r="N10999" s="27" t="s">
        <v>14827</v>
      </c>
      <c r="P10999" s="27" t="s">
        <v>14830</v>
      </c>
      <c r="Q10999" s="26" t="str">
        <f>HYPERLINK("https://ictv.global/taxonomy/taxondetails?taxnode_id=202510272&amp;ictv_id=ICTV202010272","ICTV202010272")</f>
        <v>ICTV202010272</v>
      </c>
      <c r="R10999" t="s">
        <v>581</v>
      </c>
      <c r="S10999" t="s">
        <v>22764</v>
      </c>
      <c r="T10999">
        <v>39</v>
      </c>
      <c r="U10999" s="26" t="str">
        <f t="shared" si="402"/>
        <v>2023.001B.Leviviricetes_reorg.zip</v>
      </c>
    </row>
    <row r="11000" spans="1:21">
      <c r="A11000">
        <v>10999</v>
      </c>
      <c r="B11000" s="27" t="s">
        <v>1124</v>
      </c>
      <c r="D11000" s="27" t="s">
        <v>1859</v>
      </c>
      <c r="F11000" s="27" t="s">
        <v>1881</v>
      </c>
      <c r="H11000" s="27" t="s">
        <v>2679</v>
      </c>
      <c r="J11000" s="27" t="s">
        <v>2680</v>
      </c>
      <c r="L11000" s="27" t="s">
        <v>2810</v>
      </c>
      <c r="N11000" s="27" t="s">
        <v>14827</v>
      </c>
      <c r="P11000" s="27" t="s">
        <v>14831</v>
      </c>
      <c r="Q11000" s="26" t="str">
        <f>HYPERLINK("https://ictv.global/taxonomy/taxondetails?taxnode_id=202510273&amp;ictv_id=ICTV202010273","ICTV202010273")</f>
        <v>ICTV202010273</v>
      </c>
      <c r="R11000" t="s">
        <v>581</v>
      </c>
      <c r="S11000" t="s">
        <v>22764</v>
      </c>
      <c r="T11000">
        <v>39</v>
      </c>
      <c r="U11000" s="26" t="str">
        <f t="shared" si="402"/>
        <v>2023.001B.Leviviricetes_reorg.zip</v>
      </c>
    </row>
    <row r="11001" spans="1:21">
      <c r="A11001">
        <v>11000</v>
      </c>
      <c r="B11001" s="27" t="s">
        <v>1124</v>
      </c>
      <c r="D11001" s="27" t="s">
        <v>1859</v>
      </c>
      <c r="F11001" s="27" t="s">
        <v>1881</v>
      </c>
      <c r="H11001" s="27" t="s">
        <v>2679</v>
      </c>
      <c r="J11001" s="27" t="s">
        <v>2680</v>
      </c>
      <c r="L11001" s="27" t="s">
        <v>2810</v>
      </c>
      <c r="N11001" s="27" t="s">
        <v>14827</v>
      </c>
      <c r="P11001" s="27" t="s">
        <v>14832</v>
      </c>
      <c r="Q11001" s="26" t="str">
        <f>HYPERLINK("https://ictv.global/taxonomy/taxondetails?taxnode_id=202510274&amp;ictv_id=ICTV202010274","ICTV202010274")</f>
        <v>ICTV202010274</v>
      </c>
      <c r="R11001" t="s">
        <v>581</v>
      </c>
      <c r="S11001" t="s">
        <v>22764</v>
      </c>
      <c r="T11001">
        <v>39</v>
      </c>
      <c r="U11001" s="26" t="str">
        <f t="shared" si="402"/>
        <v>2023.001B.Leviviricetes_reorg.zip</v>
      </c>
    </row>
    <row r="11002" spans="1:21">
      <c r="A11002">
        <v>11001</v>
      </c>
      <c r="B11002" s="27" t="s">
        <v>1124</v>
      </c>
      <c r="D11002" s="27" t="s">
        <v>1859</v>
      </c>
      <c r="F11002" s="27" t="s">
        <v>1881</v>
      </c>
      <c r="H11002" s="27" t="s">
        <v>2679</v>
      </c>
      <c r="J11002" s="27" t="s">
        <v>2680</v>
      </c>
      <c r="L11002" s="27" t="s">
        <v>2810</v>
      </c>
      <c r="N11002" s="27" t="s">
        <v>14827</v>
      </c>
      <c r="P11002" s="27" t="s">
        <v>14833</v>
      </c>
      <c r="Q11002" s="26" t="str">
        <f>HYPERLINK("https://ictv.global/taxonomy/taxondetails?taxnode_id=202510275&amp;ictv_id=ICTV202010275","ICTV202010275")</f>
        <v>ICTV202010275</v>
      </c>
      <c r="R11002" t="s">
        <v>581</v>
      </c>
      <c r="S11002" t="s">
        <v>22764</v>
      </c>
      <c r="T11002">
        <v>39</v>
      </c>
      <c r="U11002" s="26" t="str">
        <f t="shared" si="402"/>
        <v>2023.001B.Leviviricetes_reorg.zip</v>
      </c>
    </row>
    <row r="11003" spans="1:21">
      <c r="A11003">
        <v>11002</v>
      </c>
      <c r="B11003" s="27" t="s">
        <v>1124</v>
      </c>
      <c r="D11003" s="27" t="s">
        <v>1859</v>
      </c>
      <c r="F11003" s="27" t="s">
        <v>1881</v>
      </c>
      <c r="H11003" s="27" t="s">
        <v>2679</v>
      </c>
      <c r="J11003" s="27" t="s">
        <v>2680</v>
      </c>
      <c r="L11003" s="27" t="s">
        <v>2810</v>
      </c>
      <c r="N11003" s="27" t="s">
        <v>14827</v>
      </c>
      <c r="P11003" s="27" t="s">
        <v>14834</v>
      </c>
      <c r="Q11003" s="26" t="str">
        <f>HYPERLINK("https://ictv.global/taxonomy/taxondetails?taxnode_id=202516401&amp;ictv_id=ICTV202316401","ICTV202316401")</f>
        <v>ICTV202316401</v>
      </c>
      <c r="R11003" t="s">
        <v>581</v>
      </c>
      <c r="S11003" t="s">
        <v>823</v>
      </c>
      <c r="T11003">
        <v>39</v>
      </c>
      <c r="U11003" s="26" t="str">
        <f t="shared" si="402"/>
        <v>2023.001B.Leviviricetes_reorg.zip</v>
      </c>
    </row>
    <row r="11004" spans="1:21">
      <c r="A11004">
        <v>11003</v>
      </c>
      <c r="B11004" s="27" t="s">
        <v>1124</v>
      </c>
      <c r="D11004" s="27" t="s">
        <v>1859</v>
      </c>
      <c r="F11004" s="27" t="s">
        <v>1881</v>
      </c>
      <c r="H11004" s="27" t="s">
        <v>2679</v>
      </c>
      <c r="J11004" s="27" t="s">
        <v>2680</v>
      </c>
      <c r="L11004" s="27" t="s">
        <v>2810</v>
      </c>
      <c r="N11004" s="27" t="s">
        <v>14827</v>
      </c>
      <c r="P11004" s="27" t="s">
        <v>14835</v>
      </c>
      <c r="Q11004" s="26" t="str">
        <f>HYPERLINK("https://ictv.global/taxonomy/taxondetails?taxnode_id=202510269&amp;ictv_id=ICTV202010269","ICTV202010269")</f>
        <v>ICTV202010269</v>
      </c>
      <c r="R11004" t="s">
        <v>581</v>
      </c>
      <c r="S11004" t="s">
        <v>22764</v>
      </c>
      <c r="T11004">
        <v>39</v>
      </c>
      <c r="U11004" s="26" t="str">
        <f t="shared" si="402"/>
        <v>2023.001B.Leviviricetes_reorg.zip</v>
      </c>
    </row>
    <row r="11005" spans="1:21">
      <c r="A11005">
        <v>11004</v>
      </c>
      <c r="B11005" s="27" t="s">
        <v>1124</v>
      </c>
      <c r="D11005" s="27" t="s">
        <v>1859</v>
      </c>
      <c r="F11005" s="27" t="s">
        <v>1881</v>
      </c>
      <c r="H11005" s="27" t="s">
        <v>2679</v>
      </c>
      <c r="J11005" s="27" t="s">
        <v>2680</v>
      </c>
      <c r="L11005" s="27" t="s">
        <v>2810</v>
      </c>
      <c r="N11005" s="27" t="s">
        <v>14827</v>
      </c>
      <c r="P11005" s="27" t="s">
        <v>14836</v>
      </c>
      <c r="Q11005" s="26" t="str">
        <f>HYPERLINK("https://ictv.global/taxonomy/taxondetails?taxnode_id=202516402&amp;ictv_id=ICTV202316402","ICTV202316402")</f>
        <v>ICTV202316402</v>
      </c>
      <c r="R11005" t="s">
        <v>581</v>
      </c>
      <c r="S11005" t="s">
        <v>823</v>
      </c>
      <c r="T11005">
        <v>39</v>
      </c>
      <c r="U11005" s="26" t="str">
        <f t="shared" si="402"/>
        <v>2023.001B.Leviviricetes_reorg.zip</v>
      </c>
    </row>
    <row r="11006" spans="1:21">
      <c r="A11006">
        <v>11005</v>
      </c>
      <c r="B11006" s="27" t="s">
        <v>1124</v>
      </c>
      <c r="D11006" s="27" t="s">
        <v>1859</v>
      </c>
      <c r="F11006" s="27" t="s">
        <v>1881</v>
      </c>
      <c r="H11006" s="27" t="s">
        <v>2679</v>
      </c>
      <c r="J11006" s="27" t="s">
        <v>2680</v>
      </c>
      <c r="L11006" s="27" t="s">
        <v>2810</v>
      </c>
      <c r="N11006" s="27" t="s">
        <v>14827</v>
      </c>
      <c r="P11006" s="27" t="s">
        <v>14837</v>
      </c>
      <c r="Q11006" s="26" t="str">
        <f>HYPERLINK("https://ictv.global/taxonomy/taxondetails?taxnode_id=202516403&amp;ictv_id=ICTV202316403","ICTV202316403")</f>
        <v>ICTV202316403</v>
      </c>
      <c r="R11006" t="s">
        <v>581</v>
      </c>
      <c r="S11006" t="s">
        <v>823</v>
      </c>
      <c r="T11006">
        <v>39</v>
      </c>
      <c r="U11006" s="26" t="str">
        <f t="shared" si="402"/>
        <v>2023.001B.Leviviricetes_reorg.zip</v>
      </c>
    </row>
    <row r="11007" spans="1:21">
      <c r="A11007">
        <v>11006</v>
      </c>
      <c r="B11007" s="27" t="s">
        <v>1124</v>
      </c>
      <c r="D11007" s="27" t="s">
        <v>1859</v>
      </c>
      <c r="F11007" s="27" t="s">
        <v>1881</v>
      </c>
      <c r="H11007" s="27" t="s">
        <v>2679</v>
      </c>
      <c r="J11007" s="27" t="s">
        <v>2680</v>
      </c>
      <c r="L11007" s="27" t="s">
        <v>2810</v>
      </c>
      <c r="N11007" s="27" t="s">
        <v>14827</v>
      </c>
      <c r="P11007" s="27" t="s">
        <v>14838</v>
      </c>
      <c r="Q11007" s="26" t="str">
        <f>HYPERLINK("https://ictv.global/taxonomy/taxondetails?taxnode_id=202516404&amp;ictv_id=ICTV202316404","ICTV202316404")</f>
        <v>ICTV202316404</v>
      </c>
      <c r="R11007" t="s">
        <v>581</v>
      </c>
      <c r="S11007" t="s">
        <v>823</v>
      </c>
      <c r="T11007">
        <v>39</v>
      </c>
      <c r="U11007" s="26" t="str">
        <f t="shared" si="402"/>
        <v>2023.001B.Leviviricetes_reorg.zip</v>
      </c>
    </row>
    <row r="11008" spans="1:21">
      <c r="A11008">
        <v>11007</v>
      </c>
      <c r="B11008" s="27" t="s">
        <v>1124</v>
      </c>
      <c r="D11008" s="27" t="s">
        <v>1859</v>
      </c>
      <c r="F11008" s="27" t="s">
        <v>1881</v>
      </c>
      <c r="H11008" s="27" t="s">
        <v>2679</v>
      </c>
      <c r="J11008" s="27" t="s">
        <v>2680</v>
      </c>
      <c r="L11008" s="27" t="s">
        <v>2810</v>
      </c>
      <c r="N11008" s="27" t="s">
        <v>14827</v>
      </c>
      <c r="P11008" s="27" t="s">
        <v>14839</v>
      </c>
      <c r="Q11008" s="26" t="str">
        <f>HYPERLINK("https://ictv.global/taxonomy/taxondetails?taxnode_id=202516405&amp;ictv_id=ICTV202316405","ICTV202316405")</f>
        <v>ICTV202316405</v>
      </c>
      <c r="R11008" t="s">
        <v>581</v>
      </c>
      <c r="S11008" t="s">
        <v>823</v>
      </c>
      <c r="T11008">
        <v>39</v>
      </c>
      <c r="U11008" s="26" t="str">
        <f t="shared" si="402"/>
        <v>2023.001B.Leviviricetes_reorg.zip</v>
      </c>
    </row>
    <row r="11009" spans="1:21">
      <c r="A11009">
        <v>11008</v>
      </c>
      <c r="B11009" s="27" t="s">
        <v>1124</v>
      </c>
      <c r="D11009" s="27" t="s">
        <v>1859</v>
      </c>
      <c r="F11009" s="27" t="s">
        <v>1881</v>
      </c>
      <c r="H11009" s="27" t="s">
        <v>2679</v>
      </c>
      <c r="J11009" s="27" t="s">
        <v>2680</v>
      </c>
      <c r="L11009" s="27" t="s">
        <v>2810</v>
      </c>
      <c r="N11009" s="27" t="s">
        <v>14827</v>
      </c>
      <c r="P11009" s="27" t="s">
        <v>14840</v>
      </c>
      <c r="Q11009" s="26" t="str">
        <f>HYPERLINK("https://ictv.global/taxonomy/taxondetails?taxnode_id=202510276&amp;ictv_id=ICTV202010276","ICTV202010276")</f>
        <v>ICTV202010276</v>
      </c>
      <c r="R11009" t="s">
        <v>581</v>
      </c>
      <c r="S11009" t="s">
        <v>22764</v>
      </c>
      <c r="T11009">
        <v>39</v>
      </c>
      <c r="U11009" s="26" t="str">
        <f t="shared" si="402"/>
        <v>2023.001B.Leviviricetes_reorg.zip</v>
      </c>
    </row>
    <row r="11010" spans="1:21">
      <c r="A11010">
        <v>11009</v>
      </c>
      <c r="B11010" s="27" t="s">
        <v>1124</v>
      </c>
      <c r="D11010" s="27" t="s">
        <v>1859</v>
      </c>
      <c r="F11010" s="27" t="s">
        <v>1881</v>
      </c>
      <c r="H11010" s="27" t="s">
        <v>2679</v>
      </c>
      <c r="J11010" s="27" t="s">
        <v>2680</v>
      </c>
      <c r="L11010" s="27" t="s">
        <v>2810</v>
      </c>
      <c r="N11010" s="27" t="s">
        <v>14827</v>
      </c>
      <c r="P11010" s="27" t="s">
        <v>14841</v>
      </c>
      <c r="Q11010" s="26" t="str">
        <f>HYPERLINK("https://ictv.global/taxonomy/taxondetails?taxnode_id=202516406&amp;ictv_id=ICTV202316406","ICTV202316406")</f>
        <v>ICTV202316406</v>
      </c>
      <c r="R11010" t="s">
        <v>581</v>
      </c>
      <c r="S11010" t="s">
        <v>823</v>
      </c>
      <c r="T11010">
        <v>39</v>
      </c>
      <c r="U11010" s="26" t="str">
        <f t="shared" si="402"/>
        <v>2023.001B.Leviviricetes_reorg.zip</v>
      </c>
    </row>
    <row r="11011" spans="1:21">
      <c r="A11011">
        <v>11010</v>
      </c>
      <c r="B11011" s="27" t="s">
        <v>1124</v>
      </c>
      <c r="D11011" s="27" t="s">
        <v>1859</v>
      </c>
      <c r="F11011" s="27" t="s">
        <v>1881</v>
      </c>
      <c r="H11011" s="27" t="s">
        <v>2679</v>
      </c>
      <c r="J11011" s="27" t="s">
        <v>2680</v>
      </c>
      <c r="L11011" s="27" t="s">
        <v>2810</v>
      </c>
      <c r="N11011" s="27" t="s">
        <v>14827</v>
      </c>
      <c r="P11011" s="27" t="s">
        <v>14842</v>
      </c>
      <c r="Q11011" s="26" t="str">
        <f>HYPERLINK("https://ictv.global/taxonomy/taxondetails?taxnode_id=202516407&amp;ictv_id=ICTV202316407","ICTV202316407")</f>
        <v>ICTV202316407</v>
      </c>
      <c r="R11011" t="s">
        <v>581</v>
      </c>
      <c r="S11011" t="s">
        <v>823</v>
      </c>
      <c r="T11011">
        <v>39</v>
      </c>
      <c r="U11011" s="26" t="str">
        <f t="shared" si="402"/>
        <v>2023.001B.Leviviricetes_reorg.zip</v>
      </c>
    </row>
    <row r="11012" spans="1:21">
      <c r="A11012">
        <v>11011</v>
      </c>
      <c r="B11012" s="27" t="s">
        <v>1124</v>
      </c>
      <c r="D11012" s="27" t="s">
        <v>1859</v>
      </c>
      <c r="F11012" s="27" t="s">
        <v>1881</v>
      </c>
      <c r="H11012" s="27" t="s">
        <v>2679</v>
      </c>
      <c r="J11012" s="27" t="s">
        <v>2680</v>
      </c>
      <c r="L11012" s="27" t="s">
        <v>2810</v>
      </c>
      <c r="N11012" s="27" t="s">
        <v>14827</v>
      </c>
      <c r="P11012" s="27" t="s">
        <v>14843</v>
      </c>
      <c r="Q11012" s="26" t="str">
        <f>HYPERLINK("https://ictv.global/taxonomy/taxondetails?taxnode_id=202516408&amp;ictv_id=ICTV202316408","ICTV202316408")</f>
        <v>ICTV202316408</v>
      </c>
      <c r="R11012" t="s">
        <v>581</v>
      </c>
      <c r="S11012" t="s">
        <v>823</v>
      </c>
      <c r="T11012">
        <v>39</v>
      </c>
      <c r="U11012" s="26" t="str">
        <f t="shared" si="402"/>
        <v>2023.001B.Leviviricetes_reorg.zip</v>
      </c>
    </row>
    <row r="11013" spans="1:21">
      <c r="A11013">
        <v>11012</v>
      </c>
      <c r="B11013" s="27" t="s">
        <v>1124</v>
      </c>
      <c r="D11013" s="27" t="s">
        <v>1859</v>
      </c>
      <c r="F11013" s="27" t="s">
        <v>1881</v>
      </c>
      <c r="H11013" s="27" t="s">
        <v>2679</v>
      </c>
      <c r="J11013" s="27" t="s">
        <v>2680</v>
      </c>
      <c r="L11013" s="27" t="s">
        <v>2810</v>
      </c>
      <c r="N11013" s="27" t="s">
        <v>14827</v>
      </c>
      <c r="P11013" s="27" t="s">
        <v>14844</v>
      </c>
      <c r="Q11013" s="26" t="str">
        <f>HYPERLINK("https://ictv.global/taxonomy/taxondetails?taxnode_id=202516409&amp;ictv_id=ICTV202316409","ICTV202316409")</f>
        <v>ICTV202316409</v>
      </c>
      <c r="R11013" t="s">
        <v>581</v>
      </c>
      <c r="S11013" t="s">
        <v>823</v>
      </c>
      <c r="T11013">
        <v>39</v>
      </c>
      <c r="U11013" s="26" t="str">
        <f t="shared" si="402"/>
        <v>2023.001B.Leviviricetes_reorg.zip</v>
      </c>
    </row>
    <row r="11014" spans="1:21">
      <c r="A11014">
        <v>11013</v>
      </c>
      <c r="B11014" s="27" t="s">
        <v>1124</v>
      </c>
      <c r="D11014" s="27" t="s">
        <v>1859</v>
      </c>
      <c r="F11014" s="27" t="s">
        <v>1881</v>
      </c>
      <c r="H11014" s="27" t="s">
        <v>2679</v>
      </c>
      <c r="J11014" s="27" t="s">
        <v>2680</v>
      </c>
      <c r="L11014" s="27" t="s">
        <v>2810</v>
      </c>
      <c r="N11014" s="27" t="s">
        <v>14827</v>
      </c>
      <c r="P11014" s="27" t="s">
        <v>14845</v>
      </c>
      <c r="Q11014" s="26" t="str">
        <f>HYPERLINK("https://ictv.global/taxonomy/taxondetails?taxnode_id=202516410&amp;ictv_id=ICTV202316410","ICTV202316410")</f>
        <v>ICTV202316410</v>
      </c>
      <c r="R11014" t="s">
        <v>581</v>
      </c>
      <c r="S11014" t="s">
        <v>823</v>
      </c>
      <c r="T11014">
        <v>39</v>
      </c>
      <c r="U11014" s="26" t="str">
        <f t="shared" si="402"/>
        <v>2023.001B.Leviviricetes_reorg.zip</v>
      </c>
    </row>
    <row r="11015" spans="1:21">
      <c r="A11015">
        <v>11014</v>
      </c>
      <c r="B11015" s="27" t="s">
        <v>1124</v>
      </c>
      <c r="D11015" s="27" t="s">
        <v>1859</v>
      </c>
      <c r="F11015" s="27" t="s">
        <v>1881</v>
      </c>
      <c r="H11015" s="27" t="s">
        <v>2679</v>
      </c>
      <c r="J11015" s="27" t="s">
        <v>2680</v>
      </c>
      <c r="L11015" s="27" t="s">
        <v>2810</v>
      </c>
      <c r="N11015" s="27" t="s">
        <v>14846</v>
      </c>
      <c r="P11015" s="27" t="s">
        <v>14847</v>
      </c>
      <c r="Q11015" s="26" t="str">
        <f>HYPERLINK("https://ictv.global/taxonomy/taxondetails?taxnode_id=202516411&amp;ictv_id=ICTV202316411","ICTV202316411")</f>
        <v>ICTV202316411</v>
      </c>
      <c r="R11015" t="s">
        <v>581</v>
      </c>
      <c r="S11015" t="s">
        <v>823</v>
      </c>
      <c r="T11015">
        <v>39</v>
      </c>
      <c r="U11015" s="26" t="str">
        <f t="shared" si="402"/>
        <v>2023.001B.Leviviricetes_reorg.zip</v>
      </c>
    </row>
    <row r="11016" spans="1:21">
      <c r="A11016">
        <v>11015</v>
      </c>
      <c r="B11016" s="27" t="s">
        <v>1124</v>
      </c>
      <c r="D11016" s="27" t="s">
        <v>1859</v>
      </c>
      <c r="F11016" s="27" t="s">
        <v>1881</v>
      </c>
      <c r="H11016" s="27" t="s">
        <v>2679</v>
      </c>
      <c r="J11016" s="27" t="s">
        <v>2680</v>
      </c>
      <c r="L11016" s="27" t="s">
        <v>2810</v>
      </c>
      <c r="N11016" s="27" t="s">
        <v>14848</v>
      </c>
      <c r="P11016" s="27" t="s">
        <v>14849</v>
      </c>
      <c r="Q11016" s="26" t="str">
        <f>HYPERLINK("https://ictv.global/taxonomy/taxondetails?taxnode_id=202516412&amp;ictv_id=ICTV202316412","ICTV202316412")</f>
        <v>ICTV202316412</v>
      </c>
      <c r="R11016" t="s">
        <v>581</v>
      </c>
      <c r="S11016" t="s">
        <v>823</v>
      </c>
      <c r="T11016">
        <v>39</v>
      </c>
      <c r="U11016" s="26" t="str">
        <f t="shared" si="402"/>
        <v>2023.001B.Leviviricetes_reorg.zip</v>
      </c>
    </row>
    <row r="11017" spans="1:21">
      <c r="A11017">
        <v>11016</v>
      </c>
      <c r="B11017" s="27" t="s">
        <v>1124</v>
      </c>
      <c r="D11017" s="27" t="s">
        <v>1859</v>
      </c>
      <c r="F11017" s="27" t="s">
        <v>1881</v>
      </c>
      <c r="H11017" s="27" t="s">
        <v>2679</v>
      </c>
      <c r="J11017" s="27" t="s">
        <v>2680</v>
      </c>
      <c r="L11017" s="27" t="s">
        <v>2810</v>
      </c>
      <c r="N11017" s="27" t="s">
        <v>14850</v>
      </c>
      <c r="P11017" s="27" t="s">
        <v>14851</v>
      </c>
      <c r="Q11017" s="26" t="str">
        <f>HYPERLINK("https://ictv.global/taxonomy/taxondetails?taxnode_id=202516413&amp;ictv_id=ICTV202316413","ICTV202316413")</f>
        <v>ICTV202316413</v>
      </c>
      <c r="R11017" t="s">
        <v>581</v>
      </c>
      <c r="S11017" t="s">
        <v>823</v>
      </c>
      <c r="T11017">
        <v>39</v>
      </c>
      <c r="U11017" s="26" t="str">
        <f t="shared" si="402"/>
        <v>2023.001B.Leviviricetes_reorg.zip</v>
      </c>
    </row>
    <row r="11018" spans="1:21">
      <c r="A11018">
        <v>11017</v>
      </c>
      <c r="B11018" s="27" t="s">
        <v>1124</v>
      </c>
      <c r="D11018" s="27" t="s">
        <v>1859</v>
      </c>
      <c r="F11018" s="27" t="s">
        <v>1881</v>
      </c>
      <c r="H11018" s="27" t="s">
        <v>2679</v>
      </c>
      <c r="J11018" s="27" t="s">
        <v>2680</v>
      </c>
      <c r="L11018" s="27" t="s">
        <v>2810</v>
      </c>
      <c r="N11018" s="27" t="s">
        <v>14850</v>
      </c>
      <c r="P11018" s="27" t="s">
        <v>14852</v>
      </c>
      <c r="Q11018" s="26" t="str">
        <f>HYPERLINK("https://ictv.global/taxonomy/taxondetails?taxnode_id=202516414&amp;ictv_id=ICTV202316414","ICTV202316414")</f>
        <v>ICTV202316414</v>
      </c>
      <c r="R11018" t="s">
        <v>581</v>
      </c>
      <c r="S11018" t="s">
        <v>823</v>
      </c>
      <c r="T11018">
        <v>39</v>
      </c>
      <c r="U11018" s="26" t="str">
        <f t="shared" si="402"/>
        <v>2023.001B.Leviviricetes_reorg.zip</v>
      </c>
    </row>
    <row r="11019" spans="1:21">
      <c r="A11019">
        <v>11018</v>
      </c>
      <c r="B11019" s="27" t="s">
        <v>1124</v>
      </c>
      <c r="D11019" s="27" t="s">
        <v>1859</v>
      </c>
      <c r="F11019" s="27" t="s">
        <v>1881</v>
      </c>
      <c r="H11019" s="27" t="s">
        <v>2679</v>
      </c>
      <c r="J11019" s="27" t="s">
        <v>2680</v>
      </c>
      <c r="L11019" s="27" t="s">
        <v>2810</v>
      </c>
      <c r="N11019" s="27" t="s">
        <v>14850</v>
      </c>
      <c r="P11019" s="27" t="s">
        <v>14853</v>
      </c>
      <c r="Q11019" s="26" t="str">
        <f>HYPERLINK("https://ictv.global/taxonomy/taxondetails?taxnode_id=202516415&amp;ictv_id=ICTV202316415","ICTV202316415")</f>
        <v>ICTV202316415</v>
      </c>
      <c r="R11019" t="s">
        <v>581</v>
      </c>
      <c r="S11019" t="s">
        <v>823</v>
      </c>
      <c r="T11019">
        <v>39</v>
      </c>
      <c r="U11019" s="26" t="str">
        <f t="shared" si="402"/>
        <v>2023.001B.Leviviricetes_reorg.zip</v>
      </c>
    </row>
    <row r="11020" spans="1:21">
      <c r="A11020">
        <v>11019</v>
      </c>
      <c r="B11020" s="27" t="s">
        <v>1124</v>
      </c>
      <c r="D11020" s="27" t="s">
        <v>1859</v>
      </c>
      <c r="F11020" s="27" t="s">
        <v>1881</v>
      </c>
      <c r="H11020" s="27" t="s">
        <v>2679</v>
      </c>
      <c r="J11020" s="27" t="s">
        <v>2680</v>
      </c>
      <c r="L11020" s="27" t="s">
        <v>2810</v>
      </c>
      <c r="N11020" s="27" t="s">
        <v>14850</v>
      </c>
      <c r="P11020" s="27" t="s">
        <v>14854</v>
      </c>
      <c r="Q11020" s="26" t="str">
        <f>HYPERLINK("https://ictv.global/taxonomy/taxondetails?taxnode_id=202516416&amp;ictv_id=ICTV202316416","ICTV202316416")</f>
        <v>ICTV202316416</v>
      </c>
      <c r="R11020" t="s">
        <v>581</v>
      </c>
      <c r="S11020" t="s">
        <v>823</v>
      </c>
      <c r="T11020">
        <v>39</v>
      </c>
      <c r="U11020" s="26" t="str">
        <f t="shared" si="402"/>
        <v>2023.001B.Leviviricetes_reorg.zip</v>
      </c>
    </row>
    <row r="11021" spans="1:21">
      <c r="A11021">
        <v>11020</v>
      </c>
      <c r="B11021" s="27" t="s">
        <v>1124</v>
      </c>
      <c r="D11021" s="27" t="s">
        <v>1859</v>
      </c>
      <c r="F11021" s="27" t="s">
        <v>1881</v>
      </c>
      <c r="H11021" s="27" t="s">
        <v>2679</v>
      </c>
      <c r="J11021" s="27" t="s">
        <v>2680</v>
      </c>
      <c r="L11021" s="27" t="s">
        <v>2810</v>
      </c>
      <c r="N11021" s="27" t="s">
        <v>14850</v>
      </c>
      <c r="P11021" s="27" t="s">
        <v>14855</v>
      </c>
      <c r="Q11021" s="26" t="str">
        <f>HYPERLINK("https://ictv.global/taxonomy/taxondetails?taxnode_id=202516417&amp;ictv_id=ICTV202316417","ICTV202316417")</f>
        <v>ICTV202316417</v>
      </c>
      <c r="R11021" t="s">
        <v>581</v>
      </c>
      <c r="S11021" t="s">
        <v>823</v>
      </c>
      <c r="T11021">
        <v>39</v>
      </c>
      <c r="U11021" s="26" t="str">
        <f t="shared" si="402"/>
        <v>2023.001B.Leviviricetes_reorg.zip</v>
      </c>
    </row>
    <row r="11022" spans="1:21">
      <c r="A11022">
        <v>11021</v>
      </c>
      <c r="B11022" s="27" t="s">
        <v>1124</v>
      </c>
      <c r="D11022" s="27" t="s">
        <v>1859</v>
      </c>
      <c r="F11022" s="27" t="s">
        <v>1881</v>
      </c>
      <c r="H11022" s="27" t="s">
        <v>2679</v>
      </c>
      <c r="J11022" s="27" t="s">
        <v>2680</v>
      </c>
      <c r="L11022" s="27" t="s">
        <v>2810</v>
      </c>
      <c r="N11022" s="27" t="s">
        <v>14850</v>
      </c>
      <c r="P11022" s="27" t="s">
        <v>14856</v>
      </c>
      <c r="Q11022" s="26" t="str">
        <f>HYPERLINK("https://ictv.global/taxonomy/taxondetails?taxnode_id=202516418&amp;ictv_id=ICTV202316418","ICTV202316418")</f>
        <v>ICTV202316418</v>
      </c>
      <c r="R11022" t="s">
        <v>581</v>
      </c>
      <c r="S11022" t="s">
        <v>823</v>
      </c>
      <c r="T11022">
        <v>39</v>
      </c>
      <c r="U11022" s="26" t="str">
        <f t="shared" si="402"/>
        <v>2023.001B.Leviviricetes_reorg.zip</v>
      </c>
    </row>
    <row r="11023" spans="1:21">
      <c r="A11023">
        <v>11022</v>
      </c>
      <c r="B11023" s="27" t="s">
        <v>1124</v>
      </c>
      <c r="D11023" s="27" t="s">
        <v>1859</v>
      </c>
      <c r="F11023" s="27" t="s">
        <v>1881</v>
      </c>
      <c r="H11023" s="27" t="s">
        <v>2679</v>
      </c>
      <c r="J11023" s="27" t="s">
        <v>2680</v>
      </c>
      <c r="L11023" s="27" t="s">
        <v>2810</v>
      </c>
      <c r="N11023" s="27" t="s">
        <v>14857</v>
      </c>
      <c r="P11023" s="27" t="s">
        <v>14858</v>
      </c>
      <c r="Q11023" s="26" t="str">
        <f>HYPERLINK("https://ictv.global/taxonomy/taxondetails?taxnode_id=202516419&amp;ictv_id=ICTV202316419","ICTV202316419")</f>
        <v>ICTV202316419</v>
      </c>
      <c r="R11023" t="s">
        <v>581</v>
      </c>
      <c r="S11023" t="s">
        <v>823</v>
      </c>
      <c r="T11023">
        <v>39</v>
      </c>
      <c r="U11023" s="26" t="str">
        <f t="shared" si="402"/>
        <v>2023.001B.Leviviricetes_reorg.zip</v>
      </c>
    </row>
    <row r="11024" spans="1:21">
      <c r="A11024">
        <v>11023</v>
      </c>
      <c r="B11024" s="27" t="s">
        <v>1124</v>
      </c>
      <c r="D11024" s="27" t="s">
        <v>1859</v>
      </c>
      <c r="F11024" s="27" t="s">
        <v>1881</v>
      </c>
      <c r="H11024" s="27" t="s">
        <v>2679</v>
      </c>
      <c r="J11024" s="27" t="s">
        <v>2680</v>
      </c>
      <c r="L11024" s="27" t="s">
        <v>2810</v>
      </c>
      <c r="N11024" s="27" t="s">
        <v>14857</v>
      </c>
      <c r="P11024" s="27" t="s">
        <v>14859</v>
      </c>
      <c r="Q11024" s="26" t="str">
        <f>HYPERLINK("https://ictv.global/taxonomy/taxondetails?taxnode_id=202516420&amp;ictv_id=ICTV202316420","ICTV202316420")</f>
        <v>ICTV202316420</v>
      </c>
      <c r="R11024" t="s">
        <v>581</v>
      </c>
      <c r="S11024" t="s">
        <v>823</v>
      </c>
      <c r="T11024">
        <v>39</v>
      </c>
      <c r="U11024" s="26" t="str">
        <f t="shared" si="402"/>
        <v>2023.001B.Leviviricetes_reorg.zip</v>
      </c>
    </row>
    <row r="11025" spans="1:21">
      <c r="A11025">
        <v>11024</v>
      </c>
      <c r="B11025" s="27" t="s">
        <v>1124</v>
      </c>
      <c r="D11025" s="27" t="s">
        <v>1859</v>
      </c>
      <c r="F11025" s="27" t="s">
        <v>1881</v>
      </c>
      <c r="H11025" s="27" t="s">
        <v>2679</v>
      </c>
      <c r="J11025" s="27" t="s">
        <v>2680</v>
      </c>
      <c r="L11025" s="27" t="s">
        <v>2810</v>
      </c>
      <c r="N11025" s="27" t="s">
        <v>14857</v>
      </c>
      <c r="P11025" s="27" t="s">
        <v>14860</v>
      </c>
      <c r="Q11025" s="26" t="str">
        <f>HYPERLINK("https://ictv.global/taxonomy/taxondetails?taxnode_id=202516421&amp;ictv_id=ICTV202316421","ICTV202316421")</f>
        <v>ICTV202316421</v>
      </c>
      <c r="R11025" t="s">
        <v>581</v>
      </c>
      <c r="S11025" t="s">
        <v>823</v>
      </c>
      <c r="T11025">
        <v>39</v>
      </c>
      <c r="U11025" s="26" t="str">
        <f t="shared" si="402"/>
        <v>2023.001B.Leviviricetes_reorg.zip</v>
      </c>
    </row>
    <row r="11026" spans="1:21">
      <c r="A11026">
        <v>11025</v>
      </c>
      <c r="B11026" s="27" t="s">
        <v>1124</v>
      </c>
      <c r="D11026" s="27" t="s">
        <v>1859</v>
      </c>
      <c r="F11026" s="27" t="s">
        <v>1881</v>
      </c>
      <c r="H11026" s="27" t="s">
        <v>2679</v>
      </c>
      <c r="J11026" s="27" t="s">
        <v>2680</v>
      </c>
      <c r="L11026" s="27" t="s">
        <v>2810</v>
      </c>
      <c r="N11026" s="27" t="s">
        <v>14857</v>
      </c>
      <c r="P11026" s="27" t="s">
        <v>14861</v>
      </c>
      <c r="Q11026" s="26" t="str">
        <f>HYPERLINK("https://ictv.global/taxonomy/taxondetails?taxnode_id=202516422&amp;ictv_id=ICTV202316422","ICTV202316422")</f>
        <v>ICTV202316422</v>
      </c>
      <c r="R11026" t="s">
        <v>581</v>
      </c>
      <c r="S11026" t="s">
        <v>823</v>
      </c>
      <c r="T11026">
        <v>39</v>
      </c>
      <c r="U11026" s="26" t="str">
        <f t="shared" si="402"/>
        <v>2023.001B.Leviviricetes_reorg.zip</v>
      </c>
    </row>
    <row r="11027" spans="1:21">
      <c r="A11027">
        <v>11026</v>
      </c>
      <c r="B11027" s="27" t="s">
        <v>1124</v>
      </c>
      <c r="D11027" s="27" t="s">
        <v>1859</v>
      </c>
      <c r="F11027" s="27" t="s">
        <v>1881</v>
      </c>
      <c r="H11027" s="27" t="s">
        <v>2679</v>
      </c>
      <c r="J11027" s="27" t="s">
        <v>2680</v>
      </c>
      <c r="L11027" s="27" t="s">
        <v>2810</v>
      </c>
      <c r="N11027" s="27" t="s">
        <v>14857</v>
      </c>
      <c r="P11027" s="27" t="s">
        <v>14862</v>
      </c>
      <c r="Q11027" s="26" t="str">
        <f>HYPERLINK("https://ictv.global/taxonomy/taxondetails?taxnode_id=202516423&amp;ictv_id=ICTV202316423","ICTV202316423")</f>
        <v>ICTV202316423</v>
      </c>
      <c r="R11027" t="s">
        <v>581</v>
      </c>
      <c r="S11027" t="s">
        <v>823</v>
      </c>
      <c r="T11027">
        <v>39</v>
      </c>
      <c r="U11027" s="26" t="str">
        <f t="shared" si="402"/>
        <v>2023.001B.Leviviricetes_reorg.zip</v>
      </c>
    </row>
    <row r="11028" spans="1:21">
      <c r="A11028">
        <v>11027</v>
      </c>
      <c r="B11028" s="27" t="s">
        <v>1124</v>
      </c>
      <c r="D11028" s="27" t="s">
        <v>1859</v>
      </c>
      <c r="F11028" s="27" t="s">
        <v>1881</v>
      </c>
      <c r="H11028" s="27" t="s">
        <v>2679</v>
      </c>
      <c r="J11028" s="27" t="s">
        <v>2680</v>
      </c>
      <c r="L11028" s="27" t="s">
        <v>2810</v>
      </c>
      <c r="N11028" s="27" t="s">
        <v>14857</v>
      </c>
      <c r="P11028" s="27" t="s">
        <v>14863</v>
      </c>
      <c r="Q11028" s="26" t="str">
        <f>HYPERLINK("https://ictv.global/taxonomy/taxondetails?taxnode_id=202516424&amp;ictv_id=ICTV202316424","ICTV202316424")</f>
        <v>ICTV202316424</v>
      </c>
      <c r="R11028" t="s">
        <v>581</v>
      </c>
      <c r="S11028" t="s">
        <v>823</v>
      </c>
      <c r="T11028">
        <v>39</v>
      </c>
      <c r="U11028" s="26" t="str">
        <f t="shared" si="402"/>
        <v>2023.001B.Leviviricetes_reorg.zip</v>
      </c>
    </row>
    <row r="11029" spans="1:21">
      <c r="A11029">
        <v>11028</v>
      </c>
      <c r="B11029" s="27" t="s">
        <v>1124</v>
      </c>
      <c r="D11029" s="27" t="s">
        <v>1859</v>
      </c>
      <c r="F11029" s="27" t="s">
        <v>1881</v>
      </c>
      <c r="H11029" s="27" t="s">
        <v>2679</v>
      </c>
      <c r="J11029" s="27" t="s">
        <v>2680</v>
      </c>
      <c r="L11029" s="27" t="s">
        <v>2810</v>
      </c>
      <c r="N11029" s="27" t="s">
        <v>14857</v>
      </c>
      <c r="P11029" s="27" t="s">
        <v>14864</v>
      </c>
      <c r="Q11029" s="26" t="str">
        <f>HYPERLINK("https://ictv.global/taxonomy/taxondetails?taxnode_id=202516425&amp;ictv_id=ICTV202316425","ICTV202316425")</f>
        <v>ICTV202316425</v>
      </c>
      <c r="R11029" t="s">
        <v>581</v>
      </c>
      <c r="S11029" t="s">
        <v>823</v>
      </c>
      <c r="T11029">
        <v>39</v>
      </c>
      <c r="U11029" s="26" t="str">
        <f t="shared" si="402"/>
        <v>2023.001B.Leviviricetes_reorg.zip</v>
      </c>
    </row>
    <row r="11030" spans="1:21">
      <c r="A11030">
        <v>11029</v>
      </c>
      <c r="B11030" s="27" t="s">
        <v>1124</v>
      </c>
      <c r="D11030" s="27" t="s">
        <v>1859</v>
      </c>
      <c r="F11030" s="27" t="s">
        <v>1881</v>
      </c>
      <c r="H11030" s="27" t="s">
        <v>2679</v>
      </c>
      <c r="J11030" s="27" t="s">
        <v>2680</v>
      </c>
      <c r="L11030" s="27" t="s">
        <v>2810</v>
      </c>
      <c r="N11030" s="27" t="s">
        <v>14857</v>
      </c>
      <c r="P11030" s="27" t="s">
        <v>14865</v>
      </c>
      <c r="Q11030" s="26" t="str">
        <f>HYPERLINK("https://ictv.global/taxonomy/taxondetails?taxnode_id=202516426&amp;ictv_id=ICTV202316426","ICTV202316426")</f>
        <v>ICTV202316426</v>
      </c>
      <c r="R11030" t="s">
        <v>581</v>
      </c>
      <c r="S11030" t="s">
        <v>823</v>
      </c>
      <c r="T11030">
        <v>39</v>
      </c>
      <c r="U11030" s="26" t="str">
        <f t="shared" si="402"/>
        <v>2023.001B.Leviviricetes_reorg.zip</v>
      </c>
    </row>
    <row r="11031" spans="1:21">
      <c r="A11031">
        <v>11030</v>
      </c>
      <c r="B11031" s="27" t="s">
        <v>1124</v>
      </c>
      <c r="D11031" s="27" t="s">
        <v>1859</v>
      </c>
      <c r="F11031" s="27" t="s">
        <v>1881</v>
      </c>
      <c r="H11031" s="27" t="s">
        <v>2679</v>
      </c>
      <c r="J11031" s="27" t="s">
        <v>2680</v>
      </c>
      <c r="L11031" s="27" t="s">
        <v>2810</v>
      </c>
      <c r="N11031" s="27" t="s">
        <v>14857</v>
      </c>
      <c r="P11031" s="27" t="s">
        <v>14866</v>
      </c>
      <c r="Q11031" s="26" t="str">
        <f>HYPERLINK("https://ictv.global/taxonomy/taxondetails?taxnode_id=202516427&amp;ictv_id=ICTV202316427","ICTV202316427")</f>
        <v>ICTV202316427</v>
      </c>
      <c r="R11031" t="s">
        <v>581</v>
      </c>
      <c r="S11031" t="s">
        <v>823</v>
      </c>
      <c r="T11031">
        <v>39</v>
      </c>
      <c r="U11031" s="26" t="str">
        <f t="shared" si="402"/>
        <v>2023.001B.Leviviricetes_reorg.zip</v>
      </c>
    </row>
    <row r="11032" spans="1:21">
      <c r="A11032">
        <v>11031</v>
      </c>
      <c r="B11032" s="27" t="s">
        <v>1124</v>
      </c>
      <c r="D11032" s="27" t="s">
        <v>1859</v>
      </c>
      <c r="F11032" s="27" t="s">
        <v>1881</v>
      </c>
      <c r="H11032" s="27" t="s">
        <v>2679</v>
      </c>
      <c r="J11032" s="27" t="s">
        <v>2680</v>
      </c>
      <c r="L11032" s="27" t="s">
        <v>2810</v>
      </c>
      <c r="N11032" s="27" t="s">
        <v>14857</v>
      </c>
      <c r="P11032" s="27" t="s">
        <v>14867</v>
      </c>
      <c r="Q11032" s="26" t="str">
        <f>HYPERLINK("https://ictv.global/taxonomy/taxondetails?taxnode_id=202516428&amp;ictv_id=ICTV202316428","ICTV202316428")</f>
        <v>ICTV202316428</v>
      </c>
      <c r="R11032" t="s">
        <v>581</v>
      </c>
      <c r="S11032" t="s">
        <v>823</v>
      </c>
      <c r="T11032">
        <v>39</v>
      </c>
      <c r="U11032" s="26" t="str">
        <f t="shared" si="402"/>
        <v>2023.001B.Leviviricetes_reorg.zip</v>
      </c>
    </row>
    <row r="11033" spans="1:21">
      <c r="A11033">
        <v>11032</v>
      </c>
      <c r="B11033" s="27" t="s">
        <v>1124</v>
      </c>
      <c r="D11033" s="27" t="s">
        <v>1859</v>
      </c>
      <c r="F11033" s="27" t="s">
        <v>1881</v>
      </c>
      <c r="H11033" s="27" t="s">
        <v>2679</v>
      </c>
      <c r="J11033" s="27" t="s">
        <v>2680</v>
      </c>
      <c r="L11033" s="27" t="s">
        <v>2810</v>
      </c>
      <c r="N11033" s="27" t="s">
        <v>14857</v>
      </c>
      <c r="P11033" s="27" t="s">
        <v>14868</v>
      </c>
      <c r="Q11033" s="26" t="str">
        <f>HYPERLINK("https://ictv.global/taxonomy/taxondetails?taxnode_id=202516429&amp;ictv_id=ICTV202316429","ICTV202316429")</f>
        <v>ICTV202316429</v>
      </c>
      <c r="R11033" t="s">
        <v>581</v>
      </c>
      <c r="S11033" t="s">
        <v>823</v>
      </c>
      <c r="T11033">
        <v>39</v>
      </c>
      <c r="U11033" s="26" t="str">
        <f t="shared" si="402"/>
        <v>2023.001B.Leviviricetes_reorg.zip</v>
      </c>
    </row>
    <row r="11034" spans="1:21">
      <c r="A11034">
        <v>11033</v>
      </c>
      <c r="B11034" s="27" t="s">
        <v>1124</v>
      </c>
      <c r="D11034" s="27" t="s">
        <v>1859</v>
      </c>
      <c r="F11034" s="27" t="s">
        <v>1881</v>
      </c>
      <c r="H11034" s="27" t="s">
        <v>2679</v>
      </c>
      <c r="J11034" s="27" t="s">
        <v>2680</v>
      </c>
      <c r="L11034" s="27" t="s">
        <v>2810</v>
      </c>
      <c r="N11034" s="27" t="s">
        <v>14857</v>
      </c>
      <c r="P11034" s="27" t="s">
        <v>14869</v>
      </c>
      <c r="Q11034" s="26" t="str">
        <f>HYPERLINK("https://ictv.global/taxonomy/taxondetails?taxnode_id=202516430&amp;ictv_id=ICTV202316430","ICTV202316430")</f>
        <v>ICTV202316430</v>
      </c>
      <c r="R11034" t="s">
        <v>581</v>
      </c>
      <c r="S11034" t="s">
        <v>823</v>
      </c>
      <c r="T11034">
        <v>39</v>
      </c>
      <c r="U11034" s="26" t="str">
        <f t="shared" si="402"/>
        <v>2023.001B.Leviviricetes_reorg.zip</v>
      </c>
    </row>
    <row r="11035" spans="1:21">
      <c r="A11035">
        <v>11034</v>
      </c>
      <c r="B11035" s="27" t="s">
        <v>1124</v>
      </c>
      <c r="D11035" s="27" t="s">
        <v>1859</v>
      </c>
      <c r="F11035" s="27" t="s">
        <v>1881</v>
      </c>
      <c r="H11035" s="27" t="s">
        <v>2679</v>
      </c>
      <c r="J11035" s="27" t="s">
        <v>2680</v>
      </c>
      <c r="L11035" s="27" t="s">
        <v>2810</v>
      </c>
      <c r="N11035" s="27" t="s">
        <v>2981</v>
      </c>
      <c r="P11035" s="27" t="s">
        <v>2982</v>
      </c>
      <c r="Q11035" s="26" t="str">
        <f>HYPERLINK("https://ictv.global/taxonomy/taxondetails?taxnode_id=202510437&amp;ictv_id=ICTV202010437","ICTV202010437")</f>
        <v>ICTV202010437</v>
      </c>
      <c r="R11035" t="s">
        <v>581</v>
      </c>
      <c r="S11035" t="s">
        <v>823</v>
      </c>
      <c r="T11035">
        <v>36</v>
      </c>
      <c r="U11035" s="26" t="str">
        <f>HYPERLINK("https://ictv.global/ictv/proposals/2020.095B.R.Leviviricetes.zip","2020.095B.R.Leviviricetes.zip")</f>
        <v>2020.095B.R.Leviviricetes.zip</v>
      </c>
    </row>
    <row r="11036" spans="1:21">
      <c r="A11036">
        <v>11035</v>
      </c>
      <c r="B11036" s="27" t="s">
        <v>1124</v>
      </c>
      <c r="D11036" s="27" t="s">
        <v>1859</v>
      </c>
      <c r="F11036" s="27" t="s">
        <v>1881</v>
      </c>
      <c r="H11036" s="27" t="s">
        <v>2679</v>
      </c>
      <c r="J11036" s="27" t="s">
        <v>2680</v>
      </c>
      <c r="L11036" s="27" t="s">
        <v>2810</v>
      </c>
      <c r="N11036" s="27" t="s">
        <v>14870</v>
      </c>
      <c r="P11036" s="27" t="s">
        <v>14871</v>
      </c>
      <c r="Q11036" s="26" t="str">
        <f>HYPERLINK("https://ictv.global/taxonomy/taxondetails?taxnode_id=202516431&amp;ictv_id=ICTV202316431","ICTV202316431")</f>
        <v>ICTV202316431</v>
      </c>
      <c r="R11036" t="s">
        <v>581</v>
      </c>
      <c r="S11036" t="s">
        <v>823</v>
      </c>
      <c r="T11036">
        <v>39</v>
      </c>
      <c r="U11036" s="26" t="str">
        <f t="shared" ref="U11036:U11059" si="403">HYPERLINK("https://ictv.global/ictv/proposals/2023.001B.Leviviricetes_reorg.zip","2023.001B.Leviviricetes_reorg.zip")</f>
        <v>2023.001B.Leviviricetes_reorg.zip</v>
      </c>
    </row>
    <row r="11037" spans="1:21">
      <c r="A11037">
        <v>11036</v>
      </c>
      <c r="B11037" s="27" t="s">
        <v>1124</v>
      </c>
      <c r="D11037" s="27" t="s">
        <v>1859</v>
      </c>
      <c r="F11037" s="27" t="s">
        <v>1881</v>
      </c>
      <c r="H11037" s="27" t="s">
        <v>2679</v>
      </c>
      <c r="J11037" s="27" t="s">
        <v>2680</v>
      </c>
      <c r="L11037" s="27" t="s">
        <v>2810</v>
      </c>
      <c r="N11037" s="27" t="s">
        <v>14872</v>
      </c>
      <c r="P11037" s="27" t="s">
        <v>14873</v>
      </c>
      <c r="Q11037" s="26" t="str">
        <f>HYPERLINK("https://ictv.global/taxonomy/taxondetails?taxnode_id=202516432&amp;ictv_id=ICTV202316432","ICTV202316432")</f>
        <v>ICTV202316432</v>
      </c>
      <c r="R11037" t="s">
        <v>581</v>
      </c>
      <c r="S11037" t="s">
        <v>823</v>
      </c>
      <c r="T11037">
        <v>39</v>
      </c>
      <c r="U11037" s="26" t="str">
        <f t="shared" si="403"/>
        <v>2023.001B.Leviviricetes_reorg.zip</v>
      </c>
    </row>
    <row r="11038" spans="1:21">
      <c r="A11038">
        <v>11037</v>
      </c>
      <c r="B11038" s="27" t="s">
        <v>1124</v>
      </c>
      <c r="D11038" s="27" t="s">
        <v>1859</v>
      </c>
      <c r="F11038" s="27" t="s">
        <v>1881</v>
      </c>
      <c r="H11038" s="27" t="s">
        <v>2679</v>
      </c>
      <c r="J11038" s="27" t="s">
        <v>2680</v>
      </c>
      <c r="L11038" s="27" t="s">
        <v>2810</v>
      </c>
      <c r="N11038" s="27" t="s">
        <v>14872</v>
      </c>
      <c r="P11038" s="27" t="s">
        <v>14874</v>
      </c>
      <c r="Q11038" s="26" t="str">
        <f>HYPERLINK("https://ictv.global/taxonomy/taxondetails?taxnode_id=202510481&amp;ictv_id=ICTV202010481","ICTV202010481")</f>
        <v>ICTV202010481</v>
      </c>
      <c r="R11038" t="s">
        <v>581</v>
      </c>
      <c r="S11038" t="s">
        <v>22764</v>
      </c>
      <c r="T11038">
        <v>39</v>
      </c>
      <c r="U11038" s="26" t="str">
        <f t="shared" si="403"/>
        <v>2023.001B.Leviviricetes_reorg.zip</v>
      </c>
    </row>
    <row r="11039" spans="1:21">
      <c r="A11039">
        <v>11038</v>
      </c>
      <c r="B11039" s="27" t="s">
        <v>1124</v>
      </c>
      <c r="D11039" s="27" t="s">
        <v>1859</v>
      </c>
      <c r="F11039" s="27" t="s">
        <v>1881</v>
      </c>
      <c r="H11039" s="27" t="s">
        <v>2679</v>
      </c>
      <c r="J11039" s="27" t="s">
        <v>2680</v>
      </c>
      <c r="L11039" s="27" t="s">
        <v>2810</v>
      </c>
      <c r="N11039" s="27" t="s">
        <v>14872</v>
      </c>
      <c r="P11039" s="27" t="s">
        <v>14875</v>
      </c>
      <c r="Q11039" s="26" t="str">
        <f>HYPERLINK("https://ictv.global/taxonomy/taxondetails?taxnode_id=202510484&amp;ictv_id=ICTV202010484","ICTV202010484")</f>
        <v>ICTV202010484</v>
      </c>
      <c r="R11039" t="s">
        <v>581</v>
      </c>
      <c r="S11039" t="s">
        <v>22764</v>
      </c>
      <c r="T11039">
        <v>39</v>
      </c>
      <c r="U11039" s="26" t="str">
        <f t="shared" si="403"/>
        <v>2023.001B.Leviviricetes_reorg.zip</v>
      </c>
    </row>
    <row r="11040" spans="1:21">
      <c r="A11040">
        <v>11039</v>
      </c>
      <c r="B11040" s="27" t="s">
        <v>1124</v>
      </c>
      <c r="D11040" s="27" t="s">
        <v>1859</v>
      </c>
      <c r="F11040" s="27" t="s">
        <v>1881</v>
      </c>
      <c r="H11040" s="27" t="s">
        <v>2679</v>
      </c>
      <c r="J11040" s="27" t="s">
        <v>2680</v>
      </c>
      <c r="L11040" s="27" t="s">
        <v>2810</v>
      </c>
      <c r="N11040" s="27" t="s">
        <v>14872</v>
      </c>
      <c r="P11040" s="27" t="s">
        <v>14876</v>
      </c>
      <c r="Q11040" s="26" t="str">
        <f>HYPERLINK("https://ictv.global/taxonomy/taxondetails?taxnode_id=202510485&amp;ictv_id=ICTV202010485","ICTV202010485")</f>
        <v>ICTV202010485</v>
      </c>
      <c r="R11040" t="s">
        <v>581</v>
      </c>
      <c r="S11040" t="s">
        <v>22764</v>
      </c>
      <c r="T11040">
        <v>39</v>
      </c>
      <c r="U11040" s="26" t="str">
        <f t="shared" si="403"/>
        <v>2023.001B.Leviviricetes_reorg.zip</v>
      </c>
    </row>
    <row r="11041" spans="1:21">
      <c r="A11041">
        <v>11040</v>
      </c>
      <c r="B11041" s="27" t="s">
        <v>1124</v>
      </c>
      <c r="D11041" s="27" t="s">
        <v>1859</v>
      </c>
      <c r="F11041" s="27" t="s">
        <v>1881</v>
      </c>
      <c r="H11041" s="27" t="s">
        <v>2679</v>
      </c>
      <c r="J11041" s="27" t="s">
        <v>2680</v>
      </c>
      <c r="L11041" s="27" t="s">
        <v>2810</v>
      </c>
      <c r="N11041" s="27" t="s">
        <v>14872</v>
      </c>
      <c r="P11041" s="27" t="s">
        <v>14877</v>
      </c>
      <c r="Q11041" s="26" t="str">
        <f>HYPERLINK("https://ictv.global/taxonomy/taxondetails?taxnode_id=202516433&amp;ictv_id=ICTV202316433","ICTV202316433")</f>
        <v>ICTV202316433</v>
      </c>
      <c r="R11041" t="s">
        <v>581</v>
      </c>
      <c r="S11041" t="s">
        <v>823</v>
      </c>
      <c r="T11041">
        <v>39</v>
      </c>
      <c r="U11041" s="26" t="str">
        <f t="shared" si="403"/>
        <v>2023.001B.Leviviricetes_reorg.zip</v>
      </c>
    </row>
    <row r="11042" spans="1:21">
      <c r="A11042">
        <v>11041</v>
      </c>
      <c r="B11042" s="27" t="s">
        <v>1124</v>
      </c>
      <c r="D11042" s="27" t="s">
        <v>1859</v>
      </c>
      <c r="F11042" s="27" t="s">
        <v>1881</v>
      </c>
      <c r="H11042" s="27" t="s">
        <v>2679</v>
      </c>
      <c r="J11042" s="27" t="s">
        <v>2680</v>
      </c>
      <c r="L11042" s="27" t="s">
        <v>2810</v>
      </c>
      <c r="N11042" s="27" t="s">
        <v>14872</v>
      </c>
      <c r="P11042" s="27" t="s">
        <v>14878</v>
      </c>
      <c r="Q11042" s="26" t="str">
        <f>HYPERLINK("https://ictv.global/taxonomy/taxondetails?taxnode_id=202516434&amp;ictv_id=ICTV202316434","ICTV202316434")</f>
        <v>ICTV202316434</v>
      </c>
      <c r="R11042" t="s">
        <v>581</v>
      </c>
      <c r="S11042" t="s">
        <v>823</v>
      </c>
      <c r="T11042">
        <v>39</v>
      </c>
      <c r="U11042" s="26" t="str">
        <f t="shared" si="403"/>
        <v>2023.001B.Leviviricetes_reorg.zip</v>
      </c>
    </row>
    <row r="11043" spans="1:21">
      <c r="A11043">
        <v>11042</v>
      </c>
      <c r="B11043" s="27" t="s">
        <v>1124</v>
      </c>
      <c r="D11043" s="27" t="s">
        <v>1859</v>
      </c>
      <c r="F11043" s="27" t="s">
        <v>1881</v>
      </c>
      <c r="H11043" s="27" t="s">
        <v>2679</v>
      </c>
      <c r="J11043" s="27" t="s">
        <v>2680</v>
      </c>
      <c r="L11043" s="27" t="s">
        <v>2810</v>
      </c>
      <c r="N11043" s="27" t="s">
        <v>14872</v>
      </c>
      <c r="P11043" s="27" t="s">
        <v>14879</v>
      </c>
      <c r="Q11043" s="26" t="str">
        <f>HYPERLINK("https://ictv.global/taxonomy/taxondetails?taxnode_id=202516435&amp;ictv_id=ICTV202316435","ICTV202316435")</f>
        <v>ICTV202316435</v>
      </c>
      <c r="R11043" t="s">
        <v>581</v>
      </c>
      <c r="S11043" t="s">
        <v>823</v>
      </c>
      <c r="T11043">
        <v>39</v>
      </c>
      <c r="U11043" s="26" t="str">
        <f t="shared" si="403"/>
        <v>2023.001B.Leviviricetes_reorg.zip</v>
      </c>
    </row>
    <row r="11044" spans="1:21">
      <c r="A11044">
        <v>11043</v>
      </c>
      <c r="B11044" s="27" t="s">
        <v>1124</v>
      </c>
      <c r="D11044" s="27" t="s">
        <v>1859</v>
      </c>
      <c r="F11044" s="27" t="s">
        <v>1881</v>
      </c>
      <c r="H11044" s="27" t="s">
        <v>2679</v>
      </c>
      <c r="J11044" s="27" t="s">
        <v>2680</v>
      </c>
      <c r="L11044" s="27" t="s">
        <v>2810</v>
      </c>
      <c r="N11044" s="27" t="s">
        <v>14872</v>
      </c>
      <c r="P11044" s="27" t="s">
        <v>14880</v>
      </c>
      <c r="Q11044" s="26" t="str">
        <f>HYPERLINK("https://ictv.global/taxonomy/taxondetails?taxnode_id=202516436&amp;ictv_id=ICTV202316436","ICTV202316436")</f>
        <v>ICTV202316436</v>
      </c>
      <c r="R11044" t="s">
        <v>581</v>
      </c>
      <c r="S11044" t="s">
        <v>823</v>
      </c>
      <c r="T11044">
        <v>39</v>
      </c>
      <c r="U11044" s="26" t="str">
        <f t="shared" si="403"/>
        <v>2023.001B.Leviviricetes_reorg.zip</v>
      </c>
    </row>
    <row r="11045" spans="1:21">
      <c r="A11045">
        <v>11044</v>
      </c>
      <c r="B11045" s="27" t="s">
        <v>1124</v>
      </c>
      <c r="D11045" s="27" t="s">
        <v>1859</v>
      </c>
      <c r="F11045" s="27" t="s">
        <v>1881</v>
      </c>
      <c r="H11045" s="27" t="s">
        <v>2679</v>
      </c>
      <c r="J11045" s="27" t="s">
        <v>2680</v>
      </c>
      <c r="L11045" s="27" t="s">
        <v>2810</v>
      </c>
      <c r="N11045" s="27" t="s">
        <v>14881</v>
      </c>
      <c r="P11045" s="27" t="s">
        <v>14882</v>
      </c>
      <c r="Q11045" s="26" t="str">
        <f>HYPERLINK("https://ictv.global/taxonomy/taxondetails?taxnode_id=202516437&amp;ictv_id=ICTV202316437","ICTV202316437")</f>
        <v>ICTV202316437</v>
      </c>
      <c r="R11045" t="s">
        <v>581</v>
      </c>
      <c r="S11045" t="s">
        <v>823</v>
      </c>
      <c r="T11045">
        <v>39</v>
      </c>
      <c r="U11045" s="26" t="str">
        <f t="shared" si="403"/>
        <v>2023.001B.Leviviricetes_reorg.zip</v>
      </c>
    </row>
    <row r="11046" spans="1:21">
      <c r="A11046">
        <v>11045</v>
      </c>
      <c r="B11046" s="27" t="s">
        <v>1124</v>
      </c>
      <c r="D11046" s="27" t="s">
        <v>1859</v>
      </c>
      <c r="F11046" s="27" t="s">
        <v>1881</v>
      </c>
      <c r="H11046" s="27" t="s">
        <v>2679</v>
      </c>
      <c r="J11046" s="27" t="s">
        <v>2680</v>
      </c>
      <c r="L11046" s="27" t="s">
        <v>2810</v>
      </c>
      <c r="N11046" s="27" t="s">
        <v>14883</v>
      </c>
      <c r="P11046" s="27" t="s">
        <v>14884</v>
      </c>
      <c r="Q11046" s="26" t="str">
        <f>HYPERLINK("https://ictv.global/taxonomy/taxondetails?taxnode_id=202516438&amp;ictv_id=ICTV202316438","ICTV202316438")</f>
        <v>ICTV202316438</v>
      </c>
      <c r="R11046" t="s">
        <v>581</v>
      </c>
      <c r="S11046" t="s">
        <v>823</v>
      </c>
      <c r="T11046">
        <v>39</v>
      </c>
      <c r="U11046" s="26" t="str">
        <f t="shared" si="403"/>
        <v>2023.001B.Leviviricetes_reorg.zip</v>
      </c>
    </row>
    <row r="11047" spans="1:21">
      <c r="A11047">
        <v>11046</v>
      </c>
      <c r="B11047" s="27" t="s">
        <v>1124</v>
      </c>
      <c r="D11047" s="27" t="s">
        <v>1859</v>
      </c>
      <c r="F11047" s="27" t="s">
        <v>1881</v>
      </c>
      <c r="H11047" s="27" t="s">
        <v>2679</v>
      </c>
      <c r="J11047" s="27" t="s">
        <v>2680</v>
      </c>
      <c r="L11047" s="27" t="s">
        <v>2810</v>
      </c>
      <c r="N11047" s="27" t="s">
        <v>14885</v>
      </c>
      <c r="P11047" s="27" t="s">
        <v>14886</v>
      </c>
      <c r="Q11047" s="26" t="str">
        <f>HYPERLINK("https://ictv.global/taxonomy/taxondetails?taxnode_id=202516439&amp;ictv_id=ICTV202316439","ICTV202316439")</f>
        <v>ICTV202316439</v>
      </c>
      <c r="R11047" t="s">
        <v>581</v>
      </c>
      <c r="S11047" t="s">
        <v>823</v>
      </c>
      <c r="T11047">
        <v>39</v>
      </c>
      <c r="U11047" s="26" t="str">
        <f t="shared" si="403"/>
        <v>2023.001B.Leviviricetes_reorg.zip</v>
      </c>
    </row>
    <row r="11048" spans="1:21">
      <c r="A11048">
        <v>11047</v>
      </c>
      <c r="B11048" s="27" t="s">
        <v>1124</v>
      </c>
      <c r="D11048" s="27" t="s">
        <v>1859</v>
      </c>
      <c r="F11048" s="27" t="s">
        <v>1881</v>
      </c>
      <c r="H11048" s="27" t="s">
        <v>2679</v>
      </c>
      <c r="J11048" s="27" t="s">
        <v>2680</v>
      </c>
      <c r="L11048" s="27" t="s">
        <v>2810</v>
      </c>
      <c r="N11048" s="27" t="s">
        <v>14887</v>
      </c>
      <c r="P11048" s="27" t="s">
        <v>14888</v>
      </c>
      <c r="Q11048" s="26" t="str">
        <f>HYPERLINK("https://ictv.global/taxonomy/taxondetails?taxnode_id=202510629&amp;ictv_id=ICTV202010629","ICTV202010629")</f>
        <v>ICTV202010629</v>
      </c>
      <c r="R11048" t="s">
        <v>581</v>
      </c>
      <c r="S11048" t="s">
        <v>22764</v>
      </c>
      <c r="T11048">
        <v>39</v>
      </c>
      <c r="U11048" s="26" t="str">
        <f t="shared" si="403"/>
        <v>2023.001B.Leviviricetes_reorg.zip</v>
      </c>
    </row>
    <row r="11049" spans="1:21">
      <c r="A11049">
        <v>11048</v>
      </c>
      <c r="B11049" s="27" t="s">
        <v>1124</v>
      </c>
      <c r="D11049" s="27" t="s">
        <v>1859</v>
      </c>
      <c r="F11049" s="27" t="s">
        <v>1881</v>
      </c>
      <c r="H11049" s="27" t="s">
        <v>2679</v>
      </c>
      <c r="J11049" s="27" t="s">
        <v>2680</v>
      </c>
      <c r="L11049" s="27" t="s">
        <v>2810</v>
      </c>
      <c r="N11049" s="27" t="s">
        <v>14887</v>
      </c>
      <c r="P11049" s="27" t="s">
        <v>14889</v>
      </c>
      <c r="Q11049" s="26" t="str">
        <f>HYPERLINK("https://ictv.global/taxonomy/taxondetails?taxnode_id=202510628&amp;ictv_id=ICTV202010628","ICTV202010628")</f>
        <v>ICTV202010628</v>
      </c>
      <c r="R11049" t="s">
        <v>581</v>
      </c>
      <c r="S11049" t="s">
        <v>22764</v>
      </c>
      <c r="T11049">
        <v>39</v>
      </c>
      <c r="U11049" s="26" t="str">
        <f t="shared" si="403"/>
        <v>2023.001B.Leviviricetes_reorg.zip</v>
      </c>
    </row>
    <row r="11050" spans="1:21">
      <c r="A11050">
        <v>11049</v>
      </c>
      <c r="B11050" s="27" t="s">
        <v>1124</v>
      </c>
      <c r="D11050" s="27" t="s">
        <v>1859</v>
      </c>
      <c r="F11050" s="27" t="s">
        <v>1881</v>
      </c>
      <c r="H11050" s="27" t="s">
        <v>2679</v>
      </c>
      <c r="J11050" s="27" t="s">
        <v>2680</v>
      </c>
      <c r="L11050" s="27" t="s">
        <v>2810</v>
      </c>
      <c r="N11050" s="27" t="s">
        <v>14887</v>
      </c>
      <c r="P11050" s="27" t="s">
        <v>14890</v>
      </c>
      <c r="Q11050" s="26" t="str">
        <f>HYPERLINK("https://ictv.global/taxonomy/taxondetails?taxnode_id=202516440&amp;ictv_id=ICTV202316440","ICTV202316440")</f>
        <v>ICTV202316440</v>
      </c>
      <c r="R11050" t="s">
        <v>581</v>
      </c>
      <c r="S11050" t="s">
        <v>823</v>
      </c>
      <c r="T11050">
        <v>39</v>
      </c>
      <c r="U11050" s="26" t="str">
        <f t="shared" si="403"/>
        <v>2023.001B.Leviviricetes_reorg.zip</v>
      </c>
    </row>
    <row r="11051" spans="1:21">
      <c r="A11051">
        <v>11050</v>
      </c>
      <c r="B11051" s="27" t="s">
        <v>1124</v>
      </c>
      <c r="D11051" s="27" t="s">
        <v>1859</v>
      </c>
      <c r="F11051" s="27" t="s">
        <v>1881</v>
      </c>
      <c r="H11051" s="27" t="s">
        <v>2679</v>
      </c>
      <c r="J11051" s="27" t="s">
        <v>2680</v>
      </c>
      <c r="L11051" s="27" t="s">
        <v>2810</v>
      </c>
      <c r="N11051" s="27" t="s">
        <v>14887</v>
      </c>
      <c r="P11051" s="27" t="s">
        <v>14891</v>
      </c>
      <c r="Q11051" s="26" t="str">
        <f>HYPERLINK("https://ictv.global/taxonomy/taxondetails?taxnode_id=202516441&amp;ictv_id=ICTV202316441","ICTV202316441")</f>
        <v>ICTV202316441</v>
      </c>
      <c r="R11051" t="s">
        <v>581</v>
      </c>
      <c r="S11051" t="s">
        <v>823</v>
      </c>
      <c r="T11051">
        <v>39</v>
      </c>
      <c r="U11051" s="26" t="str">
        <f t="shared" si="403"/>
        <v>2023.001B.Leviviricetes_reorg.zip</v>
      </c>
    </row>
    <row r="11052" spans="1:21">
      <c r="A11052">
        <v>11051</v>
      </c>
      <c r="B11052" s="27" t="s">
        <v>1124</v>
      </c>
      <c r="D11052" s="27" t="s">
        <v>1859</v>
      </c>
      <c r="F11052" s="27" t="s">
        <v>1881</v>
      </c>
      <c r="H11052" s="27" t="s">
        <v>2679</v>
      </c>
      <c r="J11052" s="27" t="s">
        <v>2680</v>
      </c>
      <c r="L11052" s="27" t="s">
        <v>2810</v>
      </c>
      <c r="N11052" s="27" t="s">
        <v>14887</v>
      </c>
      <c r="P11052" s="27" t="s">
        <v>14892</v>
      </c>
      <c r="Q11052" s="26" t="str">
        <f>HYPERLINK("https://ictv.global/taxonomy/taxondetails?taxnode_id=202516442&amp;ictv_id=ICTV202316442","ICTV202316442")</f>
        <v>ICTV202316442</v>
      </c>
      <c r="R11052" t="s">
        <v>581</v>
      </c>
      <c r="S11052" t="s">
        <v>823</v>
      </c>
      <c r="T11052">
        <v>39</v>
      </c>
      <c r="U11052" s="26" t="str">
        <f t="shared" si="403"/>
        <v>2023.001B.Leviviricetes_reorg.zip</v>
      </c>
    </row>
    <row r="11053" spans="1:21">
      <c r="A11053">
        <v>11052</v>
      </c>
      <c r="B11053" s="27" t="s">
        <v>1124</v>
      </c>
      <c r="D11053" s="27" t="s">
        <v>1859</v>
      </c>
      <c r="F11053" s="27" t="s">
        <v>1881</v>
      </c>
      <c r="H11053" s="27" t="s">
        <v>2679</v>
      </c>
      <c r="J11053" s="27" t="s">
        <v>2680</v>
      </c>
      <c r="L11053" s="27" t="s">
        <v>2810</v>
      </c>
      <c r="N11053" s="27" t="s">
        <v>14887</v>
      </c>
      <c r="P11053" s="27" t="s">
        <v>14893</v>
      </c>
      <c r="Q11053" s="26" t="str">
        <f>HYPERLINK("https://ictv.global/taxonomy/taxondetails?taxnode_id=202516443&amp;ictv_id=ICTV202316443","ICTV202316443")</f>
        <v>ICTV202316443</v>
      </c>
      <c r="R11053" t="s">
        <v>581</v>
      </c>
      <c r="S11053" t="s">
        <v>823</v>
      </c>
      <c r="T11053">
        <v>39</v>
      </c>
      <c r="U11053" s="26" t="str">
        <f t="shared" si="403"/>
        <v>2023.001B.Leviviricetes_reorg.zip</v>
      </c>
    </row>
    <row r="11054" spans="1:21">
      <c r="A11054">
        <v>11053</v>
      </c>
      <c r="B11054" s="27" t="s">
        <v>1124</v>
      </c>
      <c r="D11054" s="27" t="s">
        <v>1859</v>
      </c>
      <c r="F11054" s="27" t="s">
        <v>1881</v>
      </c>
      <c r="H11054" s="27" t="s">
        <v>2679</v>
      </c>
      <c r="J11054" s="27" t="s">
        <v>2680</v>
      </c>
      <c r="L11054" s="27" t="s">
        <v>2810</v>
      </c>
      <c r="N11054" s="27" t="s">
        <v>14894</v>
      </c>
      <c r="P11054" s="27" t="s">
        <v>14895</v>
      </c>
      <c r="Q11054" s="26" t="str">
        <f>HYPERLINK("https://ictv.global/taxonomy/taxondetails?taxnode_id=202516444&amp;ictv_id=ICTV202316444","ICTV202316444")</f>
        <v>ICTV202316444</v>
      </c>
      <c r="R11054" t="s">
        <v>581</v>
      </c>
      <c r="S11054" t="s">
        <v>823</v>
      </c>
      <c r="T11054">
        <v>39</v>
      </c>
      <c r="U11054" s="26" t="str">
        <f t="shared" si="403"/>
        <v>2023.001B.Leviviricetes_reorg.zip</v>
      </c>
    </row>
    <row r="11055" spans="1:21">
      <c r="A11055">
        <v>11054</v>
      </c>
      <c r="B11055" s="27" t="s">
        <v>1124</v>
      </c>
      <c r="D11055" s="27" t="s">
        <v>1859</v>
      </c>
      <c r="F11055" s="27" t="s">
        <v>1881</v>
      </c>
      <c r="H11055" s="27" t="s">
        <v>2679</v>
      </c>
      <c r="J11055" s="27" t="s">
        <v>2680</v>
      </c>
      <c r="L11055" s="27" t="s">
        <v>2810</v>
      </c>
      <c r="N11055" s="27" t="s">
        <v>2983</v>
      </c>
      <c r="P11055" s="27" t="s">
        <v>14896</v>
      </c>
      <c r="Q11055" s="26" t="str">
        <f>HYPERLINK("https://ictv.global/taxonomy/taxondetails?taxnode_id=202516445&amp;ictv_id=ICTV202316445","ICTV202316445")</f>
        <v>ICTV202316445</v>
      </c>
      <c r="R11055" t="s">
        <v>581</v>
      </c>
      <c r="S11055" t="s">
        <v>823</v>
      </c>
      <c r="T11055">
        <v>39</v>
      </c>
      <c r="U11055" s="26" t="str">
        <f t="shared" si="403"/>
        <v>2023.001B.Leviviricetes_reorg.zip</v>
      </c>
    </row>
    <row r="11056" spans="1:21">
      <c r="A11056">
        <v>11055</v>
      </c>
      <c r="B11056" s="27" t="s">
        <v>1124</v>
      </c>
      <c r="D11056" s="27" t="s">
        <v>1859</v>
      </c>
      <c r="F11056" s="27" t="s">
        <v>1881</v>
      </c>
      <c r="H11056" s="27" t="s">
        <v>2679</v>
      </c>
      <c r="J11056" s="27" t="s">
        <v>2680</v>
      </c>
      <c r="L11056" s="27" t="s">
        <v>2810</v>
      </c>
      <c r="N11056" s="27" t="s">
        <v>2983</v>
      </c>
      <c r="P11056" s="27" t="s">
        <v>14897</v>
      </c>
      <c r="Q11056" s="26" t="str">
        <f>HYPERLINK("https://ictv.global/taxonomy/taxondetails?taxnode_id=202516446&amp;ictv_id=ICTV202316446","ICTV202316446")</f>
        <v>ICTV202316446</v>
      </c>
      <c r="R11056" t="s">
        <v>581</v>
      </c>
      <c r="S11056" t="s">
        <v>823</v>
      </c>
      <c r="T11056">
        <v>39</v>
      </c>
      <c r="U11056" s="26" t="str">
        <f t="shared" si="403"/>
        <v>2023.001B.Leviviricetes_reorg.zip</v>
      </c>
    </row>
    <row r="11057" spans="1:21">
      <c r="A11057">
        <v>11056</v>
      </c>
      <c r="B11057" s="27" t="s">
        <v>1124</v>
      </c>
      <c r="D11057" s="27" t="s">
        <v>1859</v>
      </c>
      <c r="F11057" s="27" t="s">
        <v>1881</v>
      </c>
      <c r="H11057" s="27" t="s">
        <v>2679</v>
      </c>
      <c r="J11057" s="27" t="s">
        <v>2680</v>
      </c>
      <c r="L11057" s="27" t="s">
        <v>2810</v>
      </c>
      <c r="N11057" s="27" t="s">
        <v>2983</v>
      </c>
      <c r="P11057" s="27" t="s">
        <v>14898</v>
      </c>
      <c r="Q11057" s="26" t="str">
        <f>HYPERLINK("https://ictv.global/taxonomy/taxondetails?taxnode_id=202516447&amp;ictv_id=ICTV202316447","ICTV202316447")</f>
        <v>ICTV202316447</v>
      </c>
      <c r="R11057" t="s">
        <v>581</v>
      </c>
      <c r="S11057" t="s">
        <v>823</v>
      </c>
      <c r="T11057">
        <v>39</v>
      </c>
      <c r="U11057" s="26" t="str">
        <f t="shared" si="403"/>
        <v>2023.001B.Leviviricetes_reorg.zip</v>
      </c>
    </row>
    <row r="11058" spans="1:21">
      <c r="A11058">
        <v>11057</v>
      </c>
      <c r="B11058" s="27" t="s">
        <v>1124</v>
      </c>
      <c r="D11058" s="27" t="s">
        <v>1859</v>
      </c>
      <c r="F11058" s="27" t="s">
        <v>1881</v>
      </c>
      <c r="H11058" s="27" t="s">
        <v>2679</v>
      </c>
      <c r="J11058" s="27" t="s">
        <v>2680</v>
      </c>
      <c r="L11058" s="27" t="s">
        <v>2810</v>
      </c>
      <c r="N11058" s="27" t="s">
        <v>2983</v>
      </c>
      <c r="P11058" s="27" t="s">
        <v>14899</v>
      </c>
      <c r="Q11058" s="26" t="str">
        <f>HYPERLINK("https://ictv.global/taxonomy/taxondetails?taxnode_id=202516448&amp;ictv_id=ICTV202316448","ICTV202316448")</f>
        <v>ICTV202316448</v>
      </c>
      <c r="R11058" t="s">
        <v>581</v>
      </c>
      <c r="S11058" t="s">
        <v>823</v>
      </c>
      <c r="T11058">
        <v>39</v>
      </c>
      <c r="U11058" s="26" t="str">
        <f t="shared" si="403"/>
        <v>2023.001B.Leviviricetes_reorg.zip</v>
      </c>
    </row>
    <row r="11059" spans="1:21">
      <c r="A11059">
        <v>11058</v>
      </c>
      <c r="B11059" s="27" t="s">
        <v>1124</v>
      </c>
      <c r="D11059" s="27" t="s">
        <v>1859</v>
      </c>
      <c r="F11059" s="27" t="s">
        <v>1881</v>
      </c>
      <c r="H11059" s="27" t="s">
        <v>2679</v>
      </c>
      <c r="J11059" s="27" t="s">
        <v>2680</v>
      </c>
      <c r="L11059" s="27" t="s">
        <v>2810</v>
      </c>
      <c r="N11059" s="27" t="s">
        <v>2983</v>
      </c>
      <c r="P11059" s="27" t="s">
        <v>14900</v>
      </c>
      <c r="Q11059" s="26" t="str">
        <f>HYPERLINK("https://ictv.global/taxonomy/taxondetails?taxnode_id=202516449&amp;ictv_id=ICTV202316449","ICTV202316449")</f>
        <v>ICTV202316449</v>
      </c>
      <c r="R11059" t="s">
        <v>581</v>
      </c>
      <c r="S11059" t="s">
        <v>823</v>
      </c>
      <c r="T11059">
        <v>39</v>
      </c>
      <c r="U11059" s="26" t="str">
        <f t="shared" si="403"/>
        <v>2023.001B.Leviviricetes_reorg.zip</v>
      </c>
    </row>
    <row r="11060" spans="1:21">
      <c r="A11060">
        <v>11059</v>
      </c>
      <c r="B11060" s="27" t="s">
        <v>1124</v>
      </c>
      <c r="D11060" s="27" t="s">
        <v>1859</v>
      </c>
      <c r="F11060" s="27" t="s">
        <v>1881</v>
      </c>
      <c r="H11060" s="27" t="s">
        <v>2679</v>
      </c>
      <c r="J11060" s="27" t="s">
        <v>2680</v>
      </c>
      <c r="L11060" s="27" t="s">
        <v>2810</v>
      </c>
      <c r="N11060" s="27" t="s">
        <v>2983</v>
      </c>
      <c r="P11060" s="27" t="s">
        <v>2984</v>
      </c>
      <c r="Q11060" s="26" t="str">
        <f>HYPERLINK("https://ictv.global/taxonomy/taxondetails?taxnode_id=202510441&amp;ictv_id=ICTV202010441","ICTV202010441")</f>
        <v>ICTV202010441</v>
      </c>
      <c r="R11060" t="s">
        <v>581</v>
      </c>
      <c r="S11060" t="s">
        <v>823</v>
      </c>
      <c r="T11060">
        <v>36</v>
      </c>
      <c r="U11060" s="26" t="str">
        <f>HYPERLINK("https://ictv.global/ictv/proposals/2020.095B.R.Leviviricetes.zip","2020.095B.R.Leviviricetes.zip")</f>
        <v>2020.095B.R.Leviviricetes.zip</v>
      </c>
    </row>
    <row r="11061" spans="1:21">
      <c r="A11061">
        <v>11060</v>
      </c>
      <c r="B11061" s="27" t="s">
        <v>1124</v>
      </c>
      <c r="D11061" s="27" t="s">
        <v>1859</v>
      </c>
      <c r="F11061" s="27" t="s">
        <v>1881</v>
      </c>
      <c r="H11061" s="27" t="s">
        <v>2679</v>
      </c>
      <c r="J11061" s="27" t="s">
        <v>2680</v>
      </c>
      <c r="L11061" s="27" t="s">
        <v>2810</v>
      </c>
      <c r="N11061" s="27" t="s">
        <v>2983</v>
      </c>
      <c r="P11061" s="27" t="s">
        <v>2985</v>
      </c>
      <c r="Q11061" s="26" t="str">
        <f>HYPERLINK("https://ictv.global/taxonomy/taxondetails?taxnode_id=202510442&amp;ictv_id=ICTV202010442","ICTV202010442")</f>
        <v>ICTV202010442</v>
      </c>
      <c r="R11061" t="s">
        <v>581</v>
      </c>
      <c r="S11061" t="s">
        <v>823</v>
      </c>
      <c r="T11061">
        <v>36</v>
      </c>
      <c r="U11061" s="26" t="str">
        <f>HYPERLINK("https://ictv.global/ictv/proposals/2020.095B.R.Leviviricetes.zip","2020.095B.R.Leviviricetes.zip")</f>
        <v>2020.095B.R.Leviviricetes.zip</v>
      </c>
    </row>
    <row r="11062" spans="1:21">
      <c r="A11062">
        <v>11061</v>
      </c>
      <c r="B11062" s="27" t="s">
        <v>1124</v>
      </c>
      <c r="D11062" s="27" t="s">
        <v>1859</v>
      </c>
      <c r="F11062" s="27" t="s">
        <v>1881</v>
      </c>
      <c r="H11062" s="27" t="s">
        <v>2679</v>
      </c>
      <c r="J11062" s="27" t="s">
        <v>2680</v>
      </c>
      <c r="L11062" s="27" t="s">
        <v>2810</v>
      </c>
      <c r="N11062" s="27" t="s">
        <v>2983</v>
      </c>
      <c r="P11062" s="27" t="s">
        <v>14901</v>
      </c>
      <c r="Q11062" s="26" t="str">
        <f>HYPERLINK("https://ictv.global/taxonomy/taxondetails?taxnode_id=202516450&amp;ictv_id=ICTV202316450","ICTV202316450")</f>
        <v>ICTV202316450</v>
      </c>
      <c r="R11062" t="s">
        <v>581</v>
      </c>
      <c r="S11062" t="s">
        <v>823</v>
      </c>
      <c r="T11062">
        <v>39</v>
      </c>
      <c r="U11062" s="26" t="str">
        <f>HYPERLINK("https://ictv.global/ictv/proposals/2023.001B.Leviviricetes_reorg.zip","2023.001B.Leviviricetes_reorg.zip")</f>
        <v>2023.001B.Leviviricetes_reorg.zip</v>
      </c>
    </row>
    <row r="11063" spans="1:21">
      <c r="A11063">
        <v>11062</v>
      </c>
      <c r="B11063" s="27" t="s">
        <v>1124</v>
      </c>
      <c r="D11063" s="27" t="s">
        <v>1859</v>
      </c>
      <c r="F11063" s="27" t="s">
        <v>1881</v>
      </c>
      <c r="H11063" s="27" t="s">
        <v>2679</v>
      </c>
      <c r="J11063" s="27" t="s">
        <v>2680</v>
      </c>
      <c r="L11063" s="27" t="s">
        <v>2810</v>
      </c>
      <c r="N11063" s="27" t="s">
        <v>2983</v>
      </c>
      <c r="P11063" s="27" t="s">
        <v>2986</v>
      </c>
      <c r="Q11063" s="26" t="str">
        <f>HYPERLINK("https://ictv.global/taxonomy/taxondetails?taxnode_id=202510443&amp;ictv_id=ICTV202010443","ICTV202010443")</f>
        <v>ICTV202010443</v>
      </c>
      <c r="R11063" t="s">
        <v>581</v>
      </c>
      <c r="S11063" t="s">
        <v>823</v>
      </c>
      <c r="T11063">
        <v>36</v>
      </c>
      <c r="U11063" s="26" t="str">
        <f>HYPERLINK("https://ictv.global/ictv/proposals/2020.095B.R.Leviviricetes.zip","2020.095B.R.Leviviricetes.zip")</f>
        <v>2020.095B.R.Leviviricetes.zip</v>
      </c>
    </row>
    <row r="11064" spans="1:21">
      <c r="A11064">
        <v>11063</v>
      </c>
      <c r="B11064" s="27" t="s">
        <v>1124</v>
      </c>
      <c r="D11064" s="27" t="s">
        <v>1859</v>
      </c>
      <c r="F11064" s="27" t="s">
        <v>1881</v>
      </c>
      <c r="H11064" s="27" t="s">
        <v>2679</v>
      </c>
      <c r="J11064" s="27" t="s">
        <v>2680</v>
      </c>
      <c r="L11064" s="27" t="s">
        <v>2810</v>
      </c>
      <c r="N11064" s="27" t="s">
        <v>2983</v>
      </c>
      <c r="P11064" s="27" t="s">
        <v>14902</v>
      </c>
      <c r="Q11064" s="26" t="str">
        <f>HYPERLINK("https://ictv.global/taxonomy/taxondetails?taxnode_id=202516451&amp;ictv_id=ICTV202316451","ICTV202316451")</f>
        <v>ICTV202316451</v>
      </c>
      <c r="R11064" t="s">
        <v>581</v>
      </c>
      <c r="S11064" t="s">
        <v>823</v>
      </c>
      <c r="T11064">
        <v>39</v>
      </c>
      <c r="U11064" s="26" t="str">
        <f t="shared" ref="U11064:U11077" si="404">HYPERLINK("https://ictv.global/ictv/proposals/2023.001B.Leviviricetes_reorg.zip","2023.001B.Leviviricetes_reorg.zip")</f>
        <v>2023.001B.Leviviricetes_reorg.zip</v>
      </c>
    </row>
    <row r="11065" spans="1:21">
      <c r="A11065">
        <v>11064</v>
      </c>
      <c r="B11065" s="27" t="s">
        <v>1124</v>
      </c>
      <c r="D11065" s="27" t="s">
        <v>1859</v>
      </c>
      <c r="F11065" s="27" t="s">
        <v>1881</v>
      </c>
      <c r="H11065" s="27" t="s">
        <v>2679</v>
      </c>
      <c r="J11065" s="27" t="s">
        <v>2680</v>
      </c>
      <c r="L11065" s="27" t="s">
        <v>2810</v>
      </c>
      <c r="N11065" s="27" t="s">
        <v>2983</v>
      </c>
      <c r="P11065" s="27" t="s">
        <v>14903</v>
      </c>
      <c r="Q11065" s="26" t="str">
        <f>HYPERLINK("https://ictv.global/taxonomy/taxondetails?taxnode_id=202510242&amp;ictv_id=ICTV202010242","ICTV202010242")</f>
        <v>ICTV202010242</v>
      </c>
      <c r="R11065" t="s">
        <v>581</v>
      </c>
      <c r="S11065" t="s">
        <v>22764</v>
      </c>
      <c r="T11065">
        <v>39</v>
      </c>
      <c r="U11065" s="26" t="str">
        <f t="shared" si="404"/>
        <v>2023.001B.Leviviricetes_reorg.zip</v>
      </c>
    </row>
    <row r="11066" spans="1:21">
      <c r="A11066">
        <v>11065</v>
      </c>
      <c r="B11066" s="27" t="s">
        <v>1124</v>
      </c>
      <c r="D11066" s="27" t="s">
        <v>1859</v>
      </c>
      <c r="F11066" s="27" t="s">
        <v>1881</v>
      </c>
      <c r="H11066" s="27" t="s">
        <v>2679</v>
      </c>
      <c r="J11066" s="27" t="s">
        <v>2680</v>
      </c>
      <c r="L11066" s="27" t="s">
        <v>2810</v>
      </c>
      <c r="N11066" s="27" t="s">
        <v>14904</v>
      </c>
      <c r="P11066" s="27" t="s">
        <v>14905</v>
      </c>
      <c r="Q11066" s="26" t="str">
        <f>HYPERLINK("https://ictv.global/taxonomy/taxondetails?taxnode_id=202516452&amp;ictv_id=ICTV202316452","ICTV202316452")</f>
        <v>ICTV202316452</v>
      </c>
      <c r="R11066" t="s">
        <v>581</v>
      </c>
      <c r="S11066" t="s">
        <v>823</v>
      </c>
      <c r="T11066">
        <v>39</v>
      </c>
      <c r="U11066" s="26" t="str">
        <f t="shared" si="404"/>
        <v>2023.001B.Leviviricetes_reorg.zip</v>
      </c>
    </row>
    <row r="11067" spans="1:21">
      <c r="A11067">
        <v>11066</v>
      </c>
      <c r="B11067" s="27" t="s">
        <v>1124</v>
      </c>
      <c r="D11067" s="27" t="s">
        <v>1859</v>
      </c>
      <c r="F11067" s="27" t="s">
        <v>1881</v>
      </c>
      <c r="H11067" s="27" t="s">
        <v>2679</v>
      </c>
      <c r="J11067" s="27" t="s">
        <v>2680</v>
      </c>
      <c r="L11067" s="27" t="s">
        <v>2810</v>
      </c>
      <c r="N11067" s="27" t="s">
        <v>14904</v>
      </c>
      <c r="P11067" s="27" t="s">
        <v>14906</v>
      </c>
      <c r="Q11067" s="26" t="str">
        <f>HYPERLINK("https://ictv.global/taxonomy/taxondetails?taxnode_id=202516453&amp;ictv_id=ICTV202316453","ICTV202316453")</f>
        <v>ICTV202316453</v>
      </c>
      <c r="R11067" t="s">
        <v>581</v>
      </c>
      <c r="S11067" t="s">
        <v>823</v>
      </c>
      <c r="T11067">
        <v>39</v>
      </c>
      <c r="U11067" s="26" t="str">
        <f t="shared" si="404"/>
        <v>2023.001B.Leviviricetes_reorg.zip</v>
      </c>
    </row>
    <row r="11068" spans="1:21">
      <c r="A11068">
        <v>11067</v>
      </c>
      <c r="B11068" s="27" t="s">
        <v>1124</v>
      </c>
      <c r="D11068" s="27" t="s">
        <v>1859</v>
      </c>
      <c r="F11068" s="27" t="s">
        <v>1881</v>
      </c>
      <c r="H11068" s="27" t="s">
        <v>2679</v>
      </c>
      <c r="J11068" s="27" t="s">
        <v>2680</v>
      </c>
      <c r="L11068" s="27" t="s">
        <v>2810</v>
      </c>
      <c r="N11068" s="27" t="s">
        <v>14904</v>
      </c>
      <c r="P11068" s="27" t="s">
        <v>14907</v>
      </c>
      <c r="Q11068" s="26" t="str">
        <f>HYPERLINK("https://ictv.global/taxonomy/taxondetails?taxnode_id=202516454&amp;ictv_id=ICTV202316454","ICTV202316454")</f>
        <v>ICTV202316454</v>
      </c>
      <c r="R11068" t="s">
        <v>581</v>
      </c>
      <c r="S11068" t="s">
        <v>823</v>
      </c>
      <c r="T11068">
        <v>39</v>
      </c>
      <c r="U11068" s="26" t="str">
        <f t="shared" si="404"/>
        <v>2023.001B.Leviviricetes_reorg.zip</v>
      </c>
    </row>
    <row r="11069" spans="1:21">
      <c r="A11069">
        <v>11068</v>
      </c>
      <c r="B11069" s="27" t="s">
        <v>1124</v>
      </c>
      <c r="D11069" s="27" t="s">
        <v>1859</v>
      </c>
      <c r="F11069" s="27" t="s">
        <v>1881</v>
      </c>
      <c r="H11069" s="27" t="s">
        <v>2679</v>
      </c>
      <c r="J11069" s="27" t="s">
        <v>2680</v>
      </c>
      <c r="L11069" s="27" t="s">
        <v>2810</v>
      </c>
      <c r="N11069" s="27" t="s">
        <v>14904</v>
      </c>
      <c r="P11069" s="27" t="s">
        <v>14908</v>
      </c>
      <c r="Q11069" s="26" t="str">
        <f>HYPERLINK("https://ictv.global/taxonomy/taxondetails?taxnode_id=202516455&amp;ictv_id=ICTV202316455","ICTV202316455")</f>
        <v>ICTV202316455</v>
      </c>
      <c r="R11069" t="s">
        <v>581</v>
      </c>
      <c r="S11069" t="s">
        <v>823</v>
      </c>
      <c r="T11069">
        <v>39</v>
      </c>
      <c r="U11069" s="26" t="str">
        <f t="shared" si="404"/>
        <v>2023.001B.Leviviricetes_reorg.zip</v>
      </c>
    </row>
    <row r="11070" spans="1:21">
      <c r="A11070">
        <v>11069</v>
      </c>
      <c r="B11070" s="27" t="s">
        <v>1124</v>
      </c>
      <c r="D11070" s="27" t="s">
        <v>1859</v>
      </c>
      <c r="F11070" s="27" t="s">
        <v>1881</v>
      </c>
      <c r="H11070" s="27" t="s">
        <v>2679</v>
      </c>
      <c r="J11070" s="27" t="s">
        <v>2680</v>
      </c>
      <c r="L11070" s="27" t="s">
        <v>2810</v>
      </c>
      <c r="N11070" s="27" t="s">
        <v>14904</v>
      </c>
      <c r="P11070" s="27" t="s">
        <v>14909</v>
      </c>
      <c r="Q11070" s="26" t="str">
        <f>HYPERLINK("https://ictv.global/taxonomy/taxondetails?taxnode_id=202516456&amp;ictv_id=ICTV202316456","ICTV202316456")</f>
        <v>ICTV202316456</v>
      </c>
      <c r="R11070" t="s">
        <v>581</v>
      </c>
      <c r="S11070" t="s">
        <v>823</v>
      </c>
      <c r="T11070">
        <v>39</v>
      </c>
      <c r="U11070" s="26" t="str">
        <f t="shared" si="404"/>
        <v>2023.001B.Leviviricetes_reorg.zip</v>
      </c>
    </row>
    <row r="11071" spans="1:21">
      <c r="A11071">
        <v>11070</v>
      </c>
      <c r="B11071" s="27" t="s">
        <v>1124</v>
      </c>
      <c r="D11071" s="27" t="s">
        <v>1859</v>
      </c>
      <c r="F11071" s="27" t="s">
        <v>1881</v>
      </c>
      <c r="H11071" s="27" t="s">
        <v>2679</v>
      </c>
      <c r="J11071" s="27" t="s">
        <v>2680</v>
      </c>
      <c r="L11071" s="27" t="s">
        <v>2810</v>
      </c>
      <c r="N11071" s="27" t="s">
        <v>14904</v>
      </c>
      <c r="P11071" s="27" t="s">
        <v>14910</v>
      </c>
      <c r="Q11071" s="26" t="str">
        <f>HYPERLINK("https://ictv.global/taxonomy/taxondetails?taxnode_id=202516457&amp;ictv_id=ICTV202316457","ICTV202316457")</f>
        <v>ICTV202316457</v>
      </c>
      <c r="R11071" t="s">
        <v>581</v>
      </c>
      <c r="S11071" t="s">
        <v>823</v>
      </c>
      <c r="T11071">
        <v>39</v>
      </c>
      <c r="U11071" s="26" t="str">
        <f t="shared" si="404"/>
        <v>2023.001B.Leviviricetes_reorg.zip</v>
      </c>
    </row>
    <row r="11072" spans="1:21">
      <c r="A11072">
        <v>11071</v>
      </c>
      <c r="B11072" s="27" t="s">
        <v>1124</v>
      </c>
      <c r="D11072" s="27" t="s">
        <v>1859</v>
      </c>
      <c r="F11072" s="27" t="s">
        <v>1881</v>
      </c>
      <c r="H11072" s="27" t="s">
        <v>2679</v>
      </c>
      <c r="J11072" s="27" t="s">
        <v>2680</v>
      </c>
      <c r="L11072" s="27" t="s">
        <v>2810</v>
      </c>
      <c r="N11072" s="27" t="s">
        <v>14904</v>
      </c>
      <c r="P11072" s="27" t="s">
        <v>14911</v>
      </c>
      <c r="Q11072" s="26" t="str">
        <f>HYPERLINK("https://ictv.global/taxonomy/taxondetails?taxnode_id=202516458&amp;ictv_id=ICTV202316458","ICTV202316458")</f>
        <v>ICTV202316458</v>
      </c>
      <c r="R11072" t="s">
        <v>581</v>
      </c>
      <c r="S11072" t="s">
        <v>823</v>
      </c>
      <c r="T11072">
        <v>39</v>
      </c>
      <c r="U11072" s="26" t="str">
        <f t="shared" si="404"/>
        <v>2023.001B.Leviviricetes_reorg.zip</v>
      </c>
    </row>
    <row r="11073" spans="1:21">
      <c r="A11073">
        <v>11072</v>
      </c>
      <c r="B11073" s="27" t="s">
        <v>1124</v>
      </c>
      <c r="D11073" s="27" t="s">
        <v>1859</v>
      </c>
      <c r="F11073" s="27" t="s">
        <v>1881</v>
      </c>
      <c r="H11073" s="27" t="s">
        <v>2679</v>
      </c>
      <c r="J11073" s="27" t="s">
        <v>2680</v>
      </c>
      <c r="L11073" s="27" t="s">
        <v>2810</v>
      </c>
      <c r="N11073" s="27" t="s">
        <v>14904</v>
      </c>
      <c r="P11073" s="27" t="s">
        <v>14912</v>
      </c>
      <c r="Q11073" s="26" t="str">
        <f>HYPERLINK("https://ictv.global/taxonomy/taxondetails?taxnode_id=202516459&amp;ictv_id=ICTV202316459","ICTV202316459")</f>
        <v>ICTV202316459</v>
      </c>
      <c r="R11073" t="s">
        <v>581</v>
      </c>
      <c r="S11073" t="s">
        <v>823</v>
      </c>
      <c r="T11073">
        <v>39</v>
      </c>
      <c r="U11073" s="26" t="str">
        <f t="shared" si="404"/>
        <v>2023.001B.Leviviricetes_reorg.zip</v>
      </c>
    </row>
    <row r="11074" spans="1:21">
      <c r="A11074">
        <v>11073</v>
      </c>
      <c r="B11074" s="27" t="s">
        <v>1124</v>
      </c>
      <c r="D11074" s="27" t="s">
        <v>1859</v>
      </c>
      <c r="F11074" s="27" t="s">
        <v>1881</v>
      </c>
      <c r="H11074" s="27" t="s">
        <v>2679</v>
      </c>
      <c r="J11074" s="27" t="s">
        <v>2680</v>
      </c>
      <c r="L11074" s="27" t="s">
        <v>2810</v>
      </c>
      <c r="N11074" s="27" t="s">
        <v>2987</v>
      </c>
      <c r="P11074" s="27" t="s">
        <v>14913</v>
      </c>
      <c r="Q11074" s="26" t="str">
        <f>HYPERLINK("https://ictv.global/taxonomy/taxondetails?taxnode_id=202516460&amp;ictv_id=ICTV202316460","ICTV202316460")</f>
        <v>ICTV202316460</v>
      </c>
      <c r="R11074" t="s">
        <v>581</v>
      </c>
      <c r="S11074" t="s">
        <v>823</v>
      </c>
      <c r="T11074">
        <v>39</v>
      </c>
      <c r="U11074" s="26" t="str">
        <f t="shared" si="404"/>
        <v>2023.001B.Leviviricetes_reorg.zip</v>
      </c>
    </row>
    <row r="11075" spans="1:21">
      <c r="A11075">
        <v>11074</v>
      </c>
      <c r="B11075" s="27" t="s">
        <v>1124</v>
      </c>
      <c r="D11075" s="27" t="s">
        <v>1859</v>
      </c>
      <c r="F11075" s="27" t="s">
        <v>1881</v>
      </c>
      <c r="H11075" s="27" t="s">
        <v>2679</v>
      </c>
      <c r="J11075" s="27" t="s">
        <v>2680</v>
      </c>
      <c r="L11075" s="27" t="s">
        <v>2810</v>
      </c>
      <c r="N11075" s="27" t="s">
        <v>2987</v>
      </c>
      <c r="P11075" s="27" t="s">
        <v>14914</v>
      </c>
      <c r="Q11075" s="26" t="str">
        <f>HYPERLINK("https://ictv.global/taxonomy/taxondetails?taxnode_id=202516461&amp;ictv_id=ICTV202316461","ICTV202316461")</f>
        <v>ICTV202316461</v>
      </c>
      <c r="R11075" t="s">
        <v>581</v>
      </c>
      <c r="S11075" t="s">
        <v>823</v>
      </c>
      <c r="T11075">
        <v>39</v>
      </c>
      <c r="U11075" s="26" t="str">
        <f t="shared" si="404"/>
        <v>2023.001B.Leviviricetes_reorg.zip</v>
      </c>
    </row>
    <row r="11076" spans="1:21">
      <c r="A11076">
        <v>11075</v>
      </c>
      <c r="B11076" s="27" t="s">
        <v>1124</v>
      </c>
      <c r="D11076" s="27" t="s">
        <v>1859</v>
      </c>
      <c r="F11076" s="27" t="s">
        <v>1881</v>
      </c>
      <c r="H11076" s="27" t="s">
        <v>2679</v>
      </c>
      <c r="J11076" s="27" t="s">
        <v>2680</v>
      </c>
      <c r="L11076" s="27" t="s">
        <v>2810</v>
      </c>
      <c r="N11076" s="27" t="s">
        <v>2987</v>
      </c>
      <c r="P11076" s="27" t="s">
        <v>14915</v>
      </c>
      <c r="Q11076" s="26" t="str">
        <f>HYPERLINK("https://ictv.global/taxonomy/taxondetails?taxnode_id=202516462&amp;ictv_id=ICTV202316462","ICTV202316462")</f>
        <v>ICTV202316462</v>
      </c>
      <c r="R11076" t="s">
        <v>581</v>
      </c>
      <c r="S11076" t="s">
        <v>823</v>
      </c>
      <c r="T11076">
        <v>39</v>
      </c>
      <c r="U11076" s="26" t="str">
        <f t="shared" si="404"/>
        <v>2023.001B.Leviviricetes_reorg.zip</v>
      </c>
    </row>
    <row r="11077" spans="1:21">
      <c r="A11077">
        <v>11076</v>
      </c>
      <c r="B11077" s="27" t="s">
        <v>1124</v>
      </c>
      <c r="D11077" s="27" t="s">
        <v>1859</v>
      </c>
      <c r="F11077" s="27" t="s">
        <v>1881</v>
      </c>
      <c r="H11077" s="27" t="s">
        <v>2679</v>
      </c>
      <c r="J11077" s="27" t="s">
        <v>2680</v>
      </c>
      <c r="L11077" s="27" t="s">
        <v>2810</v>
      </c>
      <c r="N11077" s="27" t="s">
        <v>2987</v>
      </c>
      <c r="P11077" s="27" t="s">
        <v>14916</v>
      </c>
      <c r="Q11077" s="26" t="str">
        <f>HYPERLINK("https://ictv.global/taxonomy/taxondetails?taxnode_id=202516463&amp;ictv_id=ICTV202316463","ICTV202316463")</f>
        <v>ICTV202316463</v>
      </c>
      <c r="R11077" t="s">
        <v>581</v>
      </c>
      <c r="S11077" t="s">
        <v>823</v>
      </c>
      <c r="T11077">
        <v>39</v>
      </c>
      <c r="U11077" s="26" t="str">
        <f t="shared" si="404"/>
        <v>2023.001B.Leviviricetes_reorg.zip</v>
      </c>
    </row>
    <row r="11078" spans="1:21">
      <c r="A11078">
        <v>11077</v>
      </c>
      <c r="B11078" s="27" t="s">
        <v>1124</v>
      </c>
      <c r="D11078" s="27" t="s">
        <v>1859</v>
      </c>
      <c r="F11078" s="27" t="s">
        <v>1881</v>
      </c>
      <c r="H11078" s="27" t="s">
        <v>2679</v>
      </c>
      <c r="J11078" s="27" t="s">
        <v>2680</v>
      </c>
      <c r="L11078" s="27" t="s">
        <v>2810</v>
      </c>
      <c r="N11078" s="27" t="s">
        <v>2987</v>
      </c>
      <c r="P11078" s="27" t="s">
        <v>2988</v>
      </c>
      <c r="Q11078" s="26" t="str">
        <f>HYPERLINK("https://ictv.global/taxonomy/taxondetails?taxnode_id=202510445&amp;ictv_id=ICTV202010445","ICTV202010445")</f>
        <v>ICTV202010445</v>
      </c>
      <c r="R11078" t="s">
        <v>581</v>
      </c>
      <c r="S11078" t="s">
        <v>823</v>
      </c>
      <c r="T11078">
        <v>36</v>
      </c>
      <c r="U11078" s="26" t="str">
        <f>HYPERLINK("https://ictv.global/ictv/proposals/2020.095B.R.Leviviricetes.zip","2020.095B.R.Leviviricetes.zip")</f>
        <v>2020.095B.R.Leviviricetes.zip</v>
      </c>
    </row>
    <row r="11079" spans="1:21">
      <c r="A11079">
        <v>11078</v>
      </c>
      <c r="B11079" s="27" t="s">
        <v>1124</v>
      </c>
      <c r="D11079" s="27" t="s">
        <v>1859</v>
      </c>
      <c r="F11079" s="27" t="s">
        <v>1881</v>
      </c>
      <c r="H11079" s="27" t="s">
        <v>2679</v>
      </c>
      <c r="J11079" s="27" t="s">
        <v>2680</v>
      </c>
      <c r="L11079" s="27" t="s">
        <v>2810</v>
      </c>
      <c r="N11079" s="27" t="s">
        <v>2987</v>
      </c>
      <c r="P11079" s="27" t="s">
        <v>2989</v>
      </c>
      <c r="Q11079" s="26" t="str">
        <f>HYPERLINK("https://ictv.global/taxonomy/taxondetails?taxnode_id=202510446&amp;ictv_id=ICTV202010446","ICTV202010446")</f>
        <v>ICTV202010446</v>
      </c>
      <c r="R11079" t="s">
        <v>581</v>
      </c>
      <c r="S11079" t="s">
        <v>823</v>
      </c>
      <c r="T11079">
        <v>36</v>
      </c>
      <c r="U11079" s="26" t="str">
        <f>HYPERLINK("https://ictv.global/ictv/proposals/2020.095B.R.Leviviricetes.zip","2020.095B.R.Leviviricetes.zip")</f>
        <v>2020.095B.R.Leviviricetes.zip</v>
      </c>
    </row>
    <row r="11080" spans="1:21">
      <c r="A11080">
        <v>11079</v>
      </c>
      <c r="B11080" s="27" t="s">
        <v>1124</v>
      </c>
      <c r="D11080" s="27" t="s">
        <v>1859</v>
      </c>
      <c r="F11080" s="27" t="s">
        <v>1881</v>
      </c>
      <c r="H11080" s="27" t="s">
        <v>2679</v>
      </c>
      <c r="J11080" s="27" t="s">
        <v>2680</v>
      </c>
      <c r="L11080" s="27" t="s">
        <v>2810</v>
      </c>
      <c r="N11080" s="27" t="s">
        <v>2990</v>
      </c>
      <c r="P11080" s="27" t="s">
        <v>2991</v>
      </c>
      <c r="Q11080" s="26" t="str">
        <f>HYPERLINK("https://ictv.global/taxonomy/taxondetails?taxnode_id=202510448&amp;ictv_id=ICTV202010448","ICTV202010448")</f>
        <v>ICTV202010448</v>
      </c>
      <c r="R11080" t="s">
        <v>581</v>
      </c>
      <c r="S11080" t="s">
        <v>823</v>
      </c>
      <c r="T11080">
        <v>36</v>
      </c>
      <c r="U11080" s="26" t="str">
        <f>HYPERLINK("https://ictv.global/ictv/proposals/2020.095B.R.Leviviricetes.zip","2020.095B.R.Leviviricetes.zip")</f>
        <v>2020.095B.R.Leviviricetes.zip</v>
      </c>
    </row>
    <row r="11081" spans="1:21">
      <c r="A11081">
        <v>11080</v>
      </c>
      <c r="B11081" s="27" t="s">
        <v>1124</v>
      </c>
      <c r="D11081" s="27" t="s">
        <v>1859</v>
      </c>
      <c r="F11081" s="27" t="s">
        <v>1881</v>
      </c>
      <c r="H11081" s="27" t="s">
        <v>2679</v>
      </c>
      <c r="J11081" s="27" t="s">
        <v>2680</v>
      </c>
      <c r="L11081" s="27" t="s">
        <v>2810</v>
      </c>
      <c r="N11081" s="27" t="s">
        <v>14917</v>
      </c>
      <c r="P11081" s="27" t="s">
        <v>14918</v>
      </c>
      <c r="Q11081" s="26" t="str">
        <f>HYPERLINK("https://ictv.global/taxonomy/taxondetails?taxnode_id=202516464&amp;ictv_id=ICTV202316464","ICTV202316464")</f>
        <v>ICTV202316464</v>
      </c>
      <c r="R11081" t="s">
        <v>581</v>
      </c>
      <c r="S11081" t="s">
        <v>823</v>
      </c>
      <c r="T11081">
        <v>39</v>
      </c>
      <c r="U11081" s="26" t="str">
        <f>HYPERLINK("https://ictv.global/ictv/proposals/2023.001B.Leviviricetes_reorg.zip","2023.001B.Leviviricetes_reorg.zip")</f>
        <v>2023.001B.Leviviricetes_reorg.zip</v>
      </c>
    </row>
    <row r="11082" spans="1:21">
      <c r="A11082">
        <v>11081</v>
      </c>
      <c r="B11082" s="27" t="s">
        <v>1124</v>
      </c>
      <c r="D11082" s="27" t="s">
        <v>1859</v>
      </c>
      <c r="F11082" s="27" t="s">
        <v>1881</v>
      </c>
      <c r="H11082" s="27" t="s">
        <v>2679</v>
      </c>
      <c r="J11082" s="27" t="s">
        <v>2680</v>
      </c>
      <c r="L11082" s="27" t="s">
        <v>2810</v>
      </c>
      <c r="N11082" s="27" t="s">
        <v>14917</v>
      </c>
      <c r="P11082" s="27" t="s">
        <v>14919</v>
      </c>
      <c r="Q11082" s="26" t="str">
        <f>HYPERLINK("https://ictv.global/taxonomy/taxondetails?taxnode_id=202516465&amp;ictv_id=ICTV202316465","ICTV202316465")</f>
        <v>ICTV202316465</v>
      </c>
      <c r="R11082" t="s">
        <v>581</v>
      </c>
      <c r="S11082" t="s">
        <v>823</v>
      </c>
      <c r="T11082">
        <v>39</v>
      </c>
      <c r="U11082" s="26" t="str">
        <f>HYPERLINK("https://ictv.global/ictv/proposals/2023.001B.Leviviricetes_reorg.zip","2023.001B.Leviviricetes_reorg.zip")</f>
        <v>2023.001B.Leviviricetes_reorg.zip</v>
      </c>
    </row>
    <row r="11083" spans="1:21">
      <c r="A11083">
        <v>11082</v>
      </c>
      <c r="B11083" s="27" t="s">
        <v>1124</v>
      </c>
      <c r="D11083" s="27" t="s">
        <v>1859</v>
      </c>
      <c r="F11083" s="27" t="s">
        <v>1881</v>
      </c>
      <c r="H11083" s="27" t="s">
        <v>2679</v>
      </c>
      <c r="J11083" s="27" t="s">
        <v>2680</v>
      </c>
      <c r="L11083" s="27" t="s">
        <v>2810</v>
      </c>
      <c r="N11083" s="27" t="s">
        <v>14917</v>
      </c>
      <c r="P11083" s="27" t="s">
        <v>14920</v>
      </c>
      <c r="Q11083" s="26" t="str">
        <f>HYPERLINK("https://ictv.global/taxonomy/taxondetails?taxnode_id=202516466&amp;ictv_id=ICTV202316466","ICTV202316466")</f>
        <v>ICTV202316466</v>
      </c>
      <c r="R11083" t="s">
        <v>581</v>
      </c>
      <c r="S11083" t="s">
        <v>823</v>
      </c>
      <c r="T11083">
        <v>39</v>
      </c>
      <c r="U11083" s="26" t="str">
        <f>HYPERLINK("https://ictv.global/ictv/proposals/2023.001B.Leviviricetes_reorg.zip","2023.001B.Leviviricetes_reorg.zip")</f>
        <v>2023.001B.Leviviricetes_reorg.zip</v>
      </c>
    </row>
    <row r="11084" spans="1:21">
      <c r="A11084">
        <v>11083</v>
      </c>
      <c r="B11084" s="27" t="s">
        <v>1124</v>
      </c>
      <c r="D11084" s="27" t="s">
        <v>1859</v>
      </c>
      <c r="F11084" s="27" t="s">
        <v>1881</v>
      </c>
      <c r="H11084" s="27" t="s">
        <v>2679</v>
      </c>
      <c r="J11084" s="27" t="s">
        <v>2680</v>
      </c>
      <c r="L11084" s="27" t="s">
        <v>2810</v>
      </c>
      <c r="N11084" s="27" t="s">
        <v>2992</v>
      </c>
      <c r="P11084" s="27" t="s">
        <v>2993</v>
      </c>
      <c r="Q11084" s="26" t="str">
        <f>HYPERLINK("https://ictv.global/taxonomy/taxondetails?taxnode_id=202510452&amp;ictv_id=ICTV202010452","ICTV202010452")</f>
        <v>ICTV202010452</v>
      </c>
      <c r="R11084" t="s">
        <v>581</v>
      </c>
      <c r="S11084" t="s">
        <v>823</v>
      </c>
      <c r="T11084">
        <v>36</v>
      </c>
      <c r="U11084" s="26" t="str">
        <f>HYPERLINK("https://ictv.global/ictv/proposals/2020.095B.R.Leviviricetes.zip","2020.095B.R.Leviviricetes.zip")</f>
        <v>2020.095B.R.Leviviricetes.zip</v>
      </c>
    </row>
    <row r="11085" spans="1:21">
      <c r="A11085">
        <v>11084</v>
      </c>
      <c r="B11085" s="27" t="s">
        <v>1124</v>
      </c>
      <c r="D11085" s="27" t="s">
        <v>1859</v>
      </c>
      <c r="F11085" s="27" t="s">
        <v>1881</v>
      </c>
      <c r="H11085" s="27" t="s">
        <v>2679</v>
      </c>
      <c r="J11085" s="27" t="s">
        <v>2680</v>
      </c>
      <c r="L11085" s="27" t="s">
        <v>2810</v>
      </c>
      <c r="N11085" s="27" t="s">
        <v>2994</v>
      </c>
      <c r="P11085" s="27" t="s">
        <v>2995</v>
      </c>
      <c r="Q11085" s="26" t="str">
        <f>HYPERLINK("https://ictv.global/taxonomy/taxondetails?taxnode_id=202510454&amp;ictv_id=ICTV202010454","ICTV202010454")</f>
        <v>ICTV202010454</v>
      </c>
      <c r="R11085" t="s">
        <v>581</v>
      </c>
      <c r="S11085" t="s">
        <v>823</v>
      </c>
      <c r="T11085">
        <v>36</v>
      </c>
      <c r="U11085" s="26" t="str">
        <f>HYPERLINK("https://ictv.global/ictv/proposals/2020.095B.R.Leviviricetes.zip","2020.095B.R.Leviviricetes.zip")</f>
        <v>2020.095B.R.Leviviricetes.zip</v>
      </c>
    </row>
    <row r="11086" spans="1:21">
      <c r="A11086">
        <v>11085</v>
      </c>
      <c r="B11086" s="27" t="s">
        <v>1124</v>
      </c>
      <c r="D11086" s="27" t="s">
        <v>1859</v>
      </c>
      <c r="F11086" s="27" t="s">
        <v>1881</v>
      </c>
      <c r="H11086" s="27" t="s">
        <v>2679</v>
      </c>
      <c r="J11086" s="27" t="s">
        <v>2680</v>
      </c>
      <c r="L11086" s="27" t="s">
        <v>2810</v>
      </c>
      <c r="N11086" s="27" t="s">
        <v>14921</v>
      </c>
      <c r="P11086" s="27" t="s">
        <v>14922</v>
      </c>
      <c r="Q11086" s="26" t="str">
        <f>HYPERLINK("https://ictv.global/taxonomy/taxondetails?taxnode_id=202516467&amp;ictv_id=ICTV202316467","ICTV202316467")</f>
        <v>ICTV202316467</v>
      </c>
      <c r="R11086" t="s">
        <v>581</v>
      </c>
      <c r="S11086" t="s">
        <v>823</v>
      </c>
      <c r="T11086">
        <v>39</v>
      </c>
      <c r="U11086" s="26" t="str">
        <f>HYPERLINK("https://ictv.global/ictv/proposals/2023.001B.Leviviricetes_reorg.zip","2023.001B.Leviviricetes_reorg.zip")</f>
        <v>2023.001B.Leviviricetes_reorg.zip</v>
      </c>
    </row>
    <row r="11087" spans="1:21">
      <c r="A11087">
        <v>11086</v>
      </c>
      <c r="B11087" s="27" t="s">
        <v>1124</v>
      </c>
      <c r="D11087" s="27" t="s">
        <v>1859</v>
      </c>
      <c r="F11087" s="27" t="s">
        <v>1881</v>
      </c>
      <c r="H11087" s="27" t="s">
        <v>2679</v>
      </c>
      <c r="J11087" s="27" t="s">
        <v>2680</v>
      </c>
      <c r="L11087" s="27" t="s">
        <v>2810</v>
      </c>
      <c r="N11087" s="27" t="s">
        <v>14923</v>
      </c>
      <c r="P11087" s="27" t="s">
        <v>14924</v>
      </c>
      <c r="Q11087" s="26" t="str">
        <f>HYPERLINK("https://ictv.global/taxonomy/taxondetails?taxnode_id=202516468&amp;ictv_id=ICTV202316468","ICTV202316468")</f>
        <v>ICTV202316468</v>
      </c>
      <c r="R11087" t="s">
        <v>581</v>
      </c>
      <c r="S11087" t="s">
        <v>823</v>
      </c>
      <c r="T11087">
        <v>39</v>
      </c>
      <c r="U11087" s="26" t="str">
        <f>HYPERLINK("https://ictv.global/ictv/proposals/2023.001B.Leviviricetes_reorg.zip","2023.001B.Leviviricetes_reorg.zip")</f>
        <v>2023.001B.Leviviricetes_reorg.zip</v>
      </c>
    </row>
    <row r="11088" spans="1:21">
      <c r="A11088">
        <v>11087</v>
      </c>
      <c r="B11088" s="27" t="s">
        <v>1124</v>
      </c>
      <c r="D11088" s="27" t="s">
        <v>1859</v>
      </c>
      <c r="F11088" s="27" t="s">
        <v>1881</v>
      </c>
      <c r="H11088" s="27" t="s">
        <v>2679</v>
      </c>
      <c r="J11088" s="27" t="s">
        <v>2680</v>
      </c>
      <c r="L11088" s="27" t="s">
        <v>2810</v>
      </c>
      <c r="N11088" s="27" t="s">
        <v>14923</v>
      </c>
      <c r="P11088" s="27" t="s">
        <v>14925</v>
      </c>
      <c r="Q11088" s="26" t="str">
        <f>HYPERLINK("https://ictv.global/taxonomy/taxondetails?taxnode_id=202516469&amp;ictv_id=ICTV202316469","ICTV202316469")</f>
        <v>ICTV202316469</v>
      </c>
      <c r="R11088" t="s">
        <v>581</v>
      </c>
      <c r="S11088" t="s">
        <v>823</v>
      </c>
      <c r="T11088">
        <v>39</v>
      </c>
      <c r="U11088" s="26" t="str">
        <f>HYPERLINK("https://ictv.global/ictv/proposals/2023.001B.Leviviricetes_reorg.zip","2023.001B.Leviviricetes_reorg.zip")</f>
        <v>2023.001B.Leviviricetes_reorg.zip</v>
      </c>
    </row>
    <row r="11089" spans="1:21">
      <c r="A11089">
        <v>11088</v>
      </c>
      <c r="B11089" s="27" t="s">
        <v>1124</v>
      </c>
      <c r="D11089" s="27" t="s">
        <v>1859</v>
      </c>
      <c r="F11089" s="27" t="s">
        <v>1881</v>
      </c>
      <c r="H11089" s="27" t="s">
        <v>2679</v>
      </c>
      <c r="J11089" s="27" t="s">
        <v>2680</v>
      </c>
      <c r="L11089" s="27" t="s">
        <v>2810</v>
      </c>
      <c r="N11089" s="27" t="s">
        <v>14923</v>
      </c>
      <c r="P11089" s="27" t="s">
        <v>14926</v>
      </c>
      <c r="Q11089" s="26" t="str">
        <f>HYPERLINK("https://ictv.global/taxonomy/taxondetails?taxnode_id=202516470&amp;ictv_id=ICTV202316470","ICTV202316470")</f>
        <v>ICTV202316470</v>
      </c>
      <c r="R11089" t="s">
        <v>581</v>
      </c>
      <c r="S11089" t="s">
        <v>823</v>
      </c>
      <c r="T11089">
        <v>39</v>
      </c>
      <c r="U11089" s="26" t="str">
        <f>HYPERLINK("https://ictv.global/ictv/proposals/2023.001B.Leviviricetes_reorg.zip","2023.001B.Leviviricetes_reorg.zip")</f>
        <v>2023.001B.Leviviricetes_reorg.zip</v>
      </c>
    </row>
    <row r="11090" spans="1:21">
      <c r="A11090">
        <v>11089</v>
      </c>
      <c r="B11090" s="27" t="s">
        <v>1124</v>
      </c>
      <c r="D11090" s="27" t="s">
        <v>1859</v>
      </c>
      <c r="F11090" s="27" t="s">
        <v>1881</v>
      </c>
      <c r="H11090" s="27" t="s">
        <v>2679</v>
      </c>
      <c r="J11090" s="27" t="s">
        <v>2680</v>
      </c>
      <c r="L11090" s="27" t="s">
        <v>2810</v>
      </c>
      <c r="N11090" s="27" t="s">
        <v>2996</v>
      </c>
      <c r="P11090" s="27" t="s">
        <v>2997</v>
      </c>
      <c r="Q11090" s="26" t="str">
        <f>HYPERLINK("https://ictv.global/taxonomy/taxondetails?taxnode_id=202510456&amp;ictv_id=ICTV202010456","ICTV202010456")</f>
        <v>ICTV202010456</v>
      </c>
      <c r="R11090" t="s">
        <v>581</v>
      </c>
      <c r="S11090" t="s">
        <v>823</v>
      </c>
      <c r="T11090">
        <v>36</v>
      </c>
      <c r="U11090" s="26" t="str">
        <f>HYPERLINK("https://ictv.global/ictv/proposals/2020.095B.R.Leviviricetes.zip","2020.095B.R.Leviviricetes.zip")</f>
        <v>2020.095B.R.Leviviricetes.zip</v>
      </c>
    </row>
    <row r="11091" spans="1:21">
      <c r="A11091">
        <v>11090</v>
      </c>
      <c r="B11091" s="27" t="s">
        <v>1124</v>
      </c>
      <c r="D11091" s="27" t="s">
        <v>1859</v>
      </c>
      <c r="F11091" s="27" t="s">
        <v>1881</v>
      </c>
      <c r="H11091" s="27" t="s">
        <v>2679</v>
      </c>
      <c r="J11091" s="27" t="s">
        <v>2680</v>
      </c>
      <c r="L11091" s="27" t="s">
        <v>2810</v>
      </c>
      <c r="N11091" s="27" t="s">
        <v>2998</v>
      </c>
      <c r="P11091" s="27" t="s">
        <v>14927</v>
      </c>
      <c r="Q11091" s="26" t="str">
        <f>HYPERLINK("https://ictv.global/taxonomy/taxondetails?taxnode_id=202516471&amp;ictv_id=ICTV202316471","ICTV202316471")</f>
        <v>ICTV202316471</v>
      </c>
      <c r="R11091" t="s">
        <v>581</v>
      </c>
      <c r="S11091" t="s">
        <v>823</v>
      </c>
      <c r="T11091">
        <v>39</v>
      </c>
      <c r="U11091" s="26" t="str">
        <f>HYPERLINK("https://ictv.global/ictv/proposals/2023.001B.Leviviricetes_reorg.zip","2023.001B.Leviviricetes_reorg.zip")</f>
        <v>2023.001B.Leviviricetes_reorg.zip</v>
      </c>
    </row>
    <row r="11092" spans="1:21">
      <c r="A11092">
        <v>11091</v>
      </c>
      <c r="B11092" s="27" t="s">
        <v>1124</v>
      </c>
      <c r="D11092" s="27" t="s">
        <v>1859</v>
      </c>
      <c r="F11092" s="27" t="s">
        <v>1881</v>
      </c>
      <c r="H11092" s="27" t="s">
        <v>2679</v>
      </c>
      <c r="J11092" s="27" t="s">
        <v>2680</v>
      </c>
      <c r="L11092" s="27" t="s">
        <v>2810</v>
      </c>
      <c r="N11092" s="27" t="s">
        <v>2998</v>
      </c>
      <c r="P11092" s="27" t="s">
        <v>14928</v>
      </c>
      <c r="Q11092" s="26" t="str">
        <f>HYPERLINK("https://ictv.global/taxonomy/taxondetails?taxnode_id=202510642&amp;ictv_id=ICTV202010642","ICTV202010642")</f>
        <v>ICTV202010642</v>
      </c>
      <c r="R11092" t="s">
        <v>581</v>
      </c>
      <c r="S11092" t="s">
        <v>22764</v>
      </c>
      <c r="T11092">
        <v>39</v>
      </c>
      <c r="U11092" s="26" t="str">
        <f>HYPERLINK("https://ictv.global/ictv/proposals/2023.001B.Leviviricetes_reorg.zip","2023.001B.Leviviricetes_reorg.zip")</f>
        <v>2023.001B.Leviviricetes_reorg.zip</v>
      </c>
    </row>
    <row r="11093" spans="1:21">
      <c r="A11093">
        <v>11092</v>
      </c>
      <c r="B11093" s="27" t="s">
        <v>1124</v>
      </c>
      <c r="D11093" s="27" t="s">
        <v>1859</v>
      </c>
      <c r="F11093" s="27" t="s">
        <v>1881</v>
      </c>
      <c r="H11093" s="27" t="s">
        <v>2679</v>
      </c>
      <c r="J11093" s="27" t="s">
        <v>2680</v>
      </c>
      <c r="L11093" s="27" t="s">
        <v>2810</v>
      </c>
      <c r="N11093" s="27" t="s">
        <v>2998</v>
      </c>
      <c r="P11093" s="27" t="s">
        <v>14929</v>
      </c>
      <c r="Q11093" s="26" t="str">
        <f>HYPERLINK("https://ictv.global/taxonomy/taxondetails?taxnode_id=202516472&amp;ictv_id=ICTV202316472","ICTV202316472")</f>
        <v>ICTV202316472</v>
      </c>
      <c r="R11093" t="s">
        <v>581</v>
      </c>
      <c r="S11093" t="s">
        <v>823</v>
      </c>
      <c r="T11093">
        <v>39</v>
      </c>
      <c r="U11093" s="26" t="str">
        <f>HYPERLINK("https://ictv.global/ictv/proposals/2023.001B.Leviviricetes_reorg.zip","2023.001B.Leviviricetes_reorg.zip")</f>
        <v>2023.001B.Leviviricetes_reorg.zip</v>
      </c>
    </row>
    <row r="11094" spans="1:21">
      <c r="A11094">
        <v>11093</v>
      </c>
      <c r="B11094" s="27" t="s">
        <v>1124</v>
      </c>
      <c r="D11094" s="27" t="s">
        <v>1859</v>
      </c>
      <c r="F11094" s="27" t="s">
        <v>1881</v>
      </c>
      <c r="H11094" s="27" t="s">
        <v>2679</v>
      </c>
      <c r="J11094" s="27" t="s">
        <v>2680</v>
      </c>
      <c r="L11094" s="27" t="s">
        <v>2810</v>
      </c>
      <c r="N11094" s="27" t="s">
        <v>2998</v>
      </c>
      <c r="P11094" s="27" t="s">
        <v>14930</v>
      </c>
      <c r="Q11094" s="26" t="str">
        <f>HYPERLINK("https://ictv.global/taxonomy/taxondetails?taxnode_id=202516473&amp;ictv_id=ICTV202316473","ICTV202316473")</f>
        <v>ICTV202316473</v>
      </c>
      <c r="R11094" t="s">
        <v>581</v>
      </c>
      <c r="S11094" t="s">
        <v>823</v>
      </c>
      <c r="T11094">
        <v>39</v>
      </c>
      <c r="U11094" s="26" t="str">
        <f>HYPERLINK("https://ictv.global/ictv/proposals/2023.001B.Leviviricetes_reorg.zip","2023.001B.Leviviricetes_reorg.zip")</f>
        <v>2023.001B.Leviviricetes_reorg.zip</v>
      </c>
    </row>
    <row r="11095" spans="1:21">
      <c r="A11095">
        <v>11094</v>
      </c>
      <c r="B11095" s="27" t="s">
        <v>1124</v>
      </c>
      <c r="D11095" s="27" t="s">
        <v>1859</v>
      </c>
      <c r="F11095" s="27" t="s">
        <v>1881</v>
      </c>
      <c r="H11095" s="27" t="s">
        <v>2679</v>
      </c>
      <c r="J11095" s="27" t="s">
        <v>2680</v>
      </c>
      <c r="L11095" s="27" t="s">
        <v>2810</v>
      </c>
      <c r="N11095" s="27" t="s">
        <v>2998</v>
      </c>
      <c r="P11095" s="27" t="s">
        <v>14931</v>
      </c>
      <c r="Q11095" s="26" t="str">
        <f>HYPERLINK("https://ictv.global/taxonomy/taxondetails?taxnode_id=202516474&amp;ictv_id=ICTV202316474","ICTV202316474")</f>
        <v>ICTV202316474</v>
      </c>
      <c r="R11095" t="s">
        <v>581</v>
      </c>
      <c r="S11095" t="s">
        <v>823</v>
      </c>
      <c r="T11095">
        <v>39</v>
      </c>
      <c r="U11095" s="26" t="str">
        <f>HYPERLINK("https://ictv.global/ictv/proposals/2023.001B.Leviviricetes_reorg.zip","2023.001B.Leviviricetes_reorg.zip")</f>
        <v>2023.001B.Leviviricetes_reorg.zip</v>
      </c>
    </row>
    <row r="11096" spans="1:21">
      <c r="A11096">
        <v>11095</v>
      </c>
      <c r="B11096" s="27" t="s">
        <v>1124</v>
      </c>
      <c r="D11096" s="27" t="s">
        <v>1859</v>
      </c>
      <c r="F11096" s="27" t="s">
        <v>1881</v>
      </c>
      <c r="H11096" s="27" t="s">
        <v>2679</v>
      </c>
      <c r="J11096" s="27" t="s">
        <v>2680</v>
      </c>
      <c r="L11096" s="27" t="s">
        <v>2810</v>
      </c>
      <c r="N11096" s="27" t="s">
        <v>2998</v>
      </c>
      <c r="P11096" s="27" t="s">
        <v>2999</v>
      </c>
      <c r="Q11096" s="26" t="str">
        <f>HYPERLINK("https://ictv.global/taxonomy/taxondetails?taxnode_id=202510458&amp;ictv_id=ICTV202010458","ICTV202010458")</f>
        <v>ICTV202010458</v>
      </c>
      <c r="R11096" t="s">
        <v>581</v>
      </c>
      <c r="S11096" t="s">
        <v>823</v>
      </c>
      <c r="T11096">
        <v>36</v>
      </c>
      <c r="U11096" s="26" t="str">
        <f>HYPERLINK("https://ictv.global/ictv/proposals/2020.095B.R.Leviviricetes.zip","2020.095B.R.Leviviricetes.zip")</f>
        <v>2020.095B.R.Leviviricetes.zip</v>
      </c>
    </row>
    <row r="11097" spans="1:21">
      <c r="A11097">
        <v>11096</v>
      </c>
      <c r="B11097" s="27" t="s">
        <v>1124</v>
      </c>
      <c r="D11097" s="27" t="s">
        <v>1859</v>
      </c>
      <c r="F11097" s="27" t="s">
        <v>1881</v>
      </c>
      <c r="H11097" s="27" t="s">
        <v>2679</v>
      </c>
      <c r="J11097" s="27" t="s">
        <v>2680</v>
      </c>
      <c r="L11097" s="27" t="s">
        <v>2810</v>
      </c>
      <c r="N11097" s="27" t="s">
        <v>14932</v>
      </c>
      <c r="P11097" s="27" t="s">
        <v>14933</v>
      </c>
      <c r="Q11097" s="26" t="str">
        <f>HYPERLINK("https://ictv.global/taxonomy/taxondetails?taxnode_id=202516475&amp;ictv_id=ICTV202316475","ICTV202316475")</f>
        <v>ICTV202316475</v>
      </c>
      <c r="R11097" t="s">
        <v>581</v>
      </c>
      <c r="S11097" t="s">
        <v>823</v>
      </c>
      <c r="T11097">
        <v>39</v>
      </c>
      <c r="U11097" s="26" t="str">
        <f>HYPERLINK("https://ictv.global/ictv/proposals/2023.001B.Leviviricetes_reorg.zip","2023.001B.Leviviricetes_reorg.zip")</f>
        <v>2023.001B.Leviviricetes_reorg.zip</v>
      </c>
    </row>
    <row r="11098" spans="1:21">
      <c r="A11098">
        <v>11097</v>
      </c>
      <c r="B11098" s="27" t="s">
        <v>1124</v>
      </c>
      <c r="D11098" s="27" t="s">
        <v>1859</v>
      </c>
      <c r="F11098" s="27" t="s">
        <v>1881</v>
      </c>
      <c r="H11098" s="27" t="s">
        <v>2679</v>
      </c>
      <c r="J11098" s="27" t="s">
        <v>2680</v>
      </c>
      <c r="L11098" s="27" t="s">
        <v>2810</v>
      </c>
      <c r="N11098" s="27" t="s">
        <v>3000</v>
      </c>
      <c r="P11098" s="27" t="s">
        <v>3001</v>
      </c>
      <c r="Q11098" s="26" t="str">
        <f>HYPERLINK("https://ictv.global/taxonomy/taxondetails?taxnode_id=202510460&amp;ictv_id=ICTV202010460","ICTV202010460")</f>
        <v>ICTV202010460</v>
      </c>
      <c r="R11098" t="s">
        <v>581</v>
      </c>
      <c r="S11098" t="s">
        <v>823</v>
      </c>
      <c r="T11098">
        <v>36</v>
      </c>
      <c r="U11098" s="26" t="str">
        <f>HYPERLINK("https://ictv.global/ictv/proposals/2020.095B.R.Leviviricetes.zip","2020.095B.R.Leviviricetes.zip")</f>
        <v>2020.095B.R.Leviviricetes.zip</v>
      </c>
    </row>
    <row r="11099" spans="1:21">
      <c r="A11099">
        <v>11098</v>
      </c>
      <c r="B11099" s="27" t="s">
        <v>1124</v>
      </c>
      <c r="D11099" s="27" t="s">
        <v>1859</v>
      </c>
      <c r="F11099" s="27" t="s">
        <v>1881</v>
      </c>
      <c r="H11099" s="27" t="s">
        <v>2679</v>
      </c>
      <c r="J11099" s="27" t="s">
        <v>2680</v>
      </c>
      <c r="L11099" s="27" t="s">
        <v>2810</v>
      </c>
      <c r="N11099" s="27" t="s">
        <v>14934</v>
      </c>
      <c r="P11099" s="27" t="s">
        <v>14935</v>
      </c>
      <c r="Q11099" s="26" t="str">
        <f>HYPERLINK("https://ictv.global/taxonomy/taxondetails?taxnode_id=202516476&amp;ictv_id=ICTV202316476","ICTV202316476")</f>
        <v>ICTV202316476</v>
      </c>
      <c r="R11099" t="s">
        <v>581</v>
      </c>
      <c r="S11099" t="s">
        <v>823</v>
      </c>
      <c r="T11099">
        <v>39</v>
      </c>
      <c r="U11099" s="26" t="str">
        <f>HYPERLINK("https://ictv.global/ictv/proposals/2023.001B.Leviviricetes_reorg.zip","2023.001B.Leviviricetes_reorg.zip")</f>
        <v>2023.001B.Leviviricetes_reorg.zip</v>
      </c>
    </row>
    <row r="11100" spans="1:21">
      <c r="A11100">
        <v>11099</v>
      </c>
      <c r="B11100" s="27" t="s">
        <v>1124</v>
      </c>
      <c r="D11100" s="27" t="s">
        <v>1859</v>
      </c>
      <c r="F11100" s="27" t="s">
        <v>1881</v>
      </c>
      <c r="H11100" s="27" t="s">
        <v>2679</v>
      </c>
      <c r="J11100" s="27" t="s">
        <v>2680</v>
      </c>
      <c r="L11100" s="27" t="s">
        <v>2810</v>
      </c>
      <c r="N11100" s="27" t="s">
        <v>14934</v>
      </c>
      <c r="P11100" s="27" t="s">
        <v>14936</v>
      </c>
      <c r="Q11100" s="26" t="str">
        <f>HYPERLINK("https://ictv.global/taxonomy/taxondetails?taxnode_id=202516477&amp;ictv_id=ICTV202316477","ICTV202316477")</f>
        <v>ICTV202316477</v>
      </c>
      <c r="R11100" t="s">
        <v>581</v>
      </c>
      <c r="S11100" t="s">
        <v>823</v>
      </c>
      <c r="T11100">
        <v>39</v>
      </c>
      <c r="U11100" s="26" t="str">
        <f>HYPERLINK("https://ictv.global/ictv/proposals/2023.001B.Leviviricetes_reorg.zip","2023.001B.Leviviricetes_reorg.zip")</f>
        <v>2023.001B.Leviviricetes_reorg.zip</v>
      </c>
    </row>
    <row r="11101" spans="1:21">
      <c r="A11101">
        <v>11100</v>
      </c>
      <c r="B11101" s="27" t="s">
        <v>1124</v>
      </c>
      <c r="D11101" s="27" t="s">
        <v>1859</v>
      </c>
      <c r="F11101" s="27" t="s">
        <v>1881</v>
      </c>
      <c r="H11101" s="27" t="s">
        <v>2679</v>
      </c>
      <c r="J11101" s="27" t="s">
        <v>2680</v>
      </c>
      <c r="L11101" s="27" t="s">
        <v>2810</v>
      </c>
      <c r="N11101" s="27" t="s">
        <v>3002</v>
      </c>
      <c r="P11101" s="27" t="s">
        <v>3003</v>
      </c>
      <c r="Q11101" s="26" t="str">
        <f>HYPERLINK("https://ictv.global/taxonomy/taxondetails?taxnode_id=202510462&amp;ictv_id=ICTV202010462","ICTV202010462")</f>
        <v>ICTV202010462</v>
      </c>
      <c r="R11101" t="s">
        <v>581</v>
      </c>
      <c r="S11101" t="s">
        <v>823</v>
      </c>
      <c r="T11101">
        <v>36</v>
      </c>
      <c r="U11101" s="26" t="str">
        <f>HYPERLINK("https://ictv.global/ictv/proposals/2020.095B.R.Leviviricetes.zip","2020.095B.R.Leviviricetes.zip")</f>
        <v>2020.095B.R.Leviviricetes.zip</v>
      </c>
    </row>
    <row r="11102" spans="1:21">
      <c r="A11102">
        <v>11101</v>
      </c>
      <c r="B11102" s="27" t="s">
        <v>1124</v>
      </c>
      <c r="D11102" s="27" t="s">
        <v>1859</v>
      </c>
      <c r="F11102" s="27" t="s">
        <v>1881</v>
      </c>
      <c r="H11102" s="27" t="s">
        <v>2679</v>
      </c>
      <c r="J11102" s="27" t="s">
        <v>2680</v>
      </c>
      <c r="L11102" s="27" t="s">
        <v>2810</v>
      </c>
      <c r="N11102" s="27" t="s">
        <v>3004</v>
      </c>
      <c r="P11102" s="27" t="s">
        <v>14937</v>
      </c>
      <c r="Q11102" s="26" t="str">
        <f>HYPERLINK("https://ictv.global/taxonomy/taxondetails?taxnode_id=202516478&amp;ictv_id=ICTV202316478","ICTV202316478")</f>
        <v>ICTV202316478</v>
      </c>
      <c r="R11102" t="s">
        <v>581</v>
      </c>
      <c r="S11102" t="s">
        <v>823</v>
      </c>
      <c r="T11102">
        <v>39</v>
      </c>
      <c r="U11102" s="26" t="str">
        <f t="shared" ref="U11102:U11121" si="405">HYPERLINK("https://ictv.global/ictv/proposals/2023.001B.Leviviricetes_reorg.zip","2023.001B.Leviviricetes_reorg.zip")</f>
        <v>2023.001B.Leviviricetes_reorg.zip</v>
      </c>
    </row>
    <row r="11103" spans="1:21">
      <c r="A11103">
        <v>11102</v>
      </c>
      <c r="B11103" s="27" t="s">
        <v>1124</v>
      </c>
      <c r="D11103" s="27" t="s">
        <v>1859</v>
      </c>
      <c r="F11103" s="27" t="s">
        <v>1881</v>
      </c>
      <c r="H11103" s="27" t="s">
        <v>2679</v>
      </c>
      <c r="J11103" s="27" t="s">
        <v>2680</v>
      </c>
      <c r="L11103" s="27" t="s">
        <v>2810</v>
      </c>
      <c r="N11103" s="27" t="s">
        <v>3004</v>
      </c>
      <c r="P11103" s="27" t="s">
        <v>14938</v>
      </c>
      <c r="Q11103" s="26" t="str">
        <f>HYPERLINK("https://ictv.global/taxonomy/taxondetails?taxnode_id=202516479&amp;ictv_id=ICTV202316479","ICTV202316479")</f>
        <v>ICTV202316479</v>
      </c>
      <c r="R11103" t="s">
        <v>581</v>
      </c>
      <c r="S11103" t="s">
        <v>823</v>
      </c>
      <c r="T11103">
        <v>39</v>
      </c>
      <c r="U11103" s="26" t="str">
        <f t="shared" si="405"/>
        <v>2023.001B.Leviviricetes_reorg.zip</v>
      </c>
    </row>
    <row r="11104" spans="1:21">
      <c r="A11104">
        <v>11103</v>
      </c>
      <c r="B11104" s="27" t="s">
        <v>1124</v>
      </c>
      <c r="D11104" s="27" t="s">
        <v>1859</v>
      </c>
      <c r="F11104" s="27" t="s">
        <v>1881</v>
      </c>
      <c r="H11104" s="27" t="s">
        <v>2679</v>
      </c>
      <c r="J11104" s="27" t="s">
        <v>2680</v>
      </c>
      <c r="L11104" s="27" t="s">
        <v>2810</v>
      </c>
      <c r="N11104" s="27" t="s">
        <v>3004</v>
      </c>
      <c r="P11104" s="27" t="s">
        <v>14939</v>
      </c>
      <c r="Q11104" s="26" t="str">
        <f>HYPERLINK("https://ictv.global/taxonomy/taxondetails?taxnode_id=202516480&amp;ictv_id=ICTV202316480","ICTV202316480")</f>
        <v>ICTV202316480</v>
      </c>
      <c r="R11104" t="s">
        <v>581</v>
      </c>
      <c r="S11104" t="s">
        <v>823</v>
      </c>
      <c r="T11104">
        <v>39</v>
      </c>
      <c r="U11104" s="26" t="str">
        <f t="shared" si="405"/>
        <v>2023.001B.Leviviricetes_reorg.zip</v>
      </c>
    </row>
    <row r="11105" spans="1:21">
      <c r="A11105">
        <v>11104</v>
      </c>
      <c r="B11105" s="27" t="s">
        <v>1124</v>
      </c>
      <c r="D11105" s="27" t="s">
        <v>1859</v>
      </c>
      <c r="F11105" s="27" t="s">
        <v>1881</v>
      </c>
      <c r="H11105" s="27" t="s">
        <v>2679</v>
      </c>
      <c r="J11105" s="27" t="s">
        <v>2680</v>
      </c>
      <c r="L11105" s="27" t="s">
        <v>2810</v>
      </c>
      <c r="N11105" s="27" t="s">
        <v>3004</v>
      </c>
      <c r="P11105" s="27" t="s">
        <v>14940</v>
      </c>
      <c r="Q11105" s="26" t="str">
        <f>HYPERLINK("https://ictv.global/taxonomy/taxondetails?taxnode_id=202516481&amp;ictv_id=ICTV202316481","ICTV202316481")</f>
        <v>ICTV202316481</v>
      </c>
      <c r="R11105" t="s">
        <v>581</v>
      </c>
      <c r="S11105" t="s">
        <v>823</v>
      </c>
      <c r="T11105">
        <v>39</v>
      </c>
      <c r="U11105" s="26" t="str">
        <f t="shared" si="405"/>
        <v>2023.001B.Leviviricetes_reorg.zip</v>
      </c>
    </row>
    <row r="11106" spans="1:21">
      <c r="A11106">
        <v>11105</v>
      </c>
      <c r="B11106" s="27" t="s">
        <v>1124</v>
      </c>
      <c r="D11106" s="27" t="s">
        <v>1859</v>
      </c>
      <c r="F11106" s="27" t="s">
        <v>1881</v>
      </c>
      <c r="H11106" s="27" t="s">
        <v>2679</v>
      </c>
      <c r="J11106" s="27" t="s">
        <v>2680</v>
      </c>
      <c r="L11106" s="27" t="s">
        <v>2810</v>
      </c>
      <c r="N11106" s="27" t="s">
        <v>3004</v>
      </c>
      <c r="P11106" s="27" t="s">
        <v>14941</v>
      </c>
      <c r="Q11106" s="26" t="str">
        <f>HYPERLINK("https://ictv.global/taxonomy/taxondetails?taxnode_id=202516482&amp;ictv_id=ICTV202316482","ICTV202316482")</f>
        <v>ICTV202316482</v>
      </c>
      <c r="R11106" t="s">
        <v>581</v>
      </c>
      <c r="S11106" t="s">
        <v>823</v>
      </c>
      <c r="T11106">
        <v>39</v>
      </c>
      <c r="U11106" s="26" t="str">
        <f t="shared" si="405"/>
        <v>2023.001B.Leviviricetes_reorg.zip</v>
      </c>
    </row>
    <row r="11107" spans="1:21">
      <c r="A11107">
        <v>11106</v>
      </c>
      <c r="B11107" s="27" t="s">
        <v>1124</v>
      </c>
      <c r="D11107" s="27" t="s">
        <v>1859</v>
      </c>
      <c r="F11107" s="27" t="s">
        <v>1881</v>
      </c>
      <c r="H11107" s="27" t="s">
        <v>2679</v>
      </c>
      <c r="J11107" s="27" t="s">
        <v>2680</v>
      </c>
      <c r="L11107" s="27" t="s">
        <v>2810</v>
      </c>
      <c r="N11107" s="27" t="s">
        <v>3004</v>
      </c>
      <c r="P11107" s="27" t="s">
        <v>14942</v>
      </c>
      <c r="Q11107" s="26" t="str">
        <f>HYPERLINK("https://ictv.global/taxonomy/taxondetails?taxnode_id=202516483&amp;ictv_id=ICTV202316483","ICTV202316483")</f>
        <v>ICTV202316483</v>
      </c>
      <c r="R11107" t="s">
        <v>581</v>
      </c>
      <c r="S11107" t="s">
        <v>823</v>
      </c>
      <c r="T11107">
        <v>39</v>
      </c>
      <c r="U11107" s="26" t="str">
        <f t="shared" si="405"/>
        <v>2023.001B.Leviviricetes_reorg.zip</v>
      </c>
    </row>
    <row r="11108" spans="1:21">
      <c r="A11108">
        <v>11107</v>
      </c>
      <c r="B11108" s="27" t="s">
        <v>1124</v>
      </c>
      <c r="D11108" s="27" t="s">
        <v>1859</v>
      </c>
      <c r="F11108" s="27" t="s">
        <v>1881</v>
      </c>
      <c r="H11108" s="27" t="s">
        <v>2679</v>
      </c>
      <c r="J11108" s="27" t="s">
        <v>2680</v>
      </c>
      <c r="L11108" s="27" t="s">
        <v>2810</v>
      </c>
      <c r="N11108" s="27" t="s">
        <v>3004</v>
      </c>
      <c r="P11108" s="27" t="s">
        <v>14943</v>
      </c>
      <c r="Q11108" s="26" t="str">
        <f>HYPERLINK("https://ictv.global/taxonomy/taxondetails?taxnode_id=202516484&amp;ictv_id=ICTV202316484","ICTV202316484")</f>
        <v>ICTV202316484</v>
      </c>
      <c r="R11108" t="s">
        <v>581</v>
      </c>
      <c r="S11108" t="s">
        <v>823</v>
      </c>
      <c r="T11108">
        <v>39</v>
      </c>
      <c r="U11108" s="26" t="str">
        <f t="shared" si="405"/>
        <v>2023.001B.Leviviricetes_reorg.zip</v>
      </c>
    </row>
    <row r="11109" spans="1:21">
      <c r="A11109">
        <v>11108</v>
      </c>
      <c r="B11109" s="27" t="s">
        <v>1124</v>
      </c>
      <c r="D11109" s="27" t="s">
        <v>1859</v>
      </c>
      <c r="F11109" s="27" t="s">
        <v>1881</v>
      </c>
      <c r="H11109" s="27" t="s">
        <v>2679</v>
      </c>
      <c r="J11109" s="27" t="s">
        <v>2680</v>
      </c>
      <c r="L11109" s="27" t="s">
        <v>2810</v>
      </c>
      <c r="N11109" s="27" t="s">
        <v>3004</v>
      </c>
      <c r="P11109" s="27" t="s">
        <v>14944</v>
      </c>
      <c r="Q11109" s="26" t="str">
        <f>HYPERLINK("https://ictv.global/taxonomy/taxondetails?taxnode_id=202516485&amp;ictv_id=ICTV202316485","ICTV202316485")</f>
        <v>ICTV202316485</v>
      </c>
      <c r="R11109" t="s">
        <v>581</v>
      </c>
      <c r="S11109" t="s">
        <v>823</v>
      </c>
      <c r="T11109">
        <v>39</v>
      </c>
      <c r="U11109" s="26" t="str">
        <f t="shared" si="405"/>
        <v>2023.001B.Leviviricetes_reorg.zip</v>
      </c>
    </row>
    <row r="11110" spans="1:21">
      <c r="A11110">
        <v>11109</v>
      </c>
      <c r="B11110" s="27" t="s">
        <v>1124</v>
      </c>
      <c r="D11110" s="27" t="s">
        <v>1859</v>
      </c>
      <c r="F11110" s="27" t="s">
        <v>1881</v>
      </c>
      <c r="H11110" s="27" t="s">
        <v>2679</v>
      </c>
      <c r="J11110" s="27" t="s">
        <v>2680</v>
      </c>
      <c r="L11110" s="27" t="s">
        <v>2810</v>
      </c>
      <c r="N11110" s="27" t="s">
        <v>3004</v>
      </c>
      <c r="P11110" s="27" t="s">
        <v>14945</v>
      </c>
      <c r="Q11110" s="26" t="str">
        <f>HYPERLINK("https://ictv.global/taxonomy/taxondetails?taxnode_id=202516486&amp;ictv_id=ICTV202316486","ICTV202316486")</f>
        <v>ICTV202316486</v>
      </c>
      <c r="R11110" t="s">
        <v>581</v>
      </c>
      <c r="S11110" t="s">
        <v>823</v>
      </c>
      <c r="T11110">
        <v>39</v>
      </c>
      <c r="U11110" s="26" t="str">
        <f t="shared" si="405"/>
        <v>2023.001B.Leviviricetes_reorg.zip</v>
      </c>
    </row>
    <row r="11111" spans="1:21">
      <c r="A11111">
        <v>11110</v>
      </c>
      <c r="B11111" s="27" t="s">
        <v>1124</v>
      </c>
      <c r="D11111" s="27" t="s">
        <v>1859</v>
      </c>
      <c r="F11111" s="27" t="s">
        <v>1881</v>
      </c>
      <c r="H11111" s="27" t="s">
        <v>2679</v>
      </c>
      <c r="J11111" s="27" t="s">
        <v>2680</v>
      </c>
      <c r="L11111" s="27" t="s">
        <v>2810</v>
      </c>
      <c r="N11111" s="27" t="s">
        <v>3004</v>
      </c>
      <c r="P11111" s="27" t="s">
        <v>14946</v>
      </c>
      <c r="Q11111" s="26" t="str">
        <f>HYPERLINK("https://ictv.global/taxonomy/taxondetails?taxnode_id=202516487&amp;ictv_id=ICTV202316487","ICTV202316487")</f>
        <v>ICTV202316487</v>
      </c>
      <c r="R11111" t="s">
        <v>581</v>
      </c>
      <c r="S11111" t="s">
        <v>823</v>
      </c>
      <c r="T11111">
        <v>39</v>
      </c>
      <c r="U11111" s="26" t="str">
        <f t="shared" si="405"/>
        <v>2023.001B.Leviviricetes_reorg.zip</v>
      </c>
    </row>
    <row r="11112" spans="1:21">
      <c r="A11112">
        <v>11111</v>
      </c>
      <c r="B11112" s="27" t="s">
        <v>1124</v>
      </c>
      <c r="D11112" s="27" t="s">
        <v>1859</v>
      </c>
      <c r="F11112" s="27" t="s">
        <v>1881</v>
      </c>
      <c r="H11112" s="27" t="s">
        <v>2679</v>
      </c>
      <c r="J11112" s="27" t="s">
        <v>2680</v>
      </c>
      <c r="L11112" s="27" t="s">
        <v>2810</v>
      </c>
      <c r="N11112" s="27" t="s">
        <v>3004</v>
      </c>
      <c r="P11112" s="27" t="s">
        <v>14947</v>
      </c>
      <c r="Q11112" s="26" t="str">
        <f>HYPERLINK("https://ictv.global/taxonomy/taxondetails?taxnode_id=202516488&amp;ictv_id=ICTV202316488","ICTV202316488")</f>
        <v>ICTV202316488</v>
      </c>
      <c r="R11112" t="s">
        <v>581</v>
      </c>
      <c r="S11112" t="s">
        <v>823</v>
      </c>
      <c r="T11112">
        <v>39</v>
      </c>
      <c r="U11112" s="26" t="str">
        <f t="shared" si="405"/>
        <v>2023.001B.Leviviricetes_reorg.zip</v>
      </c>
    </row>
    <row r="11113" spans="1:21">
      <c r="A11113">
        <v>11112</v>
      </c>
      <c r="B11113" s="27" t="s">
        <v>1124</v>
      </c>
      <c r="D11113" s="27" t="s">
        <v>1859</v>
      </c>
      <c r="F11113" s="27" t="s">
        <v>1881</v>
      </c>
      <c r="H11113" s="27" t="s">
        <v>2679</v>
      </c>
      <c r="J11113" s="27" t="s">
        <v>2680</v>
      </c>
      <c r="L11113" s="27" t="s">
        <v>2810</v>
      </c>
      <c r="N11113" s="27" t="s">
        <v>3004</v>
      </c>
      <c r="P11113" s="27" t="s">
        <v>14948</v>
      </c>
      <c r="Q11113" s="26" t="str">
        <f>HYPERLINK("https://ictv.global/taxonomy/taxondetails?taxnode_id=202516489&amp;ictv_id=ICTV202316489","ICTV202316489")</f>
        <v>ICTV202316489</v>
      </c>
      <c r="R11113" t="s">
        <v>581</v>
      </c>
      <c r="S11113" t="s">
        <v>823</v>
      </c>
      <c r="T11113">
        <v>39</v>
      </c>
      <c r="U11113" s="26" t="str">
        <f t="shared" si="405"/>
        <v>2023.001B.Leviviricetes_reorg.zip</v>
      </c>
    </row>
    <row r="11114" spans="1:21">
      <c r="A11114">
        <v>11113</v>
      </c>
      <c r="B11114" s="27" t="s">
        <v>1124</v>
      </c>
      <c r="D11114" s="27" t="s">
        <v>1859</v>
      </c>
      <c r="F11114" s="27" t="s">
        <v>1881</v>
      </c>
      <c r="H11114" s="27" t="s">
        <v>2679</v>
      </c>
      <c r="J11114" s="27" t="s">
        <v>2680</v>
      </c>
      <c r="L11114" s="27" t="s">
        <v>2810</v>
      </c>
      <c r="N11114" s="27" t="s">
        <v>3004</v>
      </c>
      <c r="P11114" s="27" t="s">
        <v>14949</v>
      </c>
      <c r="Q11114" s="26" t="str">
        <f>HYPERLINK("https://ictv.global/taxonomy/taxondetails?taxnode_id=202516490&amp;ictv_id=ICTV202316490","ICTV202316490")</f>
        <v>ICTV202316490</v>
      </c>
      <c r="R11114" t="s">
        <v>581</v>
      </c>
      <c r="S11114" t="s">
        <v>823</v>
      </c>
      <c r="T11114">
        <v>39</v>
      </c>
      <c r="U11114" s="26" t="str">
        <f t="shared" si="405"/>
        <v>2023.001B.Leviviricetes_reorg.zip</v>
      </c>
    </row>
    <row r="11115" spans="1:21">
      <c r="A11115">
        <v>11114</v>
      </c>
      <c r="B11115" s="27" t="s">
        <v>1124</v>
      </c>
      <c r="D11115" s="27" t="s">
        <v>1859</v>
      </c>
      <c r="F11115" s="27" t="s">
        <v>1881</v>
      </c>
      <c r="H11115" s="27" t="s">
        <v>2679</v>
      </c>
      <c r="J11115" s="27" t="s">
        <v>2680</v>
      </c>
      <c r="L11115" s="27" t="s">
        <v>2810</v>
      </c>
      <c r="N11115" s="27" t="s">
        <v>3004</v>
      </c>
      <c r="P11115" s="27" t="s">
        <v>14950</v>
      </c>
      <c r="Q11115" s="26" t="str">
        <f>HYPERLINK("https://ictv.global/taxonomy/taxondetails?taxnode_id=202510248&amp;ictv_id=ICTV202010248","ICTV202010248")</f>
        <v>ICTV202010248</v>
      </c>
      <c r="R11115" t="s">
        <v>581</v>
      </c>
      <c r="S11115" t="s">
        <v>22764</v>
      </c>
      <c r="T11115">
        <v>39</v>
      </c>
      <c r="U11115" s="26" t="str">
        <f t="shared" si="405"/>
        <v>2023.001B.Leviviricetes_reorg.zip</v>
      </c>
    </row>
    <row r="11116" spans="1:21">
      <c r="A11116">
        <v>11115</v>
      </c>
      <c r="B11116" s="27" t="s">
        <v>1124</v>
      </c>
      <c r="D11116" s="27" t="s">
        <v>1859</v>
      </c>
      <c r="F11116" s="27" t="s">
        <v>1881</v>
      </c>
      <c r="H11116" s="27" t="s">
        <v>2679</v>
      </c>
      <c r="J11116" s="27" t="s">
        <v>2680</v>
      </c>
      <c r="L11116" s="27" t="s">
        <v>2810</v>
      </c>
      <c r="N11116" s="27" t="s">
        <v>3004</v>
      </c>
      <c r="P11116" s="27" t="s">
        <v>14951</v>
      </c>
      <c r="Q11116" s="26" t="str">
        <f>HYPERLINK("https://ictv.global/taxonomy/taxondetails?taxnode_id=202516491&amp;ictv_id=ICTV202316491","ICTV202316491")</f>
        <v>ICTV202316491</v>
      </c>
      <c r="R11116" t="s">
        <v>581</v>
      </c>
      <c r="S11116" t="s">
        <v>823</v>
      </c>
      <c r="T11116">
        <v>39</v>
      </c>
      <c r="U11116" s="26" t="str">
        <f t="shared" si="405"/>
        <v>2023.001B.Leviviricetes_reorg.zip</v>
      </c>
    </row>
    <row r="11117" spans="1:21">
      <c r="A11117">
        <v>11116</v>
      </c>
      <c r="B11117" s="27" t="s">
        <v>1124</v>
      </c>
      <c r="D11117" s="27" t="s">
        <v>1859</v>
      </c>
      <c r="F11117" s="27" t="s">
        <v>1881</v>
      </c>
      <c r="H11117" s="27" t="s">
        <v>2679</v>
      </c>
      <c r="J11117" s="27" t="s">
        <v>2680</v>
      </c>
      <c r="L11117" s="27" t="s">
        <v>2810</v>
      </c>
      <c r="N11117" s="27" t="s">
        <v>3004</v>
      </c>
      <c r="P11117" s="27" t="s">
        <v>14952</v>
      </c>
      <c r="Q11117" s="26" t="str">
        <f>HYPERLINK("https://ictv.global/taxonomy/taxondetails?taxnode_id=202516492&amp;ictv_id=ICTV202316492","ICTV202316492")</f>
        <v>ICTV202316492</v>
      </c>
      <c r="R11117" t="s">
        <v>581</v>
      </c>
      <c r="S11117" t="s">
        <v>823</v>
      </c>
      <c r="T11117">
        <v>39</v>
      </c>
      <c r="U11117" s="26" t="str">
        <f t="shared" si="405"/>
        <v>2023.001B.Leviviricetes_reorg.zip</v>
      </c>
    </row>
    <row r="11118" spans="1:21">
      <c r="A11118">
        <v>11117</v>
      </c>
      <c r="B11118" s="27" t="s">
        <v>1124</v>
      </c>
      <c r="D11118" s="27" t="s">
        <v>1859</v>
      </c>
      <c r="F11118" s="27" t="s">
        <v>1881</v>
      </c>
      <c r="H11118" s="27" t="s">
        <v>2679</v>
      </c>
      <c r="J11118" s="27" t="s">
        <v>2680</v>
      </c>
      <c r="L11118" s="27" t="s">
        <v>2810</v>
      </c>
      <c r="N11118" s="27" t="s">
        <v>3004</v>
      </c>
      <c r="P11118" s="27" t="s">
        <v>14953</v>
      </c>
      <c r="Q11118" s="26" t="str">
        <f>HYPERLINK("https://ictv.global/taxonomy/taxondetails?taxnode_id=202516493&amp;ictv_id=ICTV202316493","ICTV202316493")</f>
        <v>ICTV202316493</v>
      </c>
      <c r="R11118" t="s">
        <v>581</v>
      </c>
      <c r="S11118" t="s">
        <v>823</v>
      </c>
      <c r="T11118">
        <v>39</v>
      </c>
      <c r="U11118" s="26" t="str">
        <f t="shared" si="405"/>
        <v>2023.001B.Leviviricetes_reorg.zip</v>
      </c>
    </row>
    <row r="11119" spans="1:21">
      <c r="A11119">
        <v>11118</v>
      </c>
      <c r="B11119" s="27" t="s">
        <v>1124</v>
      </c>
      <c r="D11119" s="27" t="s">
        <v>1859</v>
      </c>
      <c r="F11119" s="27" t="s">
        <v>1881</v>
      </c>
      <c r="H11119" s="27" t="s">
        <v>2679</v>
      </c>
      <c r="J11119" s="27" t="s">
        <v>2680</v>
      </c>
      <c r="L11119" s="27" t="s">
        <v>2810</v>
      </c>
      <c r="N11119" s="27" t="s">
        <v>3004</v>
      </c>
      <c r="P11119" s="27" t="s">
        <v>14954</v>
      </c>
      <c r="Q11119" s="26" t="str">
        <f>HYPERLINK("https://ictv.global/taxonomy/taxondetails?taxnode_id=202516494&amp;ictv_id=ICTV202316494","ICTV202316494")</f>
        <v>ICTV202316494</v>
      </c>
      <c r="R11119" t="s">
        <v>581</v>
      </c>
      <c r="S11119" t="s">
        <v>823</v>
      </c>
      <c r="T11119">
        <v>39</v>
      </c>
      <c r="U11119" s="26" t="str">
        <f t="shared" si="405"/>
        <v>2023.001B.Leviviricetes_reorg.zip</v>
      </c>
    </row>
    <row r="11120" spans="1:21">
      <c r="A11120">
        <v>11119</v>
      </c>
      <c r="B11120" s="27" t="s">
        <v>1124</v>
      </c>
      <c r="D11120" s="27" t="s">
        <v>1859</v>
      </c>
      <c r="F11120" s="27" t="s">
        <v>1881</v>
      </c>
      <c r="H11120" s="27" t="s">
        <v>2679</v>
      </c>
      <c r="J11120" s="27" t="s">
        <v>2680</v>
      </c>
      <c r="L11120" s="27" t="s">
        <v>2810</v>
      </c>
      <c r="N11120" s="27" t="s">
        <v>3004</v>
      </c>
      <c r="P11120" s="27" t="s">
        <v>14955</v>
      </c>
      <c r="Q11120" s="26" t="str">
        <f>HYPERLINK("https://ictv.global/taxonomy/taxondetails?taxnode_id=202516495&amp;ictv_id=ICTV202316495","ICTV202316495")</f>
        <v>ICTV202316495</v>
      </c>
      <c r="R11120" t="s">
        <v>581</v>
      </c>
      <c r="S11120" t="s">
        <v>823</v>
      </c>
      <c r="T11120">
        <v>39</v>
      </c>
      <c r="U11120" s="26" t="str">
        <f t="shared" si="405"/>
        <v>2023.001B.Leviviricetes_reorg.zip</v>
      </c>
    </row>
    <row r="11121" spans="1:21">
      <c r="A11121">
        <v>11120</v>
      </c>
      <c r="B11121" s="27" t="s">
        <v>1124</v>
      </c>
      <c r="D11121" s="27" t="s">
        <v>1859</v>
      </c>
      <c r="F11121" s="27" t="s">
        <v>1881</v>
      </c>
      <c r="H11121" s="27" t="s">
        <v>2679</v>
      </c>
      <c r="J11121" s="27" t="s">
        <v>2680</v>
      </c>
      <c r="L11121" s="27" t="s">
        <v>2810</v>
      </c>
      <c r="N11121" s="27" t="s">
        <v>3004</v>
      </c>
      <c r="P11121" s="27" t="s">
        <v>14956</v>
      </c>
      <c r="Q11121" s="26" t="str">
        <f>HYPERLINK("https://ictv.global/taxonomy/taxondetails?taxnode_id=202516496&amp;ictv_id=ICTV202316496","ICTV202316496")</f>
        <v>ICTV202316496</v>
      </c>
      <c r="R11121" t="s">
        <v>581</v>
      </c>
      <c r="S11121" t="s">
        <v>823</v>
      </c>
      <c r="T11121">
        <v>39</v>
      </c>
      <c r="U11121" s="26" t="str">
        <f t="shared" si="405"/>
        <v>2023.001B.Leviviricetes_reorg.zip</v>
      </c>
    </row>
    <row r="11122" spans="1:21">
      <c r="A11122">
        <v>11121</v>
      </c>
      <c r="B11122" s="27" t="s">
        <v>1124</v>
      </c>
      <c r="D11122" s="27" t="s">
        <v>1859</v>
      </c>
      <c r="F11122" s="27" t="s">
        <v>1881</v>
      </c>
      <c r="H11122" s="27" t="s">
        <v>2679</v>
      </c>
      <c r="J11122" s="27" t="s">
        <v>2680</v>
      </c>
      <c r="L11122" s="27" t="s">
        <v>2810</v>
      </c>
      <c r="N11122" s="27" t="s">
        <v>3004</v>
      </c>
      <c r="P11122" s="27" t="s">
        <v>3005</v>
      </c>
      <c r="Q11122" s="26" t="str">
        <f>HYPERLINK("https://ictv.global/taxonomy/taxondetails?taxnode_id=202510465&amp;ictv_id=ICTV202010465","ICTV202010465")</f>
        <v>ICTV202010465</v>
      </c>
      <c r="R11122" t="s">
        <v>581</v>
      </c>
      <c r="S11122" t="s">
        <v>823</v>
      </c>
      <c r="T11122">
        <v>36</v>
      </c>
      <c r="U11122" s="26" t="str">
        <f>HYPERLINK("https://ictv.global/ictv/proposals/2020.095B.R.Leviviricetes.zip","2020.095B.R.Leviviricetes.zip")</f>
        <v>2020.095B.R.Leviviricetes.zip</v>
      </c>
    </row>
    <row r="11123" spans="1:21">
      <c r="A11123">
        <v>11122</v>
      </c>
      <c r="B11123" s="27" t="s">
        <v>1124</v>
      </c>
      <c r="D11123" s="27" t="s">
        <v>1859</v>
      </c>
      <c r="F11123" s="27" t="s">
        <v>1881</v>
      </c>
      <c r="H11123" s="27" t="s">
        <v>2679</v>
      </c>
      <c r="J11123" s="27" t="s">
        <v>2680</v>
      </c>
      <c r="L11123" s="27" t="s">
        <v>2810</v>
      </c>
      <c r="N11123" s="27" t="s">
        <v>3004</v>
      </c>
      <c r="P11123" s="27" t="s">
        <v>3006</v>
      </c>
      <c r="Q11123" s="26" t="str">
        <f>HYPERLINK("https://ictv.global/taxonomy/taxondetails?taxnode_id=202510466&amp;ictv_id=ICTV202010466","ICTV202010466")</f>
        <v>ICTV202010466</v>
      </c>
      <c r="R11123" t="s">
        <v>581</v>
      </c>
      <c r="S11123" t="s">
        <v>823</v>
      </c>
      <c r="T11123">
        <v>36</v>
      </c>
      <c r="U11123" s="26" t="str">
        <f>HYPERLINK("https://ictv.global/ictv/proposals/2020.095B.R.Leviviricetes.zip","2020.095B.R.Leviviricetes.zip")</f>
        <v>2020.095B.R.Leviviricetes.zip</v>
      </c>
    </row>
    <row r="11124" spans="1:21">
      <c r="A11124">
        <v>11123</v>
      </c>
      <c r="B11124" s="27" t="s">
        <v>1124</v>
      </c>
      <c r="D11124" s="27" t="s">
        <v>1859</v>
      </c>
      <c r="F11124" s="27" t="s">
        <v>1881</v>
      </c>
      <c r="H11124" s="27" t="s">
        <v>2679</v>
      </c>
      <c r="J11124" s="27" t="s">
        <v>2680</v>
      </c>
      <c r="L11124" s="27" t="s">
        <v>2810</v>
      </c>
      <c r="N11124" s="27" t="s">
        <v>3004</v>
      </c>
      <c r="P11124" s="27" t="s">
        <v>3007</v>
      </c>
      <c r="Q11124" s="26" t="str">
        <f>HYPERLINK("https://ictv.global/taxonomy/taxondetails?taxnode_id=202510468&amp;ictv_id=ICTV202010468","ICTV202010468")</f>
        <v>ICTV202010468</v>
      </c>
      <c r="R11124" t="s">
        <v>581</v>
      </c>
      <c r="S11124" t="s">
        <v>823</v>
      </c>
      <c r="T11124">
        <v>36</v>
      </c>
      <c r="U11124" s="26" t="str">
        <f>HYPERLINK("https://ictv.global/ictv/proposals/2020.095B.R.Leviviricetes.zip","2020.095B.R.Leviviricetes.zip")</f>
        <v>2020.095B.R.Leviviricetes.zip</v>
      </c>
    </row>
    <row r="11125" spans="1:21">
      <c r="A11125">
        <v>11124</v>
      </c>
      <c r="B11125" s="27" t="s">
        <v>1124</v>
      </c>
      <c r="D11125" s="27" t="s">
        <v>1859</v>
      </c>
      <c r="F11125" s="27" t="s">
        <v>1881</v>
      </c>
      <c r="H11125" s="27" t="s">
        <v>2679</v>
      </c>
      <c r="J11125" s="27" t="s">
        <v>2680</v>
      </c>
      <c r="L11125" s="27" t="s">
        <v>2810</v>
      </c>
      <c r="N11125" s="27" t="s">
        <v>3004</v>
      </c>
      <c r="P11125" s="27" t="s">
        <v>3008</v>
      </c>
      <c r="Q11125" s="26" t="str">
        <f>HYPERLINK("https://ictv.global/taxonomy/taxondetails?taxnode_id=202510469&amp;ictv_id=ICTV202010469","ICTV202010469")</f>
        <v>ICTV202010469</v>
      </c>
      <c r="R11125" t="s">
        <v>581</v>
      </c>
      <c r="S11125" t="s">
        <v>823</v>
      </c>
      <c r="T11125">
        <v>36</v>
      </c>
      <c r="U11125" s="26" t="str">
        <f>HYPERLINK("https://ictv.global/ictv/proposals/2020.095B.R.Leviviricetes.zip","2020.095B.R.Leviviricetes.zip")</f>
        <v>2020.095B.R.Leviviricetes.zip</v>
      </c>
    </row>
    <row r="11126" spans="1:21">
      <c r="A11126">
        <v>11125</v>
      </c>
      <c r="B11126" s="27" t="s">
        <v>1124</v>
      </c>
      <c r="D11126" s="27" t="s">
        <v>1859</v>
      </c>
      <c r="F11126" s="27" t="s">
        <v>1881</v>
      </c>
      <c r="H11126" s="27" t="s">
        <v>2679</v>
      </c>
      <c r="J11126" s="27" t="s">
        <v>2680</v>
      </c>
      <c r="L11126" s="27" t="s">
        <v>2810</v>
      </c>
      <c r="N11126" s="27" t="s">
        <v>3004</v>
      </c>
      <c r="P11126" s="27" t="s">
        <v>3009</v>
      </c>
      <c r="Q11126" s="26" t="str">
        <f>HYPERLINK("https://ictv.global/taxonomy/taxondetails?taxnode_id=202510470&amp;ictv_id=ICTV202010470","ICTV202010470")</f>
        <v>ICTV202010470</v>
      </c>
      <c r="R11126" t="s">
        <v>581</v>
      </c>
      <c r="S11126" t="s">
        <v>823</v>
      </c>
      <c r="T11126">
        <v>36</v>
      </c>
      <c r="U11126" s="26" t="str">
        <f>HYPERLINK("https://ictv.global/ictv/proposals/2020.095B.R.Leviviricetes.zip","2020.095B.R.Leviviricetes.zip")</f>
        <v>2020.095B.R.Leviviricetes.zip</v>
      </c>
    </row>
    <row r="11127" spans="1:21">
      <c r="A11127">
        <v>11126</v>
      </c>
      <c r="B11127" s="27" t="s">
        <v>1124</v>
      </c>
      <c r="D11127" s="27" t="s">
        <v>1859</v>
      </c>
      <c r="F11127" s="27" t="s">
        <v>1881</v>
      </c>
      <c r="H11127" s="27" t="s">
        <v>2679</v>
      </c>
      <c r="J11127" s="27" t="s">
        <v>2680</v>
      </c>
      <c r="L11127" s="27" t="s">
        <v>2810</v>
      </c>
      <c r="N11127" s="27" t="s">
        <v>3004</v>
      </c>
      <c r="P11127" s="27" t="s">
        <v>14957</v>
      </c>
      <c r="Q11127" s="26" t="str">
        <f>HYPERLINK("https://ictv.global/taxonomy/taxondetails?taxnode_id=202516497&amp;ictv_id=ICTV202316497","ICTV202316497")</f>
        <v>ICTV202316497</v>
      </c>
      <c r="R11127" t="s">
        <v>581</v>
      </c>
      <c r="S11127" t="s">
        <v>823</v>
      </c>
      <c r="T11127">
        <v>39</v>
      </c>
      <c r="U11127" s="26" t="str">
        <f>HYPERLINK("https://ictv.global/ictv/proposals/2023.001B.Leviviricetes_reorg.zip","2023.001B.Leviviricetes_reorg.zip")</f>
        <v>2023.001B.Leviviricetes_reorg.zip</v>
      </c>
    </row>
    <row r="11128" spans="1:21">
      <c r="A11128">
        <v>11127</v>
      </c>
      <c r="B11128" s="27" t="s">
        <v>1124</v>
      </c>
      <c r="D11128" s="27" t="s">
        <v>1859</v>
      </c>
      <c r="F11128" s="27" t="s">
        <v>1881</v>
      </c>
      <c r="H11128" s="27" t="s">
        <v>2679</v>
      </c>
      <c r="J11128" s="27" t="s">
        <v>2680</v>
      </c>
      <c r="L11128" s="27" t="s">
        <v>2810</v>
      </c>
      <c r="N11128" s="27" t="s">
        <v>3004</v>
      </c>
      <c r="P11128" s="27" t="s">
        <v>14958</v>
      </c>
      <c r="Q11128" s="26" t="str">
        <f>HYPERLINK("https://ictv.global/taxonomy/taxondetails?taxnode_id=202516498&amp;ictv_id=ICTV202316498","ICTV202316498")</f>
        <v>ICTV202316498</v>
      </c>
      <c r="R11128" t="s">
        <v>581</v>
      </c>
      <c r="S11128" t="s">
        <v>823</v>
      </c>
      <c r="T11128">
        <v>39</v>
      </c>
      <c r="U11128" s="26" t="str">
        <f>HYPERLINK("https://ictv.global/ictv/proposals/2023.001B.Leviviricetes_reorg.zip","2023.001B.Leviviricetes_reorg.zip")</f>
        <v>2023.001B.Leviviricetes_reorg.zip</v>
      </c>
    </row>
    <row r="11129" spans="1:21">
      <c r="A11129">
        <v>11128</v>
      </c>
      <c r="B11129" s="27" t="s">
        <v>1124</v>
      </c>
      <c r="D11129" s="27" t="s">
        <v>1859</v>
      </c>
      <c r="F11129" s="27" t="s">
        <v>1881</v>
      </c>
      <c r="H11129" s="27" t="s">
        <v>2679</v>
      </c>
      <c r="J11129" s="27" t="s">
        <v>2680</v>
      </c>
      <c r="L11129" s="27" t="s">
        <v>2810</v>
      </c>
      <c r="N11129" s="27" t="s">
        <v>3004</v>
      </c>
      <c r="P11129" s="27" t="s">
        <v>14959</v>
      </c>
      <c r="Q11129" s="26" t="str">
        <f>HYPERLINK("https://ictv.global/taxonomy/taxondetails?taxnode_id=202516499&amp;ictv_id=ICTV202316499","ICTV202316499")</f>
        <v>ICTV202316499</v>
      </c>
      <c r="R11129" t="s">
        <v>581</v>
      </c>
      <c r="S11129" t="s">
        <v>823</v>
      </c>
      <c r="T11129">
        <v>39</v>
      </c>
      <c r="U11129" s="26" t="str">
        <f>HYPERLINK("https://ictv.global/ictv/proposals/2023.001B.Leviviricetes_reorg.zip","2023.001B.Leviviricetes_reorg.zip")</f>
        <v>2023.001B.Leviviricetes_reorg.zip</v>
      </c>
    </row>
    <row r="11130" spans="1:21">
      <c r="A11130">
        <v>11129</v>
      </c>
      <c r="B11130" s="27" t="s">
        <v>1124</v>
      </c>
      <c r="D11130" s="27" t="s">
        <v>1859</v>
      </c>
      <c r="F11130" s="27" t="s">
        <v>1881</v>
      </c>
      <c r="H11130" s="27" t="s">
        <v>2679</v>
      </c>
      <c r="J11130" s="27" t="s">
        <v>2680</v>
      </c>
      <c r="L11130" s="27" t="s">
        <v>2810</v>
      </c>
      <c r="N11130" s="27" t="s">
        <v>3004</v>
      </c>
      <c r="P11130" s="27" t="s">
        <v>14960</v>
      </c>
      <c r="Q11130" s="26" t="str">
        <f>HYPERLINK("https://ictv.global/taxonomy/taxondetails?taxnode_id=202516500&amp;ictv_id=ICTV202316500","ICTV202316500")</f>
        <v>ICTV202316500</v>
      </c>
      <c r="R11130" t="s">
        <v>581</v>
      </c>
      <c r="S11130" t="s">
        <v>823</v>
      </c>
      <c r="T11130">
        <v>39</v>
      </c>
      <c r="U11130" s="26" t="str">
        <f>HYPERLINK("https://ictv.global/ictv/proposals/2023.001B.Leviviricetes_reorg.zip","2023.001B.Leviviricetes_reorg.zip")</f>
        <v>2023.001B.Leviviricetes_reorg.zip</v>
      </c>
    </row>
    <row r="11131" spans="1:21">
      <c r="A11131">
        <v>11130</v>
      </c>
      <c r="B11131" s="27" t="s">
        <v>1124</v>
      </c>
      <c r="D11131" s="27" t="s">
        <v>1859</v>
      </c>
      <c r="F11131" s="27" t="s">
        <v>1881</v>
      </c>
      <c r="H11131" s="27" t="s">
        <v>2679</v>
      </c>
      <c r="J11131" s="27" t="s">
        <v>2680</v>
      </c>
      <c r="L11131" s="27" t="s">
        <v>2810</v>
      </c>
      <c r="N11131" s="27" t="s">
        <v>3004</v>
      </c>
      <c r="P11131" s="27" t="s">
        <v>14961</v>
      </c>
      <c r="Q11131" s="26" t="str">
        <f>HYPERLINK("https://ictv.global/taxonomy/taxondetails?taxnode_id=202516501&amp;ictv_id=ICTV202316501","ICTV202316501")</f>
        <v>ICTV202316501</v>
      </c>
      <c r="R11131" t="s">
        <v>581</v>
      </c>
      <c r="S11131" t="s">
        <v>823</v>
      </c>
      <c r="T11131">
        <v>39</v>
      </c>
      <c r="U11131" s="26" t="str">
        <f>HYPERLINK("https://ictv.global/ictv/proposals/2023.001B.Leviviricetes_reorg.zip","2023.001B.Leviviricetes_reorg.zip")</f>
        <v>2023.001B.Leviviricetes_reorg.zip</v>
      </c>
    </row>
    <row r="11132" spans="1:21">
      <c r="A11132">
        <v>11131</v>
      </c>
      <c r="B11132" s="27" t="s">
        <v>1124</v>
      </c>
      <c r="D11132" s="27" t="s">
        <v>1859</v>
      </c>
      <c r="F11132" s="27" t="s">
        <v>1881</v>
      </c>
      <c r="H11132" s="27" t="s">
        <v>2679</v>
      </c>
      <c r="J11132" s="27" t="s">
        <v>2680</v>
      </c>
      <c r="L11132" s="27" t="s">
        <v>2810</v>
      </c>
      <c r="N11132" s="27" t="s">
        <v>3004</v>
      </c>
      <c r="P11132" s="27" t="s">
        <v>3010</v>
      </c>
      <c r="Q11132" s="26" t="str">
        <f>HYPERLINK("https://ictv.global/taxonomy/taxondetails?taxnode_id=202510464&amp;ictv_id=ICTV202010464","ICTV202010464")</f>
        <v>ICTV202010464</v>
      </c>
      <c r="R11132" t="s">
        <v>581</v>
      </c>
      <c r="S11132" t="s">
        <v>823</v>
      </c>
      <c r="T11132">
        <v>36</v>
      </c>
      <c r="U11132" s="26" t="str">
        <f>HYPERLINK("https://ictv.global/ictv/proposals/2020.095B.R.Leviviricetes.zip","2020.095B.R.Leviviricetes.zip")</f>
        <v>2020.095B.R.Leviviricetes.zip</v>
      </c>
    </row>
    <row r="11133" spans="1:21">
      <c r="A11133">
        <v>11132</v>
      </c>
      <c r="B11133" s="27" t="s">
        <v>1124</v>
      </c>
      <c r="D11133" s="27" t="s">
        <v>1859</v>
      </c>
      <c r="F11133" s="27" t="s">
        <v>1881</v>
      </c>
      <c r="H11133" s="27" t="s">
        <v>2679</v>
      </c>
      <c r="J11133" s="27" t="s">
        <v>2680</v>
      </c>
      <c r="L11133" s="27" t="s">
        <v>2810</v>
      </c>
      <c r="N11133" s="27" t="s">
        <v>3004</v>
      </c>
      <c r="P11133" s="27" t="s">
        <v>3011</v>
      </c>
      <c r="Q11133" s="26" t="str">
        <f>HYPERLINK("https://ictv.global/taxonomy/taxondetails?taxnode_id=202510471&amp;ictv_id=ICTV202010471","ICTV202010471")</f>
        <v>ICTV202010471</v>
      </c>
      <c r="R11133" t="s">
        <v>581</v>
      </c>
      <c r="S11133" t="s">
        <v>823</v>
      </c>
      <c r="T11133">
        <v>36</v>
      </c>
      <c r="U11133" s="26" t="str">
        <f>HYPERLINK("https://ictv.global/ictv/proposals/2020.095B.R.Leviviricetes.zip","2020.095B.R.Leviviricetes.zip")</f>
        <v>2020.095B.R.Leviviricetes.zip</v>
      </c>
    </row>
    <row r="11134" spans="1:21">
      <c r="A11134">
        <v>11133</v>
      </c>
      <c r="B11134" s="27" t="s">
        <v>1124</v>
      </c>
      <c r="D11134" s="27" t="s">
        <v>1859</v>
      </c>
      <c r="F11134" s="27" t="s">
        <v>1881</v>
      </c>
      <c r="H11134" s="27" t="s">
        <v>2679</v>
      </c>
      <c r="J11134" s="27" t="s">
        <v>2680</v>
      </c>
      <c r="L11134" s="27" t="s">
        <v>2810</v>
      </c>
      <c r="N11134" s="27" t="s">
        <v>3004</v>
      </c>
      <c r="P11134" s="27" t="s">
        <v>3012</v>
      </c>
      <c r="Q11134" s="26" t="str">
        <f>HYPERLINK("https://ictv.global/taxonomy/taxondetails?taxnode_id=202510467&amp;ictv_id=ICTV202010467","ICTV202010467")</f>
        <v>ICTV202010467</v>
      </c>
      <c r="R11134" t="s">
        <v>581</v>
      </c>
      <c r="S11134" t="s">
        <v>823</v>
      </c>
      <c r="T11134">
        <v>36</v>
      </c>
      <c r="U11134" s="26" t="str">
        <f>HYPERLINK("https://ictv.global/ictv/proposals/2020.095B.R.Leviviricetes.zip","2020.095B.R.Leviviricetes.zip")</f>
        <v>2020.095B.R.Leviviricetes.zip</v>
      </c>
    </row>
    <row r="11135" spans="1:21">
      <c r="A11135">
        <v>11134</v>
      </c>
      <c r="B11135" s="27" t="s">
        <v>1124</v>
      </c>
      <c r="D11135" s="27" t="s">
        <v>1859</v>
      </c>
      <c r="F11135" s="27" t="s">
        <v>1881</v>
      </c>
      <c r="H11135" s="27" t="s">
        <v>2679</v>
      </c>
      <c r="J11135" s="27" t="s">
        <v>2680</v>
      </c>
      <c r="L11135" s="27" t="s">
        <v>2810</v>
      </c>
      <c r="N11135" s="27" t="s">
        <v>3004</v>
      </c>
      <c r="P11135" s="27" t="s">
        <v>14962</v>
      </c>
      <c r="Q11135" s="26" t="str">
        <f>HYPERLINK("https://ictv.global/taxonomy/taxondetails?taxnode_id=202516502&amp;ictv_id=ICTV202316502","ICTV202316502")</f>
        <v>ICTV202316502</v>
      </c>
      <c r="R11135" t="s">
        <v>581</v>
      </c>
      <c r="S11135" t="s">
        <v>823</v>
      </c>
      <c r="T11135">
        <v>39</v>
      </c>
      <c r="U11135" s="26" t="str">
        <f t="shared" ref="U11135:U11142" si="406">HYPERLINK("https://ictv.global/ictv/proposals/2023.001B.Leviviricetes_reorg.zip","2023.001B.Leviviricetes_reorg.zip")</f>
        <v>2023.001B.Leviviricetes_reorg.zip</v>
      </c>
    </row>
    <row r="11136" spans="1:21">
      <c r="A11136">
        <v>11135</v>
      </c>
      <c r="B11136" s="27" t="s">
        <v>1124</v>
      </c>
      <c r="D11136" s="27" t="s">
        <v>1859</v>
      </c>
      <c r="F11136" s="27" t="s">
        <v>1881</v>
      </c>
      <c r="H11136" s="27" t="s">
        <v>2679</v>
      </c>
      <c r="J11136" s="27" t="s">
        <v>2680</v>
      </c>
      <c r="L11136" s="27" t="s">
        <v>2810</v>
      </c>
      <c r="N11136" s="27" t="s">
        <v>3004</v>
      </c>
      <c r="P11136" s="27" t="s">
        <v>14963</v>
      </c>
      <c r="Q11136" s="26" t="str">
        <f>HYPERLINK("https://ictv.global/taxonomy/taxondetails?taxnode_id=202516503&amp;ictv_id=ICTV202316503","ICTV202316503")</f>
        <v>ICTV202316503</v>
      </c>
      <c r="R11136" t="s">
        <v>581</v>
      </c>
      <c r="S11136" t="s">
        <v>823</v>
      </c>
      <c r="T11136">
        <v>39</v>
      </c>
      <c r="U11136" s="26" t="str">
        <f t="shared" si="406"/>
        <v>2023.001B.Leviviricetes_reorg.zip</v>
      </c>
    </row>
    <row r="11137" spans="1:21">
      <c r="A11137">
        <v>11136</v>
      </c>
      <c r="B11137" s="27" t="s">
        <v>1124</v>
      </c>
      <c r="D11137" s="27" t="s">
        <v>1859</v>
      </c>
      <c r="F11137" s="27" t="s">
        <v>1881</v>
      </c>
      <c r="H11137" s="27" t="s">
        <v>2679</v>
      </c>
      <c r="J11137" s="27" t="s">
        <v>2680</v>
      </c>
      <c r="L11137" s="27" t="s">
        <v>2810</v>
      </c>
      <c r="N11137" s="27" t="s">
        <v>3004</v>
      </c>
      <c r="P11137" s="27" t="s">
        <v>14964</v>
      </c>
      <c r="Q11137" s="26" t="str">
        <f>HYPERLINK("https://ictv.global/taxonomy/taxondetails?taxnode_id=202516504&amp;ictv_id=ICTV202316504","ICTV202316504")</f>
        <v>ICTV202316504</v>
      </c>
      <c r="R11137" t="s">
        <v>581</v>
      </c>
      <c r="S11137" t="s">
        <v>823</v>
      </c>
      <c r="T11137">
        <v>39</v>
      </c>
      <c r="U11137" s="26" t="str">
        <f t="shared" si="406"/>
        <v>2023.001B.Leviviricetes_reorg.zip</v>
      </c>
    </row>
    <row r="11138" spans="1:21">
      <c r="A11138">
        <v>11137</v>
      </c>
      <c r="B11138" s="27" t="s">
        <v>1124</v>
      </c>
      <c r="D11138" s="27" t="s">
        <v>1859</v>
      </c>
      <c r="F11138" s="27" t="s">
        <v>1881</v>
      </c>
      <c r="H11138" s="27" t="s">
        <v>2679</v>
      </c>
      <c r="J11138" s="27" t="s">
        <v>2680</v>
      </c>
      <c r="L11138" s="27" t="s">
        <v>2810</v>
      </c>
      <c r="N11138" s="27" t="s">
        <v>3004</v>
      </c>
      <c r="P11138" s="27" t="s">
        <v>14965</v>
      </c>
      <c r="Q11138" s="26" t="str">
        <f>HYPERLINK("https://ictv.global/taxonomy/taxondetails?taxnode_id=202516505&amp;ictv_id=ICTV202316505","ICTV202316505")</f>
        <v>ICTV202316505</v>
      </c>
      <c r="R11138" t="s">
        <v>581</v>
      </c>
      <c r="S11138" t="s">
        <v>823</v>
      </c>
      <c r="T11138">
        <v>39</v>
      </c>
      <c r="U11138" s="26" t="str">
        <f t="shared" si="406"/>
        <v>2023.001B.Leviviricetes_reorg.zip</v>
      </c>
    </row>
    <row r="11139" spans="1:21">
      <c r="A11139">
        <v>11138</v>
      </c>
      <c r="B11139" s="27" t="s">
        <v>1124</v>
      </c>
      <c r="D11139" s="27" t="s">
        <v>1859</v>
      </c>
      <c r="F11139" s="27" t="s">
        <v>1881</v>
      </c>
      <c r="H11139" s="27" t="s">
        <v>2679</v>
      </c>
      <c r="J11139" s="27" t="s">
        <v>2680</v>
      </c>
      <c r="L11139" s="27" t="s">
        <v>2810</v>
      </c>
      <c r="N11139" s="27" t="s">
        <v>3004</v>
      </c>
      <c r="P11139" s="27" t="s">
        <v>14966</v>
      </c>
      <c r="Q11139" s="26" t="str">
        <f>HYPERLINK("https://ictv.global/taxonomy/taxondetails?taxnode_id=202516506&amp;ictv_id=ICTV202316506","ICTV202316506")</f>
        <v>ICTV202316506</v>
      </c>
      <c r="R11139" t="s">
        <v>581</v>
      </c>
      <c r="S11139" t="s">
        <v>823</v>
      </c>
      <c r="T11139">
        <v>39</v>
      </c>
      <c r="U11139" s="26" t="str">
        <f t="shared" si="406"/>
        <v>2023.001B.Leviviricetes_reorg.zip</v>
      </c>
    </row>
    <row r="11140" spans="1:21">
      <c r="A11140">
        <v>11139</v>
      </c>
      <c r="B11140" s="27" t="s">
        <v>1124</v>
      </c>
      <c r="D11140" s="27" t="s">
        <v>1859</v>
      </c>
      <c r="F11140" s="27" t="s">
        <v>1881</v>
      </c>
      <c r="H11140" s="27" t="s">
        <v>2679</v>
      </c>
      <c r="J11140" s="27" t="s">
        <v>2680</v>
      </c>
      <c r="L11140" s="27" t="s">
        <v>2810</v>
      </c>
      <c r="N11140" s="27" t="s">
        <v>3004</v>
      </c>
      <c r="P11140" s="27" t="s">
        <v>14967</v>
      </c>
      <c r="Q11140" s="26" t="str">
        <f>HYPERLINK("https://ictv.global/taxonomy/taxondetails?taxnode_id=202516507&amp;ictv_id=ICTV202316507","ICTV202316507")</f>
        <v>ICTV202316507</v>
      </c>
      <c r="R11140" t="s">
        <v>581</v>
      </c>
      <c r="S11140" t="s">
        <v>823</v>
      </c>
      <c r="T11140">
        <v>39</v>
      </c>
      <c r="U11140" s="26" t="str">
        <f t="shared" si="406"/>
        <v>2023.001B.Leviviricetes_reorg.zip</v>
      </c>
    </row>
    <row r="11141" spans="1:21">
      <c r="A11141">
        <v>11140</v>
      </c>
      <c r="B11141" s="27" t="s">
        <v>1124</v>
      </c>
      <c r="D11141" s="27" t="s">
        <v>1859</v>
      </c>
      <c r="F11141" s="27" t="s">
        <v>1881</v>
      </c>
      <c r="H11141" s="27" t="s">
        <v>2679</v>
      </c>
      <c r="J11141" s="27" t="s">
        <v>2680</v>
      </c>
      <c r="L11141" s="27" t="s">
        <v>2810</v>
      </c>
      <c r="N11141" s="27" t="s">
        <v>14968</v>
      </c>
      <c r="P11141" s="27" t="s">
        <v>14969</v>
      </c>
      <c r="Q11141" s="26" t="str">
        <f>HYPERLINK("https://ictv.global/taxonomy/taxondetails?taxnode_id=202516508&amp;ictv_id=ICTV202316508","ICTV202316508")</f>
        <v>ICTV202316508</v>
      </c>
      <c r="R11141" t="s">
        <v>581</v>
      </c>
      <c r="S11141" t="s">
        <v>823</v>
      </c>
      <c r="T11141">
        <v>39</v>
      </c>
      <c r="U11141" s="26" t="str">
        <f t="shared" si="406"/>
        <v>2023.001B.Leviviricetes_reorg.zip</v>
      </c>
    </row>
    <row r="11142" spans="1:21">
      <c r="A11142">
        <v>11141</v>
      </c>
      <c r="B11142" s="27" t="s">
        <v>1124</v>
      </c>
      <c r="D11142" s="27" t="s">
        <v>1859</v>
      </c>
      <c r="F11142" s="27" t="s">
        <v>1881</v>
      </c>
      <c r="H11142" s="27" t="s">
        <v>2679</v>
      </c>
      <c r="J11142" s="27" t="s">
        <v>2680</v>
      </c>
      <c r="L11142" s="27" t="s">
        <v>2810</v>
      </c>
      <c r="N11142" s="27" t="s">
        <v>14968</v>
      </c>
      <c r="P11142" s="27" t="s">
        <v>14970</v>
      </c>
      <c r="Q11142" s="26" t="str">
        <f>HYPERLINK("https://ictv.global/taxonomy/taxondetails?taxnode_id=202516509&amp;ictv_id=ICTV202316509","ICTV202316509")</f>
        <v>ICTV202316509</v>
      </c>
      <c r="R11142" t="s">
        <v>581</v>
      </c>
      <c r="S11142" t="s">
        <v>823</v>
      </c>
      <c r="T11142">
        <v>39</v>
      </c>
      <c r="U11142" s="26" t="str">
        <f t="shared" si="406"/>
        <v>2023.001B.Leviviricetes_reorg.zip</v>
      </c>
    </row>
    <row r="11143" spans="1:21">
      <c r="A11143">
        <v>11142</v>
      </c>
      <c r="B11143" s="27" t="s">
        <v>1124</v>
      </c>
      <c r="D11143" s="27" t="s">
        <v>1859</v>
      </c>
      <c r="F11143" s="27" t="s">
        <v>1881</v>
      </c>
      <c r="H11143" s="27" t="s">
        <v>2679</v>
      </c>
      <c r="J11143" s="27" t="s">
        <v>2680</v>
      </c>
      <c r="L11143" s="27" t="s">
        <v>2810</v>
      </c>
      <c r="N11143" s="27" t="s">
        <v>3013</v>
      </c>
      <c r="P11143" s="27" t="s">
        <v>3014</v>
      </c>
      <c r="Q11143" s="26" t="str">
        <f>HYPERLINK("https://ictv.global/taxonomy/taxondetails?taxnode_id=202510473&amp;ictv_id=ICTV202010473","ICTV202010473")</f>
        <v>ICTV202010473</v>
      </c>
      <c r="R11143" t="s">
        <v>581</v>
      </c>
      <c r="S11143" t="s">
        <v>823</v>
      </c>
      <c r="T11143">
        <v>36</v>
      </c>
      <c r="U11143" s="26" t="str">
        <f>HYPERLINK("https://ictv.global/ictv/proposals/2020.095B.R.Leviviricetes.zip","2020.095B.R.Leviviricetes.zip")</f>
        <v>2020.095B.R.Leviviricetes.zip</v>
      </c>
    </row>
    <row r="11144" spans="1:21">
      <c r="A11144">
        <v>11143</v>
      </c>
      <c r="B11144" s="27" t="s">
        <v>1124</v>
      </c>
      <c r="D11144" s="27" t="s">
        <v>1859</v>
      </c>
      <c r="F11144" s="27" t="s">
        <v>1881</v>
      </c>
      <c r="H11144" s="27" t="s">
        <v>2679</v>
      </c>
      <c r="J11144" s="27" t="s">
        <v>2680</v>
      </c>
      <c r="L11144" s="27" t="s">
        <v>2810</v>
      </c>
      <c r="N11144" s="27" t="s">
        <v>3013</v>
      </c>
      <c r="P11144" s="27" t="s">
        <v>3015</v>
      </c>
      <c r="Q11144" s="26" t="str">
        <f>HYPERLINK("https://ictv.global/taxonomy/taxondetails?taxnode_id=202510475&amp;ictv_id=ICTV202010475","ICTV202010475")</f>
        <v>ICTV202010475</v>
      </c>
      <c r="R11144" t="s">
        <v>581</v>
      </c>
      <c r="S11144" t="s">
        <v>823</v>
      </c>
      <c r="T11144">
        <v>36</v>
      </c>
      <c r="U11144" s="26" t="str">
        <f>HYPERLINK("https://ictv.global/ictv/proposals/2020.095B.R.Leviviricetes.zip","2020.095B.R.Leviviricetes.zip")</f>
        <v>2020.095B.R.Leviviricetes.zip</v>
      </c>
    </row>
    <row r="11145" spans="1:21">
      <c r="A11145">
        <v>11144</v>
      </c>
      <c r="B11145" s="27" t="s">
        <v>1124</v>
      </c>
      <c r="D11145" s="27" t="s">
        <v>1859</v>
      </c>
      <c r="F11145" s="27" t="s">
        <v>1881</v>
      </c>
      <c r="H11145" s="27" t="s">
        <v>2679</v>
      </c>
      <c r="J11145" s="27" t="s">
        <v>2680</v>
      </c>
      <c r="L11145" s="27" t="s">
        <v>2810</v>
      </c>
      <c r="N11145" s="27" t="s">
        <v>3013</v>
      </c>
      <c r="P11145" s="27" t="s">
        <v>14971</v>
      </c>
      <c r="Q11145" s="26" t="str">
        <f>HYPERLINK("https://ictv.global/taxonomy/taxondetails?taxnode_id=202510494&amp;ictv_id=ICTV202010494","ICTV202010494")</f>
        <v>ICTV202010494</v>
      </c>
      <c r="R11145" t="s">
        <v>581</v>
      </c>
      <c r="S11145" t="s">
        <v>22764</v>
      </c>
      <c r="T11145">
        <v>39</v>
      </c>
      <c r="U11145" s="26" t="str">
        <f>HYPERLINK("https://ictv.global/ictv/proposals/2023.001B.Leviviricetes_reorg.zip","2023.001B.Leviviricetes_reorg.zip")</f>
        <v>2023.001B.Leviviricetes_reorg.zip</v>
      </c>
    </row>
    <row r="11146" spans="1:21">
      <c r="A11146">
        <v>11145</v>
      </c>
      <c r="B11146" s="27" t="s">
        <v>1124</v>
      </c>
      <c r="D11146" s="27" t="s">
        <v>1859</v>
      </c>
      <c r="F11146" s="27" t="s">
        <v>1881</v>
      </c>
      <c r="H11146" s="27" t="s">
        <v>2679</v>
      </c>
      <c r="J11146" s="27" t="s">
        <v>2680</v>
      </c>
      <c r="L11146" s="27" t="s">
        <v>2810</v>
      </c>
      <c r="N11146" s="27" t="s">
        <v>3013</v>
      </c>
      <c r="P11146" s="27" t="s">
        <v>14972</v>
      </c>
      <c r="Q11146" s="26" t="str">
        <f>HYPERLINK("https://ictv.global/taxonomy/taxondetails?taxnode_id=202516510&amp;ictv_id=ICTV202316510","ICTV202316510")</f>
        <v>ICTV202316510</v>
      </c>
      <c r="R11146" t="s">
        <v>581</v>
      </c>
      <c r="S11146" t="s">
        <v>823</v>
      </c>
      <c r="T11146">
        <v>39</v>
      </c>
      <c r="U11146" s="26" t="str">
        <f>HYPERLINK("https://ictv.global/ictv/proposals/2023.001B.Leviviricetes_reorg.zip","2023.001B.Leviviricetes_reorg.zip")</f>
        <v>2023.001B.Leviviricetes_reorg.zip</v>
      </c>
    </row>
    <row r="11147" spans="1:21">
      <c r="A11147">
        <v>11146</v>
      </c>
      <c r="B11147" s="27" t="s">
        <v>1124</v>
      </c>
      <c r="D11147" s="27" t="s">
        <v>1859</v>
      </c>
      <c r="F11147" s="27" t="s">
        <v>1881</v>
      </c>
      <c r="H11147" s="27" t="s">
        <v>2679</v>
      </c>
      <c r="J11147" s="27" t="s">
        <v>2680</v>
      </c>
      <c r="L11147" s="27" t="s">
        <v>2810</v>
      </c>
      <c r="N11147" s="27" t="s">
        <v>3013</v>
      </c>
      <c r="P11147" s="27" t="s">
        <v>14973</v>
      </c>
      <c r="Q11147" s="26" t="str">
        <f>HYPERLINK("https://ictv.global/taxonomy/taxondetails?taxnode_id=202510366&amp;ictv_id=ICTV202010366","ICTV202010366")</f>
        <v>ICTV202010366</v>
      </c>
      <c r="R11147" t="s">
        <v>581</v>
      </c>
      <c r="S11147" t="s">
        <v>22764</v>
      </c>
      <c r="T11147">
        <v>39</v>
      </c>
      <c r="U11147" s="26" t="str">
        <f>HYPERLINK("https://ictv.global/ictv/proposals/2023.001B.Leviviricetes_reorg.zip","2023.001B.Leviviricetes_reorg.zip")</f>
        <v>2023.001B.Leviviricetes_reorg.zip</v>
      </c>
    </row>
    <row r="11148" spans="1:21">
      <c r="A11148">
        <v>11147</v>
      </c>
      <c r="B11148" s="27" t="s">
        <v>1124</v>
      </c>
      <c r="D11148" s="27" t="s">
        <v>1859</v>
      </c>
      <c r="F11148" s="27" t="s">
        <v>1881</v>
      </c>
      <c r="H11148" s="27" t="s">
        <v>2679</v>
      </c>
      <c r="J11148" s="27" t="s">
        <v>2680</v>
      </c>
      <c r="L11148" s="27" t="s">
        <v>2810</v>
      </c>
      <c r="N11148" s="27" t="s">
        <v>3013</v>
      </c>
      <c r="P11148" s="27" t="s">
        <v>3016</v>
      </c>
      <c r="Q11148" s="26" t="str">
        <f>HYPERLINK("https://ictv.global/taxonomy/taxondetails?taxnode_id=202510474&amp;ictv_id=ICTV202010474","ICTV202010474")</f>
        <v>ICTV202010474</v>
      </c>
      <c r="R11148" t="s">
        <v>581</v>
      </c>
      <c r="S11148" t="s">
        <v>823</v>
      </c>
      <c r="T11148">
        <v>36</v>
      </c>
      <c r="U11148" s="26" t="str">
        <f>HYPERLINK("https://ictv.global/ictv/proposals/2020.095B.R.Leviviricetes.zip","2020.095B.R.Leviviricetes.zip")</f>
        <v>2020.095B.R.Leviviricetes.zip</v>
      </c>
    </row>
    <row r="11149" spans="1:21">
      <c r="A11149">
        <v>11148</v>
      </c>
      <c r="B11149" s="27" t="s">
        <v>1124</v>
      </c>
      <c r="D11149" s="27" t="s">
        <v>1859</v>
      </c>
      <c r="F11149" s="27" t="s">
        <v>1881</v>
      </c>
      <c r="H11149" s="27" t="s">
        <v>2679</v>
      </c>
      <c r="J11149" s="27" t="s">
        <v>2680</v>
      </c>
      <c r="L11149" s="27" t="s">
        <v>2810</v>
      </c>
      <c r="N11149" s="27" t="s">
        <v>14974</v>
      </c>
      <c r="P11149" s="27" t="s">
        <v>14975</v>
      </c>
      <c r="Q11149" s="26" t="str">
        <f>HYPERLINK("https://ictv.global/taxonomy/taxondetails?taxnode_id=202516511&amp;ictv_id=ICTV202316511","ICTV202316511")</f>
        <v>ICTV202316511</v>
      </c>
      <c r="R11149" t="s">
        <v>581</v>
      </c>
      <c r="S11149" t="s">
        <v>823</v>
      </c>
      <c r="T11149">
        <v>39</v>
      </c>
      <c r="U11149" s="26" t="str">
        <f t="shared" ref="U11149:U11159" si="407">HYPERLINK("https://ictv.global/ictv/proposals/2023.001B.Leviviricetes_reorg.zip","2023.001B.Leviviricetes_reorg.zip")</f>
        <v>2023.001B.Leviviricetes_reorg.zip</v>
      </c>
    </row>
    <row r="11150" spans="1:21">
      <c r="A11150">
        <v>11149</v>
      </c>
      <c r="B11150" s="27" t="s">
        <v>1124</v>
      </c>
      <c r="D11150" s="27" t="s">
        <v>1859</v>
      </c>
      <c r="F11150" s="27" t="s">
        <v>1881</v>
      </c>
      <c r="H11150" s="27" t="s">
        <v>2679</v>
      </c>
      <c r="J11150" s="27" t="s">
        <v>2680</v>
      </c>
      <c r="L11150" s="27" t="s">
        <v>2810</v>
      </c>
      <c r="N11150" s="27" t="s">
        <v>14976</v>
      </c>
      <c r="P11150" s="27" t="s">
        <v>14977</v>
      </c>
      <c r="Q11150" s="26" t="str">
        <f>HYPERLINK("https://ictv.global/taxonomy/taxondetails?taxnode_id=202516512&amp;ictv_id=ICTV202316512","ICTV202316512")</f>
        <v>ICTV202316512</v>
      </c>
      <c r="R11150" t="s">
        <v>581</v>
      </c>
      <c r="S11150" t="s">
        <v>823</v>
      </c>
      <c r="T11150">
        <v>39</v>
      </c>
      <c r="U11150" s="26" t="str">
        <f t="shared" si="407"/>
        <v>2023.001B.Leviviricetes_reorg.zip</v>
      </c>
    </row>
    <row r="11151" spans="1:21">
      <c r="A11151">
        <v>11150</v>
      </c>
      <c r="B11151" s="27" t="s">
        <v>1124</v>
      </c>
      <c r="D11151" s="27" t="s">
        <v>1859</v>
      </c>
      <c r="F11151" s="27" t="s">
        <v>1881</v>
      </c>
      <c r="H11151" s="27" t="s">
        <v>2679</v>
      </c>
      <c r="J11151" s="27" t="s">
        <v>2680</v>
      </c>
      <c r="L11151" s="27" t="s">
        <v>2810</v>
      </c>
      <c r="N11151" s="27" t="s">
        <v>14976</v>
      </c>
      <c r="P11151" s="27" t="s">
        <v>14978</v>
      </c>
      <c r="Q11151" s="26" t="str">
        <f>HYPERLINK("https://ictv.global/taxonomy/taxondetails?taxnode_id=202516513&amp;ictv_id=ICTV202316513","ICTV202316513")</f>
        <v>ICTV202316513</v>
      </c>
      <c r="R11151" t="s">
        <v>581</v>
      </c>
      <c r="S11151" t="s">
        <v>823</v>
      </c>
      <c r="T11151">
        <v>39</v>
      </c>
      <c r="U11151" s="26" t="str">
        <f t="shared" si="407"/>
        <v>2023.001B.Leviviricetes_reorg.zip</v>
      </c>
    </row>
    <row r="11152" spans="1:21">
      <c r="A11152">
        <v>11151</v>
      </c>
      <c r="B11152" s="27" t="s">
        <v>1124</v>
      </c>
      <c r="D11152" s="27" t="s">
        <v>1859</v>
      </c>
      <c r="F11152" s="27" t="s">
        <v>1881</v>
      </c>
      <c r="H11152" s="27" t="s">
        <v>2679</v>
      </c>
      <c r="J11152" s="27" t="s">
        <v>2680</v>
      </c>
      <c r="L11152" s="27" t="s">
        <v>2810</v>
      </c>
      <c r="N11152" s="27" t="s">
        <v>14979</v>
      </c>
      <c r="P11152" s="27" t="s">
        <v>14980</v>
      </c>
      <c r="Q11152" s="26" t="str">
        <f>HYPERLINK("https://ictv.global/taxonomy/taxondetails?taxnode_id=202516514&amp;ictv_id=ICTV202316514","ICTV202316514")</f>
        <v>ICTV202316514</v>
      </c>
      <c r="R11152" t="s">
        <v>581</v>
      </c>
      <c r="S11152" t="s">
        <v>823</v>
      </c>
      <c r="T11152">
        <v>39</v>
      </c>
      <c r="U11152" s="26" t="str">
        <f t="shared" si="407"/>
        <v>2023.001B.Leviviricetes_reorg.zip</v>
      </c>
    </row>
    <row r="11153" spans="1:21">
      <c r="A11153">
        <v>11152</v>
      </c>
      <c r="B11153" s="27" t="s">
        <v>1124</v>
      </c>
      <c r="D11153" s="27" t="s">
        <v>1859</v>
      </c>
      <c r="F11153" s="27" t="s">
        <v>1881</v>
      </c>
      <c r="H11153" s="27" t="s">
        <v>2679</v>
      </c>
      <c r="J11153" s="27" t="s">
        <v>2680</v>
      </c>
      <c r="L11153" s="27" t="s">
        <v>2810</v>
      </c>
      <c r="N11153" s="27" t="s">
        <v>14981</v>
      </c>
      <c r="P11153" s="27" t="s">
        <v>14982</v>
      </c>
      <c r="Q11153" s="26" t="str">
        <f>HYPERLINK("https://ictv.global/taxonomy/taxondetails?taxnode_id=202516515&amp;ictv_id=ICTV202316515","ICTV202316515")</f>
        <v>ICTV202316515</v>
      </c>
      <c r="R11153" t="s">
        <v>581</v>
      </c>
      <c r="S11153" t="s">
        <v>823</v>
      </c>
      <c r="T11153">
        <v>39</v>
      </c>
      <c r="U11153" s="26" t="str">
        <f t="shared" si="407"/>
        <v>2023.001B.Leviviricetes_reorg.zip</v>
      </c>
    </row>
    <row r="11154" spans="1:21">
      <c r="A11154">
        <v>11153</v>
      </c>
      <c r="B11154" s="27" t="s">
        <v>1124</v>
      </c>
      <c r="D11154" s="27" t="s">
        <v>1859</v>
      </c>
      <c r="F11154" s="27" t="s">
        <v>1881</v>
      </c>
      <c r="H11154" s="27" t="s">
        <v>2679</v>
      </c>
      <c r="J11154" s="27" t="s">
        <v>2680</v>
      </c>
      <c r="L11154" s="27" t="s">
        <v>2810</v>
      </c>
      <c r="N11154" s="27" t="s">
        <v>14981</v>
      </c>
      <c r="P11154" s="27" t="s">
        <v>14983</v>
      </c>
      <c r="Q11154" s="26" t="str">
        <f>HYPERLINK("https://ictv.global/taxonomy/taxondetails?taxnode_id=202516516&amp;ictv_id=ICTV202316516","ICTV202316516")</f>
        <v>ICTV202316516</v>
      </c>
      <c r="R11154" t="s">
        <v>581</v>
      </c>
      <c r="S11154" t="s">
        <v>823</v>
      </c>
      <c r="T11154">
        <v>39</v>
      </c>
      <c r="U11154" s="26" t="str">
        <f t="shared" si="407"/>
        <v>2023.001B.Leviviricetes_reorg.zip</v>
      </c>
    </row>
    <row r="11155" spans="1:21">
      <c r="A11155">
        <v>11154</v>
      </c>
      <c r="B11155" s="27" t="s">
        <v>1124</v>
      </c>
      <c r="D11155" s="27" t="s">
        <v>1859</v>
      </c>
      <c r="F11155" s="27" t="s">
        <v>1881</v>
      </c>
      <c r="H11155" s="27" t="s">
        <v>2679</v>
      </c>
      <c r="J11155" s="27" t="s">
        <v>2680</v>
      </c>
      <c r="L11155" s="27" t="s">
        <v>2810</v>
      </c>
      <c r="N11155" s="27" t="s">
        <v>14984</v>
      </c>
      <c r="P11155" s="27" t="s">
        <v>14985</v>
      </c>
      <c r="Q11155" s="26" t="str">
        <f>HYPERLINK("https://ictv.global/taxonomy/taxondetails?taxnode_id=202516517&amp;ictv_id=ICTV202316517","ICTV202316517")</f>
        <v>ICTV202316517</v>
      </c>
      <c r="R11155" t="s">
        <v>581</v>
      </c>
      <c r="S11155" t="s">
        <v>823</v>
      </c>
      <c r="T11155">
        <v>39</v>
      </c>
      <c r="U11155" s="26" t="str">
        <f t="shared" si="407"/>
        <v>2023.001B.Leviviricetes_reorg.zip</v>
      </c>
    </row>
    <row r="11156" spans="1:21">
      <c r="A11156">
        <v>11155</v>
      </c>
      <c r="B11156" s="27" t="s">
        <v>1124</v>
      </c>
      <c r="D11156" s="27" t="s">
        <v>1859</v>
      </c>
      <c r="F11156" s="27" t="s">
        <v>1881</v>
      </c>
      <c r="H11156" s="27" t="s">
        <v>2679</v>
      </c>
      <c r="J11156" s="27" t="s">
        <v>2680</v>
      </c>
      <c r="L11156" s="27" t="s">
        <v>2810</v>
      </c>
      <c r="N11156" s="27" t="s">
        <v>14986</v>
      </c>
      <c r="P11156" s="27" t="s">
        <v>14987</v>
      </c>
      <c r="Q11156" s="26" t="str">
        <f>HYPERLINK("https://ictv.global/taxonomy/taxondetails?taxnode_id=202516518&amp;ictv_id=ICTV202316518","ICTV202316518")</f>
        <v>ICTV202316518</v>
      </c>
      <c r="R11156" t="s">
        <v>581</v>
      </c>
      <c r="S11156" t="s">
        <v>823</v>
      </c>
      <c r="T11156">
        <v>39</v>
      </c>
      <c r="U11156" s="26" t="str">
        <f t="shared" si="407"/>
        <v>2023.001B.Leviviricetes_reorg.zip</v>
      </c>
    </row>
    <row r="11157" spans="1:21">
      <c r="A11157">
        <v>11156</v>
      </c>
      <c r="B11157" s="27" t="s">
        <v>1124</v>
      </c>
      <c r="D11157" s="27" t="s">
        <v>1859</v>
      </c>
      <c r="F11157" s="27" t="s">
        <v>1881</v>
      </c>
      <c r="H11157" s="27" t="s">
        <v>2679</v>
      </c>
      <c r="J11157" s="27" t="s">
        <v>2680</v>
      </c>
      <c r="L11157" s="27" t="s">
        <v>2810</v>
      </c>
      <c r="N11157" s="27" t="s">
        <v>14986</v>
      </c>
      <c r="P11157" s="27" t="s">
        <v>14988</v>
      </c>
      <c r="Q11157" s="26" t="str">
        <f>HYPERLINK("https://ictv.global/taxonomy/taxondetails?taxnode_id=202516519&amp;ictv_id=ICTV202316519","ICTV202316519")</f>
        <v>ICTV202316519</v>
      </c>
      <c r="R11157" t="s">
        <v>581</v>
      </c>
      <c r="S11157" t="s">
        <v>823</v>
      </c>
      <c r="T11157">
        <v>39</v>
      </c>
      <c r="U11157" s="26" t="str">
        <f t="shared" si="407"/>
        <v>2023.001B.Leviviricetes_reorg.zip</v>
      </c>
    </row>
    <row r="11158" spans="1:21">
      <c r="A11158">
        <v>11157</v>
      </c>
      <c r="B11158" s="27" t="s">
        <v>1124</v>
      </c>
      <c r="D11158" s="27" t="s">
        <v>1859</v>
      </c>
      <c r="F11158" s="27" t="s">
        <v>1881</v>
      </c>
      <c r="H11158" s="27" t="s">
        <v>2679</v>
      </c>
      <c r="J11158" s="27" t="s">
        <v>2680</v>
      </c>
      <c r="L11158" s="27" t="s">
        <v>2810</v>
      </c>
      <c r="N11158" s="27" t="s">
        <v>14986</v>
      </c>
      <c r="P11158" s="27" t="s">
        <v>14989</v>
      </c>
      <c r="Q11158" s="26" t="str">
        <f>HYPERLINK("https://ictv.global/taxonomy/taxondetails?taxnode_id=202516520&amp;ictv_id=ICTV202316520","ICTV202316520")</f>
        <v>ICTV202316520</v>
      </c>
      <c r="R11158" t="s">
        <v>581</v>
      </c>
      <c r="S11158" t="s">
        <v>823</v>
      </c>
      <c r="T11158">
        <v>39</v>
      </c>
      <c r="U11158" s="26" t="str">
        <f t="shared" si="407"/>
        <v>2023.001B.Leviviricetes_reorg.zip</v>
      </c>
    </row>
    <row r="11159" spans="1:21">
      <c r="A11159">
        <v>11158</v>
      </c>
      <c r="B11159" s="27" t="s">
        <v>1124</v>
      </c>
      <c r="D11159" s="27" t="s">
        <v>1859</v>
      </c>
      <c r="F11159" s="27" t="s">
        <v>1881</v>
      </c>
      <c r="H11159" s="27" t="s">
        <v>2679</v>
      </c>
      <c r="J11159" s="27" t="s">
        <v>2680</v>
      </c>
      <c r="L11159" s="27" t="s">
        <v>2810</v>
      </c>
      <c r="N11159" s="27" t="s">
        <v>14986</v>
      </c>
      <c r="P11159" s="27" t="s">
        <v>14990</v>
      </c>
      <c r="Q11159" s="26" t="str">
        <f>HYPERLINK("https://ictv.global/taxonomy/taxondetails?taxnode_id=202516521&amp;ictv_id=ICTV202316521","ICTV202316521")</f>
        <v>ICTV202316521</v>
      </c>
      <c r="R11159" t="s">
        <v>581</v>
      </c>
      <c r="S11159" t="s">
        <v>823</v>
      </c>
      <c r="T11159">
        <v>39</v>
      </c>
      <c r="U11159" s="26" t="str">
        <f t="shared" si="407"/>
        <v>2023.001B.Leviviricetes_reorg.zip</v>
      </c>
    </row>
    <row r="11160" spans="1:21">
      <c r="A11160">
        <v>11159</v>
      </c>
      <c r="B11160" s="27" t="s">
        <v>1124</v>
      </c>
      <c r="D11160" s="27" t="s">
        <v>1859</v>
      </c>
      <c r="F11160" s="27" t="s">
        <v>1881</v>
      </c>
      <c r="H11160" s="27" t="s">
        <v>2679</v>
      </c>
      <c r="J11160" s="27" t="s">
        <v>2680</v>
      </c>
      <c r="L11160" s="27" t="s">
        <v>2810</v>
      </c>
      <c r="N11160" s="27" t="s">
        <v>3017</v>
      </c>
      <c r="P11160" s="27" t="s">
        <v>3018</v>
      </c>
      <c r="Q11160" s="26" t="str">
        <f>HYPERLINK("https://ictv.global/taxonomy/taxondetails?taxnode_id=202510487&amp;ictv_id=ICTV202010487","ICTV202010487")</f>
        <v>ICTV202010487</v>
      </c>
      <c r="R11160" t="s">
        <v>581</v>
      </c>
      <c r="S11160" t="s">
        <v>823</v>
      </c>
      <c r="T11160">
        <v>36</v>
      </c>
      <c r="U11160" s="26" t="str">
        <f>HYPERLINK("https://ictv.global/ictv/proposals/2020.095B.R.Leviviricetes.zip","2020.095B.R.Leviviricetes.zip")</f>
        <v>2020.095B.R.Leviviricetes.zip</v>
      </c>
    </row>
    <row r="11161" spans="1:21">
      <c r="A11161">
        <v>11160</v>
      </c>
      <c r="B11161" s="27" t="s">
        <v>1124</v>
      </c>
      <c r="D11161" s="27" t="s">
        <v>1859</v>
      </c>
      <c r="F11161" s="27" t="s">
        <v>1881</v>
      </c>
      <c r="H11161" s="27" t="s">
        <v>2679</v>
      </c>
      <c r="J11161" s="27" t="s">
        <v>2680</v>
      </c>
      <c r="L11161" s="27" t="s">
        <v>2810</v>
      </c>
      <c r="N11161" s="27" t="s">
        <v>3019</v>
      </c>
      <c r="P11161" s="27" t="s">
        <v>3020</v>
      </c>
      <c r="Q11161" s="26" t="str">
        <f>HYPERLINK("https://ictv.global/taxonomy/taxondetails?taxnode_id=202510489&amp;ictv_id=ICTV202010489","ICTV202010489")</f>
        <v>ICTV202010489</v>
      </c>
      <c r="R11161" t="s">
        <v>581</v>
      </c>
      <c r="S11161" t="s">
        <v>823</v>
      </c>
      <c r="T11161">
        <v>36</v>
      </c>
      <c r="U11161" s="26" t="str">
        <f>HYPERLINK("https://ictv.global/ictv/proposals/2020.095B.R.Leviviricetes.zip","2020.095B.R.Leviviricetes.zip")</f>
        <v>2020.095B.R.Leviviricetes.zip</v>
      </c>
    </row>
    <row r="11162" spans="1:21">
      <c r="A11162">
        <v>11161</v>
      </c>
      <c r="B11162" s="27" t="s">
        <v>1124</v>
      </c>
      <c r="D11162" s="27" t="s">
        <v>1859</v>
      </c>
      <c r="F11162" s="27" t="s">
        <v>1881</v>
      </c>
      <c r="H11162" s="27" t="s">
        <v>2679</v>
      </c>
      <c r="J11162" s="27" t="s">
        <v>2680</v>
      </c>
      <c r="L11162" s="27" t="s">
        <v>2810</v>
      </c>
      <c r="N11162" s="27" t="s">
        <v>14991</v>
      </c>
      <c r="P11162" s="27" t="s">
        <v>14992</v>
      </c>
      <c r="Q11162" s="26" t="str">
        <f>HYPERLINK("https://ictv.global/taxonomy/taxondetails?taxnode_id=202516522&amp;ictv_id=ICTV202316522","ICTV202316522")</f>
        <v>ICTV202316522</v>
      </c>
      <c r="R11162" t="s">
        <v>581</v>
      </c>
      <c r="S11162" t="s">
        <v>823</v>
      </c>
      <c r="T11162">
        <v>39</v>
      </c>
      <c r="U11162" s="26" t="str">
        <f t="shared" ref="U11162:U11173" si="408">HYPERLINK("https://ictv.global/ictv/proposals/2023.001B.Leviviricetes_reorg.zip","2023.001B.Leviviricetes_reorg.zip")</f>
        <v>2023.001B.Leviviricetes_reorg.zip</v>
      </c>
    </row>
    <row r="11163" spans="1:21">
      <c r="A11163">
        <v>11162</v>
      </c>
      <c r="B11163" s="27" t="s">
        <v>1124</v>
      </c>
      <c r="D11163" s="27" t="s">
        <v>1859</v>
      </c>
      <c r="F11163" s="27" t="s">
        <v>1881</v>
      </c>
      <c r="H11163" s="27" t="s">
        <v>2679</v>
      </c>
      <c r="J11163" s="27" t="s">
        <v>2680</v>
      </c>
      <c r="L11163" s="27" t="s">
        <v>2810</v>
      </c>
      <c r="N11163" s="27" t="s">
        <v>14993</v>
      </c>
      <c r="P11163" s="27" t="s">
        <v>14994</v>
      </c>
      <c r="Q11163" s="26" t="str">
        <f>HYPERLINK("https://ictv.global/taxonomy/taxondetails?taxnode_id=202516523&amp;ictv_id=ICTV202316523","ICTV202316523")</f>
        <v>ICTV202316523</v>
      </c>
      <c r="R11163" t="s">
        <v>581</v>
      </c>
      <c r="S11163" t="s">
        <v>823</v>
      </c>
      <c r="T11163">
        <v>39</v>
      </c>
      <c r="U11163" s="26" t="str">
        <f t="shared" si="408"/>
        <v>2023.001B.Leviviricetes_reorg.zip</v>
      </c>
    </row>
    <row r="11164" spans="1:21">
      <c r="A11164">
        <v>11163</v>
      </c>
      <c r="B11164" s="27" t="s">
        <v>1124</v>
      </c>
      <c r="D11164" s="27" t="s">
        <v>1859</v>
      </c>
      <c r="F11164" s="27" t="s">
        <v>1881</v>
      </c>
      <c r="H11164" s="27" t="s">
        <v>2679</v>
      </c>
      <c r="J11164" s="27" t="s">
        <v>2680</v>
      </c>
      <c r="L11164" s="27" t="s">
        <v>2810</v>
      </c>
      <c r="N11164" s="27" t="s">
        <v>14995</v>
      </c>
      <c r="P11164" s="27" t="s">
        <v>14996</v>
      </c>
      <c r="Q11164" s="26" t="str">
        <f>HYPERLINK("https://ictv.global/taxonomy/taxondetails?taxnode_id=202516524&amp;ictv_id=ICTV202316524","ICTV202316524")</f>
        <v>ICTV202316524</v>
      </c>
      <c r="R11164" t="s">
        <v>581</v>
      </c>
      <c r="S11164" t="s">
        <v>823</v>
      </c>
      <c r="T11164">
        <v>39</v>
      </c>
      <c r="U11164" s="26" t="str">
        <f t="shared" si="408"/>
        <v>2023.001B.Leviviricetes_reorg.zip</v>
      </c>
    </row>
    <row r="11165" spans="1:21">
      <c r="A11165">
        <v>11164</v>
      </c>
      <c r="B11165" s="27" t="s">
        <v>1124</v>
      </c>
      <c r="D11165" s="27" t="s">
        <v>1859</v>
      </c>
      <c r="F11165" s="27" t="s">
        <v>1881</v>
      </c>
      <c r="H11165" s="27" t="s">
        <v>2679</v>
      </c>
      <c r="J11165" s="27" t="s">
        <v>2680</v>
      </c>
      <c r="L11165" s="27" t="s">
        <v>2810</v>
      </c>
      <c r="N11165" s="27" t="s">
        <v>14997</v>
      </c>
      <c r="P11165" s="27" t="s">
        <v>14998</v>
      </c>
      <c r="Q11165" s="26" t="str">
        <f>HYPERLINK("https://ictv.global/taxonomy/taxondetails?taxnode_id=202510492&amp;ictv_id=ICTV202010492","ICTV202010492")</f>
        <v>ICTV202010492</v>
      </c>
      <c r="R11165" t="s">
        <v>581</v>
      </c>
      <c r="S11165" t="s">
        <v>22764</v>
      </c>
      <c r="T11165">
        <v>39</v>
      </c>
      <c r="U11165" s="26" t="str">
        <f t="shared" si="408"/>
        <v>2023.001B.Leviviricetes_reorg.zip</v>
      </c>
    </row>
    <row r="11166" spans="1:21">
      <c r="A11166">
        <v>11165</v>
      </c>
      <c r="B11166" s="27" t="s">
        <v>1124</v>
      </c>
      <c r="D11166" s="27" t="s">
        <v>1859</v>
      </c>
      <c r="F11166" s="27" t="s">
        <v>1881</v>
      </c>
      <c r="H11166" s="27" t="s">
        <v>2679</v>
      </c>
      <c r="J11166" s="27" t="s">
        <v>2680</v>
      </c>
      <c r="L11166" s="27" t="s">
        <v>2810</v>
      </c>
      <c r="N11166" s="27" t="s">
        <v>14997</v>
      </c>
      <c r="P11166" s="27" t="s">
        <v>14999</v>
      </c>
      <c r="Q11166" s="26" t="str">
        <f>HYPERLINK("https://ictv.global/taxonomy/taxondetails?taxnode_id=202516525&amp;ictv_id=ICTV202316525","ICTV202316525")</f>
        <v>ICTV202316525</v>
      </c>
      <c r="R11166" t="s">
        <v>581</v>
      </c>
      <c r="S11166" t="s">
        <v>823</v>
      </c>
      <c r="T11166">
        <v>39</v>
      </c>
      <c r="U11166" s="26" t="str">
        <f t="shared" si="408"/>
        <v>2023.001B.Leviviricetes_reorg.zip</v>
      </c>
    </row>
    <row r="11167" spans="1:21">
      <c r="A11167">
        <v>11166</v>
      </c>
      <c r="B11167" s="27" t="s">
        <v>1124</v>
      </c>
      <c r="D11167" s="27" t="s">
        <v>1859</v>
      </c>
      <c r="F11167" s="27" t="s">
        <v>1881</v>
      </c>
      <c r="H11167" s="27" t="s">
        <v>2679</v>
      </c>
      <c r="J11167" s="27" t="s">
        <v>2680</v>
      </c>
      <c r="L11167" s="27" t="s">
        <v>2810</v>
      </c>
      <c r="N11167" s="27" t="s">
        <v>14997</v>
      </c>
      <c r="P11167" s="27" t="s">
        <v>15000</v>
      </c>
      <c r="Q11167" s="26" t="str">
        <f>HYPERLINK("https://ictv.global/taxonomy/taxondetails?taxnode_id=202516526&amp;ictv_id=ICTV202316526","ICTV202316526")</f>
        <v>ICTV202316526</v>
      </c>
      <c r="R11167" t="s">
        <v>581</v>
      </c>
      <c r="S11167" t="s">
        <v>823</v>
      </c>
      <c r="T11167">
        <v>39</v>
      </c>
      <c r="U11167" s="26" t="str">
        <f t="shared" si="408"/>
        <v>2023.001B.Leviviricetes_reorg.zip</v>
      </c>
    </row>
    <row r="11168" spans="1:21">
      <c r="A11168">
        <v>11167</v>
      </c>
      <c r="B11168" s="27" t="s">
        <v>1124</v>
      </c>
      <c r="D11168" s="27" t="s">
        <v>1859</v>
      </c>
      <c r="F11168" s="27" t="s">
        <v>1881</v>
      </c>
      <c r="H11168" s="27" t="s">
        <v>2679</v>
      </c>
      <c r="J11168" s="27" t="s">
        <v>2680</v>
      </c>
      <c r="L11168" s="27" t="s">
        <v>2810</v>
      </c>
      <c r="N11168" s="27" t="s">
        <v>14997</v>
      </c>
      <c r="P11168" s="27" t="s">
        <v>15001</v>
      </c>
      <c r="Q11168" s="26" t="str">
        <f>HYPERLINK("https://ictv.global/taxonomy/taxondetails?taxnode_id=202510421&amp;ictv_id=ICTV202010421","ICTV202010421")</f>
        <v>ICTV202010421</v>
      </c>
      <c r="R11168" t="s">
        <v>581</v>
      </c>
      <c r="S11168" t="s">
        <v>22764</v>
      </c>
      <c r="T11168">
        <v>39</v>
      </c>
      <c r="U11168" s="26" t="str">
        <f t="shared" si="408"/>
        <v>2023.001B.Leviviricetes_reorg.zip</v>
      </c>
    </row>
    <row r="11169" spans="1:21">
      <c r="A11169">
        <v>11168</v>
      </c>
      <c r="B11169" s="27" t="s">
        <v>1124</v>
      </c>
      <c r="D11169" s="27" t="s">
        <v>1859</v>
      </c>
      <c r="F11169" s="27" t="s">
        <v>1881</v>
      </c>
      <c r="H11169" s="27" t="s">
        <v>2679</v>
      </c>
      <c r="J11169" s="27" t="s">
        <v>2680</v>
      </c>
      <c r="L11169" s="27" t="s">
        <v>2810</v>
      </c>
      <c r="N11169" s="27" t="s">
        <v>14997</v>
      </c>
      <c r="P11169" s="27" t="s">
        <v>15002</v>
      </c>
      <c r="Q11169" s="26" t="str">
        <f>HYPERLINK("https://ictv.global/taxonomy/taxondetails?taxnode_id=202516527&amp;ictv_id=ICTV202316527","ICTV202316527")</f>
        <v>ICTV202316527</v>
      </c>
      <c r="R11169" t="s">
        <v>581</v>
      </c>
      <c r="S11169" t="s">
        <v>823</v>
      </c>
      <c r="T11169">
        <v>39</v>
      </c>
      <c r="U11169" s="26" t="str">
        <f t="shared" si="408"/>
        <v>2023.001B.Leviviricetes_reorg.zip</v>
      </c>
    </row>
    <row r="11170" spans="1:21">
      <c r="A11170">
        <v>11169</v>
      </c>
      <c r="B11170" s="27" t="s">
        <v>1124</v>
      </c>
      <c r="D11170" s="27" t="s">
        <v>1859</v>
      </c>
      <c r="F11170" s="27" t="s">
        <v>1881</v>
      </c>
      <c r="H11170" s="27" t="s">
        <v>2679</v>
      </c>
      <c r="J11170" s="27" t="s">
        <v>2680</v>
      </c>
      <c r="L11170" s="27" t="s">
        <v>2810</v>
      </c>
      <c r="N11170" s="27" t="s">
        <v>14997</v>
      </c>
      <c r="P11170" s="27" t="s">
        <v>15003</v>
      </c>
      <c r="Q11170" s="26" t="str">
        <f>HYPERLINK("https://ictv.global/taxonomy/taxondetails?taxnode_id=202516528&amp;ictv_id=ICTV202316528","ICTV202316528")</f>
        <v>ICTV202316528</v>
      </c>
      <c r="R11170" t="s">
        <v>581</v>
      </c>
      <c r="S11170" t="s">
        <v>823</v>
      </c>
      <c r="T11170">
        <v>39</v>
      </c>
      <c r="U11170" s="26" t="str">
        <f t="shared" si="408"/>
        <v>2023.001B.Leviviricetes_reorg.zip</v>
      </c>
    </row>
    <row r="11171" spans="1:21">
      <c r="A11171">
        <v>11170</v>
      </c>
      <c r="B11171" s="27" t="s">
        <v>1124</v>
      </c>
      <c r="D11171" s="27" t="s">
        <v>1859</v>
      </c>
      <c r="F11171" s="27" t="s">
        <v>1881</v>
      </c>
      <c r="H11171" s="27" t="s">
        <v>2679</v>
      </c>
      <c r="J11171" s="27" t="s">
        <v>2680</v>
      </c>
      <c r="L11171" s="27" t="s">
        <v>2810</v>
      </c>
      <c r="N11171" s="27" t="s">
        <v>15004</v>
      </c>
      <c r="P11171" s="27" t="s">
        <v>15005</v>
      </c>
      <c r="Q11171" s="26" t="str">
        <f>HYPERLINK("https://ictv.global/taxonomy/taxondetails?taxnode_id=202516529&amp;ictv_id=ICTV202316529","ICTV202316529")</f>
        <v>ICTV202316529</v>
      </c>
      <c r="R11171" t="s">
        <v>581</v>
      </c>
      <c r="S11171" t="s">
        <v>823</v>
      </c>
      <c r="T11171">
        <v>39</v>
      </c>
      <c r="U11171" s="26" t="str">
        <f t="shared" si="408"/>
        <v>2023.001B.Leviviricetes_reorg.zip</v>
      </c>
    </row>
    <row r="11172" spans="1:21">
      <c r="A11172">
        <v>11171</v>
      </c>
      <c r="B11172" s="27" t="s">
        <v>1124</v>
      </c>
      <c r="D11172" s="27" t="s">
        <v>1859</v>
      </c>
      <c r="F11172" s="27" t="s">
        <v>1881</v>
      </c>
      <c r="H11172" s="27" t="s">
        <v>2679</v>
      </c>
      <c r="J11172" s="27" t="s">
        <v>2680</v>
      </c>
      <c r="L11172" s="27" t="s">
        <v>2810</v>
      </c>
      <c r="N11172" s="27" t="s">
        <v>15004</v>
      </c>
      <c r="P11172" s="27" t="s">
        <v>15006</v>
      </c>
      <c r="Q11172" s="26" t="str">
        <f>HYPERLINK("https://ictv.global/taxonomy/taxondetails?taxnode_id=202516530&amp;ictv_id=ICTV202316530","ICTV202316530")</f>
        <v>ICTV202316530</v>
      </c>
      <c r="R11172" t="s">
        <v>581</v>
      </c>
      <c r="S11172" t="s">
        <v>823</v>
      </c>
      <c r="T11172">
        <v>39</v>
      </c>
      <c r="U11172" s="26" t="str">
        <f t="shared" si="408"/>
        <v>2023.001B.Leviviricetes_reorg.zip</v>
      </c>
    </row>
    <row r="11173" spans="1:21">
      <c r="A11173">
        <v>11172</v>
      </c>
      <c r="B11173" s="27" t="s">
        <v>1124</v>
      </c>
      <c r="D11173" s="27" t="s">
        <v>1859</v>
      </c>
      <c r="F11173" s="27" t="s">
        <v>1881</v>
      </c>
      <c r="H11173" s="27" t="s">
        <v>2679</v>
      </c>
      <c r="J11173" s="27" t="s">
        <v>2680</v>
      </c>
      <c r="L11173" s="27" t="s">
        <v>2810</v>
      </c>
      <c r="N11173" s="27" t="s">
        <v>15007</v>
      </c>
      <c r="P11173" s="27" t="s">
        <v>15008</v>
      </c>
      <c r="Q11173" s="26" t="str">
        <f>HYPERLINK("https://ictv.global/taxonomy/taxondetails?taxnode_id=202516531&amp;ictv_id=ICTV202316531","ICTV202316531")</f>
        <v>ICTV202316531</v>
      </c>
      <c r="R11173" t="s">
        <v>581</v>
      </c>
      <c r="S11173" t="s">
        <v>823</v>
      </c>
      <c r="T11173">
        <v>39</v>
      </c>
      <c r="U11173" s="26" t="str">
        <f t="shared" si="408"/>
        <v>2023.001B.Leviviricetes_reorg.zip</v>
      </c>
    </row>
    <row r="11174" spans="1:21">
      <c r="A11174">
        <v>11173</v>
      </c>
      <c r="B11174" s="27" t="s">
        <v>1124</v>
      </c>
      <c r="D11174" s="27" t="s">
        <v>1859</v>
      </c>
      <c r="F11174" s="27" t="s">
        <v>1881</v>
      </c>
      <c r="H11174" s="27" t="s">
        <v>2679</v>
      </c>
      <c r="J11174" s="27" t="s">
        <v>2680</v>
      </c>
      <c r="L11174" s="27" t="s">
        <v>2810</v>
      </c>
      <c r="N11174" s="27" t="s">
        <v>3021</v>
      </c>
      <c r="P11174" s="27" t="s">
        <v>3022</v>
      </c>
      <c r="Q11174" s="26" t="str">
        <f>HYPERLINK("https://ictv.global/taxonomy/taxondetails?taxnode_id=202510500&amp;ictv_id=ICTV202010500","ICTV202010500")</f>
        <v>ICTV202010500</v>
      </c>
      <c r="R11174" t="s">
        <v>581</v>
      </c>
      <c r="S11174" t="s">
        <v>823</v>
      </c>
      <c r="T11174">
        <v>36</v>
      </c>
      <c r="U11174" s="26" t="str">
        <f>HYPERLINK("https://ictv.global/ictv/proposals/2020.095B.R.Leviviricetes.zip","2020.095B.R.Leviviricetes.zip")</f>
        <v>2020.095B.R.Leviviricetes.zip</v>
      </c>
    </row>
    <row r="11175" spans="1:21">
      <c r="A11175">
        <v>11174</v>
      </c>
      <c r="B11175" s="27" t="s">
        <v>1124</v>
      </c>
      <c r="D11175" s="27" t="s">
        <v>1859</v>
      </c>
      <c r="F11175" s="27" t="s">
        <v>1881</v>
      </c>
      <c r="H11175" s="27" t="s">
        <v>2679</v>
      </c>
      <c r="J11175" s="27" t="s">
        <v>2680</v>
      </c>
      <c r="L11175" s="27" t="s">
        <v>2810</v>
      </c>
      <c r="N11175" s="27" t="s">
        <v>3023</v>
      </c>
      <c r="P11175" s="27" t="s">
        <v>3024</v>
      </c>
      <c r="Q11175" s="26" t="str">
        <f>HYPERLINK("https://ictv.global/taxonomy/taxondetails?taxnode_id=202510504&amp;ictv_id=ICTV202010504","ICTV202010504")</f>
        <v>ICTV202010504</v>
      </c>
      <c r="R11175" t="s">
        <v>581</v>
      </c>
      <c r="S11175" t="s">
        <v>823</v>
      </c>
      <c r="T11175">
        <v>36</v>
      </c>
      <c r="U11175" s="26" t="str">
        <f>HYPERLINK("https://ictv.global/ictv/proposals/2020.095B.R.Leviviricetes.zip","2020.095B.R.Leviviricetes.zip")</f>
        <v>2020.095B.R.Leviviricetes.zip</v>
      </c>
    </row>
    <row r="11176" spans="1:21">
      <c r="A11176">
        <v>11175</v>
      </c>
      <c r="B11176" s="27" t="s">
        <v>1124</v>
      </c>
      <c r="D11176" s="27" t="s">
        <v>1859</v>
      </c>
      <c r="F11176" s="27" t="s">
        <v>1881</v>
      </c>
      <c r="H11176" s="27" t="s">
        <v>2679</v>
      </c>
      <c r="J11176" s="27" t="s">
        <v>2680</v>
      </c>
      <c r="L11176" s="27" t="s">
        <v>2810</v>
      </c>
      <c r="N11176" s="27" t="s">
        <v>3023</v>
      </c>
      <c r="P11176" s="27" t="s">
        <v>3025</v>
      </c>
      <c r="Q11176" s="26" t="str">
        <f>HYPERLINK("https://ictv.global/taxonomy/taxondetails?taxnode_id=202510505&amp;ictv_id=ICTV202010505","ICTV202010505")</f>
        <v>ICTV202010505</v>
      </c>
      <c r="R11176" t="s">
        <v>581</v>
      </c>
      <c r="S11176" t="s">
        <v>823</v>
      </c>
      <c r="T11176">
        <v>36</v>
      </c>
      <c r="U11176" s="26" t="str">
        <f>HYPERLINK("https://ictv.global/ictv/proposals/2020.095B.R.Leviviricetes.zip","2020.095B.R.Leviviricetes.zip")</f>
        <v>2020.095B.R.Leviviricetes.zip</v>
      </c>
    </row>
    <row r="11177" spans="1:21">
      <c r="A11177">
        <v>11176</v>
      </c>
      <c r="B11177" s="27" t="s">
        <v>1124</v>
      </c>
      <c r="D11177" s="27" t="s">
        <v>1859</v>
      </c>
      <c r="F11177" s="27" t="s">
        <v>1881</v>
      </c>
      <c r="H11177" s="27" t="s">
        <v>2679</v>
      </c>
      <c r="J11177" s="27" t="s">
        <v>2680</v>
      </c>
      <c r="L11177" s="27" t="s">
        <v>2810</v>
      </c>
      <c r="N11177" s="27" t="s">
        <v>15009</v>
      </c>
      <c r="P11177" s="27" t="s">
        <v>15010</v>
      </c>
      <c r="Q11177" s="26" t="str">
        <f>HYPERLINK("https://ictv.global/taxonomy/taxondetails?taxnode_id=202516532&amp;ictv_id=ICTV202316532","ICTV202316532")</f>
        <v>ICTV202316532</v>
      </c>
      <c r="R11177" t="s">
        <v>581</v>
      </c>
      <c r="S11177" t="s">
        <v>823</v>
      </c>
      <c r="T11177">
        <v>39</v>
      </c>
      <c r="U11177" s="26" t="str">
        <f t="shared" ref="U11177:U11190" si="409">HYPERLINK("https://ictv.global/ictv/proposals/2023.001B.Leviviricetes_reorg.zip","2023.001B.Leviviricetes_reorg.zip")</f>
        <v>2023.001B.Leviviricetes_reorg.zip</v>
      </c>
    </row>
    <row r="11178" spans="1:21">
      <c r="A11178">
        <v>11177</v>
      </c>
      <c r="B11178" s="27" t="s">
        <v>1124</v>
      </c>
      <c r="D11178" s="27" t="s">
        <v>1859</v>
      </c>
      <c r="F11178" s="27" t="s">
        <v>1881</v>
      </c>
      <c r="H11178" s="27" t="s">
        <v>2679</v>
      </c>
      <c r="J11178" s="27" t="s">
        <v>2680</v>
      </c>
      <c r="L11178" s="27" t="s">
        <v>2810</v>
      </c>
      <c r="N11178" s="27" t="s">
        <v>15011</v>
      </c>
      <c r="P11178" s="27" t="s">
        <v>15012</v>
      </c>
      <c r="Q11178" s="26" t="str">
        <f>HYPERLINK("https://ictv.global/taxonomy/taxondetails?taxnode_id=202516533&amp;ictv_id=ICTV202316533","ICTV202316533")</f>
        <v>ICTV202316533</v>
      </c>
      <c r="R11178" t="s">
        <v>581</v>
      </c>
      <c r="S11178" t="s">
        <v>823</v>
      </c>
      <c r="T11178">
        <v>39</v>
      </c>
      <c r="U11178" s="26" t="str">
        <f t="shared" si="409"/>
        <v>2023.001B.Leviviricetes_reorg.zip</v>
      </c>
    </row>
    <row r="11179" spans="1:21">
      <c r="A11179">
        <v>11178</v>
      </c>
      <c r="B11179" s="27" t="s">
        <v>1124</v>
      </c>
      <c r="D11179" s="27" t="s">
        <v>1859</v>
      </c>
      <c r="F11179" s="27" t="s">
        <v>1881</v>
      </c>
      <c r="H11179" s="27" t="s">
        <v>2679</v>
      </c>
      <c r="J11179" s="27" t="s">
        <v>2680</v>
      </c>
      <c r="L11179" s="27" t="s">
        <v>2810</v>
      </c>
      <c r="N11179" s="27" t="s">
        <v>15013</v>
      </c>
      <c r="P11179" s="27" t="s">
        <v>15014</v>
      </c>
      <c r="Q11179" s="26" t="str">
        <f>HYPERLINK("https://ictv.global/taxonomy/taxondetails?taxnode_id=202516534&amp;ictv_id=ICTV202316534","ICTV202316534")</f>
        <v>ICTV202316534</v>
      </c>
      <c r="R11179" t="s">
        <v>581</v>
      </c>
      <c r="S11179" t="s">
        <v>823</v>
      </c>
      <c r="T11179">
        <v>39</v>
      </c>
      <c r="U11179" s="26" t="str">
        <f t="shared" si="409"/>
        <v>2023.001B.Leviviricetes_reorg.zip</v>
      </c>
    </row>
    <row r="11180" spans="1:21">
      <c r="A11180">
        <v>11179</v>
      </c>
      <c r="B11180" s="27" t="s">
        <v>1124</v>
      </c>
      <c r="D11180" s="27" t="s">
        <v>1859</v>
      </c>
      <c r="F11180" s="27" t="s">
        <v>1881</v>
      </c>
      <c r="H11180" s="27" t="s">
        <v>2679</v>
      </c>
      <c r="J11180" s="27" t="s">
        <v>2680</v>
      </c>
      <c r="L11180" s="27" t="s">
        <v>2810</v>
      </c>
      <c r="N11180" s="27" t="s">
        <v>15013</v>
      </c>
      <c r="P11180" s="27" t="s">
        <v>15015</v>
      </c>
      <c r="Q11180" s="26" t="str">
        <f>HYPERLINK("https://ictv.global/taxonomy/taxondetails?taxnode_id=202516535&amp;ictv_id=ICTV202316535","ICTV202316535")</f>
        <v>ICTV202316535</v>
      </c>
      <c r="R11180" t="s">
        <v>581</v>
      </c>
      <c r="S11180" t="s">
        <v>823</v>
      </c>
      <c r="T11180">
        <v>39</v>
      </c>
      <c r="U11180" s="26" t="str">
        <f t="shared" si="409"/>
        <v>2023.001B.Leviviricetes_reorg.zip</v>
      </c>
    </row>
    <row r="11181" spans="1:21">
      <c r="A11181">
        <v>11180</v>
      </c>
      <c r="B11181" s="27" t="s">
        <v>1124</v>
      </c>
      <c r="D11181" s="27" t="s">
        <v>1859</v>
      </c>
      <c r="F11181" s="27" t="s">
        <v>1881</v>
      </c>
      <c r="H11181" s="27" t="s">
        <v>2679</v>
      </c>
      <c r="J11181" s="27" t="s">
        <v>2680</v>
      </c>
      <c r="L11181" s="27" t="s">
        <v>2810</v>
      </c>
      <c r="N11181" s="27" t="s">
        <v>15013</v>
      </c>
      <c r="P11181" s="27" t="s">
        <v>15016</v>
      </c>
      <c r="Q11181" s="26" t="str">
        <f>HYPERLINK("https://ictv.global/taxonomy/taxondetails?taxnode_id=202516536&amp;ictv_id=ICTV202316536","ICTV202316536")</f>
        <v>ICTV202316536</v>
      </c>
      <c r="R11181" t="s">
        <v>581</v>
      </c>
      <c r="S11181" t="s">
        <v>823</v>
      </c>
      <c r="T11181">
        <v>39</v>
      </c>
      <c r="U11181" s="26" t="str">
        <f t="shared" si="409"/>
        <v>2023.001B.Leviviricetes_reorg.zip</v>
      </c>
    </row>
    <row r="11182" spans="1:21">
      <c r="A11182">
        <v>11181</v>
      </c>
      <c r="B11182" s="27" t="s">
        <v>1124</v>
      </c>
      <c r="D11182" s="27" t="s">
        <v>1859</v>
      </c>
      <c r="F11182" s="27" t="s">
        <v>1881</v>
      </c>
      <c r="H11182" s="27" t="s">
        <v>2679</v>
      </c>
      <c r="J11182" s="27" t="s">
        <v>2680</v>
      </c>
      <c r="L11182" s="27" t="s">
        <v>2810</v>
      </c>
      <c r="N11182" s="27" t="s">
        <v>15013</v>
      </c>
      <c r="P11182" s="27" t="s">
        <v>15017</v>
      </c>
      <c r="Q11182" s="26" t="str">
        <f>HYPERLINK("https://ictv.global/taxonomy/taxondetails?taxnode_id=202516537&amp;ictv_id=ICTV202316537","ICTV202316537")</f>
        <v>ICTV202316537</v>
      </c>
      <c r="R11182" t="s">
        <v>581</v>
      </c>
      <c r="S11182" t="s">
        <v>823</v>
      </c>
      <c r="T11182">
        <v>39</v>
      </c>
      <c r="U11182" s="26" t="str">
        <f t="shared" si="409"/>
        <v>2023.001B.Leviviricetes_reorg.zip</v>
      </c>
    </row>
    <row r="11183" spans="1:21">
      <c r="A11183">
        <v>11182</v>
      </c>
      <c r="B11183" s="27" t="s">
        <v>1124</v>
      </c>
      <c r="D11183" s="27" t="s">
        <v>1859</v>
      </c>
      <c r="F11183" s="27" t="s">
        <v>1881</v>
      </c>
      <c r="H11183" s="27" t="s">
        <v>2679</v>
      </c>
      <c r="J11183" s="27" t="s">
        <v>2680</v>
      </c>
      <c r="L11183" s="27" t="s">
        <v>2810</v>
      </c>
      <c r="N11183" s="27" t="s">
        <v>15018</v>
      </c>
      <c r="P11183" s="27" t="s">
        <v>15019</v>
      </c>
      <c r="Q11183" s="26" t="str">
        <f>HYPERLINK("https://ictv.global/taxonomy/taxondetails?taxnode_id=202516538&amp;ictv_id=ICTV202316538","ICTV202316538")</f>
        <v>ICTV202316538</v>
      </c>
      <c r="R11183" t="s">
        <v>581</v>
      </c>
      <c r="S11183" t="s">
        <v>823</v>
      </c>
      <c r="T11183">
        <v>39</v>
      </c>
      <c r="U11183" s="26" t="str">
        <f t="shared" si="409"/>
        <v>2023.001B.Leviviricetes_reorg.zip</v>
      </c>
    </row>
    <row r="11184" spans="1:21">
      <c r="A11184">
        <v>11183</v>
      </c>
      <c r="B11184" s="27" t="s">
        <v>1124</v>
      </c>
      <c r="D11184" s="27" t="s">
        <v>1859</v>
      </c>
      <c r="F11184" s="27" t="s">
        <v>1881</v>
      </c>
      <c r="H11184" s="27" t="s">
        <v>2679</v>
      </c>
      <c r="J11184" s="27" t="s">
        <v>2680</v>
      </c>
      <c r="L11184" s="27" t="s">
        <v>2810</v>
      </c>
      <c r="N11184" s="27" t="s">
        <v>15018</v>
      </c>
      <c r="P11184" s="27" t="s">
        <v>15020</v>
      </c>
      <c r="Q11184" s="26" t="str">
        <f>HYPERLINK("https://ictv.global/taxonomy/taxondetails?taxnode_id=202516539&amp;ictv_id=ICTV202316539","ICTV202316539")</f>
        <v>ICTV202316539</v>
      </c>
      <c r="R11184" t="s">
        <v>581</v>
      </c>
      <c r="S11184" t="s">
        <v>823</v>
      </c>
      <c r="T11184">
        <v>39</v>
      </c>
      <c r="U11184" s="26" t="str">
        <f t="shared" si="409"/>
        <v>2023.001B.Leviviricetes_reorg.zip</v>
      </c>
    </row>
    <row r="11185" spans="1:21">
      <c r="A11185">
        <v>11184</v>
      </c>
      <c r="B11185" s="27" t="s">
        <v>1124</v>
      </c>
      <c r="D11185" s="27" t="s">
        <v>1859</v>
      </c>
      <c r="F11185" s="27" t="s">
        <v>1881</v>
      </c>
      <c r="H11185" s="27" t="s">
        <v>2679</v>
      </c>
      <c r="J11185" s="27" t="s">
        <v>2680</v>
      </c>
      <c r="L11185" s="27" t="s">
        <v>2810</v>
      </c>
      <c r="N11185" s="27" t="s">
        <v>15018</v>
      </c>
      <c r="P11185" s="27" t="s">
        <v>15021</v>
      </c>
      <c r="Q11185" s="26" t="str">
        <f>HYPERLINK("https://ictv.global/taxonomy/taxondetails?taxnode_id=202510618&amp;ictv_id=ICTV202010618","ICTV202010618")</f>
        <v>ICTV202010618</v>
      </c>
      <c r="R11185" t="s">
        <v>581</v>
      </c>
      <c r="S11185" t="s">
        <v>22764</v>
      </c>
      <c r="T11185">
        <v>39</v>
      </c>
      <c r="U11185" s="26" t="str">
        <f t="shared" si="409"/>
        <v>2023.001B.Leviviricetes_reorg.zip</v>
      </c>
    </row>
    <row r="11186" spans="1:21">
      <c r="A11186">
        <v>11185</v>
      </c>
      <c r="B11186" s="27" t="s">
        <v>1124</v>
      </c>
      <c r="D11186" s="27" t="s">
        <v>1859</v>
      </c>
      <c r="F11186" s="27" t="s">
        <v>1881</v>
      </c>
      <c r="H11186" s="27" t="s">
        <v>2679</v>
      </c>
      <c r="J11186" s="27" t="s">
        <v>2680</v>
      </c>
      <c r="L11186" s="27" t="s">
        <v>2810</v>
      </c>
      <c r="N11186" s="27" t="s">
        <v>15018</v>
      </c>
      <c r="P11186" s="27" t="s">
        <v>15022</v>
      </c>
      <c r="Q11186" s="26" t="str">
        <f>HYPERLINK("https://ictv.global/taxonomy/taxondetails?taxnode_id=202516540&amp;ictv_id=ICTV202316540","ICTV202316540")</f>
        <v>ICTV202316540</v>
      </c>
      <c r="R11186" t="s">
        <v>581</v>
      </c>
      <c r="S11186" t="s">
        <v>823</v>
      </c>
      <c r="T11186">
        <v>39</v>
      </c>
      <c r="U11186" s="26" t="str">
        <f t="shared" si="409"/>
        <v>2023.001B.Leviviricetes_reorg.zip</v>
      </c>
    </row>
    <row r="11187" spans="1:21">
      <c r="A11187">
        <v>11186</v>
      </c>
      <c r="B11187" s="27" t="s">
        <v>1124</v>
      </c>
      <c r="D11187" s="27" t="s">
        <v>1859</v>
      </c>
      <c r="F11187" s="27" t="s">
        <v>1881</v>
      </c>
      <c r="H11187" s="27" t="s">
        <v>2679</v>
      </c>
      <c r="J11187" s="27" t="s">
        <v>2680</v>
      </c>
      <c r="L11187" s="27" t="s">
        <v>2810</v>
      </c>
      <c r="N11187" s="27" t="s">
        <v>15018</v>
      </c>
      <c r="P11187" s="27" t="s">
        <v>15023</v>
      </c>
      <c r="Q11187" s="26" t="str">
        <f>HYPERLINK("https://ictv.global/taxonomy/taxondetails?taxnode_id=202516541&amp;ictv_id=ICTV202316541","ICTV202316541")</f>
        <v>ICTV202316541</v>
      </c>
      <c r="R11187" t="s">
        <v>581</v>
      </c>
      <c r="S11187" t="s">
        <v>823</v>
      </c>
      <c r="T11187">
        <v>39</v>
      </c>
      <c r="U11187" s="26" t="str">
        <f t="shared" si="409"/>
        <v>2023.001B.Leviviricetes_reorg.zip</v>
      </c>
    </row>
    <row r="11188" spans="1:21">
      <c r="A11188">
        <v>11187</v>
      </c>
      <c r="B11188" s="27" t="s">
        <v>1124</v>
      </c>
      <c r="D11188" s="27" t="s">
        <v>1859</v>
      </c>
      <c r="F11188" s="27" t="s">
        <v>1881</v>
      </c>
      <c r="H11188" s="27" t="s">
        <v>2679</v>
      </c>
      <c r="J11188" s="27" t="s">
        <v>2680</v>
      </c>
      <c r="L11188" s="27" t="s">
        <v>2810</v>
      </c>
      <c r="N11188" s="27" t="s">
        <v>15024</v>
      </c>
      <c r="P11188" s="27" t="s">
        <v>15025</v>
      </c>
      <c r="Q11188" s="26" t="str">
        <f>HYPERLINK("https://ictv.global/taxonomy/taxondetails?taxnode_id=202516542&amp;ictv_id=ICTV202316542","ICTV202316542")</f>
        <v>ICTV202316542</v>
      </c>
      <c r="R11188" t="s">
        <v>581</v>
      </c>
      <c r="S11188" t="s">
        <v>823</v>
      </c>
      <c r="T11188">
        <v>39</v>
      </c>
      <c r="U11188" s="26" t="str">
        <f t="shared" si="409"/>
        <v>2023.001B.Leviviricetes_reorg.zip</v>
      </c>
    </row>
    <row r="11189" spans="1:21">
      <c r="A11189">
        <v>11188</v>
      </c>
      <c r="B11189" s="27" t="s">
        <v>1124</v>
      </c>
      <c r="D11189" s="27" t="s">
        <v>1859</v>
      </c>
      <c r="F11189" s="27" t="s">
        <v>1881</v>
      </c>
      <c r="H11189" s="27" t="s">
        <v>2679</v>
      </c>
      <c r="J11189" s="27" t="s">
        <v>2680</v>
      </c>
      <c r="L11189" s="27" t="s">
        <v>2810</v>
      </c>
      <c r="N11189" s="27" t="s">
        <v>15024</v>
      </c>
      <c r="P11189" s="27" t="s">
        <v>15026</v>
      </c>
      <c r="Q11189" s="26" t="str">
        <f>HYPERLINK("https://ictv.global/taxonomy/taxondetails?taxnode_id=202516543&amp;ictv_id=ICTV202316543","ICTV202316543")</f>
        <v>ICTV202316543</v>
      </c>
      <c r="R11189" t="s">
        <v>581</v>
      </c>
      <c r="S11189" t="s">
        <v>823</v>
      </c>
      <c r="T11189">
        <v>39</v>
      </c>
      <c r="U11189" s="26" t="str">
        <f t="shared" si="409"/>
        <v>2023.001B.Leviviricetes_reorg.zip</v>
      </c>
    </row>
    <row r="11190" spans="1:21">
      <c r="A11190">
        <v>11189</v>
      </c>
      <c r="B11190" s="27" t="s">
        <v>1124</v>
      </c>
      <c r="D11190" s="27" t="s">
        <v>1859</v>
      </c>
      <c r="F11190" s="27" t="s">
        <v>1881</v>
      </c>
      <c r="H11190" s="27" t="s">
        <v>2679</v>
      </c>
      <c r="J11190" s="27" t="s">
        <v>2680</v>
      </c>
      <c r="L11190" s="27" t="s">
        <v>2810</v>
      </c>
      <c r="N11190" s="27" t="s">
        <v>15024</v>
      </c>
      <c r="P11190" s="27" t="s">
        <v>15027</v>
      </c>
      <c r="Q11190" s="26" t="str">
        <f>HYPERLINK("https://ictv.global/taxonomy/taxondetails?taxnode_id=202516544&amp;ictv_id=ICTV202316544","ICTV202316544")</f>
        <v>ICTV202316544</v>
      </c>
      <c r="R11190" t="s">
        <v>581</v>
      </c>
      <c r="S11190" t="s">
        <v>823</v>
      </c>
      <c r="T11190">
        <v>39</v>
      </c>
      <c r="U11190" s="26" t="str">
        <f t="shared" si="409"/>
        <v>2023.001B.Leviviricetes_reorg.zip</v>
      </c>
    </row>
    <row r="11191" spans="1:21">
      <c r="A11191">
        <v>11190</v>
      </c>
      <c r="B11191" s="27" t="s">
        <v>1124</v>
      </c>
      <c r="D11191" s="27" t="s">
        <v>1859</v>
      </c>
      <c r="F11191" s="27" t="s">
        <v>1881</v>
      </c>
      <c r="H11191" s="27" t="s">
        <v>2679</v>
      </c>
      <c r="J11191" s="27" t="s">
        <v>2680</v>
      </c>
      <c r="L11191" s="27" t="s">
        <v>2810</v>
      </c>
      <c r="N11191" s="27" t="s">
        <v>3026</v>
      </c>
      <c r="P11191" s="27" t="s">
        <v>3027</v>
      </c>
      <c r="Q11191" s="26" t="str">
        <f>HYPERLINK("https://ictv.global/taxonomy/taxondetails?taxnode_id=202510512&amp;ictv_id=ICTV202010512","ICTV202010512")</f>
        <v>ICTV202010512</v>
      </c>
      <c r="R11191" t="s">
        <v>581</v>
      </c>
      <c r="S11191" t="s">
        <v>823</v>
      </c>
      <c r="T11191">
        <v>36</v>
      </c>
      <c r="U11191" s="26" t="str">
        <f>HYPERLINK("https://ictv.global/ictv/proposals/2020.095B.R.Leviviricetes.zip","2020.095B.R.Leviviricetes.zip")</f>
        <v>2020.095B.R.Leviviricetes.zip</v>
      </c>
    </row>
    <row r="11192" spans="1:21">
      <c r="A11192">
        <v>11191</v>
      </c>
      <c r="B11192" s="27" t="s">
        <v>1124</v>
      </c>
      <c r="D11192" s="27" t="s">
        <v>1859</v>
      </c>
      <c r="F11192" s="27" t="s">
        <v>1881</v>
      </c>
      <c r="H11192" s="27" t="s">
        <v>2679</v>
      </c>
      <c r="J11192" s="27" t="s">
        <v>2680</v>
      </c>
      <c r="L11192" s="27" t="s">
        <v>2810</v>
      </c>
      <c r="N11192" s="27" t="s">
        <v>15028</v>
      </c>
      <c r="P11192" s="27" t="s">
        <v>15029</v>
      </c>
      <c r="Q11192" s="26" t="str">
        <f>HYPERLINK("https://ictv.global/taxonomy/taxondetails?taxnode_id=202516545&amp;ictv_id=ICTV202316545","ICTV202316545")</f>
        <v>ICTV202316545</v>
      </c>
      <c r="R11192" t="s">
        <v>581</v>
      </c>
      <c r="S11192" t="s">
        <v>823</v>
      </c>
      <c r="T11192">
        <v>39</v>
      </c>
      <c r="U11192" s="26" t="str">
        <f>HYPERLINK("https://ictv.global/ictv/proposals/2023.001B.Leviviricetes_reorg.zip","2023.001B.Leviviricetes_reorg.zip")</f>
        <v>2023.001B.Leviviricetes_reorg.zip</v>
      </c>
    </row>
    <row r="11193" spans="1:21">
      <c r="A11193">
        <v>11192</v>
      </c>
      <c r="B11193" s="27" t="s">
        <v>1124</v>
      </c>
      <c r="D11193" s="27" t="s">
        <v>1859</v>
      </c>
      <c r="F11193" s="27" t="s">
        <v>1881</v>
      </c>
      <c r="H11193" s="27" t="s">
        <v>2679</v>
      </c>
      <c r="J11193" s="27" t="s">
        <v>2680</v>
      </c>
      <c r="L11193" s="27" t="s">
        <v>2810</v>
      </c>
      <c r="N11193" s="27" t="s">
        <v>3028</v>
      </c>
      <c r="P11193" s="27" t="s">
        <v>3029</v>
      </c>
      <c r="Q11193" s="26" t="str">
        <f>HYPERLINK("https://ictv.global/taxonomy/taxondetails?taxnode_id=202510514&amp;ictv_id=ICTV202010514","ICTV202010514")</f>
        <v>ICTV202010514</v>
      </c>
      <c r="R11193" t="s">
        <v>581</v>
      </c>
      <c r="S11193" t="s">
        <v>823</v>
      </c>
      <c r="T11193">
        <v>36</v>
      </c>
      <c r="U11193" s="26" t="str">
        <f>HYPERLINK("https://ictv.global/ictv/proposals/2020.095B.R.Leviviricetes.zip","2020.095B.R.Leviviricetes.zip")</f>
        <v>2020.095B.R.Leviviricetes.zip</v>
      </c>
    </row>
    <row r="11194" spans="1:21">
      <c r="A11194">
        <v>11193</v>
      </c>
      <c r="B11194" s="27" t="s">
        <v>1124</v>
      </c>
      <c r="D11194" s="27" t="s">
        <v>1859</v>
      </c>
      <c r="F11194" s="27" t="s">
        <v>1881</v>
      </c>
      <c r="H11194" s="27" t="s">
        <v>2679</v>
      </c>
      <c r="J11194" s="27" t="s">
        <v>2680</v>
      </c>
      <c r="L11194" s="27" t="s">
        <v>2810</v>
      </c>
      <c r="N11194" s="27" t="s">
        <v>3030</v>
      </c>
      <c r="P11194" s="27" t="s">
        <v>3031</v>
      </c>
      <c r="Q11194" s="26" t="str">
        <f>HYPERLINK("https://ictv.global/taxonomy/taxondetails?taxnode_id=202510516&amp;ictv_id=ICTV202010516","ICTV202010516")</f>
        <v>ICTV202010516</v>
      </c>
      <c r="R11194" t="s">
        <v>581</v>
      </c>
      <c r="S11194" t="s">
        <v>823</v>
      </c>
      <c r="T11194">
        <v>36</v>
      </c>
      <c r="U11194" s="26" t="str">
        <f>HYPERLINK("https://ictv.global/ictv/proposals/2020.095B.R.Leviviricetes.zip","2020.095B.R.Leviviricetes.zip")</f>
        <v>2020.095B.R.Leviviricetes.zip</v>
      </c>
    </row>
    <row r="11195" spans="1:21">
      <c r="A11195">
        <v>11194</v>
      </c>
      <c r="B11195" s="27" t="s">
        <v>1124</v>
      </c>
      <c r="D11195" s="27" t="s">
        <v>1859</v>
      </c>
      <c r="F11195" s="27" t="s">
        <v>1881</v>
      </c>
      <c r="H11195" s="27" t="s">
        <v>2679</v>
      </c>
      <c r="J11195" s="27" t="s">
        <v>2680</v>
      </c>
      <c r="L11195" s="27" t="s">
        <v>2810</v>
      </c>
      <c r="N11195" s="27" t="s">
        <v>3032</v>
      </c>
      <c r="P11195" s="27" t="s">
        <v>3033</v>
      </c>
      <c r="Q11195" s="26" t="str">
        <f>HYPERLINK("https://ictv.global/taxonomy/taxondetails?taxnode_id=202510518&amp;ictv_id=ICTV202010518","ICTV202010518")</f>
        <v>ICTV202010518</v>
      </c>
      <c r="R11195" t="s">
        <v>581</v>
      </c>
      <c r="S11195" t="s">
        <v>823</v>
      </c>
      <c r="T11195">
        <v>36</v>
      </c>
      <c r="U11195" s="26" t="str">
        <f>HYPERLINK("https://ictv.global/ictv/proposals/2020.095B.R.Leviviricetes.zip","2020.095B.R.Leviviricetes.zip")</f>
        <v>2020.095B.R.Leviviricetes.zip</v>
      </c>
    </row>
    <row r="11196" spans="1:21">
      <c r="A11196">
        <v>11195</v>
      </c>
      <c r="B11196" s="27" t="s">
        <v>1124</v>
      </c>
      <c r="D11196" s="27" t="s">
        <v>1859</v>
      </c>
      <c r="F11196" s="27" t="s">
        <v>1881</v>
      </c>
      <c r="H11196" s="27" t="s">
        <v>2679</v>
      </c>
      <c r="J11196" s="27" t="s">
        <v>2680</v>
      </c>
      <c r="L11196" s="27" t="s">
        <v>2810</v>
      </c>
      <c r="N11196" s="27" t="s">
        <v>3034</v>
      </c>
      <c r="P11196" s="27" t="s">
        <v>3035</v>
      </c>
      <c r="Q11196" s="26" t="str">
        <f>HYPERLINK("https://ictv.global/taxonomy/taxondetails?taxnode_id=202510520&amp;ictv_id=ICTV202010520","ICTV202010520")</f>
        <v>ICTV202010520</v>
      </c>
      <c r="R11196" t="s">
        <v>581</v>
      </c>
      <c r="S11196" t="s">
        <v>823</v>
      </c>
      <c r="T11196">
        <v>36</v>
      </c>
      <c r="U11196" s="26" t="str">
        <f>HYPERLINK("https://ictv.global/ictv/proposals/2020.095B.R.Leviviricetes.zip","2020.095B.R.Leviviricetes.zip")</f>
        <v>2020.095B.R.Leviviricetes.zip</v>
      </c>
    </row>
    <row r="11197" spans="1:21">
      <c r="A11197">
        <v>11196</v>
      </c>
      <c r="B11197" s="27" t="s">
        <v>1124</v>
      </c>
      <c r="D11197" s="27" t="s">
        <v>1859</v>
      </c>
      <c r="F11197" s="27" t="s">
        <v>1881</v>
      </c>
      <c r="H11197" s="27" t="s">
        <v>2679</v>
      </c>
      <c r="J11197" s="27" t="s">
        <v>2680</v>
      </c>
      <c r="L11197" s="27" t="s">
        <v>2810</v>
      </c>
      <c r="N11197" s="27" t="s">
        <v>15030</v>
      </c>
      <c r="P11197" s="27" t="s">
        <v>15031</v>
      </c>
      <c r="Q11197" s="26" t="str">
        <f>HYPERLINK("https://ictv.global/taxonomy/taxondetails?taxnode_id=202516546&amp;ictv_id=ICTV202316546","ICTV202316546")</f>
        <v>ICTV202316546</v>
      </c>
      <c r="R11197" t="s">
        <v>581</v>
      </c>
      <c r="S11197" t="s">
        <v>823</v>
      </c>
      <c r="T11197">
        <v>39</v>
      </c>
      <c r="U11197" s="26" t="str">
        <f>HYPERLINK("https://ictv.global/ictv/proposals/2023.001B.Leviviricetes_reorg.zip","2023.001B.Leviviricetes_reorg.zip")</f>
        <v>2023.001B.Leviviricetes_reorg.zip</v>
      </c>
    </row>
    <row r="11198" spans="1:21">
      <c r="A11198">
        <v>11197</v>
      </c>
      <c r="B11198" s="27" t="s">
        <v>1124</v>
      </c>
      <c r="D11198" s="27" t="s">
        <v>1859</v>
      </c>
      <c r="F11198" s="27" t="s">
        <v>1881</v>
      </c>
      <c r="H11198" s="27" t="s">
        <v>2679</v>
      </c>
      <c r="J11198" s="27" t="s">
        <v>2680</v>
      </c>
      <c r="L11198" s="27" t="s">
        <v>2810</v>
      </c>
      <c r="N11198" s="27" t="s">
        <v>3036</v>
      </c>
      <c r="P11198" s="27" t="s">
        <v>15032</v>
      </c>
      <c r="Q11198" s="26" t="str">
        <f>HYPERLINK("https://ictv.global/taxonomy/taxondetails?taxnode_id=202516547&amp;ictv_id=ICTV202316547","ICTV202316547")</f>
        <v>ICTV202316547</v>
      </c>
      <c r="R11198" t="s">
        <v>581</v>
      </c>
      <c r="S11198" t="s">
        <v>823</v>
      </c>
      <c r="T11198">
        <v>39</v>
      </c>
      <c r="U11198" s="26" t="str">
        <f>HYPERLINK("https://ictv.global/ictv/proposals/2023.001B.Leviviricetes_reorg.zip","2023.001B.Leviviricetes_reorg.zip")</f>
        <v>2023.001B.Leviviricetes_reorg.zip</v>
      </c>
    </row>
    <row r="11199" spans="1:21">
      <c r="A11199">
        <v>11198</v>
      </c>
      <c r="B11199" s="27" t="s">
        <v>1124</v>
      </c>
      <c r="D11199" s="27" t="s">
        <v>1859</v>
      </c>
      <c r="F11199" s="27" t="s">
        <v>1881</v>
      </c>
      <c r="H11199" s="27" t="s">
        <v>2679</v>
      </c>
      <c r="J11199" s="27" t="s">
        <v>2680</v>
      </c>
      <c r="L11199" s="27" t="s">
        <v>2810</v>
      </c>
      <c r="N11199" s="27" t="s">
        <v>3036</v>
      </c>
      <c r="P11199" s="27" t="s">
        <v>15033</v>
      </c>
      <c r="Q11199" s="26" t="str">
        <f>HYPERLINK("https://ictv.global/taxonomy/taxondetails?taxnode_id=202516548&amp;ictv_id=ICTV202316548","ICTV202316548")</f>
        <v>ICTV202316548</v>
      </c>
      <c r="R11199" t="s">
        <v>581</v>
      </c>
      <c r="S11199" t="s">
        <v>823</v>
      </c>
      <c r="T11199">
        <v>39</v>
      </c>
      <c r="U11199" s="26" t="str">
        <f>HYPERLINK("https://ictv.global/ictv/proposals/2023.001B.Leviviricetes_reorg.zip","2023.001B.Leviviricetes_reorg.zip")</f>
        <v>2023.001B.Leviviricetes_reorg.zip</v>
      </c>
    </row>
    <row r="11200" spans="1:21">
      <c r="A11200">
        <v>11199</v>
      </c>
      <c r="B11200" s="27" t="s">
        <v>1124</v>
      </c>
      <c r="D11200" s="27" t="s">
        <v>1859</v>
      </c>
      <c r="F11200" s="27" t="s">
        <v>1881</v>
      </c>
      <c r="H11200" s="27" t="s">
        <v>2679</v>
      </c>
      <c r="J11200" s="27" t="s">
        <v>2680</v>
      </c>
      <c r="L11200" s="27" t="s">
        <v>2810</v>
      </c>
      <c r="N11200" s="27" t="s">
        <v>3036</v>
      </c>
      <c r="P11200" s="27" t="s">
        <v>3037</v>
      </c>
      <c r="Q11200" s="26" t="str">
        <f>HYPERLINK("https://ictv.global/taxonomy/taxondetails?taxnode_id=202510524&amp;ictv_id=ICTV202010524","ICTV202010524")</f>
        <v>ICTV202010524</v>
      </c>
      <c r="R11200" t="s">
        <v>581</v>
      </c>
      <c r="S11200" t="s">
        <v>823</v>
      </c>
      <c r="T11200">
        <v>36</v>
      </c>
      <c r="U11200" s="26" t="str">
        <f>HYPERLINK("https://ictv.global/ictv/proposals/2020.095B.R.Leviviricetes.zip","2020.095B.R.Leviviricetes.zip")</f>
        <v>2020.095B.R.Leviviricetes.zip</v>
      </c>
    </row>
    <row r="11201" spans="1:21">
      <c r="A11201">
        <v>11200</v>
      </c>
      <c r="B11201" s="27" t="s">
        <v>1124</v>
      </c>
      <c r="D11201" s="27" t="s">
        <v>1859</v>
      </c>
      <c r="F11201" s="27" t="s">
        <v>1881</v>
      </c>
      <c r="H11201" s="27" t="s">
        <v>2679</v>
      </c>
      <c r="J11201" s="27" t="s">
        <v>2680</v>
      </c>
      <c r="L11201" s="27" t="s">
        <v>2810</v>
      </c>
      <c r="N11201" s="27" t="s">
        <v>3038</v>
      </c>
      <c r="P11201" s="27" t="s">
        <v>15034</v>
      </c>
      <c r="Q11201" s="26" t="str">
        <f>HYPERLINK("https://ictv.global/taxonomy/taxondetails?taxnode_id=202516549&amp;ictv_id=ICTV202316549","ICTV202316549")</f>
        <v>ICTV202316549</v>
      </c>
      <c r="R11201" t="s">
        <v>581</v>
      </c>
      <c r="S11201" t="s">
        <v>823</v>
      </c>
      <c r="T11201">
        <v>39</v>
      </c>
      <c r="U11201" s="26" t="str">
        <f>HYPERLINK("https://ictv.global/ictv/proposals/2023.001B.Leviviricetes_reorg.zip","2023.001B.Leviviricetes_reorg.zip")</f>
        <v>2023.001B.Leviviricetes_reorg.zip</v>
      </c>
    </row>
    <row r="11202" spans="1:21">
      <c r="A11202">
        <v>11201</v>
      </c>
      <c r="B11202" s="27" t="s">
        <v>1124</v>
      </c>
      <c r="D11202" s="27" t="s">
        <v>1859</v>
      </c>
      <c r="F11202" s="27" t="s">
        <v>1881</v>
      </c>
      <c r="H11202" s="27" t="s">
        <v>2679</v>
      </c>
      <c r="J11202" s="27" t="s">
        <v>2680</v>
      </c>
      <c r="L11202" s="27" t="s">
        <v>2810</v>
      </c>
      <c r="N11202" s="27" t="s">
        <v>3038</v>
      </c>
      <c r="P11202" s="27" t="s">
        <v>15035</v>
      </c>
      <c r="Q11202" s="26" t="str">
        <f>HYPERLINK("https://ictv.global/taxonomy/taxondetails?taxnode_id=202516550&amp;ictv_id=ICTV202316550","ICTV202316550")</f>
        <v>ICTV202316550</v>
      </c>
      <c r="R11202" t="s">
        <v>581</v>
      </c>
      <c r="S11202" t="s">
        <v>823</v>
      </c>
      <c r="T11202">
        <v>39</v>
      </c>
      <c r="U11202" s="26" t="str">
        <f>HYPERLINK("https://ictv.global/ictv/proposals/2023.001B.Leviviricetes_reorg.zip","2023.001B.Leviviricetes_reorg.zip")</f>
        <v>2023.001B.Leviviricetes_reorg.zip</v>
      </c>
    </row>
    <row r="11203" spans="1:21">
      <c r="A11203">
        <v>11202</v>
      </c>
      <c r="B11203" s="27" t="s">
        <v>1124</v>
      </c>
      <c r="D11203" s="27" t="s">
        <v>1859</v>
      </c>
      <c r="F11203" s="27" t="s">
        <v>1881</v>
      </c>
      <c r="H11203" s="27" t="s">
        <v>2679</v>
      </c>
      <c r="J11203" s="27" t="s">
        <v>2680</v>
      </c>
      <c r="L11203" s="27" t="s">
        <v>2810</v>
      </c>
      <c r="N11203" s="27" t="s">
        <v>3038</v>
      </c>
      <c r="P11203" s="27" t="s">
        <v>15036</v>
      </c>
      <c r="Q11203" s="26" t="str">
        <f>HYPERLINK("https://ictv.global/taxonomy/taxondetails?taxnode_id=202516551&amp;ictv_id=ICTV202316551","ICTV202316551")</f>
        <v>ICTV202316551</v>
      </c>
      <c r="R11203" t="s">
        <v>581</v>
      </c>
      <c r="S11203" t="s">
        <v>823</v>
      </c>
      <c r="T11203">
        <v>39</v>
      </c>
      <c r="U11203" s="26" t="str">
        <f>HYPERLINK("https://ictv.global/ictv/proposals/2023.001B.Leviviricetes_reorg.zip","2023.001B.Leviviricetes_reorg.zip")</f>
        <v>2023.001B.Leviviricetes_reorg.zip</v>
      </c>
    </row>
    <row r="11204" spans="1:21">
      <c r="A11204">
        <v>11203</v>
      </c>
      <c r="B11204" s="27" t="s">
        <v>1124</v>
      </c>
      <c r="D11204" s="27" t="s">
        <v>1859</v>
      </c>
      <c r="F11204" s="27" t="s">
        <v>1881</v>
      </c>
      <c r="H11204" s="27" t="s">
        <v>2679</v>
      </c>
      <c r="J11204" s="27" t="s">
        <v>2680</v>
      </c>
      <c r="L11204" s="27" t="s">
        <v>2810</v>
      </c>
      <c r="N11204" s="27" t="s">
        <v>3038</v>
      </c>
      <c r="P11204" s="27" t="s">
        <v>3039</v>
      </c>
      <c r="Q11204" s="26" t="str">
        <f>HYPERLINK("https://ictv.global/taxonomy/taxondetails?taxnode_id=202510531&amp;ictv_id=ICTV202010531","ICTV202010531")</f>
        <v>ICTV202010531</v>
      </c>
      <c r="R11204" t="s">
        <v>581</v>
      </c>
      <c r="S11204" t="s">
        <v>823</v>
      </c>
      <c r="T11204">
        <v>36</v>
      </c>
      <c r="U11204" s="26" t="str">
        <f>HYPERLINK("https://ictv.global/ictv/proposals/2020.095B.R.Leviviricetes.zip","2020.095B.R.Leviviricetes.zip")</f>
        <v>2020.095B.R.Leviviricetes.zip</v>
      </c>
    </row>
    <row r="11205" spans="1:21">
      <c r="A11205">
        <v>11204</v>
      </c>
      <c r="B11205" s="27" t="s">
        <v>1124</v>
      </c>
      <c r="D11205" s="27" t="s">
        <v>1859</v>
      </c>
      <c r="F11205" s="27" t="s">
        <v>1881</v>
      </c>
      <c r="H11205" s="27" t="s">
        <v>2679</v>
      </c>
      <c r="J11205" s="27" t="s">
        <v>2680</v>
      </c>
      <c r="L11205" s="27" t="s">
        <v>2810</v>
      </c>
      <c r="N11205" s="27" t="s">
        <v>3038</v>
      </c>
      <c r="P11205" s="27" t="s">
        <v>15037</v>
      </c>
      <c r="Q11205" s="26" t="str">
        <f>HYPERLINK("https://ictv.global/taxonomy/taxondetails?taxnode_id=202516552&amp;ictv_id=ICTV202316552","ICTV202316552")</f>
        <v>ICTV202316552</v>
      </c>
      <c r="R11205" t="s">
        <v>581</v>
      </c>
      <c r="S11205" t="s">
        <v>823</v>
      </c>
      <c r="T11205">
        <v>39</v>
      </c>
      <c r="U11205" s="26" t="str">
        <f t="shared" ref="U11205:U11212" si="410">HYPERLINK("https://ictv.global/ictv/proposals/2023.001B.Leviviricetes_reorg.zip","2023.001B.Leviviricetes_reorg.zip")</f>
        <v>2023.001B.Leviviricetes_reorg.zip</v>
      </c>
    </row>
    <row r="11206" spans="1:21">
      <c r="A11206">
        <v>11205</v>
      </c>
      <c r="B11206" s="27" t="s">
        <v>1124</v>
      </c>
      <c r="D11206" s="27" t="s">
        <v>1859</v>
      </c>
      <c r="F11206" s="27" t="s">
        <v>1881</v>
      </c>
      <c r="H11206" s="27" t="s">
        <v>2679</v>
      </c>
      <c r="J11206" s="27" t="s">
        <v>2680</v>
      </c>
      <c r="L11206" s="27" t="s">
        <v>2810</v>
      </c>
      <c r="N11206" s="27" t="s">
        <v>3038</v>
      </c>
      <c r="P11206" s="27" t="s">
        <v>15038</v>
      </c>
      <c r="Q11206" s="26" t="str">
        <f>HYPERLINK("https://ictv.global/taxonomy/taxondetails?taxnode_id=202516553&amp;ictv_id=ICTV202316553","ICTV202316553")</f>
        <v>ICTV202316553</v>
      </c>
      <c r="R11206" t="s">
        <v>581</v>
      </c>
      <c r="S11206" t="s">
        <v>823</v>
      </c>
      <c r="T11206">
        <v>39</v>
      </c>
      <c r="U11206" s="26" t="str">
        <f t="shared" si="410"/>
        <v>2023.001B.Leviviricetes_reorg.zip</v>
      </c>
    </row>
    <row r="11207" spans="1:21">
      <c r="A11207">
        <v>11206</v>
      </c>
      <c r="B11207" s="27" t="s">
        <v>1124</v>
      </c>
      <c r="D11207" s="27" t="s">
        <v>1859</v>
      </c>
      <c r="F11207" s="27" t="s">
        <v>1881</v>
      </c>
      <c r="H11207" s="27" t="s">
        <v>2679</v>
      </c>
      <c r="J11207" s="27" t="s">
        <v>2680</v>
      </c>
      <c r="L11207" s="27" t="s">
        <v>2810</v>
      </c>
      <c r="N11207" s="27" t="s">
        <v>3038</v>
      </c>
      <c r="P11207" s="27" t="s">
        <v>15039</v>
      </c>
      <c r="Q11207" s="26" t="str">
        <f>HYPERLINK("https://ictv.global/taxonomy/taxondetails?taxnode_id=202516554&amp;ictv_id=ICTV202316554","ICTV202316554")</f>
        <v>ICTV202316554</v>
      </c>
      <c r="R11207" t="s">
        <v>581</v>
      </c>
      <c r="S11207" t="s">
        <v>823</v>
      </c>
      <c r="T11207">
        <v>39</v>
      </c>
      <c r="U11207" s="26" t="str">
        <f t="shared" si="410"/>
        <v>2023.001B.Leviviricetes_reorg.zip</v>
      </c>
    </row>
    <row r="11208" spans="1:21">
      <c r="A11208">
        <v>11207</v>
      </c>
      <c r="B11208" s="27" t="s">
        <v>1124</v>
      </c>
      <c r="D11208" s="27" t="s">
        <v>1859</v>
      </c>
      <c r="F11208" s="27" t="s">
        <v>1881</v>
      </c>
      <c r="H11208" s="27" t="s">
        <v>2679</v>
      </c>
      <c r="J11208" s="27" t="s">
        <v>2680</v>
      </c>
      <c r="L11208" s="27" t="s">
        <v>2810</v>
      </c>
      <c r="N11208" s="27" t="s">
        <v>3038</v>
      </c>
      <c r="P11208" s="27" t="s">
        <v>15040</v>
      </c>
      <c r="Q11208" s="26" t="str">
        <f>HYPERLINK("https://ictv.global/taxonomy/taxondetails?taxnode_id=202516555&amp;ictv_id=ICTV202316555","ICTV202316555")</f>
        <v>ICTV202316555</v>
      </c>
      <c r="R11208" t="s">
        <v>581</v>
      </c>
      <c r="S11208" t="s">
        <v>823</v>
      </c>
      <c r="T11208">
        <v>39</v>
      </c>
      <c r="U11208" s="26" t="str">
        <f t="shared" si="410"/>
        <v>2023.001B.Leviviricetes_reorg.zip</v>
      </c>
    </row>
    <row r="11209" spans="1:21">
      <c r="A11209">
        <v>11208</v>
      </c>
      <c r="B11209" s="27" t="s">
        <v>1124</v>
      </c>
      <c r="D11209" s="27" t="s">
        <v>1859</v>
      </c>
      <c r="F11209" s="27" t="s">
        <v>1881</v>
      </c>
      <c r="H11209" s="27" t="s">
        <v>2679</v>
      </c>
      <c r="J11209" s="27" t="s">
        <v>2680</v>
      </c>
      <c r="L11209" s="27" t="s">
        <v>2810</v>
      </c>
      <c r="N11209" s="27" t="s">
        <v>3038</v>
      </c>
      <c r="P11209" s="27" t="s">
        <v>15041</v>
      </c>
      <c r="Q11209" s="26" t="str">
        <f>HYPERLINK("https://ictv.global/taxonomy/taxondetails?taxnode_id=202516556&amp;ictv_id=ICTV202316556","ICTV202316556")</f>
        <v>ICTV202316556</v>
      </c>
      <c r="R11209" t="s">
        <v>581</v>
      </c>
      <c r="S11209" t="s">
        <v>823</v>
      </c>
      <c r="T11209">
        <v>39</v>
      </c>
      <c r="U11209" s="26" t="str">
        <f t="shared" si="410"/>
        <v>2023.001B.Leviviricetes_reorg.zip</v>
      </c>
    </row>
    <row r="11210" spans="1:21">
      <c r="A11210">
        <v>11209</v>
      </c>
      <c r="B11210" s="27" t="s">
        <v>1124</v>
      </c>
      <c r="D11210" s="27" t="s">
        <v>1859</v>
      </c>
      <c r="F11210" s="27" t="s">
        <v>1881</v>
      </c>
      <c r="H11210" s="27" t="s">
        <v>2679</v>
      </c>
      <c r="J11210" s="27" t="s">
        <v>2680</v>
      </c>
      <c r="L11210" s="27" t="s">
        <v>2810</v>
      </c>
      <c r="N11210" s="27" t="s">
        <v>3038</v>
      </c>
      <c r="P11210" s="27" t="s">
        <v>15042</v>
      </c>
      <c r="Q11210" s="26" t="str">
        <f>HYPERLINK("https://ictv.global/taxonomy/taxondetails?taxnode_id=202516557&amp;ictv_id=ICTV202316557","ICTV202316557")</f>
        <v>ICTV202316557</v>
      </c>
      <c r="R11210" t="s">
        <v>581</v>
      </c>
      <c r="S11210" t="s">
        <v>823</v>
      </c>
      <c r="T11210">
        <v>39</v>
      </c>
      <c r="U11210" s="26" t="str">
        <f t="shared" si="410"/>
        <v>2023.001B.Leviviricetes_reorg.zip</v>
      </c>
    </row>
    <row r="11211" spans="1:21">
      <c r="A11211">
        <v>11210</v>
      </c>
      <c r="B11211" s="27" t="s">
        <v>1124</v>
      </c>
      <c r="D11211" s="27" t="s">
        <v>1859</v>
      </c>
      <c r="F11211" s="27" t="s">
        <v>1881</v>
      </c>
      <c r="H11211" s="27" t="s">
        <v>2679</v>
      </c>
      <c r="J11211" s="27" t="s">
        <v>2680</v>
      </c>
      <c r="L11211" s="27" t="s">
        <v>2810</v>
      </c>
      <c r="N11211" s="27" t="s">
        <v>3038</v>
      </c>
      <c r="P11211" s="27" t="s">
        <v>15043</v>
      </c>
      <c r="Q11211" s="26" t="str">
        <f>HYPERLINK("https://ictv.global/taxonomy/taxondetails?taxnode_id=202510508&amp;ictv_id=ICTV202010508","ICTV202010508")</f>
        <v>ICTV202010508</v>
      </c>
      <c r="R11211" t="s">
        <v>581</v>
      </c>
      <c r="S11211" t="s">
        <v>22764</v>
      </c>
      <c r="T11211">
        <v>39</v>
      </c>
      <c r="U11211" s="26" t="str">
        <f t="shared" si="410"/>
        <v>2023.001B.Leviviricetes_reorg.zip</v>
      </c>
    </row>
    <row r="11212" spans="1:21">
      <c r="A11212">
        <v>11211</v>
      </c>
      <c r="B11212" s="27" t="s">
        <v>1124</v>
      </c>
      <c r="D11212" s="27" t="s">
        <v>1859</v>
      </c>
      <c r="F11212" s="27" t="s">
        <v>1881</v>
      </c>
      <c r="H11212" s="27" t="s">
        <v>2679</v>
      </c>
      <c r="J11212" s="27" t="s">
        <v>2680</v>
      </c>
      <c r="L11212" s="27" t="s">
        <v>2810</v>
      </c>
      <c r="N11212" s="27" t="s">
        <v>3038</v>
      </c>
      <c r="P11212" s="27" t="s">
        <v>15044</v>
      </c>
      <c r="Q11212" s="26" t="str">
        <f>HYPERLINK("https://ictv.global/taxonomy/taxondetails?taxnode_id=202510507&amp;ictv_id=ICTV202010507","ICTV202010507")</f>
        <v>ICTV202010507</v>
      </c>
      <c r="R11212" t="s">
        <v>581</v>
      </c>
      <c r="S11212" t="s">
        <v>22764</v>
      </c>
      <c r="T11212">
        <v>39</v>
      </c>
      <c r="U11212" s="26" t="str">
        <f t="shared" si="410"/>
        <v>2023.001B.Leviviricetes_reorg.zip</v>
      </c>
    </row>
    <row r="11213" spans="1:21">
      <c r="A11213">
        <v>11212</v>
      </c>
      <c r="B11213" s="27" t="s">
        <v>1124</v>
      </c>
      <c r="D11213" s="27" t="s">
        <v>1859</v>
      </c>
      <c r="F11213" s="27" t="s">
        <v>1881</v>
      </c>
      <c r="H11213" s="27" t="s">
        <v>2679</v>
      </c>
      <c r="J11213" s="27" t="s">
        <v>2680</v>
      </c>
      <c r="L11213" s="27" t="s">
        <v>2810</v>
      </c>
      <c r="N11213" s="27" t="s">
        <v>3038</v>
      </c>
      <c r="P11213" s="27" t="s">
        <v>3040</v>
      </c>
      <c r="Q11213" s="26" t="str">
        <f>HYPERLINK("https://ictv.global/taxonomy/taxondetails?taxnode_id=202510528&amp;ictv_id=ICTV202010528","ICTV202010528")</f>
        <v>ICTV202010528</v>
      </c>
      <c r="R11213" t="s">
        <v>581</v>
      </c>
      <c r="S11213" t="s">
        <v>823</v>
      </c>
      <c r="T11213">
        <v>36</v>
      </c>
      <c r="U11213" s="26" t="str">
        <f>HYPERLINK("https://ictv.global/ictv/proposals/2020.095B.R.Leviviricetes.zip","2020.095B.R.Leviviricetes.zip")</f>
        <v>2020.095B.R.Leviviricetes.zip</v>
      </c>
    </row>
    <row r="11214" spans="1:21">
      <c r="A11214">
        <v>11213</v>
      </c>
      <c r="B11214" s="27" t="s">
        <v>1124</v>
      </c>
      <c r="D11214" s="27" t="s">
        <v>1859</v>
      </c>
      <c r="F11214" s="27" t="s">
        <v>1881</v>
      </c>
      <c r="H11214" s="27" t="s">
        <v>2679</v>
      </c>
      <c r="J11214" s="27" t="s">
        <v>2680</v>
      </c>
      <c r="L11214" s="27" t="s">
        <v>2810</v>
      </c>
      <c r="N11214" s="27" t="s">
        <v>3038</v>
      </c>
      <c r="P11214" s="27" t="s">
        <v>3041</v>
      </c>
      <c r="Q11214" s="26" t="str">
        <f>HYPERLINK("https://ictv.global/taxonomy/taxondetails?taxnode_id=202510527&amp;ictv_id=ICTV202010527","ICTV202010527")</f>
        <v>ICTV202010527</v>
      </c>
      <c r="R11214" t="s">
        <v>581</v>
      </c>
      <c r="S11214" t="s">
        <v>823</v>
      </c>
      <c r="T11214">
        <v>36</v>
      </c>
      <c r="U11214" s="26" t="str">
        <f>HYPERLINK("https://ictv.global/ictv/proposals/2020.095B.R.Leviviricetes.zip","2020.095B.R.Leviviricetes.zip")</f>
        <v>2020.095B.R.Leviviricetes.zip</v>
      </c>
    </row>
    <row r="11215" spans="1:21">
      <c r="A11215">
        <v>11214</v>
      </c>
      <c r="B11215" s="27" t="s">
        <v>1124</v>
      </c>
      <c r="D11215" s="27" t="s">
        <v>1859</v>
      </c>
      <c r="F11215" s="27" t="s">
        <v>1881</v>
      </c>
      <c r="H11215" s="27" t="s">
        <v>2679</v>
      </c>
      <c r="J11215" s="27" t="s">
        <v>2680</v>
      </c>
      <c r="L11215" s="27" t="s">
        <v>2810</v>
      </c>
      <c r="N11215" s="27" t="s">
        <v>3038</v>
      </c>
      <c r="P11215" s="27" t="s">
        <v>3042</v>
      </c>
      <c r="Q11215" s="26" t="str">
        <f>HYPERLINK("https://ictv.global/taxonomy/taxondetails?taxnode_id=202510529&amp;ictv_id=ICTV202010529","ICTV202010529")</f>
        <v>ICTV202010529</v>
      </c>
      <c r="R11215" t="s">
        <v>581</v>
      </c>
      <c r="S11215" t="s">
        <v>823</v>
      </c>
      <c r="T11215">
        <v>36</v>
      </c>
      <c r="U11215" s="26" t="str">
        <f>HYPERLINK("https://ictv.global/ictv/proposals/2020.095B.R.Leviviricetes.zip","2020.095B.R.Leviviricetes.zip")</f>
        <v>2020.095B.R.Leviviricetes.zip</v>
      </c>
    </row>
    <row r="11216" spans="1:21">
      <c r="A11216">
        <v>11215</v>
      </c>
      <c r="B11216" s="27" t="s">
        <v>1124</v>
      </c>
      <c r="D11216" s="27" t="s">
        <v>1859</v>
      </c>
      <c r="F11216" s="27" t="s">
        <v>1881</v>
      </c>
      <c r="H11216" s="27" t="s">
        <v>2679</v>
      </c>
      <c r="J11216" s="27" t="s">
        <v>2680</v>
      </c>
      <c r="L11216" s="27" t="s">
        <v>2810</v>
      </c>
      <c r="N11216" s="27" t="s">
        <v>3038</v>
      </c>
      <c r="P11216" s="27" t="s">
        <v>3043</v>
      </c>
      <c r="Q11216" s="26" t="str">
        <f>HYPERLINK("https://ictv.global/taxonomy/taxondetails?taxnode_id=202510530&amp;ictv_id=ICTV202010530","ICTV202010530")</f>
        <v>ICTV202010530</v>
      </c>
      <c r="R11216" t="s">
        <v>581</v>
      </c>
      <c r="S11216" t="s">
        <v>823</v>
      </c>
      <c r="T11216">
        <v>36</v>
      </c>
      <c r="U11216" s="26" t="str">
        <f>HYPERLINK("https://ictv.global/ictv/proposals/2020.095B.R.Leviviricetes.zip","2020.095B.R.Leviviricetes.zip")</f>
        <v>2020.095B.R.Leviviricetes.zip</v>
      </c>
    </row>
    <row r="11217" spans="1:21">
      <c r="A11217">
        <v>11216</v>
      </c>
      <c r="B11217" s="27" t="s">
        <v>1124</v>
      </c>
      <c r="D11217" s="27" t="s">
        <v>1859</v>
      </c>
      <c r="F11217" s="27" t="s">
        <v>1881</v>
      </c>
      <c r="H11217" s="27" t="s">
        <v>2679</v>
      </c>
      <c r="J11217" s="27" t="s">
        <v>2680</v>
      </c>
      <c r="L11217" s="27" t="s">
        <v>2810</v>
      </c>
      <c r="N11217" s="27" t="s">
        <v>3038</v>
      </c>
      <c r="P11217" s="27" t="s">
        <v>3044</v>
      </c>
      <c r="Q11217" s="26" t="str">
        <f>HYPERLINK("https://ictv.global/taxonomy/taxondetails?taxnode_id=202510526&amp;ictv_id=ICTV202010526","ICTV202010526")</f>
        <v>ICTV202010526</v>
      </c>
      <c r="R11217" t="s">
        <v>581</v>
      </c>
      <c r="S11217" t="s">
        <v>823</v>
      </c>
      <c r="T11217">
        <v>36</v>
      </c>
      <c r="U11217" s="26" t="str">
        <f>HYPERLINK("https://ictv.global/ictv/proposals/2020.095B.R.Leviviricetes.zip","2020.095B.R.Leviviricetes.zip")</f>
        <v>2020.095B.R.Leviviricetes.zip</v>
      </c>
    </row>
    <row r="11218" spans="1:21">
      <c r="A11218">
        <v>11217</v>
      </c>
      <c r="B11218" s="27" t="s">
        <v>1124</v>
      </c>
      <c r="D11218" s="27" t="s">
        <v>1859</v>
      </c>
      <c r="F11218" s="27" t="s">
        <v>1881</v>
      </c>
      <c r="H11218" s="27" t="s">
        <v>2679</v>
      </c>
      <c r="J11218" s="27" t="s">
        <v>2680</v>
      </c>
      <c r="L11218" s="27" t="s">
        <v>2810</v>
      </c>
      <c r="N11218" s="27" t="s">
        <v>15045</v>
      </c>
      <c r="P11218" s="27" t="s">
        <v>15046</v>
      </c>
      <c r="Q11218" s="26" t="str">
        <f>HYPERLINK("https://ictv.global/taxonomy/taxondetails?taxnode_id=202516558&amp;ictv_id=ICTV202316558","ICTV202316558")</f>
        <v>ICTV202316558</v>
      </c>
      <c r="R11218" t="s">
        <v>581</v>
      </c>
      <c r="S11218" t="s">
        <v>823</v>
      </c>
      <c r="T11218">
        <v>39</v>
      </c>
      <c r="U11218" s="26" t="str">
        <f>HYPERLINK("https://ictv.global/ictv/proposals/2023.001B.Leviviricetes_reorg.zip","2023.001B.Leviviricetes_reorg.zip")</f>
        <v>2023.001B.Leviviricetes_reorg.zip</v>
      </c>
    </row>
    <row r="11219" spans="1:21">
      <c r="A11219">
        <v>11218</v>
      </c>
      <c r="B11219" s="27" t="s">
        <v>1124</v>
      </c>
      <c r="D11219" s="27" t="s">
        <v>1859</v>
      </c>
      <c r="F11219" s="27" t="s">
        <v>1881</v>
      </c>
      <c r="H11219" s="27" t="s">
        <v>2679</v>
      </c>
      <c r="J11219" s="27" t="s">
        <v>2680</v>
      </c>
      <c r="L11219" s="27" t="s">
        <v>2810</v>
      </c>
      <c r="N11219" s="27" t="s">
        <v>15047</v>
      </c>
      <c r="P11219" s="27" t="s">
        <v>15048</v>
      </c>
      <c r="Q11219" s="26" t="str">
        <f>HYPERLINK("https://ictv.global/taxonomy/taxondetails?taxnode_id=202516559&amp;ictv_id=ICTV202316559","ICTV202316559")</f>
        <v>ICTV202316559</v>
      </c>
      <c r="R11219" t="s">
        <v>581</v>
      </c>
      <c r="S11219" t="s">
        <v>823</v>
      </c>
      <c r="T11219">
        <v>39</v>
      </c>
      <c r="U11219" s="26" t="str">
        <f>HYPERLINK("https://ictv.global/ictv/proposals/2023.001B.Leviviricetes_reorg.zip","2023.001B.Leviviricetes_reorg.zip")</f>
        <v>2023.001B.Leviviricetes_reorg.zip</v>
      </c>
    </row>
    <row r="11220" spans="1:21">
      <c r="A11220">
        <v>11219</v>
      </c>
      <c r="B11220" s="27" t="s">
        <v>1124</v>
      </c>
      <c r="D11220" s="27" t="s">
        <v>1859</v>
      </c>
      <c r="F11220" s="27" t="s">
        <v>1881</v>
      </c>
      <c r="H11220" s="27" t="s">
        <v>2679</v>
      </c>
      <c r="J11220" s="27" t="s">
        <v>2680</v>
      </c>
      <c r="L11220" s="27" t="s">
        <v>2810</v>
      </c>
      <c r="N11220" s="27" t="s">
        <v>3045</v>
      </c>
      <c r="P11220" s="27" t="s">
        <v>3046</v>
      </c>
      <c r="Q11220" s="26" t="str">
        <f>HYPERLINK("https://ictv.global/taxonomy/taxondetails?taxnode_id=202510533&amp;ictv_id=ICTV202010533","ICTV202010533")</f>
        <v>ICTV202010533</v>
      </c>
      <c r="R11220" t="s">
        <v>581</v>
      </c>
      <c r="S11220" t="s">
        <v>823</v>
      </c>
      <c r="T11220">
        <v>36</v>
      </c>
      <c r="U11220" s="26" t="str">
        <f>HYPERLINK("https://ictv.global/ictv/proposals/2020.095B.R.Leviviricetes.zip","2020.095B.R.Leviviricetes.zip")</f>
        <v>2020.095B.R.Leviviricetes.zip</v>
      </c>
    </row>
    <row r="11221" spans="1:21">
      <c r="A11221">
        <v>11220</v>
      </c>
      <c r="B11221" s="27" t="s">
        <v>1124</v>
      </c>
      <c r="D11221" s="27" t="s">
        <v>1859</v>
      </c>
      <c r="F11221" s="27" t="s">
        <v>1881</v>
      </c>
      <c r="H11221" s="27" t="s">
        <v>2679</v>
      </c>
      <c r="J11221" s="27" t="s">
        <v>2680</v>
      </c>
      <c r="L11221" s="27" t="s">
        <v>2810</v>
      </c>
      <c r="N11221" s="27" t="s">
        <v>3047</v>
      </c>
      <c r="P11221" s="27" t="s">
        <v>3048</v>
      </c>
      <c r="Q11221" s="26" t="str">
        <f>HYPERLINK("https://ictv.global/taxonomy/taxondetails?taxnode_id=202510535&amp;ictv_id=ICTV202010535","ICTV202010535")</f>
        <v>ICTV202010535</v>
      </c>
      <c r="R11221" t="s">
        <v>581</v>
      </c>
      <c r="S11221" t="s">
        <v>823</v>
      </c>
      <c r="T11221">
        <v>36</v>
      </c>
      <c r="U11221" s="26" t="str">
        <f>HYPERLINK("https://ictv.global/ictv/proposals/2020.095B.R.Leviviricetes.zip","2020.095B.R.Leviviricetes.zip")</f>
        <v>2020.095B.R.Leviviricetes.zip</v>
      </c>
    </row>
    <row r="11222" spans="1:21">
      <c r="A11222">
        <v>11221</v>
      </c>
      <c r="B11222" s="27" t="s">
        <v>1124</v>
      </c>
      <c r="D11222" s="27" t="s">
        <v>1859</v>
      </c>
      <c r="F11222" s="27" t="s">
        <v>1881</v>
      </c>
      <c r="H11222" s="27" t="s">
        <v>2679</v>
      </c>
      <c r="J11222" s="27" t="s">
        <v>2680</v>
      </c>
      <c r="L11222" s="27" t="s">
        <v>2810</v>
      </c>
      <c r="N11222" s="27" t="s">
        <v>15049</v>
      </c>
      <c r="P11222" s="27" t="s">
        <v>15050</v>
      </c>
      <c r="Q11222" s="26" t="str">
        <f>HYPERLINK("https://ictv.global/taxonomy/taxondetails?taxnode_id=202516560&amp;ictv_id=ICTV202316560","ICTV202316560")</f>
        <v>ICTV202316560</v>
      </c>
      <c r="R11222" t="s">
        <v>581</v>
      </c>
      <c r="S11222" t="s">
        <v>823</v>
      </c>
      <c r="T11222">
        <v>39</v>
      </c>
      <c r="U11222" s="26" t="str">
        <f>HYPERLINK("https://ictv.global/ictv/proposals/2023.001B.Leviviricetes_reorg.zip","2023.001B.Leviviricetes_reorg.zip")</f>
        <v>2023.001B.Leviviricetes_reorg.zip</v>
      </c>
    </row>
    <row r="11223" spans="1:21">
      <c r="A11223">
        <v>11222</v>
      </c>
      <c r="B11223" s="27" t="s">
        <v>1124</v>
      </c>
      <c r="D11223" s="27" t="s">
        <v>1859</v>
      </c>
      <c r="F11223" s="27" t="s">
        <v>1881</v>
      </c>
      <c r="H11223" s="27" t="s">
        <v>2679</v>
      </c>
      <c r="J11223" s="27" t="s">
        <v>2680</v>
      </c>
      <c r="L11223" s="27" t="s">
        <v>2810</v>
      </c>
      <c r="N11223" s="27" t="s">
        <v>3049</v>
      </c>
      <c r="P11223" s="27" t="s">
        <v>3050</v>
      </c>
      <c r="Q11223" s="26" t="str">
        <f>HYPERLINK("https://ictv.global/taxonomy/taxondetails?taxnode_id=202510538&amp;ictv_id=ICTV202010538","ICTV202010538")</f>
        <v>ICTV202010538</v>
      </c>
      <c r="R11223" t="s">
        <v>581</v>
      </c>
      <c r="S11223" t="s">
        <v>823</v>
      </c>
      <c r="T11223">
        <v>36</v>
      </c>
      <c r="U11223" s="26" t="str">
        <f>HYPERLINK("https://ictv.global/ictv/proposals/2020.095B.R.Leviviricetes.zip","2020.095B.R.Leviviricetes.zip")</f>
        <v>2020.095B.R.Leviviricetes.zip</v>
      </c>
    </row>
    <row r="11224" spans="1:21">
      <c r="A11224">
        <v>11223</v>
      </c>
      <c r="B11224" s="27" t="s">
        <v>1124</v>
      </c>
      <c r="D11224" s="27" t="s">
        <v>1859</v>
      </c>
      <c r="F11224" s="27" t="s">
        <v>1881</v>
      </c>
      <c r="H11224" s="27" t="s">
        <v>2679</v>
      </c>
      <c r="J11224" s="27" t="s">
        <v>2680</v>
      </c>
      <c r="L11224" s="27" t="s">
        <v>2810</v>
      </c>
      <c r="N11224" s="27" t="s">
        <v>3049</v>
      </c>
      <c r="P11224" s="27" t="s">
        <v>3051</v>
      </c>
      <c r="Q11224" s="26" t="str">
        <f>HYPERLINK("https://ictv.global/taxonomy/taxondetails?taxnode_id=202510537&amp;ictv_id=ICTV202010537","ICTV202010537")</f>
        <v>ICTV202010537</v>
      </c>
      <c r="R11224" t="s">
        <v>581</v>
      </c>
      <c r="S11224" t="s">
        <v>823</v>
      </c>
      <c r="T11224">
        <v>36</v>
      </c>
      <c r="U11224" s="26" t="str">
        <f>HYPERLINK("https://ictv.global/ictv/proposals/2020.095B.R.Leviviricetes.zip","2020.095B.R.Leviviricetes.zip")</f>
        <v>2020.095B.R.Leviviricetes.zip</v>
      </c>
    </row>
    <row r="11225" spans="1:21">
      <c r="A11225">
        <v>11224</v>
      </c>
      <c r="B11225" s="27" t="s">
        <v>1124</v>
      </c>
      <c r="D11225" s="27" t="s">
        <v>1859</v>
      </c>
      <c r="F11225" s="27" t="s">
        <v>1881</v>
      </c>
      <c r="H11225" s="27" t="s">
        <v>2679</v>
      </c>
      <c r="J11225" s="27" t="s">
        <v>2680</v>
      </c>
      <c r="L11225" s="27" t="s">
        <v>2810</v>
      </c>
      <c r="N11225" s="27" t="s">
        <v>3052</v>
      </c>
      <c r="P11225" s="27" t="s">
        <v>3053</v>
      </c>
      <c r="Q11225" s="26" t="str">
        <f>HYPERLINK("https://ictv.global/taxonomy/taxondetails?taxnode_id=202510540&amp;ictv_id=ICTV202010540","ICTV202010540")</f>
        <v>ICTV202010540</v>
      </c>
      <c r="R11225" t="s">
        <v>581</v>
      </c>
      <c r="S11225" t="s">
        <v>823</v>
      </c>
      <c r="T11225">
        <v>36</v>
      </c>
      <c r="U11225" s="26" t="str">
        <f>HYPERLINK("https://ictv.global/ictv/proposals/2020.095B.R.Leviviricetes.zip","2020.095B.R.Leviviricetes.zip")</f>
        <v>2020.095B.R.Leviviricetes.zip</v>
      </c>
    </row>
    <row r="11226" spans="1:21">
      <c r="A11226">
        <v>11225</v>
      </c>
      <c r="B11226" s="27" t="s">
        <v>1124</v>
      </c>
      <c r="D11226" s="27" t="s">
        <v>1859</v>
      </c>
      <c r="F11226" s="27" t="s">
        <v>1881</v>
      </c>
      <c r="H11226" s="27" t="s">
        <v>2679</v>
      </c>
      <c r="J11226" s="27" t="s">
        <v>2680</v>
      </c>
      <c r="L11226" s="27" t="s">
        <v>2810</v>
      </c>
      <c r="N11226" s="27" t="s">
        <v>3054</v>
      </c>
      <c r="P11226" s="27" t="s">
        <v>15051</v>
      </c>
      <c r="Q11226" s="26" t="str">
        <f>HYPERLINK("https://ictv.global/taxonomy/taxondetails?taxnode_id=202516561&amp;ictv_id=ICTV202316561","ICTV202316561")</f>
        <v>ICTV202316561</v>
      </c>
      <c r="R11226" t="s">
        <v>581</v>
      </c>
      <c r="S11226" t="s">
        <v>823</v>
      </c>
      <c r="T11226">
        <v>39</v>
      </c>
      <c r="U11226" s="26" t="str">
        <f>HYPERLINK("https://ictv.global/ictv/proposals/2023.001B.Leviviricetes_reorg.zip","2023.001B.Leviviricetes_reorg.zip")</f>
        <v>2023.001B.Leviviricetes_reorg.zip</v>
      </c>
    </row>
    <row r="11227" spans="1:21">
      <c r="A11227">
        <v>11226</v>
      </c>
      <c r="B11227" s="27" t="s">
        <v>1124</v>
      </c>
      <c r="D11227" s="27" t="s">
        <v>1859</v>
      </c>
      <c r="F11227" s="27" t="s">
        <v>1881</v>
      </c>
      <c r="H11227" s="27" t="s">
        <v>2679</v>
      </c>
      <c r="J11227" s="27" t="s">
        <v>2680</v>
      </c>
      <c r="L11227" s="27" t="s">
        <v>2810</v>
      </c>
      <c r="N11227" s="27" t="s">
        <v>3054</v>
      </c>
      <c r="P11227" s="27" t="s">
        <v>15052</v>
      </c>
      <c r="Q11227" s="26" t="str">
        <f>HYPERLINK("https://ictv.global/taxonomy/taxondetails?taxnode_id=202516562&amp;ictv_id=ICTV202316562","ICTV202316562")</f>
        <v>ICTV202316562</v>
      </c>
      <c r="R11227" t="s">
        <v>581</v>
      </c>
      <c r="S11227" t="s">
        <v>823</v>
      </c>
      <c r="T11227">
        <v>39</v>
      </c>
      <c r="U11227" s="26" t="str">
        <f>HYPERLINK("https://ictv.global/ictv/proposals/2023.001B.Leviviricetes_reorg.zip","2023.001B.Leviviricetes_reorg.zip")</f>
        <v>2023.001B.Leviviricetes_reorg.zip</v>
      </c>
    </row>
    <row r="11228" spans="1:21">
      <c r="A11228">
        <v>11227</v>
      </c>
      <c r="B11228" s="27" t="s">
        <v>1124</v>
      </c>
      <c r="D11228" s="27" t="s">
        <v>1859</v>
      </c>
      <c r="F11228" s="27" t="s">
        <v>1881</v>
      </c>
      <c r="H11228" s="27" t="s">
        <v>2679</v>
      </c>
      <c r="J11228" s="27" t="s">
        <v>2680</v>
      </c>
      <c r="L11228" s="27" t="s">
        <v>2810</v>
      </c>
      <c r="N11228" s="27" t="s">
        <v>3054</v>
      </c>
      <c r="P11228" s="27" t="s">
        <v>15053</v>
      </c>
      <c r="Q11228" s="26" t="str">
        <f>HYPERLINK("https://ictv.global/taxonomy/taxondetails?taxnode_id=202516563&amp;ictv_id=ICTV202316563","ICTV202316563")</f>
        <v>ICTV202316563</v>
      </c>
      <c r="R11228" t="s">
        <v>581</v>
      </c>
      <c r="S11228" t="s">
        <v>823</v>
      </c>
      <c r="T11228">
        <v>39</v>
      </c>
      <c r="U11228" s="26" t="str">
        <f>HYPERLINK("https://ictv.global/ictv/proposals/2023.001B.Leviviricetes_reorg.zip","2023.001B.Leviviricetes_reorg.zip")</f>
        <v>2023.001B.Leviviricetes_reorg.zip</v>
      </c>
    </row>
    <row r="11229" spans="1:21">
      <c r="A11229">
        <v>11228</v>
      </c>
      <c r="B11229" s="27" t="s">
        <v>1124</v>
      </c>
      <c r="D11229" s="27" t="s">
        <v>1859</v>
      </c>
      <c r="F11229" s="27" t="s">
        <v>1881</v>
      </c>
      <c r="H11229" s="27" t="s">
        <v>2679</v>
      </c>
      <c r="J11229" s="27" t="s">
        <v>2680</v>
      </c>
      <c r="L11229" s="27" t="s">
        <v>2810</v>
      </c>
      <c r="N11229" s="27" t="s">
        <v>3054</v>
      </c>
      <c r="P11229" s="27" t="s">
        <v>15054</v>
      </c>
      <c r="Q11229" s="26" t="str">
        <f>HYPERLINK("https://ictv.global/taxonomy/taxondetails?taxnode_id=202516564&amp;ictv_id=ICTV202316564","ICTV202316564")</f>
        <v>ICTV202316564</v>
      </c>
      <c r="R11229" t="s">
        <v>581</v>
      </c>
      <c r="S11229" t="s">
        <v>823</v>
      </c>
      <c r="T11229">
        <v>39</v>
      </c>
      <c r="U11229" s="26" t="str">
        <f>HYPERLINK("https://ictv.global/ictv/proposals/2023.001B.Leviviricetes_reorg.zip","2023.001B.Leviviricetes_reorg.zip")</f>
        <v>2023.001B.Leviviricetes_reorg.zip</v>
      </c>
    </row>
    <row r="11230" spans="1:21">
      <c r="A11230">
        <v>11229</v>
      </c>
      <c r="B11230" s="27" t="s">
        <v>1124</v>
      </c>
      <c r="D11230" s="27" t="s">
        <v>1859</v>
      </c>
      <c r="F11230" s="27" t="s">
        <v>1881</v>
      </c>
      <c r="H11230" s="27" t="s">
        <v>2679</v>
      </c>
      <c r="J11230" s="27" t="s">
        <v>2680</v>
      </c>
      <c r="L11230" s="27" t="s">
        <v>2810</v>
      </c>
      <c r="N11230" s="27" t="s">
        <v>3054</v>
      </c>
      <c r="P11230" s="27" t="s">
        <v>15055</v>
      </c>
      <c r="Q11230" s="26" t="str">
        <f>HYPERLINK("https://ictv.global/taxonomy/taxondetails?taxnode_id=202516565&amp;ictv_id=ICTV202316565","ICTV202316565")</f>
        <v>ICTV202316565</v>
      </c>
      <c r="R11230" t="s">
        <v>581</v>
      </c>
      <c r="S11230" t="s">
        <v>823</v>
      </c>
      <c r="T11230">
        <v>39</v>
      </c>
      <c r="U11230" s="26" t="str">
        <f>HYPERLINK("https://ictv.global/ictv/proposals/2023.001B.Leviviricetes_reorg.zip","2023.001B.Leviviricetes_reorg.zip")</f>
        <v>2023.001B.Leviviricetes_reorg.zip</v>
      </c>
    </row>
    <row r="11231" spans="1:21">
      <c r="A11231">
        <v>11230</v>
      </c>
      <c r="B11231" s="27" t="s">
        <v>1124</v>
      </c>
      <c r="D11231" s="27" t="s">
        <v>1859</v>
      </c>
      <c r="F11231" s="27" t="s">
        <v>1881</v>
      </c>
      <c r="H11231" s="27" t="s">
        <v>2679</v>
      </c>
      <c r="J11231" s="27" t="s">
        <v>2680</v>
      </c>
      <c r="L11231" s="27" t="s">
        <v>2810</v>
      </c>
      <c r="N11231" s="27" t="s">
        <v>3054</v>
      </c>
      <c r="P11231" s="27" t="s">
        <v>22495</v>
      </c>
      <c r="Q11231" s="26" t="str">
        <f>HYPERLINK("https://ictv.global/taxonomy/taxondetails?taxnode_id=202523119&amp;ictv_id=ICTV202523119","ICTV202523119")</f>
        <v>ICTV202523119</v>
      </c>
      <c r="R11231" t="s">
        <v>581</v>
      </c>
      <c r="S11231" t="s">
        <v>823</v>
      </c>
      <c r="T11231">
        <v>41</v>
      </c>
      <c r="U11231" s="26" t="str">
        <f>HYPERLINK("https://ictv.global/ictv/proposals/2025.060B.Pepevirus_1ns.zip","2025.060B.Pepevirus_1ns.zip")</f>
        <v>2025.060B.Pepevirus_1ns.zip</v>
      </c>
    </row>
    <row r="11232" spans="1:21">
      <c r="A11232">
        <v>11231</v>
      </c>
      <c r="B11232" s="27" t="s">
        <v>1124</v>
      </c>
      <c r="D11232" s="27" t="s">
        <v>1859</v>
      </c>
      <c r="F11232" s="27" t="s">
        <v>1881</v>
      </c>
      <c r="H11232" s="27" t="s">
        <v>2679</v>
      </c>
      <c r="J11232" s="27" t="s">
        <v>2680</v>
      </c>
      <c r="L11232" s="27" t="s">
        <v>2810</v>
      </c>
      <c r="N11232" s="27" t="s">
        <v>3054</v>
      </c>
      <c r="P11232" s="27" t="s">
        <v>3055</v>
      </c>
      <c r="Q11232" s="26" t="str">
        <f>HYPERLINK("https://ictv.global/taxonomy/taxondetails?taxnode_id=202510542&amp;ictv_id=ICTV202010542","ICTV202010542")</f>
        <v>ICTV202010542</v>
      </c>
      <c r="R11232" t="s">
        <v>581</v>
      </c>
      <c r="S11232" t="s">
        <v>823</v>
      </c>
      <c r="T11232">
        <v>36</v>
      </c>
      <c r="U11232" s="26" t="str">
        <f>HYPERLINK("https://ictv.global/ictv/proposals/2020.095B.R.Leviviricetes.zip","2020.095B.R.Leviviricetes.zip")</f>
        <v>2020.095B.R.Leviviricetes.zip</v>
      </c>
    </row>
    <row r="11233" spans="1:21">
      <c r="A11233">
        <v>11232</v>
      </c>
      <c r="B11233" s="27" t="s">
        <v>1124</v>
      </c>
      <c r="D11233" s="27" t="s">
        <v>1859</v>
      </c>
      <c r="F11233" s="27" t="s">
        <v>1881</v>
      </c>
      <c r="H11233" s="27" t="s">
        <v>2679</v>
      </c>
      <c r="J11233" s="27" t="s">
        <v>2680</v>
      </c>
      <c r="L11233" s="27" t="s">
        <v>2810</v>
      </c>
      <c r="N11233" s="27" t="s">
        <v>3056</v>
      </c>
      <c r="P11233" s="27" t="s">
        <v>15056</v>
      </c>
      <c r="Q11233" s="26" t="str">
        <f>HYPERLINK("https://ictv.global/taxonomy/taxondetails?taxnode_id=202516566&amp;ictv_id=ICTV202316566","ICTV202316566")</f>
        <v>ICTV202316566</v>
      </c>
      <c r="R11233" t="s">
        <v>581</v>
      </c>
      <c r="S11233" t="s">
        <v>823</v>
      </c>
      <c r="T11233">
        <v>39</v>
      </c>
      <c r="U11233" s="26" t="str">
        <f>HYPERLINK("https://ictv.global/ictv/proposals/2023.001B.Leviviricetes_reorg.zip","2023.001B.Leviviricetes_reorg.zip")</f>
        <v>2023.001B.Leviviricetes_reorg.zip</v>
      </c>
    </row>
    <row r="11234" spans="1:21">
      <c r="A11234">
        <v>11233</v>
      </c>
      <c r="B11234" s="27" t="s">
        <v>1124</v>
      </c>
      <c r="D11234" s="27" t="s">
        <v>1859</v>
      </c>
      <c r="F11234" s="27" t="s">
        <v>1881</v>
      </c>
      <c r="H11234" s="27" t="s">
        <v>2679</v>
      </c>
      <c r="J11234" s="27" t="s">
        <v>2680</v>
      </c>
      <c r="L11234" s="27" t="s">
        <v>2810</v>
      </c>
      <c r="N11234" s="27" t="s">
        <v>3056</v>
      </c>
      <c r="P11234" s="27" t="s">
        <v>15057</v>
      </c>
      <c r="Q11234" s="26" t="str">
        <f>HYPERLINK("https://ictv.global/taxonomy/taxondetails?taxnode_id=202516567&amp;ictv_id=ICTV202316567","ICTV202316567")</f>
        <v>ICTV202316567</v>
      </c>
      <c r="R11234" t="s">
        <v>581</v>
      </c>
      <c r="S11234" t="s">
        <v>823</v>
      </c>
      <c r="T11234">
        <v>39</v>
      </c>
      <c r="U11234" s="26" t="str">
        <f>HYPERLINK("https://ictv.global/ictv/proposals/2023.001B.Leviviricetes_reorg.zip","2023.001B.Leviviricetes_reorg.zip")</f>
        <v>2023.001B.Leviviricetes_reorg.zip</v>
      </c>
    </row>
    <row r="11235" spans="1:21">
      <c r="A11235">
        <v>11234</v>
      </c>
      <c r="B11235" s="27" t="s">
        <v>1124</v>
      </c>
      <c r="D11235" s="27" t="s">
        <v>1859</v>
      </c>
      <c r="F11235" s="27" t="s">
        <v>1881</v>
      </c>
      <c r="H11235" s="27" t="s">
        <v>2679</v>
      </c>
      <c r="J11235" s="27" t="s">
        <v>2680</v>
      </c>
      <c r="L11235" s="27" t="s">
        <v>2810</v>
      </c>
      <c r="N11235" s="27" t="s">
        <v>3056</v>
      </c>
      <c r="P11235" s="27" t="s">
        <v>15058</v>
      </c>
      <c r="Q11235" s="26" t="str">
        <f>HYPERLINK("https://ictv.global/taxonomy/taxondetails?taxnode_id=202516568&amp;ictv_id=ICTV202316568","ICTV202316568")</f>
        <v>ICTV202316568</v>
      </c>
      <c r="R11235" t="s">
        <v>581</v>
      </c>
      <c r="S11235" t="s">
        <v>823</v>
      </c>
      <c r="T11235">
        <v>39</v>
      </c>
      <c r="U11235" s="26" t="str">
        <f>HYPERLINK("https://ictv.global/ictv/proposals/2023.001B.Leviviricetes_reorg.zip","2023.001B.Leviviricetes_reorg.zip")</f>
        <v>2023.001B.Leviviricetes_reorg.zip</v>
      </c>
    </row>
    <row r="11236" spans="1:21">
      <c r="A11236">
        <v>11235</v>
      </c>
      <c r="B11236" s="27" t="s">
        <v>1124</v>
      </c>
      <c r="D11236" s="27" t="s">
        <v>1859</v>
      </c>
      <c r="F11236" s="27" t="s">
        <v>1881</v>
      </c>
      <c r="H11236" s="27" t="s">
        <v>2679</v>
      </c>
      <c r="J11236" s="27" t="s">
        <v>2680</v>
      </c>
      <c r="L11236" s="27" t="s">
        <v>2810</v>
      </c>
      <c r="N11236" s="27" t="s">
        <v>3056</v>
      </c>
      <c r="P11236" s="27" t="s">
        <v>3057</v>
      </c>
      <c r="Q11236" s="26" t="str">
        <f>HYPERLINK("https://ictv.global/taxonomy/taxondetails?taxnode_id=202510545&amp;ictv_id=ICTV202010545","ICTV202010545")</f>
        <v>ICTV202010545</v>
      </c>
      <c r="R11236" t="s">
        <v>581</v>
      </c>
      <c r="S11236" t="s">
        <v>823</v>
      </c>
      <c r="T11236">
        <v>36</v>
      </c>
      <c r="U11236" s="26" t="str">
        <f>HYPERLINK("https://ictv.global/ictv/proposals/2020.095B.R.Leviviricetes.zip","2020.095B.R.Leviviricetes.zip")</f>
        <v>2020.095B.R.Leviviricetes.zip</v>
      </c>
    </row>
    <row r="11237" spans="1:21">
      <c r="A11237">
        <v>11236</v>
      </c>
      <c r="B11237" s="27" t="s">
        <v>1124</v>
      </c>
      <c r="D11237" s="27" t="s">
        <v>1859</v>
      </c>
      <c r="F11237" s="27" t="s">
        <v>1881</v>
      </c>
      <c r="H11237" s="27" t="s">
        <v>2679</v>
      </c>
      <c r="J11237" s="27" t="s">
        <v>2680</v>
      </c>
      <c r="L11237" s="27" t="s">
        <v>2810</v>
      </c>
      <c r="N11237" s="27" t="s">
        <v>3056</v>
      </c>
      <c r="P11237" s="27" t="s">
        <v>15059</v>
      </c>
      <c r="Q11237" s="26" t="str">
        <f>HYPERLINK("https://ictv.global/taxonomy/taxondetails?taxnode_id=202516569&amp;ictv_id=ICTV202316569","ICTV202316569")</f>
        <v>ICTV202316569</v>
      </c>
      <c r="R11237" t="s">
        <v>581</v>
      </c>
      <c r="S11237" t="s">
        <v>823</v>
      </c>
      <c r="T11237">
        <v>39</v>
      </c>
      <c r="U11237" s="26" t="str">
        <f>HYPERLINK("https://ictv.global/ictv/proposals/2023.001B.Leviviricetes_reorg.zip","2023.001B.Leviviricetes_reorg.zip")</f>
        <v>2023.001B.Leviviricetes_reorg.zip</v>
      </c>
    </row>
    <row r="11238" spans="1:21">
      <c r="A11238">
        <v>11237</v>
      </c>
      <c r="B11238" s="27" t="s">
        <v>1124</v>
      </c>
      <c r="D11238" s="27" t="s">
        <v>1859</v>
      </c>
      <c r="F11238" s="27" t="s">
        <v>1881</v>
      </c>
      <c r="H11238" s="27" t="s">
        <v>2679</v>
      </c>
      <c r="J11238" s="27" t="s">
        <v>2680</v>
      </c>
      <c r="L11238" s="27" t="s">
        <v>2810</v>
      </c>
      <c r="N11238" s="27" t="s">
        <v>3058</v>
      </c>
      <c r="P11238" s="27" t="s">
        <v>3059</v>
      </c>
      <c r="Q11238" s="26" t="str">
        <f>HYPERLINK("https://ictv.global/taxonomy/taxondetails?taxnode_id=202510547&amp;ictv_id=ICTV202010547","ICTV202010547")</f>
        <v>ICTV202010547</v>
      </c>
      <c r="R11238" t="s">
        <v>581</v>
      </c>
      <c r="S11238" t="s">
        <v>823</v>
      </c>
      <c r="T11238">
        <v>36</v>
      </c>
      <c r="U11238" s="26" t="str">
        <f>HYPERLINK("https://ictv.global/ictv/proposals/2020.095B.R.Leviviricetes.zip","2020.095B.R.Leviviricetes.zip")</f>
        <v>2020.095B.R.Leviviricetes.zip</v>
      </c>
    </row>
    <row r="11239" spans="1:21">
      <c r="A11239">
        <v>11238</v>
      </c>
      <c r="B11239" s="27" t="s">
        <v>1124</v>
      </c>
      <c r="D11239" s="27" t="s">
        <v>1859</v>
      </c>
      <c r="F11239" s="27" t="s">
        <v>1881</v>
      </c>
      <c r="H11239" s="27" t="s">
        <v>2679</v>
      </c>
      <c r="J11239" s="27" t="s">
        <v>2680</v>
      </c>
      <c r="L11239" s="27" t="s">
        <v>2810</v>
      </c>
      <c r="N11239" s="27" t="s">
        <v>3060</v>
      </c>
      <c r="P11239" s="27" t="s">
        <v>3061</v>
      </c>
      <c r="Q11239" s="26" t="str">
        <f>HYPERLINK("https://ictv.global/taxonomy/taxondetails?taxnode_id=202510550&amp;ictv_id=ICTV202010550","ICTV202010550")</f>
        <v>ICTV202010550</v>
      </c>
      <c r="R11239" t="s">
        <v>581</v>
      </c>
      <c r="S11239" t="s">
        <v>823</v>
      </c>
      <c r="T11239">
        <v>36</v>
      </c>
      <c r="U11239" s="26" t="str">
        <f>HYPERLINK("https://ictv.global/ictv/proposals/2020.095B.R.Leviviricetes.zip","2020.095B.R.Leviviricetes.zip")</f>
        <v>2020.095B.R.Leviviricetes.zip</v>
      </c>
    </row>
    <row r="11240" spans="1:21">
      <c r="A11240">
        <v>11239</v>
      </c>
      <c r="B11240" s="27" t="s">
        <v>1124</v>
      </c>
      <c r="D11240" s="27" t="s">
        <v>1859</v>
      </c>
      <c r="F11240" s="27" t="s">
        <v>1881</v>
      </c>
      <c r="H11240" s="27" t="s">
        <v>2679</v>
      </c>
      <c r="J11240" s="27" t="s">
        <v>2680</v>
      </c>
      <c r="L11240" s="27" t="s">
        <v>2810</v>
      </c>
      <c r="N11240" s="27" t="s">
        <v>3060</v>
      </c>
      <c r="P11240" s="27" t="s">
        <v>3062</v>
      </c>
      <c r="Q11240" s="26" t="str">
        <f>HYPERLINK("https://ictv.global/taxonomy/taxondetails?taxnode_id=202510549&amp;ictv_id=ICTV202010549","ICTV202010549")</f>
        <v>ICTV202010549</v>
      </c>
      <c r="R11240" t="s">
        <v>581</v>
      </c>
      <c r="S11240" t="s">
        <v>823</v>
      </c>
      <c r="T11240">
        <v>36</v>
      </c>
      <c r="U11240" s="26" t="str">
        <f>HYPERLINK("https://ictv.global/ictv/proposals/2020.095B.R.Leviviricetes.zip","2020.095B.R.Leviviricetes.zip")</f>
        <v>2020.095B.R.Leviviricetes.zip</v>
      </c>
    </row>
    <row r="11241" spans="1:21">
      <c r="A11241">
        <v>11240</v>
      </c>
      <c r="B11241" s="27" t="s">
        <v>1124</v>
      </c>
      <c r="D11241" s="27" t="s">
        <v>1859</v>
      </c>
      <c r="F11241" s="27" t="s">
        <v>1881</v>
      </c>
      <c r="H11241" s="27" t="s">
        <v>2679</v>
      </c>
      <c r="J11241" s="27" t="s">
        <v>2680</v>
      </c>
      <c r="L11241" s="27" t="s">
        <v>2810</v>
      </c>
      <c r="N11241" s="27" t="s">
        <v>3060</v>
      </c>
      <c r="P11241" s="27" t="s">
        <v>15060</v>
      </c>
      <c r="Q11241" s="26" t="str">
        <f>HYPERLINK("https://ictv.global/taxonomy/taxondetails?taxnode_id=202516570&amp;ictv_id=ICTV202316570","ICTV202316570")</f>
        <v>ICTV202316570</v>
      </c>
      <c r="R11241" t="s">
        <v>581</v>
      </c>
      <c r="S11241" t="s">
        <v>823</v>
      </c>
      <c r="T11241">
        <v>39</v>
      </c>
      <c r="U11241" s="26" t="str">
        <f t="shared" ref="U11241:U11249" si="411">HYPERLINK("https://ictv.global/ictv/proposals/2023.001B.Leviviricetes_reorg.zip","2023.001B.Leviviricetes_reorg.zip")</f>
        <v>2023.001B.Leviviricetes_reorg.zip</v>
      </c>
    </row>
    <row r="11242" spans="1:21">
      <c r="A11242">
        <v>11241</v>
      </c>
      <c r="B11242" s="27" t="s">
        <v>1124</v>
      </c>
      <c r="D11242" s="27" t="s">
        <v>1859</v>
      </c>
      <c r="F11242" s="27" t="s">
        <v>1881</v>
      </c>
      <c r="H11242" s="27" t="s">
        <v>2679</v>
      </c>
      <c r="J11242" s="27" t="s">
        <v>2680</v>
      </c>
      <c r="L11242" s="27" t="s">
        <v>2810</v>
      </c>
      <c r="N11242" s="27" t="s">
        <v>3060</v>
      </c>
      <c r="P11242" s="27" t="s">
        <v>15061</v>
      </c>
      <c r="Q11242" s="26" t="str">
        <f>HYPERLINK("https://ictv.global/taxonomy/taxondetails?taxnode_id=202516571&amp;ictv_id=ICTV202316571","ICTV202316571")</f>
        <v>ICTV202316571</v>
      </c>
      <c r="R11242" t="s">
        <v>581</v>
      </c>
      <c r="S11242" t="s">
        <v>823</v>
      </c>
      <c r="T11242">
        <v>39</v>
      </c>
      <c r="U11242" s="26" t="str">
        <f t="shared" si="411"/>
        <v>2023.001B.Leviviricetes_reorg.zip</v>
      </c>
    </row>
    <row r="11243" spans="1:21">
      <c r="A11243">
        <v>11242</v>
      </c>
      <c r="B11243" s="27" t="s">
        <v>1124</v>
      </c>
      <c r="D11243" s="27" t="s">
        <v>1859</v>
      </c>
      <c r="F11243" s="27" t="s">
        <v>1881</v>
      </c>
      <c r="H11243" s="27" t="s">
        <v>2679</v>
      </c>
      <c r="J11243" s="27" t="s">
        <v>2680</v>
      </c>
      <c r="L11243" s="27" t="s">
        <v>2810</v>
      </c>
      <c r="N11243" s="27" t="s">
        <v>3060</v>
      </c>
      <c r="P11243" s="27" t="s">
        <v>15062</v>
      </c>
      <c r="Q11243" s="26" t="str">
        <f>HYPERLINK("https://ictv.global/taxonomy/taxondetails?taxnode_id=202516572&amp;ictv_id=ICTV202316572","ICTV202316572")</f>
        <v>ICTV202316572</v>
      </c>
      <c r="R11243" t="s">
        <v>581</v>
      </c>
      <c r="S11243" t="s">
        <v>823</v>
      </c>
      <c r="T11243">
        <v>39</v>
      </c>
      <c r="U11243" s="26" t="str">
        <f t="shared" si="411"/>
        <v>2023.001B.Leviviricetes_reorg.zip</v>
      </c>
    </row>
    <row r="11244" spans="1:21">
      <c r="A11244">
        <v>11243</v>
      </c>
      <c r="B11244" s="27" t="s">
        <v>1124</v>
      </c>
      <c r="D11244" s="27" t="s">
        <v>1859</v>
      </c>
      <c r="F11244" s="27" t="s">
        <v>1881</v>
      </c>
      <c r="H11244" s="27" t="s">
        <v>2679</v>
      </c>
      <c r="J11244" s="27" t="s">
        <v>2680</v>
      </c>
      <c r="L11244" s="27" t="s">
        <v>2810</v>
      </c>
      <c r="N11244" s="27" t="s">
        <v>3060</v>
      </c>
      <c r="P11244" s="27" t="s">
        <v>15063</v>
      </c>
      <c r="Q11244" s="26" t="str">
        <f>HYPERLINK("https://ictv.global/taxonomy/taxondetails?taxnode_id=202516573&amp;ictv_id=ICTV202316573","ICTV202316573")</f>
        <v>ICTV202316573</v>
      </c>
      <c r="R11244" t="s">
        <v>581</v>
      </c>
      <c r="S11244" t="s">
        <v>823</v>
      </c>
      <c r="T11244">
        <v>39</v>
      </c>
      <c r="U11244" s="26" t="str">
        <f t="shared" si="411"/>
        <v>2023.001B.Leviviricetes_reorg.zip</v>
      </c>
    </row>
    <row r="11245" spans="1:21">
      <c r="A11245">
        <v>11244</v>
      </c>
      <c r="B11245" s="27" t="s">
        <v>1124</v>
      </c>
      <c r="D11245" s="27" t="s">
        <v>1859</v>
      </c>
      <c r="F11245" s="27" t="s">
        <v>1881</v>
      </c>
      <c r="H11245" s="27" t="s">
        <v>2679</v>
      </c>
      <c r="J11245" s="27" t="s">
        <v>2680</v>
      </c>
      <c r="L11245" s="27" t="s">
        <v>2810</v>
      </c>
      <c r="N11245" s="27" t="s">
        <v>3060</v>
      </c>
      <c r="P11245" s="27" t="s">
        <v>15064</v>
      </c>
      <c r="Q11245" s="26" t="str">
        <f>HYPERLINK("https://ictv.global/taxonomy/taxondetails?taxnode_id=202516574&amp;ictv_id=ICTV202316574","ICTV202316574")</f>
        <v>ICTV202316574</v>
      </c>
      <c r="R11245" t="s">
        <v>581</v>
      </c>
      <c r="S11245" t="s">
        <v>823</v>
      </c>
      <c r="T11245">
        <v>39</v>
      </c>
      <c r="U11245" s="26" t="str">
        <f t="shared" si="411"/>
        <v>2023.001B.Leviviricetes_reorg.zip</v>
      </c>
    </row>
    <row r="11246" spans="1:21">
      <c r="A11246">
        <v>11245</v>
      </c>
      <c r="B11246" s="27" t="s">
        <v>1124</v>
      </c>
      <c r="D11246" s="27" t="s">
        <v>1859</v>
      </c>
      <c r="F11246" s="27" t="s">
        <v>1881</v>
      </c>
      <c r="H11246" s="27" t="s">
        <v>2679</v>
      </c>
      <c r="J11246" s="27" t="s">
        <v>2680</v>
      </c>
      <c r="L11246" s="27" t="s">
        <v>2810</v>
      </c>
      <c r="N11246" s="27" t="s">
        <v>15065</v>
      </c>
      <c r="P11246" s="27" t="s">
        <v>15066</v>
      </c>
      <c r="Q11246" s="26" t="str">
        <f>HYPERLINK("https://ictv.global/taxonomy/taxondetails?taxnode_id=202516575&amp;ictv_id=ICTV202316575","ICTV202316575")</f>
        <v>ICTV202316575</v>
      </c>
      <c r="R11246" t="s">
        <v>581</v>
      </c>
      <c r="S11246" t="s">
        <v>823</v>
      </c>
      <c r="T11246">
        <v>39</v>
      </c>
      <c r="U11246" s="26" t="str">
        <f t="shared" si="411"/>
        <v>2023.001B.Leviviricetes_reorg.zip</v>
      </c>
    </row>
    <row r="11247" spans="1:21">
      <c r="A11247">
        <v>11246</v>
      </c>
      <c r="B11247" s="27" t="s">
        <v>1124</v>
      </c>
      <c r="D11247" s="27" t="s">
        <v>1859</v>
      </c>
      <c r="F11247" s="27" t="s">
        <v>1881</v>
      </c>
      <c r="H11247" s="27" t="s">
        <v>2679</v>
      </c>
      <c r="J11247" s="27" t="s">
        <v>2680</v>
      </c>
      <c r="L11247" s="27" t="s">
        <v>2810</v>
      </c>
      <c r="N11247" s="27" t="s">
        <v>15067</v>
      </c>
      <c r="P11247" s="27" t="s">
        <v>15068</v>
      </c>
      <c r="Q11247" s="26" t="str">
        <f>HYPERLINK("https://ictv.global/taxonomy/taxondetails?taxnode_id=202516576&amp;ictv_id=ICTV202316576","ICTV202316576")</f>
        <v>ICTV202316576</v>
      </c>
      <c r="R11247" t="s">
        <v>581</v>
      </c>
      <c r="S11247" t="s">
        <v>823</v>
      </c>
      <c r="T11247">
        <v>39</v>
      </c>
      <c r="U11247" s="26" t="str">
        <f t="shared" si="411"/>
        <v>2023.001B.Leviviricetes_reorg.zip</v>
      </c>
    </row>
    <row r="11248" spans="1:21">
      <c r="A11248">
        <v>11247</v>
      </c>
      <c r="B11248" s="27" t="s">
        <v>1124</v>
      </c>
      <c r="D11248" s="27" t="s">
        <v>1859</v>
      </c>
      <c r="F11248" s="27" t="s">
        <v>1881</v>
      </c>
      <c r="H11248" s="27" t="s">
        <v>2679</v>
      </c>
      <c r="J11248" s="27" t="s">
        <v>2680</v>
      </c>
      <c r="L11248" s="27" t="s">
        <v>2810</v>
      </c>
      <c r="N11248" s="27" t="s">
        <v>15069</v>
      </c>
      <c r="P11248" s="27" t="s">
        <v>15070</v>
      </c>
      <c r="Q11248" s="26" t="str">
        <f>HYPERLINK("https://ictv.global/taxonomy/taxondetails?taxnode_id=202516577&amp;ictv_id=ICTV202316577","ICTV202316577")</f>
        <v>ICTV202316577</v>
      </c>
      <c r="R11248" t="s">
        <v>581</v>
      </c>
      <c r="S11248" t="s">
        <v>823</v>
      </c>
      <c r="T11248">
        <v>39</v>
      </c>
      <c r="U11248" s="26" t="str">
        <f t="shared" si="411"/>
        <v>2023.001B.Leviviricetes_reorg.zip</v>
      </c>
    </row>
    <row r="11249" spans="1:21">
      <c r="A11249">
        <v>11248</v>
      </c>
      <c r="B11249" s="27" t="s">
        <v>1124</v>
      </c>
      <c r="D11249" s="27" t="s">
        <v>1859</v>
      </c>
      <c r="F11249" s="27" t="s">
        <v>1881</v>
      </c>
      <c r="H11249" s="27" t="s">
        <v>2679</v>
      </c>
      <c r="J11249" s="27" t="s">
        <v>2680</v>
      </c>
      <c r="L11249" s="27" t="s">
        <v>2810</v>
      </c>
      <c r="N11249" s="27" t="s">
        <v>3063</v>
      </c>
      <c r="P11249" s="27" t="s">
        <v>15071</v>
      </c>
      <c r="Q11249" s="26" t="str">
        <f>HYPERLINK("https://ictv.global/taxonomy/taxondetails?taxnode_id=202516578&amp;ictv_id=ICTV202316578","ICTV202316578")</f>
        <v>ICTV202316578</v>
      </c>
      <c r="R11249" t="s">
        <v>581</v>
      </c>
      <c r="S11249" t="s">
        <v>823</v>
      </c>
      <c r="T11249">
        <v>39</v>
      </c>
      <c r="U11249" s="26" t="str">
        <f t="shared" si="411"/>
        <v>2023.001B.Leviviricetes_reorg.zip</v>
      </c>
    </row>
    <row r="11250" spans="1:21">
      <c r="A11250">
        <v>11249</v>
      </c>
      <c r="B11250" s="27" t="s">
        <v>1124</v>
      </c>
      <c r="D11250" s="27" t="s">
        <v>1859</v>
      </c>
      <c r="F11250" s="27" t="s">
        <v>1881</v>
      </c>
      <c r="H11250" s="27" t="s">
        <v>2679</v>
      </c>
      <c r="J11250" s="27" t="s">
        <v>2680</v>
      </c>
      <c r="L11250" s="27" t="s">
        <v>2810</v>
      </c>
      <c r="N11250" s="27" t="s">
        <v>3063</v>
      </c>
      <c r="P11250" s="27" t="s">
        <v>3064</v>
      </c>
      <c r="Q11250" s="26" t="str">
        <f>HYPERLINK("https://ictv.global/taxonomy/taxondetails?taxnode_id=202510556&amp;ictv_id=ICTV202010556","ICTV202010556")</f>
        <v>ICTV202010556</v>
      </c>
      <c r="R11250" t="s">
        <v>581</v>
      </c>
      <c r="S11250" t="s">
        <v>823</v>
      </c>
      <c r="T11250">
        <v>36</v>
      </c>
      <c r="U11250" s="26" t="str">
        <f>HYPERLINK("https://ictv.global/ictv/proposals/2020.095B.R.Leviviricetes.zip","2020.095B.R.Leviviricetes.zip")</f>
        <v>2020.095B.R.Leviviricetes.zip</v>
      </c>
    </row>
    <row r="11251" spans="1:21">
      <c r="A11251">
        <v>11250</v>
      </c>
      <c r="B11251" s="27" t="s">
        <v>1124</v>
      </c>
      <c r="D11251" s="27" t="s">
        <v>1859</v>
      </c>
      <c r="F11251" s="27" t="s">
        <v>1881</v>
      </c>
      <c r="H11251" s="27" t="s">
        <v>2679</v>
      </c>
      <c r="J11251" s="27" t="s">
        <v>2680</v>
      </c>
      <c r="L11251" s="27" t="s">
        <v>2810</v>
      </c>
      <c r="N11251" s="27" t="s">
        <v>3063</v>
      </c>
      <c r="P11251" s="27" t="s">
        <v>3065</v>
      </c>
      <c r="Q11251" s="26" t="str">
        <f>HYPERLINK("https://ictv.global/taxonomy/taxondetails?taxnode_id=202510557&amp;ictv_id=ICTV202010557","ICTV202010557")</f>
        <v>ICTV202010557</v>
      </c>
      <c r="R11251" t="s">
        <v>581</v>
      </c>
      <c r="S11251" t="s">
        <v>823</v>
      </c>
      <c r="T11251">
        <v>36</v>
      </c>
      <c r="U11251" s="26" t="str">
        <f>HYPERLINK("https://ictv.global/ictv/proposals/2020.095B.R.Leviviricetes.zip","2020.095B.R.Leviviricetes.zip")</f>
        <v>2020.095B.R.Leviviricetes.zip</v>
      </c>
    </row>
    <row r="11252" spans="1:21">
      <c r="A11252">
        <v>11251</v>
      </c>
      <c r="B11252" s="27" t="s">
        <v>1124</v>
      </c>
      <c r="D11252" s="27" t="s">
        <v>1859</v>
      </c>
      <c r="F11252" s="27" t="s">
        <v>1881</v>
      </c>
      <c r="H11252" s="27" t="s">
        <v>2679</v>
      </c>
      <c r="J11252" s="27" t="s">
        <v>2680</v>
      </c>
      <c r="L11252" s="27" t="s">
        <v>2810</v>
      </c>
      <c r="N11252" s="27" t="s">
        <v>3063</v>
      </c>
      <c r="P11252" s="27" t="s">
        <v>15072</v>
      </c>
      <c r="Q11252" s="26" t="str">
        <f>HYPERLINK("https://ictv.global/taxonomy/taxondetails?taxnode_id=202516579&amp;ictv_id=ICTV202316579","ICTV202316579")</f>
        <v>ICTV202316579</v>
      </c>
      <c r="R11252" t="s">
        <v>581</v>
      </c>
      <c r="S11252" t="s">
        <v>823</v>
      </c>
      <c r="T11252">
        <v>39</v>
      </c>
      <c r="U11252" s="26" t="str">
        <f>HYPERLINK("https://ictv.global/ictv/proposals/2023.001B.Leviviricetes_reorg.zip","2023.001B.Leviviricetes_reorg.zip")</f>
        <v>2023.001B.Leviviricetes_reorg.zip</v>
      </c>
    </row>
    <row r="11253" spans="1:21">
      <c r="A11253">
        <v>11252</v>
      </c>
      <c r="B11253" s="27" t="s">
        <v>1124</v>
      </c>
      <c r="D11253" s="27" t="s">
        <v>1859</v>
      </c>
      <c r="F11253" s="27" t="s">
        <v>1881</v>
      </c>
      <c r="H11253" s="27" t="s">
        <v>2679</v>
      </c>
      <c r="J11253" s="27" t="s">
        <v>2680</v>
      </c>
      <c r="L11253" s="27" t="s">
        <v>2810</v>
      </c>
      <c r="N11253" s="27" t="s">
        <v>3066</v>
      </c>
      <c r="P11253" s="27" t="s">
        <v>3067</v>
      </c>
      <c r="Q11253" s="26" t="str">
        <f>HYPERLINK("https://ictv.global/taxonomy/taxondetails?taxnode_id=202510566&amp;ictv_id=ICTV202010566","ICTV202010566")</f>
        <v>ICTV202010566</v>
      </c>
      <c r="R11253" t="s">
        <v>581</v>
      </c>
      <c r="S11253" t="s">
        <v>823</v>
      </c>
      <c r="T11253">
        <v>36</v>
      </c>
      <c r="U11253" s="26" t="str">
        <f>HYPERLINK("https://ictv.global/ictv/proposals/2020.095B.R.Leviviricetes.zip","2020.095B.R.Leviviricetes.zip")</f>
        <v>2020.095B.R.Leviviricetes.zip</v>
      </c>
    </row>
    <row r="11254" spans="1:21">
      <c r="A11254">
        <v>11253</v>
      </c>
      <c r="B11254" s="27" t="s">
        <v>1124</v>
      </c>
      <c r="D11254" s="27" t="s">
        <v>1859</v>
      </c>
      <c r="F11254" s="27" t="s">
        <v>1881</v>
      </c>
      <c r="H11254" s="27" t="s">
        <v>2679</v>
      </c>
      <c r="J11254" s="27" t="s">
        <v>2680</v>
      </c>
      <c r="L11254" s="27" t="s">
        <v>2810</v>
      </c>
      <c r="N11254" s="27" t="s">
        <v>3066</v>
      </c>
      <c r="P11254" s="27" t="s">
        <v>3068</v>
      </c>
      <c r="Q11254" s="26" t="str">
        <f>HYPERLINK("https://ictv.global/taxonomy/taxondetails?taxnode_id=202510568&amp;ictv_id=ICTV202010568","ICTV202010568")</f>
        <v>ICTV202010568</v>
      </c>
      <c r="R11254" t="s">
        <v>581</v>
      </c>
      <c r="S11254" t="s">
        <v>823</v>
      </c>
      <c r="T11254">
        <v>36</v>
      </c>
      <c r="U11254" s="26" t="str">
        <f>HYPERLINK("https://ictv.global/ictv/proposals/2020.095B.R.Leviviricetes.zip","2020.095B.R.Leviviricetes.zip")</f>
        <v>2020.095B.R.Leviviricetes.zip</v>
      </c>
    </row>
    <row r="11255" spans="1:21">
      <c r="A11255">
        <v>11254</v>
      </c>
      <c r="B11255" s="27" t="s">
        <v>1124</v>
      </c>
      <c r="D11255" s="27" t="s">
        <v>1859</v>
      </c>
      <c r="F11255" s="27" t="s">
        <v>1881</v>
      </c>
      <c r="H11255" s="27" t="s">
        <v>2679</v>
      </c>
      <c r="J11255" s="27" t="s">
        <v>2680</v>
      </c>
      <c r="L11255" s="27" t="s">
        <v>2810</v>
      </c>
      <c r="N11255" s="27" t="s">
        <v>3066</v>
      </c>
      <c r="P11255" s="27" t="s">
        <v>3069</v>
      </c>
      <c r="Q11255" s="26" t="str">
        <f>HYPERLINK("https://ictv.global/taxonomy/taxondetails?taxnode_id=202510564&amp;ictv_id=ICTV202010564","ICTV202010564")</f>
        <v>ICTV202010564</v>
      </c>
      <c r="R11255" t="s">
        <v>581</v>
      </c>
      <c r="S11255" t="s">
        <v>823</v>
      </c>
      <c r="T11255">
        <v>36</v>
      </c>
      <c r="U11255" s="26" t="str">
        <f>HYPERLINK("https://ictv.global/ictv/proposals/2020.095B.R.Leviviricetes.zip","2020.095B.R.Leviviricetes.zip")</f>
        <v>2020.095B.R.Leviviricetes.zip</v>
      </c>
    </row>
    <row r="11256" spans="1:21">
      <c r="A11256">
        <v>11255</v>
      </c>
      <c r="B11256" s="27" t="s">
        <v>1124</v>
      </c>
      <c r="D11256" s="27" t="s">
        <v>1859</v>
      </c>
      <c r="F11256" s="27" t="s">
        <v>1881</v>
      </c>
      <c r="H11256" s="27" t="s">
        <v>2679</v>
      </c>
      <c r="J11256" s="27" t="s">
        <v>2680</v>
      </c>
      <c r="L11256" s="27" t="s">
        <v>2810</v>
      </c>
      <c r="N11256" s="27" t="s">
        <v>3066</v>
      </c>
      <c r="P11256" s="27" t="s">
        <v>3070</v>
      </c>
      <c r="Q11256" s="26" t="str">
        <f>HYPERLINK("https://ictv.global/taxonomy/taxondetails?taxnode_id=202510567&amp;ictv_id=ICTV202010567","ICTV202010567")</f>
        <v>ICTV202010567</v>
      </c>
      <c r="R11256" t="s">
        <v>581</v>
      </c>
      <c r="S11256" t="s">
        <v>823</v>
      </c>
      <c r="T11256">
        <v>36</v>
      </c>
      <c r="U11256" s="26" t="str">
        <f>HYPERLINK("https://ictv.global/ictv/proposals/2020.095B.R.Leviviricetes.zip","2020.095B.R.Leviviricetes.zip")</f>
        <v>2020.095B.R.Leviviricetes.zip</v>
      </c>
    </row>
    <row r="11257" spans="1:21">
      <c r="A11257">
        <v>11256</v>
      </c>
      <c r="B11257" s="27" t="s">
        <v>1124</v>
      </c>
      <c r="D11257" s="27" t="s">
        <v>1859</v>
      </c>
      <c r="F11257" s="27" t="s">
        <v>1881</v>
      </c>
      <c r="H11257" s="27" t="s">
        <v>2679</v>
      </c>
      <c r="J11257" s="27" t="s">
        <v>2680</v>
      </c>
      <c r="L11257" s="27" t="s">
        <v>2810</v>
      </c>
      <c r="N11257" s="27" t="s">
        <v>3066</v>
      </c>
      <c r="P11257" s="27" t="s">
        <v>3071</v>
      </c>
      <c r="Q11257" s="26" t="str">
        <f>HYPERLINK("https://ictv.global/taxonomy/taxondetails?taxnode_id=202510565&amp;ictv_id=ICTV202010565","ICTV202010565")</f>
        <v>ICTV202010565</v>
      </c>
      <c r="R11257" t="s">
        <v>581</v>
      </c>
      <c r="S11257" t="s">
        <v>823</v>
      </c>
      <c r="T11257">
        <v>36</v>
      </c>
      <c r="U11257" s="26" t="str">
        <f>HYPERLINK("https://ictv.global/ictv/proposals/2020.095B.R.Leviviricetes.zip","2020.095B.R.Leviviricetes.zip")</f>
        <v>2020.095B.R.Leviviricetes.zip</v>
      </c>
    </row>
    <row r="11258" spans="1:21">
      <c r="A11258">
        <v>11257</v>
      </c>
      <c r="B11258" s="27" t="s">
        <v>1124</v>
      </c>
      <c r="D11258" s="27" t="s">
        <v>1859</v>
      </c>
      <c r="F11258" s="27" t="s">
        <v>1881</v>
      </c>
      <c r="H11258" s="27" t="s">
        <v>2679</v>
      </c>
      <c r="J11258" s="27" t="s">
        <v>2680</v>
      </c>
      <c r="L11258" s="27" t="s">
        <v>2810</v>
      </c>
      <c r="N11258" s="27" t="s">
        <v>3066</v>
      </c>
      <c r="P11258" s="27" t="s">
        <v>15073</v>
      </c>
      <c r="Q11258" s="26" t="str">
        <f>HYPERLINK("https://ictv.global/taxonomy/taxondetails?taxnode_id=202516580&amp;ictv_id=ICTV202316580","ICTV202316580")</f>
        <v>ICTV202316580</v>
      </c>
      <c r="R11258" t="s">
        <v>581</v>
      </c>
      <c r="S11258" t="s">
        <v>823</v>
      </c>
      <c r="T11258">
        <v>39</v>
      </c>
      <c r="U11258" s="26" t="str">
        <f t="shared" ref="U11258:U11263" si="412">HYPERLINK("https://ictv.global/ictv/proposals/2023.001B.Leviviricetes_reorg.zip","2023.001B.Leviviricetes_reorg.zip")</f>
        <v>2023.001B.Leviviricetes_reorg.zip</v>
      </c>
    </row>
    <row r="11259" spans="1:21">
      <c r="A11259">
        <v>11258</v>
      </c>
      <c r="B11259" s="27" t="s">
        <v>1124</v>
      </c>
      <c r="D11259" s="27" t="s">
        <v>1859</v>
      </c>
      <c r="F11259" s="27" t="s">
        <v>1881</v>
      </c>
      <c r="H11259" s="27" t="s">
        <v>2679</v>
      </c>
      <c r="J11259" s="27" t="s">
        <v>2680</v>
      </c>
      <c r="L11259" s="27" t="s">
        <v>2810</v>
      </c>
      <c r="N11259" s="27" t="s">
        <v>3066</v>
      </c>
      <c r="P11259" s="27" t="s">
        <v>15074</v>
      </c>
      <c r="Q11259" s="26" t="str">
        <f>HYPERLINK("https://ictv.global/taxonomy/taxondetails?taxnode_id=202516581&amp;ictv_id=ICTV202316581","ICTV202316581")</f>
        <v>ICTV202316581</v>
      </c>
      <c r="R11259" t="s">
        <v>581</v>
      </c>
      <c r="S11259" t="s">
        <v>823</v>
      </c>
      <c r="T11259">
        <v>39</v>
      </c>
      <c r="U11259" s="26" t="str">
        <f t="shared" si="412"/>
        <v>2023.001B.Leviviricetes_reorg.zip</v>
      </c>
    </row>
    <row r="11260" spans="1:21">
      <c r="A11260">
        <v>11259</v>
      </c>
      <c r="B11260" s="27" t="s">
        <v>1124</v>
      </c>
      <c r="D11260" s="27" t="s">
        <v>1859</v>
      </c>
      <c r="F11260" s="27" t="s">
        <v>1881</v>
      </c>
      <c r="H11260" s="27" t="s">
        <v>2679</v>
      </c>
      <c r="J11260" s="27" t="s">
        <v>2680</v>
      </c>
      <c r="L11260" s="27" t="s">
        <v>2810</v>
      </c>
      <c r="N11260" s="27" t="s">
        <v>3066</v>
      </c>
      <c r="P11260" s="27" t="s">
        <v>15075</v>
      </c>
      <c r="Q11260" s="26" t="str">
        <f>HYPERLINK("https://ictv.global/taxonomy/taxondetails?taxnode_id=202516582&amp;ictv_id=ICTV202316582","ICTV202316582")</f>
        <v>ICTV202316582</v>
      </c>
      <c r="R11260" t="s">
        <v>581</v>
      </c>
      <c r="S11260" t="s">
        <v>823</v>
      </c>
      <c r="T11260">
        <v>39</v>
      </c>
      <c r="U11260" s="26" t="str">
        <f t="shared" si="412"/>
        <v>2023.001B.Leviviricetes_reorg.zip</v>
      </c>
    </row>
    <row r="11261" spans="1:21">
      <c r="A11261">
        <v>11260</v>
      </c>
      <c r="B11261" s="27" t="s">
        <v>1124</v>
      </c>
      <c r="D11261" s="27" t="s">
        <v>1859</v>
      </c>
      <c r="F11261" s="27" t="s">
        <v>1881</v>
      </c>
      <c r="H11261" s="27" t="s">
        <v>2679</v>
      </c>
      <c r="J11261" s="27" t="s">
        <v>2680</v>
      </c>
      <c r="L11261" s="27" t="s">
        <v>2810</v>
      </c>
      <c r="N11261" s="27" t="s">
        <v>3066</v>
      </c>
      <c r="P11261" s="27" t="s">
        <v>15076</v>
      </c>
      <c r="Q11261" s="26" t="str">
        <f>HYPERLINK("https://ictv.global/taxonomy/taxondetails?taxnode_id=202516583&amp;ictv_id=ICTV202316583","ICTV202316583")</f>
        <v>ICTV202316583</v>
      </c>
      <c r="R11261" t="s">
        <v>581</v>
      </c>
      <c r="S11261" t="s">
        <v>823</v>
      </c>
      <c r="T11261">
        <v>39</v>
      </c>
      <c r="U11261" s="26" t="str">
        <f t="shared" si="412"/>
        <v>2023.001B.Leviviricetes_reorg.zip</v>
      </c>
    </row>
    <row r="11262" spans="1:21">
      <c r="A11262">
        <v>11261</v>
      </c>
      <c r="B11262" s="27" t="s">
        <v>1124</v>
      </c>
      <c r="D11262" s="27" t="s">
        <v>1859</v>
      </c>
      <c r="F11262" s="27" t="s">
        <v>1881</v>
      </c>
      <c r="H11262" s="27" t="s">
        <v>2679</v>
      </c>
      <c r="J11262" s="27" t="s">
        <v>2680</v>
      </c>
      <c r="L11262" s="27" t="s">
        <v>2810</v>
      </c>
      <c r="N11262" s="27" t="s">
        <v>3066</v>
      </c>
      <c r="P11262" s="27" t="s">
        <v>15077</v>
      </c>
      <c r="Q11262" s="26" t="str">
        <f>HYPERLINK("https://ictv.global/taxonomy/taxondetails?taxnode_id=202516584&amp;ictv_id=ICTV202316584","ICTV202316584")</f>
        <v>ICTV202316584</v>
      </c>
      <c r="R11262" t="s">
        <v>581</v>
      </c>
      <c r="S11262" t="s">
        <v>823</v>
      </c>
      <c r="T11262">
        <v>39</v>
      </c>
      <c r="U11262" s="26" t="str">
        <f t="shared" si="412"/>
        <v>2023.001B.Leviviricetes_reorg.zip</v>
      </c>
    </row>
    <row r="11263" spans="1:21">
      <c r="A11263">
        <v>11262</v>
      </c>
      <c r="B11263" s="27" t="s">
        <v>1124</v>
      </c>
      <c r="D11263" s="27" t="s">
        <v>1859</v>
      </c>
      <c r="F11263" s="27" t="s">
        <v>1881</v>
      </c>
      <c r="H11263" s="27" t="s">
        <v>2679</v>
      </c>
      <c r="J11263" s="27" t="s">
        <v>2680</v>
      </c>
      <c r="L11263" s="27" t="s">
        <v>2810</v>
      </c>
      <c r="N11263" s="27" t="s">
        <v>3072</v>
      </c>
      <c r="P11263" s="27" t="s">
        <v>15078</v>
      </c>
      <c r="Q11263" s="26" t="str">
        <f>HYPERLINK("https://ictv.global/taxonomy/taxondetails?taxnode_id=202516585&amp;ictv_id=ICTV202316585","ICTV202316585")</f>
        <v>ICTV202316585</v>
      </c>
      <c r="R11263" t="s">
        <v>581</v>
      </c>
      <c r="S11263" t="s">
        <v>823</v>
      </c>
      <c r="T11263">
        <v>39</v>
      </c>
      <c r="U11263" s="26" t="str">
        <f t="shared" si="412"/>
        <v>2023.001B.Leviviricetes_reorg.zip</v>
      </c>
    </row>
    <row r="11264" spans="1:21">
      <c r="A11264">
        <v>11263</v>
      </c>
      <c r="B11264" s="27" t="s">
        <v>1124</v>
      </c>
      <c r="D11264" s="27" t="s">
        <v>1859</v>
      </c>
      <c r="F11264" s="27" t="s">
        <v>1881</v>
      </c>
      <c r="H11264" s="27" t="s">
        <v>2679</v>
      </c>
      <c r="J11264" s="27" t="s">
        <v>2680</v>
      </c>
      <c r="L11264" s="27" t="s">
        <v>2810</v>
      </c>
      <c r="N11264" s="27" t="s">
        <v>3072</v>
      </c>
      <c r="P11264" s="27" t="s">
        <v>3073</v>
      </c>
      <c r="Q11264" s="26" t="str">
        <f>HYPERLINK("https://ictv.global/taxonomy/taxondetails?taxnode_id=202510572&amp;ictv_id=ICTV202010572","ICTV202010572")</f>
        <v>ICTV202010572</v>
      </c>
      <c r="R11264" t="s">
        <v>581</v>
      </c>
      <c r="S11264" t="s">
        <v>823</v>
      </c>
      <c r="T11264">
        <v>36</v>
      </c>
      <c r="U11264" s="26" t="str">
        <f>HYPERLINK("https://ictv.global/ictv/proposals/2020.095B.R.Leviviricetes.zip","2020.095B.R.Leviviricetes.zip")</f>
        <v>2020.095B.R.Leviviricetes.zip</v>
      </c>
    </row>
    <row r="11265" spans="1:21">
      <c r="A11265">
        <v>11264</v>
      </c>
      <c r="B11265" s="27" t="s">
        <v>1124</v>
      </c>
      <c r="D11265" s="27" t="s">
        <v>1859</v>
      </c>
      <c r="F11265" s="27" t="s">
        <v>1881</v>
      </c>
      <c r="H11265" s="27" t="s">
        <v>2679</v>
      </c>
      <c r="J11265" s="27" t="s">
        <v>2680</v>
      </c>
      <c r="L11265" s="27" t="s">
        <v>2810</v>
      </c>
      <c r="N11265" s="27" t="s">
        <v>3072</v>
      </c>
      <c r="P11265" s="27" t="s">
        <v>15079</v>
      </c>
      <c r="Q11265" s="26" t="str">
        <f>HYPERLINK("https://ictv.global/taxonomy/taxondetails?taxnode_id=202516586&amp;ictv_id=ICTV202316586","ICTV202316586")</f>
        <v>ICTV202316586</v>
      </c>
      <c r="R11265" t="s">
        <v>581</v>
      </c>
      <c r="S11265" t="s">
        <v>823</v>
      </c>
      <c r="T11265">
        <v>39</v>
      </c>
      <c r="U11265" s="26" t="str">
        <f t="shared" ref="U11265:U11275" si="413">HYPERLINK("https://ictv.global/ictv/proposals/2023.001B.Leviviricetes_reorg.zip","2023.001B.Leviviricetes_reorg.zip")</f>
        <v>2023.001B.Leviviricetes_reorg.zip</v>
      </c>
    </row>
    <row r="11266" spans="1:21">
      <c r="A11266">
        <v>11265</v>
      </c>
      <c r="B11266" s="27" t="s">
        <v>1124</v>
      </c>
      <c r="D11266" s="27" t="s">
        <v>1859</v>
      </c>
      <c r="F11266" s="27" t="s">
        <v>1881</v>
      </c>
      <c r="H11266" s="27" t="s">
        <v>2679</v>
      </c>
      <c r="J11266" s="27" t="s">
        <v>2680</v>
      </c>
      <c r="L11266" s="27" t="s">
        <v>2810</v>
      </c>
      <c r="N11266" s="27" t="s">
        <v>3072</v>
      </c>
      <c r="P11266" s="27" t="s">
        <v>15080</v>
      </c>
      <c r="Q11266" s="26" t="str">
        <f>HYPERLINK("https://ictv.global/taxonomy/taxondetails?taxnode_id=202516587&amp;ictv_id=ICTV202316587","ICTV202316587")</f>
        <v>ICTV202316587</v>
      </c>
      <c r="R11266" t="s">
        <v>581</v>
      </c>
      <c r="S11266" t="s">
        <v>823</v>
      </c>
      <c r="T11266">
        <v>39</v>
      </c>
      <c r="U11266" s="26" t="str">
        <f t="shared" si="413"/>
        <v>2023.001B.Leviviricetes_reorg.zip</v>
      </c>
    </row>
    <row r="11267" spans="1:21">
      <c r="A11267">
        <v>11266</v>
      </c>
      <c r="B11267" s="27" t="s">
        <v>1124</v>
      </c>
      <c r="D11267" s="27" t="s">
        <v>1859</v>
      </c>
      <c r="F11267" s="27" t="s">
        <v>1881</v>
      </c>
      <c r="H11267" s="27" t="s">
        <v>2679</v>
      </c>
      <c r="J11267" s="27" t="s">
        <v>2680</v>
      </c>
      <c r="L11267" s="27" t="s">
        <v>2810</v>
      </c>
      <c r="N11267" s="27" t="s">
        <v>15081</v>
      </c>
      <c r="P11267" s="27" t="s">
        <v>15082</v>
      </c>
      <c r="Q11267" s="26" t="str">
        <f>HYPERLINK("https://ictv.global/taxonomy/taxondetails?taxnode_id=202516588&amp;ictv_id=ICTV202316588","ICTV202316588")</f>
        <v>ICTV202316588</v>
      </c>
      <c r="R11267" t="s">
        <v>581</v>
      </c>
      <c r="S11267" t="s">
        <v>823</v>
      </c>
      <c r="T11267">
        <v>39</v>
      </c>
      <c r="U11267" s="26" t="str">
        <f t="shared" si="413"/>
        <v>2023.001B.Leviviricetes_reorg.zip</v>
      </c>
    </row>
    <row r="11268" spans="1:21">
      <c r="A11268">
        <v>11267</v>
      </c>
      <c r="B11268" s="27" t="s">
        <v>1124</v>
      </c>
      <c r="D11268" s="27" t="s">
        <v>1859</v>
      </c>
      <c r="F11268" s="27" t="s">
        <v>1881</v>
      </c>
      <c r="H11268" s="27" t="s">
        <v>2679</v>
      </c>
      <c r="J11268" s="27" t="s">
        <v>2680</v>
      </c>
      <c r="L11268" s="27" t="s">
        <v>2810</v>
      </c>
      <c r="N11268" s="27" t="s">
        <v>15081</v>
      </c>
      <c r="P11268" s="27" t="s">
        <v>15083</v>
      </c>
      <c r="Q11268" s="26" t="str">
        <f>HYPERLINK("https://ictv.global/taxonomy/taxondetails?taxnode_id=202516589&amp;ictv_id=ICTV202316589","ICTV202316589")</f>
        <v>ICTV202316589</v>
      </c>
      <c r="R11268" t="s">
        <v>581</v>
      </c>
      <c r="S11268" t="s">
        <v>823</v>
      </c>
      <c r="T11268">
        <v>39</v>
      </c>
      <c r="U11268" s="26" t="str">
        <f t="shared" si="413"/>
        <v>2023.001B.Leviviricetes_reorg.zip</v>
      </c>
    </row>
    <row r="11269" spans="1:21">
      <c r="A11269">
        <v>11268</v>
      </c>
      <c r="B11269" s="27" t="s">
        <v>1124</v>
      </c>
      <c r="D11269" s="27" t="s">
        <v>1859</v>
      </c>
      <c r="F11269" s="27" t="s">
        <v>1881</v>
      </c>
      <c r="H11269" s="27" t="s">
        <v>2679</v>
      </c>
      <c r="J11269" s="27" t="s">
        <v>2680</v>
      </c>
      <c r="L11269" s="27" t="s">
        <v>2810</v>
      </c>
      <c r="N11269" s="27" t="s">
        <v>15081</v>
      </c>
      <c r="P11269" s="27" t="s">
        <v>15084</v>
      </c>
      <c r="Q11269" s="26" t="str">
        <f>HYPERLINK("https://ictv.global/taxonomy/taxondetails?taxnode_id=202516590&amp;ictv_id=ICTV202316590","ICTV202316590")</f>
        <v>ICTV202316590</v>
      </c>
      <c r="R11269" t="s">
        <v>581</v>
      </c>
      <c r="S11269" t="s">
        <v>823</v>
      </c>
      <c r="T11269">
        <v>39</v>
      </c>
      <c r="U11269" s="26" t="str">
        <f t="shared" si="413"/>
        <v>2023.001B.Leviviricetes_reorg.zip</v>
      </c>
    </row>
    <row r="11270" spans="1:21">
      <c r="A11270">
        <v>11269</v>
      </c>
      <c r="B11270" s="27" t="s">
        <v>1124</v>
      </c>
      <c r="D11270" s="27" t="s">
        <v>1859</v>
      </c>
      <c r="F11270" s="27" t="s">
        <v>1881</v>
      </c>
      <c r="H11270" s="27" t="s">
        <v>2679</v>
      </c>
      <c r="J11270" s="27" t="s">
        <v>2680</v>
      </c>
      <c r="L11270" s="27" t="s">
        <v>2810</v>
      </c>
      <c r="N11270" s="27" t="s">
        <v>15081</v>
      </c>
      <c r="P11270" s="27" t="s">
        <v>15085</v>
      </c>
      <c r="Q11270" s="26" t="str">
        <f>HYPERLINK("https://ictv.global/taxonomy/taxondetails?taxnode_id=202516591&amp;ictv_id=ICTV202316591","ICTV202316591")</f>
        <v>ICTV202316591</v>
      </c>
      <c r="R11270" t="s">
        <v>581</v>
      </c>
      <c r="S11270" t="s">
        <v>823</v>
      </c>
      <c r="T11270">
        <v>39</v>
      </c>
      <c r="U11270" s="26" t="str">
        <f t="shared" si="413"/>
        <v>2023.001B.Leviviricetes_reorg.zip</v>
      </c>
    </row>
    <row r="11271" spans="1:21">
      <c r="A11271">
        <v>11270</v>
      </c>
      <c r="B11271" s="27" t="s">
        <v>1124</v>
      </c>
      <c r="D11271" s="27" t="s">
        <v>1859</v>
      </c>
      <c r="F11271" s="27" t="s">
        <v>1881</v>
      </c>
      <c r="H11271" s="27" t="s">
        <v>2679</v>
      </c>
      <c r="J11271" s="27" t="s">
        <v>2680</v>
      </c>
      <c r="L11271" s="27" t="s">
        <v>2810</v>
      </c>
      <c r="N11271" s="27" t="s">
        <v>15081</v>
      </c>
      <c r="P11271" s="27" t="s">
        <v>15086</v>
      </c>
      <c r="Q11271" s="26" t="str">
        <f>HYPERLINK("https://ictv.global/taxonomy/taxondetails?taxnode_id=202516592&amp;ictv_id=ICTV202316592","ICTV202316592")</f>
        <v>ICTV202316592</v>
      </c>
      <c r="R11271" t="s">
        <v>581</v>
      </c>
      <c r="S11271" t="s">
        <v>823</v>
      </c>
      <c r="T11271">
        <v>39</v>
      </c>
      <c r="U11271" s="26" t="str">
        <f t="shared" si="413"/>
        <v>2023.001B.Leviviricetes_reorg.zip</v>
      </c>
    </row>
    <row r="11272" spans="1:21">
      <c r="A11272">
        <v>11271</v>
      </c>
      <c r="B11272" s="27" t="s">
        <v>1124</v>
      </c>
      <c r="D11272" s="27" t="s">
        <v>1859</v>
      </c>
      <c r="F11272" s="27" t="s">
        <v>1881</v>
      </c>
      <c r="H11272" s="27" t="s">
        <v>2679</v>
      </c>
      <c r="J11272" s="27" t="s">
        <v>2680</v>
      </c>
      <c r="L11272" s="27" t="s">
        <v>2810</v>
      </c>
      <c r="N11272" s="27" t="s">
        <v>15087</v>
      </c>
      <c r="P11272" s="27" t="s">
        <v>15088</v>
      </c>
      <c r="Q11272" s="26" t="str">
        <f>HYPERLINK("https://ictv.global/taxonomy/taxondetails?taxnode_id=202516593&amp;ictv_id=ICTV202316593","ICTV202316593")</f>
        <v>ICTV202316593</v>
      </c>
      <c r="R11272" t="s">
        <v>581</v>
      </c>
      <c r="S11272" t="s">
        <v>823</v>
      </c>
      <c r="T11272">
        <v>39</v>
      </c>
      <c r="U11272" s="26" t="str">
        <f t="shared" si="413"/>
        <v>2023.001B.Leviviricetes_reorg.zip</v>
      </c>
    </row>
    <row r="11273" spans="1:21">
      <c r="A11273">
        <v>11272</v>
      </c>
      <c r="B11273" s="27" t="s">
        <v>1124</v>
      </c>
      <c r="D11273" s="27" t="s">
        <v>1859</v>
      </c>
      <c r="F11273" s="27" t="s">
        <v>1881</v>
      </c>
      <c r="H11273" s="27" t="s">
        <v>2679</v>
      </c>
      <c r="J11273" s="27" t="s">
        <v>2680</v>
      </c>
      <c r="L11273" s="27" t="s">
        <v>2810</v>
      </c>
      <c r="N11273" s="27" t="s">
        <v>15089</v>
      </c>
      <c r="P11273" s="27" t="s">
        <v>15090</v>
      </c>
      <c r="Q11273" s="26" t="str">
        <f>HYPERLINK("https://ictv.global/taxonomy/taxondetails?taxnode_id=202516594&amp;ictv_id=ICTV202316594","ICTV202316594")</f>
        <v>ICTV202316594</v>
      </c>
      <c r="R11273" t="s">
        <v>581</v>
      </c>
      <c r="S11273" t="s">
        <v>823</v>
      </c>
      <c r="T11273">
        <v>39</v>
      </c>
      <c r="U11273" s="26" t="str">
        <f t="shared" si="413"/>
        <v>2023.001B.Leviviricetes_reorg.zip</v>
      </c>
    </row>
    <row r="11274" spans="1:21">
      <c r="A11274">
        <v>11273</v>
      </c>
      <c r="B11274" s="27" t="s">
        <v>1124</v>
      </c>
      <c r="D11274" s="27" t="s">
        <v>1859</v>
      </c>
      <c r="F11274" s="27" t="s">
        <v>1881</v>
      </c>
      <c r="H11274" s="27" t="s">
        <v>2679</v>
      </c>
      <c r="J11274" s="27" t="s">
        <v>2680</v>
      </c>
      <c r="L11274" s="27" t="s">
        <v>2810</v>
      </c>
      <c r="N11274" s="27" t="s">
        <v>15091</v>
      </c>
      <c r="P11274" s="27" t="s">
        <v>15092</v>
      </c>
      <c r="Q11274" s="26" t="str">
        <f>HYPERLINK("https://ictv.global/taxonomy/taxondetails?taxnode_id=202516595&amp;ictv_id=ICTV202316595","ICTV202316595")</f>
        <v>ICTV202316595</v>
      </c>
      <c r="R11274" t="s">
        <v>581</v>
      </c>
      <c r="S11274" t="s">
        <v>823</v>
      </c>
      <c r="T11274">
        <v>39</v>
      </c>
      <c r="U11274" s="26" t="str">
        <f t="shared" si="413"/>
        <v>2023.001B.Leviviricetes_reorg.zip</v>
      </c>
    </row>
    <row r="11275" spans="1:21">
      <c r="A11275">
        <v>11274</v>
      </c>
      <c r="B11275" s="27" t="s">
        <v>1124</v>
      </c>
      <c r="D11275" s="27" t="s">
        <v>1859</v>
      </c>
      <c r="F11275" s="27" t="s">
        <v>1881</v>
      </c>
      <c r="H11275" s="27" t="s">
        <v>2679</v>
      </c>
      <c r="J11275" s="27" t="s">
        <v>2680</v>
      </c>
      <c r="L11275" s="27" t="s">
        <v>2810</v>
      </c>
      <c r="N11275" s="27" t="s">
        <v>15093</v>
      </c>
      <c r="P11275" s="27" t="s">
        <v>15094</v>
      </c>
      <c r="Q11275" s="26" t="str">
        <f>HYPERLINK("https://ictv.global/taxonomy/taxondetails?taxnode_id=202516596&amp;ictv_id=ICTV202316596","ICTV202316596")</f>
        <v>ICTV202316596</v>
      </c>
      <c r="R11275" t="s">
        <v>581</v>
      </c>
      <c r="S11275" t="s">
        <v>823</v>
      </c>
      <c r="T11275">
        <v>39</v>
      </c>
      <c r="U11275" s="26" t="str">
        <f t="shared" si="413"/>
        <v>2023.001B.Leviviricetes_reorg.zip</v>
      </c>
    </row>
    <row r="11276" spans="1:21">
      <c r="A11276">
        <v>11275</v>
      </c>
      <c r="B11276" s="27" t="s">
        <v>1124</v>
      </c>
      <c r="D11276" s="27" t="s">
        <v>1859</v>
      </c>
      <c r="F11276" s="27" t="s">
        <v>1881</v>
      </c>
      <c r="H11276" s="27" t="s">
        <v>2679</v>
      </c>
      <c r="J11276" s="27" t="s">
        <v>2680</v>
      </c>
      <c r="L11276" s="27" t="s">
        <v>2810</v>
      </c>
      <c r="N11276" s="27" t="s">
        <v>3074</v>
      </c>
      <c r="P11276" s="27" t="s">
        <v>3075</v>
      </c>
      <c r="Q11276" s="26" t="str">
        <f>HYPERLINK("https://ictv.global/taxonomy/taxondetails?taxnode_id=202510582&amp;ictv_id=ICTV202010582","ICTV202010582")</f>
        <v>ICTV202010582</v>
      </c>
      <c r="R11276" t="s">
        <v>581</v>
      </c>
      <c r="S11276" t="s">
        <v>823</v>
      </c>
      <c r="T11276">
        <v>36</v>
      </c>
      <c r="U11276" s="26" t="str">
        <f>HYPERLINK("https://ictv.global/ictv/proposals/2020.095B.R.Leviviricetes.zip","2020.095B.R.Leviviricetes.zip")</f>
        <v>2020.095B.R.Leviviricetes.zip</v>
      </c>
    </row>
    <row r="11277" spans="1:21">
      <c r="A11277">
        <v>11276</v>
      </c>
      <c r="B11277" s="27" t="s">
        <v>1124</v>
      </c>
      <c r="D11277" s="27" t="s">
        <v>1859</v>
      </c>
      <c r="F11277" s="27" t="s">
        <v>1881</v>
      </c>
      <c r="H11277" s="27" t="s">
        <v>2679</v>
      </c>
      <c r="J11277" s="27" t="s">
        <v>2680</v>
      </c>
      <c r="L11277" s="27" t="s">
        <v>2810</v>
      </c>
      <c r="N11277" s="27" t="s">
        <v>3074</v>
      </c>
      <c r="P11277" s="27" t="s">
        <v>15095</v>
      </c>
      <c r="Q11277" s="26" t="str">
        <f>HYPERLINK("https://ictv.global/taxonomy/taxondetails?taxnode_id=202516597&amp;ictv_id=ICTV202316597","ICTV202316597")</f>
        <v>ICTV202316597</v>
      </c>
      <c r="R11277" t="s">
        <v>581</v>
      </c>
      <c r="S11277" t="s">
        <v>823</v>
      </c>
      <c r="T11277">
        <v>39</v>
      </c>
      <c r="U11277" s="26" t="str">
        <f>HYPERLINK("https://ictv.global/ictv/proposals/2023.001B.Leviviricetes_reorg.zip","2023.001B.Leviviricetes_reorg.zip")</f>
        <v>2023.001B.Leviviricetes_reorg.zip</v>
      </c>
    </row>
    <row r="11278" spans="1:21">
      <c r="A11278">
        <v>11277</v>
      </c>
      <c r="B11278" s="27" t="s">
        <v>1124</v>
      </c>
      <c r="D11278" s="27" t="s">
        <v>1859</v>
      </c>
      <c r="F11278" s="27" t="s">
        <v>1881</v>
      </c>
      <c r="H11278" s="27" t="s">
        <v>2679</v>
      </c>
      <c r="J11278" s="27" t="s">
        <v>2680</v>
      </c>
      <c r="L11278" s="27" t="s">
        <v>2810</v>
      </c>
      <c r="N11278" s="27" t="s">
        <v>3074</v>
      </c>
      <c r="P11278" s="27" t="s">
        <v>3076</v>
      </c>
      <c r="Q11278" s="26" t="str">
        <f>HYPERLINK("https://ictv.global/taxonomy/taxondetails?taxnode_id=202510581&amp;ictv_id=ICTV202010581","ICTV202010581")</f>
        <v>ICTV202010581</v>
      </c>
      <c r="R11278" t="s">
        <v>581</v>
      </c>
      <c r="S11278" t="s">
        <v>823</v>
      </c>
      <c r="T11278">
        <v>36</v>
      </c>
      <c r="U11278" s="26" t="str">
        <f>HYPERLINK("https://ictv.global/ictv/proposals/2020.095B.R.Leviviricetes.zip","2020.095B.R.Leviviricetes.zip")</f>
        <v>2020.095B.R.Leviviricetes.zip</v>
      </c>
    </row>
    <row r="11279" spans="1:21">
      <c r="A11279">
        <v>11278</v>
      </c>
      <c r="B11279" s="27" t="s">
        <v>1124</v>
      </c>
      <c r="D11279" s="27" t="s">
        <v>1859</v>
      </c>
      <c r="F11279" s="27" t="s">
        <v>1881</v>
      </c>
      <c r="H11279" s="27" t="s">
        <v>2679</v>
      </c>
      <c r="J11279" s="27" t="s">
        <v>2680</v>
      </c>
      <c r="L11279" s="27" t="s">
        <v>2810</v>
      </c>
      <c r="N11279" s="27" t="s">
        <v>3074</v>
      </c>
      <c r="P11279" s="27" t="s">
        <v>15096</v>
      </c>
      <c r="Q11279" s="26" t="str">
        <f>HYPERLINK("https://ictv.global/taxonomy/taxondetails?taxnode_id=202516598&amp;ictv_id=ICTV202316598","ICTV202316598")</f>
        <v>ICTV202316598</v>
      </c>
      <c r="R11279" t="s">
        <v>581</v>
      </c>
      <c r="S11279" t="s">
        <v>823</v>
      </c>
      <c r="T11279">
        <v>39</v>
      </c>
      <c r="U11279" s="26" t="str">
        <f>HYPERLINK("https://ictv.global/ictv/proposals/2023.001B.Leviviricetes_reorg.zip","2023.001B.Leviviricetes_reorg.zip")</f>
        <v>2023.001B.Leviviricetes_reorg.zip</v>
      </c>
    </row>
    <row r="11280" spans="1:21">
      <c r="A11280">
        <v>11279</v>
      </c>
      <c r="B11280" s="27" t="s">
        <v>1124</v>
      </c>
      <c r="D11280" s="27" t="s">
        <v>1859</v>
      </c>
      <c r="F11280" s="27" t="s">
        <v>1881</v>
      </c>
      <c r="H11280" s="27" t="s">
        <v>2679</v>
      </c>
      <c r="J11280" s="27" t="s">
        <v>2680</v>
      </c>
      <c r="L11280" s="27" t="s">
        <v>2810</v>
      </c>
      <c r="N11280" s="27" t="s">
        <v>3077</v>
      </c>
      <c r="P11280" s="27" t="s">
        <v>3078</v>
      </c>
      <c r="Q11280" s="26" t="str">
        <f>HYPERLINK("https://ictv.global/taxonomy/taxondetails?taxnode_id=202510584&amp;ictv_id=ICTV202010584","ICTV202010584")</f>
        <v>ICTV202010584</v>
      </c>
      <c r="R11280" t="s">
        <v>581</v>
      </c>
      <c r="S11280" t="s">
        <v>823</v>
      </c>
      <c r="T11280">
        <v>36</v>
      </c>
      <c r="U11280" s="26" t="str">
        <f>HYPERLINK("https://ictv.global/ictv/proposals/2020.095B.R.Leviviricetes.zip","2020.095B.R.Leviviricetes.zip")</f>
        <v>2020.095B.R.Leviviricetes.zip</v>
      </c>
    </row>
    <row r="11281" spans="1:21">
      <c r="A11281">
        <v>11280</v>
      </c>
      <c r="B11281" s="27" t="s">
        <v>1124</v>
      </c>
      <c r="D11281" s="27" t="s">
        <v>1859</v>
      </c>
      <c r="F11281" s="27" t="s">
        <v>1881</v>
      </c>
      <c r="H11281" s="27" t="s">
        <v>2679</v>
      </c>
      <c r="J11281" s="27" t="s">
        <v>2680</v>
      </c>
      <c r="L11281" s="27" t="s">
        <v>2810</v>
      </c>
      <c r="N11281" s="27" t="s">
        <v>15097</v>
      </c>
      <c r="P11281" s="27" t="s">
        <v>15098</v>
      </c>
      <c r="Q11281" s="26" t="str">
        <f>HYPERLINK("https://ictv.global/taxonomy/taxondetails?taxnode_id=202516599&amp;ictv_id=ICTV202316599","ICTV202316599")</f>
        <v>ICTV202316599</v>
      </c>
      <c r="R11281" t="s">
        <v>581</v>
      </c>
      <c r="S11281" t="s">
        <v>823</v>
      </c>
      <c r="T11281">
        <v>39</v>
      </c>
      <c r="U11281" s="26" t="str">
        <f>HYPERLINK("https://ictv.global/ictv/proposals/2023.001B.Leviviricetes_reorg.zip","2023.001B.Leviviricetes_reorg.zip")</f>
        <v>2023.001B.Leviviricetes_reorg.zip</v>
      </c>
    </row>
    <row r="11282" spans="1:21">
      <c r="A11282">
        <v>11281</v>
      </c>
      <c r="B11282" s="27" t="s">
        <v>1124</v>
      </c>
      <c r="D11282" s="27" t="s">
        <v>1859</v>
      </c>
      <c r="F11282" s="27" t="s">
        <v>1881</v>
      </c>
      <c r="H11282" s="27" t="s">
        <v>2679</v>
      </c>
      <c r="J11282" s="27" t="s">
        <v>2680</v>
      </c>
      <c r="L11282" s="27" t="s">
        <v>2810</v>
      </c>
      <c r="N11282" s="27" t="s">
        <v>3079</v>
      </c>
      <c r="P11282" s="27" t="s">
        <v>3080</v>
      </c>
      <c r="Q11282" s="26" t="str">
        <f>HYPERLINK("https://ictv.global/taxonomy/taxondetails?taxnode_id=202503755&amp;ictv_id=ICTV19991068","ICTV19991068")</f>
        <v>ICTV19991068</v>
      </c>
      <c r="R11282" t="s">
        <v>581</v>
      </c>
      <c r="S11282" t="s">
        <v>22766</v>
      </c>
      <c r="T11282">
        <v>36</v>
      </c>
      <c r="U11282" s="26" t="str">
        <f>HYPERLINK("https://ictv.global/ictv/proposals/2020.001G.R.Abolish_type_species.pdf","2020.001G.R.Abolish_type_species.pdf")</f>
        <v>2020.001G.R.Abolish_type_species.pdf</v>
      </c>
    </row>
    <row r="11283" spans="1:21">
      <c r="A11283">
        <v>11282</v>
      </c>
      <c r="B11283" s="27" t="s">
        <v>1124</v>
      </c>
      <c r="D11283" s="27" t="s">
        <v>1859</v>
      </c>
      <c r="F11283" s="27" t="s">
        <v>1881</v>
      </c>
      <c r="H11283" s="27" t="s">
        <v>2679</v>
      </c>
      <c r="J11283" s="27" t="s">
        <v>2680</v>
      </c>
      <c r="L11283" s="27" t="s">
        <v>2810</v>
      </c>
      <c r="N11283" s="27" t="s">
        <v>3079</v>
      </c>
      <c r="P11283" s="27" t="s">
        <v>15099</v>
      </c>
      <c r="Q11283" s="26" t="str">
        <f>HYPERLINK("https://ictv.global/taxonomy/taxondetails?taxnode_id=202516600&amp;ictv_id=ICTV202316600","ICTV202316600")</f>
        <v>ICTV202316600</v>
      </c>
      <c r="R11283" t="s">
        <v>581</v>
      </c>
      <c r="S11283" t="s">
        <v>823</v>
      </c>
      <c r="T11283">
        <v>39</v>
      </c>
      <c r="U11283" s="26" t="str">
        <f>HYPERLINK("https://ictv.global/ictv/proposals/2023.001B.Leviviricetes_reorg.zip","2023.001B.Leviviricetes_reorg.zip")</f>
        <v>2023.001B.Leviviricetes_reorg.zip</v>
      </c>
    </row>
    <row r="11284" spans="1:21">
      <c r="A11284">
        <v>11283</v>
      </c>
      <c r="B11284" s="27" t="s">
        <v>1124</v>
      </c>
      <c r="D11284" s="27" t="s">
        <v>1859</v>
      </c>
      <c r="F11284" s="27" t="s">
        <v>1881</v>
      </c>
      <c r="H11284" s="27" t="s">
        <v>2679</v>
      </c>
      <c r="J11284" s="27" t="s">
        <v>2680</v>
      </c>
      <c r="L11284" s="27" t="s">
        <v>2810</v>
      </c>
      <c r="N11284" s="27" t="s">
        <v>3079</v>
      </c>
      <c r="P11284" s="27" t="s">
        <v>3081</v>
      </c>
      <c r="Q11284" s="26" t="str">
        <f>HYPERLINK("https://ictv.global/taxonomy/taxondetails?taxnode_id=202503754&amp;ictv_id=ICTV19991067","ICTV19991067")</f>
        <v>ICTV19991067</v>
      </c>
      <c r="R11284" t="s">
        <v>581</v>
      </c>
      <c r="S11284" t="s">
        <v>824</v>
      </c>
      <c r="T11284">
        <v>36</v>
      </c>
      <c r="U11284" s="26" t="str">
        <f>HYPERLINK("https://ictv.global/ictv/proposals/2020.095B.R.Leviviricetes.zip","2020.095B.R.Leviviricetes.zip")</f>
        <v>2020.095B.R.Leviviricetes.zip</v>
      </c>
    </row>
    <row r="11285" spans="1:21">
      <c r="A11285">
        <v>11284</v>
      </c>
      <c r="B11285" s="27" t="s">
        <v>1124</v>
      </c>
      <c r="D11285" s="27" t="s">
        <v>1859</v>
      </c>
      <c r="F11285" s="27" t="s">
        <v>1881</v>
      </c>
      <c r="H11285" s="27" t="s">
        <v>2679</v>
      </c>
      <c r="J11285" s="27" t="s">
        <v>2680</v>
      </c>
      <c r="L11285" s="27" t="s">
        <v>2810</v>
      </c>
      <c r="N11285" s="27" t="s">
        <v>15100</v>
      </c>
      <c r="P11285" s="27" t="s">
        <v>15101</v>
      </c>
      <c r="Q11285" s="26" t="str">
        <f>HYPERLINK("https://ictv.global/taxonomy/taxondetails?taxnode_id=202516601&amp;ictv_id=ICTV202316601","ICTV202316601")</f>
        <v>ICTV202316601</v>
      </c>
      <c r="R11285" t="s">
        <v>581</v>
      </c>
      <c r="S11285" t="s">
        <v>823</v>
      </c>
      <c r="T11285">
        <v>39</v>
      </c>
      <c r="U11285" s="26" t="str">
        <f t="shared" ref="U11285:U11322" si="414">HYPERLINK("https://ictv.global/ictv/proposals/2023.001B.Leviviricetes_reorg.zip","2023.001B.Leviviricetes_reorg.zip")</f>
        <v>2023.001B.Leviviricetes_reorg.zip</v>
      </c>
    </row>
    <row r="11286" spans="1:21">
      <c r="A11286">
        <v>11285</v>
      </c>
      <c r="B11286" s="27" t="s">
        <v>1124</v>
      </c>
      <c r="D11286" s="27" t="s">
        <v>1859</v>
      </c>
      <c r="F11286" s="27" t="s">
        <v>1881</v>
      </c>
      <c r="H11286" s="27" t="s">
        <v>2679</v>
      </c>
      <c r="J11286" s="27" t="s">
        <v>2680</v>
      </c>
      <c r="L11286" s="27" t="s">
        <v>2810</v>
      </c>
      <c r="N11286" s="27" t="s">
        <v>15100</v>
      </c>
      <c r="P11286" s="27" t="s">
        <v>15102</v>
      </c>
      <c r="Q11286" s="26" t="str">
        <f>HYPERLINK("https://ictv.global/taxonomy/taxondetails?taxnode_id=202516602&amp;ictv_id=ICTV202316602","ICTV202316602")</f>
        <v>ICTV202316602</v>
      </c>
      <c r="R11286" t="s">
        <v>581</v>
      </c>
      <c r="S11286" t="s">
        <v>823</v>
      </c>
      <c r="T11286">
        <v>39</v>
      </c>
      <c r="U11286" s="26" t="str">
        <f t="shared" si="414"/>
        <v>2023.001B.Leviviricetes_reorg.zip</v>
      </c>
    </row>
    <row r="11287" spans="1:21">
      <c r="A11287">
        <v>11286</v>
      </c>
      <c r="B11287" s="27" t="s">
        <v>1124</v>
      </c>
      <c r="D11287" s="27" t="s">
        <v>1859</v>
      </c>
      <c r="F11287" s="27" t="s">
        <v>1881</v>
      </c>
      <c r="H11287" s="27" t="s">
        <v>2679</v>
      </c>
      <c r="J11287" s="27" t="s">
        <v>2680</v>
      </c>
      <c r="L11287" s="27" t="s">
        <v>2810</v>
      </c>
      <c r="N11287" s="27" t="s">
        <v>15100</v>
      </c>
      <c r="P11287" s="27" t="s">
        <v>15103</v>
      </c>
      <c r="Q11287" s="26" t="str">
        <f>HYPERLINK("https://ictv.global/taxonomy/taxondetails?taxnode_id=202516603&amp;ictv_id=ICTV202316603","ICTV202316603")</f>
        <v>ICTV202316603</v>
      </c>
      <c r="R11287" t="s">
        <v>581</v>
      </c>
      <c r="S11287" t="s">
        <v>823</v>
      </c>
      <c r="T11287">
        <v>39</v>
      </c>
      <c r="U11287" s="26" t="str">
        <f t="shared" si="414"/>
        <v>2023.001B.Leviviricetes_reorg.zip</v>
      </c>
    </row>
    <row r="11288" spans="1:21">
      <c r="A11288">
        <v>11287</v>
      </c>
      <c r="B11288" s="27" t="s">
        <v>1124</v>
      </c>
      <c r="D11288" s="27" t="s">
        <v>1859</v>
      </c>
      <c r="F11288" s="27" t="s">
        <v>1881</v>
      </c>
      <c r="H11288" s="27" t="s">
        <v>2679</v>
      </c>
      <c r="J11288" s="27" t="s">
        <v>2680</v>
      </c>
      <c r="L11288" s="27" t="s">
        <v>2810</v>
      </c>
      <c r="N11288" s="27" t="s">
        <v>15100</v>
      </c>
      <c r="P11288" s="27" t="s">
        <v>15104</v>
      </c>
      <c r="Q11288" s="26" t="str">
        <f>HYPERLINK("https://ictv.global/taxonomy/taxondetails?taxnode_id=202516604&amp;ictv_id=ICTV202316604","ICTV202316604")</f>
        <v>ICTV202316604</v>
      </c>
      <c r="R11288" t="s">
        <v>581</v>
      </c>
      <c r="S11288" t="s">
        <v>823</v>
      </c>
      <c r="T11288">
        <v>39</v>
      </c>
      <c r="U11288" s="26" t="str">
        <f t="shared" si="414"/>
        <v>2023.001B.Leviviricetes_reorg.zip</v>
      </c>
    </row>
    <row r="11289" spans="1:21">
      <c r="A11289">
        <v>11288</v>
      </c>
      <c r="B11289" s="27" t="s">
        <v>1124</v>
      </c>
      <c r="D11289" s="27" t="s">
        <v>1859</v>
      </c>
      <c r="F11289" s="27" t="s">
        <v>1881</v>
      </c>
      <c r="H11289" s="27" t="s">
        <v>2679</v>
      </c>
      <c r="J11289" s="27" t="s">
        <v>2680</v>
      </c>
      <c r="L11289" s="27" t="s">
        <v>2810</v>
      </c>
      <c r="N11289" s="27" t="s">
        <v>15100</v>
      </c>
      <c r="P11289" s="27" t="s">
        <v>15105</v>
      </c>
      <c r="Q11289" s="26" t="str">
        <f>HYPERLINK("https://ictv.global/taxonomy/taxondetails?taxnode_id=202516605&amp;ictv_id=ICTV202316605","ICTV202316605")</f>
        <v>ICTV202316605</v>
      </c>
      <c r="R11289" t="s">
        <v>581</v>
      </c>
      <c r="S11289" t="s">
        <v>823</v>
      </c>
      <c r="T11289">
        <v>39</v>
      </c>
      <c r="U11289" s="26" t="str">
        <f t="shared" si="414"/>
        <v>2023.001B.Leviviricetes_reorg.zip</v>
      </c>
    </row>
    <row r="11290" spans="1:21">
      <c r="A11290">
        <v>11289</v>
      </c>
      <c r="B11290" s="27" t="s">
        <v>1124</v>
      </c>
      <c r="D11290" s="27" t="s">
        <v>1859</v>
      </c>
      <c r="F11290" s="27" t="s">
        <v>1881</v>
      </c>
      <c r="H11290" s="27" t="s">
        <v>2679</v>
      </c>
      <c r="J11290" s="27" t="s">
        <v>2680</v>
      </c>
      <c r="L11290" s="27" t="s">
        <v>2810</v>
      </c>
      <c r="N11290" s="27" t="s">
        <v>15100</v>
      </c>
      <c r="P11290" s="27" t="s">
        <v>15106</v>
      </c>
      <c r="Q11290" s="26" t="str">
        <f>HYPERLINK("https://ictv.global/taxonomy/taxondetails?taxnode_id=202516606&amp;ictv_id=ICTV202316606","ICTV202316606")</f>
        <v>ICTV202316606</v>
      </c>
      <c r="R11290" t="s">
        <v>581</v>
      </c>
      <c r="S11290" t="s">
        <v>823</v>
      </c>
      <c r="T11290">
        <v>39</v>
      </c>
      <c r="U11290" s="26" t="str">
        <f t="shared" si="414"/>
        <v>2023.001B.Leviviricetes_reorg.zip</v>
      </c>
    </row>
    <row r="11291" spans="1:21">
      <c r="A11291">
        <v>11290</v>
      </c>
      <c r="B11291" s="27" t="s">
        <v>1124</v>
      </c>
      <c r="D11291" s="27" t="s">
        <v>1859</v>
      </c>
      <c r="F11291" s="27" t="s">
        <v>1881</v>
      </c>
      <c r="H11291" s="27" t="s">
        <v>2679</v>
      </c>
      <c r="J11291" s="27" t="s">
        <v>2680</v>
      </c>
      <c r="L11291" s="27" t="s">
        <v>2810</v>
      </c>
      <c r="N11291" s="27" t="s">
        <v>3082</v>
      </c>
      <c r="P11291" s="27" t="s">
        <v>15107</v>
      </c>
      <c r="Q11291" s="26" t="str">
        <f>HYPERLINK("https://ictv.global/taxonomy/taxondetails?taxnode_id=202516607&amp;ictv_id=ICTV202316607","ICTV202316607")</f>
        <v>ICTV202316607</v>
      </c>
      <c r="R11291" t="s">
        <v>581</v>
      </c>
      <c r="S11291" t="s">
        <v>823</v>
      </c>
      <c r="T11291">
        <v>39</v>
      </c>
      <c r="U11291" s="26" t="str">
        <f t="shared" si="414"/>
        <v>2023.001B.Leviviricetes_reorg.zip</v>
      </c>
    </row>
    <row r="11292" spans="1:21">
      <c r="A11292">
        <v>11291</v>
      </c>
      <c r="B11292" s="27" t="s">
        <v>1124</v>
      </c>
      <c r="D11292" s="27" t="s">
        <v>1859</v>
      </c>
      <c r="F11292" s="27" t="s">
        <v>1881</v>
      </c>
      <c r="H11292" s="27" t="s">
        <v>2679</v>
      </c>
      <c r="J11292" s="27" t="s">
        <v>2680</v>
      </c>
      <c r="L11292" s="27" t="s">
        <v>2810</v>
      </c>
      <c r="N11292" s="27" t="s">
        <v>3082</v>
      </c>
      <c r="P11292" s="27" t="s">
        <v>15108</v>
      </c>
      <c r="Q11292" s="26" t="str">
        <f>HYPERLINK("https://ictv.global/taxonomy/taxondetails?taxnode_id=202516608&amp;ictv_id=ICTV202316608","ICTV202316608")</f>
        <v>ICTV202316608</v>
      </c>
      <c r="R11292" t="s">
        <v>581</v>
      </c>
      <c r="S11292" t="s">
        <v>823</v>
      </c>
      <c r="T11292">
        <v>39</v>
      </c>
      <c r="U11292" s="26" t="str">
        <f t="shared" si="414"/>
        <v>2023.001B.Leviviricetes_reorg.zip</v>
      </c>
    </row>
    <row r="11293" spans="1:21">
      <c r="A11293">
        <v>11292</v>
      </c>
      <c r="B11293" s="27" t="s">
        <v>1124</v>
      </c>
      <c r="D11293" s="27" t="s">
        <v>1859</v>
      </c>
      <c r="F11293" s="27" t="s">
        <v>1881</v>
      </c>
      <c r="H11293" s="27" t="s">
        <v>2679</v>
      </c>
      <c r="J11293" s="27" t="s">
        <v>2680</v>
      </c>
      <c r="L11293" s="27" t="s">
        <v>2810</v>
      </c>
      <c r="N11293" s="27" t="s">
        <v>3082</v>
      </c>
      <c r="P11293" s="27" t="s">
        <v>15109</v>
      </c>
      <c r="Q11293" s="26" t="str">
        <f>HYPERLINK("https://ictv.global/taxonomy/taxondetails?taxnode_id=202516609&amp;ictv_id=ICTV202316609","ICTV202316609")</f>
        <v>ICTV202316609</v>
      </c>
      <c r="R11293" t="s">
        <v>581</v>
      </c>
      <c r="S11293" t="s">
        <v>823</v>
      </c>
      <c r="T11293">
        <v>39</v>
      </c>
      <c r="U11293" s="26" t="str">
        <f t="shared" si="414"/>
        <v>2023.001B.Leviviricetes_reorg.zip</v>
      </c>
    </row>
    <row r="11294" spans="1:21">
      <c r="A11294">
        <v>11293</v>
      </c>
      <c r="B11294" s="27" t="s">
        <v>1124</v>
      </c>
      <c r="D11294" s="27" t="s">
        <v>1859</v>
      </c>
      <c r="F11294" s="27" t="s">
        <v>1881</v>
      </c>
      <c r="H11294" s="27" t="s">
        <v>2679</v>
      </c>
      <c r="J11294" s="27" t="s">
        <v>2680</v>
      </c>
      <c r="L11294" s="27" t="s">
        <v>2810</v>
      </c>
      <c r="N11294" s="27" t="s">
        <v>3082</v>
      </c>
      <c r="P11294" s="27" t="s">
        <v>15110</v>
      </c>
      <c r="Q11294" s="26" t="str">
        <f>HYPERLINK("https://ictv.global/taxonomy/taxondetails?taxnode_id=202516610&amp;ictv_id=ICTV202316610","ICTV202316610")</f>
        <v>ICTV202316610</v>
      </c>
      <c r="R11294" t="s">
        <v>581</v>
      </c>
      <c r="S11294" t="s">
        <v>823</v>
      </c>
      <c r="T11294">
        <v>39</v>
      </c>
      <c r="U11294" s="26" t="str">
        <f t="shared" si="414"/>
        <v>2023.001B.Leviviricetes_reorg.zip</v>
      </c>
    </row>
    <row r="11295" spans="1:21">
      <c r="A11295">
        <v>11294</v>
      </c>
      <c r="B11295" s="27" t="s">
        <v>1124</v>
      </c>
      <c r="D11295" s="27" t="s">
        <v>1859</v>
      </c>
      <c r="F11295" s="27" t="s">
        <v>1881</v>
      </c>
      <c r="H11295" s="27" t="s">
        <v>2679</v>
      </c>
      <c r="J11295" s="27" t="s">
        <v>2680</v>
      </c>
      <c r="L11295" s="27" t="s">
        <v>2810</v>
      </c>
      <c r="N11295" s="27" t="s">
        <v>3082</v>
      </c>
      <c r="P11295" s="27" t="s">
        <v>15111</v>
      </c>
      <c r="Q11295" s="26" t="str">
        <f>HYPERLINK("https://ictv.global/taxonomy/taxondetails?taxnode_id=202516611&amp;ictv_id=ICTV202316611","ICTV202316611")</f>
        <v>ICTV202316611</v>
      </c>
      <c r="R11295" t="s">
        <v>581</v>
      </c>
      <c r="S11295" t="s">
        <v>823</v>
      </c>
      <c r="T11295">
        <v>39</v>
      </c>
      <c r="U11295" s="26" t="str">
        <f t="shared" si="414"/>
        <v>2023.001B.Leviviricetes_reorg.zip</v>
      </c>
    </row>
    <row r="11296" spans="1:21">
      <c r="A11296">
        <v>11295</v>
      </c>
      <c r="B11296" s="27" t="s">
        <v>1124</v>
      </c>
      <c r="D11296" s="27" t="s">
        <v>1859</v>
      </c>
      <c r="F11296" s="27" t="s">
        <v>1881</v>
      </c>
      <c r="H11296" s="27" t="s">
        <v>2679</v>
      </c>
      <c r="J11296" s="27" t="s">
        <v>2680</v>
      </c>
      <c r="L11296" s="27" t="s">
        <v>2810</v>
      </c>
      <c r="N11296" s="27" t="s">
        <v>3082</v>
      </c>
      <c r="P11296" s="27" t="s">
        <v>15112</v>
      </c>
      <c r="Q11296" s="26" t="str">
        <f>HYPERLINK("https://ictv.global/taxonomy/taxondetails?taxnode_id=202516612&amp;ictv_id=ICTV202316612","ICTV202316612")</f>
        <v>ICTV202316612</v>
      </c>
      <c r="R11296" t="s">
        <v>581</v>
      </c>
      <c r="S11296" t="s">
        <v>823</v>
      </c>
      <c r="T11296">
        <v>39</v>
      </c>
      <c r="U11296" s="26" t="str">
        <f t="shared" si="414"/>
        <v>2023.001B.Leviviricetes_reorg.zip</v>
      </c>
    </row>
    <row r="11297" spans="1:21">
      <c r="A11297">
        <v>11296</v>
      </c>
      <c r="B11297" s="27" t="s">
        <v>1124</v>
      </c>
      <c r="D11297" s="27" t="s">
        <v>1859</v>
      </c>
      <c r="F11297" s="27" t="s">
        <v>1881</v>
      </c>
      <c r="H11297" s="27" t="s">
        <v>2679</v>
      </c>
      <c r="J11297" s="27" t="s">
        <v>2680</v>
      </c>
      <c r="L11297" s="27" t="s">
        <v>2810</v>
      </c>
      <c r="N11297" s="27" t="s">
        <v>3082</v>
      </c>
      <c r="P11297" s="27" t="s">
        <v>15113</v>
      </c>
      <c r="Q11297" s="26" t="str">
        <f>HYPERLINK("https://ictv.global/taxonomy/taxondetails?taxnode_id=202516613&amp;ictv_id=ICTV202316613","ICTV202316613")</f>
        <v>ICTV202316613</v>
      </c>
      <c r="R11297" t="s">
        <v>581</v>
      </c>
      <c r="S11297" t="s">
        <v>823</v>
      </c>
      <c r="T11297">
        <v>39</v>
      </c>
      <c r="U11297" s="26" t="str">
        <f t="shared" si="414"/>
        <v>2023.001B.Leviviricetes_reorg.zip</v>
      </c>
    </row>
    <row r="11298" spans="1:21">
      <c r="A11298">
        <v>11297</v>
      </c>
      <c r="B11298" s="27" t="s">
        <v>1124</v>
      </c>
      <c r="D11298" s="27" t="s">
        <v>1859</v>
      </c>
      <c r="F11298" s="27" t="s">
        <v>1881</v>
      </c>
      <c r="H11298" s="27" t="s">
        <v>2679</v>
      </c>
      <c r="J11298" s="27" t="s">
        <v>2680</v>
      </c>
      <c r="L11298" s="27" t="s">
        <v>2810</v>
      </c>
      <c r="N11298" s="27" t="s">
        <v>3082</v>
      </c>
      <c r="P11298" s="27" t="s">
        <v>15114</v>
      </c>
      <c r="Q11298" s="26" t="str">
        <f>HYPERLINK("https://ictv.global/taxonomy/taxondetails?taxnode_id=202516614&amp;ictv_id=ICTV202316614","ICTV202316614")</f>
        <v>ICTV202316614</v>
      </c>
      <c r="R11298" t="s">
        <v>581</v>
      </c>
      <c r="S11298" t="s">
        <v>823</v>
      </c>
      <c r="T11298">
        <v>39</v>
      </c>
      <c r="U11298" s="26" t="str">
        <f t="shared" si="414"/>
        <v>2023.001B.Leviviricetes_reorg.zip</v>
      </c>
    </row>
    <row r="11299" spans="1:21">
      <c r="A11299">
        <v>11298</v>
      </c>
      <c r="B11299" s="27" t="s">
        <v>1124</v>
      </c>
      <c r="D11299" s="27" t="s">
        <v>1859</v>
      </c>
      <c r="F11299" s="27" t="s">
        <v>1881</v>
      </c>
      <c r="H11299" s="27" t="s">
        <v>2679</v>
      </c>
      <c r="J11299" s="27" t="s">
        <v>2680</v>
      </c>
      <c r="L11299" s="27" t="s">
        <v>2810</v>
      </c>
      <c r="N11299" s="27" t="s">
        <v>3082</v>
      </c>
      <c r="P11299" s="27" t="s">
        <v>15115</v>
      </c>
      <c r="Q11299" s="26" t="str">
        <f>HYPERLINK("https://ictv.global/taxonomy/taxondetails?taxnode_id=202516615&amp;ictv_id=ICTV202316615","ICTV202316615")</f>
        <v>ICTV202316615</v>
      </c>
      <c r="R11299" t="s">
        <v>581</v>
      </c>
      <c r="S11299" t="s">
        <v>823</v>
      </c>
      <c r="T11299">
        <v>39</v>
      </c>
      <c r="U11299" s="26" t="str">
        <f t="shared" si="414"/>
        <v>2023.001B.Leviviricetes_reorg.zip</v>
      </c>
    </row>
    <row r="11300" spans="1:21">
      <c r="A11300">
        <v>11299</v>
      </c>
      <c r="B11300" s="27" t="s">
        <v>1124</v>
      </c>
      <c r="D11300" s="27" t="s">
        <v>1859</v>
      </c>
      <c r="F11300" s="27" t="s">
        <v>1881</v>
      </c>
      <c r="H11300" s="27" t="s">
        <v>2679</v>
      </c>
      <c r="J11300" s="27" t="s">
        <v>2680</v>
      </c>
      <c r="L11300" s="27" t="s">
        <v>2810</v>
      </c>
      <c r="N11300" s="27" t="s">
        <v>3082</v>
      </c>
      <c r="P11300" s="27" t="s">
        <v>15116</v>
      </c>
      <c r="Q11300" s="26" t="str">
        <f>HYPERLINK("https://ictv.global/taxonomy/taxondetails?taxnode_id=202516616&amp;ictv_id=ICTV202316616","ICTV202316616")</f>
        <v>ICTV202316616</v>
      </c>
      <c r="R11300" t="s">
        <v>581</v>
      </c>
      <c r="S11300" t="s">
        <v>823</v>
      </c>
      <c r="T11300">
        <v>39</v>
      </c>
      <c r="U11300" s="26" t="str">
        <f t="shared" si="414"/>
        <v>2023.001B.Leviviricetes_reorg.zip</v>
      </c>
    </row>
    <row r="11301" spans="1:21">
      <c r="A11301">
        <v>11300</v>
      </c>
      <c r="B11301" s="27" t="s">
        <v>1124</v>
      </c>
      <c r="D11301" s="27" t="s">
        <v>1859</v>
      </c>
      <c r="F11301" s="27" t="s">
        <v>1881</v>
      </c>
      <c r="H11301" s="27" t="s">
        <v>2679</v>
      </c>
      <c r="J11301" s="27" t="s">
        <v>2680</v>
      </c>
      <c r="L11301" s="27" t="s">
        <v>2810</v>
      </c>
      <c r="N11301" s="27" t="s">
        <v>3082</v>
      </c>
      <c r="P11301" s="27" t="s">
        <v>15117</v>
      </c>
      <c r="Q11301" s="26" t="str">
        <f>HYPERLINK("https://ictv.global/taxonomy/taxondetails?taxnode_id=202516617&amp;ictv_id=ICTV202316617","ICTV202316617")</f>
        <v>ICTV202316617</v>
      </c>
      <c r="R11301" t="s">
        <v>581</v>
      </c>
      <c r="S11301" t="s">
        <v>823</v>
      </c>
      <c r="T11301">
        <v>39</v>
      </c>
      <c r="U11301" s="26" t="str">
        <f t="shared" si="414"/>
        <v>2023.001B.Leviviricetes_reorg.zip</v>
      </c>
    </row>
    <row r="11302" spans="1:21">
      <c r="A11302">
        <v>11301</v>
      </c>
      <c r="B11302" s="27" t="s">
        <v>1124</v>
      </c>
      <c r="D11302" s="27" t="s">
        <v>1859</v>
      </c>
      <c r="F11302" s="27" t="s">
        <v>1881</v>
      </c>
      <c r="H11302" s="27" t="s">
        <v>2679</v>
      </c>
      <c r="J11302" s="27" t="s">
        <v>2680</v>
      </c>
      <c r="L11302" s="27" t="s">
        <v>2810</v>
      </c>
      <c r="N11302" s="27" t="s">
        <v>3082</v>
      </c>
      <c r="P11302" s="27" t="s">
        <v>15118</v>
      </c>
      <c r="Q11302" s="26" t="str">
        <f>HYPERLINK("https://ictv.global/taxonomy/taxondetails?taxnode_id=202510575&amp;ictv_id=ICTV202010575","ICTV202010575")</f>
        <v>ICTV202010575</v>
      </c>
      <c r="R11302" t="s">
        <v>581</v>
      </c>
      <c r="S11302" t="s">
        <v>22764</v>
      </c>
      <c r="T11302">
        <v>39</v>
      </c>
      <c r="U11302" s="26" t="str">
        <f t="shared" si="414"/>
        <v>2023.001B.Leviviricetes_reorg.zip</v>
      </c>
    </row>
    <row r="11303" spans="1:21">
      <c r="A11303">
        <v>11302</v>
      </c>
      <c r="B11303" s="27" t="s">
        <v>1124</v>
      </c>
      <c r="D11303" s="27" t="s">
        <v>1859</v>
      </c>
      <c r="F11303" s="27" t="s">
        <v>1881</v>
      </c>
      <c r="H11303" s="27" t="s">
        <v>2679</v>
      </c>
      <c r="J11303" s="27" t="s">
        <v>2680</v>
      </c>
      <c r="L11303" s="27" t="s">
        <v>2810</v>
      </c>
      <c r="N11303" s="27" t="s">
        <v>3082</v>
      </c>
      <c r="P11303" s="27" t="s">
        <v>15119</v>
      </c>
      <c r="Q11303" s="26" t="str">
        <f>HYPERLINK("https://ictv.global/taxonomy/taxondetails?taxnode_id=202510577&amp;ictv_id=ICTV202010577","ICTV202010577")</f>
        <v>ICTV202010577</v>
      </c>
      <c r="R11303" t="s">
        <v>581</v>
      </c>
      <c r="S11303" t="s">
        <v>22764</v>
      </c>
      <c r="T11303">
        <v>39</v>
      </c>
      <c r="U11303" s="26" t="str">
        <f t="shared" si="414"/>
        <v>2023.001B.Leviviricetes_reorg.zip</v>
      </c>
    </row>
    <row r="11304" spans="1:21">
      <c r="A11304">
        <v>11303</v>
      </c>
      <c r="B11304" s="27" t="s">
        <v>1124</v>
      </c>
      <c r="D11304" s="27" t="s">
        <v>1859</v>
      </c>
      <c r="F11304" s="27" t="s">
        <v>1881</v>
      </c>
      <c r="H11304" s="27" t="s">
        <v>2679</v>
      </c>
      <c r="J11304" s="27" t="s">
        <v>2680</v>
      </c>
      <c r="L11304" s="27" t="s">
        <v>2810</v>
      </c>
      <c r="N11304" s="27" t="s">
        <v>3082</v>
      </c>
      <c r="P11304" s="27" t="s">
        <v>15120</v>
      </c>
      <c r="Q11304" s="26" t="str">
        <f>HYPERLINK("https://ictv.global/taxonomy/taxondetails?taxnode_id=202510576&amp;ictv_id=ICTV202010576","ICTV202010576")</f>
        <v>ICTV202010576</v>
      </c>
      <c r="R11304" t="s">
        <v>581</v>
      </c>
      <c r="S11304" t="s">
        <v>22764</v>
      </c>
      <c r="T11304">
        <v>39</v>
      </c>
      <c r="U11304" s="26" t="str">
        <f t="shared" si="414"/>
        <v>2023.001B.Leviviricetes_reorg.zip</v>
      </c>
    </row>
    <row r="11305" spans="1:21">
      <c r="A11305">
        <v>11304</v>
      </c>
      <c r="B11305" s="27" t="s">
        <v>1124</v>
      </c>
      <c r="D11305" s="27" t="s">
        <v>1859</v>
      </c>
      <c r="F11305" s="27" t="s">
        <v>1881</v>
      </c>
      <c r="H11305" s="27" t="s">
        <v>2679</v>
      </c>
      <c r="J11305" s="27" t="s">
        <v>2680</v>
      </c>
      <c r="L11305" s="27" t="s">
        <v>2810</v>
      </c>
      <c r="N11305" s="27" t="s">
        <v>3082</v>
      </c>
      <c r="P11305" s="27" t="s">
        <v>15121</v>
      </c>
      <c r="Q11305" s="26" t="str">
        <f>HYPERLINK("https://ictv.global/taxonomy/taxondetails?taxnode_id=202510574&amp;ictv_id=ICTV202010574","ICTV202010574")</f>
        <v>ICTV202010574</v>
      </c>
      <c r="R11305" t="s">
        <v>581</v>
      </c>
      <c r="S11305" t="s">
        <v>22764</v>
      </c>
      <c r="T11305">
        <v>39</v>
      </c>
      <c r="U11305" s="26" t="str">
        <f t="shared" si="414"/>
        <v>2023.001B.Leviviricetes_reorg.zip</v>
      </c>
    </row>
    <row r="11306" spans="1:21">
      <c r="A11306">
        <v>11305</v>
      </c>
      <c r="B11306" s="27" t="s">
        <v>1124</v>
      </c>
      <c r="D11306" s="27" t="s">
        <v>1859</v>
      </c>
      <c r="F11306" s="27" t="s">
        <v>1881</v>
      </c>
      <c r="H11306" s="27" t="s">
        <v>2679</v>
      </c>
      <c r="J11306" s="27" t="s">
        <v>2680</v>
      </c>
      <c r="L11306" s="27" t="s">
        <v>2810</v>
      </c>
      <c r="N11306" s="27" t="s">
        <v>3082</v>
      </c>
      <c r="P11306" s="27" t="s">
        <v>15122</v>
      </c>
      <c r="Q11306" s="26" t="str">
        <f>HYPERLINK("https://ictv.global/taxonomy/taxondetails?taxnode_id=202510578&amp;ictv_id=ICTV202010578","ICTV202010578")</f>
        <v>ICTV202010578</v>
      </c>
      <c r="R11306" t="s">
        <v>581</v>
      </c>
      <c r="S11306" t="s">
        <v>22764</v>
      </c>
      <c r="T11306">
        <v>39</v>
      </c>
      <c r="U11306" s="26" t="str">
        <f t="shared" si="414"/>
        <v>2023.001B.Leviviricetes_reorg.zip</v>
      </c>
    </row>
    <row r="11307" spans="1:21">
      <c r="A11307">
        <v>11306</v>
      </c>
      <c r="B11307" s="27" t="s">
        <v>1124</v>
      </c>
      <c r="D11307" s="27" t="s">
        <v>1859</v>
      </c>
      <c r="F11307" s="27" t="s">
        <v>1881</v>
      </c>
      <c r="H11307" s="27" t="s">
        <v>2679</v>
      </c>
      <c r="J11307" s="27" t="s">
        <v>2680</v>
      </c>
      <c r="L11307" s="27" t="s">
        <v>2810</v>
      </c>
      <c r="N11307" s="27" t="s">
        <v>3082</v>
      </c>
      <c r="P11307" s="27" t="s">
        <v>15123</v>
      </c>
      <c r="Q11307" s="26" t="str">
        <f>HYPERLINK("https://ictv.global/taxonomy/taxondetails?taxnode_id=202510579&amp;ictv_id=ICTV202010579","ICTV202010579")</f>
        <v>ICTV202010579</v>
      </c>
      <c r="R11307" t="s">
        <v>581</v>
      </c>
      <c r="S11307" t="s">
        <v>22764</v>
      </c>
      <c r="T11307">
        <v>39</v>
      </c>
      <c r="U11307" s="26" t="str">
        <f t="shared" si="414"/>
        <v>2023.001B.Leviviricetes_reorg.zip</v>
      </c>
    </row>
    <row r="11308" spans="1:21">
      <c r="A11308">
        <v>11307</v>
      </c>
      <c r="B11308" s="27" t="s">
        <v>1124</v>
      </c>
      <c r="D11308" s="27" t="s">
        <v>1859</v>
      </c>
      <c r="F11308" s="27" t="s">
        <v>1881</v>
      </c>
      <c r="H11308" s="27" t="s">
        <v>2679</v>
      </c>
      <c r="J11308" s="27" t="s">
        <v>2680</v>
      </c>
      <c r="L11308" s="27" t="s">
        <v>2810</v>
      </c>
      <c r="N11308" s="27" t="s">
        <v>3082</v>
      </c>
      <c r="P11308" s="27" t="s">
        <v>15124</v>
      </c>
      <c r="Q11308" s="26" t="str">
        <f>HYPERLINK("https://ictv.global/taxonomy/taxondetails?taxnode_id=202516618&amp;ictv_id=ICTV202316618","ICTV202316618")</f>
        <v>ICTV202316618</v>
      </c>
      <c r="R11308" t="s">
        <v>581</v>
      </c>
      <c r="S11308" t="s">
        <v>823</v>
      </c>
      <c r="T11308">
        <v>39</v>
      </c>
      <c r="U11308" s="26" t="str">
        <f t="shared" si="414"/>
        <v>2023.001B.Leviviricetes_reorg.zip</v>
      </c>
    </row>
    <row r="11309" spans="1:21">
      <c r="A11309">
        <v>11308</v>
      </c>
      <c r="B11309" s="27" t="s">
        <v>1124</v>
      </c>
      <c r="D11309" s="27" t="s">
        <v>1859</v>
      </c>
      <c r="F11309" s="27" t="s">
        <v>1881</v>
      </c>
      <c r="H11309" s="27" t="s">
        <v>2679</v>
      </c>
      <c r="J11309" s="27" t="s">
        <v>2680</v>
      </c>
      <c r="L11309" s="27" t="s">
        <v>2810</v>
      </c>
      <c r="N11309" s="27" t="s">
        <v>3082</v>
      </c>
      <c r="P11309" s="27" t="s">
        <v>15125</v>
      </c>
      <c r="Q11309" s="26" t="str">
        <f>HYPERLINK("https://ictv.global/taxonomy/taxondetails?taxnode_id=202516619&amp;ictv_id=ICTV202316619","ICTV202316619")</f>
        <v>ICTV202316619</v>
      </c>
      <c r="R11309" t="s">
        <v>581</v>
      </c>
      <c r="S11309" t="s">
        <v>823</v>
      </c>
      <c r="T11309">
        <v>39</v>
      </c>
      <c r="U11309" s="26" t="str">
        <f t="shared" si="414"/>
        <v>2023.001B.Leviviricetes_reorg.zip</v>
      </c>
    </row>
    <row r="11310" spans="1:21">
      <c r="A11310">
        <v>11309</v>
      </c>
      <c r="B11310" s="27" t="s">
        <v>1124</v>
      </c>
      <c r="D11310" s="27" t="s">
        <v>1859</v>
      </c>
      <c r="F11310" s="27" t="s">
        <v>1881</v>
      </c>
      <c r="H11310" s="27" t="s">
        <v>2679</v>
      </c>
      <c r="J11310" s="27" t="s">
        <v>2680</v>
      </c>
      <c r="L11310" s="27" t="s">
        <v>2810</v>
      </c>
      <c r="N11310" s="27" t="s">
        <v>3082</v>
      </c>
      <c r="P11310" s="27" t="s">
        <v>15126</v>
      </c>
      <c r="Q11310" s="26" t="str">
        <f>HYPERLINK("https://ictv.global/taxonomy/taxondetails?taxnode_id=202516620&amp;ictv_id=ICTV202316620","ICTV202316620")</f>
        <v>ICTV202316620</v>
      </c>
      <c r="R11310" t="s">
        <v>581</v>
      </c>
      <c r="S11310" t="s">
        <v>823</v>
      </c>
      <c r="T11310">
        <v>39</v>
      </c>
      <c r="U11310" s="26" t="str">
        <f t="shared" si="414"/>
        <v>2023.001B.Leviviricetes_reorg.zip</v>
      </c>
    </row>
    <row r="11311" spans="1:21">
      <c r="A11311">
        <v>11310</v>
      </c>
      <c r="B11311" s="27" t="s">
        <v>1124</v>
      </c>
      <c r="D11311" s="27" t="s">
        <v>1859</v>
      </c>
      <c r="F11311" s="27" t="s">
        <v>1881</v>
      </c>
      <c r="H11311" s="27" t="s">
        <v>2679</v>
      </c>
      <c r="J11311" s="27" t="s">
        <v>2680</v>
      </c>
      <c r="L11311" s="27" t="s">
        <v>2810</v>
      </c>
      <c r="N11311" s="27" t="s">
        <v>3082</v>
      </c>
      <c r="P11311" s="27" t="s">
        <v>15127</v>
      </c>
      <c r="Q11311" s="26" t="str">
        <f>HYPERLINK("https://ictv.global/taxonomy/taxondetails?taxnode_id=202516621&amp;ictv_id=ICTV202316621","ICTV202316621")</f>
        <v>ICTV202316621</v>
      </c>
      <c r="R11311" t="s">
        <v>581</v>
      </c>
      <c r="S11311" t="s">
        <v>823</v>
      </c>
      <c r="T11311">
        <v>39</v>
      </c>
      <c r="U11311" s="26" t="str">
        <f t="shared" si="414"/>
        <v>2023.001B.Leviviricetes_reorg.zip</v>
      </c>
    </row>
    <row r="11312" spans="1:21">
      <c r="A11312">
        <v>11311</v>
      </c>
      <c r="B11312" s="27" t="s">
        <v>1124</v>
      </c>
      <c r="D11312" s="27" t="s">
        <v>1859</v>
      </c>
      <c r="F11312" s="27" t="s">
        <v>1881</v>
      </c>
      <c r="H11312" s="27" t="s">
        <v>2679</v>
      </c>
      <c r="J11312" s="27" t="s">
        <v>2680</v>
      </c>
      <c r="L11312" s="27" t="s">
        <v>2810</v>
      </c>
      <c r="N11312" s="27" t="s">
        <v>3082</v>
      </c>
      <c r="P11312" s="27" t="s">
        <v>15128</v>
      </c>
      <c r="Q11312" s="26" t="str">
        <f>HYPERLINK("https://ictv.global/taxonomy/taxondetails?taxnode_id=202516622&amp;ictv_id=ICTV202316622","ICTV202316622")</f>
        <v>ICTV202316622</v>
      </c>
      <c r="R11312" t="s">
        <v>581</v>
      </c>
      <c r="S11312" t="s">
        <v>823</v>
      </c>
      <c r="T11312">
        <v>39</v>
      </c>
      <c r="U11312" s="26" t="str">
        <f t="shared" si="414"/>
        <v>2023.001B.Leviviricetes_reorg.zip</v>
      </c>
    </row>
    <row r="11313" spans="1:21">
      <c r="A11313">
        <v>11312</v>
      </c>
      <c r="B11313" s="27" t="s">
        <v>1124</v>
      </c>
      <c r="D11313" s="27" t="s">
        <v>1859</v>
      </c>
      <c r="F11313" s="27" t="s">
        <v>1881</v>
      </c>
      <c r="H11313" s="27" t="s">
        <v>2679</v>
      </c>
      <c r="J11313" s="27" t="s">
        <v>2680</v>
      </c>
      <c r="L11313" s="27" t="s">
        <v>2810</v>
      </c>
      <c r="N11313" s="27" t="s">
        <v>3082</v>
      </c>
      <c r="P11313" s="27" t="s">
        <v>15129</v>
      </c>
      <c r="Q11313" s="26" t="str">
        <f>HYPERLINK("https://ictv.global/taxonomy/taxondetails?taxnode_id=202516623&amp;ictv_id=ICTV202316623","ICTV202316623")</f>
        <v>ICTV202316623</v>
      </c>
      <c r="R11313" t="s">
        <v>581</v>
      </c>
      <c r="S11313" t="s">
        <v>823</v>
      </c>
      <c r="T11313">
        <v>39</v>
      </c>
      <c r="U11313" s="26" t="str">
        <f t="shared" si="414"/>
        <v>2023.001B.Leviviricetes_reorg.zip</v>
      </c>
    </row>
    <row r="11314" spans="1:21">
      <c r="A11314">
        <v>11313</v>
      </c>
      <c r="B11314" s="27" t="s">
        <v>1124</v>
      </c>
      <c r="D11314" s="27" t="s">
        <v>1859</v>
      </c>
      <c r="F11314" s="27" t="s">
        <v>1881</v>
      </c>
      <c r="H11314" s="27" t="s">
        <v>2679</v>
      </c>
      <c r="J11314" s="27" t="s">
        <v>2680</v>
      </c>
      <c r="L11314" s="27" t="s">
        <v>2810</v>
      </c>
      <c r="N11314" s="27" t="s">
        <v>3082</v>
      </c>
      <c r="P11314" s="27" t="s">
        <v>15130</v>
      </c>
      <c r="Q11314" s="26" t="str">
        <f>HYPERLINK("https://ictv.global/taxonomy/taxondetails?taxnode_id=202516624&amp;ictv_id=ICTV202316624","ICTV202316624")</f>
        <v>ICTV202316624</v>
      </c>
      <c r="R11314" t="s">
        <v>581</v>
      </c>
      <c r="S11314" t="s">
        <v>823</v>
      </c>
      <c r="T11314">
        <v>39</v>
      </c>
      <c r="U11314" s="26" t="str">
        <f t="shared" si="414"/>
        <v>2023.001B.Leviviricetes_reorg.zip</v>
      </c>
    </row>
    <row r="11315" spans="1:21">
      <c r="A11315">
        <v>11314</v>
      </c>
      <c r="B11315" s="27" t="s">
        <v>1124</v>
      </c>
      <c r="D11315" s="27" t="s">
        <v>1859</v>
      </c>
      <c r="F11315" s="27" t="s">
        <v>1881</v>
      </c>
      <c r="H11315" s="27" t="s">
        <v>2679</v>
      </c>
      <c r="J11315" s="27" t="s">
        <v>2680</v>
      </c>
      <c r="L11315" s="27" t="s">
        <v>2810</v>
      </c>
      <c r="N11315" s="27" t="s">
        <v>3082</v>
      </c>
      <c r="P11315" s="27" t="s">
        <v>15131</v>
      </c>
      <c r="Q11315" s="26" t="str">
        <f>HYPERLINK("https://ictv.global/taxonomy/taxondetails?taxnode_id=202516625&amp;ictv_id=ICTV202316625","ICTV202316625")</f>
        <v>ICTV202316625</v>
      </c>
      <c r="R11315" t="s">
        <v>581</v>
      </c>
      <c r="S11315" t="s">
        <v>823</v>
      </c>
      <c r="T11315">
        <v>39</v>
      </c>
      <c r="U11315" s="26" t="str">
        <f t="shared" si="414"/>
        <v>2023.001B.Leviviricetes_reorg.zip</v>
      </c>
    </row>
    <row r="11316" spans="1:21">
      <c r="A11316">
        <v>11315</v>
      </c>
      <c r="B11316" s="27" t="s">
        <v>1124</v>
      </c>
      <c r="D11316" s="27" t="s">
        <v>1859</v>
      </c>
      <c r="F11316" s="27" t="s">
        <v>1881</v>
      </c>
      <c r="H11316" s="27" t="s">
        <v>2679</v>
      </c>
      <c r="J11316" s="27" t="s">
        <v>2680</v>
      </c>
      <c r="L11316" s="27" t="s">
        <v>2810</v>
      </c>
      <c r="N11316" s="27" t="s">
        <v>3082</v>
      </c>
      <c r="P11316" s="27" t="s">
        <v>15132</v>
      </c>
      <c r="Q11316" s="26" t="str">
        <f>HYPERLINK("https://ictv.global/taxonomy/taxondetails?taxnode_id=202516626&amp;ictv_id=ICTV202316626","ICTV202316626")</f>
        <v>ICTV202316626</v>
      </c>
      <c r="R11316" t="s">
        <v>581</v>
      </c>
      <c r="S11316" t="s">
        <v>823</v>
      </c>
      <c r="T11316">
        <v>39</v>
      </c>
      <c r="U11316" s="26" t="str">
        <f t="shared" si="414"/>
        <v>2023.001B.Leviviricetes_reorg.zip</v>
      </c>
    </row>
    <row r="11317" spans="1:21">
      <c r="A11317">
        <v>11316</v>
      </c>
      <c r="B11317" s="27" t="s">
        <v>1124</v>
      </c>
      <c r="D11317" s="27" t="s">
        <v>1859</v>
      </c>
      <c r="F11317" s="27" t="s">
        <v>1881</v>
      </c>
      <c r="H11317" s="27" t="s">
        <v>2679</v>
      </c>
      <c r="J11317" s="27" t="s">
        <v>2680</v>
      </c>
      <c r="L11317" s="27" t="s">
        <v>2810</v>
      </c>
      <c r="N11317" s="27" t="s">
        <v>3082</v>
      </c>
      <c r="P11317" s="27" t="s">
        <v>15133</v>
      </c>
      <c r="Q11317" s="26" t="str">
        <f>HYPERLINK("https://ictv.global/taxonomy/taxondetails?taxnode_id=202516627&amp;ictv_id=ICTV202316627","ICTV202316627")</f>
        <v>ICTV202316627</v>
      </c>
      <c r="R11317" t="s">
        <v>581</v>
      </c>
      <c r="S11317" t="s">
        <v>823</v>
      </c>
      <c r="T11317">
        <v>39</v>
      </c>
      <c r="U11317" s="26" t="str">
        <f t="shared" si="414"/>
        <v>2023.001B.Leviviricetes_reorg.zip</v>
      </c>
    </row>
    <row r="11318" spans="1:21">
      <c r="A11318">
        <v>11317</v>
      </c>
      <c r="B11318" s="27" t="s">
        <v>1124</v>
      </c>
      <c r="D11318" s="27" t="s">
        <v>1859</v>
      </c>
      <c r="F11318" s="27" t="s">
        <v>1881</v>
      </c>
      <c r="H11318" s="27" t="s">
        <v>2679</v>
      </c>
      <c r="J11318" s="27" t="s">
        <v>2680</v>
      </c>
      <c r="L11318" s="27" t="s">
        <v>2810</v>
      </c>
      <c r="N11318" s="27" t="s">
        <v>3082</v>
      </c>
      <c r="P11318" s="27" t="s">
        <v>15134</v>
      </c>
      <c r="Q11318" s="26" t="str">
        <f>HYPERLINK("https://ictv.global/taxonomy/taxondetails?taxnode_id=202516628&amp;ictv_id=ICTV202316628","ICTV202316628")</f>
        <v>ICTV202316628</v>
      </c>
      <c r="R11318" t="s">
        <v>581</v>
      </c>
      <c r="S11318" t="s">
        <v>823</v>
      </c>
      <c r="T11318">
        <v>39</v>
      </c>
      <c r="U11318" s="26" t="str">
        <f t="shared" si="414"/>
        <v>2023.001B.Leviviricetes_reorg.zip</v>
      </c>
    </row>
    <row r="11319" spans="1:21">
      <c r="A11319">
        <v>11318</v>
      </c>
      <c r="B11319" s="27" t="s">
        <v>1124</v>
      </c>
      <c r="D11319" s="27" t="s">
        <v>1859</v>
      </c>
      <c r="F11319" s="27" t="s">
        <v>1881</v>
      </c>
      <c r="H11319" s="27" t="s">
        <v>2679</v>
      </c>
      <c r="J11319" s="27" t="s">
        <v>2680</v>
      </c>
      <c r="L11319" s="27" t="s">
        <v>2810</v>
      </c>
      <c r="N11319" s="27" t="s">
        <v>3082</v>
      </c>
      <c r="P11319" s="27" t="s">
        <v>15135</v>
      </c>
      <c r="Q11319" s="26" t="str">
        <f>HYPERLINK("https://ictv.global/taxonomy/taxondetails?taxnode_id=202516629&amp;ictv_id=ICTV202316629","ICTV202316629")</f>
        <v>ICTV202316629</v>
      </c>
      <c r="R11319" t="s">
        <v>581</v>
      </c>
      <c r="S11319" t="s">
        <v>823</v>
      </c>
      <c r="T11319">
        <v>39</v>
      </c>
      <c r="U11319" s="26" t="str">
        <f t="shared" si="414"/>
        <v>2023.001B.Leviviricetes_reorg.zip</v>
      </c>
    </row>
    <row r="11320" spans="1:21">
      <c r="A11320">
        <v>11319</v>
      </c>
      <c r="B11320" s="27" t="s">
        <v>1124</v>
      </c>
      <c r="D11320" s="27" t="s">
        <v>1859</v>
      </c>
      <c r="F11320" s="27" t="s">
        <v>1881</v>
      </c>
      <c r="H11320" s="27" t="s">
        <v>2679</v>
      </c>
      <c r="J11320" s="27" t="s">
        <v>2680</v>
      </c>
      <c r="L11320" s="27" t="s">
        <v>2810</v>
      </c>
      <c r="N11320" s="27" t="s">
        <v>3082</v>
      </c>
      <c r="P11320" s="27" t="s">
        <v>15136</v>
      </c>
      <c r="Q11320" s="26" t="str">
        <f>HYPERLINK("https://ictv.global/taxonomy/taxondetails?taxnode_id=202516630&amp;ictv_id=ICTV202316630","ICTV202316630")</f>
        <v>ICTV202316630</v>
      </c>
      <c r="R11320" t="s">
        <v>581</v>
      </c>
      <c r="S11320" t="s">
        <v>823</v>
      </c>
      <c r="T11320">
        <v>39</v>
      </c>
      <c r="U11320" s="26" t="str">
        <f t="shared" si="414"/>
        <v>2023.001B.Leviviricetes_reorg.zip</v>
      </c>
    </row>
    <row r="11321" spans="1:21">
      <c r="A11321">
        <v>11320</v>
      </c>
      <c r="B11321" s="27" t="s">
        <v>1124</v>
      </c>
      <c r="D11321" s="27" t="s">
        <v>1859</v>
      </c>
      <c r="F11321" s="27" t="s">
        <v>1881</v>
      </c>
      <c r="H11321" s="27" t="s">
        <v>2679</v>
      </c>
      <c r="J11321" s="27" t="s">
        <v>2680</v>
      </c>
      <c r="L11321" s="27" t="s">
        <v>2810</v>
      </c>
      <c r="N11321" s="27" t="s">
        <v>3082</v>
      </c>
      <c r="P11321" s="27" t="s">
        <v>15137</v>
      </c>
      <c r="Q11321" s="26" t="str">
        <f>HYPERLINK("https://ictv.global/taxonomy/taxondetails?taxnode_id=202516631&amp;ictv_id=ICTV202316631","ICTV202316631")</f>
        <v>ICTV202316631</v>
      </c>
      <c r="R11321" t="s">
        <v>581</v>
      </c>
      <c r="S11321" t="s">
        <v>823</v>
      </c>
      <c r="T11321">
        <v>39</v>
      </c>
      <c r="U11321" s="26" t="str">
        <f t="shared" si="414"/>
        <v>2023.001B.Leviviricetes_reorg.zip</v>
      </c>
    </row>
    <row r="11322" spans="1:21">
      <c r="A11322">
        <v>11321</v>
      </c>
      <c r="B11322" s="27" t="s">
        <v>1124</v>
      </c>
      <c r="D11322" s="27" t="s">
        <v>1859</v>
      </c>
      <c r="F11322" s="27" t="s">
        <v>1881</v>
      </c>
      <c r="H11322" s="27" t="s">
        <v>2679</v>
      </c>
      <c r="J11322" s="27" t="s">
        <v>2680</v>
      </c>
      <c r="L11322" s="27" t="s">
        <v>2810</v>
      </c>
      <c r="N11322" s="27" t="s">
        <v>3082</v>
      </c>
      <c r="P11322" s="27" t="s">
        <v>15138</v>
      </c>
      <c r="Q11322" s="26" t="str">
        <f>HYPERLINK("https://ictv.global/taxonomy/taxondetails?taxnode_id=202516632&amp;ictv_id=ICTV202316632","ICTV202316632")</f>
        <v>ICTV202316632</v>
      </c>
      <c r="R11322" t="s">
        <v>581</v>
      </c>
      <c r="S11322" t="s">
        <v>823</v>
      </c>
      <c r="T11322">
        <v>39</v>
      </c>
      <c r="U11322" s="26" t="str">
        <f t="shared" si="414"/>
        <v>2023.001B.Leviviricetes_reorg.zip</v>
      </c>
    </row>
    <row r="11323" spans="1:21">
      <c r="A11323">
        <v>11322</v>
      </c>
      <c r="B11323" s="27" t="s">
        <v>1124</v>
      </c>
      <c r="D11323" s="27" t="s">
        <v>1859</v>
      </c>
      <c r="F11323" s="27" t="s">
        <v>1881</v>
      </c>
      <c r="H11323" s="27" t="s">
        <v>2679</v>
      </c>
      <c r="J11323" s="27" t="s">
        <v>2680</v>
      </c>
      <c r="L11323" s="27" t="s">
        <v>2810</v>
      </c>
      <c r="N11323" s="27" t="s">
        <v>3082</v>
      </c>
      <c r="P11323" s="27" t="s">
        <v>3083</v>
      </c>
      <c r="Q11323" s="26" t="str">
        <f>HYPERLINK("https://ictv.global/taxonomy/taxondetails?taxnode_id=202510586&amp;ictv_id=ICTV202010586","ICTV202010586")</f>
        <v>ICTV202010586</v>
      </c>
      <c r="R11323" t="s">
        <v>581</v>
      </c>
      <c r="S11323" t="s">
        <v>823</v>
      </c>
      <c r="T11323">
        <v>36</v>
      </c>
      <c r="U11323" s="26" t="str">
        <f>HYPERLINK("https://ictv.global/ictv/proposals/2020.095B.R.Leviviricetes.zip","2020.095B.R.Leviviricetes.zip")</f>
        <v>2020.095B.R.Leviviricetes.zip</v>
      </c>
    </row>
    <row r="11324" spans="1:21">
      <c r="A11324">
        <v>11323</v>
      </c>
      <c r="B11324" s="27" t="s">
        <v>1124</v>
      </c>
      <c r="D11324" s="27" t="s">
        <v>1859</v>
      </c>
      <c r="F11324" s="27" t="s">
        <v>1881</v>
      </c>
      <c r="H11324" s="27" t="s">
        <v>2679</v>
      </c>
      <c r="J11324" s="27" t="s">
        <v>2680</v>
      </c>
      <c r="L11324" s="27" t="s">
        <v>2810</v>
      </c>
      <c r="N11324" s="27" t="s">
        <v>3082</v>
      </c>
      <c r="P11324" s="27" t="s">
        <v>3084</v>
      </c>
      <c r="Q11324" s="26" t="str">
        <f>HYPERLINK("https://ictv.global/taxonomy/taxondetails?taxnode_id=202510587&amp;ictv_id=ICTV202010587","ICTV202010587")</f>
        <v>ICTV202010587</v>
      </c>
      <c r="R11324" t="s">
        <v>581</v>
      </c>
      <c r="S11324" t="s">
        <v>823</v>
      </c>
      <c r="T11324">
        <v>36</v>
      </c>
      <c r="U11324" s="26" t="str">
        <f>HYPERLINK("https://ictv.global/ictv/proposals/2020.095B.R.Leviviricetes.zip","2020.095B.R.Leviviricetes.zip")</f>
        <v>2020.095B.R.Leviviricetes.zip</v>
      </c>
    </row>
    <row r="11325" spans="1:21">
      <c r="A11325">
        <v>11324</v>
      </c>
      <c r="B11325" s="27" t="s">
        <v>1124</v>
      </c>
      <c r="D11325" s="27" t="s">
        <v>1859</v>
      </c>
      <c r="F11325" s="27" t="s">
        <v>1881</v>
      </c>
      <c r="H11325" s="27" t="s">
        <v>2679</v>
      </c>
      <c r="J11325" s="27" t="s">
        <v>2680</v>
      </c>
      <c r="L11325" s="27" t="s">
        <v>2810</v>
      </c>
      <c r="N11325" s="27" t="s">
        <v>3082</v>
      </c>
      <c r="P11325" s="27" t="s">
        <v>3085</v>
      </c>
      <c r="Q11325" s="26" t="str">
        <f>HYPERLINK("https://ictv.global/taxonomy/taxondetails?taxnode_id=202510588&amp;ictv_id=ICTV202010588","ICTV202010588")</f>
        <v>ICTV202010588</v>
      </c>
      <c r="R11325" t="s">
        <v>581</v>
      </c>
      <c r="S11325" t="s">
        <v>823</v>
      </c>
      <c r="T11325">
        <v>36</v>
      </c>
      <c r="U11325" s="26" t="str">
        <f>HYPERLINK("https://ictv.global/ictv/proposals/2020.095B.R.Leviviricetes.zip","2020.095B.R.Leviviricetes.zip")</f>
        <v>2020.095B.R.Leviviricetes.zip</v>
      </c>
    </row>
    <row r="11326" spans="1:21">
      <c r="A11326">
        <v>11325</v>
      </c>
      <c r="B11326" s="27" t="s">
        <v>1124</v>
      </c>
      <c r="D11326" s="27" t="s">
        <v>1859</v>
      </c>
      <c r="F11326" s="27" t="s">
        <v>1881</v>
      </c>
      <c r="H11326" s="27" t="s">
        <v>2679</v>
      </c>
      <c r="J11326" s="27" t="s">
        <v>2680</v>
      </c>
      <c r="L11326" s="27" t="s">
        <v>2810</v>
      </c>
      <c r="N11326" s="27" t="s">
        <v>15139</v>
      </c>
      <c r="P11326" s="27" t="s">
        <v>15140</v>
      </c>
      <c r="Q11326" s="26" t="str">
        <f>HYPERLINK("https://ictv.global/taxonomy/taxondetails?taxnode_id=202516633&amp;ictv_id=ICTV202316633","ICTV202316633")</f>
        <v>ICTV202316633</v>
      </c>
      <c r="R11326" t="s">
        <v>581</v>
      </c>
      <c r="S11326" t="s">
        <v>823</v>
      </c>
      <c r="T11326">
        <v>39</v>
      </c>
      <c r="U11326" s="26" t="str">
        <f>HYPERLINK("https://ictv.global/ictv/proposals/2023.001B.Leviviricetes_reorg.zip","2023.001B.Leviviricetes_reorg.zip")</f>
        <v>2023.001B.Leviviricetes_reorg.zip</v>
      </c>
    </row>
    <row r="11327" spans="1:21">
      <c r="A11327">
        <v>11326</v>
      </c>
      <c r="B11327" s="27" t="s">
        <v>1124</v>
      </c>
      <c r="D11327" s="27" t="s">
        <v>1859</v>
      </c>
      <c r="F11327" s="27" t="s">
        <v>1881</v>
      </c>
      <c r="H11327" s="27" t="s">
        <v>2679</v>
      </c>
      <c r="J11327" s="27" t="s">
        <v>2680</v>
      </c>
      <c r="L11327" s="27" t="s">
        <v>2810</v>
      </c>
      <c r="N11327" s="27" t="s">
        <v>15141</v>
      </c>
      <c r="P11327" s="27" t="s">
        <v>15142</v>
      </c>
      <c r="Q11327" s="26" t="str">
        <f>HYPERLINK("https://ictv.global/taxonomy/taxondetails?taxnode_id=202516634&amp;ictv_id=ICTV202316634","ICTV202316634")</f>
        <v>ICTV202316634</v>
      </c>
      <c r="R11327" t="s">
        <v>581</v>
      </c>
      <c r="S11327" t="s">
        <v>823</v>
      </c>
      <c r="T11327">
        <v>39</v>
      </c>
      <c r="U11327" s="26" t="str">
        <f>HYPERLINK("https://ictv.global/ictv/proposals/2023.001B.Leviviricetes_reorg.zip","2023.001B.Leviviricetes_reorg.zip")</f>
        <v>2023.001B.Leviviricetes_reorg.zip</v>
      </c>
    </row>
    <row r="11328" spans="1:21">
      <c r="A11328">
        <v>11327</v>
      </c>
      <c r="B11328" s="27" t="s">
        <v>1124</v>
      </c>
      <c r="D11328" s="27" t="s">
        <v>1859</v>
      </c>
      <c r="F11328" s="27" t="s">
        <v>1881</v>
      </c>
      <c r="H11328" s="27" t="s">
        <v>2679</v>
      </c>
      <c r="J11328" s="27" t="s">
        <v>2680</v>
      </c>
      <c r="L11328" s="27" t="s">
        <v>2810</v>
      </c>
      <c r="N11328" s="27" t="s">
        <v>15143</v>
      </c>
      <c r="P11328" s="27" t="s">
        <v>15144</v>
      </c>
      <c r="Q11328" s="26" t="str">
        <f>HYPERLINK("https://ictv.global/taxonomy/taxondetails?taxnode_id=202516635&amp;ictv_id=ICTV202316635","ICTV202316635")</f>
        <v>ICTV202316635</v>
      </c>
      <c r="R11328" t="s">
        <v>581</v>
      </c>
      <c r="S11328" t="s">
        <v>823</v>
      </c>
      <c r="T11328">
        <v>39</v>
      </c>
      <c r="U11328" s="26" t="str">
        <f>HYPERLINK("https://ictv.global/ictv/proposals/2023.001B.Leviviricetes_reorg.zip","2023.001B.Leviviricetes_reorg.zip")</f>
        <v>2023.001B.Leviviricetes_reorg.zip</v>
      </c>
    </row>
    <row r="11329" spans="1:21">
      <c r="A11329">
        <v>11328</v>
      </c>
      <c r="B11329" s="27" t="s">
        <v>1124</v>
      </c>
      <c r="D11329" s="27" t="s">
        <v>1859</v>
      </c>
      <c r="F11329" s="27" t="s">
        <v>1881</v>
      </c>
      <c r="H11329" s="27" t="s">
        <v>2679</v>
      </c>
      <c r="J11329" s="27" t="s">
        <v>2680</v>
      </c>
      <c r="L11329" s="27" t="s">
        <v>2810</v>
      </c>
      <c r="N11329" s="27" t="s">
        <v>15143</v>
      </c>
      <c r="P11329" s="27" t="s">
        <v>15145</v>
      </c>
      <c r="Q11329" s="26" t="str">
        <f>HYPERLINK("https://ictv.global/taxonomy/taxondetails?taxnode_id=202516636&amp;ictv_id=ICTV202316636","ICTV202316636")</f>
        <v>ICTV202316636</v>
      </c>
      <c r="R11329" t="s">
        <v>581</v>
      </c>
      <c r="S11329" t="s">
        <v>823</v>
      </c>
      <c r="T11329">
        <v>39</v>
      </c>
      <c r="U11329" s="26" t="str">
        <f>HYPERLINK("https://ictv.global/ictv/proposals/2023.001B.Leviviricetes_reorg.zip","2023.001B.Leviviricetes_reorg.zip")</f>
        <v>2023.001B.Leviviricetes_reorg.zip</v>
      </c>
    </row>
    <row r="11330" spans="1:21">
      <c r="A11330">
        <v>11329</v>
      </c>
      <c r="B11330" s="27" t="s">
        <v>1124</v>
      </c>
      <c r="D11330" s="27" t="s">
        <v>1859</v>
      </c>
      <c r="F11330" s="27" t="s">
        <v>1881</v>
      </c>
      <c r="H11330" s="27" t="s">
        <v>2679</v>
      </c>
      <c r="J11330" s="27" t="s">
        <v>2680</v>
      </c>
      <c r="L11330" s="27" t="s">
        <v>2810</v>
      </c>
      <c r="N11330" s="27" t="s">
        <v>3086</v>
      </c>
      <c r="P11330" s="27" t="s">
        <v>3087</v>
      </c>
      <c r="Q11330" s="26" t="str">
        <f>HYPERLINK("https://ictv.global/taxonomy/taxondetails?taxnode_id=202510590&amp;ictv_id=ICTV202010590","ICTV202010590")</f>
        <v>ICTV202010590</v>
      </c>
      <c r="R11330" t="s">
        <v>581</v>
      </c>
      <c r="S11330" t="s">
        <v>823</v>
      </c>
      <c r="T11330">
        <v>36</v>
      </c>
      <c r="U11330" s="26" t="str">
        <f>HYPERLINK("https://ictv.global/ictv/proposals/2020.095B.R.Leviviricetes.zip","2020.095B.R.Leviviricetes.zip")</f>
        <v>2020.095B.R.Leviviricetes.zip</v>
      </c>
    </row>
    <row r="11331" spans="1:21">
      <c r="A11331">
        <v>11330</v>
      </c>
      <c r="B11331" s="27" t="s">
        <v>1124</v>
      </c>
      <c r="D11331" s="27" t="s">
        <v>1859</v>
      </c>
      <c r="F11331" s="27" t="s">
        <v>1881</v>
      </c>
      <c r="H11331" s="27" t="s">
        <v>2679</v>
      </c>
      <c r="J11331" s="27" t="s">
        <v>2680</v>
      </c>
      <c r="L11331" s="27" t="s">
        <v>2810</v>
      </c>
      <c r="N11331" s="27" t="s">
        <v>3088</v>
      </c>
      <c r="P11331" s="27" t="s">
        <v>3089</v>
      </c>
      <c r="Q11331" s="26" t="str">
        <f>HYPERLINK("https://ictv.global/taxonomy/taxondetails?taxnode_id=202510592&amp;ictv_id=ICTV202010592","ICTV202010592")</f>
        <v>ICTV202010592</v>
      </c>
      <c r="R11331" t="s">
        <v>581</v>
      </c>
      <c r="S11331" t="s">
        <v>823</v>
      </c>
      <c r="T11331">
        <v>36</v>
      </c>
      <c r="U11331" s="26" t="str">
        <f>HYPERLINK("https://ictv.global/ictv/proposals/2020.095B.R.Leviviricetes.zip","2020.095B.R.Leviviricetes.zip")</f>
        <v>2020.095B.R.Leviviricetes.zip</v>
      </c>
    </row>
    <row r="11332" spans="1:21">
      <c r="A11332">
        <v>11331</v>
      </c>
      <c r="B11332" s="27" t="s">
        <v>1124</v>
      </c>
      <c r="D11332" s="27" t="s">
        <v>1859</v>
      </c>
      <c r="F11332" s="27" t="s">
        <v>1881</v>
      </c>
      <c r="H11332" s="27" t="s">
        <v>2679</v>
      </c>
      <c r="J11332" s="27" t="s">
        <v>2680</v>
      </c>
      <c r="L11332" s="27" t="s">
        <v>2810</v>
      </c>
      <c r="N11332" s="27" t="s">
        <v>15146</v>
      </c>
      <c r="P11332" s="27" t="s">
        <v>15147</v>
      </c>
      <c r="Q11332" s="26" t="str">
        <f>HYPERLINK("https://ictv.global/taxonomy/taxondetails?taxnode_id=202516637&amp;ictv_id=ICTV202316637","ICTV202316637")</f>
        <v>ICTV202316637</v>
      </c>
      <c r="R11332" t="s">
        <v>581</v>
      </c>
      <c r="S11332" t="s">
        <v>823</v>
      </c>
      <c r="T11332">
        <v>39</v>
      </c>
      <c r="U11332" s="26" t="str">
        <f>HYPERLINK("https://ictv.global/ictv/proposals/2023.001B.Leviviricetes_reorg.zip","2023.001B.Leviviricetes_reorg.zip")</f>
        <v>2023.001B.Leviviricetes_reorg.zip</v>
      </c>
    </row>
    <row r="11333" spans="1:21">
      <c r="A11333">
        <v>11332</v>
      </c>
      <c r="B11333" s="27" t="s">
        <v>1124</v>
      </c>
      <c r="D11333" s="27" t="s">
        <v>1859</v>
      </c>
      <c r="F11333" s="27" t="s">
        <v>1881</v>
      </c>
      <c r="H11333" s="27" t="s">
        <v>2679</v>
      </c>
      <c r="J11333" s="27" t="s">
        <v>2680</v>
      </c>
      <c r="L11333" s="27" t="s">
        <v>2810</v>
      </c>
      <c r="N11333" s="27" t="s">
        <v>3090</v>
      </c>
      <c r="P11333" s="27" t="s">
        <v>3091</v>
      </c>
      <c r="Q11333" s="26" t="str">
        <f>HYPERLINK("https://ictv.global/taxonomy/taxondetails?taxnode_id=202510594&amp;ictv_id=ICTV202010594","ICTV202010594")</f>
        <v>ICTV202010594</v>
      </c>
      <c r="R11333" t="s">
        <v>581</v>
      </c>
      <c r="S11333" t="s">
        <v>823</v>
      </c>
      <c r="T11333">
        <v>36</v>
      </c>
      <c r="U11333" s="26" t="str">
        <f>HYPERLINK("https://ictv.global/ictv/proposals/2020.095B.R.Leviviricetes.zip","2020.095B.R.Leviviricetes.zip")</f>
        <v>2020.095B.R.Leviviricetes.zip</v>
      </c>
    </row>
    <row r="11334" spans="1:21">
      <c r="A11334">
        <v>11333</v>
      </c>
      <c r="B11334" s="27" t="s">
        <v>1124</v>
      </c>
      <c r="D11334" s="27" t="s">
        <v>1859</v>
      </c>
      <c r="F11334" s="27" t="s">
        <v>1881</v>
      </c>
      <c r="H11334" s="27" t="s">
        <v>2679</v>
      </c>
      <c r="J11334" s="27" t="s">
        <v>2680</v>
      </c>
      <c r="L11334" s="27" t="s">
        <v>2810</v>
      </c>
      <c r="N11334" s="27" t="s">
        <v>3090</v>
      </c>
      <c r="P11334" s="27" t="s">
        <v>3092</v>
      </c>
      <c r="Q11334" s="26" t="str">
        <f>HYPERLINK("https://ictv.global/taxonomy/taxondetails?taxnode_id=202510595&amp;ictv_id=ICTV202010595","ICTV202010595")</f>
        <v>ICTV202010595</v>
      </c>
      <c r="R11334" t="s">
        <v>581</v>
      </c>
      <c r="S11334" t="s">
        <v>823</v>
      </c>
      <c r="T11334">
        <v>36</v>
      </c>
      <c r="U11334" s="26" t="str">
        <f>HYPERLINK("https://ictv.global/ictv/proposals/2020.095B.R.Leviviricetes.zip","2020.095B.R.Leviviricetes.zip")</f>
        <v>2020.095B.R.Leviviricetes.zip</v>
      </c>
    </row>
    <row r="11335" spans="1:21">
      <c r="A11335">
        <v>11334</v>
      </c>
      <c r="B11335" s="27" t="s">
        <v>1124</v>
      </c>
      <c r="D11335" s="27" t="s">
        <v>1859</v>
      </c>
      <c r="F11335" s="27" t="s">
        <v>1881</v>
      </c>
      <c r="H11335" s="27" t="s">
        <v>2679</v>
      </c>
      <c r="J11335" s="27" t="s">
        <v>2680</v>
      </c>
      <c r="L11335" s="27" t="s">
        <v>2810</v>
      </c>
      <c r="N11335" s="27" t="s">
        <v>15148</v>
      </c>
      <c r="P11335" s="27" t="s">
        <v>15149</v>
      </c>
      <c r="Q11335" s="26" t="str">
        <f>HYPERLINK("https://ictv.global/taxonomy/taxondetails?taxnode_id=202516638&amp;ictv_id=ICTV202316638","ICTV202316638")</f>
        <v>ICTV202316638</v>
      </c>
      <c r="R11335" t="s">
        <v>581</v>
      </c>
      <c r="S11335" t="s">
        <v>823</v>
      </c>
      <c r="T11335">
        <v>39</v>
      </c>
      <c r="U11335" s="26" t="str">
        <f t="shared" ref="U11335:U11340" si="415">HYPERLINK("https://ictv.global/ictv/proposals/2023.001B.Leviviricetes_reorg.zip","2023.001B.Leviviricetes_reorg.zip")</f>
        <v>2023.001B.Leviviricetes_reorg.zip</v>
      </c>
    </row>
    <row r="11336" spans="1:21">
      <c r="A11336">
        <v>11335</v>
      </c>
      <c r="B11336" s="27" t="s">
        <v>1124</v>
      </c>
      <c r="D11336" s="27" t="s">
        <v>1859</v>
      </c>
      <c r="F11336" s="27" t="s">
        <v>1881</v>
      </c>
      <c r="H11336" s="27" t="s">
        <v>2679</v>
      </c>
      <c r="J11336" s="27" t="s">
        <v>2680</v>
      </c>
      <c r="L11336" s="27" t="s">
        <v>2810</v>
      </c>
      <c r="N11336" s="27" t="s">
        <v>15150</v>
      </c>
      <c r="P11336" s="27" t="s">
        <v>15151</v>
      </c>
      <c r="Q11336" s="26" t="str">
        <f>HYPERLINK("https://ictv.global/taxonomy/taxondetails?taxnode_id=202516639&amp;ictv_id=ICTV202316639","ICTV202316639")</f>
        <v>ICTV202316639</v>
      </c>
      <c r="R11336" t="s">
        <v>581</v>
      </c>
      <c r="S11336" t="s">
        <v>823</v>
      </c>
      <c r="T11336">
        <v>39</v>
      </c>
      <c r="U11336" s="26" t="str">
        <f t="shared" si="415"/>
        <v>2023.001B.Leviviricetes_reorg.zip</v>
      </c>
    </row>
    <row r="11337" spans="1:21">
      <c r="A11337">
        <v>11336</v>
      </c>
      <c r="B11337" s="27" t="s">
        <v>1124</v>
      </c>
      <c r="D11337" s="27" t="s">
        <v>1859</v>
      </c>
      <c r="F11337" s="27" t="s">
        <v>1881</v>
      </c>
      <c r="H11337" s="27" t="s">
        <v>2679</v>
      </c>
      <c r="J11337" s="27" t="s">
        <v>2680</v>
      </c>
      <c r="L11337" s="27" t="s">
        <v>2810</v>
      </c>
      <c r="N11337" s="27" t="s">
        <v>15152</v>
      </c>
      <c r="P11337" s="27" t="s">
        <v>15153</v>
      </c>
      <c r="Q11337" s="26" t="str">
        <f>HYPERLINK("https://ictv.global/taxonomy/taxondetails?taxnode_id=202516640&amp;ictv_id=ICTV202316640","ICTV202316640")</f>
        <v>ICTV202316640</v>
      </c>
      <c r="R11337" t="s">
        <v>581</v>
      </c>
      <c r="S11337" t="s">
        <v>823</v>
      </c>
      <c r="T11337">
        <v>39</v>
      </c>
      <c r="U11337" s="26" t="str">
        <f t="shared" si="415"/>
        <v>2023.001B.Leviviricetes_reorg.zip</v>
      </c>
    </row>
    <row r="11338" spans="1:21">
      <c r="A11338">
        <v>11337</v>
      </c>
      <c r="B11338" s="27" t="s">
        <v>1124</v>
      </c>
      <c r="D11338" s="27" t="s">
        <v>1859</v>
      </c>
      <c r="F11338" s="27" t="s">
        <v>1881</v>
      </c>
      <c r="H11338" s="27" t="s">
        <v>2679</v>
      </c>
      <c r="J11338" s="27" t="s">
        <v>2680</v>
      </c>
      <c r="L11338" s="27" t="s">
        <v>2810</v>
      </c>
      <c r="N11338" s="27" t="s">
        <v>15152</v>
      </c>
      <c r="P11338" s="27" t="s">
        <v>15154</v>
      </c>
      <c r="Q11338" s="26" t="str">
        <f>HYPERLINK("https://ictv.global/taxonomy/taxondetails?taxnode_id=202516641&amp;ictv_id=ICTV202316641","ICTV202316641")</f>
        <v>ICTV202316641</v>
      </c>
      <c r="R11338" t="s">
        <v>581</v>
      </c>
      <c r="S11338" t="s">
        <v>823</v>
      </c>
      <c r="T11338">
        <v>39</v>
      </c>
      <c r="U11338" s="26" t="str">
        <f t="shared" si="415"/>
        <v>2023.001B.Leviviricetes_reorg.zip</v>
      </c>
    </row>
    <row r="11339" spans="1:21">
      <c r="A11339">
        <v>11338</v>
      </c>
      <c r="B11339" s="27" t="s">
        <v>1124</v>
      </c>
      <c r="D11339" s="27" t="s">
        <v>1859</v>
      </c>
      <c r="F11339" s="27" t="s">
        <v>1881</v>
      </c>
      <c r="H11339" s="27" t="s">
        <v>2679</v>
      </c>
      <c r="J11339" s="27" t="s">
        <v>2680</v>
      </c>
      <c r="L11339" s="27" t="s">
        <v>2810</v>
      </c>
      <c r="N11339" s="27" t="s">
        <v>15155</v>
      </c>
      <c r="P11339" s="27" t="s">
        <v>15156</v>
      </c>
      <c r="Q11339" s="26" t="str">
        <f>HYPERLINK("https://ictv.global/taxonomy/taxondetails?taxnode_id=202510334&amp;ictv_id=ICTV202010334","ICTV202010334")</f>
        <v>ICTV202010334</v>
      </c>
      <c r="R11339" t="s">
        <v>581</v>
      </c>
      <c r="S11339" t="s">
        <v>22764</v>
      </c>
      <c r="T11339">
        <v>39</v>
      </c>
      <c r="U11339" s="26" t="str">
        <f t="shared" si="415"/>
        <v>2023.001B.Leviviricetes_reorg.zip</v>
      </c>
    </row>
    <row r="11340" spans="1:21">
      <c r="A11340">
        <v>11339</v>
      </c>
      <c r="B11340" s="27" t="s">
        <v>1124</v>
      </c>
      <c r="D11340" s="27" t="s">
        <v>1859</v>
      </c>
      <c r="F11340" s="27" t="s">
        <v>1881</v>
      </c>
      <c r="H11340" s="27" t="s">
        <v>2679</v>
      </c>
      <c r="J11340" s="27" t="s">
        <v>2680</v>
      </c>
      <c r="L11340" s="27" t="s">
        <v>2810</v>
      </c>
      <c r="N11340" s="27" t="s">
        <v>15157</v>
      </c>
      <c r="P11340" s="27" t="s">
        <v>15158</v>
      </c>
      <c r="Q11340" s="26" t="str">
        <f>HYPERLINK("https://ictv.global/taxonomy/taxondetails?taxnode_id=202516642&amp;ictv_id=ICTV202316642","ICTV202316642")</f>
        <v>ICTV202316642</v>
      </c>
      <c r="R11340" t="s">
        <v>581</v>
      </c>
      <c r="S11340" t="s">
        <v>823</v>
      </c>
      <c r="T11340">
        <v>39</v>
      </c>
      <c r="U11340" s="26" t="str">
        <f t="shared" si="415"/>
        <v>2023.001B.Leviviricetes_reorg.zip</v>
      </c>
    </row>
    <row r="11341" spans="1:21">
      <c r="A11341">
        <v>11340</v>
      </c>
      <c r="B11341" s="27" t="s">
        <v>1124</v>
      </c>
      <c r="D11341" s="27" t="s">
        <v>1859</v>
      </c>
      <c r="F11341" s="27" t="s">
        <v>1881</v>
      </c>
      <c r="H11341" s="27" t="s">
        <v>2679</v>
      </c>
      <c r="J11341" s="27" t="s">
        <v>2680</v>
      </c>
      <c r="L11341" s="27" t="s">
        <v>2810</v>
      </c>
      <c r="N11341" s="27" t="s">
        <v>3093</v>
      </c>
      <c r="P11341" s="27" t="s">
        <v>3094</v>
      </c>
      <c r="Q11341" s="26" t="str">
        <f>HYPERLINK("https://ictv.global/taxonomy/taxondetails?taxnode_id=202510597&amp;ictv_id=ICTV202010597","ICTV202010597")</f>
        <v>ICTV202010597</v>
      </c>
      <c r="R11341" t="s">
        <v>581</v>
      </c>
      <c r="S11341" t="s">
        <v>823</v>
      </c>
      <c r="T11341">
        <v>36</v>
      </c>
      <c r="U11341" s="26" t="str">
        <f>HYPERLINK("https://ictv.global/ictv/proposals/2020.095B.R.Leviviricetes.zip","2020.095B.R.Leviviricetes.zip")</f>
        <v>2020.095B.R.Leviviricetes.zip</v>
      </c>
    </row>
    <row r="11342" spans="1:21">
      <c r="A11342">
        <v>11341</v>
      </c>
      <c r="B11342" s="27" t="s">
        <v>1124</v>
      </c>
      <c r="D11342" s="27" t="s">
        <v>1859</v>
      </c>
      <c r="F11342" s="27" t="s">
        <v>1881</v>
      </c>
      <c r="H11342" s="27" t="s">
        <v>2679</v>
      </c>
      <c r="J11342" s="27" t="s">
        <v>2680</v>
      </c>
      <c r="L11342" s="27" t="s">
        <v>2810</v>
      </c>
      <c r="N11342" s="27" t="s">
        <v>15159</v>
      </c>
      <c r="P11342" s="27" t="s">
        <v>15160</v>
      </c>
      <c r="Q11342" s="26" t="str">
        <f>HYPERLINK("https://ictv.global/taxonomy/taxondetails?taxnode_id=202516643&amp;ictv_id=ICTV202316643","ICTV202316643")</f>
        <v>ICTV202316643</v>
      </c>
      <c r="R11342" t="s">
        <v>581</v>
      </c>
      <c r="S11342" t="s">
        <v>823</v>
      </c>
      <c r="T11342">
        <v>39</v>
      </c>
      <c r="U11342" s="26" t="str">
        <f t="shared" ref="U11342:U11350" si="416">HYPERLINK("https://ictv.global/ictv/proposals/2023.001B.Leviviricetes_reorg.zip","2023.001B.Leviviricetes_reorg.zip")</f>
        <v>2023.001B.Leviviricetes_reorg.zip</v>
      </c>
    </row>
    <row r="11343" spans="1:21">
      <c r="A11343">
        <v>11342</v>
      </c>
      <c r="B11343" s="27" t="s">
        <v>1124</v>
      </c>
      <c r="D11343" s="27" t="s">
        <v>1859</v>
      </c>
      <c r="F11343" s="27" t="s">
        <v>1881</v>
      </c>
      <c r="H11343" s="27" t="s">
        <v>2679</v>
      </c>
      <c r="J11343" s="27" t="s">
        <v>2680</v>
      </c>
      <c r="L11343" s="27" t="s">
        <v>2810</v>
      </c>
      <c r="N11343" s="27" t="s">
        <v>15161</v>
      </c>
      <c r="P11343" s="27" t="s">
        <v>15162</v>
      </c>
      <c r="Q11343" s="26" t="str">
        <f>HYPERLINK("https://ictv.global/taxonomy/taxondetails?taxnode_id=202516644&amp;ictv_id=ICTV202316644","ICTV202316644")</f>
        <v>ICTV202316644</v>
      </c>
      <c r="R11343" t="s">
        <v>581</v>
      </c>
      <c r="S11343" t="s">
        <v>823</v>
      </c>
      <c r="T11343">
        <v>39</v>
      </c>
      <c r="U11343" s="26" t="str">
        <f t="shared" si="416"/>
        <v>2023.001B.Leviviricetes_reorg.zip</v>
      </c>
    </row>
    <row r="11344" spans="1:21">
      <c r="A11344">
        <v>11343</v>
      </c>
      <c r="B11344" s="27" t="s">
        <v>1124</v>
      </c>
      <c r="D11344" s="27" t="s">
        <v>1859</v>
      </c>
      <c r="F11344" s="27" t="s">
        <v>1881</v>
      </c>
      <c r="H11344" s="27" t="s">
        <v>2679</v>
      </c>
      <c r="J11344" s="27" t="s">
        <v>2680</v>
      </c>
      <c r="L11344" s="27" t="s">
        <v>2810</v>
      </c>
      <c r="N11344" s="27" t="s">
        <v>15163</v>
      </c>
      <c r="P11344" s="27" t="s">
        <v>15164</v>
      </c>
      <c r="Q11344" s="26" t="str">
        <f>HYPERLINK("https://ictv.global/taxonomy/taxondetails?taxnode_id=202516645&amp;ictv_id=ICTV202316645","ICTV202316645")</f>
        <v>ICTV202316645</v>
      </c>
      <c r="R11344" t="s">
        <v>581</v>
      </c>
      <c r="S11344" t="s">
        <v>823</v>
      </c>
      <c r="T11344">
        <v>39</v>
      </c>
      <c r="U11344" s="26" t="str">
        <f t="shared" si="416"/>
        <v>2023.001B.Leviviricetes_reorg.zip</v>
      </c>
    </row>
    <row r="11345" spans="1:21">
      <c r="A11345">
        <v>11344</v>
      </c>
      <c r="B11345" s="27" t="s">
        <v>1124</v>
      </c>
      <c r="D11345" s="27" t="s">
        <v>1859</v>
      </c>
      <c r="F11345" s="27" t="s">
        <v>1881</v>
      </c>
      <c r="H11345" s="27" t="s">
        <v>2679</v>
      </c>
      <c r="J11345" s="27" t="s">
        <v>2680</v>
      </c>
      <c r="L11345" s="27" t="s">
        <v>2810</v>
      </c>
      <c r="N11345" s="27" t="s">
        <v>15165</v>
      </c>
      <c r="P11345" s="27" t="s">
        <v>15166</v>
      </c>
      <c r="Q11345" s="26" t="str">
        <f>HYPERLINK("https://ictv.global/taxonomy/taxondetails?taxnode_id=202516646&amp;ictv_id=ICTV202316646","ICTV202316646")</f>
        <v>ICTV202316646</v>
      </c>
      <c r="R11345" t="s">
        <v>581</v>
      </c>
      <c r="S11345" t="s">
        <v>823</v>
      </c>
      <c r="T11345">
        <v>39</v>
      </c>
      <c r="U11345" s="26" t="str">
        <f t="shared" si="416"/>
        <v>2023.001B.Leviviricetes_reorg.zip</v>
      </c>
    </row>
    <row r="11346" spans="1:21">
      <c r="A11346">
        <v>11345</v>
      </c>
      <c r="B11346" s="27" t="s">
        <v>1124</v>
      </c>
      <c r="D11346" s="27" t="s">
        <v>1859</v>
      </c>
      <c r="F11346" s="27" t="s">
        <v>1881</v>
      </c>
      <c r="H11346" s="27" t="s">
        <v>2679</v>
      </c>
      <c r="J11346" s="27" t="s">
        <v>2680</v>
      </c>
      <c r="L11346" s="27" t="s">
        <v>2810</v>
      </c>
      <c r="N11346" s="27" t="s">
        <v>15165</v>
      </c>
      <c r="P11346" s="27" t="s">
        <v>15167</v>
      </c>
      <c r="Q11346" s="26" t="str">
        <f>HYPERLINK("https://ictv.global/taxonomy/taxondetails?taxnode_id=202516647&amp;ictv_id=ICTV202316647","ICTV202316647")</f>
        <v>ICTV202316647</v>
      </c>
      <c r="R11346" t="s">
        <v>581</v>
      </c>
      <c r="S11346" t="s">
        <v>823</v>
      </c>
      <c r="T11346">
        <v>39</v>
      </c>
      <c r="U11346" s="26" t="str">
        <f t="shared" si="416"/>
        <v>2023.001B.Leviviricetes_reorg.zip</v>
      </c>
    </row>
    <row r="11347" spans="1:21">
      <c r="A11347">
        <v>11346</v>
      </c>
      <c r="B11347" s="27" t="s">
        <v>1124</v>
      </c>
      <c r="D11347" s="27" t="s">
        <v>1859</v>
      </c>
      <c r="F11347" s="27" t="s">
        <v>1881</v>
      </c>
      <c r="H11347" s="27" t="s">
        <v>2679</v>
      </c>
      <c r="J11347" s="27" t="s">
        <v>2680</v>
      </c>
      <c r="L11347" s="27" t="s">
        <v>2810</v>
      </c>
      <c r="N11347" s="27" t="s">
        <v>15165</v>
      </c>
      <c r="P11347" s="27" t="s">
        <v>15168</v>
      </c>
      <c r="Q11347" s="26" t="str">
        <f>HYPERLINK("https://ictv.global/taxonomy/taxondetails?taxnode_id=202516648&amp;ictv_id=ICTV202316648","ICTV202316648")</f>
        <v>ICTV202316648</v>
      </c>
      <c r="R11347" t="s">
        <v>581</v>
      </c>
      <c r="S11347" t="s">
        <v>823</v>
      </c>
      <c r="T11347">
        <v>39</v>
      </c>
      <c r="U11347" s="26" t="str">
        <f t="shared" si="416"/>
        <v>2023.001B.Leviviricetes_reorg.zip</v>
      </c>
    </row>
    <row r="11348" spans="1:21">
      <c r="A11348">
        <v>11347</v>
      </c>
      <c r="B11348" s="27" t="s">
        <v>1124</v>
      </c>
      <c r="D11348" s="27" t="s">
        <v>1859</v>
      </c>
      <c r="F11348" s="27" t="s">
        <v>1881</v>
      </c>
      <c r="H11348" s="27" t="s">
        <v>2679</v>
      </c>
      <c r="J11348" s="27" t="s">
        <v>2680</v>
      </c>
      <c r="L11348" s="27" t="s">
        <v>2810</v>
      </c>
      <c r="N11348" s="27" t="s">
        <v>15169</v>
      </c>
      <c r="P11348" s="27" t="s">
        <v>15170</v>
      </c>
      <c r="Q11348" s="26" t="str">
        <f>HYPERLINK("https://ictv.global/taxonomy/taxondetails?taxnode_id=202516649&amp;ictv_id=ICTV202316649","ICTV202316649")</f>
        <v>ICTV202316649</v>
      </c>
      <c r="R11348" t="s">
        <v>581</v>
      </c>
      <c r="S11348" t="s">
        <v>823</v>
      </c>
      <c r="T11348">
        <v>39</v>
      </c>
      <c r="U11348" s="26" t="str">
        <f t="shared" si="416"/>
        <v>2023.001B.Leviviricetes_reorg.zip</v>
      </c>
    </row>
    <row r="11349" spans="1:21">
      <c r="A11349">
        <v>11348</v>
      </c>
      <c r="B11349" s="27" t="s">
        <v>1124</v>
      </c>
      <c r="D11349" s="27" t="s">
        <v>1859</v>
      </c>
      <c r="F11349" s="27" t="s">
        <v>1881</v>
      </c>
      <c r="H11349" s="27" t="s">
        <v>2679</v>
      </c>
      <c r="J11349" s="27" t="s">
        <v>2680</v>
      </c>
      <c r="L11349" s="27" t="s">
        <v>2810</v>
      </c>
      <c r="N11349" s="27" t="s">
        <v>15171</v>
      </c>
      <c r="P11349" s="27" t="s">
        <v>15172</v>
      </c>
      <c r="Q11349" s="26" t="str">
        <f>HYPERLINK("https://ictv.global/taxonomy/taxondetails?taxnode_id=202516650&amp;ictv_id=ICTV202316650","ICTV202316650")</f>
        <v>ICTV202316650</v>
      </c>
      <c r="R11349" t="s">
        <v>581</v>
      </c>
      <c r="S11349" t="s">
        <v>823</v>
      </c>
      <c r="T11349">
        <v>39</v>
      </c>
      <c r="U11349" s="26" t="str">
        <f t="shared" si="416"/>
        <v>2023.001B.Leviviricetes_reorg.zip</v>
      </c>
    </row>
    <row r="11350" spans="1:21">
      <c r="A11350">
        <v>11349</v>
      </c>
      <c r="B11350" s="27" t="s">
        <v>1124</v>
      </c>
      <c r="D11350" s="27" t="s">
        <v>1859</v>
      </c>
      <c r="F11350" s="27" t="s">
        <v>1881</v>
      </c>
      <c r="H11350" s="27" t="s">
        <v>2679</v>
      </c>
      <c r="J11350" s="27" t="s">
        <v>2680</v>
      </c>
      <c r="L11350" s="27" t="s">
        <v>2810</v>
      </c>
      <c r="N11350" s="27" t="s">
        <v>15173</v>
      </c>
      <c r="P11350" s="27" t="s">
        <v>15174</v>
      </c>
      <c r="Q11350" s="26" t="str">
        <f>HYPERLINK("https://ictv.global/taxonomy/taxondetails?taxnode_id=202516651&amp;ictv_id=ICTV202316651","ICTV202316651")</f>
        <v>ICTV202316651</v>
      </c>
      <c r="R11350" t="s">
        <v>581</v>
      </c>
      <c r="S11350" t="s">
        <v>823</v>
      </c>
      <c r="T11350">
        <v>39</v>
      </c>
      <c r="U11350" s="26" t="str">
        <f t="shared" si="416"/>
        <v>2023.001B.Leviviricetes_reorg.zip</v>
      </c>
    </row>
    <row r="11351" spans="1:21">
      <c r="A11351">
        <v>11350</v>
      </c>
      <c r="B11351" s="27" t="s">
        <v>1124</v>
      </c>
      <c r="D11351" s="27" t="s">
        <v>1859</v>
      </c>
      <c r="F11351" s="27" t="s">
        <v>1881</v>
      </c>
      <c r="H11351" s="27" t="s">
        <v>2679</v>
      </c>
      <c r="J11351" s="27" t="s">
        <v>2680</v>
      </c>
      <c r="L11351" s="27" t="s">
        <v>2810</v>
      </c>
      <c r="N11351" s="27" t="s">
        <v>3095</v>
      </c>
      <c r="P11351" s="27" t="s">
        <v>3096</v>
      </c>
      <c r="Q11351" s="26" t="str">
        <f>HYPERLINK("https://ictv.global/taxonomy/taxondetails?taxnode_id=202510602&amp;ictv_id=ICTV202010602","ICTV202010602")</f>
        <v>ICTV202010602</v>
      </c>
      <c r="R11351" t="s">
        <v>581</v>
      </c>
      <c r="S11351" t="s">
        <v>823</v>
      </c>
      <c r="T11351">
        <v>36</v>
      </c>
      <c r="U11351" s="26" t="str">
        <f>HYPERLINK("https://ictv.global/ictv/proposals/2020.095B.R.Leviviricetes.zip","2020.095B.R.Leviviricetes.zip")</f>
        <v>2020.095B.R.Leviviricetes.zip</v>
      </c>
    </row>
    <row r="11352" spans="1:21">
      <c r="A11352">
        <v>11351</v>
      </c>
      <c r="B11352" s="27" t="s">
        <v>1124</v>
      </c>
      <c r="D11352" s="27" t="s">
        <v>1859</v>
      </c>
      <c r="F11352" s="27" t="s">
        <v>1881</v>
      </c>
      <c r="H11352" s="27" t="s">
        <v>2679</v>
      </c>
      <c r="J11352" s="27" t="s">
        <v>2680</v>
      </c>
      <c r="L11352" s="27" t="s">
        <v>2810</v>
      </c>
      <c r="N11352" s="27" t="s">
        <v>15175</v>
      </c>
      <c r="P11352" s="27" t="s">
        <v>15176</v>
      </c>
      <c r="Q11352" s="26" t="str">
        <f>HYPERLINK("https://ictv.global/taxonomy/taxondetails?taxnode_id=202516652&amp;ictv_id=ICTV202316652","ICTV202316652")</f>
        <v>ICTV202316652</v>
      </c>
      <c r="R11352" t="s">
        <v>581</v>
      </c>
      <c r="S11352" t="s">
        <v>823</v>
      </c>
      <c r="T11352">
        <v>39</v>
      </c>
      <c r="U11352" s="26" t="str">
        <f>HYPERLINK("https://ictv.global/ictv/proposals/2023.001B.Leviviricetes_reorg.zip","2023.001B.Leviviricetes_reorg.zip")</f>
        <v>2023.001B.Leviviricetes_reorg.zip</v>
      </c>
    </row>
    <row r="11353" spans="1:21">
      <c r="A11353">
        <v>11352</v>
      </c>
      <c r="B11353" s="27" t="s">
        <v>1124</v>
      </c>
      <c r="D11353" s="27" t="s">
        <v>1859</v>
      </c>
      <c r="F11353" s="27" t="s">
        <v>1881</v>
      </c>
      <c r="H11353" s="27" t="s">
        <v>2679</v>
      </c>
      <c r="J11353" s="27" t="s">
        <v>2680</v>
      </c>
      <c r="L11353" s="27" t="s">
        <v>2810</v>
      </c>
      <c r="N11353" s="27" t="s">
        <v>15175</v>
      </c>
      <c r="P11353" s="27" t="s">
        <v>15177</v>
      </c>
      <c r="Q11353" s="26" t="str">
        <f>HYPERLINK("https://ictv.global/taxonomy/taxondetails?taxnode_id=202516653&amp;ictv_id=ICTV202316653","ICTV202316653")</f>
        <v>ICTV202316653</v>
      </c>
      <c r="R11353" t="s">
        <v>581</v>
      </c>
      <c r="S11353" t="s">
        <v>823</v>
      </c>
      <c r="T11353">
        <v>39</v>
      </c>
      <c r="U11353" s="26" t="str">
        <f>HYPERLINK("https://ictv.global/ictv/proposals/2023.001B.Leviviricetes_reorg.zip","2023.001B.Leviviricetes_reorg.zip")</f>
        <v>2023.001B.Leviviricetes_reorg.zip</v>
      </c>
    </row>
    <row r="11354" spans="1:21">
      <c r="A11354">
        <v>11353</v>
      </c>
      <c r="B11354" s="27" t="s">
        <v>1124</v>
      </c>
      <c r="D11354" s="27" t="s">
        <v>1859</v>
      </c>
      <c r="F11354" s="27" t="s">
        <v>1881</v>
      </c>
      <c r="H11354" s="27" t="s">
        <v>2679</v>
      </c>
      <c r="J11354" s="27" t="s">
        <v>2680</v>
      </c>
      <c r="L11354" s="27" t="s">
        <v>2810</v>
      </c>
      <c r="N11354" s="27" t="s">
        <v>3097</v>
      </c>
      <c r="P11354" s="27" t="s">
        <v>3098</v>
      </c>
      <c r="Q11354" s="26" t="str">
        <f>HYPERLINK("https://ictv.global/taxonomy/taxondetails?taxnode_id=202510604&amp;ictv_id=ICTV202010604","ICTV202010604")</f>
        <v>ICTV202010604</v>
      </c>
      <c r="R11354" t="s">
        <v>581</v>
      </c>
      <c r="S11354" t="s">
        <v>823</v>
      </c>
      <c r="T11354">
        <v>36</v>
      </c>
      <c r="U11354" s="26" t="str">
        <f>HYPERLINK("https://ictv.global/ictv/proposals/2020.095B.R.Leviviricetes.zip","2020.095B.R.Leviviricetes.zip")</f>
        <v>2020.095B.R.Leviviricetes.zip</v>
      </c>
    </row>
    <row r="11355" spans="1:21">
      <c r="A11355">
        <v>11354</v>
      </c>
      <c r="B11355" s="27" t="s">
        <v>1124</v>
      </c>
      <c r="D11355" s="27" t="s">
        <v>1859</v>
      </c>
      <c r="F11355" s="27" t="s">
        <v>1881</v>
      </c>
      <c r="H11355" s="27" t="s">
        <v>2679</v>
      </c>
      <c r="J11355" s="27" t="s">
        <v>2680</v>
      </c>
      <c r="L11355" s="27" t="s">
        <v>2810</v>
      </c>
      <c r="N11355" s="27" t="s">
        <v>3099</v>
      </c>
      <c r="P11355" s="27" t="s">
        <v>3100</v>
      </c>
      <c r="Q11355" s="26" t="str">
        <f>HYPERLINK("https://ictv.global/taxonomy/taxondetails?taxnode_id=202510606&amp;ictv_id=ICTV202010606","ICTV202010606")</f>
        <v>ICTV202010606</v>
      </c>
      <c r="R11355" t="s">
        <v>581</v>
      </c>
      <c r="S11355" t="s">
        <v>823</v>
      </c>
      <c r="T11355">
        <v>36</v>
      </c>
      <c r="U11355" s="26" t="str">
        <f>HYPERLINK("https://ictv.global/ictv/proposals/2020.095B.R.Leviviricetes.zip","2020.095B.R.Leviviricetes.zip")</f>
        <v>2020.095B.R.Leviviricetes.zip</v>
      </c>
    </row>
    <row r="11356" spans="1:21">
      <c r="A11356">
        <v>11355</v>
      </c>
      <c r="B11356" s="27" t="s">
        <v>1124</v>
      </c>
      <c r="D11356" s="27" t="s">
        <v>1859</v>
      </c>
      <c r="F11356" s="27" t="s">
        <v>1881</v>
      </c>
      <c r="H11356" s="27" t="s">
        <v>2679</v>
      </c>
      <c r="J11356" s="27" t="s">
        <v>2680</v>
      </c>
      <c r="L11356" s="27" t="s">
        <v>2810</v>
      </c>
      <c r="N11356" s="27" t="s">
        <v>15178</v>
      </c>
      <c r="P11356" s="27" t="s">
        <v>15179</v>
      </c>
      <c r="Q11356" s="26" t="str">
        <f>HYPERLINK("https://ictv.global/taxonomy/taxondetails?taxnode_id=202516654&amp;ictv_id=ICTV202316654","ICTV202316654")</f>
        <v>ICTV202316654</v>
      </c>
      <c r="R11356" t="s">
        <v>581</v>
      </c>
      <c r="S11356" t="s">
        <v>823</v>
      </c>
      <c r="T11356">
        <v>39</v>
      </c>
      <c r="U11356" s="26" t="str">
        <f>HYPERLINK("https://ictv.global/ictv/proposals/2023.001B.Leviviricetes_reorg.zip","2023.001B.Leviviricetes_reorg.zip")</f>
        <v>2023.001B.Leviviricetes_reorg.zip</v>
      </c>
    </row>
    <row r="11357" spans="1:21">
      <c r="A11357">
        <v>11356</v>
      </c>
      <c r="B11357" s="27" t="s">
        <v>1124</v>
      </c>
      <c r="D11357" s="27" t="s">
        <v>1859</v>
      </c>
      <c r="F11357" s="27" t="s">
        <v>1881</v>
      </c>
      <c r="H11357" s="27" t="s">
        <v>2679</v>
      </c>
      <c r="J11357" s="27" t="s">
        <v>2680</v>
      </c>
      <c r="L11357" s="27" t="s">
        <v>2810</v>
      </c>
      <c r="N11357" s="27" t="s">
        <v>15180</v>
      </c>
      <c r="P11357" s="27" t="s">
        <v>15181</v>
      </c>
      <c r="Q11357" s="26" t="str">
        <f>HYPERLINK("https://ictv.global/taxonomy/taxondetails?taxnode_id=202516655&amp;ictv_id=ICTV202316655","ICTV202316655")</f>
        <v>ICTV202316655</v>
      </c>
      <c r="R11357" t="s">
        <v>581</v>
      </c>
      <c r="S11357" t="s">
        <v>823</v>
      </c>
      <c r="T11357">
        <v>39</v>
      </c>
      <c r="U11357" s="26" t="str">
        <f>HYPERLINK("https://ictv.global/ictv/proposals/2023.001B.Leviviricetes_reorg.zip","2023.001B.Leviviricetes_reorg.zip")</f>
        <v>2023.001B.Leviviricetes_reorg.zip</v>
      </c>
    </row>
    <row r="11358" spans="1:21">
      <c r="A11358">
        <v>11357</v>
      </c>
      <c r="B11358" s="27" t="s">
        <v>1124</v>
      </c>
      <c r="D11358" s="27" t="s">
        <v>1859</v>
      </c>
      <c r="F11358" s="27" t="s">
        <v>1881</v>
      </c>
      <c r="H11358" s="27" t="s">
        <v>2679</v>
      </c>
      <c r="J11358" s="27" t="s">
        <v>2680</v>
      </c>
      <c r="L11358" s="27" t="s">
        <v>2810</v>
      </c>
      <c r="N11358" s="27" t="s">
        <v>15180</v>
      </c>
      <c r="P11358" s="27" t="s">
        <v>15182</v>
      </c>
      <c r="Q11358" s="26" t="str">
        <f>HYPERLINK("https://ictv.global/taxonomy/taxondetails?taxnode_id=202516656&amp;ictv_id=ICTV202316656","ICTV202316656")</f>
        <v>ICTV202316656</v>
      </c>
      <c r="R11358" t="s">
        <v>581</v>
      </c>
      <c r="S11358" t="s">
        <v>823</v>
      </c>
      <c r="T11358">
        <v>39</v>
      </c>
      <c r="U11358" s="26" t="str">
        <f>HYPERLINK("https://ictv.global/ictv/proposals/2023.001B.Leviviricetes_reorg.zip","2023.001B.Leviviricetes_reorg.zip")</f>
        <v>2023.001B.Leviviricetes_reorg.zip</v>
      </c>
    </row>
    <row r="11359" spans="1:21">
      <c r="A11359">
        <v>11358</v>
      </c>
      <c r="B11359" s="27" t="s">
        <v>1124</v>
      </c>
      <c r="D11359" s="27" t="s">
        <v>1859</v>
      </c>
      <c r="F11359" s="27" t="s">
        <v>1881</v>
      </c>
      <c r="H11359" s="27" t="s">
        <v>2679</v>
      </c>
      <c r="J11359" s="27" t="s">
        <v>2680</v>
      </c>
      <c r="L11359" s="27" t="s">
        <v>2810</v>
      </c>
      <c r="N11359" s="27" t="s">
        <v>3101</v>
      </c>
      <c r="P11359" s="27" t="s">
        <v>15183</v>
      </c>
      <c r="Q11359" s="26" t="str">
        <f>HYPERLINK("https://ictv.global/taxonomy/taxondetails?taxnode_id=202516657&amp;ictv_id=ICTV202316657","ICTV202316657")</f>
        <v>ICTV202316657</v>
      </c>
      <c r="R11359" t="s">
        <v>581</v>
      </c>
      <c r="S11359" t="s">
        <v>823</v>
      </c>
      <c r="T11359">
        <v>39</v>
      </c>
      <c r="U11359" s="26" t="str">
        <f>HYPERLINK("https://ictv.global/ictv/proposals/2023.001B.Leviviricetes_reorg.zip","2023.001B.Leviviricetes_reorg.zip")</f>
        <v>2023.001B.Leviviricetes_reorg.zip</v>
      </c>
    </row>
    <row r="11360" spans="1:21">
      <c r="A11360">
        <v>11359</v>
      </c>
      <c r="B11360" s="27" t="s">
        <v>1124</v>
      </c>
      <c r="D11360" s="27" t="s">
        <v>1859</v>
      </c>
      <c r="F11360" s="27" t="s">
        <v>1881</v>
      </c>
      <c r="H11360" s="27" t="s">
        <v>2679</v>
      </c>
      <c r="J11360" s="27" t="s">
        <v>2680</v>
      </c>
      <c r="L11360" s="27" t="s">
        <v>2810</v>
      </c>
      <c r="N11360" s="27" t="s">
        <v>3101</v>
      </c>
      <c r="P11360" s="27" t="s">
        <v>3102</v>
      </c>
      <c r="Q11360" s="26" t="str">
        <f>HYPERLINK("https://ictv.global/taxonomy/taxondetails?taxnode_id=202510608&amp;ictv_id=ICTV202010608","ICTV202010608")</f>
        <v>ICTV202010608</v>
      </c>
      <c r="R11360" t="s">
        <v>581</v>
      </c>
      <c r="S11360" t="s">
        <v>823</v>
      </c>
      <c r="T11360">
        <v>36</v>
      </c>
      <c r="U11360" s="26" t="str">
        <f>HYPERLINK("https://ictv.global/ictv/proposals/2020.095B.R.Leviviricetes.zip","2020.095B.R.Leviviricetes.zip")</f>
        <v>2020.095B.R.Leviviricetes.zip</v>
      </c>
    </row>
    <row r="11361" spans="1:21">
      <c r="A11361">
        <v>11360</v>
      </c>
      <c r="B11361" s="27" t="s">
        <v>1124</v>
      </c>
      <c r="D11361" s="27" t="s">
        <v>1859</v>
      </c>
      <c r="F11361" s="27" t="s">
        <v>1881</v>
      </c>
      <c r="H11361" s="27" t="s">
        <v>2679</v>
      </c>
      <c r="J11361" s="27" t="s">
        <v>2680</v>
      </c>
      <c r="L11361" s="27" t="s">
        <v>2810</v>
      </c>
      <c r="N11361" s="27" t="s">
        <v>3101</v>
      </c>
      <c r="P11361" s="27" t="s">
        <v>15184</v>
      </c>
      <c r="Q11361" s="26" t="str">
        <f>HYPERLINK("https://ictv.global/taxonomy/taxondetails?taxnode_id=202510439&amp;ictv_id=ICTV202010439","ICTV202010439")</f>
        <v>ICTV202010439</v>
      </c>
      <c r="R11361" t="s">
        <v>581</v>
      </c>
      <c r="S11361" t="s">
        <v>22764</v>
      </c>
      <c r="T11361">
        <v>39</v>
      </c>
      <c r="U11361" s="26" t="str">
        <f t="shared" ref="U11361:U11367" si="417">HYPERLINK("https://ictv.global/ictv/proposals/2023.001B.Leviviricetes_reorg.zip","2023.001B.Leviviricetes_reorg.zip")</f>
        <v>2023.001B.Leviviricetes_reorg.zip</v>
      </c>
    </row>
    <row r="11362" spans="1:21">
      <c r="A11362">
        <v>11361</v>
      </c>
      <c r="B11362" s="27" t="s">
        <v>1124</v>
      </c>
      <c r="D11362" s="27" t="s">
        <v>1859</v>
      </c>
      <c r="F11362" s="27" t="s">
        <v>1881</v>
      </c>
      <c r="H11362" s="27" t="s">
        <v>2679</v>
      </c>
      <c r="J11362" s="27" t="s">
        <v>2680</v>
      </c>
      <c r="L11362" s="27" t="s">
        <v>2810</v>
      </c>
      <c r="N11362" s="27" t="s">
        <v>3101</v>
      </c>
      <c r="P11362" s="27" t="s">
        <v>15185</v>
      </c>
      <c r="Q11362" s="26" t="str">
        <f>HYPERLINK("https://ictv.global/taxonomy/taxondetails?taxnode_id=202516658&amp;ictv_id=ICTV202316658","ICTV202316658")</f>
        <v>ICTV202316658</v>
      </c>
      <c r="R11362" t="s">
        <v>581</v>
      </c>
      <c r="S11362" t="s">
        <v>823</v>
      </c>
      <c r="T11362">
        <v>39</v>
      </c>
      <c r="U11362" s="26" t="str">
        <f t="shared" si="417"/>
        <v>2023.001B.Leviviricetes_reorg.zip</v>
      </c>
    </row>
    <row r="11363" spans="1:21">
      <c r="A11363">
        <v>11362</v>
      </c>
      <c r="B11363" s="27" t="s">
        <v>1124</v>
      </c>
      <c r="D11363" s="27" t="s">
        <v>1859</v>
      </c>
      <c r="F11363" s="27" t="s">
        <v>1881</v>
      </c>
      <c r="H11363" s="27" t="s">
        <v>2679</v>
      </c>
      <c r="J11363" s="27" t="s">
        <v>2680</v>
      </c>
      <c r="L11363" s="27" t="s">
        <v>2810</v>
      </c>
      <c r="N11363" s="27" t="s">
        <v>3101</v>
      </c>
      <c r="P11363" s="27" t="s">
        <v>15186</v>
      </c>
      <c r="Q11363" s="26" t="str">
        <f>HYPERLINK("https://ictv.global/taxonomy/taxondetails?taxnode_id=202516659&amp;ictv_id=ICTV202316659","ICTV202316659")</f>
        <v>ICTV202316659</v>
      </c>
      <c r="R11363" t="s">
        <v>581</v>
      </c>
      <c r="S11363" t="s">
        <v>823</v>
      </c>
      <c r="T11363">
        <v>39</v>
      </c>
      <c r="U11363" s="26" t="str">
        <f t="shared" si="417"/>
        <v>2023.001B.Leviviricetes_reorg.zip</v>
      </c>
    </row>
    <row r="11364" spans="1:21">
      <c r="A11364">
        <v>11363</v>
      </c>
      <c r="B11364" s="27" t="s">
        <v>1124</v>
      </c>
      <c r="D11364" s="27" t="s">
        <v>1859</v>
      </c>
      <c r="F11364" s="27" t="s">
        <v>1881</v>
      </c>
      <c r="H11364" s="27" t="s">
        <v>2679</v>
      </c>
      <c r="J11364" s="27" t="s">
        <v>2680</v>
      </c>
      <c r="L11364" s="27" t="s">
        <v>2810</v>
      </c>
      <c r="N11364" s="27" t="s">
        <v>3101</v>
      </c>
      <c r="P11364" s="27" t="s">
        <v>15187</v>
      </c>
      <c r="Q11364" s="26" t="str">
        <f>HYPERLINK("https://ictv.global/taxonomy/taxondetails?taxnode_id=202516660&amp;ictv_id=ICTV202316660","ICTV202316660")</f>
        <v>ICTV202316660</v>
      </c>
      <c r="R11364" t="s">
        <v>581</v>
      </c>
      <c r="S11364" t="s">
        <v>823</v>
      </c>
      <c r="T11364">
        <v>39</v>
      </c>
      <c r="U11364" s="26" t="str">
        <f t="shared" si="417"/>
        <v>2023.001B.Leviviricetes_reorg.zip</v>
      </c>
    </row>
    <row r="11365" spans="1:21">
      <c r="A11365">
        <v>11364</v>
      </c>
      <c r="B11365" s="27" t="s">
        <v>1124</v>
      </c>
      <c r="D11365" s="27" t="s">
        <v>1859</v>
      </c>
      <c r="F11365" s="27" t="s">
        <v>1881</v>
      </c>
      <c r="H11365" s="27" t="s">
        <v>2679</v>
      </c>
      <c r="J11365" s="27" t="s">
        <v>2680</v>
      </c>
      <c r="L11365" s="27" t="s">
        <v>2810</v>
      </c>
      <c r="N11365" s="27" t="s">
        <v>3101</v>
      </c>
      <c r="P11365" s="27" t="s">
        <v>15188</v>
      </c>
      <c r="Q11365" s="26" t="str">
        <f>HYPERLINK("https://ictv.global/taxonomy/taxondetails?taxnode_id=202516661&amp;ictv_id=ICTV202316661","ICTV202316661")</f>
        <v>ICTV202316661</v>
      </c>
      <c r="R11365" t="s">
        <v>581</v>
      </c>
      <c r="S11365" t="s">
        <v>823</v>
      </c>
      <c r="T11365">
        <v>39</v>
      </c>
      <c r="U11365" s="26" t="str">
        <f t="shared" si="417"/>
        <v>2023.001B.Leviviricetes_reorg.zip</v>
      </c>
    </row>
    <row r="11366" spans="1:21">
      <c r="A11366">
        <v>11365</v>
      </c>
      <c r="B11366" s="27" t="s">
        <v>1124</v>
      </c>
      <c r="D11366" s="27" t="s">
        <v>1859</v>
      </c>
      <c r="F11366" s="27" t="s">
        <v>1881</v>
      </c>
      <c r="H11366" s="27" t="s">
        <v>2679</v>
      </c>
      <c r="J11366" s="27" t="s">
        <v>2680</v>
      </c>
      <c r="L11366" s="27" t="s">
        <v>2810</v>
      </c>
      <c r="N11366" s="27" t="s">
        <v>15189</v>
      </c>
      <c r="P11366" s="27" t="s">
        <v>15190</v>
      </c>
      <c r="Q11366" s="26" t="str">
        <f>HYPERLINK("https://ictv.global/taxonomy/taxondetails?taxnode_id=202516662&amp;ictv_id=ICTV202316662","ICTV202316662")</f>
        <v>ICTV202316662</v>
      </c>
      <c r="R11366" t="s">
        <v>581</v>
      </c>
      <c r="S11366" t="s">
        <v>823</v>
      </c>
      <c r="T11366">
        <v>39</v>
      </c>
      <c r="U11366" s="26" t="str">
        <f t="shared" si="417"/>
        <v>2023.001B.Leviviricetes_reorg.zip</v>
      </c>
    </row>
    <row r="11367" spans="1:21">
      <c r="A11367">
        <v>11366</v>
      </c>
      <c r="B11367" s="27" t="s">
        <v>1124</v>
      </c>
      <c r="D11367" s="27" t="s">
        <v>1859</v>
      </c>
      <c r="F11367" s="27" t="s">
        <v>1881</v>
      </c>
      <c r="H11367" s="27" t="s">
        <v>2679</v>
      </c>
      <c r="J11367" s="27" t="s">
        <v>2680</v>
      </c>
      <c r="L11367" s="27" t="s">
        <v>2810</v>
      </c>
      <c r="N11367" s="27" t="s">
        <v>15191</v>
      </c>
      <c r="P11367" s="27" t="s">
        <v>15192</v>
      </c>
      <c r="Q11367" s="26" t="str">
        <f>HYPERLINK("https://ictv.global/taxonomy/taxondetails?taxnode_id=202516663&amp;ictv_id=ICTV202316663","ICTV202316663")</f>
        <v>ICTV202316663</v>
      </c>
      <c r="R11367" t="s">
        <v>581</v>
      </c>
      <c r="S11367" t="s">
        <v>823</v>
      </c>
      <c r="T11367">
        <v>39</v>
      </c>
      <c r="U11367" s="26" t="str">
        <f t="shared" si="417"/>
        <v>2023.001B.Leviviricetes_reorg.zip</v>
      </c>
    </row>
    <row r="11368" spans="1:21">
      <c r="A11368">
        <v>11367</v>
      </c>
      <c r="B11368" s="27" t="s">
        <v>1124</v>
      </c>
      <c r="D11368" s="27" t="s">
        <v>1859</v>
      </c>
      <c r="F11368" s="27" t="s">
        <v>1881</v>
      </c>
      <c r="H11368" s="27" t="s">
        <v>2679</v>
      </c>
      <c r="J11368" s="27" t="s">
        <v>2680</v>
      </c>
      <c r="L11368" s="27" t="s">
        <v>2810</v>
      </c>
      <c r="N11368" s="27" t="s">
        <v>3103</v>
      </c>
      <c r="P11368" s="27" t="s">
        <v>3104</v>
      </c>
      <c r="Q11368" s="26" t="str">
        <f>HYPERLINK("https://ictv.global/taxonomy/taxondetails?taxnode_id=202510613&amp;ictv_id=ICTV202010613","ICTV202010613")</f>
        <v>ICTV202010613</v>
      </c>
      <c r="R11368" t="s">
        <v>581</v>
      </c>
      <c r="S11368" t="s">
        <v>823</v>
      </c>
      <c r="T11368">
        <v>36</v>
      </c>
      <c r="U11368" s="26" t="str">
        <f>HYPERLINK("https://ictv.global/ictv/proposals/2020.095B.R.Leviviricetes.zip","2020.095B.R.Leviviricetes.zip")</f>
        <v>2020.095B.R.Leviviricetes.zip</v>
      </c>
    </row>
    <row r="11369" spans="1:21">
      <c r="A11369">
        <v>11368</v>
      </c>
      <c r="B11369" s="27" t="s">
        <v>1124</v>
      </c>
      <c r="D11369" s="27" t="s">
        <v>1859</v>
      </c>
      <c r="F11369" s="27" t="s">
        <v>1881</v>
      </c>
      <c r="H11369" s="27" t="s">
        <v>2679</v>
      </c>
      <c r="J11369" s="27" t="s">
        <v>2680</v>
      </c>
      <c r="L11369" s="27" t="s">
        <v>2810</v>
      </c>
      <c r="N11369" s="27" t="s">
        <v>3105</v>
      </c>
      <c r="P11369" s="27" t="s">
        <v>3106</v>
      </c>
      <c r="Q11369" s="26" t="str">
        <f>HYPERLINK("https://ictv.global/taxonomy/taxondetails?taxnode_id=202510615&amp;ictv_id=ICTV202010615","ICTV202010615")</f>
        <v>ICTV202010615</v>
      </c>
      <c r="R11369" t="s">
        <v>581</v>
      </c>
      <c r="S11369" t="s">
        <v>823</v>
      </c>
      <c r="T11369">
        <v>36</v>
      </c>
      <c r="U11369" s="26" t="str">
        <f>HYPERLINK("https://ictv.global/ictv/proposals/2020.095B.R.Leviviricetes.zip","2020.095B.R.Leviviricetes.zip")</f>
        <v>2020.095B.R.Leviviricetes.zip</v>
      </c>
    </row>
    <row r="11370" spans="1:21">
      <c r="A11370">
        <v>11369</v>
      </c>
      <c r="B11370" s="27" t="s">
        <v>1124</v>
      </c>
      <c r="D11370" s="27" t="s">
        <v>1859</v>
      </c>
      <c r="F11370" s="27" t="s">
        <v>1881</v>
      </c>
      <c r="H11370" s="27" t="s">
        <v>2679</v>
      </c>
      <c r="J11370" s="27" t="s">
        <v>2680</v>
      </c>
      <c r="L11370" s="27" t="s">
        <v>2810</v>
      </c>
      <c r="N11370" s="27" t="s">
        <v>15193</v>
      </c>
      <c r="P11370" s="27" t="s">
        <v>15194</v>
      </c>
      <c r="Q11370" s="26" t="str">
        <f>HYPERLINK("https://ictv.global/taxonomy/taxondetails?taxnode_id=202516664&amp;ictv_id=ICTV202316664","ICTV202316664")</f>
        <v>ICTV202316664</v>
      </c>
      <c r="R11370" t="s">
        <v>581</v>
      </c>
      <c r="S11370" t="s">
        <v>823</v>
      </c>
      <c r="T11370">
        <v>39</v>
      </c>
      <c r="U11370" s="26" t="str">
        <f t="shared" ref="U11370:U11378" si="418">HYPERLINK("https://ictv.global/ictv/proposals/2023.001B.Leviviricetes_reorg.zip","2023.001B.Leviviricetes_reorg.zip")</f>
        <v>2023.001B.Leviviricetes_reorg.zip</v>
      </c>
    </row>
    <row r="11371" spans="1:21">
      <c r="A11371">
        <v>11370</v>
      </c>
      <c r="B11371" s="27" t="s">
        <v>1124</v>
      </c>
      <c r="D11371" s="27" t="s">
        <v>1859</v>
      </c>
      <c r="F11371" s="27" t="s">
        <v>1881</v>
      </c>
      <c r="H11371" s="27" t="s">
        <v>2679</v>
      </c>
      <c r="J11371" s="27" t="s">
        <v>2680</v>
      </c>
      <c r="L11371" s="27" t="s">
        <v>2810</v>
      </c>
      <c r="N11371" s="27" t="s">
        <v>15195</v>
      </c>
      <c r="P11371" s="27" t="s">
        <v>15196</v>
      </c>
      <c r="Q11371" s="26" t="str">
        <f>HYPERLINK("https://ictv.global/taxonomy/taxondetails?taxnode_id=202516665&amp;ictv_id=ICTV202316665","ICTV202316665")</f>
        <v>ICTV202316665</v>
      </c>
      <c r="R11371" t="s">
        <v>581</v>
      </c>
      <c r="S11371" t="s">
        <v>823</v>
      </c>
      <c r="T11371">
        <v>39</v>
      </c>
      <c r="U11371" s="26" t="str">
        <f t="shared" si="418"/>
        <v>2023.001B.Leviviricetes_reorg.zip</v>
      </c>
    </row>
    <row r="11372" spans="1:21">
      <c r="A11372">
        <v>11371</v>
      </c>
      <c r="B11372" s="27" t="s">
        <v>1124</v>
      </c>
      <c r="D11372" s="27" t="s">
        <v>1859</v>
      </c>
      <c r="F11372" s="27" t="s">
        <v>1881</v>
      </c>
      <c r="H11372" s="27" t="s">
        <v>2679</v>
      </c>
      <c r="J11372" s="27" t="s">
        <v>2680</v>
      </c>
      <c r="L11372" s="27" t="s">
        <v>2810</v>
      </c>
      <c r="N11372" s="27" t="s">
        <v>15197</v>
      </c>
      <c r="P11372" s="27" t="s">
        <v>15198</v>
      </c>
      <c r="Q11372" s="26" t="str">
        <f>HYPERLINK("https://ictv.global/taxonomy/taxondetails?taxnode_id=202516666&amp;ictv_id=ICTV202316666","ICTV202316666")</f>
        <v>ICTV202316666</v>
      </c>
      <c r="R11372" t="s">
        <v>581</v>
      </c>
      <c r="S11372" t="s">
        <v>823</v>
      </c>
      <c r="T11372">
        <v>39</v>
      </c>
      <c r="U11372" s="26" t="str">
        <f t="shared" si="418"/>
        <v>2023.001B.Leviviricetes_reorg.zip</v>
      </c>
    </row>
    <row r="11373" spans="1:21">
      <c r="A11373">
        <v>11372</v>
      </c>
      <c r="B11373" s="27" t="s">
        <v>1124</v>
      </c>
      <c r="D11373" s="27" t="s">
        <v>1859</v>
      </c>
      <c r="F11373" s="27" t="s">
        <v>1881</v>
      </c>
      <c r="H11373" s="27" t="s">
        <v>2679</v>
      </c>
      <c r="J11373" s="27" t="s">
        <v>2680</v>
      </c>
      <c r="L11373" s="27" t="s">
        <v>2810</v>
      </c>
      <c r="N11373" s="27" t="s">
        <v>15199</v>
      </c>
      <c r="P11373" s="27" t="s">
        <v>15200</v>
      </c>
      <c r="Q11373" s="26" t="str">
        <f>HYPERLINK("https://ictv.global/taxonomy/taxondetails?taxnode_id=202516667&amp;ictv_id=ICTV202316667","ICTV202316667")</f>
        <v>ICTV202316667</v>
      </c>
      <c r="R11373" t="s">
        <v>581</v>
      </c>
      <c r="S11373" t="s">
        <v>823</v>
      </c>
      <c r="T11373">
        <v>39</v>
      </c>
      <c r="U11373" s="26" t="str">
        <f t="shared" si="418"/>
        <v>2023.001B.Leviviricetes_reorg.zip</v>
      </c>
    </row>
    <row r="11374" spans="1:21">
      <c r="A11374">
        <v>11373</v>
      </c>
      <c r="B11374" s="27" t="s">
        <v>1124</v>
      </c>
      <c r="D11374" s="27" t="s">
        <v>1859</v>
      </c>
      <c r="F11374" s="27" t="s">
        <v>1881</v>
      </c>
      <c r="H11374" s="27" t="s">
        <v>2679</v>
      </c>
      <c r="J11374" s="27" t="s">
        <v>2680</v>
      </c>
      <c r="L11374" s="27" t="s">
        <v>2810</v>
      </c>
      <c r="N11374" s="27" t="s">
        <v>15199</v>
      </c>
      <c r="P11374" s="27" t="s">
        <v>15201</v>
      </c>
      <c r="Q11374" s="26" t="str">
        <f>HYPERLINK("https://ictv.global/taxonomy/taxondetails?taxnode_id=202516668&amp;ictv_id=ICTV202316668","ICTV202316668")</f>
        <v>ICTV202316668</v>
      </c>
      <c r="R11374" t="s">
        <v>581</v>
      </c>
      <c r="S11374" t="s">
        <v>823</v>
      </c>
      <c r="T11374">
        <v>39</v>
      </c>
      <c r="U11374" s="26" t="str">
        <f t="shared" si="418"/>
        <v>2023.001B.Leviviricetes_reorg.zip</v>
      </c>
    </row>
    <row r="11375" spans="1:21">
      <c r="A11375">
        <v>11374</v>
      </c>
      <c r="B11375" s="27" t="s">
        <v>1124</v>
      </c>
      <c r="D11375" s="27" t="s">
        <v>1859</v>
      </c>
      <c r="F11375" s="27" t="s">
        <v>1881</v>
      </c>
      <c r="H11375" s="27" t="s">
        <v>2679</v>
      </c>
      <c r="J11375" s="27" t="s">
        <v>2680</v>
      </c>
      <c r="L11375" s="27" t="s">
        <v>2810</v>
      </c>
      <c r="N11375" s="27" t="s">
        <v>15199</v>
      </c>
      <c r="P11375" s="27" t="s">
        <v>15202</v>
      </c>
      <c r="Q11375" s="26" t="str">
        <f>HYPERLINK("https://ictv.global/taxonomy/taxondetails?taxnode_id=202516669&amp;ictv_id=ICTV202316669","ICTV202316669")</f>
        <v>ICTV202316669</v>
      </c>
      <c r="R11375" t="s">
        <v>581</v>
      </c>
      <c r="S11375" t="s">
        <v>823</v>
      </c>
      <c r="T11375">
        <v>39</v>
      </c>
      <c r="U11375" s="26" t="str">
        <f t="shared" si="418"/>
        <v>2023.001B.Leviviricetes_reorg.zip</v>
      </c>
    </row>
    <row r="11376" spans="1:21">
      <c r="A11376">
        <v>11375</v>
      </c>
      <c r="B11376" s="27" t="s">
        <v>1124</v>
      </c>
      <c r="D11376" s="27" t="s">
        <v>1859</v>
      </c>
      <c r="F11376" s="27" t="s">
        <v>1881</v>
      </c>
      <c r="H11376" s="27" t="s">
        <v>2679</v>
      </c>
      <c r="J11376" s="27" t="s">
        <v>2680</v>
      </c>
      <c r="L11376" s="27" t="s">
        <v>2810</v>
      </c>
      <c r="N11376" s="27" t="s">
        <v>15199</v>
      </c>
      <c r="P11376" s="27" t="s">
        <v>15203</v>
      </c>
      <c r="Q11376" s="26" t="str">
        <f>HYPERLINK("https://ictv.global/taxonomy/taxondetails?taxnode_id=202516670&amp;ictv_id=ICTV202316670","ICTV202316670")</f>
        <v>ICTV202316670</v>
      </c>
      <c r="R11376" t="s">
        <v>581</v>
      </c>
      <c r="S11376" t="s">
        <v>823</v>
      </c>
      <c r="T11376">
        <v>39</v>
      </c>
      <c r="U11376" s="26" t="str">
        <f t="shared" si="418"/>
        <v>2023.001B.Leviviricetes_reorg.zip</v>
      </c>
    </row>
    <row r="11377" spans="1:21">
      <c r="A11377">
        <v>11376</v>
      </c>
      <c r="B11377" s="27" t="s">
        <v>1124</v>
      </c>
      <c r="D11377" s="27" t="s">
        <v>1859</v>
      </c>
      <c r="F11377" s="27" t="s">
        <v>1881</v>
      </c>
      <c r="H11377" s="27" t="s">
        <v>2679</v>
      </c>
      <c r="J11377" s="27" t="s">
        <v>2680</v>
      </c>
      <c r="L11377" s="27" t="s">
        <v>2810</v>
      </c>
      <c r="N11377" s="27" t="s">
        <v>15199</v>
      </c>
      <c r="P11377" s="27" t="s">
        <v>15204</v>
      </c>
      <c r="Q11377" s="26" t="str">
        <f>HYPERLINK("https://ictv.global/taxonomy/taxondetails?taxnode_id=202516671&amp;ictv_id=ICTV202316671","ICTV202316671")</f>
        <v>ICTV202316671</v>
      </c>
      <c r="R11377" t="s">
        <v>581</v>
      </c>
      <c r="S11377" t="s">
        <v>823</v>
      </c>
      <c r="T11377">
        <v>39</v>
      </c>
      <c r="U11377" s="26" t="str">
        <f t="shared" si="418"/>
        <v>2023.001B.Leviviricetes_reorg.zip</v>
      </c>
    </row>
    <row r="11378" spans="1:21">
      <c r="A11378">
        <v>11377</v>
      </c>
      <c r="B11378" s="27" t="s">
        <v>1124</v>
      </c>
      <c r="D11378" s="27" t="s">
        <v>1859</v>
      </c>
      <c r="F11378" s="27" t="s">
        <v>1881</v>
      </c>
      <c r="H11378" s="27" t="s">
        <v>2679</v>
      </c>
      <c r="J11378" s="27" t="s">
        <v>2680</v>
      </c>
      <c r="L11378" s="27" t="s">
        <v>2810</v>
      </c>
      <c r="N11378" s="27" t="s">
        <v>3107</v>
      </c>
      <c r="P11378" s="27" t="s">
        <v>15205</v>
      </c>
      <c r="Q11378" s="26" t="str">
        <f>HYPERLINK("https://ictv.global/taxonomy/taxondetails?taxnode_id=202516672&amp;ictv_id=ICTV202316672","ICTV202316672")</f>
        <v>ICTV202316672</v>
      </c>
      <c r="R11378" t="s">
        <v>581</v>
      </c>
      <c r="S11378" t="s">
        <v>823</v>
      </c>
      <c r="T11378">
        <v>39</v>
      </c>
      <c r="U11378" s="26" t="str">
        <f t="shared" si="418"/>
        <v>2023.001B.Leviviricetes_reorg.zip</v>
      </c>
    </row>
    <row r="11379" spans="1:21">
      <c r="A11379">
        <v>11378</v>
      </c>
      <c r="B11379" s="27" t="s">
        <v>1124</v>
      </c>
      <c r="D11379" s="27" t="s">
        <v>1859</v>
      </c>
      <c r="F11379" s="27" t="s">
        <v>1881</v>
      </c>
      <c r="H11379" s="27" t="s">
        <v>2679</v>
      </c>
      <c r="J11379" s="27" t="s">
        <v>2680</v>
      </c>
      <c r="L11379" s="27" t="s">
        <v>2810</v>
      </c>
      <c r="N11379" s="27" t="s">
        <v>3107</v>
      </c>
      <c r="P11379" s="27" t="s">
        <v>3108</v>
      </c>
      <c r="Q11379" s="26" t="str">
        <f>HYPERLINK("https://ictv.global/taxonomy/taxondetails?taxnode_id=202510620&amp;ictv_id=ICTV202010620","ICTV202010620")</f>
        <v>ICTV202010620</v>
      </c>
      <c r="R11379" t="s">
        <v>581</v>
      </c>
      <c r="S11379" t="s">
        <v>823</v>
      </c>
      <c r="T11379">
        <v>36</v>
      </c>
      <c r="U11379" s="26" t="str">
        <f>HYPERLINK("https://ictv.global/ictv/proposals/2020.095B.R.Leviviricetes.zip","2020.095B.R.Leviviricetes.zip")</f>
        <v>2020.095B.R.Leviviricetes.zip</v>
      </c>
    </row>
    <row r="11380" spans="1:21">
      <c r="A11380">
        <v>11379</v>
      </c>
      <c r="B11380" s="27" t="s">
        <v>1124</v>
      </c>
      <c r="D11380" s="27" t="s">
        <v>1859</v>
      </c>
      <c r="F11380" s="27" t="s">
        <v>1881</v>
      </c>
      <c r="H11380" s="27" t="s">
        <v>2679</v>
      </c>
      <c r="J11380" s="27" t="s">
        <v>2680</v>
      </c>
      <c r="L11380" s="27" t="s">
        <v>2810</v>
      </c>
      <c r="N11380" s="27" t="s">
        <v>3109</v>
      </c>
      <c r="P11380" s="27" t="s">
        <v>3110</v>
      </c>
      <c r="Q11380" s="26" t="str">
        <f>HYPERLINK("https://ictv.global/taxonomy/taxondetails?taxnode_id=202510622&amp;ictv_id=ICTV202010622","ICTV202010622")</f>
        <v>ICTV202010622</v>
      </c>
      <c r="R11380" t="s">
        <v>581</v>
      </c>
      <c r="S11380" t="s">
        <v>823</v>
      </c>
      <c r="T11380">
        <v>36</v>
      </c>
      <c r="U11380" s="26" t="str">
        <f>HYPERLINK("https://ictv.global/ictv/proposals/2020.095B.R.Leviviricetes.zip","2020.095B.R.Leviviricetes.zip")</f>
        <v>2020.095B.R.Leviviricetes.zip</v>
      </c>
    </row>
    <row r="11381" spans="1:21">
      <c r="A11381">
        <v>11380</v>
      </c>
      <c r="B11381" s="27" t="s">
        <v>1124</v>
      </c>
      <c r="D11381" s="27" t="s">
        <v>1859</v>
      </c>
      <c r="F11381" s="27" t="s">
        <v>1881</v>
      </c>
      <c r="H11381" s="27" t="s">
        <v>2679</v>
      </c>
      <c r="J11381" s="27" t="s">
        <v>2680</v>
      </c>
      <c r="L11381" s="27" t="s">
        <v>2810</v>
      </c>
      <c r="N11381" s="27" t="s">
        <v>3111</v>
      </c>
      <c r="P11381" s="27" t="s">
        <v>3112</v>
      </c>
      <c r="Q11381" s="26" t="str">
        <f>HYPERLINK("https://ictv.global/taxonomy/taxondetails?taxnode_id=202510624&amp;ictv_id=ICTV202010624","ICTV202010624")</f>
        <v>ICTV202010624</v>
      </c>
      <c r="R11381" t="s">
        <v>581</v>
      </c>
      <c r="S11381" t="s">
        <v>823</v>
      </c>
      <c r="T11381">
        <v>36</v>
      </c>
      <c r="U11381" s="26" t="str">
        <f>HYPERLINK("https://ictv.global/ictv/proposals/2020.095B.R.Leviviricetes.zip","2020.095B.R.Leviviricetes.zip")</f>
        <v>2020.095B.R.Leviviricetes.zip</v>
      </c>
    </row>
    <row r="11382" spans="1:21">
      <c r="A11382">
        <v>11381</v>
      </c>
      <c r="B11382" s="27" t="s">
        <v>1124</v>
      </c>
      <c r="D11382" s="27" t="s">
        <v>1859</v>
      </c>
      <c r="F11382" s="27" t="s">
        <v>1881</v>
      </c>
      <c r="H11382" s="27" t="s">
        <v>2679</v>
      </c>
      <c r="J11382" s="27" t="s">
        <v>2680</v>
      </c>
      <c r="L11382" s="27" t="s">
        <v>2810</v>
      </c>
      <c r="N11382" s="27" t="s">
        <v>15206</v>
      </c>
      <c r="P11382" s="27" t="s">
        <v>15207</v>
      </c>
      <c r="Q11382" s="26" t="str">
        <f>HYPERLINK("https://ictv.global/taxonomy/taxondetails?taxnode_id=202516673&amp;ictv_id=ICTV202316673","ICTV202316673")</f>
        <v>ICTV202316673</v>
      </c>
      <c r="R11382" t="s">
        <v>581</v>
      </c>
      <c r="S11382" t="s">
        <v>823</v>
      </c>
      <c r="T11382">
        <v>39</v>
      </c>
      <c r="U11382" s="26" t="str">
        <f>HYPERLINK("https://ictv.global/ictv/proposals/2023.001B.Leviviricetes_reorg.zip","2023.001B.Leviviricetes_reorg.zip")</f>
        <v>2023.001B.Leviviricetes_reorg.zip</v>
      </c>
    </row>
    <row r="11383" spans="1:21">
      <c r="A11383">
        <v>11382</v>
      </c>
      <c r="B11383" s="27" t="s">
        <v>1124</v>
      </c>
      <c r="D11383" s="27" t="s">
        <v>1859</v>
      </c>
      <c r="F11383" s="27" t="s">
        <v>1881</v>
      </c>
      <c r="H11383" s="27" t="s">
        <v>2679</v>
      </c>
      <c r="J11383" s="27" t="s">
        <v>2680</v>
      </c>
      <c r="L11383" s="27" t="s">
        <v>2810</v>
      </c>
      <c r="N11383" s="27" t="s">
        <v>15206</v>
      </c>
      <c r="P11383" s="27" t="s">
        <v>15208</v>
      </c>
      <c r="Q11383" s="26" t="str">
        <f>HYPERLINK("https://ictv.global/taxonomy/taxondetails?taxnode_id=202516674&amp;ictv_id=ICTV202316674","ICTV202316674")</f>
        <v>ICTV202316674</v>
      </c>
      <c r="R11383" t="s">
        <v>581</v>
      </c>
      <c r="S11383" t="s">
        <v>823</v>
      </c>
      <c r="T11383">
        <v>39</v>
      </c>
      <c r="U11383" s="26" t="str">
        <f>HYPERLINK("https://ictv.global/ictv/proposals/2023.001B.Leviviricetes_reorg.zip","2023.001B.Leviviricetes_reorg.zip")</f>
        <v>2023.001B.Leviviricetes_reorg.zip</v>
      </c>
    </row>
    <row r="11384" spans="1:21">
      <c r="A11384">
        <v>11383</v>
      </c>
      <c r="B11384" s="27" t="s">
        <v>1124</v>
      </c>
      <c r="D11384" s="27" t="s">
        <v>1859</v>
      </c>
      <c r="F11384" s="27" t="s">
        <v>1881</v>
      </c>
      <c r="H11384" s="27" t="s">
        <v>2679</v>
      </c>
      <c r="J11384" s="27" t="s">
        <v>2680</v>
      </c>
      <c r="L11384" s="27" t="s">
        <v>2810</v>
      </c>
      <c r="N11384" s="27" t="s">
        <v>15206</v>
      </c>
      <c r="P11384" s="27" t="s">
        <v>15209</v>
      </c>
      <c r="Q11384" s="26" t="str">
        <f>HYPERLINK("https://ictv.global/taxonomy/taxondetails?taxnode_id=202516675&amp;ictv_id=ICTV202316675","ICTV202316675")</f>
        <v>ICTV202316675</v>
      </c>
      <c r="R11384" t="s">
        <v>581</v>
      </c>
      <c r="S11384" t="s">
        <v>823</v>
      </c>
      <c r="T11384">
        <v>39</v>
      </c>
      <c r="U11384" s="26" t="str">
        <f>HYPERLINK("https://ictv.global/ictv/proposals/2023.001B.Leviviricetes_reorg.zip","2023.001B.Leviviricetes_reorg.zip")</f>
        <v>2023.001B.Leviviricetes_reorg.zip</v>
      </c>
    </row>
    <row r="11385" spans="1:21">
      <c r="A11385">
        <v>11384</v>
      </c>
      <c r="B11385" s="27" t="s">
        <v>1124</v>
      </c>
      <c r="D11385" s="27" t="s">
        <v>1859</v>
      </c>
      <c r="F11385" s="27" t="s">
        <v>1881</v>
      </c>
      <c r="H11385" s="27" t="s">
        <v>2679</v>
      </c>
      <c r="J11385" s="27" t="s">
        <v>2680</v>
      </c>
      <c r="L11385" s="27" t="s">
        <v>2810</v>
      </c>
      <c r="N11385" s="27" t="s">
        <v>15206</v>
      </c>
      <c r="P11385" s="27" t="s">
        <v>15210</v>
      </c>
      <c r="Q11385" s="26" t="str">
        <f>HYPERLINK("https://ictv.global/taxonomy/taxondetails?taxnode_id=202516676&amp;ictv_id=ICTV202316676","ICTV202316676")</f>
        <v>ICTV202316676</v>
      </c>
      <c r="R11385" t="s">
        <v>581</v>
      </c>
      <c r="S11385" t="s">
        <v>823</v>
      </c>
      <c r="T11385">
        <v>39</v>
      </c>
      <c r="U11385" s="26" t="str">
        <f>HYPERLINK("https://ictv.global/ictv/proposals/2023.001B.Leviviricetes_reorg.zip","2023.001B.Leviviricetes_reorg.zip")</f>
        <v>2023.001B.Leviviricetes_reorg.zip</v>
      </c>
    </row>
    <row r="11386" spans="1:21">
      <c r="A11386">
        <v>11385</v>
      </c>
      <c r="B11386" s="27" t="s">
        <v>1124</v>
      </c>
      <c r="D11386" s="27" t="s">
        <v>1859</v>
      </c>
      <c r="F11386" s="27" t="s">
        <v>1881</v>
      </c>
      <c r="H11386" s="27" t="s">
        <v>2679</v>
      </c>
      <c r="J11386" s="27" t="s">
        <v>2680</v>
      </c>
      <c r="L11386" s="27" t="s">
        <v>2810</v>
      </c>
      <c r="N11386" s="27" t="s">
        <v>3113</v>
      </c>
      <c r="P11386" s="27" t="s">
        <v>3114</v>
      </c>
      <c r="Q11386" s="26" t="str">
        <f>HYPERLINK("https://ictv.global/taxonomy/taxondetails?taxnode_id=202510626&amp;ictv_id=ICTV202010626","ICTV202010626")</f>
        <v>ICTV202010626</v>
      </c>
      <c r="R11386" t="s">
        <v>581</v>
      </c>
      <c r="S11386" t="s">
        <v>823</v>
      </c>
      <c r="T11386">
        <v>36</v>
      </c>
      <c r="U11386" s="26" t="str">
        <f>HYPERLINK("https://ictv.global/ictv/proposals/2020.095B.R.Leviviricetes.zip","2020.095B.R.Leviviricetes.zip")</f>
        <v>2020.095B.R.Leviviricetes.zip</v>
      </c>
    </row>
    <row r="11387" spans="1:21">
      <c r="A11387">
        <v>11386</v>
      </c>
      <c r="B11387" s="27" t="s">
        <v>1124</v>
      </c>
      <c r="D11387" s="27" t="s">
        <v>1859</v>
      </c>
      <c r="F11387" s="27" t="s">
        <v>1881</v>
      </c>
      <c r="H11387" s="27" t="s">
        <v>2679</v>
      </c>
      <c r="J11387" s="27" t="s">
        <v>2680</v>
      </c>
      <c r="L11387" s="27" t="s">
        <v>2810</v>
      </c>
      <c r="N11387" s="27" t="s">
        <v>15211</v>
      </c>
      <c r="P11387" s="27" t="s">
        <v>15212</v>
      </c>
      <c r="Q11387" s="26" t="str">
        <f>HYPERLINK("https://ictv.global/taxonomy/taxondetails?taxnode_id=202516677&amp;ictv_id=ICTV202316677","ICTV202316677")</f>
        <v>ICTV202316677</v>
      </c>
      <c r="R11387" t="s">
        <v>581</v>
      </c>
      <c r="S11387" t="s">
        <v>823</v>
      </c>
      <c r="T11387">
        <v>39</v>
      </c>
      <c r="U11387" s="26" t="str">
        <f>HYPERLINK("https://ictv.global/ictv/proposals/2023.001B.Leviviricetes_reorg.zip","2023.001B.Leviviricetes_reorg.zip")</f>
        <v>2023.001B.Leviviricetes_reorg.zip</v>
      </c>
    </row>
    <row r="11388" spans="1:21">
      <c r="A11388">
        <v>11387</v>
      </c>
      <c r="B11388" s="27" t="s">
        <v>1124</v>
      </c>
      <c r="D11388" s="27" t="s">
        <v>1859</v>
      </c>
      <c r="F11388" s="27" t="s">
        <v>1881</v>
      </c>
      <c r="H11388" s="27" t="s">
        <v>2679</v>
      </c>
      <c r="J11388" s="27" t="s">
        <v>2680</v>
      </c>
      <c r="L11388" s="27" t="s">
        <v>2810</v>
      </c>
      <c r="N11388" s="27" t="s">
        <v>15211</v>
      </c>
      <c r="P11388" s="27" t="s">
        <v>15213</v>
      </c>
      <c r="Q11388" s="26" t="str">
        <f>HYPERLINK("https://ictv.global/taxonomy/taxondetails?taxnode_id=202516678&amp;ictv_id=ICTV202316678","ICTV202316678")</f>
        <v>ICTV202316678</v>
      </c>
      <c r="R11388" t="s">
        <v>581</v>
      </c>
      <c r="S11388" t="s">
        <v>823</v>
      </c>
      <c r="T11388">
        <v>39</v>
      </c>
      <c r="U11388" s="26" t="str">
        <f>HYPERLINK("https://ictv.global/ictv/proposals/2023.001B.Leviviricetes_reorg.zip","2023.001B.Leviviricetes_reorg.zip")</f>
        <v>2023.001B.Leviviricetes_reorg.zip</v>
      </c>
    </row>
    <row r="11389" spans="1:21">
      <c r="A11389">
        <v>11388</v>
      </c>
      <c r="B11389" s="27" t="s">
        <v>1124</v>
      </c>
      <c r="D11389" s="27" t="s">
        <v>1859</v>
      </c>
      <c r="F11389" s="27" t="s">
        <v>1881</v>
      </c>
      <c r="H11389" s="27" t="s">
        <v>2679</v>
      </c>
      <c r="J11389" s="27" t="s">
        <v>2680</v>
      </c>
      <c r="L11389" s="27" t="s">
        <v>2810</v>
      </c>
      <c r="N11389" s="27" t="s">
        <v>15211</v>
      </c>
      <c r="P11389" s="27" t="s">
        <v>15214</v>
      </c>
      <c r="Q11389" s="26" t="str">
        <f>HYPERLINK("https://ictv.global/taxonomy/taxondetails?taxnode_id=202516679&amp;ictv_id=ICTV202316679","ICTV202316679")</f>
        <v>ICTV202316679</v>
      </c>
      <c r="R11389" t="s">
        <v>581</v>
      </c>
      <c r="S11389" t="s">
        <v>823</v>
      </c>
      <c r="T11389">
        <v>39</v>
      </c>
      <c r="U11389" s="26" t="str">
        <f>HYPERLINK("https://ictv.global/ictv/proposals/2023.001B.Leviviricetes_reorg.zip","2023.001B.Leviviricetes_reorg.zip")</f>
        <v>2023.001B.Leviviricetes_reorg.zip</v>
      </c>
    </row>
    <row r="11390" spans="1:21">
      <c r="A11390">
        <v>11389</v>
      </c>
      <c r="B11390" s="27" t="s">
        <v>1124</v>
      </c>
      <c r="D11390" s="27" t="s">
        <v>1859</v>
      </c>
      <c r="F11390" s="27" t="s">
        <v>1881</v>
      </c>
      <c r="H11390" s="27" t="s">
        <v>2679</v>
      </c>
      <c r="J11390" s="27" t="s">
        <v>2680</v>
      </c>
      <c r="L11390" s="27" t="s">
        <v>2810</v>
      </c>
      <c r="N11390" s="27" t="s">
        <v>3115</v>
      </c>
      <c r="P11390" s="27" t="s">
        <v>3116</v>
      </c>
      <c r="Q11390" s="26" t="str">
        <f>HYPERLINK("https://ictv.global/taxonomy/taxondetails?taxnode_id=202510632&amp;ictv_id=ICTV202010632","ICTV202010632")</f>
        <v>ICTV202010632</v>
      </c>
      <c r="R11390" t="s">
        <v>581</v>
      </c>
      <c r="S11390" t="s">
        <v>823</v>
      </c>
      <c r="T11390">
        <v>36</v>
      </c>
      <c r="U11390" s="26" t="str">
        <f>HYPERLINK("https://ictv.global/ictv/proposals/2020.095B.R.Leviviricetes.zip","2020.095B.R.Leviviricetes.zip")</f>
        <v>2020.095B.R.Leviviricetes.zip</v>
      </c>
    </row>
    <row r="11391" spans="1:21">
      <c r="A11391">
        <v>11390</v>
      </c>
      <c r="B11391" s="27" t="s">
        <v>1124</v>
      </c>
      <c r="D11391" s="27" t="s">
        <v>1859</v>
      </c>
      <c r="F11391" s="27" t="s">
        <v>1881</v>
      </c>
      <c r="H11391" s="27" t="s">
        <v>2679</v>
      </c>
      <c r="J11391" s="27" t="s">
        <v>2680</v>
      </c>
      <c r="L11391" s="27" t="s">
        <v>2810</v>
      </c>
      <c r="N11391" s="27" t="s">
        <v>3115</v>
      </c>
      <c r="P11391" s="27" t="s">
        <v>15215</v>
      </c>
      <c r="Q11391" s="26" t="str">
        <f>HYPERLINK("https://ictv.global/taxonomy/taxondetails?taxnode_id=202516680&amp;ictv_id=ICTV202316680","ICTV202316680")</f>
        <v>ICTV202316680</v>
      </c>
      <c r="R11391" t="s">
        <v>581</v>
      </c>
      <c r="S11391" t="s">
        <v>823</v>
      </c>
      <c r="T11391">
        <v>39</v>
      </c>
      <c r="U11391" s="26" t="str">
        <f t="shared" ref="U11391:U11401" si="419">HYPERLINK("https://ictv.global/ictv/proposals/2023.001B.Leviviricetes_reorg.zip","2023.001B.Leviviricetes_reorg.zip")</f>
        <v>2023.001B.Leviviricetes_reorg.zip</v>
      </c>
    </row>
    <row r="11392" spans="1:21">
      <c r="A11392">
        <v>11391</v>
      </c>
      <c r="B11392" s="27" t="s">
        <v>1124</v>
      </c>
      <c r="D11392" s="27" t="s">
        <v>1859</v>
      </c>
      <c r="F11392" s="27" t="s">
        <v>1881</v>
      </c>
      <c r="H11392" s="27" t="s">
        <v>2679</v>
      </c>
      <c r="J11392" s="27" t="s">
        <v>2680</v>
      </c>
      <c r="L11392" s="27" t="s">
        <v>2810</v>
      </c>
      <c r="N11392" s="27" t="s">
        <v>15216</v>
      </c>
      <c r="P11392" s="27" t="s">
        <v>15217</v>
      </c>
      <c r="Q11392" s="26" t="str">
        <f>HYPERLINK("https://ictv.global/taxonomy/taxondetails?taxnode_id=202516681&amp;ictv_id=ICTV202316681","ICTV202316681")</f>
        <v>ICTV202316681</v>
      </c>
      <c r="R11392" t="s">
        <v>581</v>
      </c>
      <c r="S11392" t="s">
        <v>823</v>
      </c>
      <c r="T11392">
        <v>39</v>
      </c>
      <c r="U11392" s="26" t="str">
        <f t="shared" si="419"/>
        <v>2023.001B.Leviviricetes_reorg.zip</v>
      </c>
    </row>
    <row r="11393" spans="1:21">
      <c r="A11393">
        <v>11392</v>
      </c>
      <c r="B11393" s="27" t="s">
        <v>1124</v>
      </c>
      <c r="D11393" s="27" t="s">
        <v>1859</v>
      </c>
      <c r="F11393" s="27" t="s">
        <v>1881</v>
      </c>
      <c r="H11393" s="27" t="s">
        <v>2679</v>
      </c>
      <c r="J11393" s="27" t="s">
        <v>2680</v>
      </c>
      <c r="L11393" s="27" t="s">
        <v>2810</v>
      </c>
      <c r="N11393" s="27" t="s">
        <v>15218</v>
      </c>
      <c r="P11393" s="27" t="s">
        <v>15219</v>
      </c>
      <c r="Q11393" s="26" t="str">
        <f>HYPERLINK("https://ictv.global/taxonomy/taxondetails?taxnode_id=202516682&amp;ictv_id=ICTV202316682","ICTV202316682")</f>
        <v>ICTV202316682</v>
      </c>
      <c r="R11393" t="s">
        <v>581</v>
      </c>
      <c r="S11393" t="s">
        <v>823</v>
      </c>
      <c r="T11393">
        <v>39</v>
      </c>
      <c r="U11393" s="26" t="str">
        <f t="shared" si="419"/>
        <v>2023.001B.Leviviricetes_reorg.zip</v>
      </c>
    </row>
    <row r="11394" spans="1:21">
      <c r="A11394">
        <v>11393</v>
      </c>
      <c r="B11394" s="27" t="s">
        <v>1124</v>
      </c>
      <c r="D11394" s="27" t="s">
        <v>1859</v>
      </c>
      <c r="F11394" s="27" t="s">
        <v>1881</v>
      </c>
      <c r="H11394" s="27" t="s">
        <v>2679</v>
      </c>
      <c r="J11394" s="27" t="s">
        <v>2680</v>
      </c>
      <c r="L11394" s="27" t="s">
        <v>2810</v>
      </c>
      <c r="N11394" s="27" t="s">
        <v>15220</v>
      </c>
      <c r="P11394" s="27" t="s">
        <v>15221</v>
      </c>
      <c r="Q11394" s="26" t="str">
        <f>HYPERLINK("https://ictv.global/taxonomy/taxondetails?taxnode_id=202516683&amp;ictv_id=ICTV202316683","ICTV202316683")</f>
        <v>ICTV202316683</v>
      </c>
      <c r="R11394" t="s">
        <v>581</v>
      </c>
      <c r="S11394" t="s">
        <v>823</v>
      </c>
      <c r="T11394">
        <v>39</v>
      </c>
      <c r="U11394" s="26" t="str">
        <f t="shared" si="419"/>
        <v>2023.001B.Leviviricetes_reorg.zip</v>
      </c>
    </row>
    <row r="11395" spans="1:21">
      <c r="A11395">
        <v>11394</v>
      </c>
      <c r="B11395" s="27" t="s">
        <v>1124</v>
      </c>
      <c r="D11395" s="27" t="s">
        <v>1859</v>
      </c>
      <c r="F11395" s="27" t="s">
        <v>1881</v>
      </c>
      <c r="H11395" s="27" t="s">
        <v>2679</v>
      </c>
      <c r="J11395" s="27" t="s">
        <v>2680</v>
      </c>
      <c r="L11395" s="27" t="s">
        <v>2810</v>
      </c>
      <c r="N11395" s="27" t="s">
        <v>15222</v>
      </c>
      <c r="P11395" s="27" t="s">
        <v>15223</v>
      </c>
      <c r="Q11395" s="26" t="str">
        <f>HYPERLINK("https://ictv.global/taxonomy/taxondetails?taxnode_id=202516684&amp;ictv_id=ICTV202316684","ICTV202316684")</f>
        <v>ICTV202316684</v>
      </c>
      <c r="R11395" t="s">
        <v>581</v>
      </c>
      <c r="S11395" t="s">
        <v>823</v>
      </c>
      <c r="T11395">
        <v>39</v>
      </c>
      <c r="U11395" s="26" t="str">
        <f t="shared" si="419"/>
        <v>2023.001B.Leviviricetes_reorg.zip</v>
      </c>
    </row>
    <row r="11396" spans="1:21">
      <c r="A11396">
        <v>11395</v>
      </c>
      <c r="B11396" s="27" t="s">
        <v>1124</v>
      </c>
      <c r="D11396" s="27" t="s">
        <v>1859</v>
      </c>
      <c r="F11396" s="27" t="s">
        <v>1881</v>
      </c>
      <c r="H11396" s="27" t="s">
        <v>2679</v>
      </c>
      <c r="J11396" s="27" t="s">
        <v>2680</v>
      </c>
      <c r="L11396" s="27" t="s">
        <v>2810</v>
      </c>
      <c r="N11396" s="27" t="s">
        <v>15222</v>
      </c>
      <c r="P11396" s="27" t="s">
        <v>15224</v>
      </c>
      <c r="Q11396" s="26" t="str">
        <f>HYPERLINK("https://ictv.global/taxonomy/taxondetails?taxnode_id=202516685&amp;ictv_id=ICTV202316685","ICTV202316685")</f>
        <v>ICTV202316685</v>
      </c>
      <c r="R11396" t="s">
        <v>581</v>
      </c>
      <c r="S11396" t="s">
        <v>823</v>
      </c>
      <c r="T11396">
        <v>39</v>
      </c>
      <c r="U11396" s="26" t="str">
        <f t="shared" si="419"/>
        <v>2023.001B.Leviviricetes_reorg.zip</v>
      </c>
    </row>
    <row r="11397" spans="1:21">
      <c r="A11397">
        <v>11396</v>
      </c>
      <c r="B11397" s="27" t="s">
        <v>1124</v>
      </c>
      <c r="D11397" s="27" t="s">
        <v>1859</v>
      </c>
      <c r="F11397" s="27" t="s">
        <v>1881</v>
      </c>
      <c r="H11397" s="27" t="s">
        <v>2679</v>
      </c>
      <c r="J11397" s="27" t="s">
        <v>2680</v>
      </c>
      <c r="L11397" s="27" t="s">
        <v>2810</v>
      </c>
      <c r="N11397" s="27" t="s">
        <v>15222</v>
      </c>
      <c r="P11397" s="27" t="s">
        <v>15225</v>
      </c>
      <c r="Q11397" s="26" t="str">
        <f>HYPERLINK("https://ictv.global/taxonomy/taxondetails?taxnode_id=202516686&amp;ictv_id=ICTV202316686","ICTV202316686")</f>
        <v>ICTV202316686</v>
      </c>
      <c r="R11397" t="s">
        <v>581</v>
      </c>
      <c r="S11397" t="s">
        <v>823</v>
      </c>
      <c r="T11397">
        <v>39</v>
      </c>
      <c r="U11397" s="26" t="str">
        <f t="shared" si="419"/>
        <v>2023.001B.Leviviricetes_reorg.zip</v>
      </c>
    </row>
    <row r="11398" spans="1:21">
      <c r="A11398">
        <v>11397</v>
      </c>
      <c r="B11398" s="27" t="s">
        <v>1124</v>
      </c>
      <c r="D11398" s="27" t="s">
        <v>1859</v>
      </c>
      <c r="F11398" s="27" t="s">
        <v>1881</v>
      </c>
      <c r="H11398" s="27" t="s">
        <v>2679</v>
      </c>
      <c r="J11398" s="27" t="s">
        <v>2680</v>
      </c>
      <c r="L11398" s="27" t="s">
        <v>2810</v>
      </c>
      <c r="N11398" s="27" t="s">
        <v>15222</v>
      </c>
      <c r="P11398" s="27" t="s">
        <v>15226</v>
      </c>
      <c r="Q11398" s="26" t="str">
        <f>HYPERLINK("https://ictv.global/taxonomy/taxondetails?taxnode_id=202516687&amp;ictv_id=ICTV202316687","ICTV202316687")</f>
        <v>ICTV202316687</v>
      </c>
      <c r="R11398" t="s">
        <v>581</v>
      </c>
      <c r="S11398" t="s">
        <v>823</v>
      </c>
      <c r="T11398">
        <v>39</v>
      </c>
      <c r="U11398" s="26" t="str">
        <f t="shared" si="419"/>
        <v>2023.001B.Leviviricetes_reorg.zip</v>
      </c>
    </row>
    <row r="11399" spans="1:21">
      <c r="A11399">
        <v>11398</v>
      </c>
      <c r="B11399" s="27" t="s">
        <v>1124</v>
      </c>
      <c r="D11399" s="27" t="s">
        <v>1859</v>
      </c>
      <c r="F11399" s="27" t="s">
        <v>1881</v>
      </c>
      <c r="H11399" s="27" t="s">
        <v>2679</v>
      </c>
      <c r="J11399" s="27" t="s">
        <v>2680</v>
      </c>
      <c r="L11399" s="27" t="s">
        <v>2810</v>
      </c>
      <c r="N11399" s="27" t="s">
        <v>15222</v>
      </c>
      <c r="P11399" s="27" t="s">
        <v>15227</v>
      </c>
      <c r="Q11399" s="26" t="str">
        <f>HYPERLINK("https://ictv.global/taxonomy/taxondetails?taxnode_id=202516688&amp;ictv_id=ICTV202316688","ICTV202316688")</f>
        <v>ICTV202316688</v>
      </c>
      <c r="R11399" t="s">
        <v>581</v>
      </c>
      <c r="S11399" t="s">
        <v>823</v>
      </c>
      <c r="T11399">
        <v>39</v>
      </c>
      <c r="U11399" s="26" t="str">
        <f t="shared" si="419"/>
        <v>2023.001B.Leviviricetes_reorg.zip</v>
      </c>
    </row>
    <row r="11400" spans="1:21">
      <c r="A11400">
        <v>11399</v>
      </c>
      <c r="B11400" s="27" t="s">
        <v>1124</v>
      </c>
      <c r="D11400" s="27" t="s">
        <v>1859</v>
      </c>
      <c r="F11400" s="27" t="s">
        <v>1881</v>
      </c>
      <c r="H11400" s="27" t="s">
        <v>2679</v>
      </c>
      <c r="J11400" s="27" t="s">
        <v>2680</v>
      </c>
      <c r="L11400" s="27" t="s">
        <v>2810</v>
      </c>
      <c r="N11400" s="27" t="s">
        <v>15222</v>
      </c>
      <c r="P11400" s="27" t="s">
        <v>15228</v>
      </c>
      <c r="Q11400" s="26" t="str">
        <f>HYPERLINK("https://ictv.global/taxonomy/taxondetails?taxnode_id=202516689&amp;ictv_id=ICTV202316689","ICTV202316689")</f>
        <v>ICTV202316689</v>
      </c>
      <c r="R11400" t="s">
        <v>581</v>
      </c>
      <c r="S11400" t="s">
        <v>823</v>
      </c>
      <c r="T11400">
        <v>39</v>
      </c>
      <c r="U11400" s="26" t="str">
        <f t="shared" si="419"/>
        <v>2023.001B.Leviviricetes_reorg.zip</v>
      </c>
    </row>
    <row r="11401" spans="1:21">
      <c r="A11401">
        <v>11400</v>
      </c>
      <c r="B11401" s="27" t="s">
        <v>1124</v>
      </c>
      <c r="D11401" s="27" t="s">
        <v>1859</v>
      </c>
      <c r="F11401" s="27" t="s">
        <v>1881</v>
      </c>
      <c r="H11401" s="27" t="s">
        <v>2679</v>
      </c>
      <c r="J11401" s="27" t="s">
        <v>2680</v>
      </c>
      <c r="L11401" s="27" t="s">
        <v>2810</v>
      </c>
      <c r="N11401" s="27" t="s">
        <v>15229</v>
      </c>
      <c r="P11401" s="27" t="s">
        <v>15230</v>
      </c>
      <c r="Q11401" s="26" t="str">
        <f>HYPERLINK("https://ictv.global/taxonomy/taxondetails?taxnode_id=202516690&amp;ictv_id=ICTV202316690","ICTV202316690")</f>
        <v>ICTV202316690</v>
      </c>
      <c r="R11401" t="s">
        <v>581</v>
      </c>
      <c r="S11401" t="s">
        <v>823</v>
      </c>
      <c r="T11401">
        <v>39</v>
      </c>
      <c r="U11401" s="26" t="str">
        <f t="shared" si="419"/>
        <v>2023.001B.Leviviricetes_reorg.zip</v>
      </c>
    </row>
    <row r="11402" spans="1:21">
      <c r="A11402">
        <v>11401</v>
      </c>
      <c r="B11402" s="27" t="s">
        <v>1124</v>
      </c>
      <c r="D11402" s="27" t="s">
        <v>1859</v>
      </c>
      <c r="F11402" s="27" t="s">
        <v>1881</v>
      </c>
      <c r="H11402" s="27" t="s">
        <v>2679</v>
      </c>
      <c r="J11402" s="27" t="s">
        <v>2680</v>
      </c>
      <c r="L11402" s="27" t="s">
        <v>2810</v>
      </c>
      <c r="N11402" s="27" t="s">
        <v>3117</v>
      </c>
      <c r="P11402" s="27" t="s">
        <v>3118</v>
      </c>
      <c r="Q11402" s="26" t="str">
        <f>HYPERLINK("https://ictv.global/taxonomy/taxondetails?taxnode_id=202510634&amp;ictv_id=ICTV202010634","ICTV202010634")</f>
        <v>ICTV202010634</v>
      </c>
      <c r="R11402" t="s">
        <v>581</v>
      </c>
      <c r="S11402" t="s">
        <v>823</v>
      </c>
      <c r="T11402">
        <v>36</v>
      </c>
      <c r="U11402" s="26" t="str">
        <f>HYPERLINK("https://ictv.global/ictv/proposals/2020.095B.R.Leviviricetes.zip","2020.095B.R.Leviviricetes.zip")</f>
        <v>2020.095B.R.Leviviricetes.zip</v>
      </c>
    </row>
    <row r="11403" spans="1:21">
      <c r="A11403">
        <v>11402</v>
      </c>
      <c r="B11403" s="27" t="s">
        <v>1124</v>
      </c>
      <c r="D11403" s="27" t="s">
        <v>1859</v>
      </c>
      <c r="F11403" s="27" t="s">
        <v>1881</v>
      </c>
      <c r="H11403" s="27" t="s">
        <v>2679</v>
      </c>
      <c r="J11403" s="27" t="s">
        <v>2680</v>
      </c>
      <c r="L11403" s="27" t="s">
        <v>2810</v>
      </c>
      <c r="N11403" s="27" t="s">
        <v>3119</v>
      </c>
      <c r="P11403" s="27" t="s">
        <v>3120</v>
      </c>
      <c r="Q11403" s="26" t="str">
        <f>HYPERLINK("https://ictv.global/taxonomy/taxondetails?taxnode_id=202510636&amp;ictv_id=ICTV202010636","ICTV202010636")</f>
        <v>ICTV202010636</v>
      </c>
      <c r="R11403" t="s">
        <v>581</v>
      </c>
      <c r="S11403" t="s">
        <v>823</v>
      </c>
      <c r="T11403">
        <v>36</v>
      </c>
      <c r="U11403" s="26" t="str">
        <f>HYPERLINK("https://ictv.global/ictv/proposals/2020.095B.R.Leviviricetes.zip","2020.095B.R.Leviviricetes.zip")</f>
        <v>2020.095B.R.Leviviricetes.zip</v>
      </c>
    </row>
    <row r="11404" spans="1:21">
      <c r="A11404">
        <v>11403</v>
      </c>
      <c r="B11404" s="27" t="s">
        <v>1124</v>
      </c>
      <c r="D11404" s="27" t="s">
        <v>1859</v>
      </c>
      <c r="F11404" s="27" t="s">
        <v>1881</v>
      </c>
      <c r="H11404" s="27" t="s">
        <v>2679</v>
      </c>
      <c r="J11404" s="27" t="s">
        <v>2680</v>
      </c>
      <c r="L11404" s="27" t="s">
        <v>2810</v>
      </c>
      <c r="N11404" s="27" t="s">
        <v>3121</v>
      </c>
      <c r="P11404" s="27" t="s">
        <v>3122</v>
      </c>
      <c r="Q11404" s="26" t="str">
        <f>HYPERLINK("https://ictv.global/taxonomy/taxondetails?taxnode_id=202510638&amp;ictv_id=ICTV202010638","ICTV202010638")</f>
        <v>ICTV202010638</v>
      </c>
      <c r="R11404" t="s">
        <v>581</v>
      </c>
      <c r="S11404" t="s">
        <v>823</v>
      </c>
      <c r="T11404">
        <v>36</v>
      </c>
      <c r="U11404" s="26" t="str">
        <f>HYPERLINK("https://ictv.global/ictv/proposals/2020.095B.R.Leviviricetes.zip","2020.095B.R.Leviviricetes.zip")</f>
        <v>2020.095B.R.Leviviricetes.zip</v>
      </c>
    </row>
    <row r="11405" spans="1:21">
      <c r="A11405">
        <v>11404</v>
      </c>
      <c r="B11405" s="27" t="s">
        <v>1124</v>
      </c>
      <c r="D11405" s="27" t="s">
        <v>1859</v>
      </c>
      <c r="F11405" s="27" t="s">
        <v>1881</v>
      </c>
      <c r="H11405" s="27" t="s">
        <v>2679</v>
      </c>
      <c r="J11405" s="27" t="s">
        <v>2680</v>
      </c>
      <c r="L11405" s="27" t="s">
        <v>2810</v>
      </c>
      <c r="N11405" s="27" t="s">
        <v>3121</v>
      </c>
      <c r="P11405" s="27" t="s">
        <v>15231</v>
      </c>
      <c r="Q11405" s="26" t="str">
        <f>HYPERLINK("https://ictv.global/taxonomy/taxondetails?taxnode_id=202516691&amp;ictv_id=ICTV202316691","ICTV202316691")</f>
        <v>ICTV202316691</v>
      </c>
      <c r="R11405" t="s">
        <v>581</v>
      </c>
      <c r="S11405" t="s">
        <v>823</v>
      </c>
      <c r="T11405">
        <v>39</v>
      </c>
      <c r="U11405" s="26" t="str">
        <f>HYPERLINK("https://ictv.global/ictv/proposals/2023.001B.Leviviricetes_reorg.zip","2023.001B.Leviviricetes_reorg.zip")</f>
        <v>2023.001B.Leviviricetes_reorg.zip</v>
      </c>
    </row>
    <row r="11406" spans="1:21">
      <c r="A11406">
        <v>11405</v>
      </c>
      <c r="B11406" s="27" t="s">
        <v>1124</v>
      </c>
      <c r="D11406" s="27" t="s">
        <v>1859</v>
      </c>
      <c r="F11406" s="27" t="s">
        <v>1881</v>
      </c>
      <c r="H11406" s="27" t="s">
        <v>2679</v>
      </c>
      <c r="J11406" s="27" t="s">
        <v>2680</v>
      </c>
      <c r="L11406" s="27" t="s">
        <v>2810</v>
      </c>
      <c r="N11406" s="27" t="s">
        <v>3121</v>
      </c>
      <c r="P11406" s="27" t="s">
        <v>15232</v>
      </c>
      <c r="Q11406" s="26" t="str">
        <f>HYPERLINK("https://ictv.global/taxonomy/taxondetails?taxnode_id=202516692&amp;ictv_id=ICTV202316692","ICTV202316692")</f>
        <v>ICTV202316692</v>
      </c>
      <c r="R11406" t="s">
        <v>581</v>
      </c>
      <c r="S11406" t="s">
        <v>823</v>
      </c>
      <c r="T11406">
        <v>39</v>
      </c>
      <c r="U11406" s="26" t="str">
        <f>HYPERLINK("https://ictv.global/ictv/proposals/2023.001B.Leviviricetes_reorg.zip","2023.001B.Leviviricetes_reorg.zip")</f>
        <v>2023.001B.Leviviricetes_reorg.zip</v>
      </c>
    </row>
    <row r="11407" spans="1:21">
      <c r="A11407">
        <v>11406</v>
      </c>
      <c r="B11407" s="27" t="s">
        <v>1124</v>
      </c>
      <c r="D11407" s="27" t="s">
        <v>1859</v>
      </c>
      <c r="F11407" s="27" t="s">
        <v>1881</v>
      </c>
      <c r="H11407" s="27" t="s">
        <v>2679</v>
      </c>
      <c r="J11407" s="27" t="s">
        <v>2680</v>
      </c>
      <c r="L11407" s="27" t="s">
        <v>2810</v>
      </c>
      <c r="N11407" s="27" t="s">
        <v>3123</v>
      </c>
      <c r="P11407" s="27" t="s">
        <v>3124</v>
      </c>
      <c r="Q11407" s="26" t="str">
        <f>HYPERLINK("https://ictv.global/taxonomy/taxondetails?taxnode_id=202510640&amp;ictv_id=ICTV202010640","ICTV202010640")</f>
        <v>ICTV202010640</v>
      </c>
      <c r="R11407" t="s">
        <v>581</v>
      </c>
      <c r="S11407" t="s">
        <v>823</v>
      </c>
      <c r="T11407">
        <v>36</v>
      </c>
      <c r="U11407" s="26" t="str">
        <f>HYPERLINK("https://ictv.global/ictv/proposals/2020.095B.R.Leviviricetes.zip","2020.095B.R.Leviviricetes.zip")</f>
        <v>2020.095B.R.Leviviricetes.zip</v>
      </c>
    </row>
    <row r="11408" spans="1:21">
      <c r="A11408">
        <v>11407</v>
      </c>
      <c r="B11408" s="27" t="s">
        <v>1124</v>
      </c>
      <c r="D11408" s="27" t="s">
        <v>1859</v>
      </c>
      <c r="F11408" s="27" t="s">
        <v>1881</v>
      </c>
      <c r="H11408" s="27" t="s">
        <v>2679</v>
      </c>
      <c r="J11408" s="27" t="s">
        <v>2680</v>
      </c>
      <c r="L11408" s="27" t="s">
        <v>2810</v>
      </c>
      <c r="N11408" s="27" t="s">
        <v>3125</v>
      </c>
      <c r="P11408" s="27" t="s">
        <v>15233</v>
      </c>
      <c r="Q11408" s="26" t="str">
        <f>HYPERLINK("https://ictv.global/taxonomy/taxondetails?taxnode_id=202516693&amp;ictv_id=ICTV202316693","ICTV202316693")</f>
        <v>ICTV202316693</v>
      </c>
      <c r="R11408" t="s">
        <v>581</v>
      </c>
      <c r="S11408" t="s">
        <v>823</v>
      </c>
      <c r="T11408">
        <v>39</v>
      </c>
      <c r="U11408" s="26" t="str">
        <f>HYPERLINK("https://ictv.global/ictv/proposals/2023.001B.Leviviricetes_reorg.zip","2023.001B.Leviviricetes_reorg.zip")</f>
        <v>2023.001B.Leviviricetes_reorg.zip</v>
      </c>
    </row>
    <row r="11409" spans="1:21">
      <c r="A11409">
        <v>11408</v>
      </c>
      <c r="B11409" s="27" t="s">
        <v>1124</v>
      </c>
      <c r="D11409" s="27" t="s">
        <v>1859</v>
      </c>
      <c r="F11409" s="27" t="s">
        <v>1881</v>
      </c>
      <c r="H11409" s="27" t="s">
        <v>2679</v>
      </c>
      <c r="J11409" s="27" t="s">
        <v>2680</v>
      </c>
      <c r="L11409" s="27" t="s">
        <v>2810</v>
      </c>
      <c r="N11409" s="27" t="s">
        <v>3125</v>
      </c>
      <c r="P11409" s="27" t="s">
        <v>15234</v>
      </c>
      <c r="Q11409" s="26" t="str">
        <f>HYPERLINK("https://ictv.global/taxonomy/taxondetails?taxnode_id=202516694&amp;ictv_id=ICTV202316694","ICTV202316694")</f>
        <v>ICTV202316694</v>
      </c>
      <c r="R11409" t="s">
        <v>581</v>
      </c>
      <c r="S11409" t="s">
        <v>823</v>
      </c>
      <c r="T11409">
        <v>39</v>
      </c>
      <c r="U11409" s="26" t="str">
        <f>HYPERLINK("https://ictv.global/ictv/proposals/2023.001B.Leviviricetes_reorg.zip","2023.001B.Leviviricetes_reorg.zip")</f>
        <v>2023.001B.Leviviricetes_reorg.zip</v>
      </c>
    </row>
    <row r="11410" spans="1:21">
      <c r="A11410">
        <v>11409</v>
      </c>
      <c r="B11410" s="27" t="s">
        <v>1124</v>
      </c>
      <c r="D11410" s="27" t="s">
        <v>1859</v>
      </c>
      <c r="F11410" s="27" t="s">
        <v>1881</v>
      </c>
      <c r="H11410" s="27" t="s">
        <v>2679</v>
      </c>
      <c r="J11410" s="27" t="s">
        <v>2680</v>
      </c>
      <c r="L11410" s="27" t="s">
        <v>2810</v>
      </c>
      <c r="N11410" s="27" t="s">
        <v>3125</v>
      </c>
      <c r="P11410" s="27" t="s">
        <v>3126</v>
      </c>
      <c r="Q11410" s="26" t="str">
        <f>HYPERLINK("https://ictv.global/taxonomy/taxondetails?taxnode_id=202510644&amp;ictv_id=ICTV202010644","ICTV202010644")</f>
        <v>ICTV202010644</v>
      </c>
      <c r="R11410" t="s">
        <v>581</v>
      </c>
      <c r="S11410" t="s">
        <v>823</v>
      </c>
      <c r="T11410">
        <v>36</v>
      </c>
      <c r="U11410" s="26" t="str">
        <f>HYPERLINK("https://ictv.global/ictv/proposals/2020.095B.R.Leviviricetes.zip","2020.095B.R.Leviviricetes.zip")</f>
        <v>2020.095B.R.Leviviricetes.zip</v>
      </c>
    </row>
    <row r="11411" spans="1:21">
      <c r="A11411">
        <v>11410</v>
      </c>
      <c r="B11411" s="27" t="s">
        <v>1124</v>
      </c>
      <c r="D11411" s="27" t="s">
        <v>1859</v>
      </c>
      <c r="F11411" s="27" t="s">
        <v>1881</v>
      </c>
      <c r="H11411" s="27" t="s">
        <v>2679</v>
      </c>
      <c r="J11411" s="27" t="s">
        <v>2680</v>
      </c>
      <c r="L11411" s="27" t="s">
        <v>2810</v>
      </c>
      <c r="N11411" s="27" t="s">
        <v>3125</v>
      </c>
      <c r="P11411" s="27" t="s">
        <v>15235</v>
      </c>
      <c r="Q11411" s="26" t="str">
        <f>HYPERLINK("https://ictv.global/taxonomy/taxondetails?taxnode_id=202516695&amp;ictv_id=ICTV202316695","ICTV202316695")</f>
        <v>ICTV202316695</v>
      </c>
      <c r="R11411" t="s">
        <v>581</v>
      </c>
      <c r="S11411" t="s">
        <v>823</v>
      </c>
      <c r="T11411">
        <v>39</v>
      </c>
      <c r="U11411" s="26" t="str">
        <f t="shared" ref="U11411:U11420" si="420">HYPERLINK("https://ictv.global/ictv/proposals/2023.001B.Leviviricetes_reorg.zip","2023.001B.Leviviricetes_reorg.zip")</f>
        <v>2023.001B.Leviviricetes_reorg.zip</v>
      </c>
    </row>
    <row r="11412" spans="1:21">
      <c r="A11412">
        <v>11411</v>
      </c>
      <c r="B11412" s="27" t="s">
        <v>1124</v>
      </c>
      <c r="D11412" s="27" t="s">
        <v>1859</v>
      </c>
      <c r="F11412" s="27" t="s">
        <v>1881</v>
      </c>
      <c r="H11412" s="27" t="s">
        <v>2679</v>
      </c>
      <c r="J11412" s="27" t="s">
        <v>2680</v>
      </c>
      <c r="L11412" s="27" t="s">
        <v>2810</v>
      </c>
      <c r="N11412" s="27" t="s">
        <v>3125</v>
      </c>
      <c r="P11412" s="27" t="s">
        <v>15236</v>
      </c>
      <c r="Q11412" s="26" t="str">
        <f>HYPERLINK("https://ictv.global/taxonomy/taxondetails?taxnode_id=202516696&amp;ictv_id=ICTV202316696","ICTV202316696")</f>
        <v>ICTV202316696</v>
      </c>
      <c r="R11412" t="s">
        <v>581</v>
      </c>
      <c r="S11412" t="s">
        <v>823</v>
      </c>
      <c r="T11412">
        <v>39</v>
      </c>
      <c r="U11412" s="26" t="str">
        <f t="shared" si="420"/>
        <v>2023.001B.Leviviricetes_reorg.zip</v>
      </c>
    </row>
    <row r="11413" spans="1:21">
      <c r="A11413">
        <v>11412</v>
      </c>
      <c r="B11413" s="27" t="s">
        <v>1124</v>
      </c>
      <c r="D11413" s="27" t="s">
        <v>1859</v>
      </c>
      <c r="F11413" s="27" t="s">
        <v>1881</v>
      </c>
      <c r="H11413" s="27" t="s">
        <v>2679</v>
      </c>
      <c r="J11413" s="27" t="s">
        <v>2680</v>
      </c>
      <c r="L11413" s="27" t="s">
        <v>2810</v>
      </c>
      <c r="N11413" s="27" t="s">
        <v>15237</v>
      </c>
      <c r="P11413" s="27" t="s">
        <v>15238</v>
      </c>
      <c r="Q11413" s="26" t="str">
        <f>HYPERLINK("https://ictv.global/taxonomy/taxondetails?taxnode_id=202516697&amp;ictv_id=ICTV202316697","ICTV202316697")</f>
        <v>ICTV202316697</v>
      </c>
      <c r="R11413" t="s">
        <v>581</v>
      </c>
      <c r="S11413" t="s">
        <v>823</v>
      </c>
      <c r="T11413">
        <v>39</v>
      </c>
      <c r="U11413" s="26" t="str">
        <f t="shared" si="420"/>
        <v>2023.001B.Leviviricetes_reorg.zip</v>
      </c>
    </row>
    <row r="11414" spans="1:21">
      <c r="A11414">
        <v>11413</v>
      </c>
      <c r="B11414" s="27" t="s">
        <v>1124</v>
      </c>
      <c r="D11414" s="27" t="s">
        <v>1859</v>
      </c>
      <c r="F11414" s="27" t="s">
        <v>1881</v>
      </c>
      <c r="H11414" s="27" t="s">
        <v>2679</v>
      </c>
      <c r="J11414" s="27" t="s">
        <v>2680</v>
      </c>
      <c r="L11414" s="27" t="s">
        <v>2810</v>
      </c>
      <c r="N11414" s="27" t="s">
        <v>15237</v>
      </c>
      <c r="P11414" s="27" t="s">
        <v>15239</v>
      </c>
      <c r="Q11414" s="26" t="str">
        <f>HYPERLINK("https://ictv.global/taxonomy/taxondetails?taxnode_id=202516698&amp;ictv_id=ICTV202316698","ICTV202316698")</f>
        <v>ICTV202316698</v>
      </c>
      <c r="R11414" t="s">
        <v>581</v>
      </c>
      <c r="S11414" t="s">
        <v>823</v>
      </c>
      <c r="T11414">
        <v>39</v>
      </c>
      <c r="U11414" s="26" t="str">
        <f t="shared" si="420"/>
        <v>2023.001B.Leviviricetes_reorg.zip</v>
      </c>
    </row>
    <row r="11415" spans="1:21">
      <c r="A11415">
        <v>11414</v>
      </c>
      <c r="B11415" s="27" t="s">
        <v>1124</v>
      </c>
      <c r="D11415" s="27" t="s">
        <v>1859</v>
      </c>
      <c r="F11415" s="27" t="s">
        <v>1881</v>
      </c>
      <c r="H11415" s="27" t="s">
        <v>2679</v>
      </c>
      <c r="J11415" s="27" t="s">
        <v>2680</v>
      </c>
      <c r="L11415" s="27" t="s">
        <v>2810</v>
      </c>
      <c r="N11415" s="27" t="s">
        <v>15237</v>
      </c>
      <c r="P11415" s="27" t="s">
        <v>15240</v>
      </c>
      <c r="Q11415" s="26" t="str">
        <f>HYPERLINK("https://ictv.global/taxonomy/taxondetails?taxnode_id=202516699&amp;ictv_id=ICTV202316699","ICTV202316699")</f>
        <v>ICTV202316699</v>
      </c>
      <c r="R11415" t="s">
        <v>581</v>
      </c>
      <c r="S11415" t="s">
        <v>823</v>
      </c>
      <c r="T11415">
        <v>39</v>
      </c>
      <c r="U11415" s="26" t="str">
        <f t="shared" si="420"/>
        <v>2023.001B.Leviviricetes_reorg.zip</v>
      </c>
    </row>
    <row r="11416" spans="1:21">
      <c r="A11416">
        <v>11415</v>
      </c>
      <c r="B11416" s="27" t="s">
        <v>1124</v>
      </c>
      <c r="D11416" s="27" t="s">
        <v>1859</v>
      </c>
      <c r="F11416" s="27" t="s">
        <v>1881</v>
      </c>
      <c r="H11416" s="27" t="s">
        <v>2679</v>
      </c>
      <c r="J11416" s="27" t="s">
        <v>2680</v>
      </c>
      <c r="L11416" s="27" t="s">
        <v>2810</v>
      </c>
      <c r="N11416" s="27" t="s">
        <v>15237</v>
      </c>
      <c r="P11416" s="27" t="s">
        <v>15241</v>
      </c>
      <c r="Q11416" s="26" t="str">
        <f>HYPERLINK("https://ictv.global/taxonomy/taxondetails?taxnode_id=202516700&amp;ictv_id=ICTV202316700","ICTV202316700")</f>
        <v>ICTV202316700</v>
      </c>
      <c r="R11416" t="s">
        <v>581</v>
      </c>
      <c r="S11416" t="s">
        <v>823</v>
      </c>
      <c r="T11416">
        <v>39</v>
      </c>
      <c r="U11416" s="26" t="str">
        <f t="shared" si="420"/>
        <v>2023.001B.Leviviricetes_reorg.zip</v>
      </c>
    </row>
    <row r="11417" spans="1:21">
      <c r="A11417">
        <v>11416</v>
      </c>
      <c r="B11417" s="27" t="s">
        <v>1124</v>
      </c>
      <c r="D11417" s="27" t="s">
        <v>1859</v>
      </c>
      <c r="F11417" s="27" t="s">
        <v>1881</v>
      </c>
      <c r="H11417" s="27" t="s">
        <v>2679</v>
      </c>
      <c r="J11417" s="27" t="s">
        <v>2680</v>
      </c>
      <c r="L11417" s="27" t="s">
        <v>2810</v>
      </c>
      <c r="N11417" s="27" t="s">
        <v>15242</v>
      </c>
      <c r="P11417" s="27" t="s">
        <v>15243</v>
      </c>
      <c r="Q11417" s="26" t="str">
        <f>HYPERLINK("https://ictv.global/taxonomy/taxondetails?taxnode_id=202516701&amp;ictv_id=ICTV202316701","ICTV202316701")</f>
        <v>ICTV202316701</v>
      </c>
      <c r="R11417" t="s">
        <v>581</v>
      </c>
      <c r="S11417" t="s">
        <v>823</v>
      </c>
      <c r="T11417">
        <v>39</v>
      </c>
      <c r="U11417" s="26" t="str">
        <f t="shared" si="420"/>
        <v>2023.001B.Leviviricetes_reorg.zip</v>
      </c>
    </row>
    <row r="11418" spans="1:21">
      <c r="A11418">
        <v>11417</v>
      </c>
      <c r="B11418" s="27" t="s">
        <v>1124</v>
      </c>
      <c r="D11418" s="27" t="s">
        <v>1859</v>
      </c>
      <c r="F11418" s="27" t="s">
        <v>1881</v>
      </c>
      <c r="H11418" s="27" t="s">
        <v>2679</v>
      </c>
      <c r="J11418" s="27" t="s">
        <v>2680</v>
      </c>
      <c r="L11418" s="27" t="s">
        <v>2810</v>
      </c>
      <c r="N11418" s="27" t="s">
        <v>15244</v>
      </c>
      <c r="P11418" s="27" t="s">
        <v>15245</v>
      </c>
      <c r="Q11418" s="26" t="str">
        <f>HYPERLINK("https://ictv.global/taxonomy/taxondetails?taxnode_id=202516702&amp;ictv_id=ICTV202316702","ICTV202316702")</f>
        <v>ICTV202316702</v>
      </c>
      <c r="R11418" t="s">
        <v>581</v>
      </c>
      <c r="S11418" t="s">
        <v>823</v>
      </c>
      <c r="T11418">
        <v>39</v>
      </c>
      <c r="U11418" s="26" t="str">
        <f t="shared" si="420"/>
        <v>2023.001B.Leviviricetes_reorg.zip</v>
      </c>
    </row>
    <row r="11419" spans="1:21">
      <c r="A11419">
        <v>11418</v>
      </c>
      <c r="B11419" s="27" t="s">
        <v>1124</v>
      </c>
      <c r="D11419" s="27" t="s">
        <v>1859</v>
      </c>
      <c r="F11419" s="27" t="s">
        <v>1881</v>
      </c>
      <c r="H11419" s="27" t="s">
        <v>2679</v>
      </c>
      <c r="J11419" s="27" t="s">
        <v>2680</v>
      </c>
      <c r="L11419" s="27" t="s">
        <v>2810</v>
      </c>
      <c r="N11419" s="27" t="s">
        <v>15246</v>
      </c>
      <c r="P11419" s="27" t="s">
        <v>15247</v>
      </c>
      <c r="Q11419" s="26" t="str">
        <f>HYPERLINK("https://ictv.global/taxonomy/taxondetails?taxnode_id=202510674&amp;ictv_id=ICTV202010674","ICTV202010674")</f>
        <v>ICTV202010674</v>
      </c>
      <c r="R11419" t="s">
        <v>581</v>
      </c>
      <c r="S11419" t="s">
        <v>22764</v>
      </c>
      <c r="T11419">
        <v>39</v>
      </c>
      <c r="U11419" s="26" t="str">
        <f t="shared" si="420"/>
        <v>2023.001B.Leviviricetes_reorg.zip</v>
      </c>
    </row>
    <row r="11420" spans="1:21">
      <c r="A11420">
        <v>11419</v>
      </c>
      <c r="B11420" s="27" t="s">
        <v>1124</v>
      </c>
      <c r="D11420" s="27" t="s">
        <v>1859</v>
      </c>
      <c r="F11420" s="27" t="s">
        <v>1881</v>
      </c>
      <c r="H11420" s="27" t="s">
        <v>2679</v>
      </c>
      <c r="J11420" s="27" t="s">
        <v>2680</v>
      </c>
      <c r="L11420" s="27" t="s">
        <v>2810</v>
      </c>
      <c r="N11420" s="27" t="s">
        <v>15246</v>
      </c>
      <c r="P11420" s="27" t="s">
        <v>15248</v>
      </c>
      <c r="Q11420" s="26" t="str">
        <f>HYPERLINK("https://ictv.global/taxonomy/taxondetails?taxnode_id=202510323&amp;ictv_id=ICTV202010323","ICTV202010323")</f>
        <v>ICTV202010323</v>
      </c>
      <c r="R11420" t="s">
        <v>581</v>
      </c>
      <c r="S11420" t="s">
        <v>22764</v>
      </c>
      <c r="T11420">
        <v>39</v>
      </c>
      <c r="U11420" s="26" t="str">
        <f t="shared" si="420"/>
        <v>2023.001B.Leviviricetes_reorg.zip</v>
      </c>
    </row>
    <row r="11421" spans="1:21">
      <c r="A11421">
        <v>11420</v>
      </c>
      <c r="B11421" s="27" t="s">
        <v>1124</v>
      </c>
      <c r="D11421" s="27" t="s">
        <v>1859</v>
      </c>
      <c r="F11421" s="27" t="s">
        <v>1881</v>
      </c>
      <c r="H11421" s="27" t="s">
        <v>2679</v>
      </c>
      <c r="J11421" s="27" t="s">
        <v>2680</v>
      </c>
      <c r="L11421" s="27" t="s">
        <v>2810</v>
      </c>
      <c r="N11421" s="27" t="s">
        <v>3127</v>
      </c>
      <c r="P11421" s="27" t="s">
        <v>3128</v>
      </c>
      <c r="Q11421" s="26" t="str">
        <f>HYPERLINK("https://ictv.global/taxonomy/taxondetails?taxnode_id=202510648&amp;ictv_id=ICTV202010648","ICTV202010648")</f>
        <v>ICTV202010648</v>
      </c>
      <c r="R11421" t="s">
        <v>581</v>
      </c>
      <c r="S11421" t="s">
        <v>823</v>
      </c>
      <c r="T11421">
        <v>36</v>
      </c>
      <c r="U11421" s="26" t="str">
        <f>HYPERLINK("https://ictv.global/ictv/proposals/2020.095B.R.Leviviricetes.zip","2020.095B.R.Leviviricetes.zip")</f>
        <v>2020.095B.R.Leviviricetes.zip</v>
      </c>
    </row>
    <row r="11422" spans="1:21">
      <c r="A11422">
        <v>11421</v>
      </c>
      <c r="B11422" s="27" t="s">
        <v>1124</v>
      </c>
      <c r="D11422" s="27" t="s">
        <v>1859</v>
      </c>
      <c r="F11422" s="27" t="s">
        <v>1881</v>
      </c>
      <c r="H11422" s="27" t="s">
        <v>2679</v>
      </c>
      <c r="J11422" s="27" t="s">
        <v>2680</v>
      </c>
      <c r="L11422" s="27" t="s">
        <v>2810</v>
      </c>
      <c r="N11422" s="27" t="s">
        <v>3129</v>
      </c>
      <c r="P11422" s="27" t="s">
        <v>3130</v>
      </c>
      <c r="Q11422" s="26" t="str">
        <f>HYPERLINK("https://ictv.global/taxonomy/taxondetails?taxnode_id=202510650&amp;ictv_id=ICTV202010650","ICTV202010650")</f>
        <v>ICTV202010650</v>
      </c>
      <c r="R11422" t="s">
        <v>581</v>
      </c>
      <c r="S11422" t="s">
        <v>823</v>
      </c>
      <c r="T11422">
        <v>36</v>
      </c>
      <c r="U11422" s="26" t="str">
        <f>HYPERLINK("https://ictv.global/ictv/proposals/2020.095B.R.Leviviricetes.zip","2020.095B.R.Leviviricetes.zip")</f>
        <v>2020.095B.R.Leviviricetes.zip</v>
      </c>
    </row>
    <row r="11423" spans="1:21">
      <c r="A11423">
        <v>11422</v>
      </c>
      <c r="B11423" s="27" t="s">
        <v>1124</v>
      </c>
      <c r="D11423" s="27" t="s">
        <v>1859</v>
      </c>
      <c r="F11423" s="27" t="s">
        <v>1881</v>
      </c>
      <c r="H11423" s="27" t="s">
        <v>2679</v>
      </c>
      <c r="J11423" s="27" t="s">
        <v>2680</v>
      </c>
      <c r="L11423" s="27" t="s">
        <v>2810</v>
      </c>
      <c r="N11423" s="27" t="s">
        <v>3131</v>
      </c>
      <c r="P11423" s="27" t="s">
        <v>3132</v>
      </c>
      <c r="Q11423" s="26" t="str">
        <f>HYPERLINK("https://ictv.global/taxonomy/taxondetails?taxnode_id=202510652&amp;ictv_id=ICTV202010652","ICTV202010652")</f>
        <v>ICTV202010652</v>
      </c>
      <c r="R11423" t="s">
        <v>581</v>
      </c>
      <c r="S11423" t="s">
        <v>823</v>
      </c>
      <c r="T11423">
        <v>36</v>
      </c>
      <c r="U11423" s="26" t="str">
        <f>HYPERLINK("https://ictv.global/ictv/proposals/2020.095B.R.Leviviricetes.zip","2020.095B.R.Leviviricetes.zip")</f>
        <v>2020.095B.R.Leviviricetes.zip</v>
      </c>
    </row>
    <row r="11424" spans="1:21">
      <c r="A11424">
        <v>11423</v>
      </c>
      <c r="B11424" s="27" t="s">
        <v>1124</v>
      </c>
      <c r="D11424" s="27" t="s">
        <v>1859</v>
      </c>
      <c r="F11424" s="27" t="s">
        <v>1881</v>
      </c>
      <c r="H11424" s="27" t="s">
        <v>2679</v>
      </c>
      <c r="J11424" s="27" t="s">
        <v>2680</v>
      </c>
      <c r="L11424" s="27" t="s">
        <v>2810</v>
      </c>
      <c r="N11424" s="27" t="s">
        <v>15249</v>
      </c>
      <c r="P11424" s="27" t="s">
        <v>15250</v>
      </c>
      <c r="Q11424" s="26" t="str">
        <f>HYPERLINK("https://ictv.global/taxonomy/taxondetails?taxnode_id=202516703&amp;ictv_id=ICTV202316703","ICTV202316703")</f>
        <v>ICTV202316703</v>
      </c>
      <c r="R11424" t="s">
        <v>581</v>
      </c>
      <c r="S11424" t="s">
        <v>823</v>
      </c>
      <c r="T11424">
        <v>39</v>
      </c>
      <c r="U11424" s="26" t="str">
        <f>HYPERLINK("https://ictv.global/ictv/proposals/2023.001B.Leviviricetes_reorg.zip","2023.001B.Leviviricetes_reorg.zip")</f>
        <v>2023.001B.Leviviricetes_reorg.zip</v>
      </c>
    </row>
    <row r="11425" spans="1:21">
      <c r="A11425">
        <v>11424</v>
      </c>
      <c r="B11425" s="27" t="s">
        <v>1124</v>
      </c>
      <c r="D11425" s="27" t="s">
        <v>1859</v>
      </c>
      <c r="F11425" s="27" t="s">
        <v>1881</v>
      </c>
      <c r="H11425" s="27" t="s">
        <v>2679</v>
      </c>
      <c r="J11425" s="27" t="s">
        <v>2680</v>
      </c>
      <c r="L11425" s="27" t="s">
        <v>2810</v>
      </c>
      <c r="N11425" s="27" t="s">
        <v>15249</v>
      </c>
      <c r="P11425" s="27" t="s">
        <v>15251</v>
      </c>
      <c r="Q11425" s="26" t="str">
        <f>HYPERLINK("https://ictv.global/taxonomy/taxondetails?taxnode_id=202516704&amp;ictv_id=ICTV202316704","ICTV202316704")</f>
        <v>ICTV202316704</v>
      </c>
      <c r="R11425" t="s">
        <v>581</v>
      </c>
      <c r="S11425" t="s">
        <v>823</v>
      </c>
      <c r="T11425">
        <v>39</v>
      </c>
      <c r="U11425" s="26" t="str">
        <f>HYPERLINK("https://ictv.global/ictv/proposals/2023.001B.Leviviricetes_reorg.zip","2023.001B.Leviviricetes_reorg.zip")</f>
        <v>2023.001B.Leviviricetes_reorg.zip</v>
      </c>
    </row>
    <row r="11426" spans="1:21">
      <c r="A11426">
        <v>11425</v>
      </c>
      <c r="B11426" s="27" t="s">
        <v>1124</v>
      </c>
      <c r="D11426" s="27" t="s">
        <v>1859</v>
      </c>
      <c r="F11426" s="27" t="s">
        <v>1881</v>
      </c>
      <c r="H11426" s="27" t="s">
        <v>2679</v>
      </c>
      <c r="J11426" s="27" t="s">
        <v>2680</v>
      </c>
      <c r="L11426" s="27" t="s">
        <v>2810</v>
      </c>
      <c r="N11426" s="27" t="s">
        <v>15249</v>
      </c>
      <c r="P11426" s="27" t="s">
        <v>15252</v>
      </c>
      <c r="Q11426" s="26" t="str">
        <f>HYPERLINK("https://ictv.global/taxonomy/taxondetails?taxnode_id=202516705&amp;ictv_id=ICTV202316705","ICTV202316705")</f>
        <v>ICTV202316705</v>
      </c>
      <c r="R11426" t="s">
        <v>581</v>
      </c>
      <c r="S11426" t="s">
        <v>823</v>
      </c>
      <c r="T11426">
        <v>39</v>
      </c>
      <c r="U11426" s="26" t="str">
        <f>HYPERLINK("https://ictv.global/ictv/proposals/2023.001B.Leviviricetes_reorg.zip","2023.001B.Leviviricetes_reorg.zip")</f>
        <v>2023.001B.Leviviricetes_reorg.zip</v>
      </c>
    </row>
    <row r="11427" spans="1:21">
      <c r="A11427">
        <v>11426</v>
      </c>
      <c r="B11427" s="27" t="s">
        <v>1124</v>
      </c>
      <c r="D11427" s="27" t="s">
        <v>1859</v>
      </c>
      <c r="F11427" s="27" t="s">
        <v>1881</v>
      </c>
      <c r="H11427" s="27" t="s">
        <v>2679</v>
      </c>
      <c r="J11427" s="27" t="s">
        <v>2680</v>
      </c>
      <c r="L11427" s="27" t="s">
        <v>2810</v>
      </c>
      <c r="N11427" s="27" t="s">
        <v>3133</v>
      </c>
      <c r="P11427" s="27" t="s">
        <v>3134</v>
      </c>
      <c r="Q11427" s="26" t="str">
        <f>HYPERLINK("https://ictv.global/taxonomy/taxondetails?taxnode_id=202510654&amp;ictv_id=ICTV202010654","ICTV202010654")</f>
        <v>ICTV202010654</v>
      </c>
      <c r="R11427" t="s">
        <v>581</v>
      </c>
      <c r="S11427" t="s">
        <v>823</v>
      </c>
      <c r="T11427">
        <v>36</v>
      </c>
      <c r="U11427" s="26" t="str">
        <f>HYPERLINK("https://ictv.global/ictv/proposals/2020.095B.R.Leviviricetes.zip","2020.095B.R.Leviviricetes.zip")</f>
        <v>2020.095B.R.Leviviricetes.zip</v>
      </c>
    </row>
    <row r="11428" spans="1:21">
      <c r="A11428">
        <v>11427</v>
      </c>
      <c r="B11428" s="27" t="s">
        <v>1124</v>
      </c>
      <c r="D11428" s="27" t="s">
        <v>1859</v>
      </c>
      <c r="F11428" s="27" t="s">
        <v>1881</v>
      </c>
      <c r="H11428" s="27" t="s">
        <v>2679</v>
      </c>
      <c r="J11428" s="27" t="s">
        <v>2680</v>
      </c>
      <c r="L11428" s="27" t="s">
        <v>2810</v>
      </c>
      <c r="N11428" s="27" t="s">
        <v>15253</v>
      </c>
      <c r="P11428" s="27" t="s">
        <v>15254</v>
      </c>
      <c r="Q11428" s="26" t="str">
        <f>HYPERLINK("https://ictv.global/taxonomy/taxondetails?taxnode_id=202516706&amp;ictv_id=ICTV202316706","ICTV202316706")</f>
        <v>ICTV202316706</v>
      </c>
      <c r="R11428" t="s">
        <v>581</v>
      </c>
      <c r="S11428" t="s">
        <v>823</v>
      </c>
      <c r="T11428">
        <v>39</v>
      </c>
      <c r="U11428" s="26" t="str">
        <f>HYPERLINK("https://ictv.global/ictv/proposals/2023.001B.Leviviricetes_reorg.zip","2023.001B.Leviviricetes_reorg.zip")</f>
        <v>2023.001B.Leviviricetes_reorg.zip</v>
      </c>
    </row>
    <row r="11429" spans="1:21">
      <c r="A11429">
        <v>11428</v>
      </c>
      <c r="B11429" s="27" t="s">
        <v>1124</v>
      </c>
      <c r="D11429" s="27" t="s">
        <v>1859</v>
      </c>
      <c r="F11429" s="27" t="s">
        <v>1881</v>
      </c>
      <c r="H11429" s="27" t="s">
        <v>2679</v>
      </c>
      <c r="J11429" s="27" t="s">
        <v>2680</v>
      </c>
      <c r="L11429" s="27" t="s">
        <v>2810</v>
      </c>
      <c r="N11429" s="27" t="s">
        <v>3135</v>
      </c>
      <c r="P11429" s="27" t="s">
        <v>3136</v>
      </c>
      <c r="Q11429" s="26" t="str">
        <f>HYPERLINK("https://ictv.global/taxonomy/taxondetails?taxnode_id=202510656&amp;ictv_id=ICTV202010656","ICTV202010656")</f>
        <v>ICTV202010656</v>
      </c>
      <c r="R11429" t="s">
        <v>581</v>
      </c>
      <c r="S11429" t="s">
        <v>823</v>
      </c>
      <c r="T11429">
        <v>36</v>
      </c>
      <c r="U11429" s="26" t="str">
        <f>HYPERLINK("https://ictv.global/ictv/proposals/2020.095B.R.Leviviricetes.zip","2020.095B.R.Leviviricetes.zip")</f>
        <v>2020.095B.R.Leviviricetes.zip</v>
      </c>
    </row>
    <row r="11430" spans="1:21">
      <c r="A11430">
        <v>11429</v>
      </c>
      <c r="B11430" s="27" t="s">
        <v>1124</v>
      </c>
      <c r="D11430" s="27" t="s">
        <v>1859</v>
      </c>
      <c r="F11430" s="27" t="s">
        <v>1881</v>
      </c>
      <c r="H11430" s="27" t="s">
        <v>2679</v>
      </c>
      <c r="J11430" s="27" t="s">
        <v>2680</v>
      </c>
      <c r="L11430" s="27" t="s">
        <v>2810</v>
      </c>
      <c r="N11430" s="27" t="s">
        <v>3135</v>
      </c>
      <c r="P11430" s="27" t="s">
        <v>15255</v>
      </c>
      <c r="Q11430" s="26" t="str">
        <f>HYPERLINK("https://ictv.global/taxonomy/taxondetails?taxnode_id=202516707&amp;ictv_id=ICTV202316707","ICTV202316707")</f>
        <v>ICTV202316707</v>
      </c>
      <c r="R11430" t="s">
        <v>581</v>
      </c>
      <c r="S11430" t="s">
        <v>823</v>
      </c>
      <c r="T11430">
        <v>39</v>
      </c>
      <c r="U11430" s="26" t="str">
        <f t="shared" ref="U11430:U11444" si="421">HYPERLINK("https://ictv.global/ictv/proposals/2023.001B.Leviviricetes_reorg.zip","2023.001B.Leviviricetes_reorg.zip")</f>
        <v>2023.001B.Leviviricetes_reorg.zip</v>
      </c>
    </row>
    <row r="11431" spans="1:21">
      <c r="A11431">
        <v>11430</v>
      </c>
      <c r="B11431" s="27" t="s">
        <v>1124</v>
      </c>
      <c r="D11431" s="27" t="s">
        <v>1859</v>
      </c>
      <c r="F11431" s="27" t="s">
        <v>1881</v>
      </c>
      <c r="H11431" s="27" t="s">
        <v>2679</v>
      </c>
      <c r="J11431" s="27" t="s">
        <v>2680</v>
      </c>
      <c r="L11431" s="27" t="s">
        <v>2810</v>
      </c>
      <c r="N11431" s="27" t="s">
        <v>3135</v>
      </c>
      <c r="P11431" s="27" t="s">
        <v>15256</v>
      </c>
      <c r="Q11431" s="26" t="str">
        <f>HYPERLINK("https://ictv.global/taxonomy/taxondetails?taxnode_id=202516708&amp;ictv_id=ICTV202316708","ICTV202316708")</f>
        <v>ICTV202316708</v>
      </c>
      <c r="R11431" t="s">
        <v>581</v>
      </c>
      <c r="S11431" t="s">
        <v>823</v>
      </c>
      <c r="T11431">
        <v>39</v>
      </c>
      <c r="U11431" s="26" t="str">
        <f t="shared" si="421"/>
        <v>2023.001B.Leviviricetes_reorg.zip</v>
      </c>
    </row>
    <row r="11432" spans="1:21">
      <c r="A11432">
        <v>11431</v>
      </c>
      <c r="B11432" s="27" t="s">
        <v>1124</v>
      </c>
      <c r="D11432" s="27" t="s">
        <v>1859</v>
      </c>
      <c r="F11432" s="27" t="s">
        <v>1881</v>
      </c>
      <c r="H11432" s="27" t="s">
        <v>2679</v>
      </c>
      <c r="J11432" s="27" t="s">
        <v>2680</v>
      </c>
      <c r="L11432" s="27" t="s">
        <v>2810</v>
      </c>
      <c r="N11432" s="27" t="s">
        <v>3135</v>
      </c>
      <c r="P11432" s="27" t="s">
        <v>15257</v>
      </c>
      <c r="Q11432" s="26" t="str">
        <f>HYPERLINK("https://ictv.global/taxonomy/taxondetails?taxnode_id=202516709&amp;ictv_id=ICTV202316709","ICTV202316709")</f>
        <v>ICTV202316709</v>
      </c>
      <c r="R11432" t="s">
        <v>581</v>
      </c>
      <c r="S11432" t="s">
        <v>823</v>
      </c>
      <c r="T11432">
        <v>39</v>
      </c>
      <c r="U11432" s="26" t="str">
        <f t="shared" si="421"/>
        <v>2023.001B.Leviviricetes_reorg.zip</v>
      </c>
    </row>
    <row r="11433" spans="1:21">
      <c r="A11433">
        <v>11432</v>
      </c>
      <c r="B11433" s="27" t="s">
        <v>1124</v>
      </c>
      <c r="D11433" s="27" t="s">
        <v>1859</v>
      </c>
      <c r="F11433" s="27" t="s">
        <v>1881</v>
      </c>
      <c r="H11433" s="27" t="s">
        <v>2679</v>
      </c>
      <c r="J11433" s="27" t="s">
        <v>2680</v>
      </c>
      <c r="L11433" s="27" t="s">
        <v>2810</v>
      </c>
      <c r="N11433" s="27" t="s">
        <v>3135</v>
      </c>
      <c r="P11433" s="27" t="s">
        <v>15258</v>
      </c>
      <c r="Q11433" s="26" t="str">
        <f>HYPERLINK("https://ictv.global/taxonomy/taxondetails?taxnode_id=202516710&amp;ictv_id=ICTV202316710","ICTV202316710")</f>
        <v>ICTV202316710</v>
      </c>
      <c r="R11433" t="s">
        <v>581</v>
      </c>
      <c r="S11433" t="s">
        <v>823</v>
      </c>
      <c r="T11433">
        <v>39</v>
      </c>
      <c r="U11433" s="26" t="str">
        <f t="shared" si="421"/>
        <v>2023.001B.Leviviricetes_reorg.zip</v>
      </c>
    </row>
    <row r="11434" spans="1:21">
      <c r="A11434">
        <v>11433</v>
      </c>
      <c r="B11434" s="27" t="s">
        <v>1124</v>
      </c>
      <c r="D11434" s="27" t="s">
        <v>1859</v>
      </c>
      <c r="F11434" s="27" t="s">
        <v>1881</v>
      </c>
      <c r="H11434" s="27" t="s">
        <v>2679</v>
      </c>
      <c r="J11434" s="27" t="s">
        <v>2680</v>
      </c>
      <c r="L11434" s="27" t="s">
        <v>2810</v>
      </c>
      <c r="N11434" s="27" t="s">
        <v>15259</v>
      </c>
      <c r="P11434" s="27" t="s">
        <v>15260</v>
      </c>
      <c r="Q11434" s="26" t="str">
        <f>HYPERLINK("https://ictv.global/taxonomy/taxondetails?taxnode_id=202510336&amp;ictv_id=ICTV202010336","ICTV202010336")</f>
        <v>ICTV202010336</v>
      </c>
      <c r="R11434" t="s">
        <v>581</v>
      </c>
      <c r="S11434" t="s">
        <v>22764</v>
      </c>
      <c r="T11434">
        <v>39</v>
      </c>
      <c r="U11434" s="26" t="str">
        <f t="shared" si="421"/>
        <v>2023.001B.Leviviricetes_reorg.zip</v>
      </c>
    </row>
    <row r="11435" spans="1:21">
      <c r="A11435">
        <v>11434</v>
      </c>
      <c r="B11435" s="27" t="s">
        <v>1124</v>
      </c>
      <c r="D11435" s="27" t="s">
        <v>1859</v>
      </c>
      <c r="F11435" s="27" t="s">
        <v>1881</v>
      </c>
      <c r="H11435" s="27" t="s">
        <v>2679</v>
      </c>
      <c r="J11435" s="27" t="s">
        <v>2680</v>
      </c>
      <c r="L11435" s="27" t="s">
        <v>2810</v>
      </c>
      <c r="N11435" s="27" t="s">
        <v>15259</v>
      </c>
      <c r="P11435" s="27" t="s">
        <v>15261</v>
      </c>
      <c r="Q11435" s="26" t="str">
        <f>HYPERLINK("https://ictv.global/taxonomy/taxondetails?taxnode_id=202516711&amp;ictv_id=ICTV202316711","ICTV202316711")</f>
        <v>ICTV202316711</v>
      </c>
      <c r="R11435" t="s">
        <v>581</v>
      </c>
      <c r="S11435" t="s">
        <v>823</v>
      </c>
      <c r="T11435">
        <v>39</v>
      </c>
      <c r="U11435" s="26" t="str">
        <f t="shared" si="421"/>
        <v>2023.001B.Leviviricetes_reorg.zip</v>
      </c>
    </row>
    <row r="11436" spans="1:21">
      <c r="A11436">
        <v>11435</v>
      </c>
      <c r="B11436" s="27" t="s">
        <v>1124</v>
      </c>
      <c r="D11436" s="27" t="s">
        <v>1859</v>
      </c>
      <c r="F11436" s="27" t="s">
        <v>1881</v>
      </c>
      <c r="H11436" s="27" t="s">
        <v>2679</v>
      </c>
      <c r="J11436" s="27" t="s">
        <v>2680</v>
      </c>
      <c r="L11436" s="27" t="s">
        <v>2810</v>
      </c>
      <c r="N11436" s="27" t="s">
        <v>15259</v>
      </c>
      <c r="P11436" s="27" t="s">
        <v>15262</v>
      </c>
      <c r="Q11436" s="26" t="str">
        <f>HYPERLINK("https://ictv.global/taxonomy/taxondetails?taxnode_id=202516712&amp;ictv_id=ICTV202316712","ICTV202316712")</f>
        <v>ICTV202316712</v>
      </c>
      <c r="R11436" t="s">
        <v>581</v>
      </c>
      <c r="S11436" t="s">
        <v>823</v>
      </c>
      <c r="T11436">
        <v>39</v>
      </c>
      <c r="U11436" s="26" t="str">
        <f t="shared" si="421"/>
        <v>2023.001B.Leviviricetes_reorg.zip</v>
      </c>
    </row>
    <row r="11437" spans="1:21">
      <c r="A11437">
        <v>11436</v>
      </c>
      <c r="B11437" s="27" t="s">
        <v>1124</v>
      </c>
      <c r="D11437" s="27" t="s">
        <v>1859</v>
      </c>
      <c r="F11437" s="27" t="s">
        <v>1881</v>
      </c>
      <c r="H11437" s="27" t="s">
        <v>2679</v>
      </c>
      <c r="J11437" s="27" t="s">
        <v>2680</v>
      </c>
      <c r="L11437" s="27" t="s">
        <v>2810</v>
      </c>
      <c r="N11437" s="27" t="s">
        <v>15259</v>
      </c>
      <c r="P11437" s="27" t="s">
        <v>15263</v>
      </c>
      <c r="Q11437" s="26" t="str">
        <f>HYPERLINK("https://ictv.global/taxonomy/taxondetails?taxnode_id=202516713&amp;ictv_id=ICTV202316713","ICTV202316713")</f>
        <v>ICTV202316713</v>
      </c>
      <c r="R11437" t="s">
        <v>581</v>
      </c>
      <c r="S11437" t="s">
        <v>823</v>
      </c>
      <c r="T11437">
        <v>39</v>
      </c>
      <c r="U11437" s="26" t="str">
        <f t="shared" si="421"/>
        <v>2023.001B.Leviviricetes_reorg.zip</v>
      </c>
    </row>
    <row r="11438" spans="1:21">
      <c r="A11438">
        <v>11437</v>
      </c>
      <c r="B11438" s="27" t="s">
        <v>1124</v>
      </c>
      <c r="D11438" s="27" t="s">
        <v>1859</v>
      </c>
      <c r="F11438" s="27" t="s">
        <v>1881</v>
      </c>
      <c r="H11438" s="27" t="s">
        <v>2679</v>
      </c>
      <c r="J11438" s="27" t="s">
        <v>2680</v>
      </c>
      <c r="L11438" s="27" t="s">
        <v>2810</v>
      </c>
      <c r="N11438" s="27" t="s">
        <v>15259</v>
      </c>
      <c r="P11438" s="27" t="s">
        <v>15264</v>
      </c>
      <c r="Q11438" s="26" t="str">
        <f>HYPERLINK("https://ictv.global/taxonomy/taxondetails?taxnode_id=202516714&amp;ictv_id=ICTV202316714","ICTV202316714")</f>
        <v>ICTV202316714</v>
      </c>
      <c r="R11438" t="s">
        <v>581</v>
      </c>
      <c r="S11438" t="s">
        <v>823</v>
      </c>
      <c r="T11438">
        <v>39</v>
      </c>
      <c r="U11438" s="26" t="str">
        <f t="shared" si="421"/>
        <v>2023.001B.Leviviricetes_reorg.zip</v>
      </c>
    </row>
    <row r="11439" spans="1:21">
      <c r="A11439">
        <v>11438</v>
      </c>
      <c r="B11439" s="27" t="s">
        <v>1124</v>
      </c>
      <c r="D11439" s="27" t="s">
        <v>1859</v>
      </c>
      <c r="F11439" s="27" t="s">
        <v>1881</v>
      </c>
      <c r="H11439" s="27" t="s">
        <v>2679</v>
      </c>
      <c r="J11439" s="27" t="s">
        <v>2680</v>
      </c>
      <c r="L11439" s="27" t="s">
        <v>2810</v>
      </c>
      <c r="N11439" s="27" t="s">
        <v>15259</v>
      </c>
      <c r="P11439" s="27" t="s">
        <v>15265</v>
      </c>
      <c r="Q11439" s="26" t="str">
        <f>HYPERLINK("https://ictv.global/taxonomy/taxondetails?taxnode_id=202510478&amp;ictv_id=ICTV202010478","ICTV202010478")</f>
        <v>ICTV202010478</v>
      </c>
      <c r="R11439" t="s">
        <v>581</v>
      </c>
      <c r="S11439" t="s">
        <v>22764</v>
      </c>
      <c r="T11439">
        <v>39</v>
      </c>
      <c r="U11439" s="26" t="str">
        <f t="shared" si="421"/>
        <v>2023.001B.Leviviricetes_reorg.zip</v>
      </c>
    </row>
    <row r="11440" spans="1:21">
      <c r="A11440">
        <v>11439</v>
      </c>
      <c r="B11440" s="27" t="s">
        <v>1124</v>
      </c>
      <c r="D11440" s="27" t="s">
        <v>1859</v>
      </c>
      <c r="F11440" s="27" t="s">
        <v>1881</v>
      </c>
      <c r="H11440" s="27" t="s">
        <v>2679</v>
      </c>
      <c r="J11440" s="27" t="s">
        <v>2680</v>
      </c>
      <c r="L11440" s="27" t="s">
        <v>2810</v>
      </c>
      <c r="N11440" s="27" t="s">
        <v>15259</v>
      </c>
      <c r="P11440" s="27" t="s">
        <v>15266</v>
      </c>
      <c r="Q11440" s="26" t="str">
        <f>HYPERLINK("https://ictv.global/taxonomy/taxondetails?taxnode_id=202516715&amp;ictv_id=ICTV202316715","ICTV202316715")</f>
        <v>ICTV202316715</v>
      </c>
      <c r="R11440" t="s">
        <v>581</v>
      </c>
      <c r="S11440" t="s">
        <v>823</v>
      </c>
      <c r="T11440">
        <v>39</v>
      </c>
      <c r="U11440" s="26" t="str">
        <f t="shared" si="421"/>
        <v>2023.001B.Leviviricetes_reorg.zip</v>
      </c>
    </row>
    <row r="11441" spans="1:21">
      <c r="A11441">
        <v>11440</v>
      </c>
      <c r="B11441" s="27" t="s">
        <v>1124</v>
      </c>
      <c r="D11441" s="27" t="s">
        <v>1859</v>
      </c>
      <c r="F11441" s="27" t="s">
        <v>1881</v>
      </c>
      <c r="H11441" s="27" t="s">
        <v>2679</v>
      </c>
      <c r="J11441" s="27" t="s">
        <v>2680</v>
      </c>
      <c r="L11441" s="27" t="s">
        <v>2810</v>
      </c>
      <c r="N11441" s="27" t="s">
        <v>15259</v>
      </c>
      <c r="P11441" s="27" t="s">
        <v>15267</v>
      </c>
      <c r="Q11441" s="26" t="str">
        <f>HYPERLINK("https://ictv.global/taxonomy/taxondetails?taxnode_id=202516716&amp;ictv_id=ICTV202316716","ICTV202316716")</f>
        <v>ICTV202316716</v>
      </c>
      <c r="R11441" t="s">
        <v>581</v>
      </c>
      <c r="S11441" t="s">
        <v>823</v>
      </c>
      <c r="T11441">
        <v>39</v>
      </c>
      <c r="U11441" s="26" t="str">
        <f t="shared" si="421"/>
        <v>2023.001B.Leviviricetes_reorg.zip</v>
      </c>
    </row>
    <row r="11442" spans="1:21">
      <c r="A11442">
        <v>11441</v>
      </c>
      <c r="B11442" s="27" t="s">
        <v>1124</v>
      </c>
      <c r="D11442" s="27" t="s">
        <v>1859</v>
      </c>
      <c r="F11442" s="27" t="s">
        <v>1881</v>
      </c>
      <c r="H11442" s="27" t="s">
        <v>2679</v>
      </c>
      <c r="J11442" s="27" t="s">
        <v>2680</v>
      </c>
      <c r="L11442" s="27" t="s">
        <v>2810</v>
      </c>
      <c r="N11442" s="27" t="s">
        <v>15259</v>
      </c>
      <c r="P11442" s="27" t="s">
        <v>15268</v>
      </c>
      <c r="Q11442" s="26" t="str">
        <f>HYPERLINK("https://ictv.global/taxonomy/taxondetails?taxnode_id=202516717&amp;ictv_id=ICTV202316717","ICTV202316717")</f>
        <v>ICTV202316717</v>
      </c>
      <c r="R11442" t="s">
        <v>581</v>
      </c>
      <c r="S11442" t="s">
        <v>823</v>
      </c>
      <c r="T11442">
        <v>39</v>
      </c>
      <c r="U11442" s="26" t="str">
        <f t="shared" si="421"/>
        <v>2023.001B.Leviviricetes_reorg.zip</v>
      </c>
    </row>
    <row r="11443" spans="1:21">
      <c r="A11443">
        <v>11442</v>
      </c>
      <c r="B11443" s="27" t="s">
        <v>1124</v>
      </c>
      <c r="D11443" s="27" t="s">
        <v>1859</v>
      </c>
      <c r="F11443" s="27" t="s">
        <v>1881</v>
      </c>
      <c r="H11443" s="27" t="s">
        <v>2679</v>
      </c>
      <c r="J11443" s="27" t="s">
        <v>2680</v>
      </c>
      <c r="L11443" s="27" t="s">
        <v>2810</v>
      </c>
      <c r="N11443" s="27" t="s">
        <v>15259</v>
      </c>
      <c r="P11443" s="27" t="s">
        <v>15269</v>
      </c>
      <c r="Q11443" s="26" t="str">
        <f>HYPERLINK("https://ictv.global/taxonomy/taxondetails?taxnode_id=202510335&amp;ictv_id=ICTV202010335","ICTV202010335")</f>
        <v>ICTV202010335</v>
      </c>
      <c r="R11443" t="s">
        <v>581</v>
      </c>
      <c r="S11443" t="s">
        <v>22764</v>
      </c>
      <c r="T11443">
        <v>39</v>
      </c>
      <c r="U11443" s="26" t="str">
        <f t="shared" si="421"/>
        <v>2023.001B.Leviviricetes_reorg.zip</v>
      </c>
    </row>
    <row r="11444" spans="1:21">
      <c r="A11444">
        <v>11443</v>
      </c>
      <c r="B11444" s="27" t="s">
        <v>1124</v>
      </c>
      <c r="D11444" s="27" t="s">
        <v>1859</v>
      </c>
      <c r="F11444" s="27" t="s">
        <v>1881</v>
      </c>
      <c r="H11444" s="27" t="s">
        <v>2679</v>
      </c>
      <c r="J11444" s="27" t="s">
        <v>2680</v>
      </c>
      <c r="L11444" s="27" t="s">
        <v>2810</v>
      </c>
      <c r="N11444" s="27" t="s">
        <v>3137</v>
      </c>
      <c r="P11444" s="27" t="s">
        <v>15270</v>
      </c>
      <c r="Q11444" s="26" t="str">
        <f>HYPERLINK("https://ictv.global/taxonomy/taxondetails?taxnode_id=202516718&amp;ictv_id=ICTV202316718","ICTV202316718")</f>
        <v>ICTV202316718</v>
      </c>
      <c r="R11444" t="s">
        <v>581</v>
      </c>
      <c r="S11444" t="s">
        <v>823</v>
      </c>
      <c r="T11444">
        <v>39</v>
      </c>
      <c r="U11444" s="26" t="str">
        <f t="shared" si="421"/>
        <v>2023.001B.Leviviricetes_reorg.zip</v>
      </c>
    </row>
    <row r="11445" spans="1:21">
      <c r="A11445">
        <v>11444</v>
      </c>
      <c r="B11445" s="27" t="s">
        <v>1124</v>
      </c>
      <c r="D11445" s="27" t="s">
        <v>1859</v>
      </c>
      <c r="F11445" s="27" t="s">
        <v>1881</v>
      </c>
      <c r="H11445" s="27" t="s">
        <v>2679</v>
      </c>
      <c r="J11445" s="27" t="s">
        <v>2680</v>
      </c>
      <c r="L11445" s="27" t="s">
        <v>2810</v>
      </c>
      <c r="N11445" s="27" t="s">
        <v>3137</v>
      </c>
      <c r="P11445" s="27" t="s">
        <v>3138</v>
      </c>
      <c r="Q11445" s="26" t="str">
        <f>HYPERLINK("https://ictv.global/taxonomy/taxondetails?taxnode_id=202510658&amp;ictv_id=ICTV202010658","ICTV202010658")</f>
        <v>ICTV202010658</v>
      </c>
      <c r="R11445" t="s">
        <v>581</v>
      </c>
      <c r="S11445" t="s">
        <v>823</v>
      </c>
      <c r="T11445">
        <v>36</v>
      </c>
      <c r="U11445" s="26" t="str">
        <f>HYPERLINK("https://ictv.global/ictv/proposals/2020.095B.R.Leviviricetes.zip","2020.095B.R.Leviviricetes.zip")</f>
        <v>2020.095B.R.Leviviricetes.zip</v>
      </c>
    </row>
    <row r="11446" spans="1:21">
      <c r="A11446">
        <v>11445</v>
      </c>
      <c r="B11446" s="27" t="s">
        <v>1124</v>
      </c>
      <c r="D11446" s="27" t="s">
        <v>1859</v>
      </c>
      <c r="F11446" s="27" t="s">
        <v>1881</v>
      </c>
      <c r="H11446" s="27" t="s">
        <v>2679</v>
      </c>
      <c r="J11446" s="27" t="s">
        <v>2680</v>
      </c>
      <c r="L11446" s="27" t="s">
        <v>2810</v>
      </c>
      <c r="N11446" s="27" t="s">
        <v>3137</v>
      </c>
      <c r="P11446" s="27" t="s">
        <v>15271</v>
      </c>
      <c r="Q11446" s="26" t="str">
        <f>HYPERLINK("https://ictv.global/taxonomy/taxondetails?taxnode_id=202516719&amp;ictv_id=ICTV202316719","ICTV202316719")</f>
        <v>ICTV202316719</v>
      </c>
      <c r="R11446" t="s">
        <v>581</v>
      </c>
      <c r="S11446" t="s">
        <v>823</v>
      </c>
      <c r="T11446">
        <v>39</v>
      </c>
      <c r="U11446" s="26" t="str">
        <f t="shared" ref="U11446:U11453" si="422">HYPERLINK("https://ictv.global/ictv/proposals/2023.001B.Leviviricetes_reorg.zip","2023.001B.Leviviricetes_reorg.zip")</f>
        <v>2023.001B.Leviviricetes_reorg.zip</v>
      </c>
    </row>
    <row r="11447" spans="1:21">
      <c r="A11447">
        <v>11446</v>
      </c>
      <c r="B11447" s="27" t="s">
        <v>1124</v>
      </c>
      <c r="D11447" s="27" t="s">
        <v>1859</v>
      </c>
      <c r="F11447" s="27" t="s">
        <v>1881</v>
      </c>
      <c r="H11447" s="27" t="s">
        <v>2679</v>
      </c>
      <c r="J11447" s="27" t="s">
        <v>2680</v>
      </c>
      <c r="L11447" s="27" t="s">
        <v>2810</v>
      </c>
      <c r="N11447" s="27" t="s">
        <v>15272</v>
      </c>
      <c r="P11447" s="27" t="s">
        <v>15273</v>
      </c>
      <c r="Q11447" s="26" t="str">
        <f>HYPERLINK("https://ictv.global/taxonomy/taxondetails?taxnode_id=202516720&amp;ictv_id=ICTV202316720","ICTV202316720")</f>
        <v>ICTV202316720</v>
      </c>
      <c r="R11447" t="s">
        <v>581</v>
      </c>
      <c r="S11447" t="s">
        <v>823</v>
      </c>
      <c r="T11447">
        <v>39</v>
      </c>
      <c r="U11447" s="26" t="str">
        <f t="shared" si="422"/>
        <v>2023.001B.Leviviricetes_reorg.zip</v>
      </c>
    </row>
    <row r="11448" spans="1:21">
      <c r="A11448">
        <v>11447</v>
      </c>
      <c r="B11448" s="27" t="s">
        <v>1124</v>
      </c>
      <c r="D11448" s="27" t="s">
        <v>1859</v>
      </c>
      <c r="F11448" s="27" t="s">
        <v>1881</v>
      </c>
      <c r="H11448" s="27" t="s">
        <v>2679</v>
      </c>
      <c r="J11448" s="27" t="s">
        <v>2680</v>
      </c>
      <c r="L11448" s="27" t="s">
        <v>2810</v>
      </c>
      <c r="N11448" s="27" t="s">
        <v>15274</v>
      </c>
      <c r="P11448" s="27" t="s">
        <v>15275</v>
      </c>
      <c r="Q11448" s="26" t="str">
        <f>HYPERLINK("https://ictv.global/taxonomy/taxondetails?taxnode_id=202510664&amp;ictv_id=ICTV202010664","ICTV202010664")</f>
        <v>ICTV202010664</v>
      </c>
      <c r="R11448" t="s">
        <v>581</v>
      </c>
      <c r="S11448" t="s">
        <v>22764</v>
      </c>
      <c r="T11448">
        <v>39</v>
      </c>
      <c r="U11448" s="26" t="str">
        <f t="shared" si="422"/>
        <v>2023.001B.Leviviricetes_reorg.zip</v>
      </c>
    </row>
    <row r="11449" spans="1:21">
      <c r="A11449">
        <v>11448</v>
      </c>
      <c r="B11449" s="27" t="s">
        <v>1124</v>
      </c>
      <c r="D11449" s="27" t="s">
        <v>1859</v>
      </c>
      <c r="F11449" s="27" t="s">
        <v>1881</v>
      </c>
      <c r="H11449" s="27" t="s">
        <v>2679</v>
      </c>
      <c r="J11449" s="27" t="s">
        <v>2680</v>
      </c>
      <c r="L11449" s="27" t="s">
        <v>2810</v>
      </c>
      <c r="N11449" s="27" t="s">
        <v>15276</v>
      </c>
      <c r="P11449" s="27" t="s">
        <v>15277</v>
      </c>
      <c r="Q11449" s="26" t="str">
        <f>HYPERLINK("https://ictv.global/taxonomy/taxondetails?taxnode_id=202510559&amp;ictv_id=ICTV202010559","ICTV202010559")</f>
        <v>ICTV202010559</v>
      </c>
      <c r="R11449" t="s">
        <v>581</v>
      </c>
      <c r="S11449" t="s">
        <v>22764</v>
      </c>
      <c r="T11449">
        <v>39</v>
      </c>
      <c r="U11449" s="26" t="str">
        <f t="shared" si="422"/>
        <v>2023.001B.Leviviricetes_reorg.zip</v>
      </c>
    </row>
    <row r="11450" spans="1:21">
      <c r="A11450">
        <v>11449</v>
      </c>
      <c r="B11450" s="27" t="s">
        <v>1124</v>
      </c>
      <c r="D11450" s="27" t="s">
        <v>1859</v>
      </c>
      <c r="F11450" s="27" t="s">
        <v>1881</v>
      </c>
      <c r="H11450" s="27" t="s">
        <v>2679</v>
      </c>
      <c r="J11450" s="27" t="s">
        <v>2680</v>
      </c>
      <c r="L11450" s="27" t="s">
        <v>2810</v>
      </c>
      <c r="N11450" s="27" t="s">
        <v>15276</v>
      </c>
      <c r="P11450" s="27" t="s">
        <v>15278</v>
      </c>
      <c r="Q11450" s="26" t="str">
        <f>HYPERLINK("https://ictv.global/taxonomy/taxondetails?taxnode_id=202510560&amp;ictv_id=ICTV202010560","ICTV202010560")</f>
        <v>ICTV202010560</v>
      </c>
      <c r="R11450" t="s">
        <v>581</v>
      </c>
      <c r="S11450" t="s">
        <v>22764</v>
      </c>
      <c r="T11450">
        <v>39</v>
      </c>
      <c r="U11450" s="26" t="str">
        <f t="shared" si="422"/>
        <v>2023.001B.Leviviricetes_reorg.zip</v>
      </c>
    </row>
    <row r="11451" spans="1:21">
      <c r="A11451">
        <v>11450</v>
      </c>
      <c r="B11451" s="27" t="s">
        <v>1124</v>
      </c>
      <c r="D11451" s="27" t="s">
        <v>1859</v>
      </c>
      <c r="F11451" s="27" t="s">
        <v>1881</v>
      </c>
      <c r="H11451" s="27" t="s">
        <v>2679</v>
      </c>
      <c r="J11451" s="27" t="s">
        <v>2680</v>
      </c>
      <c r="L11451" s="27" t="s">
        <v>2810</v>
      </c>
      <c r="N11451" s="27" t="s">
        <v>15276</v>
      </c>
      <c r="P11451" s="27" t="s">
        <v>15279</v>
      </c>
      <c r="Q11451" s="26" t="str">
        <f>HYPERLINK("https://ictv.global/taxonomy/taxondetails?taxnode_id=202510561&amp;ictv_id=ICTV202010561","ICTV202010561")</f>
        <v>ICTV202010561</v>
      </c>
      <c r="R11451" t="s">
        <v>581</v>
      </c>
      <c r="S11451" t="s">
        <v>22764</v>
      </c>
      <c r="T11451">
        <v>39</v>
      </c>
      <c r="U11451" s="26" t="str">
        <f t="shared" si="422"/>
        <v>2023.001B.Leviviricetes_reorg.zip</v>
      </c>
    </row>
    <row r="11452" spans="1:21">
      <c r="A11452">
        <v>11451</v>
      </c>
      <c r="B11452" s="27" t="s">
        <v>1124</v>
      </c>
      <c r="D11452" s="27" t="s">
        <v>1859</v>
      </c>
      <c r="F11452" s="27" t="s">
        <v>1881</v>
      </c>
      <c r="H11452" s="27" t="s">
        <v>2679</v>
      </c>
      <c r="J11452" s="27" t="s">
        <v>2680</v>
      </c>
      <c r="L11452" s="27" t="s">
        <v>2810</v>
      </c>
      <c r="N11452" s="27" t="s">
        <v>15280</v>
      </c>
      <c r="P11452" s="27" t="s">
        <v>15281</v>
      </c>
      <c r="Q11452" s="26" t="str">
        <f>HYPERLINK("https://ictv.global/taxonomy/taxondetails?taxnode_id=202510262&amp;ictv_id=ICTV202010262","ICTV202010262")</f>
        <v>ICTV202010262</v>
      </c>
      <c r="R11452" t="s">
        <v>581</v>
      </c>
      <c r="S11452" t="s">
        <v>22764</v>
      </c>
      <c r="T11452">
        <v>39</v>
      </c>
      <c r="U11452" s="26" t="str">
        <f t="shared" si="422"/>
        <v>2023.001B.Leviviricetes_reorg.zip</v>
      </c>
    </row>
    <row r="11453" spans="1:21">
      <c r="A11453">
        <v>11452</v>
      </c>
      <c r="B11453" s="27" t="s">
        <v>1124</v>
      </c>
      <c r="D11453" s="27" t="s">
        <v>1859</v>
      </c>
      <c r="F11453" s="27" t="s">
        <v>1881</v>
      </c>
      <c r="H11453" s="27" t="s">
        <v>2679</v>
      </c>
      <c r="J11453" s="27" t="s">
        <v>2680</v>
      </c>
      <c r="L11453" s="27" t="s">
        <v>2810</v>
      </c>
      <c r="N11453" s="27" t="s">
        <v>15280</v>
      </c>
      <c r="P11453" s="27" t="s">
        <v>15282</v>
      </c>
      <c r="Q11453" s="26" t="str">
        <f>HYPERLINK("https://ictv.global/taxonomy/taxondetails?taxnode_id=202510260&amp;ictv_id=ICTV202010260","ICTV202010260")</f>
        <v>ICTV202010260</v>
      </c>
      <c r="R11453" t="s">
        <v>581</v>
      </c>
      <c r="S11453" t="s">
        <v>22764</v>
      </c>
      <c r="T11453">
        <v>39</v>
      </c>
      <c r="U11453" s="26" t="str">
        <f t="shared" si="422"/>
        <v>2023.001B.Leviviricetes_reorg.zip</v>
      </c>
    </row>
    <row r="11454" spans="1:21">
      <c r="A11454">
        <v>11453</v>
      </c>
      <c r="B11454" s="27" t="s">
        <v>1124</v>
      </c>
      <c r="D11454" s="27" t="s">
        <v>1859</v>
      </c>
      <c r="F11454" s="27" t="s">
        <v>1881</v>
      </c>
      <c r="H11454" s="27" t="s">
        <v>2679</v>
      </c>
      <c r="J11454" s="27" t="s">
        <v>2680</v>
      </c>
      <c r="L11454" s="27" t="s">
        <v>2810</v>
      </c>
      <c r="N11454" s="27" t="s">
        <v>3139</v>
      </c>
      <c r="P11454" s="27" t="s">
        <v>3140</v>
      </c>
      <c r="Q11454" s="26" t="str">
        <f>HYPERLINK("https://ictv.global/taxonomy/taxondetails?taxnode_id=202510660&amp;ictv_id=ICTV202010660","ICTV202010660")</f>
        <v>ICTV202010660</v>
      </c>
      <c r="R11454" t="s">
        <v>581</v>
      </c>
      <c r="S11454" t="s">
        <v>823</v>
      </c>
      <c r="T11454">
        <v>36</v>
      </c>
      <c r="U11454" s="26" t="str">
        <f>HYPERLINK("https://ictv.global/ictv/proposals/2020.095B.R.Leviviricetes.zip","2020.095B.R.Leviviricetes.zip")</f>
        <v>2020.095B.R.Leviviricetes.zip</v>
      </c>
    </row>
    <row r="11455" spans="1:21">
      <c r="A11455">
        <v>11454</v>
      </c>
      <c r="B11455" s="27" t="s">
        <v>1124</v>
      </c>
      <c r="D11455" s="27" t="s">
        <v>1859</v>
      </c>
      <c r="F11455" s="27" t="s">
        <v>1881</v>
      </c>
      <c r="H11455" s="27" t="s">
        <v>2679</v>
      </c>
      <c r="J11455" s="27" t="s">
        <v>2680</v>
      </c>
      <c r="L11455" s="27" t="s">
        <v>2810</v>
      </c>
      <c r="N11455" s="27" t="s">
        <v>3141</v>
      </c>
      <c r="P11455" s="27" t="s">
        <v>3142</v>
      </c>
      <c r="Q11455" s="26" t="str">
        <f>HYPERLINK("https://ictv.global/taxonomy/taxondetails?taxnode_id=202510662&amp;ictv_id=ICTV202010662","ICTV202010662")</f>
        <v>ICTV202010662</v>
      </c>
      <c r="R11455" t="s">
        <v>581</v>
      </c>
      <c r="S11455" t="s">
        <v>823</v>
      </c>
      <c r="T11455">
        <v>36</v>
      </c>
      <c r="U11455" s="26" t="str">
        <f>HYPERLINK("https://ictv.global/ictv/proposals/2020.095B.R.Leviviricetes.zip","2020.095B.R.Leviviricetes.zip")</f>
        <v>2020.095B.R.Leviviricetes.zip</v>
      </c>
    </row>
    <row r="11456" spans="1:21">
      <c r="A11456">
        <v>11455</v>
      </c>
      <c r="B11456" s="27" t="s">
        <v>1124</v>
      </c>
      <c r="D11456" s="27" t="s">
        <v>1859</v>
      </c>
      <c r="F11456" s="27" t="s">
        <v>1881</v>
      </c>
      <c r="H11456" s="27" t="s">
        <v>2679</v>
      </c>
      <c r="J11456" s="27" t="s">
        <v>2680</v>
      </c>
      <c r="L11456" s="27" t="s">
        <v>2810</v>
      </c>
      <c r="N11456" s="27" t="s">
        <v>3143</v>
      </c>
      <c r="P11456" s="27" t="s">
        <v>15283</v>
      </c>
      <c r="Q11456" s="26" t="str">
        <f>HYPERLINK("https://ictv.global/taxonomy/taxondetails?taxnode_id=202516721&amp;ictv_id=ICTV202316721","ICTV202316721")</f>
        <v>ICTV202316721</v>
      </c>
      <c r="R11456" t="s">
        <v>581</v>
      </c>
      <c r="S11456" t="s">
        <v>823</v>
      </c>
      <c r="T11456">
        <v>39</v>
      </c>
      <c r="U11456" s="26" t="str">
        <f t="shared" ref="U11456:U11464" si="423">HYPERLINK("https://ictv.global/ictv/proposals/2023.001B.Leviviricetes_reorg.zip","2023.001B.Leviviricetes_reorg.zip")</f>
        <v>2023.001B.Leviviricetes_reorg.zip</v>
      </c>
    </row>
    <row r="11457" spans="1:21">
      <c r="A11457">
        <v>11456</v>
      </c>
      <c r="B11457" s="27" t="s">
        <v>1124</v>
      </c>
      <c r="D11457" s="27" t="s">
        <v>1859</v>
      </c>
      <c r="F11457" s="27" t="s">
        <v>1881</v>
      </c>
      <c r="H11457" s="27" t="s">
        <v>2679</v>
      </c>
      <c r="J11457" s="27" t="s">
        <v>2680</v>
      </c>
      <c r="L11457" s="27" t="s">
        <v>2810</v>
      </c>
      <c r="N11457" s="27" t="s">
        <v>3143</v>
      </c>
      <c r="P11457" s="27" t="s">
        <v>15284</v>
      </c>
      <c r="Q11457" s="26" t="str">
        <f>HYPERLINK("https://ictv.global/taxonomy/taxondetails?taxnode_id=202516722&amp;ictv_id=ICTV202316722","ICTV202316722")</f>
        <v>ICTV202316722</v>
      </c>
      <c r="R11457" t="s">
        <v>581</v>
      </c>
      <c r="S11457" t="s">
        <v>823</v>
      </c>
      <c r="T11457">
        <v>39</v>
      </c>
      <c r="U11457" s="26" t="str">
        <f t="shared" si="423"/>
        <v>2023.001B.Leviviricetes_reorg.zip</v>
      </c>
    </row>
    <row r="11458" spans="1:21">
      <c r="A11458">
        <v>11457</v>
      </c>
      <c r="B11458" s="27" t="s">
        <v>1124</v>
      </c>
      <c r="D11458" s="27" t="s">
        <v>1859</v>
      </c>
      <c r="F11458" s="27" t="s">
        <v>1881</v>
      </c>
      <c r="H11458" s="27" t="s">
        <v>2679</v>
      </c>
      <c r="J11458" s="27" t="s">
        <v>2680</v>
      </c>
      <c r="L11458" s="27" t="s">
        <v>2810</v>
      </c>
      <c r="N11458" s="27" t="s">
        <v>3143</v>
      </c>
      <c r="P11458" s="27" t="s">
        <v>15285</v>
      </c>
      <c r="Q11458" s="26" t="str">
        <f>HYPERLINK("https://ictv.global/taxonomy/taxondetails?taxnode_id=202516723&amp;ictv_id=ICTV202316723","ICTV202316723")</f>
        <v>ICTV202316723</v>
      </c>
      <c r="R11458" t="s">
        <v>581</v>
      </c>
      <c r="S11458" t="s">
        <v>823</v>
      </c>
      <c r="T11458">
        <v>39</v>
      </c>
      <c r="U11458" s="26" t="str">
        <f t="shared" si="423"/>
        <v>2023.001B.Leviviricetes_reorg.zip</v>
      </c>
    </row>
    <row r="11459" spans="1:21">
      <c r="A11459">
        <v>11458</v>
      </c>
      <c r="B11459" s="27" t="s">
        <v>1124</v>
      </c>
      <c r="D11459" s="27" t="s">
        <v>1859</v>
      </c>
      <c r="F11459" s="27" t="s">
        <v>1881</v>
      </c>
      <c r="H11459" s="27" t="s">
        <v>2679</v>
      </c>
      <c r="J11459" s="27" t="s">
        <v>2680</v>
      </c>
      <c r="L11459" s="27" t="s">
        <v>2810</v>
      </c>
      <c r="N11459" s="27" t="s">
        <v>3143</v>
      </c>
      <c r="P11459" s="27" t="s">
        <v>15286</v>
      </c>
      <c r="Q11459" s="26" t="str">
        <f>HYPERLINK("https://ictv.global/taxonomy/taxondetails?taxnode_id=202516724&amp;ictv_id=ICTV202316724","ICTV202316724")</f>
        <v>ICTV202316724</v>
      </c>
      <c r="R11459" t="s">
        <v>581</v>
      </c>
      <c r="S11459" t="s">
        <v>823</v>
      </c>
      <c r="T11459">
        <v>39</v>
      </c>
      <c r="U11459" s="26" t="str">
        <f t="shared" si="423"/>
        <v>2023.001B.Leviviricetes_reorg.zip</v>
      </c>
    </row>
    <row r="11460" spans="1:21">
      <c r="A11460">
        <v>11459</v>
      </c>
      <c r="B11460" s="27" t="s">
        <v>1124</v>
      </c>
      <c r="D11460" s="27" t="s">
        <v>1859</v>
      </c>
      <c r="F11460" s="27" t="s">
        <v>1881</v>
      </c>
      <c r="H11460" s="27" t="s">
        <v>2679</v>
      </c>
      <c r="J11460" s="27" t="s">
        <v>2680</v>
      </c>
      <c r="L11460" s="27" t="s">
        <v>2810</v>
      </c>
      <c r="N11460" s="27" t="s">
        <v>3143</v>
      </c>
      <c r="P11460" s="27" t="s">
        <v>15287</v>
      </c>
      <c r="Q11460" s="26" t="str">
        <f>HYPERLINK("https://ictv.global/taxonomy/taxondetails?taxnode_id=202516725&amp;ictv_id=ICTV202316725","ICTV202316725")</f>
        <v>ICTV202316725</v>
      </c>
      <c r="R11460" t="s">
        <v>581</v>
      </c>
      <c r="S11460" t="s">
        <v>823</v>
      </c>
      <c r="T11460">
        <v>39</v>
      </c>
      <c r="U11460" s="26" t="str">
        <f t="shared" si="423"/>
        <v>2023.001B.Leviviricetes_reorg.zip</v>
      </c>
    </row>
    <row r="11461" spans="1:21">
      <c r="A11461">
        <v>11460</v>
      </c>
      <c r="B11461" s="27" t="s">
        <v>1124</v>
      </c>
      <c r="D11461" s="27" t="s">
        <v>1859</v>
      </c>
      <c r="F11461" s="27" t="s">
        <v>1881</v>
      </c>
      <c r="H11461" s="27" t="s">
        <v>2679</v>
      </c>
      <c r="J11461" s="27" t="s">
        <v>2680</v>
      </c>
      <c r="L11461" s="27" t="s">
        <v>2810</v>
      </c>
      <c r="N11461" s="27" t="s">
        <v>3143</v>
      </c>
      <c r="P11461" s="27" t="s">
        <v>15288</v>
      </c>
      <c r="Q11461" s="26" t="str">
        <f>HYPERLINK("https://ictv.global/taxonomy/taxondetails?taxnode_id=202516726&amp;ictv_id=ICTV202316726","ICTV202316726")</f>
        <v>ICTV202316726</v>
      </c>
      <c r="R11461" t="s">
        <v>581</v>
      </c>
      <c r="S11461" t="s">
        <v>823</v>
      </c>
      <c r="T11461">
        <v>39</v>
      </c>
      <c r="U11461" s="26" t="str">
        <f t="shared" si="423"/>
        <v>2023.001B.Leviviricetes_reorg.zip</v>
      </c>
    </row>
    <row r="11462" spans="1:21">
      <c r="A11462">
        <v>11461</v>
      </c>
      <c r="B11462" s="27" t="s">
        <v>1124</v>
      </c>
      <c r="D11462" s="27" t="s">
        <v>1859</v>
      </c>
      <c r="F11462" s="27" t="s">
        <v>1881</v>
      </c>
      <c r="H11462" s="27" t="s">
        <v>2679</v>
      </c>
      <c r="J11462" s="27" t="s">
        <v>2680</v>
      </c>
      <c r="L11462" s="27" t="s">
        <v>2810</v>
      </c>
      <c r="N11462" s="27" t="s">
        <v>3143</v>
      </c>
      <c r="P11462" s="27" t="s">
        <v>15289</v>
      </c>
      <c r="Q11462" s="26" t="str">
        <f>HYPERLINK("https://ictv.global/taxonomy/taxondetails?taxnode_id=202516727&amp;ictv_id=ICTV202316727","ICTV202316727")</f>
        <v>ICTV202316727</v>
      </c>
      <c r="R11462" t="s">
        <v>581</v>
      </c>
      <c r="S11462" t="s">
        <v>823</v>
      </c>
      <c r="T11462">
        <v>39</v>
      </c>
      <c r="U11462" s="26" t="str">
        <f t="shared" si="423"/>
        <v>2023.001B.Leviviricetes_reorg.zip</v>
      </c>
    </row>
    <row r="11463" spans="1:21">
      <c r="A11463">
        <v>11462</v>
      </c>
      <c r="B11463" s="27" t="s">
        <v>1124</v>
      </c>
      <c r="D11463" s="27" t="s">
        <v>1859</v>
      </c>
      <c r="F11463" s="27" t="s">
        <v>1881</v>
      </c>
      <c r="H11463" s="27" t="s">
        <v>2679</v>
      </c>
      <c r="J11463" s="27" t="s">
        <v>2680</v>
      </c>
      <c r="L11463" s="27" t="s">
        <v>2810</v>
      </c>
      <c r="N11463" s="27" t="s">
        <v>3143</v>
      </c>
      <c r="P11463" s="27" t="s">
        <v>15290</v>
      </c>
      <c r="Q11463" s="26" t="str">
        <f>HYPERLINK("https://ictv.global/taxonomy/taxondetails?taxnode_id=202516728&amp;ictv_id=ICTV202316728","ICTV202316728")</f>
        <v>ICTV202316728</v>
      </c>
      <c r="R11463" t="s">
        <v>581</v>
      </c>
      <c r="S11463" t="s">
        <v>823</v>
      </c>
      <c r="T11463">
        <v>39</v>
      </c>
      <c r="U11463" s="26" t="str">
        <f t="shared" si="423"/>
        <v>2023.001B.Leviviricetes_reorg.zip</v>
      </c>
    </row>
    <row r="11464" spans="1:21">
      <c r="A11464">
        <v>11463</v>
      </c>
      <c r="B11464" s="27" t="s">
        <v>1124</v>
      </c>
      <c r="D11464" s="27" t="s">
        <v>1859</v>
      </c>
      <c r="F11464" s="27" t="s">
        <v>1881</v>
      </c>
      <c r="H11464" s="27" t="s">
        <v>2679</v>
      </c>
      <c r="J11464" s="27" t="s">
        <v>2680</v>
      </c>
      <c r="L11464" s="27" t="s">
        <v>2810</v>
      </c>
      <c r="N11464" s="27" t="s">
        <v>3143</v>
      </c>
      <c r="P11464" s="27" t="s">
        <v>15291</v>
      </c>
      <c r="Q11464" s="26" t="str">
        <f>HYPERLINK("https://ictv.global/taxonomy/taxondetails?taxnode_id=202516729&amp;ictv_id=ICTV202316729","ICTV202316729")</f>
        <v>ICTV202316729</v>
      </c>
      <c r="R11464" t="s">
        <v>581</v>
      </c>
      <c r="S11464" t="s">
        <v>823</v>
      </c>
      <c r="T11464">
        <v>39</v>
      </c>
      <c r="U11464" s="26" t="str">
        <f t="shared" si="423"/>
        <v>2023.001B.Leviviricetes_reorg.zip</v>
      </c>
    </row>
    <row r="11465" spans="1:21">
      <c r="A11465">
        <v>11464</v>
      </c>
      <c r="B11465" s="27" t="s">
        <v>1124</v>
      </c>
      <c r="D11465" s="27" t="s">
        <v>1859</v>
      </c>
      <c r="F11465" s="27" t="s">
        <v>1881</v>
      </c>
      <c r="H11465" s="27" t="s">
        <v>2679</v>
      </c>
      <c r="J11465" s="27" t="s">
        <v>2680</v>
      </c>
      <c r="L11465" s="27" t="s">
        <v>2810</v>
      </c>
      <c r="N11465" s="27" t="s">
        <v>3143</v>
      </c>
      <c r="P11465" s="27" t="s">
        <v>3144</v>
      </c>
      <c r="Q11465" s="26" t="str">
        <f>HYPERLINK("https://ictv.global/taxonomy/taxondetails?taxnode_id=202510671&amp;ictv_id=ICTV202010671","ICTV202010671")</f>
        <v>ICTV202010671</v>
      </c>
      <c r="R11465" t="s">
        <v>581</v>
      </c>
      <c r="S11465" t="s">
        <v>823</v>
      </c>
      <c r="T11465">
        <v>36</v>
      </c>
      <c r="U11465" s="26" t="str">
        <f>HYPERLINK("https://ictv.global/ictv/proposals/2020.095B.R.Leviviricetes.zip","2020.095B.R.Leviviricetes.zip")</f>
        <v>2020.095B.R.Leviviricetes.zip</v>
      </c>
    </row>
    <row r="11466" spans="1:21">
      <c r="A11466">
        <v>11465</v>
      </c>
      <c r="B11466" s="27" t="s">
        <v>1124</v>
      </c>
      <c r="D11466" s="27" t="s">
        <v>1859</v>
      </c>
      <c r="F11466" s="27" t="s">
        <v>1881</v>
      </c>
      <c r="H11466" s="27" t="s">
        <v>2679</v>
      </c>
      <c r="J11466" s="27" t="s">
        <v>2680</v>
      </c>
      <c r="L11466" s="27" t="s">
        <v>2810</v>
      </c>
      <c r="N11466" s="27" t="s">
        <v>3143</v>
      </c>
      <c r="P11466" s="27" t="s">
        <v>3145</v>
      </c>
      <c r="Q11466" s="26" t="str">
        <f>HYPERLINK("https://ictv.global/taxonomy/taxondetails?taxnode_id=202510672&amp;ictv_id=ICTV202010672","ICTV202010672")</f>
        <v>ICTV202010672</v>
      </c>
      <c r="R11466" t="s">
        <v>581</v>
      </c>
      <c r="S11466" t="s">
        <v>823</v>
      </c>
      <c r="T11466">
        <v>36</v>
      </c>
      <c r="U11466" s="26" t="str">
        <f>HYPERLINK("https://ictv.global/ictv/proposals/2020.095B.R.Leviviricetes.zip","2020.095B.R.Leviviricetes.zip")</f>
        <v>2020.095B.R.Leviviricetes.zip</v>
      </c>
    </row>
    <row r="11467" spans="1:21">
      <c r="A11467">
        <v>11466</v>
      </c>
      <c r="B11467" s="27" t="s">
        <v>1124</v>
      </c>
      <c r="D11467" s="27" t="s">
        <v>1859</v>
      </c>
      <c r="F11467" s="27" t="s">
        <v>1881</v>
      </c>
      <c r="H11467" s="27" t="s">
        <v>2679</v>
      </c>
      <c r="J11467" s="27" t="s">
        <v>2680</v>
      </c>
      <c r="L11467" s="27" t="s">
        <v>2810</v>
      </c>
      <c r="N11467" s="27" t="s">
        <v>3143</v>
      </c>
      <c r="P11467" s="27" t="s">
        <v>15292</v>
      </c>
      <c r="Q11467" s="26" t="str">
        <f>HYPERLINK("https://ictv.global/taxonomy/taxondetails?taxnode_id=202516730&amp;ictv_id=ICTV202316730","ICTV202316730")</f>
        <v>ICTV202316730</v>
      </c>
      <c r="R11467" t="s">
        <v>581</v>
      </c>
      <c r="S11467" t="s">
        <v>823</v>
      </c>
      <c r="T11467">
        <v>39</v>
      </c>
      <c r="U11467" s="26" t="str">
        <f>HYPERLINK("https://ictv.global/ictv/proposals/2023.001B.Leviviricetes_reorg.zip","2023.001B.Leviviricetes_reorg.zip")</f>
        <v>2023.001B.Leviviricetes_reorg.zip</v>
      </c>
    </row>
    <row r="11468" spans="1:21">
      <c r="A11468">
        <v>11467</v>
      </c>
      <c r="B11468" s="27" t="s">
        <v>1124</v>
      </c>
      <c r="D11468" s="27" t="s">
        <v>1859</v>
      </c>
      <c r="F11468" s="27" t="s">
        <v>1881</v>
      </c>
      <c r="H11468" s="27" t="s">
        <v>2679</v>
      </c>
      <c r="J11468" s="27" t="s">
        <v>2680</v>
      </c>
      <c r="L11468" s="27" t="s">
        <v>2810</v>
      </c>
      <c r="N11468" s="27" t="s">
        <v>3143</v>
      </c>
      <c r="P11468" s="27" t="s">
        <v>15293</v>
      </c>
      <c r="Q11468" s="26" t="str">
        <f>HYPERLINK("https://ictv.global/taxonomy/taxondetails?taxnode_id=202516731&amp;ictv_id=ICTV202316731","ICTV202316731")</f>
        <v>ICTV202316731</v>
      </c>
      <c r="R11468" t="s">
        <v>581</v>
      </c>
      <c r="S11468" t="s">
        <v>823</v>
      </c>
      <c r="T11468">
        <v>39</v>
      </c>
      <c r="U11468" s="26" t="str">
        <f>HYPERLINK("https://ictv.global/ictv/proposals/2023.001B.Leviviricetes_reorg.zip","2023.001B.Leviviricetes_reorg.zip")</f>
        <v>2023.001B.Leviviricetes_reorg.zip</v>
      </c>
    </row>
    <row r="11469" spans="1:21">
      <c r="A11469">
        <v>11468</v>
      </c>
      <c r="B11469" s="27" t="s">
        <v>1124</v>
      </c>
      <c r="D11469" s="27" t="s">
        <v>1859</v>
      </c>
      <c r="F11469" s="27" t="s">
        <v>1881</v>
      </c>
      <c r="H11469" s="27" t="s">
        <v>2679</v>
      </c>
      <c r="J11469" s="27" t="s">
        <v>2680</v>
      </c>
      <c r="L11469" s="27" t="s">
        <v>2810</v>
      </c>
      <c r="N11469" s="27" t="s">
        <v>3143</v>
      </c>
      <c r="P11469" s="27" t="s">
        <v>15294</v>
      </c>
      <c r="Q11469" s="26" t="str">
        <f>HYPERLINK("https://ictv.global/taxonomy/taxondetails?taxnode_id=202516732&amp;ictv_id=ICTV202316732","ICTV202316732")</f>
        <v>ICTV202316732</v>
      </c>
      <c r="R11469" t="s">
        <v>581</v>
      </c>
      <c r="S11469" t="s">
        <v>823</v>
      </c>
      <c r="T11469">
        <v>39</v>
      </c>
      <c r="U11469" s="26" t="str">
        <f>HYPERLINK("https://ictv.global/ictv/proposals/2023.001B.Leviviricetes_reorg.zip","2023.001B.Leviviricetes_reorg.zip")</f>
        <v>2023.001B.Leviviricetes_reorg.zip</v>
      </c>
    </row>
    <row r="11470" spans="1:21">
      <c r="A11470">
        <v>11469</v>
      </c>
      <c r="B11470" s="27" t="s">
        <v>1124</v>
      </c>
      <c r="D11470" s="27" t="s">
        <v>1859</v>
      </c>
      <c r="F11470" s="27" t="s">
        <v>1881</v>
      </c>
      <c r="H11470" s="27" t="s">
        <v>2679</v>
      </c>
      <c r="J11470" s="27" t="s">
        <v>2680</v>
      </c>
      <c r="L11470" s="27" t="s">
        <v>2810</v>
      </c>
      <c r="N11470" s="27" t="s">
        <v>3143</v>
      </c>
      <c r="P11470" s="27" t="s">
        <v>3146</v>
      </c>
      <c r="Q11470" s="26" t="str">
        <f>HYPERLINK("https://ictv.global/taxonomy/taxondetails?taxnode_id=202510668&amp;ictv_id=ICTV202010668","ICTV202010668")</f>
        <v>ICTV202010668</v>
      </c>
      <c r="R11470" t="s">
        <v>581</v>
      </c>
      <c r="S11470" t="s">
        <v>823</v>
      </c>
      <c r="T11470">
        <v>36</v>
      </c>
      <c r="U11470" s="26" t="str">
        <f>HYPERLINK("https://ictv.global/ictv/proposals/2020.095B.R.Leviviricetes.zip","2020.095B.R.Leviviricetes.zip")</f>
        <v>2020.095B.R.Leviviricetes.zip</v>
      </c>
    </row>
    <row r="11471" spans="1:21">
      <c r="A11471">
        <v>11470</v>
      </c>
      <c r="B11471" s="27" t="s">
        <v>1124</v>
      </c>
      <c r="D11471" s="27" t="s">
        <v>1859</v>
      </c>
      <c r="F11471" s="27" t="s">
        <v>1881</v>
      </c>
      <c r="H11471" s="27" t="s">
        <v>2679</v>
      </c>
      <c r="J11471" s="27" t="s">
        <v>2680</v>
      </c>
      <c r="L11471" s="27" t="s">
        <v>2810</v>
      </c>
      <c r="N11471" s="27" t="s">
        <v>3143</v>
      </c>
      <c r="P11471" s="27" t="s">
        <v>15295</v>
      </c>
      <c r="Q11471" s="26" t="str">
        <f>HYPERLINK("https://ictv.global/taxonomy/taxondetails?taxnode_id=202516733&amp;ictv_id=ICTV202316733","ICTV202316733")</f>
        <v>ICTV202316733</v>
      </c>
      <c r="R11471" t="s">
        <v>581</v>
      </c>
      <c r="S11471" t="s">
        <v>823</v>
      </c>
      <c r="T11471">
        <v>39</v>
      </c>
      <c r="U11471" s="26" t="str">
        <f>HYPERLINK("https://ictv.global/ictv/proposals/2023.001B.Leviviricetes_reorg.zip","2023.001B.Leviviricetes_reorg.zip")</f>
        <v>2023.001B.Leviviricetes_reorg.zip</v>
      </c>
    </row>
    <row r="11472" spans="1:21">
      <c r="A11472">
        <v>11471</v>
      </c>
      <c r="B11472" s="27" t="s">
        <v>1124</v>
      </c>
      <c r="D11472" s="27" t="s">
        <v>1859</v>
      </c>
      <c r="F11472" s="27" t="s">
        <v>1881</v>
      </c>
      <c r="H11472" s="27" t="s">
        <v>2679</v>
      </c>
      <c r="J11472" s="27" t="s">
        <v>2680</v>
      </c>
      <c r="L11472" s="27" t="s">
        <v>2810</v>
      </c>
      <c r="N11472" s="27" t="s">
        <v>3143</v>
      </c>
      <c r="P11472" s="27" t="s">
        <v>15296</v>
      </c>
      <c r="Q11472" s="26" t="str">
        <f>HYPERLINK("https://ictv.global/taxonomy/taxondetails?taxnode_id=202516734&amp;ictv_id=ICTV202316734","ICTV202316734")</f>
        <v>ICTV202316734</v>
      </c>
      <c r="R11472" t="s">
        <v>581</v>
      </c>
      <c r="S11472" t="s">
        <v>823</v>
      </c>
      <c r="T11472">
        <v>39</v>
      </c>
      <c r="U11472" s="26" t="str">
        <f>HYPERLINK("https://ictv.global/ictv/proposals/2023.001B.Leviviricetes_reorg.zip","2023.001B.Leviviricetes_reorg.zip")</f>
        <v>2023.001B.Leviviricetes_reorg.zip</v>
      </c>
    </row>
    <row r="11473" spans="1:21">
      <c r="A11473">
        <v>11472</v>
      </c>
      <c r="B11473" s="27" t="s">
        <v>1124</v>
      </c>
      <c r="D11473" s="27" t="s">
        <v>1859</v>
      </c>
      <c r="F11473" s="27" t="s">
        <v>1881</v>
      </c>
      <c r="H11473" s="27" t="s">
        <v>2679</v>
      </c>
      <c r="J11473" s="27" t="s">
        <v>2680</v>
      </c>
      <c r="L11473" s="27" t="s">
        <v>2810</v>
      </c>
      <c r="N11473" s="27" t="s">
        <v>3143</v>
      </c>
      <c r="P11473" s="27" t="s">
        <v>3147</v>
      </c>
      <c r="Q11473" s="26" t="str">
        <f>HYPERLINK("https://ictv.global/taxonomy/taxondetails?taxnode_id=202510669&amp;ictv_id=ICTV202010669","ICTV202010669")</f>
        <v>ICTV202010669</v>
      </c>
      <c r="R11473" t="s">
        <v>581</v>
      </c>
      <c r="S11473" t="s">
        <v>823</v>
      </c>
      <c r="T11473">
        <v>36</v>
      </c>
      <c r="U11473" s="26" t="str">
        <f>HYPERLINK("https://ictv.global/ictv/proposals/2020.095B.R.Leviviricetes.zip","2020.095B.R.Leviviricetes.zip")</f>
        <v>2020.095B.R.Leviviricetes.zip</v>
      </c>
    </row>
    <row r="11474" spans="1:21">
      <c r="A11474">
        <v>11473</v>
      </c>
      <c r="B11474" s="27" t="s">
        <v>1124</v>
      </c>
      <c r="D11474" s="27" t="s">
        <v>1859</v>
      </c>
      <c r="F11474" s="27" t="s">
        <v>1881</v>
      </c>
      <c r="H11474" s="27" t="s">
        <v>2679</v>
      </c>
      <c r="J11474" s="27" t="s">
        <v>2680</v>
      </c>
      <c r="L11474" s="27" t="s">
        <v>2810</v>
      </c>
      <c r="N11474" s="27" t="s">
        <v>3143</v>
      </c>
      <c r="P11474" s="27" t="s">
        <v>3148</v>
      </c>
      <c r="Q11474" s="26" t="str">
        <f>HYPERLINK("https://ictv.global/taxonomy/taxondetails?taxnode_id=202510670&amp;ictv_id=ICTV202010670","ICTV202010670")</f>
        <v>ICTV202010670</v>
      </c>
      <c r="R11474" t="s">
        <v>581</v>
      </c>
      <c r="S11474" t="s">
        <v>823</v>
      </c>
      <c r="T11474">
        <v>36</v>
      </c>
      <c r="U11474" s="26" t="str">
        <f>HYPERLINK("https://ictv.global/ictv/proposals/2020.095B.R.Leviviricetes.zip","2020.095B.R.Leviviricetes.zip")</f>
        <v>2020.095B.R.Leviviricetes.zip</v>
      </c>
    </row>
    <row r="11475" spans="1:21">
      <c r="A11475">
        <v>11474</v>
      </c>
      <c r="B11475" s="27" t="s">
        <v>1124</v>
      </c>
      <c r="D11475" s="27" t="s">
        <v>1859</v>
      </c>
      <c r="F11475" s="27" t="s">
        <v>1881</v>
      </c>
      <c r="H11475" s="27" t="s">
        <v>2679</v>
      </c>
      <c r="J11475" s="27" t="s">
        <v>2680</v>
      </c>
      <c r="L11475" s="27" t="s">
        <v>2810</v>
      </c>
      <c r="N11475" s="27" t="s">
        <v>3143</v>
      </c>
      <c r="P11475" s="27" t="s">
        <v>3149</v>
      </c>
      <c r="Q11475" s="26" t="str">
        <f>HYPERLINK("https://ictv.global/taxonomy/taxondetails?taxnode_id=202510667&amp;ictv_id=ICTV202010667","ICTV202010667")</f>
        <v>ICTV202010667</v>
      </c>
      <c r="R11475" t="s">
        <v>581</v>
      </c>
      <c r="S11475" t="s">
        <v>823</v>
      </c>
      <c r="T11475">
        <v>36</v>
      </c>
      <c r="U11475" s="26" t="str">
        <f>HYPERLINK("https://ictv.global/ictv/proposals/2020.095B.R.Leviviricetes.zip","2020.095B.R.Leviviricetes.zip")</f>
        <v>2020.095B.R.Leviviricetes.zip</v>
      </c>
    </row>
    <row r="11476" spans="1:21">
      <c r="A11476">
        <v>11475</v>
      </c>
      <c r="B11476" s="27" t="s">
        <v>1124</v>
      </c>
      <c r="D11476" s="27" t="s">
        <v>1859</v>
      </c>
      <c r="F11476" s="27" t="s">
        <v>1881</v>
      </c>
      <c r="H11476" s="27" t="s">
        <v>2679</v>
      </c>
      <c r="J11476" s="27" t="s">
        <v>2680</v>
      </c>
      <c r="L11476" s="27" t="s">
        <v>2810</v>
      </c>
      <c r="N11476" s="27" t="s">
        <v>3143</v>
      </c>
      <c r="P11476" s="27" t="s">
        <v>15297</v>
      </c>
      <c r="Q11476" s="26" t="str">
        <f>HYPERLINK("https://ictv.global/taxonomy/taxondetails?taxnode_id=202516735&amp;ictv_id=ICTV202316735","ICTV202316735")</f>
        <v>ICTV202316735</v>
      </c>
      <c r="R11476" t="s">
        <v>581</v>
      </c>
      <c r="S11476" t="s">
        <v>823</v>
      </c>
      <c r="T11476">
        <v>39</v>
      </c>
      <c r="U11476" s="26" t="str">
        <f>HYPERLINK("https://ictv.global/ictv/proposals/2023.001B.Leviviricetes_reorg.zip","2023.001B.Leviviricetes_reorg.zip")</f>
        <v>2023.001B.Leviviricetes_reorg.zip</v>
      </c>
    </row>
    <row r="11477" spans="1:21">
      <c r="A11477">
        <v>11476</v>
      </c>
      <c r="B11477" s="27" t="s">
        <v>1124</v>
      </c>
      <c r="D11477" s="27" t="s">
        <v>1859</v>
      </c>
      <c r="F11477" s="27" t="s">
        <v>1881</v>
      </c>
      <c r="H11477" s="27" t="s">
        <v>2679</v>
      </c>
      <c r="J11477" s="27" t="s">
        <v>2680</v>
      </c>
      <c r="L11477" s="27" t="s">
        <v>2810</v>
      </c>
      <c r="N11477" s="27" t="s">
        <v>3143</v>
      </c>
      <c r="P11477" s="27" t="s">
        <v>15298</v>
      </c>
      <c r="Q11477" s="26" t="str">
        <f>HYPERLINK("https://ictv.global/taxonomy/taxondetails?taxnode_id=202516736&amp;ictv_id=ICTV202316736","ICTV202316736")</f>
        <v>ICTV202316736</v>
      </c>
      <c r="R11477" t="s">
        <v>581</v>
      </c>
      <c r="S11477" t="s">
        <v>823</v>
      </c>
      <c r="T11477">
        <v>39</v>
      </c>
      <c r="U11477" s="26" t="str">
        <f>HYPERLINK("https://ictv.global/ictv/proposals/2023.001B.Leviviricetes_reorg.zip","2023.001B.Leviviricetes_reorg.zip")</f>
        <v>2023.001B.Leviviricetes_reorg.zip</v>
      </c>
    </row>
    <row r="11478" spans="1:21">
      <c r="A11478">
        <v>11477</v>
      </c>
      <c r="B11478" s="27" t="s">
        <v>1124</v>
      </c>
      <c r="D11478" s="27" t="s">
        <v>1859</v>
      </c>
      <c r="F11478" s="27" t="s">
        <v>1881</v>
      </c>
      <c r="H11478" s="27" t="s">
        <v>2679</v>
      </c>
      <c r="J11478" s="27" t="s">
        <v>2680</v>
      </c>
      <c r="L11478" s="27" t="s">
        <v>2810</v>
      </c>
      <c r="N11478" s="27" t="s">
        <v>3143</v>
      </c>
      <c r="P11478" s="27" t="s">
        <v>15299</v>
      </c>
      <c r="Q11478" s="26" t="str">
        <f>HYPERLINK("https://ictv.global/taxonomy/taxondetails?taxnode_id=202516737&amp;ictv_id=ICTV202316737","ICTV202316737")</f>
        <v>ICTV202316737</v>
      </c>
      <c r="R11478" t="s">
        <v>581</v>
      </c>
      <c r="S11478" t="s">
        <v>823</v>
      </c>
      <c r="T11478">
        <v>39</v>
      </c>
      <c r="U11478" s="26" t="str">
        <f>HYPERLINK("https://ictv.global/ictv/proposals/2023.001B.Leviviricetes_reorg.zip","2023.001B.Leviviricetes_reorg.zip")</f>
        <v>2023.001B.Leviviricetes_reorg.zip</v>
      </c>
    </row>
    <row r="11479" spans="1:21">
      <c r="A11479">
        <v>11478</v>
      </c>
      <c r="B11479" s="27" t="s">
        <v>1124</v>
      </c>
      <c r="D11479" s="27" t="s">
        <v>1859</v>
      </c>
      <c r="F11479" s="27" t="s">
        <v>1881</v>
      </c>
      <c r="H11479" s="27" t="s">
        <v>2679</v>
      </c>
      <c r="J11479" s="27" t="s">
        <v>2680</v>
      </c>
      <c r="L11479" s="27" t="s">
        <v>2810</v>
      </c>
      <c r="N11479" s="27" t="s">
        <v>3150</v>
      </c>
      <c r="P11479" s="27" t="s">
        <v>3151</v>
      </c>
      <c r="Q11479" s="26" t="str">
        <f>HYPERLINK("https://ictv.global/taxonomy/taxondetails?taxnode_id=202510676&amp;ictv_id=ICTV202010676","ICTV202010676")</f>
        <v>ICTV202010676</v>
      </c>
      <c r="R11479" t="s">
        <v>581</v>
      </c>
      <c r="S11479" t="s">
        <v>823</v>
      </c>
      <c r="T11479">
        <v>36</v>
      </c>
      <c r="U11479" s="26" t="str">
        <f>HYPERLINK("https://ictv.global/ictv/proposals/2020.095B.R.Leviviricetes.zip","2020.095B.R.Leviviricetes.zip")</f>
        <v>2020.095B.R.Leviviricetes.zip</v>
      </c>
    </row>
    <row r="11480" spans="1:21">
      <c r="A11480">
        <v>11479</v>
      </c>
      <c r="B11480" s="27" t="s">
        <v>1124</v>
      </c>
      <c r="D11480" s="27" t="s">
        <v>1859</v>
      </c>
      <c r="F11480" s="27" t="s">
        <v>1881</v>
      </c>
      <c r="H11480" s="27" t="s">
        <v>2679</v>
      </c>
      <c r="J11480" s="27" t="s">
        <v>2680</v>
      </c>
      <c r="L11480" s="27" t="s">
        <v>2810</v>
      </c>
      <c r="N11480" s="27" t="s">
        <v>3150</v>
      </c>
      <c r="P11480" s="27" t="s">
        <v>15300</v>
      </c>
      <c r="Q11480" s="26" t="str">
        <f>HYPERLINK("https://ictv.global/taxonomy/taxondetails?taxnode_id=202516738&amp;ictv_id=ICTV202316738","ICTV202316738")</f>
        <v>ICTV202316738</v>
      </c>
      <c r="R11480" t="s">
        <v>581</v>
      </c>
      <c r="S11480" t="s">
        <v>823</v>
      </c>
      <c r="T11480">
        <v>39</v>
      </c>
      <c r="U11480" s="26" t="str">
        <f>HYPERLINK("https://ictv.global/ictv/proposals/2023.001B.Leviviricetes_reorg.zip","2023.001B.Leviviricetes_reorg.zip")</f>
        <v>2023.001B.Leviviricetes_reorg.zip</v>
      </c>
    </row>
    <row r="11481" spans="1:21">
      <c r="A11481">
        <v>11480</v>
      </c>
      <c r="B11481" s="27" t="s">
        <v>1124</v>
      </c>
      <c r="D11481" s="27" t="s">
        <v>1859</v>
      </c>
      <c r="F11481" s="27" t="s">
        <v>1881</v>
      </c>
      <c r="H11481" s="27" t="s">
        <v>2679</v>
      </c>
      <c r="J11481" s="27" t="s">
        <v>2680</v>
      </c>
      <c r="L11481" s="27" t="s">
        <v>2810</v>
      </c>
      <c r="N11481" s="27" t="s">
        <v>3152</v>
      </c>
      <c r="P11481" s="27" t="s">
        <v>3153</v>
      </c>
      <c r="Q11481" s="26" t="str">
        <f>HYPERLINK("https://ictv.global/taxonomy/taxondetails?taxnode_id=202510678&amp;ictv_id=ICTV202010678","ICTV202010678")</f>
        <v>ICTV202010678</v>
      </c>
      <c r="R11481" t="s">
        <v>581</v>
      </c>
      <c r="S11481" t="s">
        <v>823</v>
      </c>
      <c r="T11481">
        <v>36</v>
      </c>
      <c r="U11481" s="26" t="str">
        <f>HYPERLINK("https://ictv.global/ictv/proposals/2020.095B.R.Leviviricetes.zip","2020.095B.R.Leviviricetes.zip")</f>
        <v>2020.095B.R.Leviviricetes.zip</v>
      </c>
    </row>
    <row r="11482" spans="1:21">
      <c r="A11482">
        <v>11481</v>
      </c>
      <c r="B11482" s="27" t="s">
        <v>1124</v>
      </c>
      <c r="D11482" s="27" t="s">
        <v>1859</v>
      </c>
      <c r="F11482" s="27" t="s">
        <v>1881</v>
      </c>
      <c r="H11482" s="27" t="s">
        <v>2679</v>
      </c>
      <c r="J11482" s="27" t="s">
        <v>2680</v>
      </c>
      <c r="L11482" s="27" t="s">
        <v>2810</v>
      </c>
      <c r="N11482" s="27" t="s">
        <v>3154</v>
      </c>
      <c r="P11482" s="27" t="s">
        <v>3155</v>
      </c>
      <c r="Q11482" s="26" t="str">
        <f>HYPERLINK("https://ictv.global/taxonomy/taxondetails?taxnode_id=202510680&amp;ictv_id=ICTV202010680","ICTV202010680")</f>
        <v>ICTV202010680</v>
      </c>
      <c r="R11482" t="s">
        <v>581</v>
      </c>
      <c r="S11482" t="s">
        <v>823</v>
      </c>
      <c r="T11482">
        <v>36</v>
      </c>
      <c r="U11482" s="26" t="str">
        <f>HYPERLINK("https://ictv.global/ictv/proposals/2020.095B.R.Leviviricetes.zip","2020.095B.R.Leviviricetes.zip")</f>
        <v>2020.095B.R.Leviviricetes.zip</v>
      </c>
    </row>
    <row r="11483" spans="1:21">
      <c r="A11483">
        <v>11482</v>
      </c>
      <c r="B11483" s="27" t="s">
        <v>1124</v>
      </c>
      <c r="D11483" s="27" t="s">
        <v>1859</v>
      </c>
      <c r="F11483" s="27" t="s">
        <v>1881</v>
      </c>
      <c r="H11483" s="27" t="s">
        <v>2679</v>
      </c>
      <c r="J11483" s="27" t="s">
        <v>2680</v>
      </c>
      <c r="L11483" s="27" t="s">
        <v>2810</v>
      </c>
      <c r="N11483" s="27" t="s">
        <v>3156</v>
      </c>
      <c r="P11483" s="27" t="s">
        <v>3157</v>
      </c>
      <c r="Q11483" s="26" t="str">
        <f>HYPERLINK("https://ictv.global/taxonomy/taxondetails?taxnode_id=202510682&amp;ictv_id=ICTV202010682","ICTV202010682")</f>
        <v>ICTV202010682</v>
      </c>
      <c r="R11483" t="s">
        <v>581</v>
      </c>
      <c r="S11483" t="s">
        <v>823</v>
      </c>
      <c r="T11483">
        <v>36</v>
      </c>
      <c r="U11483" s="26" t="str">
        <f>HYPERLINK("https://ictv.global/ictv/proposals/2020.095B.R.Leviviricetes.zip","2020.095B.R.Leviviricetes.zip")</f>
        <v>2020.095B.R.Leviviricetes.zip</v>
      </c>
    </row>
    <row r="11484" spans="1:21">
      <c r="A11484">
        <v>11483</v>
      </c>
      <c r="B11484" s="27" t="s">
        <v>1124</v>
      </c>
      <c r="D11484" s="27" t="s">
        <v>1859</v>
      </c>
      <c r="F11484" s="27" t="s">
        <v>1881</v>
      </c>
      <c r="H11484" s="27" t="s">
        <v>2679</v>
      </c>
      <c r="J11484" s="27" t="s">
        <v>2680</v>
      </c>
      <c r="L11484" s="27" t="s">
        <v>2810</v>
      </c>
      <c r="N11484" s="27" t="s">
        <v>3158</v>
      </c>
      <c r="P11484" s="27" t="s">
        <v>15301</v>
      </c>
      <c r="Q11484" s="26" t="str">
        <f>HYPERLINK("https://ictv.global/taxonomy/taxondetails?taxnode_id=202510219&amp;ictv_id=ICTV202010219","ICTV202010219")</f>
        <v>ICTV202010219</v>
      </c>
      <c r="R11484" t="s">
        <v>581</v>
      </c>
      <c r="S11484" t="s">
        <v>22764</v>
      </c>
      <c r="T11484">
        <v>39</v>
      </c>
      <c r="U11484" s="26" t="str">
        <f>HYPERLINK("https://ictv.global/ictv/proposals/2023.001B.Leviviricetes_reorg.zip","2023.001B.Leviviricetes_reorg.zip")</f>
        <v>2023.001B.Leviviricetes_reorg.zip</v>
      </c>
    </row>
    <row r="11485" spans="1:21">
      <c r="A11485">
        <v>11484</v>
      </c>
      <c r="B11485" s="27" t="s">
        <v>1124</v>
      </c>
      <c r="D11485" s="27" t="s">
        <v>1859</v>
      </c>
      <c r="F11485" s="27" t="s">
        <v>1881</v>
      </c>
      <c r="H11485" s="27" t="s">
        <v>2679</v>
      </c>
      <c r="J11485" s="27" t="s">
        <v>2680</v>
      </c>
      <c r="L11485" s="27" t="s">
        <v>2810</v>
      </c>
      <c r="N11485" s="27" t="s">
        <v>3158</v>
      </c>
      <c r="P11485" s="27" t="s">
        <v>3159</v>
      </c>
      <c r="Q11485" s="26" t="str">
        <f>HYPERLINK("https://ictv.global/taxonomy/taxondetails?taxnode_id=202510684&amp;ictv_id=ICTV202010684","ICTV202010684")</f>
        <v>ICTV202010684</v>
      </c>
      <c r="R11485" t="s">
        <v>581</v>
      </c>
      <c r="S11485" t="s">
        <v>823</v>
      </c>
      <c r="T11485">
        <v>36</v>
      </c>
      <c r="U11485" s="26" t="str">
        <f>HYPERLINK("https://ictv.global/ictv/proposals/2020.095B.R.Leviviricetes.zip","2020.095B.R.Leviviricetes.zip")</f>
        <v>2020.095B.R.Leviviricetes.zip</v>
      </c>
    </row>
    <row r="11486" spans="1:21">
      <c r="A11486">
        <v>11485</v>
      </c>
      <c r="B11486" s="27" t="s">
        <v>1124</v>
      </c>
      <c r="D11486" s="27" t="s">
        <v>1859</v>
      </c>
      <c r="F11486" s="27" t="s">
        <v>1881</v>
      </c>
      <c r="H11486" s="27" t="s">
        <v>2679</v>
      </c>
      <c r="J11486" s="27" t="s">
        <v>2680</v>
      </c>
      <c r="L11486" s="27" t="s">
        <v>2810</v>
      </c>
      <c r="N11486" s="27" t="s">
        <v>3158</v>
      </c>
      <c r="P11486" s="27" t="s">
        <v>15302</v>
      </c>
      <c r="Q11486" s="26" t="str">
        <f>HYPERLINK("https://ictv.global/taxonomy/taxondetails?taxnode_id=202516739&amp;ictv_id=ICTV202316739","ICTV202316739")</f>
        <v>ICTV202316739</v>
      </c>
      <c r="R11486" t="s">
        <v>581</v>
      </c>
      <c r="S11486" t="s">
        <v>823</v>
      </c>
      <c r="T11486">
        <v>39</v>
      </c>
      <c r="U11486" s="26" t="str">
        <f>HYPERLINK("https://ictv.global/ictv/proposals/2023.001B.Leviviricetes_reorg.zip","2023.001B.Leviviricetes_reorg.zip")</f>
        <v>2023.001B.Leviviricetes_reorg.zip</v>
      </c>
    </row>
    <row r="11487" spans="1:21">
      <c r="A11487">
        <v>11486</v>
      </c>
      <c r="B11487" s="27" t="s">
        <v>1124</v>
      </c>
      <c r="D11487" s="27" t="s">
        <v>1859</v>
      </c>
      <c r="F11487" s="27" t="s">
        <v>1881</v>
      </c>
      <c r="H11487" s="27" t="s">
        <v>2679</v>
      </c>
      <c r="J11487" s="27" t="s">
        <v>2680</v>
      </c>
      <c r="L11487" s="27" t="s">
        <v>2810</v>
      </c>
      <c r="N11487" s="27" t="s">
        <v>3160</v>
      </c>
      <c r="P11487" s="27" t="s">
        <v>3161</v>
      </c>
      <c r="Q11487" s="26" t="str">
        <f>HYPERLINK("https://ictv.global/taxonomy/taxondetails?taxnode_id=202510686&amp;ictv_id=ICTV202010686","ICTV202010686")</f>
        <v>ICTV202010686</v>
      </c>
      <c r="R11487" t="s">
        <v>581</v>
      </c>
      <c r="S11487" t="s">
        <v>823</v>
      </c>
      <c r="T11487">
        <v>36</v>
      </c>
      <c r="U11487" s="26" t="str">
        <f>HYPERLINK("https://ictv.global/ictv/proposals/2020.095B.R.Leviviricetes.zip","2020.095B.R.Leviviricetes.zip")</f>
        <v>2020.095B.R.Leviviricetes.zip</v>
      </c>
    </row>
    <row r="11488" spans="1:21">
      <c r="A11488">
        <v>11487</v>
      </c>
      <c r="B11488" s="27" t="s">
        <v>1124</v>
      </c>
      <c r="D11488" s="27" t="s">
        <v>1859</v>
      </c>
      <c r="F11488" s="27" t="s">
        <v>1881</v>
      </c>
      <c r="H11488" s="27" t="s">
        <v>2679</v>
      </c>
      <c r="J11488" s="27" t="s">
        <v>2680</v>
      </c>
      <c r="L11488" s="27" t="s">
        <v>2810</v>
      </c>
      <c r="N11488" s="27" t="s">
        <v>3162</v>
      </c>
      <c r="P11488" s="27" t="s">
        <v>3163</v>
      </c>
      <c r="Q11488" s="26" t="str">
        <f>HYPERLINK("https://ictv.global/taxonomy/taxondetails?taxnode_id=202510688&amp;ictv_id=ICTV202010688","ICTV202010688")</f>
        <v>ICTV202010688</v>
      </c>
      <c r="R11488" t="s">
        <v>581</v>
      </c>
      <c r="S11488" t="s">
        <v>823</v>
      </c>
      <c r="T11488">
        <v>36</v>
      </c>
      <c r="U11488" s="26" t="str">
        <f>HYPERLINK("https://ictv.global/ictv/proposals/2020.095B.R.Leviviricetes.zip","2020.095B.R.Leviviricetes.zip")</f>
        <v>2020.095B.R.Leviviricetes.zip</v>
      </c>
    </row>
    <row r="11489" spans="1:21">
      <c r="A11489">
        <v>11488</v>
      </c>
      <c r="B11489" s="27" t="s">
        <v>1124</v>
      </c>
      <c r="D11489" s="27" t="s">
        <v>1859</v>
      </c>
      <c r="F11489" s="27" t="s">
        <v>1881</v>
      </c>
      <c r="H11489" s="27" t="s">
        <v>2679</v>
      </c>
      <c r="J11489" s="27" t="s">
        <v>2680</v>
      </c>
      <c r="L11489" s="27" t="s">
        <v>2810</v>
      </c>
      <c r="N11489" s="27" t="s">
        <v>3164</v>
      </c>
      <c r="P11489" s="27" t="s">
        <v>15303</v>
      </c>
      <c r="Q11489" s="26" t="str">
        <f>HYPERLINK("https://ictv.global/taxonomy/taxondetails?taxnode_id=202516740&amp;ictv_id=ICTV202316740","ICTV202316740")</f>
        <v>ICTV202316740</v>
      </c>
      <c r="R11489" t="s">
        <v>581</v>
      </c>
      <c r="S11489" t="s">
        <v>823</v>
      </c>
      <c r="T11489">
        <v>39</v>
      </c>
      <c r="U11489" s="26" t="str">
        <f>HYPERLINK("https://ictv.global/ictv/proposals/2023.001B.Leviviricetes_reorg.zip","2023.001B.Leviviricetes_reorg.zip")</f>
        <v>2023.001B.Leviviricetes_reorg.zip</v>
      </c>
    </row>
    <row r="11490" spans="1:21">
      <c r="A11490">
        <v>11489</v>
      </c>
      <c r="B11490" s="27" t="s">
        <v>1124</v>
      </c>
      <c r="D11490" s="27" t="s">
        <v>1859</v>
      </c>
      <c r="F11490" s="27" t="s">
        <v>1881</v>
      </c>
      <c r="H11490" s="27" t="s">
        <v>2679</v>
      </c>
      <c r="J11490" s="27" t="s">
        <v>2680</v>
      </c>
      <c r="L11490" s="27" t="s">
        <v>2810</v>
      </c>
      <c r="N11490" s="27" t="s">
        <v>3164</v>
      </c>
      <c r="P11490" s="27" t="s">
        <v>3165</v>
      </c>
      <c r="Q11490" s="26" t="str">
        <f>HYPERLINK("https://ictv.global/taxonomy/taxondetails?taxnode_id=202510692&amp;ictv_id=ICTV202010692","ICTV202010692")</f>
        <v>ICTV202010692</v>
      </c>
      <c r="R11490" t="s">
        <v>581</v>
      </c>
      <c r="S11490" t="s">
        <v>823</v>
      </c>
      <c r="T11490">
        <v>36</v>
      </c>
      <c r="U11490" s="26" t="str">
        <f>HYPERLINK("https://ictv.global/ictv/proposals/2020.095B.R.Leviviricetes.zip","2020.095B.R.Leviviricetes.zip")</f>
        <v>2020.095B.R.Leviviricetes.zip</v>
      </c>
    </row>
    <row r="11491" spans="1:21">
      <c r="A11491">
        <v>11490</v>
      </c>
      <c r="B11491" s="27" t="s">
        <v>1124</v>
      </c>
      <c r="D11491" s="27" t="s">
        <v>1859</v>
      </c>
      <c r="F11491" s="27" t="s">
        <v>1881</v>
      </c>
      <c r="H11491" s="27" t="s">
        <v>2679</v>
      </c>
      <c r="J11491" s="27" t="s">
        <v>2680</v>
      </c>
      <c r="L11491" s="27" t="s">
        <v>2810</v>
      </c>
      <c r="N11491" s="27" t="s">
        <v>3164</v>
      </c>
      <c r="P11491" s="27" t="s">
        <v>3166</v>
      </c>
      <c r="Q11491" s="26" t="str">
        <f>HYPERLINK("https://ictv.global/taxonomy/taxondetails?taxnode_id=202510693&amp;ictv_id=ICTV202010693","ICTV202010693")</f>
        <v>ICTV202010693</v>
      </c>
      <c r="R11491" t="s">
        <v>581</v>
      </c>
      <c r="S11491" t="s">
        <v>823</v>
      </c>
      <c r="T11491">
        <v>36</v>
      </c>
      <c r="U11491" s="26" t="str">
        <f>HYPERLINK("https://ictv.global/ictv/proposals/2020.095B.R.Leviviricetes.zip","2020.095B.R.Leviviricetes.zip")</f>
        <v>2020.095B.R.Leviviricetes.zip</v>
      </c>
    </row>
    <row r="11492" spans="1:21">
      <c r="A11492">
        <v>11491</v>
      </c>
      <c r="B11492" s="27" t="s">
        <v>1124</v>
      </c>
      <c r="D11492" s="27" t="s">
        <v>1859</v>
      </c>
      <c r="F11492" s="27" t="s">
        <v>1881</v>
      </c>
      <c r="H11492" s="27" t="s">
        <v>2679</v>
      </c>
      <c r="J11492" s="27" t="s">
        <v>2680</v>
      </c>
      <c r="L11492" s="27" t="s">
        <v>2810</v>
      </c>
      <c r="N11492" s="27" t="s">
        <v>3164</v>
      </c>
      <c r="P11492" s="27" t="s">
        <v>3167</v>
      </c>
      <c r="Q11492" s="26" t="str">
        <f>HYPERLINK("https://ictv.global/taxonomy/taxondetails?taxnode_id=202510690&amp;ictv_id=ICTV202010690","ICTV202010690")</f>
        <v>ICTV202010690</v>
      </c>
      <c r="R11492" t="s">
        <v>581</v>
      </c>
      <c r="S11492" t="s">
        <v>823</v>
      </c>
      <c r="T11492">
        <v>36</v>
      </c>
      <c r="U11492" s="26" t="str">
        <f>HYPERLINK("https://ictv.global/ictv/proposals/2020.095B.R.Leviviricetes.zip","2020.095B.R.Leviviricetes.zip")</f>
        <v>2020.095B.R.Leviviricetes.zip</v>
      </c>
    </row>
    <row r="11493" spans="1:21">
      <c r="A11493">
        <v>11492</v>
      </c>
      <c r="B11493" s="27" t="s">
        <v>1124</v>
      </c>
      <c r="D11493" s="27" t="s">
        <v>1859</v>
      </c>
      <c r="F11493" s="27" t="s">
        <v>1881</v>
      </c>
      <c r="H11493" s="27" t="s">
        <v>2679</v>
      </c>
      <c r="J11493" s="27" t="s">
        <v>2680</v>
      </c>
      <c r="L11493" s="27" t="s">
        <v>2810</v>
      </c>
      <c r="N11493" s="27" t="s">
        <v>3164</v>
      </c>
      <c r="P11493" s="27" t="s">
        <v>15304</v>
      </c>
      <c r="Q11493" s="26" t="str">
        <f>HYPERLINK("https://ictv.global/taxonomy/taxondetails?taxnode_id=202516741&amp;ictv_id=ICTV202316741","ICTV202316741")</f>
        <v>ICTV202316741</v>
      </c>
      <c r="R11493" t="s">
        <v>581</v>
      </c>
      <c r="S11493" t="s">
        <v>823</v>
      </c>
      <c r="T11493">
        <v>39</v>
      </c>
      <c r="U11493" s="26" t="str">
        <f>HYPERLINK("https://ictv.global/ictv/proposals/2023.001B.Leviviricetes_reorg.zip","2023.001B.Leviviricetes_reorg.zip")</f>
        <v>2023.001B.Leviviricetes_reorg.zip</v>
      </c>
    </row>
    <row r="11494" spans="1:21">
      <c r="A11494">
        <v>11493</v>
      </c>
      <c r="B11494" s="27" t="s">
        <v>1124</v>
      </c>
      <c r="D11494" s="27" t="s">
        <v>1859</v>
      </c>
      <c r="F11494" s="27" t="s">
        <v>1881</v>
      </c>
      <c r="H11494" s="27" t="s">
        <v>2679</v>
      </c>
      <c r="J11494" s="27" t="s">
        <v>2680</v>
      </c>
      <c r="L11494" s="27" t="s">
        <v>2810</v>
      </c>
      <c r="N11494" s="27" t="s">
        <v>3164</v>
      </c>
      <c r="P11494" s="27" t="s">
        <v>15305</v>
      </c>
      <c r="Q11494" s="26" t="str">
        <f>HYPERLINK("https://ictv.global/taxonomy/taxondetails?taxnode_id=202516742&amp;ictv_id=ICTV202316742","ICTV202316742")</f>
        <v>ICTV202316742</v>
      </c>
      <c r="R11494" t="s">
        <v>581</v>
      </c>
      <c r="S11494" t="s">
        <v>823</v>
      </c>
      <c r="T11494">
        <v>39</v>
      </c>
      <c r="U11494" s="26" t="str">
        <f>HYPERLINK("https://ictv.global/ictv/proposals/2023.001B.Leviviricetes_reorg.zip","2023.001B.Leviviricetes_reorg.zip")</f>
        <v>2023.001B.Leviviricetes_reorg.zip</v>
      </c>
    </row>
    <row r="11495" spans="1:21">
      <c r="A11495">
        <v>11494</v>
      </c>
      <c r="B11495" s="27" t="s">
        <v>1124</v>
      </c>
      <c r="D11495" s="27" t="s">
        <v>1859</v>
      </c>
      <c r="F11495" s="27" t="s">
        <v>1881</v>
      </c>
      <c r="H11495" s="27" t="s">
        <v>2679</v>
      </c>
      <c r="J11495" s="27" t="s">
        <v>2680</v>
      </c>
      <c r="L11495" s="27" t="s">
        <v>2810</v>
      </c>
      <c r="N11495" s="27" t="s">
        <v>3164</v>
      </c>
      <c r="P11495" s="27" t="s">
        <v>15306</v>
      </c>
      <c r="Q11495" s="26" t="str">
        <f>HYPERLINK("https://ictv.global/taxonomy/taxondetails?taxnode_id=202516743&amp;ictv_id=ICTV202316743","ICTV202316743")</f>
        <v>ICTV202316743</v>
      </c>
      <c r="R11495" t="s">
        <v>581</v>
      </c>
      <c r="S11495" t="s">
        <v>823</v>
      </c>
      <c r="T11495">
        <v>39</v>
      </c>
      <c r="U11495" s="26" t="str">
        <f>HYPERLINK("https://ictv.global/ictv/proposals/2023.001B.Leviviricetes_reorg.zip","2023.001B.Leviviricetes_reorg.zip")</f>
        <v>2023.001B.Leviviricetes_reorg.zip</v>
      </c>
    </row>
    <row r="11496" spans="1:21">
      <c r="A11496">
        <v>11495</v>
      </c>
      <c r="B11496" s="27" t="s">
        <v>1124</v>
      </c>
      <c r="D11496" s="27" t="s">
        <v>1859</v>
      </c>
      <c r="F11496" s="27" t="s">
        <v>1881</v>
      </c>
      <c r="H11496" s="27" t="s">
        <v>2679</v>
      </c>
      <c r="J11496" s="27" t="s">
        <v>2680</v>
      </c>
      <c r="L11496" s="27" t="s">
        <v>2810</v>
      </c>
      <c r="N11496" s="27" t="s">
        <v>3164</v>
      </c>
      <c r="P11496" s="27" t="s">
        <v>15307</v>
      </c>
      <c r="Q11496" s="26" t="str">
        <f>HYPERLINK("https://ictv.global/taxonomy/taxondetails?taxnode_id=202516744&amp;ictv_id=ICTV202316744","ICTV202316744")</f>
        <v>ICTV202316744</v>
      </c>
      <c r="R11496" t="s">
        <v>581</v>
      </c>
      <c r="S11496" t="s">
        <v>823</v>
      </c>
      <c r="T11496">
        <v>39</v>
      </c>
      <c r="U11496" s="26" t="str">
        <f>HYPERLINK("https://ictv.global/ictv/proposals/2023.001B.Leviviricetes_reorg.zip","2023.001B.Leviviricetes_reorg.zip")</f>
        <v>2023.001B.Leviviricetes_reorg.zip</v>
      </c>
    </row>
    <row r="11497" spans="1:21">
      <c r="A11497">
        <v>11496</v>
      </c>
      <c r="B11497" s="27" t="s">
        <v>1124</v>
      </c>
      <c r="D11497" s="27" t="s">
        <v>1859</v>
      </c>
      <c r="F11497" s="27" t="s">
        <v>1881</v>
      </c>
      <c r="H11497" s="27" t="s">
        <v>2679</v>
      </c>
      <c r="J11497" s="27" t="s">
        <v>2680</v>
      </c>
      <c r="L11497" s="27" t="s">
        <v>2810</v>
      </c>
      <c r="N11497" s="27" t="s">
        <v>3164</v>
      </c>
      <c r="P11497" s="27" t="s">
        <v>15308</v>
      </c>
      <c r="Q11497" s="26" t="str">
        <f>HYPERLINK("https://ictv.global/taxonomy/taxondetails?taxnode_id=202516745&amp;ictv_id=ICTV202316745","ICTV202316745")</f>
        <v>ICTV202316745</v>
      </c>
      <c r="R11497" t="s">
        <v>581</v>
      </c>
      <c r="S11497" t="s">
        <v>823</v>
      </c>
      <c r="T11497">
        <v>39</v>
      </c>
      <c r="U11497" s="26" t="str">
        <f>HYPERLINK("https://ictv.global/ictv/proposals/2023.001B.Leviviricetes_reorg.zip","2023.001B.Leviviricetes_reorg.zip")</f>
        <v>2023.001B.Leviviricetes_reorg.zip</v>
      </c>
    </row>
    <row r="11498" spans="1:21">
      <c r="A11498">
        <v>11497</v>
      </c>
      <c r="B11498" s="27" t="s">
        <v>1124</v>
      </c>
      <c r="D11498" s="27" t="s">
        <v>1859</v>
      </c>
      <c r="F11498" s="27" t="s">
        <v>1881</v>
      </c>
      <c r="H11498" s="27" t="s">
        <v>2679</v>
      </c>
      <c r="J11498" s="27" t="s">
        <v>2680</v>
      </c>
      <c r="L11498" s="27" t="s">
        <v>2810</v>
      </c>
      <c r="N11498" s="27" t="s">
        <v>3164</v>
      </c>
      <c r="P11498" s="27" t="s">
        <v>3168</v>
      </c>
      <c r="Q11498" s="26" t="str">
        <f>HYPERLINK("https://ictv.global/taxonomy/taxondetails?taxnode_id=202510691&amp;ictv_id=ICTV202010691","ICTV202010691")</f>
        <v>ICTV202010691</v>
      </c>
      <c r="R11498" t="s">
        <v>581</v>
      </c>
      <c r="S11498" t="s">
        <v>823</v>
      </c>
      <c r="T11498">
        <v>36</v>
      </c>
      <c r="U11498" s="26" t="str">
        <f>HYPERLINK("https://ictv.global/ictv/proposals/2020.095B.R.Leviviricetes.zip","2020.095B.R.Leviviricetes.zip")</f>
        <v>2020.095B.R.Leviviricetes.zip</v>
      </c>
    </row>
    <row r="11499" spans="1:21">
      <c r="A11499">
        <v>11498</v>
      </c>
      <c r="B11499" s="27" t="s">
        <v>1124</v>
      </c>
      <c r="D11499" s="27" t="s">
        <v>1859</v>
      </c>
      <c r="F11499" s="27" t="s">
        <v>1881</v>
      </c>
      <c r="H11499" s="27" t="s">
        <v>2679</v>
      </c>
      <c r="J11499" s="27" t="s">
        <v>2680</v>
      </c>
      <c r="L11499" s="27" t="s">
        <v>2810</v>
      </c>
      <c r="N11499" s="27" t="s">
        <v>3164</v>
      </c>
      <c r="P11499" s="27" t="s">
        <v>15309</v>
      </c>
      <c r="Q11499" s="26" t="str">
        <f>HYPERLINK("https://ictv.global/taxonomy/taxondetails?taxnode_id=202516746&amp;ictv_id=ICTV202316746","ICTV202316746")</f>
        <v>ICTV202316746</v>
      </c>
      <c r="R11499" t="s">
        <v>581</v>
      </c>
      <c r="S11499" t="s">
        <v>823</v>
      </c>
      <c r="T11499">
        <v>39</v>
      </c>
      <c r="U11499" s="26" t="str">
        <f>HYPERLINK("https://ictv.global/ictv/proposals/2023.001B.Leviviricetes_reorg.zip","2023.001B.Leviviricetes_reorg.zip")</f>
        <v>2023.001B.Leviviricetes_reorg.zip</v>
      </c>
    </row>
    <row r="11500" spans="1:21">
      <c r="A11500">
        <v>11499</v>
      </c>
      <c r="B11500" s="27" t="s">
        <v>1124</v>
      </c>
      <c r="D11500" s="27" t="s">
        <v>1859</v>
      </c>
      <c r="F11500" s="27" t="s">
        <v>1881</v>
      </c>
      <c r="H11500" s="27" t="s">
        <v>2679</v>
      </c>
      <c r="J11500" s="27" t="s">
        <v>2680</v>
      </c>
      <c r="L11500" s="27" t="s">
        <v>2810</v>
      </c>
      <c r="N11500" s="27" t="s">
        <v>3164</v>
      </c>
      <c r="P11500" s="27" t="s">
        <v>15310</v>
      </c>
      <c r="Q11500" s="26" t="str">
        <f>HYPERLINK("https://ictv.global/taxonomy/taxondetails?taxnode_id=202516747&amp;ictv_id=ICTV202316747","ICTV202316747")</f>
        <v>ICTV202316747</v>
      </c>
      <c r="R11500" t="s">
        <v>581</v>
      </c>
      <c r="S11500" t="s">
        <v>823</v>
      </c>
      <c r="T11500">
        <v>39</v>
      </c>
      <c r="U11500" s="26" t="str">
        <f>HYPERLINK("https://ictv.global/ictv/proposals/2023.001B.Leviviricetes_reorg.zip","2023.001B.Leviviricetes_reorg.zip")</f>
        <v>2023.001B.Leviviricetes_reorg.zip</v>
      </c>
    </row>
    <row r="11501" spans="1:21">
      <c r="A11501">
        <v>11500</v>
      </c>
      <c r="B11501" s="27" t="s">
        <v>1124</v>
      </c>
      <c r="D11501" s="27" t="s">
        <v>1859</v>
      </c>
      <c r="F11501" s="27" t="s">
        <v>1881</v>
      </c>
      <c r="H11501" s="27" t="s">
        <v>2679</v>
      </c>
      <c r="J11501" s="27" t="s">
        <v>2680</v>
      </c>
      <c r="L11501" s="27" t="s">
        <v>2810</v>
      </c>
      <c r="N11501" s="27" t="s">
        <v>3164</v>
      </c>
      <c r="P11501" s="27" t="s">
        <v>15311</v>
      </c>
      <c r="Q11501" s="26" t="str">
        <f>HYPERLINK("https://ictv.global/taxonomy/taxondetails?taxnode_id=202516748&amp;ictv_id=ICTV202316748","ICTV202316748")</f>
        <v>ICTV202316748</v>
      </c>
      <c r="R11501" t="s">
        <v>581</v>
      </c>
      <c r="S11501" t="s">
        <v>823</v>
      </c>
      <c r="T11501">
        <v>39</v>
      </c>
      <c r="U11501" s="26" t="str">
        <f>HYPERLINK("https://ictv.global/ictv/proposals/2023.001B.Leviviricetes_reorg.zip","2023.001B.Leviviricetes_reorg.zip")</f>
        <v>2023.001B.Leviviricetes_reorg.zip</v>
      </c>
    </row>
    <row r="11502" spans="1:21">
      <c r="A11502">
        <v>11501</v>
      </c>
      <c r="B11502" s="27" t="s">
        <v>1124</v>
      </c>
      <c r="D11502" s="27" t="s">
        <v>1859</v>
      </c>
      <c r="F11502" s="27" t="s">
        <v>1881</v>
      </c>
      <c r="H11502" s="27" t="s">
        <v>2679</v>
      </c>
      <c r="J11502" s="27" t="s">
        <v>2680</v>
      </c>
      <c r="L11502" s="27" t="s">
        <v>2810</v>
      </c>
      <c r="N11502" s="27" t="s">
        <v>3164</v>
      </c>
      <c r="P11502" s="27" t="s">
        <v>15312</v>
      </c>
      <c r="Q11502" s="26" t="str">
        <f>HYPERLINK("https://ictv.global/taxonomy/taxondetails?taxnode_id=202516749&amp;ictv_id=ICTV202316749","ICTV202316749")</f>
        <v>ICTV202316749</v>
      </c>
      <c r="R11502" t="s">
        <v>581</v>
      </c>
      <c r="S11502" t="s">
        <v>823</v>
      </c>
      <c r="T11502">
        <v>39</v>
      </c>
      <c r="U11502" s="26" t="str">
        <f>HYPERLINK("https://ictv.global/ictv/proposals/2023.001B.Leviviricetes_reorg.zip","2023.001B.Leviviricetes_reorg.zip")</f>
        <v>2023.001B.Leviviricetes_reorg.zip</v>
      </c>
    </row>
    <row r="11503" spans="1:21">
      <c r="A11503">
        <v>11502</v>
      </c>
      <c r="B11503" s="27" t="s">
        <v>1124</v>
      </c>
      <c r="D11503" s="27" t="s">
        <v>1859</v>
      </c>
      <c r="F11503" s="27" t="s">
        <v>1881</v>
      </c>
      <c r="H11503" s="27" t="s">
        <v>2679</v>
      </c>
      <c r="J11503" s="27" t="s">
        <v>2680</v>
      </c>
      <c r="L11503" s="27" t="s">
        <v>2810</v>
      </c>
      <c r="N11503" s="27" t="s">
        <v>3164</v>
      </c>
      <c r="P11503" s="27" t="s">
        <v>15313</v>
      </c>
      <c r="Q11503" s="26" t="str">
        <f>HYPERLINK("https://ictv.global/taxonomy/taxondetails?taxnode_id=202516750&amp;ictv_id=ICTV202316750","ICTV202316750")</f>
        <v>ICTV202316750</v>
      </c>
      <c r="R11503" t="s">
        <v>581</v>
      </c>
      <c r="S11503" t="s">
        <v>823</v>
      </c>
      <c r="T11503">
        <v>39</v>
      </c>
      <c r="U11503" s="26" t="str">
        <f>HYPERLINK("https://ictv.global/ictv/proposals/2023.001B.Leviviricetes_reorg.zip","2023.001B.Leviviricetes_reorg.zip")</f>
        <v>2023.001B.Leviviricetes_reorg.zip</v>
      </c>
    </row>
    <row r="11504" spans="1:21">
      <c r="A11504">
        <v>11503</v>
      </c>
      <c r="B11504" s="27" t="s">
        <v>1124</v>
      </c>
      <c r="D11504" s="27" t="s">
        <v>1859</v>
      </c>
      <c r="F11504" s="27" t="s">
        <v>1881</v>
      </c>
      <c r="H11504" s="27" t="s">
        <v>2679</v>
      </c>
      <c r="J11504" s="27" t="s">
        <v>2680</v>
      </c>
      <c r="L11504" s="27" t="s">
        <v>3169</v>
      </c>
      <c r="N11504" s="27" t="s">
        <v>3170</v>
      </c>
      <c r="P11504" s="27" t="s">
        <v>3171</v>
      </c>
      <c r="Q11504" s="26" t="str">
        <f>HYPERLINK("https://ictv.global/taxonomy/taxondetails?taxnode_id=202510859&amp;ictv_id=ICTV202010859","ICTV202010859")</f>
        <v>ICTV202010859</v>
      </c>
      <c r="R11504" t="s">
        <v>581</v>
      </c>
      <c r="S11504" t="s">
        <v>823</v>
      </c>
      <c r="T11504">
        <v>36</v>
      </c>
      <c r="U11504" s="26" t="str">
        <f>HYPERLINK("https://ictv.global/ictv/proposals/2020.095B.R.Leviviricetes.zip","2020.095B.R.Leviviricetes.zip")</f>
        <v>2020.095B.R.Leviviricetes.zip</v>
      </c>
    </row>
    <row r="11505" spans="1:21">
      <c r="A11505">
        <v>11504</v>
      </c>
      <c r="B11505" s="27" t="s">
        <v>1124</v>
      </c>
      <c r="D11505" s="27" t="s">
        <v>1859</v>
      </c>
      <c r="F11505" s="27" t="s">
        <v>1881</v>
      </c>
      <c r="H11505" s="27" t="s">
        <v>2679</v>
      </c>
      <c r="J11505" s="27" t="s">
        <v>2680</v>
      </c>
      <c r="L11505" s="27" t="s">
        <v>3169</v>
      </c>
      <c r="N11505" s="27" t="s">
        <v>15314</v>
      </c>
      <c r="P11505" s="27" t="s">
        <v>15315</v>
      </c>
      <c r="Q11505" s="26" t="str">
        <f>HYPERLINK("https://ictv.global/taxonomy/taxondetails?taxnode_id=202516751&amp;ictv_id=ICTV202316751","ICTV202316751")</f>
        <v>ICTV202316751</v>
      </c>
      <c r="R11505" t="s">
        <v>581</v>
      </c>
      <c r="S11505" t="s">
        <v>823</v>
      </c>
      <c r="T11505">
        <v>39</v>
      </c>
      <c r="U11505" s="26" t="str">
        <f>HYPERLINK("https://ictv.global/ictv/proposals/2023.001B.Leviviricetes_reorg.zip","2023.001B.Leviviricetes_reorg.zip")</f>
        <v>2023.001B.Leviviricetes_reorg.zip</v>
      </c>
    </row>
    <row r="11506" spans="1:21">
      <c r="A11506">
        <v>11505</v>
      </c>
      <c r="B11506" s="27" t="s">
        <v>1124</v>
      </c>
      <c r="D11506" s="27" t="s">
        <v>1859</v>
      </c>
      <c r="F11506" s="27" t="s">
        <v>1881</v>
      </c>
      <c r="H11506" s="27" t="s">
        <v>2679</v>
      </c>
      <c r="J11506" s="27" t="s">
        <v>2680</v>
      </c>
      <c r="L11506" s="27" t="s">
        <v>3169</v>
      </c>
      <c r="N11506" s="27" t="s">
        <v>3172</v>
      </c>
      <c r="P11506" s="27" t="s">
        <v>3173</v>
      </c>
      <c r="Q11506" s="26" t="str">
        <f>HYPERLINK("https://ictv.global/taxonomy/taxondetails?taxnode_id=202510861&amp;ictv_id=ICTV202010861","ICTV202010861")</f>
        <v>ICTV202010861</v>
      </c>
      <c r="R11506" t="s">
        <v>581</v>
      </c>
      <c r="S11506" t="s">
        <v>823</v>
      </c>
      <c r="T11506">
        <v>36</v>
      </c>
      <c r="U11506" s="26" t="str">
        <f>HYPERLINK("https://ictv.global/ictv/proposals/2020.095B.R.Leviviricetes.zip","2020.095B.R.Leviviricetes.zip")</f>
        <v>2020.095B.R.Leviviricetes.zip</v>
      </c>
    </row>
    <row r="11507" spans="1:21">
      <c r="A11507">
        <v>11506</v>
      </c>
      <c r="B11507" s="27" t="s">
        <v>1124</v>
      </c>
      <c r="D11507" s="27" t="s">
        <v>1859</v>
      </c>
      <c r="F11507" s="27" t="s">
        <v>1881</v>
      </c>
      <c r="H11507" s="27" t="s">
        <v>2679</v>
      </c>
      <c r="J11507" s="27" t="s">
        <v>2680</v>
      </c>
      <c r="L11507" s="27" t="s">
        <v>3169</v>
      </c>
      <c r="N11507" s="27" t="s">
        <v>3174</v>
      </c>
      <c r="P11507" s="27" t="s">
        <v>3175</v>
      </c>
      <c r="Q11507" s="26" t="str">
        <f>HYPERLINK("https://ictv.global/taxonomy/taxondetails?taxnode_id=202510863&amp;ictv_id=ICTV202010863","ICTV202010863")</f>
        <v>ICTV202010863</v>
      </c>
      <c r="R11507" t="s">
        <v>581</v>
      </c>
      <c r="S11507" t="s">
        <v>823</v>
      </c>
      <c r="T11507">
        <v>36</v>
      </c>
      <c r="U11507" s="26" t="str">
        <f>HYPERLINK("https://ictv.global/ictv/proposals/2020.095B.R.Leviviricetes.zip","2020.095B.R.Leviviricetes.zip")</f>
        <v>2020.095B.R.Leviviricetes.zip</v>
      </c>
    </row>
    <row r="11508" spans="1:21">
      <c r="A11508">
        <v>11507</v>
      </c>
      <c r="B11508" s="27" t="s">
        <v>1124</v>
      </c>
      <c r="D11508" s="27" t="s">
        <v>1859</v>
      </c>
      <c r="F11508" s="27" t="s">
        <v>1881</v>
      </c>
      <c r="H11508" s="27" t="s">
        <v>2679</v>
      </c>
      <c r="J11508" s="27" t="s">
        <v>2680</v>
      </c>
      <c r="L11508" s="27" t="s">
        <v>3169</v>
      </c>
      <c r="N11508" s="27" t="s">
        <v>15316</v>
      </c>
      <c r="P11508" s="27" t="s">
        <v>15317</v>
      </c>
      <c r="Q11508" s="26" t="str">
        <f>HYPERLINK("https://ictv.global/taxonomy/taxondetails?taxnode_id=202516752&amp;ictv_id=ICTV202316752","ICTV202316752")</f>
        <v>ICTV202316752</v>
      </c>
      <c r="R11508" t="s">
        <v>581</v>
      </c>
      <c r="S11508" t="s">
        <v>823</v>
      </c>
      <c r="T11508">
        <v>39</v>
      </c>
      <c r="U11508" s="26" t="str">
        <f>HYPERLINK("https://ictv.global/ictv/proposals/2023.001B.Leviviricetes_reorg.zip","2023.001B.Leviviricetes_reorg.zip")</f>
        <v>2023.001B.Leviviricetes_reorg.zip</v>
      </c>
    </row>
    <row r="11509" spans="1:21">
      <c r="A11509">
        <v>11508</v>
      </c>
      <c r="B11509" s="27" t="s">
        <v>1124</v>
      </c>
      <c r="D11509" s="27" t="s">
        <v>1859</v>
      </c>
      <c r="F11509" s="27" t="s">
        <v>1881</v>
      </c>
      <c r="H11509" s="27" t="s">
        <v>2679</v>
      </c>
      <c r="J11509" s="27" t="s">
        <v>2680</v>
      </c>
      <c r="L11509" s="27" t="s">
        <v>3169</v>
      </c>
      <c r="N11509" s="27" t="s">
        <v>15316</v>
      </c>
      <c r="P11509" s="27" t="s">
        <v>15318</v>
      </c>
      <c r="Q11509" s="26" t="str">
        <f>HYPERLINK("https://ictv.global/taxonomy/taxondetails?taxnode_id=202516753&amp;ictv_id=ICTV202316753","ICTV202316753")</f>
        <v>ICTV202316753</v>
      </c>
      <c r="R11509" t="s">
        <v>581</v>
      </c>
      <c r="S11509" t="s">
        <v>823</v>
      </c>
      <c r="T11509">
        <v>39</v>
      </c>
      <c r="U11509" s="26" t="str">
        <f>HYPERLINK("https://ictv.global/ictv/proposals/2023.001B.Leviviricetes_reorg.zip","2023.001B.Leviviricetes_reorg.zip")</f>
        <v>2023.001B.Leviviricetes_reorg.zip</v>
      </c>
    </row>
    <row r="11510" spans="1:21">
      <c r="A11510">
        <v>11509</v>
      </c>
      <c r="B11510" s="27" t="s">
        <v>1124</v>
      </c>
      <c r="D11510" s="27" t="s">
        <v>1859</v>
      </c>
      <c r="F11510" s="27" t="s">
        <v>1881</v>
      </c>
      <c r="H11510" s="27" t="s">
        <v>2679</v>
      </c>
      <c r="J11510" s="27" t="s">
        <v>2680</v>
      </c>
      <c r="L11510" s="27" t="s">
        <v>3169</v>
      </c>
      <c r="N11510" s="27" t="s">
        <v>3176</v>
      </c>
      <c r="P11510" s="27" t="s">
        <v>3177</v>
      </c>
      <c r="Q11510" s="26" t="str">
        <f>HYPERLINK("https://ictv.global/taxonomy/taxondetails?taxnode_id=202510865&amp;ictv_id=ICTV202010865","ICTV202010865")</f>
        <v>ICTV202010865</v>
      </c>
      <c r="R11510" t="s">
        <v>581</v>
      </c>
      <c r="S11510" t="s">
        <v>823</v>
      </c>
      <c r="T11510">
        <v>36</v>
      </c>
      <c r="U11510" s="26" t="str">
        <f>HYPERLINK("https://ictv.global/ictv/proposals/2020.095B.R.Leviviricetes.zip","2020.095B.R.Leviviricetes.zip")</f>
        <v>2020.095B.R.Leviviricetes.zip</v>
      </c>
    </row>
    <row r="11511" spans="1:21">
      <c r="A11511">
        <v>11510</v>
      </c>
      <c r="B11511" s="27" t="s">
        <v>1124</v>
      </c>
      <c r="D11511" s="27" t="s">
        <v>1859</v>
      </c>
      <c r="F11511" s="27" t="s">
        <v>1881</v>
      </c>
      <c r="H11511" s="27" t="s">
        <v>2679</v>
      </c>
      <c r="J11511" s="27" t="s">
        <v>2680</v>
      </c>
      <c r="L11511" s="27" t="s">
        <v>3169</v>
      </c>
      <c r="N11511" s="27" t="s">
        <v>3178</v>
      </c>
      <c r="P11511" s="27" t="s">
        <v>3179</v>
      </c>
      <c r="Q11511" s="26" t="str">
        <f>HYPERLINK("https://ictv.global/taxonomy/taxondetails?taxnode_id=202510867&amp;ictv_id=ICTV202010867","ICTV202010867")</f>
        <v>ICTV202010867</v>
      </c>
      <c r="R11511" t="s">
        <v>581</v>
      </c>
      <c r="S11511" t="s">
        <v>823</v>
      </c>
      <c r="T11511">
        <v>36</v>
      </c>
      <c r="U11511" s="26" t="str">
        <f>HYPERLINK("https://ictv.global/ictv/proposals/2020.095B.R.Leviviricetes.zip","2020.095B.R.Leviviricetes.zip")</f>
        <v>2020.095B.R.Leviviricetes.zip</v>
      </c>
    </row>
    <row r="11512" spans="1:21">
      <c r="A11512">
        <v>11511</v>
      </c>
      <c r="B11512" s="27" t="s">
        <v>1124</v>
      </c>
      <c r="D11512" s="27" t="s">
        <v>1859</v>
      </c>
      <c r="F11512" s="27" t="s">
        <v>1881</v>
      </c>
      <c r="H11512" s="27" t="s">
        <v>2679</v>
      </c>
      <c r="J11512" s="27" t="s">
        <v>2680</v>
      </c>
      <c r="L11512" s="27" t="s">
        <v>3169</v>
      </c>
      <c r="N11512" s="27" t="s">
        <v>3180</v>
      </c>
      <c r="P11512" s="27" t="s">
        <v>3181</v>
      </c>
      <c r="Q11512" s="26" t="str">
        <f>HYPERLINK("https://ictv.global/taxonomy/taxondetails?taxnode_id=202510869&amp;ictv_id=ICTV202010869","ICTV202010869")</f>
        <v>ICTV202010869</v>
      </c>
      <c r="R11512" t="s">
        <v>581</v>
      </c>
      <c r="S11512" t="s">
        <v>823</v>
      </c>
      <c r="T11512">
        <v>36</v>
      </c>
      <c r="U11512" s="26" t="str">
        <f>HYPERLINK("https://ictv.global/ictv/proposals/2020.095B.R.Leviviricetes.zip","2020.095B.R.Leviviricetes.zip")</f>
        <v>2020.095B.R.Leviviricetes.zip</v>
      </c>
    </row>
    <row r="11513" spans="1:21">
      <c r="A11513">
        <v>11512</v>
      </c>
      <c r="B11513" s="27" t="s">
        <v>1124</v>
      </c>
      <c r="D11513" s="27" t="s">
        <v>1859</v>
      </c>
      <c r="F11513" s="27" t="s">
        <v>1881</v>
      </c>
      <c r="H11513" s="27" t="s">
        <v>2679</v>
      </c>
      <c r="J11513" s="27" t="s">
        <v>2680</v>
      </c>
      <c r="L11513" s="27" t="s">
        <v>3169</v>
      </c>
      <c r="N11513" s="27" t="s">
        <v>3180</v>
      </c>
      <c r="P11513" s="27" t="s">
        <v>15319</v>
      </c>
      <c r="Q11513" s="26" t="str">
        <f>HYPERLINK("https://ictv.global/taxonomy/taxondetails?taxnode_id=202516754&amp;ictv_id=ICTV202316754","ICTV202316754")</f>
        <v>ICTV202316754</v>
      </c>
      <c r="R11513" t="s">
        <v>581</v>
      </c>
      <c r="S11513" t="s">
        <v>823</v>
      </c>
      <c r="T11513">
        <v>39</v>
      </c>
      <c r="U11513" s="26" t="str">
        <f>HYPERLINK("https://ictv.global/ictv/proposals/2023.001B.Leviviricetes_reorg.zip","2023.001B.Leviviricetes_reorg.zip")</f>
        <v>2023.001B.Leviviricetes_reorg.zip</v>
      </c>
    </row>
    <row r="11514" spans="1:21">
      <c r="A11514">
        <v>11513</v>
      </c>
      <c r="B11514" s="27" t="s">
        <v>1124</v>
      </c>
      <c r="D11514" s="27" t="s">
        <v>1859</v>
      </c>
      <c r="F11514" s="27" t="s">
        <v>1881</v>
      </c>
      <c r="H11514" s="27" t="s">
        <v>2679</v>
      </c>
      <c r="J11514" s="27" t="s">
        <v>2680</v>
      </c>
      <c r="L11514" s="27" t="s">
        <v>3169</v>
      </c>
      <c r="N11514" s="27" t="s">
        <v>3180</v>
      </c>
      <c r="P11514" s="27" t="s">
        <v>3182</v>
      </c>
      <c r="Q11514" s="26" t="str">
        <f>HYPERLINK("https://ictv.global/taxonomy/taxondetails?taxnode_id=202510870&amp;ictv_id=ICTV202010870","ICTV202010870")</f>
        <v>ICTV202010870</v>
      </c>
      <c r="R11514" t="s">
        <v>581</v>
      </c>
      <c r="S11514" t="s">
        <v>823</v>
      </c>
      <c r="T11514">
        <v>36</v>
      </c>
      <c r="U11514" s="26" t="str">
        <f>HYPERLINK("https://ictv.global/ictv/proposals/2020.095B.R.Leviviricetes.zip","2020.095B.R.Leviviricetes.zip")</f>
        <v>2020.095B.R.Leviviricetes.zip</v>
      </c>
    </row>
    <row r="11515" spans="1:21">
      <c r="A11515">
        <v>11514</v>
      </c>
      <c r="B11515" s="27" t="s">
        <v>1124</v>
      </c>
      <c r="D11515" s="27" t="s">
        <v>1859</v>
      </c>
      <c r="F11515" s="27" t="s">
        <v>1881</v>
      </c>
      <c r="H11515" s="27" t="s">
        <v>2679</v>
      </c>
      <c r="J11515" s="27" t="s">
        <v>2680</v>
      </c>
      <c r="L11515" s="27" t="s">
        <v>3169</v>
      </c>
      <c r="N11515" s="27" t="s">
        <v>3183</v>
      </c>
      <c r="P11515" s="27" t="s">
        <v>3184</v>
      </c>
      <c r="Q11515" s="26" t="str">
        <f>HYPERLINK("https://ictv.global/taxonomy/taxondetails?taxnode_id=202510872&amp;ictv_id=ICTV202010872","ICTV202010872")</f>
        <v>ICTV202010872</v>
      </c>
      <c r="R11515" t="s">
        <v>581</v>
      </c>
      <c r="S11515" t="s">
        <v>823</v>
      </c>
      <c r="T11515">
        <v>36</v>
      </c>
      <c r="U11515" s="26" t="str">
        <f>HYPERLINK("https://ictv.global/ictv/proposals/2020.095B.R.Leviviricetes.zip","2020.095B.R.Leviviricetes.zip")</f>
        <v>2020.095B.R.Leviviricetes.zip</v>
      </c>
    </row>
    <row r="11516" spans="1:21">
      <c r="A11516">
        <v>11515</v>
      </c>
      <c r="B11516" s="27" t="s">
        <v>1124</v>
      </c>
      <c r="D11516" s="27" t="s">
        <v>1859</v>
      </c>
      <c r="F11516" s="27" t="s">
        <v>1881</v>
      </c>
      <c r="H11516" s="27" t="s">
        <v>2679</v>
      </c>
      <c r="J11516" s="27" t="s">
        <v>2680</v>
      </c>
      <c r="L11516" s="27" t="s">
        <v>3169</v>
      </c>
      <c r="N11516" s="27" t="s">
        <v>3185</v>
      </c>
      <c r="P11516" s="27" t="s">
        <v>3186</v>
      </c>
      <c r="Q11516" s="26" t="str">
        <f>HYPERLINK("https://ictv.global/taxonomy/taxondetails?taxnode_id=202510874&amp;ictv_id=ICTV202010874","ICTV202010874")</f>
        <v>ICTV202010874</v>
      </c>
      <c r="R11516" t="s">
        <v>581</v>
      </c>
      <c r="S11516" t="s">
        <v>823</v>
      </c>
      <c r="T11516">
        <v>36</v>
      </c>
      <c r="U11516" s="26" t="str">
        <f>HYPERLINK("https://ictv.global/ictv/proposals/2020.095B.R.Leviviricetes.zip","2020.095B.R.Leviviricetes.zip")</f>
        <v>2020.095B.R.Leviviricetes.zip</v>
      </c>
    </row>
    <row r="11517" spans="1:21">
      <c r="A11517">
        <v>11516</v>
      </c>
      <c r="B11517" s="27" t="s">
        <v>1124</v>
      </c>
      <c r="D11517" s="27" t="s">
        <v>1859</v>
      </c>
      <c r="F11517" s="27" t="s">
        <v>1881</v>
      </c>
      <c r="H11517" s="27" t="s">
        <v>2679</v>
      </c>
      <c r="J11517" s="27" t="s">
        <v>2680</v>
      </c>
      <c r="L11517" s="27" t="s">
        <v>3169</v>
      </c>
      <c r="N11517" s="27" t="s">
        <v>3187</v>
      </c>
      <c r="P11517" s="27" t="s">
        <v>3188</v>
      </c>
      <c r="Q11517" s="26" t="str">
        <f>HYPERLINK("https://ictv.global/taxonomy/taxondetails?taxnode_id=202510882&amp;ictv_id=ICTV202010882","ICTV202010882")</f>
        <v>ICTV202010882</v>
      </c>
      <c r="R11517" t="s">
        <v>581</v>
      </c>
      <c r="S11517" t="s">
        <v>823</v>
      </c>
      <c r="T11517">
        <v>36</v>
      </c>
      <c r="U11517" s="26" t="str">
        <f>HYPERLINK("https://ictv.global/ictv/proposals/2020.095B.R.Leviviricetes.zip","2020.095B.R.Leviviricetes.zip")</f>
        <v>2020.095B.R.Leviviricetes.zip</v>
      </c>
    </row>
    <row r="11518" spans="1:21">
      <c r="A11518">
        <v>11517</v>
      </c>
      <c r="B11518" s="27" t="s">
        <v>1124</v>
      </c>
      <c r="D11518" s="27" t="s">
        <v>1859</v>
      </c>
      <c r="F11518" s="27" t="s">
        <v>1881</v>
      </c>
      <c r="H11518" s="27" t="s">
        <v>2679</v>
      </c>
      <c r="J11518" s="27" t="s">
        <v>2680</v>
      </c>
      <c r="L11518" s="27" t="s">
        <v>3169</v>
      </c>
      <c r="N11518" s="27" t="s">
        <v>15320</v>
      </c>
      <c r="P11518" s="27" t="s">
        <v>15321</v>
      </c>
      <c r="Q11518" s="26" t="str">
        <f>HYPERLINK("https://ictv.global/taxonomy/taxondetails?taxnode_id=202516755&amp;ictv_id=ICTV202316755","ICTV202316755")</f>
        <v>ICTV202316755</v>
      </c>
      <c r="R11518" t="s">
        <v>581</v>
      </c>
      <c r="S11518" t="s">
        <v>823</v>
      </c>
      <c r="T11518">
        <v>39</v>
      </c>
      <c r="U11518" s="26" t="str">
        <f>HYPERLINK("https://ictv.global/ictv/proposals/2023.001B.Leviviricetes_reorg.zip","2023.001B.Leviviricetes_reorg.zip")</f>
        <v>2023.001B.Leviviricetes_reorg.zip</v>
      </c>
    </row>
    <row r="11519" spans="1:21">
      <c r="A11519">
        <v>11518</v>
      </c>
      <c r="B11519" s="27" t="s">
        <v>1124</v>
      </c>
      <c r="D11519" s="27" t="s">
        <v>1859</v>
      </c>
      <c r="F11519" s="27" t="s">
        <v>1881</v>
      </c>
      <c r="H11519" s="27" t="s">
        <v>2679</v>
      </c>
      <c r="J11519" s="27" t="s">
        <v>2680</v>
      </c>
      <c r="L11519" s="27" t="s">
        <v>3169</v>
      </c>
      <c r="N11519" s="27" t="s">
        <v>3189</v>
      </c>
      <c r="P11519" s="27" t="s">
        <v>3190</v>
      </c>
      <c r="Q11519" s="26" t="str">
        <f>HYPERLINK("https://ictv.global/taxonomy/taxondetails?taxnode_id=202510884&amp;ictv_id=ICTV202010884","ICTV202010884")</f>
        <v>ICTV202010884</v>
      </c>
      <c r="R11519" t="s">
        <v>581</v>
      </c>
      <c r="S11519" t="s">
        <v>823</v>
      </c>
      <c r="T11519">
        <v>36</v>
      </c>
      <c r="U11519" s="26" t="str">
        <f t="shared" ref="U11519:U11527" si="424">HYPERLINK("https://ictv.global/ictv/proposals/2020.095B.R.Leviviricetes.zip","2020.095B.R.Leviviricetes.zip")</f>
        <v>2020.095B.R.Leviviricetes.zip</v>
      </c>
    </row>
    <row r="11520" spans="1:21">
      <c r="A11520">
        <v>11519</v>
      </c>
      <c r="B11520" s="27" t="s">
        <v>1124</v>
      </c>
      <c r="D11520" s="27" t="s">
        <v>1859</v>
      </c>
      <c r="F11520" s="27" t="s">
        <v>1881</v>
      </c>
      <c r="H11520" s="27" t="s">
        <v>2679</v>
      </c>
      <c r="J11520" s="27" t="s">
        <v>2680</v>
      </c>
      <c r="L11520" s="27" t="s">
        <v>3169</v>
      </c>
      <c r="N11520" s="27" t="s">
        <v>3191</v>
      </c>
      <c r="P11520" s="27" t="s">
        <v>3192</v>
      </c>
      <c r="Q11520" s="26" t="str">
        <f>HYPERLINK("https://ictv.global/taxonomy/taxondetails?taxnode_id=202510886&amp;ictv_id=ICTV202010886","ICTV202010886")</f>
        <v>ICTV202010886</v>
      </c>
      <c r="R11520" t="s">
        <v>581</v>
      </c>
      <c r="S11520" t="s">
        <v>823</v>
      </c>
      <c r="T11520">
        <v>36</v>
      </c>
      <c r="U11520" s="26" t="str">
        <f t="shared" si="424"/>
        <v>2020.095B.R.Leviviricetes.zip</v>
      </c>
    </row>
    <row r="11521" spans="1:21">
      <c r="A11521">
        <v>11520</v>
      </c>
      <c r="B11521" s="27" t="s">
        <v>1124</v>
      </c>
      <c r="D11521" s="27" t="s">
        <v>1859</v>
      </c>
      <c r="F11521" s="27" t="s">
        <v>1881</v>
      </c>
      <c r="H11521" s="27" t="s">
        <v>2679</v>
      </c>
      <c r="J11521" s="27" t="s">
        <v>2680</v>
      </c>
      <c r="L11521" s="27" t="s">
        <v>3169</v>
      </c>
      <c r="N11521" s="27" t="s">
        <v>3191</v>
      </c>
      <c r="P11521" s="27" t="s">
        <v>3193</v>
      </c>
      <c r="Q11521" s="26" t="str">
        <f>HYPERLINK("https://ictv.global/taxonomy/taxondetails?taxnode_id=202510887&amp;ictv_id=ICTV202010887","ICTV202010887")</f>
        <v>ICTV202010887</v>
      </c>
      <c r="R11521" t="s">
        <v>581</v>
      </c>
      <c r="S11521" t="s">
        <v>823</v>
      </c>
      <c r="T11521">
        <v>36</v>
      </c>
      <c r="U11521" s="26" t="str">
        <f t="shared" si="424"/>
        <v>2020.095B.R.Leviviricetes.zip</v>
      </c>
    </row>
    <row r="11522" spans="1:21">
      <c r="A11522">
        <v>11521</v>
      </c>
      <c r="B11522" s="27" t="s">
        <v>1124</v>
      </c>
      <c r="D11522" s="27" t="s">
        <v>1859</v>
      </c>
      <c r="F11522" s="27" t="s">
        <v>1881</v>
      </c>
      <c r="H11522" s="27" t="s">
        <v>2679</v>
      </c>
      <c r="J11522" s="27" t="s">
        <v>2680</v>
      </c>
      <c r="L11522" s="27" t="s">
        <v>3169</v>
      </c>
      <c r="N11522" s="27" t="s">
        <v>3194</v>
      </c>
      <c r="P11522" s="27" t="s">
        <v>3195</v>
      </c>
      <c r="Q11522" s="26" t="str">
        <f>HYPERLINK("https://ictv.global/taxonomy/taxondetails?taxnode_id=202510893&amp;ictv_id=ICTV202010893","ICTV202010893")</f>
        <v>ICTV202010893</v>
      </c>
      <c r="R11522" t="s">
        <v>581</v>
      </c>
      <c r="S11522" t="s">
        <v>823</v>
      </c>
      <c r="T11522">
        <v>36</v>
      </c>
      <c r="U11522" s="26" t="str">
        <f t="shared" si="424"/>
        <v>2020.095B.R.Leviviricetes.zip</v>
      </c>
    </row>
    <row r="11523" spans="1:21">
      <c r="A11523">
        <v>11522</v>
      </c>
      <c r="B11523" s="27" t="s">
        <v>1124</v>
      </c>
      <c r="D11523" s="27" t="s">
        <v>1859</v>
      </c>
      <c r="F11523" s="27" t="s">
        <v>1881</v>
      </c>
      <c r="H11523" s="27" t="s">
        <v>2679</v>
      </c>
      <c r="J11523" s="27" t="s">
        <v>2680</v>
      </c>
      <c r="L11523" s="27" t="s">
        <v>3169</v>
      </c>
      <c r="N11523" s="27" t="s">
        <v>3196</v>
      </c>
      <c r="P11523" s="27" t="s">
        <v>3197</v>
      </c>
      <c r="Q11523" s="26" t="str">
        <f>HYPERLINK("https://ictv.global/taxonomy/taxondetails?taxnode_id=202510895&amp;ictv_id=ICTV202010895","ICTV202010895")</f>
        <v>ICTV202010895</v>
      </c>
      <c r="R11523" t="s">
        <v>581</v>
      </c>
      <c r="S11523" t="s">
        <v>823</v>
      </c>
      <c r="T11523">
        <v>36</v>
      </c>
      <c r="U11523" s="26" t="str">
        <f t="shared" si="424"/>
        <v>2020.095B.R.Leviviricetes.zip</v>
      </c>
    </row>
    <row r="11524" spans="1:21">
      <c r="A11524">
        <v>11523</v>
      </c>
      <c r="B11524" s="27" t="s">
        <v>1124</v>
      </c>
      <c r="D11524" s="27" t="s">
        <v>1859</v>
      </c>
      <c r="F11524" s="27" t="s">
        <v>1881</v>
      </c>
      <c r="H11524" s="27" t="s">
        <v>2679</v>
      </c>
      <c r="J11524" s="27" t="s">
        <v>2680</v>
      </c>
      <c r="L11524" s="27" t="s">
        <v>3169</v>
      </c>
      <c r="N11524" s="27" t="s">
        <v>3198</v>
      </c>
      <c r="P11524" s="27" t="s">
        <v>3199</v>
      </c>
      <c r="Q11524" s="26" t="str">
        <f>HYPERLINK("https://ictv.global/taxonomy/taxondetails?taxnode_id=202510898&amp;ictv_id=ICTV202010898","ICTV202010898")</f>
        <v>ICTV202010898</v>
      </c>
      <c r="R11524" t="s">
        <v>581</v>
      </c>
      <c r="S11524" t="s">
        <v>823</v>
      </c>
      <c r="T11524">
        <v>36</v>
      </c>
      <c r="U11524" s="26" t="str">
        <f t="shared" si="424"/>
        <v>2020.095B.R.Leviviricetes.zip</v>
      </c>
    </row>
    <row r="11525" spans="1:21">
      <c r="A11525">
        <v>11524</v>
      </c>
      <c r="B11525" s="27" t="s">
        <v>1124</v>
      </c>
      <c r="D11525" s="27" t="s">
        <v>1859</v>
      </c>
      <c r="F11525" s="27" t="s">
        <v>1881</v>
      </c>
      <c r="H11525" s="27" t="s">
        <v>2679</v>
      </c>
      <c r="J11525" s="27" t="s">
        <v>2680</v>
      </c>
      <c r="L11525" s="27" t="s">
        <v>3169</v>
      </c>
      <c r="N11525" s="27" t="s">
        <v>3200</v>
      </c>
      <c r="P11525" s="27" t="s">
        <v>3201</v>
      </c>
      <c r="Q11525" s="26" t="str">
        <f>HYPERLINK("https://ictv.global/taxonomy/taxondetails?taxnode_id=202510900&amp;ictv_id=ICTV202010900","ICTV202010900")</f>
        <v>ICTV202010900</v>
      </c>
      <c r="R11525" t="s">
        <v>581</v>
      </c>
      <c r="S11525" t="s">
        <v>823</v>
      </c>
      <c r="T11525">
        <v>36</v>
      </c>
      <c r="U11525" s="26" t="str">
        <f t="shared" si="424"/>
        <v>2020.095B.R.Leviviricetes.zip</v>
      </c>
    </row>
    <row r="11526" spans="1:21">
      <c r="A11526">
        <v>11525</v>
      </c>
      <c r="B11526" s="27" t="s">
        <v>1124</v>
      </c>
      <c r="D11526" s="27" t="s">
        <v>1859</v>
      </c>
      <c r="F11526" s="27" t="s">
        <v>1881</v>
      </c>
      <c r="H11526" s="27" t="s">
        <v>2679</v>
      </c>
      <c r="J11526" s="27" t="s">
        <v>2680</v>
      </c>
      <c r="L11526" s="27" t="s">
        <v>3169</v>
      </c>
      <c r="N11526" s="27" t="s">
        <v>3202</v>
      </c>
      <c r="P11526" s="27" t="s">
        <v>3203</v>
      </c>
      <c r="Q11526" s="26" t="str">
        <f>HYPERLINK("https://ictv.global/taxonomy/taxondetails?taxnode_id=202510902&amp;ictv_id=ICTV202010902","ICTV202010902")</f>
        <v>ICTV202010902</v>
      </c>
      <c r="R11526" t="s">
        <v>581</v>
      </c>
      <c r="S11526" t="s">
        <v>823</v>
      </c>
      <c r="T11526">
        <v>36</v>
      </c>
      <c r="U11526" s="26" t="str">
        <f t="shared" si="424"/>
        <v>2020.095B.R.Leviviricetes.zip</v>
      </c>
    </row>
    <row r="11527" spans="1:21">
      <c r="A11527">
        <v>11526</v>
      </c>
      <c r="B11527" s="27" t="s">
        <v>1124</v>
      </c>
      <c r="D11527" s="27" t="s">
        <v>1859</v>
      </c>
      <c r="F11527" s="27" t="s">
        <v>1881</v>
      </c>
      <c r="H11527" s="27" t="s">
        <v>2679</v>
      </c>
      <c r="J11527" s="27" t="s">
        <v>2680</v>
      </c>
      <c r="L11527" s="27" t="s">
        <v>3169</v>
      </c>
      <c r="N11527" s="27" t="s">
        <v>3204</v>
      </c>
      <c r="P11527" s="27" t="s">
        <v>3205</v>
      </c>
      <c r="Q11527" s="26" t="str">
        <f>HYPERLINK("https://ictv.global/taxonomy/taxondetails?taxnode_id=202510904&amp;ictv_id=ICTV202010904","ICTV202010904")</f>
        <v>ICTV202010904</v>
      </c>
      <c r="R11527" t="s">
        <v>581</v>
      </c>
      <c r="S11527" t="s">
        <v>823</v>
      </c>
      <c r="T11527">
        <v>36</v>
      </c>
      <c r="U11527" s="26" t="str">
        <f t="shared" si="424"/>
        <v>2020.095B.R.Leviviricetes.zip</v>
      </c>
    </row>
    <row r="11528" spans="1:21">
      <c r="A11528">
        <v>11527</v>
      </c>
      <c r="B11528" s="27" t="s">
        <v>1124</v>
      </c>
      <c r="D11528" s="27" t="s">
        <v>1859</v>
      </c>
      <c r="F11528" s="27" t="s">
        <v>1881</v>
      </c>
      <c r="H11528" s="27" t="s">
        <v>2679</v>
      </c>
      <c r="J11528" s="27" t="s">
        <v>2680</v>
      </c>
      <c r="L11528" s="27" t="s">
        <v>3169</v>
      </c>
      <c r="N11528" s="27" t="s">
        <v>15322</v>
      </c>
      <c r="P11528" s="27" t="s">
        <v>15323</v>
      </c>
      <c r="Q11528" s="26" t="str">
        <f>HYPERLINK("https://ictv.global/taxonomy/taxondetails?taxnode_id=202510877&amp;ictv_id=ICTV202010877","ICTV202010877")</f>
        <v>ICTV202010877</v>
      </c>
      <c r="R11528" t="s">
        <v>581</v>
      </c>
      <c r="S11528" t="s">
        <v>22764</v>
      </c>
      <c r="T11528">
        <v>39</v>
      </c>
      <c r="U11528" s="26" t="str">
        <f>HYPERLINK("https://ictv.global/ictv/proposals/2023.001B.Leviviricetes_reorg.zip","2023.001B.Leviviricetes_reorg.zip")</f>
        <v>2023.001B.Leviviricetes_reorg.zip</v>
      </c>
    </row>
    <row r="11529" spans="1:21">
      <c r="A11529">
        <v>11528</v>
      </c>
      <c r="B11529" s="27" t="s">
        <v>1124</v>
      </c>
      <c r="D11529" s="27" t="s">
        <v>1859</v>
      </c>
      <c r="F11529" s="27" t="s">
        <v>1881</v>
      </c>
      <c r="H11529" s="27" t="s">
        <v>2679</v>
      </c>
      <c r="J11529" s="27" t="s">
        <v>2680</v>
      </c>
      <c r="L11529" s="27" t="s">
        <v>3169</v>
      </c>
      <c r="N11529" s="27" t="s">
        <v>15322</v>
      </c>
      <c r="P11529" s="27" t="s">
        <v>15324</v>
      </c>
      <c r="Q11529" s="26" t="str">
        <f>HYPERLINK("https://ictv.global/taxonomy/taxondetails?taxnode_id=202510878&amp;ictv_id=ICTV202010878","ICTV202010878")</f>
        <v>ICTV202010878</v>
      </c>
      <c r="R11529" t="s">
        <v>581</v>
      </c>
      <c r="S11529" t="s">
        <v>22764</v>
      </c>
      <c r="T11529">
        <v>39</v>
      </c>
      <c r="U11529" s="26" t="str">
        <f>HYPERLINK("https://ictv.global/ictv/proposals/2023.001B.Leviviricetes_reorg.zip","2023.001B.Leviviricetes_reorg.zip")</f>
        <v>2023.001B.Leviviricetes_reorg.zip</v>
      </c>
    </row>
    <row r="11530" spans="1:21">
      <c r="A11530">
        <v>11529</v>
      </c>
      <c r="B11530" s="27" t="s">
        <v>1124</v>
      </c>
      <c r="D11530" s="27" t="s">
        <v>1859</v>
      </c>
      <c r="F11530" s="27" t="s">
        <v>1881</v>
      </c>
      <c r="H11530" s="27" t="s">
        <v>2679</v>
      </c>
      <c r="J11530" s="27" t="s">
        <v>2680</v>
      </c>
      <c r="L11530" s="27" t="s">
        <v>3169</v>
      </c>
      <c r="N11530" s="27" t="s">
        <v>15322</v>
      </c>
      <c r="P11530" s="27" t="s">
        <v>15325</v>
      </c>
      <c r="Q11530" s="26" t="str">
        <f>HYPERLINK("https://ictv.global/taxonomy/taxondetails?taxnode_id=202510879&amp;ictv_id=ICTV202010879","ICTV202010879")</f>
        <v>ICTV202010879</v>
      </c>
      <c r="R11530" t="s">
        <v>581</v>
      </c>
      <c r="S11530" t="s">
        <v>22764</v>
      </c>
      <c r="T11530">
        <v>39</v>
      </c>
      <c r="U11530" s="26" t="str">
        <f>HYPERLINK("https://ictv.global/ictv/proposals/2023.001B.Leviviricetes_reorg.zip","2023.001B.Leviviricetes_reorg.zip")</f>
        <v>2023.001B.Leviviricetes_reorg.zip</v>
      </c>
    </row>
    <row r="11531" spans="1:21">
      <c r="A11531">
        <v>11530</v>
      </c>
      <c r="B11531" s="27" t="s">
        <v>1124</v>
      </c>
      <c r="D11531" s="27" t="s">
        <v>1859</v>
      </c>
      <c r="F11531" s="27" t="s">
        <v>1881</v>
      </c>
      <c r="H11531" s="27" t="s">
        <v>2679</v>
      </c>
      <c r="J11531" s="27" t="s">
        <v>2680</v>
      </c>
      <c r="L11531" s="27" t="s">
        <v>3169</v>
      </c>
      <c r="N11531" s="27" t="s">
        <v>3206</v>
      </c>
      <c r="P11531" s="27" t="s">
        <v>3207</v>
      </c>
      <c r="Q11531" s="26" t="str">
        <f>HYPERLINK("https://ictv.global/taxonomy/taxondetails?taxnode_id=202510906&amp;ictv_id=ICTV202010906","ICTV202010906")</f>
        <v>ICTV202010906</v>
      </c>
      <c r="R11531" t="s">
        <v>581</v>
      </c>
      <c r="S11531" t="s">
        <v>823</v>
      </c>
      <c r="T11531">
        <v>36</v>
      </c>
      <c r="U11531" s="26" t="str">
        <f>HYPERLINK("https://ictv.global/ictv/proposals/2020.095B.R.Leviviricetes.zip","2020.095B.R.Leviviricetes.zip")</f>
        <v>2020.095B.R.Leviviricetes.zip</v>
      </c>
    </row>
    <row r="11532" spans="1:21">
      <c r="A11532">
        <v>11531</v>
      </c>
      <c r="B11532" s="27" t="s">
        <v>1124</v>
      </c>
      <c r="D11532" s="27" t="s">
        <v>1859</v>
      </c>
      <c r="F11532" s="27" t="s">
        <v>1881</v>
      </c>
      <c r="H11532" s="27" t="s">
        <v>2679</v>
      </c>
      <c r="J11532" s="27" t="s">
        <v>2680</v>
      </c>
      <c r="L11532" s="27" t="s">
        <v>3169</v>
      </c>
      <c r="N11532" s="27" t="s">
        <v>3208</v>
      </c>
      <c r="P11532" s="27" t="s">
        <v>15326</v>
      </c>
      <c r="Q11532" s="26" t="str">
        <f>HYPERLINK("https://ictv.global/taxonomy/taxondetails?taxnode_id=202516756&amp;ictv_id=ICTV202316756","ICTV202316756")</f>
        <v>ICTV202316756</v>
      </c>
      <c r="R11532" t="s">
        <v>581</v>
      </c>
      <c r="S11532" t="s">
        <v>823</v>
      </c>
      <c r="T11532">
        <v>39</v>
      </c>
      <c r="U11532" s="26" t="str">
        <f>HYPERLINK("https://ictv.global/ictv/proposals/2023.001B.Leviviricetes_reorg.zip","2023.001B.Leviviricetes_reorg.zip")</f>
        <v>2023.001B.Leviviricetes_reorg.zip</v>
      </c>
    </row>
    <row r="11533" spans="1:21">
      <c r="A11533">
        <v>11532</v>
      </c>
      <c r="B11533" s="27" t="s">
        <v>1124</v>
      </c>
      <c r="D11533" s="27" t="s">
        <v>1859</v>
      </c>
      <c r="F11533" s="27" t="s">
        <v>1881</v>
      </c>
      <c r="H11533" s="27" t="s">
        <v>2679</v>
      </c>
      <c r="J11533" s="27" t="s">
        <v>2680</v>
      </c>
      <c r="L11533" s="27" t="s">
        <v>3169</v>
      </c>
      <c r="N11533" s="27" t="s">
        <v>3208</v>
      </c>
      <c r="P11533" s="27" t="s">
        <v>3209</v>
      </c>
      <c r="Q11533" s="26" t="str">
        <f>HYPERLINK("https://ictv.global/taxonomy/taxondetails?taxnode_id=202510908&amp;ictv_id=ICTV202010908","ICTV202010908")</f>
        <v>ICTV202010908</v>
      </c>
      <c r="R11533" t="s">
        <v>581</v>
      </c>
      <c r="S11533" t="s">
        <v>823</v>
      </c>
      <c r="T11533">
        <v>36</v>
      </c>
      <c r="U11533" s="26" t="str">
        <f>HYPERLINK("https://ictv.global/ictv/proposals/2020.095B.R.Leviviricetes.zip","2020.095B.R.Leviviricetes.zip")</f>
        <v>2020.095B.R.Leviviricetes.zip</v>
      </c>
    </row>
    <row r="11534" spans="1:21">
      <c r="A11534">
        <v>11533</v>
      </c>
      <c r="B11534" s="27" t="s">
        <v>1124</v>
      </c>
      <c r="D11534" s="27" t="s">
        <v>1859</v>
      </c>
      <c r="F11534" s="27" t="s">
        <v>1881</v>
      </c>
      <c r="H11534" s="27" t="s">
        <v>2679</v>
      </c>
      <c r="J11534" s="27" t="s">
        <v>2680</v>
      </c>
      <c r="L11534" s="27" t="s">
        <v>3169</v>
      </c>
      <c r="N11534" s="27" t="s">
        <v>15327</v>
      </c>
      <c r="P11534" s="27" t="s">
        <v>15328</v>
      </c>
      <c r="Q11534" s="26" t="str">
        <f>HYPERLINK("https://ictv.global/taxonomy/taxondetails?taxnode_id=202516757&amp;ictv_id=ICTV202316757","ICTV202316757")</f>
        <v>ICTV202316757</v>
      </c>
      <c r="R11534" t="s">
        <v>581</v>
      </c>
      <c r="S11534" t="s">
        <v>823</v>
      </c>
      <c r="T11534">
        <v>39</v>
      </c>
      <c r="U11534" s="26" t="str">
        <f t="shared" ref="U11534:U11565" si="425">HYPERLINK("https://ictv.global/ictv/proposals/2023.001B.Leviviricetes_reorg.zip","2023.001B.Leviviricetes_reorg.zip")</f>
        <v>2023.001B.Leviviricetes_reorg.zip</v>
      </c>
    </row>
    <row r="11535" spans="1:21">
      <c r="A11535">
        <v>11534</v>
      </c>
      <c r="B11535" s="27" t="s">
        <v>1124</v>
      </c>
      <c r="D11535" s="27" t="s">
        <v>1859</v>
      </c>
      <c r="F11535" s="27" t="s">
        <v>1881</v>
      </c>
      <c r="H11535" s="27" t="s">
        <v>2679</v>
      </c>
      <c r="J11535" s="27" t="s">
        <v>2680</v>
      </c>
      <c r="L11535" s="27" t="s">
        <v>3169</v>
      </c>
      <c r="N11535" s="27" t="s">
        <v>15327</v>
      </c>
      <c r="P11535" s="27" t="s">
        <v>15329</v>
      </c>
      <c r="Q11535" s="26" t="str">
        <f>HYPERLINK("https://ictv.global/taxonomy/taxondetails?taxnode_id=202516758&amp;ictv_id=ICTV202316758","ICTV202316758")</f>
        <v>ICTV202316758</v>
      </c>
      <c r="R11535" t="s">
        <v>581</v>
      </c>
      <c r="S11535" t="s">
        <v>823</v>
      </c>
      <c r="T11535">
        <v>39</v>
      </c>
      <c r="U11535" s="26" t="str">
        <f t="shared" si="425"/>
        <v>2023.001B.Leviviricetes_reorg.zip</v>
      </c>
    </row>
    <row r="11536" spans="1:21">
      <c r="A11536">
        <v>11535</v>
      </c>
      <c r="B11536" s="27" t="s">
        <v>1124</v>
      </c>
      <c r="D11536" s="27" t="s">
        <v>1859</v>
      </c>
      <c r="F11536" s="27" t="s">
        <v>1881</v>
      </c>
      <c r="H11536" s="27" t="s">
        <v>2679</v>
      </c>
      <c r="J11536" s="27" t="s">
        <v>2680</v>
      </c>
      <c r="L11536" s="27" t="s">
        <v>3169</v>
      </c>
      <c r="N11536" s="27" t="s">
        <v>15327</v>
      </c>
      <c r="P11536" s="27" t="s">
        <v>15330</v>
      </c>
      <c r="Q11536" s="26" t="str">
        <f>HYPERLINK("https://ictv.global/taxonomy/taxondetails?taxnode_id=202510857&amp;ictv_id=ICTV202010857","ICTV202010857")</f>
        <v>ICTV202010857</v>
      </c>
      <c r="R11536" t="s">
        <v>581</v>
      </c>
      <c r="S11536" t="s">
        <v>22764</v>
      </c>
      <c r="T11536">
        <v>39</v>
      </c>
      <c r="U11536" s="26" t="str">
        <f t="shared" si="425"/>
        <v>2023.001B.Leviviricetes_reorg.zip</v>
      </c>
    </row>
    <row r="11537" spans="1:21">
      <c r="A11537">
        <v>11536</v>
      </c>
      <c r="B11537" s="27" t="s">
        <v>1124</v>
      </c>
      <c r="D11537" s="27" t="s">
        <v>1859</v>
      </c>
      <c r="F11537" s="27" t="s">
        <v>1881</v>
      </c>
      <c r="H11537" s="27" t="s">
        <v>2679</v>
      </c>
      <c r="J11537" s="27" t="s">
        <v>2680</v>
      </c>
      <c r="L11537" s="27" t="s">
        <v>3169</v>
      </c>
      <c r="N11537" s="27" t="s">
        <v>15327</v>
      </c>
      <c r="P11537" s="27" t="s">
        <v>15331</v>
      </c>
      <c r="Q11537" s="26" t="str">
        <f>HYPERLINK("https://ictv.global/taxonomy/taxondetails?taxnode_id=202516759&amp;ictv_id=ICTV202316759","ICTV202316759")</f>
        <v>ICTV202316759</v>
      </c>
      <c r="R11537" t="s">
        <v>581</v>
      </c>
      <c r="S11537" t="s">
        <v>823</v>
      </c>
      <c r="T11537">
        <v>39</v>
      </c>
      <c r="U11537" s="26" t="str">
        <f t="shared" si="425"/>
        <v>2023.001B.Leviviricetes_reorg.zip</v>
      </c>
    </row>
    <row r="11538" spans="1:21">
      <c r="A11538">
        <v>11537</v>
      </c>
      <c r="B11538" s="27" t="s">
        <v>1124</v>
      </c>
      <c r="D11538" s="27" t="s">
        <v>1859</v>
      </c>
      <c r="F11538" s="27" t="s">
        <v>1881</v>
      </c>
      <c r="H11538" s="27" t="s">
        <v>2679</v>
      </c>
      <c r="J11538" s="27" t="s">
        <v>2680</v>
      </c>
      <c r="L11538" s="27" t="s">
        <v>3169</v>
      </c>
      <c r="N11538" s="27" t="s">
        <v>15327</v>
      </c>
      <c r="P11538" s="27" t="s">
        <v>15332</v>
      </c>
      <c r="Q11538" s="26" t="str">
        <f>HYPERLINK("https://ictv.global/taxonomy/taxondetails?taxnode_id=202516760&amp;ictv_id=ICTV202316760","ICTV202316760")</f>
        <v>ICTV202316760</v>
      </c>
      <c r="R11538" t="s">
        <v>581</v>
      </c>
      <c r="S11538" t="s">
        <v>823</v>
      </c>
      <c r="T11538">
        <v>39</v>
      </c>
      <c r="U11538" s="26" t="str">
        <f t="shared" si="425"/>
        <v>2023.001B.Leviviricetes_reorg.zip</v>
      </c>
    </row>
    <row r="11539" spans="1:21">
      <c r="A11539">
        <v>11538</v>
      </c>
      <c r="B11539" s="27" t="s">
        <v>1124</v>
      </c>
      <c r="D11539" s="27" t="s">
        <v>1859</v>
      </c>
      <c r="F11539" s="27" t="s">
        <v>1881</v>
      </c>
      <c r="H11539" s="27" t="s">
        <v>2679</v>
      </c>
      <c r="J11539" s="27" t="s">
        <v>2680</v>
      </c>
      <c r="L11539" s="27" t="s">
        <v>3169</v>
      </c>
      <c r="N11539" s="27" t="s">
        <v>15327</v>
      </c>
      <c r="P11539" s="27" t="s">
        <v>15333</v>
      </c>
      <c r="Q11539" s="26" t="str">
        <f>HYPERLINK("https://ictv.global/taxonomy/taxondetails?taxnode_id=202516761&amp;ictv_id=ICTV202316761","ICTV202316761")</f>
        <v>ICTV202316761</v>
      </c>
      <c r="R11539" t="s">
        <v>581</v>
      </c>
      <c r="S11539" t="s">
        <v>823</v>
      </c>
      <c r="T11539">
        <v>39</v>
      </c>
      <c r="U11539" s="26" t="str">
        <f t="shared" si="425"/>
        <v>2023.001B.Leviviricetes_reorg.zip</v>
      </c>
    </row>
    <row r="11540" spans="1:21">
      <c r="A11540">
        <v>11539</v>
      </c>
      <c r="B11540" s="27" t="s">
        <v>1124</v>
      </c>
      <c r="D11540" s="27" t="s">
        <v>1859</v>
      </c>
      <c r="F11540" s="27" t="s">
        <v>1881</v>
      </c>
      <c r="H11540" s="27" t="s">
        <v>2679</v>
      </c>
      <c r="J11540" s="27" t="s">
        <v>2680</v>
      </c>
      <c r="L11540" s="27" t="s">
        <v>3169</v>
      </c>
      <c r="N11540" s="27" t="s">
        <v>15327</v>
      </c>
      <c r="P11540" s="27" t="s">
        <v>15334</v>
      </c>
      <c r="Q11540" s="26" t="str">
        <f>HYPERLINK("https://ictv.global/taxonomy/taxondetails?taxnode_id=202516762&amp;ictv_id=ICTV202316762","ICTV202316762")</f>
        <v>ICTV202316762</v>
      </c>
      <c r="R11540" t="s">
        <v>581</v>
      </c>
      <c r="S11540" t="s">
        <v>823</v>
      </c>
      <c r="T11540">
        <v>39</v>
      </c>
      <c r="U11540" s="26" t="str">
        <f t="shared" si="425"/>
        <v>2023.001B.Leviviricetes_reorg.zip</v>
      </c>
    </row>
    <row r="11541" spans="1:21">
      <c r="A11541">
        <v>11540</v>
      </c>
      <c r="B11541" s="27" t="s">
        <v>1124</v>
      </c>
      <c r="D11541" s="27" t="s">
        <v>1859</v>
      </c>
      <c r="F11541" s="27" t="s">
        <v>1881</v>
      </c>
      <c r="H11541" s="27" t="s">
        <v>2679</v>
      </c>
      <c r="J11541" s="27" t="s">
        <v>2680</v>
      </c>
      <c r="L11541" s="27" t="s">
        <v>3169</v>
      </c>
      <c r="N11541" s="27" t="s">
        <v>15327</v>
      </c>
      <c r="P11541" s="27" t="s">
        <v>15335</v>
      </c>
      <c r="Q11541" s="26" t="str">
        <f>HYPERLINK("https://ictv.global/taxonomy/taxondetails?taxnode_id=202516763&amp;ictv_id=ICTV202316763","ICTV202316763")</f>
        <v>ICTV202316763</v>
      </c>
      <c r="R11541" t="s">
        <v>581</v>
      </c>
      <c r="S11541" t="s">
        <v>823</v>
      </c>
      <c r="T11541">
        <v>39</v>
      </c>
      <c r="U11541" s="26" t="str">
        <f t="shared" si="425"/>
        <v>2023.001B.Leviviricetes_reorg.zip</v>
      </c>
    </row>
    <row r="11542" spans="1:21">
      <c r="A11542">
        <v>11541</v>
      </c>
      <c r="B11542" s="27" t="s">
        <v>1124</v>
      </c>
      <c r="D11542" s="27" t="s">
        <v>1859</v>
      </c>
      <c r="F11542" s="27" t="s">
        <v>1881</v>
      </c>
      <c r="H11542" s="27" t="s">
        <v>2679</v>
      </c>
      <c r="J11542" s="27" t="s">
        <v>2680</v>
      </c>
      <c r="L11542" s="27" t="s">
        <v>3169</v>
      </c>
      <c r="N11542" s="27" t="s">
        <v>15327</v>
      </c>
      <c r="P11542" s="27" t="s">
        <v>15336</v>
      </c>
      <c r="Q11542" s="26" t="str">
        <f>HYPERLINK("https://ictv.global/taxonomy/taxondetails?taxnode_id=202510876&amp;ictv_id=ICTV202010876","ICTV202010876")</f>
        <v>ICTV202010876</v>
      </c>
      <c r="R11542" t="s">
        <v>581</v>
      </c>
      <c r="S11542" t="s">
        <v>22764</v>
      </c>
      <c r="T11542">
        <v>39</v>
      </c>
      <c r="U11542" s="26" t="str">
        <f t="shared" si="425"/>
        <v>2023.001B.Leviviricetes_reorg.zip</v>
      </c>
    </row>
    <row r="11543" spans="1:21">
      <c r="A11543">
        <v>11542</v>
      </c>
      <c r="B11543" s="27" t="s">
        <v>1124</v>
      </c>
      <c r="D11543" s="27" t="s">
        <v>1859</v>
      </c>
      <c r="F11543" s="27" t="s">
        <v>1881</v>
      </c>
      <c r="H11543" s="27" t="s">
        <v>2679</v>
      </c>
      <c r="J11543" s="27" t="s">
        <v>2680</v>
      </c>
      <c r="L11543" s="27" t="s">
        <v>3169</v>
      </c>
      <c r="N11543" s="27" t="s">
        <v>15337</v>
      </c>
      <c r="P11543" s="27" t="s">
        <v>15338</v>
      </c>
      <c r="Q11543" s="26" t="str">
        <f>HYPERLINK("https://ictv.global/taxonomy/taxondetails?taxnode_id=202516764&amp;ictv_id=ICTV202316764","ICTV202316764")</f>
        <v>ICTV202316764</v>
      </c>
      <c r="R11543" t="s">
        <v>581</v>
      </c>
      <c r="S11543" t="s">
        <v>823</v>
      </c>
      <c r="T11543">
        <v>39</v>
      </c>
      <c r="U11543" s="26" t="str">
        <f t="shared" si="425"/>
        <v>2023.001B.Leviviricetes_reorg.zip</v>
      </c>
    </row>
    <row r="11544" spans="1:21">
      <c r="A11544">
        <v>11543</v>
      </c>
      <c r="B11544" s="27" t="s">
        <v>1124</v>
      </c>
      <c r="D11544" s="27" t="s">
        <v>1859</v>
      </c>
      <c r="F11544" s="27" t="s">
        <v>1881</v>
      </c>
      <c r="H11544" s="27" t="s">
        <v>2679</v>
      </c>
      <c r="J11544" s="27" t="s">
        <v>2680</v>
      </c>
      <c r="L11544" s="27" t="s">
        <v>3169</v>
      </c>
      <c r="N11544" s="27" t="s">
        <v>15337</v>
      </c>
      <c r="P11544" s="27" t="s">
        <v>15339</v>
      </c>
      <c r="Q11544" s="26" t="str">
        <f>HYPERLINK("https://ictv.global/taxonomy/taxondetails?taxnode_id=202516765&amp;ictv_id=ICTV202316765","ICTV202316765")</f>
        <v>ICTV202316765</v>
      </c>
      <c r="R11544" t="s">
        <v>581</v>
      </c>
      <c r="S11544" t="s">
        <v>823</v>
      </c>
      <c r="T11544">
        <v>39</v>
      </c>
      <c r="U11544" s="26" t="str">
        <f t="shared" si="425"/>
        <v>2023.001B.Leviviricetes_reorg.zip</v>
      </c>
    </row>
    <row r="11545" spans="1:21">
      <c r="A11545">
        <v>11544</v>
      </c>
      <c r="B11545" s="27" t="s">
        <v>1124</v>
      </c>
      <c r="D11545" s="27" t="s">
        <v>1859</v>
      </c>
      <c r="F11545" s="27" t="s">
        <v>1881</v>
      </c>
      <c r="H11545" s="27" t="s">
        <v>2679</v>
      </c>
      <c r="J11545" s="27" t="s">
        <v>2680</v>
      </c>
      <c r="L11545" s="27" t="s">
        <v>3169</v>
      </c>
      <c r="N11545" s="27" t="s">
        <v>15340</v>
      </c>
      <c r="P11545" s="27" t="s">
        <v>15341</v>
      </c>
      <c r="Q11545" s="26" t="str">
        <f>HYPERLINK("https://ictv.global/taxonomy/taxondetails?taxnode_id=202516766&amp;ictv_id=ICTV202316766","ICTV202316766")</f>
        <v>ICTV202316766</v>
      </c>
      <c r="R11545" t="s">
        <v>581</v>
      </c>
      <c r="S11545" t="s">
        <v>823</v>
      </c>
      <c r="T11545">
        <v>39</v>
      </c>
      <c r="U11545" s="26" t="str">
        <f t="shared" si="425"/>
        <v>2023.001B.Leviviricetes_reorg.zip</v>
      </c>
    </row>
    <row r="11546" spans="1:21">
      <c r="A11546">
        <v>11545</v>
      </c>
      <c r="B11546" s="27" t="s">
        <v>1124</v>
      </c>
      <c r="D11546" s="27" t="s">
        <v>1859</v>
      </c>
      <c r="F11546" s="27" t="s">
        <v>1881</v>
      </c>
      <c r="H11546" s="27" t="s">
        <v>2679</v>
      </c>
      <c r="J11546" s="27" t="s">
        <v>2680</v>
      </c>
      <c r="L11546" s="27" t="s">
        <v>3169</v>
      </c>
      <c r="N11546" s="27" t="s">
        <v>15340</v>
      </c>
      <c r="P11546" s="27" t="s">
        <v>15342</v>
      </c>
      <c r="Q11546" s="26" t="str">
        <f>HYPERLINK("https://ictv.global/taxonomy/taxondetails?taxnode_id=202516767&amp;ictv_id=ICTV202316767","ICTV202316767")</f>
        <v>ICTV202316767</v>
      </c>
      <c r="R11546" t="s">
        <v>581</v>
      </c>
      <c r="S11546" t="s">
        <v>823</v>
      </c>
      <c r="T11546">
        <v>39</v>
      </c>
      <c r="U11546" s="26" t="str">
        <f t="shared" si="425"/>
        <v>2023.001B.Leviviricetes_reorg.zip</v>
      </c>
    </row>
    <row r="11547" spans="1:21">
      <c r="A11547">
        <v>11546</v>
      </c>
      <c r="B11547" s="27" t="s">
        <v>1124</v>
      </c>
      <c r="D11547" s="27" t="s">
        <v>1859</v>
      </c>
      <c r="F11547" s="27" t="s">
        <v>1881</v>
      </c>
      <c r="H11547" s="27" t="s">
        <v>2679</v>
      </c>
      <c r="J11547" s="27" t="s">
        <v>2680</v>
      </c>
      <c r="L11547" s="27" t="s">
        <v>3169</v>
      </c>
      <c r="N11547" s="27" t="s">
        <v>15340</v>
      </c>
      <c r="P11547" s="27" t="s">
        <v>15343</v>
      </c>
      <c r="Q11547" s="26" t="str">
        <f>HYPERLINK("https://ictv.global/taxonomy/taxondetails?taxnode_id=202516768&amp;ictv_id=ICTV202316768","ICTV202316768")</f>
        <v>ICTV202316768</v>
      </c>
      <c r="R11547" t="s">
        <v>581</v>
      </c>
      <c r="S11547" t="s">
        <v>823</v>
      </c>
      <c r="T11547">
        <v>39</v>
      </c>
      <c r="U11547" s="26" t="str">
        <f t="shared" si="425"/>
        <v>2023.001B.Leviviricetes_reorg.zip</v>
      </c>
    </row>
    <row r="11548" spans="1:21">
      <c r="A11548">
        <v>11547</v>
      </c>
      <c r="B11548" s="27" t="s">
        <v>1124</v>
      </c>
      <c r="D11548" s="27" t="s">
        <v>1859</v>
      </c>
      <c r="F11548" s="27" t="s">
        <v>1881</v>
      </c>
      <c r="H11548" s="27" t="s">
        <v>2679</v>
      </c>
      <c r="J11548" s="27" t="s">
        <v>2680</v>
      </c>
      <c r="L11548" s="27" t="s">
        <v>3169</v>
      </c>
      <c r="N11548" s="27" t="s">
        <v>15340</v>
      </c>
      <c r="P11548" s="27" t="s">
        <v>15344</v>
      </c>
      <c r="Q11548" s="26" t="str">
        <f>HYPERLINK("https://ictv.global/taxonomy/taxondetails?taxnode_id=202516769&amp;ictv_id=ICTV202316769","ICTV202316769")</f>
        <v>ICTV202316769</v>
      </c>
      <c r="R11548" t="s">
        <v>581</v>
      </c>
      <c r="S11548" t="s">
        <v>823</v>
      </c>
      <c r="T11548">
        <v>39</v>
      </c>
      <c r="U11548" s="26" t="str">
        <f t="shared" si="425"/>
        <v>2023.001B.Leviviricetes_reorg.zip</v>
      </c>
    </row>
    <row r="11549" spans="1:21">
      <c r="A11549">
        <v>11548</v>
      </c>
      <c r="B11549" s="27" t="s">
        <v>1124</v>
      </c>
      <c r="D11549" s="27" t="s">
        <v>1859</v>
      </c>
      <c r="F11549" s="27" t="s">
        <v>1881</v>
      </c>
      <c r="H11549" s="27" t="s">
        <v>2679</v>
      </c>
      <c r="J11549" s="27" t="s">
        <v>2680</v>
      </c>
      <c r="L11549" s="27" t="s">
        <v>3169</v>
      </c>
      <c r="N11549" s="27" t="s">
        <v>15340</v>
      </c>
      <c r="P11549" s="27" t="s">
        <v>15345</v>
      </c>
      <c r="Q11549" s="26" t="str">
        <f>HYPERLINK("https://ictv.global/taxonomy/taxondetails?taxnode_id=202516770&amp;ictv_id=ICTV202316770","ICTV202316770")</f>
        <v>ICTV202316770</v>
      </c>
      <c r="R11549" t="s">
        <v>581</v>
      </c>
      <c r="S11549" t="s">
        <v>823</v>
      </c>
      <c r="T11549">
        <v>39</v>
      </c>
      <c r="U11549" s="26" t="str">
        <f t="shared" si="425"/>
        <v>2023.001B.Leviviricetes_reorg.zip</v>
      </c>
    </row>
    <row r="11550" spans="1:21">
      <c r="A11550">
        <v>11549</v>
      </c>
      <c r="B11550" s="27" t="s">
        <v>1124</v>
      </c>
      <c r="D11550" s="27" t="s">
        <v>1859</v>
      </c>
      <c r="F11550" s="27" t="s">
        <v>1881</v>
      </c>
      <c r="H11550" s="27" t="s">
        <v>2679</v>
      </c>
      <c r="J11550" s="27" t="s">
        <v>2680</v>
      </c>
      <c r="L11550" s="27" t="s">
        <v>3169</v>
      </c>
      <c r="N11550" s="27" t="s">
        <v>15340</v>
      </c>
      <c r="P11550" s="27" t="s">
        <v>15346</v>
      </c>
      <c r="Q11550" s="26" t="str">
        <f>HYPERLINK("https://ictv.global/taxonomy/taxondetails?taxnode_id=202516771&amp;ictv_id=ICTV202316771","ICTV202316771")</f>
        <v>ICTV202316771</v>
      </c>
      <c r="R11550" t="s">
        <v>581</v>
      </c>
      <c r="S11550" t="s">
        <v>823</v>
      </c>
      <c r="T11550">
        <v>39</v>
      </c>
      <c r="U11550" s="26" t="str">
        <f t="shared" si="425"/>
        <v>2023.001B.Leviviricetes_reorg.zip</v>
      </c>
    </row>
    <row r="11551" spans="1:21">
      <c r="A11551">
        <v>11550</v>
      </c>
      <c r="B11551" s="27" t="s">
        <v>1124</v>
      </c>
      <c r="D11551" s="27" t="s">
        <v>1859</v>
      </c>
      <c r="F11551" s="27" t="s">
        <v>1881</v>
      </c>
      <c r="H11551" s="27" t="s">
        <v>2679</v>
      </c>
      <c r="J11551" s="27" t="s">
        <v>2680</v>
      </c>
      <c r="L11551" s="27" t="s">
        <v>3169</v>
      </c>
      <c r="N11551" s="27" t="s">
        <v>15340</v>
      </c>
      <c r="P11551" s="27" t="s">
        <v>15347</v>
      </c>
      <c r="Q11551" s="26" t="str">
        <f>HYPERLINK("https://ictv.global/taxonomy/taxondetails?taxnode_id=202516772&amp;ictv_id=ICTV202316772","ICTV202316772")</f>
        <v>ICTV202316772</v>
      </c>
      <c r="R11551" t="s">
        <v>581</v>
      </c>
      <c r="S11551" t="s">
        <v>823</v>
      </c>
      <c r="T11551">
        <v>39</v>
      </c>
      <c r="U11551" s="26" t="str">
        <f t="shared" si="425"/>
        <v>2023.001B.Leviviricetes_reorg.zip</v>
      </c>
    </row>
    <row r="11552" spans="1:21">
      <c r="A11552">
        <v>11551</v>
      </c>
      <c r="B11552" s="27" t="s">
        <v>1124</v>
      </c>
      <c r="D11552" s="27" t="s">
        <v>1859</v>
      </c>
      <c r="F11552" s="27" t="s">
        <v>1881</v>
      </c>
      <c r="H11552" s="27" t="s">
        <v>2679</v>
      </c>
      <c r="J11552" s="27" t="s">
        <v>2680</v>
      </c>
      <c r="L11552" s="27" t="s">
        <v>3169</v>
      </c>
      <c r="N11552" s="27" t="s">
        <v>15340</v>
      </c>
      <c r="P11552" s="27" t="s">
        <v>15348</v>
      </c>
      <c r="Q11552" s="26" t="str">
        <f>HYPERLINK("https://ictv.global/taxonomy/taxondetails?taxnode_id=202516773&amp;ictv_id=ICTV202316773","ICTV202316773")</f>
        <v>ICTV202316773</v>
      </c>
      <c r="R11552" t="s">
        <v>581</v>
      </c>
      <c r="S11552" t="s">
        <v>823</v>
      </c>
      <c r="T11552">
        <v>39</v>
      </c>
      <c r="U11552" s="26" t="str">
        <f t="shared" si="425"/>
        <v>2023.001B.Leviviricetes_reorg.zip</v>
      </c>
    </row>
    <row r="11553" spans="1:21">
      <c r="A11553">
        <v>11552</v>
      </c>
      <c r="B11553" s="27" t="s">
        <v>1124</v>
      </c>
      <c r="D11553" s="27" t="s">
        <v>1859</v>
      </c>
      <c r="F11553" s="27" t="s">
        <v>1881</v>
      </c>
      <c r="H11553" s="27" t="s">
        <v>2679</v>
      </c>
      <c r="J11553" s="27" t="s">
        <v>2680</v>
      </c>
      <c r="L11553" s="27" t="s">
        <v>3169</v>
      </c>
      <c r="N11553" s="27" t="s">
        <v>15340</v>
      </c>
      <c r="P11553" s="27" t="s">
        <v>15349</v>
      </c>
      <c r="Q11553" s="26" t="str">
        <f>HYPERLINK("https://ictv.global/taxonomy/taxondetails?taxnode_id=202516774&amp;ictv_id=ICTV202316774","ICTV202316774")</f>
        <v>ICTV202316774</v>
      </c>
      <c r="R11553" t="s">
        <v>581</v>
      </c>
      <c r="S11553" t="s">
        <v>823</v>
      </c>
      <c r="T11553">
        <v>39</v>
      </c>
      <c r="U11553" s="26" t="str">
        <f t="shared" si="425"/>
        <v>2023.001B.Leviviricetes_reorg.zip</v>
      </c>
    </row>
    <row r="11554" spans="1:21">
      <c r="A11554">
        <v>11553</v>
      </c>
      <c r="B11554" s="27" t="s">
        <v>1124</v>
      </c>
      <c r="D11554" s="27" t="s">
        <v>1859</v>
      </c>
      <c r="F11554" s="27" t="s">
        <v>1881</v>
      </c>
      <c r="H11554" s="27" t="s">
        <v>2679</v>
      </c>
      <c r="J11554" s="27" t="s">
        <v>2680</v>
      </c>
      <c r="L11554" s="27" t="s">
        <v>3169</v>
      </c>
      <c r="N11554" s="27" t="s">
        <v>15340</v>
      </c>
      <c r="P11554" s="27" t="s">
        <v>15350</v>
      </c>
      <c r="Q11554" s="26" t="str">
        <f>HYPERLINK("https://ictv.global/taxonomy/taxondetails?taxnode_id=202516775&amp;ictv_id=ICTV202316775","ICTV202316775")</f>
        <v>ICTV202316775</v>
      </c>
      <c r="R11554" t="s">
        <v>581</v>
      </c>
      <c r="S11554" t="s">
        <v>823</v>
      </c>
      <c r="T11554">
        <v>39</v>
      </c>
      <c r="U11554" s="26" t="str">
        <f t="shared" si="425"/>
        <v>2023.001B.Leviviricetes_reorg.zip</v>
      </c>
    </row>
    <row r="11555" spans="1:21">
      <c r="A11555">
        <v>11554</v>
      </c>
      <c r="B11555" s="27" t="s">
        <v>1124</v>
      </c>
      <c r="D11555" s="27" t="s">
        <v>1859</v>
      </c>
      <c r="F11555" s="27" t="s">
        <v>1881</v>
      </c>
      <c r="H11555" s="27" t="s">
        <v>2679</v>
      </c>
      <c r="J11555" s="27" t="s">
        <v>2680</v>
      </c>
      <c r="L11555" s="27" t="s">
        <v>3169</v>
      </c>
      <c r="N11555" s="27" t="s">
        <v>15340</v>
      </c>
      <c r="P11555" s="27" t="s">
        <v>15351</v>
      </c>
      <c r="Q11555" s="26" t="str">
        <f>HYPERLINK("https://ictv.global/taxonomy/taxondetails?taxnode_id=202516776&amp;ictv_id=ICTV202316776","ICTV202316776")</f>
        <v>ICTV202316776</v>
      </c>
      <c r="R11555" t="s">
        <v>581</v>
      </c>
      <c r="S11555" t="s">
        <v>823</v>
      </c>
      <c r="T11555">
        <v>39</v>
      </c>
      <c r="U11555" s="26" t="str">
        <f t="shared" si="425"/>
        <v>2023.001B.Leviviricetes_reorg.zip</v>
      </c>
    </row>
    <row r="11556" spans="1:21">
      <c r="A11556">
        <v>11555</v>
      </c>
      <c r="B11556" s="27" t="s">
        <v>1124</v>
      </c>
      <c r="D11556" s="27" t="s">
        <v>1859</v>
      </c>
      <c r="F11556" s="27" t="s">
        <v>1881</v>
      </c>
      <c r="H11556" s="27" t="s">
        <v>2679</v>
      </c>
      <c r="J11556" s="27" t="s">
        <v>2680</v>
      </c>
      <c r="L11556" s="27" t="s">
        <v>3169</v>
      </c>
      <c r="N11556" s="27" t="s">
        <v>15340</v>
      </c>
      <c r="P11556" s="27" t="s">
        <v>15352</v>
      </c>
      <c r="Q11556" s="26" t="str">
        <f>HYPERLINK("https://ictv.global/taxonomy/taxondetails?taxnode_id=202516777&amp;ictv_id=ICTV202316777","ICTV202316777")</f>
        <v>ICTV202316777</v>
      </c>
      <c r="R11556" t="s">
        <v>581</v>
      </c>
      <c r="S11556" t="s">
        <v>823</v>
      </c>
      <c r="T11556">
        <v>39</v>
      </c>
      <c r="U11556" s="26" t="str">
        <f t="shared" si="425"/>
        <v>2023.001B.Leviviricetes_reorg.zip</v>
      </c>
    </row>
    <row r="11557" spans="1:21">
      <c r="A11557">
        <v>11556</v>
      </c>
      <c r="B11557" s="27" t="s">
        <v>1124</v>
      </c>
      <c r="D11557" s="27" t="s">
        <v>1859</v>
      </c>
      <c r="F11557" s="27" t="s">
        <v>1881</v>
      </c>
      <c r="H11557" s="27" t="s">
        <v>2679</v>
      </c>
      <c r="J11557" s="27" t="s">
        <v>2680</v>
      </c>
      <c r="L11557" s="27" t="s">
        <v>3169</v>
      </c>
      <c r="N11557" s="27" t="s">
        <v>15340</v>
      </c>
      <c r="P11557" s="27" t="s">
        <v>15353</v>
      </c>
      <c r="Q11557" s="26" t="str">
        <f>HYPERLINK("https://ictv.global/taxonomy/taxondetails?taxnode_id=202516778&amp;ictv_id=ICTV202316778","ICTV202316778")</f>
        <v>ICTV202316778</v>
      </c>
      <c r="R11557" t="s">
        <v>581</v>
      </c>
      <c r="S11557" t="s">
        <v>823</v>
      </c>
      <c r="T11557">
        <v>39</v>
      </c>
      <c r="U11557" s="26" t="str">
        <f t="shared" si="425"/>
        <v>2023.001B.Leviviricetes_reorg.zip</v>
      </c>
    </row>
    <row r="11558" spans="1:21">
      <c r="A11558">
        <v>11557</v>
      </c>
      <c r="B11558" s="27" t="s">
        <v>1124</v>
      </c>
      <c r="D11558" s="27" t="s">
        <v>1859</v>
      </c>
      <c r="F11558" s="27" t="s">
        <v>1881</v>
      </c>
      <c r="H11558" s="27" t="s">
        <v>2679</v>
      </c>
      <c r="J11558" s="27" t="s">
        <v>2680</v>
      </c>
      <c r="L11558" s="27" t="s">
        <v>3169</v>
      </c>
      <c r="N11558" s="27" t="s">
        <v>15354</v>
      </c>
      <c r="P11558" s="27" t="s">
        <v>15355</v>
      </c>
      <c r="Q11558" s="26" t="str">
        <f>HYPERLINK("https://ictv.global/taxonomy/taxondetails?taxnode_id=202516779&amp;ictv_id=ICTV202316779","ICTV202316779")</f>
        <v>ICTV202316779</v>
      </c>
      <c r="R11558" t="s">
        <v>581</v>
      </c>
      <c r="S11558" t="s">
        <v>823</v>
      </c>
      <c r="T11558">
        <v>39</v>
      </c>
      <c r="U11558" s="26" t="str">
        <f t="shared" si="425"/>
        <v>2023.001B.Leviviricetes_reorg.zip</v>
      </c>
    </row>
    <row r="11559" spans="1:21">
      <c r="A11559">
        <v>11558</v>
      </c>
      <c r="B11559" s="27" t="s">
        <v>1124</v>
      </c>
      <c r="D11559" s="27" t="s">
        <v>1859</v>
      </c>
      <c r="F11559" s="27" t="s">
        <v>1881</v>
      </c>
      <c r="H11559" s="27" t="s">
        <v>2679</v>
      </c>
      <c r="J11559" s="27" t="s">
        <v>2680</v>
      </c>
      <c r="L11559" s="27" t="s">
        <v>3169</v>
      </c>
      <c r="N11559" s="27" t="s">
        <v>15354</v>
      </c>
      <c r="P11559" s="27" t="s">
        <v>15356</v>
      </c>
      <c r="Q11559" s="26" t="str">
        <f>HYPERLINK("https://ictv.global/taxonomy/taxondetails?taxnode_id=202516780&amp;ictv_id=ICTV202316780","ICTV202316780")</f>
        <v>ICTV202316780</v>
      </c>
      <c r="R11559" t="s">
        <v>581</v>
      </c>
      <c r="S11559" t="s">
        <v>823</v>
      </c>
      <c r="T11559">
        <v>39</v>
      </c>
      <c r="U11559" s="26" t="str">
        <f t="shared" si="425"/>
        <v>2023.001B.Leviviricetes_reorg.zip</v>
      </c>
    </row>
    <row r="11560" spans="1:21">
      <c r="A11560">
        <v>11559</v>
      </c>
      <c r="B11560" s="27" t="s">
        <v>1124</v>
      </c>
      <c r="D11560" s="27" t="s">
        <v>1859</v>
      </c>
      <c r="F11560" s="27" t="s">
        <v>1881</v>
      </c>
      <c r="H11560" s="27" t="s">
        <v>2679</v>
      </c>
      <c r="J11560" s="27" t="s">
        <v>2680</v>
      </c>
      <c r="L11560" s="27" t="s">
        <v>3169</v>
      </c>
      <c r="N11560" s="27" t="s">
        <v>15357</v>
      </c>
      <c r="P11560" s="27" t="s">
        <v>15358</v>
      </c>
      <c r="Q11560" s="26" t="str">
        <f>HYPERLINK("https://ictv.global/taxonomy/taxondetails?taxnode_id=202516781&amp;ictv_id=ICTV202316781","ICTV202316781")</f>
        <v>ICTV202316781</v>
      </c>
      <c r="R11560" t="s">
        <v>581</v>
      </c>
      <c r="S11560" t="s">
        <v>823</v>
      </c>
      <c r="T11560">
        <v>39</v>
      </c>
      <c r="U11560" s="26" t="str">
        <f t="shared" si="425"/>
        <v>2023.001B.Leviviricetes_reorg.zip</v>
      </c>
    </row>
    <row r="11561" spans="1:21">
      <c r="A11561">
        <v>11560</v>
      </c>
      <c r="B11561" s="27" t="s">
        <v>1124</v>
      </c>
      <c r="D11561" s="27" t="s">
        <v>1859</v>
      </c>
      <c r="F11561" s="27" t="s">
        <v>1881</v>
      </c>
      <c r="H11561" s="27" t="s">
        <v>2679</v>
      </c>
      <c r="J11561" s="27" t="s">
        <v>2680</v>
      </c>
      <c r="L11561" s="27" t="s">
        <v>3169</v>
      </c>
      <c r="N11561" s="27" t="s">
        <v>15359</v>
      </c>
      <c r="P11561" s="27" t="s">
        <v>15360</v>
      </c>
      <c r="Q11561" s="26" t="str">
        <f>HYPERLINK("https://ictv.global/taxonomy/taxondetails?taxnode_id=202516782&amp;ictv_id=ICTV202316782","ICTV202316782")</f>
        <v>ICTV202316782</v>
      </c>
      <c r="R11561" t="s">
        <v>581</v>
      </c>
      <c r="S11561" t="s">
        <v>823</v>
      </c>
      <c r="T11561">
        <v>39</v>
      </c>
      <c r="U11561" s="26" t="str">
        <f t="shared" si="425"/>
        <v>2023.001B.Leviviricetes_reorg.zip</v>
      </c>
    </row>
    <row r="11562" spans="1:21">
      <c r="A11562">
        <v>11561</v>
      </c>
      <c r="B11562" s="27" t="s">
        <v>1124</v>
      </c>
      <c r="D11562" s="27" t="s">
        <v>1859</v>
      </c>
      <c r="F11562" s="27" t="s">
        <v>1881</v>
      </c>
      <c r="H11562" s="27" t="s">
        <v>2679</v>
      </c>
      <c r="J11562" s="27" t="s">
        <v>2680</v>
      </c>
      <c r="L11562" s="27" t="s">
        <v>3169</v>
      </c>
      <c r="N11562" s="27" t="s">
        <v>15361</v>
      </c>
      <c r="P11562" s="27" t="s">
        <v>15362</v>
      </c>
      <c r="Q11562" s="26" t="str">
        <f>HYPERLINK("https://ictv.global/taxonomy/taxondetails?taxnode_id=202516783&amp;ictv_id=ICTV202316783","ICTV202316783")</f>
        <v>ICTV202316783</v>
      </c>
      <c r="R11562" t="s">
        <v>581</v>
      </c>
      <c r="S11562" t="s">
        <v>823</v>
      </c>
      <c r="T11562">
        <v>39</v>
      </c>
      <c r="U11562" s="26" t="str">
        <f t="shared" si="425"/>
        <v>2023.001B.Leviviricetes_reorg.zip</v>
      </c>
    </row>
    <row r="11563" spans="1:21">
      <c r="A11563">
        <v>11562</v>
      </c>
      <c r="B11563" s="27" t="s">
        <v>1124</v>
      </c>
      <c r="D11563" s="27" t="s">
        <v>1859</v>
      </c>
      <c r="F11563" s="27" t="s">
        <v>1881</v>
      </c>
      <c r="H11563" s="27" t="s">
        <v>2679</v>
      </c>
      <c r="J11563" s="27" t="s">
        <v>2680</v>
      </c>
      <c r="L11563" s="27" t="s">
        <v>3169</v>
      </c>
      <c r="N11563" s="27" t="s">
        <v>15363</v>
      </c>
      <c r="P11563" s="27" t="s">
        <v>15364</v>
      </c>
      <c r="Q11563" s="26" t="str">
        <f>HYPERLINK("https://ictv.global/taxonomy/taxondetails?taxnode_id=202516784&amp;ictv_id=ICTV202316784","ICTV202316784")</f>
        <v>ICTV202316784</v>
      </c>
      <c r="R11563" t="s">
        <v>581</v>
      </c>
      <c r="S11563" t="s">
        <v>823</v>
      </c>
      <c r="T11563">
        <v>39</v>
      </c>
      <c r="U11563" s="26" t="str">
        <f t="shared" si="425"/>
        <v>2023.001B.Leviviricetes_reorg.zip</v>
      </c>
    </row>
    <row r="11564" spans="1:21">
      <c r="A11564">
        <v>11563</v>
      </c>
      <c r="B11564" s="27" t="s">
        <v>1124</v>
      </c>
      <c r="D11564" s="27" t="s">
        <v>1859</v>
      </c>
      <c r="F11564" s="27" t="s">
        <v>1881</v>
      </c>
      <c r="H11564" s="27" t="s">
        <v>2679</v>
      </c>
      <c r="J11564" s="27" t="s">
        <v>2680</v>
      </c>
      <c r="L11564" s="27" t="s">
        <v>3169</v>
      </c>
      <c r="N11564" s="27" t="s">
        <v>15363</v>
      </c>
      <c r="P11564" s="27" t="s">
        <v>15365</v>
      </c>
      <c r="Q11564" s="26" t="str">
        <f>HYPERLINK("https://ictv.global/taxonomy/taxondetails?taxnode_id=202516785&amp;ictv_id=ICTV202316785","ICTV202316785")</f>
        <v>ICTV202316785</v>
      </c>
      <c r="R11564" t="s">
        <v>581</v>
      </c>
      <c r="S11564" t="s">
        <v>823</v>
      </c>
      <c r="T11564">
        <v>39</v>
      </c>
      <c r="U11564" s="26" t="str">
        <f t="shared" si="425"/>
        <v>2023.001B.Leviviricetes_reorg.zip</v>
      </c>
    </row>
    <row r="11565" spans="1:21">
      <c r="A11565">
        <v>11564</v>
      </c>
      <c r="B11565" s="27" t="s">
        <v>1124</v>
      </c>
      <c r="D11565" s="27" t="s">
        <v>1859</v>
      </c>
      <c r="F11565" s="27" t="s">
        <v>1881</v>
      </c>
      <c r="H11565" s="27" t="s">
        <v>2679</v>
      </c>
      <c r="J11565" s="27" t="s">
        <v>2680</v>
      </c>
      <c r="L11565" s="27" t="s">
        <v>3169</v>
      </c>
      <c r="N11565" s="27" t="s">
        <v>15366</v>
      </c>
      <c r="P11565" s="27" t="s">
        <v>15367</v>
      </c>
      <c r="Q11565" s="26" t="str">
        <f>HYPERLINK("https://ictv.global/taxonomy/taxondetails?taxnode_id=202516786&amp;ictv_id=ICTV202316786","ICTV202316786")</f>
        <v>ICTV202316786</v>
      </c>
      <c r="R11565" t="s">
        <v>581</v>
      </c>
      <c r="S11565" t="s">
        <v>823</v>
      </c>
      <c r="T11565">
        <v>39</v>
      </c>
      <c r="U11565" s="26" t="str">
        <f t="shared" si="425"/>
        <v>2023.001B.Leviviricetes_reorg.zip</v>
      </c>
    </row>
    <row r="11566" spans="1:21">
      <c r="A11566">
        <v>11565</v>
      </c>
      <c r="B11566" s="27" t="s">
        <v>1124</v>
      </c>
      <c r="D11566" s="27" t="s">
        <v>1859</v>
      </c>
      <c r="F11566" s="27" t="s">
        <v>1881</v>
      </c>
      <c r="H11566" s="27" t="s">
        <v>2679</v>
      </c>
      <c r="J11566" s="27" t="s">
        <v>2680</v>
      </c>
      <c r="L11566" s="27" t="s">
        <v>3169</v>
      </c>
      <c r="N11566" s="27" t="s">
        <v>15368</v>
      </c>
      <c r="P11566" s="27" t="s">
        <v>15369</v>
      </c>
      <c r="Q11566" s="26" t="str">
        <f>HYPERLINK("https://ictv.global/taxonomy/taxondetails?taxnode_id=202516787&amp;ictv_id=ICTV202316787","ICTV202316787")</f>
        <v>ICTV202316787</v>
      </c>
      <c r="R11566" t="s">
        <v>581</v>
      </c>
      <c r="S11566" t="s">
        <v>823</v>
      </c>
      <c r="T11566">
        <v>39</v>
      </c>
      <c r="U11566" s="26" t="str">
        <f t="shared" ref="U11566:U11597" si="426">HYPERLINK("https://ictv.global/ictv/proposals/2023.001B.Leviviricetes_reorg.zip","2023.001B.Leviviricetes_reorg.zip")</f>
        <v>2023.001B.Leviviricetes_reorg.zip</v>
      </c>
    </row>
    <row r="11567" spans="1:21">
      <c r="A11567">
        <v>11566</v>
      </c>
      <c r="B11567" s="27" t="s">
        <v>1124</v>
      </c>
      <c r="D11567" s="27" t="s">
        <v>1859</v>
      </c>
      <c r="F11567" s="27" t="s">
        <v>1881</v>
      </c>
      <c r="H11567" s="27" t="s">
        <v>2679</v>
      </c>
      <c r="J11567" s="27" t="s">
        <v>2680</v>
      </c>
      <c r="L11567" s="27" t="s">
        <v>3169</v>
      </c>
      <c r="N11567" s="27" t="s">
        <v>15370</v>
      </c>
      <c r="P11567" s="27" t="s">
        <v>15371</v>
      </c>
      <c r="Q11567" s="26" t="str">
        <f>HYPERLINK("https://ictv.global/taxonomy/taxondetails?taxnode_id=202516788&amp;ictv_id=ICTV202316788","ICTV202316788")</f>
        <v>ICTV202316788</v>
      </c>
      <c r="R11567" t="s">
        <v>581</v>
      </c>
      <c r="S11567" t="s">
        <v>823</v>
      </c>
      <c r="T11567">
        <v>39</v>
      </c>
      <c r="U11567" s="26" t="str">
        <f t="shared" si="426"/>
        <v>2023.001B.Leviviricetes_reorg.zip</v>
      </c>
    </row>
    <row r="11568" spans="1:21">
      <c r="A11568">
        <v>11567</v>
      </c>
      <c r="B11568" s="27" t="s">
        <v>1124</v>
      </c>
      <c r="D11568" s="27" t="s">
        <v>1859</v>
      </c>
      <c r="F11568" s="27" t="s">
        <v>1881</v>
      </c>
      <c r="H11568" s="27" t="s">
        <v>2679</v>
      </c>
      <c r="J11568" s="27" t="s">
        <v>2680</v>
      </c>
      <c r="L11568" s="27" t="s">
        <v>3169</v>
      </c>
      <c r="N11568" s="27" t="s">
        <v>15372</v>
      </c>
      <c r="P11568" s="27" t="s">
        <v>15373</v>
      </c>
      <c r="Q11568" s="26" t="str">
        <f>HYPERLINK("https://ictv.global/taxonomy/taxondetails?taxnode_id=202516789&amp;ictv_id=ICTV202316789","ICTV202316789")</f>
        <v>ICTV202316789</v>
      </c>
      <c r="R11568" t="s">
        <v>581</v>
      </c>
      <c r="S11568" t="s">
        <v>823</v>
      </c>
      <c r="T11568">
        <v>39</v>
      </c>
      <c r="U11568" s="26" t="str">
        <f t="shared" si="426"/>
        <v>2023.001B.Leviviricetes_reorg.zip</v>
      </c>
    </row>
    <row r="11569" spans="1:21">
      <c r="A11569">
        <v>11568</v>
      </c>
      <c r="B11569" s="27" t="s">
        <v>1124</v>
      </c>
      <c r="D11569" s="27" t="s">
        <v>1859</v>
      </c>
      <c r="F11569" s="27" t="s">
        <v>1881</v>
      </c>
      <c r="H11569" s="27" t="s">
        <v>2679</v>
      </c>
      <c r="J11569" s="27" t="s">
        <v>2680</v>
      </c>
      <c r="L11569" s="27" t="s">
        <v>3169</v>
      </c>
      <c r="N11569" s="27" t="s">
        <v>15372</v>
      </c>
      <c r="P11569" s="27" t="s">
        <v>15374</v>
      </c>
      <c r="Q11569" s="26" t="str">
        <f>HYPERLINK("https://ictv.global/taxonomy/taxondetails?taxnode_id=202516790&amp;ictv_id=ICTV202316790","ICTV202316790")</f>
        <v>ICTV202316790</v>
      </c>
      <c r="R11569" t="s">
        <v>581</v>
      </c>
      <c r="S11569" t="s">
        <v>823</v>
      </c>
      <c r="T11569">
        <v>39</v>
      </c>
      <c r="U11569" s="26" t="str">
        <f t="shared" si="426"/>
        <v>2023.001B.Leviviricetes_reorg.zip</v>
      </c>
    </row>
    <row r="11570" spans="1:21">
      <c r="A11570">
        <v>11569</v>
      </c>
      <c r="B11570" s="27" t="s">
        <v>1124</v>
      </c>
      <c r="D11570" s="27" t="s">
        <v>1859</v>
      </c>
      <c r="F11570" s="27" t="s">
        <v>1881</v>
      </c>
      <c r="H11570" s="27" t="s">
        <v>2679</v>
      </c>
      <c r="J11570" s="27" t="s">
        <v>2680</v>
      </c>
      <c r="L11570" s="27" t="s">
        <v>3169</v>
      </c>
      <c r="N11570" s="27" t="s">
        <v>15372</v>
      </c>
      <c r="P11570" s="27" t="s">
        <v>15375</v>
      </c>
      <c r="Q11570" s="26" t="str">
        <f>HYPERLINK("https://ictv.global/taxonomy/taxondetails?taxnode_id=202516791&amp;ictv_id=ICTV202316791","ICTV202316791")</f>
        <v>ICTV202316791</v>
      </c>
      <c r="R11570" t="s">
        <v>581</v>
      </c>
      <c r="S11570" t="s">
        <v>823</v>
      </c>
      <c r="T11570">
        <v>39</v>
      </c>
      <c r="U11570" s="26" t="str">
        <f t="shared" si="426"/>
        <v>2023.001B.Leviviricetes_reorg.zip</v>
      </c>
    </row>
    <row r="11571" spans="1:21">
      <c r="A11571">
        <v>11570</v>
      </c>
      <c r="B11571" s="27" t="s">
        <v>1124</v>
      </c>
      <c r="D11571" s="27" t="s">
        <v>1859</v>
      </c>
      <c r="F11571" s="27" t="s">
        <v>1881</v>
      </c>
      <c r="H11571" s="27" t="s">
        <v>2679</v>
      </c>
      <c r="J11571" s="27" t="s">
        <v>2680</v>
      </c>
      <c r="L11571" s="27" t="s">
        <v>3169</v>
      </c>
      <c r="N11571" s="27" t="s">
        <v>15372</v>
      </c>
      <c r="P11571" s="27" t="s">
        <v>15376</v>
      </c>
      <c r="Q11571" s="26" t="str">
        <f>HYPERLINK("https://ictv.global/taxonomy/taxondetails?taxnode_id=202510880&amp;ictv_id=ICTV202010880","ICTV202010880")</f>
        <v>ICTV202010880</v>
      </c>
      <c r="R11571" t="s">
        <v>581</v>
      </c>
      <c r="S11571" t="s">
        <v>22764</v>
      </c>
      <c r="T11571">
        <v>39</v>
      </c>
      <c r="U11571" s="26" t="str">
        <f t="shared" si="426"/>
        <v>2023.001B.Leviviricetes_reorg.zip</v>
      </c>
    </row>
    <row r="11572" spans="1:21">
      <c r="A11572">
        <v>11571</v>
      </c>
      <c r="B11572" s="27" t="s">
        <v>1124</v>
      </c>
      <c r="D11572" s="27" t="s">
        <v>1859</v>
      </c>
      <c r="F11572" s="27" t="s">
        <v>1881</v>
      </c>
      <c r="H11572" s="27" t="s">
        <v>2679</v>
      </c>
      <c r="J11572" s="27" t="s">
        <v>2680</v>
      </c>
      <c r="L11572" s="27" t="s">
        <v>3169</v>
      </c>
      <c r="N11572" s="27" t="s">
        <v>15372</v>
      </c>
      <c r="P11572" s="27" t="s">
        <v>15377</v>
      </c>
      <c r="Q11572" s="26" t="str">
        <f>HYPERLINK("https://ictv.global/taxonomy/taxondetails?taxnode_id=202516792&amp;ictv_id=ICTV202316792","ICTV202316792")</f>
        <v>ICTV202316792</v>
      </c>
      <c r="R11572" t="s">
        <v>581</v>
      </c>
      <c r="S11572" t="s">
        <v>823</v>
      </c>
      <c r="T11572">
        <v>39</v>
      </c>
      <c r="U11572" s="26" t="str">
        <f t="shared" si="426"/>
        <v>2023.001B.Leviviricetes_reorg.zip</v>
      </c>
    </row>
    <row r="11573" spans="1:21">
      <c r="A11573">
        <v>11572</v>
      </c>
      <c r="B11573" s="27" t="s">
        <v>1124</v>
      </c>
      <c r="D11573" s="27" t="s">
        <v>1859</v>
      </c>
      <c r="F11573" s="27" t="s">
        <v>1881</v>
      </c>
      <c r="H11573" s="27" t="s">
        <v>2679</v>
      </c>
      <c r="J11573" s="27" t="s">
        <v>2680</v>
      </c>
      <c r="L11573" s="27" t="s">
        <v>3169</v>
      </c>
      <c r="N11573" s="27" t="s">
        <v>15378</v>
      </c>
      <c r="P11573" s="27" t="s">
        <v>15379</v>
      </c>
      <c r="Q11573" s="26" t="str">
        <f>HYPERLINK("https://ictv.global/taxonomy/taxondetails?taxnode_id=202516793&amp;ictv_id=ICTV202316793","ICTV202316793")</f>
        <v>ICTV202316793</v>
      </c>
      <c r="R11573" t="s">
        <v>581</v>
      </c>
      <c r="S11573" t="s">
        <v>823</v>
      </c>
      <c r="T11573">
        <v>39</v>
      </c>
      <c r="U11573" s="26" t="str">
        <f t="shared" si="426"/>
        <v>2023.001B.Leviviricetes_reorg.zip</v>
      </c>
    </row>
    <row r="11574" spans="1:21">
      <c r="A11574">
        <v>11573</v>
      </c>
      <c r="B11574" s="27" t="s">
        <v>1124</v>
      </c>
      <c r="D11574" s="27" t="s">
        <v>1859</v>
      </c>
      <c r="F11574" s="27" t="s">
        <v>1881</v>
      </c>
      <c r="H11574" s="27" t="s">
        <v>2679</v>
      </c>
      <c r="J11574" s="27" t="s">
        <v>2680</v>
      </c>
      <c r="L11574" s="27" t="s">
        <v>3169</v>
      </c>
      <c r="N11574" s="27" t="s">
        <v>15378</v>
      </c>
      <c r="P11574" s="27" t="s">
        <v>15380</v>
      </c>
      <c r="Q11574" s="26" t="str">
        <f>HYPERLINK("https://ictv.global/taxonomy/taxondetails?taxnode_id=202516794&amp;ictv_id=ICTV202316794","ICTV202316794")</f>
        <v>ICTV202316794</v>
      </c>
      <c r="R11574" t="s">
        <v>581</v>
      </c>
      <c r="S11574" t="s">
        <v>823</v>
      </c>
      <c r="T11574">
        <v>39</v>
      </c>
      <c r="U11574" s="26" t="str">
        <f t="shared" si="426"/>
        <v>2023.001B.Leviviricetes_reorg.zip</v>
      </c>
    </row>
    <row r="11575" spans="1:21">
      <c r="A11575">
        <v>11574</v>
      </c>
      <c r="B11575" s="27" t="s">
        <v>1124</v>
      </c>
      <c r="D11575" s="27" t="s">
        <v>1859</v>
      </c>
      <c r="F11575" s="27" t="s">
        <v>1881</v>
      </c>
      <c r="H11575" s="27" t="s">
        <v>2679</v>
      </c>
      <c r="J11575" s="27" t="s">
        <v>2680</v>
      </c>
      <c r="L11575" s="27" t="s">
        <v>3169</v>
      </c>
      <c r="N11575" s="27" t="s">
        <v>15381</v>
      </c>
      <c r="P11575" s="27" t="s">
        <v>15382</v>
      </c>
      <c r="Q11575" s="26" t="str">
        <f>HYPERLINK("https://ictv.global/taxonomy/taxondetails?taxnode_id=202516795&amp;ictv_id=ICTV202316795","ICTV202316795")</f>
        <v>ICTV202316795</v>
      </c>
      <c r="R11575" t="s">
        <v>581</v>
      </c>
      <c r="S11575" t="s">
        <v>823</v>
      </c>
      <c r="T11575">
        <v>39</v>
      </c>
      <c r="U11575" s="26" t="str">
        <f t="shared" si="426"/>
        <v>2023.001B.Leviviricetes_reorg.zip</v>
      </c>
    </row>
    <row r="11576" spans="1:21">
      <c r="A11576">
        <v>11575</v>
      </c>
      <c r="B11576" s="27" t="s">
        <v>1124</v>
      </c>
      <c r="D11576" s="27" t="s">
        <v>1859</v>
      </c>
      <c r="F11576" s="27" t="s">
        <v>1881</v>
      </c>
      <c r="H11576" s="27" t="s">
        <v>2679</v>
      </c>
      <c r="J11576" s="27" t="s">
        <v>2680</v>
      </c>
      <c r="L11576" s="27" t="s">
        <v>3169</v>
      </c>
      <c r="N11576" s="27" t="s">
        <v>15383</v>
      </c>
      <c r="P11576" s="27" t="s">
        <v>15384</v>
      </c>
      <c r="Q11576" s="26" t="str">
        <f>HYPERLINK("https://ictv.global/taxonomy/taxondetails?taxnode_id=202516796&amp;ictv_id=ICTV202316796","ICTV202316796")</f>
        <v>ICTV202316796</v>
      </c>
      <c r="R11576" t="s">
        <v>581</v>
      </c>
      <c r="S11576" t="s">
        <v>823</v>
      </c>
      <c r="T11576">
        <v>39</v>
      </c>
      <c r="U11576" s="26" t="str">
        <f t="shared" si="426"/>
        <v>2023.001B.Leviviricetes_reorg.zip</v>
      </c>
    </row>
    <row r="11577" spans="1:21">
      <c r="A11577">
        <v>11576</v>
      </c>
      <c r="B11577" s="27" t="s">
        <v>1124</v>
      </c>
      <c r="D11577" s="27" t="s">
        <v>1859</v>
      </c>
      <c r="F11577" s="27" t="s">
        <v>1881</v>
      </c>
      <c r="H11577" s="27" t="s">
        <v>2679</v>
      </c>
      <c r="J11577" s="27" t="s">
        <v>2680</v>
      </c>
      <c r="L11577" s="27" t="s">
        <v>3169</v>
      </c>
      <c r="N11577" s="27" t="s">
        <v>15385</v>
      </c>
      <c r="P11577" s="27" t="s">
        <v>15386</v>
      </c>
      <c r="Q11577" s="26" t="str">
        <f>HYPERLINK("https://ictv.global/taxonomy/taxondetails?taxnode_id=202516797&amp;ictv_id=ICTV202316797","ICTV202316797")</f>
        <v>ICTV202316797</v>
      </c>
      <c r="R11577" t="s">
        <v>581</v>
      </c>
      <c r="S11577" t="s">
        <v>823</v>
      </c>
      <c r="T11577">
        <v>39</v>
      </c>
      <c r="U11577" s="26" t="str">
        <f t="shared" si="426"/>
        <v>2023.001B.Leviviricetes_reorg.zip</v>
      </c>
    </row>
    <row r="11578" spans="1:21">
      <c r="A11578">
        <v>11577</v>
      </c>
      <c r="B11578" s="27" t="s">
        <v>1124</v>
      </c>
      <c r="D11578" s="27" t="s">
        <v>1859</v>
      </c>
      <c r="F11578" s="27" t="s">
        <v>1881</v>
      </c>
      <c r="H11578" s="27" t="s">
        <v>2679</v>
      </c>
      <c r="J11578" s="27" t="s">
        <v>2680</v>
      </c>
      <c r="L11578" s="27" t="s">
        <v>3169</v>
      </c>
      <c r="N11578" s="27" t="s">
        <v>15387</v>
      </c>
      <c r="P11578" s="27" t="s">
        <v>15388</v>
      </c>
      <c r="Q11578" s="26" t="str">
        <f>HYPERLINK("https://ictv.global/taxonomy/taxondetails?taxnode_id=202516798&amp;ictv_id=ICTV202316798","ICTV202316798")</f>
        <v>ICTV202316798</v>
      </c>
      <c r="R11578" t="s">
        <v>581</v>
      </c>
      <c r="S11578" t="s">
        <v>823</v>
      </c>
      <c r="T11578">
        <v>39</v>
      </c>
      <c r="U11578" s="26" t="str">
        <f t="shared" si="426"/>
        <v>2023.001B.Leviviricetes_reorg.zip</v>
      </c>
    </row>
    <row r="11579" spans="1:21">
      <c r="A11579">
        <v>11578</v>
      </c>
      <c r="B11579" s="27" t="s">
        <v>1124</v>
      </c>
      <c r="D11579" s="27" t="s">
        <v>1859</v>
      </c>
      <c r="F11579" s="27" t="s">
        <v>1881</v>
      </c>
      <c r="H11579" s="27" t="s">
        <v>2679</v>
      </c>
      <c r="J11579" s="27" t="s">
        <v>2680</v>
      </c>
      <c r="L11579" s="27" t="s">
        <v>3169</v>
      </c>
      <c r="N11579" s="27" t="s">
        <v>15389</v>
      </c>
      <c r="P11579" s="27" t="s">
        <v>15390</v>
      </c>
      <c r="Q11579" s="26" t="str">
        <f>HYPERLINK("https://ictv.global/taxonomy/taxondetails?taxnode_id=202516799&amp;ictv_id=ICTV202316799","ICTV202316799")</f>
        <v>ICTV202316799</v>
      </c>
      <c r="R11579" t="s">
        <v>581</v>
      </c>
      <c r="S11579" t="s">
        <v>823</v>
      </c>
      <c r="T11579">
        <v>39</v>
      </c>
      <c r="U11579" s="26" t="str">
        <f t="shared" si="426"/>
        <v>2023.001B.Leviviricetes_reorg.zip</v>
      </c>
    </row>
    <row r="11580" spans="1:21">
      <c r="A11580">
        <v>11579</v>
      </c>
      <c r="B11580" s="27" t="s">
        <v>1124</v>
      </c>
      <c r="D11580" s="27" t="s">
        <v>1859</v>
      </c>
      <c r="F11580" s="27" t="s">
        <v>1881</v>
      </c>
      <c r="H11580" s="27" t="s">
        <v>2679</v>
      </c>
      <c r="J11580" s="27" t="s">
        <v>2680</v>
      </c>
      <c r="L11580" s="27" t="s">
        <v>3169</v>
      </c>
      <c r="N11580" s="27" t="s">
        <v>15391</v>
      </c>
      <c r="P11580" s="27" t="s">
        <v>15392</v>
      </c>
      <c r="Q11580" s="26" t="str">
        <f>HYPERLINK("https://ictv.global/taxonomy/taxondetails?taxnode_id=202516800&amp;ictv_id=ICTV202316800","ICTV202316800")</f>
        <v>ICTV202316800</v>
      </c>
      <c r="R11580" t="s">
        <v>581</v>
      </c>
      <c r="S11580" t="s">
        <v>823</v>
      </c>
      <c r="T11580">
        <v>39</v>
      </c>
      <c r="U11580" s="26" t="str">
        <f t="shared" si="426"/>
        <v>2023.001B.Leviviricetes_reorg.zip</v>
      </c>
    </row>
    <row r="11581" spans="1:21">
      <c r="A11581">
        <v>11580</v>
      </c>
      <c r="B11581" s="27" t="s">
        <v>1124</v>
      </c>
      <c r="D11581" s="27" t="s">
        <v>1859</v>
      </c>
      <c r="F11581" s="27" t="s">
        <v>1881</v>
      </c>
      <c r="H11581" s="27" t="s">
        <v>2679</v>
      </c>
      <c r="J11581" s="27" t="s">
        <v>2680</v>
      </c>
      <c r="L11581" s="27" t="s">
        <v>3169</v>
      </c>
      <c r="N11581" s="27" t="s">
        <v>15391</v>
      </c>
      <c r="P11581" s="27" t="s">
        <v>15393</v>
      </c>
      <c r="Q11581" s="26" t="str">
        <f>HYPERLINK("https://ictv.global/taxonomy/taxondetails?taxnode_id=202516801&amp;ictv_id=ICTV202316801","ICTV202316801")</f>
        <v>ICTV202316801</v>
      </c>
      <c r="R11581" t="s">
        <v>581</v>
      </c>
      <c r="S11581" t="s">
        <v>823</v>
      </c>
      <c r="T11581">
        <v>39</v>
      </c>
      <c r="U11581" s="26" t="str">
        <f t="shared" si="426"/>
        <v>2023.001B.Leviviricetes_reorg.zip</v>
      </c>
    </row>
    <row r="11582" spans="1:21">
      <c r="A11582">
        <v>11581</v>
      </c>
      <c r="B11582" s="27" t="s">
        <v>1124</v>
      </c>
      <c r="D11582" s="27" t="s">
        <v>1859</v>
      </c>
      <c r="F11582" s="27" t="s">
        <v>1881</v>
      </c>
      <c r="H11582" s="27" t="s">
        <v>2679</v>
      </c>
      <c r="J11582" s="27" t="s">
        <v>2680</v>
      </c>
      <c r="L11582" s="27" t="s">
        <v>3169</v>
      </c>
      <c r="N11582" s="27" t="s">
        <v>15394</v>
      </c>
      <c r="P11582" s="27" t="s">
        <v>15395</v>
      </c>
      <c r="Q11582" s="26" t="str">
        <f>HYPERLINK("https://ictv.global/taxonomy/taxondetails?taxnode_id=202516802&amp;ictv_id=ICTV202316802","ICTV202316802")</f>
        <v>ICTV202316802</v>
      </c>
      <c r="R11582" t="s">
        <v>581</v>
      </c>
      <c r="S11582" t="s">
        <v>823</v>
      </c>
      <c r="T11582">
        <v>39</v>
      </c>
      <c r="U11582" s="26" t="str">
        <f t="shared" si="426"/>
        <v>2023.001B.Leviviricetes_reorg.zip</v>
      </c>
    </row>
    <row r="11583" spans="1:21">
      <c r="A11583">
        <v>11582</v>
      </c>
      <c r="B11583" s="27" t="s">
        <v>1124</v>
      </c>
      <c r="D11583" s="27" t="s">
        <v>1859</v>
      </c>
      <c r="F11583" s="27" t="s">
        <v>1881</v>
      </c>
      <c r="H11583" s="27" t="s">
        <v>2679</v>
      </c>
      <c r="J11583" s="27" t="s">
        <v>2680</v>
      </c>
      <c r="L11583" s="27" t="s">
        <v>3169</v>
      </c>
      <c r="N11583" s="27" t="s">
        <v>15396</v>
      </c>
      <c r="P11583" s="27" t="s">
        <v>15397</v>
      </c>
      <c r="Q11583" s="26" t="str">
        <f>HYPERLINK("https://ictv.global/taxonomy/taxondetails?taxnode_id=202516803&amp;ictv_id=ICTV202316803","ICTV202316803")</f>
        <v>ICTV202316803</v>
      </c>
      <c r="R11583" t="s">
        <v>581</v>
      </c>
      <c r="S11583" t="s">
        <v>823</v>
      </c>
      <c r="T11583">
        <v>39</v>
      </c>
      <c r="U11583" s="26" t="str">
        <f t="shared" si="426"/>
        <v>2023.001B.Leviviricetes_reorg.zip</v>
      </c>
    </row>
    <row r="11584" spans="1:21">
      <c r="A11584">
        <v>11583</v>
      </c>
      <c r="B11584" s="27" t="s">
        <v>1124</v>
      </c>
      <c r="D11584" s="27" t="s">
        <v>1859</v>
      </c>
      <c r="F11584" s="27" t="s">
        <v>1881</v>
      </c>
      <c r="H11584" s="27" t="s">
        <v>2679</v>
      </c>
      <c r="J11584" s="27" t="s">
        <v>2680</v>
      </c>
      <c r="L11584" s="27" t="s">
        <v>3169</v>
      </c>
      <c r="N11584" s="27" t="s">
        <v>15398</v>
      </c>
      <c r="P11584" s="27" t="s">
        <v>15399</v>
      </c>
      <c r="Q11584" s="26" t="str">
        <f>HYPERLINK("https://ictv.global/taxonomy/taxondetails?taxnode_id=202516804&amp;ictv_id=ICTV202316804","ICTV202316804")</f>
        <v>ICTV202316804</v>
      </c>
      <c r="R11584" t="s">
        <v>581</v>
      </c>
      <c r="S11584" t="s">
        <v>823</v>
      </c>
      <c r="T11584">
        <v>39</v>
      </c>
      <c r="U11584" s="26" t="str">
        <f t="shared" si="426"/>
        <v>2023.001B.Leviviricetes_reorg.zip</v>
      </c>
    </row>
    <row r="11585" spans="1:21">
      <c r="A11585">
        <v>11584</v>
      </c>
      <c r="B11585" s="27" t="s">
        <v>1124</v>
      </c>
      <c r="D11585" s="27" t="s">
        <v>1859</v>
      </c>
      <c r="F11585" s="27" t="s">
        <v>1881</v>
      </c>
      <c r="H11585" s="27" t="s">
        <v>2679</v>
      </c>
      <c r="J11585" s="27" t="s">
        <v>2680</v>
      </c>
      <c r="L11585" s="27" t="s">
        <v>3169</v>
      </c>
      <c r="N11585" s="27" t="s">
        <v>15400</v>
      </c>
      <c r="P11585" s="27" t="s">
        <v>15401</v>
      </c>
      <c r="Q11585" s="26" t="str">
        <f>HYPERLINK("https://ictv.global/taxonomy/taxondetails?taxnode_id=202516805&amp;ictv_id=ICTV202316805","ICTV202316805")</f>
        <v>ICTV202316805</v>
      </c>
      <c r="R11585" t="s">
        <v>581</v>
      </c>
      <c r="S11585" t="s">
        <v>823</v>
      </c>
      <c r="T11585">
        <v>39</v>
      </c>
      <c r="U11585" s="26" t="str">
        <f t="shared" si="426"/>
        <v>2023.001B.Leviviricetes_reorg.zip</v>
      </c>
    </row>
    <row r="11586" spans="1:21">
      <c r="A11586">
        <v>11585</v>
      </c>
      <c r="B11586" s="27" t="s">
        <v>1124</v>
      </c>
      <c r="D11586" s="27" t="s">
        <v>1859</v>
      </c>
      <c r="F11586" s="27" t="s">
        <v>1881</v>
      </c>
      <c r="H11586" s="27" t="s">
        <v>2679</v>
      </c>
      <c r="J11586" s="27" t="s">
        <v>2680</v>
      </c>
      <c r="L11586" s="27" t="s">
        <v>3169</v>
      </c>
      <c r="N11586" s="27" t="s">
        <v>15400</v>
      </c>
      <c r="P11586" s="27" t="s">
        <v>15402</v>
      </c>
      <c r="Q11586" s="26" t="str">
        <f>HYPERLINK("https://ictv.global/taxonomy/taxondetails?taxnode_id=202516806&amp;ictv_id=ICTV202316806","ICTV202316806")</f>
        <v>ICTV202316806</v>
      </c>
      <c r="R11586" t="s">
        <v>581</v>
      </c>
      <c r="S11586" t="s">
        <v>823</v>
      </c>
      <c r="T11586">
        <v>39</v>
      </c>
      <c r="U11586" s="26" t="str">
        <f t="shared" si="426"/>
        <v>2023.001B.Leviviricetes_reorg.zip</v>
      </c>
    </row>
    <row r="11587" spans="1:21">
      <c r="A11587">
        <v>11586</v>
      </c>
      <c r="B11587" s="27" t="s">
        <v>1124</v>
      </c>
      <c r="D11587" s="27" t="s">
        <v>1859</v>
      </c>
      <c r="F11587" s="27" t="s">
        <v>1881</v>
      </c>
      <c r="H11587" s="27" t="s">
        <v>2679</v>
      </c>
      <c r="J11587" s="27" t="s">
        <v>2680</v>
      </c>
      <c r="L11587" s="27" t="s">
        <v>3169</v>
      </c>
      <c r="N11587" s="27" t="s">
        <v>15400</v>
      </c>
      <c r="P11587" s="27" t="s">
        <v>15403</v>
      </c>
      <c r="Q11587" s="26" t="str">
        <f>HYPERLINK("https://ictv.global/taxonomy/taxondetails?taxnode_id=202516807&amp;ictv_id=ICTV202316807","ICTV202316807")</f>
        <v>ICTV202316807</v>
      </c>
      <c r="R11587" t="s">
        <v>581</v>
      </c>
      <c r="S11587" t="s">
        <v>823</v>
      </c>
      <c r="T11587">
        <v>39</v>
      </c>
      <c r="U11587" s="26" t="str">
        <f t="shared" si="426"/>
        <v>2023.001B.Leviviricetes_reorg.zip</v>
      </c>
    </row>
    <row r="11588" spans="1:21">
      <c r="A11588">
        <v>11587</v>
      </c>
      <c r="B11588" s="27" t="s">
        <v>1124</v>
      </c>
      <c r="D11588" s="27" t="s">
        <v>1859</v>
      </c>
      <c r="F11588" s="27" t="s">
        <v>1881</v>
      </c>
      <c r="H11588" s="27" t="s">
        <v>2679</v>
      </c>
      <c r="J11588" s="27" t="s">
        <v>2680</v>
      </c>
      <c r="L11588" s="27" t="s">
        <v>3169</v>
      </c>
      <c r="N11588" s="27" t="s">
        <v>15400</v>
      </c>
      <c r="P11588" s="27" t="s">
        <v>15404</v>
      </c>
      <c r="Q11588" s="26" t="str">
        <f>HYPERLINK("https://ictv.global/taxonomy/taxondetails?taxnode_id=202516808&amp;ictv_id=ICTV202316808","ICTV202316808")</f>
        <v>ICTV202316808</v>
      </c>
      <c r="R11588" t="s">
        <v>581</v>
      </c>
      <c r="S11588" t="s">
        <v>823</v>
      </c>
      <c r="T11588">
        <v>39</v>
      </c>
      <c r="U11588" s="26" t="str">
        <f t="shared" si="426"/>
        <v>2023.001B.Leviviricetes_reorg.zip</v>
      </c>
    </row>
    <row r="11589" spans="1:21">
      <c r="A11589">
        <v>11588</v>
      </c>
      <c r="B11589" s="27" t="s">
        <v>1124</v>
      </c>
      <c r="D11589" s="27" t="s">
        <v>1859</v>
      </c>
      <c r="F11589" s="27" t="s">
        <v>1881</v>
      </c>
      <c r="H11589" s="27" t="s">
        <v>2679</v>
      </c>
      <c r="J11589" s="27" t="s">
        <v>2680</v>
      </c>
      <c r="L11589" s="27" t="s">
        <v>3169</v>
      </c>
      <c r="N11589" s="27" t="s">
        <v>15400</v>
      </c>
      <c r="P11589" s="27" t="s">
        <v>15405</v>
      </c>
      <c r="Q11589" s="26" t="str">
        <f>HYPERLINK("https://ictv.global/taxonomy/taxondetails?taxnode_id=202516809&amp;ictv_id=ICTV202316809","ICTV202316809")</f>
        <v>ICTV202316809</v>
      </c>
      <c r="R11589" t="s">
        <v>581</v>
      </c>
      <c r="S11589" t="s">
        <v>823</v>
      </c>
      <c r="T11589">
        <v>39</v>
      </c>
      <c r="U11589" s="26" t="str">
        <f t="shared" si="426"/>
        <v>2023.001B.Leviviricetes_reorg.zip</v>
      </c>
    </row>
    <row r="11590" spans="1:21">
      <c r="A11590">
        <v>11589</v>
      </c>
      <c r="B11590" s="27" t="s">
        <v>1124</v>
      </c>
      <c r="D11590" s="27" t="s">
        <v>1859</v>
      </c>
      <c r="F11590" s="27" t="s">
        <v>1881</v>
      </c>
      <c r="H11590" s="27" t="s">
        <v>2679</v>
      </c>
      <c r="J11590" s="27" t="s">
        <v>2680</v>
      </c>
      <c r="L11590" s="27" t="s">
        <v>3169</v>
      </c>
      <c r="N11590" s="27" t="s">
        <v>15400</v>
      </c>
      <c r="P11590" s="27" t="s">
        <v>15406</v>
      </c>
      <c r="Q11590" s="26" t="str">
        <f>HYPERLINK("https://ictv.global/taxonomy/taxondetails?taxnode_id=202516810&amp;ictv_id=ICTV202316810","ICTV202316810")</f>
        <v>ICTV202316810</v>
      </c>
      <c r="R11590" t="s">
        <v>581</v>
      </c>
      <c r="S11590" t="s">
        <v>823</v>
      </c>
      <c r="T11590">
        <v>39</v>
      </c>
      <c r="U11590" s="26" t="str">
        <f t="shared" si="426"/>
        <v>2023.001B.Leviviricetes_reorg.zip</v>
      </c>
    </row>
    <row r="11591" spans="1:21">
      <c r="A11591">
        <v>11590</v>
      </c>
      <c r="B11591" s="27" t="s">
        <v>1124</v>
      </c>
      <c r="D11591" s="27" t="s">
        <v>1859</v>
      </c>
      <c r="F11591" s="27" t="s">
        <v>1881</v>
      </c>
      <c r="H11591" s="27" t="s">
        <v>2679</v>
      </c>
      <c r="J11591" s="27" t="s">
        <v>2680</v>
      </c>
      <c r="L11591" s="27" t="s">
        <v>3169</v>
      </c>
      <c r="N11591" s="27" t="s">
        <v>15400</v>
      </c>
      <c r="P11591" s="27" t="s">
        <v>15407</v>
      </c>
      <c r="Q11591" s="26" t="str">
        <f>HYPERLINK("https://ictv.global/taxonomy/taxondetails?taxnode_id=202516811&amp;ictv_id=ICTV202316811","ICTV202316811")</f>
        <v>ICTV202316811</v>
      </c>
      <c r="R11591" t="s">
        <v>581</v>
      </c>
      <c r="S11591" t="s">
        <v>823</v>
      </c>
      <c r="T11591">
        <v>39</v>
      </c>
      <c r="U11591" s="26" t="str">
        <f t="shared" si="426"/>
        <v>2023.001B.Leviviricetes_reorg.zip</v>
      </c>
    </row>
    <row r="11592" spans="1:21">
      <c r="A11592">
        <v>11591</v>
      </c>
      <c r="B11592" s="27" t="s">
        <v>1124</v>
      </c>
      <c r="D11592" s="27" t="s">
        <v>1859</v>
      </c>
      <c r="F11592" s="27" t="s">
        <v>1881</v>
      </c>
      <c r="H11592" s="27" t="s">
        <v>2679</v>
      </c>
      <c r="J11592" s="27" t="s">
        <v>2680</v>
      </c>
      <c r="L11592" s="27" t="s">
        <v>3169</v>
      </c>
      <c r="N11592" s="27" t="s">
        <v>15400</v>
      </c>
      <c r="P11592" s="27" t="s">
        <v>15408</v>
      </c>
      <c r="Q11592" s="26" t="str">
        <f>HYPERLINK("https://ictv.global/taxonomy/taxondetails?taxnode_id=202516812&amp;ictv_id=ICTV202316812","ICTV202316812")</f>
        <v>ICTV202316812</v>
      </c>
      <c r="R11592" t="s">
        <v>581</v>
      </c>
      <c r="S11592" t="s">
        <v>823</v>
      </c>
      <c r="T11592">
        <v>39</v>
      </c>
      <c r="U11592" s="26" t="str">
        <f t="shared" si="426"/>
        <v>2023.001B.Leviviricetes_reorg.zip</v>
      </c>
    </row>
    <row r="11593" spans="1:21">
      <c r="A11593">
        <v>11592</v>
      </c>
      <c r="B11593" s="27" t="s">
        <v>1124</v>
      </c>
      <c r="D11593" s="27" t="s">
        <v>1859</v>
      </c>
      <c r="F11593" s="27" t="s">
        <v>1881</v>
      </c>
      <c r="H11593" s="27" t="s">
        <v>2679</v>
      </c>
      <c r="J11593" s="27" t="s">
        <v>2680</v>
      </c>
      <c r="L11593" s="27" t="s">
        <v>3169</v>
      </c>
      <c r="N11593" s="27" t="s">
        <v>15400</v>
      </c>
      <c r="P11593" s="27" t="s">
        <v>15409</v>
      </c>
      <c r="Q11593" s="26" t="str">
        <f>HYPERLINK("https://ictv.global/taxonomy/taxondetails?taxnode_id=202516813&amp;ictv_id=ICTV202316813","ICTV202316813")</f>
        <v>ICTV202316813</v>
      </c>
      <c r="R11593" t="s">
        <v>581</v>
      </c>
      <c r="S11593" t="s">
        <v>823</v>
      </c>
      <c r="T11593">
        <v>39</v>
      </c>
      <c r="U11593" s="26" t="str">
        <f t="shared" si="426"/>
        <v>2023.001B.Leviviricetes_reorg.zip</v>
      </c>
    </row>
    <row r="11594" spans="1:21">
      <c r="A11594">
        <v>11593</v>
      </c>
      <c r="B11594" s="27" t="s">
        <v>1124</v>
      </c>
      <c r="D11594" s="27" t="s">
        <v>1859</v>
      </c>
      <c r="F11594" s="27" t="s">
        <v>1881</v>
      </c>
      <c r="H11594" s="27" t="s">
        <v>2679</v>
      </c>
      <c r="J11594" s="27" t="s">
        <v>2680</v>
      </c>
      <c r="L11594" s="27" t="s">
        <v>3169</v>
      </c>
      <c r="N11594" s="27" t="s">
        <v>15400</v>
      </c>
      <c r="P11594" s="27" t="s">
        <v>15410</v>
      </c>
      <c r="Q11594" s="26" t="str">
        <f>HYPERLINK("https://ictv.global/taxonomy/taxondetails?taxnode_id=202516814&amp;ictv_id=ICTV202316814","ICTV202316814")</f>
        <v>ICTV202316814</v>
      </c>
      <c r="R11594" t="s">
        <v>581</v>
      </c>
      <c r="S11594" t="s">
        <v>823</v>
      </c>
      <c r="T11594">
        <v>39</v>
      </c>
      <c r="U11594" s="26" t="str">
        <f t="shared" si="426"/>
        <v>2023.001B.Leviviricetes_reorg.zip</v>
      </c>
    </row>
    <row r="11595" spans="1:21">
      <c r="A11595">
        <v>11594</v>
      </c>
      <c r="B11595" s="27" t="s">
        <v>1124</v>
      </c>
      <c r="D11595" s="27" t="s">
        <v>1859</v>
      </c>
      <c r="F11595" s="27" t="s">
        <v>1881</v>
      </c>
      <c r="H11595" s="27" t="s">
        <v>2679</v>
      </c>
      <c r="J11595" s="27" t="s">
        <v>2680</v>
      </c>
      <c r="L11595" s="27" t="s">
        <v>3169</v>
      </c>
      <c r="N11595" s="27" t="s">
        <v>15411</v>
      </c>
      <c r="P11595" s="27" t="s">
        <v>15412</v>
      </c>
      <c r="Q11595" s="26" t="str">
        <f>HYPERLINK("https://ictv.global/taxonomy/taxondetails?taxnode_id=202516815&amp;ictv_id=ICTV202316815","ICTV202316815")</f>
        <v>ICTV202316815</v>
      </c>
      <c r="R11595" t="s">
        <v>581</v>
      </c>
      <c r="S11595" t="s">
        <v>823</v>
      </c>
      <c r="T11595">
        <v>39</v>
      </c>
      <c r="U11595" s="26" t="str">
        <f t="shared" si="426"/>
        <v>2023.001B.Leviviricetes_reorg.zip</v>
      </c>
    </row>
    <row r="11596" spans="1:21">
      <c r="A11596">
        <v>11595</v>
      </c>
      <c r="B11596" s="27" t="s">
        <v>1124</v>
      </c>
      <c r="D11596" s="27" t="s">
        <v>1859</v>
      </c>
      <c r="F11596" s="27" t="s">
        <v>1881</v>
      </c>
      <c r="H11596" s="27" t="s">
        <v>2679</v>
      </c>
      <c r="J11596" s="27" t="s">
        <v>2680</v>
      </c>
      <c r="L11596" s="27" t="s">
        <v>3169</v>
      </c>
      <c r="N11596" s="27" t="s">
        <v>15413</v>
      </c>
      <c r="P11596" s="27" t="s">
        <v>15414</v>
      </c>
      <c r="Q11596" s="26" t="str">
        <f>HYPERLINK("https://ictv.global/taxonomy/taxondetails?taxnode_id=202516816&amp;ictv_id=ICTV202316816","ICTV202316816")</f>
        <v>ICTV202316816</v>
      </c>
      <c r="R11596" t="s">
        <v>581</v>
      </c>
      <c r="S11596" t="s">
        <v>823</v>
      </c>
      <c r="T11596">
        <v>39</v>
      </c>
      <c r="U11596" s="26" t="str">
        <f t="shared" si="426"/>
        <v>2023.001B.Leviviricetes_reorg.zip</v>
      </c>
    </row>
    <row r="11597" spans="1:21">
      <c r="A11597">
        <v>11596</v>
      </c>
      <c r="B11597" s="27" t="s">
        <v>1124</v>
      </c>
      <c r="D11597" s="27" t="s">
        <v>1859</v>
      </c>
      <c r="F11597" s="27" t="s">
        <v>1881</v>
      </c>
      <c r="H11597" s="27" t="s">
        <v>2679</v>
      </c>
      <c r="J11597" s="27" t="s">
        <v>2680</v>
      </c>
      <c r="L11597" s="27" t="s">
        <v>3169</v>
      </c>
      <c r="N11597" s="27" t="s">
        <v>15415</v>
      </c>
      <c r="P11597" s="27" t="s">
        <v>15416</v>
      </c>
      <c r="Q11597" s="26" t="str">
        <f>HYPERLINK("https://ictv.global/taxonomy/taxondetails?taxnode_id=202516817&amp;ictv_id=ICTV202316817","ICTV202316817")</f>
        <v>ICTV202316817</v>
      </c>
      <c r="R11597" t="s">
        <v>581</v>
      </c>
      <c r="S11597" t="s">
        <v>823</v>
      </c>
      <c r="T11597">
        <v>39</v>
      </c>
      <c r="U11597" s="26" t="str">
        <f t="shared" si="426"/>
        <v>2023.001B.Leviviricetes_reorg.zip</v>
      </c>
    </row>
    <row r="11598" spans="1:21">
      <c r="A11598">
        <v>11597</v>
      </c>
      <c r="B11598" s="27" t="s">
        <v>1124</v>
      </c>
      <c r="D11598" s="27" t="s">
        <v>1859</v>
      </c>
      <c r="F11598" s="27" t="s">
        <v>1881</v>
      </c>
      <c r="H11598" s="27" t="s">
        <v>2679</v>
      </c>
      <c r="J11598" s="27" t="s">
        <v>2680</v>
      </c>
      <c r="L11598" s="27" t="s">
        <v>3169</v>
      </c>
      <c r="N11598" s="27" t="s">
        <v>15417</v>
      </c>
      <c r="P11598" s="27" t="s">
        <v>15418</v>
      </c>
      <c r="Q11598" s="26" t="str">
        <f>HYPERLINK("https://ictv.global/taxonomy/taxondetails?taxnode_id=202516818&amp;ictv_id=ICTV202316818","ICTV202316818")</f>
        <v>ICTV202316818</v>
      </c>
      <c r="R11598" t="s">
        <v>581</v>
      </c>
      <c r="S11598" t="s">
        <v>823</v>
      </c>
      <c r="T11598">
        <v>39</v>
      </c>
      <c r="U11598" s="26" t="str">
        <f t="shared" ref="U11598:U11604" si="427">HYPERLINK("https://ictv.global/ictv/proposals/2023.001B.Leviviricetes_reorg.zip","2023.001B.Leviviricetes_reorg.zip")</f>
        <v>2023.001B.Leviviricetes_reorg.zip</v>
      </c>
    </row>
    <row r="11599" spans="1:21">
      <c r="A11599">
        <v>11598</v>
      </c>
      <c r="B11599" s="27" t="s">
        <v>1124</v>
      </c>
      <c r="D11599" s="27" t="s">
        <v>1859</v>
      </c>
      <c r="F11599" s="27" t="s">
        <v>1881</v>
      </c>
      <c r="H11599" s="27" t="s">
        <v>2679</v>
      </c>
      <c r="J11599" s="27" t="s">
        <v>2680</v>
      </c>
      <c r="L11599" s="27" t="s">
        <v>3169</v>
      </c>
      <c r="N11599" s="27" t="s">
        <v>15417</v>
      </c>
      <c r="P11599" s="27" t="s">
        <v>15419</v>
      </c>
      <c r="Q11599" s="26" t="str">
        <f>HYPERLINK("https://ictv.global/taxonomy/taxondetails?taxnode_id=202516819&amp;ictv_id=ICTV202316819","ICTV202316819")</f>
        <v>ICTV202316819</v>
      </c>
      <c r="R11599" t="s">
        <v>581</v>
      </c>
      <c r="S11599" t="s">
        <v>823</v>
      </c>
      <c r="T11599">
        <v>39</v>
      </c>
      <c r="U11599" s="26" t="str">
        <f t="shared" si="427"/>
        <v>2023.001B.Leviviricetes_reorg.zip</v>
      </c>
    </row>
    <row r="11600" spans="1:21">
      <c r="A11600">
        <v>11599</v>
      </c>
      <c r="B11600" s="27" t="s">
        <v>1124</v>
      </c>
      <c r="D11600" s="27" t="s">
        <v>1859</v>
      </c>
      <c r="F11600" s="27" t="s">
        <v>1881</v>
      </c>
      <c r="H11600" s="27" t="s">
        <v>2679</v>
      </c>
      <c r="J11600" s="27" t="s">
        <v>2680</v>
      </c>
      <c r="L11600" s="27" t="s">
        <v>3169</v>
      </c>
      <c r="N11600" s="27" t="s">
        <v>15420</v>
      </c>
      <c r="P11600" s="27" t="s">
        <v>15421</v>
      </c>
      <c r="Q11600" s="26" t="str">
        <f>HYPERLINK("https://ictv.global/taxonomy/taxondetails?taxnode_id=202516820&amp;ictv_id=ICTV202316820","ICTV202316820")</f>
        <v>ICTV202316820</v>
      </c>
      <c r="R11600" t="s">
        <v>581</v>
      </c>
      <c r="S11600" t="s">
        <v>823</v>
      </c>
      <c r="T11600">
        <v>39</v>
      </c>
      <c r="U11600" s="26" t="str">
        <f t="shared" si="427"/>
        <v>2023.001B.Leviviricetes_reorg.zip</v>
      </c>
    </row>
    <row r="11601" spans="1:21">
      <c r="A11601">
        <v>11600</v>
      </c>
      <c r="B11601" s="27" t="s">
        <v>1124</v>
      </c>
      <c r="D11601" s="27" t="s">
        <v>1859</v>
      </c>
      <c r="F11601" s="27" t="s">
        <v>1881</v>
      </c>
      <c r="H11601" s="27" t="s">
        <v>2679</v>
      </c>
      <c r="J11601" s="27" t="s">
        <v>2680</v>
      </c>
      <c r="L11601" s="27" t="s">
        <v>3169</v>
      </c>
      <c r="N11601" s="27" t="s">
        <v>15422</v>
      </c>
      <c r="P11601" s="27" t="s">
        <v>15423</v>
      </c>
      <c r="Q11601" s="26" t="str">
        <f>HYPERLINK("https://ictv.global/taxonomy/taxondetails?taxnode_id=202516821&amp;ictv_id=ICTV202316821","ICTV202316821")</f>
        <v>ICTV202316821</v>
      </c>
      <c r="R11601" t="s">
        <v>581</v>
      </c>
      <c r="S11601" t="s">
        <v>823</v>
      </c>
      <c r="T11601">
        <v>39</v>
      </c>
      <c r="U11601" s="26" t="str">
        <f t="shared" si="427"/>
        <v>2023.001B.Leviviricetes_reorg.zip</v>
      </c>
    </row>
    <row r="11602" spans="1:21">
      <c r="A11602">
        <v>11601</v>
      </c>
      <c r="B11602" s="27" t="s">
        <v>1124</v>
      </c>
      <c r="D11602" s="27" t="s">
        <v>1859</v>
      </c>
      <c r="F11602" s="27" t="s">
        <v>1881</v>
      </c>
      <c r="H11602" s="27" t="s">
        <v>2679</v>
      </c>
      <c r="J11602" s="27" t="s">
        <v>2680</v>
      </c>
      <c r="L11602" s="27" t="s">
        <v>3169</v>
      </c>
      <c r="N11602" s="27" t="s">
        <v>15424</v>
      </c>
      <c r="P11602" s="27" t="s">
        <v>15425</v>
      </c>
      <c r="Q11602" s="26" t="str">
        <f>HYPERLINK("https://ictv.global/taxonomy/taxondetails?taxnode_id=202516822&amp;ictv_id=ICTV202316822","ICTV202316822")</f>
        <v>ICTV202316822</v>
      </c>
      <c r="R11602" t="s">
        <v>581</v>
      </c>
      <c r="S11602" t="s">
        <v>823</v>
      </c>
      <c r="T11602">
        <v>39</v>
      </c>
      <c r="U11602" s="26" t="str">
        <f t="shared" si="427"/>
        <v>2023.001B.Leviviricetes_reorg.zip</v>
      </c>
    </row>
    <row r="11603" spans="1:21">
      <c r="A11603">
        <v>11602</v>
      </c>
      <c r="B11603" s="27" t="s">
        <v>1124</v>
      </c>
      <c r="D11603" s="27" t="s">
        <v>1859</v>
      </c>
      <c r="F11603" s="27" t="s">
        <v>1881</v>
      </c>
      <c r="H11603" s="27" t="s">
        <v>2679</v>
      </c>
      <c r="J11603" s="27" t="s">
        <v>2680</v>
      </c>
      <c r="L11603" s="27" t="s">
        <v>3169</v>
      </c>
      <c r="N11603" s="27" t="s">
        <v>15426</v>
      </c>
      <c r="P11603" s="27" t="s">
        <v>15427</v>
      </c>
      <c r="Q11603" s="26" t="str">
        <f>HYPERLINK("https://ictv.global/taxonomy/taxondetails?taxnode_id=202516823&amp;ictv_id=ICTV202316823","ICTV202316823")</f>
        <v>ICTV202316823</v>
      </c>
      <c r="R11603" t="s">
        <v>581</v>
      </c>
      <c r="S11603" t="s">
        <v>823</v>
      </c>
      <c r="T11603">
        <v>39</v>
      </c>
      <c r="U11603" s="26" t="str">
        <f t="shared" si="427"/>
        <v>2023.001B.Leviviricetes_reorg.zip</v>
      </c>
    </row>
    <row r="11604" spans="1:21">
      <c r="A11604">
        <v>11603</v>
      </c>
      <c r="B11604" s="27" t="s">
        <v>1124</v>
      </c>
      <c r="D11604" s="27" t="s">
        <v>1859</v>
      </c>
      <c r="F11604" s="27" t="s">
        <v>1881</v>
      </c>
      <c r="H11604" s="27" t="s">
        <v>2679</v>
      </c>
      <c r="J11604" s="27" t="s">
        <v>2680</v>
      </c>
      <c r="L11604" s="27" t="s">
        <v>3169</v>
      </c>
      <c r="N11604" s="27" t="s">
        <v>15428</v>
      </c>
      <c r="P11604" s="27" t="s">
        <v>15429</v>
      </c>
      <c r="Q11604" s="26" t="str">
        <f>HYPERLINK("https://ictv.global/taxonomy/taxondetails?taxnode_id=202516824&amp;ictv_id=ICTV202316824","ICTV202316824")</f>
        <v>ICTV202316824</v>
      </c>
      <c r="R11604" t="s">
        <v>581</v>
      </c>
      <c r="S11604" t="s">
        <v>823</v>
      </c>
      <c r="T11604">
        <v>39</v>
      </c>
      <c r="U11604" s="26" t="str">
        <f t="shared" si="427"/>
        <v>2023.001B.Leviviricetes_reorg.zip</v>
      </c>
    </row>
    <row r="11605" spans="1:21">
      <c r="A11605">
        <v>11604</v>
      </c>
      <c r="B11605" s="27" t="s">
        <v>1124</v>
      </c>
      <c r="D11605" s="27" t="s">
        <v>1859</v>
      </c>
      <c r="F11605" s="27" t="s">
        <v>1881</v>
      </c>
      <c r="H11605" s="27" t="s">
        <v>2679</v>
      </c>
      <c r="J11605" s="27" t="s">
        <v>3210</v>
      </c>
      <c r="L11605" s="27" t="s">
        <v>3211</v>
      </c>
      <c r="N11605" s="27" t="s">
        <v>3212</v>
      </c>
      <c r="P11605" s="27" t="s">
        <v>3213</v>
      </c>
      <c r="Q11605" s="26" t="str">
        <f>HYPERLINK("https://ictv.global/taxonomy/taxondetails?taxnode_id=202510914&amp;ictv_id=ICTV202010914","ICTV202010914")</f>
        <v>ICTV202010914</v>
      </c>
      <c r="R11605" t="s">
        <v>581</v>
      </c>
      <c r="S11605" t="s">
        <v>823</v>
      </c>
      <c r="T11605">
        <v>36</v>
      </c>
      <c r="U11605" s="26" t="str">
        <f>HYPERLINK("https://ictv.global/ictv/proposals/2020.095B.R.Leviviricetes.zip","2020.095B.R.Leviviricetes.zip")</f>
        <v>2020.095B.R.Leviviricetes.zip</v>
      </c>
    </row>
    <row r="11606" spans="1:21">
      <c r="A11606">
        <v>11605</v>
      </c>
      <c r="B11606" s="27" t="s">
        <v>1124</v>
      </c>
      <c r="D11606" s="27" t="s">
        <v>1859</v>
      </c>
      <c r="F11606" s="27" t="s">
        <v>1881</v>
      </c>
      <c r="H11606" s="27" t="s">
        <v>2679</v>
      </c>
      <c r="J11606" s="27" t="s">
        <v>3210</v>
      </c>
      <c r="L11606" s="27" t="s">
        <v>3211</v>
      </c>
      <c r="N11606" s="27" t="s">
        <v>3214</v>
      </c>
      <c r="P11606" s="27" t="s">
        <v>3215</v>
      </c>
      <c r="Q11606" s="26" t="str">
        <f>HYPERLINK("https://ictv.global/taxonomy/taxondetails?taxnode_id=202510916&amp;ictv_id=ICTV202010916","ICTV202010916")</f>
        <v>ICTV202010916</v>
      </c>
      <c r="R11606" t="s">
        <v>581</v>
      </c>
      <c r="S11606" t="s">
        <v>823</v>
      </c>
      <c r="T11606">
        <v>36</v>
      </c>
      <c r="U11606" s="26" t="str">
        <f>HYPERLINK("https://ictv.global/ictv/proposals/2020.095B.R.Leviviricetes.zip","2020.095B.R.Leviviricetes.zip")</f>
        <v>2020.095B.R.Leviviricetes.zip</v>
      </c>
    </row>
    <row r="11607" spans="1:21">
      <c r="A11607">
        <v>11606</v>
      </c>
      <c r="B11607" s="27" t="s">
        <v>1124</v>
      </c>
      <c r="D11607" s="27" t="s">
        <v>1859</v>
      </c>
      <c r="F11607" s="27" t="s">
        <v>1881</v>
      </c>
      <c r="H11607" s="27" t="s">
        <v>2679</v>
      </c>
      <c r="J11607" s="27" t="s">
        <v>3210</v>
      </c>
      <c r="L11607" s="27" t="s">
        <v>3211</v>
      </c>
      <c r="N11607" s="27" t="s">
        <v>15430</v>
      </c>
      <c r="P11607" s="27" t="s">
        <v>15431</v>
      </c>
      <c r="Q11607" s="26" t="str">
        <f>HYPERLINK("https://ictv.global/taxonomy/taxondetails?taxnode_id=202516825&amp;ictv_id=ICTV202316825","ICTV202316825")</f>
        <v>ICTV202316825</v>
      </c>
      <c r="R11607" t="s">
        <v>581</v>
      </c>
      <c r="S11607" t="s">
        <v>823</v>
      </c>
      <c r="T11607">
        <v>39</v>
      </c>
      <c r="U11607" s="26" t="str">
        <f>HYPERLINK("https://ictv.global/ictv/proposals/2023.001B.Leviviricetes_reorg.zip","2023.001B.Leviviricetes_reorg.zip")</f>
        <v>2023.001B.Leviviricetes_reorg.zip</v>
      </c>
    </row>
    <row r="11608" spans="1:21">
      <c r="A11608">
        <v>11607</v>
      </c>
      <c r="B11608" s="27" t="s">
        <v>1124</v>
      </c>
      <c r="D11608" s="27" t="s">
        <v>1859</v>
      </c>
      <c r="F11608" s="27" t="s">
        <v>1881</v>
      </c>
      <c r="H11608" s="27" t="s">
        <v>2679</v>
      </c>
      <c r="J11608" s="27" t="s">
        <v>3210</v>
      </c>
      <c r="L11608" s="27" t="s">
        <v>3211</v>
      </c>
      <c r="N11608" s="27" t="s">
        <v>3453</v>
      </c>
      <c r="P11608" s="27" t="s">
        <v>3454</v>
      </c>
      <c r="Q11608" s="26" t="str">
        <f>HYPERLINK("https://ictv.global/taxonomy/taxondetails?taxnode_id=202511510&amp;ictv_id=ICTV202011510","ICTV202011510")</f>
        <v>ICTV202011510</v>
      </c>
      <c r="R11608" t="s">
        <v>581</v>
      </c>
      <c r="S11608" t="s">
        <v>22763</v>
      </c>
      <c r="T11608">
        <v>39</v>
      </c>
      <c r="U11608" s="26" t="str">
        <f>HYPERLINK("https://ictv.global/ictv/proposals/2023.001B.Leviviricetes_reorg.zip","2023.001B.Leviviricetes_reorg.zip")</f>
        <v>2023.001B.Leviviricetes_reorg.zip</v>
      </c>
    </row>
    <row r="11609" spans="1:21">
      <c r="A11609">
        <v>11608</v>
      </c>
      <c r="B11609" s="27" t="s">
        <v>1124</v>
      </c>
      <c r="D11609" s="27" t="s">
        <v>1859</v>
      </c>
      <c r="F11609" s="27" t="s">
        <v>1881</v>
      </c>
      <c r="H11609" s="27" t="s">
        <v>2679</v>
      </c>
      <c r="J11609" s="27" t="s">
        <v>3210</v>
      </c>
      <c r="L11609" s="27" t="s">
        <v>3211</v>
      </c>
      <c r="N11609" s="27" t="s">
        <v>3216</v>
      </c>
      <c r="P11609" s="27" t="s">
        <v>3217</v>
      </c>
      <c r="Q11609" s="26" t="str">
        <f>HYPERLINK("https://ictv.global/taxonomy/taxondetails?taxnode_id=202510920&amp;ictv_id=ICTV202010920","ICTV202010920")</f>
        <v>ICTV202010920</v>
      </c>
      <c r="R11609" t="s">
        <v>581</v>
      </c>
      <c r="S11609" t="s">
        <v>823</v>
      </c>
      <c r="T11609">
        <v>36</v>
      </c>
      <c r="U11609" s="26" t="str">
        <f t="shared" ref="U11609:U11614" si="428">HYPERLINK("https://ictv.global/ictv/proposals/2020.095B.R.Leviviricetes.zip","2020.095B.R.Leviviricetes.zip")</f>
        <v>2020.095B.R.Leviviricetes.zip</v>
      </c>
    </row>
    <row r="11610" spans="1:21">
      <c r="A11610">
        <v>11609</v>
      </c>
      <c r="B11610" s="27" t="s">
        <v>1124</v>
      </c>
      <c r="D11610" s="27" t="s">
        <v>1859</v>
      </c>
      <c r="F11610" s="27" t="s">
        <v>1881</v>
      </c>
      <c r="H11610" s="27" t="s">
        <v>2679</v>
      </c>
      <c r="J11610" s="27" t="s">
        <v>3210</v>
      </c>
      <c r="L11610" s="27" t="s">
        <v>3211</v>
      </c>
      <c r="N11610" s="27" t="s">
        <v>3218</v>
      </c>
      <c r="P11610" s="27" t="s">
        <v>3219</v>
      </c>
      <c r="Q11610" s="26" t="str">
        <f>HYPERLINK("https://ictv.global/taxonomy/taxondetails?taxnode_id=202510922&amp;ictv_id=ICTV202010922","ICTV202010922")</f>
        <v>ICTV202010922</v>
      </c>
      <c r="R11610" t="s">
        <v>581</v>
      </c>
      <c r="S11610" t="s">
        <v>823</v>
      </c>
      <c r="T11610">
        <v>36</v>
      </c>
      <c r="U11610" s="26" t="str">
        <f t="shared" si="428"/>
        <v>2020.095B.R.Leviviricetes.zip</v>
      </c>
    </row>
    <row r="11611" spans="1:21">
      <c r="A11611">
        <v>11610</v>
      </c>
      <c r="B11611" s="27" t="s">
        <v>1124</v>
      </c>
      <c r="D11611" s="27" t="s">
        <v>1859</v>
      </c>
      <c r="F11611" s="27" t="s">
        <v>1881</v>
      </c>
      <c r="H11611" s="27" t="s">
        <v>2679</v>
      </c>
      <c r="J11611" s="27" t="s">
        <v>3210</v>
      </c>
      <c r="L11611" s="27" t="s">
        <v>3211</v>
      </c>
      <c r="N11611" s="27" t="s">
        <v>3220</v>
      </c>
      <c r="P11611" s="27" t="s">
        <v>3221</v>
      </c>
      <c r="Q11611" s="26" t="str">
        <f>HYPERLINK("https://ictv.global/taxonomy/taxondetails?taxnode_id=202510924&amp;ictv_id=ICTV202010924","ICTV202010924")</f>
        <v>ICTV202010924</v>
      </c>
      <c r="R11611" t="s">
        <v>581</v>
      </c>
      <c r="S11611" t="s">
        <v>823</v>
      </c>
      <c r="T11611">
        <v>36</v>
      </c>
      <c r="U11611" s="26" t="str">
        <f t="shared" si="428"/>
        <v>2020.095B.R.Leviviricetes.zip</v>
      </c>
    </row>
    <row r="11612" spans="1:21">
      <c r="A11612">
        <v>11611</v>
      </c>
      <c r="B11612" s="27" t="s">
        <v>1124</v>
      </c>
      <c r="D11612" s="27" t="s">
        <v>1859</v>
      </c>
      <c r="F11612" s="27" t="s">
        <v>1881</v>
      </c>
      <c r="H11612" s="27" t="s">
        <v>2679</v>
      </c>
      <c r="J11612" s="27" t="s">
        <v>3210</v>
      </c>
      <c r="L11612" s="27" t="s">
        <v>3211</v>
      </c>
      <c r="N11612" s="27" t="s">
        <v>3222</v>
      </c>
      <c r="P11612" s="27" t="s">
        <v>3223</v>
      </c>
      <c r="Q11612" s="26" t="str">
        <f>HYPERLINK("https://ictv.global/taxonomy/taxondetails?taxnode_id=202510926&amp;ictv_id=ICTV202010926","ICTV202010926")</f>
        <v>ICTV202010926</v>
      </c>
      <c r="R11612" t="s">
        <v>581</v>
      </c>
      <c r="S11612" t="s">
        <v>823</v>
      </c>
      <c r="T11612">
        <v>36</v>
      </c>
      <c r="U11612" s="26" t="str">
        <f t="shared" si="428"/>
        <v>2020.095B.R.Leviviricetes.zip</v>
      </c>
    </row>
    <row r="11613" spans="1:21">
      <c r="A11613">
        <v>11612</v>
      </c>
      <c r="B11613" s="27" t="s">
        <v>1124</v>
      </c>
      <c r="D11613" s="27" t="s">
        <v>1859</v>
      </c>
      <c r="F11613" s="27" t="s">
        <v>1881</v>
      </c>
      <c r="H11613" s="27" t="s">
        <v>2679</v>
      </c>
      <c r="J11613" s="27" t="s">
        <v>3210</v>
      </c>
      <c r="L11613" s="27" t="s">
        <v>3211</v>
      </c>
      <c r="N11613" s="27" t="s">
        <v>3224</v>
      </c>
      <c r="P11613" s="27" t="s">
        <v>3225</v>
      </c>
      <c r="Q11613" s="26" t="str">
        <f>HYPERLINK("https://ictv.global/taxonomy/taxondetails?taxnode_id=202510928&amp;ictv_id=ICTV202010928","ICTV202010928")</f>
        <v>ICTV202010928</v>
      </c>
      <c r="R11613" t="s">
        <v>581</v>
      </c>
      <c r="S11613" t="s">
        <v>823</v>
      </c>
      <c r="T11613">
        <v>36</v>
      </c>
      <c r="U11613" s="26" t="str">
        <f t="shared" si="428"/>
        <v>2020.095B.R.Leviviricetes.zip</v>
      </c>
    </row>
    <row r="11614" spans="1:21">
      <c r="A11614">
        <v>11613</v>
      </c>
      <c r="B11614" s="27" t="s">
        <v>1124</v>
      </c>
      <c r="D11614" s="27" t="s">
        <v>1859</v>
      </c>
      <c r="F11614" s="27" t="s">
        <v>1881</v>
      </c>
      <c r="H11614" s="27" t="s">
        <v>2679</v>
      </c>
      <c r="J11614" s="27" t="s">
        <v>3210</v>
      </c>
      <c r="L11614" s="27" t="s">
        <v>3211</v>
      </c>
      <c r="N11614" s="27" t="s">
        <v>3226</v>
      </c>
      <c r="P11614" s="27" t="s">
        <v>3227</v>
      </c>
      <c r="Q11614" s="26" t="str">
        <f>HYPERLINK("https://ictv.global/taxonomy/taxondetails?taxnode_id=202510930&amp;ictv_id=ICTV202010930","ICTV202010930")</f>
        <v>ICTV202010930</v>
      </c>
      <c r="R11614" t="s">
        <v>581</v>
      </c>
      <c r="S11614" t="s">
        <v>823</v>
      </c>
      <c r="T11614">
        <v>36</v>
      </c>
      <c r="U11614" s="26" t="str">
        <f t="shared" si="428"/>
        <v>2020.095B.R.Leviviricetes.zip</v>
      </c>
    </row>
    <row r="11615" spans="1:21">
      <c r="A11615">
        <v>11614</v>
      </c>
      <c r="B11615" s="27" t="s">
        <v>1124</v>
      </c>
      <c r="D11615" s="27" t="s">
        <v>1859</v>
      </c>
      <c r="F11615" s="27" t="s">
        <v>1881</v>
      </c>
      <c r="H11615" s="27" t="s">
        <v>2679</v>
      </c>
      <c r="J11615" s="27" t="s">
        <v>3210</v>
      </c>
      <c r="L11615" s="27" t="s">
        <v>3211</v>
      </c>
      <c r="N11615" s="27" t="s">
        <v>15432</v>
      </c>
      <c r="P11615" s="27" t="s">
        <v>15433</v>
      </c>
      <c r="Q11615" s="26" t="str">
        <f>HYPERLINK("https://ictv.global/taxonomy/taxondetails?taxnode_id=202516826&amp;ictv_id=ICTV202316826","ICTV202316826")</f>
        <v>ICTV202316826</v>
      </c>
      <c r="R11615" t="s">
        <v>581</v>
      </c>
      <c r="S11615" t="s">
        <v>823</v>
      </c>
      <c r="T11615">
        <v>39</v>
      </c>
      <c r="U11615" s="26" t="str">
        <f>HYPERLINK("https://ictv.global/ictv/proposals/2023.001B.Leviviricetes_reorg.zip","2023.001B.Leviviricetes_reorg.zip")</f>
        <v>2023.001B.Leviviricetes_reorg.zip</v>
      </c>
    </row>
    <row r="11616" spans="1:21">
      <c r="A11616">
        <v>11615</v>
      </c>
      <c r="B11616" s="27" t="s">
        <v>1124</v>
      </c>
      <c r="D11616" s="27" t="s">
        <v>1859</v>
      </c>
      <c r="F11616" s="27" t="s">
        <v>1881</v>
      </c>
      <c r="H11616" s="27" t="s">
        <v>2679</v>
      </c>
      <c r="J11616" s="27" t="s">
        <v>3210</v>
      </c>
      <c r="L11616" s="27" t="s">
        <v>3211</v>
      </c>
      <c r="N11616" s="27" t="s">
        <v>3228</v>
      </c>
      <c r="P11616" s="27" t="s">
        <v>3229</v>
      </c>
      <c r="Q11616" s="26" t="str">
        <f>HYPERLINK("https://ictv.global/taxonomy/taxondetails?taxnode_id=202510932&amp;ictv_id=ICTV202010932","ICTV202010932")</f>
        <v>ICTV202010932</v>
      </c>
      <c r="R11616" t="s">
        <v>581</v>
      </c>
      <c r="S11616" t="s">
        <v>823</v>
      </c>
      <c r="T11616">
        <v>36</v>
      </c>
      <c r="U11616" s="26" t="str">
        <f t="shared" ref="U11616:U11626" si="429">HYPERLINK("https://ictv.global/ictv/proposals/2020.095B.R.Leviviricetes.zip","2020.095B.R.Leviviricetes.zip")</f>
        <v>2020.095B.R.Leviviricetes.zip</v>
      </c>
    </row>
    <row r="11617" spans="1:21">
      <c r="A11617">
        <v>11616</v>
      </c>
      <c r="B11617" s="27" t="s">
        <v>1124</v>
      </c>
      <c r="D11617" s="27" t="s">
        <v>1859</v>
      </c>
      <c r="F11617" s="27" t="s">
        <v>1881</v>
      </c>
      <c r="H11617" s="27" t="s">
        <v>2679</v>
      </c>
      <c r="J11617" s="27" t="s">
        <v>3210</v>
      </c>
      <c r="L11617" s="27" t="s">
        <v>3211</v>
      </c>
      <c r="N11617" s="27" t="s">
        <v>3230</v>
      </c>
      <c r="P11617" s="27" t="s">
        <v>3231</v>
      </c>
      <c r="Q11617" s="26" t="str">
        <f>HYPERLINK("https://ictv.global/taxonomy/taxondetails?taxnode_id=202510934&amp;ictv_id=ICTV202010934","ICTV202010934")</f>
        <v>ICTV202010934</v>
      </c>
      <c r="R11617" t="s">
        <v>581</v>
      </c>
      <c r="S11617" t="s">
        <v>823</v>
      </c>
      <c r="T11617">
        <v>36</v>
      </c>
      <c r="U11617" s="26" t="str">
        <f t="shared" si="429"/>
        <v>2020.095B.R.Leviviricetes.zip</v>
      </c>
    </row>
    <row r="11618" spans="1:21">
      <c r="A11618">
        <v>11617</v>
      </c>
      <c r="B11618" s="27" t="s">
        <v>1124</v>
      </c>
      <c r="D11618" s="27" t="s">
        <v>1859</v>
      </c>
      <c r="F11618" s="27" t="s">
        <v>1881</v>
      </c>
      <c r="H11618" s="27" t="s">
        <v>2679</v>
      </c>
      <c r="J11618" s="27" t="s">
        <v>3210</v>
      </c>
      <c r="L11618" s="27" t="s">
        <v>3211</v>
      </c>
      <c r="N11618" s="27" t="s">
        <v>3232</v>
      </c>
      <c r="P11618" s="27" t="s">
        <v>3233</v>
      </c>
      <c r="Q11618" s="26" t="str">
        <f>HYPERLINK("https://ictv.global/taxonomy/taxondetails?taxnode_id=202510936&amp;ictv_id=ICTV202010936","ICTV202010936")</f>
        <v>ICTV202010936</v>
      </c>
      <c r="R11618" t="s">
        <v>581</v>
      </c>
      <c r="S11618" t="s">
        <v>823</v>
      </c>
      <c r="T11618">
        <v>36</v>
      </c>
      <c r="U11618" s="26" t="str">
        <f t="shared" si="429"/>
        <v>2020.095B.R.Leviviricetes.zip</v>
      </c>
    </row>
    <row r="11619" spans="1:21">
      <c r="A11619">
        <v>11618</v>
      </c>
      <c r="B11619" s="27" t="s">
        <v>1124</v>
      </c>
      <c r="D11619" s="27" t="s">
        <v>1859</v>
      </c>
      <c r="F11619" s="27" t="s">
        <v>1881</v>
      </c>
      <c r="H11619" s="27" t="s">
        <v>2679</v>
      </c>
      <c r="J11619" s="27" t="s">
        <v>3210</v>
      </c>
      <c r="L11619" s="27" t="s">
        <v>3211</v>
      </c>
      <c r="N11619" s="27" t="s">
        <v>3234</v>
      </c>
      <c r="P11619" s="27" t="s">
        <v>3235</v>
      </c>
      <c r="Q11619" s="26" t="str">
        <f>HYPERLINK("https://ictv.global/taxonomy/taxondetails?taxnode_id=202510938&amp;ictv_id=ICTV202010938","ICTV202010938")</f>
        <v>ICTV202010938</v>
      </c>
      <c r="R11619" t="s">
        <v>581</v>
      </c>
      <c r="S11619" t="s">
        <v>823</v>
      </c>
      <c r="T11619">
        <v>36</v>
      </c>
      <c r="U11619" s="26" t="str">
        <f t="shared" si="429"/>
        <v>2020.095B.R.Leviviricetes.zip</v>
      </c>
    </row>
    <row r="11620" spans="1:21">
      <c r="A11620">
        <v>11619</v>
      </c>
      <c r="B11620" s="27" t="s">
        <v>1124</v>
      </c>
      <c r="D11620" s="27" t="s">
        <v>1859</v>
      </c>
      <c r="F11620" s="27" t="s">
        <v>1881</v>
      </c>
      <c r="H11620" s="27" t="s">
        <v>2679</v>
      </c>
      <c r="J11620" s="27" t="s">
        <v>3210</v>
      </c>
      <c r="L11620" s="27" t="s">
        <v>3211</v>
      </c>
      <c r="N11620" s="27" t="s">
        <v>3236</v>
      </c>
      <c r="P11620" s="27" t="s">
        <v>3237</v>
      </c>
      <c r="Q11620" s="26" t="str">
        <f>HYPERLINK("https://ictv.global/taxonomy/taxondetails?taxnode_id=202510940&amp;ictv_id=ICTV202010940","ICTV202010940")</f>
        <v>ICTV202010940</v>
      </c>
      <c r="R11620" t="s">
        <v>581</v>
      </c>
      <c r="S11620" t="s">
        <v>823</v>
      </c>
      <c r="T11620">
        <v>36</v>
      </c>
      <c r="U11620" s="26" t="str">
        <f t="shared" si="429"/>
        <v>2020.095B.R.Leviviricetes.zip</v>
      </c>
    </row>
    <row r="11621" spans="1:21">
      <c r="A11621">
        <v>11620</v>
      </c>
      <c r="B11621" s="27" t="s">
        <v>1124</v>
      </c>
      <c r="D11621" s="27" t="s">
        <v>1859</v>
      </c>
      <c r="F11621" s="27" t="s">
        <v>1881</v>
      </c>
      <c r="H11621" s="27" t="s">
        <v>2679</v>
      </c>
      <c r="J11621" s="27" t="s">
        <v>3210</v>
      </c>
      <c r="L11621" s="27" t="s">
        <v>3211</v>
      </c>
      <c r="N11621" s="27" t="s">
        <v>3238</v>
      </c>
      <c r="P11621" s="27" t="s">
        <v>3239</v>
      </c>
      <c r="Q11621" s="26" t="str">
        <f>HYPERLINK("https://ictv.global/taxonomy/taxondetails?taxnode_id=202510942&amp;ictv_id=ICTV202010942","ICTV202010942")</f>
        <v>ICTV202010942</v>
      </c>
      <c r="R11621" t="s">
        <v>581</v>
      </c>
      <c r="S11621" t="s">
        <v>823</v>
      </c>
      <c r="T11621">
        <v>36</v>
      </c>
      <c r="U11621" s="26" t="str">
        <f t="shared" si="429"/>
        <v>2020.095B.R.Leviviricetes.zip</v>
      </c>
    </row>
    <row r="11622" spans="1:21">
      <c r="A11622">
        <v>11621</v>
      </c>
      <c r="B11622" s="27" t="s">
        <v>1124</v>
      </c>
      <c r="D11622" s="27" t="s">
        <v>1859</v>
      </c>
      <c r="F11622" s="27" t="s">
        <v>1881</v>
      </c>
      <c r="H11622" s="27" t="s">
        <v>2679</v>
      </c>
      <c r="J11622" s="27" t="s">
        <v>3210</v>
      </c>
      <c r="L11622" s="27" t="s">
        <v>3211</v>
      </c>
      <c r="N11622" s="27" t="s">
        <v>3238</v>
      </c>
      <c r="P11622" s="27" t="s">
        <v>3240</v>
      </c>
      <c r="Q11622" s="26" t="str">
        <f>HYPERLINK("https://ictv.global/taxonomy/taxondetails?taxnode_id=202510943&amp;ictv_id=ICTV202010943","ICTV202010943")</f>
        <v>ICTV202010943</v>
      </c>
      <c r="R11622" t="s">
        <v>581</v>
      </c>
      <c r="S11622" t="s">
        <v>823</v>
      </c>
      <c r="T11622">
        <v>36</v>
      </c>
      <c r="U11622" s="26" t="str">
        <f t="shared" si="429"/>
        <v>2020.095B.R.Leviviricetes.zip</v>
      </c>
    </row>
    <row r="11623" spans="1:21">
      <c r="A11623">
        <v>11622</v>
      </c>
      <c r="B11623" s="27" t="s">
        <v>1124</v>
      </c>
      <c r="D11623" s="27" t="s">
        <v>1859</v>
      </c>
      <c r="F11623" s="27" t="s">
        <v>1881</v>
      </c>
      <c r="H11623" s="27" t="s">
        <v>2679</v>
      </c>
      <c r="J11623" s="27" t="s">
        <v>3210</v>
      </c>
      <c r="L11623" s="27" t="s">
        <v>3211</v>
      </c>
      <c r="N11623" s="27" t="s">
        <v>3238</v>
      </c>
      <c r="P11623" s="27" t="s">
        <v>3241</v>
      </c>
      <c r="Q11623" s="26" t="str">
        <f>HYPERLINK("https://ictv.global/taxonomy/taxondetails?taxnode_id=202510944&amp;ictv_id=ICTV202010944","ICTV202010944")</f>
        <v>ICTV202010944</v>
      </c>
      <c r="R11623" t="s">
        <v>581</v>
      </c>
      <c r="S11623" t="s">
        <v>823</v>
      </c>
      <c r="T11623">
        <v>36</v>
      </c>
      <c r="U11623" s="26" t="str">
        <f t="shared" si="429"/>
        <v>2020.095B.R.Leviviricetes.zip</v>
      </c>
    </row>
    <row r="11624" spans="1:21">
      <c r="A11624">
        <v>11623</v>
      </c>
      <c r="B11624" s="27" t="s">
        <v>1124</v>
      </c>
      <c r="D11624" s="27" t="s">
        <v>1859</v>
      </c>
      <c r="F11624" s="27" t="s">
        <v>1881</v>
      </c>
      <c r="H11624" s="27" t="s">
        <v>2679</v>
      </c>
      <c r="J11624" s="27" t="s">
        <v>3210</v>
      </c>
      <c r="L11624" s="27" t="s">
        <v>3211</v>
      </c>
      <c r="N11624" s="27" t="s">
        <v>3242</v>
      </c>
      <c r="P11624" s="27" t="s">
        <v>3243</v>
      </c>
      <c r="Q11624" s="26" t="str">
        <f>HYPERLINK("https://ictv.global/taxonomy/taxondetails?taxnode_id=202510946&amp;ictv_id=ICTV202010946","ICTV202010946")</f>
        <v>ICTV202010946</v>
      </c>
      <c r="R11624" t="s">
        <v>581</v>
      </c>
      <c r="S11624" t="s">
        <v>823</v>
      </c>
      <c r="T11624">
        <v>36</v>
      </c>
      <c r="U11624" s="26" t="str">
        <f t="shared" si="429"/>
        <v>2020.095B.R.Leviviricetes.zip</v>
      </c>
    </row>
    <row r="11625" spans="1:21">
      <c r="A11625">
        <v>11624</v>
      </c>
      <c r="B11625" s="27" t="s">
        <v>1124</v>
      </c>
      <c r="D11625" s="27" t="s">
        <v>1859</v>
      </c>
      <c r="F11625" s="27" t="s">
        <v>1881</v>
      </c>
      <c r="H11625" s="27" t="s">
        <v>2679</v>
      </c>
      <c r="J11625" s="27" t="s">
        <v>3210</v>
      </c>
      <c r="L11625" s="27" t="s">
        <v>3211</v>
      </c>
      <c r="N11625" s="27" t="s">
        <v>3244</v>
      </c>
      <c r="P11625" s="27" t="s">
        <v>3245</v>
      </c>
      <c r="Q11625" s="26" t="str">
        <f>HYPERLINK("https://ictv.global/taxonomy/taxondetails?taxnode_id=202510950&amp;ictv_id=ICTV202010950","ICTV202010950")</f>
        <v>ICTV202010950</v>
      </c>
      <c r="R11625" t="s">
        <v>581</v>
      </c>
      <c r="S11625" t="s">
        <v>823</v>
      </c>
      <c r="T11625">
        <v>36</v>
      </c>
      <c r="U11625" s="26" t="str">
        <f t="shared" si="429"/>
        <v>2020.095B.R.Leviviricetes.zip</v>
      </c>
    </row>
    <row r="11626" spans="1:21">
      <c r="A11626">
        <v>11625</v>
      </c>
      <c r="B11626" s="27" t="s">
        <v>1124</v>
      </c>
      <c r="D11626" s="27" t="s">
        <v>1859</v>
      </c>
      <c r="F11626" s="27" t="s">
        <v>1881</v>
      </c>
      <c r="H11626" s="27" t="s">
        <v>2679</v>
      </c>
      <c r="J11626" s="27" t="s">
        <v>3210</v>
      </c>
      <c r="L11626" s="27" t="s">
        <v>3211</v>
      </c>
      <c r="N11626" s="27" t="s">
        <v>3246</v>
      </c>
      <c r="P11626" s="27" t="s">
        <v>3247</v>
      </c>
      <c r="Q11626" s="26" t="str">
        <f>HYPERLINK("https://ictv.global/taxonomy/taxondetails?taxnode_id=202510954&amp;ictv_id=ICTV202010954","ICTV202010954")</f>
        <v>ICTV202010954</v>
      </c>
      <c r="R11626" t="s">
        <v>581</v>
      </c>
      <c r="S11626" t="s">
        <v>823</v>
      </c>
      <c r="T11626">
        <v>36</v>
      </c>
      <c r="U11626" s="26" t="str">
        <f t="shared" si="429"/>
        <v>2020.095B.R.Leviviricetes.zip</v>
      </c>
    </row>
    <row r="11627" spans="1:21">
      <c r="A11627">
        <v>11626</v>
      </c>
      <c r="B11627" s="27" t="s">
        <v>1124</v>
      </c>
      <c r="D11627" s="27" t="s">
        <v>1859</v>
      </c>
      <c r="F11627" s="27" t="s">
        <v>1881</v>
      </c>
      <c r="H11627" s="27" t="s">
        <v>2679</v>
      </c>
      <c r="J11627" s="27" t="s">
        <v>3210</v>
      </c>
      <c r="L11627" s="27" t="s">
        <v>3211</v>
      </c>
      <c r="N11627" s="27" t="s">
        <v>15434</v>
      </c>
      <c r="P11627" s="27" t="s">
        <v>15435</v>
      </c>
      <c r="Q11627" s="26" t="str">
        <f>HYPERLINK("https://ictv.global/taxonomy/taxondetails?taxnode_id=202516827&amp;ictv_id=ICTV202316827","ICTV202316827")</f>
        <v>ICTV202316827</v>
      </c>
      <c r="R11627" t="s">
        <v>581</v>
      </c>
      <c r="S11627" t="s">
        <v>823</v>
      </c>
      <c r="T11627">
        <v>39</v>
      </c>
      <c r="U11627" s="26" t="str">
        <f>HYPERLINK("https://ictv.global/ictv/proposals/2023.001B.Leviviricetes_reorg.zip","2023.001B.Leviviricetes_reorg.zip")</f>
        <v>2023.001B.Leviviricetes_reorg.zip</v>
      </c>
    </row>
    <row r="11628" spans="1:21">
      <c r="A11628">
        <v>11627</v>
      </c>
      <c r="B11628" s="27" t="s">
        <v>1124</v>
      </c>
      <c r="D11628" s="27" t="s">
        <v>1859</v>
      </c>
      <c r="F11628" s="27" t="s">
        <v>1881</v>
      </c>
      <c r="H11628" s="27" t="s">
        <v>2679</v>
      </c>
      <c r="J11628" s="27" t="s">
        <v>3210</v>
      </c>
      <c r="L11628" s="27" t="s">
        <v>3211</v>
      </c>
      <c r="N11628" s="27" t="s">
        <v>15434</v>
      </c>
      <c r="P11628" s="27" t="s">
        <v>15436</v>
      </c>
      <c r="Q11628" s="26" t="str">
        <f>HYPERLINK("https://ictv.global/taxonomy/taxondetails?taxnode_id=202516828&amp;ictv_id=ICTV202316828","ICTV202316828")</f>
        <v>ICTV202316828</v>
      </c>
      <c r="R11628" t="s">
        <v>581</v>
      </c>
      <c r="S11628" t="s">
        <v>823</v>
      </c>
      <c r="T11628">
        <v>39</v>
      </c>
      <c r="U11628" s="26" t="str">
        <f>HYPERLINK("https://ictv.global/ictv/proposals/2023.001B.Leviviricetes_reorg.zip","2023.001B.Leviviricetes_reorg.zip")</f>
        <v>2023.001B.Leviviricetes_reorg.zip</v>
      </c>
    </row>
    <row r="11629" spans="1:21">
      <c r="A11629">
        <v>11628</v>
      </c>
      <c r="B11629" s="27" t="s">
        <v>1124</v>
      </c>
      <c r="D11629" s="27" t="s">
        <v>1859</v>
      </c>
      <c r="F11629" s="27" t="s">
        <v>1881</v>
      </c>
      <c r="H11629" s="27" t="s">
        <v>2679</v>
      </c>
      <c r="J11629" s="27" t="s">
        <v>3210</v>
      </c>
      <c r="L11629" s="27" t="s">
        <v>3211</v>
      </c>
      <c r="N11629" s="27" t="s">
        <v>15434</v>
      </c>
      <c r="P11629" s="27" t="s">
        <v>15437</v>
      </c>
      <c r="Q11629" s="26" t="str">
        <f>HYPERLINK("https://ictv.global/taxonomy/taxondetails?taxnode_id=202516829&amp;ictv_id=ICTV202316829","ICTV202316829")</f>
        <v>ICTV202316829</v>
      </c>
      <c r="R11629" t="s">
        <v>581</v>
      </c>
      <c r="S11629" t="s">
        <v>823</v>
      </c>
      <c r="T11629">
        <v>39</v>
      </c>
      <c r="U11629" s="26" t="str">
        <f>HYPERLINK("https://ictv.global/ictv/proposals/2023.001B.Leviviricetes_reorg.zip","2023.001B.Leviviricetes_reorg.zip")</f>
        <v>2023.001B.Leviviricetes_reorg.zip</v>
      </c>
    </row>
    <row r="11630" spans="1:21">
      <c r="A11630">
        <v>11629</v>
      </c>
      <c r="B11630" s="27" t="s">
        <v>1124</v>
      </c>
      <c r="D11630" s="27" t="s">
        <v>1859</v>
      </c>
      <c r="F11630" s="27" t="s">
        <v>1881</v>
      </c>
      <c r="H11630" s="27" t="s">
        <v>2679</v>
      </c>
      <c r="J11630" s="27" t="s">
        <v>3210</v>
      </c>
      <c r="L11630" s="27" t="s">
        <v>3211</v>
      </c>
      <c r="N11630" s="27" t="s">
        <v>15434</v>
      </c>
      <c r="P11630" s="27" t="s">
        <v>15438</v>
      </c>
      <c r="Q11630" s="26" t="str">
        <f>HYPERLINK("https://ictv.global/taxonomy/taxondetails?taxnode_id=202516830&amp;ictv_id=ICTV202316830","ICTV202316830")</f>
        <v>ICTV202316830</v>
      </c>
      <c r="R11630" t="s">
        <v>581</v>
      </c>
      <c r="S11630" t="s">
        <v>823</v>
      </c>
      <c r="T11630">
        <v>39</v>
      </c>
      <c r="U11630" s="26" t="str">
        <f>HYPERLINK("https://ictv.global/ictv/proposals/2023.001B.Leviviricetes_reorg.zip","2023.001B.Leviviricetes_reorg.zip")</f>
        <v>2023.001B.Leviviricetes_reorg.zip</v>
      </c>
    </row>
    <row r="11631" spans="1:21">
      <c r="A11631">
        <v>11630</v>
      </c>
      <c r="B11631" s="27" t="s">
        <v>1124</v>
      </c>
      <c r="D11631" s="27" t="s">
        <v>1859</v>
      </c>
      <c r="F11631" s="27" t="s">
        <v>1881</v>
      </c>
      <c r="H11631" s="27" t="s">
        <v>2679</v>
      </c>
      <c r="J11631" s="27" t="s">
        <v>3210</v>
      </c>
      <c r="L11631" s="27" t="s">
        <v>3211</v>
      </c>
      <c r="N11631" s="27" t="s">
        <v>3248</v>
      </c>
      <c r="P11631" s="27" t="s">
        <v>15439</v>
      </c>
      <c r="Q11631" s="26" t="str">
        <f>HYPERLINK("https://ictv.global/taxonomy/taxondetails?taxnode_id=202510974&amp;ictv_id=ICTV202010974","ICTV202010974")</f>
        <v>ICTV202010974</v>
      </c>
      <c r="R11631" t="s">
        <v>581</v>
      </c>
      <c r="S11631" t="s">
        <v>22764</v>
      </c>
      <c r="T11631">
        <v>39</v>
      </c>
      <c r="U11631" s="26" t="str">
        <f>HYPERLINK("https://ictv.global/ictv/proposals/2023.001B.Leviviricetes_reorg.zip","2023.001B.Leviviricetes_reorg.zip")</f>
        <v>2023.001B.Leviviricetes_reorg.zip</v>
      </c>
    </row>
    <row r="11632" spans="1:21">
      <c r="A11632">
        <v>11631</v>
      </c>
      <c r="B11632" s="27" t="s">
        <v>1124</v>
      </c>
      <c r="D11632" s="27" t="s">
        <v>1859</v>
      </c>
      <c r="F11632" s="27" t="s">
        <v>1881</v>
      </c>
      <c r="H11632" s="27" t="s">
        <v>2679</v>
      </c>
      <c r="J11632" s="27" t="s">
        <v>3210</v>
      </c>
      <c r="L11632" s="27" t="s">
        <v>3211</v>
      </c>
      <c r="N11632" s="27" t="s">
        <v>3248</v>
      </c>
      <c r="P11632" s="27" t="s">
        <v>3249</v>
      </c>
      <c r="Q11632" s="26" t="str">
        <f>HYPERLINK("https://ictv.global/taxonomy/taxondetails?taxnode_id=202510959&amp;ictv_id=ICTV202010959","ICTV202010959")</f>
        <v>ICTV202010959</v>
      </c>
      <c r="R11632" t="s">
        <v>581</v>
      </c>
      <c r="S11632" t="s">
        <v>823</v>
      </c>
      <c r="T11632">
        <v>36</v>
      </c>
      <c r="U11632" s="26" t="str">
        <f>HYPERLINK("https://ictv.global/ictv/proposals/2020.095B.R.Leviviricetes.zip","2020.095B.R.Leviviricetes.zip")</f>
        <v>2020.095B.R.Leviviricetes.zip</v>
      </c>
    </row>
    <row r="11633" spans="1:21">
      <c r="A11633">
        <v>11632</v>
      </c>
      <c r="B11633" s="27" t="s">
        <v>1124</v>
      </c>
      <c r="D11633" s="27" t="s">
        <v>1859</v>
      </c>
      <c r="F11633" s="27" t="s">
        <v>1881</v>
      </c>
      <c r="H11633" s="27" t="s">
        <v>2679</v>
      </c>
      <c r="J11633" s="27" t="s">
        <v>3210</v>
      </c>
      <c r="L11633" s="27" t="s">
        <v>3211</v>
      </c>
      <c r="N11633" s="27" t="s">
        <v>3248</v>
      </c>
      <c r="P11633" s="27" t="s">
        <v>15440</v>
      </c>
      <c r="Q11633" s="26" t="str">
        <f>HYPERLINK("https://ictv.global/taxonomy/taxondetails?taxnode_id=202516831&amp;ictv_id=ICTV202316831","ICTV202316831")</f>
        <v>ICTV202316831</v>
      </c>
      <c r="R11633" t="s">
        <v>581</v>
      </c>
      <c r="S11633" t="s">
        <v>823</v>
      </c>
      <c r="T11633">
        <v>39</v>
      </c>
      <c r="U11633" s="26" t="str">
        <f>HYPERLINK("https://ictv.global/ictv/proposals/2023.001B.Leviviricetes_reorg.zip","2023.001B.Leviviricetes_reorg.zip")</f>
        <v>2023.001B.Leviviricetes_reorg.zip</v>
      </c>
    </row>
    <row r="11634" spans="1:21">
      <c r="A11634">
        <v>11633</v>
      </c>
      <c r="B11634" s="27" t="s">
        <v>1124</v>
      </c>
      <c r="D11634" s="27" t="s">
        <v>1859</v>
      </c>
      <c r="F11634" s="27" t="s">
        <v>1881</v>
      </c>
      <c r="H11634" s="27" t="s">
        <v>2679</v>
      </c>
      <c r="J11634" s="27" t="s">
        <v>3210</v>
      </c>
      <c r="L11634" s="27" t="s">
        <v>3211</v>
      </c>
      <c r="N11634" s="27" t="s">
        <v>3248</v>
      </c>
      <c r="P11634" s="27" t="s">
        <v>3250</v>
      </c>
      <c r="Q11634" s="26" t="str">
        <f>HYPERLINK("https://ictv.global/taxonomy/taxondetails?taxnode_id=202510960&amp;ictv_id=ICTV202010960","ICTV202010960")</f>
        <v>ICTV202010960</v>
      </c>
      <c r="R11634" t="s">
        <v>581</v>
      </c>
      <c r="S11634" t="s">
        <v>823</v>
      </c>
      <c r="T11634">
        <v>36</v>
      </c>
      <c r="U11634" s="26" t="str">
        <f>HYPERLINK("https://ictv.global/ictv/proposals/2020.095B.R.Leviviricetes.zip","2020.095B.R.Leviviricetes.zip")</f>
        <v>2020.095B.R.Leviviricetes.zip</v>
      </c>
    </row>
    <row r="11635" spans="1:21">
      <c r="A11635">
        <v>11634</v>
      </c>
      <c r="B11635" s="27" t="s">
        <v>1124</v>
      </c>
      <c r="D11635" s="27" t="s">
        <v>1859</v>
      </c>
      <c r="F11635" s="27" t="s">
        <v>1881</v>
      </c>
      <c r="H11635" s="27" t="s">
        <v>2679</v>
      </c>
      <c r="J11635" s="27" t="s">
        <v>3210</v>
      </c>
      <c r="L11635" s="27" t="s">
        <v>3211</v>
      </c>
      <c r="N11635" s="27" t="s">
        <v>3248</v>
      </c>
      <c r="P11635" s="27" t="s">
        <v>3251</v>
      </c>
      <c r="Q11635" s="26" t="str">
        <f>HYPERLINK("https://ictv.global/taxonomy/taxondetails?taxnode_id=202510958&amp;ictv_id=ICTV202010958","ICTV202010958")</f>
        <v>ICTV202010958</v>
      </c>
      <c r="R11635" t="s">
        <v>581</v>
      </c>
      <c r="S11635" t="s">
        <v>823</v>
      </c>
      <c r="T11635">
        <v>36</v>
      </c>
      <c r="U11635" s="26" t="str">
        <f>HYPERLINK("https://ictv.global/ictv/proposals/2020.095B.R.Leviviricetes.zip","2020.095B.R.Leviviricetes.zip")</f>
        <v>2020.095B.R.Leviviricetes.zip</v>
      </c>
    </row>
    <row r="11636" spans="1:21">
      <c r="A11636">
        <v>11635</v>
      </c>
      <c r="B11636" s="27" t="s">
        <v>1124</v>
      </c>
      <c r="D11636" s="27" t="s">
        <v>1859</v>
      </c>
      <c r="F11636" s="27" t="s">
        <v>1881</v>
      </c>
      <c r="H11636" s="27" t="s">
        <v>2679</v>
      </c>
      <c r="J11636" s="27" t="s">
        <v>3210</v>
      </c>
      <c r="L11636" s="27" t="s">
        <v>3211</v>
      </c>
      <c r="N11636" s="27" t="s">
        <v>3252</v>
      </c>
      <c r="P11636" s="27" t="s">
        <v>3253</v>
      </c>
      <c r="Q11636" s="26" t="str">
        <f>HYPERLINK("https://ictv.global/taxonomy/taxondetails?taxnode_id=202510962&amp;ictv_id=ICTV202010962","ICTV202010962")</f>
        <v>ICTV202010962</v>
      </c>
      <c r="R11636" t="s">
        <v>581</v>
      </c>
      <c r="S11636" t="s">
        <v>823</v>
      </c>
      <c r="T11636">
        <v>36</v>
      </c>
      <c r="U11636" s="26" t="str">
        <f>HYPERLINK("https://ictv.global/ictv/proposals/2020.095B.R.Leviviricetes.zip","2020.095B.R.Leviviricetes.zip")</f>
        <v>2020.095B.R.Leviviricetes.zip</v>
      </c>
    </row>
    <row r="11637" spans="1:21">
      <c r="A11637">
        <v>11636</v>
      </c>
      <c r="B11637" s="27" t="s">
        <v>1124</v>
      </c>
      <c r="D11637" s="27" t="s">
        <v>1859</v>
      </c>
      <c r="F11637" s="27" t="s">
        <v>1881</v>
      </c>
      <c r="H11637" s="27" t="s">
        <v>2679</v>
      </c>
      <c r="J11637" s="27" t="s">
        <v>3210</v>
      </c>
      <c r="L11637" s="27" t="s">
        <v>3211</v>
      </c>
      <c r="N11637" s="27" t="s">
        <v>15441</v>
      </c>
      <c r="P11637" s="27" t="s">
        <v>15442</v>
      </c>
      <c r="Q11637" s="26" t="str">
        <f>HYPERLINK("https://ictv.global/taxonomy/taxondetails?taxnode_id=202516832&amp;ictv_id=ICTV202316832","ICTV202316832")</f>
        <v>ICTV202316832</v>
      </c>
      <c r="R11637" t="s">
        <v>581</v>
      </c>
      <c r="S11637" t="s">
        <v>823</v>
      </c>
      <c r="T11637">
        <v>39</v>
      </c>
      <c r="U11637" s="26" t="str">
        <f>HYPERLINK("https://ictv.global/ictv/proposals/2023.001B.Leviviricetes_reorg.zip","2023.001B.Leviviricetes_reorg.zip")</f>
        <v>2023.001B.Leviviricetes_reorg.zip</v>
      </c>
    </row>
    <row r="11638" spans="1:21">
      <c r="A11638">
        <v>11637</v>
      </c>
      <c r="B11638" s="27" t="s">
        <v>1124</v>
      </c>
      <c r="D11638" s="27" t="s">
        <v>1859</v>
      </c>
      <c r="F11638" s="27" t="s">
        <v>1881</v>
      </c>
      <c r="H11638" s="27" t="s">
        <v>2679</v>
      </c>
      <c r="J11638" s="27" t="s">
        <v>3210</v>
      </c>
      <c r="L11638" s="27" t="s">
        <v>3211</v>
      </c>
      <c r="N11638" s="27" t="s">
        <v>3254</v>
      </c>
      <c r="P11638" s="27" t="s">
        <v>3255</v>
      </c>
      <c r="Q11638" s="26" t="str">
        <f>HYPERLINK("https://ictv.global/taxonomy/taxondetails?taxnode_id=202510966&amp;ictv_id=ICTV202010966","ICTV202010966")</f>
        <v>ICTV202010966</v>
      </c>
      <c r="R11638" t="s">
        <v>581</v>
      </c>
      <c r="S11638" t="s">
        <v>823</v>
      </c>
      <c r="T11638">
        <v>36</v>
      </c>
      <c r="U11638" s="26" t="str">
        <f>HYPERLINK("https://ictv.global/ictv/proposals/2020.095B.R.Leviviricetes.zip","2020.095B.R.Leviviricetes.zip")</f>
        <v>2020.095B.R.Leviviricetes.zip</v>
      </c>
    </row>
    <row r="11639" spans="1:21">
      <c r="A11639">
        <v>11638</v>
      </c>
      <c r="B11639" s="27" t="s">
        <v>1124</v>
      </c>
      <c r="D11639" s="27" t="s">
        <v>1859</v>
      </c>
      <c r="F11639" s="27" t="s">
        <v>1881</v>
      </c>
      <c r="H11639" s="27" t="s">
        <v>2679</v>
      </c>
      <c r="J11639" s="27" t="s">
        <v>3210</v>
      </c>
      <c r="L11639" s="27" t="s">
        <v>3211</v>
      </c>
      <c r="N11639" s="27" t="s">
        <v>3256</v>
      </c>
      <c r="P11639" s="27" t="s">
        <v>3257</v>
      </c>
      <c r="Q11639" s="26" t="str">
        <f>HYPERLINK("https://ictv.global/taxonomy/taxondetails?taxnode_id=202510970&amp;ictv_id=ICTV202010970","ICTV202010970")</f>
        <v>ICTV202010970</v>
      </c>
      <c r="R11639" t="s">
        <v>581</v>
      </c>
      <c r="S11639" t="s">
        <v>823</v>
      </c>
      <c r="T11639">
        <v>36</v>
      </c>
      <c r="U11639" s="26" t="str">
        <f>HYPERLINK("https://ictv.global/ictv/proposals/2020.095B.R.Leviviricetes.zip","2020.095B.R.Leviviricetes.zip")</f>
        <v>2020.095B.R.Leviviricetes.zip</v>
      </c>
    </row>
    <row r="11640" spans="1:21">
      <c r="A11640">
        <v>11639</v>
      </c>
      <c r="B11640" s="27" t="s">
        <v>1124</v>
      </c>
      <c r="D11640" s="27" t="s">
        <v>1859</v>
      </c>
      <c r="F11640" s="27" t="s">
        <v>1881</v>
      </c>
      <c r="H11640" s="27" t="s">
        <v>2679</v>
      </c>
      <c r="J11640" s="27" t="s">
        <v>3210</v>
      </c>
      <c r="L11640" s="27" t="s">
        <v>3211</v>
      </c>
      <c r="N11640" s="27" t="s">
        <v>15443</v>
      </c>
      <c r="P11640" s="27" t="s">
        <v>15444</v>
      </c>
      <c r="Q11640" s="26" t="str">
        <f>HYPERLINK("https://ictv.global/taxonomy/taxondetails?taxnode_id=202516833&amp;ictv_id=ICTV202316833","ICTV202316833")</f>
        <v>ICTV202316833</v>
      </c>
      <c r="R11640" t="s">
        <v>581</v>
      </c>
      <c r="S11640" t="s">
        <v>823</v>
      </c>
      <c r="T11640">
        <v>39</v>
      </c>
      <c r="U11640" s="26" t="str">
        <f>HYPERLINK("https://ictv.global/ictv/proposals/2023.001B.Leviviricetes_reorg.zip","2023.001B.Leviviricetes_reorg.zip")</f>
        <v>2023.001B.Leviviricetes_reorg.zip</v>
      </c>
    </row>
    <row r="11641" spans="1:21">
      <c r="A11641">
        <v>11640</v>
      </c>
      <c r="B11641" s="27" t="s">
        <v>1124</v>
      </c>
      <c r="D11641" s="27" t="s">
        <v>1859</v>
      </c>
      <c r="F11641" s="27" t="s">
        <v>1881</v>
      </c>
      <c r="H11641" s="27" t="s">
        <v>2679</v>
      </c>
      <c r="J11641" s="27" t="s">
        <v>3210</v>
      </c>
      <c r="L11641" s="27" t="s">
        <v>3211</v>
      </c>
      <c r="N11641" s="27" t="s">
        <v>3258</v>
      </c>
      <c r="P11641" s="27" t="s">
        <v>3259</v>
      </c>
      <c r="Q11641" s="26" t="str">
        <f>HYPERLINK("https://ictv.global/taxonomy/taxondetails?taxnode_id=202510976&amp;ictv_id=ICTV202010976","ICTV202010976")</f>
        <v>ICTV202010976</v>
      </c>
      <c r="R11641" t="s">
        <v>581</v>
      </c>
      <c r="S11641" t="s">
        <v>823</v>
      </c>
      <c r="T11641">
        <v>36</v>
      </c>
      <c r="U11641" s="26" t="str">
        <f>HYPERLINK("https://ictv.global/ictv/proposals/2020.095B.R.Leviviricetes.zip","2020.095B.R.Leviviricetes.zip")</f>
        <v>2020.095B.R.Leviviricetes.zip</v>
      </c>
    </row>
    <row r="11642" spans="1:21">
      <c r="A11642">
        <v>11641</v>
      </c>
      <c r="B11642" s="27" t="s">
        <v>1124</v>
      </c>
      <c r="D11642" s="27" t="s">
        <v>1859</v>
      </c>
      <c r="F11642" s="27" t="s">
        <v>1881</v>
      </c>
      <c r="H11642" s="27" t="s">
        <v>2679</v>
      </c>
      <c r="J11642" s="27" t="s">
        <v>3210</v>
      </c>
      <c r="L11642" s="27" t="s">
        <v>3211</v>
      </c>
      <c r="N11642" s="27" t="s">
        <v>3260</v>
      </c>
      <c r="P11642" s="27" t="s">
        <v>3261</v>
      </c>
      <c r="Q11642" s="26" t="str">
        <f>HYPERLINK("https://ictv.global/taxonomy/taxondetails?taxnode_id=202510978&amp;ictv_id=ICTV202010978","ICTV202010978")</f>
        <v>ICTV202010978</v>
      </c>
      <c r="R11642" t="s">
        <v>581</v>
      </c>
      <c r="S11642" t="s">
        <v>823</v>
      </c>
      <c r="T11642">
        <v>36</v>
      </c>
      <c r="U11642" s="26" t="str">
        <f>HYPERLINK("https://ictv.global/ictv/proposals/2020.095B.R.Leviviricetes.zip","2020.095B.R.Leviviricetes.zip")</f>
        <v>2020.095B.R.Leviviricetes.zip</v>
      </c>
    </row>
    <row r="11643" spans="1:21">
      <c r="A11643">
        <v>11642</v>
      </c>
      <c r="B11643" s="27" t="s">
        <v>1124</v>
      </c>
      <c r="D11643" s="27" t="s">
        <v>1859</v>
      </c>
      <c r="F11643" s="27" t="s">
        <v>1881</v>
      </c>
      <c r="H11643" s="27" t="s">
        <v>2679</v>
      </c>
      <c r="J11643" s="27" t="s">
        <v>3210</v>
      </c>
      <c r="L11643" s="27" t="s">
        <v>3262</v>
      </c>
      <c r="N11643" s="27" t="s">
        <v>3263</v>
      </c>
      <c r="P11643" s="27" t="s">
        <v>3264</v>
      </c>
      <c r="Q11643" s="26" t="str">
        <f>HYPERLINK("https://ictv.global/taxonomy/taxondetails?taxnode_id=202510988&amp;ictv_id=ICTV202010988","ICTV202010988")</f>
        <v>ICTV202010988</v>
      </c>
      <c r="R11643" t="s">
        <v>581</v>
      </c>
      <c r="S11643" t="s">
        <v>823</v>
      </c>
      <c r="T11643">
        <v>36</v>
      </c>
      <c r="U11643" s="26" t="str">
        <f>HYPERLINK("https://ictv.global/ictv/proposals/2020.095B.R.Leviviricetes.zip","2020.095B.R.Leviviricetes.zip")</f>
        <v>2020.095B.R.Leviviricetes.zip</v>
      </c>
    </row>
    <row r="11644" spans="1:21">
      <c r="A11644">
        <v>11643</v>
      </c>
      <c r="B11644" s="27" t="s">
        <v>1124</v>
      </c>
      <c r="D11644" s="27" t="s">
        <v>1859</v>
      </c>
      <c r="F11644" s="27" t="s">
        <v>1881</v>
      </c>
      <c r="H11644" s="27" t="s">
        <v>2679</v>
      </c>
      <c r="J11644" s="27" t="s">
        <v>3210</v>
      </c>
      <c r="L11644" s="27" t="s">
        <v>3262</v>
      </c>
      <c r="N11644" s="27" t="s">
        <v>15445</v>
      </c>
      <c r="P11644" s="27" t="s">
        <v>15446</v>
      </c>
      <c r="Q11644" s="26" t="str">
        <f>HYPERLINK("https://ictv.global/taxonomy/taxondetails?taxnode_id=202516834&amp;ictv_id=ICTV202316834","ICTV202316834")</f>
        <v>ICTV202316834</v>
      </c>
      <c r="R11644" t="s">
        <v>581</v>
      </c>
      <c r="S11644" t="s">
        <v>823</v>
      </c>
      <c r="T11644">
        <v>39</v>
      </c>
      <c r="U11644" s="26" t="str">
        <f>HYPERLINK("https://ictv.global/ictv/proposals/2023.001B.Leviviricetes_reorg.zip","2023.001B.Leviviricetes_reorg.zip")</f>
        <v>2023.001B.Leviviricetes_reorg.zip</v>
      </c>
    </row>
    <row r="11645" spans="1:21">
      <c r="A11645">
        <v>11644</v>
      </c>
      <c r="B11645" s="27" t="s">
        <v>1124</v>
      </c>
      <c r="D11645" s="27" t="s">
        <v>1859</v>
      </c>
      <c r="F11645" s="27" t="s">
        <v>1881</v>
      </c>
      <c r="H11645" s="27" t="s">
        <v>2679</v>
      </c>
      <c r="J11645" s="27" t="s">
        <v>3210</v>
      </c>
      <c r="L11645" s="27" t="s">
        <v>3262</v>
      </c>
      <c r="N11645" s="27" t="s">
        <v>3265</v>
      </c>
      <c r="P11645" s="27" t="s">
        <v>3266</v>
      </c>
      <c r="Q11645" s="26" t="str">
        <f>HYPERLINK("https://ictv.global/taxonomy/taxondetails?taxnode_id=202510993&amp;ictv_id=ICTV202010993","ICTV202010993")</f>
        <v>ICTV202010993</v>
      </c>
      <c r="R11645" t="s">
        <v>581</v>
      </c>
      <c r="S11645" t="s">
        <v>823</v>
      </c>
      <c r="T11645">
        <v>36</v>
      </c>
      <c r="U11645" s="26" t="str">
        <f>HYPERLINK("https://ictv.global/ictv/proposals/2020.095B.R.Leviviricetes.zip","2020.095B.R.Leviviricetes.zip")</f>
        <v>2020.095B.R.Leviviricetes.zip</v>
      </c>
    </row>
    <row r="11646" spans="1:21">
      <c r="A11646">
        <v>11645</v>
      </c>
      <c r="B11646" s="27" t="s">
        <v>1124</v>
      </c>
      <c r="D11646" s="27" t="s">
        <v>1859</v>
      </c>
      <c r="F11646" s="27" t="s">
        <v>1881</v>
      </c>
      <c r="H11646" s="27" t="s">
        <v>2679</v>
      </c>
      <c r="J11646" s="27" t="s">
        <v>3210</v>
      </c>
      <c r="L11646" s="27" t="s">
        <v>3262</v>
      </c>
      <c r="N11646" s="27" t="s">
        <v>3265</v>
      </c>
      <c r="P11646" s="27" t="s">
        <v>3267</v>
      </c>
      <c r="Q11646" s="26" t="str">
        <f>HYPERLINK("https://ictv.global/taxonomy/taxondetails?taxnode_id=202510998&amp;ictv_id=ICTV202010998","ICTV202010998")</f>
        <v>ICTV202010998</v>
      </c>
      <c r="R11646" t="s">
        <v>581</v>
      </c>
      <c r="S11646" t="s">
        <v>823</v>
      </c>
      <c r="T11646">
        <v>36</v>
      </c>
      <c r="U11646" s="26" t="str">
        <f>HYPERLINK("https://ictv.global/ictv/proposals/2020.095B.R.Leviviricetes.zip","2020.095B.R.Leviviricetes.zip")</f>
        <v>2020.095B.R.Leviviricetes.zip</v>
      </c>
    </row>
    <row r="11647" spans="1:21">
      <c r="A11647">
        <v>11646</v>
      </c>
      <c r="B11647" s="27" t="s">
        <v>1124</v>
      </c>
      <c r="D11647" s="27" t="s">
        <v>1859</v>
      </c>
      <c r="F11647" s="27" t="s">
        <v>1881</v>
      </c>
      <c r="H11647" s="27" t="s">
        <v>2679</v>
      </c>
      <c r="J11647" s="27" t="s">
        <v>3210</v>
      </c>
      <c r="L11647" s="27" t="s">
        <v>3262</v>
      </c>
      <c r="N11647" s="27" t="s">
        <v>3265</v>
      </c>
      <c r="P11647" s="27" t="s">
        <v>3268</v>
      </c>
      <c r="Q11647" s="26" t="str">
        <f>HYPERLINK("https://ictv.global/taxonomy/taxondetails?taxnode_id=202510997&amp;ictv_id=ICTV202010997","ICTV202010997")</f>
        <v>ICTV202010997</v>
      </c>
      <c r="R11647" t="s">
        <v>581</v>
      </c>
      <c r="S11647" t="s">
        <v>823</v>
      </c>
      <c r="T11647">
        <v>36</v>
      </c>
      <c r="U11647" s="26" t="str">
        <f>HYPERLINK("https://ictv.global/ictv/proposals/2020.095B.R.Leviviricetes.zip","2020.095B.R.Leviviricetes.zip")</f>
        <v>2020.095B.R.Leviviricetes.zip</v>
      </c>
    </row>
    <row r="11648" spans="1:21">
      <c r="A11648">
        <v>11647</v>
      </c>
      <c r="B11648" s="27" t="s">
        <v>1124</v>
      </c>
      <c r="D11648" s="27" t="s">
        <v>1859</v>
      </c>
      <c r="F11648" s="27" t="s">
        <v>1881</v>
      </c>
      <c r="H11648" s="27" t="s">
        <v>2679</v>
      </c>
      <c r="J11648" s="27" t="s">
        <v>3210</v>
      </c>
      <c r="L11648" s="27" t="s">
        <v>3262</v>
      </c>
      <c r="N11648" s="27" t="s">
        <v>3265</v>
      </c>
      <c r="P11648" s="27" t="s">
        <v>3269</v>
      </c>
      <c r="Q11648" s="26" t="str">
        <f>HYPERLINK("https://ictv.global/taxonomy/taxondetails?taxnode_id=202510999&amp;ictv_id=ICTV202010999","ICTV202010999")</f>
        <v>ICTV202010999</v>
      </c>
      <c r="R11648" t="s">
        <v>581</v>
      </c>
      <c r="S11648" t="s">
        <v>823</v>
      </c>
      <c r="T11648">
        <v>36</v>
      </c>
      <c r="U11648" s="26" t="str">
        <f>HYPERLINK("https://ictv.global/ictv/proposals/2020.095B.R.Leviviricetes.zip","2020.095B.R.Leviviricetes.zip")</f>
        <v>2020.095B.R.Leviviricetes.zip</v>
      </c>
    </row>
    <row r="11649" spans="1:21">
      <c r="A11649">
        <v>11648</v>
      </c>
      <c r="B11649" s="27" t="s">
        <v>1124</v>
      </c>
      <c r="D11649" s="27" t="s">
        <v>1859</v>
      </c>
      <c r="F11649" s="27" t="s">
        <v>1881</v>
      </c>
      <c r="H11649" s="27" t="s">
        <v>2679</v>
      </c>
      <c r="J11649" s="27" t="s">
        <v>3210</v>
      </c>
      <c r="L11649" s="27" t="s">
        <v>3262</v>
      </c>
      <c r="N11649" s="27" t="s">
        <v>3265</v>
      </c>
      <c r="P11649" s="27" t="s">
        <v>15447</v>
      </c>
      <c r="Q11649" s="26" t="str">
        <f>HYPERLINK("https://ictv.global/taxonomy/taxondetails?taxnode_id=202516835&amp;ictv_id=ICTV202316835","ICTV202316835")</f>
        <v>ICTV202316835</v>
      </c>
      <c r="R11649" t="s">
        <v>581</v>
      </c>
      <c r="S11649" t="s">
        <v>823</v>
      </c>
      <c r="T11649">
        <v>39</v>
      </c>
      <c r="U11649" s="26" t="str">
        <f t="shared" ref="U11649:U11660" si="430">HYPERLINK("https://ictv.global/ictv/proposals/2023.001B.Leviviricetes_reorg.zip","2023.001B.Leviviricetes_reorg.zip")</f>
        <v>2023.001B.Leviviricetes_reorg.zip</v>
      </c>
    </row>
    <row r="11650" spans="1:21">
      <c r="A11650">
        <v>11649</v>
      </c>
      <c r="B11650" s="27" t="s">
        <v>1124</v>
      </c>
      <c r="D11650" s="27" t="s">
        <v>1859</v>
      </c>
      <c r="F11650" s="27" t="s">
        <v>1881</v>
      </c>
      <c r="H11650" s="27" t="s">
        <v>2679</v>
      </c>
      <c r="J11650" s="27" t="s">
        <v>3210</v>
      </c>
      <c r="L11650" s="27" t="s">
        <v>3262</v>
      </c>
      <c r="N11650" s="27" t="s">
        <v>3265</v>
      </c>
      <c r="P11650" s="27" t="s">
        <v>15448</v>
      </c>
      <c r="Q11650" s="26" t="str">
        <f>HYPERLINK("https://ictv.global/taxonomy/taxondetails?taxnode_id=202516836&amp;ictv_id=ICTV202316836","ICTV202316836")</f>
        <v>ICTV202316836</v>
      </c>
      <c r="R11650" t="s">
        <v>581</v>
      </c>
      <c r="S11650" t="s">
        <v>823</v>
      </c>
      <c r="T11650">
        <v>39</v>
      </c>
      <c r="U11650" s="26" t="str">
        <f t="shared" si="430"/>
        <v>2023.001B.Leviviricetes_reorg.zip</v>
      </c>
    </row>
    <row r="11651" spans="1:21">
      <c r="A11651">
        <v>11650</v>
      </c>
      <c r="B11651" s="27" t="s">
        <v>1124</v>
      </c>
      <c r="D11651" s="27" t="s">
        <v>1859</v>
      </c>
      <c r="F11651" s="27" t="s">
        <v>1881</v>
      </c>
      <c r="H11651" s="27" t="s">
        <v>2679</v>
      </c>
      <c r="J11651" s="27" t="s">
        <v>3210</v>
      </c>
      <c r="L11651" s="27" t="s">
        <v>3262</v>
      </c>
      <c r="N11651" s="27" t="s">
        <v>3265</v>
      </c>
      <c r="P11651" s="27" t="s">
        <v>15449</v>
      </c>
      <c r="Q11651" s="26" t="str">
        <f>HYPERLINK("https://ictv.global/taxonomy/taxondetails?taxnode_id=202516837&amp;ictv_id=ICTV202316837","ICTV202316837")</f>
        <v>ICTV202316837</v>
      </c>
      <c r="R11651" t="s">
        <v>581</v>
      </c>
      <c r="S11651" t="s">
        <v>823</v>
      </c>
      <c r="T11651">
        <v>39</v>
      </c>
      <c r="U11651" s="26" t="str">
        <f t="shared" si="430"/>
        <v>2023.001B.Leviviricetes_reorg.zip</v>
      </c>
    </row>
    <row r="11652" spans="1:21">
      <c r="A11652">
        <v>11651</v>
      </c>
      <c r="B11652" s="27" t="s">
        <v>1124</v>
      </c>
      <c r="D11652" s="27" t="s">
        <v>1859</v>
      </c>
      <c r="F11652" s="27" t="s">
        <v>1881</v>
      </c>
      <c r="H11652" s="27" t="s">
        <v>2679</v>
      </c>
      <c r="J11652" s="27" t="s">
        <v>3210</v>
      </c>
      <c r="L11652" s="27" t="s">
        <v>3262</v>
      </c>
      <c r="N11652" s="27" t="s">
        <v>3265</v>
      </c>
      <c r="P11652" s="27" t="s">
        <v>15450</v>
      </c>
      <c r="Q11652" s="26" t="str">
        <f>HYPERLINK("https://ictv.global/taxonomy/taxondetails?taxnode_id=202516838&amp;ictv_id=ICTV202316838","ICTV202316838")</f>
        <v>ICTV202316838</v>
      </c>
      <c r="R11652" t="s">
        <v>581</v>
      </c>
      <c r="S11652" t="s">
        <v>823</v>
      </c>
      <c r="T11652">
        <v>39</v>
      </c>
      <c r="U11652" s="26" t="str">
        <f t="shared" si="430"/>
        <v>2023.001B.Leviviricetes_reorg.zip</v>
      </c>
    </row>
    <row r="11653" spans="1:21">
      <c r="A11653">
        <v>11652</v>
      </c>
      <c r="B11653" s="27" t="s">
        <v>1124</v>
      </c>
      <c r="D11653" s="27" t="s">
        <v>1859</v>
      </c>
      <c r="F11653" s="27" t="s">
        <v>1881</v>
      </c>
      <c r="H11653" s="27" t="s">
        <v>2679</v>
      </c>
      <c r="J11653" s="27" t="s">
        <v>3210</v>
      </c>
      <c r="L11653" s="27" t="s">
        <v>3262</v>
      </c>
      <c r="N11653" s="27" t="s">
        <v>3265</v>
      </c>
      <c r="P11653" s="27" t="s">
        <v>15451</v>
      </c>
      <c r="Q11653" s="26" t="str">
        <f>HYPERLINK("https://ictv.global/taxonomy/taxondetails?taxnode_id=202516839&amp;ictv_id=ICTV202316839","ICTV202316839")</f>
        <v>ICTV202316839</v>
      </c>
      <c r="R11653" t="s">
        <v>581</v>
      </c>
      <c r="S11653" t="s">
        <v>823</v>
      </c>
      <c r="T11653">
        <v>39</v>
      </c>
      <c r="U11653" s="26" t="str">
        <f t="shared" si="430"/>
        <v>2023.001B.Leviviricetes_reorg.zip</v>
      </c>
    </row>
    <row r="11654" spans="1:21">
      <c r="A11654">
        <v>11653</v>
      </c>
      <c r="B11654" s="27" t="s">
        <v>1124</v>
      </c>
      <c r="D11654" s="27" t="s">
        <v>1859</v>
      </c>
      <c r="F11654" s="27" t="s">
        <v>1881</v>
      </c>
      <c r="H11654" s="27" t="s">
        <v>2679</v>
      </c>
      <c r="J11654" s="27" t="s">
        <v>3210</v>
      </c>
      <c r="L11654" s="27" t="s">
        <v>3262</v>
      </c>
      <c r="N11654" s="27" t="s">
        <v>3265</v>
      </c>
      <c r="P11654" s="27" t="s">
        <v>15452</v>
      </c>
      <c r="Q11654" s="26" t="str">
        <f>HYPERLINK("https://ictv.global/taxonomy/taxondetails?taxnode_id=202516840&amp;ictv_id=ICTV202316840","ICTV202316840")</f>
        <v>ICTV202316840</v>
      </c>
      <c r="R11654" t="s">
        <v>581</v>
      </c>
      <c r="S11654" t="s">
        <v>823</v>
      </c>
      <c r="T11654">
        <v>39</v>
      </c>
      <c r="U11654" s="26" t="str">
        <f t="shared" si="430"/>
        <v>2023.001B.Leviviricetes_reorg.zip</v>
      </c>
    </row>
    <row r="11655" spans="1:21">
      <c r="A11655">
        <v>11654</v>
      </c>
      <c r="B11655" s="27" t="s">
        <v>1124</v>
      </c>
      <c r="D11655" s="27" t="s">
        <v>1859</v>
      </c>
      <c r="F11655" s="27" t="s">
        <v>1881</v>
      </c>
      <c r="H11655" s="27" t="s">
        <v>2679</v>
      </c>
      <c r="J11655" s="27" t="s">
        <v>3210</v>
      </c>
      <c r="L11655" s="27" t="s">
        <v>3262</v>
      </c>
      <c r="N11655" s="27" t="s">
        <v>3265</v>
      </c>
      <c r="P11655" s="27" t="s">
        <v>15453</v>
      </c>
      <c r="Q11655" s="26" t="str">
        <f>HYPERLINK("https://ictv.global/taxonomy/taxondetails?taxnode_id=202516841&amp;ictv_id=ICTV202316841","ICTV202316841")</f>
        <v>ICTV202316841</v>
      </c>
      <c r="R11655" t="s">
        <v>581</v>
      </c>
      <c r="S11655" t="s">
        <v>823</v>
      </c>
      <c r="T11655">
        <v>39</v>
      </c>
      <c r="U11655" s="26" t="str">
        <f t="shared" si="430"/>
        <v>2023.001B.Leviviricetes_reorg.zip</v>
      </c>
    </row>
    <row r="11656" spans="1:21">
      <c r="A11656">
        <v>11655</v>
      </c>
      <c r="B11656" s="27" t="s">
        <v>1124</v>
      </c>
      <c r="D11656" s="27" t="s">
        <v>1859</v>
      </c>
      <c r="F11656" s="27" t="s">
        <v>1881</v>
      </c>
      <c r="H11656" s="27" t="s">
        <v>2679</v>
      </c>
      <c r="J11656" s="27" t="s">
        <v>3210</v>
      </c>
      <c r="L11656" s="27" t="s">
        <v>3262</v>
      </c>
      <c r="N11656" s="27" t="s">
        <v>3265</v>
      </c>
      <c r="P11656" s="27" t="s">
        <v>15454</v>
      </c>
      <c r="Q11656" s="26" t="str">
        <f>HYPERLINK("https://ictv.global/taxonomy/taxondetails?taxnode_id=202516842&amp;ictv_id=ICTV202316842","ICTV202316842")</f>
        <v>ICTV202316842</v>
      </c>
      <c r="R11656" t="s">
        <v>581</v>
      </c>
      <c r="S11656" t="s">
        <v>823</v>
      </c>
      <c r="T11656">
        <v>39</v>
      </c>
      <c r="U11656" s="26" t="str">
        <f t="shared" si="430"/>
        <v>2023.001B.Leviviricetes_reorg.zip</v>
      </c>
    </row>
    <row r="11657" spans="1:21">
      <c r="A11657">
        <v>11656</v>
      </c>
      <c r="B11657" s="27" t="s">
        <v>1124</v>
      </c>
      <c r="D11657" s="27" t="s">
        <v>1859</v>
      </c>
      <c r="F11657" s="27" t="s">
        <v>1881</v>
      </c>
      <c r="H11657" s="27" t="s">
        <v>2679</v>
      </c>
      <c r="J11657" s="27" t="s">
        <v>3210</v>
      </c>
      <c r="L11657" s="27" t="s">
        <v>3262</v>
      </c>
      <c r="N11657" s="27" t="s">
        <v>3265</v>
      </c>
      <c r="P11657" s="27" t="s">
        <v>15455</v>
      </c>
      <c r="Q11657" s="26" t="str">
        <f>HYPERLINK("https://ictv.global/taxonomy/taxondetails?taxnode_id=202516843&amp;ictv_id=ICTV202316843","ICTV202316843")</f>
        <v>ICTV202316843</v>
      </c>
      <c r="R11657" t="s">
        <v>581</v>
      </c>
      <c r="S11657" t="s">
        <v>823</v>
      </c>
      <c r="T11657">
        <v>39</v>
      </c>
      <c r="U11657" s="26" t="str">
        <f t="shared" si="430"/>
        <v>2023.001B.Leviviricetes_reorg.zip</v>
      </c>
    </row>
    <row r="11658" spans="1:21">
      <c r="A11658">
        <v>11657</v>
      </c>
      <c r="B11658" s="27" t="s">
        <v>1124</v>
      </c>
      <c r="D11658" s="27" t="s">
        <v>1859</v>
      </c>
      <c r="F11658" s="27" t="s">
        <v>1881</v>
      </c>
      <c r="H11658" s="27" t="s">
        <v>2679</v>
      </c>
      <c r="J11658" s="27" t="s">
        <v>3210</v>
      </c>
      <c r="L11658" s="27" t="s">
        <v>3262</v>
      </c>
      <c r="N11658" s="27" t="s">
        <v>3265</v>
      </c>
      <c r="P11658" s="27" t="s">
        <v>15456</v>
      </c>
      <c r="Q11658" s="26" t="str">
        <f>HYPERLINK("https://ictv.global/taxonomy/taxondetails?taxnode_id=202516844&amp;ictv_id=ICTV202316844","ICTV202316844")</f>
        <v>ICTV202316844</v>
      </c>
      <c r="R11658" t="s">
        <v>581</v>
      </c>
      <c r="S11658" t="s">
        <v>823</v>
      </c>
      <c r="T11658">
        <v>39</v>
      </c>
      <c r="U11658" s="26" t="str">
        <f t="shared" si="430"/>
        <v>2023.001B.Leviviricetes_reorg.zip</v>
      </c>
    </row>
    <row r="11659" spans="1:21">
      <c r="A11659">
        <v>11658</v>
      </c>
      <c r="B11659" s="27" t="s">
        <v>1124</v>
      </c>
      <c r="D11659" s="27" t="s">
        <v>1859</v>
      </c>
      <c r="F11659" s="27" t="s">
        <v>1881</v>
      </c>
      <c r="H11659" s="27" t="s">
        <v>2679</v>
      </c>
      <c r="J11659" s="27" t="s">
        <v>3210</v>
      </c>
      <c r="L11659" s="27" t="s">
        <v>3262</v>
      </c>
      <c r="N11659" s="27" t="s">
        <v>3265</v>
      </c>
      <c r="P11659" s="27" t="s">
        <v>15457</v>
      </c>
      <c r="Q11659" s="26" t="str">
        <f>HYPERLINK("https://ictv.global/taxonomy/taxondetails?taxnode_id=202516845&amp;ictv_id=ICTV202316845","ICTV202316845")</f>
        <v>ICTV202316845</v>
      </c>
      <c r="R11659" t="s">
        <v>581</v>
      </c>
      <c r="S11659" t="s">
        <v>823</v>
      </c>
      <c r="T11659">
        <v>39</v>
      </c>
      <c r="U11659" s="26" t="str">
        <f t="shared" si="430"/>
        <v>2023.001B.Leviviricetes_reorg.zip</v>
      </c>
    </row>
    <row r="11660" spans="1:21">
      <c r="A11660">
        <v>11659</v>
      </c>
      <c r="B11660" s="27" t="s">
        <v>1124</v>
      </c>
      <c r="D11660" s="27" t="s">
        <v>1859</v>
      </c>
      <c r="F11660" s="27" t="s">
        <v>1881</v>
      </c>
      <c r="H11660" s="27" t="s">
        <v>2679</v>
      </c>
      <c r="J11660" s="27" t="s">
        <v>3210</v>
      </c>
      <c r="L11660" s="27" t="s">
        <v>3262</v>
      </c>
      <c r="N11660" s="27" t="s">
        <v>3265</v>
      </c>
      <c r="P11660" s="27" t="s">
        <v>15458</v>
      </c>
      <c r="Q11660" s="26" t="str">
        <f>HYPERLINK("https://ictv.global/taxonomy/taxondetails?taxnode_id=202511306&amp;ictv_id=ICTV202011306","ICTV202011306")</f>
        <v>ICTV202011306</v>
      </c>
      <c r="R11660" t="s">
        <v>581</v>
      </c>
      <c r="S11660" t="s">
        <v>22764</v>
      </c>
      <c r="T11660">
        <v>39</v>
      </c>
      <c r="U11660" s="26" t="str">
        <f t="shared" si="430"/>
        <v>2023.001B.Leviviricetes_reorg.zip</v>
      </c>
    </row>
    <row r="11661" spans="1:21">
      <c r="A11661">
        <v>11660</v>
      </c>
      <c r="B11661" s="27" t="s">
        <v>1124</v>
      </c>
      <c r="D11661" s="27" t="s">
        <v>1859</v>
      </c>
      <c r="F11661" s="27" t="s">
        <v>1881</v>
      </c>
      <c r="H11661" s="27" t="s">
        <v>2679</v>
      </c>
      <c r="J11661" s="27" t="s">
        <v>3210</v>
      </c>
      <c r="L11661" s="27" t="s">
        <v>3262</v>
      </c>
      <c r="N11661" s="27" t="s">
        <v>3265</v>
      </c>
      <c r="P11661" s="27" t="s">
        <v>3270</v>
      </c>
      <c r="Q11661" s="26" t="str">
        <f>HYPERLINK("https://ictv.global/taxonomy/taxondetails?taxnode_id=202510994&amp;ictv_id=ICTV202010994","ICTV202010994")</f>
        <v>ICTV202010994</v>
      </c>
      <c r="R11661" t="s">
        <v>581</v>
      </c>
      <c r="S11661" t="s">
        <v>823</v>
      </c>
      <c r="T11661">
        <v>36</v>
      </c>
      <c r="U11661" s="26" t="str">
        <f>HYPERLINK("https://ictv.global/ictv/proposals/2020.095B.R.Leviviricetes.zip","2020.095B.R.Leviviricetes.zip")</f>
        <v>2020.095B.R.Leviviricetes.zip</v>
      </c>
    </row>
    <row r="11662" spans="1:21">
      <c r="A11662">
        <v>11661</v>
      </c>
      <c r="B11662" s="27" t="s">
        <v>1124</v>
      </c>
      <c r="D11662" s="27" t="s">
        <v>1859</v>
      </c>
      <c r="F11662" s="27" t="s">
        <v>1881</v>
      </c>
      <c r="H11662" s="27" t="s">
        <v>2679</v>
      </c>
      <c r="J11662" s="27" t="s">
        <v>3210</v>
      </c>
      <c r="L11662" s="27" t="s">
        <v>3262</v>
      </c>
      <c r="N11662" s="27" t="s">
        <v>3265</v>
      </c>
      <c r="P11662" s="27" t="s">
        <v>3271</v>
      </c>
      <c r="Q11662" s="26" t="str">
        <f>HYPERLINK("https://ictv.global/taxonomy/taxondetails?taxnode_id=202510995&amp;ictv_id=ICTV202010995","ICTV202010995")</f>
        <v>ICTV202010995</v>
      </c>
      <c r="R11662" t="s">
        <v>581</v>
      </c>
      <c r="S11662" t="s">
        <v>823</v>
      </c>
      <c r="T11662">
        <v>36</v>
      </c>
      <c r="U11662" s="26" t="str">
        <f>HYPERLINK("https://ictv.global/ictv/proposals/2020.095B.R.Leviviricetes.zip","2020.095B.R.Leviviricetes.zip")</f>
        <v>2020.095B.R.Leviviricetes.zip</v>
      </c>
    </row>
    <row r="11663" spans="1:21">
      <c r="A11663">
        <v>11662</v>
      </c>
      <c r="B11663" s="27" t="s">
        <v>1124</v>
      </c>
      <c r="D11663" s="27" t="s">
        <v>1859</v>
      </c>
      <c r="F11663" s="27" t="s">
        <v>1881</v>
      </c>
      <c r="H11663" s="27" t="s">
        <v>2679</v>
      </c>
      <c r="J11663" s="27" t="s">
        <v>3210</v>
      </c>
      <c r="L11663" s="27" t="s">
        <v>3262</v>
      </c>
      <c r="N11663" s="27" t="s">
        <v>3265</v>
      </c>
      <c r="P11663" s="27" t="s">
        <v>3272</v>
      </c>
      <c r="Q11663" s="26" t="str">
        <f>HYPERLINK("https://ictv.global/taxonomy/taxondetails?taxnode_id=202510990&amp;ictv_id=ICTV202010990","ICTV202010990")</f>
        <v>ICTV202010990</v>
      </c>
      <c r="R11663" t="s">
        <v>581</v>
      </c>
      <c r="S11663" t="s">
        <v>823</v>
      </c>
      <c r="T11663">
        <v>36</v>
      </c>
      <c r="U11663" s="26" t="str">
        <f>HYPERLINK("https://ictv.global/ictv/proposals/2020.095B.R.Leviviricetes.zip","2020.095B.R.Leviviricetes.zip")</f>
        <v>2020.095B.R.Leviviricetes.zip</v>
      </c>
    </row>
    <row r="11664" spans="1:21">
      <c r="A11664">
        <v>11663</v>
      </c>
      <c r="B11664" s="27" t="s">
        <v>1124</v>
      </c>
      <c r="D11664" s="27" t="s">
        <v>1859</v>
      </c>
      <c r="F11664" s="27" t="s">
        <v>1881</v>
      </c>
      <c r="H11664" s="27" t="s">
        <v>2679</v>
      </c>
      <c r="J11664" s="27" t="s">
        <v>3210</v>
      </c>
      <c r="L11664" s="27" t="s">
        <v>3262</v>
      </c>
      <c r="N11664" s="27" t="s">
        <v>3265</v>
      </c>
      <c r="P11664" s="27" t="s">
        <v>3273</v>
      </c>
      <c r="Q11664" s="26" t="str">
        <f>HYPERLINK("https://ictv.global/taxonomy/taxondetails?taxnode_id=202510996&amp;ictv_id=ICTV202010996","ICTV202010996")</f>
        <v>ICTV202010996</v>
      </c>
      <c r="R11664" t="s">
        <v>581</v>
      </c>
      <c r="S11664" t="s">
        <v>823</v>
      </c>
      <c r="T11664">
        <v>36</v>
      </c>
      <c r="U11664" s="26" t="str">
        <f>HYPERLINK("https://ictv.global/ictv/proposals/2020.095B.R.Leviviricetes.zip","2020.095B.R.Leviviricetes.zip")</f>
        <v>2020.095B.R.Leviviricetes.zip</v>
      </c>
    </row>
    <row r="11665" spans="1:21">
      <c r="A11665">
        <v>11664</v>
      </c>
      <c r="B11665" s="27" t="s">
        <v>1124</v>
      </c>
      <c r="D11665" s="27" t="s">
        <v>1859</v>
      </c>
      <c r="F11665" s="27" t="s">
        <v>1881</v>
      </c>
      <c r="H11665" s="27" t="s">
        <v>2679</v>
      </c>
      <c r="J11665" s="27" t="s">
        <v>3210</v>
      </c>
      <c r="L11665" s="27" t="s">
        <v>3262</v>
      </c>
      <c r="N11665" s="27" t="s">
        <v>3265</v>
      </c>
      <c r="P11665" s="27" t="s">
        <v>15459</v>
      </c>
      <c r="Q11665" s="26" t="str">
        <f>HYPERLINK("https://ictv.global/taxonomy/taxondetails?taxnode_id=202511105&amp;ictv_id=ICTV202011105","ICTV202011105")</f>
        <v>ICTV202011105</v>
      </c>
      <c r="R11665" t="s">
        <v>581</v>
      </c>
      <c r="S11665" t="s">
        <v>22764</v>
      </c>
      <c r="T11665">
        <v>39</v>
      </c>
      <c r="U11665" s="26" t="str">
        <f t="shared" ref="U11665:U11679" si="431">HYPERLINK("https://ictv.global/ictv/proposals/2023.001B.Leviviricetes_reorg.zip","2023.001B.Leviviricetes_reorg.zip")</f>
        <v>2023.001B.Leviviricetes_reorg.zip</v>
      </c>
    </row>
    <row r="11666" spans="1:21">
      <c r="A11666">
        <v>11665</v>
      </c>
      <c r="B11666" s="27" t="s">
        <v>1124</v>
      </c>
      <c r="D11666" s="27" t="s">
        <v>1859</v>
      </c>
      <c r="F11666" s="27" t="s">
        <v>1881</v>
      </c>
      <c r="H11666" s="27" t="s">
        <v>2679</v>
      </c>
      <c r="J11666" s="27" t="s">
        <v>3210</v>
      </c>
      <c r="L11666" s="27" t="s">
        <v>3262</v>
      </c>
      <c r="N11666" s="27" t="s">
        <v>3265</v>
      </c>
      <c r="P11666" s="27" t="s">
        <v>15460</v>
      </c>
      <c r="Q11666" s="26" t="str">
        <f>HYPERLINK("https://ictv.global/taxonomy/taxondetails?taxnode_id=202516846&amp;ictv_id=ICTV202316846","ICTV202316846")</f>
        <v>ICTV202316846</v>
      </c>
      <c r="R11666" t="s">
        <v>581</v>
      </c>
      <c r="S11666" t="s">
        <v>823</v>
      </c>
      <c r="T11666">
        <v>39</v>
      </c>
      <c r="U11666" s="26" t="str">
        <f t="shared" si="431"/>
        <v>2023.001B.Leviviricetes_reorg.zip</v>
      </c>
    </row>
    <row r="11667" spans="1:21">
      <c r="A11667">
        <v>11666</v>
      </c>
      <c r="B11667" s="27" t="s">
        <v>1124</v>
      </c>
      <c r="D11667" s="27" t="s">
        <v>1859</v>
      </c>
      <c r="F11667" s="27" t="s">
        <v>1881</v>
      </c>
      <c r="H11667" s="27" t="s">
        <v>2679</v>
      </c>
      <c r="J11667" s="27" t="s">
        <v>3210</v>
      </c>
      <c r="L11667" s="27" t="s">
        <v>3262</v>
      </c>
      <c r="N11667" s="27" t="s">
        <v>3265</v>
      </c>
      <c r="P11667" s="27" t="s">
        <v>15461</v>
      </c>
      <c r="Q11667" s="26" t="str">
        <f>HYPERLINK("https://ictv.global/taxonomy/taxondetails?taxnode_id=202516847&amp;ictv_id=ICTV202316847","ICTV202316847")</f>
        <v>ICTV202316847</v>
      </c>
      <c r="R11667" t="s">
        <v>581</v>
      </c>
      <c r="S11667" t="s">
        <v>823</v>
      </c>
      <c r="T11667">
        <v>39</v>
      </c>
      <c r="U11667" s="26" t="str">
        <f t="shared" si="431"/>
        <v>2023.001B.Leviviricetes_reorg.zip</v>
      </c>
    </row>
    <row r="11668" spans="1:21">
      <c r="A11668">
        <v>11667</v>
      </c>
      <c r="B11668" s="27" t="s">
        <v>1124</v>
      </c>
      <c r="D11668" s="27" t="s">
        <v>1859</v>
      </c>
      <c r="F11668" s="27" t="s">
        <v>1881</v>
      </c>
      <c r="H11668" s="27" t="s">
        <v>2679</v>
      </c>
      <c r="J11668" s="27" t="s">
        <v>3210</v>
      </c>
      <c r="L11668" s="27" t="s">
        <v>3262</v>
      </c>
      <c r="N11668" s="27" t="s">
        <v>3265</v>
      </c>
      <c r="P11668" s="27" t="s">
        <v>15462</v>
      </c>
      <c r="Q11668" s="26" t="str">
        <f>HYPERLINK("https://ictv.global/taxonomy/taxondetails?taxnode_id=202516848&amp;ictv_id=ICTV202316848","ICTV202316848")</f>
        <v>ICTV202316848</v>
      </c>
      <c r="R11668" t="s">
        <v>581</v>
      </c>
      <c r="S11668" t="s">
        <v>823</v>
      </c>
      <c r="T11668">
        <v>39</v>
      </c>
      <c r="U11668" s="26" t="str">
        <f t="shared" si="431"/>
        <v>2023.001B.Leviviricetes_reorg.zip</v>
      </c>
    </row>
    <row r="11669" spans="1:21">
      <c r="A11669">
        <v>11668</v>
      </c>
      <c r="B11669" s="27" t="s">
        <v>1124</v>
      </c>
      <c r="D11669" s="27" t="s">
        <v>1859</v>
      </c>
      <c r="F11669" s="27" t="s">
        <v>1881</v>
      </c>
      <c r="H11669" s="27" t="s">
        <v>2679</v>
      </c>
      <c r="J11669" s="27" t="s">
        <v>3210</v>
      </c>
      <c r="L11669" s="27" t="s">
        <v>3262</v>
      </c>
      <c r="N11669" s="27" t="s">
        <v>3265</v>
      </c>
      <c r="P11669" s="27" t="s">
        <v>15463</v>
      </c>
      <c r="Q11669" s="26" t="str">
        <f>HYPERLINK("https://ictv.global/taxonomy/taxondetails?taxnode_id=202516849&amp;ictv_id=ICTV202316849","ICTV202316849")</f>
        <v>ICTV202316849</v>
      </c>
      <c r="R11669" t="s">
        <v>581</v>
      </c>
      <c r="S11669" t="s">
        <v>823</v>
      </c>
      <c r="T11669">
        <v>39</v>
      </c>
      <c r="U11669" s="26" t="str">
        <f t="shared" si="431"/>
        <v>2023.001B.Leviviricetes_reorg.zip</v>
      </c>
    </row>
    <row r="11670" spans="1:21">
      <c r="A11670">
        <v>11669</v>
      </c>
      <c r="B11670" s="27" t="s">
        <v>1124</v>
      </c>
      <c r="D11670" s="27" t="s">
        <v>1859</v>
      </c>
      <c r="F11670" s="27" t="s">
        <v>1881</v>
      </c>
      <c r="H11670" s="27" t="s">
        <v>2679</v>
      </c>
      <c r="J11670" s="27" t="s">
        <v>3210</v>
      </c>
      <c r="L11670" s="27" t="s">
        <v>3262</v>
      </c>
      <c r="N11670" s="27" t="s">
        <v>3265</v>
      </c>
      <c r="P11670" s="27" t="s">
        <v>15464</v>
      </c>
      <c r="Q11670" s="26" t="str">
        <f>HYPERLINK("https://ictv.global/taxonomy/taxondetails?taxnode_id=202516850&amp;ictv_id=ICTV202316850","ICTV202316850")</f>
        <v>ICTV202316850</v>
      </c>
      <c r="R11670" t="s">
        <v>581</v>
      </c>
      <c r="S11670" t="s">
        <v>823</v>
      </c>
      <c r="T11670">
        <v>39</v>
      </c>
      <c r="U11670" s="26" t="str">
        <f t="shared" si="431"/>
        <v>2023.001B.Leviviricetes_reorg.zip</v>
      </c>
    </row>
    <row r="11671" spans="1:21">
      <c r="A11671">
        <v>11670</v>
      </c>
      <c r="B11671" s="27" t="s">
        <v>1124</v>
      </c>
      <c r="D11671" s="27" t="s">
        <v>1859</v>
      </c>
      <c r="F11671" s="27" t="s">
        <v>1881</v>
      </c>
      <c r="H11671" s="27" t="s">
        <v>2679</v>
      </c>
      <c r="J11671" s="27" t="s">
        <v>3210</v>
      </c>
      <c r="L11671" s="27" t="s">
        <v>3262</v>
      </c>
      <c r="N11671" s="27" t="s">
        <v>3265</v>
      </c>
      <c r="P11671" s="27" t="s">
        <v>15465</v>
      </c>
      <c r="Q11671" s="26" t="str">
        <f>HYPERLINK("https://ictv.global/taxonomy/taxondetails?taxnode_id=202516851&amp;ictv_id=ICTV202316851","ICTV202316851")</f>
        <v>ICTV202316851</v>
      </c>
      <c r="R11671" t="s">
        <v>581</v>
      </c>
      <c r="S11671" t="s">
        <v>823</v>
      </c>
      <c r="T11671">
        <v>39</v>
      </c>
      <c r="U11671" s="26" t="str">
        <f t="shared" si="431"/>
        <v>2023.001B.Leviviricetes_reorg.zip</v>
      </c>
    </row>
    <row r="11672" spans="1:21">
      <c r="A11672">
        <v>11671</v>
      </c>
      <c r="B11672" s="27" t="s">
        <v>1124</v>
      </c>
      <c r="D11672" s="27" t="s">
        <v>1859</v>
      </c>
      <c r="F11672" s="27" t="s">
        <v>1881</v>
      </c>
      <c r="H11672" s="27" t="s">
        <v>2679</v>
      </c>
      <c r="J11672" s="27" t="s">
        <v>3210</v>
      </c>
      <c r="L11672" s="27" t="s">
        <v>3262</v>
      </c>
      <c r="N11672" s="27" t="s">
        <v>3265</v>
      </c>
      <c r="P11672" s="27" t="s">
        <v>15466</v>
      </c>
      <c r="Q11672" s="26" t="str">
        <f>HYPERLINK("https://ictv.global/taxonomy/taxondetails?taxnode_id=202516852&amp;ictv_id=ICTV202316852","ICTV202316852")</f>
        <v>ICTV202316852</v>
      </c>
      <c r="R11672" t="s">
        <v>581</v>
      </c>
      <c r="S11672" t="s">
        <v>823</v>
      </c>
      <c r="T11672">
        <v>39</v>
      </c>
      <c r="U11672" s="26" t="str">
        <f t="shared" si="431"/>
        <v>2023.001B.Leviviricetes_reorg.zip</v>
      </c>
    </row>
    <row r="11673" spans="1:21">
      <c r="A11673">
        <v>11672</v>
      </c>
      <c r="B11673" s="27" t="s">
        <v>1124</v>
      </c>
      <c r="D11673" s="27" t="s">
        <v>1859</v>
      </c>
      <c r="F11673" s="27" t="s">
        <v>1881</v>
      </c>
      <c r="H11673" s="27" t="s">
        <v>2679</v>
      </c>
      <c r="J11673" s="27" t="s">
        <v>3210</v>
      </c>
      <c r="L11673" s="27" t="s">
        <v>3262</v>
      </c>
      <c r="N11673" s="27" t="s">
        <v>3265</v>
      </c>
      <c r="P11673" s="27" t="s">
        <v>15467</v>
      </c>
      <c r="Q11673" s="26" t="str">
        <f>HYPERLINK("https://ictv.global/taxonomy/taxondetails?taxnode_id=202516853&amp;ictv_id=ICTV202316853","ICTV202316853")</f>
        <v>ICTV202316853</v>
      </c>
      <c r="R11673" t="s">
        <v>581</v>
      </c>
      <c r="S11673" t="s">
        <v>823</v>
      </c>
      <c r="T11673">
        <v>39</v>
      </c>
      <c r="U11673" s="26" t="str">
        <f t="shared" si="431"/>
        <v>2023.001B.Leviviricetes_reorg.zip</v>
      </c>
    </row>
    <row r="11674" spans="1:21">
      <c r="A11674">
        <v>11673</v>
      </c>
      <c r="B11674" s="27" t="s">
        <v>1124</v>
      </c>
      <c r="D11674" s="27" t="s">
        <v>1859</v>
      </c>
      <c r="F11674" s="27" t="s">
        <v>1881</v>
      </c>
      <c r="H11674" s="27" t="s">
        <v>2679</v>
      </c>
      <c r="J11674" s="27" t="s">
        <v>3210</v>
      </c>
      <c r="L11674" s="27" t="s">
        <v>3262</v>
      </c>
      <c r="N11674" s="27" t="s">
        <v>3265</v>
      </c>
      <c r="P11674" s="27" t="s">
        <v>15468</v>
      </c>
      <c r="Q11674" s="26" t="str">
        <f>HYPERLINK("https://ictv.global/taxonomy/taxondetails?taxnode_id=202516854&amp;ictv_id=ICTV202316854","ICTV202316854")</f>
        <v>ICTV202316854</v>
      </c>
      <c r="R11674" t="s">
        <v>581</v>
      </c>
      <c r="S11674" t="s">
        <v>823</v>
      </c>
      <c r="T11674">
        <v>39</v>
      </c>
      <c r="U11674" s="26" t="str">
        <f t="shared" si="431"/>
        <v>2023.001B.Leviviricetes_reorg.zip</v>
      </c>
    </row>
    <row r="11675" spans="1:21">
      <c r="A11675">
        <v>11674</v>
      </c>
      <c r="B11675" s="27" t="s">
        <v>1124</v>
      </c>
      <c r="D11675" s="27" t="s">
        <v>1859</v>
      </c>
      <c r="F11675" s="27" t="s">
        <v>1881</v>
      </c>
      <c r="H11675" s="27" t="s">
        <v>2679</v>
      </c>
      <c r="J11675" s="27" t="s">
        <v>3210</v>
      </c>
      <c r="L11675" s="27" t="s">
        <v>3262</v>
      </c>
      <c r="N11675" s="27" t="s">
        <v>3265</v>
      </c>
      <c r="P11675" s="27" t="s">
        <v>15469</v>
      </c>
      <c r="Q11675" s="26" t="str">
        <f>HYPERLINK("https://ictv.global/taxonomy/taxondetails?taxnode_id=202516855&amp;ictv_id=ICTV202316855","ICTV202316855")</f>
        <v>ICTV202316855</v>
      </c>
      <c r="R11675" t="s">
        <v>581</v>
      </c>
      <c r="S11675" t="s">
        <v>823</v>
      </c>
      <c r="T11675">
        <v>39</v>
      </c>
      <c r="U11675" s="26" t="str">
        <f t="shared" si="431"/>
        <v>2023.001B.Leviviricetes_reorg.zip</v>
      </c>
    </row>
    <row r="11676" spans="1:21">
      <c r="A11676">
        <v>11675</v>
      </c>
      <c r="B11676" s="27" t="s">
        <v>1124</v>
      </c>
      <c r="D11676" s="27" t="s">
        <v>1859</v>
      </c>
      <c r="F11676" s="27" t="s">
        <v>1881</v>
      </c>
      <c r="H11676" s="27" t="s">
        <v>2679</v>
      </c>
      <c r="J11676" s="27" t="s">
        <v>3210</v>
      </c>
      <c r="L11676" s="27" t="s">
        <v>3262</v>
      </c>
      <c r="N11676" s="27" t="s">
        <v>3265</v>
      </c>
      <c r="P11676" s="27" t="s">
        <v>15470</v>
      </c>
      <c r="Q11676" s="26" t="str">
        <f>HYPERLINK("https://ictv.global/taxonomy/taxondetails?taxnode_id=202516856&amp;ictv_id=ICTV202316856","ICTV202316856")</f>
        <v>ICTV202316856</v>
      </c>
      <c r="R11676" t="s">
        <v>581</v>
      </c>
      <c r="S11676" t="s">
        <v>823</v>
      </c>
      <c r="T11676">
        <v>39</v>
      </c>
      <c r="U11676" s="26" t="str">
        <f t="shared" si="431"/>
        <v>2023.001B.Leviviricetes_reorg.zip</v>
      </c>
    </row>
    <row r="11677" spans="1:21">
      <c r="A11677">
        <v>11676</v>
      </c>
      <c r="B11677" s="27" t="s">
        <v>1124</v>
      </c>
      <c r="D11677" s="27" t="s">
        <v>1859</v>
      </c>
      <c r="F11677" s="27" t="s">
        <v>1881</v>
      </c>
      <c r="H11677" s="27" t="s">
        <v>2679</v>
      </c>
      <c r="J11677" s="27" t="s">
        <v>3210</v>
      </c>
      <c r="L11677" s="27" t="s">
        <v>3262</v>
      </c>
      <c r="N11677" s="27" t="s">
        <v>3265</v>
      </c>
      <c r="P11677" s="27" t="s">
        <v>15471</v>
      </c>
      <c r="Q11677" s="26" t="str">
        <f>HYPERLINK("https://ictv.global/taxonomy/taxondetails?taxnode_id=202516857&amp;ictv_id=ICTV202316857","ICTV202316857")</f>
        <v>ICTV202316857</v>
      </c>
      <c r="R11677" t="s">
        <v>581</v>
      </c>
      <c r="S11677" t="s">
        <v>823</v>
      </c>
      <c r="T11677">
        <v>39</v>
      </c>
      <c r="U11677" s="26" t="str">
        <f t="shared" si="431"/>
        <v>2023.001B.Leviviricetes_reorg.zip</v>
      </c>
    </row>
    <row r="11678" spans="1:21">
      <c r="A11678">
        <v>11677</v>
      </c>
      <c r="B11678" s="27" t="s">
        <v>1124</v>
      </c>
      <c r="D11678" s="27" t="s">
        <v>1859</v>
      </c>
      <c r="F11678" s="27" t="s">
        <v>1881</v>
      </c>
      <c r="H11678" s="27" t="s">
        <v>2679</v>
      </c>
      <c r="J11678" s="27" t="s">
        <v>3210</v>
      </c>
      <c r="L11678" s="27" t="s">
        <v>3262</v>
      </c>
      <c r="N11678" s="27" t="s">
        <v>3265</v>
      </c>
      <c r="P11678" s="27" t="s">
        <v>15472</v>
      </c>
      <c r="Q11678" s="26" t="str">
        <f>HYPERLINK("https://ictv.global/taxonomy/taxondetails?taxnode_id=202516858&amp;ictv_id=ICTV202316858","ICTV202316858")</f>
        <v>ICTV202316858</v>
      </c>
      <c r="R11678" t="s">
        <v>581</v>
      </c>
      <c r="S11678" t="s">
        <v>823</v>
      </c>
      <c r="T11678">
        <v>39</v>
      </c>
      <c r="U11678" s="26" t="str">
        <f t="shared" si="431"/>
        <v>2023.001B.Leviviricetes_reorg.zip</v>
      </c>
    </row>
    <row r="11679" spans="1:21">
      <c r="A11679">
        <v>11678</v>
      </c>
      <c r="B11679" s="27" t="s">
        <v>1124</v>
      </c>
      <c r="D11679" s="27" t="s">
        <v>1859</v>
      </c>
      <c r="F11679" s="27" t="s">
        <v>1881</v>
      </c>
      <c r="H11679" s="27" t="s">
        <v>2679</v>
      </c>
      <c r="J11679" s="27" t="s">
        <v>3210</v>
      </c>
      <c r="L11679" s="27" t="s">
        <v>3262</v>
      </c>
      <c r="N11679" s="27" t="s">
        <v>3265</v>
      </c>
      <c r="P11679" s="27" t="s">
        <v>15473</v>
      </c>
      <c r="Q11679" s="26" t="str">
        <f>HYPERLINK("https://ictv.global/taxonomy/taxondetails?taxnode_id=202516859&amp;ictv_id=ICTV202316859","ICTV202316859")</f>
        <v>ICTV202316859</v>
      </c>
      <c r="R11679" t="s">
        <v>581</v>
      </c>
      <c r="S11679" t="s">
        <v>823</v>
      </c>
      <c r="T11679">
        <v>39</v>
      </c>
      <c r="U11679" s="26" t="str">
        <f t="shared" si="431"/>
        <v>2023.001B.Leviviricetes_reorg.zip</v>
      </c>
    </row>
    <row r="11680" spans="1:21">
      <c r="A11680">
        <v>11679</v>
      </c>
      <c r="B11680" s="27" t="s">
        <v>1124</v>
      </c>
      <c r="D11680" s="27" t="s">
        <v>1859</v>
      </c>
      <c r="F11680" s="27" t="s">
        <v>1881</v>
      </c>
      <c r="H11680" s="27" t="s">
        <v>2679</v>
      </c>
      <c r="J11680" s="27" t="s">
        <v>3210</v>
      </c>
      <c r="L11680" s="27" t="s">
        <v>3262</v>
      </c>
      <c r="N11680" s="27" t="s">
        <v>3265</v>
      </c>
      <c r="P11680" s="27" t="s">
        <v>3274</v>
      </c>
      <c r="Q11680" s="26" t="str">
        <f>HYPERLINK("https://ictv.global/taxonomy/taxondetails?taxnode_id=202510991&amp;ictv_id=ICTV202010991","ICTV202010991")</f>
        <v>ICTV202010991</v>
      </c>
      <c r="R11680" t="s">
        <v>581</v>
      </c>
      <c r="S11680" t="s">
        <v>823</v>
      </c>
      <c r="T11680">
        <v>36</v>
      </c>
      <c r="U11680" s="26" t="str">
        <f>HYPERLINK("https://ictv.global/ictv/proposals/2020.095B.R.Leviviricetes.zip","2020.095B.R.Leviviricetes.zip")</f>
        <v>2020.095B.R.Leviviricetes.zip</v>
      </c>
    </row>
    <row r="11681" spans="1:21">
      <c r="A11681">
        <v>11680</v>
      </c>
      <c r="B11681" s="27" t="s">
        <v>1124</v>
      </c>
      <c r="D11681" s="27" t="s">
        <v>1859</v>
      </c>
      <c r="F11681" s="27" t="s">
        <v>1881</v>
      </c>
      <c r="H11681" s="27" t="s">
        <v>2679</v>
      </c>
      <c r="J11681" s="27" t="s">
        <v>3210</v>
      </c>
      <c r="L11681" s="27" t="s">
        <v>3262</v>
      </c>
      <c r="N11681" s="27" t="s">
        <v>3265</v>
      </c>
      <c r="P11681" s="27" t="s">
        <v>3275</v>
      </c>
      <c r="Q11681" s="26" t="str">
        <f>HYPERLINK("https://ictv.global/taxonomy/taxondetails?taxnode_id=202510992&amp;ictv_id=ICTV202010992","ICTV202010992")</f>
        <v>ICTV202010992</v>
      </c>
      <c r="R11681" t="s">
        <v>581</v>
      </c>
      <c r="S11681" t="s">
        <v>823</v>
      </c>
      <c r="T11681">
        <v>36</v>
      </c>
      <c r="U11681" s="26" t="str">
        <f>HYPERLINK("https://ictv.global/ictv/proposals/2020.095B.R.Leviviricetes.zip","2020.095B.R.Leviviricetes.zip")</f>
        <v>2020.095B.R.Leviviricetes.zip</v>
      </c>
    </row>
    <row r="11682" spans="1:21">
      <c r="A11682">
        <v>11681</v>
      </c>
      <c r="B11682" s="27" t="s">
        <v>1124</v>
      </c>
      <c r="D11682" s="27" t="s">
        <v>1859</v>
      </c>
      <c r="F11682" s="27" t="s">
        <v>1881</v>
      </c>
      <c r="H11682" s="27" t="s">
        <v>2679</v>
      </c>
      <c r="J11682" s="27" t="s">
        <v>3210</v>
      </c>
      <c r="L11682" s="27" t="s">
        <v>3262</v>
      </c>
      <c r="N11682" s="27" t="s">
        <v>3265</v>
      </c>
      <c r="P11682" s="27" t="s">
        <v>15474</v>
      </c>
      <c r="Q11682" s="26" t="str">
        <f>HYPERLINK("https://ictv.global/taxonomy/taxondetails?taxnode_id=202516860&amp;ictv_id=ICTV202316860","ICTV202316860")</f>
        <v>ICTV202316860</v>
      </c>
      <c r="R11682" t="s">
        <v>581</v>
      </c>
      <c r="S11682" t="s">
        <v>823</v>
      </c>
      <c r="T11682">
        <v>39</v>
      </c>
      <c r="U11682" s="26" t="str">
        <f t="shared" ref="U11682:U11710" si="432">HYPERLINK("https://ictv.global/ictv/proposals/2023.001B.Leviviricetes_reorg.zip","2023.001B.Leviviricetes_reorg.zip")</f>
        <v>2023.001B.Leviviricetes_reorg.zip</v>
      </c>
    </row>
    <row r="11683" spans="1:21">
      <c r="A11683">
        <v>11682</v>
      </c>
      <c r="B11683" s="27" t="s">
        <v>1124</v>
      </c>
      <c r="D11683" s="27" t="s">
        <v>1859</v>
      </c>
      <c r="F11683" s="27" t="s">
        <v>1881</v>
      </c>
      <c r="H11683" s="27" t="s">
        <v>2679</v>
      </c>
      <c r="J11683" s="27" t="s">
        <v>3210</v>
      </c>
      <c r="L11683" s="27" t="s">
        <v>3262</v>
      </c>
      <c r="N11683" s="27" t="s">
        <v>3265</v>
      </c>
      <c r="P11683" s="27" t="s">
        <v>15475</v>
      </c>
      <c r="Q11683" s="26" t="str">
        <f>HYPERLINK("https://ictv.global/taxonomy/taxondetails?taxnode_id=202516861&amp;ictv_id=ICTV202316861","ICTV202316861")</f>
        <v>ICTV202316861</v>
      </c>
      <c r="R11683" t="s">
        <v>581</v>
      </c>
      <c r="S11683" t="s">
        <v>823</v>
      </c>
      <c r="T11683">
        <v>39</v>
      </c>
      <c r="U11683" s="26" t="str">
        <f t="shared" si="432"/>
        <v>2023.001B.Leviviricetes_reorg.zip</v>
      </c>
    </row>
    <row r="11684" spans="1:21">
      <c r="A11684">
        <v>11683</v>
      </c>
      <c r="B11684" s="27" t="s">
        <v>1124</v>
      </c>
      <c r="D11684" s="27" t="s">
        <v>1859</v>
      </c>
      <c r="F11684" s="27" t="s">
        <v>1881</v>
      </c>
      <c r="H11684" s="27" t="s">
        <v>2679</v>
      </c>
      <c r="J11684" s="27" t="s">
        <v>3210</v>
      </c>
      <c r="L11684" s="27" t="s">
        <v>3262</v>
      </c>
      <c r="N11684" s="27" t="s">
        <v>3265</v>
      </c>
      <c r="P11684" s="27" t="s">
        <v>15476</v>
      </c>
      <c r="Q11684" s="26" t="str">
        <f>HYPERLINK("https://ictv.global/taxonomy/taxondetails?taxnode_id=202516862&amp;ictv_id=ICTV202316862","ICTV202316862")</f>
        <v>ICTV202316862</v>
      </c>
      <c r="R11684" t="s">
        <v>581</v>
      </c>
      <c r="S11684" t="s">
        <v>823</v>
      </c>
      <c r="T11684">
        <v>39</v>
      </c>
      <c r="U11684" s="26" t="str">
        <f t="shared" si="432"/>
        <v>2023.001B.Leviviricetes_reorg.zip</v>
      </c>
    </row>
    <row r="11685" spans="1:21">
      <c r="A11685">
        <v>11684</v>
      </c>
      <c r="B11685" s="27" t="s">
        <v>1124</v>
      </c>
      <c r="D11685" s="27" t="s">
        <v>1859</v>
      </c>
      <c r="F11685" s="27" t="s">
        <v>1881</v>
      </c>
      <c r="H11685" s="27" t="s">
        <v>2679</v>
      </c>
      <c r="J11685" s="27" t="s">
        <v>3210</v>
      </c>
      <c r="L11685" s="27" t="s">
        <v>3262</v>
      </c>
      <c r="N11685" s="27" t="s">
        <v>3265</v>
      </c>
      <c r="P11685" s="27" t="s">
        <v>15477</v>
      </c>
      <c r="Q11685" s="26" t="str">
        <f>HYPERLINK("https://ictv.global/taxonomy/taxondetails?taxnode_id=202516863&amp;ictv_id=ICTV202316863","ICTV202316863")</f>
        <v>ICTV202316863</v>
      </c>
      <c r="R11685" t="s">
        <v>581</v>
      </c>
      <c r="S11685" t="s">
        <v>823</v>
      </c>
      <c r="T11685">
        <v>39</v>
      </c>
      <c r="U11685" s="26" t="str">
        <f t="shared" si="432"/>
        <v>2023.001B.Leviviricetes_reorg.zip</v>
      </c>
    </row>
    <row r="11686" spans="1:21">
      <c r="A11686">
        <v>11685</v>
      </c>
      <c r="B11686" s="27" t="s">
        <v>1124</v>
      </c>
      <c r="D11686" s="27" t="s">
        <v>1859</v>
      </c>
      <c r="F11686" s="27" t="s">
        <v>1881</v>
      </c>
      <c r="H11686" s="27" t="s">
        <v>2679</v>
      </c>
      <c r="J11686" s="27" t="s">
        <v>3210</v>
      </c>
      <c r="L11686" s="27" t="s">
        <v>3262</v>
      </c>
      <c r="N11686" s="27" t="s">
        <v>3265</v>
      </c>
      <c r="P11686" s="27" t="s">
        <v>15478</v>
      </c>
      <c r="Q11686" s="26" t="str">
        <f>HYPERLINK("https://ictv.global/taxonomy/taxondetails?taxnode_id=202516864&amp;ictv_id=ICTV202316864","ICTV202316864")</f>
        <v>ICTV202316864</v>
      </c>
      <c r="R11686" t="s">
        <v>581</v>
      </c>
      <c r="S11686" t="s">
        <v>823</v>
      </c>
      <c r="T11686">
        <v>39</v>
      </c>
      <c r="U11686" s="26" t="str">
        <f t="shared" si="432"/>
        <v>2023.001B.Leviviricetes_reorg.zip</v>
      </c>
    </row>
    <row r="11687" spans="1:21">
      <c r="A11687">
        <v>11686</v>
      </c>
      <c r="B11687" s="27" t="s">
        <v>1124</v>
      </c>
      <c r="D11687" s="27" t="s">
        <v>1859</v>
      </c>
      <c r="F11687" s="27" t="s">
        <v>1881</v>
      </c>
      <c r="H11687" s="27" t="s">
        <v>2679</v>
      </c>
      <c r="J11687" s="27" t="s">
        <v>3210</v>
      </c>
      <c r="L11687" s="27" t="s">
        <v>3262</v>
      </c>
      <c r="N11687" s="27" t="s">
        <v>3265</v>
      </c>
      <c r="P11687" s="27" t="s">
        <v>15479</v>
      </c>
      <c r="Q11687" s="26" t="str">
        <f>HYPERLINK("https://ictv.global/taxonomy/taxondetails?taxnode_id=202516865&amp;ictv_id=ICTV202316865","ICTV202316865")</f>
        <v>ICTV202316865</v>
      </c>
      <c r="R11687" t="s">
        <v>581</v>
      </c>
      <c r="S11687" t="s">
        <v>823</v>
      </c>
      <c r="T11687">
        <v>39</v>
      </c>
      <c r="U11687" s="26" t="str">
        <f t="shared" si="432"/>
        <v>2023.001B.Leviviricetes_reorg.zip</v>
      </c>
    </row>
    <row r="11688" spans="1:21">
      <c r="A11688">
        <v>11687</v>
      </c>
      <c r="B11688" s="27" t="s">
        <v>1124</v>
      </c>
      <c r="D11688" s="27" t="s">
        <v>1859</v>
      </c>
      <c r="F11688" s="27" t="s">
        <v>1881</v>
      </c>
      <c r="H11688" s="27" t="s">
        <v>2679</v>
      </c>
      <c r="J11688" s="27" t="s">
        <v>3210</v>
      </c>
      <c r="L11688" s="27" t="s">
        <v>3262</v>
      </c>
      <c r="N11688" s="27" t="s">
        <v>3265</v>
      </c>
      <c r="P11688" s="27" t="s">
        <v>15480</v>
      </c>
      <c r="Q11688" s="26" t="str">
        <f>HYPERLINK("https://ictv.global/taxonomy/taxondetails?taxnode_id=202516866&amp;ictv_id=ICTV202316866","ICTV202316866")</f>
        <v>ICTV202316866</v>
      </c>
      <c r="R11688" t="s">
        <v>581</v>
      </c>
      <c r="S11688" t="s">
        <v>823</v>
      </c>
      <c r="T11688">
        <v>39</v>
      </c>
      <c r="U11688" s="26" t="str">
        <f t="shared" si="432"/>
        <v>2023.001B.Leviviricetes_reorg.zip</v>
      </c>
    </row>
    <row r="11689" spans="1:21">
      <c r="A11689">
        <v>11688</v>
      </c>
      <c r="B11689" s="27" t="s">
        <v>1124</v>
      </c>
      <c r="D11689" s="27" t="s">
        <v>1859</v>
      </c>
      <c r="F11689" s="27" t="s">
        <v>1881</v>
      </c>
      <c r="H11689" s="27" t="s">
        <v>2679</v>
      </c>
      <c r="J11689" s="27" t="s">
        <v>3210</v>
      </c>
      <c r="L11689" s="27" t="s">
        <v>3262</v>
      </c>
      <c r="N11689" s="27" t="s">
        <v>3265</v>
      </c>
      <c r="P11689" s="27" t="s">
        <v>15481</v>
      </c>
      <c r="Q11689" s="26" t="str">
        <f>HYPERLINK("https://ictv.global/taxonomy/taxondetails?taxnode_id=202516867&amp;ictv_id=ICTV202316867","ICTV202316867")</f>
        <v>ICTV202316867</v>
      </c>
      <c r="R11689" t="s">
        <v>581</v>
      </c>
      <c r="S11689" t="s">
        <v>823</v>
      </c>
      <c r="T11689">
        <v>39</v>
      </c>
      <c r="U11689" s="26" t="str">
        <f t="shared" si="432"/>
        <v>2023.001B.Leviviricetes_reorg.zip</v>
      </c>
    </row>
    <row r="11690" spans="1:21">
      <c r="A11690">
        <v>11689</v>
      </c>
      <c r="B11690" s="27" t="s">
        <v>1124</v>
      </c>
      <c r="D11690" s="27" t="s">
        <v>1859</v>
      </c>
      <c r="F11690" s="27" t="s">
        <v>1881</v>
      </c>
      <c r="H11690" s="27" t="s">
        <v>2679</v>
      </c>
      <c r="J11690" s="27" t="s">
        <v>3210</v>
      </c>
      <c r="L11690" s="27" t="s">
        <v>3262</v>
      </c>
      <c r="N11690" s="27" t="s">
        <v>3265</v>
      </c>
      <c r="P11690" s="27" t="s">
        <v>15482</v>
      </c>
      <c r="Q11690" s="26" t="str">
        <f>HYPERLINK("https://ictv.global/taxonomy/taxondetails?taxnode_id=202516868&amp;ictv_id=ICTV202316868","ICTV202316868")</f>
        <v>ICTV202316868</v>
      </c>
      <c r="R11690" t="s">
        <v>581</v>
      </c>
      <c r="S11690" t="s">
        <v>823</v>
      </c>
      <c r="T11690">
        <v>39</v>
      </c>
      <c r="U11690" s="26" t="str">
        <f t="shared" si="432"/>
        <v>2023.001B.Leviviricetes_reorg.zip</v>
      </c>
    </row>
    <row r="11691" spans="1:21">
      <c r="A11691">
        <v>11690</v>
      </c>
      <c r="B11691" s="27" t="s">
        <v>1124</v>
      </c>
      <c r="D11691" s="27" t="s">
        <v>1859</v>
      </c>
      <c r="F11691" s="27" t="s">
        <v>1881</v>
      </c>
      <c r="H11691" s="27" t="s">
        <v>2679</v>
      </c>
      <c r="J11691" s="27" t="s">
        <v>3210</v>
      </c>
      <c r="L11691" s="27" t="s">
        <v>3262</v>
      </c>
      <c r="N11691" s="27" t="s">
        <v>3265</v>
      </c>
      <c r="P11691" s="27" t="s">
        <v>15483</v>
      </c>
      <c r="Q11691" s="26" t="str">
        <f>HYPERLINK("https://ictv.global/taxonomy/taxondetails?taxnode_id=202516869&amp;ictv_id=ICTV202316869","ICTV202316869")</f>
        <v>ICTV202316869</v>
      </c>
      <c r="R11691" t="s">
        <v>581</v>
      </c>
      <c r="S11691" t="s">
        <v>823</v>
      </c>
      <c r="T11691">
        <v>39</v>
      </c>
      <c r="U11691" s="26" t="str">
        <f t="shared" si="432"/>
        <v>2023.001B.Leviviricetes_reorg.zip</v>
      </c>
    </row>
    <row r="11692" spans="1:21">
      <c r="A11692">
        <v>11691</v>
      </c>
      <c r="B11692" s="27" t="s">
        <v>1124</v>
      </c>
      <c r="D11692" s="27" t="s">
        <v>1859</v>
      </c>
      <c r="F11692" s="27" t="s">
        <v>1881</v>
      </c>
      <c r="H11692" s="27" t="s">
        <v>2679</v>
      </c>
      <c r="J11692" s="27" t="s">
        <v>3210</v>
      </c>
      <c r="L11692" s="27" t="s">
        <v>3262</v>
      </c>
      <c r="N11692" s="27" t="s">
        <v>3265</v>
      </c>
      <c r="P11692" s="27" t="s">
        <v>15484</v>
      </c>
      <c r="Q11692" s="26" t="str">
        <f>HYPERLINK("https://ictv.global/taxonomy/taxondetails?taxnode_id=202516870&amp;ictv_id=ICTV202316870","ICTV202316870")</f>
        <v>ICTV202316870</v>
      </c>
      <c r="R11692" t="s">
        <v>581</v>
      </c>
      <c r="S11692" t="s">
        <v>823</v>
      </c>
      <c r="T11692">
        <v>39</v>
      </c>
      <c r="U11692" s="26" t="str">
        <f t="shared" si="432"/>
        <v>2023.001B.Leviviricetes_reorg.zip</v>
      </c>
    </row>
    <row r="11693" spans="1:21">
      <c r="A11693">
        <v>11692</v>
      </c>
      <c r="B11693" s="27" t="s">
        <v>1124</v>
      </c>
      <c r="D11693" s="27" t="s">
        <v>1859</v>
      </c>
      <c r="F11693" s="27" t="s">
        <v>1881</v>
      </c>
      <c r="H11693" s="27" t="s">
        <v>2679</v>
      </c>
      <c r="J11693" s="27" t="s">
        <v>3210</v>
      </c>
      <c r="L11693" s="27" t="s">
        <v>3262</v>
      </c>
      <c r="N11693" s="27" t="s">
        <v>3265</v>
      </c>
      <c r="P11693" s="27" t="s">
        <v>15485</v>
      </c>
      <c r="Q11693" s="26" t="str">
        <f>HYPERLINK("https://ictv.global/taxonomy/taxondetails?taxnode_id=202511018&amp;ictv_id=ICTV202011018","ICTV202011018")</f>
        <v>ICTV202011018</v>
      </c>
      <c r="R11693" t="s">
        <v>581</v>
      </c>
      <c r="S11693" t="s">
        <v>22764</v>
      </c>
      <c r="T11693">
        <v>39</v>
      </c>
      <c r="U11693" s="26" t="str">
        <f t="shared" si="432"/>
        <v>2023.001B.Leviviricetes_reorg.zip</v>
      </c>
    </row>
    <row r="11694" spans="1:21">
      <c r="A11694">
        <v>11693</v>
      </c>
      <c r="B11694" s="27" t="s">
        <v>1124</v>
      </c>
      <c r="D11694" s="27" t="s">
        <v>1859</v>
      </c>
      <c r="F11694" s="27" t="s">
        <v>1881</v>
      </c>
      <c r="H11694" s="27" t="s">
        <v>2679</v>
      </c>
      <c r="J11694" s="27" t="s">
        <v>3210</v>
      </c>
      <c r="L11694" s="27" t="s">
        <v>3262</v>
      </c>
      <c r="N11694" s="27" t="s">
        <v>3265</v>
      </c>
      <c r="P11694" s="27" t="s">
        <v>15486</v>
      </c>
      <c r="Q11694" s="26" t="str">
        <f>HYPERLINK("https://ictv.global/taxonomy/taxondetails?taxnode_id=202511019&amp;ictv_id=ICTV202011019","ICTV202011019")</f>
        <v>ICTV202011019</v>
      </c>
      <c r="R11694" t="s">
        <v>581</v>
      </c>
      <c r="S11694" t="s">
        <v>22764</v>
      </c>
      <c r="T11694">
        <v>39</v>
      </c>
      <c r="U11694" s="26" t="str">
        <f t="shared" si="432"/>
        <v>2023.001B.Leviviricetes_reorg.zip</v>
      </c>
    </row>
    <row r="11695" spans="1:21">
      <c r="A11695">
        <v>11694</v>
      </c>
      <c r="B11695" s="27" t="s">
        <v>1124</v>
      </c>
      <c r="D11695" s="27" t="s">
        <v>1859</v>
      </c>
      <c r="F11695" s="27" t="s">
        <v>1881</v>
      </c>
      <c r="H11695" s="27" t="s">
        <v>2679</v>
      </c>
      <c r="J11695" s="27" t="s">
        <v>3210</v>
      </c>
      <c r="L11695" s="27" t="s">
        <v>3262</v>
      </c>
      <c r="N11695" s="27" t="s">
        <v>3265</v>
      </c>
      <c r="P11695" s="27" t="s">
        <v>15487</v>
      </c>
      <c r="Q11695" s="26" t="str">
        <f>HYPERLINK("https://ictv.global/taxonomy/taxondetails?taxnode_id=202516871&amp;ictv_id=ICTV202316871","ICTV202316871")</f>
        <v>ICTV202316871</v>
      </c>
      <c r="R11695" t="s">
        <v>581</v>
      </c>
      <c r="S11695" t="s">
        <v>823</v>
      </c>
      <c r="T11695">
        <v>39</v>
      </c>
      <c r="U11695" s="26" t="str">
        <f t="shared" si="432"/>
        <v>2023.001B.Leviviricetes_reorg.zip</v>
      </c>
    </row>
    <row r="11696" spans="1:21">
      <c r="A11696">
        <v>11695</v>
      </c>
      <c r="B11696" s="27" t="s">
        <v>1124</v>
      </c>
      <c r="D11696" s="27" t="s">
        <v>1859</v>
      </c>
      <c r="F11696" s="27" t="s">
        <v>1881</v>
      </c>
      <c r="H11696" s="27" t="s">
        <v>2679</v>
      </c>
      <c r="J11696" s="27" t="s">
        <v>3210</v>
      </c>
      <c r="L11696" s="27" t="s">
        <v>3262</v>
      </c>
      <c r="N11696" s="27" t="s">
        <v>3265</v>
      </c>
      <c r="P11696" s="27" t="s">
        <v>15488</v>
      </c>
      <c r="Q11696" s="26" t="str">
        <f>HYPERLINK("https://ictv.global/taxonomy/taxondetails?taxnode_id=202511305&amp;ictv_id=ICTV202011305","ICTV202011305")</f>
        <v>ICTV202011305</v>
      </c>
      <c r="R11696" t="s">
        <v>581</v>
      </c>
      <c r="S11696" t="s">
        <v>22764</v>
      </c>
      <c r="T11696">
        <v>39</v>
      </c>
      <c r="U11696" s="26" t="str">
        <f t="shared" si="432"/>
        <v>2023.001B.Leviviricetes_reorg.zip</v>
      </c>
    </row>
    <row r="11697" spans="1:21">
      <c r="A11697">
        <v>11696</v>
      </c>
      <c r="B11697" s="27" t="s">
        <v>1124</v>
      </c>
      <c r="D11697" s="27" t="s">
        <v>1859</v>
      </c>
      <c r="F11697" s="27" t="s">
        <v>1881</v>
      </c>
      <c r="H11697" s="27" t="s">
        <v>2679</v>
      </c>
      <c r="J11697" s="27" t="s">
        <v>3210</v>
      </c>
      <c r="L11697" s="27" t="s">
        <v>3262</v>
      </c>
      <c r="N11697" s="27" t="s">
        <v>3265</v>
      </c>
      <c r="P11697" s="27" t="s">
        <v>15489</v>
      </c>
      <c r="Q11697" s="26" t="str">
        <f>HYPERLINK("https://ictv.global/taxonomy/taxondetails?taxnode_id=202516872&amp;ictv_id=ICTV202316872","ICTV202316872")</f>
        <v>ICTV202316872</v>
      </c>
      <c r="R11697" t="s">
        <v>581</v>
      </c>
      <c r="S11697" t="s">
        <v>823</v>
      </c>
      <c r="T11697">
        <v>39</v>
      </c>
      <c r="U11697" s="26" t="str">
        <f t="shared" si="432"/>
        <v>2023.001B.Leviviricetes_reorg.zip</v>
      </c>
    </row>
    <row r="11698" spans="1:21">
      <c r="A11698">
        <v>11697</v>
      </c>
      <c r="B11698" s="27" t="s">
        <v>1124</v>
      </c>
      <c r="D11698" s="27" t="s">
        <v>1859</v>
      </c>
      <c r="F11698" s="27" t="s">
        <v>1881</v>
      </c>
      <c r="H11698" s="27" t="s">
        <v>2679</v>
      </c>
      <c r="J11698" s="27" t="s">
        <v>3210</v>
      </c>
      <c r="L11698" s="27" t="s">
        <v>3262</v>
      </c>
      <c r="N11698" s="27" t="s">
        <v>3265</v>
      </c>
      <c r="P11698" s="27" t="s">
        <v>15490</v>
      </c>
      <c r="Q11698" s="26" t="str">
        <f>HYPERLINK("https://ictv.global/taxonomy/taxondetails?taxnode_id=202516873&amp;ictv_id=ICTV202316873","ICTV202316873")</f>
        <v>ICTV202316873</v>
      </c>
      <c r="R11698" t="s">
        <v>581</v>
      </c>
      <c r="S11698" t="s">
        <v>823</v>
      </c>
      <c r="T11698">
        <v>39</v>
      </c>
      <c r="U11698" s="26" t="str">
        <f t="shared" si="432"/>
        <v>2023.001B.Leviviricetes_reorg.zip</v>
      </c>
    </row>
    <row r="11699" spans="1:21">
      <c r="A11699">
        <v>11698</v>
      </c>
      <c r="B11699" s="27" t="s">
        <v>1124</v>
      </c>
      <c r="D11699" s="27" t="s">
        <v>1859</v>
      </c>
      <c r="F11699" s="27" t="s">
        <v>1881</v>
      </c>
      <c r="H11699" s="27" t="s">
        <v>2679</v>
      </c>
      <c r="J11699" s="27" t="s">
        <v>3210</v>
      </c>
      <c r="L11699" s="27" t="s">
        <v>3262</v>
      </c>
      <c r="N11699" s="27" t="s">
        <v>3265</v>
      </c>
      <c r="P11699" s="27" t="s">
        <v>15491</v>
      </c>
      <c r="Q11699" s="26" t="str">
        <f>HYPERLINK("https://ictv.global/taxonomy/taxondetails?taxnode_id=202516874&amp;ictv_id=ICTV202316874","ICTV202316874")</f>
        <v>ICTV202316874</v>
      </c>
      <c r="R11699" t="s">
        <v>581</v>
      </c>
      <c r="S11699" t="s">
        <v>823</v>
      </c>
      <c r="T11699">
        <v>39</v>
      </c>
      <c r="U11699" s="26" t="str">
        <f t="shared" si="432"/>
        <v>2023.001B.Leviviricetes_reorg.zip</v>
      </c>
    </row>
    <row r="11700" spans="1:21">
      <c r="A11700">
        <v>11699</v>
      </c>
      <c r="B11700" s="27" t="s">
        <v>1124</v>
      </c>
      <c r="D11700" s="27" t="s">
        <v>1859</v>
      </c>
      <c r="F11700" s="27" t="s">
        <v>1881</v>
      </c>
      <c r="H11700" s="27" t="s">
        <v>2679</v>
      </c>
      <c r="J11700" s="27" t="s">
        <v>3210</v>
      </c>
      <c r="L11700" s="27" t="s">
        <v>3262</v>
      </c>
      <c r="N11700" s="27" t="s">
        <v>3265</v>
      </c>
      <c r="P11700" s="27" t="s">
        <v>15492</v>
      </c>
      <c r="Q11700" s="26" t="str">
        <f>HYPERLINK("https://ictv.global/taxonomy/taxondetails?taxnode_id=202516875&amp;ictv_id=ICTV202316875","ICTV202316875")</f>
        <v>ICTV202316875</v>
      </c>
      <c r="R11700" t="s">
        <v>581</v>
      </c>
      <c r="S11700" t="s">
        <v>823</v>
      </c>
      <c r="T11700">
        <v>39</v>
      </c>
      <c r="U11700" s="26" t="str">
        <f t="shared" si="432"/>
        <v>2023.001B.Leviviricetes_reorg.zip</v>
      </c>
    </row>
    <row r="11701" spans="1:21">
      <c r="A11701">
        <v>11700</v>
      </c>
      <c r="B11701" s="27" t="s">
        <v>1124</v>
      </c>
      <c r="D11701" s="27" t="s">
        <v>1859</v>
      </c>
      <c r="F11701" s="27" t="s">
        <v>1881</v>
      </c>
      <c r="H11701" s="27" t="s">
        <v>2679</v>
      </c>
      <c r="J11701" s="27" t="s">
        <v>3210</v>
      </c>
      <c r="L11701" s="27" t="s">
        <v>3262</v>
      </c>
      <c r="N11701" s="27" t="s">
        <v>3265</v>
      </c>
      <c r="P11701" s="27" t="s">
        <v>15493</v>
      </c>
      <c r="Q11701" s="26" t="str">
        <f>HYPERLINK("https://ictv.global/taxonomy/taxondetails?taxnode_id=202516876&amp;ictv_id=ICTV202316876","ICTV202316876")</f>
        <v>ICTV202316876</v>
      </c>
      <c r="R11701" t="s">
        <v>581</v>
      </c>
      <c r="S11701" t="s">
        <v>823</v>
      </c>
      <c r="T11701">
        <v>39</v>
      </c>
      <c r="U11701" s="26" t="str">
        <f t="shared" si="432"/>
        <v>2023.001B.Leviviricetes_reorg.zip</v>
      </c>
    </row>
    <row r="11702" spans="1:21">
      <c r="A11702">
        <v>11701</v>
      </c>
      <c r="B11702" s="27" t="s">
        <v>1124</v>
      </c>
      <c r="D11702" s="27" t="s">
        <v>1859</v>
      </c>
      <c r="F11702" s="27" t="s">
        <v>1881</v>
      </c>
      <c r="H11702" s="27" t="s">
        <v>2679</v>
      </c>
      <c r="J11702" s="27" t="s">
        <v>3210</v>
      </c>
      <c r="L11702" s="27" t="s">
        <v>3262</v>
      </c>
      <c r="N11702" s="27" t="s">
        <v>3265</v>
      </c>
      <c r="P11702" s="27" t="s">
        <v>15494</v>
      </c>
      <c r="Q11702" s="26" t="str">
        <f>HYPERLINK("https://ictv.global/taxonomy/taxondetails?taxnode_id=202516877&amp;ictv_id=ICTV202316877","ICTV202316877")</f>
        <v>ICTV202316877</v>
      </c>
      <c r="R11702" t="s">
        <v>581</v>
      </c>
      <c r="S11702" t="s">
        <v>823</v>
      </c>
      <c r="T11702">
        <v>39</v>
      </c>
      <c r="U11702" s="26" t="str">
        <f t="shared" si="432"/>
        <v>2023.001B.Leviviricetes_reorg.zip</v>
      </c>
    </row>
    <row r="11703" spans="1:21">
      <c r="A11703">
        <v>11702</v>
      </c>
      <c r="B11703" s="27" t="s">
        <v>1124</v>
      </c>
      <c r="D11703" s="27" t="s">
        <v>1859</v>
      </c>
      <c r="F11703" s="27" t="s">
        <v>1881</v>
      </c>
      <c r="H11703" s="27" t="s">
        <v>2679</v>
      </c>
      <c r="J11703" s="27" t="s">
        <v>3210</v>
      </c>
      <c r="L11703" s="27" t="s">
        <v>3262</v>
      </c>
      <c r="N11703" s="27" t="s">
        <v>3265</v>
      </c>
      <c r="P11703" s="27" t="s">
        <v>15495</v>
      </c>
      <c r="Q11703" s="26" t="str">
        <f>HYPERLINK("https://ictv.global/taxonomy/taxondetails?taxnode_id=202516878&amp;ictv_id=ICTV202316878","ICTV202316878")</f>
        <v>ICTV202316878</v>
      </c>
      <c r="R11703" t="s">
        <v>581</v>
      </c>
      <c r="S11703" t="s">
        <v>823</v>
      </c>
      <c r="T11703">
        <v>39</v>
      </c>
      <c r="U11703" s="26" t="str">
        <f t="shared" si="432"/>
        <v>2023.001B.Leviviricetes_reorg.zip</v>
      </c>
    </row>
    <row r="11704" spans="1:21">
      <c r="A11704">
        <v>11703</v>
      </c>
      <c r="B11704" s="27" t="s">
        <v>1124</v>
      </c>
      <c r="D11704" s="27" t="s">
        <v>1859</v>
      </c>
      <c r="F11704" s="27" t="s">
        <v>1881</v>
      </c>
      <c r="H11704" s="27" t="s">
        <v>2679</v>
      </c>
      <c r="J11704" s="27" t="s">
        <v>3210</v>
      </c>
      <c r="L11704" s="27" t="s">
        <v>3262</v>
      </c>
      <c r="N11704" s="27" t="s">
        <v>3265</v>
      </c>
      <c r="P11704" s="27" t="s">
        <v>15496</v>
      </c>
      <c r="Q11704" s="26" t="str">
        <f>HYPERLINK("https://ictv.global/taxonomy/taxondetails?taxnode_id=202516879&amp;ictv_id=ICTV202316879","ICTV202316879")</f>
        <v>ICTV202316879</v>
      </c>
      <c r="R11704" t="s">
        <v>581</v>
      </c>
      <c r="S11704" t="s">
        <v>823</v>
      </c>
      <c r="T11704">
        <v>39</v>
      </c>
      <c r="U11704" s="26" t="str">
        <f t="shared" si="432"/>
        <v>2023.001B.Leviviricetes_reorg.zip</v>
      </c>
    </row>
    <row r="11705" spans="1:21">
      <c r="A11705">
        <v>11704</v>
      </c>
      <c r="B11705" s="27" t="s">
        <v>1124</v>
      </c>
      <c r="D11705" s="27" t="s">
        <v>1859</v>
      </c>
      <c r="F11705" s="27" t="s">
        <v>1881</v>
      </c>
      <c r="H11705" s="27" t="s">
        <v>2679</v>
      </c>
      <c r="J11705" s="27" t="s">
        <v>3210</v>
      </c>
      <c r="L11705" s="27" t="s">
        <v>3262</v>
      </c>
      <c r="N11705" s="27" t="s">
        <v>3265</v>
      </c>
      <c r="P11705" s="27" t="s">
        <v>15497</v>
      </c>
      <c r="Q11705" s="26" t="str">
        <f>HYPERLINK("https://ictv.global/taxonomy/taxondetails?taxnode_id=202516880&amp;ictv_id=ICTV202316880","ICTV202316880")</f>
        <v>ICTV202316880</v>
      </c>
      <c r="R11705" t="s">
        <v>581</v>
      </c>
      <c r="S11705" t="s">
        <v>823</v>
      </c>
      <c r="T11705">
        <v>39</v>
      </c>
      <c r="U11705" s="26" t="str">
        <f t="shared" si="432"/>
        <v>2023.001B.Leviviricetes_reorg.zip</v>
      </c>
    </row>
    <row r="11706" spans="1:21">
      <c r="A11706">
        <v>11705</v>
      </c>
      <c r="B11706" s="27" t="s">
        <v>1124</v>
      </c>
      <c r="D11706" s="27" t="s">
        <v>1859</v>
      </c>
      <c r="F11706" s="27" t="s">
        <v>1881</v>
      </c>
      <c r="H11706" s="27" t="s">
        <v>2679</v>
      </c>
      <c r="J11706" s="27" t="s">
        <v>3210</v>
      </c>
      <c r="L11706" s="27" t="s">
        <v>3262</v>
      </c>
      <c r="N11706" s="27" t="s">
        <v>3265</v>
      </c>
      <c r="P11706" s="27" t="s">
        <v>15498</v>
      </c>
      <c r="Q11706" s="26" t="str">
        <f>HYPERLINK("https://ictv.global/taxonomy/taxondetails?taxnode_id=202516881&amp;ictv_id=ICTV202316881","ICTV202316881")</f>
        <v>ICTV202316881</v>
      </c>
      <c r="R11706" t="s">
        <v>581</v>
      </c>
      <c r="S11706" t="s">
        <v>823</v>
      </c>
      <c r="T11706">
        <v>39</v>
      </c>
      <c r="U11706" s="26" t="str">
        <f t="shared" si="432"/>
        <v>2023.001B.Leviviricetes_reorg.zip</v>
      </c>
    </row>
    <row r="11707" spans="1:21">
      <c r="A11707">
        <v>11706</v>
      </c>
      <c r="B11707" s="27" t="s">
        <v>1124</v>
      </c>
      <c r="D11707" s="27" t="s">
        <v>1859</v>
      </c>
      <c r="F11707" s="27" t="s">
        <v>1881</v>
      </c>
      <c r="H11707" s="27" t="s">
        <v>2679</v>
      </c>
      <c r="J11707" s="27" t="s">
        <v>3210</v>
      </c>
      <c r="L11707" s="27" t="s">
        <v>3262</v>
      </c>
      <c r="N11707" s="27" t="s">
        <v>3265</v>
      </c>
      <c r="P11707" s="27" t="s">
        <v>15499</v>
      </c>
      <c r="Q11707" s="26" t="str">
        <f>HYPERLINK("https://ictv.global/taxonomy/taxondetails?taxnode_id=202516882&amp;ictv_id=ICTV202316882","ICTV202316882")</f>
        <v>ICTV202316882</v>
      </c>
      <c r="R11707" t="s">
        <v>581</v>
      </c>
      <c r="S11707" t="s">
        <v>823</v>
      </c>
      <c r="T11707">
        <v>39</v>
      </c>
      <c r="U11707" s="26" t="str">
        <f t="shared" si="432"/>
        <v>2023.001B.Leviviricetes_reorg.zip</v>
      </c>
    </row>
    <row r="11708" spans="1:21">
      <c r="A11708">
        <v>11707</v>
      </c>
      <c r="B11708" s="27" t="s">
        <v>1124</v>
      </c>
      <c r="D11708" s="27" t="s">
        <v>1859</v>
      </c>
      <c r="F11708" s="27" t="s">
        <v>1881</v>
      </c>
      <c r="H11708" s="27" t="s">
        <v>2679</v>
      </c>
      <c r="J11708" s="27" t="s">
        <v>3210</v>
      </c>
      <c r="L11708" s="27" t="s">
        <v>3262</v>
      </c>
      <c r="N11708" s="27" t="s">
        <v>3265</v>
      </c>
      <c r="P11708" s="27" t="s">
        <v>15500</v>
      </c>
      <c r="Q11708" s="26" t="str">
        <f>HYPERLINK("https://ictv.global/taxonomy/taxondetails?taxnode_id=202516883&amp;ictv_id=ICTV202316883","ICTV202316883")</f>
        <v>ICTV202316883</v>
      </c>
      <c r="R11708" t="s">
        <v>581</v>
      </c>
      <c r="S11708" t="s">
        <v>823</v>
      </c>
      <c r="T11708">
        <v>39</v>
      </c>
      <c r="U11708" s="26" t="str">
        <f t="shared" si="432"/>
        <v>2023.001B.Leviviricetes_reorg.zip</v>
      </c>
    </row>
    <row r="11709" spans="1:21">
      <c r="A11709">
        <v>11708</v>
      </c>
      <c r="B11709" s="27" t="s">
        <v>1124</v>
      </c>
      <c r="D11709" s="27" t="s">
        <v>1859</v>
      </c>
      <c r="F11709" s="27" t="s">
        <v>1881</v>
      </c>
      <c r="H11709" s="27" t="s">
        <v>2679</v>
      </c>
      <c r="J11709" s="27" t="s">
        <v>3210</v>
      </c>
      <c r="L11709" s="27" t="s">
        <v>3262</v>
      </c>
      <c r="N11709" s="27" t="s">
        <v>15501</v>
      </c>
      <c r="P11709" s="27" t="s">
        <v>15502</v>
      </c>
      <c r="Q11709" s="26" t="str">
        <f>HYPERLINK("https://ictv.global/taxonomy/taxondetails?taxnode_id=202516884&amp;ictv_id=ICTV202316884","ICTV202316884")</f>
        <v>ICTV202316884</v>
      </c>
      <c r="R11709" t="s">
        <v>581</v>
      </c>
      <c r="S11709" t="s">
        <v>823</v>
      </c>
      <c r="T11709">
        <v>39</v>
      </c>
      <c r="U11709" s="26" t="str">
        <f t="shared" si="432"/>
        <v>2023.001B.Leviviricetes_reorg.zip</v>
      </c>
    </row>
    <row r="11710" spans="1:21">
      <c r="A11710">
        <v>11709</v>
      </c>
      <c r="B11710" s="27" t="s">
        <v>1124</v>
      </c>
      <c r="D11710" s="27" t="s">
        <v>1859</v>
      </c>
      <c r="F11710" s="27" t="s">
        <v>1881</v>
      </c>
      <c r="H11710" s="27" t="s">
        <v>2679</v>
      </c>
      <c r="J11710" s="27" t="s">
        <v>3210</v>
      </c>
      <c r="L11710" s="27" t="s">
        <v>3262</v>
      </c>
      <c r="N11710" s="27" t="s">
        <v>15503</v>
      </c>
      <c r="P11710" s="27" t="s">
        <v>15504</v>
      </c>
      <c r="Q11710" s="26" t="str">
        <f>HYPERLINK("https://ictv.global/taxonomy/taxondetails?taxnode_id=202516885&amp;ictv_id=ICTV202316885","ICTV202316885")</f>
        <v>ICTV202316885</v>
      </c>
      <c r="R11710" t="s">
        <v>581</v>
      </c>
      <c r="S11710" t="s">
        <v>823</v>
      </c>
      <c r="T11710">
        <v>39</v>
      </c>
      <c r="U11710" s="26" t="str">
        <f t="shared" si="432"/>
        <v>2023.001B.Leviviricetes_reorg.zip</v>
      </c>
    </row>
    <row r="11711" spans="1:21">
      <c r="A11711">
        <v>11710</v>
      </c>
      <c r="B11711" s="27" t="s">
        <v>1124</v>
      </c>
      <c r="D11711" s="27" t="s">
        <v>1859</v>
      </c>
      <c r="F11711" s="27" t="s">
        <v>1881</v>
      </c>
      <c r="H11711" s="27" t="s">
        <v>2679</v>
      </c>
      <c r="J11711" s="27" t="s">
        <v>3210</v>
      </c>
      <c r="L11711" s="27" t="s">
        <v>3262</v>
      </c>
      <c r="N11711" s="27" t="s">
        <v>3276</v>
      </c>
      <c r="P11711" s="27" t="s">
        <v>3277</v>
      </c>
      <c r="Q11711" s="26" t="str">
        <f>HYPERLINK("https://ictv.global/taxonomy/taxondetails?taxnode_id=202511021&amp;ictv_id=ICTV202011021","ICTV202011021")</f>
        <v>ICTV202011021</v>
      </c>
      <c r="R11711" t="s">
        <v>581</v>
      </c>
      <c r="S11711" t="s">
        <v>823</v>
      </c>
      <c r="T11711">
        <v>36</v>
      </c>
      <c r="U11711" s="26" t="str">
        <f>HYPERLINK("https://ictv.global/ictv/proposals/2020.095B.R.Leviviricetes.zip","2020.095B.R.Leviviricetes.zip")</f>
        <v>2020.095B.R.Leviviricetes.zip</v>
      </c>
    </row>
    <row r="11712" spans="1:21">
      <c r="A11712">
        <v>11711</v>
      </c>
      <c r="B11712" s="27" t="s">
        <v>1124</v>
      </c>
      <c r="D11712" s="27" t="s">
        <v>1859</v>
      </c>
      <c r="F11712" s="27" t="s">
        <v>1881</v>
      </c>
      <c r="H11712" s="27" t="s">
        <v>2679</v>
      </c>
      <c r="J11712" s="27" t="s">
        <v>3210</v>
      </c>
      <c r="L11712" s="27" t="s">
        <v>3262</v>
      </c>
      <c r="N11712" s="27" t="s">
        <v>3276</v>
      </c>
      <c r="P11712" s="27" t="s">
        <v>15505</v>
      </c>
      <c r="Q11712" s="26" t="str">
        <f>HYPERLINK("https://ictv.global/taxonomy/taxondetails?taxnode_id=202516886&amp;ictv_id=ICTV202316886","ICTV202316886")</f>
        <v>ICTV202316886</v>
      </c>
      <c r="R11712" t="s">
        <v>581</v>
      </c>
      <c r="S11712" t="s">
        <v>823</v>
      </c>
      <c r="T11712">
        <v>39</v>
      </c>
      <c r="U11712" s="26" t="str">
        <f t="shared" ref="U11712:U11731" si="433">HYPERLINK("https://ictv.global/ictv/proposals/2023.001B.Leviviricetes_reorg.zip","2023.001B.Leviviricetes_reorg.zip")</f>
        <v>2023.001B.Leviviricetes_reorg.zip</v>
      </c>
    </row>
    <row r="11713" spans="1:21">
      <c r="A11713">
        <v>11712</v>
      </c>
      <c r="B11713" s="27" t="s">
        <v>1124</v>
      </c>
      <c r="D11713" s="27" t="s">
        <v>1859</v>
      </c>
      <c r="F11713" s="27" t="s">
        <v>1881</v>
      </c>
      <c r="H11713" s="27" t="s">
        <v>2679</v>
      </c>
      <c r="J11713" s="27" t="s">
        <v>3210</v>
      </c>
      <c r="L11713" s="27" t="s">
        <v>3262</v>
      </c>
      <c r="N11713" s="27" t="s">
        <v>3276</v>
      </c>
      <c r="P11713" s="27" t="s">
        <v>15506</v>
      </c>
      <c r="Q11713" s="26" t="str">
        <f>HYPERLINK("https://ictv.global/taxonomy/taxondetails?taxnode_id=202516887&amp;ictv_id=ICTV202316887","ICTV202316887")</f>
        <v>ICTV202316887</v>
      </c>
      <c r="R11713" t="s">
        <v>581</v>
      </c>
      <c r="S11713" t="s">
        <v>823</v>
      </c>
      <c r="T11713">
        <v>39</v>
      </c>
      <c r="U11713" s="26" t="str">
        <f t="shared" si="433"/>
        <v>2023.001B.Leviviricetes_reorg.zip</v>
      </c>
    </row>
    <row r="11714" spans="1:21">
      <c r="A11714">
        <v>11713</v>
      </c>
      <c r="B11714" s="27" t="s">
        <v>1124</v>
      </c>
      <c r="D11714" s="27" t="s">
        <v>1859</v>
      </c>
      <c r="F11714" s="27" t="s">
        <v>1881</v>
      </c>
      <c r="H11714" s="27" t="s">
        <v>2679</v>
      </c>
      <c r="J11714" s="27" t="s">
        <v>3210</v>
      </c>
      <c r="L11714" s="27" t="s">
        <v>3262</v>
      </c>
      <c r="N11714" s="27" t="s">
        <v>3276</v>
      </c>
      <c r="P11714" s="27" t="s">
        <v>15507</v>
      </c>
      <c r="Q11714" s="26" t="str">
        <f>HYPERLINK("https://ictv.global/taxonomy/taxondetails?taxnode_id=202516888&amp;ictv_id=ICTV202316888","ICTV202316888")</f>
        <v>ICTV202316888</v>
      </c>
      <c r="R11714" t="s">
        <v>581</v>
      </c>
      <c r="S11714" t="s">
        <v>823</v>
      </c>
      <c r="T11714">
        <v>39</v>
      </c>
      <c r="U11714" s="26" t="str">
        <f t="shared" si="433"/>
        <v>2023.001B.Leviviricetes_reorg.zip</v>
      </c>
    </row>
    <row r="11715" spans="1:21">
      <c r="A11715">
        <v>11714</v>
      </c>
      <c r="B11715" s="27" t="s">
        <v>1124</v>
      </c>
      <c r="D11715" s="27" t="s">
        <v>1859</v>
      </c>
      <c r="F11715" s="27" t="s">
        <v>1881</v>
      </c>
      <c r="H11715" s="27" t="s">
        <v>2679</v>
      </c>
      <c r="J11715" s="27" t="s">
        <v>3210</v>
      </c>
      <c r="L11715" s="27" t="s">
        <v>3262</v>
      </c>
      <c r="N11715" s="27" t="s">
        <v>3276</v>
      </c>
      <c r="P11715" s="27" t="s">
        <v>15508</v>
      </c>
      <c r="Q11715" s="26" t="str">
        <f>HYPERLINK("https://ictv.global/taxonomy/taxondetails?taxnode_id=202516889&amp;ictv_id=ICTV202316889","ICTV202316889")</f>
        <v>ICTV202316889</v>
      </c>
      <c r="R11715" t="s">
        <v>581</v>
      </c>
      <c r="S11715" t="s">
        <v>823</v>
      </c>
      <c r="T11715">
        <v>39</v>
      </c>
      <c r="U11715" s="26" t="str">
        <f t="shared" si="433"/>
        <v>2023.001B.Leviviricetes_reorg.zip</v>
      </c>
    </row>
    <row r="11716" spans="1:21">
      <c r="A11716">
        <v>11715</v>
      </c>
      <c r="B11716" s="27" t="s">
        <v>1124</v>
      </c>
      <c r="D11716" s="27" t="s">
        <v>1859</v>
      </c>
      <c r="F11716" s="27" t="s">
        <v>1881</v>
      </c>
      <c r="H11716" s="27" t="s">
        <v>2679</v>
      </c>
      <c r="J11716" s="27" t="s">
        <v>3210</v>
      </c>
      <c r="L11716" s="27" t="s">
        <v>3262</v>
      </c>
      <c r="N11716" s="27" t="s">
        <v>15509</v>
      </c>
      <c r="P11716" s="27" t="s">
        <v>15510</v>
      </c>
      <c r="Q11716" s="26" t="str">
        <f>HYPERLINK("https://ictv.global/taxonomy/taxondetails?taxnode_id=202511361&amp;ictv_id=ICTV202011361","ICTV202011361")</f>
        <v>ICTV202011361</v>
      </c>
      <c r="R11716" t="s">
        <v>581</v>
      </c>
      <c r="S11716" t="s">
        <v>22764</v>
      </c>
      <c r="T11716">
        <v>39</v>
      </c>
      <c r="U11716" s="26" t="str">
        <f t="shared" si="433"/>
        <v>2023.001B.Leviviricetes_reorg.zip</v>
      </c>
    </row>
    <row r="11717" spans="1:21">
      <c r="A11717">
        <v>11716</v>
      </c>
      <c r="B11717" s="27" t="s">
        <v>1124</v>
      </c>
      <c r="D11717" s="27" t="s">
        <v>1859</v>
      </c>
      <c r="F11717" s="27" t="s">
        <v>1881</v>
      </c>
      <c r="H11717" s="27" t="s">
        <v>2679</v>
      </c>
      <c r="J11717" s="27" t="s">
        <v>3210</v>
      </c>
      <c r="L11717" s="27" t="s">
        <v>3262</v>
      </c>
      <c r="N11717" s="27" t="s">
        <v>15511</v>
      </c>
      <c r="P11717" s="27" t="s">
        <v>15512</v>
      </c>
      <c r="Q11717" s="26" t="str">
        <f>HYPERLINK("https://ictv.global/taxonomy/taxondetails?taxnode_id=202516890&amp;ictv_id=ICTV202316890","ICTV202316890")</f>
        <v>ICTV202316890</v>
      </c>
      <c r="R11717" t="s">
        <v>581</v>
      </c>
      <c r="S11717" t="s">
        <v>823</v>
      </c>
      <c r="T11717">
        <v>39</v>
      </c>
      <c r="U11717" s="26" t="str">
        <f t="shared" si="433"/>
        <v>2023.001B.Leviviricetes_reorg.zip</v>
      </c>
    </row>
    <row r="11718" spans="1:21">
      <c r="A11718">
        <v>11717</v>
      </c>
      <c r="B11718" s="27" t="s">
        <v>1124</v>
      </c>
      <c r="D11718" s="27" t="s">
        <v>1859</v>
      </c>
      <c r="F11718" s="27" t="s">
        <v>1881</v>
      </c>
      <c r="H11718" s="27" t="s">
        <v>2679</v>
      </c>
      <c r="J11718" s="27" t="s">
        <v>3210</v>
      </c>
      <c r="L11718" s="27" t="s">
        <v>3262</v>
      </c>
      <c r="N11718" s="27" t="s">
        <v>15513</v>
      </c>
      <c r="P11718" s="27" t="s">
        <v>15514</v>
      </c>
      <c r="Q11718" s="26" t="str">
        <f>HYPERLINK("https://ictv.global/taxonomy/taxondetails?taxnode_id=202516891&amp;ictv_id=ICTV202316891","ICTV202316891")</f>
        <v>ICTV202316891</v>
      </c>
      <c r="R11718" t="s">
        <v>581</v>
      </c>
      <c r="S11718" t="s">
        <v>823</v>
      </c>
      <c r="T11718">
        <v>39</v>
      </c>
      <c r="U11718" s="26" t="str">
        <f t="shared" si="433"/>
        <v>2023.001B.Leviviricetes_reorg.zip</v>
      </c>
    </row>
    <row r="11719" spans="1:21">
      <c r="A11719">
        <v>11718</v>
      </c>
      <c r="B11719" s="27" t="s">
        <v>1124</v>
      </c>
      <c r="D11719" s="27" t="s">
        <v>1859</v>
      </c>
      <c r="F11719" s="27" t="s">
        <v>1881</v>
      </c>
      <c r="H11719" s="27" t="s">
        <v>2679</v>
      </c>
      <c r="J11719" s="27" t="s">
        <v>3210</v>
      </c>
      <c r="L11719" s="27" t="s">
        <v>3262</v>
      </c>
      <c r="N11719" s="27" t="s">
        <v>15513</v>
      </c>
      <c r="P11719" s="27" t="s">
        <v>15515</v>
      </c>
      <c r="Q11719" s="26" t="str">
        <f>HYPERLINK("https://ictv.global/taxonomy/taxondetails?taxnode_id=202516892&amp;ictv_id=ICTV202316892","ICTV202316892")</f>
        <v>ICTV202316892</v>
      </c>
      <c r="R11719" t="s">
        <v>581</v>
      </c>
      <c r="S11719" t="s">
        <v>823</v>
      </c>
      <c r="T11719">
        <v>39</v>
      </c>
      <c r="U11719" s="26" t="str">
        <f t="shared" si="433"/>
        <v>2023.001B.Leviviricetes_reorg.zip</v>
      </c>
    </row>
    <row r="11720" spans="1:21">
      <c r="A11720">
        <v>11719</v>
      </c>
      <c r="B11720" s="27" t="s">
        <v>1124</v>
      </c>
      <c r="D11720" s="27" t="s">
        <v>1859</v>
      </c>
      <c r="F11720" s="27" t="s">
        <v>1881</v>
      </c>
      <c r="H11720" s="27" t="s">
        <v>2679</v>
      </c>
      <c r="J11720" s="27" t="s">
        <v>3210</v>
      </c>
      <c r="L11720" s="27" t="s">
        <v>3262</v>
      </c>
      <c r="N11720" s="27" t="s">
        <v>15513</v>
      </c>
      <c r="P11720" s="27" t="s">
        <v>15516</v>
      </c>
      <c r="Q11720" s="26" t="str">
        <f>HYPERLINK("https://ictv.global/taxonomy/taxondetails?taxnode_id=202516893&amp;ictv_id=ICTV202316893","ICTV202316893")</f>
        <v>ICTV202316893</v>
      </c>
      <c r="R11720" t="s">
        <v>581</v>
      </c>
      <c r="S11720" t="s">
        <v>823</v>
      </c>
      <c r="T11720">
        <v>39</v>
      </c>
      <c r="U11720" s="26" t="str">
        <f t="shared" si="433"/>
        <v>2023.001B.Leviviricetes_reorg.zip</v>
      </c>
    </row>
    <row r="11721" spans="1:21">
      <c r="A11721">
        <v>11720</v>
      </c>
      <c r="B11721" s="27" t="s">
        <v>1124</v>
      </c>
      <c r="D11721" s="27" t="s">
        <v>1859</v>
      </c>
      <c r="F11721" s="27" t="s">
        <v>1881</v>
      </c>
      <c r="H11721" s="27" t="s">
        <v>2679</v>
      </c>
      <c r="J11721" s="27" t="s">
        <v>3210</v>
      </c>
      <c r="L11721" s="27" t="s">
        <v>3262</v>
      </c>
      <c r="N11721" s="27" t="s">
        <v>15513</v>
      </c>
      <c r="P11721" s="27" t="s">
        <v>15517</v>
      </c>
      <c r="Q11721" s="26" t="str">
        <f>HYPERLINK("https://ictv.global/taxonomy/taxondetails?taxnode_id=202516894&amp;ictv_id=ICTV202316894","ICTV202316894")</f>
        <v>ICTV202316894</v>
      </c>
      <c r="R11721" t="s">
        <v>581</v>
      </c>
      <c r="S11721" t="s">
        <v>823</v>
      </c>
      <c r="T11721">
        <v>39</v>
      </c>
      <c r="U11721" s="26" t="str">
        <f t="shared" si="433"/>
        <v>2023.001B.Leviviricetes_reorg.zip</v>
      </c>
    </row>
    <row r="11722" spans="1:21">
      <c r="A11722">
        <v>11721</v>
      </c>
      <c r="B11722" s="27" t="s">
        <v>1124</v>
      </c>
      <c r="D11722" s="27" t="s">
        <v>1859</v>
      </c>
      <c r="F11722" s="27" t="s">
        <v>1881</v>
      </c>
      <c r="H11722" s="27" t="s">
        <v>2679</v>
      </c>
      <c r="J11722" s="27" t="s">
        <v>3210</v>
      </c>
      <c r="L11722" s="27" t="s">
        <v>3262</v>
      </c>
      <c r="N11722" s="27" t="s">
        <v>15513</v>
      </c>
      <c r="P11722" s="27" t="s">
        <v>15518</v>
      </c>
      <c r="Q11722" s="26" t="str">
        <f>HYPERLINK("https://ictv.global/taxonomy/taxondetails?taxnode_id=202516895&amp;ictv_id=ICTV202316895","ICTV202316895")</f>
        <v>ICTV202316895</v>
      </c>
      <c r="R11722" t="s">
        <v>581</v>
      </c>
      <c r="S11722" t="s">
        <v>823</v>
      </c>
      <c r="T11722">
        <v>39</v>
      </c>
      <c r="U11722" s="26" t="str">
        <f t="shared" si="433"/>
        <v>2023.001B.Leviviricetes_reorg.zip</v>
      </c>
    </row>
    <row r="11723" spans="1:21">
      <c r="A11723">
        <v>11722</v>
      </c>
      <c r="B11723" s="27" t="s">
        <v>1124</v>
      </c>
      <c r="D11723" s="27" t="s">
        <v>1859</v>
      </c>
      <c r="F11723" s="27" t="s">
        <v>1881</v>
      </c>
      <c r="H11723" s="27" t="s">
        <v>2679</v>
      </c>
      <c r="J11723" s="27" t="s">
        <v>3210</v>
      </c>
      <c r="L11723" s="27" t="s">
        <v>3262</v>
      </c>
      <c r="N11723" s="27" t="s">
        <v>15513</v>
      </c>
      <c r="P11723" s="27" t="s">
        <v>15519</v>
      </c>
      <c r="Q11723" s="26" t="str">
        <f>HYPERLINK("https://ictv.global/taxonomy/taxondetails?taxnode_id=202516896&amp;ictv_id=ICTV202316896","ICTV202316896")</f>
        <v>ICTV202316896</v>
      </c>
      <c r="R11723" t="s">
        <v>581</v>
      </c>
      <c r="S11723" t="s">
        <v>823</v>
      </c>
      <c r="T11723">
        <v>39</v>
      </c>
      <c r="U11723" s="26" t="str">
        <f t="shared" si="433"/>
        <v>2023.001B.Leviviricetes_reorg.zip</v>
      </c>
    </row>
    <row r="11724" spans="1:21">
      <c r="A11724">
        <v>11723</v>
      </c>
      <c r="B11724" s="27" t="s">
        <v>1124</v>
      </c>
      <c r="D11724" s="27" t="s">
        <v>1859</v>
      </c>
      <c r="F11724" s="27" t="s">
        <v>1881</v>
      </c>
      <c r="H11724" s="27" t="s">
        <v>2679</v>
      </c>
      <c r="J11724" s="27" t="s">
        <v>3210</v>
      </c>
      <c r="L11724" s="27" t="s">
        <v>3262</v>
      </c>
      <c r="N11724" s="27" t="s">
        <v>15520</v>
      </c>
      <c r="P11724" s="27" t="s">
        <v>15521</v>
      </c>
      <c r="Q11724" s="26" t="str">
        <f>HYPERLINK("https://ictv.global/taxonomy/taxondetails?taxnode_id=202516897&amp;ictv_id=ICTV202316897","ICTV202316897")</f>
        <v>ICTV202316897</v>
      </c>
      <c r="R11724" t="s">
        <v>581</v>
      </c>
      <c r="S11724" t="s">
        <v>823</v>
      </c>
      <c r="T11724">
        <v>39</v>
      </c>
      <c r="U11724" s="26" t="str">
        <f t="shared" si="433"/>
        <v>2023.001B.Leviviricetes_reorg.zip</v>
      </c>
    </row>
    <row r="11725" spans="1:21">
      <c r="A11725">
        <v>11724</v>
      </c>
      <c r="B11725" s="27" t="s">
        <v>1124</v>
      </c>
      <c r="D11725" s="27" t="s">
        <v>1859</v>
      </c>
      <c r="F11725" s="27" t="s">
        <v>1881</v>
      </c>
      <c r="H11725" s="27" t="s">
        <v>2679</v>
      </c>
      <c r="J11725" s="27" t="s">
        <v>3210</v>
      </c>
      <c r="L11725" s="27" t="s">
        <v>3262</v>
      </c>
      <c r="N11725" s="27" t="s">
        <v>15522</v>
      </c>
      <c r="P11725" s="27" t="s">
        <v>15523</v>
      </c>
      <c r="Q11725" s="26" t="str">
        <f>HYPERLINK("https://ictv.global/taxonomy/taxondetails?taxnode_id=202516898&amp;ictv_id=ICTV202316898","ICTV202316898")</f>
        <v>ICTV202316898</v>
      </c>
      <c r="R11725" t="s">
        <v>581</v>
      </c>
      <c r="S11725" t="s">
        <v>823</v>
      </c>
      <c r="T11725">
        <v>39</v>
      </c>
      <c r="U11725" s="26" t="str">
        <f t="shared" si="433"/>
        <v>2023.001B.Leviviricetes_reorg.zip</v>
      </c>
    </row>
    <row r="11726" spans="1:21">
      <c r="A11726">
        <v>11725</v>
      </c>
      <c r="B11726" s="27" t="s">
        <v>1124</v>
      </c>
      <c r="D11726" s="27" t="s">
        <v>1859</v>
      </c>
      <c r="F11726" s="27" t="s">
        <v>1881</v>
      </c>
      <c r="H11726" s="27" t="s">
        <v>2679</v>
      </c>
      <c r="J11726" s="27" t="s">
        <v>3210</v>
      </c>
      <c r="L11726" s="27" t="s">
        <v>3262</v>
      </c>
      <c r="N11726" s="27" t="s">
        <v>15522</v>
      </c>
      <c r="P11726" s="27" t="s">
        <v>15524</v>
      </c>
      <c r="Q11726" s="26" t="str">
        <f>HYPERLINK("https://ictv.global/taxonomy/taxondetails?taxnode_id=202516899&amp;ictv_id=ICTV202316899","ICTV202316899")</f>
        <v>ICTV202316899</v>
      </c>
      <c r="R11726" t="s">
        <v>581</v>
      </c>
      <c r="S11726" t="s">
        <v>823</v>
      </c>
      <c r="T11726">
        <v>39</v>
      </c>
      <c r="U11726" s="26" t="str">
        <f t="shared" si="433"/>
        <v>2023.001B.Leviviricetes_reorg.zip</v>
      </c>
    </row>
    <row r="11727" spans="1:21">
      <c r="A11727">
        <v>11726</v>
      </c>
      <c r="B11727" s="27" t="s">
        <v>1124</v>
      </c>
      <c r="D11727" s="27" t="s">
        <v>1859</v>
      </c>
      <c r="F11727" s="27" t="s">
        <v>1881</v>
      </c>
      <c r="H11727" s="27" t="s">
        <v>2679</v>
      </c>
      <c r="J11727" s="27" t="s">
        <v>3210</v>
      </c>
      <c r="L11727" s="27" t="s">
        <v>3262</v>
      </c>
      <c r="N11727" s="27" t="s">
        <v>15525</v>
      </c>
      <c r="P11727" s="27" t="s">
        <v>15526</v>
      </c>
      <c r="Q11727" s="26" t="str">
        <f>HYPERLINK("https://ictv.global/taxonomy/taxondetails?taxnode_id=202516900&amp;ictv_id=ICTV202316900","ICTV202316900")</f>
        <v>ICTV202316900</v>
      </c>
      <c r="R11727" t="s">
        <v>581</v>
      </c>
      <c r="S11727" t="s">
        <v>823</v>
      </c>
      <c r="T11727">
        <v>39</v>
      </c>
      <c r="U11727" s="26" t="str">
        <f t="shared" si="433"/>
        <v>2023.001B.Leviviricetes_reorg.zip</v>
      </c>
    </row>
    <row r="11728" spans="1:21">
      <c r="A11728">
        <v>11727</v>
      </c>
      <c r="B11728" s="27" t="s">
        <v>1124</v>
      </c>
      <c r="D11728" s="27" t="s">
        <v>1859</v>
      </c>
      <c r="F11728" s="27" t="s">
        <v>1881</v>
      </c>
      <c r="H11728" s="27" t="s">
        <v>2679</v>
      </c>
      <c r="J11728" s="27" t="s">
        <v>3210</v>
      </c>
      <c r="L11728" s="27" t="s">
        <v>3262</v>
      </c>
      <c r="N11728" s="27" t="s">
        <v>15525</v>
      </c>
      <c r="P11728" s="27" t="s">
        <v>15527</v>
      </c>
      <c r="Q11728" s="26" t="str">
        <f>HYPERLINK("https://ictv.global/taxonomy/taxondetails?taxnode_id=202516901&amp;ictv_id=ICTV202316901","ICTV202316901")</f>
        <v>ICTV202316901</v>
      </c>
      <c r="R11728" t="s">
        <v>581</v>
      </c>
      <c r="S11728" t="s">
        <v>823</v>
      </c>
      <c r="T11728">
        <v>39</v>
      </c>
      <c r="U11728" s="26" t="str">
        <f t="shared" si="433"/>
        <v>2023.001B.Leviviricetes_reorg.zip</v>
      </c>
    </row>
    <row r="11729" spans="1:21">
      <c r="A11729">
        <v>11728</v>
      </c>
      <c r="B11729" s="27" t="s">
        <v>1124</v>
      </c>
      <c r="D11729" s="27" t="s">
        <v>1859</v>
      </c>
      <c r="F11729" s="27" t="s">
        <v>1881</v>
      </c>
      <c r="H11729" s="27" t="s">
        <v>2679</v>
      </c>
      <c r="J11729" s="27" t="s">
        <v>3210</v>
      </c>
      <c r="L11729" s="27" t="s">
        <v>3262</v>
      </c>
      <c r="N11729" s="27" t="s">
        <v>15528</v>
      </c>
      <c r="P11729" s="27" t="s">
        <v>15529</v>
      </c>
      <c r="Q11729" s="26" t="str">
        <f>HYPERLINK("https://ictv.global/taxonomy/taxondetails?taxnode_id=202516902&amp;ictv_id=ICTV202316902","ICTV202316902")</f>
        <v>ICTV202316902</v>
      </c>
      <c r="R11729" t="s">
        <v>581</v>
      </c>
      <c r="S11729" t="s">
        <v>823</v>
      </c>
      <c r="T11729">
        <v>39</v>
      </c>
      <c r="U11729" s="26" t="str">
        <f t="shared" si="433"/>
        <v>2023.001B.Leviviricetes_reorg.zip</v>
      </c>
    </row>
    <row r="11730" spans="1:21">
      <c r="A11730">
        <v>11729</v>
      </c>
      <c r="B11730" s="27" t="s">
        <v>1124</v>
      </c>
      <c r="D11730" s="27" t="s">
        <v>1859</v>
      </c>
      <c r="F11730" s="27" t="s">
        <v>1881</v>
      </c>
      <c r="H11730" s="27" t="s">
        <v>2679</v>
      </c>
      <c r="J11730" s="27" t="s">
        <v>3210</v>
      </c>
      <c r="L11730" s="27" t="s">
        <v>3262</v>
      </c>
      <c r="N11730" s="27" t="s">
        <v>15530</v>
      </c>
      <c r="P11730" s="27" t="s">
        <v>15531</v>
      </c>
      <c r="Q11730" s="26" t="str">
        <f>HYPERLINK("https://ictv.global/taxonomy/taxondetails?taxnode_id=202516903&amp;ictv_id=ICTV202316903","ICTV202316903")</f>
        <v>ICTV202316903</v>
      </c>
      <c r="R11730" t="s">
        <v>581</v>
      </c>
      <c r="S11730" t="s">
        <v>823</v>
      </c>
      <c r="T11730">
        <v>39</v>
      </c>
      <c r="U11730" s="26" t="str">
        <f t="shared" si="433"/>
        <v>2023.001B.Leviviricetes_reorg.zip</v>
      </c>
    </row>
    <row r="11731" spans="1:21">
      <c r="A11731">
        <v>11730</v>
      </c>
      <c r="B11731" s="27" t="s">
        <v>1124</v>
      </c>
      <c r="D11731" s="27" t="s">
        <v>1859</v>
      </c>
      <c r="F11731" s="27" t="s">
        <v>1881</v>
      </c>
      <c r="H11731" s="27" t="s">
        <v>2679</v>
      </c>
      <c r="J11731" s="27" t="s">
        <v>3210</v>
      </c>
      <c r="L11731" s="27" t="s">
        <v>3262</v>
      </c>
      <c r="N11731" s="27" t="s">
        <v>15532</v>
      </c>
      <c r="P11731" s="27" t="s">
        <v>15533</v>
      </c>
      <c r="Q11731" s="26" t="str">
        <f>HYPERLINK("https://ictv.global/taxonomy/taxondetails?taxnode_id=202516904&amp;ictv_id=ICTV202316904","ICTV202316904")</f>
        <v>ICTV202316904</v>
      </c>
      <c r="R11731" t="s">
        <v>581</v>
      </c>
      <c r="S11731" t="s">
        <v>823</v>
      </c>
      <c r="T11731">
        <v>39</v>
      </c>
      <c r="U11731" s="26" t="str">
        <f t="shared" si="433"/>
        <v>2023.001B.Leviviricetes_reorg.zip</v>
      </c>
    </row>
    <row r="11732" spans="1:21">
      <c r="A11732">
        <v>11731</v>
      </c>
      <c r="B11732" s="27" t="s">
        <v>1124</v>
      </c>
      <c r="D11732" s="27" t="s">
        <v>1859</v>
      </c>
      <c r="F11732" s="27" t="s">
        <v>1881</v>
      </c>
      <c r="H11732" s="27" t="s">
        <v>2679</v>
      </c>
      <c r="J11732" s="27" t="s">
        <v>3210</v>
      </c>
      <c r="L11732" s="27" t="s">
        <v>3262</v>
      </c>
      <c r="N11732" s="27" t="s">
        <v>3278</v>
      </c>
      <c r="P11732" s="27" t="s">
        <v>3279</v>
      </c>
      <c r="Q11732" s="26" t="str">
        <f>HYPERLINK("https://ictv.global/taxonomy/taxondetails?taxnode_id=202511058&amp;ictv_id=ICTV202011058","ICTV202011058")</f>
        <v>ICTV202011058</v>
      </c>
      <c r="R11732" t="s">
        <v>581</v>
      </c>
      <c r="S11732" t="s">
        <v>823</v>
      </c>
      <c r="T11732">
        <v>36</v>
      </c>
      <c r="U11732" s="26" t="str">
        <f>HYPERLINK("https://ictv.global/ictv/proposals/2020.095B.R.Leviviricetes.zip","2020.095B.R.Leviviricetes.zip")</f>
        <v>2020.095B.R.Leviviricetes.zip</v>
      </c>
    </row>
    <row r="11733" spans="1:21">
      <c r="A11733">
        <v>11732</v>
      </c>
      <c r="B11733" s="27" t="s">
        <v>1124</v>
      </c>
      <c r="D11733" s="27" t="s">
        <v>1859</v>
      </c>
      <c r="F11733" s="27" t="s">
        <v>1881</v>
      </c>
      <c r="H11733" s="27" t="s">
        <v>2679</v>
      </c>
      <c r="J11733" s="27" t="s">
        <v>3210</v>
      </c>
      <c r="L11733" s="27" t="s">
        <v>3262</v>
      </c>
      <c r="N11733" s="27" t="s">
        <v>15534</v>
      </c>
      <c r="P11733" s="27" t="s">
        <v>15535</v>
      </c>
      <c r="Q11733" s="26" t="str">
        <f>HYPERLINK("https://ictv.global/taxonomy/taxondetails?taxnode_id=202516905&amp;ictv_id=ICTV202316905","ICTV202316905")</f>
        <v>ICTV202316905</v>
      </c>
      <c r="R11733" t="s">
        <v>581</v>
      </c>
      <c r="S11733" t="s">
        <v>823</v>
      </c>
      <c r="T11733">
        <v>39</v>
      </c>
      <c r="U11733" s="26" t="str">
        <f t="shared" ref="U11733:U11753" si="434">HYPERLINK("https://ictv.global/ictv/proposals/2023.001B.Leviviricetes_reorg.zip","2023.001B.Leviviricetes_reorg.zip")</f>
        <v>2023.001B.Leviviricetes_reorg.zip</v>
      </c>
    </row>
    <row r="11734" spans="1:21">
      <c r="A11734">
        <v>11733</v>
      </c>
      <c r="B11734" s="27" t="s">
        <v>1124</v>
      </c>
      <c r="D11734" s="27" t="s">
        <v>1859</v>
      </c>
      <c r="F11734" s="27" t="s">
        <v>1881</v>
      </c>
      <c r="H11734" s="27" t="s">
        <v>2679</v>
      </c>
      <c r="J11734" s="27" t="s">
        <v>3210</v>
      </c>
      <c r="L11734" s="27" t="s">
        <v>3262</v>
      </c>
      <c r="N11734" s="27" t="s">
        <v>15536</v>
      </c>
      <c r="P11734" s="27" t="s">
        <v>15537</v>
      </c>
      <c r="Q11734" s="26" t="str">
        <f>HYPERLINK("https://ictv.global/taxonomy/taxondetails?taxnode_id=202516906&amp;ictv_id=ICTV202316906","ICTV202316906")</f>
        <v>ICTV202316906</v>
      </c>
      <c r="R11734" t="s">
        <v>581</v>
      </c>
      <c r="S11734" t="s">
        <v>823</v>
      </c>
      <c r="T11734">
        <v>39</v>
      </c>
      <c r="U11734" s="26" t="str">
        <f t="shared" si="434"/>
        <v>2023.001B.Leviviricetes_reorg.zip</v>
      </c>
    </row>
    <row r="11735" spans="1:21">
      <c r="A11735">
        <v>11734</v>
      </c>
      <c r="B11735" s="27" t="s">
        <v>1124</v>
      </c>
      <c r="D11735" s="27" t="s">
        <v>1859</v>
      </c>
      <c r="F11735" s="27" t="s">
        <v>1881</v>
      </c>
      <c r="H11735" s="27" t="s">
        <v>2679</v>
      </c>
      <c r="J11735" s="27" t="s">
        <v>3210</v>
      </c>
      <c r="L11735" s="27" t="s">
        <v>3262</v>
      </c>
      <c r="N11735" s="27" t="s">
        <v>15536</v>
      </c>
      <c r="P11735" s="27" t="s">
        <v>15538</v>
      </c>
      <c r="Q11735" s="26" t="str">
        <f>HYPERLINK("https://ictv.global/taxonomy/taxondetails?taxnode_id=202516907&amp;ictv_id=ICTV202316907","ICTV202316907")</f>
        <v>ICTV202316907</v>
      </c>
      <c r="R11735" t="s">
        <v>581</v>
      </c>
      <c r="S11735" t="s">
        <v>823</v>
      </c>
      <c r="T11735">
        <v>39</v>
      </c>
      <c r="U11735" s="26" t="str">
        <f t="shared" si="434"/>
        <v>2023.001B.Leviviricetes_reorg.zip</v>
      </c>
    </row>
    <row r="11736" spans="1:21">
      <c r="A11736">
        <v>11735</v>
      </c>
      <c r="B11736" s="27" t="s">
        <v>1124</v>
      </c>
      <c r="D11736" s="27" t="s">
        <v>1859</v>
      </c>
      <c r="F11736" s="27" t="s">
        <v>1881</v>
      </c>
      <c r="H11736" s="27" t="s">
        <v>2679</v>
      </c>
      <c r="J11736" s="27" t="s">
        <v>3210</v>
      </c>
      <c r="L11736" s="27" t="s">
        <v>3262</v>
      </c>
      <c r="N11736" s="27" t="s">
        <v>3280</v>
      </c>
      <c r="P11736" s="27" t="s">
        <v>15539</v>
      </c>
      <c r="Q11736" s="26" t="str">
        <f>HYPERLINK("https://ictv.global/taxonomy/taxondetails?taxnode_id=202516908&amp;ictv_id=ICTV202316908","ICTV202316908")</f>
        <v>ICTV202316908</v>
      </c>
      <c r="R11736" t="s">
        <v>581</v>
      </c>
      <c r="S11736" t="s">
        <v>823</v>
      </c>
      <c r="T11736">
        <v>39</v>
      </c>
      <c r="U11736" s="26" t="str">
        <f t="shared" si="434"/>
        <v>2023.001B.Leviviricetes_reorg.zip</v>
      </c>
    </row>
    <row r="11737" spans="1:21">
      <c r="A11737">
        <v>11736</v>
      </c>
      <c r="B11737" s="27" t="s">
        <v>1124</v>
      </c>
      <c r="D11737" s="27" t="s">
        <v>1859</v>
      </c>
      <c r="F11737" s="27" t="s">
        <v>1881</v>
      </c>
      <c r="H11737" s="27" t="s">
        <v>2679</v>
      </c>
      <c r="J11737" s="27" t="s">
        <v>3210</v>
      </c>
      <c r="L11737" s="27" t="s">
        <v>3262</v>
      </c>
      <c r="N11737" s="27" t="s">
        <v>3280</v>
      </c>
      <c r="P11737" s="27" t="s">
        <v>15540</v>
      </c>
      <c r="Q11737" s="26" t="str">
        <f>HYPERLINK("https://ictv.global/taxonomy/taxondetails?taxnode_id=202516909&amp;ictv_id=ICTV202316909","ICTV202316909")</f>
        <v>ICTV202316909</v>
      </c>
      <c r="R11737" t="s">
        <v>581</v>
      </c>
      <c r="S11737" t="s">
        <v>823</v>
      </c>
      <c r="T11737">
        <v>39</v>
      </c>
      <c r="U11737" s="26" t="str">
        <f t="shared" si="434"/>
        <v>2023.001B.Leviviricetes_reorg.zip</v>
      </c>
    </row>
    <row r="11738" spans="1:21">
      <c r="A11738">
        <v>11737</v>
      </c>
      <c r="B11738" s="27" t="s">
        <v>1124</v>
      </c>
      <c r="D11738" s="27" t="s">
        <v>1859</v>
      </c>
      <c r="F11738" s="27" t="s">
        <v>1881</v>
      </c>
      <c r="H11738" s="27" t="s">
        <v>2679</v>
      </c>
      <c r="J11738" s="27" t="s">
        <v>3210</v>
      </c>
      <c r="L11738" s="27" t="s">
        <v>3262</v>
      </c>
      <c r="N11738" s="27" t="s">
        <v>3280</v>
      </c>
      <c r="P11738" s="27" t="s">
        <v>15541</v>
      </c>
      <c r="Q11738" s="26" t="str">
        <f>HYPERLINK("https://ictv.global/taxonomy/taxondetails?taxnode_id=202516910&amp;ictv_id=ICTV202316910","ICTV202316910")</f>
        <v>ICTV202316910</v>
      </c>
      <c r="R11738" t="s">
        <v>581</v>
      </c>
      <c r="S11738" t="s">
        <v>823</v>
      </c>
      <c r="T11738">
        <v>39</v>
      </c>
      <c r="U11738" s="26" t="str">
        <f t="shared" si="434"/>
        <v>2023.001B.Leviviricetes_reorg.zip</v>
      </c>
    </row>
    <row r="11739" spans="1:21">
      <c r="A11739">
        <v>11738</v>
      </c>
      <c r="B11739" s="27" t="s">
        <v>1124</v>
      </c>
      <c r="D11739" s="27" t="s">
        <v>1859</v>
      </c>
      <c r="F11739" s="27" t="s">
        <v>1881</v>
      </c>
      <c r="H11739" s="27" t="s">
        <v>2679</v>
      </c>
      <c r="J11739" s="27" t="s">
        <v>3210</v>
      </c>
      <c r="L11739" s="27" t="s">
        <v>3262</v>
      </c>
      <c r="N11739" s="27" t="s">
        <v>3280</v>
      </c>
      <c r="P11739" s="27" t="s">
        <v>15542</v>
      </c>
      <c r="Q11739" s="26" t="str">
        <f>HYPERLINK("https://ictv.global/taxonomy/taxondetails?taxnode_id=202511285&amp;ictv_id=ICTV202011285","ICTV202011285")</f>
        <v>ICTV202011285</v>
      </c>
      <c r="R11739" t="s">
        <v>581</v>
      </c>
      <c r="S11739" t="s">
        <v>22764</v>
      </c>
      <c r="T11739">
        <v>39</v>
      </c>
      <c r="U11739" s="26" t="str">
        <f t="shared" si="434"/>
        <v>2023.001B.Leviviricetes_reorg.zip</v>
      </c>
    </row>
    <row r="11740" spans="1:21">
      <c r="A11740">
        <v>11739</v>
      </c>
      <c r="B11740" s="27" t="s">
        <v>1124</v>
      </c>
      <c r="D11740" s="27" t="s">
        <v>1859</v>
      </c>
      <c r="F11740" s="27" t="s">
        <v>1881</v>
      </c>
      <c r="H11740" s="27" t="s">
        <v>2679</v>
      </c>
      <c r="J11740" s="27" t="s">
        <v>3210</v>
      </c>
      <c r="L11740" s="27" t="s">
        <v>3262</v>
      </c>
      <c r="N11740" s="27" t="s">
        <v>3280</v>
      </c>
      <c r="P11740" s="27" t="s">
        <v>15543</v>
      </c>
      <c r="Q11740" s="26" t="str">
        <f>HYPERLINK("https://ictv.global/taxonomy/taxondetails?taxnode_id=202516911&amp;ictv_id=ICTV202316911","ICTV202316911")</f>
        <v>ICTV202316911</v>
      </c>
      <c r="R11740" t="s">
        <v>581</v>
      </c>
      <c r="S11740" t="s">
        <v>823</v>
      </c>
      <c r="T11740">
        <v>39</v>
      </c>
      <c r="U11740" s="26" t="str">
        <f t="shared" si="434"/>
        <v>2023.001B.Leviviricetes_reorg.zip</v>
      </c>
    </row>
    <row r="11741" spans="1:21">
      <c r="A11741">
        <v>11740</v>
      </c>
      <c r="B11741" s="27" t="s">
        <v>1124</v>
      </c>
      <c r="D11741" s="27" t="s">
        <v>1859</v>
      </c>
      <c r="F11741" s="27" t="s">
        <v>1881</v>
      </c>
      <c r="H11741" s="27" t="s">
        <v>2679</v>
      </c>
      <c r="J11741" s="27" t="s">
        <v>3210</v>
      </c>
      <c r="L11741" s="27" t="s">
        <v>3262</v>
      </c>
      <c r="N11741" s="27" t="s">
        <v>3280</v>
      </c>
      <c r="P11741" s="27" t="s">
        <v>15544</v>
      </c>
      <c r="Q11741" s="26" t="str">
        <f>HYPERLINK("https://ictv.global/taxonomy/taxondetails?taxnode_id=202516912&amp;ictv_id=ICTV202316912","ICTV202316912")</f>
        <v>ICTV202316912</v>
      </c>
      <c r="R11741" t="s">
        <v>581</v>
      </c>
      <c r="S11741" t="s">
        <v>823</v>
      </c>
      <c r="T11741">
        <v>39</v>
      </c>
      <c r="U11741" s="26" t="str">
        <f t="shared" si="434"/>
        <v>2023.001B.Leviviricetes_reorg.zip</v>
      </c>
    </row>
    <row r="11742" spans="1:21">
      <c r="A11742">
        <v>11741</v>
      </c>
      <c r="B11742" s="27" t="s">
        <v>1124</v>
      </c>
      <c r="D11742" s="27" t="s">
        <v>1859</v>
      </c>
      <c r="F11742" s="27" t="s">
        <v>1881</v>
      </c>
      <c r="H11742" s="27" t="s">
        <v>2679</v>
      </c>
      <c r="J11742" s="27" t="s">
        <v>3210</v>
      </c>
      <c r="L11742" s="27" t="s">
        <v>3262</v>
      </c>
      <c r="N11742" s="27" t="s">
        <v>3280</v>
      </c>
      <c r="P11742" s="27" t="s">
        <v>15545</v>
      </c>
      <c r="Q11742" s="26" t="str">
        <f>HYPERLINK("https://ictv.global/taxonomy/taxondetails?taxnode_id=202511384&amp;ictv_id=ICTV202011384","ICTV202011384")</f>
        <v>ICTV202011384</v>
      </c>
      <c r="R11742" t="s">
        <v>581</v>
      </c>
      <c r="S11742" t="s">
        <v>22764</v>
      </c>
      <c r="T11742">
        <v>39</v>
      </c>
      <c r="U11742" s="26" t="str">
        <f t="shared" si="434"/>
        <v>2023.001B.Leviviricetes_reorg.zip</v>
      </c>
    </row>
    <row r="11743" spans="1:21">
      <c r="A11743">
        <v>11742</v>
      </c>
      <c r="B11743" s="27" t="s">
        <v>1124</v>
      </c>
      <c r="D11743" s="27" t="s">
        <v>1859</v>
      </c>
      <c r="F11743" s="27" t="s">
        <v>1881</v>
      </c>
      <c r="H11743" s="27" t="s">
        <v>2679</v>
      </c>
      <c r="J11743" s="27" t="s">
        <v>3210</v>
      </c>
      <c r="L11743" s="27" t="s">
        <v>3262</v>
      </c>
      <c r="N11743" s="27" t="s">
        <v>3280</v>
      </c>
      <c r="P11743" s="27" t="s">
        <v>15546</v>
      </c>
      <c r="Q11743" s="26" t="str">
        <f>HYPERLINK("https://ictv.global/taxonomy/taxondetails?taxnode_id=202516913&amp;ictv_id=ICTV202316913","ICTV202316913")</f>
        <v>ICTV202316913</v>
      </c>
      <c r="R11743" t="s">
        <v>581</v>
      </c>
      <c r="S11743" t="s">
        <v>823</v>
      </c>
      <c r="T11743">
        <v>39</v>
      </c>
      <c r="U11743" s="26" t="str">
        <f t="shared" si="434"/>
        <v>2023.001B.Leviviricetes_reorg.zip</v>
      </c>
    </row>
    <row r="11744" spans="1:21">
      <c r="A11744">
        <v>11743</v>
      </c>
      <c r="B11744" s="27" t="s">
        <v>1124</v>
      </c>
      <c r="D11744" s="27" t="s">
        <v>1859</v>
      </c>
      <c r="F11744" s="27" t="s">
        <v>1881</v>
      </c>
      <c r="H11744" s="27" t="s">
        <v>2679</v>
      </c>
      <c r="J11744" s="27" t="s">
        <v>3210</v>
      </c>
      <c r="L11744" s="27" t="s">
        <v>3262</v>
      </c>
      <c r="N11744" s="27" t="s">
        <v>3280</v>
      </c>
      <c r="P11744" s="27" t="s">
        <v>15547</v>
      </c>
      <c r="Q11744" s="26" t="str">
        <f>HYPERLINK("https://ictv.global/taxonomy/taxondetails?taxnode_id=202516914&amp;ictv_id=ICTV202316914","ICTV202316914")</f>
        <v>ICTV202316914</v>
      </c>
      <c r="R11744" t="s">
        <v>581</v>
      </c>
      <c r="S11744" t="s">
        <v>823</v>
      </c>
      <c r="T11744">
        <v>39</v>
      </c>
      <c r="U11744" s="26" t="str">
        <f t="shared" si="434"/>
        <v>2023.001B.Leviviricetes_reorg.zip</v>
      </c>
    </row>
    <row r="11745" spans="1:21">
      <c r="A11745">
        <v>11744</v>
      </c>
      <c r="B11745" s="27" t="s">
        <v>1124</v>
      </c>
      <c r="D11745" s="27" t="s">
        <v>1859</v>
      </c>
      <c r="F11745" s="27" t="s">
        <v>1881</v>
      </c>
      <c r="H11745" s="27" t="s">
        <v>2679</v>
      </c>
      <c r="J11745" s="27" t="s">
        <v>3210</v>
      </c>
      <c r="L11745" s="27" t="s">
        <v>3262</v>
      </c>
      <c r="N11745" s="27" t="s">
        <v>3280</v>
      </c>
      <c r="P11745" s="27" t="s">
        <v>15548</v>
      </c>
      <c r="Q11745" s="26" t="str">
        <f>HYPERLINK("https://ictv.global/taxonomy/taxondetails?taxnode_id=202516915&amp;ictv_id=ICTV202316915","ICTV202316915")</f>
        <v>ICTV202316915</v>
      </c>
      <c r="R11745" t="s">
        <v>581</v>
      </c>
      <c r="S11745" t="s">
        <v>823</v>
      </c>
      <c r="T11745">
        <v>39</v>
      </c>
      <c r="U11745" s="26" t="str">
        <f t="shared" si="434"/>
        <v>2023.001B.Leviviricetes_reorg.zip</v>
      </c>
    </row>
    <row r="11746" spans="1:21">
      <c r="A11746">
        <v>11745</v>
      </c>
      <c r="B11746" s="27" t="s">
        <v>1124</v>
      </c>
      <c r="D11746" s="27" t="s">
        <v>1859</v>
      </c>
      <c r="F11746" s="27" t="s">
        <v>1881</v>
      </c>
      <c r="H11746" s="27" t="s">
        <v>2679</v>
      </c>
      <c r="J11746" s="27" t="s">
        <v>3210</v>
      </c>
      <c r="L11746" s="27" t="s">
        <v>3262</v>
      </c>
      <c r="N11746" s="27" t="s">
        <v>3280</v>
      </c>
      <c r="P11746" s="27" t="s">
        <v>15549</v>
      </c>
      <c r="Q11746" s="26" t="str">
        <f>HYPERLINK("https://ictv.global/taxonomy/taxondetails?taxnode_id=202516916&amp;ictv_id=ICTV202316916","ICTV202316916")</f>
        <v>ICTV202316916</v>
      </c>
      <c r="R11746" t="s">
        <v>581</v>
      </c>
      <c r="S11746" t="s">
        <v>823</v>
      </c>
      <c r="T11746">
        <v>39</v>
      </c>
      <c r="U11746" s="26" t="str">
        <f t="shared" si="434"/>
        <v>2023.001B.Leviviricetes_reorg.zip</v>
      </c>
    </row>
    <row r="11747" spans="1:21">
      <c r="A11747">
        <v>11746</v>
      </c>
      <c r="B11747" s="27" t="s">
        <v>1124</v>
      </c>
      <c r="D11747" s="27" t="s">
        <v>1859</v>
      </c>
      <c r="F11747" s="27" t="s">
        <v>1881</v>
      </c>
      <c r="H11747" s="27" t="s">
        <v>2679</v>
      </c>
      <c r="J11747" s="27" t="s">
        <v>3210</v>
      </c>
      <c r="L11747" s="27" t="s">
        <v>3262</v>
      </c>
      <c r="N11747" s="27" t="s">
        <v>3280</v>
      </c>
      <c r="P11747" s="27" t="s">
        <v>15550</v>
      </c>
      <c r="Q11747" s="26" t="str">
        <f>HYPERLINK("https://ictv.global/taxonomy/taxondetails?taxnode_id=202516917&amp;ictv_id=ICTV202316917","ICTV202316917")</f>
        <v>ICTV202316917</v>
      </c>
      <c r="R11747" t="s">
        <v>581</v>
      </c>
      <c r="S11747" t="s">
        <v>823</v>
      </c>
      <c r="T11747">
        <v>39</v>
      </c>
      <c r="U11747" s="26" t="str">
        <f t="shared" si="434"/>
        <v>2023.001B.Leviviricetes_reorg.zip</v>
      </c>
    </row>
    <row r="11748" spans="1:21">
      <c r="A11748">
        <v>11747</v>
      </c>
      <c r="B11748" s="27" t="s">
        <v>1124</v>
      </c>
      <c r="D11748" s="27" t="s">
        <v>1859</v>
      </c>
      <c r="F11748" s="27" t="s">
        <v>1881</v>
      </c>
      <c r="H11748" s="27" t="s">
        <v>2679</v>
      </c>
      <c r="J11748" s="27" t="s">
        <v>3210</v>
      </c>
      <c r="L11748" s="27" t="s">
        <v>3262</v>
      </c>
      <c r="N11748" s="27" t="s">
        <v>3280</v>
      </c>
      <c r="P11748" s="27" t="s">
        <v>15551</v>
      </c>
      <c r="Q11748" s="26" t="str">
        <f>HYPERLINK("https://ictv.global/taxonomy/taxondetails?taxnode_id=202516918&amp;ictv_id=ICTV202316918","ICTV202316918")</f>
        <v>ICTV202316918</v>
      </c>
      <c r="R11748" t="s">
        <v>581</v>
      </c>
      <c r="S11748" t="s">
        <v>823</v>
      </c>
      <c r="T11748">
        <v>39</v>
      </c>
      <c r="U11748" s="26" t="str">
        <f t="shared" si="434"/>
        <v>2023.001B.Leviviricetes_reorg.zip</v>
      </c>
    </row>
    <row r="11749" spans="1:21">
      <c r="A11749">
        <v>11748</v>
      </c>
      <c r="B11749" s="27" t="s">
        <v>1124</v>
      </c>
      <c r="D11749" s="27" t="s">
        <v>1859</v>
      </c>
      <c r="F11749" s="27" t="s">
        <v>1881</v>
      </c>
      <c r="H11749" s="27" t="s">
        <v>2679</v>
      </c>
      <c r="J11749" s="27" t="s">
        <v>3210</v>
      </c>
      <c r="L11749" s="27" t="s">
        <v>3262</v>
      </c>
      <c r="N11749" s="27" t="s">
        <v>3280</v>
      </c>
      <c r="P11749" s="27" t="s">
        <v>15552</v>
      </c>
      <c r="Q11749" s="26" t="str">
        <f>HYPERLINK("https://ictv.global/taxonomy/taxondetails?taxnode_id=202511385&amp;ictv_id=ICTV202011385","ICTV202011385")</f>
        <v>ICTV202011385</v>
      </c>
      <c r="R11749" t="s">
        <v>581</v>
      </c>
      <c r="S11749" t="s">
        <v>22764</v>
      </c>
      <c r="T11749">
        <v>39</v>
      </c>
      <c r="U11749" s="26" t="str">
        <f t="shared" si="434"/>
        <v>2023.001B.Leviviricetes_reorg.zip</v>
      </c>
    </row>
    <row r="11750" spans="1:21">
      <c r="A11750">
        <v>11749</v>
      </c>
      <c r="B11750" s="27" t="s">
        <v>1124</v>
      </c>
      <c r="D11750" s="27" t="s">
        <v>1859</v>
      </c>
      <c r="F11750" s="27" t="s">
        <v>1881</v>
      </c>
      <c r="H11750" s="27" t="s">
        <v>2679</v>
      </c>
      <c r="J11750" s="27" t="s">
        <v>3210</v>
      </c>
      <c r="L11750" s="27" t="s">
        <v>3262</v>
      </c>
      <c r="N11750" s="27" t="s">
        <v>3280</v>
      </c>
      <c r="P11750" s="27" t="s">
        <v>15553</v>
      </c>
      <c r="Q11750" s="26" t="str">
        <f>HYPERLINK("https://ictv.global/taxonomy/taxondetails?taxnode_id=202511386&amp;ictv_id=ICTV202011386","ICTV202011386")</f>
        <v>ICTV202011386</v>
      </c>
      <c r="R11750" t="s">
        <v>581</v>
      </c>
      <c r="S11750" t="s">
        <v>22764</v>
      </c>
      <c r="T11750">
        <v>39</v>
      </c>
      <c r="U11750" s="26" t="str">
        <f t="shared" si="434"/>
        <v>2023.001B.Leviviricetes_reorg.zip</v>
      </c>
    </row>
    <row r="11751" spans="1:21">
      <c r="A11751">
        <v>11750</v>
      </c>
      <c r="B11751" s="27" t="s">
        <v>1124</v>
      </c>
      <c r="D11751" s="27" t="s">
        <v>1859</v>
      </c>
      <c r="F11751" s="27" t="s">
        <v>1881</v>
      </c>
      <c r="H11751" s="27" t="s">
        <v>2679</v>
      </c>
      <c r="J11751" s="27" t="s">
        <v>3210</v>
      </c>
      <c r="L11751" s="27" t="s">
        <v>3262</v>
      </c>
      <c r="N11751" s="27" t="s">
        <v>3280</v>
      </c>
      <c r="P11751" s="27" t="s">
        <v>15554</v>
      </c>
      <c r="Q11751" s="26" t="str">
        <f>HYPERLINK("https://ictv.global/taxonomy/taxondetails?taxnode_id=202511387&amp;ictv_id=ICTV202011387","ICTV202011387")</f>
        <v>ICTV202011387</v>
      </c>
      <c r="R11751" t="s">
        <v>581</v>
      </c>
      <c r="S11751" t="s">
        <v>22764</v>
      </c>
      <c r="T11751">
        <v>39</v>
      </c>
      <c r="U11751" s="26" t="str">
        <f t="shared" si="434"/>
        <v>2023.001B.Leviviricetes_reorg.zip</v>
      </c>
    </row>
    <row r="11752" spans="1:21">
      <c r="A11752">
        <v>11751</v>
      </c>
      <c r="B11752" s="27" t="s">
        <v>1124</v>
      </c>
      <c r="D11752" s="27" t="s">
        <v>1859</v>
      </c>
      <c r="F11752" s="27" t="s">
        <v>1881</v>
      </c>
      <c r="H11752" s="27" t="s">
        <v>2679</v>
      </c>
      <c r="J11752" s="27" t="s">
        <v>3210</v>
      </c>
      <c r="L11752" s="27" t="s">
        <v>3262</v>
      </c>
      <c r="N11752" s="27" t="s">
        <v>3280</v>
      </c>
      <c r="P11752" s="27" t="s">
        <v>15555</v>
      </c>
      <c r="Q11752" s="26" t="str">
        <f>HYPERLINK("https://ictv.global/taxonomy/taxondetails?taxnode_id=202511388&amp;ictv_id=ICTV202011388","ICTV202011388")</f>
        <v>ICTV202011388</v>
      </c>
      <c r="R11752" t="s">
        <v>581</v>
      </c>
      <c r="S11752" t="s">
        <v>22764</v>
      </c>
      <c r="T11752">
        <v>39</v>
      </c>
      <c r="U11752" s="26" t="str">
        <f t="shared" si="434"/>
        <v>2023.001B.Leviviricetes_reorg.zip</v>
      </c>
    </row>
    <row r="11753" spans="1:21">
      <c r="A11753">
        <v>11752</v>
      </c>
      <c r="B11753" s="27" t="s">
        <v>1124</v>
      </c>
      <c r="D11753" s="27" t="s">
        <v>1859</v>
      </c>
      <c r="F11753" s="27" t="s">
        <v>1881</v>
      </c>
      <c r="H11753" s="27" t="s">
        <v>2679</v>
      </c>
      <c r="J11753" s="27" t="s">
        <v>3210</v>
      </c>
      <c r="L11753" s="27" t="s">
        <v>3262</v>
      </c>
      <c r="N11753" s="27" t="s">
        <v>3280</v>
      </c>
      <c r="P11753" s="27" t="s">
        <v>15556</v>
      </c>
      <c r="Q11753" s="26" t="str">
        <f>HYPERLINK("https://ictv.global/taxonomy/taxondetails?taxnode_id=202516919&amp;ictv_id=ICTV202316919","ICTV202316919")</f>
        <v>ICTV202316919</v>
      </c>
      <c r="R11753" t="s">
        <v>581</v>
      </c>
      <c r="S11753" t="s">
        <v>823</v>
      </c>
      <c r="T11753">
        <v>39</v>
      </c>
      <c r="U11753" s="26" t="str">
        <f t="shared" si="434"/>
        <v>2023.001B.Leviviricetes_reorg.zip</v>
      </c>
    </row>
    <row r="11754" spans="1:21">
      <c r="A11754">
        <v>11753</v>
      </c>
      <c r="B11754" s="27" t="s">
        <v>1124</v>
      </c>
      <c r="D11754" s="27" t="s">
        <v>1859</v>
      </c>
      <c r="F11754" s="27" t="s">
        <v>1881</v>
      </c>
      <c r="H11754" s="27" t="s">
        <v>2679</v>
      </c>
      <c r="J11754" s="27" t="s">
        <v>3210</v>
      </c>
      <c r="L11754" s="27" t="s">
        <v>3262</v>
      </c>
      <c r="N11754" s="27" t="s">
        <v>3280</v>
      </c>
      <c r="P11754" s="27" t="s">
        <v>3281</v>
      </c>
      <c r="Q11754" s="26" t="str">
        <f>HYPERLINK("https://ictv.global/taxonomy/taxondetails?taxnode_id=202511061&amp;ictv_id=ICTV202011061","ICTV202011061")</f>
        <v>ICTV202011061</v>
      </c>
      <c r="R11754" t="s">
        <v>581</v>
      </c>
      <c r="S11754" t="s">
        <v>823</v>
      </c>
      <c r="T11754">
        <v>36</v>
      </c>
      <c r="U11754" s="26" t="str">
        <f>HYPERLINK("https://ictv.global/ictv/proposals/2020.095B.R.Leviviricetes.zip","2020.095B.R.Leviviricetes.zip")</f>
        <v>2020.095B.R.Leviviricetes.zip</v>
      </c>
    </row>
    <row r="11755" spans="1:21">
      <c r="A11755">
        <v>11754</v>
      </c>
      <c r="B11755" s="27" t="s">
        <v>1124</v>
      </c>
      <c r="D11755" s="27" t="s">
        <v>1859</v>
      </c>
      <c r="F11755" s="27" t="s">
        <v>1881</v>
      </c>
      <c r="H11755" s="27" t="s">
        <v>2679</v>
      </c>
      <c r="J11755" s="27" t="s">
        <v>3210</v>
      </c>
      <c r="L11755" s="27" t="s">
        <v>3262</v>
      </c>
      <c r="N11755" s="27" t="s">
        <v>3280</v>
      </c>
      <c r="P11755" s="27" t="s">
        <v>15557</v>
      </c>
      <c r="Q11755" s="26" t="str">
        <f>HYPERLINK("https://ictv.global/taxonomy/taxondetails?taxnode_id=202516920&amp;ictv_id=ICTV202316920","ICTV202316920")</f>
        <v>ICTV202316920</v>
      </c>
      <c r="R11755" t="s">
        <v>581</v>
      </c>
      <c r="S11755" t="s">
        <v>823</v>
      </c>
      <c r="T11755">
        <v>39</v>
      </c>
      <c r="U11755" s="26" t="str">
        <f t="shared" ref="U11755:U11762" si="435">HYPERLINK("https://ictv.global/ictv/proposals/2023.001B.Leviviricetes_reorg.zip","2023.001B.Leviviricetes_reorg.zip")</f>
        <v>2023.001B.Leviviricetes_reorg.zip</v>
      </c>
    </row>
    <row r="11756" spans="1:21">
      <c r="A11756">
        <v>11755</v>
      </c>
      <c r="B11756" s="27" t="s">
        <v>1124</v>
      </c>
      <c r="D11756" s="27" t="s">
        <v>1859</v>
      </c>
      <c r="F11756" s="27" t="s">
        <v>1881</v>
      </c>
      <c r="H11756" s="27" t="s">
        <v>2679</v>
      </c>
      <c r="J11756" s="27" t="s">
        <v>3210</v>
      </c>
      <c r="L11756" s="27" t="s">
        <v>3262</v>
      </c>
      <c r="N11756" s="27" t="s">
        <v>3280</v>
      </c>
      <c r="P11756" s="27" t="s">
        <v>15558</v>
      </c>
      <c r="Q11756" s="26" t="str">
        <f>HYPERLINK("https://ictv.global/taxonomy/taxondetails?taxnode_id=202516921&amp;ictv_id=ICTV202316921","ICTV202316921")</f>
        <v>ICTV202316921</v>
      </c>
      <c r="R11756" t="s">
        <v>581</v>
      </c>
      <c r="S11756" t="s">
        <v>823</v>
      </c>
      <c r="T11756">
        <v>39</v>
      </c>
      <c r="U11756" s="26" t="str">
        <f t="shared" si="435"/>
        <v>2023.001B.Leviviricetes_reorg.zip</v>
      </c>
    </row>
    <row r="11757" spans="1:21">
      <c r="A11757">
        <v>11756</v>
      </c>
      <c r="B11757" s="27" t="s">
        <v>1124</v>
      </c>
      <c r="D11757" s="27" t="s">
        <v>1859</v>
      </c>
      <c r="F11757" s="27" t="s">
        <v>1881</v>
      </c>
      <c r="H11757" s="27" t="s">
        <v>2679</v>
      </c>
      <c r="J11757" s="27" t="s">
        <v>3210</v>
      </c>
      <c r="L11757" s="27" t="s">
        <v>3262</v>
      </c>
      <c r="N11757" s="27" t="s">
        <v>3280</v>
      </c>
      <c r="P11757" s="27" t="s">
        <v>15559</v>
      </c>
      <c r="Q11757" s="26" t="str">
        <f>HYPERLINK("https://ictv.global/taxonomy/taxondetails?taxnode_id=202516922&amp;ictv_id=ICTV202316922","ICTV202316922")</f>
        <v>ICTV202316922</v>
      </c>
      <c r="R11757" t="s">
        <v>581</v>
      </c>
      <c r="S11757" t="s">
        <v>823</v>
      </c>
      <c r="T11757">
        <v>39</v>
      </c>
      <c r="U11757" s="26" t="str">
        <f t="shared" si="435"/>
        <v>2023.001B.Leviviricetes_reorg.zip</v>
      </c>
    </row>
    <row r="11758" spans="1:21">
      <c r="A11758">
        <v>11757</v>
      </c>
      <c r="B11758" s="27" t="s">
        <v>1124</v>
      </c>
      <c r="D11758" s="27" t="s">
        <v>1859</v>
      </c>
      <c r="F11758" s="27" t="s">
        <v>1881</v>
      </c>
      <c r="H11758" s="27" t="s">
        <v>2679</v>
      </c>
      <c r="J11758" s="27" t="s">
        <v>3210</v>
      </c>
      <c r="L11758" s="27" t="s">
        <v>3262</v>
      </c>
      <c r="N11758" s="27" t="s">
        <v>3280</v>
      </c>
      <c r="P11758" s="27" t="s">
        <v>15560</v>
      </c>
      <c r="Q11758" s="26" t="str">
        <f>HYPERLINK("https://ictv.global/taxonomy/taxondetails?taxnode_id=202511079&amp;ictv_id=ICTV202011079","ICTV202011079")</f>
        <v>ICTV202011079</v>
      </c>
      <c r="R11758" t="s">
        <v>581</v>
      </c>
      <c r="S11758" t="s">
        <v>22764</v>
      </c>
      <c r="T11758">
        <v>39</v>
      </c>
      <c r="U11758" s="26" t="str">
        <f t="shared" si="435"/>
        <v>2023.001B.Leviviricetes_reorg.zip</v>
      </c>
    </row>
    <row r="11759" spans="1:21">
      <c r="A11759">
        <v>11758</v>
      </c>
      <c r="B11759" s="27" t="s">
        <v>1124</v>
      </c>
      <c r="D11759" s="27" t="s">
        <v>1859</v>
      </c>
      <c r="F11759" s="27" t="s">
        <v>1881</v>
      </c>
      <c r="H11759" s="27" t="s">
        <v>2679</v>
      </c>
      <c r="J11759" s="27" t="s">
        <v>3210</v>
      </c>
      <c r="L11759" s="27" t="s">
        <v>3262</v>
      </c>
      <c r="N11759" s="27" t="s">
        <v>3280</v>
      </c>
      <c r="P11759" s="27" t="s">
        <v>15561</v>
      </c>
      <c r="Q11759" s="26" t="str">
        <f>HYPERLINK("https://ictv.global/taxonomy/taxondetails?taxnode_id=202516923&amp;ictv_id=ICTV202316923","ICTV202316923")</f>
        <v>ICTV202316923</v>
      </c>
      <c r="R11759" t="s">
        <v>581</v>
      </c>
      <c r="S11759" t="s">
        <v>823</v>
      </c>
      <c r="T11759">
        <v>39</v>
      </c>
      <c r="U11759" s="26" t="str">
        <f t="shared" si="435"/>
        <v>2023.001B.Leviviricetes_reorg.zip</v>
      </c>
    </row>
    <row r="11760" spans="1:21">
      <c r="A11760">
        <v>11759</v>
      </c>
      <c r="B11760" s="27" t="s">
        <v>1124</v>
      </c>
      <c r="D11760" s="27" t="s">
        <v>1859</v>
      </c>
      <c r="F11760" s="27" t="s">
        <v>1881</v>
      </c>
      <c r="H11760" s="27" t="s">
        <v>2679</v>
      </c>
      <c r="J11760" s="27" t="s">
        <v>3210</v>
      </c>
      <c r="L11760" s="27" t="s">
        <v>3262</v>
      </c>
      <c r="N11760" s="27" t="s">
        <v>3280</v>
      </c>
      <c r="P11760" s="27" t="s">
        <v>15562</v>
      </c>
      <c r="Q11760" s="26" t="str">
        <f>HYPERLINK("https://ictv.global/taxonomy/taxondetails?taxnode_id=202511383&amp;ictv_id=ICTV202011383","ICTV202011383")</f>
        <v>ICTV202011383</v>
      </c>
      <c r="R11760" t="s">
        <v>581</v>
      </c>
      <c r="S11760" t="s">
        <v>22764</v>
      </c>
      <c r="T11760">
        <v>39</v>
      </c>
      <c r="U11760" s="26" t="str">
        <f t="shared" si="435"/>
        <v>2023.001B.Leviviricetes_reorg.zip</v>
      </c>
    </row>
    <row r="11761" spans="1:21">
      <c r="A11761">
        <v>11760</v>
      </c>
      <c r="B11761" s="27" t="s">
        <v>1124</v>
      </c>
      <c r="D11761" s="27" t="s">
        <v>1859</v>
      </c>
      <c r="F11761" s="27" t="s">
        <v>1881</v>
      </c>
      <c r="H11761" s="27" t="s">
        <v>2679</v>
      </c>
      <c r="J11761" s="27" t="s">
        <v>3210</v>
      </c>
      <c r="L11761" s="27" t="s">
        <v>3262</v>
      </c>
      <c r="N11761" s="27" t="s">
        <v>3280</v>
      </c>
      <c r="P11761" s="27" t="s">
        <v>15563</v>
      </c>
      <c r="Q11761" s="26" t="str">
        <f>HYPERLINK("https://ictv.global/taxonomy/taxondetails?taxnode_id=202511389&amp;ictv_id=ICTV202011389","ICTV202011389")</f>
        <v>ICTV202011389</v>
      </c>
      <c r="R11761" t="s">
        <v>581</v>
      </c>
      <c r="S11761" t="s">
        <v>22764</v>
      </c>
      <c r="T11761">
        <v>39</v>
      </c>
      <c r="U11761" s="26" t="str">
        <f t="shared" si="435"/>
        <v>2023.001B.Leviviricetes_reorg.zip</v>
      </c>
    </row>
    <row r="11762" spans="1:21">
      <c r="A11762">
        <v>11761</v>
      </c>
      <c r="B11762" s="27" t="s">
        <v>1124</v>
      </c>
      <c r="D11762" s="27" t="s">
        <v>1859</v>
      </c>
      <c r="F11762" s="27" t="s">
        <v>1881</v>
      </c>
      <c r="H11762" s="27" t="s">
        <v>2679</v>
      </c>
      <c r="J11762" s="27" t="s">
        <v>3210</v>
      </c>
      <c r="L11762" s="27" t="s">
        <v>3262</v>
      </c>
      <c r="N11762" s="27" t="s">
        <v>3280</v>
      </c>
      <c r="P11762" s="27" t="s">
        <v>15564</v>
      </c>
      <c r="Q11762" s="26" t="str">
        <f>HYPERLINK("https://ictv.global/taxonomy/taxondetails?taxnode_id=202516924&amp;ictv_id=ICTV202316924","ICTV202316924")</f>
        <v>ICTV202316924</v>
      </c>
      <c r="R11762" t="s">
        <v>581</v>
      </c>
      <c r="S11762" t="s">
        <v>823</v>
      </c>
      <c r="T11762">
        <v>39</v>
      </c>
      <c r="U11762" s="26" t="str">
        <f t="shared" si="435"/>
        <v>2023.001B.Leviviricetes_reorg.zip</v>
      </c>
    </row>
    <row r="11763" spans="1:21">
      <c r="A11763">
        <v>11762</v>
      </c>
      <c r="B11763" s="27" t="s">
        <v>1124</v>
      </c>
      <c r="D11763" s="27" t="s">
        <v>1859</v>
      </c>
      <c r="F11763" s="27" t="s">
        <v>1881</v>
      </c>
      <c r="H11763" s="27" t="s">
        <v>2679</v>
      </c>
      <c r="J11763" s="27" t="s">
        <v>3210</v>
      </c>
      <c r="L11763" s="27" t="s">
        <v>3262</v>
      </c>
      <c r="N11763" s="27" t="s">
        <v>3280</v>
      </c>
      <c r="P11763" s="27" t="s">
        <v>3282</v>
      </c>
      <c r="Q11763" s="26" t="str">
        <f>HYPERLINK("https://ictv.global/taxonomy/taxondetails?taxnode_id=202511060&amp;ictv_id=ICTV202011060","ICTV202011060")</f>
        <v>ICTV202011060</v>
      </c>
      <c r="R11763" t="s">
        <v>581</v>
      </c>
      <c r="S11763" t="s">
        <v>823</v>
      </c>
      <c r="T11763">
        <v>36</v>
      </c>
      <c r="U11763" s="26" t="str">
        <f>HYPERLINK("https://ictv.global/ictv/proposals/2020.095B.R.Leviviricetes.zip","2020.095B.R.Leviviricetes.zip")</f>
        <v>2020.095B.R.Leviviricetes.zip</v>
      </c>
    </row>
    <row r="11764" spans="1:21">
      <c r="A11764">
        <v>11763</v>
      </c>
      <c r="B11764" s="27" t="s">
        <v>1124</v>
      </c>
      <c r="D11764" s="27" t="s">
        <v>1859</v>
      </c>
      <c r="F11764" s="27" t="s">
        <v>1881</v>
      </c>
      <c r="H11764" s="27" t="s">
        <v>2679</v>
      </c>
      <c r="J11764" s="27" t="s">
        <v>3210</v>
      </c>
      <c r="L11764" s="27" t="s">
        <v>3262</v>
      </c>
      <c r="N11764" s="27" t="s">
        <v>3280</v>
      </c>
      <c r="P11764" s="27" t="s">
        <v>3283</v>
      </c>
      <c r="Q11764" s="26" t="str">
        <f>HYPERLINK("https://ictv.global/taxonomy/taxondetails?taxnode_id=202511062&amp;ictv_id=ICTV202011062","ICTV202011062")</f>
        <v>ICTV202011062</v>
      </c>
      <c r="R11764" t="s">
        <v>581</v>
      </c>
      <c r="S11764" t="s">
        <v>823</v>
      </c>
      <c r="T11764">
        <v>36</v>
      </c>
      <c r="U11764" s="26" t="str">
        <f>HYPERLINK("https://ictv.global/ictv/proposals/2020.095B.R.Leviviricetes.zip","2020.095B.R.Leviviricetes.zip")</f>
        <v>2020.095B.R.Leviviricetes.zip</v>
      </c>
    </row>
    <row r="11765" spans="1:21">
      <c r="A11765">
        <v>11764</v>
      </c>
      <c r="B11765" s="27" t="s">
        <v>1124</v>
      </c>
      <c r="D11765" s="27" t="s">
        <v>1859</v>
      </c>
      <c r="F11765" s="27" t="s">
        <v>1881</v>
      </c>
      <c r="H11765" s="27" t="s">
        <v>2679</v>
      </c>
      <c r="J11765" s="27" t="s">
        <v>3210</v>
      </c>
      <c r="L11765" s="27" t="s">
        <v>3262</v>
      </c>
      <c r="N11765" s="27" t="s">
        <v>3280</v>
      </c>
      <c r="P11765" s="27" t="s">
        <v>15565</v>
      </c>
      <c r="Q11765" s="26" t="str">
        <f>HYPERLINK("https://ictv.global/taxonomy/taxondetails?taxnode_id=202516925&amp;ictv_id=ICTV202316925","ICTV202316925")</f>
        <v>ICTV202316925</v>
      </c>
      <c r="R11765" t="s">
        <v>581</v>
      </c>
      <c r="S11765" t="s">
        <v>823</v>
      </c>
      <c r="T11765">
        <v>39</v>
      </c>
      <c r="U11765" s="26" t="str">
        <f t="shared" ref="U11765:U11789" si="436">HYPERLINK("https://ictv.global/ictv/proposals/2023.001B.Leviviricetes_reorg.zip","2023.001B.Leviviricetes_reorg.zip")</f>
        <v>2023.001B.Leviviricetes_reorg.zip</v>
      </c>
    </row>
    <row r="11766" spans="1:21">
      <c r="A11766">
        <v>11765</v>
      </c>
      <c r="B11766" s="27" t="s">
        <v>1124</v>
      </c>
      <c r="D11766" s="27" t="s">
        <v>1859</v>
      </c>
      <c r="F11766" s="27" t="s">
        <v>1881</v>
      </c>
      <c r="H11766" s="27" t="s">
        <v>2679</v>
      </c>
      <c r="J11766" s="27" t="s">
        <v>3210</v>
      </c>
      <c r="L11766" s="27" t="s">
        <v>3262</v>
      </c>
      <c r="N11766" s="27" t="s">
        <v>3280</v>
      </c>
      <c r="P11766" s="27" t="s">
        <v>15566</v>
      </c>
      <c r="Q11766" s="26" t="str">
        <f>HYPERLINK("https://ictv.global/taxonomy/taxondetails?taxnode_id=202516926&amp;ictv_id=ICTV202316926","ICTV202316926")</f>
        <v>ICTV202316926</v>
      </c>
      <c r="R11766" t="s">
        <v>581</v>
      </c>
      <c r="S11766" t="s">
        <v>823</v>
      </c>
      <c r="T11766">
        <v>39</v>
      </c>
      <c r="U11766" s="26" t="str">
        <f t="shared" si="436"/>
        <v>2023.001B.Leviviricetes_reorg.zip</v>
      </c>
    </row>
    <row r="11767" spans="1:21">
      <c r="A11767">
        <v>11766</v>
      </c>
      <c r="B11767" s="27" t="s">
        <v>1124</v>
      </c>
      <c r="D11767" s="27" t="s">
        <v>1859</v>
      </c>
      <c r="F11767" s="27" t="s">
        <v>1881</v>
      </c>
      <c r="H11767" s="27" t="s">
        <v>2679</v>
      </c>
      <c r="J11767" s="27" t="s">
        <v>3210</v>
      </c>
      <c r="L11767" s="27" t="s">
        <v>3262</v>
      </c>
      <c r="N11767" s="27" t="s">
        <v>3280</v>
      </c>
      <c r="P11767" s="27" t="s">
        <v>15567</v>
      </c>
      <c r="Q11767" s="26" t="str">
        <f>HYPERLINK("https://ictv.global/taxonomy/taxondetails?taxnode_id=202516927&amp;ictv_id=ICTV202316927","ICTV202316927")</f>
        <v>ICTV202316927</v>
      </c>
      <c r="R11767" t="s">
        <v>581</v>
      </c>
      <c r="S11767" t="s">
        <v>823</v>
      </c>
      <c r="T11767">
        <v>39</v>
      </c>
      <c r="U11767" s="26" t="str">
        <f t="shared" si="436"/>
        <v>2023.001B.Leviviricetes_reorg.zip</v>
      </c>
    </row>
    <row r="11768" spans="1:21">
      <c r="A11768">
        <v>11767</v>
      </c>
      <c r="B11768" s="27" t="s">
        <v>1124</v>
      </c>
      <c r="D11768" s="27" t="s">
        <v>1859</v>
      </c>
      <c r="F11768" s="27" t="s">
        <v>1881</v>
      </c>
      <c r="H11768" s="27" t="s">
        <v>2679</v>
      </c>
      <c r="J11768" s="27" t="s">
        <v>3210</v>
      </c>
      <c r="L11768" s="27" t="s">
        <v>3262</v>
      </c>
      <c r="N11768" s="27" t="s">
        <v>3280</v>
      </c>
      <c r="P11768" s="27" t="s">
        <v>15568</v>
      </c>
      <c r="Q11768" s="26" t="str">
        <f>HYPERLINK("https://ictv.global/taxonomy/taxondetails?taxnode_id=202516928&amp;ictv_id=ICTV202316928","ICTV202316928")</f>
        <v>ICTV202316928</v>
      </c>
      <c r="R11768" t="s">
        <v>581</v>
      </c>
      <c r="S11768" t="s">
        <v>823</v>
      </c>
      <c r="T11768">
        <v>39</v>
      </c>
      <c r="U11768" s="26" t="str">
        <f t="shared" si="436"/>
        <v>2023.001B.Leviviricetes_reorg.zip</v>
      </c>
    </row>
    <row r="11769" spans="1:21">
      <c r="A11769">
        <v>11768</v>
      </c>
      <c r="B11769" s="27" t="s">
        <v>1124</v>
      </c>
      <c r="D11769" s="27" t="s">
        <v>1859</v>
      </c>
      <c r="F11769" s="27" t="s">
        <v>1881</v>
      </c>
      <c r="H11769" s="27" t="s">
        <v>2679</v>
      </c>
      <c r="J11769" s="27" t="s">
        <v>3210</v>
      </c>
      <c r="L11769" s="27" t="s">
        <v>3262</v>
      </c>
      <c r="N11769" s="27" t="s">
        <v>15569</v>
      </c>
      <c r="P11769" s="27" t="s">
        <v>15570</v>
      </c>
      <c r="Q11769" s="26" t="str">
        <f>HYPERLINK("https://ictv.global/taxonomy/taxondetails?taxnode_id=202516929&amp;ictv_id=ICTV202316929","ICTV202316929")</f>
        <v>ICTV202316929</v>
      </c>
      <c r="R11769" t="s">
        <v>581</v>
      </c>
      <c r="S11769" t="s">
        <v>823</v>
      </c>
      <c r="T11769">
        <v>39</v>
      </c>
      <c r="U11769" s="26" t="str">
        <f t="shared" si="436"/>
        <v>2023.001B.Leviviricetes_reorg.zip</v>
      </c>
    </row>
    <row r="11770" spans="1:21">
      <c r="A11770">
        <v>11769</v>
      </c>
      <c r="B11770" s="27" t="s">
        <v>1124</v>
      </c>
      <c r="D11770" s="27" t="s">
        <v>1859</v>
      </c>
      <c r="F11770" s="27" t="s">
        <v>1881</v>
      </c>
      <c r="H11770" s="27" t="s">
        <v>2679</v>
      </c>
      <c r="J11770" s="27" t="s">
        <v>3210</v>
      </c>
      <c r="L11770" s="27" t="s">
        <v>3262</v>
      </c>
      <c r="N11770" s="27" t="s">
        <v>15571</v>
      </c>
      <c r="P11770" s="27" t="s">
        <v>15572</v>
      </c>
      <c r="Q11770" s="26" t="str">
        <f>HYPERLINK("https://ictv.global/taxonomy/taxondetails?taxnode_id=202510983&amp;ictv_id=ICTV202010983","ICTV202010983")</f>
        <v>ICTV202010983</v>
      </c>
      <c r="R11770" t="s">
        <v>581</v>
      </c>
      <c r="S11770" t="s">
        <v>22764</v>
      </c>
      <c r="T11770">
        <v>39</v>
      </c>
      <c r="U11770" s="26" t="str">
        <f t="shared" si="436"/>
        <v>2023.001B.Leviviricetes_reorg.zip</v>
      </c>
    </row>
    <row r="11771" spans="1:21">
      <c r="A11771">
        <v>11770</v>
      </c>
      <c r="B11771" s="27" t="s">
        <v>1124</v>
      </c>
      <c r="D11771" s="27" t="s">
        <v>1859</v>
      </c>
      <c r="F11771" s="27" t="s">
        <v>1881</v>
      </c>
      <c r="H11771" s="27" t="s">
        <v>2679</v>
      </c>
      <c r="J11771" s="27" t="s">
        <v>3210</v>
      </c>
      <c r="L11771" s="27" t="s">
        <v>3262</v>
      </c>
      <c r="N11771" s="27" t="s">
        <v>15573</v>
      </c>
      <c r="P11771" s="27" t="s">
        <v>15574</v>
      </c>
      <c r="Q11771" s="26" t="str">
        <f>HYPERLINK("https://ictv.global/taxonomy/taxondetails?taxnode_id=202516930&amp;ictv_id=ICTV202316930","ICTV202316930")</f>
        <v>ICTV202316930</v>
      </c>
      <c r="R11771" t="s">
        <v>581</v>
      </c>
      <c r="S11771" t="s">
        <v>823</v>
      </c>
      <c r="T11771">
        <v>39</v>
      </c>
      <c r="U11771" s="26" t="str">
        <f t="shared" si="436"/>
        <v>2023.001B.Leviviricetes_reorg.zip</v>
      </c>
    </row>
    <row r="11772" spans="1:21">
      <c r="A11772">
        <v>11771</v>
      </c>
      <c r="B11772" s="27" t="s">
        <v>1124</v>
      </c>
      <c r="D11772" s="27" t="s">
        <v>1859</v>
      </c>
      <c r="F11772" s="27" t="s">
        <v>1881</v>
      </c>
      <c r="H11772" s="27" t="s">
        <v>2679</v>
      </c>
      <c r="J11772" s="27" t="s">
        <v>3210</v>
      </c>
      <c r="L11772" s="27" t="s">
        <v>3262</v>
      </c>
      <c r="N11772" s="27" t="s">
        <v>15575</v>
      </c>
      <c r="P11772" s="27" t="s">
        <v>15576</v>
      </c>
      <c r="Q11772" s="26" t="str">
        <f>HYPERLINK("https://ictv.global/taxonomy/taxondetails?taxnode_id=202516931&amp;ictv_id=ICTV202316931","ICTV202316931")</f>
        <v>ICTV202316931</v>
      </c>
      <c r="R11772" t="s">
        <v>581</v>
      </c>
      <c r="S11772" t="s">
        <v>823</v>
      </c>
      <c r="T11772">
        <v>39</v>
      </c>
      <c r="U11772" s="26" t="str">
        <f t="shared" si="436"/>
        <v>2023.001B.Leviviricetes_reorg.zip</v>
      </c>
    </row>
    <row r="11773" spans="1:21">
      <c r="A11773">
        <v>11772</v>
      </c>
      <c r="B11773" s="27" t="s">
        <v>1124</v>
      </c>
      <c r="D11773" s="27" t="s">
        <v>1859</v>
      </c>
      <c r="F11773" s="27" t="s">
        <v>1881</v>
      </c>
      <c r="H11773" s="27" t="s">
        <v>2679</v>
      </c>
      <c r="J11773" s="27" t="s">
        <v>3210</v>
      </c>
      <c r="L11773" s="27" t="s">
        <v>3262</v>
      </c>
      <c r="N11773" s="27" t="s">
        <v>15577</v>
      </c>
      <c r="P11773" s="27" t="s">
        <v>15578</v>
      </c>
      <c r="Q11773" s="26" t="str">
        <f>HYPERLINK("https://ictv.global/taxonomy/taxondetails?taxnode_id=202516932&amp;ictv_id=ICTV202316932","ICTV202316932")</f>
        <v>ICTV202316932</v>
      </c>
      <c r="R11773" t="s">
        <v>581</v>
      </c>
      <c r="S11773" t="s">
        <v>823</v>
      </c>
      <c r="T11773">
        <v>39</v>
      </c>
      <c r="U11773" s="26" t="str">
        <f t="shared" si="436"/>
        <v>2023.001B.Leviviricetes_reorg.zip</v>
      </c>
    </row>
    <row r="11774" spans="1:21">
      <c r="A11774">
        <v>11773</v>
      </c>
      <c r="B11774" s="27" t="s">
        <v>1124</v>
      </c>
      <c r="D11774" s="27" t="s">
        <v>1859</v>
      </c>
      <c r="F11774" s="27" t="s">
        <v>1881</v>
      </c>
      <c r="H11774" s="27" t="s">
        <v>2679</v>
      </c>
      <c r="J11774" s="27" t="s">
        <v>3210</v>
      </c>
      <c r="L11774" s="27" t="s">
        <v>3262</v>
      </c>
      <c r="N11774" s="27" t="s">
        <v>15579</v>
      </c>
      <c r="P11774" s="27" t="s">
        <v>15580</v>
      </c>
      <c r="Q11774" s="26" t="str">
        <f>HYPERLINK("https://ictv.global/taxonomy/taxondetails?taxnode_id=202516933&amp;ictv_id=ICTV202316933","ICTV202316933")</f>
        <v>ICTV202316933</v>
      </c>
      <c r="R11774" t="s">
        <v>581</v>
      </c>
      <c r="S11774" t="s">
        <v>823</v>
      </c>
      <c r="T11774">
        <v>39</v>
      </c>
      <c r="U11774" s="26" t="str">
        <f t="shared" si="436"/>
        <v>2023.001B.Leviviricetes_reorg.zip</v>
      </c>
    </row>
    <row r="11775" spans="1:21">
      <c r="A11775">
        <v>11774</v>
      </c>
      <c r="B11775" s="27" t="s">
        <v>1124</v>
      </c>
      <c r="D11775" s="27" t="s">
        <v>1859</v>
      </c>
      <c r="F11775" s="27" t="s">
        <v>1881</v>
      </c>
      <c r="H11775" s="27" t="s">
        <v>2679</v>
      </c>
      <c r="J11775" s="27" t="s">
        <v>3210</v>
      </c>
      <c r="L11775" s="27" t="s">
        <v>3262</v>
      </c>
      <c r="N11775" s="27" t="s">
        <v>15581</v>
      </c>
      <c r="P11775" s="27" t="s">
        <v>15582</v>
      </c>
      <c r="Q11775" s="26" t="str">
        <f>HYPERLINK("https://ictv.global/taxonomy/taxondetails?taxnode_id=202516934&amp;ictv_id=ICTV202316934","ICTV202316934")</f>
        <v>ICTV202316934</v>
      </c>
      <c r="R11775" t="s">
        <v>581</v>
      </c>
      <c r="S11775" t="s">
        <v>823</v>
      </c>
      <c r="T11775">
        <v>39</v>
      </c>
      <c r="U11775" s="26" t="str">
        <f t="shared" si="436"/>
        <v>2023.001B.Leviviricetes_reorg.zip</v>
      </c>
    </row>
    <row r="11776" spans="1:21">
      <c r="A11776">
        <v>11775</v>
      </c>
      <c r="B11776" s="27" t="s">
        <v>1124</v>
      </c>
      <c r="D11776" s="27" t="s">
        <v>1859</v>
      </c>
      <c r="F11776" s="27" t="s">
        <v>1881</v>
      </c>
      <c r="H11776" s="27" t="s">
        <v>2679</v>
      </c>
      <c r="J11776" s="27" t="s">
        <v>3210</v>
      </c>
      <c r="L11776" s="27" t="s">
        <v>3262</v>
      </c>
      <c r="N11776" s="27" t="s">
        <v>15581</v>
      </c>
      <c r="P11776" s="27" t="s">
        <v>15583</v>
      </c>
      <c r="Q11776" s="26" t="str">
        <f>HYPERLINK("https://ictv.global/taxonomy/taxondetails?taxnode_id=202516935&amp;ictv_id=ICTV202316935","ICTV202316935")</f>
        <v>ICTV202316935</v>
      </c>
      <c r="R11776" t="s">
        <v>581</v>
      </c>
      <c r="S11776" t="s">
        <v>823</v>
      </c>
      <c r="T11776">
        <v>39</v>
      </c>
      <c r="U11776" s="26" t="str">
        <f t="shared" si="436"/>
        <v>2023.001B.Leviviricetes_reorg.zip</v>
      </c>
    </row>
    <row r="11777" spans="1:21">
      <c r="A11777">
        <v>11776</v>
      </c>
      <c r="B11777" s="27" t="s">
        <v>1124</v>
      </c>
      <c r="D11777" s="27" t="s">
        <v>1859</v>
      </c>
      <c r="F11777" s="27" t="s">
        <v>1881</v>
      </c>
      <c r="H11777" s="27" t="s">
        <v>2679</v>
      </c>
      <c r="J11777" s="27" t="s">
        <v>3210</v>
      </c>
      <c r="L11777" s="27" t="s">
        <v>3262</v>
      </c>
      <c r="N11777" s="27" t="s">
        <v>15584</v>
      </c>
      <c r="P11777" s="27" t="s">
        <v>15585</v>
      </c>
      <c r="Q11777" s="26" t="str">
        <f>HYPERLINK("https://ictv.global/taxonomy/taxondetails?taxnode_id=202516936&amp;ictv_id=ICTV202316936","ICTV202316936")</f>
        <v>ICTV202316936</v>
      </c>
      <c r="R11777" t="s">
        <v>581</v>
      </c>
      <c r="S11777" t="s">
        <v>823</v>
      </c>
      <c r="T11777">
        <v>39</v>
      </c>
      <c r="U11777" s="26" t="str">
        <f t="shared" si="436"/>
        <v>2023.001B.Leviviricetes_reorg.zip</v>
      </c>
    </row>
    <row r="11778" spans="1:21">
      <c r="A11778">
        <v>11777</v>
      </c>
      <c r="B11778" s="27" t="s">
        <v>1124</v>
      </c>
      <c r="D11778" s="27" t="s">
        <v>1859</v>
      </c>
      <c r="F11778" s="27" t="s">
        <v>1881</v>
      </c>
      <c r="H11778" s="27" t="s">
        <v>2679</v>
      </c>
      <c r="J11778" s="27" t="s">
        <v>3210</v>
      </c>
      <c r="L11778" s="27" t="s">
        <v>3262</v>
      </c>
      <c r="N11778" s="27" t="s">
        <v>15586</v>
      </c>
      <c r="P11778" s="27" t="s">
        <v>15587</v>
      </c>
      <c r="Q11778" s="26" t="str">
        <f>HYPERLINK("https://ictv.global/taxonomy/taxondetails?taxnode_id=202516937&amp;ictv_id=ICTV202316937","ICTV202316937")</f>
        <v>ICTV202316937</v>
      </c>
      <c r="R11778" t="s">
        <v>581</v>
      </c>
      <c r="S11778" t="s">
        <v>823</v>
      </c>
      <c r="T11778">
        <v>39</v>
      </c>
      <c r="U11778" s="26" t="str">
        <f t="shared" si="436"/>
        <v>2023.001B.Leviviricetes_reorg.zip</v>
      </c>
    </row>
    <row r="11779" spans="1:21">
      <c r="A11779">
        <v>11778</v>
      </c>
      <c r="B11779" s="27" t="s">
        <v>1124</v>
      </c>
      <c r="D11779" s="27" t="s">
        <v>1859</v>
      </c>
      <c r="F11779" s="27" t="s">
        <v>1881</v>
      </c>
      <c r="H11779" s="27" t="s">
        <v>2679</v>
      </c>
      <c r="J11779" s="27" t="s">
        <v>3210</v>
      </c>
      <c r="L11779" s="27" t="s">
        <v>3262</v>
      </c>
      <c r="N11779" s="27" t="s">
        <v>15588</v>
      </c>
      <c r="P11779" s="27" t="s">
        <v>15589</v>
      </c>
      <c r="Q11779" s="26" t="str">
        <f>HYPERLINK("https://ictv.global/taxonomy/taxondetails?taxnode_id=202516938&amp;ictv_id=ICTV202316938","ICTV202316938")</f>
        <v>ICTV202316938</v>
      </c>
      <c r="R11779" t="s">
        <v>581</v>
      </c>
      <c r="S11779" t="s">
        <v>823</v>
      </c>
      <c r="T11779">
        <v>39</v>
      </c>
      <c r="U11779" s="26" t="str">
        <f t="shared" si="436"/>
        <v>2023.001B.Leviviricetes_reorg.zip</v>
      </c>
    </row>
    <row r="11780" spans="1:21">
      <c r="A11780">
        <v>11779</v>
      </c>
      <c r="B11780" s="27" t="s">
        <v>1124</v>
      </c>
      <c r="D11780" s="27" t="s">
        <v>1859</v>
      </c>
      <c r="F11780" s="27" t="s">
        <v>1881</v>
      </c>
      <c r="H11780" s="27" t="s">
        <v>2679</v>
      </c>
      <c r="J11780" s="27" t="s">
        <v>3210</v>
      </c>
      <c r="L11780" s="27" t="s">
        <v>3262</v>
      </c>
      <c r="N11780" s="27" t="s">
        <v>15590</v>
      </c>
      <c r="P11780" s="27" t="s">
        <v>15591</v>
      </c>
      <c r="Q11780" s="26" t="str">
        <f>HYPERLINK("https://ictv.global/taxonomy/taxondetails?taxnode_id=202516939&amp;ictv_id=ICTV202316939","ICTV202316939")</f>
        <v>ICTV202316939</v>
      </c>
      <c r="R11780" t="s">
        <v>581</v>
      </c>
      <c r="S11780" t="s">
        <v>823</v>
      </c>
      <c r="T11780">
        <v>39</v>
      </c>
      <c r="U11780" s="26" t="str">
        <f t="shared" si="436"/>
        <v>2023.001B.Leviviricetes_reorg.zip</v>
      </c>
    </row>
    <row r="11781" spans="1:21">
      <c r="A11781">
        <v>11780</v>
      </c>
      <c r="B11781" s="27" t="s">
        <v>1124</v>
      </c>
      <c r="D11781" s="27" t="s">
        <v>1859</v>
      </c>
      <c r="F11781" s="27" t="s">
        <v>1881</v>
      </c>
      <c r="H11781" s="27" t="s">
        <v>2679</v>
      </c>
      <c r="J11781" s="27" t="s">
        <v>3210</v>
      </c>
      <c r="L11781" s="27" t="s">
        <v>3262</v>
      </c>
      <c r="N11781" s="27" t="s">
        <v>15590</v>
      </c>
      <c r="P11781" s="27" t="s">
        <v>15592</v>
      </c>
      <c r="Q11781" s="26" t="str">
        <f>HYPERLINK("https://ictv.global/taxonomy/taxondetails?taxnode_id=202516940&amp;ictv_id=ICTV202316940","ICTV202316940")</f>
        <v>ICTV202316940</v>
      </c>
      <c r="R11781" t="s">
        <v>581</v>
      </c>
      <c r="S11781" t="s">
        <v>823</v>
      </c>
      <c r="T11781">
        <v>39</v>
      </c>
      <c r="U11781" s="26" t="str">
        <f t="shared" si="436"/>
        <v>2023.001B.Leviviricetes_reorg.zip</v>
      </c>
    </row>
    <row r="11782" spans="1:21">
      <c r="A11782">
        <v>11781</v>
      </c>
      <c r="B11782" s="27" t="s">
        <v>1124</v>
      </c>
      <c r="D11782" s="27" t="s">
        <v>1859</v>
      </c>
      <c r="F11782" s="27" t="s">
        <v>1881</v>
      </c>
      <c r="H11782" s="27" t="s">
        <v>2679</v>
      </c>
      <c r="J11782" s="27" t="s">
        <v>3210</v>
      </c>
      <c r="L11782" s="27" t="s">
        <v>3262</v>
      </c>
      <c r="N11782" s="27" t="s">
        <v>15593</v>
      </c>
      <c r="P11782" s="27" t="s">
        <v>15594</v>
      </c>
      <c r="Q11782" s="26" t="str">
        <f>HYPERLINK("https://ictv.global/taxonomy/taxondetails?taxnode_id=202516941&amp;ictv_id=ICTV202316941","ICTV202316941")</f>
        <v>ICTV202316941</v>
      </c>
      <c r="R11782" t="s">
        <v>581</v>
      </c>
      <c r="S11782" t="s">
        <v>823</v>
      </c>
      <c r="T11782">
        <v>39</v>
      </c>
      <c r="U11782" s="26" t="str">
        <f t="shared" si="436"/>
        <v>2023.001B.Leviviricetes_reorg.zip</v>
      </c>
    </row>
    <row r="11783" spans="1:21">
      <c r="A11783">
        <v>11782</v>
      </c>
      <c r="B11783" s="27" t="s">
        <v>1124</v>
      </c>
      <c r="D11783" s="27" t="s">
        <v>1859</v>
      </c>
      <c r="F11783" s="27" t="s">
        <v>1881</v>
      </c>
      <c r="H11783" s="27" t="s">
        <v>2679</v>
      </c>
      <c r="J11783" s="27" t="s">
        <v>3210</v>
      </c>
      <c r="L11783" s="27" t="s">
        <v>3262</v>
      </c>
      <c r="N11783" s="27" t="s">
        <v>15593</v>
      </c>
      <c r="P11783" s="27" t="s">
        <v>15595</v>
      </c>
      <c r="Q11783" s="26" t="str">
        <f>HYPERLINK("https://ictv.global/taxonomy/taxondetails?taxnode_id=202516942&amp;ictv_id=ICTV202316942","ICTV202316942")</f>
        <v>ICTV202316942</v>
      </c>
      <c r="R11783" t="s">
        <v>581</v>
      </c>
      <c r="S11783" t="s">
        <v>823</v>
      </c>
      <c r="T11783">
        <v>39</v>
      </c>
      <c r="U11783" s="26" t="str">
        <f t="shared" si="436"/>
        <v>2023.001B.Leviviricetes_reorg.zip</v>
      </c>
    </row>
    <row r="11784" spans="1:21">
      <c r="A11784">
        <v>11783</v>
      </c>
      <c r="B11784" s="27" t="s">
        <v>1124</v>
      </c>
      <c r="D11784" s="27" t="s">
        <v>1859</v>
      </c>
      <c r="F11784" s="27" t="s">
        <v>1881</v>
      </c>
      <c r="H11784" s="27" t="s">
        <v>2679</v>
      </c>
      <c r="J11784" s="27" t="s">
        <v>3210</v>
      </c>
      <c r="L11784" s="27" t="s">
        <v>3262</v>
      </c>
      <c r="N11784" s="27" t="s">
        <v>15593</v>
      </c>
      <c r="P11784" s="27" t="s">
        <v>15596</v>
      </c>
      <c r="Q11784" s="26" t="str">
        <f>HYPERLINK("https://ictv.global/taxonomy/taxondetails?taxnode_id=202516943&amp;ictv_id=ICTV202316943","ICTV202316943")</f>
        <v>ICTV202316943</v>
      </c>
      <c r="R11784" t="s">
        <v>581</v>
      </c>
      <c r="S11784" t="s">
        <v>823</v>
      </c>
      <c r="T11784">
        <v>39</v>
      </c>
      <c r="U11784" s="26" t="str">
        <f t="shared" si="436"/>
        <v>2023.001B.Leviviricetes_reorg.zip</v>
      </c>
    </row>
    <row r="11785" spans="1:21">
      <c r="A11785">
        <v>11784</v>
      </c>
      <c r="B11785" s="27" t="s">
        <v>1124</v>
      </c>
      <c r="D11785" s="27" t="s">
        <v>1859</v>
      </c>
      <c r="F11785" s="27" t="s">
        <v>1881</v>
      </c>
      <c r="H11785" s="27" t="s">
        <v>2679</v>
      </c>
      <c r="J11785" s="27" t="s">
        <v>3210</v>
      </c>
      <c r="L11785" s="27" t="s">
        <v>3262</v>
      </c>
      <c r="N11785" s="27" t="s">
        <v>15593</v>
      </c>
      <c r="P11785" s="27" t="s">
        <v>15597</v>
      </c>
      <c r="Q11785" s="26" t="str">
        <f>HYPERLINK("https://ictv.global/taxonomy/taxondetails?taxnode_id=202516944&amp;ictv_id=ICTV202316944","ICTV202316944")</f>
        <v>ICTV202316944</v>
      </c>
      <c r="R11785" t="s">
        <v>581</v>
      </c>
      <c r="S11785" t="s">
        <v>823</v>
      </c>
      <c r="T11785">
        <v>39</v>
      </c>
      <c r="U11785" s="26" t="str">
        <f t="shared" si="436"/>
        <v>2023.001B.Leviviricetes_reorg.zip</v>
      </c>
    </row>
    <row r="11786" spans="1:21">
      <c r="A11786">
        <v>11785</v>
      </c>
      <c r="B11786" s="27" t="s">
        <v>1124</v>
      </c>
      <c r="D11786" s="27" t="s">
        <v>1859</v>
      </c>
      <c r="F11786" s="27" t="s">
        <v>1881</v>
      </c>
      <c r="H11786" s="27" t="s">
        <v>2679</v>
      </c>
      <c r="J11786" s="27" t="s">
        <v>3210</v>
      </c>
      <c r="L11786" s="27" t="s">
        <v>3262</v>
      </c>
      <c r="N11786" s="27" t="s">
        <v>15598</v>
      </c>
      <c r="P11786" s="27" t="s">
        <v>15599</v>
      </c>
      <c r="Q11786" s="26" t="str">
        <f>HYPERLINK("https://ictv.global/taxonomy/taxondetails?taxnode_id=202516945&amp;ictv_id=ICTV202316945","ICTV202316945")</f>
        <v>ICTV202316945</v>
      </c>
      <c r="R11786" t="s">
        <v>581</v>
      </c>
      <c r="S11786" t="s">
        <v>823</v>
      </c>
      <c r="T11786">
        <v>39</v>
      </c>
      <c r="U11786" s="26" t="str">
        <f t="shared" si="436"/>
        <v>2023.001B.Leviviricetes_reorg.zip</v>
      </c>
    </row>
    <row r="11787" spans="1:21">
      <c r="A11787">
        <v>11786</v>
      </c>
      <c r="B11787" s="27" t="s">
        <v>1124</v>
      </c>
      <c r="D11787" s="27" t="s">
        <v>1859</v>
      </c>
      <c r="F11787" s="27" t="s">
        <v>1881</v>
      </c>
      <c r="H11787" s="27" t="s">
        <v>2679</v>
      </c>
      <c r="J11787" s="27" t="s">
        <v>3210</v>
      </c>
      <c r="L11787" s="27" t="s">
        <v>3262</v>
      </c>
      <c r="N11787" s="27" t="s">
        <v>15598</v>
      </c>
      <c r="P11787" s="27" t="s">
        <v>15600</v>
      </c>
      <c r="Q11787" s="26" t="str">
        <f>HYPERLINK("https://ictv.global/taxonomy/taxondetails?taxnode_id=202516946&amp;ictv_id=ICTV202316946","ICTV202316946")</f>
        <v>ICTV202316946</v>
      </c>
      <c r="R11787" t="s">
        <v>581</v>
      </c>
      <c r="S11787" t="s">
        <v>823</v>
      </c>
      <c r="T11787">
        <v>39</v>
      </c>
      <c r="U11787" s="26" t="str">
        <f t="shared" si="436"/>
        <v>2023.001B.Leviviricetes_reorg.zip</v>
      </c>
    </row>
    <row r="11788" spans="1:21">
      <c r="A11788">
        <v>11787</v>
      </c>
      <c r="B11788" s="27" t="s">
        <v>1124</v>
      </c>
      <c r="D11788" s="27" t="s">
        <v>1859</v>
      </c>
      <c r="F11788" s="27" t="s">
        <v>1881</v>
      </c>
      <c r="H11788" s="27" t="s">
        <v>2679</v>
      </c>
      <c r="J11788" s="27" t="s">
        <v>3210</v>
      </c>
      <c r="L11788" s="27" t="s">
        <v>3262</v>
      </c>
      <c r="N11788" s="27" t="s">
        <v>15598</v>
      </c>
      <c r="P11788" s="27" t="s">
        <v>15601</v>
      </c>
      <c r="Q11788" s="26" t="str">
        <f>HYPERLINK("https://ictv.global/taxonomy/taxondetails?taxnode_id=202516947&amp;ictv_id=ICTV202316947","ICTV202316947")</f>
        <v>ICTV202316947</v>
      </c>
      <c r="R11788" t="s">
        <v>581</v>
      </c>
      <c r="S11788" t="s">
        <v>823</v>
      </c>
      <c r="T11788">
        <v>39</v>
      </c>
      <c r="U11788" s="26" t="str">
        <f t="shared" si="436"/>
        <v>2023.001B.Leviviricetes_reorg.zip</v>
      </c>
    </row>
    <row r="11789" spans="1:21">
      <c r="A11789">
        <v>11788</v>
      </c>
      <c r="B11789" s="27" t="s">
        <v>1124</v>
      </c>
      <c r="D11789" s="27" t="s">
        <v>1859</v>
      </c>
      <c r="F11789" s="27" t="s">
        <v>1881</v>
      </c>
      <c r="H11789" s="27" t="s">
        <v>2679</v>
      </c>
      <c r="J11789" s="27" t="s">
        <v>3210</v>
      </c>
      <c r="L11789" s="27" t="s">
        <v>3262</v>
      </c>
      <c r="N11789" s="27" t="s">
        <v>15598</v>
      </c>
      <c r="P11789" s="27" t="s">
        <v>15602</v>
      </c>
      <c r="Q11789" s="26" t="str">
        <f>HYPERLINK("https://ictv.global/taxonomy/taxondetails?taxnode_id=202516948&amp;ictv_id=ICTV202316948","ICTV202316948")</f>
        <v>ICTV202316948</v>
      </c>
      <c r="R11789" t="s">
        <v>581</v>
      </c>
      <c r="S11789" t="s">
        <v>823</v>
      </c>
      <c r="T11789">
        <v>39</v>
      </c>
      <c r="U11789" s="26" t="str">
        <f t="shared" si="436"/>
        <v>2023.001B.Leviviricetes_reorg.zip</v>
      </c>
    </row>
    <row r="11790" spans="1:21">
      <c r="A11790">
        <v>11789</v>
      </c>
      <c r="B11790" s="27" t="s">
        <v>1124</v>
      </c>
      <c r="D11790" s="27" t="s">
        <v>1859</v>
      </c>
      <c r="F11790" s="27" t="s">
        <v>1881</v>
      </c>
      <c r="H11790" s="27" t="s">
        <v>2679</v>
      </c>
      <c r="J11790" s="27" t="s">
        <v>3210</v>
      </c>
      <c r="L11790" s="27" t="s">
        <v>3262</v>
      </c>
      <c r="N11790" s="27" t="s">
        <v>3284</v>
      </c>
      <c r="P11790" s="27" t="s">
        <v>3285</v>
      </c>
      <c r="Q11790" s="26" t="str">
        <f>HYPERLINK("https://ictv.global/taxonomy/taxondetails?taxnode_id=202511066&amp;ictv_id=ICTV202011066","ICTV202011066")</f>
        <v>ICTV202011066</v>
      </c>
      <c r="R11790" t="s">
        <v>581</v>
      </c>
      <c r="S11790" t="s">
        <v>823</v>
      </c>
      <c r="T11790">
        <v>36</v>
      </c>
      <c r="U11790" s="26" t="str">
        <f>HYPERLINK("https://ictv.global/ictv/proposals/2020.095B.R.Leviviricetes.zip","2020.095B.R.Leviviricetes.zip")</f>
        <v>2020.095B.R.Leviviricetes.zip</v>
      </c>
    </row>
    <row r="11791" spans="1:21">
      <c r="A11791">
        <v>11790</v>
      </c>
      <c r="B11791" s="27" t="s">
        <v>1124</v>
      </c>
      <c r="D11791" s="27" t="s">
        <v>1859</v>
      </c>
      <c r="F11791" s="27" t="s">
        <v>1881</v>
      </c>
      <c r="H11791" s="27" t="s">
        <v>2679</v>
      </c>
      <c r="J11791" s="27" t="s">
        <v>3210</v>
      </c>
      <c r="L11791" s="27" t="s">
        <v>3262</v>
      </c>
      <c r="N11791" s="27" t="s">
        <v>15603</v>
      </c>
      <c r="P11791" s="27" t="s">
        <v>15604</v>
      </c>
      <c r="Q11791" s="26" t="str">
        <f>HYPERLINK("https://ictv.global/taxonomy/taxondetails?taxnode_id=202516949&amp;ictv_id=ICTV202316949","ICTV202316949")</f>
        <v>ICTV202316949</v>
      </c>
      <c r="R11791" t="s">
        <v>581</v>
      </c>
      <c r="S11791" t="s">
        <v>823</v>
      </c>
      <c r="T11791">
        <v>39</v>
      </c>
      <c r="U11791" s="26" t="str">
        <f t="shared" ref="U11791:U11802" si="437">HYPERLINK("https://ictv.global/ictv/proposals/2023.001B.Leviviricetes_reorg.zip","2023.001B.Leviviricetes_reorg.zip")</f>
        <v>2023.001B.Leviviricetes_reorg.zip</v>
      </c>
    </row>
    <row r="11792" spans="1:21">
      <c r="A11792">
        <v>11791</v>
      </c>
      <c r="B11792" s="27" t="s">
        <v>1124</v>
      </c>
      <c r="D11792" s="27" t="s">
        <v>1859</v>
      </c>
      <c r="F11792" s="27" t="s">
        <v>1881</v>
      </c>
      <c r="H11792" s="27" t="s">
        <v>2679</v>
      </c>
      <c r="J11792" s="27" t="s">
        <v>3210</v>
      </c>
      <c r="L11792" s="27" t="s">
        <v>3262</v>
      </c>
      <c r="N11792" s="27" t="s">
        <v>15603</v>
      </c>
      <c r="P11792" s="27" t="s">
        <v>15605</v>
      </c>
      <c r="Q11792" s="26" t="str">
        <f>HYPERLINK("https://ictv.global/taxonomy/taxondetails?taxnode_id=202516950&amp;ictv_id=ICTV202316950","ICTV202316950")</f>
        <v>ICTV202316950</v>
      </c>
      <c r="R11792" t="s">
        <v>581</v>
      </c>
      <c r="S11792" t="s">
        <v>823</v>
      </c>
      <c r="T11792">
        <v>39</v>
      </c>
      <c r="U11792" s="26" t="str">
        <f t="shared" si="437"/>
        <v>2023.001B.Leviviricetes_reorg.zip</v>
      </c>
    </row>
    <row r="11793" spans="1:21">
      <c r="A11793">
        <v>11792</v>
      </c>
      <c r="B11793" s="27" t="s">
        <v>1124</v>
      </c>
      <c r="D11793" s="27" t="s">
        <v>1859</v>
      </c>
      <c r="F11793" s="27" t="s">
        <v>1881</v>
      </c>
      <c r="H11793" s="27" t="s">
        <v>2679</v>
      </c>
      <c r="J11793" s="27" t="s">
        <v>3210</v>
      </c>
      <c r="L11793" s="27" t="s">
        <v>3262</v>
      </c>
      <c r="N11793" s="27" t="s">
        <v>15606</v>
      </c>
      <c r="P11793" s="27" t="s">
        <v>15607</v>
      </c>
      <c r="Q11793" s="26" t="str">
        <f>HYPERLINK("https://ictv.global/taxonomy/taxondetails?taxnode_id=202516951&amp;ictv_id=ICTV202316951","ICTV202316951")</f>
        <v>ICTV202316951</v>
      </c>
      <c r="R11793" t="s">
        <v>581</v>
      </c>
      <c r="S11793" t="s">
        <v>823</v>
      </c>
      <c r="T11793">
        <v>39</v>
      </c>
      <c r="U11793" s="26" t="str">
        <f t="shared" si="437"/>
        <v>2023.001B.Leviviricetes_reorg.zip</v>
      </c>
    </row>
    <row r="11794" spans="1:21">
      <c r="A11794">
        <v>11793</v>
      </c>
      <c r="B11794" s="27" t="s">
        <v>1124</v>
      </c>
      <c r="D11794" s="27" t="s">
        <v>1859</v>
      </c>
      <c r="F11794" s="27" t="s">
        <v>1881</v>
      </c>
      <c r="H11794" s="27" t="s">
        <v>2679</v>
      </c>
      <c r="J11794" s="27" t="s">
        <v>3210</v>
      </c>
      <c r="L11794" s="27" t="s">
        <v>3262</v>
      </c>
      <c r="N11794" s="27" t="s">
        <v>15608</v>
      </c>
      <c r="P11794" s="27" t="s">
        <v>15609</v>
      </c>
      <c r="Q11794" s="26" t="str">
        <f>HYPERLINK("https://ictv.global/taxonomy/taxondetails?taxnode_id=202516952&amp;ictv_id=ICTV202316952","ICTV202316952")</f>
        <v>ICTV202316952</v>
      </c>
      <c r="R11794" t="s">
        <v>581</v>
      </c>
      <c r="S11794" t="s">
        <v>823</v>
      </c>
      <c r="T11794">
        <v>39</v>
      </c>
      <c r="U11794" s="26" t="str">
        <f t="shared" si="437"/>
        <v>2023.001B.Leviviricetes_reorg.zip</v>
      </c>
    </row>
    <row r="11795" spans="1:21">
      <c r="A11795">
        <v>11794</v>
      </c>
      <c r="B11795" s="27" t="s">
        <v>1124</v>
      </c>
      <c r="D11795" s="27" t="s">
        <v>1859</v>
      </c>
      <c r="F11795" s="27" t="s">
        <v>1881</v>
      </c>
      <c r="H11795" s="27" t="s">
        <v>2679</v>
      </c>
      <c r="J11795" s="27" t="s">
        <v>3210</v>
      </c>
      <c r="L11795" s="27" t="s">
        <v>3262</v>
      </c>
      <c r="N11795" s="27" t="s">
        <v>15608</v>
      </c>
      <c r="P11795" s="27" t="s">
        <v>15610</v>
      </c>
      <c r="Q11795" s="26" t="str">
        <f>HYPERLINK("https://ictv.global/taxonomy/taxondetails?taxnode_id=202516953&amp;ictv_id=ICTV202316953","ICTV202316953")</f>
        <v>ICTV202316953</v>
      </c>
      <c r="R11795" t="s">
        <v>581</v>
      </c>
      <c r="S11795" t="s">
        <v>823</v>
      </c>
      <c r="T11795">
        <v>39</v>
      </c>
      <c r="U11795" s="26" t="str">
        <f t="shared" si="437"/>
        <v>2023.001B.Leviviricetes_reorg.zip</v>
      </c>
    </row>
    <row r="11796" spans="1:21">
      <c r="A11796">
        <v>11795</v>
      </c>
      <c r="B11796" s="27" t="s">
        <v>1124</v>
      </c>
      <c r="D11796" s="27" t="s">
        <v>1859</v>
      </c>
      <c r="F11796" s="27" t="s">
        <v>1881</v>
      </c>
      <c r="H11796" s="27" t="s">
        <v>2679</v>
      </c>
      <c r="J11796" s="27" t="s">
        <v>3210</v>
      </c>
      <c r="L11796" s="27" t="s">
        <v>3262</v>
      </c>
      <c r="N11796" s="27" t="s">
        <v>15608</v>
      </c>
      <c r="P11796" s="27" t="s">
        <v>15611</v>
      </c>
      <c r="Q11796" s="26" t="str">
        <f>HYPERLINK("https://ictv.global/taxonomy/taxondetails?taxnode_id=202516954&amp;ictv_id=ICTV202316954","ICTV202316954")</f>
        <v>ICTV202316954</v>
      </c>
      <c r="R11796" t="s">
        <v>581</v>
      </c>
      <c r="S11796" t="s">
        <v>823</v>
      </c>
      <c r="T11796">
        <v>39</v>
      </c>
      <c r="U11796" s="26" t="str">
        <f t="shared" si="437"/>
        <v>2023.001B.Leviviricetes_reorg.zip</v>
      </c>
    </row>
    <row r="11797" spans="1:21">
      <c r="A11797">
        <v>11796</v>
      </c>
      <c r="B11797" s="27" t="s">
        <v>1124</v>
      </c>
      <c r="D11797" s="27" t="s">
        <v>1859</v>
      </c>
      <c r="F11797" s="27" t="s">
        <v>1881</v>
      </c>
      <c r="H11797" s="27" t="s">
        <v>2679</v>
      </c>
      <c r="J11797" s="27" t="s">
        <v>3210</v>
      </c>
      <c r="L11797" s="27" t="s">
        <v>3262</v>
      </c>
      <c r="N11797" s="27" t="s">
        <v>15612</v>
      </c>
      <c r="P11797" s="27" t="s">
        <v>15613</v>
      </c>
      <c r="Q11797" s="26" t="str">
        <f>HYPERLINK("https://ictv.global/taxonomy/taxondetails?taxnode_id=202516955&amp;ictv_id=ICTV202316955","ICTV202316955")</f>
        <v>ICTV202316955</v>
      </c>
      <c r="R11797" t="s">
        <v>581</v>
      </c>
      <c r="S11797" t="s">
        <v>823</v>
      </c>
      <c r="T11797">
        <v>39</v>
      </c>
      <c r="U11797" s="26" t="str">
        <f t="shared" si="437"/>
        <v>2023.001B.Leviviricetes_reorg.zip</v>
      </c>
    </row>
    <row r="11798" spans="1:21">
      <c r="A11798">
        <v>11797</v>
      </c>
      <c r="B11798" s="27" t="s">
        <v>1124</v>
      </c>
      <c r="D11798" s="27" t="s">
        <v>1859</v>
      </c>
      <c r="F11798" s="27" t="s">
        <v>1881</v>
      </c>
      <c r="H11798" s="27" t="s">
        <v>2679</v>
      </c>
      <c r="J11798" s="27" t="s">
        <v>3210</v>
      </c>
      <c r="L11798" s="27" t="s">
        <v>3262</v>
      </c>
      <c r="N11798" s="27" t="s">
        <v>15612</v>
      </c>
      <c r="P11798" s="27" t="s">
        <v>15614</v>
      </c>
      <c r="Q11798" s="26" t="str">
        <f>HYPERLINK("https://ictv.global/taxonomy/taxondetails?taxnode_id=202516956&amp;ictv_id=ICTV202316956","ICTV202316956")</f>
        <v>ICTV202316956</v>
      </c>
      <c r="R11798" t="s">
        <v>581</v>
      </c>
      <c r="S11798" t="s">
        <v>823</v>
      </c>
      <c r="T11798">
        <v>39</v>
      </c>
      <c r="U11798" s="26" t="str">
        <f t="shared" si="437"/>
        <v>2023.001B.Leviviricetes_reorg.zip</v>
      </c>
    </row>
    <row r="11799" spans="1:21">
      <c r="A11799">
        <v>11798</v>
      </c>
      <c r="B11799" s="27" t="s">
        <v>1124</v>
      </c>
      <c r="D11799" s="27" t="s">
        <v>1859</v>
      </c>
      <c r="F11799" s="27" t="s">
        <v>1881</v>
      </c>
      <c r="H11799" s="27" t="s">
        <v>2679</v>
      </c>
      <c r="J11799" s="27" t="s">
        <v>3210</v>
      </c>
      <c r="L11799" s="27" t="s">
        <v>3262</v>
      </c>
      <c r="N11799" s="27" t="s">
        <v>15615</v>
      </c>
      <c r="P11799" s="27" t="s">
        <v>15616</v>
      </c>
      <c r="Q11799" s="26" t="str">
        <f>HYPERLINK("https://ictv.global/taxonomy/taxondetails?taxnode_id=202516957&amp;ictv_id=ICTV202316957","ICTV202316957")</f>
        <v>ICTV202316957</v>
      </c>
      <c r="R11799" t="s">
        <v>581</v>
      </c>
      <c r="S11799" t="s">
        <v>823</v>
      </c>
      <c r="T11799">
        <v>39</v>
      </c>
      <c r="U11799" s="26" t="str">
        <f t="shared" si="437"/>
        <v>2023.001B.Leviviricetes_reorg.zip</v>
      </c>
    </row>
    <row r="11800" spans="1:21">
      <c r="A11800">
        <v>11799</v>
      </c>
      <c r="B11800" s="27" t="s">
        <v>1124</v>
      </c>
      <c r="D11800" s="27" t="s">
        <v>1859</v>
      </c>
      <c r="F11800" s="27" t="s">
        <v>1881</v>
      </c>
      <c r="H11800" s="27" t="s">
        <v>2679</v>
      </c>
      <c r="J11800" s="27" t="s">
        <v>3210</v>
      </c>
      <c r="L11800" s="27" t="s">
        <v>3262</v>
      </c>
      <c r="N11800" s="27" t="s">
        <v>15617</v>
      </c>
      <c r="P11800" s="27" t="s">
        <v>15618</v>
      </c>
      <c r="Q11800" s="26" t="str">
        <f>HYPERLINK("https://ictv.global/taxonomy/taxondetails?taxnode_id=202516958&amp;ictv_id=ICTV202316958","ICTV202316958")</f>
        <v>ICTV202316958</v>
      </c>
      <c r="R11800" t="s">
        <v>581</v>
      </c>
      <c r="S11800" t="s">
        <v>823</v>
      </c>
      <c r="T11800">
        <v>39</v>
      </c>
      <c r="U11800" s="26" t="str">
        <f t="shared" si="437"/>
        <v>2023.001B.Leviviricetes_reorg.zip</v>
      </c>
    </row>
    <row r="11801" spans="1:21">
      <c r="A11801">
        <v>11800</v>
      </c>
      <c r="B11801" s="27" t="s">
        <v>1124</v>
      </c>
      <c r="D11801" s="27" t="s">
        <v>1859</v>
      </c>
      <c r="F11801" s="27" t="s">
        <v>1881</v>
      </c>
      <c r="H11801" s="27" t="s">
        <v>2679</v>
      </c>
      <c r="J11801" s="27" t="s">
        <v>3210</v>
      </c>
      <c r="L11801" s="27" t="s">
        <v>3262</v>
      </c>
      <c r="N11801" s="27" t="s">
        <v>15619</v>
      </c>
      <c r="P11801" s="27" t="s">
        <v>15620</v>
      </c>
      <c r="Q11801" s="26" t="str">
        <f>HYPERLINK("https://ictv.global/taxonomy/taxondetails?taxnode_id=202511094&amp;ictv_id=ICTV202011094","ICTV202011094")</f>
        <v>ICTV202011094</v>
      </c>
      <c r="R11801" t="s">
        <v>581</v>
      </c>
      <c r="S11801" t="s">
        <v>22764</v>
      </c>
      <c r="T11801">
        <v>39</v>
      </c>
      <c r="U11801" s="26" t="str">
        <f t="shared" si="437"/>
        <v>2023.001B.Leviviricetes_reorg.zip</v>
      </c>
    </row>
    <row r="11802" spans="1:21">
      <c r="A11802">
        <v>11801</v>
      </c>
      <c r="B11802" s="27" t="s">
        <v>1124</v>
      </c>
      <c r="D11802" s="27" t="s">
        <v>1859</v>
      </c>
      <c r="F11802" s="27" t="s">
        <v>1881</v>
      </c>
      <c r="H11802" s="27" t="s">
        <v>2679</v>
      </c>
      <c r="J11802" s="27" t="s">
        <v>3210</v>
      </c>
      <c r="L11802" s="27" t="s">
        <v>3262</v>
      </c>
      <c r="N11802" s="27" t="s">
        <v>15621</v>
      </c>
      <c r="P11802" s="27" t="s">
        <v>15622</v>
      </c>
      <c r="Q11802" s="26" t="str">
        <f>HYPERLINK("https://ictv.global/taxonomy/taxondetails?taxnode_id=202516959&amp;ictv_id=ICTV202316959","ICTV202316959")</f>
        <v>ICTV202316959</v>
      </c>
      <c r="R11802" t="s">
        <v>581</v>
      </c>
      <c r="S11802" t="s">
        <v>823</v>
      </c>
      <c r="T11802">
        <v>39</v>
      </c>
      <c r="U11802" s="26" t="str">
        <f t="shared" si="437"/>
        <v>2023.001B.Leviviricetes_reorg.zip</v>
      </c>
    </row>
    <row r="11803" spans="1:21">
      <c r="A11803">
        <v>11802</v>
      </c>
      <c r="B11803" s="27" t="s">
        <v>1124</v>
      </c>
      <c r="D11803" s="27" t="s">
        <v>1859</v>
      </c>
      <c r="F11803" s="27" t="s">
        <v>1881</v>
      </c>
      <c r="H11803" s="27" t="s">
        <v>2679</v>
      </c>
      <c r="J11803" s="27" t="s">
        <v>3210</v>
      </c>
      <c r="L11803" s="27" t="s">
        <v>3262</v>
      </c>
      <c r="N11803" s="27" t="s">
        <v>3286</v>
      </c>
      <c r="P11803" s="27" t="s">
        <v>3287</v>
      </c>
      <c r="Q11803" s="26" t="str">
        <f>HYPERLINK("https://ictv.global/taxonomy/taxondetails?taxnode_id=202511068&amp;ictv_id=ICTV202011068","ICTV202011068")</f>
        <v>ICTV202011068</v>
      </c>
      <c r="R11803" t="s">
        <v>581</v>
      </c>
      <c r="S11803" t="s">
        <v>823</v>
      </c>
      <c r="T11803">
        <v>36</v>
      </c>
      <c r="U11803" s="26" t="str">
        <f>HYPERLINK("https://ictv.global/ictv/proposals/2020.095B.R.Leviviricetes.zip","2020.095B.R.Leviviricetes.zip")</f>
        <v>2020.095B.R.Leviviricetes.zip</v>
      </c>
    </row>
    <row r="11804" spans="1:21">
      <c r="A11804">
        <v>11803</v>
      </c>
      <c r="B11804" s="27" t="s">
        <v>1124</v>
      </c>
      <c r="D11804" s="27" t="s">
        <v>1859</v>
      </c>
      <c r="F11804" s="27" t="s">
        <v>1881</v>
      </c>
      <c r="H11804" s="27" t="s">
        <v>2679</v>
      </c>
      <c r="J11804" s="27" t="s">
        <v>3210</v>
      </c>
      <c r="L11804" s="27" t="s">
        <v>3262</v>
      </c>
      <c r="N11804" s="27" t="s">
        <v>15623</v>
      </c>
      <c r="P11804" s="27" t="s">
        <v>15624</v>
      </c>
      <c r="Q11804" s="26" t="str">
        <f>HYPERLINK("https://ictv.global/taxonomy/taxondetails?taxnode_id=202516960&amp;ictv_id=ICTV202316960","ICTV202316960")</f>
        <v>ICTV202316960</v>
      </c>
      <c r="R11804" t="s">
        <v>581</v>
      </c>
      <c r="S11804" t="s">
        <v>823</v>
      </c>
      <c r="T11804">
        <v>39</v>
      </c>
      <c r="U11804" s="26" t="str">
        <f t="shared" ref="U11804:U11816" si="438">HYPERLINK("https://ictv.global/ictv/proposals/2023.001B.Leviviricetes_reorg.zip","2023.001B.Leviviricetes_reorg.zip")</f>
        <v>2023.001B.Leviviricetes_reorg.zip</v>
      </c>
    </row>
    <row r="11805" spans="1:21">
      <c r="A11805">
        <v>11804</v>
      </c>
      <c r="B11805" s="27" t="s">
        <v>1124</v>
      </c>
      <c r="D11805" s="27" t="s">
        <v>1859</v>
      </c>
      <c r="F11805" s="27" t="s">
        <v>1881</v>
      </c>
      <c r="H11805" s="27" t="s">
        <v>2679</v>
      </c>
      <c r="J11805" s="27" t="s">
        <v>3210</v>
      </c>
      <c r="L11805" s="27" t="s">
        <v>3262</v>
      </c>
      <c r="N11805" s="27" t="s">
        <v>15623</v>
      </c>
      <c r="P11805" s="27" t="s">
        <v>15625</v>
      </c>
      <c r="Q11805" s="26" t="str">
        <f>HYPERLINK("https://ictv.global/taxonomy/taxondetails?taxnode_id=202516961&amp;ictv_id=ICTV202316961","ICTV202316961")</f>
        <v>ICTV202316961</v>
      </c>
      <c r="R11805" t="s">
        <v>581</v>
      </c>
      <c r="S11805" t="s">
        <v>823</v>
      </c>
      <c r="T11805">
        <v>39</v>
      </c>
      <c r="U11805" s="26" t="str">
        <f t="shared" si="438"/>
        <v>2023.001B.Leviviricetes_reorg.zip</v>
      </c>
    </row>
    <row r="11806" spans="1:21">
      <c r="A11806">
        <v>11805</v>
      </c>
      <c r="B11806" s="27" t="s">
        <v>1124</v>
      </c>
      <c r="D11806" s="27" t="s">
        <v>1859</v>
      </c>
      <c r="F11806" s="27" t="s">
        <v>1881</v>
      </c>
      <c r="H11806" s="27" t="s">
        <v>2679</v>
      </c>
      <c r="J11806" s="27" t="s">
        <v>3210</v>
      </c>
      <c r="L11806" s="27" t="s">
        <v>3262</v>
      </c>
      <c r="N11806" s="27" t="s">
        <v>15623</v>
      </c>
      <c r="P11806" s="27" t="s">
        <v>15626</v>
      </c>
      <c r="Q11806" s="26" t="str">
        <f>HYPERLINK("https://ictv.global/taxonomy/taxondetails?taxnode_id=202516962&amp;ictv_id=ICTV202316962","ICTV202316962")</f>
        <v>ICTV202316962</v>
      </c>
      <c r="R11806" t="s">
        <v>581</v>
      </c>
      <c r="S11806" t="s">
        <v>823</v>
      </c>
      <c r="T11806">
        <v>39</v>
      </c>
      <c r="U11806" s="26" t="str">
        <f t="shared" si="438"/>
        <v>2023.001B.Leviviricetes_reorg.zip</v>
      </c>
    </row>
    <row r="11807" spans="1:21">
      <c r="A11807">
        <v>11806</v>
      </c>
      <c r="B11807" s="27" t="s">
        <v>1124</v>
      </c>
      <c r="D11807" s="27" t="s">
        <v>1859</v>
      </c>
      <c r="F11807" s="27" t="s">
        <v>1881</v>
      </c>
      <c r="H11807" s="27" t="s">
        <v>2679</v>
      </c>
      <c r="J11807" s="27" t="s">
        <v>3210</v>
      </c>
      <c r="L11807" s="27" t="s">
        <v>3262</v>
      </c>
      <c r="N11807" s="27" t="s">
        <v>15623</v>
      </c>
      <c r="P11807" s="27" t="s">
        <v>15627</v>
      </c>
      <c r="Q11807" s="26" t="str">
        <f>HYPERLINK("https://ictv.global/taxonomy/taxondetails?taxnode_id=202516963&amp;ictv_id=ICTV202316963","ICTV202316963")</f>
        <v>ICTV202316963</v>
      </c>
      <c r="R11807" t="s">
        <v>581</v>
      </c>
      <c r="S11807" t="s">
        <v>823</v>
      </c>
      <c r="T11807">
        <v>39</v>
      </c>
      <c r="U11807" s="26" t="str">
        <f t="shared" si="438"/>
        <v>2023.001B.Leviviricetes_reorg.zip</v>
      </c>
    </row>
    <row r="11808" spans="1:21">
      <c r="A11808">
        <v>11807</v>
      </c>
      <c r="B11808" s="27" t="s">
        <v>1124</v>
      </c>
      <c r="D11808" s="27" t="s">
        <v>1859</v>
      </c>
      <c r="F11808" s="27" t="s">
        <v>1881</v>
      </c>
      <c r="H11808" s="27" t="s">
        <v>2679</v>
      </c>
      <c r="J11808" s="27" t="s">
        <v>3210</v>
      </c>
      <c r="L11808" s="27" t="s">
        <v>3262</v>
      </c>
      <c r="N11808" s="27" t="s">
        <v>15623</v>
      </c>
      <c r="P11808" s="27" t="s">
        <v>15628</v>
      </c>
      <c r="Q11808" s="26" t="str">
        <f>HYPERLINK("https://ictv.global/taxonomy/taxondetails?taxnode_id=202516964&amp;ictv_id=ICTV202316964","ICTV202316964")</f>
        <v>ICTV202316964</v>
      </c>
      <c r="R11808" t="s">
        <v>581</v>
      </c>
      <c r="S11808" t="s">
        <v>823</v>
      </c>
      <c r="T11808">
        <v>39</v>
      </c>
      <c r="U11808" s="26" t="str">
        <f t="shared" si="438"/>
        <v>2023.001B.Leviviricetes_reorg.zip</v>
      </c>
    </row>
    <row r="11809" spans="1:21">
      <c r="A11809">
        <v>11808</v>
      </c>
      <c r="B11809" s="27" t="s">
        <v>1124</v>
      </c>
      <c r="D11809" s="27" t="s">
        <v>1859</v>
      </c>
      <c r="F11809" s="27" t="s">
        <v>1881</v>
      </c>
      <c r="H11809" s="27" t="s">
        <v>2679</v>
      </c>
      <c r="J11809" s="27" t="s">
        <v>3210</v>
      </c>
      <c r="L11809" s="27" t="s">
        <v>3262</v>
      </c>
      <c r="N11809" s="27" t="s">
        <v>15623</v>
      </c>
      <c r="P11809" s="27" t="s">
        <v>15629</v>
      </c>
      <c r="Q11809" s="26" t="str">
        <f>HYPERLINK("https://ictv.global/taxonomy/taxondetails?taxnode_id=202516965&amp;ictv_id=ICTV202316965","ICTV202316965")</f>
        <v>ICTV202316965</v>
      </c>
      <c r="R11809" t="s">
        <v>581</v>
      </c>
      <c r="S11809" t="s">
        <v>823</v>
      </c>
      <c r="T11809">
        <v>39</v>
      </c>
      <c r="U11809" s="26" t="str">
        <f t="shared" si="438"/>
        <v>2023.001B.Leviviricetes_reorg.zip</v>
      </c>
    </row>
    <row r="11810" spans="1:21">
      <c r="A11810">
        <v>11809</v>
      </c>
      <c r="B11810" s="27" t="s">
        <v>1124</v>
      </c>
      <c r="D11810" s="27" t="s">
        <v>1859</v>
      </c>
      <c r="F11810" s="27" t="s">
        <v>1881</v>
      </c>
      <c r="H11810" s="27" t="s">
        <v>2679</v>
      </c>
      <c r="J11810" s="27" t="s">
        <v>3210</v>
      </c>
      <c r="L11810" s="27" t="s">
        <v>3262</v>
      </c>
      <c r="N11810" s="27" t="s">
        <v>15623</v>
      </c>
      <c r="P11810" s="27" t="s">
        <v>15630</v>
      </c>
      <c r="Q11810" s="26" t="str">
        <f>HYPERLINK("https://ictv.global/taxonomy/taxondetails?taxnode_id=202516966&amp;ictv_id=ICTV202316966","ICTV202316966")</f>
        <v>ICTV202316966</v>
      </c>
      <c r="R11810" t="s">
        <v>581</v>
      </c>
      <c r="S11810" t="s">
        <v>823</v>
      </c>
      <c r="T11810">
        <v>39</v>
      </c>
      <c r="U11810" s="26" t="str">
        <f t="shared" si="438"/>
        <v>2023.001B.Leviviricetes_reorg.zip</v>
      </c>
    </row>
    <row r="11811" spans="1:21">
      <c r="A11811">
        <v>11810</v>
      </c>
      <c r="B11811" s="27" t="s">
        <v>1124</v>
      </c>
      <c r="D11811" s="27" t="s">
        <v>1859</v>
      </c>
      <c r="F11811" s="27" t="s">
        <v>1881</v>
      </c>
      <c r="H11811" s="27" t="s">
        <v>2679</v>
      </c>
      <c r="J11811" s="27" t="s">
        <v>3210</v>
      </c>
      <c r="L11811" s="27" t="s">
        <v>3262</v>
      </c>
      <c r="N11811" s="27" t="s">
        <v>15631</v>
      </c>
      <c r="P11811" s="27" t="s">
        <v>15632</v>
      </c>
      <c r="Q11811" s="26" t="str">
        <f>HYPERLINK("https://ictv.global/taxonomy/taxondetails?taxnode_id=202516967&amp;ictv_id=ICTV202316967","ICTV202316967")</f>
        <v>ICTV202316967</v>
      </c>
      <c r="R11811" t="s">
        <v>581</v>
      </c>
      <c r="S11811" t="s">
        <v>823</v>
      </c>
      <c r="T11811">
        <v>39</v>
      </c>
      <c r="U11811" s="26" t="str">
        <f t="shared" si="438"/>
        <v>2023.001B.Leviviricetes_reorg.zip</v>
      </c>
    </row>
    <row r="11812" spans="1:21">
      <c r="A11812">
        <v>11811</v>
      </c>
      <c r="B11812" s="27" t="s">
        <v>1124</v>
      </c>
      <c r="D11812" s="27" t="s">
        <v>1859</v>
      </c>
      <c r="F11812" s="27" t="s">
        <v>1881</v>
      </c>
      <c r="H11812" s="27" t="s">
        <v>2679</v>
      </c>
      <c r="J11812" s="27" t="s">
        <v>3210</v>
      </c>
      <c r="L11812" s="27" t="s">
        <v>3262</v>
      </c>
      <c r="N11812" s="27" t="s">
        <v>15633</v>
      </c>
      <c r="P11812" s="27" t="s">
        <v>15634</v>
      </c>
      <c r="Q11812" s="26" t="str">
        <f>HYPERLINK("https://ictv.global/taxonomy/taxondetails?taxnode_id=202516968&amp;ictv_id=ICTV202316968","ICTV202316968")</f>
        <v>ICTV202316968</v>
      </c>
      <c r="R11812" t="s">
        <v>581</v>
      </c>
      <c r="S11812" t="s">
        <v>823</v>
      </c>
      <c r="T11812">
        <v>39</v>
      </c>
      <c r="U11812" s="26" t="str">
        <f t="shared" si="438"/>
        <v>2023.001B.Leviviricetes_reorg.zip</v>
      </c>
    </row>
    <row r="11813" spans="1:21">
      <c r="A11813">
        <v>11812</v>
      </c>
      <c r="B11813" s="27" t="s">
        <v>1124</v>
      </c>
      <c r="D11813" s="27" t="s">
        <v>1859</v>
      </c>
      <c r="F11813" s="27" t="s">
        <v>1881</v>
      </c>
      <c r="H11813" s="27" t="s">
        <v>2679</v>
      </c>
      <c r="J11813" s="27" t="s">
        <v>3210</v>
      </c>
      <c r="L11813" s="27" t="s">
        <v>3262</v>
      </c>
      <c r="N11813" s="27" t="s">
        <v>15633</v>
      </c>
      <c r="P11813" s="27" t="s">
        <v>15635</v>
      </c>
      <c r="Q11813" s="26" t="str">
        <f>HYPERLINK("https://ictv.global/taxonomy/taxondetails?taxnode_id=202516969&amp;ictv_id=ICTV202316969","ICTV202316969")</f>
        <v>ICTV202316969</v>
      </c>
      <c r="R11813" t="s">
        <v>581</v>
      </c>
      <c r="S11813" t="s">
        <v>823</v>
      </c>
      <c r="T11813">
        <v>39</v>
      </c>
      <c r="U11813" s="26" t="str">
        <f t="shared" si="438"/>
        <v>2023.001B.Leviviricetes_reorg.zip</v>
      </c>
    </row>
    <row r="11814" spans="1:21">
      <c r="A11814">
        <v>11813</v>
      </c>
      <c r="B11814" s="27" t="s">
        <v>1124</v>
      </c>
      <c r="D11814" s="27" t="s">
        <v>1859</v>
      </c>
      <c r="F11814" s="27" t="s">
        <v>1881</v>
      </c>
      <c r="H11814" s="27" t="s">
        <v>2679</v>
      </c>
      <c r="J11814" s="27" t="s">
        <v>3210</v>
      </c>
      <c r="L11814" s="27" t="s">
        <v>3262</v>
      </c>
      <c r="N11814" s="27" t="s">
        <v>15633</v>
      </c>
      <c r="P11814" s="27" t="s">
        <v>15636</v>
      </c>
      <c r="Q11814" s="26" t="str">
        <f>HYPERLINK("https://ictv.global/taxonomy/taxondetails?taxnode_id=202516970&amp;ictv_id=ICTV202316970","ICTV202316970")</f>
        <v>ICTV202316970</v>
      </c>
      <c r="R11814" t="s">
        <v>581</v>
      </c>
      <c r="S11814" t="s">
        <v>823</v>
      </c>
      <c r="T11814">
        <v>39</v>
      </c>
      <c r="U11814" s="26" t="str">
        <f t="shared" si="438"/>
        <v>2023.001B.Leviviricetes_reorg.zip</v>
      </c>
    </row>
    <row r="11815" spans="1:21">
      <c r="A11815">
        <v>11814</v>
      </c>
      <c r="B11815" s="27" t="s">
        <v>1124</v>
      </c>
      <c r="D11815" s="27" t="s">
        <v>1859</v>
      </c>
      <c r="F11815" s="27" t="s">
        <v>1881</v>
      </c>
      <c r="H11815" s="27" t="s">
        <v>2679</v>
      </c>
      <c r="J11815" s="27" t="s">
        <v>3210</v>
      </c>
      <c r="L11815" s="27" t="s">
        <v>3262</v>
      </c>
      <c r="N11815" s="27" t="s">
        <v>15633</v>
      </c>
      <c r="P11815" s="27" t="s">
        <v>15637</v>
      </c>
      <c r="Q11815" s="26" t="str">
        <f>HYPERLINK("https://ictv.global/taxonomy/taxondetails?taxnode_id=202516971&amp;ictv_id=ICTV202316971","ICTV202316971")</f>
        <v>ICTV202316971</v>
      </c>
      <c r="R11815" t="s">
        <v>581</v>
      </c>
      <c r="S11815" t="s">
        <v>823</v>
      </c>
      <c r="T11815">
        <v>39</v>
      </c>
      <c r="U11815" s="26" t="str">
        <f t="shared" si="438"/>
        <v>2023.001B.Leviviricetes_reorg.zip</v>
      </c>
    </row>
    <row r="11816" spans="1:21">
      <c r="A11816">
        <v>11815</v>
      </c>
      <c r="B11816" s="27" t="s">
        <v>1124</v>
      </c>
      <c r="D11816" s="27" t="s">
        <v>1859</v>
      </c>
      <c r="F11816" s="27" t="s">
        <v>1881</v>
      </c>
      <c r="H11816" s="27" t="s">
        <v>2679</v>
      </c>
      <c r="J11816" s="27" t="s">
        <v>3210</v>
      </c>
      <c r="L11816" s="27" t="s">
        <v>3262</v>
      </c>
      <c r="N11816" s="27" t="s">
        <v>15638</v>
      </c>
      <c r="P11816" s="27" t="s">
        <v>15639</v>
      </c>
      <c r="Q11816" s="26" t="str">
        <f>HYPERLINK("https://ictv.global/taxonomy/taxondetails?taxnode_id=202516972&amp;ictv_id=ICTV202316972","ICTV202316972")</f>
        <v>ICTV202316972</v>
      </c>
      <c r="R11816" t="s">
        <v>581</v>
      </c>
      <c r="S11816" t="s">
        <v>823</v>
      </c>
      <c r="T11816">
        <v>39</v>
      </c>
      <c r="U11816" s="26" t="str">
        <f t="shared" si="438"/>
        <v>2023.001B.Leviviricetes_reorg.zip</v>
      </c>
    </row>
    <row r="11817" spans="1:21">
      <c r="A11817">
        <v>11816</v>
      </c>
      <c r="B11817" s="27" t="s">
        <v>1124</v>
      </c>
      <c r="D11817" s="27" t="s">
        <v>1859</v>
      </c>
      <c r="F11817" s="27" t="s">
        <v>1881</v>
      </c>
      <c r="H11817" s="27" t="s">
        <v>2679</v>
      </c>
      <c r="J11817" s="27" t="s">
        <v>3210</v>
      </c>
      <c r="L11817" s="27" t="s">
        <v>3262</v>
      </c>
      <c r="N11817" s="27" t="s">
        <v>3288</v>
      </c>
      <c r="P11817" s="27" t="s">
        <v>3289</v>
      </c>
      <c r="Q11817" s="26" t="str">
        <f>HYPERLINK("https://ictv.global/taxonomy/taxondetails?taxnode_id=202511075&amp;ictv_id=ICTV202011075","ICTV202011075")</f>
        <v>ICTV202011075</v>
      </c>
      <c r="R11817" t="s">
        <v>581</v>
      </c>
      <c r="S11817" t="s">
        <v>823</v>
      </c>
      <c r="T11817">
        <v>36</v>
      </c>
      <c r="U11817" s="26" t="str">
        <f>HYPERLINK("https://ictv.global/ictv/proposals/2020.095B.R.Leviviricetes.zip","2020.095B.R.Leviviricetes.zip")</f>
        <v>2020.095B.R.Leviviricetes.zip</v>
      </c>
    </row>
    <row r="11818" spans="1:21">
      <c r="A11818">
        <v>11817</v>
      </c>
      <c r="B11818" s="27" t="s">
        <v>1124</v>
      </c>
      <c r="D11818" s="27" t="s">
        <v>1859</v>
      </c>
      <c r="F11818" s="27" t="s">
        <v>1881</v>
      </c>
      <c r="H11818" s="27" t="s">
        <v>2679</v>
      </c>
      <c r="J11818" s="27" t="s">
        <v>3210</v>
      </c>
      <c r="L11818" s="27" t="s">
        <v>3262</v>
      </c>
      <c r="N11818" s="27" t="s">
        <v>3288</v>
      </c>
      <c r="P11818" s="27" t="s">
        <v>3290</v>
      </c>
      <c r="Q11818" s="26" t="str">
        <f>HYPERLINK("https://ictv.global/taxonomy/taxondetails?taxnode_id=202511074&amp;ictv_id=ICTV202011074","ICTV202011074")</f>
        <v>ICTV202011074</v>
      </c>
      <c r="R11818" t="s">
        <v>581</v>
      </c>
      <c r="S11818" t="s">
        <v>823</v>
      </c>
      <c r="T11818">
        <v>36</v>
      </c>
      <c r="U11818" s="26" t="str">
        <f>HYPERLINK("https://ictv.global/ictv/proposals/2020.095B.R.Leviviricetes.zip","2020.095B.R.Leviviricetes.zip")</f>
        <v>2020.095B.R.Leviviricetes.zip</v>
      </c>
    </row>
    <row r="11819" spans="1:21">
      <c r="A11819">
        <v>11818</v>
      </c>
      <c r="B11819" s="27" t="s">
        <v>1124</v>
      </c>
      <c r="D11819" s="27" t="s">
        <v>1859</v>
      </c>
      <c r="F11819" s="27" t="s">
        <v>1881</v>
      </c>
      <c r="H11819" s="27" t="s">
        <v>2679</v>
      </c>
      <c r="J11819" s="27" t="s">
        <v>3210</v>
      </c>
      <c r="L11819" s="27" t="s">
        <v>3262</v>
      </c>
      <c r="N11819" s="27" t="s">
        <v>15640</v>
      </c>
      <c r="P11819" s="27" t="s">
        <v>15641</v>
      </c>
      <c r="Q11819" s="26" t="str">
        <f>HYPERLINK("https://ictv.global/taxonomy/taxondetails?taxnode_id=202516973&amp;ictv_id=ICTV202316973","ICTV202316973")</f>
        <v>ICTV202316973</v>
      </c>
      <c r="R11819" t="s">
        <v>581</v>
      </c>
      <c r="S11819" t="s">
        <v>823</v>
      </c>
      <c r="T11819">
        <v>39</v>
      </c>
      <c r="U11819" s="26" t="str">
        <f t="shared" ref="U11819:U11856" si="439">HYPERLINK("https://ictv.global/ictv/proposals/2023.001B.Leviviricetes_reorg.zip","2023.001B.Leviviricetes_reorg.zip")</f>
        <v>2023.001B.Leviviricetes_reorg.zip</v>
      </c>
    </row>
    <row r="11820" spans="1:21">
      <c r="A11820">
        <v>11819</v>
      </c>
      <c r="B11820" s="27" t="s">
        <v>1124</v>
      </c>
      <c r="D11820" s="27" t="s">
        <v>1859</v>
      </c>
      <c r="F11820" s="27" t="s">
        <v>1881</v>
      </c>
      <c r="H11820" s="27" t="s">
        <v>2679</v>
      </c>
      <c r="J11820" s="27" t="s">
        <v>3210</v>
      </c>
      <c r="L11820" s="27" t="s">
        <v>3262</v>
      </c>
      <c r="N11820" s="27" t="s">
        <v>15642</v>
      </c>
      <c r="P11820" s="27" t="s">
        <v>15643</v>
      </c>
      <c r="Q11820" s="26" t="str">
        <f>HYPERLINK("https://ictv.global/taxonomy/taxondetails?taxnode_id=202516974&amp;ictv_id=ICTV202316974","ICTV202316974")</f>
        <v>ICTV202316974</v>
      </c>
      <c r="R11820" t="s">
        <v>581</v>
      </c>
      <c r="S11820" t="s">
        <v>823</v>
      </c>
      <c r="T11820">
        <v>39</v>
      </c>
      <c r="U11820" s="26" t="str">
        <f t="shared" si="439"/>
        <v>2023.001B.Leviviricetes_reorg.zip</v>
      </c>
    </row>
    <row r="11821" spans="1:21">
      <c r="A11821">
        <v>11820</v>
      </c>
      <c r="B11821" s="27" t="s">
        <v>1124</v>
      </c>
      <c r="D11821" s="27" t="s">
        <v>1859</v>
      </c>
      <c r="F11821" s="27" t="s">
        <v>1881</v>
      </c>
      <c r="H11821" s="27" t="s">
        <v>2679</v>
      </c>
      <c r="J11821" s="27" t="s">
        <v>3210</v>
      </c>
      <c r="L11821" s="27" t="s">
        <v>3262</v>
      </c>
      <c r="N11821" s="27" t="s">
        <v>15642</v>
      </c>
      <c r="P11821" s="27" t="s">
        <v>15644</v>
      </c>
      <c r="Q11821" s="26" t="str">
        <f>HYPERLINK("https://ictv.global/taxonomy/taxondetails?taxnode_id=202516975&amp;ictv_id=ICTV202316975","ICTV202316975")</f>
        <v>ICTV202316975</v>
      </c>
      <c r="R11821" t="s">
        <v>581</v>
      </c>
      <c r="S11821" t="s">
        <v>823</v>
      </c>
      <c r="T11821">
        <v>39</v>
      </c>
      <c r="U11821" s="26" t="str">
        <f t="shared" si="439"/>
        <v>2023.001B.Leviviricetes_reorg.zip</v>
      </c>
    </row>
    <row r="11822" spans="1:21">
      <c r="A11822">
        <v>11821</v>
      </c>
      <c r="B11822" s="27" t="s">
        <v>1124</v>
      </c>
      <c r="D11822" s="27" t="s">
        <v>1859</v>
      </c>
      <c r="F11822" s="27" t="s">
        <v>1881</v>
      </c>
      <c r="H11822" s="27" t="s">
        <v>2679</v>
      </c>
      <c r="J11822" s="27" t="s">
        <v>3210</v>
      </c>
      <c r="L11822" s="27" t="s">
        <v>3262</v>
      </c>
      <c r="N11822" s="27" t="s">
        <v>15642</v>
      </c>
      <c r="P11822" s="27" t="s">
        <v>15645</v>
      </c>
      <c r="Q11822" s="26" t="str">
        <f>HYPERLINK("https://ictv.global/taxonomy/taxondetails?taxnode_id=202516976&amp;ictv_id=ICTV202316976","ICTV202316976")</f>
        <v>ICTV202316976</v>
      </c>
      <c r="R11822" t="s">
        <v>581</v>
      </c>
      <c r="S11822" t="s">
        <v>823</v>
      </c>
      <c r="T11822">
        <v>39</v>
      </c>
      <c r="U11822" s="26" t="str">
        <f t="shared" si="439"/>
        <v>2023.001B.Leviviricetes_reorg.zip</v>
      </c>
    </row>
    <row r="11823" spans="1:21">
      <c r="A11823">
        <v>11822</v>
      </c>
      <c r="B11823" s="27" t="s">
        <v>1124</v>
      </c>
      <c r="D11823" s="27" t="s">
        <v>1859</v>
      </c>
      <c r="F11823" s="27" t="s">
        <v>1881</v>
      </c>
      <c r="H11823" s="27" t="s">
        <v>2679</v>
      </c>
      <c r="J11823" s="27" t="s">
        <v>3210</v>
      </c>
      <c r="L11823" s="27" t="s">
        <v>3262</v>
      </c>
      <c r="N11823" s="27" t="s">
        <v>15642</v>
      </c>
      <c r="P11823" s="27" t="s">
        <v>15646</v>
      </c>
      <c r="Q11823" s="26" t="str">
        <f>HYPERLINK("https://ictv.global/taxonomy/taxondetails?taxnode_id=202516977&amp;ictv_id=ICTV202316977","ICTV202316977")</f>
        <v>ICTV202316977</v>
      </c>
      <c r="R11823" t="s">
        <v>581</v>
      </c>
      <c r="S11823" t="s">
        <v>823</v>
      </c>
      <c r="T11823">
        <v>39</v>
      </c>
      <c r="U11823" s="26" t="str">
        <f t="shared" si="439"/>
        <v>2023.001B.Leviviricetes_reorg.zip</v>
      </c>
    </row>
    <row r="11824" spans="1:21">
      <c r="A11824">
        <v>11823</v>
      </c>
      <c r="B11824" s="27" t="s">
        <v>1124</v>
      </c>
      <c r="D11824" s="27" t="s">
        <v>1859</v>
      </c>
      <c r="F11824" s="27" t="s">
        <v>1881</v>
      </c>
      <c r="H11824" s="27" t="s">
        <v>2679</v>
      </c>
      <c r="J11824" s="27" t="s">
        <v>3210</v>
      </c>
      <c r="L11824" s="27" t="s">
        <v>3262</v>
      </c>
      <c r="N11824" s="27" t="s">
        <v>15642</v>
      </c>
      <c r="P11824" s="27" t="s">
        <v>15647</v>
      </c>
      <c r="Q11824" s="26" t="str">
        <f>HYPERLINK("https://ictv.global/taxonomy/taxondetails?taxnode_id=202516978&amp;ictv_id=ICTV202316978","ICTV202316978")</f>
        <v>ICTV202316978</v>
      </c>
      <c r="R11824" t="s">
        <v>581</v>
      </c>
      <c r="S11824" t="s">
        <v>823</v>
      </c>
      <c r="T11824">
        <v>39</v>
      </c>
      <c r="U11824" s="26" t="str">
        <f t="shared" si="439"/>
        <v>2023.001B.Leviviricetes_reorg.zip</v>
      </c>
    </row>
    <row r="11825" spans="1:21">
      <c r="A11825">
        <v>11824</v>
      </c>
      <c r="B11825" s="27" t="s">
        <v>1124</v>
      </c>
      <c r="D11825" s="27" t="s">
        <v>1859</v>
      </c>
      <c r="F11825" s="27" t="s">
        <v>1881</v>
      </c>
      <c r="H11825" s="27" t="s">
        <v>2679</v>
      </c>
      <c r="J11825" s="27" t="s">
        <v>3210</v>
      </c>
      <c r="L11825" s="27" t="s">
        <v>3262</v>
      </c>
      <c r="N11825" s="27" t="s">
        <v>15642</v>
      </c>
      <c r="P11825" s="27" t="s">
        <v>15648</v>
      </c>
      <c r="Q11825" s="26" t="str">
        <f>HYPERLINK("https://ictv.global/taxonomy/taxondetails?taxnode_id=202516979&amp;ictv_id=ICTV202316979","ICTV202316979")</f>
        <v>ICTV202316979</v>
      </c>
      <c r="R11825" t="s">
        <v>581</v>
      </c>
      <c r="S11825" t="s">
        <v>823</v>
      </c>
      <c r="T11825">
        <v>39</v>
      </c>
      <c r="U11825" s="26" t="str">
        <f t="shared" si="439"/>
        <v>2023.001B.Leviviricetes_reorg.zip</v>
      </c>
    </row>
    <row r="11826" spans="1:21">
      <c r="A11826">
        <v>11825</v>
      </c>
      <c r="B11826" s="27" t="s">
        <v>1124</v>
      </c>
      <c r="D11826" s="27" t="s">
        <v>1859</v>
      </c>
      <c r="F11826" s="27" t="s">
        <v>1881</v>
      </c>
      <c r="H11826" s="27" t="s">
        <v>2679</v>
      </c>
      <c r="J11826" s="27" t="s">
        <v>3210</v>
      </c>
      <c r="L11826" s="27" t="s">
        <v>3262</v>
      </c>
      <c r="N11826" s="27" t="s">
        <v>15649</v>
      </c>
      <c r="P11826" s="27" t="s">
        <v>15650</v>
      </c>
      <c r="Q11826" s="26" t="str">
        <f>HYPERLINK("https://ictv.global/taxonomy/taxondetails?taxnode_id=202516980&amp;ictv_id=ICTV202316980","ICTV202316980")</f>
        <v>ICTV202316980</v>
      </c>
      <c r="R11826" t="s">
        <v>581</v>
      </c>
      <c r="S11826" t="s">
        <v>823</v>
      </c>
      <c r="T11826">
        <v>39</v>
      </c>
      <c r="U11826" s="26" t="str">
        <f t="shared" si="439"/>
        <v>2023.001B.Leviviricetes_reorg.zip</v>
      </c>
    </row>
    <row r="11827" spans="1:21">
      <c r="A11827">
        <v>11826</v>
      </c>
      <c r="B11827" s="27" t="s">
        <v>1124</v>
      </c>
      <c r="D11827" s="27" t="s">
        <v>1859</v>
      </c>
      <c r="F11827" s="27" t="s">
        <v>1881</v>
      </c>
      <c r="H11827" s="27" t="s">
        <v>2679</v>
      </c>
      <c r="J11827" s="27" t="s">
        <v>3210</v>
      </c>
      <c r="L11827" s="27" t="s">
        <v>3262</v>
      </c>
      <c r="N11827" s="27" t="s">
        <v>15651</v>
      </c>
      <c r="P11827" s="27" t="s">
        <v>15652</v>
      </c>
      <c r="Q11827" s="26" t="str">
        <f>HYPERLINK("https://ictv.global/taxonomy/taxondetails?taxnode_id=202511360&amp;ictv_id=ICTV202011360","ICTV202011360")</f>
        <v>ICTV202011360</v>
      </c>
      <c r="R11827" t="s">
        <v>581</v>
      </c>
      <c r="S11827" t="s">
        <v>22764</v>
      </c>
      <c r="T11827">
        <v>39</v>
      </c>
      <c r="U11827" s="26" t="str">
        <f t="shared" si="439"/>
        <v>2023.001B.Leviviricetes_reorg.zip</v>
      </c>
    </row>
    <row r="11828" spans="1:21">
      <c r="A11828">
        <v>11827</v>
      </c>
      <c r="B11828" s="27" t="s">
        <v>1124</v>
      </c>
      <c r="D11828" s="27" t="s">
        <v>1859</v>
      </c>
      <c r="F11828" s="27" t="s">
        <v>1881</v>
      </c>
      <c r="H11828" s="27" t="s">
        <v>2679</v>
      </c>
      <c r="J11828" s="27" t="s">
        <v>3210</v>
      </c>
      <c r="L11828" s="27" t="s">
        <v>3262</v>
      </c>
      <c r="N11828" s="27" t="s">
        <v>15653</v>
      </c>
      <c r="P11828" s="27" t="s">
        <v>15654</v>
      </c>
      <c r="Q11828" s="26" t="str">
        <f>HYPERLINK("https://ictv.global/taxonomy/taxondetails?taxnode_id=202516981&amp;ictv_id=ICTV202316981","ICTV202316981")</f>
        <v>ICTV202316981</v>
      </c>
      <c r="R11828" t="s">
        <v>581</v>
      </c>
      <c r="S11828" t="s">
        <v>823</v>
      </c>
      <c r="T11828">
        <v>39</v>
      </c>
      <c r="U11828" s="26" t="str">
        <f t="shared" si="439"/>
        <v>2023.001B.Leviviricetes_reorg.zip</v>
      </c>
    </row>
    <row r="11829" spans="1:21">
      <c r="A11829">
        <v>11828</v>
      </c>
      <c r="B11829" s="27" t="s">
        <v>1124</v>
      </c>
      <c r="D11829" s="27" t="s">
        <v>1859</v>
      </c>
      <c r="F11829" s="27" t="s">
        <v>1881</v>
      </c>
      <c r="H11829" s="27" t="s">
        <v>2679</v>
      </c>
      <c r="J11829" s="27" t="s">
        <v>3210</v>
      </c>
      <c r="L11829" s="27" t="s">
        <v>3262</v>
      </c>
      <c r="N11829" s="27" t="s">
        <v>15653</v>
      </c>
      <c r="P11829" s="27" t="s">
        <v>15655</v>
      </c>
      <c r="Q11829" s="26" t="str">
        <f>HYPERLINK("https://ictv.global/taxonomy/taxondetails?taxnode_id=202516982&amp;ictv_id=ICTV202316982","ICTV202316982")</f>
        <v>ICTV202316982</v>
      </c>
      <c r="R11829" t="s">
        <v>581</v>
      </c>
      <c r="S11829" t="s">
        <v>823</v>
      </c>
      <c r="T11829">
        <v>39</v>
      </c>
      <c r="U11829" s="26" t="str">
        <f t="shared" si="439"/>
        <v>2023.001B.Leviviricetes_reorg.zip</v>
      </c>
    </row>
    <row r="11830" spans="1:21">
      <c r="A11830">
        <v>11829</v>
      </c>
      <c r="B11830" s="27" t="s">
        <v>1124</v>
      </c>
      <c r="D11830" s="27" t="s">
        <v>1859</v>
      </c>
      <c r="F11830" s="27" t="s">
        <v>1881</v>
      </c>
      <c r="H11830" s="27" t="s">
        <v>2679</v>
      </c>
      <c r="J11830" s="27" t="s">
        <v>3210</v>
      </c>
      <c r="L11830" s="27" t="s">
        <v>3262</v>
      </c>
      <c r="N11830" s="27" t="s">
        <v>15653</v>
      </c>
      <c r="P11830" s="27" t="s">
        <v>15656</v>
      </c>
      <c r="Q11830" s="26" t="str">
        <f>HYPERLINK("https://ictv.global/taxonomy/taxondetails?taxnode_id=202516983&amp;ictv_id=ICTV202316983","ICTV202316983")</f>
        <v>ICTV202316983</v>
      </c>
      <c r="R11830" t="s">
        <v>581</v>
      </c>
      <c r="S11830" t="s">
        <v>823</v>
      </c>
      <c r="T11830">
        <v>39</v>
      </c>
      <c r="U11830" s="26" t="str">
        <f t="shared" si="439"/>
        <v>2023.001B.Leviviricetes_reorg.zip</v>
      </c>
    </row>
    <row r="11831" spans="1:21">
      <c r="A11831">
        <v>11830</v>
      </c>
      <c r="B11831" s="27" t="s">
        <v>1124</v>
      </c>
      <c r="D11831" s="27" t="s">
        <v>1859</v>
      </c>
      <c r="F11831" s="27" t="s">
        <v>1881</v>
      </c>
      <c r="H11831" s="27" t="s">
        <v>2679</v>
      </c>
      <c r="J11831" s="27" t="s">
        <v>3210</v>
      </c>
      <c r="L11831" s="27" t="s">
        <v>3262</v>
      </c>
      <c r="N11831" s="27" t="s">
        <v>15653</v>
      </c>
      <c r="P11831" s="27" t="s">
        <v>15657</v>
      </c>
      <c r="Q11831" s="26" t="str">
        <f>HYPERLINK("https://ictv.global/taxonomy/taxondetails?taxnode_id=202516984&amp;ictv_id=ICTV202316984","ICTV202316984")</f>
        <v>ICTV202316984</v>
      </c>
      <c r="R11831" t="s">
        <v>581</v>
      </c>
      <c r="S11831" t="s">
        <v>823</v>
      </c>
      <c r="T11831">
        <v>39</v>
      </c>
      <c r="U11831" s="26" t="str">
        <f t="shared" si="439"/>
        <v>2023.001B.Leviviricetes_reorg.zip</v>
      </c>
    </row>
    <row r="11832" spans="1:21">
      <c r="A11832">
        <v>11831</v>
      </c>
      <c r="B11832" s="27" t="s">
        <v>1124</v>
      </c>
      <c r="D11832" s="27" t="s">
        <v>1859</v>
      </c>
      <c r="F11832" s="27" t="s">
        <v>1881</v>
      </c>
      <c r="H11832" s="27" t="s">
        <v>2679</v>
      </c>
      <c r="J11832" s="27" t="s">
        <v>3210</v>
      </c>
      <c r="L11832" s="27" t="s">
        <v>3262</v>
      </c>
      <c r="N11832" s="27" t="s">
        <v>15653</v>
      </c>
      <c r="P11832" s="27" t="s">
        <v>15658</v>
      </c>
      <c r="Q11832" s="26" t="str">
        <f>HYPERLINK("https://ictv.global/taxonomy/taxondetails?taxnode_id=202516985&amp;ictv_id=ICTV202316985","ICTV202316985")</f>
        <v>ICTV202316985</v>
      </c>
      <c r="R11832" t="s">
        <v>581</v>
      </c>
      <c r="S11832" t="s">
        <v>823</v>
      </c>
      <c r="T11832">
        <v>39</v>
      </c>
      <c r="U11832" s="26" t="str">
        <f t="shared" si="439"/>
        <v>2023.001B.Leviviricetes_reorg.zip</v>
      </c>
    </row>
    <row r="11833" spans="1:21">
      <c r="A11833">
        <v>11832</v>
      </c>
      <c r="B11833" s="27" t="s">
        <v>1124</v>
      </c>
      <c r="D11833" s="27" t="s">
        <v>1859</v>
      </c>
      <c r="F11833" s="27" t="s">
        <v>1881</v>
      </c>
      <c r="H11833" s="27" t="s">
        <v>2679</v>
      </c>
      <c r="J11833" s="27" t="s">
        <v>3210</v>
      </c>
      <c r="L11833" s="27" t="s">
        <v>3262</v>
      </c>
      <c r="N11833" s="27" t="s">
        <v>15653</v>
      </c>
      <c r="P11833" s="27" t="s">
        <v>15659</v>
      </c>
      <c r="Q11833" s="26" t="str">
        <f>HYPERLINK("https://ictv.global/taxonomy/taxondetails?taxnode_id=202516986&amp;ictv_id=ICTV202316986","ICTV202316986")</f>
        <v>ICTV202316986</v>
      </c>
      <c r="R11833" t="s">
        <v>581</v>
      </c>
      <c r="S11833" t="s">
        <v>823</v>
      </c>
      <c r="T11833">
        <v>39</v>
      </c>
      <c r="U11833" s="26" t="str">
        <f t="shared" si="439"/>
        <v>2023.001B.Leviviricetes_reorg.zip</v>
      </c>
    </row>
    <row r="11834" spans="1:21">
      <c r="A11834">
        <v>11833</v>
      </c>
      <c r="B11834" s="27" t="s">
        <v>1124</v>
      </c>
      <c r="D11834" s="27" t="s">
        <v>1859</v>
      </c>
      <c r="F11834" s="27" t="s">
        <v>1881</v>
      </c>
      <c r="H11834" s="27" t="s">
        <v>2679</v>
      </c>
      <c r="J11834" s="27" t="s">
        <v>3210</v>
      </c>
      <c r="L11834" s="27" t="s">
        <v>3262</v>
      </c>
      <c r="N11834" s="27" t="s">
        <v>15653</v>
      </c>
      <c r="P11834" s="27" t="s">
        <v>15660</v>
      </c>
      <c r="Q11834" s="26" t="str">
        <f>HYPERLINK("https://ictv.global/taxonomy/taxondetails?taxnode_id=202516987&amp;ictv_id=ICTV202316987","ICTV202316987")</f>
        <v>ICTV202316987</v>
      </c>
      <c r="R11834" t="s">
        <v>581</v>
      </c>
      <c r="S11834" t="s">
        <v>823</v>
      </c>
      <c r="T11834">
        <v>39</v>
      </c>
      <c r="U11834" s="26" t="str">
        <f t="shared" si="439"/>
        <v>2023.001B.Leviviricetes_reorg.zip</v>
      </c>
    </row>
    <row r="11835" spans="1:21">
      <c r="A11835">
        <v>11834</v>
      </c>
      <c r="B11835" s="27" t="s">
        <v>1124</v>
      </c>
      <c r="D11835" s="27" t="s">
        <v>1859</v>
      </c>
      <c r="F11835" s="27" t="s">
        <v>1881</v>
      </c>
      <c r="H11835" s="27" t="s">
        <v>2679</v>
      </c>
      <c r="J11835" s="27" t="s">
        <v>3210</v>
      </c>
      <c r="L11835" s="27" t="s">
        <v>3262</v>
      </c>
      <c r="N11835" s="27" t="s">
        <v>15661</v>
      </c>
      <c r="P11835" s="27" t="s">
        <v>15662</v>
      </c>
      <c r="Q11835" s="26" t="str">
        <f>HYPERLINK("https://ictv.global/taxonomy/taxondetails?taxnode_id=202516988&amp;ictv_id=ICTV202316988","ICTV202316988")</f>
        <v>ICTV202316988</v>
      </c>
      <c r="R11835" t="s">
        <v>581</v>
      </c>
      <c r="S11835" t="s">
        <v>823</v>
      </c>
      <c r="T11835">
        <v>39</v>
      </c>
      <c r="U11835" s="26" t="str">
        <f t="shared" si="439"/>
        <v>2023.001B.Leviviricetes_reorg.zip</v>
      </c>
    </row>
    <row r="11836" spans="1:21">
      <c r="A11836">
        <v>11835</v>
      </c>
      <c r="B11836" s="27" t="s">
        <v>1124</v>
      </c>
      <c r="D11836" s="27" t="s">
        <v>1859</v>
      </c>
      <c r="F11836" s="27" t="s">
        <v>1881</v>
      </c>
      <c r="H11836" s="27" t="s">
        <v>2679</v>
      </c>
      <c r="J11836" s="27" t="s">
        <v>3210</v>
      </c>
      <c r="L11836" s="27" t="s">
        <v>3262</v>
      </c>
      <c r="N11836" s="27" t="s">
        <v>15663</v>
      </c>
      <c r="P11836" s="27" t="s">
        <v>15664</v>
      </c>
      <c r="Q11836" s="26" t="str">
        <f>HYPERLINK("https://ictv.global/taxonomy/taxondetails?taxnode_id=202516989&amp;ictv_id=ICTV202316989","ICTV202316989")</f>
        <v>ICTV202316989</v>
      </c>
      <c r="R11836" t="s">
        <v>581</v>
      </c>
      <c r="S11836" t="s">
        <v>823</v>
      </c>
      <c r="T11836">
        <v>39</v>
      </c>
      <c r="U11836" s="26" t="str">
        <f t="shared" si="439"/>
        <v>2023.001B.Leviviricetes_reorg.zip</v>
      </c>
    </row>
    <row r="11837" spans="1:21">
      <c r="A11837">
        <v>11836</v>
      </c>
      <c r="B11837" s="27" t="s">
        <v>1124</v>
      </c>
      <c r="D11837" s="27" t="s">
        <v>1859</v>
      </c>
      <c r="F11837" s="27" t="s">
        <v>1881</v>
      </c>
      <c r="H11837" s="27" t="s">
        <v>2679</v>
      </c>
      <c r="J11837" s="27" t="s">
        <v>3210</v>
      </c>
      <c r="L11837" s="27" t="s">
        <v>3262</v>
      </c>
      <c r="N11837" s="27" t="s">
        <v>15665</v>
      </c>
      <c r="P11837" s="27" t="s">
        <v>15666</v>
      </c>
      <c r="Q11837" s="26" t="str">
        <f>HYPERLINK("https://ictv.global/taxonomy/taxondetails?taxnode_id=202516990&amp;ictv_id=ICTV202316990","ICTV202316990")</f>
        <v>ICTV202316990</v>
      </c>
      <c r="R11837" t="s">
        <v>581</v>
      </c>
      <c r="S11837" t="s">
        <v>823</v>
      </c>
      <c r="T11837">
        <v>39</v>
      </c>
      <c r="U11837" s="26" t="str">
        <f t="shared" si="439"/>
        <v>2023.001B.Leviviricetes_reorg.zip</v>
      </c>
    </row>
    <row r="11838" spans="1:21">
      <c r="A11838">
        <v>11837</v>
      </c>
      <c r="B11838" s="27" t="s">
        <v>1124</v>
      </c>
      <c r="D11838" s="27" t="s">
        <v>1859</v>
      </c>
      <c r="F11838" s="27" t="s">
        <v>1881</v>
      </c>
      <c r="H11838" s="27" t="s">
        <v>2679</v>
      </c>
      <c r="J11838" s="27" t="s">
        <v>3210</v>
      </c>
      <c r="L11838" s="27" t="s">
        <v>3262</v>
      </c>
      <c r="N11838" s="27" t="s">
        <v>15667</v>
      </c>
      <c r="P11838" s="27" t="s">
        <v>15668</v>
      </c>
      <c r="Q11838" s="26" t="str">
        <f>HYPERLINK("https://ictv.global/taxonomy/taxondetails?taxnode_id=202516991&amp;ictv_id=ICTV202316991","ICTV202316991")</f>
        <v>ICTV202316991</v>
      </c>
      <c r="R11838" t="s">
        <v>581</v>
      </c>
      <c r="S11838" t="s">
        <v>823</v>
      </c>
      <c r="T11838">
        <v>39</v>
      </c>
      <c r="U11838" s="26" t="str">
        <f t="shared" si="439"/>
        <v>2023.001B.Leviviricetes_reorg.zip</v>
      </c>
    </row>
    <row r="11839" spans="1:21">
      <c r="A11839">
        <v>11838</v>
      </c>
      <c r="B11839" s="27" t="s">
        <v>1124</v>
      </c>
      <c r="D11839" s="27" t="s">
        <v>1859</v>
      </c>
      <c r="F11839" s="27" t="s">
        <v>1881</v>
      </c>
      <c r="H11839" s="27" t="s">
        <v>2679</v>
      </c>
      <c r="J11839" s="27" t="s">
        <v>3210</v>
      </c>
      <c r="L11839" s="27" t="s">
        <v>3262</v>
      </c>
      <c r="N11839" s="27" t="s">
        <v>15669</v>
      </c>
      <c r="P11839" s="27" t="s">
        <v>15670</v>
      </c>
      <c r="Q11839" s="26" t="str">
        <f>HYPERLINK("https://ictv.global/taxonomy/taxondetails?taxnode_id=202516992&amp;ictv_id=ICTV202316992","ICTV202316992")</f>
        <v>ICTV202316992</v>
      </c>
      <c r="R11839" t="s">
        <v>581</v>
      </c>
      <c r="S11839" t="s">
        <v>823</v>
      </c>
      <c r="T11839">
        <v>39</v>
      </c>
      <c r="U11839" s="26" t="str">
        <f t="shared" si="439"/>
        <v>2023.001B.Leviviricetes_reorg.zip</v>
      </c>
    </row>
    <row r="11840" spans="1:21">
      <c r="A11840">
        <v>11839</v>
      </c>
      <c r="B11840" s="27" t="s">
        <v>1124</v>
      </c>
      <c r="D11840" s="27" t="s">
        <v>1859</v>
      </c>
      <c r="F11840" s="27" t="s">
        <v>1881</v>
      </c>
      <c r="H11840" s="27" t="s">
        <v>2679</v>
      </c>
      <c r="J11840" s="27" t="s">
        <v>3210</v>
      </c>
      <c r="L11840" s="27" t="s">
        <v>3262</v>
      </c>
      <c r="N11840" s="27" t="s">
        <v>15669</v>
      </c>
      <c r="P11840" s="27" t="s">
        <v>15671</v>
      </c>
      <c r="Q11840" s="26" t="str">
        <f>HYPERLINK("https://ictv.global/taxonomy/taxondetails?taxnode_id=202516993&amp;ictv_id=ICTV202316993","ICTV202316993")</f>
        <v>ICTV202316993</v>
      </c>
      <c r="R11840" t="s">
        <v>581</v>
      </c>
      <c r="S11840" t="s">
        <v>823</v>
      </c>
      <c r="T11840">
        <v>39</v>
      </c>
      <c r="U11840" s="26" t="str">
        <f t="shared" si="439"/>
        <v>2023.001B.Leviviricetes_reorg.zip</v>
      </c>
    </row>
    <row r="11841" spans="1:21">
      <c r="A11841">
        <v>11840</v>
      </c>
      <c r="B11841" s="27" t="s">
        <v>1124</v>
      </c>
      <c r="D11841" s="27" t="s">
        <v>1859</v>
      </c>
      <c r="F11841" s="27" t="s">
        <v>1881</v>
      </c>
      <c r="H11841" s="27" t="s">
        <v>2679</v>
      </c>
      <c r="J11841" s="27" t="s">
        <v>3210</v>
      </c>
      <c r="L11841" s="27" t="s">
        <v>3262</v>
      </c>
      <c r="N11841" s="27" t="s">
        <v>15672</v>
      </c>
      <c r="P11841" s="27" t="s">
        <v>15673</v>
      </c>
      <c r="Q11841" s="26" t="str">
        <f>HYPERLINK("https://ictv.global/taxonomy/taxondetails?taxnode_id=202516994&amp;ictv_id=ICTV202316994","ICTV202316994")</f>
        <v>ICTV202316994</v>
      </c>
      <c r="R11841" t="s">
        <v>581</v>
      </c>
      <c r="S11841" t="s">
        <v>823</v>
      </c>
      <c r="T11841">
        <v>39</v>
      </c>
      <c r="U11841" s="26" t="str">
        <f t="shared" si="439"/>
        <v>2023.001B.Leviviricetes_reorg.zip</v>
      </c>
    </row>
    <row r="11842" spans="1:21">
      <c r="A11842">
        <v>11841</v>
      </c>
      <c r="B11842" s="27" t="s">
        <v>1124</v>
      </c>
      <c r="D11842" s="27" t="s">
        <v>1859</v>
      </c>
      <c r="F11842" s="27" t="s">
        <v>1881</v>
      </c>
      <c r="H11842" s="27" t="s">
        <v>2679</v>
      </c>
      <c r="J11842" s="27" t="s">
        <v>3210</v>
      </c>
      <c r="L11842" s="27" t="s">
        <v>3262</v>
      </c>
      <c r="N11842" s="27" t="s">
        <v>15672</v>
      </c>
      <c r="P11842" s="27" t="s">
        <v>15674</v>
      </c>
      <c r="Q11842" s="26" t="str">
        <f>HYPERLINK("https://ictv.global/taxonomy/taxondetails?taxnode_id=202516995&amp;ictv_id=ICTV202316995","ICTV202316995")</f>
        <v>ICTV202316995</v>
      </c>
      <c r="R11842" t="s">
        <v>581</v>
      </c>
      <c r="S11842" t="s">
        <v>823</v>
      </c>
      <c r="T11842">
        <v>39</v>
      </c>
      <c r="U11842" s="26" t="str">
        <f t="shared" si="439"/>
        <v>2023.001B.Leviviricetes_reorg.zip</v>
      </c>
    </row>
    <row r="11843" spans="1:21">
      <c r="A11843">
        <v>11842</v>
      </c>
      <c r="B11843" s="27" t="s">
        <v>1124</v>
      </c>
      <c r="D11843" s="27" t="s">
        <v>1859</v>
      </c>
      <c r="F11843" s="27" t="s">
        <v>1881</v>
      </c>
      <c r="H11843" s="27" t="s">
        <v>2679</v>
      </c>
      <c r="J11843" s="27" t="s">
        <v>3210</v>
      </c>
      <c r="L11843" s="27" t="s">
        <v>3262</v>
      </c>
      <c r="N11843" s="27" t="s">
        <v>15675</v>
      </c>
      <c r="P11843" s="27" t="s">
        <v>15676</v>
      </c>
      <c r="Q11843" s="26" t="str">
        <f>HYPERLINK("https://ictv.global/taxonomy/taxondetails?taxnode_id=202516996&amp;ictv_id=ICTV202316996","ICTV202316996")</f>
        <v>ICTV202316996</v>
      </c>
      <c r="R11843" t="s">
        <v>581</v>
      </c>
      <c r="S11843" t="s">
        <v>823</v>
      </c>
      <c r="T11843">
        <v>39</v>
      </c>
      <c r="U11843" s="26" t="str">
        <f t="shared" si="439"/>
        <v>2023.001B.Leviviricetes_reorg.zip</v>
      </c>
    </row>
    <row r="11844" spans="1:21">
      <c r="A11844">
        <v>11843</v>
      </c>
      <c r="B11844" s="27" t="s">
        <v>1124</v>
      </c>
      <c r="D11844" s="27" t="s">
        <v>1859</v>
      </c>
      <c r="F11844" s="27" t="s">
        <v>1881</v>
      </c>
      <c r="H11844" s="27" t="s">
        <v>2679</v>
      </c>
      <c r="J11844" s="27" t="s">
        <v>3210</v>
      </c>
      <c r="L11844" s="27" t="s">
        <v>3262</v>
      </c>
      <c r="N11844" s="27" t="s">
        <v>15675</v>
      </c>
      <c r="P11844" s="27" t="s">
        <v>15677</v>
      </c>
      <c r="Q11844" s="26" t="str">
        <f>HYPERLINK("https://ictv.global/taxonomy/taxondetails?taxnode_id=202516997&amp;ictv_id=ICTV202316997","ICTV202316997")</f>
        <v>ICTV202316997</v>
      </c>
      <c r="R11844" t="s">
        <v>581</v>
      </c>
      <c r="S11844" t="s">
        <v>823</v>
      </c>
      <c r="T11844">
        <v>39</v>
      </c>
      <c r="U11844" s="26" t="str">
        <f t="shared" si="439"/>
        <v>2023.001B.Leviviricetes_reorg.zip</v>
      </c>
    </row>
    <row r="11845" spans="1:21">
      <c r="A11845">
        <v>11844</v>
      </c>
      <c r="B11845" s="27" t="s">
        <v>1124</v>
      </c>
      <c r="D11845" s="27" t="s">
        <v>1859</v>
      </c>
      <c r="F11845" s="27" t="s">
        <v>1881</v>
      </c>
      <c r="H11845" s="27" t="s">
        <v>2679</v>
      </c>
      <c r="J11845" s="27" t="s">
        <v>3210</v>
      </c>
      <c r="L11845" s="27" t="s">
        <v>3262</v>
      </c>
      <c r="N11845" s="27" t="s">
        <v>15675</v>
      </c>
      <c r="P11845" s="27" t="s">
        <v>15678</v>
      </c>
      <c r="Q11845" s="26" t="str">
        <f>HYPERLINK("https://ictv.global/taxonomy/taxondetails?taxnode_id=202516998&amp;ictv_id=ICTV202316998","ICTV202316998")</f>
        <v>ICTV202316998</v>
      </c>
      <c r="R11845" t="s">
        <v>581</v>
      </c>
      <c r="S11845" t="s">
        <v>823</v>
      </c>
      <c r="T11845">
        <v>39</v>
      </c>
      <c r="U11845" s="26" t="str">
        <f t="shared" si="439"/>
        <v>2023.001B.Leviviricetes_reorg.zip</v>
      </c>
    </row>
    <row r="11846" spans="1:21">
      <c r="A11846">
        <v>11845</v>
      </c>
      <c r="B11846" s="27" t="s">
        <v>1124</v>
      </c>
      <c r="D11846" s="27" t="s">
        <v>1859</v>
      </c>
      <c r="F11846" s="27" t="s">
        <v>1881</v>
      </c>
      <c r="H11846" s="27" t="s">
        <v>2679</v>
      </c>
      <c r="J11846" s="27" t="s">
        <v>3210</v>
      </c>
      <c r="L11846" s="27" t="s">
        <v>3262</v>
      </c>
      <c r="N11846" s="27" t="s">
        <v>15679</v>
      </c>
      <c r="P11846" s="27" t="s">
        <v>15680</v>
      </c>
      <c r="Q11846" s="26" t="str">
        <f>HYPERLINK("https://ictv.global/taxonomy/taxondetails?taxnode_id=202516999&amp;ictv_id=ICTV202316999","ICTV202316999")</f>
        <v>ICTV202316999</v>
      </c>
      <c r="R11846" t="s">
        <v>581</v>
      </c>
      <c r="S11846" t="s">
        <v>823</v>
      </c>
      <c r="T11846">
        <v>39</v>
      </c>
      <c r="U11846" s="26" t="str">
        <f t="shared" si="439"/>
        <v>2023.001B.Leviviricetes_reorg.zip</v>
      </c>
    </row>
    <row r="11847" spans="1:21">
      <c r="A11847">
        <v>11846</v>
      </c>
      <c r="B11847" s="27" t="s">
        <v>1124</v>
      </c>
      <c r="D11847" s="27" t="s">
        <v>1859</v>
      </c>
      <c r="F11847" s="27" t="s">
        <v>1881</v>
      </c>
      <c r="H11847" s="27" t="s">
        <v>2679</v>
      </c>
      <c r="J11847" s="27" t="s">
        <v>3210</v>
      </c>
      <c r="L11847" s="27" t="s">
        <v>3262</v>
      </c>
      <c r="N11847" s="27" t="s">
        <v>15681</v>
      </c>
      <c r="P11847" s="27" t="s">
        <v>15682</v>
      </c>
      <c r="Q11847" s="26" t="str">
        <f>HYPERLINK("https://ictv.global/taxonomy/taxondetails?taxnode_id=202517000&amp;ictv_id=ICTV202317000","ICTV202317000")</f>
        <v>ICTV202317000</v>
      </c>
      <c r="R11847" t="s">
        <v>581</v>
      </c>
      <c r="S11847" t="s">
        <v>823</v>
      </c>
      <c r="T11847">
        <v>39</v>
      </c>
      <c r="U11847" s="26" t="str">
        <f t="shared" si="439"/>
        <v>2023.001B.Leviviricetes_reorg.zip</v>
      </c>
    </row>
    <row r="11848" spans="1:21">
      <c r="A11848">
        <v>11847</v>
      </c>
      <c r="B11848" s="27" t="s">
        <v>1124</v>
      </c>
      <c r="D11848" s="27" t="s">
        <v>1859</v>
      </c>
      <c r="F11848" s="27" t="s">
        <v>1881</v>
      </c>
      <c r="H11848" s="27" t="s">
        <v>2679</v>
      </c>
      <c r="J11848" s="27" t="s">
        <v>3210</v>
      </c>
      <c r="L11848" s="27" t="s">
        <v>3262</v>
      </c>
      <c r="N11848" s="27" t="s">
        <v>15683</v>
      </c>
      <c r="P11848" s="27" t="s">
        <v>15684</v>
      </c>
      <c r="Q11848" s="26" t="str">
        <f>HYPERLINK("https://ictv.global/taxonomy/taxondetails?taxnode_id=202517001&amp;ictv_id=ICTV202317001","ICTV202317001")</f>
        <v>ICTV202317001</v>
      </c>
      <c r="R11848" t="s">
        <v>581</v>
      </c>
      <c r="S11848" t="s">
        <v>823</v>
      </c>
      <c r="T11848">
        <v>39</v>
      </c>
      <c r="U11848" s="26" t="str">
        <f t="shared" si="439"/>
        <v>2023.001B.Leviviricetes_reorg.zip</v>
      </c>
    </row>
    <row r="11849" spans="1:21">
      <c r="A11849">
        <v>11848</v>
      </c>
      <c r="B11849" s="27" t="s">
        <v>1124</v>
      </c>
      <c r="D11849" s="27" t="s">
        <v>1859</v>
      </c>
      <c r="F11849" s="27" t="s">
        <v>1881</v>
      </c>
      <c r="H11849" s="27" t="s">
        <v>2679</v>
      </c>
      <c r="J11849" s="27" t="s">
        <v>3210</v>
      </c>
      <c r="L11849" s="27" t="s">
        <v>3262</v>
      </c>
      <c r="N11849" s="27" t="s">
        <v>15685</v>
      </c>
      <c r="P11849" s="27" t="s">
        <v>15686</v>
      </c>
      <c r="Q11849" s="26" t="str">
        <f>HYPERLINK("https://ictv.global/taxonomy/taxondetails?taxnode_id=202511008&amp;ictv_id=ICTV202011008","ICTV202011008")</f>
        <v>ICTV202011008</v>
      </c>
      <c r="R11849" t="s">
        <v>581</v>
      </c>
      <c r="S11849" t="s">
        <v>22764</v>
      </c>
      <c r="T11849">
        <v>39</v>
      </c>
      <c r="U11849" s="26" t="str">
        <f t="shared" si="439"/>
        <v>2023.001B.Leviviricetes_reorg.zip</v>
      </c>
    </row>
    <row r="11850" spans="1:21">
      <c r="A11850">
        <v>11849</v>
      </c>
      <c r="B11850" s="27" t="s">
        <v>1124</v>
      </c>
      <c r="D11850" s="27" t="s">
        <v>1859</v>
      </c>
      <c r="F11850" s="27" t="s">
        <v>1881</v>
      </c>
      <c r="H11850" s="27" t="s">
        <v>2679</v>
      </c>
      <c r="J11850" s="27" t="s">
        <v>3210</v>
      </c>
      <c r="L11850" s="27" t="s">
        <v>3262</v>
      </c>
      <c r="N11850" s="27" t="s">
        <v>15685</v>
      </c>
      <c r="P11850" s="27" t="s">
        <v>15687</v>
      </c>
      <c r="Q11850" s="26" t="str">
        <f>HYPERLINK("https://ictv.global/taxonomy/taxondetails?taxnode_id=202511010&amp;ictv_id=ICTV202011010","ICTV202011010")</f>
        <v>ICTV202011010</v>
      </c>
      <c r="R11850" t="s">
        <v>581</v>
      </c>
      <c r="S11850" t="s">
        <v>22764</v>
      </c>
      <c r="T11850">
        <v>39</v>
      </c>
      <c r="U11850" s="26" t="str">
        <f t="shared" si="439"/>
        <v>2023.001B.Leviviricetes_reorg.zip</v>
      </c>
    </row>
    <row r="11851" spans="1:21">
      <c r="A11851">
        <v>11850</v>
      </c>
      <c r="B11851" s="27" t="s">
        <v>1124</v>
      </c>
      <c r="D11851" s="27" t="s">
        <v>1859</v>
      </c>
      <c r="F11851" s="27" t="s">
        <v>1881</v>
      </c>
      <c r="H11851" s="27" t="s">
        <v>2679</v>
      </c>
      <c r="J11851" s="27" t="s">
        <v>3210</v>
      </c>
      <c r="L11851" s="27" t="s">
        <v>3262</v>
      </c>
      <c r="N11851" s="27" t="s">
        <v>15685</v>
      </c>
      <c r="P11851" s="27" t="s">
        <v>15688</v>
      </c>
      <c r="Q11851" s="26" t="str">
        <f>HYPERLINK("https://ictv.global/taxonomy/taxondetails?taxnode_id=202511015&amp;ictv_id=ICTV202011015","ICTV202011015")</f>
        <v>ICTV202011015</v>
      </c>
      <c r="R11851" t="s">
        <v>581</v>
      </c>
      <c r="S11851" t="s">
        <v>22764</v>
      </c>
      <c r="T11851">
        <v>39</v>
      </c>
      <c r="U11851" s="26" t="str">
        <f t="shared" si="439"/>
        <v>2023.001B.Leviviricetes_reorg.zip</v>
      </c>
    </row>
    <row r="11852" spans="1:21">
      <c r="A11852">
        <v>11851</v>
      </c>
      <c r="B11852" s="27" t="s">
        <v>1124</v>
      </c>
      <c r="D11852" s="27" t="s">
        <v>1859</v>
      </c>
      <c r="F11852" s="27" t="s">
        <v>1881</v>
      </c>
      <c r="H11852" s="27" t="s">
        <v>2679</v>
      </c>
      <c r="J11852" s="27" t="s">
        <v>3210</v>
      </c>
      <c r="L11852" s="27" t="s">
        <v>3262</v>
      </c>
      <c r="N11852" s="27" t="s">
        <v>15689</v>
      </c>
      <c r="P11852" s="27" t="s">
        <v>15690</v>
      </c>
      <c r="Q11852" s="26" t="str">
        <f>HYPERLINK("https://ictv.global/taxonomy/taxondetails?taxnode_id=202517002&amp;ictv_id=ICTV202317002","ICTV202317002")</f>
        <v>ICTV202317002</v>
      </c>
      <c r="R11852" t="s">
        <v>581</v>
      </c>
      <c r="S11852" t="s">
        <v>823</v>
      </c>
      <c r="T11852">
        <v>39</v>
      </c>
      <c r="U11852" s="26" t="str">
        <f t="shared" si="439"/>
        <v>2023.001B.Leviviricetes_reorg.zip</v>
      </c>
    </row>
    <row r="11853" spans="1:21">
      <c r="A11853">
        <v>11852</v>
      </c>
      <c r="B11853" s="27" t="s">
        <v>1124</v>
      </c>
      <c r="D11853" s="27" t="s">
        <v>1859</v>
      </c>
      <c r="F11853" s="27" t="s">
        <v>1881</v>
      </c>
      <c r="H11853" s="27" t="s">
        <v>2679</v>
      </c>
      <c r="J11853" s="27" t="s">
        <v>3210</v>
      </c>
      <c r="L11853" s="27" t="s">
        <v>3262</v>
      </c>
      <c r="N11853" s="27" t="s">
        <v>3291</v>
      </c>
      <c r="P11853" s="27" t="s">
        <v>15691</v>
      </c>
      <c r="Q11853" s="26" t="str">
        <f>HYPERLINK("https://ictv.global/taxonomy/taxondetails?taxnode_id=202517003&amp;ictv_id=ICTV202317003","ICTV202317003")</f>
        <v>ICTV202317003</v>
      </c>
      <c r="R11853" t="s">
        <v>581</v>
      </c>
      <c r="S11853" t="s">
        <v>823</v>
      </c>
      <c r="T11853">
        <v>39</v>
      </c>
      <c r="U11853" s="26" t="str">
        <f t="shared" si="439"/>
        <v>2023.001B.Leviviricetes_reorg.zip</v>
      </c>
    </row>
    <row r="11854" spans="1:21">
      <c r="A11854">
        <v>11853</v>
      </c>
      <c r="B11854" s="27" t="s">
        <v>1124</v>
      </c>
      <c r="D11854" s="27" t="s">
        <v>1859</v>
      </c>
      <c r="F11854" s="27" t="s">
        <v>1881</v>
      </c>
      <c r="H11854" s="27" t="s">
        <v>2679</v>
      </c>
      <c r="J11854" s="27" t="s">
        <v>3210</v>
      </c>
      <c r="L11854" s="27" t="s">
        <v>3262</v>
      </c>
      <c r="N11854" s="27" t="s">
        <v>3291</v>
      </c>
      <c r="P11854" s="27" t="s">
        <v>15692</v>
      </c>
      <c r="Q11854" s="26" t="str">
        <f>HYPERLINK("https://ictv.global/taxonomy/taxondetails?taxnode_id=202517004&amp;ictv_id=ICTV202317004","ICTV202317004")</f>
        <v>ICTV202317004</v>
      </c>
      <c r="R11854" t="s">
        <v>581</v>
      </c>
      <c r="S11854" t="s">
        <v>823</v>
      </c>
      <c r="T11854">
        <v>39</v>
      </c>
      <c r="U11854" s="26" t="str">
        <f t="shared" si="439"/>
        <v>2023.001B.Leviviricetes_reorg.zip</v>
      </c>
    </row>
    <row r="11855" spans="1:21">
      <c r="A11855">
        <v>11854</v>
      </c>
      <c r="B11855" s="27" t="s">
        <v>1124</v>
      </c>
      <c r="D11855" s="27" t="s">
        <v>1859</v>
      </c>
      <c r="F11855" s="27" t="s">
        <v>1881</v>
      </c>
      <c r="H11855" s="27" t="s">
        <v>2679</v>
      </c>
      <c r="J11855" s="27" t="s">
        <v>3210</v>
      </c>
      <c r="L11855" s="27" t="s">
        <v>3262</v>
      </c>
      <c r="N11855" s="27" t="s">
        <v>3291</v>
      </c>
      <c r="P11855" s="27" t="s">
        <v>15693</v>
      </c>
      <c r="Q11855" s="26" t="str">
        <f>HYPERLINK("https://ictv.global/taxonomy/taxondetails?taxnode_id=202517005&amp;ictv_id=ICTV202317005","ICTV202317005")</f>
        <v>ICTV202317005</v>
      </c>
      <c r="R11855" t="s">
        <v>581</v>
      </c>
      <c r="S11855" t="s">
        <v>823</v>
      </c>
      <c r="T11855">
        <v>39</v>
      </c>
      <c r="U11855" s="26" t="str">
        <f t="shared" si="439"/>
        <v>2023.001B.Leviviricetes_reorg.zip</v>
      </c>
    </row>
    <row r="11856" spans="1:21">
      <c r="A11856">
        <v>11855</v>
      </c>
      <c r="B11856" s="27" t="s">
        <v>1124</v>
      </c>
      <c r="D11856" s="27" t="s">
        <v>1859</v>
      </c>
      <c r="F11856" s="27" t="s">
        <v>1881</v>
      </c>
      <c r="H11856" s="27" t="s">
        <v>2679</v>
      </c>
      <c r="J11856" s="27" t="s">
        <v>3210</v>
      </c>
      <c r="L11856" s="27" t="s">
        <v>3262</v>
      </c>
      <c r="N11856" s="27" t="s">
        <v>3291</v>
      </c>
      <c r="P11856" s="27" t="s">
        <v>15694</v>
      </c>
      <c r="Q11856" s="26" t="str">
        <f>HYPERLINK("https://ictv.global/taxonomy/taxondetails?taxnode_id=202517006&amp;ictv_id=ICTV202317006","ICTV202317006")</f>
        <v>ICTV202317006</v>
      </c>
      <c r="R11856" t="s">
        <v>581</v>
      </c>
      <c r="S11856" t="s">
        <v>823</v>
      </c>
      <c r="T11856">
        <v>39</v>
      </c>
      <c r="U11856" s="26" t="str">
        <f t="shared" si="439"/>
        <v>2023.001B.Leviviricetes_reorg.zip</v>
      </c>
    </row>
    <row r="11857" spans="1:21">
      <c r="A11857">
        <v>11856</v>
      </c>
      <c r="B11857" s="27" t="s">
        <v>1124</v>
      </c>
      <c r="D11857" s="27" t="s">
        <v>1859</v>
      </c>
      <c r="F11857" s="27" t="s">
        <v>1881</v>
      </c>
      <c r="H11857" s="27" t="s">
        <v>2679</v>
      </c>
      <c r="J11857" s="27" t="s">
        <v>3210</v>
      </c>
      <c r="L11857" s="27" t="s">
        <v>3262</v>
      </c>
      <c r="N11857" s="27" t="s">
        <v>3291</v>
      </c>
      <c r="P11857" s="27" t="s">
        <v>3292</v>
      </c>
      <c r="Q11857" s="26" t="str">
        <f>HYPERLINK("https://ictv.global/taxonomy/taxondetails?taxnode_id=202511101&amp;ictv_id=ICTV202011101","ICTV202011101")</f>
        <v>ICTV202011101</v>
      </c>
      <c r="R11857" t="s">
        <v>581</v>
      </c>
      <c r="S11857" t="s">
        <v>823</v>
      </c>
      <c r="T11857">
        <v>36</v>
      </c>
      <c r="U11857" s="26" t="str">
        <f>HYPERLINK("https://ictv.global/ictv/proposals/2020.095B.R.Leviviricetes.zip","2020.095B.R.Leviviricetes.zip")</f>
        <v>2020.095B.R.Leviviricetes.zip</v>
      </c>
    </row>
    <row r="11858" spans="1:21">
      <c r="A11858">
        <v>11857</v>
      </c>
      <c r="B11858" s="27" t="s">
        <v>1124</v>
      </c>
      <c r="D11858" s="27" t="s">
        <v>1859</v>
      </c>
      <c r="F11858" s="27" t="s">
        <v>1881</v>
      </c>
      <c r="H11858" s="27" t="s">
        <v>2679</v>
      </c>
      <c r="J11858" s="27" t="s">
        <v>3210</v>
      </c>
      <c r="L11858" s="27" t="s">
        <v>3262</v>
      </c>
      <c r="N11858" s="27" t="s">
        <v>3291</v>
      </c>
      <c r="P11858" s="27" t="s">
        <v>3293</v>
      </c>
      <c r="Q11858" s="26" t="str">
        <f>HYPERLINK("https://ictv.global/taxonomy/taxondetails?taxnode_id=202511100&amp;ictv_id=ICTV202011100","ICTV202011100")</f>
        <v>ICTV202011100</v>
      </c>
      <c r="R11858" t="s">
        <v>581</v>
      </c>
      <c r="S11858" t="s">
        <v>823</v>
      </c>
      <c r="T11858">
        <v>36</v>
      </c>
      <c r="U11858" s="26" t="str">
        <f>HYPERLINK("https://ictv.global/ictv/proposals/2020.095B.R.Leviviricetes.zip","2020.095B.R.Leviviricetes.zip")</f>
        <v>2020.095B.R.Leviviricetes.zip</v>
      </c>
    </row>
    <row r="11859" spans="1:21">
      <c r="A11859">
        <v>11858</v>
      </c>
      <c r="B11859" s="27" t="s">
        <v>1124</v>
      </c>
      <c r="D11859" s="27" t="s">
        <v>1859</v>
      </c>
      <c r="F11859" s="27" t="s">
        <v>1881</v>
      </c>
      <c r="H11859" s="27" t="s">
        <v>2679</v>
      </c>
      <c r="J11859" s="27" t="s">
        <v>3210</v>
      </c>
      <c r="L11859" s="27" t="s">
        <v>3262</v>
      </c>
      <c r="N11859" s="27" t="s">
        <v>3291</v>
      </c>
      <c r="P11859" s="27" t="s">
        <v>15695</v>
      </c>
      <c r="Q11859" s="26" t="str">
        <f>HYPERLINK("https://ictv.global/taxonomy/taxondetails?taxnode_id=202517007&amp;ictv_id=ICTV202317007","ICTV202317007")</f>
        <v>ICTV202317007</v>
      </c>
      <c r="R11859" t="s">
        <v>581</v>
      </c>
      <c r="S11859" t="s">
        <v>823</v>
      </c>
      <c r="T11859">
        <v>39</v>
      </c>
      <c r="U11859" s="26" t="str">
        <f t="shared" ref="U11859:U11865" si="440">HYPERLINK("https://ictv.global/ictv/proposals/2023.001B.Leviviricetes_reorg.zip","2023.001B.Leviviricetes_reorg.zip")</f>
        <v>2023.001B.Leviviricetes_reorg.zip</v>
      </c>
    </row>
    <row r="11860" spans="1:21">
      <c r="A11860">
        <v>11859</v>
      </c>
      <c r="B11860" s="27" t="s">
        <v>1124</v>
      </c>
      <c r="D11860" s="27" t="s">
        <v>1859</v>
      </c>
      <c r="F11860" s="27" t="s">
        <v>1881</v>
      </c>
      <c r="H11860" s="27" t="s">
        <v>2679</v>
      </c>
      <c r="J11860" s="27" t="s">
        <v>3210</v>
      </c>
      <c r="L11860" s="27" t="s">
        <v>3262</v>
      </c>
      <c r="N11860" s="27" t="s">
        <v>3291</v>
      </c>
      <c r="P11860" s="27" t="s">
        <v>15696</v>
      </c>
      <c r="Q11860" s="26" t="str">
        <f>HYPERLINK("https://ictv.global/taxonomy/taxondetails?taxnode_id=202517008&amp;ictv_id=ICTV202317008","ICTV202317008")</f>
        <v>ICTV202317008</v>
      </c>
      <c r="R11860" t="s">
        <v>581</v>
      </c>
      <c r="S11860" t="s">
        <v>823</v>
      </c>
      <c r="T11860">
        <v>39</v>
      </c>
      <c r="U11860" s="26" t="str">
        <f t="shared" si="440"/>
        <v>2023.001B.Leviviricetes_reorg.zip</v>
      </c>
    </row>
    <row r="11861" spans="1:21">
      <c r="A11861">
        <v>11860</v>
      </c>
      <c r="B11861" s="27" t="s">
        <v>1124</v>
      </c>
      <c r="D11861" s="27" t="s">
        <v>1859</v>
      </c>
      <c r="F11861" s="27" t="s">
        <v>1881</v>
      </c>
      <c r="H11861" s="27" t="s">
        <v>2679</v>
      </c>
      <c r="J11861" s="27" t="s">
        <v>3210</v>
      </c>
      <c r="L11861" s="27" t="s">
        <v>3262</v>
      </c>
      <c r="N11861" s="27" t="s">
        <v>3291</v>
      </c>
      <c r="P11861" s="27" t="s">
        <v>15697</v>
      </c>
      <c r="Q11861" s="26" t="str">
        <f>HYPERLINK("https://ictv.global/taxonomy/taxondetails?taxnode_id=202517009&amp;ictv_id=ICTV202317009","ICTV202317009")</f>
        <v>ICTV202317009</v>
      </c>
      <c r="R11861" t="s">
        <v>581</v>
      </c>
      <c r="S11861" t="s">
        <v>823</v>
      </c>
      <c r="T11861">
        <v>39</v>
      </c>
      <c r="U11861" s="26" t="str">
        <f t="shared" si="440"/>
        <v>2023.001B.Leviviricetes_reorg.zip</v>
      </c>
    </row>
    <row r="11862" spans="1:21">
      <c r="A11862">
        <v>11861</v>
      </c>
      <c r="B11862" s="27" t="s">
        <v>1124</v>
      </c>
      <c r="D11862" s="27" t="s">
        <v>1859</v>
      </c>
      <c r="F11862" s="27" t="s">
        <v>1881</v>
      </c>
      <c r="H11862" s="27" t="s">
        <v>2679</v>
      </c>
      <c r="J11862" s="27" t="s">
        <v>3210</v>
      </c>
      <c r="L11862" s="27" t="s">
        <v>3262</v>
      </c>
      <c r="N11862" s="27" t="s">
        <v>3291</v>
      </c>
      <c r="P11862" s="27" t="s">
        <v>15698</v>
      </c>
      <c r="Q11862" s="26" t="str">
        <f>HYPERLINK("https://ictv.global/taxonomy/taxondetails?taxnode_id=202517010&amp;ictv_id=ICTV202317010","ICTV202317010")</f>
        <v>ICTV202317010</v>
      </c>
      <c r="R11862" t="s">
        <v>581</v>
      </c>
      <c r="S11862" t="s">
        <v>823</v>
      </c>
      <c r="T11862">
        <v>39</v>
      </c>
      <c r="U11862" s="26" t="str">
        <f t="shared" si="440"/>
        <v>2023.001B.Leviviricetes_reorg.zip</v>
      </c>
    </row>
    <row r="11863" spans="1:21">
      <c r="A11863">
        <v>11862</v>
      </c>
      <c r="B11863" s="27" t="s">
        <v>1124</v>
      </c>
      <c r="D11863" s="27" t="s">
        <v>1859</v>
      </c>
      <c r="F11863" s="27" t="s">
        <v>1881</v>
      </c>
      <c r="H11863" s="27" t="s">
        <v>2679</v>
      </c>
      <c r="J11863" s="27" t="s">
        <v>3210</v>
      </c>
      <c r="L11863" s="27" t="s">
        <v>3262</v>
      </c>
      <c r="N11863" s="27" t="s">
        <v>15699</v>
      </c>
      <c r="P11863" s="27" t="s">
        <v>15700</v>
      </c>
      <c r="Q11863" s="26" t="str">
        <f>HYPERLINK("https://ictv.global/taxonomy/taxondetails?taxnode_id=202517011&amp;ictv_id=ICTV202317011","ICTV202317011")</f>
        <v>ICTV202317011</v>
      </c>
      <c r="R11863" t="s">
        <v>581</v>
      </c>
      <c r="S11863" t="s">
        <v>823</v>
      </c>
      <c r="T11863">
        <v>39</v>
      </c>
      <c r="U11863" s="26" t="str">
        <f t="shared" si="440"/>
        <v>2023.001B.Leviviricetes_reorg.zip</v>
      </c>
    </row>
    <row r="11864" spans="1:21">
      <c r="A11864">
        <v>11863</v>
      </c>
      <c r="B11864" s="27" t="s">
        <v>1124</v>
      </c>
      <c r="D11864" s="27" t="s">
        <v>1859</v>
      </c>
      <c r="F11864" s="27" t="s">
        <v>1881</v>
      </c>
      <c r="H11864" s="27" t="s">
        <v>2679</v>
      </c>
      <c r="J11864" s="27" t="s">
        <v>3210</v>
      </c>
      <c r="L11864" s="27" t="s">
        <v>3262</v>
      </c>
      <c r="N11864" s="27" t="s">
        <v>15699</v>
      </c>
      <c r="P11864" s="27" t="s">
        <v>15701</v>
      </c>
      <c r="Q11864" s="26" t="str">
        <f>HYPERLINK("https://ictv.global/taxonomy/taxondetails?taxnode_id=202517012&amp;ictv_id=ICTV202317012","ICTV202317012")</f>
        <v>ICTV202317012</v>
      </c>
      <c r="R11864" t="s">
        <v>581</v>
      </c>
      <c r="S11864" t="s">
        <v>823</v>
      </c>
      <c r="T11864">
        <v>39</v>
      </c>
      <c r="U11864" s="26" t="str">
        <f t="shared" si="440"/>
        <v>2023.001B.Leviviricetes_reorg.zip</v>
      </c>
    </row>
    <row r="11865" spans="1:21">
      <c r="A11865">
        <v>11864</v>
      </c>
      <c r="B11865" s="27" t="s">
        <v>1124</v>
      </c>
      <c r="D11865" s="27" t="s">
        <v>1859</v>
      </c>
      <c r="F11865" s="27" t="s">
        <v>1881</v>
      </c>
      <c r="H11865" s="27" t="s">
        <v>2679</v>
      </c>
      <c r="J11865" s="27" t="s">
        <v>3210</v>
      </c>
      <c r="L11865" s="27" t="s">
        <v>3262</v>
      </c>
      <c r="N11865" s="27" t="s">
        <v>3294</v>
      </c>
      <c r="P11865" s="27" t="s">
        <v>15702</v>
      </c>
      <c r="Q11865" s="26" t="str">
        <f>HYPERLINK("https://ictv.global/taxonomy/taxondetails?taxnode_id=202517013&amp;ictv_id=ICTV202317013","ICTV202317013")</f>
        <v>ICTV202317013</v>
      </c>
      <c r="R11865" t="s">
        <v>581</v>
      </c>
      <c r="S11865" t="s">
        <v>823</v>
      </c>
      <c r="T11865">
        <v>39</v>
      </c>
      <c r="U11865" s="26" t="str">
        <f t="shared" si="440"/>
        <v>2023.001B.Leviviricetes_reorg.zip</v>
      </c>
    </row>
    <row r="11866" spans="1:21">
      <c r="A11866">
        <v>11865</v>
      </c>
      <c r="B11866" s="27" t="s">
        <v>1124</v>
      </c>
      <c r="D11866" s="27" t="s">
        <v>1859</v>
      </c>
      <c r="F11866" s="27" t="s">
        <v>1881</v>
      </c>
      <c r="H11866" s="27" t="s">
        <v>2679</v>
      </c>
      <c r="J11866" s="27" t="s">
        <v>3210</v>
      </c>
      <c r="L11866" s="27" t="s">
        <v>3262</v>
      </c>
      <c r="N11866" s="27" t="s">
        <v>3294</v>
      </c>
      <c r="P11866" s="27" t="s">
        <v>3295</v>
      </c>
      <c r="Q11866" s="26" t="str">
        <f>HYPERLINK("https://ictv.global/taxonomy/taxondetails?taxnode_id=202511107&amp;ictv_id=ICTV202011107","ICTV202011107")</f>
        <v>ICTV202011107</v>
      </c>
      <c r="R11866" t="s">
        <v>581</v>
      </c>
      <c r="S11866" t="s">
        <v>823</v>
      </c>
      <c r="T11866">
        <v>36</v>
      </c>
      <c r="U11866" s="26" t="str">
        <f>HYPERLINK("https://ictv.global/ictv/proposals/2020.095B.R.Leviviricetes.zip","2020.095B.R.Leviviricetes.zip")</f>
        <v>2020.095B.R.Leviviricetes.zip</v>
      </c>
    </row>
    <row r="11867" spans="1:21">
      <c r="A11867">
        <v>11866</v>
      </c>
      <c r="B11867" s="27" t="s">
        <v>1124</v>
      </c>
      <c r="D11867" s="27" t="s">
        <v>1859</v>
      </c>
      <c r="F11867" s="27" t="s">
        <v>1881</v>
      </c>
      <c r="H11867" s="27" t="s">
        <v>2679</v>
      </c>
      <c r="J11867" s="27" t="s">
        <v>3210</v>
      </c>
      <c r="L11867" s="27" t="s">
        <v>3262</v>
      </c>
      <c r="N11867" s="27" t="s">
        <v>3294</v>
      </c>
      <c r="P11867" s="27" t="s">
        <v>3296</v>
      </c>
      <c r="Q11867" s="26" t="str">
        <f>HYPERLINK("https://ictv.global/taxonomy/taxondetails?taxnode_id=202511108&amp;ictv_id=ICTV202011108","ICTV202011108")</f>
        <v>ICTV202011108</v>
      </c>
      <c r="R11867" t="s">
        <v>581</v>
      </c>
      <c r="S11867" t="s">
        <v>823</v>
      </c>
      <c r="T11867">
        <v>36</v>
      </c>
      <c r="U11867" s="26" t="str">
        <f>HYPERLINK("https://ictv.global/ictv/proposals/2020.095B.R.Leviviricetes.zip","2020.095B.R.Leviviricetes.zip")</f>
        <v>2020.095B.R.Leviviricetes.zip</v>
      </c>
    </row>
    <row r="11868" spans="1:21">
      <c r="A11868">
        <v>11867</v>
      </c>
      <c r="B11868" s="27" t="s">
        <v>1124</v>
      </c>
      <c r="D11868" s="27" t="s">
        <v>1859</v>
      </c>
      <c r="F11868" s="27" t="s">
        <v>1881</v>
      </c>
      <c r="H11868" s="27" t="s">
        <v>2679</v>
      </c>
      <c r="J11868" s="27" t="s">
        <v>3210</v>
      </c>
      <c r="L11868" s="27" t="s">
        <v>3262</v>
      </c>
      <c r="N11868" s="27" t="s">
        <v>3294</v>
      </c>
      <c r="P11868" s="27" t="s">
        <v>15703</v>
      </c>
      <c r="Q11868" s="26" t="str">
        <f>HYPERLINK("https://ictv.global/taxonomy/taxondetails?taxnode_id=202517014&amp;ictv_id=ICTV202317014","ICTV202317014")</f>
        <v>ICTV202317014</v>
      </c>
      <c r="R11868" t="s">
        <v>581</v>
      </c>
      <c r="S11868" t="s">
        <v>823</v>
      </c>
      <c r="T11868">
        <v>39</v>
      </c>
      <c r="U11868" s="26" t="str">
        <f>HYPERLINK("https://ictv.global/ictv/proposals/2023.001B.Leviviricetes_reorg.zip","2023.001B.Leviviricetes_reorg.zip")</f>
        <v>2023.001B.Leviviricetes_reorg.zip</v>
      </c>
    </row>
    <row r="11869" spans="1:21">
      <c r="A11869">
        <v>11868</v>
      </c>
      <c r="B11869" s="27" t="s">
        <v>1124</v>
      </c>
      <c r="D11869" s="27" t="s">
        <v>1859</v>
      </c>
      <c r="F11869" s="27" t="s">
        <v>1881</v>
      </c>
      <c r="H11869" s="27" t="s">
        <v>2679</v>
      </c>
      <c r="J11869" s="27" t="s">
        <v>3210</v>
      </c>
      <c r="L11869" s="27" t="s">
        <v>3262</v>
      </c>
      <c r="N11869" s="27" t="s">
        <v>3294</v>
      </c>
      <c r="P11869" s="27" t="s">
        <v>15704</v>
      </c>
      <c r="Q11869" s="26" t="str">
        <f>HYPERLINK("https://ictv.global/taxonomy/taxondetails?taxnode_id=202517015&amp;ictv_id=ICTV202317015","ICTV202317015")</f>
        <v>ICTV202317015</v>
      </c>
      <c r="R11869" t="s">
        <v>581</v>
      </c>
      <c r="S11869" t="s">
        <v>823</v>
      </c>
      <c r="T11869">
        <v>39</v>
      </c>
      <c r="U11869" s="26" t="str">
        <f>HYPERLINK("https://ictv.global/ictv/proposals/2023.001B.Leviviricetes_reorg.zip","2023.001B.Leviviricetes_reorg.zip")</f>
        <v>2023.001B.Leviviricetes_reorg.zip</v>
      </c>
    </row>
    <row r="11870" spans="1:21">
      <c r="A11870">
        <v>11869</v>
      </c>
      <c r="B11870" s="27" t="s">
        <v>1124</v>
      </c>
      <c r="D11870" s="27" t="s">
        <v>1859</v>
      </c>
      <c r="F11870" s="27" t="s">
        <v>1881</v>
      </c>
      <c r="H11870" s="27" t="s">
        <v>2679</v>
      </c>
      <c r="J11870" s="27" t="s">
        <v>3210</v>
      </c>
      <c r="L11870" s="27" t="s">
        <v>3262</v>
      </c>
      <c r="N11870" s="27" t="s">
        <v>3297</v>
      </c>
      <c r="P11870" s="27" t="s">
        <v>3298</v>
      </c>
      <c r="Q11870" s="26" t="str">
        <f>HYPERLINK("https://ictv.global/taxonomy/taxondetails?taxnode_id=202511110&amp;ictv_id=ICTV202011110","ICTV202011110")</f>
        <v>ICTV202011110</v>
      </c>
      <c r="R11870" t="s">
        <v>581</v>
      </c>
      <c r="S11870" t="s">
        <v>823</v>
      </c>
      <c r="T11870">
        <v>36</v>
      </c>
      <c r="U11870" s="26" t="str">
        <f>HYPERLINK("https://ictv.global/ictv/proposals/2020.095B.R.Leviviricetes.zip","2020.095B.R.Leviviricetes.zip")</f>
        <v>2020.095B.R.Leviviricetes.zip</v>
      </c>
    </row>
    <row r="11871" spans="1:21">
      <c r="A11871">
        <v>11870</v>
      </c>
      <c r="B11871" s="27" t="s">
        <v>1124</v>
      </c>
      <c r="D11871" s="27" t="s">
        <v>1859</v>
      </c>
      <c r="F11871" s="27" t="s">
        <v>1881</v>
      </c>
      <c r="H11871" s="27" t="s">
        <v>2679</v>
      </c>
      <c r="J11871" s="27" t="s">
        <v>3210</v>
      </c>
      <c r="L11871" s="27" t="s">
        <v>3262</v>
      </c>
      <c r="N11871" s="27" t="s">
        <v>3299</v>
      </c>
      <c r="P11871" s="27" t="s">
        <v>3300</v>
      </c>
      <c r="Q11871" s="26" t="str">
        <f>HYPERLINK("https://ictv.global/taxonomy/taxondetails?taxnode_id=202511112&amp;ictv_id=ICTV202011112","ICTV202011112")</f>
        <v>ICTV202011112</v>
      </c>
      <c r="R11871" t="s">
        <v>581</v>
      </c>
      <c r="S11871" t="s">
        <v>823</v>
      </c>
      <c r="T11871">
        <v>36</v>
      </c>
      <c r="U11871" s="26" t="str">
        <f>HYPERLINK("https://ictv.global/ictv/proposals/2020.095B.R.Leviviricetes.zip","2020.095B.R.Leviviricetes.zip")</f>
        <v>2020.095B.R.Leviviricetes.zip</v>
      </c>
    </row>
    <row r="11872" spans="1:21">
      <c r="A11872">
        <v>11871</v>
      </c>
      <c r="B11872" s="27" t="s">
        <v>1124</v>
      </c>
      <c r="D11872" s="27" t="s">
        <v>1859</v>
      </c>
      <c r="F11872" s="27" t="s">
        <v>1881</v>
      </c>
      <c r="H11872" s="27" t="s">
        <v>2679</v>
      </c>
      <c r="J11872" s="27" t="s">
        <v>3210</v>
      </c>
      <c r="L11872" s="27" t="s">
        <v>3262</v>
      </c>
      <c r="N11872" s="27" t="s">
        <v>3301</v>
      </c>
      <c r="P11872" s="27" t="s">
        <v>15705</v>
      </c>
      <c r="Q11872" s="26" t="str">
        <f>HYPERLINK("https://ictv.global/taxonomy/taxondetails?taxnode_id=202517016&amp;ictv_id=ICTV202317016","ICTV202317016")</f>
        <v>ICTV202317016</v>
      </c>
      <c r="R11872" t="s">
        <v>581</v>
      </c>
      <c r="S11872" t="s">
        <v>823</v>
      </c>
      <c r="T11872">
        <v>39</v>
      </c>
      <c r="U11872" s="26" t="str">
        <f>HYPERLINK("https://ictv.global/ictv/proposals/2023.001B.Leviviricetes_reorg.zip","2023.001B.Leviviricetes_reorg.zip")</f>
        <v>2023.001B.Leviviricetes_reorg.zip</v>
      </c>
    </row>
    <row r="11873" spans="1:21">
      <c r="A11873">
        <v>11872</v>
      </c>
      <c r="B11873" s="27" t="s">
        <v>1124</v>
      </c>
      <c r="D11873" s="27" t="s">
        <v>1859</v>
      </c>
      <c r="F11873" s="27" t="s">
        <v>1881</v>
      </c>
      <c r="H11873" s="27" t="s">
        <v>2679</v>
      </c>
      <c r="J11873" s="27" t="s">
        <v>3210</v>
      </c>
      <c r="L11873" s="27" t="s">
        <v>3262</v>
      </c>
      <c r="N11873" s="27" t="s">
        <v>3301</v>
      </c>
      <c r="P11873" s="27" t="s">
        <v>3302</v>
      </c>
      <c r="Q11873" s="26" t="str">
        <f>HYPERLINK("https://ictv.global/taxonomy/taxondetails?taxnode_id=202511114&amp;ictv_id=ICTV202011114","ICTV202011114")</f>
        <v>ICTV202011114</v>
      </c>
      <c r="R11873" t="s">
        <v>581</v>
      </c>
      <c r="S11873" t="s">
        <v>823</v>
      </c>
      <c r="T11873">
        <v>36</v>
      </c>
      <c r="U11873" s="26" t="str">
        <f>HYPERLINK("https://ictv.global/ictv/proposals/2020.095B.R.Leviviricetes.zip","2020.095B.R.Leviviricetes.zip")</f>
        <v>2020.095B.R.Leviviricetes.zip</v>
      </c>
    </row>
    <row r="11874" spans="1:21">
      <c r="A11874">
        <v>11873</v>
      </c>
      <c r="B11874" s="27" t="s">
        <v>1124</v>
      </c>
      <c r="D11874" s="27" t="s">
        <v>1859</v>
      </c>
      <c r="F11874" s="27" t="s">
        <v>1881</v>
      </c>
      <c r="H11874" s="27" t="s">
        <v>2679</v>
      </c>
      <c r="J11874" s="27" t="s">
        <v>3210</v>
      </c>
      <c r="L11874" s="27" t="s">
        <v>3262</v>
      </c>
      <c r="N11874" s="27" t="s">
        <v>3301</v>
      </c>
      <c r="P11874" s="27" t="s">
        <v>15706</v>
      </c>
      <c r="Q11874" s="26" t="str">
        <f>HYPERLINK("https://ictv.global/taxonomy/taxondetails?taxnode_id=202517017&amp;ictv_id=ICTV202317017","ICTV202317017")</f>
        <v>ICTV202317017</v>
      </c>
      <c r="R11874" t="s">
        <v>581</v>
      </c>
      <c r="S11874" t="s">
        <v>823</v>
      </c>
      <c r="T11874">
        <v>39</v>
      </c>
      <c r="U11874" s="26" t="str">
        <f>HYPERLINK("https://ictv.global/ictv/proposals/2023.001B.Leviviricetes_reorg.zip","2023.001B.Leviviricetes_reorg.zip")</f>
        <v>2023.001B.Leviviricetes_reorg.zip</v>
      </c>
    </row>
    <row r="11875" spans="1:21">
      <c r="A11875">
        <v>11874</v>
      </c>
      <c r="B11875" s="27" t="s">
        <v>1124</v>
      </c>
      <c r="D11875" s="27" t="s">
        <v>1859</v>
      </c>
      <c r="F11875" s="27" t="s">
        <v>1881</v>
      </c>
      <c r="H11875" s="27" t="s">
        <v>2679</v>
      </c>
      <c r="J11875" s="27" t="s">
        <v>3210</v>
      </c>
      <c r="L11875" s="27" t="s">
        <v>3262</v>
      </c>
      <c r="N11875" s="27" t="s">
        <v>3303</v>
      </c>
      <c r="P11875" s="27" t="s">
        <v>3304</v>
      </c>
      <c r="Q11875" s="26" t="str">
        <f>HYPERLINK("https://ictv.global/taxonomy/taxondetails?taxnode_id=202511116&amp;ictv_id=ICTV202011116","ICTV202011116")</f>
        <v>ICTV202011116</v>
      </c>
      <c r="R11875" t="s">
        <v>581</v>
      </c>
      <c r="S11875" t="s">
        <v>823</v>
      </c>
      <c r="T11875">
        <v>36</v>
      </c>
      <c r="U11875" s="26" t="str">
        <f>HYPERLINK("https://ictv.global/ictv/proposals/2020.095B.R.Leviviricetes.zip","2020.095B.R.Leviviricetes.zip")</f>
        <v>2020.095B.R.Leviviricetes.zip</v>
      </c>
    </row>
    <row r="11876" spans="1:21">
      <c r="A11876">
        <v>11875</v>
      </c>
      <c r="B11876" s="27" t="s">
        <v>1124</v>
      </c>
      <c r="D11876" s="27" t="s">
        <v>1859</v>
      </c>
      <c r="F11876" s="27" t="s">
        <v>1881</v>
      </c>
      <c r="H11876" s="27" t="s">
        <v>2679</v>
      </c>
      <c r="J11876" s="27" t="s">
        <v>3210</v>
      </c>
      <c r="L11876" s="27" t="s">
        <v>3262</v>
      </c>
      <c r="N11876" s="27" t="s">
        <v>3303</v>
      </c>
      <c r="P11876" s="27" t="s">
        <v>15707</v>
      </c>
      <c r="Q11876" s="26" t="str">
        <f>HYPERLINK("https://ictv.global/taxonomy/taxondetails?taxnode_id=202517018&amp;ictv_id=ICTV202317018","ICTV202317018")</f>
        <v>ICTV202317018</v>
      </c>
      <c r="R11876" t="s">
        <v>581</v>
      </c>
      <c r="S11876" t="s">
        <v>823</v>
      </c>
      <c r="T11876">
        <v>39</v>
      </c>
      <c r="U11876" s="26" t="str">
        <f>HYPERLINK("https://ictv.global/ictv/proposals/2023.001B.Leviviricetes_reorg.zip","2023.001B.Leviviricetes_reorg.zip")</f>
        <v>2023.001B.Leviviricetes_reorg.zip</v>
      </c>
    </row>
    <row r="11877" spans="1:21">
      <c r="A11877">
        <v>11876</v>
      </c>
      <c r="B11877" s="27" t="s">
        <v>1124</v>
      </c>
      <c r="D11877" s="27" t="s">
        <v>1859</v>
      </c>
      <c r="F11877" s="27" t="s">
        <v>1881</v>
      </c>
      <c r="H11877" s="27" t="s">
        <v>2679</v>
      </c>
      <c r="J11877" s="27" t="s">
        <v>3210</v>
      </c>
      <c r="L11877" s="27" t="s">
        <v>3262</v>
      </c>
      <c r="N11877" s="27" t="s">
        <v>3305</v>
      </c>
      <c r="P11877" s="27" t="s">
        <v>3306</v>
      </c>
      <c r="Q11877" s="26" t="str">
        <f>HYPERLINK("https://ictv.global/taxonomy/taxondetails?taxnode_id=202511118&amp;ictv_id=ICTV202011118","ICTV202011118")</f>
        <v>ICTV202011118</v>
      </c>
      <c r="R11877" t="s">
        <v>581</v>
      </c>
      <c r="S11877" t="s">
        <v>823</v>
      </c>
      <c r="T11877">
        <v>36</v>
      </c>
      <c r="U11877" s="26" t="str">
        <f>HYPERLINK("https://ictv.global/ictv/proposals/2020.095B.R.Leviviricetes.zip","2020.095B.R.Leviviricetes.zip")</f>
        <v>2020.095B.R.Leviviricetes.zip</v>
      </c>
    </row>
    <row r="11878" spans="1:21">
      <c r="A11878">
        <v>11877</v>
      </c>
      <c r="B11878" s="27" t="s">
        <v>1124</v>
      </c>
      <c r="D11878" s="27" t="s">
        <v>1859</v>
      </c>
      <c r="F11878" s="27" t="s">
        <v>1881</v>
      </c>
      <c r="H11878" s="27" t="s">
        <v>2679</v>
      </c>
      <c r="J11878" s="27" t="s">
        <v>3210</v>
      </c>
      <c r="L11878" s="27" t="s">
        <v>3262</v>
      </c>
      <c r="N11878" s="27" t="s">
        <v>3305</v>
      </c>
      <c r="P11878" s="27" t="s">
        <v>3307</v>
      </c>
      <c r="Q11878" s="26" t="str">
        <f>HYPERLINK("https://ictv.global/taxonomy/taxondetails?taxnode_id=202511119&amp;ictv_id=ICTV202011119","ICTV202011119")</f>
        <v>ICTV202011119</v>
      </c>
      <c r="R11878" t="s">
        <v>581</v>
      </c>
      <c r="S11878" t="s">
        <v>823</v>
      </c>
      <c r="T11878">
        <v>36</v>
      </c>
      <c r="U11878" s="26" t="str">
        <f>HYPERLINK("https://ictv.global/ictv/proposals/2020.095B.R.Leviviricetes.zip","2020.095B.R.Leviviricetes.zip")</f>
        <v>2020.095B.R.Leviviricetes.zip</v>
      </c>
    </row>
    <row r="11879" spans="1:21">
      <c r="A11879">
        <v>11878</v>
      </c>
      <c r="B11879" s="27" t="s">
        <v>1124</v>
      </c>
      <c r="D11879" s="27" t="s">
        <v>1859</v>
      </c>
      <c r="F11879" s="27" t="s">
        <v>1881</v>
      </c>
      <c r="H11879" s="27" t="s">
        <v>2679</v>
      </c>
      <c r="J11879" s="27" t="s">
        <v>3210</v>
      </c>
      <c r="L11879" s="27" t="s">
        <v>3262</v>
      </c>
      <c r="N11879" s="27" t="s">
        <v>3305</v>
      </c>
      <c r="P11879" s="27" t="s">
        <v>15708</v>
      </c>
      <c r="Q11879" s="26" t="str">
        <f>HYPERLINK("https://ictv.global/taxonomy/taxondetails?taxnode_id=202517019&amp;ictv_id=ICTV202317019","ICTV202317019")</f>
        <v>ICTV202317019</v>
      </c>
      <c r="R11879" t="s">
        <v>581</v>
      </c>
      <c r="S11879" t="s">
        <v>823</v>
      </c>
      <c r="T11879">
        <v>39</v>
      </c>
      <c r="U11879" s="26" t="str">
        <f>HYPERLINK("https://ictv.global/ictv/proposals/2023.001B.Leviviricetes_reorg.zip","2023.001B.Leviviricetes_reorg.zip")</f>
        <v>2023.001B.Leviviricetes_reorg.zip</v>
      </c>
    </row>
    <row r="11880" spans="1:21">
      <c r="A11880">
        <v>11879</v>
      </c>
      <c r="B11880" s="27" t="s">
        <v>1124</v>
      </c>
      <c r="D11880" s="27" t="s">
        <v>1859</v>
      </c>
      <c r="F11880" s="27" t="s">
        <v>1881</v>
      </c>
      <c r="H11880" s="27" t="s">
        <v>2679</v>
      </c>
      <c r="J11880" s="27" t="s">
        <v>3210</v>
      </c>
      <c r="L11880" s="27" t="s">
        <v>3262</v>
      </c>
      <c r="N11880" s="27" t="s">
        <v>3305</v>
      </c>
      <c r="P11880" s="27" t="s">
        <v>15709</v>
      </c>
      <c r="Q11880" s="26" t="str">
        <f>HYPERLINK("https://ictv.global/taxonomy/taxondetails?taxnode_id=202517020&amp;ictv_id=ICTV202317020","ICTV202317020")</f>
        <v>ICTV202317020</v>
      </c>
      <c r="R11880" t="s">
        <v>581</v>
      </c>
      <c r="S11880" t="s">
        <v>823</v>
      </c>
      <c r="T11880">
        <v>39</v>
      </c>
      <c r="U11880" s="26" t="str">
        <f>HYPERLINK("https://ictv.global/ictv/proposals/2023.001B.Leviviricetes_reorg.zip","2023.001B.Leviviricetes_reorg.zip")</f>
        <v>2023.001B.Leviviricetes_reorg.zip</v>
      </c>
    </row>
    <row r="11881" spans="1:21">
      <c r="A11881">
        <v>11880</v>
      </c>
      <c r="B11881" s="27" t="s">
        <v>1124</v>
      </c>
      <c r="D11881" s="27" t="s">
        <v>1859</v>
      </c>
      <c r="F11881" s="27" t="s">
        <v>1881</v>
      </c>
      <c r="H11881" s="27" t="s">
        <v>2679</v>
      </c>
      <c r="J11881" s="27" t="s">
        <v>3210</v>
      </c>
      <c r="L11881" s="27" t="s">
        <v>3262</v>
      </c>
      <c r="N11881" s="27" t="s">
        <v>3308</v>
      </c>
      <c r="P11881" s="27" t="s">
        <v>3309</v>
      </c>
      <c r="Q11881" s="26" t="str">
        <f>HYPERLINK("https://ictv.global/taxonomy/taxondetails?taxnode_id=202511121&amp;ictv_id=ICTV202011121","ICTV202011121")</f>
        <v>ICTV202011121</v>
      </c>
      <c r="R11881" t="s">
        <v>581</v>
      </c>
      <c r="S11881" t="s">
        <v>823</v>
      </c>
      <c r="T11881">
        <v>36</v>
      </c>
      <c r="U11881" s="26" t="str">
        <f>HYPERLINK("https://ictv.global/ictv/proposals/2020.095B.R.Leviviricetes.zip","2020.095B.R.Leviviricetes.zip")</f>
        <v>2020.095B.R.Leviviricetes.zip</v>
      </c>
    </row>
    <row r="11882" spans="1:21">
      <c r="A11882">
        <v>11881</v>
      </c>
      <c r="B11882" s="27" t="s">
        <v>1124</v>
      </c>
      <c r="D11882" s="27" t="s">
        <v>1859</v>
      </c>
      <c r="F11882" s="27" t="s">
        <v>1881</v>
      </c>
      <c r="H11882" s="27" t="s">
        <v>2679</v>
      </c>
      <c r="J11882" s="27" t="s">
        <v>3210</v>
      </c>
      <c r="L11882" s="27" t="s">
        <v>3262</v>
      </c>
      <c r="N11882" s="27" t="s">
        <v>3310</v>
      </c>
      <c r="P11882" s="27" t="s">
        <v>15710</v>
      </c>
      <c r="Q11882" s="26" t="str">
        <f>HYPERLINK("https://ictv.global/taxonomy/taxondetails?taxnode_id=202511077&amp;ictv_id=ICTV202011077","ICTV202011077")</f>
        <v>ICTV202011077</v>
      </c>
      <c r="R11882" t="s">
        <v>581</v>
      </c>
      <c r="S11882" t="s">
        <v>22764</v>
      </c>
      <c r="T11882">
        <v>39</v>
      </c>
      <c r="U11882" s="26" t="str">
        <f t="shared" ref="U11882:U11887" si="441">HYPERLINK("https://ictv.global/ictv/proposals/2023.001B.Leviviricetes_reorg.zip","2023.001B.Leviviricetes_reorg.zip")</f>
        <v>2023.001B.Leviviricetes_reorg.zip</v>
      </c>
    </row>
    <row r="11883" spans="1:21">
      <c r="A11883">
        <v>11882</v>
      </c>
      <c r="B11883" s="27" t="s">
        <v>1124</v>
      </c>
      <c r="D11883" s="27" t="s">
        <v>1859</v>
      </c>
      <c r="F11883" s="27" t="s">
        <v>1881</v>
      </c>
      <c r="H11883" s="27" t="s">
        <v>2679</v>
      </c>
      <c r="J11883" s="27" t="s">
        <v>3210</v>
      </c>
      <c r="L11883" s="27" t="s">
        <v>3262</v>
      </c>
      <c r="N11883" s="27" t="s">
        <v>3310</v>
      </c>
      <c r="P11883" s="27" t="s">
        <v>15711</v>
      </c>
      <c r="Q11883" s="26" t="str">
        <f>HYPERLINK("https://ictv.global/taxonomy/taxondetails?taxnode_id=202517021&amp;ictv_id=ICTV202317021","ICTV202317021")</f>
        <v>ICTV202317021</v>
      </c>
      <c r="R11883" t="s">
        <v>581</v>
      </c>
      <c r="S11883" t="s">
        <v>823</v>
      </c>
      <c r="T11883">
        <v>39</v>
      </c>
      <c r="U11883" s="26" t="str">
        <f t="shared" si="441"/>
        <v>2023.001B.Leviviricetes_reorg.zip</v>
      </c>
    </row>
    <row r="11884" spans="1:21">
      <c r="A11884">
        <v>11883</v>
      </c>
      <c r="B11884" s="27" t="s">
        <v>1124</v>
      </c>
      <c r="D11884" s="27" t="s">
        <v>1859</v>
      </c>
      <c r="F11884" s="27" t="s">
        <v>1881</v>
      </c>
      <c r="H11884" s="27" t="s">
        <v>2679</v>
      </c>
      <c r="J11884" s="27" t="s">
        <v>3210</v>
      </c>
      <c r="L11884" s="27" t="s">
        <v>3262</v>
      </c>
      <c r="N11884" s="27" t="s">
        <v>3310</v>
      </c>
      <c r="P11884" s="27" t="s">
        <v>15712</v>
      </c>
      <c r="Q11884" s="26" t="str">
        <f>HYPERLINK("https://ictv.global/taxonomy/taxondetails?taxnode_id=202517022&amp;ictv_id=ICTV202317022","ICTV202317022")</f>
        <v>ICTV202317022</v>
      </c>
      <c r="R11884" t="s">
        <v>581</v>
      </c>
      <c r="S11884" t="s">
        <v>823</v>
      </c>
      <c r="T11884">
        <v>39</v>
      </c>
      <c r="U11884" s="26" t="str">
        <f t="shared" si="441"/>
        <v>2023.001B.Leviviricetes_reorg.zip</v>
      </c>
    </row>
    <row r="11885" spans="1:21">
      <c r="A11885">
        <v>11884</v>
      </c>
      <c r="B11885" s="27" t="s">
        <v>1124</v>
      </c>
      <c r="D11885" s="27" t="s">
        <v>1859</v>
      </c>
      <c r="F11885" s="27" t="s">
        <v>1881</v>
      </c>
      <c r="H11885" s="27" t="s">
        <v>2679</v>
      </c>
      <c r="J11885" s="27" t="s">
        <v>3210</v>
      </c>
      <c r="L11885" s="27" t="s">
        <v>3262</v>
      </c>
      <c r="N11885" s="27" t="s">
        <v>3310</v>
      </c>
      <c r="P11885" s="27" t="s">
        <v>15713</v>
      </c>
      <c r="Q11885" s="26" t="str">
        <f>HYPERLINK("https://ictv.global/taxonomy/taxondetails?taxnode_id=202517023&amp;ictv_id=ICTV202317023","ICTV202317023")</f>
        <v>ICTV202317023</v>
      </c>
      <c r="R11885" t="s">
        <v>581</v>
      </c>
      <c r="S11885" t="s">
        <v>823</v>
      </c>
      <c r="T11885">
        <v>39</v>
      </c>
      <c r="U11885" s="26" t="str">
        <f t="shared" si="441"/>
        <v>2023.001B.Leviviricetes_reorg.zip</v>
      </c>
    </row>
    <row r="11886" spans="1:21">
      <c r="A11886">
        <v>11885</v>
      </c>
      <c r="B11886" s="27" t="s">
        <v>1124</v>
      </c>
      <c r="D11886" s="27" t="s">
        <v>1859</v>
      </c>
      <c r="F11886" s="27" t="s">
        <v>1881</v>
      </c>
      <c r="H11886" s="27" t="s">
        <v>2679</v>
      </c>
      <c r="J11886" s="27" t="s">
        <v>3210</v>
      </c>
      <c r="L11886" s="27" t="s">
        <v>3262</v>
      </c>
      <c r="N11886" s="27" t="s">
        <v>3310</v>
      </c>
      <c r="P11886" s="27" t="s">
        <v>15714</v>
      </c>
      <c r="Q11886" s="26" t="str">
        <f>HYPERLINK("https://ictv.global/taxonomy/taxondetails?taxnode_id=202517024&amp;ictv_id=ICTV202317024","ICTV202317024")</f>
        <v>ICTV202317024</v>
      </c>
      <c r="R11886" t="s">
        <v>581</v>
      </c>
      <c r="S11886" t="s">
        <v>823</v>
      </c>
      <c r="T11886">
        <v>39</v>
      </c>
      <c r="U11886" s="26" t="str">
        <f t="shared" si="441"/>
        <v>2023.001B.Leviviricetes_reorg.zip</v>
      </c>
    </row>
    <row r="11887" spans="1:21">
      <c r="A11887">
        <v>11886</v>
      </c>
      <c r="B11887" s="27" t="s">
        <v>1124</v>
      </c>
      <c r="D11887" s="27" t="s">
        <v>1859</v>
      </c>
      <c r="F11887" s="27" t="s">
        <v>1881</v>
      </c>
      <c r="H11887" s="27" t="s">
        <v>2679</v>
      </c>
      <c r="J11887" s="27" t="s">
        <v>3210</v>
      </c>
      <c r="L11887" s="27" t="s">
        <v>3262</v>
      </c>
      <c r="N11887" s="27" t="s">
        <v>3310</v>
      </c>
      <c r="P11887" s="27" t="s">
        <v>15715</v>
      </c>
      <c r="Q11887" s="26" t="str">
        <f>HYPERLINK("https://ictv.global/taxonomy/taxondetails?taxnode_id=202511369&amp;ictv_id=ICTV202011369","ICTV202011369")</f>
        <v>ICTV202011369</v>
      </c>
      <c r="R11887" t="s">
        <v>581</v>
      </c>
      <c r="S11887" t="s">
        <v>22764</v>
      </c>
      <c r="T11887">
        <v>39</v>
      </c>
      <c r="U11887" s="26" t="str">
        <f t="shared" si="441"/>
        <v>2023.001B.Leviviricetes_reorg.zip</v>
      </c>
    </row>
    <row r="11888" spans="1:21">
      <c r="A11888">
        <v>11887</v>
      </c>
      <c r="B11888" s="27" t="s">
        <v>1124</v>
      </c>
      <c r="D11888" s="27" t="s">
        <v>1859</v>
      </c>
      <c r="F11888" s="27" t="s">
        <v>1881</v>
      </c>
      <c r="H11888" s="27" t="s">
        <v>2679</v>
      </c>
      <c r="J11888" s="27" t="s">
        <v>3210</v>
      </c>
      <c r="L11888" s="27" t="s">
        <v>3262</v>
      </c>
      <c r="N11888" s="27" t="s">
        <v>3310</v>
      </c>
      <c r="P11888" s="27" t="s">
        <v>3311</v>
      </c>
      <c r="Q11888" s="26" t="str">
        <f>HYPERLINK("https://ictv.global/taxonomy/taxondetails?taxnode_id=202511123&amp;ictv_id=ICTV202011123","ICTV202011123")</f>
        <v>ICTV202011123</v>
      </c>
      <c r="R11888" t="s">
        <v>581</v>
      </c>
      <c r="S11888" t="s">
        <v>823</v>
      </c>
      <c r="T11888">
        <v>36</v>
      </c>
      <c r="U11888" s="26" t="str">
        <f>HYPERLINK("https://ictv.global/ictv/proposals/2020.095B.R.Leviviricetes.zip","2020.095B.R.Leviviricetes.zip")</f>
        <v>2020.095B.R.Leviviricetes.zip</v>
      </c>
    </row>
    <row r="11889" spans="1:21">
      <c r="A11889">
        <v>11888</v>
      </c>
      <c r="B11889" s="27" t="s">
        <v>1124</v>
      </c>
      <c r="D11889" s="27" t="s">
        <v>1859</v>
      </c>
      <c r="F11889" s="27" t="s">
        <v>1881</v>
      </c>
      <c r="H11889" s="27" t="s">
        <v>2679</v>
      </c>
      <c r="J11889" s="27" t="s">
        <v>3210</v>
      </c>
      <c r="L11889" s="27" t="s">
        <v>3262</v>
      </c>
      <c r="N11889" s="27" t="s">
        <v>3310</v>
      </c>
      <c r="P11889" s="27" t="s">
        <v>15716</v>
      </c>
      <c r="Q11889" s="26" t="str">
        <f>HYPERLINK("https://ictv.global/taxonomy/taxondetails?taxnode_id=202517025&amp;ictv_id=ICTV202317025","ICTV202317025")</f>
        <v>ICTV202317025</v>
      </c>
      <c r="R11889" t="s">
        <v>581</v>
      </c>
      <c r="S11889" t="s">
        <v>823</v>
      </c>
      <c r="T11889">
        <v>39</v>
      </c>
      <c r="U11889" s="26" t="str">
        <f>HYPERLINK("https://ictv.global/ictv/proposals/2023.001B.Leviviricetes_reorg.zip","2023.001B.Leviviricetes_reorg.zip")</f>
        <v>2023.001B.Leviviricetes_reorg.zip</v>
      </c>
    </row>
    <row r="11890" spans="1:21">
      <c r="A11890">
        <v>11889</v>
      </c>
      <c r="B11890" s="27" t="s">
        <v>1124</v>
      </c>
      <c r="D11890" s="27" t="s">
        <v>1859</v>
      </c>
      <c r="F11890" s="27" t="s">
        <v>1881</v>
      </c>
      <c r="H11890" s="27" t="s">
        <v>2679</v>
      </c>
      <c r="J11890" s="27" t="s">
        <v>3210</v>
      </c>
      <c r="L11890" s="27" t="s">
        <v>3262</v>
      </c>
      <c r="N11890" s="27" t="s">
        <v>3310</v>
      </c>
      <c r="P11890" s="27" t="s">
        <v>15717</v>
      </c>
      <c r="Q11890" s="26" t="str">
        <f>HYPERLINK("https://ictv.global/taxonomy/taxondetails?taxnode_id=202517026&amp;ictv_id=ICTV202317026","ICTV202317026")</f>
        <v>ICTV202317026</v>
      </c>
      <c r="R11890" t="s">
        <v>581</v>
      </c>
      <c r="S11890" t="s">
        <v>823</v>
      </c>
      <c r="T11890">
        <v>39</v>
      </c>
      <c r="U11890" s="26" t="str">
        <f>HYPERLINK("https://ictv.global/ictv/proposals/2023.001B.Leviviricetes_reorg.zip","2023.001B.Leviviricetes_reorg.zip")</f>
        <v>2023.001B.Leviviricetes_reorg.zip</v>
      </c>
    </row>
    <row r="11891" spans="1:21">
      <c r="A11891">
        <v>11890</v>
      </c>
      <c r="B11891" s="27" t="s">
        <v>1124</v>
      </c>
      <c r="D11891" s="27" t="s">
        <v>1859</v>
      </c>
      <c r="F11891" s="27" t="s">
        <v>1881</v>
      </c>
      <c r="H11891" s="27" t="s">
        <v>2679</v>
      </c>
      <c r="J11891" s="27" t="s">
        <v>3210</v>
      </c>
      <c r="L11891" s="27" t="s">
        <v>3262</v>
      </c>
      <c r="N11891" s="27" t="s">
        <v>3310</v>
      </c>
      <c r="P11891" s="27" t="s">
        <v>15718</v>
      </c>
      <c r="Q11891" s="26" t="str">
        <f>HYPERLINK("https://ictv.global/taxonomy/taxondetails?taxnode_id=202517027&amp;ictv_id=ICTV202317027","ICTV202317027")</f>
        <v>ICTV202317027</v>
      </c>
      <c r="R11891" t="s">
        <v>581</v>
      </c>
      <c r="S11891" t="s">
        <v>823</v>
      </c>
      <c r="T11891">
        <v>39</v>
      </c>
      <c r="U11891" s="26" t="str">
        <f>HYPERLINK("https://ictv.global/ictv/proposals/2023.001B.Leviviricetes_reorg.zip","2023.001B.Leviviricetes_reorg.zip")</f>
        <v>2023.001B.Leviviricetes_reorg.zip</v>
      </c>
    </row>
    <row r="11892" spans="1:21">
      <c r="A11892">
        <v>11891</v>
      </c>
      <c r="B11892" s="27" t="s">
        <v>1124</v>
      </c>
      <c r="D11892" s="27" t="s">
        <v>1859</v>
      </c>
      <c r="F11892" s="27" t="s">
        <v>1881</v>
      </c>
      <c r="H11892" s="27" t="s">
        <v>2679</v>
      </c>
      <c r="J11892" s="27" t="s">
        <v>3210</v>
      </c>
      <c r="L11892" s="27" t="s">
        <v>3262</v>
      </c>
      <c r="N11892" s="27" t="s">
        <v>3312</v>
      </c>
      <c r="P11892" s="27" t="s">
        <v>15719</v>
      </c>
      <c r="Q11892" s="26" t="str">
        <f>HYPERLINK("https://ictv.global/taxonomy/taxondetails?taxnode_id=202517028&amp;ictv_id=ICTV202317028","ICTV202317028")</f>
        <v>ICTV202317028</v>
      </c>
      <c r="R11892" t="s">
        <v>581</v>
      </c>
      <c r="S11892" t="s">
        <v>823</v>
      </c>
      <c r="T11892">
        <v>39</v>
      </c>
      <c r="U11892" s="26" t="str">
        <f>HYPERLINK("https://ictv.global/ictv/proposals/2023.001B.Leviviricetes_reorg.zip","2023.001B.Leviviricetes_reorg.zip")</f>
        <v>2023.001B.Leviviricetes_reorg.zip</v>
      </c>
    </row>
    <row r="11893" spans="1:21">
      <c r="A11893">
        <v>11892</v>
      </c>
      <c r="B11893" s="27" t="s">
        <v>1124</v>
      </c>
      <c r="D11893" s="27" t="s">
        <v>1859</v>
      </c>
      <c r="F11893" s="27" t="s">
        <v>1881</v>
      </c>
      <c r="H11893" s="27" t="s">
        <v>2679</v>
      </c>
      <c r="J11893" s="27" t="s">
        <v>3210</v>
      </c>
      <c r="L11893" s="27" t="s">
        <v>3262</v>
      </c>
      <c r="N11893" s="27" t="s">
        <v>3312</v>
      </c>
      <c r="P11893" s="27" t="s">
        <v>3313</v>
      </c>
      <c r="Q11893" s="26" t="str">
        <f>HYPERLINK("https://ictv.global/taxonomy/taxondetails?taxnode_id=202511125&amp;ictv_id=ICTV202011125","ICTV202011125")</f>
        <v>ICTV202011125</v>
      </c>
      <c r="R11893" t="s">
        <v>581</v>
      </c>
      <c r="S11893" t="s">
        <v>823</v>
      </c>
      <c r="T11893">
        <v>36</v>
      </c>
      <c r="U11893" s="26" t="str">
        <f>HYPERLINK("https://ictv.global/ictv/proposals/2020.095B.R.Leviviricetes.zip","2020.095B.R.Leviviricetes.zip")</f>
        <v>2020.095B.R.Leviviricetes.zip</v>
      </c>
    </row>
    <row r="11894" spans="1:21">
      <c r="A11894">
        <v>11893</v>
      </c>
      <c r="B11894" s="27" t="s">
        <v>1124</v>
      </c>
      <c r="D11894" s="27" t="s">
        <v>1859</v>
      </c>
      <c r="F11894" s="27" t="s">
        <v>1881</v>
      </c>
      <c r="H11894" s="27" t="s">
        <v>2679</v>
      </c>
      <c r="J11894" s="27" t="s">
        <v>3210</v>
      </c>
      <c r="L11894" s="27" t="s">
        <v>3262</v>
      </c>
      <c r="N11894" s="27" t="s">
        <v>3312</v>
      </c>
      <c r="P11894" s="27" t="s">
        <v>15720</v>
      </c>
      <c r="Q11894" s="26" t="str">
        <f>HYPERLINK("https://ictv.global/taxonomy/taxondetails?taxnode_id=202517029&amp;ictv_id=ICTV202317029","ICTV202317029")</f>
        <v>ICTV202317029</v>
      </c>
      <c r="R11894" t="s">
        <v>581</v>
      </c>
      <c r="S11894" t="s">
        <v>823</v>
      </c>
      <c r="T11894">
        <v>39</v>
      </c>
      <c r="U11894" s="26" t="str">
        <f>HYPERLINK("https://ictv.global/ictv/proposals/2023.001B.Leviviricetes_reorg.zip","2023.001B.Leviviricetes_reorg.zip")</f>
        <v>2023.001B.Leviviricetes_reorg.zip</v>
      </c>
    </row>
    <row r="11895" spans="1:21">
      <c r="A11895">
        <v>11894</v>
      </c>
      <c r="B11895" s="27" t="s">
        <v>1124</v>
      </c>
      <c r="D11895" s="27" t="s">
        <v>1859</v>
      </c>
      <c r="F11895" s="27" t="s">
        <v>1881</v>
      </c>
      <c r="H11895" s="27" t="s">
        <v>2679</v>
      </c>
      <c r="J11895" s="27" t="s">
        <v>3210</v>
      </c>
      <c r="L11895" s="27" t="s">
        <v>3262</v>
      </c>
      <c r="N11895" s="27" t="s">
        <v>3312</v>
      </c>
      <c r="P11895" s="27" t="s">
        <v>3314</v>
      </c>
      <c r="Q11895" s="26" t="str">
        <f>HYPERLINK("https://ictv.global/taxonomy/taxondetails?taxnode_id=202511126&amp;ictv_id=ICTV202011126","ICTV202011126")</f>
        <v>ICTV202011126</v>
      </c>
      <c r="R11895" t="s">
        <v>581</v>
      </c>
      <c r="S11895" t="s">
        <v>823</v>
      </c>
      <c r="T11895">
        <v>36</v>
      </c>
      <c r="U11895" s="26" t="str">
        <f>HYPERLINK("https://ictv.global/ictv/proposals/2020.095B.R.Leviviricetes.zip","2020.095B.R.Leviviricetes.zip")</f>
        <v>2020.095B.R.Leviviricetes.zip</v>
      </c>
    </row>
    <row r="11896" spans="1:21">
      <c r="A11896">
        <v>11895</v>
      </c>
      <c r="B11896" s="27" t="s">
        <v>1124</v>
      </c>
      <c r="D11896" s="27" t="s">
        <v>1859</v>
      </c>
      <c r="F11896" s="27" t="s">
        <v>1881</v>
      </c>
      <c r="H11896" s="27" t="s">
        <v>2679</v>
      </c>
      <c r="J11896" s="27" t="s">
        <v>3210</v>
      </c>
      <c r="L11896" s="27" t="s">
        <v>3262</v>
      </c>
      <c r="N11896" s="27" t="s">
        <v>3312</v>
      </c>
      <c r="P11896" s="27" t="s">
        <v>15721</v>
      </c>
      <c r="Q11896" s="26" t="str">
        <f>HYPERLINK("https://ictv.global/taxonomy/taxondetails?taxnode_id=202517030&amp;ictv_id=ICTV202317030","ICTV202317030")</f>
        <v>ICTV202317030</v>
      </c>
      <c r="R11896" t="s">
        <v>581</v>
      </c>
      <c r="S11896" t="s">
        <v>823</v>
      </c>
      <c r="T11896">
        <v>39</v>
      </c>
      <c r="U11896" s="26" t="str">
        <f t="shared" ref="U11896:U11906" si="442">HYPERLINK("https://ictv.global/ictv/proposals/2023.001B.Leviviricetes_reorg.zip","2023.001B.Leviviricetes_reorg.zip")</f>
        <v>2023.001B.Leviviricetes_reorg.zip</v>
      </c>
    </row>
    <row r="11897" spans="1:21">
      <c r="A11897">
        <v>11896</v>
      </c>
      <c r="B11897" s="27" t="s">
        <v>1124</v>
      </c>
      <c r="D11897" s="27" t="s">
        <v>1859</v>
      </c>
      <c r="F11897" s="27" t="s">
        <v>1881</v>
      </c>
      <c r="H11897" s="27" t="s">
        <v>2679</v>
      </c>
      <c r="J11897" s="27" t="s">
        <v>3210</v>
      </c>
      <c r="L11897" s="27" t="s">
        <v>3262</v>
      </c>
      <c r="N11897" s="27" t="s">
        <v>3315</v>
      </c>
      <c r="P11897" s="27" t="s">
        <v>15722</v>
      </c>
      <c r="Q11897" s="26" t="str">
        <f>HYPERLINK("https://ictv.global/taxonomy/taxondetails?taxnode_id=202511001&amp;ictv_id=ICTV202011001","ICTV202011001")</f>
        <v>ICTV202011001</v>
      </c>
      <c r="R11897" t="s">
        <v>581</v>
      </c>
      <c r="S11897" t="s">
        <v>22764</v>
      </c>
      <c r="T11897">
        <v>39</v>
      </c>
      <c r="U11897" s="26" t="str">
        <f t="shared" si="442"/>
        <v>2023.001B.Leviviricetes_reorg.zip</v>
      </c>
    </row>
    <row r="11898" spans="1:21">
      <c r="A11898">
        <v>11897</v>
      </c>
      <c r="B11898" s="27" t="s">
        <v>1124</v>
      </c>
      <c r="D11898" s="27" t="s">
        <v>1859</v>
      </c>
      <c r="F11898" s="27" t="s">
        <v>1881</v>
      </c>
      <c r="H11898" s="27" t="s">
        <v>2679</v>
      </c>
      <c r="J11898" s="27" t="s">
        <v>3210</v>
      </c>
      <c r="L11898" s="27" t="s">
        <v>3262</v>
      </c>
      <c r="N11898" s="27" t="s">
        <v>3315</v>
      </c>
      <c r="P11898" s="27" t="s">
        <v>15723</v>
      </c>
      <c r="Q11898" s="26" t="str">
        <f>HYPERLINK("https://ictv.global/taxonomy/taxondetails?taxnode_id=202511003&amp;ictv_id=ICTV202011003","ICTV202011003")</f>
        <v>ICTV202011003</v>
      </c>
      <c r="R11898" t="s">
        <v>581</v>
      </c>
      <c r="S11898" t="s">
        <v>22764</v>
      </c>
      <c r="T11898">
        <v>39</v>
      </c>
      <c r="U11898" s="26" t="str">
        <f t="shared" si="442"/>
        <v>2023.001B.Leviviricetes_reorg.zip</v>
      </c>
    </row>
    <row r="11899" spans="1:21">
      <c r="A11899">
        <v>11898</v>
      </c>
      <c r="B11899" s="27" t="s">
        <v>1124</v>
      </c>
      <c r="D11899" s="27" t="s">
        <v>1859</v>
      </c>
      <c r="F11899" s="27" t="s">
        <v>1881</v>
      </c>
      <c r="H11899" s="27" t="s">
        <v>2679</v>
      </c>
      <c r="J11899" s="27" t="s">
        <v>3210</v>
      </c>
      <c r="L11899" s="27" t="s">
        <v>3262</v>
      </c>
      <c r="N11899" s="27" t="s">
        <v>3315</v>
      </c>
      <c r="P11899" s="27" t="s">
        <v>15724</v>
      </c>
      <c r="Q11899" s="26" t="str">
        <f>HYPERLINK("https://ictv.global/taxonomy/taxondetails?taxnode_id=202517031&amp;ictv_id=ICTV202317031","ICTV202317031")</f>
        <v>ICTV202317031</v>
      </c>
      <c r="R11899" t="s">
        <v>581</v>
      </c>
      <c r="S11899" t="s">
        <v>823</v>
      </c>
      <c r="T11899">
        <v>39</v>
      </c>
      <c r="U11899" s="26" t="str">
        <f t="shared" si="442"/>
        <v>2023.001B.Leviviricetes_reorg.zip</v>
      </c>
    </row>
    <row r="11900" spans="1:21">
      <c r="A11900">
        <v>11899</v>
      </c>
      <c r="B11900" s="27" t="s">
        <v>1124</v>
      </c>
      <c r="D11900" s="27" t="s">
        <v>1859</v>
      </c>
      <c r="F11900" s="27" t="s">
        <v>1881</v>
      </c>
      <c r="H11900" s="27" t="s">
        <v>2679</v>
      </c>
      <c r="J11900" s="27" t="s">
        <v>3210</v>
      </c>
      <c r="L11900" s="27" t="s">
        <v>3262</v>
      </c>
      <c r="N11900" s="27" t="s">
        <v>3315</v>
      </c>
      <c r="P11900" s="27" t="s">
        <v>15725</v>
      </c>
      <c r="Q11900" s="26" t="str">
        <f>HYPERLINK("https://ictv.global/taxonomy/taxondetails?taxnode_id=202517032&amp;ictv_id=ICTV202317032","ICTV202317032")</f>
        <v>ICTV202317032</v>
      </c>
      <c r="R11900" t="s">
        <v>581</v>
      </c>
      <c r="S11900" t="s">
        <v>823</v>
      </c>
      <c r="T11900">
        <v>39</v>
      </c>
      <c r="U11900" s="26" t="str">
        <f t="shared" si="442"/>
        <v>2023.001B.Leviviricetes_reorg.zip</v>
      </c>
    </row>
    <row r="11901" spans="1:21">
      <c r="A11901">
        <v>11900</v>
      </c>
      <c r="B11901" s="27" t="s">
        <v>1124</v>
      </c>
      <c r="D11901" s="27" t="s">
        <v>1859</v>
      </c>
      <c r="F11901" s="27" t="s">
        <v>1881</v>
      </c>
      <c r="H11901" s="27" t="s">
        <v>2679</v>
      </c>
      <c r="J11901" s="27" t="s">
        <v>3210</v>
      </c>
      <c r="L11901" s="27" t="s">
        <v>3262</v>
      </c>
      <c r="N11901" s="27" t="s">
        <v>3315</v>
      </c>
      <c r="P11901" s="27" t="s">
        <v>15726</v>
      </c>
      <c r="Q11901" s="26" t="str">
        <f>HYPERLINK("https://ictv.global/taxonomy/taxondetails?taxnode_id=202517033&amp;ictv_id=ICTV202317033","ICTV202317033")</f>
        <v>ICTV202317033</v>
      </c>
      <c r="R11901" t="s">
        <v>581</v>
      </c>
      <c r="S11901" t="s">
        <v>823</v>
      </c>
      <c r="T11901">
        <v>39</v>
      </c>
      <c r="U11901" s="26" t="str">
        <f t="shared" si="442"/>
        <v>2023.001B.Leviviricetes_reorg.zip</v>
      </c>
    </row>
    <row r="11902" spans="1:21">
      <c r="A11902">
        <v>11901</v>
      </c>
      <c r="B11902" s="27" t="s">
        <v>1124</v>
      </c>
      <c r="D11902" s="27" t="s">
        <v>1859</v>
      </c>
      <c r="F11902" s="27" t="s">
        <v>1881</v>
      </c>
      <c r="H11902" s="27" t="s">
        <v>2679</v>
      </c>
      <c r="J11902" s="27" t="s">
        <v>3210</v>
      </c>
      <c r="L11902" s="27" t="s">
        <v>3262</v>
      </c>
      <c r="N11902" s="27" t="s">
        <v>3315</v>
      </c>
      <c r="P11902" s="27" t="s">
        <v>15727</v>
      </c>
      <c r="Q11902" s="26" t="str">
        <f>HYPERLINK("https://ictv.global/taxonomy/taxondetails?taxnode_id=202517034&amp;ictv_id=ICTV202317034","ICTV202317034")</f>
        <v>ICTV202317034</v>
      </c>
      <c r="R11902" t="s">
        <v>581</v>
      </c>
      <c r="S11902" t="s">
        <v>823</v>
      </c>
      <c r="T11902">
        <v>39</v>
      </c>
      <c r="U11902" s="26" t="str">
        <f t="shared" si="442"/>
        <v>2023.001B.Leviviricetes_reorg.zip</v>
      </c>
    </row>
    <row r="11903" spans="1:21">
      <c r="A11903">
        <v>11902</v>
      </c>
      <c r="B11903" s="27" t="s">
        <v>1124</v>
      </c>
      <c r="D11903" s="27" t="s">
        <v>1859</v>
      </c>
      <c r="F11903" s="27" t="s">
        <v>1881</v>
      </c>
      <c r="H11903" s="27" t="s">
        <v>2679</v>
      </c>
      <c r="J11903" s="27" t="s">
        <v>3210</v>
      </c>
      <c r="L11903" s="27" t="s">
        <v>3262</v>
      </c>
      <c r="N11903" s="27" t="s">
        <v>3315</v>
      </c>
      <c r="P11903" s="27" t="s">
        <v>15728</v>
      </c>
      <c r="Q11903" s="26" t="str">
        <f>HYPERLINK("https://ictv.global/taxonomy/taxondetails?taxnode_id=202517035&amp;ictv_id=ICTV202317035","ICTV202317035")</f>
        <v>ICTV202317035</v>
      </c>
      <c r="R11903" t="s">
        <v>581</v>
      </c>
      <c r="S11903" t="s">
        <v>823</v>
      </c>
      <c r="T11903">
        <v>39</v>
      </c>
      <c r="U11903" s="26" t="str">
        <f t="shared" si="442"/>
        <v>2023.001B.Leviviricetes_reorg.zip</v>
      </c>
    </row>
    <row r="11904" spans="1:21">
      <c r="A11904">
        <v>11903</v>
      </c>
      <c r="B11904" s="27" t="s">
        <v>1124</v>
      </c>
      <c r="D11904" s="27" t="s">
        <v>1859</v>
      </c>
      <c r="F11904" s="27" t="s">
        <v>1881</v>
      </c>
      <c r="H11904" s="27" t="s">
        <v>2679</v>
      </c>
      <c r="J11904" s="27" t="s">
        <v>3210</v>
      </c>
      <c r="L11904" s="27" t="s">
        <v>3262</v>
      </c>
      <c r="N11904" s="27" t="s">
        <v>3315</v>
      </c>
      <c r="P11904" s="27" t="s">
        <v>15729</v>
      </c>
      <c r="Q11904" s="26" t="str">
        <f>HYPERLINK("https://ictv.global/taxonomy/taxondetails?taxnode_id=202511002&amp;ictv_id=ICTV202011002","ICTV202011002")</f>
        <v>ICTV202011002</v>
      </c>
      <c r="R11904" t="s">
        <v>581</v>
      </c>
      <c r="S11904" t="s">
        <v>22764</v>
      </c>
      <c r="T11904">
        <v>39</v>
      </c>
      <c r="U11904" s="26" t="str">
        <f t="shared" si="442"/>
        <v>2023.001B.Leviviricetes_reorg.zip</v>
      </c>
    </row>
    <row r="11905" spans="1:21">
      <c r="A11905">
        <v>11904</v>
      </c>
      <c r="B11905" s="27" t="s">
        <v>1124</v>
      </c>
      <c r="D11905" s="27" t="s">
        <v>1859</v>
      </c>
      <c r="F11905" s="27" t="s">
        <v>1881</v>
      </c>
      <c r="H11905" s="27" t="s">
        <v>2679</v>
      </c>
      <c r="J11905" s="27" t="s">
        <v>3210</v>
      </c>
      <c r="L11905" s="27" t="s">
        <v>3262</v>
      </c>
      <c r="N11905" s="27" t="s">
        <v>3315</v>
      </c>
      <c r="P11905" s="27" t="s">
        <v>15730</v>
      </c>
      <c r="Q11905" s="26" t="str">
        <f>HYPERLINK("https://ictv.global/taxonomy/taxondetails?taxnode_id=202517036&amp;ictv_id=ICTV202317036","ICTV202317036")</f>
        <v>ICTV202317036</v>
      </c>
      <c r="R11905" t="s">
        <v>581</v>
      </c>
      <c r="S11905" t="s">
        <v>823</v>
      </c>
      <c r="T11905">
        <v>39</v>
      </c>
      <c r="U11905" s="26" t="str">
        <f t="shared" si="442"/>
        <v>2023.001B.Leviviricetes_reorg.zip</v>
      </c>
    </row>
    <row r="11906" spans="1:21">
      <c r="A11906">
        <v>11905</v>
      </c>
      <c r="B11906" s="27" t="s">
        <v>1124</v>
      </c>
      <c r="D11906" s="27" t="s">
        <v>1859</v>
      </c>
      <c r="F11906" s="27" t="s">
        <v>1881</v>
      </c>
      <c r="H11906" s="27" t="s">
        <v>2679</v>
      </c>
      <c r="J11906" s="27" t="s">
        <v>3210</v>
      </c>
      <c r="L11906" s="27" t="s">
        <v>3262</v>
      </c>
      <c r="N11906" s="27" t="s">
        <v>3315</v>
      </c>
      <c r="P11906" s="27" t="s">
        <v>15731</v>
      </c>
      <c r="Q11906" s="26" t="str">
        <f>HYPERLINK("https://ictv.global/taxonomy/taxondetails?taxnode_id=202517037&amp;ictv_id=ICTV202317037","ICTV202317037")</f>
        <v>ICTV202317037</v>
      </c>
      <c r="R11906" t="s">
        <v>581</v>
      </c>
      <c r="S11906" t="s">
        <v>823</v>
      </c>
      <c r="T11906">
        <v>39</v>
      </c>
      <c r="U11906" s="26" t="str">
        <f t="shared" si="442"/>
        <v>2023.001B.Leviviricetes_reorg.zip</v>
      </c>
    </row>
    <row r="11907" spans="1:21">
      <c r="A11907">
        <v>11906</v>
      </c>
      <c r="B11907" s="27" t="s">
        <v>1124</v>
      </c>
      <c r="D11907" s="27" t="s">
        <v>1859</v>
      </c>
      <c r="F11907" s="27" t="s">
        <v>1881</v>
      </c>
      <c r="H11907" s="27" t="s">
        <v>2679</v>
      </c>
      <c r="J11907" s="27" t="s">
        <v>3210</v>
      </c>
      <c r="L11907" s="27" t="s">
        <v>3262</v>
      </c>
      <c r="N11907" s="27" t="s">
        <v>3315</v>
      </c>
      <c r="P11907" s="27" t="s">
        <v>3316</v>
      </c>
      <c r="Q11907" s="26" t="str">
        <f>HYPERLINK("https://ictv.global/taxonomy/taxondetails?taxnode_id=202511131&amp;ictv_id=ICTV202011131","ICTV202011131")</f>
        <v>ICTV202011131</v>
      </c>
      <c r="R11907" t="s">
        <v>581</v>
      </c>
      <c r="S11907" t="s">
        <v>823</v>
      </c>
      <c r="T11907">
        <v>36</v>
      </c>
      <c r="U11907" s="26" t="str">
        <f>HYPERLINK("https://ictv.global/ictv/proposals/2020.095B.R.Leviviricetes.zip","2020.095B.R.Leviviricetes.zip")</f>
        <v>2020.095B.R.Leviviricetes.zip</v>
      </c>
    </row>
    <row r="11908" spans="1:21">
      <c r="A11908">
        <v>11907</v>
      </c>
      <c r="B11908" s="27" t="s">
        <v>1124</v>
      </c>
      <c r="D11908" s="27" t="s">
        <v>1859</v>
      </c>
      <c r="F11908" s="27" t="s">
        <v>1881</v>
      </c>
      <c r="H11908" s="27" t="s">
        <v>2679</v>
      </c>
      <c r="J11908" s="27" t="s">
        <v>3210</v>
      </c>
      <c r="L11908" s="27" t="s">
        <v>3262</v>
      </c>
      <c r="N11908" s="27" t="s">
        <v>3315</v>
      </c>
      <c r="P11908" s="27" t="s">
        <v>15732</v>
      </c>
      <c r="Q11908" s="26" t="str">
        <f>HYPERLINK("https://ictv.global/taxonomy/taxondetails?taxnode_id=202517038&amp;ictv_id=ICTV202317038","ICTV202317038")</f>
        <v>ICTV202317038</v>
      </c>
      <c r="R11908" t="s">
        <v>581</v>
      </c>
      <c r="S11908" t="s">
        <v>823</v>
      </c>
      <c r="T11908">
        <v>39</v>
      </c>
      <c r="U11908" s="26" t="str">
        <f>HYPERLINK("https://ictv.global/ictv/proposals/2023.001B.Leviviricetes_reorg.zip","2023.001B.Leviviricetes_reorg.zip")</f>
        <v>2023.001B.Leviviricetes_reorg.zip</v>
      </c>
    </row>
    <row r="11909" spans="1:21">
      <c r="A11909">
        <v>11908</v>
      </c>
      <c r="B11909" s="27" t="s">
        <v>1124</v>
      </c>
      <c r="D11909" s="27" t="s">
        <v>1859</v>
      </c>
      <c r="F11909" s="27" t="s">
        <v>1881</v>
      </c>
      <c r="H11909" s="27" t="s">
        <v>2679</v>
      </c>
      <c r="J11909" s="27" t="s">
        <v>3210</v>
      </c>
      <c r="L11909" s="27" t="s">
        <v>3262</v>
      </c>
      <c r="N11909" s="27" t="s">
        <v>3315</v>
      </c>
      <c r="P11909" s="27" t="s">
        <v>15733</v>
      </c>
      <c r="Q11909" s="26" t="str">
        <f>HYPERLINK("https://ictv.global/taxonomy/taxondetails?taxnode_id=202517039&amp;ictv_id=ICTV202317039","ICTV202317039")</f>
        <v>ICTV202317039</v>
      </c>
      <c r="R11909" t="s">
        <v>581</v>
      </c>
      <c r="S11909" t="s">
        <v>823</v>
      </c>
      <c r="T11909">
        <v>39</v>
      </c>
      <c r="U11909" s="26" t="str">
        <f>HYPERLINK("https://ictv.global/ictv/proposals/2023.001B.Leviviricetes_reorg.zip","2023.001B.Leviviricetes_reorg.zip")</f>
        <v>2023.001B.Leviviricetes_reorg.zip</v>
      </c>
    </row>
    <row r="11910" spans="1:21">
      <c r="A11910">
        <v>11909</v>
      </c>
      <c r="B11910" s="27" t="s">
        <v>1124</v>
      </c>
      <c r="D11910" s="27" t="s">
        <v>1859</v>
      </c>
      <c r="F11910" s="27" t="s">
        <v>1881</v>
      </c>
      <c r="H11910" s="27" t="s">
        <v>2679</v>
      </c>
      <c r="J11910" s="27" t="s">
        <v>3210</v>
      </c>
      <c r="L11910" s="27" t="s">
        <v>3262</v>
      </c>
      <c r="N11910" s="27" t="s">
        <v>3315</v>
      </c>
      <c r="P11910" s="27" t="s">
        <v>15734</v>
      </c>
      <c r="Q11910" s="26" t="str">
        <f>HYPERLINK("https://ictv.global/taxonomy/taxondetails?taxnode_id=202517040&amp;ictv_id=ICTV202317040","ICTV202317040")</f>
        <v>ICTV202317040</v>
      </c>
      <c r="R11910" t="s">
        <v>581</v>
      </c>
      <c r="S11910" t="s">
        <v>823</v>
      </c>
      <c r="T11910">
        <v>39</v>
      </c>
      <c r="U11910" s="26" t="str">
        <f>HYPERLINK("https://ictv.global/ictv/proposals/2023.001B.Leviviricetes_reorg.zip","2023.001B.Leviviricetes_reorg.zip")</f>
        <v>2023.001B.Leviviricetes_reorg.zip</v>
      </c>
    </row>
    <row r="11911" spans="1:21">
      <c r="A11911">
        <v>11910</v>
      </c>
      <c r="B11911" s="27" t="s">
        <v>1124</v>
      </c>
      <c r="D11911" s="27" t="s">
        <v>1859</v>
      </c>
      <c r="F11911" s="27" t="s">
        <v>1881</v>
      </c>
      <c r="H11911" s="27" t="s">
        <v>2679</v>
      </c>
      <c r="J11911" s="27" t="s">
        <v>3210</v>
      </c>
      <c r="L11911" s="27" t="s">
        <v>3262</v>
      </c>
      <c r="N11911" s="27" t="s">
        <v>3315</v>
      </c>
      <c r="P11911" s="27" t="s">
        <v>3317</v>
      </c>
      <c r="Q11911" s="26" t="str">
        <f>HYPERLINK("https://ictv.global/taxonomy/taxondetails?taxnode_id=202511130&amp;ictv_id=ICTV202011130","ICTV202011130")</f>
        <v>ICTV202011130</v>
      </c>
      <c r="R11911" t="s">
        <v>581</v>
      </c>
      <c r="S11911" t="s">
        <v>823</v>
      </c>
      <c r="T11911">
        <v>36</v>
      </c>
      <c r="U11911" s="26" t="str">
        <f>HYPERLINK("https://ictv.global/ictv/proposals/2020.095B.R.Leviviricetes.zip","2020.095B.R.Leviviricetes.zip")</f>
        <v>2020.095B.R.Leviviricetes.zip</v>
      </c>
    </row>
    <row r="11912" spans="1:21">
      <c r="A11912">
        <v>11911</v>
      </c>
      <c r="B11912" s="27" t="s">
        <v>1124</v>
      </c>
      <c r="D11912" s="27" t="s">
        <v>1859</v>
      </c>
      <c r="F11912" s="27" t="s">
        <v>1881</v>
      </c>
      <c r="H11912" s="27" t="s">
        <v>2679</v>
      </c>
      <c r="J11912" s="27" t="s">
        <v>3210</v>
      </c>
      <c r="L11912" s="27" t="s">
        <v>3262</v>
      </c>
      <c r="N11912" s="27" t="s">
        <v>3315</v>
      </c>
      <c r="P11912" s="27" t="s">
        <v>15735</v>
      </c>
      <c r="Q11912" s="26" t="str">
        <f>HYPERLINK("https://ictv.global/taxonomy/taxondetails?taxnode_id=202517041&amp;ictv_id=ICTV202317041","ICTV202317041")</f>
        <v>ICTV202317041</v>
      </c>
      <c r="R11912" t="s">
        <v>581</v>
      </c>
      <c r="S11912" t="s">
        <v>823</v>
      </c>
      <c r="T11912">
        <v>39</v>
      </c>
      <c r="U11912" s="26" t="str">
        <f t="shared" ref="U11912:U11943" si="443">HYPERLINK("https://ictv.global/ictv/proposals/2023.001B.Leviviricetes_reorg.zip","2023.001B.Leviviricetes_reorg.zip")</f>
        <v>2023.001B.Leviviricetes_reorg.zip</v>
      </c>
    </row>
    <row r="11913" spans="1:21">
      <c r="A11913">
        <v>11912</v>
      </c>
      <c r="B11913" s="27" t="s">
        <v>1124</v>
      </c>
      <c r="D11913" s="27" t="s">
        <v>1859</v>
      </c>
      <c r="F11913" s="27" t="s">
        <v>1881</v>
      </c>
      <c r="H11913" s="27" t="s">
        <v>2679</v>
      </c>
      <c r="J11913" s="27" t="s">
        <v>3210</v>
      </c>
      <c r="L11913" s="27" t="s">
        <v>3262</v>
      </c>
      <c r="N11913" s="27" t="s">
        <v>3315</v>
      </c>
      <c r="P11913" s="27" t="s">
        <v>15736</v>
      </c>
      <c r="Q11913" s="26" t="str">
        <f>HYPERLINK("https://ictv.global/taxonomy/taxondetails?taxnode_id=202517042&amp;ictv_id=ICTV202317042","ICTV202317042")</f>
        <v>ICTV202317042</v>
      </c>
      <c r="R11913" t="s">
        <v>581</v>
      </c>
      <c r="S11913" t="s">
        <v>823</v>
      </c>
      <c r="T11913">
        <v>39</v>
      </c>
      <c r="U11913" s="26" t="str">
        <f t="shared" si="443"/>
        <v>2023.001B.Leviviricetes_reorg.zip</v>
      </c>
    </row>
    <row r="11914" spans="1:21">
      <c r="A11914">
        <v>11913</v>
      </c>
      <c r="B11914" s="27" t="s">
        <v>1124</v>
      </c>
      <c r="D11914" s="27" t="s">
        <v>1859</v>
      </c>
      <c r="F11914" s="27" t="s">
        <v>1881</v>
      </c>
      <c r="H11914" s="27" t="s">
        <v>2679</v>
      </c>
      <c r="J11914" s="27" t="s">
        <v>3210</v>
      </c>
      <c r="L11914" s="27" t="s">
        <v>3262</v>
      </c>
      <c r="N11914" s="27" t="s">
        <v>3315</v>
      </c>
      <c r="P11914" s="27" t="s">
        <v>15737</v>
      </c>
      <c r="Q11914" s="26" t="str">
        <f>HYPERLINK("https://ictv.global/taxonomy/taxondetails?taxnode_id=202517043&amp;ictv_id=ICTV202317043","ICTV202317043")</f>
        <v>ICTV202317043</v>
      </c>
      <c r="R11914" t="s">
        <v>581</v>
      </c>
      <c r="S11914" t="s">
        <v>823</v>
      </c>
      <c r="T11914">
        <v>39</v>
      </c>
      <c r="U11914" s="26" t="str">
        <f t="shared" si="443"/>
        <v>2023.001B.Leviviricetes_reorg.zip</v>
      </c>
    </row>
    <row r="11915" spans="1:21">
      <c r="A11915">
        <v>11914</v>
      </c>
      <c r="B11915" s="27" t="s">
        <v>1124</v>
      </c>
      <c r="D11915" s="27" t="s">
        <v>1859</v>
      </c>
      <c r="F11915" s="27" t="s">
        <v>1881</v>
      </c>
      <c r="H11915" s="27" t="s">
        <v>2679</v>
      </c>
      <c r="J11915" s="27" t="s">
        <v>3210</v>
      </c>
      <c r="L11915" s="27" t="s">
        <v>3262</v>
      </c>
      <c r="N11915" s="27" t="s">
        <v>3315</v>
      </c>
      <c r="P11915" s="27" t="s">
        <v>15738</v>
      </c>
      <c r="Q11915" s="26" t="str">
        <f>HYPERLINK("https://ictv.global/taxonomy/taxondetails?taxnode_id=202517044&amp;ictv_id=ICTV202317044","ICTV202317044")</f>
        <v>ICTV202317044</v>
      </c>
      <c r="R11915" t="s">
        <v>581</v>
      </c>
      <c r="S11915" t="s">
        <v>823</v>
      </c>
      <c r="T11915">
        <v>39</v>
      </c>
      <c r="U11915" s="26" t="str">
        <f t="shared" si="443"/>
        <v>2023.001B.Leviviricetes_reorg.zip</v>
      </c>
    </row>
    <row r="11916" spans="1:21">
      <c r="A11916">
        <v>11915</v>
      </c>
      <c r="B11916" s="27" t="s">
        <v>1124</v>
      </c>
      <c r="D11916" s="27" t="s">
        <v>1859</v>
      </c>
      <c r="F11916" s="27" t="s">
        <v>1881</v>
      </c>
      <c r="H11916" s="27" t="s">
        <v>2679</v>
      </c>
      <c r="J11916" s="27" t="s">
        <v>3210</v>
      </c>
      <c r="L11916" s="27" t="s">
        <v>3262</v>
      </c>
      <c r="N11916" s="27" t="s">
        <v>3315</v>
      </c>
      <c r="P11916" s="27" t="s">
        <v>15739</v>
      </c>
      <c r="Q11916" s="26" t="str">
        <f>HYPERLINK("https://ictv.global/taxonomy/taxondetails?taxnode_id=202517045&amp;ictv_id=ICTV202317045","ICTV202317045")</f>
        <v>ICTV202317045</v>
      </c>
      <c r="R11916" t="s">
        <v>581</v>
      </c>
      <c r="S11916" t="s">
        <v>823</v>
      </c>
      <c r="T11916">
        <v>39</v>
      </c>
      <c r="U11916" s="26" t="str">
        <f t="shared" si="443"/>
        <v>2023.001B.Leviviricetes_reorg.zip</v>
      </c>
    </row>
    <row r="11917" spans="1:21">
      <c r="A11917">
        <v>11916</v>
      </c>
      <c r="B11917" s="27" t="s">
        <v>1124</v>
      </c>
      <c r="D11917" s="27" t="s">
        <v>1859</v>
      </c>
      <c r="F11917" s="27" t="s">
        <v>1881</v>
      </c>
      <c r="H11917" s="27" t="s">
        <v>2679</v>
      </c>
      <c r="J11917" s="27" t="s">
        <v>3210</v>
      </c>
      <c r="L11917" s="27" t="s">
        <v>3262</v>
      </c>
      <c r="N11917" s="27" t="s">
        <v>3315</v>
      </c>
      <c r="P11917" s="27" t="s">
        <v>15740</v>
      </c>
      <c r="Q11917" s="26" t="str">
        <f>HYPERLINK("https://ictv.global/taxonomy/taxondetails?taxnode_id=202517046&amp;ictv_id=ICTV202317046","ICTV202317046")</f>
        <v>ICTV202317046</v>
      </c>
      <c r="R11917" t="s">
        <v>581</v>
      </c>
      <c r="S11917" t="s">
        <v>823</v>
      </c>
      <c r="T11917">
        <v>39</v>
      </c>
      <c r="U11917" s="26" t="str">
        <f t="shared" si="443"/>
        <v>2023.001B.Leviviricetes_reorg.zip</v>
      </c>
    </row>
    <row r="11918" spans="1:21">
      <c r="A11918">
        <v>11917</v>
      </c>
      <c r="B11918" s="27" t="s">
        <v>1124</v>
      </c>
      <c r="D11918" s="27" t="s">
        <v>1859</v>
      </c>
      <c r="F11918" s="27" t="s">
        <v>1881</v>
      </c>
      <c r="H11918" s="27" t="s">
        <v>2679</v>
      </c>
      <c r="J11918" s="27" t="s">
        <v>3210</v>
      </c>
      <c r="L11918" s="27" t="s">
        <v>3262</v>
      </c>
      <c r="N11918" s="27" t="s">
        <v>3315</v>
      </c>
      <c r="P11918" s="27" t="s">
        <v>15741</v>
      </c>
      <c r="Q11918" s="26" t="str">
        <f>HYPERLINK("https://ictv.global/taxonomy/taxondetails?taxnode_id=202517047&amp;ictv_id=ICTV202317047","ICTV202317047")</f>
        <v>ICTV202317047</v>
      </c>
      <c r="R11918" t="s">
        <v>581</v>
      </c>
      <c r="S11918" t="s">
        <v>823</v>
      </c>
      <c r="T11918">
        <v>39</v>
      </c>
      <c r="U11918" s="26" t="str">
        <f t="shared" si="443"/>
        <v>2023.001B.Leviviricetes_reorg.zip</v>
      </c>
    </row>
    <row r="11919" spans="1:21">
      <c r="A11919">
        <v>11918</v>
      </c>
      <c r="B11919" s="27" t="s">
        <v>1124</v>
      </c>
      <c r="D11919" s="27" t="s">
        <v>1859</v>
      </c>
      <c r="F11919" s="27" t="s">
        <v>1881</v>
      </c>
      <c r="H11919" s="27" t="s">
        <v>2679</v>
      </c>
      <c r="J11919" s="27" t="s">
        <v>3210</v>
      </c>
      <c r="L11919" s="27" t="s">
        <v>3262</v>
      </c>
      <c r="N11919" s="27" t="s">
        <v>3315</v>
      </c>
      <c r="P11919" s="27" t="s">
        <v>15742</v>
      </c>
      <c r="Q11919" s="26" t="str">
        <f>HYPERLINK("https://ictv.global/taxonomy/taxondetails?taxnode_id=202517048&amp;ictv_id=ICTV202317048","ICTV202317048")</f>
        <v>ICTV202317048</v>
      </c>
      <c r="R11919" t="s">
        <v>581</v>
      </c>
      <c r="S11919" t="s">
        <v>823</v>
      </c>
      <c r="T11919">
        <v>39</v>
      </c>
      <c r="U11919" s="26" t="str">
        <f t="shared" si="443"/>
        <v>2023.001B.Leviviricetes_reorg.zip</v>
      </c>
    </row>
    <row r="11920" spans="1:21">
      <c r="A11920">
        <v>11919</v>
      </c>
      <c r="B11920" s="27" t="s">
        <v>1124</v>
      </c>
      <c r="D11920" s="27" t="s">
        <v>1859</v>
      </c>
      <c r="F11920" s="27" t="s">
        <v>1881</v>
      </c>
      <c r="H11920" s="27" t="s">
        <v>2679</v>
      </c>
      <c r="J11920" s="27" t="s">
        <v>3210</v>
      </c>
      <c r="L11920" s="27" t="s">
        <v>3262</v>
      </c>
      <c r="N11920" s="27" t="s">
        <v>15743</v>
      </c>
      <c r="P11920" s="27" t="s">
        <v>15744</v>
      </c>
      <c r="Q11920" s="26" t="str">
        <f>HYPERLINK("https://ictv.global/taxonomy/taxondetails?taxnode_id=202517049&amp;ictv_id=ICTV202317049","ICTV202317049")</f>
        <v>ICTV202317049</v>
      </c>
      <c r="R11920" t="s">
        <v>581</v>
      </c>
      <c r="S11920" t="s">
        <v>823</v>
      </c>
      <c r="T11920">
        <v>39</v>
      </c>
      <c r="U11920" s="26" t="str">
        <f t="shared" si="443"/>
        <v>2023.001B.Leviviricetes_reorg.zip</v>
      </c>
    </row>
    <row r="11921" spans="1:21">
      <c r="A11921">
        <v>11920</v>
      </c>
      <c r="B11921" s="27" t="s">
        <v>1124</v>
      </c>
      <c r="D11921" s="27" t="s">
        <v>1859</v>
      </c>
      <c r="F11921" s="27" t="s">
        <v>1881</v>
      </c>
      <c r="H11921" s="27" t="s">
        <v>2679</v>
      </c>
      <c r="J11921" s="27" t="s">
        <v>3210</v>
      </c>
      <c r="L11921" s="27" t="s">
        <v>3262</v>
      </c>
      <c r="N11921" s="27" t="s">
        <v>15743</v>
      </c>
      <c r="P11921" s="27" t="s">
        <v>15745</v>
      </c>
      <c r="Q11921" s="26" t="str">
        <f>HYPERLINK("https://ictv.global/taxonomy/taxondetails?taxnode_id=202517050&amp;ictv_id=ICTV202317050","ICTV202317050")</f>
        <v>ICTV202317050</v>
      </c>
      <c r="R11921" t="s">
        <v>581</v>
      </c>
      <c r="S11921" t="s">
        <v>823</v>
      </c>
      <c r="T11921">
        <v>39</v>
      </c>
      <c r="U11921" s="26" t="str">
        <f t="shared" si="443"/>
        <v>2023.001B.Leviviricetes_reorg.zip</v>
      </c>
    </row>
    <row r="11922" spans="1:21">
      <c r="A11922">
        <v>11921</v>
      </c>
      <c r="B11922" s="27" t="s">
        <v>1124</v>
      </c>
      <c r="D11922" s="27" t="s">
        <v>1859</v>
      </c>
      <c r="F11922" s="27" t="s">
        <v>1881</v>
      </c>
      <c r="H11922" s="27" t="s">
        <v>2679</v>
      </c>
      <c r="J11922" s="27" t="s">
        <v>3210</v>
      </c>
      <c r="L11922" s="27" t="s">
        <v>3262</v>
      </c>
      <c r="N11922" s="27" t="s">
        <v>15743</v>
      </c>
      <c r="P11922" s="27" t="s">
        <v>15746</v>
      </c>
      <c r="Q11922" s="26" t="str">
        <f>HYPERLINK("https://ictv.global/taxonomy/taxondetails?taxnode_id=202517051&amp;ictv_id=ICTV202317051","ICTV202317051")</f>
        <v>ICTV202317051</v>
      </c>
      <c r="R11922" t="s">
        <v>581</v>
      </c>
      <c r="S11922" t="s">
        <v>823</v>
      </c>
      <c r="T11922">
        <v>39</v>
      </c>
      <c r="U11922" s="26" t="str">
        <f t="shared" si="443"/>
        <v>2023.001B.Leviviricetes_reorg.zip</v>
      </c>
    </row>
    <row r="11923" spans="1:21">
      <c r="A11923">
        <v>11922</v>
      </c>
      <c r="B11923" s="27" t="s">
        <v>1124</v>
      </c>
      <c r="D11923" s="27" t="s">
        <v>1859</v>
      </c>
      <c r="F11923" s="27" t="s">
        <v>1881</v>
      </c>
      <c r="H11923" s="27" t="s">
        <v>2679</v>
      </c>
      <c r="J11923" s="27" t="s">
        <v>3210</v>
      </c>
      <c r="L11923" s="27" t="s">
        <v>3262</v>
      </c>
      <c r="N11923" s="27" t="s">
        <v>15743</v>
      </c>
      <c r="P11923" s="27" t="s">
        <v>15747</v>
      </c>
      <c r="Q11923" s="26" t="str">
        <f>HYPERLINK("https://ictv.global/taxonomy/taxondetails?taxnode_id=202517052&amp;ictv_id=ICTV202317052","ICTV202317052")</f>
        <v>ICTV202317052</v>
      </c>
      <c r="R11923" t="s">
        <v>581</v>
      </c>
      <c r="S11923" t="s">
        <v>823</v>
      </c>
      <c r="T11923">
        <v>39</v>
      </c>
      <c r="U11923" s="26" t="str">
        <f t="shared" si="443"/>
        <v>2023.001B.Leviviricetes_reorg.zip</v>
      </c>
    </row>
    <row r="11924" spans="1:21">
      <c r="A11924">
        <v>11923</v>
      </c>
      <c r="B11924" s="27" t="s">
        <v>1124</v>
      </c>
      <c r="D11924" s="27" t="s">
        <v>1859</v>
      </c>
      <c r="F11924" s="27" t="s">
        <v>1881</v>
      </c>
      <c r="H11924" s="27" t="s">
        <v>2679</v>
      </c>
      <c r="J11924" s="27" t="s">
        <v>3210</v>
      </c>
      <c r="L11924" s="27" t="s">
        <v>3262</v>
      </c>
      <c r="N11924" s="27" t="s">
        <v>15743</v>
      </c>
      <c r="P11924" s="27" t="s">
        <v>15748</v>
      </c>
      <c r="Q11924" s="26" t="str">
        <f>HYPERLINK("https://ictv.global/taxonomy/taxondetails?taxnode_id=202511473&amp;ictv_id=ICTV202011473","ICTV202011473")</f>
        <v>ICTV202011473</v>
      </c>
      <c r="R11924" t="s">
        <v>581</v>
      </c>
      <c r="S11924" t="s">
        <v>22764</v>
      </c>
      <c r="T11924">
        <v>39</v>
      </c>
      <c r="U11924" s="26" t="str">
        <f t="shared" si="443"/>
        <v>2023.001B.Leviviricetes_reorg.zip</v>
      </c>
    </row>
    <row r="11925" spans="1:21">
      <c r="A11925">
        <v>11924</v>
      </c>
      <c r="B11925" s="27" t="s">
        <v>1124</v>
      </c>
      <c r="D11925" s="27" t="s">
        <v>1859</v>
      </c>
      <c r="F11925" s="27" t="s">
        <v>1881</v>
      </c>
      <c r="H11925" s="27" t="s">
        <v>2679</v>
      </c>
      <c r="J11925" s="27" t="s">
        <v>3210</v>
      </c>
      <c r="L11925" s="27" t="s">
        <v>3262</v>
      </c>
      <c r="N11925" s="27" t="s">
        <v>15743</v>
      </c>
      <c r="P11925" s="27" t="s">
        <v>15749</v>
      </c>
      <c r="Q11925" s="26" t="str">
        <f>HYPERLINK("https://ictv.global/taxonomy/taxondetails?taxnode_id=202511475&amp;ictv_id=ICTV202011475","ICTV202011475")</f>
        <v>ICTV202011475</v>
      </c>
      <c r="R11925" t="s">
        <v>581</v>
      </c>
      <c r="S11925" t="s">
        <v>22764</v>
      </c>
      <c r="T11925">
        <v>39</v>
      </c>
      <c r="U11925" s="26" t="str">
        <f t="shared" si="443"/>
        <v>2023.001B.Leviviricetes_reorg.zip</v>
      </c>
    </row>
    <row r="11926" spans="1:21">
      <c r="A11926">
        <v>11925</v>
      </c>
      <c r="B11926" s="27" t="s">
        <v>1124</v>
      </c>
      <c r="D11926" s="27" t="s">
        <v>1859</v>
      </c>
      <c r="F11926" s="27" t="s">
        <v>1881</v>
      </c>
      <c r="H11926" s="27" t="s">
        <v>2679</v>
      </c>
      <c r="J11926" s="27" t="s">
        <v>3210</v>
      </c>
      <c r="L11926" s="27" t="s">
        <v>3262</v>
      </c>
      <c r="N11926" s="27" t="s">
        <v>15743</v>
      </c>
      <c r="P11926" s="27" t="s">
        <v>15750</v>
      </c>
      <c r="Q11926" s="26" t="str">
        <f>HYPERLINK("https://ictv.global/taxonomy/taxondetails?taxnode_id=202517053&amp;ictv_id=ICTV202317053","ICTV202317053")</f>
        <v>ICTV202317053</v>
      </c>
      <c r="R11926" t="s">
        <v>581</v>
      </c>
      <c r="S11926" t="s">
        <v>823</v>
      </c>
      <c r="T11926">
        <v>39</v>
      </c>
      <c r="U11926" s="26" t="str">
        <f t="shared" si="443"/>
        <v>2023.001B.Leviviricetes_reorg.zip</v>
      </c>
    </row>
    <row r="11927" spans="1:21">
      <c r="A11927">
        <v>11926</v>
      </c>
      <c r="B11927" s="27" t="s">
        <v>1124</v>
      </c>
      <c r="D11927" s="27" t="s">
        <v>1859</v>
      </c>
      <c r="F11927" s="27" t="s">
        <v>1881</v>
      </c>
      <c r="H11927" s="27" t="s">
        <v>2679</v>
      </c>
      <c r="J11927" s="27" t="s">
        <v>3210</v>
      </c>
      <c r="L11927" s="27" t="s">
        <v>3262</v>
      </c>
      <c r="N11927" s="27" t="s">
        <v>15743</v>
      </c>
      <c r="P11927" s="27" t="s">
        <v>15751</v>
      </c>
      <c r="Q11927" s="26" t="str">
        <f>HYPERLINK("https://ictv.global/taxonomy/taxondetails?taxnode_id=202511476&amp;ictv_id=ICTV202011476","ICTV202011476")</f>
        <v>ICTV202011476</v>
      </c>
      <c r="R11927" t="s">
        <v>581</v>
      </c>
      <c r="S11927" t="s">
        <v>22764</v>
      </c>
      <c r="T11927">
        <v>39</v>
      </c>
      <c r="U11927" s="26" t="str">
        <f t="shared" si="443"/>
        <v>2023.001B.Leviviricetes_reorg.zip</v>
      </c>
    </row>
    <row r="11928" spans="1:21">
      <c r="A11928">
        <v>11927</v>
      </c>
      <c r="B11928" s="27" t="s">
        <v>1124</v>
      </c>
      <c r="D11928" s="27" t="s">
        <v>1859</v>
      </c>
      <c r="F11928" s="27" t="s">
        <v>1881</v>
      </c>
      <c r="H11928" s="27" t="s">
        <v>2679</v>
      </c>
      <c r="J11928" s="27" t="s">
        <v>3210</v>
      </c>
      <c r="L11928" s="27" t="s">
        <v>3262</v>
      </c>
      <c r="N11928" s="27" t="s">
        <v>15743</v>
      </c>
      <c r="P11928" s="27" t="s">
        <v>15752</v>
      </c>
      <c r="Q11928" s="26" t="str">
        <f>HYPERLINK("https://ictv.global/taxonomy/taxondetails?taxnode_id=202511477&amp;ictv_id=ICTV202011477","ICTV202011477")</f>
        <v>ICTV202011477</v>
      </c>
      <c r="R11928" t="s">
        <v>581</v>
      </c>
      <c r="S11928" t="s">
        <v>22764</v>
      </c>
      <c r="T11928">
        <v>39</v>
      </c>
      <c r="U11928" s="26" t="str">
        <f t="shared" si="443"/>
        <v>2023.001B.Leviviricetes_reorg.zip</v>
      </c>
    </row>
    <row r="11929" spans="1:21">
      <c r="A11929">
        <v>11928</v>
      </c>
      <c r="B11929" s="27" t="s">
        <v>1124</v>
      </c>
      <c r="D11929" s="27" t="s">
        <v>1859</v>
      </c>
      <c r="F11929" s="27" t="s">
        <v>1881</v>
      </c>
      <c r="H11929" s="27" t="s">
        <v>2679</v>
      </c>
      <c r="J11929" s="27" t="s">
        <v>3210</v>
      </c>
      <c r="L11929" s="27" t="s">
        <v>3262</v>
      </c>
      <c r="N11929" s="27" t="s">
        <v>15743</v>
      </c>
      <c r="P11929" s="27" t="s">
        <v>15753</v>
      </c>
      <c r="Q11929" s="26" t="str">
        <f>HYPERLINK("https://ictv.global/taxonomy/taxondetails?taxnode_id=202511478&amp;ictv_id=ICTV202011478","ICTV202011478")</f>
        <v>ICTV202011478</v>
      </c>
      <c r="R11929" t="s">
        <v>581</v>
      </c>
      <c r="S11929" t="s">
        <v>22764</v>
      </c>
      <c r="T11929">
        <v>39</v>
      </c>
      <c r="U11929" s="26" t="str">
        <f t="shared" si="443"/>
        <v>2023.001B.Leviviricetes_reorg.zip</v>
      </c>
    </row>
    <row r="11930" spans="1:21">
      <c r="A11930">
        <v>11929</v>
      </c>
      <c r="B11930" s="27" t="s">
        <v>1124</v>
      </c>
      <c r="D11930" s="27" t="s">
        <v>1859</v>
      </c>
      <c r="F11930" s="27" t="s">
        <v>1881</v>
      </c>
      <c r="H11930" s="27" t="s">
        <v>2679</v>
      </c>
      <c r="J11930" s="27" t="s">
        <v>3210</v>
      </c>
      <c r="L11930" s="27" t="s">
        <v>3262</v>
      </c>
      <c r="N11930" s="27" t="s">
        <v>15743</v>
      </c>
      <c r="P11930" s="27" t="s">
        <v>15754</v>
      </c>
      <c r="Q11930" s="26" t="str">
        <f>HYPERLINK("https://ictv.global/taxonomy/taxondetails?taxnode_id=202517054&amp;ictv_id=ICTV202317054","ICTV202317054")</f>
        <v>ICTV202317054</v>
      </c>
      <c r="R11930" t="s">
        <v>581</v>
      </c>
      <c r="S11930" t="s">
        <v>823</v>
      </c>
      <c r="T11930">
        <v>39</v>
      </c>
      <c r="U11930" s="26" t="str">
        <f t="shared" si="443"/>
        <v>2023.001B.Leviviricetes_reorg.zip</v>
      </c>
    </row>
    <row r="11931" spans="1:21">
      <c r="A11931">
        <v>11930</v>
      </c>
      <c r="B11931" s="27" t="s">
        <v>1124</v>
      </c>
      <c r="D11931" s="27" t="s">
        <v>1859</v>
      </c>
      <c r="F11931" s="27" t="s">
        <v>1881</v>
      </c>
      <c r="H11931" s="27" t="s">
        <v>2679</v>
      </c>
      <c r="J11931" s="27" t="s">
        <v>3210</v>
      </c>
      <c r="L11931" s="27" t="s">
        <v>3262</v>
      </c>
      <c r="N11931" s="27" t="s">
        <v>15743</v>
      </c>
      <c r="P11931" s="27" t="s">
        <v>15755</v>
      </c>
      <c r="Q11931" s="26" t="str">
        <f>HYPERLINK("https://ictv.global/taxonomy/taxondetails?taxnode_id=202511479&amp;ictv_id=ICTV202011479","ICTV202011479")</f>
        <v>ICTV202011479</v>
      </c>
      <c r="R11931" t="s">
        <v>581</v>
      </c>
      <c r="S11931" t="s">
        <v>22764</v>
      </c>
      <c r="T11931">
        <v>39</v>
      </c>
      <c r="U11931" s="26" t="str">
        <f t="shared" si="443"/>
        <v>2023.001B.Leviviricetes_reorg.zip</v>
      </c>
    </row>
    <row r="11932" spans="1:21">
      <c r="A11932">
        <v>11931</v>
      </c>
      <c r="B11932" s="27" t="s">
        <v>1124</v>
      </c>
      <c r="D11932" s="27" t="s">
        <v>1859</v>
      </c>
      <c r="F11932" s="27" t="s">
        <v>1881</v>
      </c>
      <c r="H11932" s="27" t="s">
        <v>2679</v>
      </c>
      <c r="J11932" s="27" t="s">
        <v>3210</v>
      </c>
      <c r="L11932" s="27" t="s">
        <v>3262</v>
      </c>
      <c r="N11932" s="27" t="s">
        <v>15743</v>
      </c>
      <c r="P11932" s="27" t="s">
        <v>15756</v>
      </c>
      <c r="Q11932" s="26" t="str">
        <f>HYPERLINK("https://ictv.global/taxonomy/taxondetails?taxnode_id=202511480&amp;ictv_id=ICTV202011480","ICTV202011480")</f>
        <v>ICTV202011480</v>
      </c>
      <c r="R11932" t="s">
        <v>581</v>
      </c>
      <c r="S11932" t="s">
        <v>22764</v>
      </c>
      <c r="T11932">
        <v>39</v>
      </c>
      <c r="U11932" s="26" t="str">
        <f t="shared" si="443"/>
        <v>2023.001B.Leviviricetes_reorg.zip</v>
      </c>
    </row>
    <row r="11933" spans="1:21">
      <c r="A11933">
        <v>11932</v>
      </c>
      <c r="B11933" s="27" t="s">
        <v>1124</v>
      </c>
      <c r="D11933" s="27" t="s">
        <v>1859</v>
      </c>
      <c r="F11933" s="27" t="s">
        <v>1881</v>
      </c>
      <c r="H11933" s="27" t="s">
        <v>2679</v>
      </c>
      <c r="J11933" s="27" t="s">
        <v>3210</v>
      </c>
      <c r="L11933" s="27" t="s">
        <v>3262</v>
      </c>
      <c r="N11933" s="27" t="s">
        <v>15743</v>
      </c>
      <c r="P11933" s="27" t="s">
        <v>15757</v>
      </c>
      <c r="Q11933" s="26" t="str">
        <f>HYPERLINK("https://ictv.global/taxonomy/taxondetails?taxnode_id=202511482&amp;ictv_id=ICTV202011482","ICTV202011482")</f>
        <v>ICTV202011482</v>
      </c>
      <c r="R11933" t="s">
        <v>581</v>
      </c>
      <c r="S11933" t="s">
        <v>22764</v>
      </c>
      <c r="T11933">
        <v>39</v>
      </c>
      <c r="U11933" s="26" t="str">
        <f t="shared" si="443"/>
        <v>2023.001B.Leviviricetes_reorg.zip</v>
      </c>
    </row>
    <row r="11934" spans="1:21">
      <c r="A11934">
        <v>11933</v>
      </c>
      <c r="B11934" s="27" t="s">
        <v>1124</v>
      </c>
      <c r="D11934" s="27" t="s">
        <v>1859</v>
      </c>
      <c r="F11934" s="27" t="s">
        <v>1881</v>
      </c>
      <c r="H11934" s="27" t="s">
        <v>2679</v>
      </c>
      <c r="J11934" s="27" t="s">
        <v>3210</v>
      </c>
      <c r="L11934" s="27" t="s">
        <v>3262</v>
      </c>
      <c r="N11934" s="27" t="s">
        <v>15743</v>
      </c>
      <c r="P11934" s="27" t="s">
        <v>15758</v>
      </c>
      <c r="Q11934" s="26" t="str">
        <f>HYPERLINK("https://ictv.global/taxonomy/taxondetails?taxnode_id=202511483&amp;ictv_id=ICTV202011483","ICTV202011483")</f>
        <v>ICTV202011483</v>
      </c>
      <c r="R11934" t="s">
        <v>581</v>
      </c>
      <c r="S11934" t="s">
        <v>22764</v>
      </c>
      <c r="T11934">
        <v>39</v>
      </c>
      <c r="U11934" s="26" t="str">
        <f t="shared" si="443"/>
        <v>2023.001B.Leviviricetes_reorg.zip</v>
      </c>
    </row>
    <row r="11935" spans="1:21">
      <c r="A11935">
        <v>11934</v>
      </c>
      <c r="B11935" s="27" t="s">
        <v>1124</v>
      </c>
      <c r="D11935" s="27" t="s">
        <v>1859</v>
      </c>
      <c r="F11935" s="27" t="s">
        <v>1881</v>
      </c>
      <c r="H11935" s="27" t="s">
        <v>2679</v>
      </c>
      <c r="J11935" s="27" t="s">
        <v>3210</v>
      </c>
      <c r="L11935" s="27" t="s">
        <v>3262</v>
      </c>
      <c r="N11935" s="27" t="s">
        <v>15743</v>
      </c>
      <c r="P11935" s="27" t="s">
        <v>15759</v>
      </c>
      <c r="Q11935" s="26" t="str">
        <f>HYPERLINK("https://ictv.global/taxonomy/taxondetails?taxnode_id=202511484&amp;ictv_id=ICTV202011484","ICTV202011484")</f>
        <v>ICTV202011484</v>
      </c>
      <c r="R11935" t="s">
        <v>581</v>
      </c>
      <c r="S11935" t="s">
        <v>22764</v>
      </c>
      <c r="T11935">
        <v>39</v>
      </c>
      <c r="U11935" s="26" t="str">
        <f t="shared" si="443"/>
        <v>2023.001B.Leviviricetes_reorg.zip</v>
      </c>
    </row>
    <row r="11936" spans="1:21">
      <c r="A11936">
        <v>11935</v>
      </c>
      <c r="B11936" s="27" t="s">
        <v>1124</v>
      </c>
      <c r="D11936" s="27" t="s">
        <v>1859</v>
      </c>
      <c r="F11936" s="27" t="s">
        <v>1881</v>
      </c>
      <c r="H11936" s="27" t="s">
        <v>2679</v>
      </c>
      <c r="J11936" s="27" t="s">
        <v>3210</v>
      </c>
      <c r="L11936" s="27" t="s">
        <v>3262</v>
      </c>
      <c r="N11936" s="27" t="s">
        <v>15743</v>
      </c>
      <c r="P11936" s="27" t="s">
        <v>15760</v>
      </c>
      <c r="Q11936" s="26" t="str">
        <f>HYPERLINK("https://ictv.global/taxonomy/taxondetails?taxnode_id=202517055&amp;ictv_id=ICTV202317055","ICTV202317055")</f>
        <v>ICTV202317055</v>
      </c>
      <c r="R11936" t="s">
        <v>581</v>
      </c>
      <c r="S11936" t="s">
        <v>823</v>
      </c>
      <c r="T11936">
        <v>39</v>
      </c>
      <c r="U11936" s="26" t="str">
        <f t="shared" si="443"/>
        <v>2023.001B.Leviviricetes_reorg.zip</v>
      </c>
    </row>
    <row r="11937" spans="1:21">
      <c r="A11937">
        <v>11936</v>
      </c>
      <c r="B11937" s="27" t="s">
        <v>1124</v>
      </c>
      <c r="D11937" s="27" t="s">
        <v>1859</v>
      </c>
      <c r="F11937" s="27" t="s">
        <v>1881</v>
      </c>
      <c r="H11937" s="27" t="s">
        <v>2679</v>
      </c>
      <c r="J11937" s="27" t="s">
        <v>3210</v>
      </c>
      <c r="L11937" s="27" t="s">
        <v>3262</v>
      </c>
      <c r="N11937" s="27" t="s">
        <v>15743</v>
      </c>
      <c r="P11937" s="27" t="s">
        <v>15761</v>
      </c>
      <c r="Q11937" s="26" t="str">
        <f>HYPERLINK("https://ictv.global/taxonomy/taxondetails?taxnode_id=202517056&amp;ictv_id=ICTV202317056","ICTV202317056")</f>
        <v>ICTV202317056</v>
      </c>
      <c r="R11937" t="s">
        <v>581</v>
      </c>
      <c r="S11937" t="s">
        <v>823</v>
      </c>
      <c r="T11937">
        <v>39</v>
      </c>
      <c r="U11937" s="26" t="str">
        <f t="shared" si="443"/>
        <v>2023.001B.Leviviricetes_reorg.zip</v>
      </c>
    </row>
    <row r="11938" spans="1:21">
      <c r="A11938">
        <v>11937</v>
      </c>
      <c r="B11938" s="27" t="s">
        <v>1124</v>
      </c>
      <c r="D11938" s="27" t="s">
        <v>1859</v>
      </c>
      <c r="F11938" s="27" t="s">
        <v>1881</v>
      </c>
      <c r="H11938" s="27" t="s">
        <v>2679</v>
      </c>
      <c r="J11938" s="27" t="s">
        <v>3210</v>
      </c>
      <c r="L11938" s="27" t="s">
        <v>3262</v>
      </c>
      <c r="N11938" s="27" t="s">
        <v>15743</v>
      </c>
      <c r="P11938" s="27" t="s">
        <v>15762</v>
      </c>
      <c r="Q11938" s="26" t="str">
        <f>HYPERLINK("https://ictv.global/taxonomy/taxondetails?taxnode_id=202511491&amp;ictv_id=ICTV202011491","ICTV202011491")</f>
        <v>ICTV202011491</v>
      </c>
      <c r="R11938" t="s">
        <v>581</v>
      </c>
      <c r="S11938" t="s">
        <v>22764</v>
      </c>
      <c r="T11938">
        <v>39</v>
      </c>
      <c r="U11938" s="26" t="str">
        <f t="shared" si="443"/>
        <v>2023.001B.Leviviricetes_reorg.zip</v>
      </c>
    </row>
    <row r="11939" spans="1:21">
      <c r="A11939">
        <v>11938</v>
      </c>
      <c r="B11939" s="27" t="s">
        <v>1124</v>
      </c>
      <c r="D11939" s="27" t="s">
        <v>1859</v>
      </c>
      <c r="F11939" s="27" t="s">
        <v>1881</v>
      </c>
      <c r="H11939" s="27" t="s">
        <v>2679</v>
      </c>
      <c r="J11939" s="27" t="s">
        <v>3210</v>
      </c>
      <c r="L11939" s="27" t="s">
        <v>3262</v>
      </c>
      <c r="N11939" s="27" t="s">
        <v>15743</v>
      </c>
      <c r="P11939" s="27" t="s">
        <v>15763</v>
      </c>
      <c r="Q11939" s="26" t="str">
        <f>HYPERLINK("https://ictv.global/taxonomy/taxondetails?taxnode_id=202511492&amp;ictv_id=ICTV202011492","ICTV202011492")</f>
        <v>ICTV202011492</v>
      </c>
      <c r="R11939" t="s">
        <v>581</v>
      </c>
      <c r="S11939" t="s">
        <v>22764</v>
      </c>
      <c r="T11939">
        <v>39</v>
      </c>
      <c r="U11939" s="26" t="str">
        <f t="shared" si="443"/>
        <v>2023.001B.Leviviricetes_reorg.zip</v>
      </c>
    </row>
    <row r="11940" spans="1:21">
      <c r="A11940">
        <v>11939</v>
      </c>
      <c r="B11940" s="27" t="s">
        <v>1124</v>
      </c>
      <c r="D11940" s="27" t="s">
        <v>1859</v>
      </c>
      <c r="F11940" s="27" t="s">
        <v>1881</v>
      </c>
      <c r="H11940" s="27" t="s">
        <v>2679</v>
      </c>
      <c r="J11940" s="27" t="s">
        <v>3210</v>
      </c>
      <c r="L11940" s="27" t="s">
        <v>3262</v>
      </c>
      <c r="N11940" s="27" t="s">
        <v>15743</v>
      </c>
      <c r="P11940" s="27" t="s">
        <v>15764</v>
      </c>
      <c r="Q11940" s="26" t="str">
        <f>HYPERLINK("https://ictv.global/taxonomy/taxondetails?taxnode_id=202511469&amp;ictv_id=ICTV202011469","ICTV202011469")</f>
        <v>ICTV202011469</v>
      </c>
      <c r="R11940" t="s">
        <v>581</v>
      </c>
      <c r="S11940" t="s">
        <v>22764</v>
      </c>
      <c r="T11940">
        <v>39</v>
      </c>
      <c r="U11940" s="26" t="str">
        <f t="shared" si="443"/>
        <v>2023.001B.Leviviricetes_reorg.zip</v>
      </c>
    </row>
    <row r="11941" spans="1:21">
      <c r="A11941">
        <v>11940</v>
      </c>
      <c r="B11941" s="27" t="s">
        <v>1124</v>
      </c>
      <c r="D11941" s="27" t="s">
        <v>1859</v>
      </c>
      <c r="F11941" s="27" t="s">
        <v>1881</v>
      </c>
      <c r="H11941" s="27" t="s">
        <v>2679</v>
      </c>
      <c r="J11941" s="27" t="s">
        <v>3210</v>
      </c>
      <c r="L11941" s="27" t="s">
        <v>3262</v>
      </c>
      <c r="N11941" s="27" t="s">
        <v>15743</v>
      </c>
      <c r="P11941" s="27" t="s">
        <v>15765</v>
      </c>
      <c r="Q11941" s="26" t="str">
        <f>HYPERLINK("https://ictv.global/taxonomy/taxondetails?taxnode_id=202511493&amp;ictv_id=ICTV202011493","ICTV202011493")</f>
        <v>ICTV202011493</v>
      </c>
      <c r="R11941" t="s">
        <v>581</v>
      </c>
      <c r="S11941" t="s">
        <v>22764</v>
      </c>
      <c r="T11941">
        <v>39</v>
      </c>
      <c r="U11941" s="26" t="str">
        <f t="shared" si="443"/>
        <v>2023.001B.Leviviricetes_reorg.zip</v>
      </c>
    </row>
    <row r="11942" spans="1:21">
      <c r="A11942">
        <v>11941</v>
      </c>
      <c r="B11942" s="27" t="s">
        <v>1124</v>
      </c>
      <c r="D11942" s="27" t="s">
        <v>1859</v>
      </c>
      <c r="F11942" s="27" t="s">
        <v>1881</v>
      </c>
      <c r="H11942" s="27" t="s">
        <v>2679</v>
      </c>
      <c r="J11942" s="27" t="s">
        <v>3210</v>
      </c>
      <c r="L11942" s="27" t="s">
        <v>3262</v>
      </c>
      <c r="N11942" s="27" t="s">
        <v>15743</v>
      </c>
      <c r="P11942" s="27" t="s">
        <v>15766</v>
      </c>
      <c r="Q11942" s="26" t="str">
        <f>HYPERLINK("https://ictv.global/taxonomy/taxondetails?taxnode_id=202511494&amp;ictv_id=ICTV202011494","ICTV202011494")</f>
        <v>ICTV202011494</v>
      </c>
      <c r="R11942" t="s">
        <v>581</v>
      </c>
      <c r="S11942" t="s">
        <v>22764</v>
      </c>
      <c r="T11942">
        <v>39</v>
      </c>
      <c r="U11942" s="26" t="str">
        <f t="shared" si="443"/>
        <v>2023.001B.Leviviricetes_reorg.zip</v>
      </c>
    </row>
    <row r="11943" spans="1:21">
      <c r="A11943">
        <v>11942</v>
      </c>
      <c r="B11943" s="27" t="s">
        <v>1124</v>
      </c>
      <c r="D11943" s="27" t="s">
        <v>1859</v>
      </c>
      <c r="F11943" s="27" t="s">
        <v>1881</v>
      </c>
      <c r="H11943" s="27" t="s">
        <v>2679</v>
      </c>
      <c r="J11943" s="27" t="s">
        <v>3210</v>
      </c>
      <c r="L11943" s="27" t="s">
        <v>3262</v>
      </c>
      <c r="N11943" s="27" t="s">
        <v>15743</v>
      </c>
      <c r="P11943" s="27" t="s">
        <v>15767</v>
      </c>
      <c r="Q11943" s="26" t="str">
        <f>HYPERLINK("https://ictv.global/taxonomy/taxondetails?taxnode_id=202511495&amp;ictv_id=ICTV202011495","ICTV202011495")</f>
        <v>ICTV202011495</v>
      </c>
      <c r="R11943" t="s">
        <v>581</v>
      </c>
      <c r="S11943" t="s">
        <v>22764</v>
      </c>
      <c r="T11943">
        <v>39</v>
      </c>
      <c r="U11943" s="26" t="str">
        <f t="shared" si="443"/>
        <v>2023.001B.Leviviricetes_reorg.zip</v>
      </c>
    </row>
    <row r="11944" spans="1:21">
      <c r="A11944">
        <v>11943</v>
      </c>
      <c r="B11944" s="27" t="s">
        <v>1124</v>
      </c>
      <c r="D11944" s="27" t="s">
        <v>1859</v>
      </c>
      <c r="F11944" s="27" t="s">
        <v>1881</v>
      </c>
      <c r="H11944" s="27" t="s">
        <v>2679</v>
      </c>
      <c r="J11944" s="27" t="s">
        <v>3210</v>
      </c>
      <c r="L11944" s="27" t="s">
        <v>3262</v>
      </c>
      <c r="N11944" s="27" t="s">
        <v>15743</v>
      </c>
      <c r="P11944" s="27" t="s">
        <v>15768</v>
      </c>
      <c r="Q11944" s="26" t="str">
        <f>HYPERLINK("https://ictv.global/taxonomy/taxondetails?taxnode_id=202517057&amp;ictv_id=ICTV202317057","ICTV202317057")</f>
        <v>ICTV202317057</v>
      </c>
      <c r="R11944" t="s">
        <v>581</v>
      </c>
      <c r="S11944" t="s">
        <v>823</v>
      </c>
      <c r="T11944">
        <v>39</v>
      </c>
      <c r="U11944" s="26" t="str">
        <f t="shared" ref="U11944:U11960" si="444">HYPERLINK("https://ictv.global/ictv/proposals/2023.001B.Leviviricetes_reorg.zip","2023.001B.Leviviricetes_reorg.zip")</f>
        <v>2023.001B.Leviviricetes_reorg.zip</v>
      </c>
    </row>
    <row r="11945" spans="1:21">
      <c r="A11945">
        <v>11944</v>
      </c>
      <c r="B11945" s="27" t="s">
        <v>1124</v>
      </c>
      <c r="D11945" s="27" t="s">
        <v>1859</v>
      </c>
      <c r="F11945" s="27" t="s">
        <v>1881</v>
      </c>
      <c r="H11945" s="27" t="s">
        <v>2679</v>
      </c>
      <c r="J11945" s="27" t="s">
        <v>3210</v>
      </c>
      <c r="L11945" s="27" t="s">
        <v>3262</v>
      </c>
      <c r="N11945" s="27" t="s">
        <v>15743</v>
      </c>
      <c r="P11945" s="27" t="s">
        <v>15769</v>
      </c>
      <c r="Q11945" s="26" t="str">
        <f>HYPERLINK("https://ictv.global/taxonomy/taxondetails?taxnode_id=202511470&amp;ictv_id=ICTV202011470","ICTV202011470")</f>
        <v>ICTV202011470</v>
      </c>
      <c r="R11945" t="s">
        <v>581</v>
      </c>
      <c r="S11945" t="s">
        <v>22764</v>
      </c>
      <c r="T11945">
        <v>39</v>
      </c>
      <c r="U11945" s="26" t="str">
        <f t="shared" si="444"/>
        <v>2023.001B.Leviviricetes_reorg.zip</v>
      </c>
    </row>
    <row r="11946" spans="1:21">
      <c r="A11946">
        <v>11945</v>
      </c>
      <c r="B11946" s="27" t="s">
        <v>1124</v>
      </c>
      <c r="D11946" s="27" t="s">
        <v>1859</v>
      </c>
      <c r="F11946" s="27" t="s">
        <v>1881</v>
      </c>
      <c r="H11946" s="27" t="s">
        <v>2679</v>
      </c>
      <c r="J11946" s="27" t="s">
        <v>3210</v>
      </c>
      <c r="L11946" s="27" t="s">
        <v>3262</v>
      </c>
      <c r="N11946" s="27" t="s">
        <v>15743</v>
      </c>
      <c r="P11946" s="27" t="s">
        <v>15770</v>
      </c>
      <c r="Q11946" s="26" t="str">
        <f>HYPERLINK("https://ictv.global/taxonomy/taxondetails?taxnode_id=202511472&amp;ictv_id=ICTV202011472","ICTV202011472")</f>
        <v>ICTV202011472</v>
      </c>
      <c r="R11946" t="s">
        <v>581</v>
      </c>
      <c r="S11946" t="s">
        <v>22764</v>
      </c>
      <c r="T11946">
        <v>39</v>
      </c>
      <c r="U11946" s="26" t="str">
        <f t="shared" si="444"/>
        <v>2023.001B.Leviviricetes_reorg.zip</v>
      </c>
    </row>
    <row r="11947" spans="1:21">
      <c r="A11947">
        <v>11946</v>
      </c>
      <c r="B11947" s="27" t="s">
        <v>1124</v>
      </c>
      <c r="D11947" s="27" t="s">
        <v>1859</v>
      </c>
      <c r="F11947" s="27" t="s">
        <v>1881</v>
      </c>
      <c r="H11947" s="27" t="s">
        <v>2679</v>
      </c>
      <c r="J11947" s="27" t="s">
        <v>3210</v>
      </c>
      <c r="L11947" s="27" t="s">
        <v>3262</v>
      </c>
      <c r="N11947" s="27" t="s">
        <v>15743</v>
      </c>
      <c r="P11947" s="27" t="s">
        <v>15771</v>
      </c>
      <c r="Q11947" s="26" t="str">
        <f>HYPERLINK("https://ictv.global/taxonomy/taxondetails?taxnode_id=202511485&amp;ictv_id=ICTV202011485","ICTV202011485")</f>
        <v>ICTV202011485</v>
      </c>
      <c r="R11947" t="s">
        <v>581</v>
      </c>
      <c r="S11947" t="s">
        <v>22764</v>
      </c>
      <c r="T11947">
        <v>39</v>
      </c>
      <c r="U11947" s="26" t="str">
        <f t="shared" si="444"/>
        <v>2023.001B.Leviviricetes_reorg.zip</v>
      </c>
    </row>
    <row r="11948" spans="1:21">
      <c r="A11948">
        <v>11947</v>
      </c>
      <c r="B11948" s="27" t="s">
        <v>1124</v>
      </c>
      <c r="D11948" s="27" t="s">
        <v>1859</v>
      </c>
      <c r="F11948" s="27" t="s">
        <v>1881</v>
      </c>
      <c r="H11948" s="27" t="s">
        <v>2679</v>
      </c>
      <c r="J11948" s="27" t="s">
        <v>3210</v>
      </c>
      <c r="L11948" s="27" t="s">
        <v>3262</v>
      </c>
      <c r="N11948" s="27" t="s">
        <v>15743</v>
      </c>
      <c r="P11948" s="27" t="s">
        <v>15772</v>
      </c>
      <c r="Q11948" s="26" t="str">
        <f>HYPERLINK("https://ictv.global/taxonomy/taxondetails?taxnode_id=202511487&amp;ictv_id=ICTV202011487","ICTV202011487")</f>
        <v>ICTV202011487</v>
      </c>
      <c r="R11948" t="s">
        <v>581</v>
      </c>
      <c r="S11948" t="s">
        <v>22764</v>
      </c>
      <c r="T11948">
        <v>39</v>
      </c>
      <c r="U11948" s="26" t="str">
        <f t="shared" si="444"/>
        <v>2023.001B.Leviviricetes_reorg.zip</v>
      </c>
    </row>
    <row r="11949" spans="1:21">
      <c r="A11949">
        <v>11948</v>
      </c>
      <c r="B11949" s="27" t="s">
        <v>1124</v>
      </c>
      <c r="D11949" s="27" t="s">
        <v>1859</v>
      </c>
      <c r="F11949" s="27" t="s">
        <v>1881</v>
      </c>
      <c r="H11949" s="27" t="s">
        <v>2679</v>
      </c>
      <c r="J11949" s="27" t="s">
        <v>3210</v>
      </c>
      <c r="L11949" s="27" t="s">
        <v>3262</v>
      </c>
      <c r="N11949" s="27" t="s">
        <v>15743</v>
      </c>
      <c r="P11949" s="27" t="s">
        <v>15773</v>
      </c>
      <c r="Q11949" s="26" t="str">
        <f>HYPERLINK("https://ictv.global/taxonomy/taxondetails?taxnode_id=202511486&amp;ictv_id=ICTV202011486","ICTV202011486")</f>
        <v>ICTV202011486</v>
      </c>
      <c r="R11949" t="s">
        <v>581</v>
      </c>
      <c r="S11949" t="s">
        <v>22764</v>
      </c>
      <c r="T11949">
        <v>39</v>
      </c>
      <c r="U11949" s="26" t="str">
        <f t="shared" si="444"/>
        <v>2023.001B.Leviviricetes_reorg.zip</v>
      </c>
    </row>
    <row r="11950" spans="1:21">
      <c r="A11950">
        <v>11949</v>
      </c>
      <c r="B11950" s="27" t="s">
        <v>1124</v>
      </c>
      <c r="D11950" s="27" t="s">
        <v>1859</v>
      </c>
      <c r="F11950" s="27" t="s">
        <v>1881</v>
      </c>
      <c r="H11950" s="27" t="s">
        <v>2679</v>
      </c>
      <c r="J11950" s="27" t="s">
        <v>3210</v>
      </c>
      <c r="L11950" s="27" t="s">
        <v>3262</v>
      </c>
      <c r="N11950" s="27" t="s">
        <v>15743</v>
      </c>
      <c r="P11950" s="27" t="s">
        <v>15774</v>
      </c>
      <c r="Q11950" s="26" t="str">
        <f>HYPERLINK("https://ictv.global/taxonomy/taxondetails?taxnode_id=202511488&amp;ictv_id=ICTV202011488","ICTV202011488")</f>
        <v>ICTV202011488</v>
      </c>
      <c r="R11950" t="s">
        <v>581</v>
      </c>
      <c r="S11950" t="s">
        <v>22764</v>
      </c>
      <c r="T11950">
        <v>39</v>
      </c>
      <c r="U11950" s="26" t="str">
        <f t="shared" si="444"/>
        <v>2023.001B.Leviviricetes_reorg.zip</v>
      </c>
    </row>
    <row r="11951" spans="1:21">
      <c r="A11951">
        <v>11950</v>
      </c>
      <c r="B11951" s="27" t="s">
        <v>1124</v>
      </c>
      <c r="D11951" s="27" t="s">
        <v>1859</v>
      </c>
      <c r="F11951" s="27" t="s">
        <v>1881</v>
      </c>
      <c r="H11951" s="27" t="s">
        <v>2679</v>
      </c>
      <c r="J11951" s="27" t="s">
        <v>3210</v>
      </c>
      <c r="L11951" s="27" t="s">
        <v>3262</v>
      </c>
      <c r="N11951" s="27" t="s">
        <v>15743</v>
      </c>
      <c r="P11951" s="27" t="s">
        <v>15775</v>
      </c>
      <c r="Q11951" s="26" t="str">
        <f>HYPERLINK("https://ictv.global/taxonomy/taxondetails?taxnode_id=202511489&amp;ictv_id=ICTV202011489","ICTV202011489")</f>
        <v>ICTV202011489</v>
      </c>
      <c r="R11951" t="s">
        <v>581</v>
      </c>
      <c r="S11951" t="s">
        <v>22764</v>
      </c>
      <c r="T11951">
        <v>39</v>
      </c>
      <c r="U11951" s="26" t="str">
        <f t="shared" si="444"/>
        <v>2023.001B.Leviviricetes_reorg.zip</v>
      </c>
    </row>
    <row r="11952" spans="1:21">
      <c r="A11952">
        <v>11951</v>
      </c>
      <c r="B11952" s="27" t="s">
        <v>1124</v>
      </c>
      <c r="D11952" s="27" t="s">
        <v>1859</v>
      </c>
      <c r="F11952" s="27" t="s">
        <v>1881</v>
      </c>
      <c r="H11952" s="27" t="s">
        <v>2679</v>
      </c>
      <c r="J11952" s="27" t="s">
        <v>3210</v>
      </c>
      <c r="L11952" s="27" t="s">
        <v>3262</v>
      </c>
      <c r="N11952" s="27" t="s">
        <v>15743</v>
      </c>
      <c r="P11952" s="27" t="s">
        <v>15776</v>
      </c>
      <c r="Q11952" s="26" t="str">
        <f>HYPERLINK("https://ictv.global/taxonomy/taxondetails?taxnode_id=202511490&amp;ictv_id=ICTV202011490","ICTV202011490")</f>
        <v>ICTV202011490</v>
      </c>
      <c r="R11952" t="s">
        <v>581</v>
      </c>
      <c r="S11952" t="s">
        <v>22764</v>
      </c>
      <c r="T11952">
        <v>39</v>
      </c>
      <c r="U11952" s="26" t="str">
        <f t="shared" si="444"/>
        <v>2023.001B.Leviviricetes_reorg.zip</v>
      </c>
    </row>
    <row r="11953" spans="1:21">
      <c r="A11953">
        <v>11952</v>
      </c>
      <c r="B11953" s="27" t="s">
        <v>1124</v>
      </c>
      <c r="D11953" s="27" t="s">
        <v>1859</v>
      </c>
      <c r="F11953" s="27" t="s">
        <v>1881</v>
      </c>
      <c r="H11953" s="27" t="s">
        <v>2679</v>
      </c>
      <c r="J11953" s="27" t="s">
        <v>3210</v>
      </c>
      <c r="L11953" s="27" t="s">
        <v>3262</v>
      </c>
      <c r="N11953" s="27" t="s">
        <v>15743</v>
      </c>
      <c r="P11953" s="27" t="s">
        <v>15777</v>
      </c>
      <c r="Q11953" s="26" t="str">
        <f>HYPERLINK("https://ictv.global/taxonomy/taxondetails?taxnode_id=202511496&amp;ictv_id=ICTV202011496","ICTV202011496")</f>
        <v>ICTV202011496</v>
      </c>
      <c r="R11953" t="s">
        <v>581</v>
      </c>
      <c r="S11953" t="s">
        <v>22764</v>
      </c>
      <c r="T11953">
        <v>39</v>
      </c>
      <c r="U11953" s="26" t="str">
        <f t="shared" si="444"/>
        <v>2023.001B.Leviviricetes_reorg.zip</v>
      </c>
    </row>
    <row r="11954" spans="1:21">
      <c r="A11954">
        <v>11953</v>
      </c>
      <c r="B11954" s="27" t="s">
        <v>1124</v>
      </c>
      <c r="D11954" s="27" t="s">
        <v>1859</v>
      </c>
      <c r="F11954" s="27" t="s">
        <v>1881</v>
      </c>
      <c r="H11954" s="27" t="s">
        <v>2679</v>
      </c>
      <c r="J11954" s="27" t="s">
        <v>3210</v>
      </c>
      <c r="L11954" s="27" t="s">
        <v>3262</v>
      </c>
      <c r="N11954" s="27" t="s">
        <v>15743</v>
      </c>
      <c r="P11954" s="27" t="s">
        <v>15778</v>
      </c>
      <c r="Q11954" s="26" t="str">
        <f>HYPERLINK("https://ictv.global/taxonomy/taxondetails?taxnode_id=202511498&amp;ictv_id=ICTV202011498","ICTV202011498")</f>
        <v>ICTV202011498</v>
      </c>
      <c r="R11954" t="s">
        <v>581</v>
      </c>
      <c r="S11954" t="s">
        <v>22764</v>
      </c>
      <c r="T11954">
        <v>39</v>
      </c>
      <c r="U11954" s="26" t="str">
        <f t="shared" si="444"/>
        <v>2023.001B.Leviviricetes_reorg.zip</v>
      </c>
    </row>
    <row r="11955" spans="1:21">
      <c r="A11955">
        <v>11954</v>
      </c>
      <c r="B11955" s="27" t="s">
        <v>1124</v>
      </c>
      <c r="D11955" s="27" t="s">
        <v>1859</v>
      </c>
      <c r="F11955" s="27" t="s">
        <v>1881</v>
      </c>
      <c r="H11955" s="27" t="s">
        <v>2679</v>
      </c>
      <c r="J11955" s="27" t="s">
        <v>3210</v>
      </c>
      <c r="L11955" s="27" t="s">
        <v>3262</v>
      </c>
      <c r="N11955" s="27" t="s">
        <v>15743</v>
      </c>
      <c r="P11955" s="27" t="s">
        <v>15779</v>
      </c>
      <c r="Q11955" s="26" t="str">
        <f>HYPERLINK("https://ictv.global/taxonomy/taxondetails?taxnode_id=202511497&amp;ictv_id=ICTV202011497","ICTV202011497")</f>
        <v>ICTV202011497</v>
      </c>
      <c r="R11955" t="s">
        <v>581</v>
      </c>
      <c r="S11955" t="s">
        <v>22764</v>
      </c>
      <c r="T11955">
        <v>39</v>
      </c>
      <c r="U11955" s="26" t="str">
        <f t="shared" si="444"/>
        <v>2023.001B.Leviviricetes_reorg.zip</v>
      </c>
    </row>
    <row r="11956" spans="1:21">
      <c r="A11956">
        <v>11955</v>
      </c>
      <c r="B11956" s="27" t="s">
        <v>1124</v>
      </c>
      <c r="D11956" s="27" t="s">
        <v>1859</v>
      </c>
      <c r="F11956" s="27" t="s">
        <v>1881</v>
      </c>
      <c r="H11956" s="27" t="s">
        <v>2679</v>
      </c>
      <c r="J11956" s="27" t="s">
        <v>3210</v>
      </c>
      <c r="L11956" s="27" t="s">
        <v>3262</v>
      </c>
      <c r="N11956" s="27" t="s">
        <v>15743</v>
      </c>
      <c r="P11956" s="27" t="s">
        <v>15780</v>
      </c>
      <c r="Q11956" s="26" t="str">
        <f>HYPERLINK("https://ictv.global/taxonomy/taxondetails?taxnode_id=202511499&amp;ictv_id=ICTV202011499","ICTV202011499")</f>
        <v>ICTV202011499</v>
      </c>
      <c r="R11956" t="s">
        <v>581</v>
      </c>
      <c r="S11956" t="s">
        <v>22764</v>
      </c>
      <c r="T11956">
        <v>39</v>
      </c>
      <c r="U11956" s="26" t="str">
        <f t="shared" si="444"/>
        <v>2023.001B.Leviviricetes_reorg.zip</v>
      </c>
    </row>
    <row r="11957" spans="1:21">
      <c r="A11957">
        <v>11956</v>
      </c>
      <c r="B11957" s="27" t="s">
        <v>1124</v>
      </c>
      <c r="D11957" s="27" t="s">
        <v>1859</v>
      </c>
      <c r="F11957" s="27" t="s">
        <v>1881</v>
      </c>
      <c r="H11957" s="27" t="s">
        <v>2679</v>
      </c>
      <c r="J11957" s="27" t="s">
        <v>3210</v>
      </c>
      <c r="L11957" s="27" t="s">
        <v>3262</v>
      </c>
      <c r="N11957" s="27" t="s">
        <v>15743</v>
      </c>
      <c r="P11957" s="27" t="s">
        <v>15781</v>
      </c>
      <c r="Q11957" s="26" t="str">
        <f>HYPERLINK("https://ictv.global/taxonomy/taxondetails?taxnode_id=202511500&amp;ictv_id=ICTV202011500","ICTV202011500")</f>
        <v>ICTV202011500</v>
      </c>
      <c r="R11957" t="s">
        <v>581</v>
      </c>
      <c r="S11957" t="s">
        <v>22764</v>
      </c>
      <c r="T11957">
        <v>39</v>
      </c>
      <c r="U11957" s="26" t="str">
        <f t="shared" si="444"/>
        <v>2023.001B.Leviviricetes_reorg.zip</v>
      </c>
    </row>
    <row r="11958" spans="1:21">
      <c r="A11958">
        <v>11957</v>
      </c>
      <c r="B11958" s="27" t="s">
        <v>1124</v>
      </c>
      <c r="D11958" s="27" t="s">
        <v>1859</v>
      </c>
      <c r="F11958" s="27" t="s">
        <v>1881</v>
      </c>
      <c r="H11958" s="27" t="s">
        <v>2679</v>
      </c>
      <c r="J11958" s="27" t="s">
        <v>3210</v>
      </c>
      <c r="L11958" s="27" t="s">
        <v>3262</v>
      </c>
      <c r="N11958" s="27" t="s">
        <v>15782</v>
      </c>
      <c r="P11958" s="27" t="s">
        <v>15783</v>
      </c>
      <c r="Q11958" s="26" t="str">
        <f>HYPERLINK("https://ictv.global/taxonomy/taxondetails?taxnode_id=202517058&amp;ictv_id=ICTV202317058","ICTV202317058")</f>
        <v>ICTV202317058</v>
      </c>
      <c r="R11958" t="s">
        <v>581</v>
      </c>
      <c r="S11958" t="s">
        <v>823</v>
      </c>
      <c r="T11958">
        <v>39</v>
      </c>
      <c r="U11958" s="26" t="str">
        <f t="shared" si="444"/>
        <v>2023.001B.Leviviricetes_reorg.zip</v>
      </c>
    </row>
    <row r="11959" spans="1:21">
      <c r="A11959">
        <v>11958</v>
      </c>
      <c r="B11959" s="27" t="s">
        <v>1124</v>
      </c>
      <c r="D11959" s="27" t="s">
        <v>1859</v>
      </c>
      <c r="F11959" s="27" t="s">
        <v>1881</v>
      </c>
      <c r="H11959" s="27" t="s">
        <v>2679</v>
      </c>
      <c r="J11959" s="27" t="s">
        <v>3210</v>
      </c>
      <c r="L11959" s="27" t="s">
        <v>3262</v>
      </c>
      <c r="N11959" s="27" t="s">
        <v>15784</v>
      </c>
      <c r="P11959" s="27" t="s">
        <v>15785</v>
      </c>
      <c r="Q11959" s="26" t="str">
        <f>HYPERLINK("https://ictv.global/taxonomy/taxondetails?taxnode_id=202517059&amp;ictv_id=ICTV202317059","ICTV202317059")</f>
        <v>ICTV202317059</v>
      </c>
      <c r="R11959" t="s">
        <v>581</v>
      </c>
      <c r="S11959" t="s">
        <v>823</v>
      </c>
      <c r="T11959">
        <v>39</v>
      </c>
      <c r="U11959" s="26" t="str">
        <f t="shared" si="444"/>
        <v>2023.001B.Leviviricetes_reorg.zip</v>
      </c>
    </row>
    <row r="11960" spans="1:21">
      <c r="A11960">
        <v>11959</v>
      </c>
      <c r="B11960" s="27" t="s">
        <v>1124</v>
      </c>
      <c r="D11960" s="27" t="s">
        <v>1859</v>
      </c>
      <c r="F11960" s="27" t="s">
        <v>1881</v>
      </c>
      <c r="H11960" s="27" t="s">
        <v>2679</v>
      </c>
      <c r="J11960" s="27" t="s">
        <v>3210</v>
      </c>
      <c r="L11960" s="27" t="s">
        <v>3262</v>
      </c>
      <c r="N11960" s="27" t="s">
        <v>15786</v>
      </c>
      <c r="P11960" s="27" t="s">
        <v>15787</v>
      </c>
      <c r="Q11960" s="26" t="str">
        <f>HYPERLINK("https://ictv.global/taxonomy/taxondetails?taxnode_id=202517060&amp;ictv_id=ICTV202317060","ICTV202317060")</f>
        <v>ICTV202317060</v>
      </c>
      <c r="R11960" t="s">
        <v>581</v>
      </c>
      <c r="S11960" t="s">
        <v>823</v>
      </c>
      <c r="T11960">
        <v>39</v>
      </c>
      <c r="U11960" s="26" t="str">
        <f t="shared" si="444"/>
        <v>2023.001B.Leviviricetes_reorg.zip</v>
      </c>
    </row>
    <row r="11961" spans="1:21">
      <c r="A11961">
        <v>11960</v>
      </c>
      <c r="B11961" s="27" t="s">
        <v>1124</v>
      </c>
      <c r="D11961" s="27" t="s">
        <v>1859</v>
      </c>
      <c r="F11961" s="27" t="s">
        <v>1881</v>
      </c>
      <c r="H11961" s="27" t="s">
        <v>2679</v>
      </c>
      <c r="J11961" s="27" t="s">
        <v>3210</v>
      </c>
      <c r="L11961" s="27" t="s">
        <v>3262</v>
      </c>
      <c r="N11961" s="27" t="s">
        <v>3318</v>
      </c>
      <c r="P11961" s="27" t="s">
        <v>3319</v>
      </c>
      <c r="Q11961" s="26" t="str">
        <f>HYPERLINK("https://ictv.global/taxonomy/taxondetails?taxnode_id=202511231&amp;ictv_id=ICTV202011231","ICTV202011231")</f>
        <v>ICTV202011231</v>
      </c>
      <c r="R11961" t="s">
        <v>581</v>
      </c>
      <c r="S11961" t="s">
        <v>823</v>
      </c>
      <c r="T11961">
        <v>36</v>
      </c>
      <c r="U11961" s="26" t="str">
        <f t="shared" ref="U11961:U11968" si="445">HYPERLINK("https://ictv.global/ictv/proposals/2020.095B.R.Leviviricetes.zip","2020.095B.R.Leviviricetes.zip")</f>
        <v>2020.095B.R.Leviviricetes.zip</v>
      </c>
    </row>
    <row r="11962" spans="1:21">
      <c r="A11962">
        <v>11961</v>
      </c>
      <c r="B11962" s="27" t="s">
        <v>1124</v>
      </c>
      <c r="D11962" s="27" t="s">
        <v>1859</v>
      </c>
      <c r="F11962" s="27" t="s">
        <v>1881</v>
      </c>
      <c r="H11962" s="27" t="s">
        <v>2679</v>
      </c>
      <c r="J11962" s="27" t="s">
        <v>3210</v>
      </c>
      <c r="L11962" s="27" t="s">
        <v>3262</v>
      </c>
      <c r="N11962" s="27" t="s">
        <v>3318</v>
      </c>
      <c r="P11962" s="27" t="s">
        <v>3320</v>
      </c>
      <c r="Q11962" s="26" t="str">
        <f>HYPERLINK("https://ictv.global/taxonomy/taxondetails?taxnode_id=202511233&amp;ictv_id=ICTV202011233","ICTV202011233")</f>
        <v>ICTV202011233</v>
      </c>
      <c r="R11962" t="s">
        <v>581</v>
      </c>
      <c r="S11962" t="s">
        <v>823</v>
      </c>
      <c r="T11962">
        <v>36</v>
      </c>
      <c r="U11962" s="26" t="str">
        <f t="shared" si="445"/>
        <v>2020.095B.R.Leviviricetes.zip</v>
      </c>
    </row>
    <row r="11963" spans="1:21">
      <c r="A11963">
        <v>11962</v>
      </c>
      <c r="B11963" s="27" t="s">
        <v>1124</v>
      </c>
      <c r="D11963" s="27" t="s">
        <v>1859</v>
      </c>
      <c r="F11963" s="27" t="s">
        <v>1881</v>
      </c>
      <c r="H11963" s="27" t="s">
        <v>2679</v>
      </c>
      <c r="J11963" s="27" t="s">
        <v>3210</v>
      </c>
      <c r="L11963" s="27" t="s">
        <v>3262</v>
      </c>
      <c r="N11963" s="27" t="s">
        <v>3318</v>
      </c>
      <c r="P11963" s="27" t="s">
        <v>3321</v>
      </c>
      <c r="Q11963" s="26" t="str">
        <f>HYPERLINK("https://ictv.global/taxonomy/taxondetails?taxnode_id=202511232&amp;ictv_id=ICTV202011232","ICTV202011232")</f>
        <v>ICTV202011232</v>
      </c>
      <c r="R11963" t="s">
        <v>581</v>
      </c>
      <c r="S11963" t="s">
        <v>823</v>
      </c>
      <c r="T11963">
        <v>36</v>
      </c>
      <c r="U11963" s="26" t="str">
        <f t="shared" si="445"/>
        <v>2020.095B.R.Leviviricetes.zip</v>
      </c>
    </row>
    <row r="11964" spans="1:21">
      <c r="A11964">
        <v>11963</v>
      </c>
      <c r="B11964" s="27" t="s">
        <v>1124</v>
      </c>
      <c r="D11964" s="27" t="s">
        <v>1859</v>
      </c>
      <c r="F11964" s="27" t="s">
        <v>1881</v>
      </c>
      <c r="H11964" s="27" t="s">
        <v>2679</v>
      </c>
      <c r="J11964" s="27" t="s">
        <v>3210</v>
      </c>
      <c r="L11964" s="27" t="s">
        <v>3262</v>
      </c>
      <c r="N11964" s="27" t="s">
        <v>3318</v>
      </c>
      <c r="P11964" s="27" t="s">
        <v>3322</v>
      </c>
      <c r="Q11964" s="26" t="str">
        <f>HYPERLINK("https://ictv.global/taxonomy/taxondetails?taxnode_id=202511236&amp;ictv_id=ICTV202011236","ICTV202011236")</f>
        <v>ICTV202011236</v>
      </c>
      <c r="R11964" t="s">
        <v>581</v>
      </c>
      <c r="S11964" t="s">
        <v>823</v>
      </c>
      <c r="T11964">
        <v>36</v>
      </c>
      <c r="U11964" s="26" t="str">
        <f t="shared" si="445"/>
        <v>2020.095B.R.Leviviricetes.zip</v>
      </c>
    </row>
    <row r="11965" spans="1:21">
      <c r="A11965">
        <v>11964</v>
      </c>
      <c r="B11965" s="27" t="s">
        <v>1124</v>
      </c>
      <c r="D11965" s="27" t="s">
        <v>1859</v>
      </c>
      <c r="F11965" s="27" t="s">
        <v>1881</v>
      </c>
      <c r="H11965" s="27" t="s">
        <v>2679</v>
      </c>
      <c r="J11965" s="27" t="s">
        <v>3210</v>
      </c>
      <c r="L11965" s="27" t="s">
        <v>3262</v>
      </c>
      <c r="N11965" s="27" t="s">
        <v>3318</v>
      </c>
      <c r="P11965" s="27" t="s">
        <v>3323</v>
      </c>
      <c r="Q11965" s="26" t="str">
        <f>HYPERLINK("https://ictv.global/taxonomy/taxondetails?taxnode_id=202511237&amp;ictv_id=ICTV202011237","ICTV202011237")</f>
        <v>ICTV202011237</v>
      </c>
      <c r="R11965" t="s">
        <v>581</v>
      </c>
      <c r="S11965" t="s">
        <v>823</v>
      </c>
      <c r="T11965">
        <v>36</v>
      </c>
      <c r="U11965" s="26" t="str">
        <f t="shared" si="445"/>
        <v>2020.095B.R.Leviviricetes.zip</v>
      </c>
    </row>
    <row r="11966" spans="1:21">
      <c r="A11966">
        <v>11965</v>
      </c>
      <c r="B11966" s="27" t="s">
        <v>1124</v>
      </c>
      <c r="D11966" s="27" t="s">
        <v>1859</v>
      </c>
      <c r="F11966" s="27" t="s">
        <v>1881</v>
      </c>
      <c r="H11966" s="27" t="s">
        <v>2679</v>
      </c>
      <c r="J11966" s="27" t="s">
        <v>3210</v>
      </c>
      <c r="L11966" s="27" t="s">
        <v>3262</v>
      </c>
      <c r="N11966" s="27" t="s">
        <v>3318</v>
      </c>
      <c r="P11966" s="27" t="s">
        <v>3324</v>
      </c>
      <c r="Q11966" s="26" t="str">
        <f>HYPERLINK("https://ictv.global/taxonomy/taxondetails?taxnode_id=202511234&amp;ictv_id=ICTV202011234","ICTV202011234")</f>
        <v>ICTV202011234</v>
      </c>
      <c r="R11966" t="s">
        <v>581</v>
      </c>
      <c r="S11966" t="s">
        <v>823</v>
      </c>
      <c r="T11966">
        <v>36</v>
      </c>
      <c r="U11966" s="26" t="str">
        <f t="shared" si="445"/>
        <v>2020.095B.R.Leviviricetes.zip</v>
      </c>
    </row>
    <row r="11967" spans="1:21">
      <c r="A11967">
        <v>11966</v>
      </c>
      <c r="B11967" s="27" t="s">
        <v>1124</v>
      </c>
      <c r="D11967" s="27" t="s">
        <v>1859</v>
      </c>
      <c r="F11967" s="27" t="s">
        <v>1881</v>
      </c>
      <c r="H11967" s="27" t="s">
        <v>2679</v>
      </c>
      <c r="J11967" s="27" t="s">
        <v>3210</v>
      </c>
      <c r="L11967" s="27" t="s">
        <v>3262</v>
      </c>
      <c r="N11967" s="27" t="s">
        <v>3318</v>
      </c>
      <c r="P11967" s="27" t="s">
        <v>3325</v>
      </c>
      <c r="Q11967" s="26" t="str">
        <f>HYPERLINK("https://ictv.global/taxonomy/taxondetails?taxnode_id=202511235&amp;ictv_id=ICTV202011235","ICTV202011235")</f>
        <v>ICTV202011235</v>
      </c>
      <c r="R11967" t="s">
        <v>581</v>
      </c>
      <c r="S11967" t="s">
        <v>823</v>
      </c>
      <c r="T11967">
        <v>36</v>
      </c>
      <c r="U11967" s="26" t="str">
        <f t="shared" si="445"/>
        <v>2020.095B.R.Leviviricetes.zip</v>
      </c>
    </row>
    <row r="11968" spans="1:21">
      <c r="A11968">
        <v>11967</v>
      </c>
      <c r="B11968" s="27" t="s">
        <v>1124</v>
      </c>
      <c r="D11968" s="27" t="s">
        <v>1859</v>
      </c>
      <c r="F11968" s="27" t="s">
        <v>1881</v>
      </c>
      <c r="H11968" s="27" t="s">
        <v>2679</v>
      </c>
      <c r="J11968" s="27" t="s">
        <v>3210</v>
      </c>
      <c r="L11968" s="27" t="s">
        <v>3262</v>
      </c>
      <c r="N11968" s="27" t="s">
        <v>3318</v>
      </c>
      <c r="P11968" s="27" t="s">
        <v>3326</v>
      </c>
      <c r="Q11968" s="26" t="str">
        <f>HYPERLINK("https://ictv.global/taxonomy/taxondetails?taxnode_id=202511230&amp;ictv_id=ICTV202011230","ICTV202011230")</f>
        <v>ICTV202011230</v>
      </c>
      <c r="R11968" t="s">
        <v>581</v>
      </c>
      <c r="S11968" t="s">
        <v>823</v>
      </c>
      <c r="T11968">
        <v>36</v>
      </c>
      <c r="U11968" s="26" t="str">
        <f t="shared" si="445"/>
        <v>2020.095B.R.Leviviricetes.zip</v>
      </c>
    </row>
    <row r="11969" spans="1:21">
      <c r="A11969">
        <v>11968</v>
      </c>
      <c r="B11969" s="27" t="s">
        <v>1124</v>
      </c>
      <c r="D11969" s="27" t="s">
        <v>1859</v>
      </c>
      <c r="F11969" s="27" t="s">
        <v>1881</v>
      </c>
      <c r="H11969" s="27" t="s">
        <v>2679</v>
      </c>
      <c r="J11969" s="27" t="s">
        <v>3210</v>
      </c>
      <c r="L11969" s="27" t="s">
        <v>3262</v>
      </c>
      <c r="N11969" s="27" t="s">
        <v>3318</v>
      </c>
      <c r="P11969" s="27" t="s">
        <v>15788</v>
      </c>
      <c r="Q11969" s="26" t="str">
        <f>HYPERLINK("https://ictv.global/taxonomy/taxondetails?taxnode_id=202517061&amp;ictv_id=ICTV202317061","ICTV202317061")</f>
        <v>ICTV202317061</v>
      </c>
      <c r="R11969" t="s">
        <v>581</v>
      </c>
      <c r="S11969" t="s">
        <v>823</v>
      </c>
      <c r="T11969">
        <v>39</v>
      </c>
      <c r="U11969" s="26" t="str">
        <f t="shared" ref="U11969:U11974" si="446">HYPERLINK("https://ictv.global/ictv/proposals/2023.001B.Leviviricetes_reorg.zip","2023.001B.Leviviricetes_reorg.zip")</f>
        <v>2023.001B.Leviviricetes_reorg.zip</v>
      </c>
    </row>
    <row r="11970" spans="1:21">
      <c r="A11970">
        <v>11969</v>
      </c>
      <c r="B11970" s="27" t="s">
        <v>1124</v>
      </c>
      <c r="D11970" s="27" t="s">
        <v>1859</v>
      </c>
      <c r="F11970" s="27" t="s">
        <v>1881</v>
      </c>
      <c r="H11970" s="27" t="s">
        <v>2679</v>
      </c>
      <c r="J11970" s="27" t="s">
        <v>3210</v>
      </c>
      <c r="L11970" s="27" t="s">
        <v>3262</v>
      </c>
      <c r="N11970" s="27" t="s">
        <v>3318</v>
      </c>
      <c r="P11970" s="27" t="s">
        <v>15789</v>
      </c>
      <c r="Q11970" s="26" t="str">
        <f>HYPERLINK("https://ictv.global/taxonomy/taxondetails?taxnode_id=202517062&amp;ictv_id=ICTV202317062","ICTV202317062")</f>
        <v>ICTV202317062</v>
      </c>
      <c r="R11970" t="s">
        <v>581</v>
      </c>
      <c r="S11970" t="s">
        <v>823</v>
      </c>
      <c r="T11970">
        <v>39</v>
      </c>
      <c r="U11970" s="26" t="str">
        <f t="shared" si="446"/>
        <v>2023.001B.Leviviricetes_reorg.zip</v>
      </c>
    </row>
    <row r="11971" spans="1:21">
      <c r="A11971">
        <v>11970</v>
      </c>
      <c r="B11971" s="27" t="s">
        <v>1124</v>
      </c>
      <c r="D11971" s="27" t="s">
        <v>1859</v>
      </c>
      <c r="F11971" s="27" t="s">
        <v>1881</v>
      </c>
      <c r="H11971" s="27" t="s">
        <v>2679</v>
      </c>
      <c r="J11971" s="27" t="s">
        <v>3210</v>
      </c>
      <c r="L11971" s="27" t="s">
        <v>3262</v>
      </c>
      <c r="N11971" s="27" t="s">
        <v>3318</v>
      </c>
      <c r="P11971" s="27" t="s">
        <v>15790</v>
      </c>
      <c r="Q11971" s="26" t="str">
        <f>HYPERLINK("https://ictv.global/taxonomy/taxondetails?taxnode_id=202517063&amp;ictv_id=ICTV202317063","ICTV202317063")</f>
        <v>ICTV202317063</v>
      </c>
      <c r="R11971" t="s">
        <v>581</v>
      </c>
      <c r="S11971" t="s">
        <v>823</v>
      </c>
      <c r="T11971">
        <v>39</v>
      </c>
      <c r="U11971" s="26" t="str">
        <f t="shared" si="446"/>
        <v>2023.001B.Leviviricetes_reorg.zip</v>
      </c>
    </row>
    <row r="11972" spans="1:21">
      <c r="A11972">
        <v>11971</v>
      </c>
      <c r="B11972" s="27" t="s">
        <v>1124</v>
      </c>
      <c r="D11972" s="27" t="s">
        <v>1859</v>
      </c>
      <c r="F11972" s="27" t="s">
        <v>1881</v>
      </c>
      <c r="H11972" s="27" t="s">
        <v>2679</v>
      </c>
      <c r="J11972" s="27" t="s">
        <v>3210</v>
      </c>
      <c r="L11972" s="27" t="s">
        <v>3262</v>
      </c>
      <c r="N11972" s="27" t="s">
        <v>3318</v>
      </c>
      <c r="P11972" s="27" t="s">
        <v>15791</v>
      </c>
      <c r="Q11972" s="26" t="str">
        <f>HYPERLINK("https://ictv.global/taxonomy/taxondetails?taxnode_id=202517064&amp;ictv_id=ICTV202317064","ICTV202317064")</f>
        <v>ICTV202317064</v>
      </c>
      <c r="R11972" t="s">
        <v>581</v>
      </c>
      <c r="S11972" t="s">
        <v>823</v>
      </c>
      <c r="T11972">
        <v>39</v>
      </c>
      <c r="U11972" s="26" t="str">
        <f t="shared" si="446"/>
        <v>2023.001B.Leviviricetes_reorg.zip</v>
      </c>
    </row>
    <row r="11973" spans="1:21">
      <c r="A11973">
        <v>11972</v>
      </c>
      <c r="B11973" s="27" t="s">
        <v>1124</v>
      </c>
      <c r="D11973" s="27" t="s">
        <v>1859</v>
      </c>
      <c r="F11973" s="27" t="s">
        <v>1881</v>
      </c>
      <c r="H11973" s="27" t="s">
        <v>2679</v>
      </c>
      <c r="J11973" s="27" t="s">
        <v>3210</v>
      </c>
      <c r="L11973" s="27" t="s">
        <v>3262</v>
      </c>
      <c r="N11973" s="27" t="s">
        <v>3318</v>
      </c>
      <c r="P11973" s="27" t="s">
        <v>15792</v>
      </c>
      <c r="Q11973" s="26" t="str">
        <f>HYPERLINK("https://ictv.global/taxonomy/taxondetails?taxnode_id=202517065&amp;ictv_id=ICTV202317065","ICTV202317065")</f>
        <v>ICTV202317065</v>
      </c>
      <c r="R11973" t="s">
        <v>581</v>
      </c>
      <c r="S11973" t="s">
        <v>823</v>
      </c>
      <c r="T11973">
        <v>39</v>
      </c>
      <c r="U11973" s="26" t="str">
        <f t="shared" si="446"/>
        <v>2023.001B.Leviviricetes_reorg.zip</v>
      </c>
    </row>
    <row r="11974" spans="1:21">
      <c r="A11974">
        <v>11973</v>
      </c>
      <c r="B11974" s="27" t="s">
        <v>1124</v>
      </c>
      <c r="D11974" s="27" t="s">
        <v>1859</v>
      </c>
      <c r="F11974" s="27" t="s">
        <v>1881</v>
      </c>
      <c r="H11974" s="27" t="s">
        <v>2679</v>
      </c>
      <c r="J11974" s="27" t="s">
        <v>3210</v>
      </c>
      <c r="L11974" s="27" t="s">
        <v>3262</v>
      </c>
      <c r="N11974" s="27" t="s">
        <v>3318</v>
      </c>
      <c r="P11974" s="27" t="s">
        <v>15793</v>
      </c>
      <c r="Q11974" s="26" t="str">
        <f>HYPERLINK("https://ictv.global/taxonomy/taxondetails?taxnode_id=202517066&amp;ictv_id=ICTV202317066","ICTV202317066")</f>
        <v>ICTV202317066</v>
      </c>
      <c r="R11974" t="s">
        <v>581</v>
      </c>
      <c r="S11974" t="s">
        <v>823</v>
      </c>
      <c r="T11974">
        <v>39</v>
      </c>
      <c r="U11974" s="26" t="str">
        <f t="shared" si="446"/>
        <v>2023.001B.Leviviricetes_reorg.zip</v>
      </c>
    </row>
    <row r="11975" spans="1:21">
      <c r="A11975">
        <v>11974</v>
      </c>
      <c r="B11975" s="27" t="s">
        <v>1124</v>
      </c>
      <c r="D11975" s="27" t="s">
        <v>1859</v>
      </c>
      <c r="F11975" s="27" t="s">
        <v>1881</v>
      </c>
      <c r="H11975" s="27" t="s">
        <v>2679</v>
      </c>
      <c r="J11975" s="27" t="s">
        <v>3210</v>
      </c>
      <c r="L11975" s="27" t="s">
        <v>3262</v>
      </c>
      <c r="N11975" s="27" t="s">
        <v>3327</v>
      </c>
      <c r="P11975" s="27" t="s">
        <v>3328</v>
      </c>
      <c r="Q11975" s="26" t="str">
        <f>HYPERLINK("https://ictv.global/taxonomy/taxondetails?taxnode_id=202511239&amp;ictv_id=ICTV202011239","ICTV202011239")</f>
        <v>ICTV202011239</v>
      </c>
      <c r="R11975" t="s">
        <v>581</v>
      </c>
      <c r="S11975" t="s">
        <v>823</v>
      </c>
      <c r="T11975">
        <v>36</v>
      </c>
      <c r="U11975" s="26" t="str">
        <f>HYPERLINK("https://ictv.global/ictv/proposals/2020.095B.R.Leviviricetes.zip","2020.095B.R.Leviviricetes.zip")</f>
        <v>2020.095B.R.Leviviricetes.zip</v>
      </c>
    </row>
    <row r="11976" spans="1:21">
      <c r="A11976">
        <v>11975</v>
      </c>
      <c r="B11976" s="27" t="s">
        <v>1124</v>
      </c>
      <c r="D11976" s="27" t="s">
        <v>1859</v>
      </c>
      <c r="F11976" s="27" t="s">
        <v>1881</v>
      </c>
      <c r="H11976" s="27" t="s">
        <v>2679</v>
      </c>
      <c r="J11976" s="27" t="s">
        <v>3210</v>
      </c>
      <c r="L11976" s="27" t="s">
        <v>3262</v>
      </c>
      <c r="N11976" s="27" t="s">
        <v>15794</v>
      </c>
      <c r="P11976" s="27" t="s">
        <v>15795</v>
      </c>
      <c r="Q11976" s="26" t="str">
        <f>HYPERLINK("https://ictv.global/taxonomy/taxondetails?taxnode_id=202517067&amp;ictv_id=ICTV202317067","ICTV202317067")</f>
        <v>ICTV202317067</v>
      </c>
      <c r="R11976" t="s">
        <v>581</v>
      </c>
      <c r="S11976" t="s">
        <v>823</v>
      </c>
      <c r="T11976">
        <v>39</v>
      </c>
      <c r="U11976" s="26" t="str">
        <f t="shared" ref="U11976:U12039" si="447">HYPERLINK("https://ictv.global/ictv/proposals/2023.001B.Leviviricetes_reorg.zip","2023.001B.Leviviricetes_reorg.zip")</f>
        <v>2023.001B.Leviviricetes_reorg.zip</v>
      </c>
    </row>
    <row r="11977" spans="1:21">
      <c r="A11977">
        <v>11976</v>
      </c>
      <c r="B11977" s="27" t="s">
        <v>1124</v>
      </c>
      <c r="D11977" s="27" t="s">
        <v>1859</v>
      </c>
      <c r="F11977" s="27" t="s">
        <v>1881</v>
      </c>
      <c r="H11977" s="27" t="s">
        <v>2679</v>
      </c>
      <c r="J11977" s="27" t="s">
        <v>3210</v>
      </c>
      <c r="L11977" s="27" t="s">
        <v>3262</v>
      </c>
      <c r="N11977" s="27" t="s">
        <v>15796</v>
      </c>
      <c r="P11977" s="27" t="s">
        <v>15797</v>
      </c>
      <c r="Q11977" s="26" t="str">
        <f>HYPERLINK("https://ictv.global/taxonomy/taxondetails?taxnode_id=202517068&amp;ictv_id=ICTV202317068","ICTV202317068")</f>
        <v>ICTV202317068</v>
      </c>
      <c r="R11977" t="s">
        <v>581</v>
      </c>
      <c r="S11977" t="s">
        <v>823</v>
      </c>
      <c r="T11977">
        <v>39</v>
      </c>
      <c r="U11977" s="26" t="str">
        <f t="shared" si="447"/>
        <v>2023.001B.Leviviricetes_reorg.zip</v>
      </c>
    </row>
    <row r="11978" spans="1:21">
      <c r="A11978">
        <v>11977</v>
      </c>
      <c r="B11978" s="27" t="s">
        <v>1124</v>
      </c>
      <c r="D11978" s="27" t="s">
        <v>1859</v>
      </c>
      <c r="F11978" s="27" t="s">
        <v>1881</v>
      </c>
      <c r="H11978" s="27" t="s">
        <v>2679</v>
      </c>
      <c r="J11978" s="27" t="s">
        <v>3210</v>
      </c>
      <c r="L11978" s="27" t="s">
        <v>3262</v>
      </c>
      <c r="N11978" s="27" t="s">
        <v>15796</v>
      </c>
      <c r="P11978" s="27" t="s">
        <v>15798</v>
      </c>
      <c r="Q11978" s="26" t="str">
        <f>HYPERLINK("https://ictv.global/taxonomy/taxondetails?taxnode_id=202517069&amp;ictv_id=ICTV202317069","ICTV202317069")</f>
        <v>ICTV202317069</v>
      </c>
      <c r="R11978" t="s">
        <v>581</v>
      </c>
      <c r="S11978" t="s">
        <v>823</v>
      </c>
      <c r="T11978">
        <v>39</v>
      </c>
      <c r="U11978" s="26" t="str">
        <f t="shared" si="447"/>
        <v>2023.001B.Leviviricetes_reorg.zip</v>
      </c>
    </row>
    <row r="11979" spans="1:21">
      <c r="A11979">
        <v>11978</v>
      </c>
      <c r="B11979" s="27" t="s">
        <v>1124</v>
      </c>
      <c r="D11979" s="27" t="s">
        <v>1859</v>
      </c>
      <c r="F11979" s="27" t="s">
        <v>1881</v>
      </c>
      <c r="H11979" s="27" t="s">
        <v>2679</v>
      </c>
      <c r="J11979" s="27" t="s">
        <v>3210</v>
      </c>
      <c r="L11979" s="27" t="s">
        <v>3262</v>
      </c>
      <c r="N11979" s="27" t="s">
        <v>15796</v>
      </c>
      <c r="P11979" s="27" t="s">
        <v>15799</v>
      </c>
      <c r="Q11979" s="26" t="str">
        <f>HYPERLINK("https://ictv.global/taxonomy/taxondetails?taxnode_id=202517070&amp;ictv_id=ICTV202317070","ICTV202317070")</f>
        <v>ICTV202317070</v>
      </c>
      <c r="R11979" t="s">
        <v>581</v>
      </c>
      <c r="S11979" t="s">
        <v>823</v>
      </c>
      <c r="T11979">
        <v>39</v>
      </c>
      <c r="U11979" s="26" t="str">
        <f t="shared" si="447"/>
        <v>2023.001B.Leviviricetes_reorg.zip</v>
      </c>
    </row>
    <row r="11980" spans="1:21">
      <c r="A11980">
        <v>11979</v>
      </c>
      <c r="B11980" s="27" t="s">
        <v>1124</v>
      </c>
      <c r="D11980" s="27" t="s">
        <v>1859</v>
      </c>
      <c r="F11980" s="27" t="s">
        <v>1881</v>
      </c>
      <c r="H11980" s="27" t="s">
        <v>2679</v>
      </c>
      <c r="J11980" s="27" t="s">
        <v>3210</v>
      </c>
      <c r="L11980" s="27" t="s">
        <v>3262</v>
      </c>
      <c r="N11980" s="27" t="s">
        <v>15796</v>
      </c>
      <c r="P11980" s="27" t="s">
        <v>15800</v>
      </c>
      <c r="Q11980" s="26" t="str">
        <f>HYPERLINK("https://ictv.global/taxonomy/taxondetails?taxnode_id=202517071&amp;ictv_id=ICTV202317071","ICTV202317071")</f>
        <v>ICTV202317071</v>
      </c>
      <c r="R11980" t="s">
        <v>581</v>
      </c>
      <c r="S11980" t="s">
        <v>823</v>
      </c>
      <c r="T11980">
        <v>39</v>
      </c>
      <c r="U11980" s="26" t="str">
        <f t="shared" si="447"/>
        <v>2023.001B.Leviviricetes_reorg.zip</v>
      </c>
    </row>
    <row r="11981" spans="1:21">
      <c r="A11981">
        <v>11980</v>
      </c>
      <c r="B11981" s="27" t="s">
        <v>1124</v>
      </c>
      <c r="D11981" s="27" t="s">
        <v>1859</v>
      </c>
      <c r="F11981" s="27" t="s">
        <v>1881</v>
      </c>
      <c r="H11981" s="27" t="s">
        <v>2679</v>
      </c>
      <c r="J11981" s="27" t="s">
        <v>3210</v>
      </c>
      <c r="L11981" s="27" t="s">
        <v>3262</v>
      </c>
      <c r="N11981" s="27" t="s">
        <v>15796</v>
      </c>
      <c r="P11981" s="27" t="s">
        <v>15801</v>
      </c>
      <c r="Q11981" s="26" t="str">
        <f>HYPERLINK("https://ictv.global/taxonomy/taxondetails?taxnode_id=202517072&amp;ictv_id=ICTV202317072","ICTV202317072")</f>
        <v>ICTV202317072</v>
      </c>
      <c r="R11981" t="s">
        <v>581</v>
      </c>
      <c r="S11981" t="s">
        <v>823</v>
      </c>
      <c r="T11981">
        <v>39</v>
      </c>
      <c r="U11981" s="26" t="str">
        <f t="shared" si="447"/>
        <v>2023.001B.Leviviricetes_reorg.zip</v>
      </c>
    </row>
    <row r="11982" spans="1:21">
      <c r="A11982">
        <v>11981</v>
      </c>
      <c r="B11982" s="27" t="s">
        <v>1124</v>
      </c>
      <c r="D11982" s="27" t="s">
        <v>1859</v>
      </c>
      <c r="F11982" s="27" t="s">
        <v>1881</v>
      </c>
      <c r="H11982" s="27" t="s">
        <v>2679</v>
      </c>
      <c r="J11982" s="27" t="s">
        <v>3210</v>
      </c>
      <c r="L11982" s="27" t="s">
        <v>3262</v>
      </c>
      <c r="N11982" s="27" t="s">
        <v>15796</v>
      </c>
      <c r="P11982" s="27" t="s">
        <v>15802</v>
      </c>
      <c r="Q11982" s="26" t="str">
        <f>HYPERLINK("https://ictv.global/taxonomy/taxondetails?taxnode_id=202517073&amp;ictv_id=ICTV202317073","ICTV202317073")</f>
        <v>ICTV202317073</v>
      </c>
      <c r="R11982" t="s">
        <v>581</v>
      </c>
      <c r="S11982" t="s">
        <v>823</v>
      </c>
      <c r="T11982">
        <v>39</v>
      </c>
      <c r="U11982" s="26" t="str">
        <f t="shared" si="447"/>
        <v>2023.001B.Leviviricetes_reorg.zip</v>
      </c>
    </row>
    <row r="11983" spans="1:21">
      <c r="A11983">
        <v>11982</v>
      </c>
      <c r="B11983" s="27" t="s">
        <v>1124</v>
      </c>
      <c r="D11983" s="27" t="s">
        <v>1859</v>
      </c>
      <c r="F11983" s="27" t="s">
        <v>1881</v>
      </c>
      <c r="H11983" s="27" t="s">
        <v>2679</v>
      </c>
      <c r="J11983" s="27" t="s">
        <v>3210</v>
      </c>
      <c r="L11983" s="27" t="s">
        <v>3262</v>
      </c>
      <c r="N11983" s="27" t="s">
        <v>15796</v>
      </c>
      <c r="P11983" s="27" t="s">
        <v>15803</v>
      </c>
      <c r="Q11983" s="26" t="str">
        <f>HYPERLINK("https://ictv.global/taxonomy/taxondetails?taxnode_id=202517074&amp;ictv_id=ICTV202317074","ICTV202317074")</f>
        <v>ICTV202317074</v>
      </c>
      <c r="R11983" t="s">
        <v>581</v>
      </c>
      <c r="S11983" t="s">
        <v>823</v>
      </c>
      <c r="T11983">
        <v>39</v>
      </c>
      <c r="U11983" s="26" t="str">
        <f t="shared" si="447"/>
        <v>2023.001B.Leviviricetes_reorg.zip</v>
      </c>
    </row>
    <row r="11984" spans="1:21">
      <c r="A11984">
        <v>11983</v>
      </c>
      <c r="B11984" s="27" t="s">
        <v>1124</v>
      </c>
      <c r="D11984" s="27" t="s">
        <v>1859</v>
      </c>
      <c r="F11984" s="27" t="s">
        <v>1881</v>
      </c>
      <c r="H11984" s="27" t="s">
        <v>2679</v>
      </c>
      <c r="J11984" s="27" t="s">
        <v>3210</v>
      </c>
      <c r="L11984" s="27" t="s">
        <v>3262</v>
      </c>
      <c r="N11984" s="27" t="s">
        <v>15804</v>
      </c>
      <c r="P11984" s="27" t="s">
        <v>15805</v>
      </c>
      <c r="Q11984" s="26" t="str">
        <f>HYPERLINK("https://ictv.global/taxonomy/taxondetails?taxnode_id=202517075&amp;ictv_id=ICTV202317075","ICTV202317075")</f>
        <v>ICTV202317075</v>
      </c>
      <c r="R11984" t="s">
        <v>581</v>
      </c>
      <c r="S11984" t="s">
        <v>823</v>
      </c>
      <c r="T11984">
        <v>39</v>
      </c>
      <c r="U11984" s="26" t="str">
        <f t="shared" si="447"/>
        <v>2023.001B.Leviviricetes_reorg.zip</v>
      </c>
    </row>
    <row r="11985" spans="1:21">
      <c r="A11985">
        <v>11984</v>
      </c>
      <c r="B11985" s="27" t="s">
        <v>1124</v>
      </c>
      <c r="D11985" s="27" t="s">
        <v>1859</v>
      </c>
      <c r="F11985" s="27" t="s">
        <v>1881</v>
      </c>
      <c r="H11985" s="27" t="s">
        <v>2679</v>
      </c>
      <c r="J11985" s="27" t="s">
        <v>3210</v>
      </c>
      <c r="L11985" s="27" t="s">
        <v>3262</v>
      </c>
      <c r="N11985" s="27" t="s">
        <v>15806</v>
      </c>
      <c r="P11985" s="27" t="s">
        <v>15807</v>
      </c>
      <c r="Q11985" s="26" t="str">
        <f>HYPERLINK("https://ictv.global/taxonomy/taxondetails?taxnode_id=202517076&amp;ictv_id=ICTV202317076","ICTV202317076")</f>
        <v>ICTV202317076</v>
      </c>
      <c r="R11985" t="s">
        <v>581</v>
      </c>
      <c r="S11985" t="s">
        <v>823</v>
      </c>
      <c r="T11985">
        <v>39</v>
      </c>
      <c r="U11985" s="26" t="str">
        <f t="shared" si="447"/>
        <v>2023.001B.Leviviricetes_reorg.zip</v>
      </c>
    </row>
    <row r="11986" spans="1:21">
      <c r="A11986">
        <v>11985</v>
      </c>
      <c r="B11986" s="27" t="s">
        <v>1124</v>
      </c>
      <c r="D11986" s="27" t="s">
        <v>1859</v>
      </c>
      <c r="F11986" s="27" t="s">
        <v>1881</v>
      </c>
      <c r="H11986" s="27" t="s">
        <v>2679</v>
      </c>
      <c r="J11986" s="27" t="s">
        <v>3210</v>
      </c>
      <c r="L11986" s="27" t="s">
        <v>3262</v>
      </c>
      <c r="N11986" s="27" t="s">
        <v>15806</v>
      </c>
      <c r="P11986" s="27" t="s">
        <v>15808</v>
      </c>
      <c r="Q11986" s="26" t="str">
        <f>HYPERLINK("https://ictv.global/taxonomy/taxondetails?taxnode_id=202517077&amp;ictv_id=ICTV202317077","ICTV202317077")</f>
        <v>ICTV202317077</v>
      </c>
      <c r="R11986" t="s">
        <v>581</v>
      </c>
      <c r="S11986" t="s">
        <v>823</v>
      </c>
      <c r="T11986">
        <v>39</v>
      </c>
      <c r="U11986" s="26" t="str">
        <f t="shared" si="447"/>
        <v>2023.001B.Leviviricetes_reorg.zip</v>
      </c>
    </row>
    <row r="11987" spans="1:21">
      <c r="A11987">
        <v>11986</v>
      </c>
      <c r="B11987" s="27" t="s">
        <v>1124</v>
      </c>
      <c r="D11987" s="27" t="s">
        <v>1859</v>
      </c>
      <c r="F11987" s="27" t="s">
        <v>1881</v>
      </c>
      <c r="H11987" s="27" t="s">
        <v>2679</v>
      </c>
      <c r="J11987" s="27" t="s">
        <v>3210</v>
      </c>
      <c r="L11987" s="27" t="s">
        <v>3262</v>
      </c>
      <c r="N11987" s="27" t="s">
        <v>15806</v>
      </c>
      <c r="P11987" s="27" t="s">
        <v>15809</v>
      </c>
      <c r="Q11987" s="26" t="str">
        <f>HYPERLINK("https://ictv.global/taxonomy/taxondetails?taxnode_id=202517078&amp;ictv_id=ICTV202317078","ICTV202317078")</f>
        <v>ICTV202317078</v>
      </c>
      <c r="R11987" t="s">
        <v>581</v>
      </c>
      <c r="S11987" t="s">
        <v>823</v>
      </c>
      <c r="T11987">
        <v>39</v>
      </c>
      <c r="U11987" s="26" t="str">
        <f t="shared" si="447"/>
        <v>2023.001B.Leviviricetes_reorg.zip</v>
      </c>
    </row>
    <row r="11988" spans="1:21">
      <c r="A11988">
        <v>11987</v>
      </c>
      <c r="B11988" s="27" t="s">
        <v>1124</v>
      </c>
      <c r="D11988" s="27" t="s">
        <v>1859</v>
      </c>
      <c r="F11988" s="27" t="s">
        <v>1881</v>
      </c>
      <c r="H11988" s="27" t="s">
        <v>2679</v>
      </c>
      <c r="J11988" s="27" t="s">
        <v>3210</v>
      </c>
      <c r="L11988" s="27" t="s">
        <v>3262</v>
      </c>
      <c r="N11988" s="27" t="s">
        <v>15806</v>
      </c>
      <c r="P11988" s="27" t="s">
        <v>15810</v>
      </c>
      <c r="Q11988" s="26" t="str">
        <f>HYPERLINK("https://ictv.global/taxonomy/taxondetails?taxnode_id=202517079&amp;ictv_id=ICTV202317079","ICTV202317079")</f>
        <v>ICTV202317079</v>
      </c>
      <c r="R11988" t="s">
        <v>581</v>
      </c>
      <c r="S11988" t="s">
        <v>823</v>
      </c>
      <c r="T11988">
        <v>39</v>
      </c>
      <c r="U11988" s="26" t="str">
        <f t="shared" si="447"/>
        <v>2023.001B.Leviviricetes_reorg.zip</v>
      </c>
    </row>
    <row r="11989" spans="1:21">
      <c r="A11989">
        <v>11988</v>
      </c>
      <c r="B11989" s="27" t="s">
        <v>1124</v>
      </c>
      <c r="D11989" s="27" t="s">
        <v>1859</v>
      </c>
      <c r="F11989" s="27" t="s">
        <v>1881</v>
      </c>
      <c r="H11989" s="27" t="s">
        <v>2679</v>
      </c>
      <c r="J11989" s="27" t="s">
        <v>3210</v>
      </c>
      <c r="L11989" s="27" t="s">
        <v>3262</v>
      </c>
      <c r="N11989" s="27" t="s">
        <v>15811</v>
      </c>
      <c r="P11989" s="27" t="s">
        <v>15812</v>
      </c>
      <c r="Q11989" s="26" t="str">
        <f>HYPERLINK("https://ictv.global/taxonomy/taxondetails?taxnode_id=202517080&amp;ictv_id=ICTV202317080","ICTV202317080")</f>
        <v>ICTV202317080</v>
      </c>
      <c r="R11989" t="s">
        <v>581</v>
      </c>
      <c r="S11989" t="s">
        <v>823</v>
      </c>
      <c r="T11989">
        <v>39</v>
      </c>
      <c r="U11989" s="26" t="str">
        <f t="shared" si="447"/>
        <v>2023.001B.Leviviricetes_reorg.zip</v>
      </c>
    </row>
    <row r="11990" spans="1:21">
      <c r="A11990">
        <v>11989</v>
      </c>
      <c r="B11990" s="27" t="s">
        <v>1124</v>
      </c>
      <c r="D11990" s="27" t="s">
        <v>1859</v>
      </c>
      <c r="F11990" s="27" t="s">
        <v>1881</v>
      </c>
      <c r="H11990" s="27" t="s">
        <v>2679</v>
      </c>
      <c r="J11990" s="27" t="s">
        <v>3210</v>
      </c>
      <c r="L11990" s="27" t="s">
        <v>3262</v>
      </c>
      <c r="N11990" s="27" t="s">
        <v>15811</v>
      </c>
      <c r="P11990" s="27" t="s">
        <v>15813</v>
      </c>
      <c r="Q11990" s="26" t="str">
        <f>HYPERLINK("https://ictv.global/taxonomy/taxondetails?taxnode_id=202517081&amp;ictv_id=ICTV202317081","ICTV202317081")</f>
        <v>ICTV202317081</v>
      </c>
      <c r="R11990" t="s">
        <v>581</v>
      </c>
      <c r="S11990" t="s">
        <v>823</v>
      </c>
      <c r="T11990">
        <v>39</v>
      </c>
      <c r="U11990" s="26" t="str">
        <f t="shared" si="447"/>
        <v>2023.001B.Leviviricetes_reorg.zip</v>
      </c>
    </row>
    <row r="11991" spans="1:21">
      <c r="A11991">
        <v>11990</v>
      </c>
      <c r="B11991" s="27" t="s">
        <v>1124</v>
      </c>
      <c r="D11991" s="27" t="s">
        <v>1859</v>
      </c>
      <c r="F11991" s="27" t="s">
        <v>1881</v>
      </c>
      <c r="H11991" s="27" t="s">
        <v>2679</v>
      </c>
      <c r="J11991" s="27" t="s">
        <v>3210</v>
      </c>
      <c r="L11991" s="27" t="s">
        <v>3262</v>
      </c>
      <c r="N11991" s="27" t="s">
        <v>15811</v>
      </c>
      <c r="P11991" s="27" t="s">
        <v>15814</v>
      </c>
      <c r="Q11991" s="26" t="str">
        <f>HYPERLINK("https://ictv.global/taxonomy/taxondetails?taxnode_id=202517082&amp;ictv_id=ICTV202317082","ICTV202317082")</f>
        <v>ICTV202317082</v>
      </c>
      <c r="R11991" t="s">
        <v>581</v>
      </c>
      <c r="S11991" t="s">
        <v>823</v>
      </c>
      <c r="T11991">
        <v>39</v>
      </c>
      <c r="U11991" s="26" t="str">
        <f t="shared" si="447"/>
        <v>2023.001B.Leviviricetes_reorg.zip</v>
      </c>
    </row>
    <row r="11992" spans="1:21">
      <c r="A11992">
        <v>11991</v>
      </c>
      <c r="B11992" s="27" t="s">
        <v>1124</v>
      </c>
      <c r="D11992" s="27" t="s">
        <v>1859</v>
      </c>
      <c r="F11992" s="27" t="s">
        <v>1881</v>
      </c>
      <c r="H11992" s="27" t="s">
        <v>2679</v>
      </c>
      <c r="J11992" s="27" t="s">
        <v>3210</v>
      </c>
      <c r="L11992" s="27" t="s">
        <v>3262</v>
      </c>
      <c r="N11992" s="27" t="s">
        <v>15815</v>
      </c>
      <c r="P11992" s="27" t="s">
        <v>15816</v>
      </c>
      <c r="Q11992" s="26" t="str">
        <f>HYPERLINK("https://ictv.global/taxonomy/taxondetails?taxnode_id=202517083&amp;ictv_id=ICTV202317083","ICTV202317083")</f>
        <v>ICTV202317083</v>
      </c>
      <c r="R11992" t="s">
        <v>581</v>
      </c>
      <c r="S11992" t="s">
        <v>823</v>
      </c>
      <c r="T11992">
        <v>39</v>
      </c>
      <c r="U11992" s="26" t="str">
        <f t="shared" si="447"/>
        <v>2023.001B.Leviviricetes_reorg.zip</v>
      </c>
    </row>
    <row r="11993" spans="1:21">
      <c r="A11993">
        <v>11992</v>
      </c>
      <c r="B11993" s="27" t="s">
        <v>1124</v>
      </c>
      <c r="D11993" s="27" t="s">
        <v>1859</v>
      </c>
      <c r="F11993" s="27" t="s">
        <v>1881</v>
      </c>
      <c r="H11993" s="27" t="s">
        <v>2679</v>
      </c>
      <c r="J11993" s="27" t="s">
        <v>3210</v>
      </c>
      <c r="L11993" s="27" t="s">
        <v>3262</v>
      </c>
      <c r="N11993" s="27" t="s">
        <v>15815</v>
      </c>
      <c r="P11993" s="27" t="s">
        <v>15817</v>
      </c>
      <c r="Q11993" s="26" t="str">
        <f>HYPERLINK("https://ictv.global/taxonomy/taxondetails?taxnode_id=202517084&amp;ictv_id=ICTV202317084","ICTV202317084")</f>
        <v>ICTV202317084</v>
      </c>
      <c r="R11993" t="s">
        <v>581</v>
      </c>
      <c r="S11993" t="s">
        <v>823</v>
      </c>
      <c r="T11993">
        <v>39</v>
      </c>
      <c r="U11993" s="26" t="str">
        <f t="shared" si="447"/>
        <v>2023.001B.Leviviricetes_reorg.zip</v>
      </c>
    </row>
    <row r="11994" spans="1:21">
      <c r="A11994">
        <v>11993</v>
      </c>
      <c r="B11994" s="27" t="s">
        <v>1124</v>
      </c>
      <c r="D11994" s="27" t="s">
        <v>1859</v>
      </c>
      <c r="F11994" s="27" t="s">
        <v>1881</v>
      </c>
      <c r="H11994" s="27" t="s">
        <v>2679</v>
      </c>
      <c r="J11994" s="27" t="s">
        <v>3210</v>
      </c>
      <c r="L11994" s="27" t="s">
        <v>3262</v>
      </c>
      <c r="N11994" s="27" t="s">
        <v>15815</v>
      </c>
      <c r="P11994" s="27" t="s">
        <v>15818</v>
      </c>
      <c r="Q11994" s="26" t="str">
        <f>HYPERLINK("https://ictv.global/taxonomy/taxondetails?taxnode_id=202517085&amp;ictv_id=ICTV202317085","ICTV202317085")</f>
        <v>ICTV202317085</v>
      </c>
      <c r="R11994" t="s">
        <v>581</v>
      </c>
      <c r="S11994" t="s">
        <v>823</v>
      </c>
      <c r="T11994">
        <v>39</v>
      </c>
      <c r="U11994" s="26" t="str">
        <f t="shared" si="447"/>
        <v>2023.001B.Leviviricetes_reorg.zip</v>
      </c>
    </row>
    <row r="11995" spans="1:21">
      <c r="A11995">
        <v>11994</v>
      </c>
      <c r="B11995" s="27" t="s">
        <v>1124</v>
      </c>
      <c r="D11995" s="27" t="s">
        <v>1859</v>
      </c>
      <c r="F11995" s="27" t="s">
        <v>1881</v>
      </c>
      <c r="H11995" s="27" t="s">
        <v>2679</v>
      </c>
      <c r="J11995" s="27" t="s">
        <v>3210</v>
      </c>
      <c r="L11995" s="27" t="s">
        <v>3262</v>
      </c>
      <c r="N11995" s="27" t="s">
        <v>15815</v>
      </c>
      <c r="P11995" s="27" t="s">
        <v>15819</v>
      </c>
      <c r="Q11995" s="26" t="str">
        <f>HYPERLINK("https://ictv.global/taxonomy/taxondetails?taxnode_id=202517086&amp;ictv_id=ICTV202317086","ICTV202317086")</f>
        <v>ICTV202317086</v>
      </c>
      <c r="R11995" t="s">
        <v>581</v>
      </c>
      <c r="S11995" t="s">
        <v>823</v>
      </c>
      <c r="T11995">
        <v>39</v>
      </c>
      <c r="U11995" s="26" t="str">
        <f t="shared" si="447"/>
        <v>2023.001B.Leviviricetes_reorg.zip</v>
      </c>
    </row>
    <row r="11996" spans="1:21">
      <c r="A11996">
        <v>11995</v>
      </c>
      <c r="B11996" s="27" t="s">
        <v>1124</v>
      </c>
      <c r="D11996" s="27" t="s">
        <v>1859</v>
      </c>
      <c r="F11996" s="27" t="s">
        <v>1881</v>
      </c>
      <c r="H11996" s="27" t="s">
        <v>2679</v>
      </c>
      <c r="J11996" s="27" t="s">
        <v>3210</v>
      </c>
      <c r="L11996" s="27" t="s">
        <v>3262</v>
      </c>
      <c r="N11996" s="27" t="s">
        <v>15815</v>
      </c>
      <c r="P11996" s="27" t="s">
        <v>15820</v>
      </c>
      <c r="Q11996" s="26" t="str">
        <f>HYPERLINK("https://ictv.global/taxonomy/taxondetails?taxnode_id=202517087&amp;ictv_id=ICTV202317087","ICTV202317087")</f>
        <v>ICTV202317087</v>
      </c>
      <c r="R11996" t="s">
        <v>581</v>
      </c>
      <c r="S11996" t="s">
        <v>823</v>
      </c>
      <c r="T11996">
        <v>39</v>
      </c>
      <c r="U11996" s="26" t="str">
        <f t="shared" si="447"/>
        <v>2023.001B.Leviviricetes_reorg.zip</v>
      </c>
    </row>
    <row r="11997" spans="1:21">
      <c r="A11997">
        <v>11996</v>
      </c>
      <c r="B11997" s="27" t="s">
        <v>1124</v>
      </c>
      <c r="D11997" s="27" t="s">
        <v>1859</v>
      </c>
      <c r="F11997" s="27" t="s">
        <v>1881</v>
      </c>
      <c r="H11997" s="27" t="s">
        <v>2679</v>
      </c>
      <c r="J11997" s="27" t="s">
        <v>3210</v>
      </c>
      <c r="L11997" s="27" t="s">
        <v>3262</v>
      </c>
      <c r="N11997" s="27" t="s">
        <v>15815</v>
      </c>
      <c r="P11997" s="27" t="s">
        <v>15821</v>
      </c>
      <c r="Q11997" s="26" t="str">
        <f>HYPERLINK("https://ictv.global/taxonomy/taxondetails?taxnode_id=202517088&amp;ictv_id=ICTV202317088","ICTV202317088")</f>
        <v>ICTV202317088</v>
      </c>
      <c r="R11997" t="s">
        <v>581</v>
      </c>
      <c r="S11997" t="s">
        <v>823</v>
      </c>
      <c r="T11997">
        <v>39</v>
      </c>
      <c r="U11997" s="26" t="str">
        <f t="shared" si="447"/>
        <v>2023.001B.Leviviricetes_reorg.zip</v>
      </c>
    </row>
    <row r="11998" spans="1:21">
      <c r="A11998">
        <v>11997</v>
      </c>
      <c r="B11998" s="27" t="s">
        <v>1124</v>
      </c>
      <c r="D11998" s="27" t="s">
        <v>1859</v>
      </c>
      <c r="F11998" s="27" t="s">
        <v>1881</v>
      </c>
      <c r="H11998" s="27" t="s">
        <v>2679</v>
      </c>
      <c r="J11998" s="27" t="s">
        <v>3210</v>
      </c>
      <c r="L11998" s="27" t="s">
        <v>3262</v>
      </c>
      <c r="N11998" s="27" t="s">
        <v>15815</v>
      </c>
      <c r="P11998" s="27" t="s">
        <v>15822</v>
      </c>
      <c r="Q11998" s="26" t="str">
        <f>HYPERLINK("https://ictv.global/taxonomy/taxondetails?taxnode_id=202517089&amp;ictv_id=ICTV202317089","ICTV202317089")</f>
        <v>ICTV202317089</v>
      </c>
      <c r="R11998" t="s">
        <v>581</v>
      </c>
      <c r="S11998" t="s">
        <v>823</v>
      </c>
      <c r="T11998">
        <v>39</v>
      </c>
      <c r="U11998" s="26" t="str">
        <f t="shared" si="447"/>
        <v>2023.001B.Leviviricetes_reorg.zip</v>
      </c>
    </row>
    <row r="11999" spans="1:21">
      <c r="A11999">
        <v>11998</v>
      </c>
      <c r="B11999" s="27" t="s">
        <v>1124</v>
      </c>
      <c r="D11999" s="27" t="s">
        <v>1859</v>
      </c>
      <c r="F11999" s="27" t="s">
        <v>1881</v>
      </c>
      <c r="H11999" s="27" t="s">
        <v>2679</v>
      </c>
      <c r="J11999" s="27" t="s">
        <v>3210</v>
      </c>
      <c r="L11999" s="27" t="s">
        <v>3262</v>
      </c>
      <c r="N11999" s="27" t="s">
        <v>15815</v>
      </c>
      <c r="P11999" s="27" t="s">
        <v>15823</v>
      </c>
      <c r="Q11999" s="26" t="str">
        <f>HYPERLINK("https://ictv.global/taxonomy/taxondetails?taxnode_id=202517090&amp;ictv_id=ICTV202317090","ICTV202317090")</f>
        <v>ICTV202317090</v>
      </c>
      <c r="R11999" t="s">
        <v>581</v>
      </c>
      <c r="S11999" t="s">
        <v>823</v>
      </c>
      <c r="T11999">
        <v>39</v>
      </c>
      <c r="U11999" s="26" t="str">
        <f t="shared" si="447"/>
        <v>2023.001B.Leviviricetes_reorg.zip</v>
      </c>
    </row>
    <row r="12000" spans="1:21">
      <c r="A12000">
        <v>11999</v>
      </c>
      <c r="B12000" s="27" t="s">
        <v>1124</v>
      </c>
      <c r="D12000" s="27" t="s">
        <v>1859</v>
      </c>
      <c r="F12000" s="27" t="s">
        <v>1881</v>
      </c>
      <c r="H12000" s="27" t="s">
        <v>2679</v>
      </c>
      <c r="J12000" s="27" t="s">
        <v>3210</v>
      </c>
      <c r="L12000" s="27" t="s">
        <v>3262</v>
      </c>
      <c r="N12000" s="27" t="s">
        <v>15815</v>
      </c>
      <c r="P12000" s="27" t="s">
        <v>15824</v>
      </c>
      <c r="Q12000" s="26" t="str">
        <f>HYPERLINK("https://ictv.global/taxonomy/taxondetails?taxnode_id=202517091&amp;ictv_id=ICTV202317091","ICTV202317091")</f>
        <v>ICTV202317091</v>
      </c>
      <c r="R12000" t="s">
        <v>581</v>
      </c>
      <c r="S12000" t="s">
        <v>823</v>
      </c>
      <c r="T12000">
        <v>39</v>
      </c>
      <c r="U12000" s="26" t="str">
        <f t="shared" si="447"/>
        <v>2023.001B.Leviviricetes_reorg.zip</v>
      </c>
    </row>
    <row r="12001" spans="1:21">
      <c r="A12001">
        <v>12000</v>
      </c>
      <c r="B12001" s="27" t="s">
        <v>1124</v>
      </c>
      <c r="D12001" s="27" t="s">
        <v>1859</v>
      </c>
      <c r="F12001" s="27" t="s">
        <v>1881</v>
      </c>
      <c r="H12001" s="27" t="s">
        <v>2679</v>
      </c>
      <c r="J12001" s="27" t="s">
        <v>3210</v>
      </c>
      <c r="L12001" s="27" t="s">
        <v>3262</v>
      </c>
      <c r="N12001" s="27" t="s">
        <v>15815</v>
      </c>
      <c r="P12001" s="27" t="s">
        <v>15825</v>
      </c>
      <c r="Q12001" s="26" t="str">
        <f>HYPERLINK("https://ictv.global/taxonomy/taxondetails?taxnode_id=202517092&amp;ictv_id=ICTV202317092","ICTV202317092")</f>
        <v>ICTV202317092</v>
      </c>
      <c r="R12001" t="s">
        <v>581</v>
      </c>
      <c r="S12001" t="s">
        <v>823</v>
      </c>
      <c r="T12001">
        <v>39</v>
      </c>
      <c r="U12001" s="26" t="str">
        <f t="shared" si="447"/>
        <v>2023.001B.Leviviricetes_reorg.zip</v>
      </c>
    </row>
    <row r="12002" spans="1:21">
      <c r="A12002">
        <v>12001</v>
      </c>
      <c r="B12002" s="27" t="s">
        <v>1124</v>
      </c>
      <c r="D12002" s="27" t="s">
        <v>1859</v>
      </c>
      <c r="F12002" s="27" t="s">
        <v>1881</v>
      </c>
      <c r="H12002" s="27" t="s">
        <v>2679</v>
      </c>
      <c r="J12002" s="27" t="s">
        <v>3210</v>
      </c>
      <c r="L12002" s="27" t="s">
        <v>3262</v>
      </c>
      <c r="N12002" s="27" t="s">
        <v>15815</v>
      </c>
      <c r="P12002" s="27" t="s">
        <v>15826</v>
      </c>
      <c r="Q12002" s="26" t="str">
        <f>HYPERLINK("https://ictv.global/taxonomy/taxondetails?taxnode_id=202517093&amp;ictv_id=ICTV202317093","ICTV202317093")</f>
        <v>ICTV202317093</v>
      </c>
      <c r="R12002" t="s">
        <v>581</v>
      </c>
      <c r="S12002" t="s">
        <v>823</v>
      </c>
      <c r="T12002">
        <v>39</v>
      </c>
      <c r="U12002" s="26" t="str">
        <f t="shared" si="447"/>
        <v>2023.001B.Leviviricetes_reorg.zip</v>
      </c>
    </row>
    <row r="12003" spans="1:21">
      <c r="A12003">
        <v>12002</v>
      </c>
      <c r="B12003" s="27" t="s">
        <v>1124</v>
      </c>
      <c r="D12003" s="27" t="s">
        <v>1859</v>
      </c>
      <c r="F12003" s="27" t="s">
        <v>1881</v>
      </c>
      <c r="H12003" s="27" t="s">
        <v>2679</v>
      </c>
      <c r="J12003" s="27" t="s">
        <v>3210</v>
      </c>
      <c r="L12003" s="27" t="s">
        <v>3262</v>
      </c>
      <c r="N12003" s="27" t="s">
        <v>15815</v>
      </c>
      <c r="P12003" s="27" t="s">
        <v>15827</v>
      </c>
      <c r="Q12003" s="26" t="str">
        <f>HYPERLINK("https://ictv.global/taxonomy/taxondetails?taxnode_id=202517094&amp;ictv_id=ICTV202317094","ICTV202317094")</f>
        <v>ICTV202317094</v>
      </c>
      <c r="R12003" t="s">
        <v>581</v>
      </c>
      <c r="S12003" t="s">
        <v>823</v>
      </c>
      <c r="T12003">
        <v>39</v>
      </c>
      <c r="U12003" s="26" t="str">
        <f t="shared" si="447"/>
        <v>2023.001B.Leviviricetes_reorg.zip</v>
      </c>
    </row>
    <row r="12004" spans="1:21">
      <c r="A12004">
        <v>12003</v>
      </c>
      <c r="B12004" s="27" t="s">
        <v>1124</v>
      </c>
      <c r="D12004" s="27" t="s">
        <v>1859</v>
      </c>
      <c r="F12004" s="27" t="s">
        <v>1881</v>
      </c>
      <c r="H12004" s="27" t="s">
        <v>2679</v>
      </c>
      <c r="J12004" s="27" t="s">
        <v>3210</v>
      </c>
      <c r="L12004" s="27" t="s">
        <v>3262</v>
      </c>
      <c r="N12004" s="27" t="s">
        <v>15815</v>
      </c>
      <c r="P12004" s="27" t="s">
        <v>15828</v>
      </c>
      <c r="Q12004" s="26" t="str">
        <f>HYPERLINK("https://ictv.global/taxonomy/taxondetails?taxnode_id=202517095&amp;ictv_id=ICTV202317095","ICTV202317095")</f>
        <v>ICTV202317095</v>
      </c>
      <c r="R12004" t="s">
        <v>581</v>
      </c>
      <c r="S12004" t="s">
        <v>823</v>
      </c>
      <c r="T12004">
        <v>39</v>
      </c>
      <c r="U12004" s="26" t="str">
        <f t="shared" si="447"/>
        <v>2023.001B.Leviviricetes_reorg.zip</v>
      </c>
    </row>
    <row r="12005" spans="1:21">
      <c r="A12005">
        <v>12004</v>
      </c>
      <c r="B12005" s="27" t="s">
        <v>1124</v>
      </c>
      <c r="D12005" s="27" t="s">
        <v>1859</v>
      </c>
      <c r="F12005" s="27" t="s">
        <v>1881</v>
      </c>
      <c r="H12005" s="27" t="s">
        <v>2679</v>
      </c>
      <c r="J12005" s="27" t="s">
        <v>3210</v>
      </c>
      <c r="L12005" s="27" t="s">
        <v>3262</v>
      </c>
      <c r="N12005" s="27" t="s">
        <v>15815</v>
      </c>
      <c r="P12005" s="27" t="s">
        <v>15829</v>
      </c>
      <c r="Q12005" s="26" t="str">
        <f>HYPERLINK("https://ictv.global/taxonomy/taxondetails?taxnode_id=202517096&amp;ictv_id=ICTV202317096","ICTV202317096")</f>
        <v>ICTV202317096</v>
      </c>
      <c r="R12005" t="s">
        <v>581</v>
      </c>
      <c r="S12005" t="s">
        <v>823</v>
      </c>
      <c r="T12005">
        <v>39</v>
      </c>
      <c r="U12005" s="26" t="str">
        <f t="shared" si="447"/>
        <v>2023.001B.Leviviricetes_reorg.zip</v>
      </c>
    </row>
    <row r="12006" spans="1:21">
      <c r="A12006">
        <v>12005</v>
      </c>
      <c r="B12006" s="27" t="s">
        <v>1124</v>
      </c>
      <c r="D12006" s="27" t="s">
        <v>1859</v>
      </c>
      <c r="F12006" s="27" t="s">
        <v>1881</v>
      </c>
      <c r="H12006" s="27" t="s">
        <v>2679</v>
      </c>
      <c r="J12006" s="27" t="s">
        <v>3210</v>
      </c>
      <c r="L12006" s="27" t="s">
        <v>3262</v>
      </c>
      <c r="N12006" s="27" t="s">
        <v>15815</v>
      </c>
      <c r="P12006" s="27" t="s">
        <v>15830</v>
      </c>
      <c r="Q12006" s="26" t="str">
        <f>HYPERLINK("https://ictv.global/taxonomy/taxondetails?taxnode_id=202517097&amp;ictv_id=ICTV202317097","ICTV202317097")</f>
        <v>ICTV202317097</v>
      </c>
      <c r="R12006" t="s">
        <v>581</v>
      </c>
      <c r="S12006" t="s">
        <v>823</v>
      </c>
      <c r="T12006">
        <v>39</v>
      </c>
      <c r="U12006" s="26" t="str">
        <f t="shared" si="447"/>
        <v>2023.001B.Leviviricetes_reorg.zip</v>
      </c>
    </row>
    <row r="12007" spans="1:21">
      <c r="A12007">
        <v>12006</v>
      </c>
      <c r="B12007" s="27" t="s">
        <v>1124</v>
      </c>
      <c r="D12007" s="27" t="s">
        <v>1859</v>
      </c>
      <c r="F12007" s="27" t="s">
        <v>1881</v>
      </c>
      <c r="H12007" s="27" t="s">
        <v>2679</v>
      </c>
      <c r="J12007" s="27" t="s">
        <v>3210</v>
      </c>
      <c r="L12007" s="27" t="s">
        <v>3262</v>
      </c>
      <c r="N12007" s="27" t="s">
        <v>15815</v>
      </c>
      <c r="P12007" s="27" t="s">
        <v>15831</v>
      </c>
      <c r="Q12007" s="26" t="str">
        <f>HYPERLINK("https://ictv.global/taxonomy/taxondetails?taxnode_id=202517098&amp;ictv_id=ICTV202317098","ICTV202317098")</f>
        <v>ICTV202317098</v>
      </c>
      <c r="R12007" t="s">
        <v>581</v>
      </c>
      <c r="S12007" t="s">
        <v>823</v>
      </c>
      <c r="T12007">
        <v>39</v>
      </c>
      <c r="U12007" s="26" t="str">
        <f t="shared" si="447"/>
        <v>2023.001B.Leviviricetes_reorg.zip</v>
      </c>
    </row>
    <row r="12008" spans="1:21">
      <c r="A12008">
        <v>12007</v>
      </c>
      <c r="B12008" s="27" t="s">
        <v>1124</v>
      </c>
      <c r="D12008" s="27" t="s">
        <v>1859</v>
      </c>
      <c r="F12008" s="27" t="s">
        <v>1881</v>
      </c>
      <c r="H12008" s="27" t="s">
        <v>2679</v>
      </c>
      <c r="J12008" s="27" t="s">
        <v>3210</v>
      </c>
      <c r="L12008" s="27" t="s">
        <v>3262</v>
      </c>
      <c r="N12008" s="27" t="s">
        <v>15815</v>
      </c>
      <c r="P12008" s="27" t="s">
        <v>15832</v>
      </c>
      <c r="Q12008" s="26" t="str">
        <f>HYPERLINK("https://ictv.global/taxonomy/taxondetails?taxnode_id=202517099&amp;ictv_id=ICTV202317099","ICTV202317099")</f>
        <v>ICTV202317099</v>
      </c>
      <c r="R12008" t="s">
        <v>581</v>
      </c>
      <c r="S12008" t="s">
        <v>823</v>
      </c>
      <c r="T12008">
        <v>39</v>
      </c>
      <c r="U12008" s="26" t="str">
        <f t="shared" si="447"/>
        <v>2023.001B.Leviviricetes_reorg.zip</v>
      </c>
    </row>
    <row r="12009" spans="1:21">
      <c r="A12009">
        <v>12008</v>
      </c>
      <c r="B12009" s="27" t="s">
        <v>1124</v>
      </c>
      <c r="D12009" s="27" t="s">
        <v>1859</v>
      </c>
      <c r="F12009" s="27" t="s">
        <v>1881</v>
      </c>
      <c r="H12009" s="27" t="s">
        <v>2679</v>
      </c>
      <c r="J12009" s="27" t="s">
        <v>3210</v>
      </c>
      <c r="L12009" s="27" t="s">
        <v>3262</v>
      </c>
      <c r="N12009" s="27" t="s">
        <v>15815</v>
      </c>
      <c r="P12009" s="27" t="s">
        <v>15833</v>
      </c>
      <c r="Q12009" s="26" t="str">
        <f>HYPERLINK("https://ictv.global/taxonomy/taxondetails?taxnode_id=202517100&amp;ictv_id=ICTV202317100","ICTV202317100")</f>
        <v>ICTV202317100</v>
      </c>
      <c r="R12009" t="s">
        <v>581</v>
      </c>
      <c r="S12009" t="s">
        <v>823</v>
      </c>
      <c r="T12009">
        <v>39</v>
      </c>
      <c r="U12009" s="26" t="str">
        <f t="shared" si="447"/>
        <v>2023.001B.Leviviricetes_reorg.zip</v>
      </c>
    </row>
    <row r="12010" spans="1:21">
      <c r="A12010">
        <v>12009</v>
      </c>
      <c r="B12010" s="27" t="s">
        <v>1124</v>
      </c>
      <c r="D12010" s="27" t="s">
        <v>1859</v>
      </c>
      <c r="F12010" s="27" t="s">
        <v>1881</v>
      </c>
      <c r="H12010" s="27" t="s">
        <v>2679</v>
      </c>
      <c r="J12010" s="27" t="s">
        <v>3210</v>
      </c>
      <c r="L12010" s="27" t="s">
        <v>3262</v>
      </c>
      <c r="N12010" s="27" t="s">
        <v>15815</v>
      </c>
      <c r="P12010" s="27" t="s">
        <v>15834</v>
      </c>
      <c r="Q12010" s="26" t="str">
        <f>HYPERLINK("https://ictv.global/taxonomy/taxondetails?taxnode_id=202517101&amp;ictv_id=ICTV202317101","ICTV202317101")</f>
        <v>ICTV202317101</v>
      </c>
      <c r="R12010" t="s">
        <v>581</v>
      </c>
      <c r="S12010" t="s">
        <v>823</v>
      </c>
      <c r="T12010">
        <v>39</v>
      </c>
      <c r="U12010" s="26" t="str">
        <f t="shared" si="447"/>
        <v>2023.001B.Leviviricetes_reorg.zip</v>
      </c>
    </row>
    <row r="12011" spans="1:21">
      <c r="A12011">
        <v>12010</v>
      </c>
      <c r="B12011" s="27" t="s">
        <v>1124</v>
      </c>
      <c r="D12011" s="27" t="s">
        <v>1859</v>
      </c>
      <c r="F12011" s="27" t="s">
        <v>1881</v>
      </c>
      <c r="H12011" s="27" t="s">
        <v>2679</v>
      </c>
      <c r="J12011" s="27" t="s">
        <v>3210</v>
      </c>
      <c r="L12011" s="27" t="s">
        <v>3262</v>
      </c>
      <c r="N12011" s="27" t="s">
        <v>15815</v>
      </c>
      <c r="P12011" s="27" t="s">
        <v>15835</v>
      </c>
      <c r="Q12011" s="26" t="str">
        <f>HYPERLINK("https://ictv.global/taxonomy/taxondetails?taxnode_id=202517102&amp;ictv_id=ICTV202317102","ICTV202317102")</f>
        <v>ICTV202317102</v>
      </c>
      <c r="R12011" t="s">
        <v>581</v>
      </c>
      <c r="S12011" t="s">
        <v>823</v>
      </c>
      <c r="T12011">
        <v>39</v>
      </c>
      <c r="U12011" s="26" t="str">
        <f t="shared" si="447"/>
        <v>2023.001B.Leviviricetes_reorg.zip</v>
      </c>
    </row>
    <row r="12012" spans="1:21">
      <c r="A12012">
        <v>12011</v>
      </c>
      <c r="B12012" s="27" t="s">
        <v>1124</v>
      </c>
      <c r="D12012" s="27" t="s">
        <v>1859</v>
      </c>
      <c r="F12012" s="27" t="s">
        <v>1881</v>
      </c>
      <c r="H12012" s="27" t="s">
        <v>2679</v>
      </c>
      <c r="J12012" s="27" t="s">
        <v>3210</v>
      </c>
      <c r="L12012" s="27" t="s">
        <v>3262</v>
      </c>
      <c r="N12012" s="27" t="s">
        <v>15815</v>
      </c>
      <c r="P12012" s="27" t="s">
        <v>15836</v>
      </c>
      <c r="Q12012" s="26" t="str">
        <f>HYPERLINK("https://ictv.global/taxonomy/taxondetails?taxnode_id=202517103&amp;ictv_id=ICTV202317103","ICTV202317103")</f>
        <v>ICTV202317103</v>
      </c>
      <c r="R12012" t="s">
        <v>581</v>
      </c>
      <c r="S12012" t="s">
        <v>823</v>
      </c>
      <c r="T12012">
        <v>39</v>
      </c>
      <c r="U12012" s="26" t="str">
        <f t="shared" si="447"/>
        <v>2023.001B.Leviviricetes_reorg.zip</v>
      </c>
    </row>
    <row r="12013" spans="1:21">
      <c r="A12013">
        <v>12012</v>
      </c>
      <c r="B12013" s="27" t="s">
        <v>1124</v>
      </c>
      <c r="D12013" s="27" t="s">
        <v>1859</v>
      </c>
      <c r="F12013" s="27" t="s">
        <v>1881</v>
      </c>
      <c r="H12013" s="27" t="s">
        <v>2679</v>
      </c>
      <c r="J12013" s="27" t="s">
        <v>3210</v>
      </c>
      <c r="L12013" s="27" t="s">
        <v>3262</v>
      </c>
      <c r="N12013" s="27" t="s">
        <v>15815</v>
      </c>
      <c r="P12013" s="27" t="s">
        <v>15837</v>
      </c>
      <c r="Q12013" s="26" t="str">
        <f>HYPERLINK("https://ictv.global/taxonomy/taxondetails?taxnode_id=202517104&amp;ictv_id=ICTV202317104","ICTV202317104")</f>
        <v>ICTV202317104</v>
      </c>
      <c r="R12013" t="s">
        <v>581</v>
      </c>
      <c r="S12013" t="s">
        <v>823</v>
      </c>
      <c r="T12013">
        <v>39</v>
      </c>
      <c r="U12013" s="26" t="str">
        <f t="shared" si="447"/>
        <v>2023.001B.Leviviricetes_reorg.zip</v>
      </c>
    </row>
    <row r="12014" spans="1:21">
      <c r="A12014">
        <v>12013</v>
      </c>
      <c r="B12014" s="27" t="s">
        <v>1124</v>
      </c>
      <c r="D12014" s="27" t="s">
        <v>1859</v>
      </c>
      <c r="F12014" s="27" t="s">
        <v>1881</v>
      </c>
      <c r="H12014" s="27" t="s">
        <v>2679</v>
      </c>
      <c r="J12014" s="27" t="s">
        <v>3210</v>
      </c>
      <c r="L12014" s="27" t="s">
        <v>3262</v>
      </c>
      <c r="N12014" s="27" t="s">
        <v>15838</v>
      </c>
      <c r="P12014" s="27" t="s">
        <v>15839</v>
      </c>
      <c r="Q12014" s="26" t="str">
        <f>HYPERLINK("https://ictv.global/taxonomy/taxondetails?taxnode_id=202517105&amp;ictv_id=ICTV202317105","ICTV202317105")</f>
        <v>ICTV202317105</v>
      </c>
      <c r="R12014" t="s">
        <v>581</v>
      </c>
      <c r="S12014" t="s">
        <v>823</v>
      </c>
      <c r="T12014">
        <v>39</v>
      </c>
      <c r="U12014" s="26" t="str">
        <f t="shared" si="447"/>
        <v>2023.001B.Leviviricetes_reorg.zip</v>
      </c>
    </row>
    <row r="12015" spans="1:21">
      <c r="A12015">
        <v>12014</v>
      </c>
      <c r="B12015" s="27" t="s">
        <v>1124</v>
      </c>
      <c r="D12015" s="27" t="s">
        <v>1859</v>
      </c>
      <c r="F12015" s="27" t="s">
        <v>1881</v>
      </c>
      <c r="H12015" s="27" t="s">
        <v>2679</v>
      </c>
      <c r="J12015" s="27" t="s">
        <v>3210</v>
      </c>
      <c r="L12015" s="27" t="s">
        <v>3262</v>
      </c>
      <c r="N12015" s="27" t="s">
        <v>15840</v>
      </c>
      <c r="P12015" s="27" t="s">
        <v>15841</v>
      </c>
      <c r="Q12015" s="26" t="str">
        <f>HYPERLINK("https://ictv.global/taxonomy/taxondetails?taxnode_id=202517106&amp;ictv_id=ICTV202317106","ICTV202317106")</f>
        <v>ICTV202317106</v>
      </c>
      <c r="R12015" t="s">
        <v>581</v>
      </c>
      <c r="S12015" t="s">
        <v>823</v>
      </c>
      <c r="T12015">
        <v>39</v>
      </c>
      <c r="U12015" s="26" t="str">
        <f t="shared" si="447"/>
        <v>2023.001B.Leviviricetes_reorg.zip</v>
      </c>
    </row>
    <row r="12016" spans="1:21">
      <c r="A12016">
        <v>12015</v>
      </c>
      <c r="B12016" s="27" t="s">
        <v>1124</v>
      </c>
      <c r="D12016" s="27" t="s">
        <v>1859</v>
      </c>
      <c r="F12016" s="27" t="s">
        <v>1881</v>
      </c>
      <c r="H12016" s="27" t="s">
        <v>2679</v>
      </c>
      <c r="J12016" s="27" t="s">
        <v>3210</v>
      </c>
      <c r="L12016" s="27" t="s">
        <v>3262</v>
      </c>
      <c r="N12016" s="27" t="s">
        <v>15840</v>
      </c>
      <c r="P12016" s="27" t="s">
        <v>15842</v>
      </c>
      <c r="Q12016" s="26" t="str">
        <f>HYPERLINK("https://ictv.global/taxonomy/taxondetails?taxnode_id=202517107&amp;ictv_id=ICTV202317107","ICTV202317107")</f>
        <v>ICTV202317107</v>
      </c>
      <c r="R12016" t="s">
        <v>581</v>
      </c>
      <c r="S12016" t="s">
        <v>823</v>
      </c>
      <c r="T12016">
        <v>39</v>
      </c>
      <c r="U12016" s="26" t="str">
        <f t="shared" si="447"/>
        <v>2023.001B.Leviviricetes_reorg.zip</v>
      </c>
    </row>
    <row r="12017" spans="1:21">
      <c r="A12017">
        <v>12016</v>
      </c>
      <c r="B12017" s="27" t="s">
        <v>1124</v>
      </c>
      <c r="D12017" s="27" t="s">
        <v>1859</v>
      </c>
      <c r="F12017" s="27" t="s">
        <v>1881</v>
      </c>
      <c r="H12017" s="27" t="s">
        <v>2679</v>
      </c>
      <c r="J12017" s="27" t="s">
        <v>3210</v>
      </c>
      <c r="L12017" s="27" t="s">
        <v>3262</v>
      </c>
      <c r="N12017" s="27" t="s">
        <v>15840</v>
      </c>
      <c r="P12017" s="27" t="s">
        <v>15843</v>
      </c>
      <c r="Q12017" s="26" t="str">
        <f>HYPERLINK("https://ictv.global/taxonomy/taxondetails?taxnode_id=202517108&amp;ictv_id=ICTV202317108","ICTV202317108")</f>
        <v>ICTV202317108</v>
      </c>
      <c r="R12017" t="s">
        <v>581</v>
      </c>
      <c r="S12017" t="s">
        <v>823</v>
      </c>
      <c r="T12017">
        <v>39</v>
      </c>
      <c r="U12017" s="26" t="str">
        <f t="shared" si="447"/>
        <v>2023.001B.Leviviricetes_reorg.zip</v>
      </c>
    </row>
    <row r="12018" spans="1:21">
      <c r="A12018">
        <v>12017</v>
      </c>
      <c r="B12018" s="27" t="s">
        <v>1124</v>
      </c>
      <c r="D12018" s="27" t="s">
        <v>1859</v>
      </c>
      <c r="F12018" s="27" t="s">
        <v>1881</v>
      </c>
      <c r="H12018" s="27" t="s">
        <v>2679</v>
      </c>
      <c r="J12018" s="27" t="s">
        <v>3210</v>
      </c>
      <c r="L12018" s="27" t="s">
        <v>3262</v>
      </c>
      <c r="N12018" s="27" t="s">
        <v>15844</v>
      </c>
      <c r="P12018" s="27" t="s">
        <v>15845</v>
      </c>
      <c r="Q12018" s="26" t="str">
        <f>HYPERLINK("https://ictv.global/taxonomy/taxondetails?taxnode_id=202517109&amp;ictv_id=ICTV202317109","ICTV202317109")</f>
        <v>ICTV202317109</v>
      </c>
      <c r="R12018" t="s">
        <v>581</v>
      </c>
      <c r="S12018" t="s">
        <v>823</v>
      </c>
      <c r="T12018">
        <v>39</v>
      </c>
      <c r="U12018" s="26" t="str">
        <f t="shared" si="447"/>
        <v>2023.001B.Leviviricetes_reorg.zip</v>
      </c>
    </row>
    <row r="12019" spans="1:21">
      <c r="A12019">
        <v>12018</v>
      </c>
      <c r="B12019" s="27" t="s">
        <v>1124</v>
      </c>
      <c r="D12019" s="27" t="s">
        <v>1859</v>
      </c>
      <c r="F12019" s="27" t="s">
        <v>1881</v>
      </c>
      <c r="H12019" s="27" t="s">
        <v>2679</v>
      </c>
      <c r="J12019" s="27" t="s">
        <v>3210</v>
      </c>
      <c r="L12019" s="27" t="s">
        <v>3262</v>
      </c>
      <c r="N12019" s="27" t="s">
        <v>15846</v>
      </c>
      <c r="P12019" s="27" t="s">
        <v>15847</v>
      </c>
      <c r="Q12019" s="26" t="str">
        <f>HYPERLINK("https://ictv.global/taxonomy/taxondetails?taxnode_id=202511217&amp;ictv_id=ICTV202011217","ICTV202011217")</f>
        <v>ICTV202011217</v>
      </c>
      <c r="R12019" t="s">
        <v>581</v>
      </c>
      <c r="S12019" t="s">
        <v>22764</v>
      </c>
      <c r="T12019">
        <v>39</v>
      </c>
      <c r="U12019" s="26" t="str">
        <f t="shared" si="447"/>
        <v>2023.001B.Leviviricetes_reorg.zip</v>
      </c>
    </row>
    <row r="12020" spans="1:21">
      <c r="A12020">
        <v>12019</v>
      </c>
      <c r="B12020" s="27" t="s">
        <v>1124</v>
      </c>
      <c r="D12020" s="27" t="s">
        <v>1859</v>
      </c>
      <c r="F12020" s="27" t="s">
        <v>1881</v>
      </c>
      <c r="H12020" s="27" t="s">
        <v>2679</v>
      </c>
      <c r="J12020" s="27" t="s">
        <v>3210</v>
      </c>
      <c r="L12020" s="27" t="s">
        <v>3262</v>
      </c>
      <c r="N12020" s="27" t="s">
        <v>15846</v>
      </c>
      <c r="P12020" s="27" t="s">
        <v>15848</v>
      </c>
      <c r="Q12020" s="26" t="str">
        <f>HYPERLINK("https://ictv.global/taxonomy/taxondetails?taxnode_id=202511219&amp;ictv_id=ICTV202011219","ICTV202011219")</f>
        <v>ICTV202011219</v>
      </c>
      <c r="R12020" t="s">
        <v>581</v>
      </c>
      <c r="S12020" t="s">
        <v>22764</v>
      </c>
      <c r="T12020">
        <v>39</v>
      </c>
      <c r="U12020" s="26" t="str">
        <f t="shared" si="447"/>
        <v>2023.001B.Leviviricetes_reorg.zip</v>
      </c>
    </row>
    <row r="12021" spans="1:21">
      <c r="A12021">
        <v>12020</v>
      </c>
      <c r="B12021" s="27" t="s">
        <v>1124</v>
      </c>
      <c r="D12021" s="27" t="s">
        <v>1859</v>
      </c>
      <c r="F12021" s="27" t="s">
        <v>1881</v>
      </c>
      <c r="H12021" s="27" t="s">
        <v>2679</v>
      </c>
      <c r="J12021" s="27" t="s">
        <v>3210</v>
      </c>
      <c r="L12021" s="27" t="s">
        <v>3262</v>
      </c>
      <c r="N12021" s="27" t="s">
        <v>15846</v>
      </c>
      <c r="P12021" s="27" t="s">
        <v>15849</v>
      </c>
      <c r="Q12021" s="26" t="str">
        <f>HYPERLINK("https://ictv.global/taxonomy/taxondetails?taxnode_id=202511072&amp;ictv_id=ICTV202011072","ICTV202011072")</f>
        <v>ICTV202011072</v>
      </c>
      <c r="R12021" t="s">
        <v>581</v>
      </c>
      <c r="S12021" t="s">
        <v>22764</v>
      </c>
      <c r="T12021">
        <v>39</v>
      </c>
      <c r="U12021" s="26" t="str">
        <f t="shared" si="447"/>
        <v>2023.001B.Leviviricetes_reorg.zip</v>
      </c>
    </row>
    <row r="12022" spans="1:21">
      <c r="A12022">
        <v>12021</v>
      </c>
      <c r="B12022" s="27" t="s">
        <v>1124</v>
      </c>
      <c r="D12022" s="27" t="s">
        <v>1859</v>
      </c>
      <c r="F12022" s="27" t="s">
        <v>1881</v>
      </c>
      <c r="H12022" s="27" t="s">
        <v>2679</v>
      </c>
      <c r="J12022" s="27" t="s">
        <v>3210</v>
      </c>
      <c r="L12022" s="27" t="s">
        <v>3262</v>
      </c>
      <c r="N12022" s="27" t="s">
        <v>15846</v>
      </c>
      <c r="P12022" s="27" t="s">
        <v>15850</v>
      </c>
      <c r="Q12022" s="26" t="str">
        <f>HYPERLINK("https://ictv.global/taxonomy/taxondetails?taxnode_id=202511220&amp;ictv_id=ICTV202011220","ICTV202011220")</f>
        <v>ICTV202011220</v>
      </c>
      <c r="R12022" t="s">
        <v>581</v>
      </c>
      <c r="S12022" t="s">
        <v>22764</v>
      </c>
      <c r="T12022">
        <v>39</v>
      </c>
      <c r="U12022" s="26" t="str">
        <f t="shared" si="447"/>
        <v>2023.001B.Leviviricetes_reorg.zip</v>
      </c>
    </row>
    <row r="12023" spans="1:21">
      <c r="A12023">
        <v>12022</v>
      </c>
      <c r="B12023" s="27" t="s">
        <v>1124</v>
      </c>
      <c r="D12023" s="27" t="s">
        <v>1859</v>
      </c>
      <c r="F12023" s="27" t="s">
        <v>1881</v>
      </c>
      <c r="H12023" s="27" t="s">
        <v>2679</v>
      </c>
      <c r="J12023" s="27" t="s">
        <v>3210</v>
      </c>
      <c r="L12023" s="27" t="s">
        <v>3262</v>
      </c>
      <c r="N12023" s="27" t="s">
        <v>15846</v>
      </c>
      <c r="P12023" s="27" t="s">
        <v>15851</v>
      </c>
      <c r="Q12023" s="26" t="str">
        <f>HYPERLINK("https://ictv.global/taxonomy/taxondetails?taxnode_id=202511221&amp;ictv_id=ICTV202011221","ICTV202011221")</f>
        <v>ICTV202011221</v>
      </c>
      <c r="R12023" t="s">
        <v>581</v>
      </c>
      <c r="S12023" t="s">
        <v>22764</v>
      </c>
      <c r="T12023">
        <v>39</v>
      </c>
      <c r="U12023" s="26" t="str">
        <f t="shared" si="447"/>
        <v>2023.001B.Leviviricetes_reorg.zip</v>
      </c>
    </row>
    <row r="12024" spans="1:21">
      <c r="A12024">
        <v>12023</v>
      </c>
      <c r="B12024" s="27" t="s">
        <v>1124</v>
      </c>
      <c r="D12024" s="27" t="s">
        <v>1859</v>
      </c>
      <c r="F12024" s="27" t="s">
        <v>1881</v>
      </c>
      <c r="H12024" s="27" t="s">
        <v>2679</v>
      </c>
      <c r="J12024" s="27" t="s">
        <v>3210</v>
      </c>
      <c r="L12024" s="27" t="s">
        <v>3262</v>
      </c>
      <c r="N12024" s="27" t="s">
        <v>15846</v>
      </c>
      <c r="P12024" s="27" t="s">
        <v>15852</v>
      </c>
      <c r="Q12024" s="26" t="str">
        <f>HYPERLINK("https://ictv.global/taxonomy/taxondetails?taxnode_id=202511222&amp;ictv_id=ICTV202011222","ICTV202011222")</f>
        <v>ICTV202011222</v>
      </c>
      <c r="R12024" t="s">
        <v>581</v>
      </c>
      <c r="S12024" t="s">
        <v>22764</v>
      </c>
      <c r="T12024">
        <v>39</v>
      </c>
      <c r="U12024" s="26" t="str">
        <f t="shared" si="447"/>
        <v>2023.001B.Leviviricetes_reorg.zip</v>
      </c>
    </row>
    <row r="12025" spans="1:21">
      <c r="A12025">
        <v>12024</v>
      </c>
      <c r="B12025" s="27" t="s">
        <v>1124</v>
      </c>
      <c r="D12025" s="27" t="s">
        <v>1859</v>
      </c>
      <c r="F12025" s="27" t="s">
        <v>1881</v>
      </c>
      <c r="H12025" s="27" t="s">
        <v>2679</v>
      </c>
      <c r="J12025" s="27" t="s">
        <v>3210</v>
      </c>
      <c r="L12025" s="27" t="s">
        <v>3262</v>
      </c>
      <c r="N12025" s="27" t="s">
        <v>15846</v>
      </c>
      <c r="P12025" s="27" t="s">
        <v>15853</v>
      </c>
      <c r="Q12025" s="26" t="str">
        <f>HYPERLINK("https://ictv.global/taxonomy/taxondetails?taxnode_id=202517110&amp;ictv_id=ICTV202317110","ICTV202317110")</f>
        <v>ICTV202317110</v>
      </c>
      <c r="R12025" t="s">
        <v>581</v>
      </c>
      <c r="S12025" t="s">
        <v>823</v>
      </c>
      <c r="T12025">
        <v>39</v>
      </c>
      <c r="U12025" s="26" t="str">
        <f t="shared" si="447"/>
        <v>2023.001B.Leviviricetes_reorg.zip</v>
      </c>
    </row>
    <row r="12026" spans="1:21">
      <c r="A12026">
        <v>12025</v>
      </c>
      <c r="B12026" s="27" t="s">
        <v>1124</v>
      </c>
      <c r="D12026" s="27" t="s">
        <v>1859</v>
      </c>
      <c r="F12026" s="27" t="s">
        <v>1881</v>
      </c>
      <c r="H12026" s="27" t="s">
        <v>2679</v>
      </c>
      <c r="J12026" s="27" t="s">
        <v>3210</v>
      </c>
      <c r="L12026" s="27" t="s">
        <v>3262</v>
      </c>
      <c r="N12026" s="27" t="s">
        <v>15846</v>
      </c>
      <c r="P12026" s="27" t="s">
        <v>15854</v>
      </c>
      <c r="Q12026" s="26" t="str">
        <f>HYPERLINK("https://ictv.global/taxonomy/taxondetails?taxnode_id=202517111&amp;ictv_id=ICTV202317111","ICTV202317111")</f>
        <v>ICTV202317111</v>
      </c>
      <c r="R12026" t="s">
        <v>581</v>
      </c>
      <c r="S12026" t="s">
        <v>823</v>
      </c>
      <c r="T12026">
        <v>39</v>
      </c>
      <c r="U12026" s="26" t="str">
        <f t="shared" si="447"/>
        <v>2023.001B.Leviviricetes_reorg.zip</v>
      </c>
    </row>
    <row r="12027" spans="1:21">
      <c r="A12027">
        <v>12026</v>
      </c>
      <c r="B12027" s="27" t="s">
        <v>1124</v>
      </c>
      <c r="D12027" s="27" t="s">
        <v>1859</v>
      </c>
      <c r="F12027" s="27" t="s">
        <v>1881</v>
      </c>
      <c r="H12027" s="27" t="s">
        <v>2679</v>
      </c>
      <c r="J12027" s="27" t="s">
        <v>3210</v>
      </c>
      <c r="L12027" s="27" t="s">
        <v>3262</v>
      </c>
      <c r="N12027" s="27" t="s">
        <v>15846</v>
      </c>
      <c r="P12027" s="27" t="s">
        <v>15855</v>
      </c>
      <c r="Q12027" s="26" t="str">
        <f>HYPERLINK("https://ictv.global/taxonomy/taxondetails?taxnode_id=202517112&amp;ictv_id=ICTV202317112","ICTV202317112")</f>
        <v>ICTV202317112</v>
      </c>
      <c r="R12027" t="s">
        <v>581</v>
      </c>
      <c r="S12027" t="s">
        <v>823</v>
      </c>
      <c r="T12027">
        <v>39</v>
      </c>
      <c r="U12027" s="26" t="str">
        <f t="shared" si="447"/>
        <v>2023.001B.Leviviricetes_reorg.zip</v>
      </c>
    </row>
    <row r="12028" spans="1:21">
      <c r="A12028">
        <v>12027</v>
      </c>
      <c r="B12028" s="27" t="s">
        <v>1124</v>
      </c>
      <c r="D12028" s="27" t="s">
        <v>1859</v>
      </c>
      <c r="F12028" s="27" t="s">
        <v>1881</v>
      </c>
      <c r="H12028" s="27" t="s">
        <v>2679</v>
      </c>
      <c r="J12028" s="27" t="s">
        <v>3210</v>
      </c>
      <c r="L12028" s="27" t="s">
        <v>3262</v>
      </c>
      <c r="N12028" s="27" t="s">
        <v>15846</v>
      </c>
      <c r="P12028" s="27" t="s">
        <v>15856</v>
      </c>
      <c r="Q12028" s="26" t="str">
        <f>HYPERLINK("https://ictv.global/taxonomy/taxondetails?taxnode_id=202517113&amp;ictv_id=ICTV202317113","ICTV202317113")</f>
        <v>ICTV202317113</v>
      </c>
      <c r="R12028" t="s">
        <v>581</v>
      </c>
      <c r="S12028" t="s">
        <v>823</v>
      </c>
      <c r="T12028">
        <v>39</v>
      </c>
      <c r="U12028" s="26" t="str">
        <f t="shared" si="447"/>
        <v>2023.001B.Leviviricetes_reorg.zip</v>
      </c>
    </row>
    <row r="12029" spans="1:21">
      <c r="A12029">
        <v>12028</v>
      </c>
      <c r="B12029" s="27" t="s">
        <v>1124</v>
      </c>
      <c r="D12029" s="27" t="s">
        <v>1859</v>
      </c>
      <c r="F12029" s="27" t="s">
        <v>1881</v>
      </c>
      <c r="H12029" s="27" t="s">
        <v>2679</v>
      </c>
      <c r="J12029" s="27" t="s">
        <v>3210</v>
      </c>
      <c r="L12029" s="27" t="s">
        <v>3262</v>
      </c>
      <c r="N12029" s="27" t="s">
        <v>15846</v>
      </c>
      <c r="P12029" s="27" t="s">
        <v>15857</v>
      </c>
      <c r="Q12029" s="26" t="str">
        <f>HYPERLINK("https://ictv.global/taxonomy/taxondetails?taxnode_id=202517114&amp;ictv_id=ICTV202317114","ICTV202317114")</f>
        <v>ICTV202317114</v>
      </c>
      <c r="R12029" t="s">
        <v>581</v>
      </c>
      <c r="S12029" t="s">
        <v>823</v>
      </c>
      <c r="T12029">
        <v>39</v>
      </c>
      <c r="U12029" s="26" t="str">
        <f t="shared" si="447"/>
        <v>2023.001B.Leviviricetes_reorg.zip</v>
      </c>
    </row>
    <row r="12030" spans="1:21">
      <c r="A12030">
        <v>12029</v>
      </c>
      <c r="B12030" s="27" t="s">
        <v>1124</v>
      </c>
      <c r="D12030" s="27" t="s">
        <v>1859</v>
      </c>
      <c r="F12030" s="27" t="s">
        <v>1881</v>
      </c>
      <c r="H12030" s="27" t="s">
        <v>2679</v>
      </c>
      <c r="J12030" s="27" t="s">
        <v>3210</v>
      </c>
      <c r="L12030" s="27" t="s">
        <v>3262</v>
      </c>
      <c r="N12030" s="27" t="s">
        <v>15846</v>
      </c>
      <c r="P12030" s="27" t="s">
        <v>15858</v>
      </c>
      <c r="Q12030" s="26" t="str">
        <f>HYPERLINK("https://ictv.global/taxonomy/taxondetails?taxnode_id=202517115&amp;ictv_id=ICTV202317115","ICTV202317115")</f>
        <v>ICTV202317115</v>
      </c>
      <c r="R12030" t="s">
        <v>581</v>
      </c>
      <c r="S12030" t="s">
        <v>823</v>
      </c>
      <c r="T12030">
        <v>39</v>
      </c>
      <c r="U12030" s="26" t="str">
        <f t="shared" si="447"/>
        <v>2023.001B.Leviviricetes_reorg.zip</v>
      </c>
    </row>
    <row r="12031" spans="1:21">
      <c r="A12031">
        <v>12030</v>
      </c>
      <c r="B12031" s="27" t="s">
        <v>1124</v>
      </c>
      <c r="D12031" s="27" t="s">
        <v>1859</v>
      </c>
      <c r="F12031" s="27" t="s">
        <v>1881</v>
      </c>
      <c r="H12031" s="27" t="s">
        <v>2679</v>
      </c>
      <c r="J12031" s="27" t="s">
        <v>3210</v>
      </c>
      <c r="L12031" s="27" t="s">
        <v>3262</v>
      </c>
      <c r="N12031" s="27" t="s">
        <v>15846</v>
      </c>
      <c r="P12031" s="27" t="s">
        <v>15859</v>
      </c>
      <c r="Q12031" s="26" t="str">
        <f>HYPERLINK("https://ictv.global/taxonomy/taxondetails?taxnode_id=202517116&amp;ictv_id=ICTV202317116","ICTV202317116")</f>
        <v>ICTV202317116</v>
      </c>
      <c r="R12031" t="s">
        <v>581</v>
      </c>
      <c r="S12031" t="s">
        <v>823</v>
      </c>
      <c r="T12031">
        <v>39</v>
      </c>
      <c r="U12031" s="26" t="str">
        <f t="shared" si="447"/>
        <v>2023.001B.Leviviricetes_reorg.zip</v>
      </c>
    </row>
    <row r="12032" spans="1:21">
      <c r="A12032">
        <v>12031</v>
      </c>
      <c r="B12032" s="27" t="s">
        <v>1124</v>
      </c>
      <c r="D12032" s="27" t="s">
        <v>1859</v>
      </c>
      <c r="F12032" s="27" t="s">
        <v>1881</v>
      </c>
      <c r="H12032" s="27" t="s">
        <v>2679</v>
      </c>
      <c r="J12032" s="27" t="s">
        <v>3210</v>
      </c>
      <c r="L12032" s="27" t="s">
        <v>3262</v>
      </c>
      <c r="N12032" s="27" t="s">
        <v>15846</v>
      </c>
      <c r="P12032" s="27" t="s">
        <v>15860</v>
      </c>
      <c r="Q12032" s="26" t="str">
        <f>HYPERLINK("https://ictv.global/taxonomy/taxondetails?taxnode_id=202517117&amp;ictv_id=ICTV202317117","ICTV202317117")</f>
        <v>ICTV202317117</v>
      </c>
      <c r="R12032" t="s">
        <v>581</v>
      </c>
      <c r="S12032" t="s">
        <v>823</v>
      </c>
      <c r="T12032">
        <v>39</v>
      </c>
      <c r="U12032" s="26" t="str">
        <f t="shared" si="447"/>
        <v>2023.001B.Leviviricetes_reorg.zip</v>
      </c>
    </row>
    <row r="12033" spans="1:21">
      <c r="A12033">
        <v>12032</v>
      </c>
      <c r="B12033" s="27" t="s">
        <v>1124</v>
      </c>
      <c r="D12033" s="27" t="s">
        <v>1859</v>
      </c>
      <c r="F12033" s="27" t="s">
        <v>1881</v>
      </c>
      <c r="H12033" s="27" t="s">
        <v>2679</v>
      </c>
      <c r="J12033" s="27" t="s">
        <v>3210</v>
      </c>
      <c r="L12033" s="27" t="s">
        <v>3262</v>
      </c>
      <c r="N12033" s="27" t="s">
        <v>15846</v>
      </c>
      <c r="P12033" s="27" t="s">
        <v>15861</v>
      </c>
      <c r="Q12033" s="26" t="str">
        <f>HYPERLINK("https://ictv.global/taxonomy/taxondetails?taxnode_id=202517118&amp;ictv_id=ICTV202317118","ICTV202317118")</f>
        <v>ICTV202317118</v>
      </c>
      <c r="R12033" t="s">
        <v>581</v>
      </c>
      <c r="S12033" t="s">
        <v>823</v>
      </c>
      <c r="T12033">
        <v>39</v>
      </c>
      <c r="U12033" s="26" t="str">
        <f t="shared" si="447"/>
        <v>2023.001B.Leviviricetes_reorg.zip</v>
      </c>
    </row>
    <row r="12034" spans="1:21">
      <c r="A12034">
        <v>12033</v>
      </c>
      <c r="B12034" s="27" t="s">
        <v>1124</v>
      </c>
      <c r="D12034" s="27" t="s">
        <v>1859</v>
      </c>
      <c r="F12034" s="27" t="s">
        <v>1881</v>
      </c>
      <c r="H12034" s="27" t="s">
        <v>2679</v>
      </c>
      <c r="J12034" s="27" t="s">
        <v>3210</v>
      </c>
      <c r="L12034" s="27" t="s">
        <v>3262</v>
      </c>
      <c r="N12034" s="27" t="s">
        <v>15846</v>
      </c>
      <c r="P12034" s="27" t="s">
        <v>15862</v>
      </c>
      <c r="Q12034" s="26" t="str">
        <f>HYPERLINK("https://ictv.global/taxonomy/taxondetails?taxnode_id=202517119&amp;ictv_id=ICTV202317119","ICTV202317119")</f>
        <v>ICTV202317119</v>
      </c>
      <c r="R12034" t="s">
        <v>581</v>
      </c>
      <c r="S12034" t="s">
        <v>823</v>
      </c>
      <c r="T12034">
        <v>39</v>
      </c>
      <c r="U12034" s="26" t="str">
        <f t="shared" si="447"/>
        <v>2023.001B.Leviviricetes_reorg.zip</v>
      </c>
    </row>
    <row r="12035" spans="1:21">
      <c r="A12035">
        <v>12034</v>
      </c>
      <c r="B12035" s="27" t="s">
        <v>1124</v>
      </c>
      <c r="D12035" s="27" t="s">
        <v>1859</v>
      </c>
      <c r="F12035" s="27" t="s">
        <v>1881</v>
      </c>
      <c r="H12035" s="27" t="s">
        <v>2679</v>
      </c>
      <c r="J12035" s="27" t="s">
        <v>3210</v>
      </c>
      <c r="L12035" s="27" t="s">
        <v>3262</v>
      </c>
      <c r="N12035" s="27" t="s">
        <v>15846</v>
      </c>
      <c r="P12035" s="27" t="s">
        <v>15863</v>
      </c>
      <c r="Q12035" s="26" t="str">
        <f>HYPERLINK("https://ictv.global/taxonomy/taxondetails?taxnode_id=202517120&amp;ictv_id=ICTV202317120","ICTV202317120")</f>
        <v>ICTV202317120</v>
      </c>
      <c r="R12035" t="s">
        <v>581</v>
      </c>
      <c r="S12035" t="s">
        <v>823</v>
      </c>
      <c r="T12035">
        <v>39</v>
      </c>
      <c r="U12035" s="26" t="str">
        <f t="shared" si="447"/>
        <v>2023.001B.Leviviricetes_reorg.zip</v>
      </c>
    </row>
    <row r="12036" spans="1:21">
      <c r="A12036">
        <v>12035</v>
      </c>
      <c r="B12036" s="27" t="s">
        <v>1124</v>
      </c>
      <c r="D12036" s="27" t="s">
        <v>1859</v>
      </c>
      <c r="F12036" s="27" t="s">
        <v>1881</v>
      </c>
      <c r="H12036" s="27" t="s">
        <v>2679</v>
      </c>
      <c r="J12036" s="27" t="s">
        <v>3210</v>
      </c>
      <c r="L12036" s="27" t="s">
        <v>3262</v>
      </c>
      <c r="N12036" s="27" t="s">
        <v>15846</v>
      </c>
      <c r="P12036" s="27" t="s">
        <v>15864</v>
      </c>
      <c r="Q12036" s="26" t="str">
        <f>HYPERLINK("https://ictv.global/taxonomy/taxondetails?taxnode_id=202517121&amp;ictv_id=ICTV202317121","ICTV202317121")</f>
        <v>ICTV202317121</v>
      </c>
      <c r="R12036" t="s">
        <v>581</v>
      </c>
      <c r="S12036" t="s">
        <v>823</v>
      </c>
      <c r="T12036">
        <v>39</v>
      </c>
      <c r="U12036" s="26" t="str">
        <f t="shared" si="447"/>
        <v>2023.001B.Leviviricetes_reorg.zip</v>
      </c>
    </row>
    <row r="12037" spans="1:21">
      <c r="A12037">
        <v>12036</v>
      </c>
      <c r="B12037" s="27" t="s">
        <v>1124</v>
      </c>
      <c r="D12037" s="27" t="s">
        <v>1859</v>
      </c>
      <c r="F12037" s="27" t="s">
        <v>1881</v>
      </c>
      <c r="H12037" s="27" t="s">
        <v>2679</v>
      </c>
      <c r="J12037" s="27" t="s">
        <v>3210</v>
      </c>
      <c r="L12037" s="27" t="s">
        <v>3262</v>
      </c>
      <c r="N12037" s="27" t="s">
        <v>15846</v>
      </c>
      <c r="P12037" s="27" t="s">
        <v>15865</v>
      </c>
      <c r="Q12037" s="26" t="str">
        <f>HYPERLINK("https://ictv.global/taxonomy/taxondetails?taxnode_id=202517122&amp;ictv_id=ICTV202317122","ICTV202317122")</f>
        <v>ICTV202317122</v>
      </c>
      <c r="R12037" t="s">
        <v>581</v>
      </c>
      <c r="S12037" t="s">
        <v>823</v>
      </c>
      <c r="T12037">
        <v>39</v>
      </c>
      <c r="U12037" s="26" t="str">
        <f t="shared" si="447"/>
        <v>2023.001B.Leviviricetes_reorg.zip</v>
      </c>
    </row>
    <row r="12038" spans="1:21">
      <c r="A12038">
        <v>12037</v>
      </c>
      <c r="B12038" s="27" t="s">
        <v>1124</v>
      </c>
      <c r="D12038" s="27" t="s">
        <v>1859</v>
      </c>
      <c r="F12038" s="27" t="s">
        <v>1881</v>
      </c>
      <c r="H12038" s="27" t="s">
        <v>2679</v>
      </c>
      <c r="J12038" s="27" t="s">
        <v>3210</v>
      </c>
      <c r="L12038" s="27" t="s">
        <v>3262</v>
      </c>
      <c r="N12038" s="27" t="s">
        <v>15846</v>
      </c>
      <c r="P12038" s="27" t="s">
        <v>15866</v>
      </c>
      <c r="Q12038" s="26" t="str">
        <f>HYPERLINK("https://ictv.global/taxonomy/taxondetails?taxnode_id=202517123&amp;ictv_id=ICTV202317123","ICTV202317123")</f>
        <v>ICTV202317123</v>
      </c>
      <c r="R12038" t="s">
        <v>581</v>
      </c>
      <c r="S12038" t="s">
        <v>823</v>
      </c>
      <c r="T12038">
        <v>39</v>
      </c>
      <c r="U12038" s="26" t="str">
        <f t="shared" si="447"/>
        <v>2023.001B.Leviviricetes_reorg.zip</v>
      </c>
    </row>
    <row r="12039" spans="1:21">
      <c r="A12039">
        <v>12038</v>
      </c>
      <c r="B12039" s="27" t="s">
        <v>1124</v>
      </c>
      <c r="D12039" s="27" t="s">
        <v>1859</v>
      </c>
      <c r="F12039" s="27" t="s">
        <v>1881</v>
      </c>
      <c r="H12039" s="27" t="s">
        <v>2679</v>
      </c>
      <c r="J12039" s="27" t="s">
        <v>3210</v>
      </c>
      <c r="L12039" s="27" t="s">
        <v>3262</v>
      </c>
      <c r="N12039" s="27" t="s">
        <v>15846</v>
      </c>
      <c r="P12039" s="27" t="s">
        <v>15867</v>
      </c>
      <c r="Q12039" s="26" t="str">
        <f>HYPERLINK("https://ictv.global/taxonomy/taxondetails?taxnode_id=202517124&amp;ictv_id=ICTV202317124","ICTV202317124")</f>
        <v>ICTV202317124</v>
      </c>
      <c r="R12039" t="s">
        <v>581</v>
      </c>
      <c r="S12039" t="s">
        <v>823</v>
      </c>
      <c r="T12039">
        <v>39</v>
      </c>
      <c r="U12039" s="26" t="str">
        <f t="shared" si="447"/>
        <v>2023.001B.Leviviricetes_reorg.zip</v>
      </c>
    </row>
    <row r="12040" spans="1:21">
      <c r="A12040">
        <v>12039</v>
      </c>
      <c r="B12040" s="27" t="s">
        <v>1124</v>
      </c>
      <c r="D12040" s="27" t="s">
        <v>1859</v>
      </c>
      <c r="F12040" s="27" t="s">
        <v>1881</v>
      </c>
      <c r="H12040" s="27" t="s">
        <v>2679</v>
      </c>
      <c r="J12040" s="27" t="s">
        <v>3210</v>
      </c>
      <c r="L12040" s="27" t="s">
        <v>3262</v>
      </c>
      <c r="N12040" s="27" t="s">
        <v>15846</v>
      </c>
      <c r="P12040" s="27" t="s">
        <v>15868</v>
      </c>
      <c r="Q12040" s="26" t="str">
        <f>HYPERLINK("https://ictv.global/taxonomy/taxondetails?taxnode_id=202517125&amp;ictv_id=ICTV202317125","ICTV202317125")</f>
        <v>ICTV202317125</v>
      </c>
      <c r="R12040" t="s">
        <v>581</v>
      </c>
      <c r="S12040" t="s">
        <v>823</v>
      </c>
      <c r="T12040">
        <v>39</v>
      </c>
      <c r="U12040" s="26" t="str">
        <f t="shared" ref="U12040:U12103" si="448">HYPERLINK("https://ictv.global/ictv/proposals/2023.001B.Leviviricetes_reorg.zip","2023.001B.Leviviricetes_reorg.zip")</f>
        <v>2023.001B.Leviviricetes_reorg.zip</v>
      </c>
    </row>
    <row r="12041" spans="1:21">
      <c r="A12041">
        <v>12040</v>
      </c>
      <c r="B12041" s="27" t="s">
        <v>1124</v>
      </c>
      <c r="D12041" s="27" t="s">
        <v>1859</v>
      </c>
      <c r="F12041" s="27" t="s">
        <v>1881</v>
      </c>
      <c r="H12041" s="27" t="s">
        <v>2679</v>
      </c>
      <c r="J12041" s="27" t="s">
        <v>3210</v>
      </c>
      <c r="L12041" s="27" t="s">
        <v>3262</v>
      </c>
      <c r="N12041" s="27" t="s">
        <v>15846</v>
      </c>
      <c r="P12041" s="27" t="s">
        <v>15869</v>
      </c>
      <c r="Q12041" s="26" t="str">
        <f>HYPERLINK("https://ictv.global/taxonomy/taxondetails?taxnode_id=202517126&amp;ictv_id=ICTV202317126","ICTV202317126")</f>
        <v>ICTV202317126</v>
      </c>
      <c r="R12041" t="s">
        <v>581</v>
      </c>
      <c r="S12041" t="s">
        <v>823</v>
      </c>
      <c r="T12041">
        <v>39</v>
      </c>
      <c r="U12041" s="26" t="str">
        <f t="shared" si="448"/>
        <v>2023.001B.Leviviricetes_reorg.zip</v>
      </c>
    </row>
    <row r="12042" spans="1:21">
      <c r="A12042">
        <v>12041</v>
      </c>
      <c r="B12042" s="27" t="s">
        <v>1124</v>
      </c>
      <c r="D12042" s="27" t="s">
        <v>1859</v>
      </c>
      <c r="F12042" s="27" t="s">
        <v>1881</v>
      </c>
      <c r="H12042" s="27" t="s">
        <v>2679</v>
      </c>
      <c r="J12042" s="27" t="s">
        <v>3210</v>
      </c>
      <c r="L12042" s="27" t="s">
        <v>3262</v>
      </c>
      <c r="N12042" s="27" t="s">
        <v>15846</v>
      </c>
      <c r="P12042" s="27" t="s">
        <v>15870</v>
      </c>
      <c r="Q12042" s="26" t="str">
        <f>HYPERLINK("https://ictv.global/taxonomy/taxondetails?taxnode_id=202517127&amp;ictv_id=ICTV202317127","ICTV202317127")</f>
        <v>ICTV202317127</v>
      </c>
      <c r="R12042" t="s">
        <v>581</v>
      </c>
      <c r="S12042" t="s">
        <v>823</v>
      </c>
      <c r="T12042">
        <v>39</v>
      </c>
      <c r="U12042" s="26" t="str">
        <f t="shared" si="448"/>
        <v>2023.001B.Leviviricetes_reorg.zip</v>
      </c>
    </row>
    <row r="12043" spans="1:21">
      <c r="A12043">
        <v>12042</v>
      </c>
      <c r="B12043" s="27" t="s">
        <v>1124</v>
      </c>
      <c r="D12043" s="27" t="s">
        <v>1859</v>
      </c>
      <c r="F12043" s="27" t="s">
        <v>1881</v>
      </c>
      <c r="H12043" s="27" t="s">
        <v>2679</v>
      </c>
      <c r="J12043" s="27" t="s">
        <v>3210</v>
      </c>
      <c r="L12043" s="27" t="s">
        <v>3262</v>
      </c>
      <c r="N12043" s="27" t="s">
        <v>15846</v>
      </c>
      <c r="P12043" s="27" t="s">
        <v>15871</v>
      </c>
      <c r="Q12043" s="26" t="str">
        <f>HYPERLINK("https://ictv.global/taxonomy/taxondetails?taxnode_id=202517128&amp;ictv_id=ICTV202317128","ICTV202317128")</f>
        <v>ICTV202317128</v>
      </c>
      <c r="R12043" t="s">
        <v>581</v>
      </c>
      <c r="S12043" t="s">
        <v>823</v>
      </c>
      <c r="T12043">
        <v>39</v>
      </c>
      <c r="U12043" s="26" t="str">
        <f t="shared" si="448"/>
        <v>2023.001B.Leviviricetes_reorg.zip</v>
      </c>
    </row>
    <row r="12044" spans="1:21">
      <c r="A12044">
        <v>12043</v>
      </c>
      <c r="B12044" s="27" t="s">
        <v>1124</v>
      </c>
      <c r="D12044" s="27" t="s">
        <v>1859</v>
      </c>
      <c r="F12044" s="27" t="s">
        <v>1881</v>
      </c>
      <c r="H12044" s="27" t="s">
        <v>2679</v>
      </c>
      <c r="J12044" s="27" t="s">
        <v>3210</v>
      </c>
      <c r="L12044" s="27" t="s">
        <v>3262</v>
      </c>
      <c r="N12044" s="27" t="s">
        <v>15846</v>
      </c>
      <c r="P12044" s="27" t="s">
        <v>15872</v>
      </c>
      <c r="Q12044" s="26" t="str">
        <f>HYPERLINK("https://ictv.global/taxonomy/taxondetails?taxnode_id=202517129&amp;ictv_id=ICTV202317129","ICTV202317129")</f>
        <v>ICTV202317129</v>
      </c>
      <c r="R12044" t="s">
        <v>581</v>
      </c>
      <c r="S12044" t="s">
        <v>823</v>
      </c>
      <c r="T12044">
        <v>39</v>
      </c>
      <c r="U12044" s="26" t="str">
        <f t="shared" si="448"/>
        <v>2023.001B.Leviviricetes_reorg.zip</v>
      </c>
    </row>
    <row r="12045" spans="1:21">
      <c r="A12045">
        <v>12044</v>
      </c>
      <c r="B12045" s="27" t="s">
        <v>1124</v>
      </c>
      <c r="D12045" s="27" t="s">
        <v>1859</v>
      </c>
      <c r="F12045" s="27" t="s">
        <v>1881</v>
      </c>
      <c r="H12045" s="27" t="s">
        <v>2679</v>
      </c>
      <c r="J12045" s="27" t="s">
        <v>3210</v>
      </c>
      <c r="L12045" s="27" t="s">
        <v>3262</v>
      </c>
      <c r="N12045" s="27" t="s">
        <v>15846</v>
      </c>
      <c r="P12045" s="27" t="s">
        <v>15873</v>
      </c>
      <c r="Q12045" s="26" t="str">
        <f>HYPERLINK("https://ictv.global/taxonomy/taxondetails?taxnode_id=202517130&amp;ictv_id=ICTV202317130","ICTV202317130")</f>
        <v>ICTV202317130</v>
      </c>
      <c r="R12045" t="s">
        <v>581</v>
      </c>
      <c r="S12045" t="s">
        <v>823</v>
      </c>
      <c r="T12045">
        <v>39</v>
      </c>
      <c r="U12045" s="26" t="str">
        <f t="shared" si="448"/>
        <v>2023.001B.Leviviricetes_reorg.zip</v>
      </c>
    </row>
    <row r="12046" spans="1:21">
      <c r="A12046">
        <v>12045</v>
      </c>
      <c r="B12046" s="27" t="s">
        <v>1124</v>
      </c>
      <c r="D12046" s="27" t="s">
        <v>1859</v>
      </c>
      <c r="F12046" s="27" t="s">
        <v>1881</v>
      </c>
      <c r="H12046" s="27" t="s">
        <v>2679</v>
      </c>
      <c r="J12046" s="27" t="s">
        <v>3210</v>
      </c>
      <c r="L12046" s="27" t="s">
        <v>3262</v>
      </c>
      <c r="N12046" s="27" t="s">
        <v>15846</v>
      </c>
      <c r="P12046" s="27" t="s">
        <v>15874</v>
      </c>
      <c r="Q12046" s="26" t="str">
        <f>HYPERLINK("https://ictv.global/taxonomy/taxondetails?taxnode_id=202517131&amp;ictv_id=ICTV202317131","ICTV202317131")</f>
        <v>ICTV202317131</v>
      </c>
      <c r="R12046" t="s">
        <v>581</v>
      </c>
      <c r="S12046" t="s">
        <v>823</v>
      </c>
      <c r="T12046">
        <v>39</v>
      </c>
      <c r="U12046" s="26" t="str">
        <f t="shared" si="448"/>
        <v>2023.001B.Leviviricetes_reorg.zip</v>
      </c>
    </row>
    <row r="12047" spans="1:21">
      <c r="A12047">
        <v>12046</v>
      </c>
      <c r="B12047" s="27" t="s">
        <v>1124</v>
      </c>
      <c r="D12047" s="27" t="s">
        <v>1859</v>
      </c>
      <c r="F12047" s="27" t="s">
        <v>1881</v>
      </c>
      <c r="H12047" s="27" t="s">
        <v>2679</v>
      </c>
      <c r="J12047" s="27" t="s">
        <v>3210</v>
      </c>
      <c r="L12047" s="27" t="s">
        <v>3262</v>
      </c>
      <c r="N12047" s="27" t="s">
        <v>15846</v>
      </c>
      <c r="P12047" s="27" t="s">
        <v>15875</v>
      </c>
      <c r="Q12047" s="26" t="str">
        <f>HYPERLINK("https://ictv.global/taxonomy/taxondetails?taxnode_id=202517132&amp;ictv_id=ICTV202317132","ICTV202317132")</f>
        <v>ICTV202317132</v>
      </c>
      <c r="R12047" t="s">
        <v>581</v>
      </c>
      <c r="S12047" t="s">
        <v>823</v>
      </c>
      <c r="T12047">
        <v>39</v>
      </c>
      <c r="U12047" s="26" t="str">
        <f t="shared" si="448"/>
        <v>2023.001B.Leviviricetes_reorg.zip</v>
      </c>
    </row>
    <row r="12048" spans="1:21">
      <c r="A12048">
        <v>12047</v>
      </c>
      <c r="B12048" s="27" t="s">
        <v>1124</v>
      </c>
      <c r="D12048" s="27" t="s">
        <v>1859</v>
      </c>
      <c r="F12048" s="27" t="s">
        <v>1881</v>
      </c>
      <c r="H12048" s="27" t="s">
        <v>2679</v>
      </c>
      <c r="J12048" s="27" t="s">
        <v>3210</v>
      </c>
      <c r="L12048" s="27" t="s">
        <v>3262</v>
      </c>
      <c r="N12048" s="27" t="s">
        <v>15846</v>
      </c>
      <c r="P12048" s="27" t="s">
        <v>15876</v>
      </c>
      <c r="Q12048" s="26" t="str">
        <f>HYPERLINK("https://ictv.global/taxonomy/taxondetails?taxnode_id=202517133&amp;ictv_id=ICTV202317133","ICTV202317133")</f>
        <v>ICTV202317133</v>
      </c>
      <c r="R12048" t="s">
        <v>581</v>
      </c>
      <c r="S12048" t="s">
        <v>823</v>
      </c>
      <c r="T12048">
        <v>39</v>
      </c>
      <c r="U12048" s="26" t="str">
        <f t="shared" si="448"/>
        <v>2023.001B.Leviviricetes_reorg.zip</v>
      </c>
    </row>
    <row r="12049" spans="1:21">
      <c r="A12049">
        <v>12048</v>
      </c>
      <c r="B12049" s="27" t="s">
        <v>1124</v>
      </c>
      <c r="D12049" s="27" t="s">
        <v>1859</v>
      </c>
      <c r="F12049" s="27" t="s">
        <v>1881</v>
      </c>
      <c r="H12049" s="27" t="s">
        <v>2679</v>
      </c>
      <c r="J12049" s="27" t="s">
        <v>3210</v>
      </c>
      <c r="L12049" s="27" t="s">
        <v>3262</v>
      </c>
      <c r="N12049" s="27" t="s">
        <v>15846</v>
      </c>
      <c r="P12049" s="27" t="s">
        <v>15877</v>
      </c>
      <c r="Q12049" s="26" t="str">
        <f>HYPERLINK("https://ictv.global/taxonomy/taxondetails?taxnode_id=202517134&amp;ictv_id=ICTV202317134","ICTV202317134")</f>
        <v>ICTV202317134</v>
      </c>
      <c r="R12049" t="s">
        <v>581</v>
      </c>
      <c r="S12049" t="s">
        <v>823</v>
      </c>
      <c r="T12049">
        <v>39</v>
      </c>
      <c r="U12049" s="26" t="str">
        <f t="shared" si="448"/>
        <v>2023.001B.Leviviricetes_reorg.zip</v>
      </c>
    </row>
    <row r="12050" spans="1:21">
      <c r="A12050">
        <v>12049</v>
      </c>
      <c r="B12050" s="27" t="s">
        <v>1124</v>
      </c>
      <c r="D12050" s="27" t="s">
        <v>1859</v>
      </c>
      <c r="F12050" s="27" t="s">
        <v>1881</v>
      </c>
      <c r="H12050" s="27" t="s">
        <v>2679</v>
      </c>
      <c r="J12050" s="27" t="s">
        <v>3210</v>
      </c>
      <c r="L12050" s="27" t="s">
        <v>3262</v>
      </c>
      <c r="N12050" s="27" t="s">
        <v>15846</v>
      </c>
      <c r="P12050" s="27" t="s">
        <v>15878</v>
      </c>
      <c r="Q12050" s="26" t="str">
        <f>HYPERLINK("https://ictv.global/taxonomy/taxondetails?taxnode_id=202517135&amp;ictv_id=ICTV202317135","ICTV202317135")</f>
        <v>ICTV202317135</v>
      </c>
      <c r="R12050" t="s">
        <v>581</v>
      </c>
      <c r="S12050" t="s">
        <v>823</v>
      </c>
      <c r="T12050">
        <v>39</v>
      </c>
      <c r="U12050" s="26" t="str">
        <f t="shared" si="448"/>
        <v>2023.001B.Leviviricetes_reorg.zip</v>
      </c>
    </row>
    <row r="12051" spans="1:21">
      <c r="A12051">
        <v>12050</v>
      </c>
      <c r="B12051" s="27" t="s">
        <v>1124</v>
      </c>
      <c r="D12051" s="27" t="s">
        <v>1859</v>
      </c>
      <c r="F12051" s="27" t="s">
        <v>1881</v>
      </c>
      <c r="H12051" s="27" t="s">
        <v>2679</v>
      </c>
      <c r="J12051" s="27" t="s">
        <v>3210</v>
      </c>
      <c r="L12051" s="27" t="s">
        <v>3262</v>
      </c>
      <c r="N12051" s="27" t="s">
        <v>15846</v>
      </c>
      <c r="P12051" s="27" t="s">
        <v>15879</v>
      </c>
      <c r="Q12051" s="26" t="str">
        <f>HYPERLINK("https://ictv.global/taxonomy/taxondetails?taxnode_id=202517136&amp;ictv_id=ICTV202317136","ICTV202317136")</f>
        <v>ICTV202317136</v>
      </c>
      <c r="R12051" t="s">
        <v>581</v>
      </c>
      <c r="S12051" t="s">
        <v>823</v>
      </c>
      <c r="T12051">
        <v>39</v>
      </c>
      <c r="U12051" s="26" t="str">
        <f t="shared" si="448"/>
        <v>2023.001B.Leviviricetes_reorg.zip</v>
      </c>
    </row>
    <row r="12052" spans="1:21">
      <c r="A12052">
        <v>12051</v>
      </c>
      <c r="B12052" s="27" t="s">
        <v>1124</v>
      </c>
      <c r="D12052" s="27" t="s">
        <v>1859</v>
      </c>
      <c r="F12052" s="27" t="s">
        <v>1881</v>
      </c>
      <c r="H12052" s="27" t="s">
        <v>2679</v>
      </c>
      <c r="J12052" s="27" t="s">
        <v>3210</v>
      </c>
      <c r="L12052" s="27" t="s">
        <v>3262</v>
      </c>
      <c r="N12052" s="27" t="s">
        <v>15846</v>
      </c>
      <c r="P12052" s="27" t="s">
        <v>15880</v>
      </c>
      <c r="Q12052" s="26" t="str">
        <f>HYPERLINK("https://ictv.global/taxonomy/taxondetails?taxnode_id=202517137&amp;ictv_id=ICTV202317137","ICTV202317137")</f>
        <v>ICTV202317137</v>
      </c>
      <c r="R12052" t="s">
        <v>581</v>
      </c>
      <c r="S12052" t="s">
        <v>823</v>
      </c>
      <c r="T12052">
        <v>39</v>
      </c>
      <c r="U12052" s="26" t="str">
        <f t="shared" si="448"/>
        <v>2023.001B.Leviviricetes_reorg.zip</v>
      </c>
    </row>
    <row r="12053" spans="1:21">
      <c r="A12053">
        <v>12052</v>
      </c>
      <c r="B12053" s="27" t="s">
        <v>1124</v>
      </c>
      <c r="D12053" s="27" t="s">
        <v>1859</v>
      </c>
      <c r="F12053" s="27" t="s">
        <v>1881</v>
      </c>
      <c r="H12053" s="27" t="s">
        <v>2679</v>
      </c>
      <c r="J12053" s="27" t="s">
        <v>3210</v>
      </c>
      <c r="L12053" s="27" t="s">
        <v>3262</v>
      </c>
      <c r="N12053" s="27" t="s">
        <v>15846</v>
      </c>
      <c r="P12053" s="27" t="s">
        <v>15881</v>
      </c>
      <c r="Q12053" s="26" t="str">
        <f>HYPERLINK("https://ictv.global/taxonomy/taxondetails?taxnode_id=202517138&amp;ictv_id=ICTV202317138","ICTV202317138")</f>
        <v>ICTV202317138</v>
      </c>
      <c r="R12053" t="s">
        <v>581</v>
      </c>
      <c r="S12053" t="s">
        <v>823</v>
      </c>
      <c r="T12053">
        <v>39</v>
      </c>
      <c r="U12053" s="26" t="str">
        <f t="shared" si="448"/>
        <v>2023.001B.Leviviricetes_reorg.zip</v>
      </c>
    </row>
    <row r="12054" spans="1:21">
      <c r="A12054">
        <v>12053</v>
      </c>
      <c r="B12054" s="27" t="s">
        <v>1124</v>
      </c>
      <c r="D12054" s="27" t="s">
        <v>1859</v>
      </c>
      <c r="F12054" s="27" t="s">
        <v>1881</v>
      </c>
      <c r="H12054" s="27" t="s">
        <v>2679</v>
      </c>
      <c r="J12054" s="27" t="s">
        <v>3210</v>
      </c>
      <c r="L12054" s="27" t="s">
        <v>3262</v>
      </c>
      <c r="N12054" s="27" t="s">
        <v>15846</v>
      </c>
      <c r="P12054" s="27" t="s">
        <v>15882</v>
      </c>
      <c r="Q12054" s="26" t="str">
        <f>HYPERLINK("https://ictv.global/taxonomy/taxondetails?taxnode_id=202517139&amp;ictv_id=ICTV202317139","ICTV202317139")</f>
        <v>ICTV202317139</v>
      </c>
      <c r="R12054" t="s">
        <v>581</v>
      </c>
      <c r="S12054" t="s">
        <v>823</v>
      </c>
      <c r="T12054">
        <v>39</v>
      </c>
      <c r="U12054" s="26" t="str">
        <f t="shared" si="448"/>
        <v>2023.001B.Leviviricetes_reorg.zip</v>
      </c>
    </row>
    <row r="12055" spans="1:21">
      <c r="A12055">
        <v>12054</v>
      </c>
      <c r="B12055" s="27" t="s">
        <v>1124</v>
      </c>
      <c r="D12055" s="27" t="s">
        <v>1859</v>
      </c>
      <c r="F12055" s="27" t="s">
        <v>1881</v>
      </c>
      <c r="H12055" s="27" t="s">
        <v>2679</v>
      </c>
      <c r="J12055" s="27" t="s">
        <v>3210</v>
      </c>
      <c r="L12055" s="27" t="s">
        <v>3262</v>
      </c>
      <c r="N12055" s="27" t="s">
        <v>15846</v>
      </c>
      <c r="P12055" s="27" t="s">
        <v>15883</v>
      </c>
      <c r="Q12055" s="26" t="str">
        <f>HYPERLINK("https://ictv.global/taxonomy/taxondetails?taxnode_id=202517140&amp;ictv_id=ICTV202317140","ICTV202317140")</f>
        <v>ICTV202317140</v>
      </c>
      <c r="R12055" t="s">
        <v>581</v>
      </c>
      <c r="S12055" t="s">
        <v>823</v>
      </c>
      <c r="T12055">
        <v>39</v>
      </c>
      <c r="U12055" s="26" t="str">
        <f t="shared" si="448"/>
        <v>2023.001B.Leviviricetes_reorg.zip</v>
      </c>
    </row>
    <row r="12056" spans="1:21">
      <c r="A12056">
        <v>12055</v>
      </c>
      <c r="B12056" s="27" t="s">
        <v>1124</v>
      </c>
      <c r="D12056" s="27" t="s">
        <v>1859</v>
      </c>
      <c r="F12056" s="27" t="s">
        <v>1881</v>
      </c>
      <c r="H12056" s="27" t="s">
        <v>2679</v>
      </c>
      <c r="J12056" s="27" t="s">
        <v>3210</v>
      </c>
      <c r="L12056" s="27" t="s">
        <v>3262</v>
      </c>
      <c r="N12056" s="27" t="s">
        <v>15846</v>
      </c>
      <c r="P12056" s="27" t="s">
        <v>15884</v>
      </c>
      <c r="Q12056" s="26" t="str">
        <f>HYPERLINK("https://ictv.global/taxonomy/taxondetails?taxnode_id=202517141&amp;ictv_id=ICTV202317141","ICTV202317141")</f>
        <v>ICTV202317141</v>
      </c>
      <c r="R12056" t="s">
        <v>581</v>
      </c>
      <c r="S12056" t="s">
        <v>823</v>
      </c>
      <c r="T12056">
        <v>39</v>
      </c>
      <c r="U12056" s="26" t="str">
        <f t="shared" si="448"/>
        <v>2023.001B.Leviviricetes_reorg.zip</v>
      </c>
    </row>
    <row r="12057" spans="1:21">
      <c r="A12057">
        <v>12056</v>
      </c>
      <c r="B12057" s="27" t="s">
        <v>1124</v>
      </c>
      <c r="D12057" s="27" t="s">
        <v>1859</v>
      </c>
      <c r="F12057" s="27" t="s">
        <v>1881</v>
      </c>
      <c r="H12057" s="27" t="s">
        <v>2679</v>
      </c>
      <c r="J12057" s="27" t="s">
        <v>3210</v>
      </c>
      <c r="L12057" s="27" t="s">
        <v>3262</v>
      </c>
      <c r="N12057" s="27" t="s">
        <v>15846</v>
      </c>
      <c r="P12057" s="27" t="s">
        <v>15885</v>
      </c>
      <c r="Q12057" s="26" t="str">
        <f>HYPERLINK("https://ictv.global/taxonomy/taxondetails?taxnode_id=202517142&amp;ictv_id=ICTV202317142","ICTV202317142")</f>
        <v>ICTV202317142</v>
      </c>
      <c r="R12057" t="s">
        <v>581</v>
      </c>
      <c r="S12057" t="s">
        <v>823</v>
      </c>
      <c r="T12057">
        <v>39</v>
      </c>
      <c r="U12057" s="26" t="str">
        <f t="shared" si="448"/>
        <v>2023.001B.Leviviricetes_reorg.zip</v>
      </c>
    </row>
    <row r="12058" spans="1:21">
      <c r="A12058">
        <v>12057</v>
      </c>
      <c r="B12058" s="27" t="s">
        <v>1124</v>
      </c>
      <c r="D12058" s="27" t="s">
        <v>1859</v>
      </c>
      <c r="F12058" s="27" t="s">
        <v>1881</v>
      </c>
      <c r="H12058" s="27" t="s">
        <v>2679</v>
      </c>
      <c r="J12058" s="27" t="s">
        <v>3210</v>
      </c>
      <c r="L12058" s="27" t="s">
        <v>3262</v>
      </c>
      <c r="N12058" s="27" t="s">
        <v>15846</v>
      </c>
      <c r="P12058" s="27" t="s">
        <v>15886</v>
      </c>
      <c r="Q12058" s="26" t="str">
        <f>HYPERLINK("https://ictv.global/taxonomy/taxondetails?taxnode_id=202517143&amp;ictv_id=ICTV202317143","ICTV202317143")</f>
        <v>ICTV202317143</v>
      </c>
      <c r="R12058" t="s">
        <v>581</v>
      </c>
      <c r="S12058" t="s">
        <v>823</v>
      </c>
      <c r="T12058">
        <v>39</v>
      </c>
      <c r="U12058" s="26" t="str">
        <f t="shared" si="448"/>
        <v>2023.001B.Leviviricetes_reorg.zip</v>
      </c>
    </row>
    <row r="12059" spans="1:21">
      <c r="A12059">
        <v>12058</v>
      </c>
      <c r="B12059" s="27" t="s">
        <v>1124</v>
      </c>
      <c r="D12059" s="27" t="s">
        <v>1859</v>
      </c>
      <c r="F12059" s="27" t="s">
        <v>1881</v>
      </c>
      <c r="H12059" s="27" t="s">
        <v>2679</v>
      </c>
      <c r="J12059" s="27" t="s">
        <v>3210</v>
      </c>
      <c r="L12059" s="27" t="s">
        <v>3262</v>
      </c>
      <c r="N12059" s="27" t="s">
        <v>15846</v>
      </c>
      <c r="P12059" s="27" t="s">
        <v>15887</v>
      </c>
      <c r="Q12059" s="26" t="str">
        <f>HYPERLINK("https://ictv.global/taxonomy/taxondetails?taxnode_id=202517144&amp;ictv_id=ICTV202317144","ICTV202317144")</f>
        <v>ICTV202317144</v>
      </c>
      <c r="R12059" t="s">
        <v>581</v>
      </c>
      <c r="S12059" t="s">
        <v>823</v>
      </c>
      <c r="T12059">
        <v>39</v>
      </c>
      <c r="U12059" s="26" t="str">
        <f t="shared" si="448"/>
        <v>2023.001B.Leviviricetes_reorg.zip</v>
      </c>
    </row>
    <row r="12060" spans="1:21">
      <c r="A12060">
        <v>12059</v>
      </c>
      <c r="B12060" s="27" t="s">
        <v>1124</v>
      </c>
      <c r="D12060" s="27" t="s">
        <v>1859</v>
      </c>
      <c r="F12060" s="27" t="s">
        <v>1881</v>
      </c>
      <c r="H12060" s="27" t="s">
        <v>2679</v>
      </c>
      <c r="J12060" s="27" t="s">
        <v>3210</v>
      </c>
      <c r="L12060" s="27" t="s">
        <v>3262</v>
      </c>
      <c r="N12060" s="27" t="s">
        <v>15846</v>
      </c>
      <c r="P12060" s="27" t="s">
        <v>15888</v>
      </c>
      <c r="Q12060" s="26" t="str">
        <f>HYPERLINK("https://ictv.global/taxonomy/taxondetails?taxnode_id=202517145&amp;ictv_id=ICTV202317145","ICTV202317145")</f>
        <v>ICTV202317145</v>
      </c>
      <c r="R12060" t="s">
        <v>581</v>
      </c>
      <c r="S12060" t="s">
        <v>823</v>
      </c>
      <c r="T12060">
        <v>39</v>
      </c>
      <c r="U12060" s="26" t="str">
        <f t="shared" si="448"/>
        <v>2023.001B.Leviviricetes_reorg.zip</v>
      </c>
    </row>
    <row r="12061" spans="1:21">
      <c r="A12061">
        <v>12060</v>
      </c>
      <c r="B12061" s="27" t="s">
        <v>1124</v>
      </c>
      <c r="D12061" s="27" t="s">
        <v>1859</v>
      </c>
      <c r="F12061" s="27" t="s">
        <v>1881</v>
      </c>
      <c r="H12061" s="27" t="s">
        <v>2679</v>
      </c>
      <c r="J12061" s="27" t="s">
        <v>3210</v>
      </c>
      <c r="L12061" s="27" t="s">
        <v>3262</v>
      </c>
      <c r="N12061" s="27" t="s">
        <v>15846</v>
      </c>
      <c r="P12061" s="27" t="s">
        <v>15889</v>
      </c>
      <c r="Q12061" s="26" t="str">
        <f>HYPERLINK("https://ictv.global/taxonomy/taxondetails?taxnode_id=202517146&amp;ictv_id=ICTV202317146","ICTV202317146")</f>
        <v>ICTV202317146</v>
      </c>
      <c r="R12061" t="s">
        <v>581</v>
      </c>
      <c r="S12061" t="s">
        <v>823</v>
      </c>
      <c r="T12061">
        <v>39</v>
      </c>
      <c r="U12061" s="26" t="str">
        <f t="shared" si="448"/>
        <v>2023.001B.Leviviricetes_reorg.zip</v>
      </c>
    </row>
    <row r="12062" spans="1:21">
      <c r="A12062">
        <v>12061</v>
      </c>
      <c r="B12062" s="27" t="s">
        <v>1124</v>
      </c>
      <c r="D12062" s="27" t="s">
        <v>1859</v>
      </c>
      <c r="F12062" s="27" t="s">
        <v>1881</v>
      </c>
      <c r="H12062" s="27" t="s">
        <v>2679</v>
      </c>
      <c r="J12062" s="27" t="s">
        <v>3210</v>
      </c>
      <c r="L12062" s="27" t="s">
        <v>3262</v>
      </c>
      <c r="N12062" s="27" t="s">
        <v>15846</v>
      </c>
      <c r="P12062" s="27" t="s">
        <v>15890</v>
      </c>
      <c r="Q12062" s="26" t="str">
        <f>HYPERLINK("https://ictv.global/taxonomy/taxondetails?taxnode_id=202517147&amp;ictv_id=ICTV202317147","ICTV202317147")</f>
        <v>ICTV202317147</v>
      </c>
      <c r="R12062" t="s">
        <v>581</v>
      </c>
      <c r="S12062" t="s">
        <v>823</v>
      </c>
      <c r="T12062">
        <v>39</v>
      </c>
      <c r="U12062" s="26" t="str">
        <f t="shared" si="448"/>
        <v>2023.001B.Leviviricetes_reorg.zip</v>
      </c>
    </row>
    <row r="12063" spans="1:21">
      <c r="A12063">
        <v>12062</v>
      </c>
      <c r="B12063" s="27" t="s">
        <v>1124</v>
      </c>
      <c r="D12063" s="27" t="s">
        <v>1859</v>
      </c>
      <c r="F12063" s="27" t="s">
        <v>1881</v>
      </c>
      <c r="H12063" s="27" t="s">
        <v>2679</v>
      </c>
      <c r="J12063" s="27" t="s">
        <v>3210</v>
      </c>
      <c r="L12063" s="27" t="s">
        <v>3262</v>
      </c>
      <c r="N12063" s="27" t="s">
        <v>15846</v>
      </c>
      <c r="P12063" s="27" t="s">
        <v>15891</v>
      </c>
      <c r="Q12063" s="26" t="str">
        <f>HYPERLINK("https://ictv.global/taxonomy/taxondetails?taxnode_id=202517148&amp;ictv_id=ICTV202317148","ICTV202317148")</f>
        <v>ICTV202317148</v>
      </c>
      <c r="R12063" t="s">
        <v>581</v>
      </c>
      <c r="S12063" t="s">
        <v>823</v>
      </c>
      <c r="T12063">
        <v>39</v>
      </c>
      <c r="U12063" s="26" t="str">
        <f t="shared" si="448"/>
        <v>2023.001B.Leviviricetes_reorg.zip</v>
      </c>
    </row>
    <row r="12064" spans="1:21">
      <c r="A12064">
        <v>12063</v>
      </c>
      <c r="B12064" s="27" t="s">
        <v>1124</v>
      </c>
      <c r="D12064" s="27" t="s">
        <v>1859</v>
      </c>
      <c r="F12064" s="27" t="s">
        <v>1881</v>
      </c>
      <c r="H12064" s="27" t="s">
        <v>2679</v>
      </c>
      <c r="J12064" s="27" t="s">
        <v>3210</v>
      </c>
      <c r="L12064" s="27" t="s">
        <v>3262</v>
      </c>
      <c r="N12064" s="27" t="s">
        <v>15846</v>
      </c>
      <c r="P12064" s="27" t="s">
        <v>15892</v>
      </c>
      <c r="Q12064" s="26" t="str">
        <f>HYPERLINK("https://ictv.global/taxonomy/taxondetails?taxnode_id=202517149&amp;ictv_id=ICTV202317149","ICTV202317149")</f>
        <v>ICTV202317149</v>
      </c>
      <c r="R12064" t="s">
        <v>581</v>
      </c>
      <c r="S12064" t="s">
        <v>823</v>
      </c>
      <c r="T12064">
        <v>39</v>
      </c>
      <c r="U12064" s="26" t="str">
        <f t="shared" si="448"/>
        <v>2023.001B.Leviviricetes_reorg.zip</v>
      </c>
    </row>
    <row r="12065" spans="1:21">
      <c r="A12065">
        <v>12064</v>
      </c>
      <c r="B12065" s="27" t="s">
        <v>1124</v>
      </c>
      <c r="D12065" s="27" t="s">
        <v>1859</v>
      </c>
      <c r="F12065" s="27" t="s">
        <v>1881</v>
      </c>
      <c r="H12065" s="27" t="s">
        <v>2679</v>
      </c>
      <c r="J12065" s="27" t="s">
        <v>3210</v>
      </c>
      <c r="L12065" s="27" t="s">
        <v>3262</v>
      </c>
      <c r="N12065" s="27" t="s">
        <v>15846</v>
      </c>
      <c r="P12065" s="27" t="s">
        <v>15893</v>
      </c>
      <c r="Q12065" s="26" t="str">
        <f>HYPERLINK("https://ictv.global/taxonomy/taxondetails?taxnode_id=202517150&amp;ictv_id=ICTV202317150","ICTV202317150")</f>
        <v>ICTV202317150</v>
      </c>
      <c r="R12065" t="s">
        <v>581</v>
      </c>
      <c r="S12065" t="s">
        <v>823</v>
      </c>
      <c r="T12065">
        <v>39</v>
      </c>
      <c r="U12065" s="26" t="str">
        <f t="shared" si="448"/>
        <v>2023.001B.Leviviricetes_reorg.zip</v>
      </c>
    </row>
    <row r="12066" spans="1:21">
      <c r="A12066">
        <v>12065</v>
      </c>
      <c r="B12066" s="27" t="s">
        <v>1124</v>
      </c>
      <c r="D12066" s="27" t="s">
        <v>1859</v>
      </c>
      <c r="F12066" s="27" t="s">
        <v>1881</v>
      </c>
      <c r="H12066" s="27" t="s">
        <v>2679</v>
      </c>
      <c r="J12066" s="27" t="s">
        <v>3210</v>
      </c>
      <c r="L12066" s="27" t="s">
        <v>3262</v>
      </c>
      <c r="N12066" s="27" t="s">
        <v>15846</v>
      </c>
      <c r="P12066" s="27" t="s">
        <v>15894</v>
      </c>
      <c r="Q12066" s="26" t="str">
        <f>HYPERLINK("https://ictv.global/taxonomy/taxondetails?taxnode_id=202517151&amp;ictv_id=ICTV202317151","ICTV202317151")</f>
        <v>ICTV202317151</v>
      </c>
      <c r="R12066" t="s">
        <v>581</v>
      </c>
      <c r="S12066" t="s">
        <v>823</v>
      </c>
      <c r="T12066">
        <v>39</v>
      </c>
      <c r="U12066" s="26" t="str">
        <f t="shared" si="448"/>
        <v>2023.001B.Leviviricetes_reorg.zip</v>
      </c>
    </row>
    <row r="12067" spans="1:21">
      <c r="A12067">
        <v>12066</v>
      </c>
      <c r="B12067" s="27" t="s">
        <v>1124</v>
      </c>
      <c r="D12067" s="27" t="s">
        <v>1859</v>
      </c>
      <c r="F12067" s="27" t="s">
        <v>1881</v>
      </c>
      <c r="H12067" s="27" t="s">
        <v>2679</v>
      </c>
      <c r="J12067" s="27" t="s">
        <v>3210</v>
      </c>
      <c r="L12067" s="27" t="s">
        <v>3262</v>
      </c>
      <c r="N12067" s="27" t="s">
        <v>15846</v>
      </c>
      <c r="P12067" s="27" t="s">
        <v>15895</v>
      </c>
      <c r="Q12067" s="26" t="str">
        <f>HYPERLINK("https://ictv.global/taxonomy/taxondetails?taxnode_id=202517152&amp;ictv_id=ICTV202317152","ICTV202317152")</f>
        <v>ICTV202317152</v>
      </c>
      <c r="R12067" t="s">
        <v>581</v>
      </c>
      <c r="S12067" t="s">
        <v>823</v>
      </c>
      <c r="T12067">
        <v>39</v>
      </c>
      <c r="U12067" s="26" t="str">
        <f t="shared" si="448"/>
        <v>2023.001B.Leviviricetes_reorg.zip</v>
      </c>
    </row>
    <row r="12068" spans="1:21">
      <c r="A12068">
        <v>12067</v>
      </c>
      <c r="B12068" s="27" t="s">
        <v>1124</v>
      </c>
      <c r="D12068" s="27" t="s">
        <v>1859</v>
      </c>
      <c r="F12068" s="27" t="s">
        <v>1881</v>
      </c>
      <c r="H12068" s="27" t="s">
        <v>2679</v>
      </c>
      <c r="J12068" s="27" t="s">
        <v>3210</v>
      </c>
      <c r="L12068" s="27" t="s">
        <v>3262</v>
      </c>
      <c r="N12068" s="27" t="s">
        <v>15846</v>
      </c>
      <c r="P12068" s="27" t="s">
        <v>15896</v>
      </c>
      <c r="Q12068" s="26" t="str">
        <f>HYPERLINK("https://ictv.global/taxonomy/taxondetails?taxnode_id=202517153&amp;ictv_id=ICTV202317153","ICTV202317153")</f>
        <v>ICTV202317153</v>
      </c>
      <c r="R12068" t="s">
        <v>581</v>
      </c>
      <c r="S12068" t="s">
        <v>823</v>
      </c>
      <c r="T12068">
        <v>39</v>
      </c>
      <c r="U12068" s="26" t="str">
        <f t="shared" si="448"/>
        <v>2023.001B.Leviviricetes_reorg.zip</v>
      </c>
    </row>
    <row r="12069" spans="1:21">
      <c r="A12069">
        <v>12068</v>
      </c>
      <c r="B12069" s="27" t="s">
        <v>1124</v>
      </c>
      <c r="D12069" s="27" t="s">
        <v>1859</v>
      </c>
      <c r="F12069" s="27" t="s">
        <v>1881</v>
      </c>
      <c r="H12069" s="27" t="s">
        <v>2679</v>
      </c>
      <c r="J12069" s="27" t="s">
        <v>3210</v>
      </c>
      <c r="L12069" s="27" t="s">
        <v>3262</v>
      </c>
      <c r="N12069" s="27" t="s">
        <v>15846</v>
      </c>
      <c r="P12069" s="27" t="s">
        <v>15897</v>
      </c>
      <c r="Q12069" s="26" t="str">
        <f>HYPERLINK("https://ictv.global/taxonomy/taxondetails?taxnode_id=202517154&amp;ictv_id=ICTV202317154","ICTV202317154")</f>
        <v>ICTV202317154</v>
      </c>
      <c r="R12069" t="s">
        <v>581</v>
      </c>
      <c r="S12069" t="s">
        <v>823</v>
      </c>
      <c r="T12069">
        <v>39</v>
      </c>
      <c r="U12069" s="26" t="str">
        <f t="shared" si="448"/>
        <v>2023.001B.Leviviricetes_reorg.zip</v>
      </c>
    </row>
    <row r="12070" spans="1:21">
      <c r="A12070">
        <v>12069</v>
      </c>
      <c r="B12070" s="27" t="s">
        <v>1124</v>
      </c>
      <c r="D12070" s="27" t="s">
        <v>1859</v>
      </c>
      <c r="F12070" s="27" t="s">
        <v>1881</v>
      </c>
      <c r="H12070" s="27" t="s">
        <v>2679</v>
      </c>
      <c r="J12070" s="27" t="s">
        <v>3210</v>
      </c>
      <c r="L12070" s="27" t="s">
        <v>3262</v>
      </c>
      <c r="N12070" s="27" t="s">
        <v>15846</v>
      </c>
      <c r="P12070" s="27" t="s">
        <v>15898</v>
      </c>
      <c r="Q12070" s="26" t="str">
        <f>HYPERLINK("https://ictv.global/taxonomy/taxondetails?taxnode_id=202517155&amp;ictv_id=ICTV202317155","ICTV202317155")</f>
        <v>ICTV202317155</v>
      </c>
      <c r="R12070" t="s">
        <v>581</v>
      </c>
      <c r="S12070" t="s">
        <v>823</v>
      </c>
      <c r="T12070">
        <v>39</v>
      </c>
      <c r="U12070" s="26" t="str">
        <f t="shared" si="448"/>
        <v>2023.001B.Leviviricetes_reorg.zip</v>
      </c>
    </row>
    <row r="12071" spans="1:21">
      <c r="A12071">
        <v>12070</v>
      </c>
      <c r="B12071" s="27" t="s">
        <v>1124</v>
      </c>
      <c r="D12071" s="27" t="s">
        <v>1859</v>
      </c>
      <c r="F12071" s="27" t="s">
        <v>1881</v>
      </c>
      <c r="H12071" s="27" t="s">
        <v>2679</v>
      </c>
      <c r="J12071" s="27" t="s">
        <v>3210</v>
      </c>
      <c r="L12071" s="27" t="s">
        <v>3262</v>
      </c>
      <c r="N12071" s="27" t="s">
        <v>15846</v>
      </c>
      <c r="P12071" s="27" t="s">
        <v>15899</v>
      </c>
      <c r="Q12071" s="26" t="str">
        <f>HYPERLINK("https://ictv.global/taxonomy/taxondetails?taxnode_id=202517156&amp;ictv_id=ICTV202317156","ICTV202317156")</f>
        <v>ICTV202317156</v>
      </c>
      <c r="R12071" t="s">
        <v>581</v>
      </c>
      <c r="S12071" t="s">
        <v>823</v>
      </c>
      <c r="T12071">
        <v>39</v>
      </c>
      <c r="U12071" s="26" t="str">
        <f t="shared" si="448"/>
        <v>2023.001B.Leviviricetes_reorg.zip</v>
      </c>
    </row>
    <row r="12072" spans="1:21">
      <c r="A12072">
        <v>12071</v>
      </c>
      <c r="B12072" s="27" t="s">
        <v>1124</v>
      </c>
      <c r="D12072" s="27" t="s">
        <v>1859</v>
      </c>
      <c r="F12072" s="27" t="s">
        <v>1881</v>
      </c>
      <c r="H12072" s="27" t="s">
        <v>2679</v>
      </c>
      <c r="J12072" s="27" t="s">
        <v>3210</v>
      </c>
      <c r="L12072" s="27" t="s">
        <v>3262</v>
      </c>
      <c r="N12072" s="27" t="s">
        <v>15846</v>
      </c>
      <c r="P12072" s="27" t="s">
        <v>15900</v>
      </c>
      <c r="Q12072" s="26" t="str">
        <f>HYPERLINK("https://ictv.global/taxonomy/taxondetails?taxnode_id=202517157&amp;ictv_id=ICTV202317157","ICTV202317157")</f>
        <v>ICTV202317157</v>
      </c>
      <c r="R12072" t="s">
        <v>581</v>
      </c>
      <c r="S12072" t="s">
        <v>823</v>
      </c>
      <c r="T12072">
        <v>39</v>
      </c>
      <c r="U12072" s="26" t="str">
        <f t="shared" si="448"/>
        <v>2023.001B.Leviviricetes_reorg.zip</v>
      </c>
    </row>
    <row r="12073" spans="1:21">
      <c r="A12073">
        <v>12072</v>
      </c>
      <c r="B12073" s="27" t="s">
        <v>1124</v>
      </c>
      <c r="D12073" s="27" t="s">
        <v>1859</v>
      </c>
      <c r="F12073" s="27" t="s">
        <v>1881</v>
      </c>
      <c r="H12073" s="27" t="s">
        <v>2679</v>
      </c>
      <c r="J12073" s="27" t="s">
        <v>3210</v>
      </c>
      <c r="L12073" s="27" t="s">
        <v>3262</v>
      </c>
      <c r="N12073" s="27" t="s">
        <v>15846</v>
      </c>
      <c r="P12073" s="27" t="s">
        <v>15901</v>
      </c>
      <c r="Q12073" s="26" t="str">
        <f>HYPERLINK("https://ictv.global/taxonomy/taxondetails?taxnode_id=202517158&amp;ictv_id=ICTV202317158","ICTV202317158")</f>
        <v>ICTV202317158</v>
      </c>
      <c r="R12073" t="s">
        <v>581</v>
      </c>
      <c r="S12073" t="s">
        <v>823</v>
      </c>
      <c r="T12073">
        <v>39</v>
      </c>
      <c r="U12073" s="26" t="str">
        <f t="shared" si="448"/>
        <v>2023.001B.Leviviricetes_reorg.zip</v>
      </c>
    </row>
    <row r="12074" spans="1:21">
      <c r="A12074">
        <v>12073</v>
      </c>
      <c r="B12074" s="27" t="s">
        <v>1124</v>
      </c>
      <c r="D12074" s="27" t="s">
        <v>1859</v>
      </c>
      <c r="F12074" s="27" t="s">
        <v>1881</v>
      </c>
      <c r="H12074" s="27" t="s">
        <v>2679</v>
      </c>
      <c r="J12074" s="27" t="s">
        <v>3210</v>
      </c>
      <c r="L12074" s="27" t="s">
        <v>3262</v>
      </c>
      <c r="N12074" s="27" t="s">
        <v>15846</v>
      </c>
      <c r="P12074" s="27" t="s">
        <v>15902</v>
      </c>
      <c r="Q12074" s="26" t="str">
        <f>HYPERLINK("https://ictv.global/taxonomy/taxondetails?taxnode_id=202517159&amp;ictv_id=ICTV202317159","ICTV202317159")</f>
        <v>ICTV202317159</v>
      </c>
      <c r="R12074" t="s">
        <v>581</v>
      </c>
      <c r="S12074" t="s">
        <v>823</v>
      </c>
      <c r="T12074">
        <v>39</v>
      </c>
      <c r="U12074" s="26" t="str">
        <f t="shared" si="448"/>
        <v>2023.001B.Leviviricetes_reorg.zip</v>
      </c>
    </row>
    <row r="12075" spans="1:21">
      <c r="A12075">
        <v>12074</v>
      </c>
      <c r="B12075" s="27" t="s">
        <v>1124</v>
      </c>
      <c r="D12075" s="27" t="s">
        <v>1859</v>
      </c>
      <c r="F12075" s="27" t="s">
        <v>1881</v>
      </c>
      <c r="H12075" s="27" t="s">
        <v>2679</v>
      </c>
      <c r="J12075" s="27" t="s">
        <v>3210</v>
      </c>
      <c r="L12075" s="27" t="s">
        <v>3262</v>
      </c>
      <c r="N12075" s="27" t="s">
        <v>15846</v>
      </c>
      <c r="P12075" s="27" t="s">
        <v>15903</v>
      </c>
      <c r="Q12075" s="26" t="str">
        <f>HYPERLINK("https://ictv.global/taxonomy/taxondetails?taxnode_id=202517160&amp;ictv_id=ICTV202317160","ICTV202317160")</f>
        <v>ICTV202317160</v>
      </c>
      <c r="R12075" t="s">
        <v>581</v>
      </c>
      <c r="S12075" t="s">
        <v>823</v>
      </c>
      <c r="T12075">
        <v>39</v>
      </c>
      <c r="U12075" s="26" t="str">
        <f t="shared" si="448"/>
        <v>2023.001B.Leviviricetes_reorg.zip</v>
      </c>
    </row>
    <row r="12076" spans="1:21">
      <c r="A12076">
        <v>12075</v>
      </c>
      <c r="B12076" s="27" t="s">
        <v>1124</v>
      </c>
      <c r="D12076" s="27" t="s">
        <v>1859</v>
      </c>
      <c r="F12076" s="27" t="s">
        <v>1881</v>
      </c>
      <c r="H12076" s="27" t="s">
        <v>2679</v>
      </c>
      <c r="J12076" s="27" t="s">
        <v>3210</v>
      </c>
      <c r="L12076" s="27" t="s">
        <v>3262</v>
      </c>
      <c r="N12076" s="27" t="s">
        <v>15846</v>
      </c>
      <c r="P12076" s="27" t="s">
        <v>15904</v>
      </c>
      <c r="Q12076" s="26" t="str">
        <f>HYPERLINK("https://ictv.global/taxonomy/taxondetails?taxnode_id=202517161&amp;ictv_id=ICTV202317161","ICTV202317161")</f>
        <v>ICTV202317161</v>
      </c>
      <c r="R12076" t="s">
        <v>581</v>
      </c>
      <c r="S12076" t="s">
        <v>823</v>
      </c>
      <c r="T12076">
        <v>39</v>
      </c>
      <c r="U12076" s="26" t="str">
        <f t="shared" si="448"/>
        <v>2023.001B.Leviviricetes_reorg.zip</v>
      </c>
    </row>
    <row r="12077" spans="1:21">
      <c r="A12077">
        <v>12076</v>
      </c>
      <c r="B12077" s="27" t="s">
        <v>1124</v>
      </c>
      <c r="D12077" s="27" t="s">
        <v>1859</v>
      </c>
      <c r="F12077" s="27" t="s">
        <v>1881</v>
      </c>
      <c r="H12077" s="27" t="s">
        <v>2679</v>
      </c>
      <c r="J12077" s="27" t="s">
        <v>3210</v>
      </c>
      <c r="L12077" s="27" t="s">
        <v>3262</v>
      </c>
      <c r="N12077" s="27" t="s">
        <v>15846</v>
      </c>
      <c r="P12077" s="27" t="s">
        <v>15905</v>
      </c>
      <c r="Q12077" s="26" t="str">
        <f>HYPERLINK("https://ictv.global/taxonomy/taxondetails?taxnode_id=202517162&amp;ictv_id=ICTV202317162","ICTV202317162")</f>
        <v>ICTV202317162</v>
      </c>
      <c r="R12077" t="s">
        <v>581</v>
      </c>
      <c r="S12077" t="s">
        <v>823</v>
      </c>
      <c r="T12077">
        <v>39</v>
      </c>
      <c r="U12077" s="26" t="str">
        <f t="shared" si="448"/>
        <v>2023.001B.Leviviricetes_reorg.zip</v>
      </c>
    </row>
    <row r="12078" spans="1:21">
      <c r="A12078">
        <v>12077</v>
      </c>
      <c r="B12078" s="27" t="s">
        <v>1124</v>
      </c>
      <c r="D12078" s="27" t="s">
        <v>1859</v>
      </c>
      <c r="F12078" s="27" t="s">
        <v>1881</v>
      </c>
      <c r="H12078" s="27" t="s">
        <v>2679</v>
      </c>
      <c r="J12078" s="27" t="s">
        <v>3210</v>
      </c>
      <c r="L12078" s="27" t="s">
        <v>3262</v>
      </c>
      <c r="N12078" s="27" t="s">
        <v>15846</v>
      </c>
      <c r="P12078" s="27" t="s">
        <v>15906</v>
      </c>
      <c r="Q12078" s="26" t="str">
        <f>HYPERLINK("https://ictv.global/taxonomy/taxondetails?taxnode_id=202517163&amp;ictv_id=ICTV202317163","ICTV202317163")</f>
        <v>ICTV202317163</v>
      </c>
      <c r="R12078" t="s">
        <v>581</v>
      </c>
      <c r="S12078" t="s">
        <v>823</v>
      </c>
      <c r="T12078">
        <v>39</v>
      </c>
      <c r="U12078" s="26" t="str">
        <f t="shared" si="448"/>
        <v>2023.001B.Leviviricetes_reorg.zip</v>
      </c>
    </row>
    <row r="12079" spans="1:21">
      <c r="A12079">
        <v>12078</v>
      </c>
      <c r="B12079" s="27" t="s">
        <v>1124</v>
      </c>
      <c r="D12079" s="27" t="s">
        <v>1859</v>
      </c>
      <c r="F12079" s="27" t="s">
        <v>1881</v>
      </c>
      <c r="H12079" s="27" t="s">
        <v>2679</v>
      </c>
      <c r="J12079" s="27" t="s">
        <v>3210</v>
      </c>
      <c r="L12079" s="27" t="s">
        <v>3262</v>
      </c>
      <c r="N12079" s="27" t="s">
        <v>15846</v>
      </c>
      <c r="P12079" s="27" t="s">
        <v>15907</v>
      </c>
      <c r="Q12079" s="26" t="str">
        <f>HYPERLINK("https://ictv.global/taxonomy/taxondetails?taxnode_id=202517164&amp;ictv_id=ICTV202317164","ICTV202317164")</f>
        <v>ICTV202317164</v>
      </c>
      <c r="R12079" t="s">
        <v>581</v>
      </c>
      <c r="S12079" t="s">
        <v>823</v>
      </c>
      <c r="T12079">
        <v>39</v>
      </c>
      <c r="U12079" s="26" t="str">
        <f t="shared" si="448"/>
        <v>2023.001B.Leviviricetes_reorg.zip</v>
      </c>
    </row>
    <row r="12080" spans="1:21">
      <c r="A12080">
        <v>12079</v>
      </c>
      <c r="B12080" s="27" t="s">
        <v>1124</v>
      </c>
      <c r="D12080" s="27" t="s">
        <v>1859</v>
      </c>
      <c r="F12080" s="27" t="s">
        <v>1881</v>
      </c>
      <c r="H12080" s="27" t="s">
        <v>2679</v>
      </c>
      <c r="J12080" s="27" t="s">
        <v>3210</v>
      </c>
      <c r="L12080" s="27" t="s">
        <v>3262</v>
      </c>
      <c r="N12080" s="27" t="s">
        <v>15846</v>
      </c>
      <c r="P12080" s="27" t="s">
        <v>15908</v>
      </c>
      <c r="Q12080" s="26" t="str">
        <f>HYPERLINK("https://ictv.global/taxonomy/taxondetails?taxnode_id=202517165&amp;ictv_id=ICTV202317165","ICTV202317165")</f>
        <v>ICTV202317165</v>
      </c>
      <c r="R12080" t="s">
        <v>581</v>
      </c>
      <c r="S12080" t="s">
        <v>823</v>
      </c>
      <c r="T12080">
        <v>39</v>
      </c>
      <c r="U12080" s="26" t="str">
        <f t="shared" si="448"/>
        <v>2023.001B.Leviviricetes_reorg.zip</v>
      </c>
    </row>
    <row r="12081" spans="1:21">
      <c r="A12081">
        <v>12080</v>
      </c>
      <c r="B12081" s="27" t="s">
        <v>1124</v>
      </c>
      <c r="D12081" s="27" t="s">
        <v>1859</v>
      </c>
      <c r="F12081" s="27" t="s">
        <v>1881</v>
      </c>
      <c r="H12081" s="27" t="s">
        <v>2679</v>
      </c>
      <c r="J12081" s="27" t="s">
        <v>3210</v>
      </c>
      <c r="L12081" s="27" t="s">
        <v>3262</v>
      </c>
      <c r="N12081" s="27" t="s">
        <v>15846</v>
      </c>
      <c r="P12081" s="27" t="s">
        <v>15909</v>
      </c>
      <c r="Q12081" s="26" t="str">
        <f>HYPERLINK("https://ictv.global/taxonomy/taxondetails?taxnode_id=202517166&amp;ictv_id=ICTV202317166","ICTV202317166")</f>
        <v>ICTV202317166</v>
      </c>
      <c r="R12081" t="s">
        <v>581</v>
      </c>
      <c r="S12081" t="s">
        <v>823</v>
      </c>
      <c r="T12081">
        <v>39</v>
      </c>
      <c r="U12081" s="26" t="str">
        <f t="shared" si="448"/>
        <v>2023.001B.Leviviricetes_reorg.zip</v>
      </c>
    </row>
    <row r="12082" spans="1:21">
      <c r="A12082">
        <v>12081</v>
      </c>
      <c r="B12082" s="27" t="s">
        <v>1124</v>
      </c>
      <c r="D12082" s="27" t="s">
        <v>1859</v>
      </c>
      <c r="F12082" s="27" t="s">
        <v>1881</v>
      </c>
      <c r="H12082" s="27" t="s">
        <v>2679</v>
      </c>
      <c r="J12082" s="27" t="s">
        <v>3210</v>
      </c>
      <c r="L12082" s="27" t="s">
        <v>3262</v>
      </c>
      <c r="N12082" s="27" t="s">
        <v>15846</v>
      </c>
      <c r="P12082" s="27" t="s">
        <v>15910</v>
      </c>
      <c r="Q12082" s="26" t="str">
        <f>HYPERLINK("https://ictv.global/taxonomy/taxondetails?taxnode_id=202517167&amp;ictv_id=ICTV202317167","ICTV202317167")</f>
        <v>ICTV202317167</v>
      </c>
      <c r="R12082" t="s">
        <v>581</v>
      </c>
      <c r="S12082" t="s">
        <v>823</v>
      </c>
      <c r="T12082">
        <v>39</v>
      </c>
      <c r="U12082" s="26" t="str">
        <f t="shared" si="448"/>
        <v>2023.001B.Leviviricetes_reorg.zip</v>
      </c>
    </row>
    <row r="12083" spans="1:21">
      <c r="A12083">
        <v>12082</v>
      </c>
      <c r="B12083" s="27" t="s">
        <v>1124</v>
      </c>
      <c r="D12083" s="27" t="s">
        <v>1859</v>
      </c>
      <c r="F12083" s="27" t="s">
        <v>1881</v>
      </c>
      <c r="H12083" s="27" t="s">
        <v>2679</v>
      </c>
      <c r="J12083" s="27" t="s">
        <v>3210</v>
      </c>
      <c r="L12083" s="27" t="s">
        <v>3262</v>
      </c>
      <c r="N12083" s="27" t="s">
        <v>15846</v>
      </c>
      <c r="P12083" s="27" t="s">
        <v>15911</v>
      </c>
      <c r="Q12083" s="26" t="str">
        <f>HYPERLINK("https://ictv.global/taxonomy/taxondetails?taxnode_id=202517168&amp;ictv_id=ICTV202317168","ICTV202317168")</f>
        <v>ICTV202317168</v>
      </c>
      <c r="R12083" t="s">
        <v>581</v>
      </c>
      <c r="S12083" t="s">
        <v>823</v>
      </c>
      <c r="T12083">
        <v>39</v>
      </c>
      <c r="U12083" s="26" t="str">
        <f t="shared" si="448"/>
        <v>2023.001B.Leviviricetes_reorg.zip</v>
      </c>
    </row>
    <row r="12084" spans="1:21">
      <c r="A12084">
        <v>12083</v>
      </c>
      <c r="B12084" s="27" t="s">
        <v>1124</v>
      </c>
      <c r="D12084" s="27" t="s">
        <v>1859</v>
      </c>
      <c r="F12084" s="27" t="s">
        <v>1881</v>
      </c>
      <c r="H12084" s="27" t="s">
        <v>2679</v>
      </c>
      <c r="J12084" s="27" t="s">
        <v>3210</v>
      </c>
      <c r="L12084" s="27" t="s">
        <v>3262</v>
      </c>
      <c r="N12084" s="27" t="s">
        <v>15846</v>
      </c>
      <c r="P12084" s="27" t="s">
        <v>15912</v>
      </c>
      <c r="Q12084" s="26" t="str">
        <f>HYPERLINK("https://ictv.global/taxonomy/taxondetails?taxnode_id=202517169&amp;ictv_id=ICTV202317169","ICTV202317169")</f>
        <v>ICTV202317169</v>
      </c>
      <c r="R12084" t="s">
        <v>581</v>
      </c>
      <c r="S12084" t="s">
        <v>823</v>
      </c>
      <c r="T12084">
        <v>39</v>
      </c>
      <c r="U12084" s="26" t="str">
        <f t="shared" si="448"/>
        <v>2023.001B.Leviviricetes_reorg.zip</v>
      </c>
    </row>
    <row r="12085" spans="1:21">
      <c r="A12085">
        <v>12084</v>
      </c>
      <c r="B12085" s="27" t="s">
        <v>1124</v>
      </c>
      <c r="D12085" s="27" t="s">
        <v>1859</v>
      </c>
      <c r="F12085" s="27" t="s">
        <v>1881</v>
      </c>
      <c r="H12085" s="27" t="s">
        <v>2679</v>
      </c>
      <c r="J12085" s="27" t="s">
        <v>3210</v>
      </c>
      <c r="L12085" s="27" t="s">
        <v>3262</v>
      </c>
      <c r="N12085" s="27" t="s">
        <v>15846</v>
      </c>
      <c r="P12085" s="27" t="s">
        <v>15913</v>
      </c>
      <c r="Q12085" s="26" t="str">
        <f>HYPERLINK("https://ictv.global/taxonomy/taxondetails?taxnode_id=202517170&amp;ictv_id=ICTV202317170","ICTV202317170")</f>
        <v>ICTV202317170</v>
      </c>
      <c r="R12085" t="s">
        <v>581</v>
      </c>
      <c r="S12085" t="s">
        <v>823</v>
      </c>
      <c r="T12085">
        <v>39</v>
      </c>
      <c r="U12085" s="26" t="str">
        <f t="shared" si="448"/>
        <v>2023.001B.Leviviricetes_reorg.zip</v>
      </c>
    </row>
    <row r="12086" spans="1:21">
      <c r="A12086">
        <v>12085</v>
      </c>
      <c r="B12086" s="27" t="s">
        <v>1124</v>
      </c>
      <c r="D12086" s="27" t="s">
        <v>1859</v>
      </c>
      <c r="F12086" s="27" t="s">
        <v>1881</v>
      </c>
      <c r="H12086" s="27" t="s">
        <v>2679</v>
      </c>
      <c r="J12086" s="27" t="s">
        <v>3210</v>
      </c>
      <c r="L12086" s="27" t="s">
        <v>3262</v>
      </c>
      <c r="N12086" s="27" t="s">
        <v>15846</v>
      </c>
      <c r="P12086" s="27" t="s">
        <v>15914</v>
      </c>
      <c r="Q12086" s="26" t="str">
        <f>HYPERLINK("https://ictv.global/taxonomy/taxondetails?taxnode_id=202517171&amp;ictv_id=ICTV202317171","ICTV202317171")</f>
        <v>ICTV202317171</v>
      </c>
      <c r="R12086" t="s">
        <v>581</v>
      </c>
      <c r="S12086" t="s">
        <v>823</v>
      </c>
      <c r="T12086">
        <v>39</v>
      </c>
      <c r="U12086" s="26" t="str">
        <f t="shared" si="448"/>
        <v>2023.001B.Leviviricetes_reorg.zip</v>
      </c>
    </row>
    <row r="12087" spans="1:21">
      <c r="A12087">
        <v>12086</v>
      </c>
      <c r="B12087" s="27" t="s">
        <v>1124</v>
      </c>
      <c r="D12087" s="27" t="s">
        <v>1859</v>
      </c>
      <c r="F12087" s="27" t="s">
        <v>1881</v>
      </c>
      <c r="H12087" s="27" t="s">
        <v>2679</v>
      </c>
      <c r="J12087" s="27" t="s">
        <v>3210</v>
      </c>
      <c r="L12087" s="27" t="s">
        <v>3262</v>
      </c>
      <c r="N12087" s="27" t="s">
        <v>15846</v>
      </c>
      <c r="P12087" s="27" t="s">
        <v>15915</v>
      </c>
      <c r="Q12087" s="26" t="str">
        <f>HYPERLINK("https://ictv.global/taxonomy/taxondetails?taxnode_id=202517172&amp;ictv_id=ICTV202317172","ICTV202317172")</f>
        <v>ICTV202317172</v>
      </c>
      <c r="R12087" t="s">
        <v>581</v>
      </c>
      <c r="S12087" t="s">
        <v>823</v>
      </c>
      <c r="T12087">
        <v>39</v>
      </c>
      <c r="U12087" s="26" t="str">
        <f t="shared" si="448"/>
        <v>2023.001B.Leviviricetes_reorg.zip</v>
      </c>
    </row>
    <row r="12088" spans="1:21">
      <c r="A12088">
        <v>12087</v>
      </c>
      <c r="B12088" s="27" t="s">
        <v>1124</v>
      </c>
      <c r="D12088" s="27" t="s">
        <v>1859</v>
      </c>
      <c r="F12088" s="27" t="s">
        <v>1881</v>
      </c>
      <c r="H12088" s="27" t="s">
        <v>2679</v>
      </c>
      <c r="J12088" s="27" t="s">
        <v>3210</v>
      </c>
      <c r="L12088" s="27" t="s">
        <v>3262</v>
      </c>
      <c r="N12088" s="27" t="s">
        <v>15846</v>
      </c>
      <c r="P12088" s="27" t="s">
        <v>15916</v>
      </c>
      <c r="Q12088" s="26" t="str">
        <f>HYPERLINK("https://ictv.global/taxonomy/taxondetails?taxnode_id=202517173&amp;ictv_id=ICTV202317173","ICTV202317173")</f>
        <v>ICTV202317173</v>
      </c>
      <c r="R12088" t="s">
        <v>581</v>
      </c>
      <c r="S12088" t="s">
        <v>823</v>
      </c>
      <c r="T12088">
        <v>39</v>
      </c>
      <c r="U12088" s="26" t="str">
        <f t="shared" si="448"/>
        <v>2023.001B.Leviviricetes_reorg.zip</v>
      </c>
    </row>
    <row r="12089" spans="1:21">
      <c r="A12089">
        <v>12088</v>
      </c>
      <c r="B12089" s="27" t="s">
        <v>1124</v>
      </c>
      <c r="D12089" s="27" t="s">
        <v>1859</v>
      </c>
      <c r="F12089" s="27" t="s">
        <v>1881</v>
      </c>
      <c r="H12089" s="27" t="s">
        <v>2679</v>
      </c>
      <c r="J12089" s="27" t="s">
        <v>3210</v>
      </c>
      <c r="L12089" s="27" t="s">
        <v>3262</v>
      </c>
      <c r="N12089" s="27" t="s">
        <v>15846</v>
      </c>
      <c r="P12089" s="27" t="s">
        <v>15917</v>
      </c>
      <c r="Q12089" s="26" t="str">
        <f>HYPERLINK("https://ictv.global/taxonomy/taxondetails?taxnode_id=202517174&amp;ictv_id=ICTV202317174","ICTV202317174")</f>
        <v>ICTV202317174</v>
      </c>
      <c r="R12089" t="s">
        <v>581</v>
      </c>
      <c r="S12089" t="s">
        <v>823</v>
      </c>
      <c r="T12089">
        <v>39</v>
      </c>
      <c r="U12089" s="26" t="str">
        <f t="shared" si="448"/>
        <v>2023.001B.Leviviricetes_reorg.zip</v>
      </c>
    </row>
    <row r="12090" spans="1:21">
      <c r="A12090">
        <v>12089</v>
      </c>
      <c r="B12090" s="27" t="s">
        <v>1124</v>
      </c>
      <c r="D12090" s="27" t="s">
        <v>1859</v>
      </c>
      <c r="F12090" s="27" t="s">
        <v>1881</v>
      </c>
      <c r="H12090" s="27" t="s">
        <v>2679</v>
      </c>
      <c r="J12090" s="27" t="s">
        <v>3210</v>
      </c>
      <c r="L12090" s="27" t="s">
        <v>3262</v>
      </c>
      <c r="N12090" s="27" t="s">
        <v>15846</v>
      </c>
      <c r="P12090" s="27" t="s">
        <v>15918</v>
      </c>
      <c r="Q12090" s="26" t="str">
        <f>HYPERLINK("https://ictv.global/taxonomy/taxondetails?taxnode_id=202517175&amp;ictv_id=ICTV202317175","ICTV202317175")</f>
        <v>ICTV202317175</v>
      </c>
      <c r="R12090" t="s">
        <v>581</v>
      </c>
      <c r="S12090" t="s">
        <v>823</v>
      </c>
      <c r="T12090">
        <v>39</v>
      </c>
      <c r="U12090" s="26" t="str">
        <f t="shared" si="448"/>
        <v>2023.001B.Leviviricetes_reorg.zip</v>
      </c>
    </row>
    <row r="12091" spans="1:21">
      <c r="A12091">
        <v>12090</v>
      </c>
      <c r="B12091" s="27" t="s">
        <v>1124</v>
      </c>
      <c r="D12091" s="27" t="s">
        <v>1859</v>
      </c>
      <c r="F12091" s="27" t="s">
        <v>1881</v>
      </c>
      <c r="H12091" s="27" t="s">
        <v>2679</v>
      </c>
      <c r="J12091" s="27" t="s">
        <v>3210</v>
      </c>
      <c r="L12091" s="27" t="s">
        <v>3262</v>
      </c>
      <c r="N12091" s="27" t="s">
        <v>15846</v>
      </c>
      <c r="P12091" s="27" t="s">
        <v>15919</v>
      </c>
      <c r="Q12091" s="26" t="str">
        <f>HYPERLINK("https://ictv.global/taxonomy/taxondetails?taxnode_id=202517176&amp;ictv_id=ICTV202317176","ICTV202317176")</f>
        <v>ICTV202317176</v>
      </c>
      <c r="R12091" t="s">
        <v>581</v>
      </c>
      <c r="S12091" t="s">
        <v>823</v>
      </c>
      <c r="T12091">
        <v>39</v>
      </c>
      <c r="U12091" s="26" t="str">
        <f t="shared" si="448"/>
        <v>2023.001B.Leviviricetes_reorg.zip</v>
      </c>
    </row>
    <row r="12092" spans="1:21">
      <c r="A12092">
        <v>12091</v>
      </c>
      <c r="B12092" s="27" t="s">
        <v>1124</v>
      </c>
      <c r="D12092" s="27" t="s">
        <v>1859</v>
      </c>
      <c r="F12092" s="27" t="s">
        <v>1881</v>
      </c>
      <c r="H12092" s="27" t="s">
        <v>2679</v>
      </c>
      <c r="J12092" s="27" t="s">
        <v>3210</v>
      </c>
      <c r="L12092" s="27" t="s">
        <v>3262</v>
      </c>
      <c r="N12092" s="27" t="s">
        <v>15846</v>
      </c>
      <c r="P12092" s="27" t="s">
        <v>15920</v>
      </c>
      <c r="Q12092" s="26" t="str">
        <f>HYPERLINK("https://ictv.global/taxonomy/taxondetails?taxnode_id=202517177&amp;ictv_id=ICTV202317177","ICTV202317177")</f>
        <v>ICTV202317177</v>
      </c>
      <c r="R12092" t="s">
        <v>581</v>
      </c>
      <c r="S12092" t="s">
        <v>823</v>
      </c>
      <c r="T12092">
        <v>39</v>
      </c>
      <c r="U12092" s="26" t="str">
        <f t="shared" si="448"/>
        <v>2023.001B.Leviviricetes_reorg.zip</v>
      </c>
    </row>
    <row r="12093" spans="1:21">
      <c r="A12093">
        <v>12092</v>
      </c>
      <c r="B12093" s="27" t="s">
        <v>1124</v>
      </c>
      <c r="D12093" s="27" t="s">
        <v>1859</v>
      </c>
      <c r="F12093" s="27" t="s">
        <v>1881</v>
      </c>
      <c r="H12093" s="27" t="s">
        <v>2679</v>
      </c>
      <c r="J12093" s="27" t="s">
        <v>3210</v>
      </c>
      <c r="L12093" s="27" t="s">
        <v>3262</v>
      </c>
      <c r="N12093" s="27" t="s">
        <v>15846</v>
      </c>
      <c r="P12093" s="27" t="s">
        <v>15921</v>
      </c>
      <c r="Q12093" s="26" t="str">
        <f>HYPERLINK("https://ictv.global/taxonomy/taxondetails?taxnode_id=202517178&amp;ictv_id=ICTV202317178","ICTV202317178")</f>
        <v>ICTV202317178</v>
      </c>
      <c r="R12093" t="s">
        <v>581</v>
      </c>
      <c r="S12093" t="s">
        <v>823</v>
      </c>
      <c r="T12093">
        <v>39</v>
      </c>
      <c r="U12093" s="26" t="str">
        <f t="shared" si="448"/>
        <v>2023.001B.Leviviricetes_reorg.zip</v>
      </c>
    </row>
    <row r="12094" spans="1:21">
      <c r="A12094">
        <v>12093</v>
      </c>
      <c r="B12094" s="27" t="s">
        <v>1124</v>
      </c>
      <c r="D12094" s="27" t="s">
        <v>1859</v>
      </c>
      <c r="F12094" s="27" t="s">
        <v>1881</v>
      </c>
      <c r="H12094" s="27" t="s">
        <v>2679</v>
      </c>
      <c r="J12094" s="27" t="s">
        <v>3210</v>
      </c>
      <c r="L12094" s="27" t="s">
        <v>3262</v>
      </c>
      <c r="N12094" s="27" t="s">
        <v>15846</v>
      </c>
      <c r="P12094" s="27" t="s">
        <v>15922</v>
      </c>
      <c r="Q12094" s="26" t="str">
        <f>HYPERLINK("https://ictv.global/taxonomy/taxondetails?taxnode_id=202517179&amp;ictv_id=ICTV202317179","ICTV202317179")</f>
        <v>ICTV202317179</v>
      </c>
      <c r="R12094" t="s">
        <v>581</v>
      </c>
      <c r="S12094" t="s">
        <v>823</v>
      </c>
      <c r="T12094">
        <v>39</v>
      </c>
      <c r="U12094" s="26" t="str">
        <f t="shared" si="448"/>
        <v>2023.001B.Leviviricetes_reorg.zip</v>
      </c>
    </row>
    <row r="12095" spans="1:21">
      <c r="A12095">
        <v>12094</v>
      </c>
      <c r="B12095" s="27" t="s">
        <v>1124</v>
      </c>
      <c r="D12095" s="27" t="s">
        <v>1859</v>
      </c>
      <c r="F12095" s="27" t="s">
        <v>1881</v>
      </c>
      <c r="H12095" s="27" t="s">
        <v>2679</v>
      </c>
      <c r="J12095" s="27" t="s">
        <v>3210</v>
      </c>
      <c r="L12095" s="27" t="s">
        <v>3262</v>
      </c>
      <c r="N12095" s="27" t="s">
        <v>15846</v>
      </c>
      <c r="P12095" s="27" t="s">
        <v>15923</v>
      </c>
      <c r="Q12095" s="26" t="str">
        <f>HYPERLINK("https://ictv.global/taxonomy/taxondetails?taxnode_id=202517180&amp;ictv_id=ICTV202317180","ICTV202317180")</f>
        <v>ICTV202317180</v>
      </c>
      <c r="R12095" t="s">
        <v>581</v>
      </c>
      <c r="S12095" t="s">
        <v>823</v>
      </c>
      <c r="T12095">
        <v>39</v>
      </c>
      <c r="U12095" s="26" t="str">
        <f t="shared" si="448"/>
        <v>2023.001B.Leviviricetes_reorg.zip</v>
      </c>
    </row>
    <row r="12096" spans="1:21">
      <c r="A12096">
        <v>12095</v>
      </c>
      <c r="B12096" s="27" t="s">
        <v>1124</v>
      </c>
      <c r="D12096" s="27" t="s">
        <v>1859</v>
      </c>
      <c r="F12096" s="27" t="s">
        <v>1881</v>
      </c>
      <c r="H12096" s="27" t="s">
        <v>2679</v>
      </c>
      <c r="J12096" s="27" t="s">
        <v>3210</v>
      </c>
      <c r="L12096" s="27" t="s">
        <v>3262</v>
      </c>
      <c r="N12096" s="27" t="s">
        <v>15846</v>
      </c>
      <c r="P12096" s="27" t="s">
        <v>15924</v>
      </c>
      <c r="Q12096" s="26" t="str">
        <f>HYPERLINK("https://ictv.global/taxonomy/taxondetails?taxnode_id=202517181&amp;ictv_id=ICTV202317181","ICTV202317181")</f>
        <v>ICTV202317181</v>
      </c>
      <c r="R12096" t="s">
        <v>581</v>
      </c>
      <c r="S12096" t="s">
        <v>823</v>
      </c>
      <c r="T12096">
        <v>39</v>
      </c>
      <c r="U12096" s="26" t="str">
        <f t="shared" si="448"/>
        <v>2023.001B.Leviviricetes_reorg.zip</v>
      </c>
    </row>
    <row r="12097" spans="1:21">
      <c r="A12097">
        <v>12096</v>
      </c>
      <c r="B12097" s="27" t="s">
        <v>1124</v>
      </c>
      <c r="D12097" s="27" t="s">
        <v>1859</v>
      </c>
      <c r="F12097" s="27" t="s">
        <v>1881</v>
      </c>
      <c r="H12097" s="27" t="s">
        <v>2679</v>
      </c>
      <c r="J12097" s="27" t="s">
        <v>3210</v>
      </c>
      <c r="L12097" s="27" t="s">
        <v>3262</v>
      </c>
      <c r="N12097" s="27" t="s">
        <v>15846</v>
      </c>
      <c r="P12097" s="27" t="s">
        <v>15925</v>
      </c>
      <c r="Q12097" s="26" t="str">
        <f>HYPERLINK("https://ictv.global/taxonomy/taxondetails?taxnode_id=202517182&amp;ictv_id=ICTV202317182","ICTV202317182")</f>
        <v>ICTV202317182</v>
      </c>
      <c r="R12097" t="s">
        <v>581</v>
      </c>
      <c r="S12097" t="s">
        <v>823</v>
      </c>
      <c r="T12097">
        <v>39</v>
      </c>
      <c r="U12097" s="26" t="str">
        <f t="shared" si="448"/>
        <v>2023.001B.Leviviricetes_reorg.zip</v>
      </c>
    </row>
    <row r="12098" spans="1:21">
      <c r="A12098">
        <v>12097</v>
      </c>
      <c r="B12098" s="27" t="s">
        <v>1124</v>
      </c>
      <c r="D12098" s="27" t="s">
        <v>1859</v>
      </c>
      <c r="F12098" s="27" t="s">
        <v>1881</v>
      </c>
      <c r="H12098" s="27" t="s">
        <v>2679</v>
      </c>
      <c r="J12098" s="27" t="s">
        <v>3210</v>
      </c>
      <c r="L12098" s="27" t="s">
        <v>3262</v>
      </c>
      <c r="N12098" s="27" t="s">
        <v>15846</v>
      </c>
      <c r="P12098" s="27" t="s">
        <v>15926</v>
      </c>
      <c r="Q12098" s="26" t="str">
        <f>HYPERLINK("https://ictv.global/taxonomy/taxondetails?taxnode_id=202517183&amp;ictv_id=ICTV202317183","ICTV202317183")</f>
        <v>ICTV202317183</v>
      </c>
      <c r="R12098" t="s">
        <v>581</v>
      </c>
      <c r="S12098" t="s">
        <v>823</v>
      </c>
      <c r="T12098">
        <v>39</v>
      </c>
      <c r="U12098" s="26" t="str">
        <f t="shared" si="448"/>
        <v>2023.001B.Leviviricetes_reorg.zip</v>
      </c>
    </row>
    <row r="12099" spans="1:21">
      <c r="A12099">
        <v>12098</v>
      </c>
      <c r="B12099" s="27" t="s">
        <v>1124</v>
      </c>
      <c r="D12099" s="27" t="s">
        <v>1859</v>
      </c>
      <c r="F12099" s="27" t="s">
        <v>1881</v>
      </c>
      <c r="H12099" s="27" t="s">
        <v>2679</v>
      </c>
      <c r="J12099" s="27" t="s">
        <v>3210</v>
      </c>
      <c r="L12099" s="27" t="s">
        <v>3262</v>
      </c>
      <c r="N12099" s="27" t="s">
        <v>15846</v>
      </c>
      <c r="P12099" s="27" t="s">
        <v>15927</v>
      </c>
      <c r="Q12099" s="26" t="str">
        <f>HYPERLINK("https://ictv.global/taxonomy/taxondetails?taxnode_id=202517184&amp;ictv_id=ICTV202317184","ICTV202317184")</f>
        <v>ICTV202317184</v>
      </c>
      <c r="R12099" t="s">
        <v>581</v>
      </c>
      <c r="S12099" t="s">
        <v>823</v>
      </c>
      <c r="T12099">
        <v>39</v>
      </c>
      <c r="U12099" s="26" t="str">
        <f t="shared" si="448"/>
        <v>2023.001B.Leviviricetes_reorg.zip</v>
      </c>
    </row>
    <row r="12100" spans="1:21">
      <c r="A12100">
        <v>12099</v>
      </c>
      <c r="B12100" s="27" t="s">
        <v>1124</v>
      </c>
      <c r="D12100" s="27" t="s">
        <v>1859</v>
      </c>
      <c r="F12100" s="27" t="s">
        <v>1881</v>
      </c>
      <c r="H12100" s="27" t="s">
        <v>2679</v>
      </c>
      <c r="J12100" s="27" t="s">
        <v>3210</v>
      </c>
      <c r="L12100" s="27" t="s">
        <v>3262</v>
      </c>
      <c r="N12100" s="27" t="s">
        <v>15846</v>
      </c>
      <c r="P12100" s="27" t="s">
        <v>15928</v>
      </c>
      <c r="Q12100" s="26" t="str">
        <f>HYPERLINK("https://ictv.global/taxonomy/taxondetails?taxnode_id=202517185&amp;ictv_id=ICTV202317185","ICTV202317185")</f>
        <v>ICTV202317185</v>
      </c>
      <c r="R12100" t="s">
        <v>581</v>
      </c>
      <c r="S12100" t="s">
        <v>823</v>
      </c>
      <c r="T12100">
        <v>39</v>
      </c>
      <c r="U12100" s="26" t="str">
        <f t="shared" si="448"/>
        <v>2023.001B.Leviviricetes_reorg.zip</v>
      </c>
    </row>
    <row r="12101" spans="1:21">
      <c r="A12101">
        <v>12100</v>
      </c>
      <c r="B12101" s="27" t="s">
        <v>1124</v>
      </c>
      <c r="D12101" s="27" t="s">
        <v>1859</v>
      </c>
      <c r="F12101" s="27" t="s">
        <v>1881</v>
      </c>
      <c r="H12101" s="27" t="s">
        <v>2679</v>
      </c>
      <c r="J12101" s="27" t="s">
        <v>3210</v>
      </c>
      <c r="L12101" s="27" t="s">
        <v>3262</v>
      </c>
      <c r="N12101" s="27" t="s">
        <v>15846</v>
      </c>
      <c r="P12101" s="27" t="s">
        <v>15929</v>
      </c>
      <c r="Q12101" s="26" t="str">
        <f>HYPERLINK("https://ictv.global/taxonomy/taxondetails?taxnode_id=202517186&amp;ictv_id=ICTV202317186","ICTV202317186")</f>
        <v>ICTV202317186</v>
      </c>
      <c r="R12101" t="s">
        <v>581</v>
      </c>
      <c r="S12101" t="s">
        <v>823</v>
      </c>
      <c r="T12101">
        <v>39</v>
      </c>
      <c r="U12101" s="26" t="str">
        <f t="shared" si="448"/>
        <v>2023.001B.Leviviricetes_reorg.zip</v>
      </c>
    </row>
    <row r="12102" spans="1:21">
      <c r="A12102">
        <v>12101</v>
      </c>
      <c r="B12102" s="27" t="s">
        <v>1124</v>
      </c>
      <c r="D12102" s="27" t="s">
        <v>1859</v>
      </c>
      <c r="F12102" s="27" t="s">
        <v>1881</v>
      </c>
      <c r="H12102" s="27" t="s">
        <v>2679</v>
      </c>
      <c r="J12102" s="27" t="s">
        <v>3210</v>
      </c>
      <c r="L12102" s="27" t="s">
        <v>3262</v>
      </c>
      <c r="N12102" s="27" t="s">
        <v>15846</v>
      </c>
      <c r="P12102" s="27" t="s">
        <v>15930</v>
      </c>
      <c r="Q12102" s="26" t="str">
        <f>HYPERLINK("https://ictv.global/taxonomy/taxondetails?taxnode_id=202517187&amp;ictv_id=ICTV202317187","ICTV202317187")</f>
        <v>ICTV202317187</v>
      </c>
      <c r="R12102" t="s">
        <v>581</v>
      </c>
      <c r="S12102" t="s">
        <v>823</v>
      </c>
      <c r="T12102">
        <v>39</v>
      </c>
      <c r="U12102" s="26" t="str">
        <f t="shared" si="448"/>
        <v>2023.001B.Leviviricetes_reorg.zip</v>
      </c>
    </row>
    <row r="12103" spans="1:21">
      <c r="A12103">
        <v>12102</v>
      </c>
      <c r="B12103" s="27" t="s">
        <v>1124</v>
      </c>
      <c r="D12103" s="27" t="s">
        <v>1859</v>
      </c>
      <c r="F12103" s="27" t="s">
        <v>1881</v>
      </c>
      <c r="H12103" s="27" t="s">
        <v>2679</v>
      </c>
      <c r="J12103" s="27" t="s">
        <v>3210</v>
      </c>
      <c r="L12103" s="27" t="s">
        <v>3262</v>
      </c>
      <c r="N12103" s="27" t="s">
        <v>15846</v>
      </c>
      <c r="P12103" s="27" t="s">
        <v>15931</v>
      </c>
      <c r="Q12103" s="26" t="str">
        <f>HYPERLINK("https://ictv.global/taxonomy/taxondetails?taxnode_id=202517188&amp;ictv_id=ICTV202317188","ICTV202317188")</f>
        <v>ICTV202317188</v>
      </c>
      <c r="R12103" t="s">
        <v>581</v>
      </c>
      <c r="S12103" t="s">
        <v>823</v>
      </c>
      <c r="T12103">
        <v>39</v>
      </c>
      <c r="U12103" s="26" t="str">
        <f t="shared" si="448"/>
        <v>2023.001B.Leviviricetes_reorg.zip</v>
      </c>
    </row>
    <row r="12104" spans="1:21">
      <c r="A12104">
        <v>12103</v>
      </c>
      <c r="B12104" s="27" t="s">
        <v>1124</v>
      </c>
      <c r="D12104" s="27" t="s">
        <v>1859</v>
      </c>
      <c r="F12104" s="27" t="s">
        <v>1881</v>
      </c>
      <c r="H12104" s="27" t="s">
        <v>2679</v>
      </c>
      <c r="J12104" s="27" t="s">
        <v>3210</v>
      </c>
      <c r="L12104" s="27" t="s">
        <v>3262</v>
      </c>
      <c r="N12104" s="27" t="s">
        <v>15846</v>
      </c>
      <c r="P12104" s="27" t="s">
        <v>15932</v>
      </c>
      <c r="Q12104" s="26" t="str">
        <f>HYPERLINK("https://ictv.global/taxonomy/taxondetails?taxnode_id=202517189&amp;ictv_id=ICTV202317189","ICTV202317189")</f>
        <v>ICTV202317189</v>
      </c>
      <c r="R12104" t="s">
        <v>581</v>
      </c>
      <c r="S12104" t="s">
        <v>823</v>
      </c>
      <c r="T12104">
        <v>39</v>
      </c>
      <c r="U12104" s="26" t="str">
        <f t="shared" ref="U12104:U12167" si="449">HYPERLINK("https://ictv.global/ictv/proposals/2023.001B.Leviviricetes_reorg.zip","2023.001B.Leviviricetes_reorg.zip")</f>
        <v>2023.001B.Leviviricetes_reorg.zip</v>
      </c>
    </row>
    <row r="12105" spans="1:21">
      <c r="A12105">
        <v>12104</v>
      </c>
      <c r="B12105" s="27" t="s">
        <v>1124</v>
      </c>
      <c r="D12105" s="27" t="s">
        <v>1859</v>
      </c>
      <c r="F12105" s="27" t="s">
        <v>1881</v>
      </c>
      <c r="H12105" s="27" t="s">
        <v>2679</v>
      </c>
      <c r="J12105" s="27" t="s">
        <v>3210</v>
      </c>
      <c r="L12105" s="27" t="s">
        <v>3262</v>
      </c>
      <c r="N12105" s="27" t="s">
        <v>15846</v>
      </c>
      <c r="P12105" s="27" t="s">
        <v>15933</v>
      </c>
      <c r="Q12105" s="26" t="str">
        <f>HYPERLINK("https://ictv.global/taxonomy/taxondetails?taxnode_id=202517190&amp;ictv_id=ICTV202317190","ICTV202317190")</f>
        <v>ICTV202317190</v>
      </c>
      <c r="R12105" t="s">
        <v>581</v>
      </c>
      <c r="S12105" t="s">
        <v>823</v>
      </c>
      <c r="T12105">
        <v>39</v>
      </c>
      <c r="U12105" s="26" t="str">
        <f t="shared" si="449"/>
        <v>2023.001B.Leviviricetes_reorg.zip</v>
      </c>
    </row>
    <row r="12106" spans="1:21">
      <c r="A12106">
        <v>12105</v>
      </c>
      <c r="B12106" s="27" t="s">
        <v>1124</v>
      </c>
      <c r="D12106" s="27" t="s">
        <v>1859</v>
      </c>
      <c r="F12106" s="27" t="s">
        <v>1881</v>
      </c>
      <c r="H12106" s="27" t="s">
        <v>2679</v>
      </c>
      <c r="J12106" s="27" t="s">
        <v>3210</v>
      </c>
      <c r="L12106" s="27" t="s">
        <v>3262</v>
      </c>
      <c r="N12106" s="27" t="s">
        <v>15846</v>
      </c>
      <c r="P12106" s="27" t="s">
        <v>15934</v>
      </c>
      <c r="Q12106" s="26" t="str">
        <f>HYPERLINK("https://ictv.global/taxonomy/taxondetails?taxnode_id=202517191&amp;ictv_id=ICTV202317191","ICTV202317191")</f>
        <v>ICTV202317191</v>
      </c>
      <c r="R12106" t="s">
        <v>581</v>
      </c>
      <c r="S12106" t="s">
        <v>823</v>
      </c>
      <c r="T12106">
        <v>39</v>
      </c>
      <c r="U12106" s="26" t="str">
        <f t="shared" si="449"/>
        <v>2023.001B.Leviviricetes_reorg.zip</v>
      </c>
    </row>
    <row r="12107" spans="1:21">
      <c r="A12107">
        <v>12106</v>
      </c>
      <c r="B12107" s="27" t="s">
        <v>1124</v>
      </c>
      <c r="D12107" s="27" t="s">
        <v>1859</v>
      </c>
      <c r="F12107" s="27" t="s">
        <v>1881</v>
      </c>
      <c r="H12107" s="27" t="s">
        <v>2679</v>
      </c>
      <c r="J12107" s="27" t="s">
        <v>3210</v>
      </c>
      <c r="L12107" s="27" t="s">
        <v>3262</v>
      </c>
      <c r="N12107" s="27" t="s">
        <v>15846</v>
      </c>
      <c r="P12107" s="27" t="s">
        <v>15935</v>
      </c>
      <c r="Q12107" s="26" t="str">
        <f>HYPERLINK("https://ictv.global/taxonomy/taxondetails?taxnode_id=202517192&amp;ictv_id=ICTV202317192","ICTV202317192")</f>
        <v>ICTV202317192</v>
      </c>
      <c r="R12107" t="s">
        <v>581</v>
      </c>
      <c r="S12107" t="s">
        <v>823</v>
      </c>
      <c r="T12107">
        <v>39</v>
      </c>
      <c r="U12107" s="26" t="str">
        <f t="shared" si="449"/>
        <v>2023.001B.Leviviricetes_reorg.zip</v>
      </c>
    </row>
    <row r="12108" spans="1:21">
      <c r="A12108">
        <v>12107</v>
      </c>
      <c r="B12108" s="27" t="s">
        <v>1124</v>
      </c>
      <c r="D12108" s="27" t="s">
        <v>1859</v>
      </c>
      <c r="F12108" s="27" t="s">
        <v>1881</v>
      </c>
      <c r="H12108" s="27" t="s">
        <v>2679</v>
      </c>
      <c r="J12108" s="27" t="s">
        <v>3210</v>
      </c>
      <c r="L12108" s="27" t="s">
        <v>3262</v>
      </c>
      <c r="N12108" s="27" t="s">
        <v>15846</v>
      </c>
      <c r="P12108" s="27" t="s">
        <v>15936</v>
      </c>
      <c r="Q12108" s="26" t="str">
        <f>HYPERLINK("https://ictv.global/taxonomy/taxondetails?taxnode_id=202517193&amp;ictv_id=ICTV202317193","ICTV202317193")</f>
        <v>ICTV202317193</v>
      </c>
      <c r="R12108" t="s">
        <v>581</v>
      </c>
      <c r="S12108" t="s">
        <v>823</v>
      </c>
      <c r="T12108">
        <v>39</v>
      </c>
      <c r="U12108" s="26" t="str">
        <f t="shared" si="449"/>
        <v>2023.001B.Leviviricetes_reorg.zip</v>
      </c>
    </row>
    <row r="12109" spans="1:21">
      <c r="A12109">
        <v>12108</v>
      </c>
      <c r="B12109" s="27" t="s">
        <v>1124</v>
      </c>
      <c r="D12109" s="27" t="s">
        <v>1859</v>
      </c>
      <c r="F12109" s="27" t="s">
        <v>1881</v>
      </c>
      <c r="H12109" s="27" t="s">
        <v>2679</v>
      </c>
      <c r="J12109" s="27" t="s">
        <v>3210</v>
      </c>
      <c r="L12109" s="27" t="s">
        <v>3262</v>
      </c>
      <c r="N12109" s="27" t="s">
        <v>15846</v>
      </c>
      <c r="P12109" s="27" t="s">
        <v>15937</v>
      </c>
      <c r="Q12109" s="26" t="str">
        <f>HYPERLINK("https://ictv.global/taxonomy/taxondetails?taxnode_id=202517194&amp;ictv_id=ICTV202317194","ICTV202317194")</f>
        <v>ICTV202317194</v>
      </c>
      <c r="R12109" t="s">
        <v>581</v>
      </c>
      <c r="S12109" t="s">
        <v>823</v>
      </c>
      <c r="T12109">
        <v>39</v>
      </c>
      <c r="U12109" s="26" t="str">
        <f t="shared" si="449"/>
        <v>2023.001B.Leviviricetes_reorg.zip</v>
      </c>
    </row>
    <row r="12110" spans="1:21">
      <c r="A12110">
        <v>12109</v>
      </c>
      <c r="B12110" s="27" t="s">
        <v>1124</v>
      </c>
      <c r="D12110" s="27" t="s">
        <v>1859</v>
      </c>
      <c r="F12110" s="27" t="s">
        <v>1881</v>
      </c>
      <c r="H12110" s="27" t="s">
        <v>2679</v>
      </c>
      <c r="J12110" s="27" t="s">
        <v>3210</v>
      </c>
      <c r="L12110" s="27" t="s">
        <v>3262</v>
      </c>
      <c r="N12110" s="27" t="s">
        <v>15846</v>
      </c>
      <c r="P12110" s="27" t="s">
        <v>15938</v>
      </c>
      <c r="Q12110" s="26" t="str">
        <f>HYPERLINK("https://ictv.global/taxonomy/taxondetails?taxnode_id=202517195&amp;ictv_id=ICTV202317195","ICTV202317195")</f>
        <v>ICTV202317195</v>
      </c>
      <c r="R12110" t="s">
        <v>581</v>
      </c>
      <c r="S12110" t="s">
        <v>823</v>
      </c>
      <c r="T12110">
        <v>39</v>
      </c>
      <c r="U12110" s="26" t="str">
        <f t="shared" si="449"/>
        <v>2023.001B.Leviviricetes_reorg.zip</v>
      </c>
    </row>
    <row r="12111" spans="1:21">
      <c r="A12111">
        <v>12110</v>
      </c>
      <c r="B12111" s="27" t="s">
        <v>1124</v>
      </c>
      <c r="D12111" s="27" t="s">
        <v>1859</v>
      </c>
      <c r="F12111" s="27" t="s">
        <v>1881</v>
      </c>
      <c r="H12111" s="27" t="s">
        <v>2679</v>
      </c>
      <c r="J12111" s="27" t="s">
        <v>3210</v>
      </c>
      <c r="L12111" s="27" t="s">
        <v>3262</v>
      </c>
      <c r="N12111" s="27" t="s">
        <v>15846</v>
      </c>
      <c r="P12111" s="27" t="s">
        <v>15939</v>
      </c>
      <c r="Q12111" s="26" t="str">
        <f>HYPERLINK("https://ictv.global/taxonomy/taxondetails?taxnode_id=202517196&amp;ictv_id=ICTV202317196","ICTV202317196")</f>
        <v>ICTV202317196</v>
      </c>
      <c r="R12111" t="s">
        <v>581</v>
      </c>
      <c r="S12111" t="s">
        <v>823</v>
      </c>
      <c r="T12111">
        <v>39</v>
      </c>
      <c r="U12111" s="26" t="str">
        <f t="shared" si="449"/>
        <v>2023.001B.Leviviricetes_reorg.zip</v>
      </c>
    </row>
    <row r="12112" spans="1:21">
      <c r="A12112">
        <v>12111</v>
      </c>
      <c r="B12112" s="27" t="s">
        <v>1124</v>
      </c>
      <c r="D12112" s="27" t="s">
        <v>1859</v>
      </c>
      <c r="F12112" s="27" t="s">
        <v>1881</v>
      </c>
      <c r="H12112" s="27" t="s">
        <v>2679</v>
      </c>
      <c r="J12112" s="27" t="s">
        <v>3210</v>
      </c>
      <c r="L12112" s="27" t="s">
        <v>3262</v>
      </c>
      <c r="N12112" s="27" t="s">
        <v>15846</v>
      </c>
      <c r="P12112" s="27" t="s">
        <v>15940</v>
      </c>
      <c r="Q12112" s="26" t="str">
        <f>HYPERLINK("https://ictv.global/taxonomy/taxondetails?taxnode_id=202517197&amp;ictv_id=ICTV202317197","ICTV202317197")</f>
        <v>ICTV202317197</v>
      </c>
      <c r="R12112" t="s">
        <v>581</v>
      </c>
      <c r="S12112" t="s">
        <v>823</v>
      </c>
      <c r="T12112">
        <v>39</v>
      </c>
      <c r="U12112" s="26" t="str">
        <f t="shared" si="449"/>
        <v>2023.001B.Leviviricetes_reorg.zip</v>
      </c>
    </row>
    <row r="12113" spans="1:21">
      <c r="A12113">
        <v>12112</v>
      </c>
      <c r="B12113" s="27" t="s">
        <v>1124</v>
      </c>
      <c r="D12113" s="27" t="s">
        <v>1859</v>
      </c>
      <c r="F12113" s="27" t="s">
        <v>1881</v>
      </c>
      <c r="H12113" s="27" t="s">
        <v>2679</v>
      </c>
      <c r="J12113" s="27" t="s">
        <v>3210</v>
      </c>
      <c r="L12113" s="27" t="s">
        <v>3262</v>
      </c>
      <c r="N12113" s="27" t="s">
        <v>15846</v>
      </c>
      <c r="P12113" s="27" t="s">
        <v>15941</v>
      </c>
      <c r="Q12113" s="26" t="str">
        <f>HYPERLINK("https://ictv.global/taxonomy/taxondetails?taxnode_id=202517198&amp;ictv_id=ICTV202317198","ICTV202317198")</f>
        <v>ICTV202317198</v>
      </c>
      <c r="R12113" t="s">
        <v>581</v>
      </c>
      <c r="S12113" t="s">
        <v>823</v>
      </c>
      <c r="T12113">
        <v>39</v>
      </c>
      <c r="U12113" s="26" t="str">
        <f t="shared" si="449"/>
        <v>2023.001B.Leviviricetes_reorg.zip</v>
      </c>
    </row>
    <row r="12114" spans="1:21">
      <c r="A12114">
        <v>12113</v>
      </c>
      <c r="B12114" s="27" t="s">
        <v>1124</v>
      </c>
      <c r="D12114" s="27" t="s">
        <v>1859</v>
      </c>
      <c r="F12114" s="27" t="s">
        <v>1881</v>
      </c>
      <c r="H12114" s="27" t="s">
        <v>2679</v>
      </c>
      <c r="J12114" s="27" t="s">
        <v>3210</v>
      </c>
      <c r="L12114" s="27" t="s">
        <v>3262</v>
      </c>
      <c r="N12114" s="27" t="s">
        <v>15846</v>
      </c>
      <c r="P12114" s="27" t="s">
        <v>15942</v>
      </c>
      <c r="Q12114" s="26" t="str">
        <f>HYPERLINK("https://ictv.global/taxonomy/taxondetails?taxnode_id=202517199&amp;ictv_id=ICTV202317199","ICTV202317199")</f>
        <v>ICTV202317199</v>
      </c>
      <c r="R12114" t="s">
        <v>581</v>
      </c>
      <c r="S12114" t="s">
        <v>823</v>
      </c>
      <c r="T12114">
        <v>39</v>
      </c>
      <c r="U12114" s="26" t="str">
        <f t="shared" si="449"/>
        <v>2023.001B.Leviviricetes_reorg.zip</v>
      </c>
    </row>
    <row r="12115" spans="1:21">
      <c r="A12115">
        <v>12114</v>
      </c>
      <c r="B12115" s="27" t="s">
        <v>1124</v>
      </c>
      <c r="D12115" s="27" t="s">
        <v>1859</v>
      </c>
      <c r="F12115" s="27" t="s">
        <v>1881</v>
      </c>
      <c r="H12115" s="27" t="s">
        <v>2679</v>
      </c>
      <c r="J12115" s="27" t="s">
        <v>3210</v>
      </c>
      <c r="L12115" s="27" t="s">
        <v>3262</v>
      </c>
      <c r="N12115" s="27" t="s">
        <v>15846</v>
      </c>
      <c r="P12115" s="27" t="s">
        <v>15943</v>
      </c>
      <c r="Q12115" s="26" t="str">
        <f>HYPERLINK("https://ictv.global/taxonomy/taxondetails?taxnode_id=202517200&amp;ictv_id=ICTV202317200","ICTV202317200")</f>
        <v>ICTV202317200</v>
      </c>
      <c r="R12115" t="s">
        <v>581</v>
      </c>
      <c r="S12115" t="s">
        <v>823</v>
      </c>
      <c r="T12115">
        <v>39</v>
      </c>
      <c r="U12115" s="26" t="str">
        <f t="shared" si="449"/>
        <v>2023.001B.Leviviricetes_reorg.zip</v>
      </c>
    </row>
    <row r="12116" spans="1:21">
      <c r="A12116">
        <v>12115</v>
      </c>
      <c r="B12116" s="27" t="s">
        <v>1124</v>
      </c>
      <c r="D12116" s="27" t="s">
        <v>1859</v>
      </c>
      <c r="F12116" s="27" t="s">
        <v>1881</v>
      </c>
      <c r="H12116" s="27" t="s">
        <v>2679</v>
      </c>
      <c r="J12116" s="27" t="s">
        <v>3210</v>
      </c>
      <c r="L12116" s="27" t="s">
        <v>3262</v>
      </c>
      <c r="N12116" s="27" t="s">
        <v>15846</v>
      </c>
      <c r="P12116" s="27" t="s">
        <v>15944</v>
      </c>
      <c r="Q12116" s="26" t="str">
        <f>HYPERLINK("https://ictv.global/taxonomy/taxondetails?taxnode_id=202517201&amp;ictv_id=ICTV202317201","ICTV202317201")</f>
        <v>ICTV202317201</v>
      </c>
      <c r="R12116" t="s">
        <v>581</v>
      </c>
      <c r="S12116" t="s">
        <v>823</v>
      </c>
      <c r="T12116">
        <v>39</v>
      </c>
      <c r="U12116" s="26" t="str">
        <f t="shared" si="449"/>
        <v>2023.001B.Leviviricetes_reorg.zip</v>
      </c>
    </row>
    <row r="12117" spans="1:21">
      <c r="A12117">
        <v>12116</v>
      </c>
      <c r="B12117" s="27" t="s">
        <v>1124</v>
      </c>
      <c r="D12117" s="27" t="s">
        <v>1859</v>
      </c>
      <c r="F12117" s="27" t="s">
        <v>1881</v>
      </c>
      <c r="H12117" s="27" t="s">
        <v>2679</v>
      </c>
      <c r="J12117" s="27" t="s">
        <v>3210</v>
      </c>
      <c r="L12117" s="27" t="s">
        <v>3262</v>
      </c>
      <c r="N12117" s="27" t="s">
        <v>15846</v>
      </c>
      <c r="P12117" s="27" t="s">
        <v>15945</v>
      </c>
      <c r="Q12117" s="26" t="str">
        <f>HYPERLINK("https://ictv.global/taxonomy/taxondetails?taxnode_id=202517202&amp;ictv_id=ICTV202317202","ICTV202317202")</f>
        <v>ICTV202317202</v>
      </c>
      <c r="R12117" t="s">
        <v>581</v>
      </c>
      <c r="S12117" t="s">
        <v>823</v>
      </c>
      <c r="T12117">
        <v>39</v>
      </c>
      <c r="U12117" s="26" t="str">
        <f t="shared" si="449"/>
        <v>2023.001B.Leviviricetes_reorg.zip</v>
      </c>
    </row>
    <row r="12118" spans="1:21">
      <c r="A12118">
        <v>12117</v>
      </c>
      <c r="B12118" s="27" t="s">
        <v>1124</v>
      </c>
      <c r="D12118" s="27" t="s">
        <v>1859</v>
      </c>
      <c r="F12118" s="27" t="s">
        <v>1881</v>
      </c>
      <c r="H12118" s="27" t="s">
        <v>2679</v>
      </c>
      <c r="J12118" s="27" t="s">
        <v>3210</v>
      </c>
      <c r="L12118" s="27" t="s">
        <v>3262</v>
      </c>
      <c r="N12118" s="27" t="s">
        <v>15846</v>
      </c>
      <c r="P12118" s="27" t="s">
        <v>15946</v>
      </c>
      <c r="Q12118" s="26" t="str">
        <f>HYPERLINK("https://ictv.global/taxonomy/taxondetails?taxnode_id=202517203&amp;ictv_id=ICTV202317203","ICTV202317203")</f>
        <v>ICTV202317203</v>
      </c>
      <c r="R12118" t="s">
        <v>581</v>
      </c>
      <c r="S12118" t="s">
        <v>823</v>
      </c>
      <c r="T12118">
        <v>39</v>
      </c>
      <c r="U12118" s="26" t="str">
        <f t="shared" si="449"/>
        <v>2023.001B.Leviviricetes_reorg.zip</v>
      </c>
    </row>
    <row r="12119" spans="1:21">
      <c r="A12119">
        <v>12118</v>
      </c>
      <c r="B12119" s="27" t="s">
        <v>1124</v>
      </c>
      <c r="D12119" s="27" t="s">
        <v>1859</v>
      </c>
      <c r="F12119" s="27" t="s">
        <v>1881</v>
      </c>
      <c r="H12119" s="27" t="s">
        <v>2679</v>
      </c>
      <c r="J12119" s="27" t="s">
        <v>3210</v>
      </c>
      <c r="L12119" s="27" t="s">
        <v>3262</v>
      </c>
      <c r="N12119" s="27" t="s">
        <v>15846</v>
      </c>
      <c r="P12119" s="27" t="s">
        <v>15947</v>
      </c>
      <c r="Q12119" s="26" t="str">
        <f>HYPERLINK("https://ictv.global/taxonomy/taxondetails?taxnode_id=202517204&amp;ictv_id=ICTV202317204","ICTV202317204")</f>
        <v>ICTV202317204</v>
      </c>
      <c r="R12119" t="s">
        <v>581</v>
      </c>
      <c r="S12119" t="s">
        <v>823</v>
      </c>
      <c r="T12119">
        <v>39</v>
      </c>
      <c r="U12119" s="26" t="str">
        <f t="shared" si="449"/>
        <v>2023.001B.Leviviricetes_reorg.zip</v>
      </c>
    </row>
    <row r="12120" spans="1:21">
      <c r="A12120">
        <v>12119</v>
      </c>
      <c r="B12120" s="27" t="s">
        <v>1124</v>
      </c>
      <c r="D12120" s="27" t="s">
        <v>1859</v>
      </c>
      <c r="F12120" s="27" t="s">
        <v>1881</v>
      </c>
      <c r="H12120" s="27" t="s">
        <v>2679</v>
      </c>
      <c r="J12120" s="27" t="s">
        <v>3210</v>
      </c>
      <c r="L12120" s="27" t="s">
        <v>3262</v>
      </c>
      <c r="N12120" s="27" t="s">
        <v>15846</v>
      </c>
      <c r="P12120" s="27" t="s">
        <v>15948</v>
      </c>
      <c r="Q12120" s="26" t="str">
        <f>HYPERLINK("https://ictv.global/taxonomy/taxondetails?taxnode_id=202517205&amp;ictv_id=ICTV202317205","ICTV202317205")</f>
        <v>ICTV202317205</v>
      </c>
      <c r="R12120" t="s">
        <v>581</v>
      </c>
      <c r="S12120" t="s">
        <v>823</v>
      </c>
      <c r="T12120">
        <v>39</v>
      </c>
      <c r="U12120" s="26" t="str">
        <f t="shared" si="449"/>
        <v>2023.001B.Leviviricetes_reorg.zip</v>
      </c>
    </row>
    <row r="12121" spans="1:21">
      <c r="A12121">
        <v>12120</v>
      </c>
      <c r="B12121" s="27" t="s">
        <v>1124</v>
      </c>
      <c r="D12121" s="27" t="s">
        <v>1859</v>
      </c>
      <c r="F12121" s="27" t="s">
        <v>1881</v>
      </c>
      <c r="H12121" s="27" t="s">
        <v>2679</v>
      </c>
      <c r="J12121" s="27" t="s">
        <v>3210</v>
      </c>
      <c r="L12121" s="27" t="s">
        <v>3262</v>
      </c>
      <c r="N12121" s="27" t="s">
        <v>15846</v>
      </c>
      <c r="P12121" s="27" t="s">
        <v>15949</v>
      </c>
      <c r="Q12121" s="26" t="str">
        <f>HYPERLINK("https://ictv.global/taxonomy/taxondetails?taxnode_id=202517206&amp;ictv_id=ICTV202317206","ICTV202317206")</f>
        <v>ICTV202317206</v>
      </c>
      <c r="R12121" t="s">
        <v>581</v>
      </c>
      <c r="S12121" t="s">
        <v>823</v>
      </c>
      <c r="T12121">
        <v>39</v>
      </c>
      <c r="U12121" s="26" t="str">
        <f t="shared" si="449"/>
        <v>2023.001B.Leviviricetes_reorg.zip</v>
      </c>
    </row>
    <row r="12122" spans="1:21">
      <c r="A12122">
        <v>12121</v>
      </c>
      <c r="B12122" s="27" t="s">
        <v>1124</v>
      </c>
      <c r="D12122" s="27" t="s">
        <v>1859</v>
      </c>
      <c r="F12122" s="27" t="s">
        <v>1881</v>
      </c>
      <c r="H12122" s="27" t="s">
        <v>2679</v>
      </c>
      <c r="J12122" s="27" t="s">
        <v>3210</v>
      </c>
      <c r="L12122" s="27" t="s">
        <v>3262</v>
      </c>
      <c r="N12122" s="27" t="s">
        <v>15846</v>
      </c>
      <c r="P12122" s="27" t="s">
        <v>15950</v>
      </c>
      <c r="Q12122" s="26" t="str">
        <f>HYPERLINK("https://ictv.global/taxonomy/taxondetails?taxnode_id=202517207&amp;ictv_id=ICTV202317207","ICTV202317207")</f>
        <v>ICTV202317207</v>
      </c>
      <c r="R12122" t="s">
        <v>581</v>
      </c>
      <c r="S12122" t="s">
        <v>823</v>
      </c>
      <c r="T12122">
        <v>39</v>
      </c>
      <c r="U12122" s="26" t="str">
        <f t="shared" si="449"/>
        <v>2023.001B.Leviviricetes_reorg.zip</v>
      </c>
    </row>
    <row r="12123" spans="1:21">
      <c r="A12123">
        <v>12122</v>
      </c>
      <c r="B12123" s="27" t="s">
        <v>1124</v>
      </c>
      <c r="D12123" s="27" t="s">
        <v>1859</v>
      </c>
      <c r="F12123" s="27" t="s">
        <v>1881</v>
      </c>
      <c r="H12123" s="27" t="s">
        <v>2679</v>
      </c>
      <c r="J12123" s="27" t="s">
        <v>3210</v>
      </c>
      <c r="L12123" s="27" t="s">
        <v>3262</v>
      </c>
      <c r="N12123" s="27" t="s">
        <v>15846</v>
      </c>
      <c r="P12123" s="27" t="s">
        <v>15951</v>
      </c>
      <c r="Q12123" s="26" t="str">
        <f>HYPERLINK("https://ictv.global/taxonomy/taxondetails?taxnode_id=202517208&amp;ictv_id=ICTV202317208","ICTV202317208")</f>
        <v>ICTV202317208</v>
      </c>
      <c r="R12123" t="s">
        <v>581</v>
      </c>
      <c r="S12123" t="s">
        <v>823</v>
      </c>
      <c r="T12123">
        <v>39</v>
      </c>
      <c r="U12123" s="26" t="str">
        <f t="shared" si="449"/>
        <v>2023.001B.Leviviricetes_reorg.zip</v>
      </c>
    </row>
    <row r="12124" spans="1:21">
      <c r="A12124">
        <v>12123</v>
      </c>
      <c r="B12124" s="27" t="s">
        <v>1124</v>
      </c>
      <c r="D12124" s="27" t="s">
        <v>1859</v>
      </c>
      <c r="F12124" s="27" t="s">
        <v>1881</v>
      </c>
      <c r="H12124" s="27" t="s">
        <v>2679</v>
      </c>
      <c r="J12124" s="27" t="s">
        <v>3210</v>
      </c>
      <c r="L12124" s="27" t="s">
        <v>3262</v>
      </c>
      <c r="N12124" s="27" t="s">
        <v>15846</v>
      </c>
      <c r="P12124" s="27" t="s">
        <v>15952</v>
      </c>
      <c r="Q12124" s="26" t="str">
        <f>HYPERLINK("https://ictv.global/taxonomy/taxondetails?taxnode_id=202517209&amp;ictv_id=ICTV202317209","ICTV202317209")</f>
        <v>ICTV202317209</v>
      </c>
      <c r="R12124" t="s">
        <v>581</v>
      </c>
      <c r="S12124" t="s">
        <v>823</v>
      </c>
      <c r="T12124">
        <v>39</v>
      </c>
      <c r="U12124" s="26" t="str">
        <f t="shared" si="449"/>
        <v>2023.001B.Leviviricetes_reorg.zip</v>
      </c>
    </row>
    <row r="12125" spans="1:21">
      <c r="A12125">
        <v>12124</v>
      </c>
      <c r="B12125" s="27" t="s">
        <v>1124</v>
      </c>
      <c r="D12125" s="27" t="s">
        <v>1859</v>
      </c>
      <c r="F12125" s="27" t="s">
        <v>1881</v>
      </c>
      <c r="H12125" s="27" t="s">
        <v>2679</v>
      </c>
      <c r="J12125" s="27" t="s">
        <v>3210</v>
      </c>
      <c r="L12125" s="27" t="s">
        <v>3262</v>
      </c>
      <c r="N12125" s="27" t="s">
        <v>15846</v>
      </c>
      <c r="P12125" s="27" t="s">
        <v>15953</v>
      </c>
      <c r="Q12125" s="26" t="str">
        <f>HYPERLINK("https://ictv.global/taxonomy/taxondetails?taxnode_id=202517210&amp;ictv_id=ICTV202317210","ICTV202317210")</f>
        <v>ICTV202317210</v>
      </c>
      <c r="R12125" t="s">
        <v>581</v>
      </c>
      <c r="S12125" t="s">
        <v>823</v>
      </c>
      <c r="T12125">
        <v>39</v>
      </c>
      <c r="U12125" s="26" t="str">
        <f t="shared" si="449"/>
        <v>2023.001B.Leviviricetes_reorg.zip</v>
      </c>
    </row>
    <row r="12126" spans="1:21">
      <c r="A12126">
        <v>12125</v>
      </c>
      <c r="B12126" s="27" t="s">
        <v>1124</v>
      </c>
      <c r="D12126" s="27" t="s">
        <v>1859</v>
      </c>
      <c r="F12126" s="27" t="s">
        <v>1881</v>
      </c>
      <c r="H12126" s="27" t="s">
        <v>2679</v>
      </c>
      <c r="J12126" s="27" t="s">
        <v>3210</v>
      </c>
      <c r="L12126" s="27" t="s">
        <v>3262</v>
      </c>
      <c r="N12126" s="27" t="s">
        <v>15846</v>
      </c>
      <c r="P12126" s="27" t="s">
        <v>15954</v>
      </c>
      <c r="Q12126" s="26" t="str">
        <f>HYPERLINK("https://ictv.global/taxonomy/taxondetails?taxnode_id=202517211&amp;ictv_id=ICTV202317211","ICTV202317211")</f>
        <v>ICTV202317211</v>
      </c>
      <c r="R12126" t="s">
        <v>581</v>
      </c>
      <c r="S12126" t="s">
        <v>823</v>
      </c>
      <c r="T12126">
        <v>39</v>
      </c>
      <c r="U12126" s="26" t="str">
        <f t="shared" si="449"/>
        <v>2023.001B.Leviviricetes_reorg.zip</v>
      </c>
    </row>
    <row r="12127" spans="1:21">
      <c r="A12127">
        <v>12126</v>
      </c>
      <c r="B12127" s="27" t="s">
        <v>1124</v>
      </c>
      <c r="D12127" s="27" t="s">
        <v>1859</v>
      </c>
      <c r="F12127" s="27" t="s">
        <v>1881</v>
      </c>
      <c r="H12127" s="27" t="s">
        <v>2679</v>
      </c>
      <c r="J12127" s="27" t="s">
        <v>3210</v>
      </c>
      <c r="L12127" s="27" t="s">
        <v>3262</v>
      </c>
      <c r="N12127" s="27" t="s">
        <v>15846</v>
      </c>
      <c r="P12127" s="27" t="s">
        <v>15955</v>
      </c>
      <c r="Q12127" s="26" t="str">
        <f>HYPERLINK("https://ictv.global/taxonomy/taxondetails?taxnode_id=202517212&amp;ictv_id=ICTV202317212","ICTV202317212")</f>
        <v>ICTV202317212</v>
      </c>
      <c r="R12127" t="s">
        <v>581</v>
      </c>
      <c r="S12127" t="s">
        <v>823</v>
      </c>
      <c r="T12127">
        <v>39</v>
      </c>
      <c r="U12127" s="26" t="str">
        <f t="shared" si="449"/>
        <v>2023.001B.Leviviricetes_reorg.zip</v>
      </c>
    </row>
    <row r="12128" spans="1:21">
      <c r="A12128">
        <v>12127</v>
      </c>
      <c r="B12128" s="27" t="s">
        <v>1124</v>
      </c>
      <c r="D12128" s="27" t="s">
        <v>1859</v>
      </c>
      <c r="F12128" s="27" t="s">
        <v>1881</v>
      </c>
      <c r="H12128" s="27" t="s">
        <v>2679</v>
      </c>
      <c r="J12128" s="27" t="s">
        <v>3210</v>
      </c>
      <c r="L12128" s="27" t="s">
        <v>3262</v>
      </c>
      <c r="N12128" s="27" t="s">
        <v>15846</v>
      </c>
      <c r="P12128" s="27" t="s">
        <v>15956</v>
      </c>
      <c r="Q12128" s="26" t="str">
        <f>HYPERLINK("https://ictv.global/taxonomy/taxondetails?taxnode_id=202517213&amp;ictv_id=ICTV202317213","ICTV202317213")</f>
        <v>ICTV202317213</v>
      </c>
      <c r="R12128" t="s">
        <v>581</v>
      </c>
      <c r="S12128" t="s">
        <v>823</v>
      </c>
      <c r="T12128">
        <v>39</v>
      </c>
      <c r="U12128" s="26" t="str">
        <f t="shared" si="449"/>
        <v>2023.001B.Leviviricetes_reorg.zip</v>
      </c>
    </row>
    <row r="12129" spans="1:21">
      <c r="A12129">
        <v>12128</v>
      </c>
      <c r="B12129" s="27" t="s">
        <v>1124</v>
      </c>
      <c r="D12129" s="27" t="s">
        <v>1859</v>
      </c>
      <c r="F12129" s="27" t="s">
        <v>1881</v>
      </c>
      <c r="H12129" s="27" t="s">
        <v>2679</v>
      </c>
      <c r="J12129" s="27" t="s">
        <v>3210</v>
      </c>
      <c r="L12129" s="27" t="s">
        <v>3262</v>
      </c>
      <c r="N12129" s="27" t="s">
        <v>15846</v>
      </c>
      <c r="P12129" s="27" t="s">
        <v>15957</v>
      </c>
      <c r="Q12129" s="26" t="str">
        <f>HYPERLINK("https://ictv.global/taxonomy/taxondetails?taxnode_id=202517214&amp;ictv_id=ICTV202317214","ICTV202317214")</f>
        <v>ICTV202317214</v>
      </c>
      <c r="R12129" t="s">
        <v>581</v>
      </c>
      <c r="S12129" t="s">
        <v>823</v>
      </c>
      <c r="T12129">
        <v>39</v>
      </c>
      <c r="U12129" s="26" t="str">
        <f t="shared" si="449"/>
        <v>2023.001B.Leviviricetes_reorg.zip</v>
      </c>
    </row>
    <row r="12130" spans="1:21">
      <c r="A12130">
        <v>12129</v>
      </c>
      <c r="B12130" s="27" t="s">
        <v>1124</v>
      </c>
      <c r="D12130" s="27" t="s">
        <v>1859</v>
      </c>
      <c r="F12130" s="27" t="s">
        <v>1881</v>
      </c>
      <c r="H12130" s="27" t="s">
        <v>2679</v>
      </c>
      <c r="J12130" s="27" t="s">
        <v>3210</v>
      </c>
      <c r="L12130" s="27" t="s">
        <v>3262</v>
      </c>
      <c r="N12130" s="27" t="s">
        <v>15846</v>
      </c>
      <c r="P12130" s="27" t="s">
        <v>15958</v>
      </c>
      <c r="Q12130" s="26" t="str">
        <f>HYPERLINK("https://ictv.global/taxonomy/taxondetails?taxnode_id=202517215&amp;ictv_id=ICTV202317215","ICTV202317215")</f>
        <v>ICTV202317215</v>
      </c>
      <c r="R12130" t="s">
        <v>581</v>
      </c>
      <c r="S12130" t="s">
        <v>823</v>
      </c>
      <c r="T12130">
        <v>39</v>
      </c>
      <c r="U12130" s="26" t="str">
        <f t="shared" si="449"/>
        <v>2023.001B.Leviviricetes_reorg.zip</v>
      </c>
    </row>
    <row r="12131" spans="1:21">
      <c r="A12131">
        <v>12130</v>
      </c>
      <c r="B12131" s="27" t="s">
        <v>1124</v>
      </c>
      <c r="D12131" s="27" t="s">
        <v>1859</v>
      </c>
      <c r="F12131" s="27" t="s">
        <v>1881</v>
      </c>
      <c r="H12131" s="27" t="s">
        <v>2679</v>
      </c>
      <c r="J12131" s="27" t="s">
        <v>3210</v>
      </c>
      <c r="L12131" s="27" t="s">
        <v>3262</v>
      </c>
      <c r="N12131" s="27" t="s">
        <v>15846</v>
      </c>
      <c r="P12131" s="27" t="s">
        <v>15959</v>
      </c>
      <c r="Q12131" s="26" t="str">
        <f>HYPERLINK("https://ictv.global/taxonomy/taxondetails?taxnode_id=202517216&amp;ictv_id=ICTV202317216","ICTV202317216")</f>
        <v>ICTV202317216</v>
      </c>
      <c r="R12131" t="s">
        <v>581</v>
      </c>
      <c r="S12131" t="s">
        <v>823</v>
      </c>
      <c r="T12131">
        <v>39</v>
      </c>
      <c r="U12131" s="26" t="str">
        <f t="shared" si="449"/>
        <v>2023.001B.Leviviricetes_reorg.zip</v>
      </c>
    </row>
    <row r="12132" spans="1:21">
      <c r="A12132">
        <v>12131</v>
      </c>
      <c r="B12132" s="27" t="s">
        <v>1124</v>
      </c>
      <c r="D12132" s="27" t="s">
        <v>1859</v>
      </c>
      <c r="F12132" s="27" t="s">
        <v>1881</v>
      </c>
      <c r="H12132" s="27" t="s">
        <v>2679</v>
      </c>
      <c r="J12132" s="27" t="s">
        <v>3210</v>
      </c>
      <c r="L12132" s="27" t="s">
        <v>3262</v>
      </c>
      <c r="N12132" s="27" t="s">
        <v>15846</v>
      </c>
      <c r="P12132" s="27" t="s">
        <v>15960</v>
      </c>
      <c r="Q12132" s="26" t="str">
        <f>HYPERLINK("https://ictv.global/taxonomy/taxondetails?taxnode_id=202517217&amp;ictv_id=ICTV202317217","ICTV202317217")</f>
        <v>ICTV202317217</v>
      </c>
      <c r="R12132" t="s">
        <v>581</v>
      </c>
      <c r="S12132" t="s">
        <v>823</v>
      </c>
      <c r="T12132">
        <v>39</v>
      </c>
      <c r="U12132" s="26" t="str">
        <f t="shared" si="449"/>
        <v>2023.001B.Leviviricetes_reorg.zip</v>
      </c>
    </row>
    <row r="12133" spans="1:21">
      <c r="A12133">
        <v>12132</v>
      </c>
      <c r="B12133" s="27" t="s">
        <v>1124</v>
      </c>
      <c r="D12133" s="27" t="s">
        <v>1859</v>
      </c>
      <c r="F12133" s="27" t="s">
        <v>1881</v>
      </c>
      <c r="H12133" s="27" t="s">
        <v>2679</v>
      </c>
      <c r="J12133" s="27" t="s">
        <v>3210</v>
      </c>
      <c r="L12133" s="27" t="s">
        <v>3262</v>
      </c>
      <c r="N12133" s="27" t="s">
        <v>15846</v>
      </c>
      <c r="P12133" s="27" t="s">
        <v>15961</v>
      </c>
      <c r="Q12133" s="26" t="str">
        <f>HYPERLINK("https://ictv.global/taxonomy/taxondetails?taxnode_id=202517218&amp;ictv_id=ICTV202317218","ICTV202317218")</f>
        <v>ICTV202317218</v>
      </c>
      <c r="R12133" t="s">
        <v>581</v>
      </c>
      <c r="S12133" t="s">
        <v>823</v>
      </c>
      <c r="T12133">
        <v>39</v>
      </c>
      <c r="U12133" s="26" t="str">
        <f t="shared" si="449"/>
        <v>2023.001B.Leviviricetes_reorg.zip</v>
      </c>
    </row>
    <row r="12134" spans="1:21">
      <c r="A12134">
        <v>12133</v>
      </c>
      <c r="B12134" s="27" t="s">
        <v>1124</v>
      </c>
      <c r="D12134" s="27" t="s">
        <v>1859</v>
      </c>
      <c r="F12134" s="27" t="s">
        <v>1881</v>
      </c>
      <c r="H12134" s="27" t="s">
        <v>2679</v>
      </c>
      <c r="J12134" s="27" t="s">
        <v>3210</v>
      </c>
      <c r="L12134" s="27" t="s">
        <v>3262</v>
      </c>
      <c r="N12134" s="27" t="s">
        <v>15846</v>
      </c>
      <c r="P12134" s="27" t="s">
        <v>15962</v>
      </c>
      <c r="Q12134" s="26" t="str">
        <f>HYPERLINK("https://ictv.global/taxonomy/taxondetails?taxnode_id=202517219&amp;ictv_id=ICTV202317219","ICTV202317219")</f>
        <v>ICTV202317219</v>
      </c>
      <c r="R12134" t="s">
        <v>581</v>
      </c>
      <c r="S12134" t="s">
        <v>823</v>
      </c>
      <c r="T12134">
        <v>39</v>
      </c>
      <c r="U12134" s="26" t="str">
        <f t="shared" si="449"/>
        <v>2023.001B.Leviviricetes_reorg.zip</v>
      </c>
    </row>
    <row r="12135" spans="1:21">
      <c r="A12135">
        <v>12134</v>
      </c>
      <c r="B12135" s="27" t="s">
        <v>1124</v>
      </c>
      <c r="D12135" s="27" t="s">
        <v>1859</v>
      </c>
      <c r="F12135" s="27" t="s">
        <v>1881</v>
      </c>
      <c r="H12135" s="27" t="s">
        <v>2679</v>
      </c>
      <c r="J12135" s="27" t="s">
        <v>3210</v>
      </c>
      <c r="L12135" s="27" t="s">
        <v>3262</v>
      </c>
      <c r="N12135" s="27" t="s">
        <v>15846</v>
      </c>
      <c r="P12135" s="27" t="s">
        <v>15963</v>
      </c>
      <c r="Q12135" s="26" t="str">
        <f>HYPERLINK("https://ictv.global/taxonomy/taxondetails?taxnode_id=202517220&amp;ictv_id=ICTV202317220","ICTV202317220")</f>
        <v>ICTV202317220</v>
      </c>
      <c r="R12135" t="s">
        <v>581</v>
      </c>
      <c r="S12135" t="s">
        <v>823</v>
      </c>
      <c r="T12135">
        <v>39</v>
      </c>
      <c r="U12135" s="26" t="str">
        <f t="shared" si="449"/>
        <v>2023.001B.Leviviricetes_reorg.zip</v>
      </c>
    </row>
    <row r="12136" spans="1:21">
      <c r="A12136">
        <v>12135</v>
      </c>
      <c r="B12136" s="27" t="s">
        <v>1124</v>
      </c>
      <c r="D12136" s="27" t="s">
        <v>1859</v>
      </c>
      <c r="F12136" s="27" t="s">
        <v>1881</v>
      </c>
      <c r="H12136" s="27" t="s">
        <v>2679</v>
      </c>
      <c r="J12136" s="27" t="s">
        <v>3210</v>
      </c>
      <c r="L12136" s="27" t="s">
        <v>3262</v>
      </c>
      <c r="N12136" s="27" t="s">
        <v>15846</v>
      </c>
      <c r="P12136" s="27" t="s">
        <v>15964</v>
      </c>
      <c r="Q12136" s="26" t="str">
        <f>HYPERLINK("https://ictv.global/taxonomy/taxondetails?taxnode_id=202517221&amp;ictv_id=ICTV202317221","ICTV202317221")</f>
        <v>ICTV202317221</v>
      </c>
      <c r="R12136" t="s">
        <v>581</v>
      </c>
      <c r="S12136" t="s">
        <v>823</v>
      </c>
      <c r="T12136">
        <v>39</v>
      </c>
      <c r="U12136" s="26" t="str">
        <f t="shared" si="449"/>
        <v>2023.001B.Leviviricetes_reorg.zip</v>
      </c>
    </row>
    <row r="12137" spans="1:21">
      <c r="A12137">
        <v>12136</v>
      </c>
      <c r="B12137" s="27" t="s">
        <v>1124</v>
      </c>
      <c r="D12137" s="27" t="s">
        <v>1859</v>
      </c>
      <c r="F12137" s="27" t="s">
        <v>1881</v>
      </c>
      <c r="H12137" s="27" t="s">
        <v>2679</v>
      </c>
      <c r="J12137" s="27" t="s">
        <v>3210</v>
      </c>
      <c r="L12137" s="27" t="s">
        <v>3262</v>
      </c>
      <c r="N12137" s="27" t="s">
        <v>15846</v>
      </c>
      <c r="P12137" s="27" t="s">
        <v>15965</v>
      </c>
      <c r="Q12137" s="26" t="str">
        <f>HYPERLINK("https://ictv.global/taxonomy/taxondetails?taxnode_id=202517222&amp;ictv_id=ICTV202317222","ICTV202317222")</f>
        <v>ICTV202317222</v>
      </c>
      <c r="R12137" t="s">
        <v>581</v>
      </c>
      <c r="S12137" t="s">
        <v>823</v>
      </c>
      <c r="T12137">
        <v>39</v>
      </c>
      <c r="U12137" s="26" t="str">
        <f t="shared" si="449"/>
        <v>2023.001B.Leviviricetes_reorg.zip</v>
      </c>
    </row>
    <row r="12138" spans="1:21">
      <c r="A12138">
        <v>12137</v>
      </c>
      <c r="B12138" s="27" t="s">
        <v>1124</v>
      </c>
      <c r="D12138" s="27" t="s">
        <v>1859</v>
      </c>
      <c r="F12138" s="27" t="s">
        <v>1881</v>
      </c>
      <c r="H12138" s="27" t="s">
        <v>2679</v>
      </c>
      <c r="J12138" s="27" t="s">
        <v>3210</v>
      </c>
      <c r="L12138" s="27" t="s">
        <v>3262</v>
      </c>
      <c r="N12138" s="27" t="s">
        <v>15846</v>
      </c>
      <c r="P12138" s="27" t="s">
        <v>15966</v>
      </c>
      <c r="Q12138" s="26" t="str">
        <f>HYPERLINK("https://ictv.global/taxonomy/taxondetails?taxnode_id=202517223&amp;ictv_id=ICTV202317223","ICTV202317223")</f>
        <v>ICTV202317223</v>
      </c>
      <c r="R12138" t="s">
        <v>581</v>
      </c>
      <c r="S12138" t="s">
        <v>823</v>
      </c>
      <c r="T12138">
        <v>39</v>
      </c>
      <c r="U12138" s="26" t="str">
        <f t="shared" si="449"/>
        <v>2023.001B.Leviviricetes_reorg.zip</v>
      </c>
    </row>
    <row r="12139" spans="1:21">
      <c r="A12139">
        <v>12138</v>
      </c>
      <c r="B12139" s="27" t="s">
        <v>1124</v>
      </c>
      <c r="D12139" s="27" t="s">
        <v>1859</v>
      </c>
      <c r="F12139" s="27" t="s">
        <v>1881</v>
      </c>
      <c r="H12139" s="27" t="s">
        <v>2679</v>
      </c>
      <c r="J12139" s="27" t="s">
        <v>3210</v>
      </c>
      <c r="L12139" s="27" t="s">
        <v>3262</v>
      </c>
      <c r="N12139" s="27" t="s">
        <v>15846</v>
      </c>
      <c r="P12139" s="27" t="s">
        <v>15967</v>
      </c>
      <c r="Q12139" s="26" t="str">
        <f>HYPERLINK("https://ictv.global/taxonomy/taxondetails?taxnode_id=202517224&amp;ictv_id=ICTV202317224","ICTV202317224")</f>
        <v>ICTV202317224</v>
      </c>
      <c r="R12139" t="s">
        <v>581</v>
      </c>
      <c r="S12139" t="s">
        <v>823</v>
      </c>
      <c r="T12139">
        <v>39</v>
      </c>
      <c r="U12139" s="26" t="str">
        <f t="shared" si="449"/>
        <v>2023.001B.Leviviricetes_reorg.zip</v>
      </c>
    </row>
    <row r="12140" spans="1:21">
      <c r="A12140">
        <v>12139</v>
      </c>
      <c r="B12140" s="27" t="s">
        <v>1124</v>
      </c>
      <c r="D12140" s="27" t="s">
        <v>1859</v>
      </c>
      <c r="F12140" s="27" t="s">
        <v>1881</v>
      </c>
      <c r="H12140" s="27" t="s">
        <v>2679</v>
      </c>
      <c r="J12140" s="27" t="s">
        <v>3210</v>
      </c>
      <c r="L12140" s="27" t="s">
        <v>3262</v>
      </c>
      <c r="N12140" s="27" t="s">
        <v>15846</v>
      </c>
      <c r="P12140" s="27" t="s">
        <v>15968</v>
      </c>
      <c r="Q12140" s="26" t="str">
        <f>HYPERLINK("https://ictv.global/taxonomy/taxondetails?taxnode_id=202517225&amp;ictv_id=ICTV202317225","ICTV202317225")</f>
        <v>ICTV202317225</v>
      </c>
      <c r="R12140" t="s">
        <v>581</v>
      </c>
      <c r="S12140" t="s">
        <v>823</v>
      </c>
      <c r="T12140">
        <v>39</v>
      </c>
      <c r="U12140" s="26" t="str">
        <f t="shared" si="449"/>
        <v>2023.001B.Leviviricetes_reorg.zip</v>
      </c>
    </row>
    <row r="12141" spans="1:21">
      <c r="A12141">
        <v>12140</v>
      </c>
      <c r="B12141" s="27" t="s">
        <v>1124</v>
      </c>
      <c r="D12141" s="27" t="s">
        <v>1859</v>
      </c>
      <c r="F12141" s="27" t="s">
        <v>1881</v>
      </c>
      <c r="H12141" s="27" t="s">
        <v>2679</v>
      </c>
      <c r="J12141" s="27" t="s">
        <v>3210</v>
      </c>
      <c r="L12141" s="27" t="s">
        <v>3262</v>
      </c>
      <c r="N12141" s="27" t="s">
        <v>15846</v>
      </c>
      <c r="P12141" s="27" t="s">
        <v>15969</v>
      </c>
      <c r="Q12141" s="26" t="str">
        <f>HYPERLINK("https://ictv.global/taxonomy/taxondetails?taxnode_id=202517226&amp;ictv_id=ICTV202317226","ICTV202317226")</f>
        <v>ICTV202317226</v>
      </c>
      <c r="R12141" t="s">
        <v>581</v>
      </c>
      <c r="S12141" t="s">
        <v>823</v>
      </c>
      <c r="T12141">
        <v>39</v>
      </c>
      <c r="U12141" s="26" t="str">
        <f t="shared" si="449"/>
        <v>2023.001B.Leviviricetes_reorg.zip</v>
      </c>
    </row>
    <row r="12142" spans="1:21">
      <c r="A12142">
        <v>12141</v>
      </c>
      <c r="B12142" s="27" t="s">
        <v>1124</v>
      </c>
      <c r="D12142" s="27" t="s">
        <v>1859</v>
      </c>
      <c r="F12142" s="27" t="s">
        <v>1881</v>
      </c>
      <c r="H12142" s="27" t="s">
        <v>2679</v>
      </c>
      <c r="J12142" s="27" t="s">
        <v>3210</v>
      </c>
      <c r="L12142" s="27" t="s">
        <v>3262</v>
      </c>
      <c r="N12142" s="27" t="s">
        <v>15846</v>
      </c>
      <c r="P12142" s="27" t="s">
        <v>15970</v>
      </c>
      <c r="Q12142" s="26" t="str">
        <f>HYPERLINK("https://ictv.global/taxonomy/taxondetails?taxnode_id=202517227&amp;ictv_id=ICTV202317227","ICTV202317227")</f>
        <v>ICTV202317227</v>
      </c>
      <c r="R12142" t="s">
        <v>581</v>
      </c>
      <c r="S12142" t="s">
        <v>823</v>
      </c>
      <c r="T12142">
        <v>39</v>
      </c>
      <c r="U12142" s="26" t="str">
        <f t="shared" si="449"/>
        <v>2023.001B.Leviviricetes_reorg.zip</v>
      </c>
    </row>
    <row r="12143" spans="1:21">
      <c r="A12143">
        <v>12142</v>
      </c>
      <c r="B12143" s="27" t="s">
        <v>1124</v>
      </c>
      <c r="D12143" s="27" t="s">
        <v>1859</v>
      </c>
      <c r="F12143" s="27" t="s">
        <v>1881</v>
      </c>
      <c r="H12143" s="27" t="s">
        <v>2679</v>
      </c>
      <c r="J12143" s="27" t="s">
        <v>3210</v>
      </c>
      <c r="L12143" s="27" t="s">
        <v>3262</v>
      </c>
      <c r="N12143" s="27" t="s">
        <v>15846</v>
      </c>
      <c r="P12143" s="27" t="s">
        <v>15971</v>
      </c>
      <c r="Q12143" s="26" t="str">
        <f>HYPERLINK("https://ictv.global/taxonomy/taxondetails?taxnode_id=202517228&amp;ictv_id=ICTV202317228","ICTV202317228")</f>
        <v>ICTV202317228</v>
      </c>
      <c r="R12143" t="s">
        <v>581</v>
      </c>
      <c r="S12143" t="s">
        <v>823</v>
      </c>
      <c r="T12143">
        <v>39</v>
      </c>
      <c r="U12143" s="26" t="str">
        <f t="shared" si="449"/>
        <v>2023.001B.Leviviricetes_reorg.zip</v>
      </c>
    </row>
    <row r="12144" spans="1:21">
      <c r="A12144">
        <v>12143</v>
      </c>
      <c r="B12144" s="27" t="s">
        <v>1124</v>
      </c>
      <c r="D12144" s="27" t="s">
        <v>1859</v>
      </c>
      <c r="F12144" s="27" t="s">
        <v>1881</v>
      </c>
      <c r="H12144" s="27" t="s">
        <v>2679</v>
      </c>
      <c r="J12144" s="27" t="s">
        <v>3210</v>
      </c>
      <c r="L12144" s="27" t="s">
        <v>3262</v>
      </c>
      <c r="N12144" s="27" t="s">
        <v>15846</v>
      </c>
      <c r="P12144" s="27" t="s">
        <v>15972</v>
      </c>
      <c r="Q12144" s="26" t="str">
        <f>HYPERLINK("https://ictv.global/taxonomy/taxondetails?taxnode_id=202517229&amp;ictv_id=ICTV202317229","ICTV202317229")</f>
        <v>ICTV202317229</v>
      </c>
      <c r="R12144" t="s">
        <v>581</v>
      </c>
      <c r="S12144" t="s">
        <v>823</v>
      </c>
      <c r="T12144">
        <v>39</v>
      </c>
      <c r="U12144" s="26" t="str">
        <f t="shared" si="449"/>
        <v>2023.001B.Leviviricetes_reorg.zip</v>
      </c>
    </row>
    <row r="12145" spans="1:21">
      <c r="A12145">
        <v>12144</v>
      </c>
      <c r="B12145" s="27" t="s">
        <v>1124</v>
      </c>
      <c r="D12145" s="27" t="s">
        <v>1859</v>
      </c>
      <c r="F12145" s="27" t="s">
        <v>1881</v>
      </c>
      <c r="H12145" s="27" t="s">
        <v>2679</v>
      </c>
      <c r="J12145" s="27" t="s">
        <v>3210</v>
      </c>
      <c r="L12145" s="27" t="s">
        <v>3262</v>
      </c>
      <c r="N12145" s="27" t="s">
        <v>15846</v>
      </c>
      <c r="P12145" s="27" t="s">
        <v>15973</v>
      </c>
      <c r="Q12145" s="26" t="str">
        <f>HYPERLINK("https://ictv.global/taxonomy/taxondetails?taxnode_id=202517230&amp;ictv_id=ICTV202317230","ICTV202317230")</f>
        <v>ICTV202317230</v>
      </c>
      <c r="R12145" t="s">
        <v>581</v>
      </c>
      <c r="S12145" t="s">
        <v>823</v>
      </c>
      <c r="T12145">
        <v>39</v>
      </c>
      <c r="U12145" s="26" t="str">
        <f t="shared" si="449"/>
        <v>2023.001B.Leviviricetes_reorg.zip</v>
      </c>
    </row>
    <row r="12146" spans="1:21">
      <c r="A12146">
        <v>12145</v>
      </c>
      <c r="B12146" s="27" t="s">
        <v>1124</v>
      </c>
      <c r="D12146" s="27" t="s">
        <v>1859</v>
      </c>
      <c r="F12146" s="27" t="s">
        <v>1881</v>
      </c>
      <c r="H12146" s="27" t="s">
        <v>2679</v>
      </c>
      <c r="J12146" s="27" t="s">
        <v>3210</v>
      </c>
      <c r="L12146" s="27" t="s">
        <v>3262</v>
      </c>
      <c r="N12146" s="27" t="s">
        <v>15846</v>
      </c>
      <c r="P12146" s="27" t="s">
        <v>15974</v>
      </c>
      <c r="Q12146" s="26" t="str">
        <f>HYPERLINK("https://ictv.global/taxonomy/taxondetails?taxnode_id=202511085&amp;ictv_id=ICTV202011085","ICTV202011085")</f>
        <v>ICTV202011085</v>
      </c>
      <c r="R12146" t="s">
        <v>581</v>
      </c>
      <c r="S12146" t="s">
        <v>22764</v>
      </c>
      <c r="T12146">
        <v>39</v>
      </c>
      <c r="U12146" s="26" t="str">
        <f t="shared" si="449"/>
        <v>2023.001B.Leviviricetes_reorg.zip</v>
      </c>
    </row>
    <row r="12147" spans="1:21">
      <c r="A12147">
        <v>12146</v>
      </c>
      <c r="B12147" s="27" t="s">
        <v>1124</v>
      </c>
      <c r="D12147" s="27" t="s">
        <v>1859</v>
      </c>
      <c r="F12147" s="27" t="s">
        <v>1881</v>
      </c>
      <c r="H12147" s="27" t="s">
        <v>2679</v>
      </c>
      <c r="J12147" s="27" t="s">
        <v>3210</v>
      </c>
      <c r="L12147" s="27" t="s">
        <v>3262</v>
      </c>
      <c r="N12147" s="27" t="s">
        <v>15846</v>
      </c>
      <c r="P12147" s="27" t="s">
        <v>15975</v>
      </c>
      <c r="Q12147" s="26" t="str">
        <f>HYPERLINK("https://ictv.global/taxonomy/taxondetails?taxnode_id=202511164&amp;ictv_id=ICTV202011164","ICTV202011164")</f>
        <v>ICTV202011164</v>
      </c>
      <c r="R12147" t="s">
        <v>581</v>
      </c>
      <c r="S12147" t="s">
        <v>22764</v>
      </c>
      <c r="T12147">
        <v>39</v>
      </c>
      <c r="U12147" s="26" t="str">
        <f t="shared" si="449"/>
        <v>2023.001B.Leviviricetes_reorg.zip</v>
      </c>
    </row>
    <row r="12148" spans="1:21">
      <c r="A12148">
        <v>12147</v>
      </c>
      <c r="B12148" s="27" t="s">
        <v>1124</v>
      </c>
      <c r="D12148" s="27" t="s">
        <v>1859</v>
      </c>
      <c r="F12148" s="27" t="s">
        <v>1881</v>
      </c>
      <c r="H12148" s="27" t="s">
        <v>2679</v>
      </c>
      <c r="J12148" s="27" t="s">
        <v>3210</v>
      </c>
      <c r="L12148" s="27" t="s">
        <v>3262</v>
      </c>
      <c r="N12148" s="27" t="s">
        <v>15846</v>
      </c>
      <c r="P12148" s="27" t="s">
        <v>15976</v>
      </c>
      <c r="Q12148" s="26" t="str">
        <f>HYPERLINK("https://ictv.global/taxonomy/taxondetails?taxnode_id=202511163&amp;ictv_id=ICTV202011163","ICTV202011163")</f>
        <v>ICTV202011163</v>
      </c>
      <c r="R12148" t="s">
        <v>581</v>
      </c>
      <c r="S12148" t="s">
        <v>22764</v>
      </c>
      <c r="T12148">
        <v>39</v>
      </c>
      <c r="U12148" s="26" t="str">
        <f t="shared" si="449"/>
        <v>2023.001B.Leviviricetes_reorg.zip</v>
      </c>
    </row>
    <row r="12149" spans="1:21">
      <c r="A12149">
        <v>12148</v>
      </c>
      <c r="B12149" s="27" t="s">
        <v>1124</v>
      </c>
      <c r="D12149" s="27" t="s">
        <v>1859</v>
      </c>
      <c r="F12149" s="27" t="s">
        <v>1881</v>
      </c>
      <c r="H12149" s="27" t="s">
        <v>2679</v>
      </c>
      <c r="J12149" s="27" t="s">
        <v>3210</v>
      </c>
      <c r="L12149" s="27" t="s">
        <v>3262</v>
      </c>
      <c r="N12149" s="27" t="s">
        <v>15846</v>
      </c>
      <c r="P12149" s="27" t="s">
        <v>15977</v>
      </c>
      <c r="Q12149" s="26" t="str">
        <f>HYPERLINK("https://ictv.global/taxonomy/taxondetails?taxnode_id=202511165&amp;ictv_id=ICTV202011165","ICTV202011165")</f>
        <v>ICTV202011165</v>
      </c>
      <c r="R12149" t="s">
        <v>581</v>
      </c>
      <c r="S12149" t="s">
        <v>22764</v>
      </c>
      <c r="T12149">
        <v>39</v>
      </c>
      <c r="U12149" s="26" t="str">
        <f t="shared" si="449"/>
        <v>2023.001B.Leviviricetes_reorg.zip</v>
      </c>
    </row>
    <row r="12150" spans="1:21">
      <c r="A12150">
        <v>12149</v>
      </c>
      <c r="B12150" s="27" t="s">
        <v>1124</v>
      </c>
      <c r="D12150" s="27" t="s">
        <v>1859</v>
      </c>
      <c r="F12150" s="27" t="s">
        <v>1881</v>
      </c>
      <c r="H12150" s="27" t="s">
        <v>2679</v>
      </c>
      <c r="J12150" s="27" t="s">
        <v>3210</v>
      </c>
      <c r="L12150" s="27" t="s">
        <v>3262</v>
      </c>
      <c r="N12150" s="27" t="s">
        <v>15846</v>
      </c>
      <c r="P12150" s="27" t="s">
        <v>15978</v>
      </c>
      <c r="Q12150" s="26" t="str">
        <f>HYPERLINK("https://ictv.global/taxonomy/taxondetails?taxnode_id=202511166&amp;ictv_id=ICTV202011166","ICTV202011166")</f>
        <v>ICTV202011166</v>
      </c>
      <c r="R12150" t="s">
        <v>581</v>
      </c>
      <c r="S12150" t="s">
        <v>22764</v>
      </c>
      <c r="T12150">
        <v>39</v>
      </c>
      <c r="U12150" s="26" t="str">
        <f t="shared" si="449"/>
        <v>2023.001B.Leviviricetes_reorg.zip</v>
      </c>
    </row>
    <row r="12151" spans="1:21">
      <c r="A12151">
        <v>12150</v>
      </c>
      <c r="B12151" s="27" t="s">
        <v>1124</v>
      </c>
      <c r="D12151" s="27" t="s">
        <v>1859</v>
      </c>
      <c r="F12151" s="27" t="s">
        <v>1881</v>
      </c>
      <c r="H12151" s="27" t="s">
        <v>2679</v>
      </c>
      <c r="J12151" s="27" t="s">
        <v>3210</v>
      </c>
      <c r="L12151" s="27" t="s">
        <v>3262</v>
      </c>
      <c r="N12151" s="27" t="s">
        <v>15846</v>
      </c>
      <c r="P12151" s="27" t="s">
        <v>15979</v>
      </c>
      <c r="Q12151" s="26" t="str">
        <f>HYPERLINK("https://ictv.global/taxonomy/taxondetails?taxnode_id=202511009&amp;ictv_id=ICTV202011009","ICTV202011009")</f>
        <v>ICTV202011009</v>
      </c>
      <c r="R12151" t="s">
        <v>581</v>
      </c>
      <c r="S12151" t="s">
        <v>22764</v>
      </c>
      <c r="T12151">
        <v>39</v>
      </c>
      <c r="U12151" s="26" t="str">
        <f t="shared" si="449"/>
        <v>2023.001B.Leviviricetes_reorg.zip</v>
      </c>
    </row>
    <row r="12152" spans="1:21">
      <c r="A12152">
        <v>12151</v>
      </c>
      <c r="B12152" s="27" t="s">
        <v>1124</v>
      </c>
      <c r="D12152" s="27" t="s">
        <v>1859</v>
      </c>
      <c r="F12152" s="27" t="s">
        <v>1881</v>
      </c>
      <c r="H12152" s="27" t="s">
        <v>2679</v>
      </c>
      <c r="J12152" s="27" t="s">
        <v>3210</v>
      </c>
      <c r="L12152" s="27" t="s">
        <v>3262</v>
      </c>
      <c r="N12152" s="27" t="s">
        <v>15846</v>
      </c>
      <c r="P12152" s="27" t="s">
        <v>15980</v>
      </c>
      <c r="Q12152" s="26" t="str">
        <f>HYPERLINK("https://ictv.global/taxonomy/taxondetails?taxnode_id=202511283&amp;ictv_id=ICTV202011283","ICTV202011283")</f>
        <v>ICTV202011283</v>
      </c>
      <c r="R12152" t="s">
        <v>581</v>
      </c>
      <c r="S12152" t="s">
        <v>22764</v>
      </c>
      <c r="T12152">
        <v>39</v>
      </c>
      <c r="U12152" s="26" t="str">
        <f t="shared" si="449"/>
        <v>2023.001B.Leviviricetes_reorg.zip</v>
      </c>
    </row>
    <row r="12153" spans="1:21">
      <c r="A12153">
        <v>12152</v>
      </c>
      <c r="B12153" s="27" t="s">
        <v>1124</v>
      </c>
      <c r="D12153" s="27" t="s">
        <v>1859</v>
      </c>
      <c r="F12153" s="27" t="s">
        <v>1881</v>
      </c>
      <c r="H12153" s="27" t="s">
        <v>2679</v>
      </c>
      <c r="J12153" s="27" t="s">
        <v>3210</v>
      </c>
      <c r="L12153" s="27" t="s">
        <v>3262</v>
      </c>
      <c r="N12153" s="27" t="s">
        <v>15846</v>
      </c>
      <c r="P12153" s="27" t="s">
        <v>15981</v>
      </c>
      <c r="Q12153" s="26" t="str">
        <f>HYPERLINK("https://ictv.global/taxonomy/taxondetails?taxnode_id=202511208&amp;ictv_id=ICTV202011208","ICTV202011208")</f>
        <v>ICTV202011208</v>
      </c>
      <c r="R12153" t="s">
        <v>581</v>
      </c>
      <c r="S12153" t="s">
        <v>22764</v>
      </c>
      <c r="T12153">
        <v>39</v>
      </c>
      <c r="U12153" s="26" t="str">
        <f t="shared" si="449"/>
        <v>2023.001B.Leviviricetes_reorg.zip</v>
      </c>
    </row>
    <row r="12154" spans="1:21">
      <c r="A12154">
        <v>12153</v>
      </c>
      <c r="B12154" s="27" t="s">
        <v>1124</v>
      </c>
      <c r="D12154" s="27" t="s">
        <v>1859</v>
      </c>
      <c r="F12154" s="27" t="s">
        <v>1881</v>
      </c>
      <c r="H12154" s="27" t="s">
        <v>2679</v>
      </c>
      <c r="J12154" s="27" t="s">
        <v>3210</v>
      </c>
      <c r="L12154" s="27" t="s">
        <v>3262</v>
      </c>
      <c r="N12154" s="27" t="s">
        <v>15846</v>
      </c>
      <c r="P12154" s="27" t="s">
        <v>15982</v>
      </c>
      <c r="Q12154" s="26" t="str">
        <f>HYPERLINK("https://ictv.global/taxonomy/taxondetails?taxnode_id=202517231&amp;ictv_id=ICTV202317231","ICTV202317231")</f>
        <v>ICTV202317231</v>
      </c>
      <c r="R12154" t="s">
        <v>581</v>
      </c>
      <c r="S12154" t="s">
        <v>823</v>
      </c>
      <c r="T12154">
        <v>39</v>
      </c>
      <c r="U12154" s="26" t="str">
        <f t="shared" si="449"/>
        <v>2023.001B.Leviviricetes_reorg.zip</v>
      </c>
    </row>
    <row r="12155" spans="1:21">
      <c r="A12155">
        <v>12154</v>
      </c>
      <c r="B12155" s="27" t="s">
        <v>1124</v>
      </c>
      <c r="D12155" s="27" t="s">
        <v>1859</v>
      </c>
      <c r="F12155" s="27" t="s">
        <v>1881</v>
      </c>
      <c r="H12155" s="27" t="s">
        <v>2679</v>
      </c>
      <c r="J12155" s="27" t="s">
        <v>3210</v>
      </c>
      <c r="L12155" s="27" t="s">
        <v>3262</v>
      </c>
      <c r="N12155" s="27" t="s">
        <v>15846</v>
      </c>
      <c r="P12155" s="27" t="s">
        <v>15983</v>
      </c>
      <c r="Q12155" s="26" t="str">
        <f>HYPERLINK("https://ictv.global/taxonomy/taxondetails?taxnode_id=202517232&amp;ictv_id=ICTV202317232","ICTV202317232")</f>
        <v>ICTV202317232</v>
      </c>
      <c r="R12155" t="s">
        <v>581</v>
      </c>
      <c r="S12155" t="s">
        <v>823</v>
      </c>
      <c r="T12155">
        <v>39</v>
      </c>
      <c r="U12155" s="26" t="str">
        <f t="shared" si="449"/>
        <v>2023.001B.Leviviricetes_reorg.zip</v>
      </c>
    </row>
    <row r="12156" spans="1:21">
      <c r="A12156">
        <v>12155</v>
      </c>
      <c r="B12156" s="27" t="s">
        <v>1124</v>
      </c>
      <c r="D12156" s="27" t="s">
        <v>1859</v>
      </c>
      <c r="F12156" s="27" t="s">
        <v>1881</v>
      </c>
      <c r="H12156" s="27" t="s">
        <v>2679</v>
      </c>
      <c r="J12156" s="27" t="s">
        <v>3210</v>
      </c>
      <c r="L12156" s="27" t="s">
        <v>3262</v>
      </c>
      <c r="N12156" s="27" t="s">
        <v>15846</v>
      </c>
      <c r="P12156" s="27" t="s">
        <v>15984</v>
      </c>
      <c r="Q12156" s="26" t="str">
        <f>HYPERLINK("https://ictv.global/taxonomy/taxondetails?taxnode_id=202511420&amp;ictv_id=ICTV202011420","ICTV202011420")</f>
        <v>ICTV202011420</v>
      </c>
      <c r="R12156" t="s">
        <v>581</v>
      </c>
      <c r="S12156" t="s">
        <v>22764</v>
      </c>
      <c r="T12156">
        <v>39</v>
      </c>
      <c r="U12156" s="26" t="str">
        <f t="shared" si="449"/>
        <v>2023.001B.Leviviricetes_reorg.zip</v>
      </c>
    </row>
    <row r="12157" spans="1:21">
      <c r="A12157">
        <v>12156</v>
      </c>
      <c r="B12157" s="27" t="s">
        <v>1124</v>
      </c>
      <c r="D12157" s="27" t="s">
        <v>1859</v>
      </c>
      <c r="F12157" s="27" t="s">
        <v>1881</v>
      </c>
      <c r="H12157" s="27" t="s">
        <v>2679</v>
      </c>
      <c r="J12157" s="27" t="s">
        <v>3210</v>
      </c>
      <c r="L12157" s="27" t="s">
        <v>3262</v>
      </c>
      <c r="N12157" s="27" t="s">
        <v>15846</v>
      </c>
      <c r="P12157" s="27" t="s">
        <v>15985</v>
      </c>
      <c r="Q12157" s="26" t="str">
        <f>HYPERLINK("https://ictv.global/taxonomy/taxondetails?taxnode_id=202517233&amp;ictv_id=ICTV202317233","ICTV202317233")</f>
        <v>ICTV202317233</v>
      </c>
      <c r="R12157" t="s">
        <v>581</v>
      </c>
      <c r="S12157" t="s">
        <v>823</v>
      </c>
      <c r="T12157">
        <v>39</v>
      </c>
      <c r="U12157" s="26" t="str">
        <f t="shared" si="449"/>
        <v>2023.001B.Leviviricetes_reorg.zip</v>
      </c>
    </row>
    <row r="12158" spans="1:21">
      <c r="A12158">
        <v>12157</v>
      </c>
      <c r="B12158" s="27" t="s">
        <v>1124</v>
      </c>
      <c r="D12158" s="27" t="s">
        <v>1859</v>
      </c>
      <c r="F12158" s="27" t="s">
        <v>1881</v>
      </c>
      <c r="H12158" s="27" t="s">
        <v>2679</v>
      </c>
      <c r="J12158" s="27" t="s">
        <v>3210</v>
      </c>
      <c r="L12158" s="27" t="s">
        <v>3262</v>
      </c>
      <c r="N12158" s="27" t="s">
        <v>15846</v>
      </c>
      <c r="P12158" s="27" t="s">
        <v>15986</v>
      </c>
      <c r="Q12158" s="26" t="str">
        <f>HYPERLINK("https://ictv.global/taxonomy/taxondetails?taxnode_id=202511337&amp;ictv_id=ICTV202011337","ICTV202011337")</f>
        <v>ICTV202011337</v>
      </c>
      <c r="R12158" t="s">
        <v>581</v>
      </c>
      <c r="S12158" t="s">
        <v>22764</v>
      </c>
      <c r="T12158">
        <v>39</v>
      </c>
      <c r="U12158" s="26" t="str">
        <f t="shared" si="449"/>
        <v>2023.001B.Leviviricetes_reorg.zip</v>
      </c>
    </row>
    <row r="12159" spans="1:21">
      <c r="A12159">
        <v>12158</v>
      </c>
      <c r="B12159" s="27" t="s">
        <v>1124</v>
      </c>
      <c r="D12159" s="27" t="s">
        <v>1859</v>
      </c>
      <c r="F12159" s="27" t="s">
        <v>1881</v>
      </c>
      <c r="H12159" s="27" t="s">
        <v>2679</v>
      </c>
      <c r="J12159" s="27" t="s">
        <v>3210</v>
      </c>
      <c r="L12159" s="27" t="s">
        <v>3262</v>
      </c>
      <c r="N12159" s="27" t="s">
        <v>15846</v>
      </c>
      <c r="P12159" s="27" t="s">
        <v>15987</v>
      </c>
      <c r="Q12159" s="26" t="str">
        <f>HYPERLINK("https://ictv.global/taxonomy/taxondetails?taxnode_id=202517234&amp;ictv_id=ICTV202317234","ICTV202317234")</f>
        <v>ICTV202317234</v>
      </c>
      <c r="R12159" t="s">
        <v>581</v>
      </c>
      <c r="S12159" t="s">
        <v>823</v>
      </c>
      <c r="T12159">
        <v>39</v>
      </c>
      <c r="U12159" s="26" t="str">
        <f t="shared" si="449"/>
        <v>2023.001B.Leviviricetes_reorg.zip</v>
      </c>
    </row>
    <row r="12160" spans="1:21">
      <c r="A12160">
        <v>12159</v>
      </c>
      <c r="B12160" s="27" t="s">
        <v>1124</v>
      </c>
      <c r="D12160" s="27" t="s">
        <v>1859</v>
      </c>
      <c r="F12160" s="27" t="s">
        <v>1881</v>
      </c>
      <c r="H12160" s="27" t="s">
        <v>2679</v>
      </c>
      <c r="J12160" s="27" t="s">
        <v>3210</v>
      </c>
      <c r="L12160" s="27" t="s">
        <v>3262</v>
      </c>
      <c r="N12160" s="27" t="s">
        <v>15846</v>
      </c>
      <c r="P12160" s="27" t="s">
        <v>15988</v>
      </c>
      <c r="Q12160" s="26" t="str">
        <f>HYPERLINK("https://ictv.global/taxonomy/taxondetails?taxnode_id=202511223&amp;ictv_id=ICTV202011223","ICTV202011223")</f>
        <v>ICTV202011223</v>
      </c>
      <c r="R12160" t="s">
        <v>581</v>
      </c>
      <c r="S12160" t="s">
        <v>22764</v>
      </c>
      <c r="T12160">
        <v>39</v>
      </c>
      <c r="U12160" s="26" t="str">
        <f t="shared" si="449"/>
        <v>2023.001B.Leviviricetes_reorg.zip</v>
      </c>
    </row>
    <row r="12161" spans="1:21">
      <c r="A12161">
        <v>12160</v>
      </c>
      <c r="B12161" s="27" t="s">
        <v>1124</v>
      </c>
      <c r="D12161" s="27" t="s">
        <v>1859</v>
      </c>
      <c r="F12161" s="27" t="s">
        <v>1881</v>
      </c>
      <c r="H12161" s="27" t="s">
        <v>2679</v>
      </c>
      <c r="J12161" s="27" t="s">
        <v>3210</v>
      </c>
      <c r="L12161" s="27" t="s">
        <v>3262</v>
      </c>
      <c r="N12161" s="27" t="s">
        <v>15846</v>
      </c>
      <c r="P12161" s="27" t="s">
        <v>15989</v>
      </c>
      <c r="Q12161" s="26" t="str">
        <f>HYPERLINK("https://ictv.global/taxonomy/taxondetails?taxnode_id=202511225&amp;ictv_id=ICTV202011225","ICTV202011225")</f>
        <v>ICTV202011225</v>
      </c>
      <c r="R12161" t="s">
        <v>581</v>
      </c>
      <c r="S12161" t="s">
        <v>22764</v>
      </c>
      <c r="T12161">
        <v>39</v>
      </c>
      <c r="U12161" s="26" t="str">
        <f t="shared" si="449"/>
        <v>2023.001B.Leviviricetes_reorg.zip</v>
      </c>
    </row>
    <row r="12162" spans="1:21">
      <c r="A12162">
        <v>12161</v>
      </c>
      <c r="B12162" s="27" t="s">
        <v>1124</v>
      </c>
      <c r="D12162" s="27" t="s">
        <v>1859</v>
      </c>
      <c r="F12162" s="27" t="s">
        <v>1881</v>
      </c>
      <c r="H12162" s="27" t="s">
        <v>2679</v>
      </c>
      <c r="J12162" s="27" t="s">
        <v>3210</v>
      </c>
      <c r="L12162" s="27" t="s">
        <v>3262</v>
      </c>
      <c r="N12162" s="27" t="s">
        <v>15846</v>
      </c>
      <c r="P12162" s="27" t="s">
        <v>15990</v>
      </c>
      <c r="Q12162" s="26" t="str">
        <f>HYPERLINK("https://ictv.global/taxonomy/taxondetails?taxnode_id=202511224&amp;ictv_id=ICTV202011224","ICTV202011224")</f>
        <v>ICTV202011224</v>
      </c>
      <c r="R12162" t="s">
        <v>581</v>
      </c>
      <c r="S12162" t="s">
        <v>22764</v>
      </c>
      <c r="T12162">
        <v>39</v>
      </c>
      <c r="U12162" s="26" t="str">
        <f t="shared" si="449"/>
        <v>2023.001B.Leviviricetes_reorg.zip</v>
      </c>
    </row>
    <row r="12163" spans="1:21">
      <c r="A12163">
        <v>12162</v>
      </c>
      <c r="B12163" s="27" t="s">
        <v>1124</v>
      </c>
      <c r="D12163" s="27" t="s">
        <v>1859</v>
      </c>
      <c r="F12163" s="27" t="s">
        <v>1881</v>
      </c>
      <c r="H12163" s="27" t="s">
        <v>2679</v>
      </c>
      <c r="J12163" s="27" t="s">
        <v>3210</v>
      </c>
      <c r="L12163" s="27" t="s">
        <v>3262</v>
      </c>
      <c r="N12163" s="27" t="s">
        <v>15846</v>
      </c>
      <c r="P12163" s="27" t="s">
        <v>15991</v>
      </c>
      <c r="Q12163" s="26" t="str">
        <f>HYPERLINK("https://ictv.global/taxonomy/taxondetails?taxnode_id=202511081&amp;ictv_id=ICTV202011081","ICTV202011081")</f>
        <v>ICTV202011081</v>
      </c>
      <c r="R12163" t="s">
        <v>581</v>
      </c>
      <c r="S12163" t="s">
        <v>22764</v>
      </c>
      <c r="T12163">
        <v>39</v>
      </c>
      <c r="U12163" s="26" t="str">
        <f t="shared" si="449"/>
        <v>2023.001B.Leviviricetes_reorg.zip</v>
      </c>
    </row>
    <row r="12164" spans="1:21">
      <c r="A12164">
        <v>12163</v>
      </c>
      <c r="B12164" s="27" t="s">
        <v>1124</v>
      </c>
      <c r="D12164" s="27" t="s">
        <v>1859</v>
      </c>
      <c r="F12164" s="27" t="s">
        <v>1881</v>
      </c>
      <c r="H12164" s="27" t="s">
        <v>2679</v>
      </c>
      <c r="J12164" s="27" t="s">
        <v>3210</v>
      </c>
      <c r="L12164" s="27" t="s">
        <v>3262</v>
      </c>
      <c r="N12164" s="27" t="s">
        <v>15846</v>
      </c>
      <c r="P12164" s="27" t="s">
        <v>15992</v>
      </c>
      <c r="Q12164" s="26" t="str">
        <f>HYPERLINK("https://ictv.global/taxonomy/taxondetails?taxnode_id=202511083&amp;ictv_id=ICTV202011083","ICTV202011083")</f>
        <v>ICTV202011083</v>
      </c>
      <c r="R12164" t="s">
        <v>581</v>
      </c>
      <c r="S12164" t="s">
        <v>22764</v>
      </c>
      <c r="T12164">
        <v>39</v>
      </c>
      <c r="U12164" s="26" t="str">
        <f t="shared" si="449"/>
        <v>2023.001B.Leviviricetes_reorg.zip</v>
      </c>
    </row>
    <row r="12165" spans="1:21">
      <c r="A12165">
        <v>12164</v>
      </c>
      <c r="B12165" s="27" t="s">
        <v>1124</v>
      </c>
      <c r="D12165" s="27" t="s">
        <v>1859</v>
      </c>
      <c r="F12165" s="27" t="s">
        <v>1881</v>
      </c>
      <c r="H12165" s="27" t="s">
        <v>2679</v>
      </c>
      <c r="J12165" s="27" t="s">
        <v>3210</v>
      </c>
      <c r="L12165" s="27" t="s">
        <v>3262</v>
      </c>
      <c r="N12165" s="27" t="s">
        <v>15846</v>
      </c>
      <c r="P12165" s="27" t="s">
        <v>15993</v>
      </c>
      <c r="Q12165" s="26" t="str">
        <f>HYPERLINK("https://ictv.global/taxonomy/taxondetails?taxnode_id=202511084&amp;ictv_id=ICTV202011084","ICTV202011084")</f>
        <v>ICTV202011084</v>
      </c>
      <c r="R12165" t="s">
        <v>581</v>
      </c>
      <c r="S12165" t="s">
        <v>22764</v>
      </c>
      <c r="T12165">
        <v>39</v>
      </c>
      <c r="U12165" s="26" t="str">
        <f t="shared" si="449"/>
        <v>2023.001B.Leviviricetes_reorg.zip</v>
      </c>
    </row>
    <row r="12166" spans="1:21">
      <c r="A12166">
        <v>12165</v>
      </c>
      <c r="B12166" s="27" t="s">
        <v>1124</v>
      </c>
      <c r="D12166" s="27" t="s">
        <v>1859</v>
      </c>
      <c r="F12166" s="27" t="s">
        <v>1881</v>
      </c>
      <c r="H12166" s="27" t="s">
        <v>2679</v>
      </c>
      <c r="J12166" s="27" t="s">
        <v>3210</v>
      </c>
      <c r="L12166" s="27" t="s">
        <v>3262</v>
      </c>
      <c r="N12166" s="27" t="s">
        <v>15846</v>
      </c>
      <c r="P12166" s="27" t="s">
        <v>15994</v>
      </c>
      <c r="Q12166" s="26" t="str">
        <f>HYPERLINK("https://ictv.global/taxonomy/taxondetails?taxnode_id=202511032&amp;ictv_id=ICTV202011032","ICTV202011032")</f>
        <v>ICTV202011032</v>
      </c>
      <c r="R12166" t="s">
        <v>581</v>
      </c>
      <c r="S12166" t="s">
        <v>22764</v>
      </c>
      <c r="T12166">
        <v>39</v>
      </c>
      <c r="U12166" s="26" t="str">
        <f t="shared" si="449"/>
        <v>2023.001B.Leviviricetes_reorg.zip</v>
      </c>
    </row>
    <row r="12167" spans="1:21">
      <c r="A12167">
        <v>12166</v>
      </c>
      <c r="B12167" s="27" t="s">
        <v>1124</v>
      </c>
      <c r="D12167" s="27" t="s">
        <v>1859</v>
      </c>
      <c r="F12167" s="27" t="s">
        <v>1881</v>
      </c>
      <c r="H12167" s="27" t="s">
        <v>2679</v>
      </c>
      <c r="J12167" s="27" t="s">
        <v>3210</v>
      </c>
      <c r="L12167" s="27" t="s">
        <v>3262</v>
      </c>
      <c r="N12167" s="27" t="s">
        <v>15846</v>
      </c>
      <c r="P12167" s="27" t="s">
        <v>15995</v>
      </c>
      <c r="Q12167" s="26" t="str">
        <f>HYPERLINK("https://ictv.global/taxonomy/taxondetails?taxnode_id=202511034&amp;ictv_id=ICTV202011034","ICTV202011034")</f>
        <v>ICTV202011034</v>
      </c>
      <c r="R12167" t="s">
        <v>581</v>
      </c>
      <c r="S12167" t="s">
        <v>22764</v>
      </c>
      <c r="T12167">
        <v>39</v>
      </c>
      <c r="U12167" s="26" t="str">
        <f t="shared" si="449"/>
        <v>2023.001B.Leviviricetes_reorg.zip</v>
      </c>
    </row>
    <row r="12168" spans="1:21">
      <c r="A12168">
        <v>12167</v>
      </c>
      <c r="B12168" s="27" t="s">
        <v>1124</v>
      </c>
      <c r="D12168" s="27" t="s">
        <v>1859</v>
      </c>
      <c r="F12168" s="27" t="s">
        <v>1881</v>
      </c>
      <c r="H12168" s="27" t="s">
        <v>2679</v>
      </c>
      <c r="J12168" s="27" t="s">
        <v>3210</v>
      </c>
      <c r="L12168" s="27" t="s">
        <v>3262</v>
      </c>
      <c r="N12168" s="27" t="s">
        <v>15846</v>
      </c>
      <c r="P12168" s="27" t="s">
        <v>15996</v>
      </c>
      <c r="Q12168" s="26" t="str">
        <f>HYPERLINK("https://ictv.global/taxonomy/taxondetails?taxnode_id=202511033&amp;ictv_id=ICTV202011033","ICTV202011033")</f>
        <v>ICTV202011033</v>
      </c>
      <c r="R12168" t="s">
        <v>581</v>
      </c>
      <c r="S12168" t="s">
        <v>22764</v>
      </c>
      <c r="T12168">
        <v>39</v>
      </c>
      <c r="U12168" s="26" t="str">
        <f t="shared" ref="U12168:U12231" si="450">HYPERLINK("https://ictv.global/ictv/proposals/2023.001B.Leviviricetes_reorg.zip","2023.001B.Leviviricetes_reorg.zip")</f>
        <v>2023.001B.Leviviricetes_reorg.zip</v>
      </c>
    </row>
    <row r="12169" spans="1:21">
      <c r="A12169">
        <v>12168</v>
      </c>
      <c r="B12169" s="27" t="s">
        <v>1124</v>
      </c>
      <c r="D12169" s="27" t="s">
        <v>1859</v>
      </c>
      <c r="F12169" s="27" t="s">
        <v>1881</v>
      </c>
      <c r="H12169" s="27" t="s">
        <v>2679</v>
      </c>
      <c r="J12169" s="27" t="s">
        <v>3210</v>
      </c>
      <c r="L12169" s="27" t="s">
        <v>3262</v>
      </c>
      <c r="N12169" s="27" t="s">
        <v>15846</v>
      </c>
      <c r="P12169" s="27" t="s">
        <v>15997</v>
      </c>
      <c r="Q12169" s="26" t="str">
        <f>HYPERLINK("https://ictv.global/taxonomy/taxondetails?taxnode_id=202511035&amp;ictv_id=ICTV202011035","ICTV202011035")</f>
        <v>ICTV202011035</v>
      </c>
      <c r="R12169" t="s">
        <v>581</v>
      </c>
      <c r="S12169" t="s">
        <v>22764</v>
      </c>
      <c r="T12169">
        <v>39</v>
      </c>
      <c r="U12169" s="26" t="str">
        <f t="shared" si="450"/>
        <v>2023.001B.Leviviricetes_reorg.zip</v>
      </c>
    </row>
    <row r="12170" spans="1:21">
      <c r="A12170">
        <v>12169</v>
      </c>
      <c r="B12170" s="27" t="s">
        <v>1124</v>
      </c>
      <c r="D12170" s="27" t="s">
        <v>1859</v>
      </c>
      <c r="F12170" s="27" t="s">
        <v>1881</v>
      </c>
      <c r="H12170" s="27" t="s">
        <v>2679</v>
      </c>
      <c r="J12170" s="27" t="s">
        <v>3210</v>
      </c>
      <c r="L12170" s="27" t="s">
        <v>3262</v>
      </c>
      <c r="N12170" s="27" t="s">
        <v>15846</v>
      </c>
      <c r="P12170" s="27" t="s">
        <v>15998</v>
      </c>
      <c r="Q12170" s="26" t="str">
        <f>HYPERLINK("https://ictv.global/taxonomy/taxondetails?taxnode_id=202511036&amp;ictv_id=ICTV202011036","ICTV202011036")</f>
        <v>ICTV202011036</v>
      </c>
      <c r="R12170" t="s">
        <v>581</v>
      </c>
      <c r="S12170" t="s">
        <v>22764</v>
      </c>
      <c r="T12170">
        <v>39</v>
      </c>
      <c r="U12170" s="26" t="str">
        <f t="shared" si="450"/>
        <v>2023.001B.Leviviricetes_reorg.zip</v>
      </c>
    </row>
    <row r="12171" spans="1:21">
      <c r="A12171">
        <v>12170</v>
      </c>
      <c r="B12171" s="27" t="s">
        <v>1124</v>
      </c>
      <c r="D12171" s="27" t="s">
        <v>1859</v>
      </c>
      <c r="F12171" s="27" t="s">
        <v>1881</v>
      </c>
      <c r="H12171" s="27" t="s">
        <v>2679</v>
      </c>
      <c r="J12171" s="27" t="s">
        <v>3210</v>
      </c>
      <c r="L12171" s="27" t="s">
        <v>3262</v>
      </c>
      <c r="N12171" s="27" t="s">
        <v>15846</v>
      </c>
      <c r="P12171" s="27" t="s">
        <v>15999</v>
      </c>
      <c r="Q12171" s="26" t="str">
        <f>HYPERLINK("https://ictv.global/taxonomy/taxondetails?taxnode_id=202511037&amp;ictv_id=ICTV202011037","ICTV202011037")</f>
        <v>ICTV202011037</v>
      </c>
      <c r="R12171" t="s">
        <v>581</v>
      </c>
      <c r="S12171" t="s">
        <v>22764</v>
      </c>
      <c r="T12171">
        <v>39</v>
      </c>
      <c r="U12171" s="26" t="str">
        <f t="shared" si="450"/>
        <v>2023.001B.Leviviricetes_reorg.zip</v>
      </c>
    </row>
    <row r="12172" spans="1:21">
      <c r="A12172">
        <v>12171</v>
      </c>
      <c r="B12172" s="27" t="s">
        <v>1124</v>
      </c>
      <c r="D12172" s="27" t="s">
        <v>1859</v>
      </c>
      <c r="F12172" s="27" t="s">
        <v>1881</v>
      </c>
      <c r="H12172" s="27" t="s">
        <v>2679</v>
      </c>
      <c r="J12172" s="27" t="s">
        <v>3210</v>
      </c>
      <c r="L12172" s="27" t="s">
        <v>3262</v>
      </c>
      <c r="N12172" s="27" t="s">
        <v>15846</v>
      </c>
      <c r="P12172" s="27" t="s">
        <v>16000</v>
      </c>
      <c r="Q12172" s="26" t="str">
        <f>HYPERLINK("https://ictv.global/taxonomy/taxondetails?taxnode_id=202511023&amp;ictv_id=ICTV202011023","ICTV202011023")</f>
        <v>ICTV202011023</v>
      </c>
      <c r="R12172" t="s">
        <v>581</v>
      </c>
      <c r="S12172" t="s">
        <v>22764</v>
      </c>
      <c r="T12172">
        <v>39</v>
      </c>
      <c r="U12172" s="26" t="str">
        <f t="shared" si="450"/>
        <v>2023.001B.Leviviricetes_reorg.zip</v>
      </c>
    </row>
    <row r="12173" spans="1:21">
      <c r="A12173">
        <v>12172</v>
      </c>
      <c r="B12173" s="27" t="s">
        <v>1124</v>
      </c>
      <c r="D12173" s="27" t="s">
        <v>1859</v>
      </c>
      <c r="F12173" s="27" t="s">
        <v>1881</v>
      </c>
      <c r="H12173" s="27" t="s">
        <v>2679</v>
      </c>
      <c r="J12173" s="27" t="s">
        <v>3210</v>
      </c>
      <c r="L12173" s="27" t="s">
        <v>3262</v>
      </c>
      <c r="N12173" s="27" t="s">
        <v>15846</v>
      </c>
      <c r="P12173" s="27" t="s">
        <v>16001</v>
      </c>
      <c r="Q12173" s="26" t="str">
        <f>HYPERLINK("https://ictv.global/taxonomy/taxondetails?taxnode_id=202517235&amp;ictv_id=ICTV202317235","ICTV202317235")</f>
        <v>ICTV202317235</v>
      </c>
      <c r="R12173" t="s">
        <v>581</v>
      </c>
      <c r="S12173" t="s">
        <v>823</v>
      </c>
      <c r="T12173">
        <v>39</v>
      </c>
      <c r="U12173" s="26" t="str">
        <f t="shared" si="450"/>
        <v>2023.001B.Leviviricetes_reorg.zip</v>
      </c>
    </row>
    <row r="12174" spans="1:21">
      <c r="A12174">
        <v>12173</v>
      </c>
      <c r="B12174" s="27" t="s">
        <v>1124</v>
      </c>
      <c r="D12174" s="27" t="s">
        <v>1859</v>
      </c>
      <c r="F12174" s="27" t="s">
        <v>1881</v>
      </c>
      <c r="H12174" s="27" t="s">
        <v>2679</v>
      </c>
      <c r="J12174" s="27" t="s">
        <v>3210</v>
      </c>
      <c r="L12174" s="27" t="s">
        <v>3262</v>
      </c>
      <c r="N12174" s="27" t="s">
        <v>15846</v>
      </c>
      <c r="P12174" s="27" t="s">
        <v>16002</v>
      </c>
      <c r="Q12174" s="26" t="str">
        <f>HYPERLINK("https://ictv.global/taxonomy/taxondetails?taxnode_id=202517236&amp;ictv_id=ICTV202317236","ICTV202317236")</f>
        <v>ICTV202317236</v>
      </c>
      <c r="R12174" t="s">
        <v>581</v>
      </c>
      <c r="S12174" t="s">
        <v>823</v>
      </c>
      <c r="T12174">
        <v>39</v>
      </c>
      <c r="U12174" s="26" t="str">
        <f t="shared" si="450"/>
        <v>2023.001B.Leviviricetes_reorg.zip</v>
      </c>
    </row>
    <row r="12175" spans="1:21">
      <c r="A12175">
        <v>12174</v>
      </c>
      <c r="B12175" s="27" t="s">
        <v>1124</v>
      </c>
      <c r="D12175" s="27" t="s">
        <v>1859</v>
      </c>
      <c r="F12175" s="27" t="s">
        <v>1881</v>
      </c>
      <c r="H12175" s="27" t="s">
        <v>2679</v>
      </c>
      <c r="J12175" s="27" t="s">
        <v>3210</v>
      </c>
      <c r="L12175" s="27" t="s">
        <v>3262</v>
      </c>
      <c r="N12175" s="27" t="s">
        <v>15846</v>
      </c>
      <c r="P12175" s="27" t="s">
        <v>16003</v>
      </c>
      <c r="Q12175" s="26" t="str">
        <f>HYPERLINK("https://ictv.global/taxonomy/taxondetails?taxnode_id=202517237&amp;ictv_id=ICTV202317237","ICTV202317237")</f>
        <v>ICTV202317237</v>
      </c>
      <c r="R12175" t="s">
        <v>581</v>
      </c>
      <c r="S12175" t="s">
        <v>823</v>
      </c>
      <c r="T12175">
        <v>39</v>
      </c>
      <c r="U12175" s="26" t="str">
        <f t="shared" si="450"/>
        <v>2023.001B.Leviviricetes_reorg.zip</v>
      </c>
    </row>
    <row r="12176" spans="1:21">
      <c r="A12176">
        <v>12175</v>
      </c>
      <c r="B12176" s="27" t="s">
        <v>1124</v>
      </c>
      <c r="D12176" s="27" t="s">
        <v>1859</v>
      </c>
      <c r="F12176" s="27" t="s">
        <v>1881</v>
      </c>
      <c r="H12176" s="27" t="s">
        <v>2679</v>
      </c>
      <c r="J12176" s="27" t="s">
        <v>3210</v>
      </c>
      <c r="L12176" s="27" t="s">
        <v>3262</v>
      </c>
      <c r="N12176" s="27" t="s">
        <v>15846</v>
      </c>
      <c r="P12176" s="27" t="s">
        <v>16004</v>
      </c>
      <c r="Q12176" s="26" t="str">
        <f>HYPERLINK("https://ictv.global/taxonomy/taxondetails?taxnode_id=202517238&amp;ictv_id=ICTV202317238","ICTV202317238")</f>
        <v>ICTV202317238</v>
      </c>
      <c r="R12176" t="s">
        <v>581</v>
      </c>
      <c r="S12176" t="s">
        <v>823</v>
      </c>
      <c r="T12176">
        <v>39</v>
      </c>
      <c r="U12176" s="26" t="str">
        <f t="shared" si="450"/>
        <v>2023.001B.Leviviricetes_reorg.zip</v>
      </c>
    </row>
    <row r="12177" spans="1:21">
      <c r="A12177">
        <v>12176</v>
      </c>
      <c r="B12177" s="27" t="s">
        <v>1124</v>
      </c>
      <c r="D12177" s="27" t="s">
        <v>1859</v>
      </c>
      <c r="F12177" s="27" t="s">
        <v>1881</v>
      </c>
      <c r="H12177" s="27" t="s">
        <v>2679</v>
      </c>
      <c r="J12177" s="27" t="s">
        <v>3210</v>
      </c>
      <c r="L12177" s="27" t="s">
        <v>3262</v>
      </c>
      <c r="N12177" s="27" t="s">
        <v>15846</v>
      </c>
      <c r="P12177" s="27" t="s">
        <v>16005</v>
      </c>
      <c r="Q12177" s="26" t="str">
        <f>HYPERLINK("https://ictv.global/taxonomy/taxondetails?taxnode_id=202517239&amp;ictv_id=ICTV202317239","ICTV202317239")</f>
        <v>ICTV202317239</v>
      </c>
      <c r="R12177" t="s">
        <v>581</v>
      </c>
      <c r="S12177" t="s">
        <v>823</v>
      </c>
      <c r="T12177">
        <v>39</v>
      </c>
      <c r="U12177" s="26" t="str">
        <f t="shared" si="450"/>
        <v>2023.001B.Leviviricetes_reorg.zip</v>
      </c>
    </row>
    <row r="12178" spans="1:21">
      <c r="A12178">
        <v>12177</v>
      </c>
      <c r="B12178" s="27" t="s">
        <v>1124</v>
      </c>
      <c r="D12178" s="27" t="s">
        <v>1859</v>
      </c>
      <c r="F12178" s="27" t="s">
        <v>1881</v>
      </c>
      <c r="H12178" s="27" t="s">
        <v>2679</v>
      </c>
      <c r="J12178" s="27" t="s">
        <v>3210</v>
      </c>
      <c r="L12178" s="27" t="s">
        <v>3262</v>
      </c>
      <c r="N12178" s="27" t="s">
        <v>15846</v>
      </c>
      <c r="P12178" s="27" t="s">
        <v>16006</v>
      </c>
      <c r="Q12178" s="26" t="str">
        <f>HYPERLINK("https://ictv.global/taxonomy/taxondetails?taxnode_id=202517240&amp;ictv_id=ICTV202317240","ICTV202317240")</f>
        <v>ICTV202317240</v>
      </c>
      <c r="R12178" t="s">
        <v>581</v>
      </c>
      <c r="S12178" t="s">
        <v>823</v>
      </c>
      <c r="T12178">
        <v>39</v>
      </c>
      <c r="U12178" s="26" t="str">
        <f t="shared" si="450"/>
        <v>2023.001B.Leviviricetes_reorg.zip</v>
      </c>
    </row>
    <row r="12179" spans="1:21">
      <c r="A12179">
        <v>12178</v>
      </c>
      <c r="B12179" s="27" t="s">
        <v>1124</v>
      </c>
      <c r="D12179" s="27" t="s">
        <v>1859</v>
      </c>
      <c r="F12179" s="27" t="s">
        <v>1881</v>
      </c>
      <c r="H12179" s="27" t="s">
        <v>2679</v>
      </c>
      <c r="J12179" s="27" t="s">
        <v>3210</v>
      </c>
      <c r="L12179" s="27" t="s">
        <v>3262</v>
      </c>
      <c r="N12179" s="27" t="s">
        <v>15846</v>
      </c>
      <c r="P12179" s="27" t="s">
        <v>16007</v>
      </c>
      <c r="Q12179" s="26" t="str">
        <f>HYPERLINK("https://ictv.global/taxonomy/taxondetails?taxnode_id=202511168&amp;ictv_id=ICTV202011168","ICTV202011168")</f>
        <v>ICTV202011168</v>
      </c>
      <c r="R12179" t="s">
        <v>581</v>
      </c>
      <c r="S12179" t="s">
        <v>22764</v>
      </c>
      <c r="T12179">
        <v>39</v>
      </c>
      <c r="U12179" s="26" t="str">
        <f t="shared" si="450"/>
        <v>2023.001B.Leviviricetes_reorg.zip</v>
      </c>
    </row>
    <row r="12180" spans="1:21">
      <c r="A12180">
        <v>12179</v>
      </c>
      <c r="B12180" s="27" t="s">
        <v>1124</v>
      </c>
      <c r="D12180" s="27" t="s">
        <v>1859</v>
      </c>
      <c r="F12180" s="27" t="s">
        <v>1881</v>
      </c>
      <c r="H12180" s="27" t="s">
        <v>2679</v>
      </c>
      <c r="J12180" s="27" t="s">
        <v>3210</v>
      </c>
      <c r="L12180" s="27" t="s">
        <v>3262</v>
      </c>
      <c r="N12180" s="27" t="s">
        <v>15846</v>
      </c>
      <c r="P12180" s="27" t="s">
        <v>16008</v>
      </c>
      <c r="Q12180" s="26" t="str">
        <f>HYPERLINK("https://ictv.global/taxonomy/taxondetails?taxnode_id=202511170&amp;ictv_id=ICTV202011170","ICTV202011170")</f>
        <v>ICTV202011170</v>
      </c>
      <c r="R12180" t="s">
        <v>581</v>
      </c>
      <c r="S12180" t="s">
        <v>22764</v>
      </c>
      <c r="T12180">
        <v>39</v>
      </c>
      <c r="U12180" s="26" t="str">
        <f t="shared" si="450"/>
        <v>2023.001B.Leviviricetes_reorg.zip</v>
      </c>
    </row>
    <row r="12181" spans="1:21">
      <c r="A12181">
        <v>12180</v>
      </c>
      <c r="B12181" s="27" t="s">
        <v>1124</v>
      </c>
      <c r="D12181" s="27" t="s">
        <v>1859</v>
      </c>
      <c r="F12181" s="27" t="s">
        <v>1881</v>
      </c>
      <c r="H12181" s="27" t="s">
        <v>2679</v>
      </c>
      <c r="J12181" s="27" t="s">
        <v>3210</v>
      </c>
      <c r="L12181" s="27" t="s">
        <v>3262</v>
      </c>
      <c r="N12181" s="27" t="s">
        <v>15846</v>
      </c>
      <c r="P12181" s="27" t="s">
        <v>16009</v>
      </c>
      <c r="Q12181" s="26" t="str">
        <f>HYPERLINK("https://ictv.global/taxonomy/taxondetails?taxnode_id=202511169&amp;ictv_id=ICTV202011169","ICTV202011169")</f>
        <v>ICTV202011169</v>
      </c>
      <c r="R12181" t="s">
        <v>581</v>
      </c>
      <c r="S12181" t="s">
        <v>22764</v>
      </c>
      <c r="T12181">
        <v>39</v>
      </c>
      <c r="U12181" s="26" t="str">
        <f t="shared" si="450"/>
        <v>2023.001B.Leviviricetes_reorg.zip</v>
      </c>
    </row>
    <row r="12182" spans="1:21">
      <c r="A12182">
        <v>12181</v>
      </c>
      <c r="B12182" s="27" t="s">
        <v>1124</v>
      </c>
      <c r="D12182" s="27" t="s">
        <v>1859</v>
      </c>
      <c r="F12182" s="27" t="s">
        <v>1881</v>
      </c>
      <c r="H12182" s="27" t="s">
        <v>2679</v>
      </c>
      <c r="J12182" s="27" t="s">
        <v>3210</v>
      </c>
      <c r="L12182" s="27" t="s">
        <v>3262</v>
      </c>
      <c r="N12182" s="27" t="s">
        <v>15846</v>
      </c>
      <c r="P12182" s="27" t="s">
        <v>16010</v>
      </c>
      <c r="Q12182" s="26" t="str">
        <f>HYPERLINK("https://ictv.global/taxonomy/taxondetails?taxnode_id=202511171&amp;ictv_id=ICTV202011171","ICTV202011171")</f>
        <v>ICTV202011171</v>
      </c>
      <c r="R12182" t="s">
        <v>581</v>
      </c>
      <c r="S12182" t="s">
        <v>22764</v>
      </c>
      <c r="T12182">
        <v>39</v>
      </c>
      <c r="U12182" s="26" t="str">
        <f t="shared" si="450"/>
        <v>2023.001B.Leviviricetes_reorg.zip</v>
      </c>
    </row>
    <row r="12183" spans="1:21">
      <c r="A12183">
        <v>12182</v>
      </c>
      <c r="B12183" s="27" t="s">
        <v>1124</v>
      </c>
      <c r="D12183" s="27" t="s">
        <v>1859</v>
      </c>
      <c r="F12183" s="27" t="s">
        <v>1881</v>
      </c>
      <c r="H12183" s="27" t="s">
        <v>2679</v>
      </c>
      <c r="J12183" s="27" t="s">
        <v>3210</v>
      </c>
      <c r="L12183" s="27" t="s">
        <v>3262</v>
      </c>
      <c r="N12183" s="27" t="s">
        <v>15846</v>
      </c>
      <c r="P12183" s="27" t="s">
        <v>16011</v>
      </c>
      <c r="Q12183" s="26" t="str">
        <f>HYPERLINK("https://ictv.global/taxonomy/taxondetails?taxnode_id=202511172&amp;ictv_id=ICTV202011172","ICTV202011172")</f>
        <v>ICTV202011172</v>
      </c>
      <c r="R12183" t="s">
        <v>581</v>
      </c>
      <c r="S12183" t="s">
        <v>22764</v>
      </c>
      <c r="T12183">
        <v>39</v>
      </c>
      <c r="U12183" s="26" t="str">
        <f t="shared" si="450"/>
        <v>2023.001B.Leviviricetes_reorg.zip</v>
      </c>
    </row>
    <row r="12184" spans="1:21">
      <c r="A12184">
        <v>12183</v>
      </c>
      <c r="B12184" s="27" t="s">
        <v>1124</v>
      </c>
      <c r="D12184" s="27" t="s">
        <v>1859</v>
      </c>
      <c r="F12184" s="27" t="s">
        <v>1881</v>
      </c>
      <c r="H12184" s="27" t="s">
        <v>2679</v>
      </c>
      <c r="J12184" s="27" t="s">
        <v>3210</v>
      </c>
      <c r="L12184" s="27" t="s">
        <v>3262</v>
      </c>
      <c r="N12184" s="27" t="s">
        <v>15846</v>
      </c>
      <c r="P12184" s="27" t="s">
        <v>16012</v>
      </c>
      <c r="Q12184" s="26" t="str">
        <f>HYPERLINK("https://ictv.global/taxonomy/taxondetails?taxnode_id=202511173&amp;ictv_id=ICTV202011173","ICTV202011173")</f>
        <v>ICTV202011173</v>
      </c>
      <c r="R12184" t="s">
        <v>581</v>
      </c>
      <c r="S12184" t="s">
        <v>22764</v>
      </c>
      <c r="T12184">
        <v>39</v>
      </c>
      <c r="U12184" s="26" t="str">
        <f t="shared" si="450"/>
        <v>2023.001B.Leviviricetes_reorg.zip</v>
      </c>
    </row>
    <row r="12185" spans="1:21">
      <c r="A12185">
        <v>12184</v>
      </c>
      <c r="B12185" s="27" t="s">
        <v>1124</v>
      </c>
      <c r="D12185" s="27" t="s">
        <v>1859</v>
      </c>
      <c r="F12185" s="27" t="s">
        <v>1881</v>
      </c>
      <c r="H12185" s="27" t="s">
        <v>2679</v>
      </c>
      <c r="J12185" s="27" t="s">
        <v>3210</v>
      </c>
      <c r="L12185" s="27" t="s">
        <v>3262</v>
      </c>
      <c r="N12185" s="27" t="s">
        <v>15846</v>
      </c>
      <c r="P12185" s="27" t="s">
        <v>16013</v>
      </c>
      <c r="Q12185" s="26" t="str">
        <f>HYPERLINK("https://ictv.global/taxonomy/taxondetails?taxnode_id=202517241&amp;ictv_id=ICTV202317241","ICTV202317241")</f>
        <v>ICTV202317241</v>
      </c>
      <c r="R12185" t="s">
        <v>581</v>
      </c>
      <c r="S12185" t="s">
        <v>823</v>
      </c>
      <c r="T12185">
        <v>39</v>
      </c>
      <c r="U12185" s="26" t="str">
        <f t="shared" si="450"/>
        <v>2023.001B.Leviviricetes_reorg.zip</v>
      </c>
    </row>
    <row r="12186" spans="1:21">
      <c r="A12186">
        <v>12185</v>
      </c>
      <c r="B12186" s="27" t="s">
        <v>1124</v>
      </c>
      <c r="D12186" s="27" t="s">
        <v>1859</v>
      </c>
      <c r="F12186" s="27" t="s">
        <v>1881</v>
      </c>
      <c r="H12186" s="27" t="s">
        <v>2679</v>
      </c>
      <c r="J12186" s="27" t="s">
        <v>3210</v>
      </c>
      <c r="L12186" s="27" t="s">
        <v>3262</v>
      </c>
      <c r="N12186" s="27" t="s">
        <v>15846</v>
      </c>
      <c r="P12186" s="27" t="s">
        <v>16014</v>
      </c>
      <c r="Q12186" s="26" t="str">
        <f>HYPERLINK("https://ictv.global/taxonomy/taxondetails?taxnode_id=202517242&amp;ictv_id=ICTV202317242","ICTV202317242")</f>
        <v>ICTV202317242</v>
      </c>
      <c r="R12186" t="s">
        <v>581</v>
      </c>
      <c r="S12186" t="s">
        <v>823</v>
      </c>
      <c r="T12186">
        <v>39</v>
      </c>
      <c r="U12186" s="26" t="str">
        <f t="shared" si="450"/>
        <v>2023.001B.Leviviricetes_reorg.zip</v>
      </c>
    </row>
    <row r="12187" spans="1:21">
      <c r="A12187">
        <v>12186</v>
      </c>
      <c r="B12187" s="27" t="s">
        <v>1124</v>
      </c>
      <c r="D12187" s="27" t="s">
        <v>1859</v>
      </c>
      <c r="F12187" s="27" t="s">
        <v>1881</v>
      </c>
      <c r="H12187" s="27" t="s">
        <v>2679</v>
      </c>
      <c r="J12187" s="27" t="s">
        <v>3210</v>
      </c>
      <c r="L12187" s="27" t="s">
        <v>3262</v>
      </c>
      <c r="N12187" s="27" t="s">
        <v>15846</v>
      </c>
      <c r="P12187" s="27" t="s">
        <v>16015</v>
      </c>
      <c r="Q12187" s="26" t="str">
        <f>HYPERLINK("https://ictv.global/taxonomy/taxondetails?taxnode_id=202517243&amp;ictv_id=ICTV202317243","ICTV202317243")</f>
        <v>ICTV202317243</v>
      </c>
      <c r="R12187" t="s">
        <v>581</v>
      </c>
      <c r="S12187" t="s">
        <v>823</v>
      </c>
      <c r="T12187">
        <v>39</v>
      </c>
      <c r="U12187" s="26" t="str">
        <f t="shared" si="450"/>
        <v>2023.001B.Leviviricetes_reorg.zip</v>
      </c>
    </row>
    <row r="12188" spans="1:21">
      <c r="A12188">
        <v>12187</v>
      </c>
      <c r="B12188" s="27" t="s">
        <v>1124</v>
      </c>
      <c r="D12188" s="27" t="s">
        <v>1859</v>
      </c>
      <c r="F12188" s="27" t="s">
        <v>1881</v>
      </c>
      <c r="H12188" s="27" t="s">
        <v>2679</v>
      </c>
      <c r="J12188" s="27" t="s">
        <v>3210</v>
      </c>
      <c r="L12188" s="27" t="s">
        <v>3262</v>
      </c>
      <c r="N12188" s="27" t="s">
        <v>15846</v>
      </c>
      <c r="P12188" s="27" t="s">
        <v>16016</v>
      </c>
      <c r="Q12188" s="26" t="str">
        <f>HYPERLINK("https://ictv.global/taxonomy/taxondetails?taxnode_id=202517244&amp;ictv_id=ICTV202317244","ICTV202317244")</f>
        <v>ICTV202317244</v>
      </c>
      <c r="R12188" t="s">
        <v>581</v>
      </c>
      <c r="S12188" t="s">
        <v>823</v>
      </c>
      <c r="T12188">
        <v>39</v>
      </c>
      <c r="U12188" s="26" t="str">
        <f t="shared" si="450"/>
        <v>2023.001B.Leviviricetes_reorg.zip</v>
      </c>
    </row>
    <row r="12189" spans="1:21">
      <c r="A12189">
        <v>12188</v>
      </c>
      <c r="B12189" s="27" t="s">
        <v>1124</v>
      </c>
      <c r="D12189" s="27" t="s">
        <v>1859</v>
      </c>
      <c r="F12189" s="27" t="s">
        <v>1881</v>
      </c>
      <c r="H12189" s="27" t="s">
        <v>2679</v>
      </c>
      <c r="J12189" s="27" t="s">
        <v>3210</v>
      </c>
      <c r="L12189" s="27" t="s">
        <v>3262</v>
      </c>
      <c r="N12189" s="27" t="s">
        <v>15846</v>
      </c>
      <c r="P12189" s="27" t="s">
        <v>16017</v>
      </c>
      <c r="Q12189" s="26" t="str">
        <f>HYPERLINK("https://ictv.global/taxonomy/taxondetails?taxnode_id=202511038&amp;ictv_id=ICTV202011038","ICTV202011038")</f>
        <v>ICTV202011038</v>
      </c>
      <c r="R12189" t="s">
        <v>581</v>
      </c>
      <c r="S12189" t="s">
        <v>22764</v>
      </c>
      <c r="T12189">
        <v>39</v>
      </c>
      <c r="U12189" s="26" t="str">
        <f t="shared" si="450"/>
        <v>2023.001B.Leviviricetes_reorg.zip</v>
      </c>
    </row>
    <row r="12190" spans="1:21">
      <c r="A12190">
        <v>12189</v>
      </c>
      <c r="B12190" s="27" t="s">
        <v>1124</v>
      </c>
      <c r="D12190" s="27" t="s">
        <v>1859</v>
      </c>
      <c r="F12190" s="27" t="s">
        <v>1881</v>
      </c>
      <c r="H12190" s="27" t="s">
        <v>2679</v>
      </c>
      <c r="J12190" s="27" t="s">
        <v>3210</v>
      </c>
      <c r="L12190" s="27" t="s">
        <v>3262</v>
      </c>
      <c r="N12190" s="27" t="s">
        <v>15846</v>
      </c>
      <c r="P12190" s="27" t="s">
        <v>16018</v>
      </c>
      <c r="Q12190" s="26" t="str">
        <f>HYPERLINK("https://ictv.global/taxonomy/taxondetails?taxnode_id=202511039&amp;ictv_id=ICTV202011039","ICTV202011039")</f>
        <v>ICTV202011039</v>
      </c>
      <c r="R12190" t="s">
        <v>581</v>
      </c>
      <c r="S12190" t="s">
        <v>22764</v>
      </c>
      <c r="T12190">
        <v>39</v>
      </c>
      <c r="U12190" s="26" t="str">
        <f t="shared" si="450"/>
        <v>2023.001B.Leviviricetes_reorg.zip</v>
      </c>
    </row>
    <row r="12191" spans="1:21">
      <c r="A12191">
        <v>12190</v>
      </c>
      <c r="B12191" s="27" t="s">
        <v>1124</v>
      </c>
      <c r="D12191" s="27" t="s">
        <v>1859</v>
      </c>
      <c r="F12191" s="27" t="s">
        <v>1881</v>
      </c>
      <c r="H12191" s="27" t="s">
        <v>2679</v>
      </c>
      <c r="J12191" s="27" t="s">
        <v>3210</v>
      </c>
      <c r="L12191" s="27" t="s">
        <v>3262</v>
      </c>
      <c r="N12191" s="27" t="s">
        <v>15846</v>
      </c>
      <c r="P12191" s="27" t="s">
        <v>16019</v>
      </c>
      <c r="Q12191" s="26" t="str">
        <f>HYPERLINK("https://ictv.global/taxonomy/taxondetails?taxnode_id=202511040&amp;ictv_id=ICTV202011040","ICTV202011040")</f>
        <v>ICTV202011040</v>
      </c>
      <c r="R12191" t="s">
        <v>581</v>
      </c>
      <c r="S12191" t="s">
        <v>22764</v>
      </c>
      <c r="T12191">
        <v>39</v>
      </c>
      <c r="U12191" s="26" t="str">
        <f t="shared" si="450"/>
        <v>2023.001B.Leviviricetes_reorg.zip</v>
      </c>
    </row>
    <row r="12192" spans="1:21">
      <c r="A12192">
        <v>12191</v>
      </c>
      <c r="B12192" s="27" t="s">
        <v>1124</v>
      </c>
      <c r="D12192" s="27" t="s">
        <v>1859</v>
      </c>
      <c r="F12192" s="27" t="s">
        <v>1881</v>
      </c>
      <c r="H12192" s="27" t="s">
        <v>2679</v>
      </c>
      <c r="J12192" s="27" t="s">
        <v>3210</v>
      </c>
      <c r="L12192" s="27" t="s">
        <v>3262</v>
      </c>
      <c r="N12192" s="27" t="s">
        <v>15846</v>
      </c>
      <c r="P12192" s="27" t="s">
        <v>16020</v>
      </c>
      <c r="Q12192" s="26" t="str">
        <f>HYPERLINK("https://ictv.global/taxonomy/taxondetails?taxnode_id=202511041&amp;ictv_id=ICTV202011041","ICTV202011041")</f>
        <v>ICTV202011041</v>
      </c>
      <c r="R12192" t="s">
        <v>581</v>
      </c>
      <c r="S12192" t="s">
        <v>22764</v>
      </c>
      <c r="T12192">
        <v>39</v>
      </c>
      <c r="U12192" s="26" t="str">
        <f t="shared" si="450"/>
        <v>2023.001B.Leviviricetes_reorg.zip</v>
      </c>
    </row>
    <row r="12193" spans="1:21">
      <c r="A12193">
        <v>12192</v>
      </c>
      <c r="B12193" s="27" t="s">
        <v>1124</v>
      </c>
      <c r="D12193" s="27" t="s">
        <v>1859</v>
      </c>
      <c r="F12193" s="27" t="s">
        <v>1881</v>
      </c>
      <c r="H12193" s="27" t="s">
        <v>2679</v>
      </c>
      <c r="J12193" s="27" t="s">
        <v>3210</v>
      </c>
      <c r="L12193" s="27" t="s">
        <v>3262</v>
      </c>
      <c r="N12193" s="27" t="s">
        <v>15846</v>
      </c>
      <c r="P12193" s="27" t="s">
        <v>16021</v>
      </c>
      <c r="Q12193" s="26" t="str">
        <f>HYPERLINK("https://ictv.global/taxonomy/taxondetails?taxnode_id=202511042&amp;ictv_id=ICTV202011042","ICTV202011042")</f>
        <v>ICTV202011042</v>
      </c>
      <c r="R12193" t="s">
        <v>581</v>
      </c>
      <c r="S12193" t="s">
        <v>22764</v>
      </c>
      <c r="T12193">
        <v>39</v>
      </c>
      <c r="U12193" s="26" t="str">
        <f t="shared" si="450"/>
        <v>2023.001B.Leviviricetes_reorg.zip</v>
      </c>
    </row>
    <row r="12194" spans="1:21">
      <c r="A12194">
        <v>12193</v>
      </c>
      <c r="B12194" s="27" t="s">
        <v>1124</v>
      </c>
      <c r="D12194" s="27" t="s">
        <v>1859</v>
      </c>
      <c r="F12194" s="27" t="s">
        <v>1881</v>
      </c>
      <c r="H12194" s="27" t="s">
        <v>2679</v>
      </c>
      <c r="J12194" s="27" t="s">
        <v>3210</v>
      </c>
      <c r="L12194" s="27" t="s">
        <v>3262</v>
      </c>
      <c r="N12194" s="27" t="s">
        <v>15846</v>
      </c>
      <c r="P12194" s="27" t="s">
        <v>16022</v>
      </c>
      <c r="Q12194" s="26" t="str">
        <f>HYPERLINK("https://ictv.global/taxonomy/taxondetails?taxnode_id=202511043&amp;ictv_id=ICTV202011043","ICTV202011043")</f>
        <v>ICTV202011043</v>
      </c>
      <c r="R12194" t="s">
        <v>581</v>
      </c>
      <c r="S12194" t="s">
        <v>22764</v>
      </c>
      <c r="T12194">
        <v>39</v>
      </c>
      <c r="U12194" s="26" t="str">
        <f t="shared" si="450"/>
        <v>2023.001B.Leviviricetes_reorg.zip</v>
      </c>
    </row>
    <row r="12195" spans="1:21">
      <c r="A12195">
        <v>12194</v>
      </c>
      <c r="B12195" s="27" t="s">
        <v>1124</v>
      </c>
      <c r="D12195" s="27" t="s">
        <v>1859</v>
      </c>
      <c r="F12195" s="27" t="s">
        <v>1881</v>
      </c>
      <c r="H12195" s="27" t="s">
        <v>2679</v>
      </c>
      <c r="J12195" s="27" t="s">
        <v>3210</v>
      </c>
      <c r="L12195" s="27" t="s">
        <v>3262</v>
      </c>
      <c r="N12195" s="27" t="s">
        <v>15846</v>
      </c>
      <c r="P12195" s="27" t="s">
        <v>16023</v>
      </c>
      <c r="Q12195" s="26" t="str">
        <f>HYPERLINK("https://ictv.global/taxonomy/taxondetails?taxnode_id=202517245&amp;ictv_id=ICTV202317245","ICTV202317245")</f>
        <v>ICTV202317245</v>
      </c>
      <c r="R12195" t="s">
        <v>581</v>
      </c>
      <c r="S12195" t="s">
        <v>823</v>
      </c>
      <c r="T12195">
        <v>39</v>
      </c>
      <c r="U12195" s="26" t="str">
        <f t="shared" si="450"/>
        <v>2023.001B.Leviviricetes_reorg.zip</v>
      </c>
    </row>
    <row r="12196" spans="1:21">
      <c r="A12196">
        <v>12195</v>
      </c>
      <c r="B12196" s="27" t="s">
        <v>1124</v>
      </c>
      <c r="D12196" s="27" t="s">
        <v>1859</v>
      </c>
      <c r="F12196" s="27" t="s">
        <v>1881</v>
      </c>
      <c r="H12196" s="27" t="s">
        <v>2679</v>
      </c>
      <c r="J12196" s="27" t="s">
        <v>3210</v>
      </c>
      <c r="L12196" s="27" t="s">
        <v>3262</v>
      </c>
      <c r="N12196" s="27" t="s">
        <v>15846</v>
      </c>
      <c r="P12196" s="27" t="s">
        <v>16024</v>
      </c>
      <c r="Q12196" s="26" t="str">
        <f>HYPERLINK("https://ictv.global/taxonomy/taxondetails?taxnode_id=202517246&amp;ictv_id=ICTV202317246","ICTV202317246")</f>
        <v>ICTV202317246</v>
      </c>
      <c r="R12196" t="s">
        <v>581</v>
      </c>
      <c r="S12196" t="s">
        <v>823</v>
      </c>
      <c r="T12196">
        <v>39</v>
      </c>
      <c r="U12196" s="26" t="str">
        <f t="shared" si="450"/>
        <v>2023.001B.Leviviricetes_reorg.zip</v>
      </c>
    </row>
    <row r="12197" spans="1:21">
      <c r="A12197">
        <v>12196</v>
      </c>
      <c r="B12197" s="27" t="s">
        <v>1124</v>
      </c>
      <c r="D12197" s="27" t="s">
        <v>1859</v>
      </c>
      <c r="F12197" s="27" t="s">
        <v>1881</v>
      </c>
      <c r="H12197" s="27" t="s">
        <v>2679</v>
      </c>
      <c r="J12197" s="27" t="s">
        <v>3210</v>
      </c>
      <c r="L12197" s="27" t="s">
        <v>3262</v>
      </c>
      <c r="N12197" s="27" t="s">
        <v>15846</v>
      </c>
      <c r="P12197" s="27" t="s">
        <v>16025</v>
      </c>
      <c r="Q12197" s="26" t="str">
        <f>HYPERLINK("https://ictv.global/taxonomy/taxondetails?taxnode_id=202517247&amp;ictv_id=ICTV202317247","ICTV202317247")</f>
        <v>ICTV202317247</v>
      </c>
      <c r="R12197" t="s">
        <v>581</v>
      </c>
      <c r="S12197" t="s">
        <v>823</v>
      </c>
      <c r="T12197">
        <v>39</v>
      </c>
      <c r="U12197" s="26" t="str">
        <f t="shared" si="450"/>
        <v>2023.001B.Leviviricetes_reorg.zip</v>
      </c>
    </row>
    <row r="12198" spans="1:21">
      <c r="A12198">
        <v>12197</v>
      </c>
      <c r="B12198" s="27" t="s">
        <v>1124</v>
      </c>
      <c r="D12198" s="27" t="s">
        <v>1859</v>
      </c>
      <c r="F12198" s="27" t="s">
        <v>1881</v>
      </c>
      <c r="H12198" s="27" t="s">
        <v>2679</v>
      </c>
      <c r="J12198" s="27" t="s">
        <v>3210</v>
      </c>
      <c r="L12198" s="27" t="s">
        <v>3262</v>
      </c>
      <c r="N12198" s="27" t="s">
        <v>15846</v>
      </c>
      <c r="P12198" s="27" t="s">
        <v>16026</v>
      </c>
      <c r="Q12198" s="26" t="str">
        <f>HYPERLINK("https://ictv.global/taxonomy/taxondetails?taxnode_id=202517248&amp;ictv_id=ICTV202317248","ICTV202317248")</f>
        <v>ICTV202317248</v>
      </c>
      <c r="R12198" t="s">
        <v>581</v>
      </c>
      <c r="S12198" t="s">
        <v>823</v>
      </c>
      <c r="T12198">
        <v>39</v>
      </c>
      <c r="U12198" s="26" t="str">
        <f t="shared" si="450"/>
        <v>2023.001B.Leviviricetes_reorg.zip</v>
      </c>
    </row>
    <row r="12199" spans="1:21">
      <c r="A12199">
        <v>12198</v>
      </c>
      <c r="B12199" s="27" t="s">
        <v>1124</v>
      </c>
      <c r="D12199" s="27" t="s">
        <v>1859</v>
      </c>
      <c r="F12199" s="27" t="s">
        <v>1881</v>
      </c>
      <c r="H12199" s="27" t="s">
        <v>2679</v>
      </c>
      <c r="J12199" s="27" t="s">
        <v>3210</v>
      </c>
      <c r="L12199" s="27" t="s">
        <v>3262</v>
      </c>
      <c r="N12199" s="27" t="s">
        <v>15846</v>
      </c>
      <c r="P12199" s="27" t="s">
        <v>16027</v>
      </c>
      <c r="Q12199" s="26" t="str">
        <f>HYPERLINK("https://ictv.global/taxonomy/taxondetails?taxnode_id=202517249&amp;ictv_id=ICTV202317249","ICTV202317249")</f>
        <v>ICTV202317249</v>
      </c>
      <c r="R12199" t="s">
        <v>581</v>
      </c>
      <c r="S12199" t="s">
        <v>823</v>
      </c>
      <c r="T12199">
        <v>39</v>
      </c>
      <c r="U12199" s="26" t="str">
        <f t="shared" si="450"/>
        <v>2023.001B.Leviviricetes_reorg.zip</v>
      </c>
    </row>
    <row r="12200" spans="1:21">
      <c r="A12200">
        <v>12199</v>
      </c>
      <c r="B12200" s="27" t="s">
        <v>1124</v>
      </c>
      <c r="D12200" s="27" t="s">
        <v>1859</v>
      </c>
      <c r="F12200" s="27" t="s">
        <v>1881</v>
      </c>
      <c r="H12200" s="27" t="s">
        <v>2679</v>
      </c>
      <c r="J12200" s="27" t="s">
        <v>3210</v>
      </c>
      <c r="L12200" s="27" t="s">
        <v>3262</v>
      </c>
      <c r="N12200" s="27" t="s">
        <v>15846</v>
      </c>
      <c r="P12200" s="27" t="s">
        <v>16028</v>
      </c>
      <c r="Q12200" s="26" t="str">
        <f>HYPERLINK("https://ictv.global/taxonomy/taxondetails?taxnode_id=202517250&amp;ictv_id=ICTV202317250","ICTV202317250")</f>
        <v>ICTV202317250</v>
      </c>
      <c r="R12200" t="s">
        <v>581</v>
      </c>
      <c r="S12200" t="s">
        <v>823</v>
      </c>
      <c r="T12200">
        <v>39</v>
      </c>
      <c r="U12200" s="26" t="str">
        <f t="shared" si="450"/>
        <v>2023.001B.Leviviricetes_reorg.zip</v>
      </c>
    </row>
    <row r="12201" spans="1:21">
      <c r="A12201">
        <v>12200</v>
      </c>
      <c r="B12201" s="27" t="s">
        <v>1124</v>
      </c>
      <c r="D12201" s="27" t="s">
        <v>1859</v>
      </c>
      <c r="F12201" s="27" t="s">
        <v>1881</v>
      </c>
      <c r="H12201" s="27" t="s">
        <v>2679</v>
      </c>
      <c r="J12201" s="27" t="s">
        <v>3210</v>
      </c>
      <c r="L12201" s="27" t="s">
        <v>3262</v>
      </c>
      <c r="N12201" s="27" t="s">
        <v>15846</v>
      </c>
      <c r="P12201" s="27" t="s">
        <v>16029</v>
      </c>
      <c r="Q12201" s="26" t="str">
        <f>HYPERLINK("https://ictv.global/taxonomy/taxondetails?taxnode_id=202517251&amp;ictv_id=ICTV202317251","ICTV202317251")</f>
        <v>ICTV202317251</v>
      </c>
      <c r="R12201" t="s">
        <v>581</v>
      </c>
      <c r="S12201" t="s">
        <v>823</v>
      </c>
      <c r="T12201">
        <v>39</v>
      </c>
      <c r="U12201" s="26" t="str">
        <f t="shared" si="450"/>
        <v>2023.001B.Leviviricetes_reorg.zip</v>
      </c>
    </row>
    <row r="12202" spans="1:21">
      <c r="A12202">
        <v>12201</v>
      </c>
      <c r="B12202" s="27" t="s">
        <v>1124</v>
      </c>
      <c r="D12202" s="27" t="s">
        <v>1859</v>
      </c>
      <c r="F12202" s="27" t="s">
        <v>1881</v>
      </c>
      <c r="H12202" s="27" t="s">
        <v>2679</v>
      </c>
      <c r="J12202" s="27" t="s">
        <v>3210</v>
      </c>
      <c r="L12202" s="27" t="s">
        <v>3262</v>
      </c>
      <c r="N12202" s="27" t="s">
        <v>15846</v>
      </c>
      <c r="P12202" s="27" t="s">
        <v>16030</v>
      </c>
      <c r="Q12202" s="26" t="str">
        <f>HYPERLINK("https://ictv.global/taxonomy/taxondetails?taxnode_id=202517252&amp;ictv_id=ICTV202317252","ICTV202317252")</f>
        <v>ICTV202317252</v>
      </c>
      <c r="R12202" t="s">
        <v>581</v>
      </c>
      <c r="S12202" t="s">
        <v>823</v>
      </c>
      <c r="T12202">
        <v>39</v>
      </c>
      <c r="U12202" s="26" t="str">
        <f t="shared" si="450"/>
        <v>2023.001B.Leviviricetes_reorg.zip</v>
      </c>
    </row>
    <row r="12203" spans="1:21">
      <c r="A12203">
        <v>12202</v>
      </c>
      <c r="B12203" s="27" t="s">
        <v>1124</v>
      </c>
      <c r="D12203" s="27" t="s">
        <v>1859</v>
      </c>
      <c r="F12203" s="27" t="s">
        <v>1881</v>
      </c>
      <c r="H12203" s="27" t="s">
        <v>2679</v>
      </c>
      <c r="J12203" s="27" t="s">
        <v>3210</v>
      </c>
      <c r="L12203" s="27" t="s">
        <v>3262</v>
      </c>
      <c r="N12203" s="27" t="s">
        <v>15846</v>
      </c>
      <c r="P12203" s="27" t="s">
        <v>16031</v>
      </c>
      <c r="Q12203" s="26" t="str">
        <f>HYPERLINK("https://ictv.global/taxonomy/taxondetails?taxnode_id=202511416&amp;ictv_id=ICTV202011416","ICTV202011416")</f>
        <v>ICTV202011416</v>
      </c>
      <c r="R12203" t="s">
        <v>581</v>
      </c>
      <c r="S12203" t="s">
        <v>22764</v>
      </c>
      <c r="T12203">
        <v>39</v>
      </c>
      <c r="U12203" s="26" t="str">
        <f t="shared" si="450"/>
        <v>2023.001B.Leviviricetes_reorg.zip</v>
      </c>
    </row>
    <row r="12204" spans="1:21">
      <c r="A12204">
        <v>12203</v>
      </c>
      <c r="B12204" s="27" t="s">
        <v>1124</v>
      </c>
      <c r="D12204" s="27" t="s">
        <v>1859</v>
      </c>
      <c r="F12204" s="27" t="s">
        <v>1881</v>
      </c>
      <c r="H12204" s="27" t="s">
        <v>2679</v>
      </c>
      <c r="J12204" s="27" t="s">
        <v>3210</v>
      </c>
      <c r="L12204" s="27" t="s">
        <v>3262</v>
      </c>
      <c r="N12204" s="27" t="s">
        <v>15846</v>
      </c>
      <c r="P12204" s="27" t="s">
        <v>16032</v>
      </c>
      <c r="Q12204" s="26" t="str">
        <f>HYPERLINK("https://ictv.global/taxonomy/taxondetails?taxnode_id=202517253&amp;ictv_id=ICTV202317253","ICTV202317253")</f>
        <v>ICTV202317253</v>
      </c>
      <c r="R12204" t="s">
        <v>581</v>
      </c>
      <c r="S12204" t="s">
        <v>823</v>
      </c>
      <c r="T12204">
        <v>39</v>
      </c>
      <c r="U12204" s="26" t="str">
        <f t="shared" si="450"/>
        <v>2023.001B.Leviviricetes_reorg.zip</v>
      </c>
    </row>
    <row r="12205" spans="1:21">
      <c r="A12205">
        <v>12204</v>
      </c>
      <c r="B12205" s="27" t="s">
        <v>1124</v>
      </c>
      <c r="D12205" s="27" t="s">
        <v>1859</v>
      </c>
      <c r="F12205" s="27" t="s">
        <v>1881</v>
      </c>
      <c r="H12205" s="27" t="s">
        <v>2679</v>
      </c>
      <c r="J12205" s="27" t="s">
        <v>3210</v>
      </c>
      <c r="L12205" s="27" t="s">
        <v>3262</v>
      </c>
      <c r="N12205" s="27" t="s">
        <v>15846</v>
      </c>
      <c r="P12205" s="27" t="s">
        <v>16033</v>
      </c>
      <c r="Q12205" s="26" t="str">
        <f>HYPERLINK("https://ictv.global/taxonomy/taxondetails?taxnode_id=202517254&amp;ictv_id=ICTV202317254","ICTV202317254")</f>
        <v>ICTV202317254</v>
      </c>
      <c r="R12205" t="s">
        <v>581</v>
      </c>
      <c r="S12205" t="s">
        <v>823</v>
      </c>
      <c r="T12205">
        <v>39</v>
      </c>
      <c r="U12205" s="26" t="str">
        <f t="shared" si="450"/>
        <v>2023.001B.Leviviricetes_reorg.zip</v>
      </c>
    </row>
    <row r="12206" spans="1:21">
      <c r="A12206">
        <v>12205</v>
      </c>
      <c r="B12206" s="27" t="s">
        <v>1124</v>
      </c>
      <c r="D12206" s="27" t="s">
        <v>1859</v>
      </c>
      <c r="F12206" s="27" t="s">
        <v>1881</v>
      </c>
      <c r="H12206" s="27" t="s">
        <v>2679</v>
      </c>
      <c r="J12206" s="27" t="s">
        <v>3210</v>
      </c>
      <c r="L12206" s="27" t="s">
        <v>3262</v>
      </c>
      <c r="N12206" s="27" t="s">
        <v>15846</v>
      </c>
      <c r="P12206" s="27" t="s">
        <v>16034</v>
      </c>
      <c r="Q12206" s="26" t="str">
        <f>HYPERLINK("https://ictv.global/taxonomy/taxondetails?taxnode_id=202517255&amp;ictv_id=ICTV202317255","ICTV202317255")</f>
        <v>ICTV202317255</v>
      </c>
      <c r="R12206" t="s">
        <v>581</v>
      </c>
      <c r="S12206" t="s">
        <v>823</v>
      </c>
      <c r="T12206">
        <v>39</v>
      </c>
      <c r="U12206" s="26" t="str">
        <f t="shared" si="450"/>
        <v>2023.001B.Leviviricetes_reorg.zip</v>
      </c>
    </row>
    <row r="12207" spans="1:21">
      <c r="A12207">
        <v>12206</v>
      </c>
      <c r="B12207" s="27" t="s">
        <v>1124</v>
      </c>
      <c r="D12207" s="27" t="s">
        <v>1859</v>
      </c>
      <c r="F12207" s="27" t="s">
        <v>1881</v>
      </c>
      <c r="H12207" s="27" t="s">
        <v>2679</v>
      </c>
      <c r="J12207" s="27" t="s">
        <v>3210</v>
      </c>
      <c r="L12207" s="27" t="s">
        <v>3262</v>
      </c>
      <c r="N12207" s="27" t="s">
        <v>15846</v>
      </c>
      <c r="P12207" s="27" t="s">
        <v>16035</v>
      </c>
      <c r="Q12207" s="26" t="str">
        <f>HYPERLINK("https://ictv.global/taxonomy/taxondetails?taxnode_id=202517256&amp;ictv_id=ICTV202317256","ICTV202317256")</f>
        <v>ICTV202317256</v>
      </c>
      <c r="R12207" t="s">
        <v>581</v>
      </c>
      <c r="S12207" t="s">
        <v>823</v>
      </c>
      <c r="T12207">
        <v>39</v>
      </c>
      <c r="U12207" s="26" t="str">
        <f t="shared" si="450"/>
        <v>2023.001B.Leviviricetes_reorg.zip</v>
      </c>
    </row>
    <row r="12208" spans="1:21">
      <c r="A12208">
        <v>12207</v>
      </c>
      <c r="B12208" s="27" t="s">
        <v>1124</v>
      </c>
      <c r="D12208" s="27" t="s">
        <v>1859</v>
      </c>
      <c r="F12208" s="27" t="s">
        <v>1881</v>
      </c>
      <c r="H12208" s="27" t="s">
        <v>2679</v>
      </c>
      <c r="J12208" s="27" t="s">
        <v>3210</v>
      </c>
      <c r="L12208" s="27" t="s">
        <v>3262</v>
      </c>
      <c r="N12208" s="27" t="s">
        <v>15846</v>
      </c>
      <c r="P12208" s="27" t="s">
        <v>16036</v>
      </c>
      <c r="Q12208" s="26" t="str">
        <f>HYPERLINK("https://ictv.global/taxonomy/taxondetails?taxnode_id=202510982&amp;ictv_id=ICTV202010982","ICTV202010982")</f>
        <v>ICTV202010982</v>
      </c>
      <c r="R12208" t="s">
        <v>581</v>
      </c>
      <c r="S12208" t="s">
        <v>22764</v>
      </c>
      <c r="T12208">
        <v>39</v>
      </c>
      <c r="U12208" s="26" t="str">
        <f t="shared" si="450"/>
        <v>2023.001B.Leviviricetes_reorg.zip</v>
      </c>
    </row>
    <row r="12209" spans="1:21">
      <c r="A12209">
        <v>12208</v>
      </c>
      <c r="B12209" s="27" t="s">
        <v>1124</v>
      </c>
      <c r="D12209" s="27" t="s">
        <v>1859</v>
      </c>
      <c r="F12209" s="27" t="s">
        <v>1881</v>
      </c>
      <c r="H12209" s="27" t="s">
        <v>2679</v>
      </c>
      <c r="J12209" s="27" t="s">
        <v>3210</v>
      </c>
      <c r="L12209" s="27" t="s">
        <v>3262</v>
      </c>
      <c r="N12209" s="27" t="s">
        <v>15846</v>
      </c>
      <c r="P12209" s="27" t="s">
        <v>16037</v>
      </c>
      <c r="Q12209" s="26" t="str">
        <f>HYPERLINK("https://ictv.global/taxonomy/taxondetails?taxnode_id=202510981&amp;ictv_id=ICTV202010981","ICTV202010981")</f>
        <v>ICTV202010981</v>
      </c>
      <c r="R12209" t="s">
        <v>581</v>
      </c>
      <c r="S12209" t="s">
        <v>22764</v>
      </c>
      <c r="T12209">
        <v>39</v>
      </c>
      <c r="U12209" s="26" t="str">
        <f t="shared" si="450"/>
        <v>2023.001B.Leviviricetes_reorg.zip</v>
      </c>
    </row>
    <row r="12210" spans="1:21">
      <c r="A12210">
        <v>12209</v>
      </c>
      <c r="B12210" s="27" t="s">
        <v>1124</v>
      </c>
      <c r="D12210" s="27" t="s">
        <v>1859</v>
      </c>
      <c r="F12210" s="27" t="s">
        <v>1881</v>
      </c>
      <c r="H12210" s="27" t="s">
        <v>2679</v>
      </c>
      <c r="J12210" s="27" t="s">
        <v>3210</v>
      </c>
      <c r="L12210" s="27" t="s">
        <v>3262</v>
      </c>
      <c r="N12210" s="27" t="s">
        <v>15846</v>
      </c>
      <c r="P12210" s="27" t="s">
        <v>16038</v>
      </c>
      <c r="Q12210" s="26" t="str">
        <f>HYPERLINK("https://ictv.global/taxonomy/taxondetails?taxnode_id=202510984&amp;ictv_id=ICTV202010984","ICTV202010984")</f>
        <v>ICTV202010984</v>
      </c>
      <c r="R12210" t="s">
        <v>581</v>
      </c>
      <c r="S12210" t="s">
        <v>22764</v>
      </c>
      <c r="T12210">
        <v>39</v>
      </c>
      <c r="U12210" s="26" t="str">
        <f t="shared" si="450"/>
        <v>2023.001B.Leviviricetes_reorg.zip</v>
      </c>
    </row>
    <row r="12211" spans="1:21">
      <c r="A12211">
        <v>12210</v>
      </c>
      <c r="B12211" s="27" t="s">
        <v>1124</v>
      </c>
      <c r="D12211" s="27" t="s">
        <v>1859</v>
      </c>
      <c r="F12211" s="27" t="s">
        <v>1881</v>
      </c>
      <c r="H12211" s="27" t="s">
        <v>2679</v>
      </c>
      <c r="J12211" s="27" t="s">
        <v>3210</v>
      </c>
      <c r="L12211" s="27" t="s">
        <v>3262</v>
      </c>
      <c r="N12211" s="27" t="s">
        <v>15846</v>
      </c>
      <c r="P12211" s="27" t="s">
        <v>16039</v>
      </c>
      <c r="Q12211" s="26" t="str">
        <f>HYPERLINK("https://ictv.global/taxonomy/taxondetails?taxnode_id=202511214&amp;ictv_id=ICTV202011214","ICTV202011214")</f>
        <v>ICTV202011214</v>
      </c>
      <c r="R12211" t="s">
        <v>581</v>
      </c>
      <c r="S12211" t="s">
        <v>22764</v>
      </c>
      <c r="T12211">
        <v>39</v>
      </c>
      <c r="U12211" s="26" t="str">
        <f t="shared" si="450"/>
        <v>2023.001B.Leviviricetes_reorg.zip</v>
      </c>
    </row>
    <row r="12212" spans="1:21">
      <c r="A12212">
        <v>12211</v>
      </c>
      <c r="B12212" s="27" t="s">
        <v>1124</v>
      </c>
      <c r="D12212" s="27" t="s">
        <v>1859</v>
      </c>
      <c r="F12212" s="27" t="s">
        <v>1881</v>
      </c>
      <c r="H12212" s="27" t="s">
        <v>2679</v>
      </c>
      <c r="J12212" s="27" t="s">
        <v>3210</v>
      </c>
      <c r="L12212" s="27" t="s">
        <v>3262</v>
      </c>
      <c r="N12212" s="27" t="s">
        <v>15846</v>
      </c>
      <c r="P12212" s="27" t="s">
        <v>16040</v>
      </c>
      <c r="Q12212" s="26" t="str">
        <f>HYPERLINK("https://ictv.global/taxonomy/taxondetails?taxnode_id=202511215&amp;ictv_id=ICTV202011215","ICTV202011215")</f>
        <v>ICTV202011215</v>
      </c>
      <c r="R12212" t="s">
        <v>581</v>
      </c>
      <c r="S12212" t="s">
        <v>22764</v>
      </c>
      <c r="T12212">
        <v>39</v>
      </c>
      <c r="U12212" s="26" t="str">
        <f t="shared" si="450"/>
        <v>2023.001B.Leviviricetes_reorg.zip</v>
      </c>
    </row>
    <row r="12213" spans="1:21">
      <c r="A12213">
        <v>12212</v>
      </c>
      <c r="B12213" s="27" t="s">
        <v>1124</v>
      </c>
      <c r="D12213" s="27" t="s">
        <v>1859</v>
      </c>
      <c r="F12213" s="27" t="s">
        <v>1881</v>
      </c>
      <c r="H12213" s="27" t="s">
        <v>2679</v>
      </c>
      <c r="J12213" s="27" t="s">
        <v>3210</v>
      </c>
      <c r="L12213" s="27" t="s">
        <v>3262</v>
      </c>
      <c r="N12213" s="27" t="s">
        <v>15846</v>
      </c>
      <c r="P12213" s="27" t="s">
        <v>16041</v>
      </c>
      <c r="Q12213" s="26" t="str">
        <f>HYPERLINK("https://ictv.global/taxonomy/taxondetails?taxnode_id=202511216&amp;ictv_id=ICTV202011216","ICTV202011216")</f>
        <v>ICTV202011216</v>
      </c>
      <c r="R12213" t="s">
        <v>581</v>
      </c>
      <c r="S12213" t="s">
        <v>22764</v>
      </c>
      <c r="T12213">
        <v>39</v>
      </c>
      <c r="U12213" s="26" t="str">
        <f t="shared" si="450"/>
        <v>2023.001B.Leviviricetes_reorg.zip</v>
      </c>
    </row>
    <row r="12214" spans="1:21">
      <c r="A12214">
        <v>12213</v>
      </c>
      <c r="B12214" s="27" t="s">
        <v>1124</v>
      </c>
      <c r="D12214" s="27" t="s">
        <v>1859</v>
      </c>
      <c r="F12214" s="27" t="s">
        <v>1881</v>
      </c>
      <c r="H12214" s="27" t="s">
        <v>2679</v>
      </c>
      <c r="J12214" s="27" t="s">
        <v>3210</v>
      </c>
      <c r="L12214" s="27" t="s">
        <v>3262</v>
      </c>
      <c r="N12214" s="27" t="s">
        <v>15846</v>
      </c>
      <c r="P12214" s="27" t="s">
        <v>16042</v>
      </c>
      <c r="Q12214" s="26" t="str">
        <f>HYPERLINK("https://ictv.global/taxonomy/taxondetails?taxnode_id=202511421&amp;ictv_id=ICTV202011421","ICTV202011421")</f>
        <v>ICTV202011421</v>
      </c>
      <c r="R12214" t="s">
        <v>581</v>
      </c>
      <c r="S12214" t="s">
        <v>22764</v>
      </c>
      <c r="T12214">
        <v>39</v>
      </c>
      <c r="U12214" s="26" t="str">
        <f t="shared" si="450"/>
        <v>2023.001B.Leviviricetes_reorg.zip</v>
      </c>
    </row>
    <row r="12215" spans="1:21">
      <c r="A12215">
        <v>12214</v>
      </c>
      <c r="B12215" s="27" t="s">
        <v>1124</v>
      </c>
      <c r="D12215" s="27" t="s">
        <v>1859</v>
      </c>
      <c r="F12215" s="27" t="s">
        <v>1881</v>
      </c>
      <c r="H12215" s="27" t="s">
        <v>2679</v>
      </c>
      <c r="J12215" s="27" t="s">
        <v>3210</v>
      </c>
      <c r="L12215" s="27" t="s">
        <v>3262</v>
      </c>
      <c r="N12215" s="27" t="s">
        <v>15846</v>
      </c>
      <c r="P12215" s="27" t="s">
        <v>16043</v>
      </c>
      <c r="Q12215" s="26" t="str">
        <f>HYPERLINK("https://ictv.global/taxonomy/taxondetails?taxnode_id=202511299&amp;ictv_id=ICTV202011299","ICTV202011299")</f>
        <v>ICTV202011299</v>
      </c>
      <c r="R12215" t="s">
        <v>581</v>
      </c>
      <c r="S12215" t="s">
        <v>22764</v>
      </c>
      <c r="T12215">
        <v>39</v>
      </c>
      <c r="U12215" s="26" t="str">
        <f t="shared" si="450"/>
        <v>2023.001B.Leviviricetes_reorg.zip</v>
      </c>
    </row>
    <row r="12216" spans="1:21">
      <c r="A12216">
        <v>12215</v>
      </c>
      <c r="B12216" s="27" t="s">
        <v>1124</v>
      </c>
      <c r="D12216" s="27" t="s">
        <v>1859</v>
      </c>
      <c r="F12216" s="27" t="s">
        <v>1881</v>
      </c>
      <c r="H12216" s="27" t="s">
        <v>2679</v>
      </c>
      <c r="J12216" s="27" t="s">
        <v>3210</v>
      </c>
      <c r="L12216" s="27" t="s">
        <v>3262</v>
      </c>
      <c r="N12216" s="27" t="s">
        <v>15846</v>
      </c>
      <c r="P12216" s="27" t="s">
        <v>16044</v>
      </c>
      <c r="Q12216" s="26" t="str">
        <f>HYPERLINK("https://ictv.global/taxonomy/taxondetails?taxnode_id=202517257&amp;ictv_id=ICTV202317257","ICTV202317257")</f>
        <v>ICTV202317257</v>
      </c>
      <c r="R12216" t="s">
        <v>581</v>
      </c>
      <c r="S12216" t="s">
        <v>823</v>
      </c>
      <c r="T12216">
        <v>39</v>
      </c>
      <c r="U12216" s="26" t="str">
        <f t="shared" si="450"/>
        <v>2023.001B.Leviviricetes_reorg.zip</v>
      </c>
    </row>
    <row r="12217" spans="1:21">
      <c r="A12217">
        <v>12216</v>
      </c>
      <c r="B12217" s="27" t="s">
        <v>1124</v>
      </c>
      <c r="D12217" s="27" t="s">
        <v>1859</v>
      </c>
      <c r="F12217" s="27" t="s">
        <v>1881</v>
      </c>
      <c r="H12217" s="27" t="s">
        <v>2679</v>
      </c>
      <c r="J12217" s="27" t="s">
        <v>3210</v>
      </c>
      <c r="L12217" s="27" t="s">
        <v>3262</v>
      </c>
      <c r="N12217" s="27" t="s">
        <v>15846</v>
      </c>
      <c r="P12217" s="27" t="s">
        <v>16045</v>
      </c>
      <c r="Q12217" s="26" t="str">
        <f>HYPERLINK("https://ictv.global/taxonomy/taxondetails?taxnode_id=202511425&amp;ictv_id=ICTV202011425","ICTV202011425")</f>
        <v>ICTV202011425</v>
      </c>
      <c r="R12217" t="s">
        <v>581</v>
      </c>
      <c r="S12217" t="s">
        <v>22764</v>
      </c>
      <c r="T12217">
        <v>39</v>
      </c>
      <c r="U12217" s="26" t="str">
        <f t="shared" si="450"/>
        <v>2023.001B.Leviviricetes_reorg.zip</v>
      </c>
    </row>
    <row r="12218" spans="1:21">
      <c r="A12218">
        <v>12217</v>
      </c>
      <c r="B12218" s="27" t="s">
        <v>1124</v>
      </c>
      <c r="D12218" s="27" t="s">
        <v>1859</v>
      </c>
      <c r="F12218" s="27" t="s">
        <v>1881</v>
      </c>
      <c r="H12218" s="27" t="s">
        <v>2679</v>
      </c>
      <c r="J12218" s="27" t="s">
        <v>3210</v>
      </c>
      <c r="L12218" s="27" t="s">
        <v>3262</v>
      </c>
      <c r="N12218" s="27" t="s">
        <v>15846</v>
      </c>
      <c r="P12218" s="27" t="s">
        <v>16046</v>
      </c>
      <c r="Q12218" s="26" t="str">
        <f>HYPERLINK("https://ictv.global/taxonomy/taxondetails?taxnode_id=202517258&amp;ictv_id=ICTV202317258","ICTV202317258")</f>
        <v>ICTV202317258</v>
      </c>
      <c r="R12218" t="s">
        <v>581</v>
      </c>
      <c r="S12218" t="s">
        <v>823</v>
      </c>
      <c r="T12218">
        <v>39</v>
      </c>
      <c r="U12218" s="26" t="str">
        <f t="shared" si="450"/>
        <v>2023.001B.Leviviricetes_reorg.zip</v>
      </c>
    </row>
    <row r="12219" spans="1:21">
      <c r="A12219">
        <v>12218</v>
      </c>
      <c r="B12219" s="27" t="s">
        <v>1124</v>
      </c>
      <c r="D12219" s="27" t="s">
        <v>1859</v>
      </c>
      <c r="F12219" s="27" t="s">
        <v>1881</v>
      </c>
      <c r="H12219" s="27" t="s">
        <v>2679</v>
      </c>
      <c r="J12219" s="27" t="s">
        <v>3210</v>
      </c>
      <c r="L12219" s="27" t="s">
        <v>3262</v>
      </c>
      <c r="N12219" s="27" t="s">
        <v>15846</v>
      </c>
      <c r="P12219" s="27" t="s">
        <v>16047</v>
      </c>
      <c r="Q12219" s="26" t="str">
        <f>HYPERLINK("https://ictv.global/taxonomy/taxondetails?taxnode_id=202517259&amp;ictv_id=ICTV202317259","ICTV202317259")</f>
        <v>ICTV202317259</v>
      </c>
      <c r="R12219" t="s">
        <v>581</v>
      </c>
      <c r="S12219" t="s">
        <v>823</v>
      </c>
      <c r="T12219">
        <v>39</v>
      </c>
      <c r="U12219" s="26" t="str">
        <f t="shared" si="450"/>
        <v>2023.001B.Leviviricetes_reorg.zip</v>
      </c>
    </row>
    <row r="12220" spans="1:21">
      <c r="A12220">
        <v>12219</v>
      </c>
      <c r="B12220" s="27" t="s">
        <v>1124</v>
      </c>
      <c r="D12220" s="27" t="s">
        <v>1859</v>
      </c>
      <c r="F12220" s="27" t="s">
        <v>1881</v>
      </c>
      <c r="H12220" s="27" t="s">
        <v>2679</v>
      </c>
      <c r="J12220" s="27" t="s">
        <v>3210</v>
      </c>
      <c r="L12220" s="27" t="s">
        <v>3262</v>
      </c>
      <c r="N12220" s="27" t="s">
        <v>15846</v>
      </c>
      <c r="P12220" s="27" t="s">
        <v>16048</v>
      </c>
      <c r="Q12220" s="26" t="str">
        <f>HYPERLINK("https://ictv.global/taxonomy/taxondetails?taxnode_id=202517260&amp;ictv_id=ICTV202317260","ICTV202317260")</f>
        <v>ICTV202317260</v>
      </c>
      <c r="R12220" t="s">
        <v>581</v>
      </c>
      <c r="S12220" t="s">
        <v>823</v>
      </c>
      <c r="T12220">
        <v>39</v>
      </c>
      <c r="U12220" s="26" t="str">
        <f t="shared" si="450"/>
        <v>2023.001B.Leviviricetes_reorg.zip</v>
      </c>
    </row>
    <row r="12221" spans="1:21">
      <c r="A12221">
        <v>12220</v>
      </c>
      <c r="B12221" s="27" t="s">
        <v>1124</v>
      </c>
      <c r="D12221" s="27" t="s">
        <v>1859</v>
      </c>
      <c r="F12221" s="27" t="s">
        <v>1881</v>
      </c>
      <c r="H12221" s="27" t="s">
        <v>2679</v>
      </c>
      <c r="J12221" s="27" t="s">
        <v>3210</v>
      </c>
      <c r="L12221" s="27" t="s">
        <v>3262</v>
      </c>
      <c r="N12221" s="27" t="s">
        <v>15846</v>
      </c>
      <c r="P12221" s="27" t="s">
        <v>16049</v>
      </c>
      <c r="Q12221" s="26" t="str">
        <f>HYPERLINK("https://ictv.global/taxonomy/taxondetails?taxnode_id=202517261&amp;ictv_id=ICTV202317261","ICTV202317261")</f>
        <v>ICTV202317261</v>
      </c>
      <c r="R12221" t="s">
        <v>581</v>
      </c>
      <c r="S12221" t="s">
        <v>823</v>
      </c>
      <c r="T12221">
        <v>39</v>
      </c>
      <c r="U12221" s="26" t="str">
        <f t="shared" si="450"/>
        <v>2023.001B.Leviviricetes_reorg.zip</v>
      </c>
    </row>
    <row r="12222" spans="1:21">
      <c r="A12222">
        <v>12221</v>
      </c>
      <c r="B12222" s="27" t="s">
        <v>1124</v>
      </c>
      <c r="D12222" s="27" t="s">
        <v>1859</v>
      </c>
      <c r="F12222" s="27" t="s">
        <v>1881</v>
      </c>
      <c r="H12222" s="27" t="s">
        <v>2679</v>
      </c>
      <c r="J12222" s="27" t="s">
        <v>3210</v>
      </c>
      <c r="L12222" s="27" t="s">
        <v>3262</v>
      </c>
      <c r="N12222" s="27" t="s">
        <v>15846</v>
      </c>
      <c r="P12222" s="27" t="s">
        <v>16050</v>
      </c>
      <c r="Q12222" s="26" t="str">
        <f>HYPERLINK("https://ictv.global/taxonomy/taxondetails?taxnode_id=202517262&amp;ictv_id=ICTV202317262","ICTV202317262")</f>
        <v>ICTV202317262</v>
      </c>
      <c r="R12222" t="s">
        <v>581</v>
      </c>
      <c r="S12222" t="s">
        <v>823</v>
      </c>
      <c r="T12222">
        <v>39</v>
      </c>
      <c r="U12222" s="26" t="str">
        <f t="shared" si="450"/>
        <v>2023.001B.Leviviricetes_reorg.zip</v>
      </c>
    </row>
    <row r="12223" spans="1:21">
      <c r="A12223">
        <v>12222</v>
      </c>
      <c r="B12223" s="27" t="s">
        <v>1124</v>
      </c>
      <c r="D12223" s="27" t="s">
        <v>1859</v>
      </c>
      <c r="F12223" s="27" t="s">
        <v>1881</v>
      </c>
      <c r="H12223" s="27" t="s">
        <v>2679</v>
      </c>
      <c r="J12223" s="27" t="s">
        <v>3210</v>
      </c>
      <c r="L12223" s="27" t="s">
        <v>3262</v>
      </c>
      <c r="N12223" s="27" t="s">
        <v>15846</v>
      </c>
      <c r="P12223" s="27" t="s">
        <v>16051</v>
      </c>
      <c r="Q12223" s="26" t="str">
        <f>HYPERLINK("https://ictv.global/taxonomy/taxondetails?taxnode_id=202517263&amp;ictv_id=ICTV202317263","ICTV202317263")</f>
        <v>ICTV202317263</v>
      </c>
      <c r="R12223" t="s">
        <v>581</v>
      </c>
      <c r="S12223" t="s">
        <v>823</v>
      </c>
      <c r="T12223">
        <v>39</v>
      </c>
      <c r="U12223" s="26" t="str">
        <f t="shared" si="450"/>
        <v>2023.001B.Leviviricetes_reorg.zip</v>
      </c>
    </row>
    <row r="12224" spans="1:21">
      <c r="A12224">
        <v>12223</v>
      </c>
      <c r="B12224" s="27" t="s">
        <v>1124</v>
      </c>
      <c r="D12224" s="27" t="s">
        <v>1859</v>
      </c>
      <c r="F12224" s="27" t="s">
        <v>1881</v>
      </c>
      <c r="H12224" s="27" t="s">
        <v>2679</v>
      </c>
      <c r="J12224" s="27" t="s">
        <v>3210</v>
      </c>
      <c r="L12224" s="27" t="s">
        <v>3262</v>
      </c>
      <c r="N12224" s="27" t="s">
        <v>15846</v>
      </c>
      <c r="P12224" s="27" t="s">
        <v>16052</v>
      </c>
      <c r="Q12224" s="26" t="str">
        <f>HYPERLINK("https://ictv.global/taxonomy/taxondetails?taxnode_id=202517264&amp;ictv_id=ICTV202317264","ICTV202317264")</f>
        <v>ICTV202317264</v>
      </c>
      <c r="R12224" t="s">
        <v>581</v>
      </c>
      <c r="S12224" t="s">
        <v>823</v>
      </c>
      <c r="T12224">
        <v>39</v>
      </c>
      <c r="U12224" s="26" t="str">
        <f t="shared" si="450"/>
        <v>2023.001B.Leviviricetes_reorg.zip</v>
      </c>
    </row>
    <row r="12225" spans="1:21">
      <c r="A12225">
        <v>12224</v>
      </c>
      <c r="B12225" s="27" t="s">
        <v>1124</v>
      </c>
      <c r="D12225" s="27" t="s">
        <v>1859</v>
      </c>
      <c r="F12225" s="27" t="s">
        <v>1881</v>
      </c>
      <c r="H12225" s="27" t="s">
        <v>2679</v>
      </c>
      <c r="J12225" s="27" t="s">
        <v>3210</v>
      </c>
      <c r="L12225" s="27" t="s">
        <v>3262</v>
      </c>
      <c r="N12225" s="27" t="s">
        <v>15846</v>
      </c>
      <c r="P12225" s="27" t="s">
        <v>16053</v>
      </c>
      <c r="Q12225" s="26" t="str">
        <f>HYPERLINK("https://ictv.global/taxonomy/taxondetails?taxnode_id=202517265&amp;ictv_id=ICTV202317265","ICTV202317265")</f>
        <v>ICTV202317265</v>
      </c>
      <c r="R12225" t="s">
        <v>581</v>
      </c>
      <c r="S12225" t="s">
        <v>823</v>
      </c>
      <c r="T12225">
        <v>39</v>
      </c>
      <c r="U12225" s="26" t="str">
        <f t="shared" si="450"/>
        <v>2023.001B.Leviviricetes_reorg.zip</v>
      </c>
    </row>
    <row r="12226" spans="1:21">
      <c r="A12226">
        <v>12225</v>
      </c>
      <c r="B12226" s="27" t="s">
        <v>1124</v>
      </c>
      <c r="D12226" s="27" t="s">
        <v>1859</v>
      </c>
      <c r="F12226" s="27" t="s">
        <v>1881</v>
      </c>
      <c r="H12226" s="27" t="s">
        <v>2679</v>
      </c>
      <c r="J12226" s="27" t="s">
        <v>3210</v>
      </c>
      <c r="L12226" s="27" t="s">
        <v>3262</v>
      </c>
      <c r="N12226" s="27" t="s">
        <v>15846</v>
      </c>
      <c r="P12226" s="27" t="s">
        <v>16054</v>
      </c>
      <c r="Q12226" s="26" t="str">
        <f>HYPERLINK("https://ictv.global/taxonomy/taxondetails?taxnode_id=202517266&amp;ictv_id=ICTV202317266","ICTV202317266")</f>
        <v>ICTV202317266</v>
      </c>
      <c r="R12226" t="s">
        <v>581</v>
      </c>
      <c r="S12226" t="s">
        <v>823</v>
      </c>
      <c r="T12226">
        <v>39</v>
      </c>
      <c r="U12226" s="26" t="str">
        <f t="shared" si="450"/>
        <v>2023.001B.Leviviricetes_reorg.zip</v>
      </c>
    </row>
    <row r="12227" spans="1:21">
      <c r="A12227">
        <v>12226</v>
      </c>
      <c r="B12227" s="27" t="s">
        <v>1124</v>
      </c>
      <c r="D12227" s="27" t="s">
        <v>1859</v>
      </c>
      <c r="F12227" s="27" t="s">
        <v>1881</v>
      </c>
      <c r="H12227" s="27" t="s">
        <v>2679</v>
      </c>
      <c r="J12227" s="27" t="s">
        <v>3210</v>
      </c>
      <c r="L12227" s="27" t="s">
        <v>3262</v>
      </c>
      <c r="N12227" s="27" t="s">
        <v>15846</v>
      </c>
      <c r="P12227" s="27" t="s">
        <v>16055</v>
      </c>
      <c r="Q12227" s="26" t="str">
        <f>HYPERLINK("https://ictv.global/taxonomy/taxondetails?taxnode_id=202517267&amp;ictv_id=ICTV202317267","ICTV202317267")</f>
        <v>ICTV202317267</v>
      </c>
      <c r="R12227" t="s">
        <v>581</v>
      </c>
      <c r="S12227" t="s">
        <v>823</v>
      </c>
      <c r="T12227">
        <v>39</v>
      </c>
      <c r="U12227" s="26" t="str">
        <f t="shared" si="450"/>
        <v>2023.001B.Leviviricetes_reorg.zip</v>
      </c>
    </row>
    <row r="12228" spans="1:21">
      <c r="A12228">
        <v>12227</v>
      </c>
      <c r="B12228" s="27" t="s">
        <v>1124</v>
      </c>
      <c r="D12228" s="27" t="s">
        <v>1859</v>
      </c>
      <c r="F12228" s="27" t="s">
        <v>1881</v>
      </c>
      <c r="H12228" s="27" t="s">
        <v>2679</v>
      </c>
      <c r="J12228" s="27" t="s">
        <v>3210</v>
      </c>
      <c r="L12228" s="27" t="s">
        <v>3262</v>
      </c>
      <c r="N12228" s="27" t="s">
        <v>15846</v>
      </c>
      <c r="P12228" s="27" t="s">
        <v>16056</v>
      </c>
      <c r="Q12228" s="26" t="str">
        <f>HYPERLINK("https://ictv.global/taxonomy/taxondetails?taxnode_id=202511189&amp;ictv_id=ICTV202011189","ICTV202011189")</f>
        <v>ICTV202011189</v>
      </c>
      <c r="R12228" t="s">
        <v>581</v>
      </c>
      <c r="S12228" t="s">
        <v>22764</v>
      </c>
      <c r="T12228">
        <v>39</v>
      </c>
      <c r="U12228" s="26" t="str">
        <f t="shared" si="450"/>
        <v>2023.001B.Leviviricetes_reorg.zip</v>
      </c>
    </row>
    <row r="12229" spans="1:21">
      <c r="A12229">
        <v>12228</v>
      </c>
      <c r="B12229" s="27" t="s">
        <v>1124</v>
      </c>
      <c r="D12229" s="27" t="s">
        <v>1859</v>
      </c>
      <c r="F12229" s="27" t="s">
        <v>1881</v>
      </c>
      <c r="H12229" s="27" t="s">
        <v>2679</v>
      </c>
      <c r="J12229" s="27" t="s">
        <v>3210</v>
      </c>
      <c r="L12229" s="27" t="s">
        <v>3262</v>
      </c>
      <c r="N12229" s="27" t="s">
        <v>15846</v>
      </c>
      <c r="P12229" s="27" t="s">
        <v>16057</v>
      </c>
      <c r="Q12229" s="26" t="str">
        <f>HYPERLINK("https://ictv.global/taxonomy/taxondetails?taxnode_id=202517268&amp;ictv_id=ICTV202317268","ICTV202317268")</f>
        <v>ICTV202317268</v>
      </c>
      <c r="R12229" t="s">
        <v>581</v>
      </c>
      <c r="S12229" t="s">
        <v>823</v>
      </c>
      <c r="T12229">
        <v>39</v>
      </c>
      <c r="U12229" s="26" t="str">
        <f t="shared" si="450"/>
        <v>2023.001B.Leviviricetes_reorg.zip</v>
      </c>
    </row>
    <row r="12230" spans="1:21">
      <c r="A12230">
        <v>12229</v>
      </c>
      <c r="B12230" s="27" t="s">
        <v>1124</v>
      </c>
      <c r="D12230" s="27" t="s">
        <v>1859</v>
      </c>
      <c r="F12230" s="27" t="s">
        <v>1881</v>
      </c>
      <c r="H12230" s="27" t="s">
        <v>2679</v>
      </c>
      <c r="J12230" s="27" t="s">
        <v>3210</v>
      </c>
      <c r="L12230" s="27" t="s">
        <v>3262</v>
      </c>
      <c r="N12230" s="27" t="s">
        <v>15846</v>
      </c>
      <c r="P12230" s="27" t="s">
        <v>16058</v>
      </c>
      <c r="Q12230" s="26" t="str">
        <f>HYPERLINK("https://ictv.global/taxonomy/taxondetails?taxnode_id=202517269&amp;ictv_id=ICTV202317269","ICTV202317269")</f>
        <v>ICTV202317269</v>
      </c>
      <c r="R12230" t="s">
        <v>581</v>
      </c>
      <c r="S12230" t="s">
        <v>823</v>
      </c>
      <c r="T12230">
        <v>39</v>
      </c>
      <c r="U12230" s="26" t="str">
        <f t="shared" si="450"/>
        <v>2023.001B.Leviviricetes_reorg.zip</v>
      </c>
    </row>
    <row r="12231" spans="1:21">
      <c r="A12231">
        <v>12230</v>
      </c>
      <c r="B12231" s="27" t="s">
        <v>1124</v>
      </c>
      <c r="D12231" s="27" t="s">
        <v>1859</v>
      </c>
      <c r="F12231" s="27" t="s">
        <v>1881</v>
      </c>
      <c r="H12231" s="27" t="s">
        <v>2679</v>
      </c>
      <c r="J12231" s="27" t="s">
        <v>3210</v>
      </c>
      <c r="L12231" s="27" t="s">
        <v>3262</v>
      </c>
      <c r="N12231" s="27" t="s">
        <v>15846</v>
      </c>
      <c r="P12231" s="27" t="s">
        <v>16059</v>
      </c>
      <c r="Q12231" s="26" t="str">
        <f>HYPERLINK("https://ictv.global/taxonomy/taxondetails?taxnode_id=202517270&amp;ictv_id=ICTV202317270","ICTV202317270")</f>
        <v>ICTV202317270</v>
      </c>
      <c r="R12231" t="s">
        <v>581</v>
      </c>
      <c r="S12231" t="s">
        <v>823</v>
      </c>
      <c r="T12231">
        <v>39</v>
      </c>
      <c r="U12231" s="26" t="str">
        <f t="shared" si="450"/>
        <v>2023.001B.Leviviricetes_reorg.zip</v>
      </c>
    </row>
    <row r="12232" spans="1:21">
      <c r="A12232">
        <v>12231</v>
      </c>
      <c r="B12232" s="27" t="s">
        <v>1124</v>
      </c>
      <c r="D12232" s="27" t="s">
        <v>1859</v>
      </c>
      <c r="F12232" s="27" t="s">
        <v>1881</v>
      </c>
      <c r="H12232" s="27" t="s">
        <v>2679</v>
      </c>
      <c r="J12232" s="27" t="s">
        <v>3210</v>
      </c>
      <c r="L12232" s="27" t="s">
        <v>3262</v>
      </c>
      <c r="N12232" s="27" t="s">
        <v>15846</v>
      </c>
      <c r="P12232" s="27" t="s">
        <v>16060</v>
      </c>
      <c r="Q12232" s="26" t="str">
        <f>HYPERLINK("https://ictv.global/taxonomy/taxondetails?taxnode_id=202511330&amp;ictv_id=ICTV202011330","ICTV202011330")</f>
        <v>ICTV202011330</v>
      </c>
      <c r="R12232" t="s">
        <v>581</v>
      </c>
      <c r="S12232" t="s">
        <v>22764</v>
      </c>
      <c r="T12232">
        <v>39</v>
      </c>
      <c r="U12232" s="26" t="str">
        <f t="shared" ref="U12232:U12295" si="451">HYPERLINK("https://ictv.global/ictv/proposals/2023.001B.Leviviricetes_reorg.zip","2023.001B.Leviviricetes_reorg.zip")</f>
        <v>2023.001B.Leviviricetes_reorg.zip</v>
      </c>
    </row>
    <row r="12233" spans="1:21">
      <c r="A12233">
        <v>12232</v>
      </c>
      <c r="B12233" s="27" t="s">
        <v>1124</v>
      </c>
      <c r="D12233" s="27" t="s">
        <v>1859</v>
      </c>
      <c r="F12233" s="27" t="s">
        <v>1881</v>
      </c>
      <c r="H12233" s="27" t="s">
        <v>2679</v>
      </c>
      <c r="J12233" s="27" t="s">
        <v>3210</v>
      </c>
      <c r="L12233" s="27" t="s">
        <v>3262</v>
      </c>
      <c r="N12233" s="27" t="s">
        <v>15846</v>
      </c>
      <c r="P12233" s="27" t="s">
        <v>16061</v>
      </c>
      <c r="Q12233" s="26" t="str">
        <f>HYPERLINK("https://ictv.global/taxonomy/taxondetails?taxnode_id=202511333&amp;ictv_id=ICTV202011333","ICTV202011333")</f>
        <v>ICTV202011333</v>
      </c>
      <c r="R12233" t="s">
        <v>581</v>
      </c>
      <c r="S12233" t="s">
        <v>22764</v>
      </c>
      <c r="T12233">
        <v>39</v>
      </c>
      <c r="U12233" s="26" t="str">
        <f t="shared" si="451"/>
        <v>2023.001B.Leviviricetes_reorg.zip</v>
      </c>
    </row>
    <row r="12234" spans="1:21">
      <c r="A12234">
        <v>12233</v>
      </c>
      <c r="B12234" s="27" t="s">
        <v>1124</v>
      </c>
      <c r="D12234" s="27" t="s">
        <v>1859</v>
      </c>
      <c r="F12234" s="27" t="s">
        <v>1881</v>
      </c>
      <c r="H12234" s="27" t="s">
        <v>2679</v>
      </c>
      <c r="J12234" s="27" t="s">
        <v>3210</v>
      </c>
      <c r="L12234" s="27" t="s">
        <v>3262</v>
      </c>
      <c r="N12234" s="27" t="s">
        <v>15846</v>
      </c>
      <c r="P12234" s="27" t="s">
        <v>16062</v>
      </c>
      <c r="Q12234" s="26" t="str">
        <f>HYPERLINK("https://ictv.global/taxonomy/taxondetails?taxnode_id=202517271&amp;ictv_id=ICTV202317271","ICTV202317271")</f>
        <v>ICTV202317271</v>
      </c>
      <c r="R12234" t="s">
        <v>581</v>
      </c>
      <c r="S12234" t="s">
        <v>823</v>
      </c>
      <c r="T12234">
        <v>39</v>
      </c>
      <c r="U12234" s="26" t="str">
        <f t="shared" si="451"/>
        <v>2023.001B.Leviviricetes_reorg.zip</v>
      </c>
    </row>
    <row r="12235" spans="1:21">
      <c r="A12235">
        <v>12234</v>
      </c>
      <c r="B12235" s="27" t="s">
        <v>1124</v>
      </c>
      <c r="D12235" s="27" t="s">
        <v>1859</v>
      </c>
      <c r="F12235" s="27" t="s">
        <v>1881</v>
      </c>
      <c r="H12235" s="27" t="s">
        <v>2679</v>
      </c>
      <c r="J12235" s="27" t="s">
        <v>3210</v>
      </c>
      <c r="L12235" s="27" t="s">
        <v>3262</v>
      </c>
      <c r="N12235" s="27" t="s">
        <v>15846</v>
      </c>
      <c r="P12235" s="27" t="s">
        <v>16063</v>
      </c>
      <c r="Q12235" s="26" t="str">
        <f>HYPERLINK("https://ictv.global/taxonomy/taxondetails?taxnode_id=202511194&amp;ictv_id=ICTV202011194","ICTV202011194")</f>
        <v>ICTV202011194</v>
      </c>
      <c r="R12235" t="s">
        <v>581</v>
      </c>
      <c r="S12235" t="s">
        <v>22764</v>
      </c>
      <c r="T12235">
        <v>39</v>
      </c>
      <c r="U12235" s="26" t="str">
        <f t="shared" si="451"/>
        <v>2023.001B.Leviviricetes_reorg.zip</v>
      </c>
    </row>
    <row r="12236" spans="1:21">
      <c r="A12236">
        <v>12235</v>
      </c>
      <c r="B12236" s="27" t="s">
        <v>1124</v>
      </c>
      <c r="D12236" s="27" t="s">
        <v>1859</v>
      </c>
      <c r="F12236" s="27" t="s">
        <v>1881</v>
      </c>
      <c r="H12236" s="27" t="s">
        <v>2679</v>
      </c>
      <c r="J12236" s="27" t="s">
        <v>3210</v>
      </c>
      <c r="L12236" s="27" t="s">
        <v>3262</v>
      </c>
      <c r="N12236" s="27" t="s">
        <v>15846</v>
      </c>
      <c r="P12236" s="27" t="s">
        <v>16064</v>
      </c>
      <c r="Q12236" s="26" t="str">
        <f>HYPERLINK("https://ictv.global/taxonomy/taxondetails?taxnode_id=202517272&amp;ictv_id=ICTV202317272","ICTV202317272")</f>
        <v>ICTV202317272</v>
      </c>
      <c r="R12236" t="s">
        <v>581</v>
      </c>
      <c r="S12236" t="s">
        <v>823</v>
      </c>
      <c r="T12236">
        <v>39</v>
      </c>
      <c r="U12236" s="26" t="str">
        <f t="shared" si="451"/>
        <v>2023.001B.Leviviricetes_reorg.zip</v>
      </c>
    </row>
    <row r="12237" spans="1:21">
      <c r="A12237">
        <v>12236</v>
      </c>
      <c r="B12237" s="27" t="s">
        <v>1124</v>
      </c>
      <c r="D12237" s="27" t="s">
        <v>1859</v>
      </c>
      <c r="F12237" s="27" t="s">
        <v>1881</v>
      </c>
      <c r="H12237" s="27" t="s">
        <v>2679</v>
      </c>
      <c r="J12237" s="27" t="s">
        <v>3210</v>
      </c>
      <c r="L12237" s="27" t="s">
        <v>3262</v>
      </c>
      <c r="N12237" s="27" t="s">
        <v>15846</v>
      </c>
      <c r="P12237" s="27" t="s">
        <v>16065</v>
      </c>
      <c r="Q12237" s="26" t="str">
        <f>HYPERLINK("https://ictv.global/taxonomy/taxondetails?taxnode_id=202511279&amp;ictv_id=ICTV202011279","ICTV202011279")</f>
        <v>ICTV202011279</v>
      </c>
      <c r="R12237" t="s">
        <v>581</v>
      </c>
      <c r="S12237" t="s">
        <v>22764</v>
      </c>
      <c r="T12237">
        <v>39</v>
      </c>
      <c r="U12237" s="26" t="str">
        <f t="shared" si="451"/>
        <v>2023.001B.Leviviricetes_reorg.zip</v>
      </c>
    </row>
    <row r="12238" spans="1:21">
      <c r="A12238">
        <v>12237</v>
      </c>
      <c r="B12238" s="27" t="s">
        <v>1124</v>
      </c>
      <c r="D12238" s="27" t="s">
        <v>1859</v>
      </c>
      <c r="F12238" s="27" t="s">
        <v>1881</v>
      </c>
      <c r="H12238" s="27" t="s">
        <v>2679</v>
      </c>
      <c r="J12238" s="27" t="s">
        <v>3210</v>
      </c>
      <c r="L12238" s="27" t="s">
        <v>3262</v>
      </c>
      <c r="N12238" s="27" t="s">
        <v>15846</v>
      </c>
      <c r="P12238" s="27" t="s">
        <v>16066</v>
      </c>
      <c r="Q12238" s="26" t="str">
        <f>HYPERLINK("https://ictv.global/taxonomy/taxondetails?taxnode_id=202517273&amp;ictv_id=ICTV202317273","ICTV202317273")</f>
        <v>ICTV202317273</v>
      </c>
      <c r="R12238" t="s">
        <v>581</v>
      </c>
      <c r="S12238" t="s">
        <v>823</v>
      </c>
      <c r="T12238">
        <v>39</v>
      </c>
      <c r="U12238" s="26" t="str">
        <f t="shared" si="451"/>
        <v>2023.001B.Leviviricetes_reorg.zip</v>
      </c>
    </row>
    <row r="12239" spans="1:21">
      <c r="A12239">
        <v>12238</v>
      </c>
      <c r="B12239" s="27" t="s">
        <v>1124</v>
      </c>
      <c r="D12239" s="27" t="s">
        <v>1859</v>
      </c>
      <c r="F12239" s="27" t="s">
        <v>1881</v>
      </c>
      <c r="H12239" s="27" t="s">
        <v>2679</v>
      </c>
      <c r="J12239" s="27" t="s">
        <v>3210</v>
      </c>
      <c r="L12239" s="27" t="s">
        <v>3262</v>
      </c>
      <c r="N12239" s="27" t="s">
        <v>15846</v>
      </c>
      <c r="P12239" s="27" t="s">
        <v>16067</v>
      </c>
      <c r="Q12239" s="26" t="str">
        <f>HYPERLINK("https://ictv.global/taxonomy/taxondetails?taxnode_id=202511291&amp;ictv_id=ICTV202011291","ICTV202011291")</f>
        <v>ICTV202011291</v>
      </c>
      <c r="R12239" t="s">
        <v>581</v>
      </c>
      <c r="S12239" t="s">
        <v>22764</v>
      </c>
      <c r="T12239">
        <v>39</v>
      </c>
      <c r="U12239" s="26" t="str">
        <f t="shared" si="451"/>
        <v>2023.001B.Leviviricetes_reorg.zip</v>
      </c>
    </row>
    <row r="12240" spans="1:21">
      <c r="A12240">
        <v>12239</v>
      </c>
      <c r="B12240" s="27" t="s">
        <v>1124</v>
      </c>
      <c r="D12240" s="27" t="s">
        <v>1859</v>
      </c>
      <c r="F12240" s="27" t="s">
        <v>1881</v>
      </c>
      <c r="H12240" s="27" t="s">
        <v>2679</v>
      </c>
      <c r="J12240" s="27" t="s">
        <v>3210</v>
      </c>
      <c r="L12240" s="27" t="s">
        <v>3262</v>
      </c>
      <c r="N12240" s="27" t="s">
        <v>15846</v>
      </c>
      <c r="P12240" s="27" t="s">
        <v>16068</v>
      </c>
      <c r="Q12240" s="26" t="str">
        <f>HYPERLINK("https://ictv.global/taxonomy/taxondetails?taxnode_id=202511294&amp;ictv_id=ICTV202011294","ICTV202011294")</f>
        <v>ICTV202011294</v>
      </c>
      <c r="R12240" t="s">
        <v>581</v>
      </c>
      <c r="S12240" t="s">
        <v>22764</v>
      </c>
      <c r="T12240">
        <v>39</v>
      </c>
      <c r="U12240" s="26" t="str">
        <f t="shared" si="451"/>
        <v>2023.001B.Leviviricetes_reorg.zip</v>
      </c>
    </row>
    <row r="12241" spans="1:21">
      <c r="A12241">
        <v>12240</v>
      </c>
      <c r="B12241" s="27" t="s">
        <v>1124</v>
      </c>
      <c r="D12241" s="27" t="s">
        <v>1859</v>
      </c>
      <c r="F12241" s="27" t="s">
        <v>1881</v>
      </c>
      <c r="H12241" s="27" t="s">
        <v>2679</v>
      </c>
      <c r="J12241" s="27" t="s">
        <v>3210</v>
      </c>
      <c r="L12241" s="27" t="s">
        <v>3262</v>
      </c>
      <c r="N12241" s="27" t="s">
        <v>15846</v>
      </c>
      <c r="P12241" s="27" t="s">
        <v>16069</v>
      </c>
      <c r="Q12241" s="26" t="str">
        <f>HYPERLINK("https://ictv.global/taxonomy/taxondetails?taxnode_id=202511293&amp;ictv_id=ICTV202011293","ICTV202011293")</f>
        <v>ICTV202011293</v>
      </c>
      <c r="R12241" t="s">
        <v>581</v>
      </c>
      <c r="S12241" t="s">
        <v>22764</v>
      </c>
      <c r="T12241">
        <v>39</v>
      </c>
      <c r="U12241" s="26" t="str">
        <f t="shared" si="451"/>
        <v>2023.001B.Leviviricetes_reorg.zip</v>
      </c>
    </row>
    <row r="12242" spans="1:21">
      <c r="A12242">
        <v>12241</v>
      </c>
      <c r="B12242" s="27" t="s">
        <v>1124</v>
      </c>
      <c r="D12242" s="27" t="s">
        <v>1859</v>
      </c>
      <c r="F12242" s="27" t="s">
        <v>1881</v>
      </c>
      <c r="H12242" s="27" t="s">
        <v>2679</v>
      </c>
      <c r="J12242" s="27" t="s">
        <v>3210</v>
      </c>
      <c r="L12242" s="27" t="s">
        <v>3262</v>
      </c>
      <c r="N12242" s="27" t="s">
        <v>15846</v>
      </c>
      <c r="P12242" s="27" t="s">
        <v>16070</v>
      </c>
      <c r="Q12242" s="26" t="str">
        <f>HYPERLINK("https://ictv.global/taxonomy/taxondetails?taxnode_id=202517274&amp;ictv_id=ICTV202317274","ICTV202317274")</f>
        <v>ICTV202317274</v>
      </c>
      <c r="R12242" t="s">
        <v>581</v>
      </c>
      <c r="S12242" t="s">
        <v>823</v>
      </c>
      <c r="T12242">
        <v>39</v>
      </c>
      <c r="U12242" s="26" t="str">
        <f t="shared" si="451"/>
        <v>2023.001B.Leviviricetes_reorg.zip</v>
      </c>
    </row>
    <row r="12243" spans="1:21">
      <c r="A12243">
        <v>12242</v>
      </c>
      <c r="B12243" s="27" t="s">
        <v>1124</v>
      </c>
      <c r="D12243" s="27" t="s">
        <v>1859</v>
      </c>
      <c r="F12243" s="27" t="s">
        <v>1881</v>
      </c>
      <c r="H12243" s="27" t="s">
        <v>2679</v>
      </c>
      <c r="J12243" s="27" t="s">
        <v>3210</v>
      </c>
      <c r="L12243" s="27" t="s">
        <v>3262</v>
      </c>
      <c r="N12243" s="27" t="s">
        <v>15846</v>
      </c>
      <c r="P12243" s="27" t="s">
        <v>16071</v>
      </c>
      <c r="Q12243" s="26" t="str">
        <f>HYPERLINK("https://ictv.global/taxonomy/taxondetails?taxnode_id=202517275&amp;ictv_id=ICTV202317275","ICTV202317275")</f>
        <v>ICTV202317275</v>
      </c>
      <c r="R12243" t="s">
        <v>581</v>
      </c>
      <c r="S12243" t="s">
        <v>823</v>
      </c>
      <c r="T12243">
        <v>39</v>
      </c>
      <c r="U12243" s="26" t="str">
        <f t="shared" si="451"/>
        <v>2023.001B.Leviviricetes_reorg.zip</v>
      </c>
    </row>
    <row r="12244" spans="1:21">
      <c r="A12244">
        <v>12243</v>
      </c>
      <c r="B12244" s="27" t="s">
        <v>1124</v>
      </c>
      <c r="D12244" s="27" t="s">
        <v>1859</v>
      </c>
      <c r="F12244" s="27" t="s">
        <v>1881</v>
      </c>
      <c r="H12244" s="27" t="s">
        <v>2679</v>
      </c>
      <c r="J12244" s="27" t="s">
        <v>3210</v>
      </c>
      <c r="L12244" s="27" t="s">
        <v>3262</v>
      </c>
      <c r="N12244" s="27" t="s">
        <v>15846</v>
      </c>
      <c r="P12244" s="27" t="s">
        <v>16072</v>
      </c>
      <c r="Q12244" s="26" t="str">
        <f>HYPERLINK("https://ictv.global/taxonomy/taxondetails?taxnode_id=202517276&amp;ictv_id=ICTV202317276","ICTV202317276")</f>
        <v>ICTV202317276</v>
      </c>
      <c r="R12244" t="s">
        <v>581</v>
      </c>
      <c r="S12244" t="s">
        <v>823</v>
      </c>
      <c r="T12244">
        <v>39</v>
      </c>
      <c r="U12244" s="26" t="str">
        <f t="shared" si="451"/>
        <v>2023.001B.Leviviricetes_reorg.zip</v>
      </c>
    </row>
    <row r="12245" spans="1:21">
      <c r="A12245">
        <v>12244</v>
      </c>
      <c r="B12245" s="27" t="s">
        <v>1124</v>
      </c>
      <c r="D12245" s="27" t="s">
        <v>1859</v>
      </c>
      <c r="F12245" s="27" t="s">
        <v>1881</v>
      </c>
      <c r="H12245" s="27" t="s">
        <v>2679</v>
      </c>
      <c r="J12245" s="27" t="s">
        <v>3210</v>
      </c>
      <c r="L12245" s="27" t="s">
        <v>3262</v>
      </c>
      <c r="N12245" s="27" t="s">
        <v>15846</v>
      </c>
      <c r="P12245" s="27" t="s">
        <v>16073</v>
      </c>
      <c r="Q12245" s="26" t="str">
        <f>HYPERLINK("https://ictv.global/taxonomy/taxondetails?taxnode_id=202517277&amp;ictv_id=ICTV202317277","ICTV202317277")</f>
        <v>ICTV202317277</v>
      </c>
      <c r="R12245" t="s">
        <v>581</v>
      </c>
      <c r="S12245" t="s">
        <v>823</v>
      </c>
      <c r="T12245">
        <v>39</v>
      </c>
      <c r="U12245" s="26" t="str">
        <f t="shared" si="451"/>
        <v>2023.001B.Leviviricetes_reorg.zip</v>
      </c>
    </row>
    <row r="12246" spans="1:21">
      <c r="A12246">
        <v>12245</v>
      </c>
      <c r="B12246" s="27" t="s">
        <v>1124</v>
      </c>
      <c r="D12246" s="27" t="s">
        <v>1859</v>
      </c>
      <c r="F12246" s="27" t="s">
        <v>1881</v>
      </c>
      <c r="H12246" s="27" t="s">
        <v>2679</v>
      </c>
      <c r="J12246" s="27" t="s">
        <v>3210</v>
      </c>
      <c r="L12246" s="27" t="s">
        <v>3262</v>
      </c>
      <c r="N12246" s="27" t="s">
        <v>15846</v>
      </c>
      <c r="P12246" s="27" t="s">
        <v>16074</v>
      </c>
      <c r="Q12246" s="26" t="str">
        <f>HYPERLINK("https://ictv.global/taxonomy/taxondetails?taxnode_id=202517278&amp;ictv_id=ICTV202317278","ICTV202317278")</f>
        <v>ICTV202317278</v>
      </c>
      <c r="R12246" t="s">
        <v>581</v>
      </c>
      <c r="S12246" t="s">
        <v>823</v>
      </c>
      <c r="T12246">
        <v>39</v>
      </c>
      <c r="U12246" s="26" t="str">
        <f t="shared" si="451"/>
        <v>2023.001B.Leviviricetes_reorg.zip</v>
      </c>
    </row>
    <row r="12247" spans="1:21">
      <c r="A12247">
        <v>12246</v>
      </c>
      <c r="B12247" s="27" t="s">
        <v>1124</v>
      </c>
      <c r="D12247" s="27" t="s">
        <v>1859</v>
      </c>
      <c r="F12247" s="27" t="s">
        <v>1881</v>
      </c>
      <c r="H12247" s="27" t="s">
        <v>2679</v>
      </c>
      <c r="J12247" s="27" t="s">
        <v>3210</v>
      </c>
      <c r="L12247" s="27" t="s">
        <v>3262</v>
      </c>
      <c r="N12247" s="27" t="s">
        <v>15846</v>
      </c>
      <c r="P12247" s="27" t="s">
        <v>16075</v>
      </c>
      <c r="Q12247" s="26" t="str">
        <f>HYPERLINK("https://ictv.global/taxonomy/taxondetails?taxnode_id=202517279&amp;ictv_id=ICTV202317279","ICTV202317279")</f>
        <v>ICTV202317279</v>
      </c>
      <c r="R12247" t="s">
        <v>581</v>
      </c>
      <c r="S12247" t="s">
        <v>823</v>
      </c>
      <c r="T12247">
        <v>39</v>
      </c>
      <c r="U12247" s="26" t="str">
        <f t="shared" si="451"/>
        <v>2023.001B.Leviviricetes_reorg.zip</v>
      </c>
    </row>
    <row r="12248" spans="1:21">
      <c r="A12248">
        <v>12247</v>
      </c>
      <c r="B12248" s="27" t="s">
        <v>1124</v>
      </c>
      <c r="D12248" s="27" t="s">
        <v>1859</v>
      </c>
      <c r="F12248" s="27" t="s">
        <v>1881</v>
      </c>
      <c r="H12248" s="27" t="s">
        <v>2679</v>
      </c>
      <c r="J12248" s="27" t="s">
        <v>3210</v>
      </c>
      <c r="L12248" s="27" t="s">
        <v>3262</v>
      </c>
      <c r="N12248" s="27" t="s">
        <v>15846</v>
      </c>
      <c r="P12248" s="27" t="s">
        <v>16076</v>
      </c>
      <c r="Q12248" s="26" t="str">
        <f>HYPERLINK("https://ictv.global/taxonomy/taxondetails?taxnode_id=202517280&amp;ictv_id=ICTV202317280","ICTV202317280")</f>
        <v>ICTV202317280</v>
      </c>
      <c r="R12248" t="s">
        <v>581</v>
      </c>
      <c r="S12248" t="s">
        <v>823</v>
      </c>
      <c r="T12248">
        <v>39</v>
      </c>
      <c r="U12248" s="26" t="str">
        <f t="shared" si="451"/>
        <v>2023.001B.Leviviricetes_reorg.zip</v>
      </c>
    </row>
    <row r="12249" spans="1:21">
      <c r="A12249">
        <v>12248</v>
      </c>
      <c r="B12249" s="27" t="s">
        <v>1124</v>
      </c>
      <c r="D12249" s="27" t="s">
        <v>1859</v>
      </c>
      <c r="F12249" s="27" t="s">
        <v>1881</v>
      </c>
      <c r="H12249" s="27" t="s">
        <v>2679</v>
      </c>
      <c r="J12249" s="27" t="s">
        <v>3210</v>
      </c>
      <c r="L12249" s="27" t="s">
        <v>3262</v>
      </c>
      <c r="N12249" s="27" t="s">
        <v>15846</v>
      </c>
      <c r="P12249" s="27" t="s">
        <v>16077</v>
      </c>
      <c r="Q12249" s="26" t="str">
        <f>HYPERLINK("https://ictv.global/taxonomy/taxondetails?taxnode_id=202511345&amp;ictv_id=ICTV202011345","ICTV202011345")</f>
        <v>ICTV202011345</v>
      </c>
      <c r="R12249" t="s">
        <v>581</v>
      </c>
      <c r="S12249" t="s">
        <v>22764</v>
      </c>
      <c r="T12249">
        <v>39</v>
      </c>
      <c r="U12249" s="26" t="str">
        <f t="shared" si="451"/>
        <v>2023.001B.Leviviricetes_reorg.zip</v>
      </c>
    </row>
    <row r="12250" spans="1:21">
      <c r="A12250">
        <v>12249</v>
      </c>
      <c r="B12250" s="27" t="s">
        <v>1124</v>
      </c>
      <c r="D12250" s="27" t="s">
        <v>1859</v>
      </c>
      <c r="F12250" s="27" t="s">
        <v>1881</v>
      </c>
      <c r="H12250" s="27" t="s">
        <v>2679</v>
      </c>
      <c r="J12250" s="27" t="s">
        <v>3210</v>
      </c>
      <c r="L12250" s="27" t="s">
        <v>3262</v>
      </c>
      <c r="N12250" s="27" t="s">
        <v>15846</v>
      </c>
      <c r="P12250" s="27" t="s">
        <v>16078</v>
      </c>
      <c r="Q12250" s="26" t="str">
        <f>HYPERLINK("https://ictv.global/taxonomy/taxondetails?taxnode_id=202517281&amp;ictv_id=ICTV202317281","ICTV202317281")</f>
        <v>ICTV202317281</v>
      </c>
      <c r="R12250" t="s">
        <v>581</v>
      </c>
      <c r="S12250" t="s">
        <v>823</v>
      </c>
      <c r="T12250">
        <v>39</v>
      </c>
      <c r="U12250" s="26" t="str">
        <f t="shared" si="451"/>
        <v>2023.001B.Leviviricetes_reorg.zip</v>
      </c>
    </row>
    <row r="12251" spans="1:21">
      <c r="A12251">
        <v>12250</v>
      </c>
      <c r="B12251" s="27" t="s">
        <v>1124</v>
      </c>
      <c r="D12251" s="27" t="s">
        <v>1859</v>
      </c>
      <c r="F12251" s="27" t="s">
        <v>1881</v>
      </c>
      <c r="H12251" s="27" t="s">
        <v>2679</v>
      </c>
      <c r="J12251" s="27" t="s">
        <v>3210</v>
      </c>
      <c r="L12251" s="27" t="s">
        <v>3262</v>
      </c>
      <c r="N12251" s="27" t="s">
        <v>15846</v>
      </c>
      <c r="P12251" s="27" t="s">
        <v>16079</v>
      </c>
      <c r="Q12251" s="26" t="str">
        <f>HYPERLINK("https://ictv.global/taxonomy/taxondetails?taxnode_id=202517282&amp;ictv_id=ICTV202317282","ICTV202317282")</f>
        <v>ICTV202317282</v>
      </c>
      <c r="R12251" t="s">
        <v>581</v>
      </c>
      <c r="S12251" t="s">
        <v>823</v>
      </c>
      <c r="T12251">
        <v>39</v>
      </c>
      <c r="U12251" s="26" t="str">
        <f t="shared" si="451"/>
        <v>2023.001B.Leviviricetes_reorg.zip</v>
      </c>
    </row>
    <row r="12252" spans="1:21">
      <c r="A12252">
        <v>12251</v>
      </c>
      <c r="B12252" s="27" t="s">
        <v>1124</v>
      </c>
      <c r="D12252" s="27" t="s">
        <v>1859</v>
      </c>
      <c r="F12252" s="27" t="s">
        <v>1881</v>
      </c>
      <c r="H12252" s="27" t="s">
        <v>2679</v>
      </c>
      <c r="J12252" s="27" t="s">
        <v>3210</v>
      </c>
      <c r="L12252" s="27" t="s">
        <v>3262</v>
      </c>
      <c r="N12252" s="27" t="s">
        <v>15846</v>
      </c>
      <c r="P12252" s="27" t="s">
        <v>16080</v>
      </c>
      <c r="Q12252" s="26" t="str">
        <f>HYPERLINK("https://ictv.global/taxonomy/taxondetails?taxnode_id=202517283&amp;ictv_id=ICTV202317283","ICTV202317283")</f>
        <v>ICTV202317283</v>
      </c>
      <c r="R12252" t="s">
        <v>581</v>
      </c>
      <c r="S12252" t="s">
        <v>823</v>
      </c>
      <c r="T12252">
        <v>39</v>
      </c>
      <c r="U12252" s="26" t="str">
        <f t="shared" si="451"/>
        <v>2023.001B.Leviviricetes_reorg.zip</v>
      </c>
    </row>
    <row r="12253" spans="1:21">
      <c r="A12253">
        <v>12252</v>
      </c>
      <c r="B12253" s="27" t="s">
        <v>1124</v>
      </c>
      <c r="D12253" s="27" t="s">
        <v>1859</v>
      </c>
      <c r="F12253" s="27" t="s">
        <v>1881</v>
      </c>
      <c r="H12253" s="27" t="s">
        <v>2679</v>
      </c>
      <c r="J12253" s="27" t="s">
        <v>3210</v>
      </c>
      <c r="L12253" s="27" t="s">
        <v>3262</v>
      </c>
      <c r="N12253" s="27" t="s">
        <v>15846</v>
      </c>
      <c r="P12253" s="27" t="s">
        <v>16081</v>
      </c>
      <c r="Q12253" s="26" t="str">
        <f>HYPERLINK("https://ictv.global/taxonomy/taxondetails?taxnode_id=202517284&amp;ictv_id=ICTV202317284","ICTV202317284")</f>
        <v>ICTV202317284</v>
      </c>
      <c r="R12253" t="s">
        <v>581</v>
      </c>
      <c r="S12253" t="s">
        <v>823</v>
      </c>
      <c r="T12253">
        <v>39</v>
      </c>
      <c r="U12253" s="26" t="str">
        <f t="shared" si="451"/>
        <v>2023.001B.Leviviricetes_reorg.zip</v>
      </c>
    </row>
    <row r="12254" spans="1:21">
      <c r="A12254">
        <v>12253</v>
      </c>
      <c r="B12254" s="27" t="s">
        <v>1124</v>
      </c>
      <c r="D12254" s="27" t="s">
        <v>1859</v>
      </c>
      <c r="F12254" s="27" t="s">
        <v>1881</v>
      </c>
      <c r="H12254" s="27" t="s">
        <v>2679</v>
      </c>
      <c r="J12254" s="27" t="s">
        <v>3210</v>
      </c>
      <c r="L12254" s="27" t="s">
        <v>3262</v>
      </c>
      <c r="N12254" s="27" t="s">
        <v>15846</v>
      </c>
      <c r="P12254" s="27" t="s">
        <v>16082</v>
      </c>
      <c r="Q12254" s="26" t="str">
        <f>HYPERLINK("https://ictv.global/taxonomy/taxondetails?taxnode_id=202517285&amp;ictv_id=ICTV202317285","ICTV202317285")</f>
        <v>ICTV202317285</v>
      </c>
      <c r="R12254" t="s">
        <v>581</v>
      </c>
      <c r="S12254" t="s">
        <v>823</v>
      </c>
      <c r="T12254">
        <v>39</v>
      </c>
      <c r="U12254" s="26" t="str">
        <f t="shared" si="451"/>
        <v>2023.001B.Leviviricetes_reorg.zip</v>
      </c>
    </row>
    <row r="12255" spans="1:21">
      <c r="A12255">
        <v>12254</v>
      </c>
      <c r="B12255" s="27" t="s">
        <v>1124</v>
      </c>
      <c r="D12255" s="27" t="s">
        <v>1859</v>
      </c>
      <c r="F12255" s="27" t="s">
        <v>1881</v>
      </c>
      <c r="H12255" s="27" t="s">
        <v>2679</v>
      </c>
      <c r="J12255" s="27" t="s">
        <v>3210</v>
      </c>
      <c r="L12255" s="27" t="s">
        <v>3262</v>
      </c>
      <c r="N12255" s="27" t="s">
        <v>15846</v>
      </c>
      <c r="P12255" s="27" t="s">
        <v>16083</v>
      </c>
      <c r="Q12255" s="26" t="str">
        <f>HYPERLINK("https://ictv.global/taxonomy/taxondetails?taxnode_id=202517286&amp;ictv_id=ICTV202317286","ICTV202317286")</f>
        <v>ICTV202317286</v>
      </c>
      <c r="R12255" t="s">
        <v>581</v>
      </c>
      <c r="S12255" t="s">
        <v>823</v>
      </c>
      <c r="T12255">
        <v>39</v>
      </c>
      <c r="U12255" s="26" t="str">
        <f t="shared" si="451"/>
        <v>2023.001B.Leviviricetes_reorg.zip</v>
      </c>
    </row>
    <row r="12256" spans="1:21">
      <c r="A12256">
        <v>12255</v>
      </c>
      <c r="B12256" s="27" t="s">
        <v>1124</v>
      </c>
      <c r="D12256" s="27" t="s">
        <v>1859</v>
      </c>
      <c r="F12256" s="27" t="s">
        <v>1881</v>
      </c>
      <c r="H12256" s="27" t="s">
        <v>2679</v>
      </c>
      <c r="J12256" s="27" t="s">
        <v>3210</v>
      </c>
      <c r="L12256" s="27" t="s">
        <v>3262</v>
      </c>
      <c r="N12256" s="27" t="s">
        <v>15846</v>
      </c>
      <c r="P12256" s="27" t="s">
        <v>16084</v>
      </c>
      <c r="Q12256" s="26" t="str">
        <f>HYPERLINK("https://ictv.global/taxonomy/taxondetails?taxnode_id=202517287&amp;ictv_id=ICTV202317287","ICTV202317287")</f>
        <v>ICTV202317287</v>
      </c>
      <c r="R12256" t="s">
        <v>581</v>
      </c>
      <c r="S12256" t="s">
        <v>823</v>
      </c>
      <c r="T12256">
        <v>39</v>
      </c>
      <c r="U12256" s="26" t="str">
        <f t="shared" si="451"/>
        <v>2023.001B.Leviviricetes_reorg.zip</v>
      </c>
    </row>
    <row r="12257" spans="1:21">
      <c r="A12257">
        <v>12256</v>
      </c>
      <c r="B12257" s="27" t="s">
        <v>1124</v>
      </c>
      <c r="D12257" s="27" t="s">
        <v>1859</v>
      </c>
      <c r="F12257" s="27" t="s">
        <v>1881</v>
      </c>
      <c r="H12257" s="27" t="s">
        <v>2679</v>
      </c>
      <c r="J12257" s="27" t="s">
        <v>3210</v>
      </c>
      <c r="L12257" s="27" t="s">
        <v>3262</v>
      </c>
      <c r="N12257" s="27" t="s">
        <v>15846</v>
      </c>
      <c r="P12257" s="27" t="s">
        <v>16085</v>
      </c>
      <c r="Q12257" s="26" t="str">
        <f>HYPERLINK("https://ictv.global/taxonomy/taxondetails?taxnode_id=202511415&amp;ictv_id=ICTV202011415","ICTV202011415")</f>
        <v>ICTV202011415</v>
      </c>
      <c r="R12257" t="s">
        <v>581</v>
      </c>
      <c r="S12257" t="s">
        <v>22764</v>
      </c>
      <c r="T12257">
        <v>39</v>
      </c>
      <c r="U12257" s="26" t="str">
        <f t="shared" si="451"/>
        <v>2023.001B.Leviviricetes_reorg.zip</v>
      </c>
    </row>
    <row r="12258" spans="1:21">
      <c r="A12258">
        <v>12257</v>
      </c>
      <c r="B12258" s="27" t="s">
        <v>1124</v>
      </c>
      <c r="D12258" s="27" t="s">
        <v>1859</v>
      </c>
      <c r="F12258" s="27" t="s">
        <v>1881</v>
      </c>
      <c r="H12258" s="27" t="s">
        <v>2679</v>
      </c>
      <c r="J12258" s="27" t="s">
        <v>3210</v>
      </c>
      <c r="L12258" s="27" t="s">
        <v>3262</v>
      </c>
      <c r="N12258" s="27" t="s">
        <v>15846</v>
      </c>
      <c r="P12258" s="27" t="s">
        <v>16086</v>
      </c>
      <c r="Q12258" s="26" t="str">
        <f>HYPERLINK("https://ictv.global/taxonomy/taxondetails?taxnode_id=202517288&amp;ictv_id=ICTV202317288","ICTV202317288")</f>
        <v>ICTV202317288</v>
      </c>
      <c r="R12258" t="s">
        <v>581</v>
      </c>
      <c r="S12258" t="s">
        <v>823</v>
      </c>
      <c r="T12258">
        <v>39</v>
      </c>
      <c r="U12258" s="26" t="str">
        <f t="shared" si="451"/>
        <v>2023.001B.Leviviricetes_reorg.zip</v>
      </c>
    </row>
    <row r="12259" spans="1:21">
      <c r="A12259">
        <v>12258</v>
      </c>
      <c r="B12259" s="27" t="s">
        <v>1124</v>
      </c>
      <c r="D12259" s="27" t="s">
        <v>1859</v>
      </c>
      <c r="F12259" s="27" t="s">
        <v>1881</v>
      </c>
      <c r="H12259" s="27" t="s">
        <v>2679</v>
      </c>
      <c r="J12259" s="27" t="s">
        <v>3210</v>
      </c>
      <c r="L12259" s="27" t="s">
        <v>3262</v>
      </c>
      <c r="N12259" s="27" t="s">
        <v>15846</v>
      </c>
      <c r="P12259" s="27" t="s">
        <v>16087</v>
      </c>
      <c r="Q12259" s="26" t="str">
        <f>HYPERLINK("https://ictv.global/taxonomy/taxondetails?taxnode_id=202511048&amp;ictv_id=ICTV202011048","ICTV202011048")</f>
        <v>ICTV202011048</v>
      </c>
      <c r="R12259" t="s">
        <v>581</v>
      </c>
      <c r="S12259" t="s">
        <v>22764</v>
      </c>
      <c r="T12259">
        <v>39</v>
      </c>
      <c r="U12259" s="26" t="str">
        <f t="shared" si="451"/>
        <v>2023.001B.Leviviricetes_reorg.zip</v>
      </c>
    </row>
    <row r="12260" spans="1:21">
      <c r="A12260">
        <v>12259</v>
      </c>
      <c r="B12260" s="27" t="s">
        <v>1124</v>
      </c>
      <c r="D12260" s="27" t="s">
        <v>1859</v>
      </c>
      <c r="F12260" s="27" t="s">
        <v>1881</v>
      </c>
      <c r="H12260" s="27" t="s">
        <v>2679</v>
      </c>
      <c r="J12260" s="27" t="s">
        <v>3210</v>
      </c>
      <c r="L12260" s="27" t="s">
        <v>3262</v>
      </c>
      <c r="N12260" s="27" t="s">
        <v>15846</v>
      </c>
      <c r="P12260" s="27" t="s">
        <v>16088</v>
      </c>
      <c r="Q12260" s="26" t="str">
        <f>HYPERLINK("https://ictv.global/taxonomy/taxondetails?taxnode_id=202511049&amp;ictv_id=ICTV202011049","ICTV202011049")</f>
        <v>ICTV202011049</v>
      </c>
      <c r="R12260" t="s">
        <v>581</v>
      </c>
      <c r="S12260" t="s">
        <v>22764</v>
      </c>
      <c r="T12260">
        <v>39</v>
      </c>
      <c r="U12260" s="26" t="str">
        <f t="shared" si="451"/>
        <v>2023.001B.Leviviricetes_reorg.zip</v>
      </c>
    </row>
    <row r="12261" spans="1:21">
      <c r="A12261">
        <v>12260</v>
      </c>
      <c r="B12261" s="27" t="s">
        <v>1124</v>
      </c>
      <c r="D12261" s="27" t="s">
        <v>1859</v>
      </c>
      <c r="F12261" s="27" t="s">
        <v>1881</v>
      </c>
      <c r="H12261" s="27" t="s">
        <v>2679</v>
      </c>
      <c r="J12261" s="27" t="s">
        <v>3210</v>
      </c>
      <c r="L12261" s="27" t="s">
        <v>3262</v>
      </c>
      <c r="N12261" s="27" t="s">
        <v>15846</v>
      </c>
      <c r="P12261" s="27" t="s">
        <v>16089</v>
      </c>
      <c r="Q12261" s="26" t="str">
        <f>HYPERLINK("https://ictv.global/taxonomy/taxondetails?taxnode_id=202511050&amp;ictv_id=ICTV202011050","ICTV202011050")</f>
        <v>ICTV202011050</v>
      </c>
      <c r="R12261" t="s">
        <v>581</v>
      </c>
      <c r="S12261" t="s">
        <v>22764</v>
      </c>
      <c r="T12261">
        <v>39</v>
      </c>
      <c r="U12261" s="26" t="str">
        <f t="shared" si="451"/>
        <v>2023.001B.Leviviricetes_reorg.zip</v>
      </c>
    </row>
    <row r="12262" spans="1:21">
      <c r="A12262">
        <v>12261</v>
      </c>
      <c r="B12262" s="27" t="s">
        <v>1124</v>
      </c>
      <c r="D12262" s="27" t="s">
        <v>1859</v>
      </c>
      <c r="F12262" s="27" t="s">
        <v>1881</v>
      </c>
      <c r="H12262" s="27" t="s">
        <v>2679</v>
      </c>
      <c r="J12262" s="27" t="s">
        <v>3210</v>
      </c>
      <c r="L12262" s="27" t="s">
        <v>3262</v>
      </c>
      <c r="N12262" s="27" t="s">
        <v>15846</v>
      </c>
      <c r="P12262" s="27" t="s">
        <v>16090</v>
      </c>
      <c r="Q12262" s="26" t="str">
        <f>HYPERLINK("https://ictv.global/taxonomy/taxondetails?taxnode_id=202517289&amp;ictv_id=ICTV202317289","ICTV202317289")</f>
        <v>ICTV202317289</v>
      </c>
      <c r="R12262" t="s">
        <v>581</v>
      </c>
      <c r="S12262" t="s">
        <v>823</v>
      </c>
      <c r="T12262">
        <v>39</v>
      </c>
      <c r="U12262" s="26" t="str">
        <f t="shared" si="451"/>
        <v>2023.001B.Leviviricetes_reorg.zip</v>
      </c>
    </row>
    <row r="12263" spans="1:21">
      <c r="A12263">
        <v>12262</v>
      </c>
      <c r="B12263" s="27" t="s">
        <v>1124</v>
      </c>
      <c r="D12263" s="27" t="s">
        <v>1859</v>
      </c>
      <c r="F12263" s="27" t="s">
        <v>1881</v>
      </c>
      <c r="H12263" s="27" t="s">
        <v>2679</v>
      </c>
      <c r="J12263" s="27" t="s">
        <v>3210</v>
      </c>
      <c r="L12263" s="27" t="s">
        <v>3262</v>
      </c>
      <c r="N12263" s="27" t="s">
        <v>15846</v>
      </c>
      <c r="P12263" s="27" t="s">
        <v>16091</v>
      </c>
      <c r="Q12263" s="26" t="str">
        <f>HYPERLINK("https://ictv.global/taxonomy/taxondetails?taxnode_id=202517290&amp;ictv_id=ICTV202317290","ICTV202317290")</f>
        <v>ICTV202317290</v>
      </c>
      <c r="R12263" t="s">
        <v>581</v>
      </c>
      <c r="S12263" t="s">
        <v>823</v>
      </c>
      <c r="T12263">
        <v>39</v>
      </c>
      <c r="U12263" s="26" t="str">
        <f t="shared" si="451"/>
        <v>2023.001B.Leviviricetes_reorg.zip</v>
      </c>
    </row>
    <row r="12264" spans="1:21">
      <c r="A12264">
        <v>12263</v>
      </c>
      <c r="B12264" s="27" t="s">
        <v>1124</v>
      </c>
      <c r="D12264" s="27" t="s">
        <v>1859</v>
      </c>
      <c r="F12264" s="27" t="s">
        <v>1881</v>
      </c>
      <c r="H12264" s="27" t="s">
        <v>2679</v>
      </c>
      <c r="J12264" s="27" t="s">
        <v>3210</v>
      </c>
      <c r="L12264" s="27" t="s">
        <v>3262</v>
      </c>
      <c r="N12264" s="27" t="s">
        <v>15846</v>
      </c>
      <c r="P12264" s="27" t="s">
        <v>16092</v>
      </c>
      <c r="Q12264" s="26" t="str">
        <f>HYPERLINK("https://ictv.global/taxonomy/taxondetails?taxnode_id=202517291&amp;ictv_id=ICTV202317291","ICTV202317291")</f>
        <v>ICTV202317291</v>
      </c>
      <c r="R12264" t="s">
        <v>581</v>
      </c>
      <c r="S12264" t="s">
        <v>823</v>
      </c>
      <c r="T12264">
        <v>39</v>
      </c>
      <c r="U12264" s="26" t="str">
        <f t="shared" si="451"/>
        <v>2023.001B.Leviviricetes_reorg.zip</v>
      </c>
    </row>
    <row r="12265" spans="1:21">
      <c r="A12265">
        <v>12264</v>
      </c>
      <c r="B12265" s="27" t="s">
        <v>1124</v>
      </c>
      <c r="D12265" s="27" t="s">
        <v>1859</v>
      </c>
      <c r="F12265" s="27" t="s">
        <v>1881</v>
      </c>
      <c r="H12265" s="27" t="s">
        <v>2679</v>
      </c>
      <c r="J12265" s="27" t="s">
        <v>3210</v>
      </c>
      <c r="L12265" s="27" t="s">
        <v>3262</v>
      </c>
      <c r="N12265" s="27" t="s">
        <v>15846</v>
      </c>
      <c r="P12265" s="27" t="s">
        <v>16093</v>
      </c>
      <c r="Q12265" s="26" t="str">
        <f>HYPERLINK("https://ictv.global/taxonomy/taxondetails?taxnode_id=202517292&amp;ictv_id=ICTV202317292","ICTV202317292")</f>
        <v>ICTV202317292</v>
      </c>
      <c r="R12265" t="s">
        <v>581</v>
      </c>
      <c r="S12265" t="s">
        <v>823</v>
      </c>
      <c r="T12265">
        <v>39</v>
      </c>
      <c r="U12265" s="26" t="str">
        <f t="shared" si="451"/>
        <v>2023.001B.Leviviricetes_reorg.zip</v>
      </c>
    </row>
    <row r="12266" spans="1:21">
      <c r="A12266">
        <v>12265</v>
      </c>
      <c r="B12266" s="27" t="s">
        <v>1124</v>
      </c>
      <c r="D12266" s="27" t="s">
        <v>1859</v>
      </c>
      <c r="F12266" s="27" t="s">
        <v>1881</v>
      </c>
      <c r="H12266" s="27" t="s">
        <v>2679</v>
      </c>
      <c r="J12266" s="27" t="s">
        <v>3210</v>
      </c>
      <c r="L12266" s="27" t="s">
        <v>3262</v>
      </c>
      <c r="N12266" s="27" t="s">
        <v>15846</v>
      </c>
      <c r="P12266" s="27" t="s">
        <v>16094</v>
      </c>
      <c r="Q12266" s="26" t="str">
        <f>HYPERLINK("https://ictv.global/taxonomy/taxondetails?taxnode_id=202517293&amp;ictv_id=ICTV202317293","ICTV202317293")</f>
        <v>ICTV202317293</v>
      </c>
      <c r="R12266" t="s">
        <v>581</v>
      </c>
      <c r="S12266" t="s">
        <v>823</v>
      </c>
      <c r="T12266">
        <v>39</v>
      </c>
      <c r="U12266" s="26" t="str">
        <f t="shared" si="451"/>
        <v>2023.001B.Leviviricetes_reorg.zip</v>
      </c>
    </row>
    <row r="12267" spans="1:21">
      <c r="A12267">
        <v>12266</v>
      </c>
      <c r="B12267" s="27" t="s">
        <v>1124</v>
      </c>
      <c r="D12267" s="27" t="s">
        <v>1859</v>
      </c>
      <c r="F12267" s="27" t="s">
        <v>1881</v>
      </c>
      <c r="H12267" s="27" t="s">
        <v>2679</v>
      </c>
      <c r="J12267" s="27" t="s">
        <v>3210</v>
      </c>
      <c r="L12267" s="27" t="s">
        <v>3262</v>
      </c>
      <c r="N12267" s="27" t="s">
        <v>15846</v>
      </c>
      <c r="P12267" s="27" t="s">
        <v>16095</v>
      </c>
      <c r="Q12267" s="26" t="str">
        <f>HYPERLINK("https://ictv.global/taxonomy/taxondetails?taxnode_id=202517294&amp;ictv_id=ICTV202317294","ICTV202317294")</f>
        <v>ICTV202317294</v>
      </c>
      <c r="R12267" t="s">
        <v>581</v>
      </c>
      <c r="S12267" t="s">
        <v>823</v>
      </c>
      <c r="T12267">
        <v>39</v>
      </c>
      <c r="U12267" s="26" t="str">
        <f t="shared" si="451"/>
        <v>2023.001B.Leviviricetes_reorg.zip</v>
      </c>
    </row>
    <row r="12268" spans="1:21">
      <c r="A12268">
        <v>12267</v>
      </c>
      <c r="B12268" s="27" t="s">
        <v>1124</v>
      </c>
      <c r="D12268" s="27" t="s">
        <v>1859</v>
      </c>
      <c r="F12268" s="27" t="s">
        <v>1881</v>
      </c>
      <c r="H12268" s="27" t="s">
        <v>2679</v>
      </c>
      <c r="J12268" s="27" t="s">
        <v>3210</v>
      </c>
      <c r="L12268" s="27" t="s">
        <v>3262</v>
      </c>
      <c r="N12268" s="27" t="s">
        <v>15846</v>
      </c>
      <c r="P12268" s="27" t="s">
        <v>16096</v>
      </c>
      <c r="Q12268" s="26" t="str">
        <f>HYPERLINK("https://ictv.global/taxonomy/taxondetails?taxnode_id=202517295&amp;ictv_id=ICTV202317295","ICTV202317295")</f>
        <v>ICTV202317295</v>
      </c>
      <c r="R12268" t="s">
        <v>581</v>
      </c>
      <c r="S12268" t="s">
        <v>823</v>
      </c>
      <c r="T12268">
        <v>39</v>
      </c>
      <c r="U12268" s="26" t="str">
        <f t="shared" si="451"/>
        <v>2023.001B.Leviviricetes_reorg.zip</v>
      </c>
    </row>
    <row r="12269" spans="1:21">
      <c r="A12269">
        <v>12268</v>
      </c>
      <c r="B12269" s="27" t="s">
        <v>1124</v>
      </c>
      <c r="D12269" s="27" t="s">
        <v>1859</v>
      </c>
      <c r="F12269" s="27" t="s">
        <v>1881</v>
      </c>
      <c r="H12269" s="27" t="s">
        <v>2679</v>
      </c>
      <c r="J12269" s="27" t="s">
        <v>3210</v>
      </c>
      <c r="L12269" s="27" t="s">
        <v>3262</v>
      </c>
      <c r="N12269" s="27" t="s">
        <v>15846</v>
      </c>
      <c r="P12269" s="27" t="s">
        <v>16097</v>
      </c>
      <c r="Q12269" s="26" t="str">
        <f>HYPERLINK("https://ictv.global/taxonomy/taxondetails?taxnode_id=202517296&amp;ictv_id=ICTV202317296","ICTV202317296")</f>
        <v>ICTV202317296</v>
      </c>
      <c r="R12269" t="s">
        <v>581</v>
      </c>
      <c r="S12269" t="s">
        <v>823</v>
      </c>
      <c r="T12269">
        <v>39</v>
      </c>
      <c r="U12269" s="26" t="str">
        <f t="shared" si="451"/>
        <v>2023.001B.Leviviricetes_reorg.zip</v>
      </c>
    </row>
    <row r="12270" spans="1:21">
      <c r="A12270">
        <v>12269</v>
      </c>
      <c r="B12270" s="27" t="s">
        <v>1124</v>
      </c>
      <c r="D12270" s="27" t="s">
        <v>1859</v>
      </c>
      <c r="F12270" s="27" t="s">
        <v>1881</v>
      </c>
      <c r="H12270" s="27" t="s">
        <v>2679</v>
      </c>
      <c r="J12270" s="27" t="s">
        <v>3210</v>
      </c>
      <c r="L12270" s="27" t="s">
        <v>3262</v>
      </c>
      <c r="N12270" s="27" t="s">
        <v>15846</v>
      </c>
      <c r="P12270" s="27" t="s">
        <v>16098</v>
      </c>
      <c r="Q12270" s="26" t="str">
        <f>HYPERLINK("https://ictv.global/taxonomy/taxondetails?taxnode_id=202517297&amp;ictv_id=ICTV202317297","ICTV202317297")</f>
        <v>ICTV202317297</v>
      </c>
      <c r="R12270" t="s">
        <v>581</v>
      </c>
      <c r="S12270" t="s">
        <v>823</v>
      </c>
      <c r="T12270">
        <v>39</v>
      </c>
      <c r="U12270" s="26" t="str">
        <f t="shared" si="451"/>
        <v>2023.001B.Leviviricetes_reorg.zip</v>
      </c>
    </row>
    <row r="12271" spans="1:21">
      <c r="A12271">
        <v>12270</v>
      </c>
      <c r="B12271" s="27" t="s">
        <v>1124</v>
      </c>
      <c r="D12271" s="27" t="s">
        <v>1859</v>
      </c>
      <c r="F12271" s="27" t="s">
        <v>1881</v>
      </c>
      <c r="H12271" s="27" t="s">
        <v>2679</v>
      </c>
      <c r="J12271" s="27" t="s">
        <v>3210</v>
      </c>
      <c r="L12271" s="27" t="s">
        <v>3262</v>
      </c>
      <c r="N12271" s="27" t="s">
        <v>15846</v>
      </c>
      <c r="P12271" s="27" t="s">
        <v>16099</v>
      </c>
      <c r="Q12271" s="26" t="str">
        <f>HYPERLINK("https://ictv.global/taxonomy/taxondetails?taxnode_id=202517298&amp;ictv_id=ICTV202317298","ICTV202317298")</f>
        <v>ICTV202317298</v>
      </c>
      <c r="R12271" t="s">
        <v>581</v>
      </c>
      <c r="S12271" t="s">
        <v>823</v>
      </c>
      <c r="T12271">
        <v>39</v>
      </c>
      <c r="U12271" s="26" t="str">
        <f t="shared" si="451"/>
        <v>2023.001B.Leviviricetes_reorg.zip</v>
      </c>
    </row>
    <row r="12272" spans="1:21">
      <c r="A12272">
        <v>12271</v>
      </c>
      <c r="B12272" s="27" t="s">
        <v>1124</v>
      </c>
      <c r="D12272" s="27" t="s">
        <v>1859</v>
      </c>
      <c r="F12272" s="27" t="s">
        <v>1881</v>
      </c>
      <c r="H12272" s="27" t="s">
        <v>2679</v>
      </c>
      <c r="J12272" s="27" t="s">
        <v>3210</v>
      </c>
      <c r="L12272" s="27" t="s">
        <v>3262</v>
      </c>
      <c r="N12272" s="27" t="s">
        <v>15846</v>
      </c>
      <c r="P12272" s="27" t="s">
        <v>16100</v>
      </c>
      <c r="Q12272" s="26" t="str">
        <f>HYPERLINK("https://ictv.global/taxonomy/taxondetails?taxnode_id=202517299&amp;ictv_id=ICTV202317299","ICTV202317299")</f>
        <v>ICTV202317299</v>
      </c>
      <c r="R12272" t="s">
        <v>581</v>
      </c>
      <c r="S12272" t="s">
        <v>823</v>
      </c>
      <c r="T12272">
        <v>39</v>
      </c>
      <c r="U12272" s="26" t="str">
        <f t="shared" si="451"/>
        <v>2023.001B.Leviviricetes_reorg.zip</v>
      </c>
    </row>
    <row r="12273" spans="1:21">
      <c r="A12273">
        <v>12272</v>
      </c>
      <c r="B12273" s="27" t="s">
        <v>1124</v>
      </c>
      <c r="D12273" s="27" t="s">
        <v>1859</v>
      </c>
      <c r="F12273" s="27" t="s">
        <v>1881</v>
      </c>
      <c r="H12273" s="27" t="s">
        <v>2679</v>
      </c>
      <c r="J12273" s="27" t="s">
        <v>3210</v>
      </c>
      <c r="L12273" s="27" t="s">
        <v>3262</v>
      </c>
      <c r="N12273" s="27" t="s">
        <v>15846</v>
      </c>
      <c r="P12273" s="27" t="s">
        <v>16101</v>
      </c>
      <c r="Q12273" s="26" t="str">
        <f>HYPERLINK("https://ictv.global/taxonomy/taxondetails?taxnode_id=202517300&amp;ictv_id=ICTV202317300","ICTV202317300")</f>
        <v>ICTV202317300</v>
      </c>
      <c r="R12273" t="s">
        <v>581</v>
      </c>
      <c r="S12273" t="s">
        <v>823</v>
      </c>
      <c r="T12273">
        <v>39</v>
      </c>
      <c r="U12273" s="26" t="str">
        <f t="shared" si="451"/>
        <v>2023.001B.Leviviricetes_reorg.zip</v>
      </c>
    </row>
    <row r="12274" spans="1:21">
      <c r="A12274">
        <v>12273</v>
      </c>
      <c r="B12274" s="27" t="s">
        <v>1124</v>
      </c>
      <c r="D12274" s="27" t="s">
        <v>1859</v>
      </c>
      <c r="F12274" s="27" t="s">
        <v>1881</v>
      </c>
      <c r="H12274" s="27" t="s">
        <v>2679</v>
      </c>
      <c r="J12274" s="27" t="s">
        <v>3210</v>
      </c>
      <c r="L12274" s="27" t="s">
        <v>3262</v>
      </c>
      <c r="N12274" s="27" t="s">
        <v>15846</v>
      </c>
      <c r="P12274" s="27" t="s">
        <v>16102</v>
      </c>
      <c r="Q12274" s="26" t="str">
        <f>HYPERLINK("https://ictv.global/taxonomy/taxondetails?taxnode_id=202517301&amp;ictv_id=ICTV202317301","ICTV202317301")</f>
        <v>ICTV202317301</v>
      </c>
      <c r="R12274" t="s">
        <v>581</v>
      </c>
      <c r="S12274" t="s">
        <v>823</v>
      </c>
      <c r="T12274">
        <v>39</v>
      </c>
      <c r="U12274" s="26" t="str">
        <f t="shared" si="451"/>
        <v>2023.001B.Leviviricetes_reorg.zip</v>
      </c>
    </row>
    <row r="12275" spans="1:21">
      <c r="A12275">
        <v>12274</v>
      </c>
      <c r="B12275" s="27" t="s">
        <v>1124</v>
      </c>
      <c r="D12275" s="27" t="s">
        <v>1859</v>
      </c>
      <c r="F12275" s="27" t="s">
        <v>1881</v>
      </c>
      <c r="H12275" s="27" t="s">
        <v>2679</v>
      </c>
      <c r="J12275" s="27" t="s">
        <v>3210</v>
      </c>
      <c r="L12275" s="27" t="s">
        <v>3262</v>
      </c>
      <c r="N12275" s="27" t="s">
        <v>15846</v>
      </c>
      <c r="P12275" s="27" t="s">
        <v>16103</v>
      </c>
      <c r="Q12275" s="26" t="str">
        <f>HYPERLINK("https://ictv.global/taxonomy/taxondetails?taxnode_id=202511313&amp;ictv_id=ICTV202011313","ICTV202011313")</f>
        <v>ICTV202011313</v>
      </c>
      <c r="R12275" t="s">
        <v>581</v>
      </c>
      <c r="S12275" t="s">
        <v>22764</v>
      </c>
      <c r="T12275">
        <v>39</v>
      </c>
      <c r="U12275" s="26" t="str">
        <f t="shared" si="451"/>
        <v>2023.001B.Leviviricetes_reorg.zip</v>
      </c>
    </row>
    <row r="12276" spans="1:21">
      <c r="A12276">
        <v>12275</v>
      </c>
      <c r="B12276" s="27" t="s">
        <v>1124</v>
      </c>
      <c r="D12276" s="27" t="s">
        <v>1859</v>
      </c>
      <c r="F12276" s="27" t="s">
        <v>1881</v>
      </c>
      <c r="H12276" s="27" t="s">
        <v>2679</v>
      </c>
      <c r="J12276" s="27" t="s">
        <v>3210</v>
      </c>
      <c r="L12276" s="27" t="s">
        <v>3262</v>
      </c>
      <c r="N12276" s="27" t="s">
        <v>15846</v>
      </c>
      <c r="P12276" s="27" t="s">
        <v>16104</v>
      </c>
      <c r="Q12276" s="26" t="str">
        <f>HYPERLINK("https://ictv.global/taxonomy/taxondetails?taxnode_id=202511314&amp;ictv_id=ICTV202011314","ICTV202011314")</f>
        <v>ICTV202011314</v>
      </c>
      <c r="R12276" t="s">
        <v>581</v>
      </c>
      <c r="S12276" t="s">
        <v>22764</v>
      </c>
      <c r="T12276">
        <v>39</v>
      </c>
      <c r="U12276" s="26" t="str">
        <f t="shared" si="451"/>
        <v>2023.001B.Leviviricetes_reorg.zip</v>
      </c>
    </row>
    <row r="12277" spans="1:21">
      <c r="A12277">
        <v>12276</v>
      </c>
      <c r="B12277" s="27" t="s">
        <v>1124</v>
      </c>
      <c r="D12277" s="27" t="s">
        <v>1859</v>
      </c>
      <c r="F12277" s="27" t="s">
        <v>1881</v>
      </c>
      <c r="H12277" s="27" t="s">
        <v>2679</v>
      </c>
      <c r="J12277" s="27" t="s">
        <v>3210</v>
      </c>
      <c r="L12277" s="27" t="s">
        <v>3262</v>
      </c>
      <c r="N12277" s="27" t="s">
        <v>15846</v>
      </c>
      <c r="P12277" s="27" t="s">
        <v>16105</v>
      </c>
      <c r="Q12277" s="26" t="str">
        <f>HYPERLINK("https://ictv.global/taxonomy/taxondetails?taxnode_id=202511315&amp;ictv_id=ICTV202011315","ICTV202011315")</f>
        <v>ICTV202011315</v>
      </c>
      <c r="R12277" t="s">
        <v>581</v>
      </c>
      <c r="S12277" t="s">
        <v>22764</v>
      </c>
      <c r="T12277">
        <v>39</v>
      </c>
      <c r="U12277" s="26" t="str">
        <f t="shared" si="451"/>
        <v>2023.001B.Leviviricetes_reorg.zip</v>
      </c>
    </row>
    <row r="12278" spans="1:21">
      <c r="A12278">
        <v>12277</v>
      </c>
      <c r="B12278" s="27" t="s">
        <v>1124</v>
      </c>
      <c r="D12278" s="27" t="s">
        <v>1859</v>
      </c>
      <c r="F12278" s="27" t="s">
        <v>1881</v>
      </c>
      <c r="H12278" s="27" t="s">
        <v>2679</v>
      </c>
      <c r="J12278" s="27" t="s">
        <v>3210</v>
      </c>
      <c r="L12278" s="27" t="s">
        <v>3262</v>
      </c>
      <c r="N12278" s="27" t="s">
        <v>15846</v>
      </c>
      <c r="P12278" s="27" t="s">
        <v>16106</v>
      </c>
      <c r="Q12278" s="26" t="str">
        <f>HYPERLINK("https://ictv.global/taxonomy/taxondetails?taxnode_id=202511316&amp;ictv_id=ICTV202011316","ICTV202011316")</f>
        <v>ICTV202011316</v>
      </c>
      <c r="R12278" t="s">
        <v>581</v>
      </c>
      <c r="S12278" t="s">
        <v>22764</v>
      </c>
      <c r="T12278">
        <v>39</v>
      </c>
      <c r="U12278" s="26" t="str">
        <f t="shared" si="451"/>
        <v>2023.001B.Leviviricetes_reorg.zip</v>
      </c>
    </row>
    <row r="12279" spans="1:21">
      <c r="A12279">
        <v>12278</v>
      </c>
      <c r="B12279" s="27" t="s">
        <v>1124</v>
      </c>
      <c r="D12279" s="27" t="s">
        <v>1859</v>
      </c>
      <c r="F12279" s="27" t="s">
        <v>1881</v>
      </c>
      <c r="H12279" s="27" t="s">
        <v>2679</v>
      </c>
      <c r="J12279" s="27" t="s">
        <v>3210</v>
      </c>
      <c r="L12279" s="27" t="s">
        <v>3262</v>
      </c>
      <c r="N12279" s="27" t="s">
        <v>15846</v>
      </c>
      <c r="P12279" s="27" t="s">
        <v>16107</v>
      </c>
      <c r="Q12279" s="26" t="str">
        <f>HYPERLINK("https://ictv.global/taxonomy/taxondetails?taxnode_id=202511317&amp;ictv_id=ICTV202011317","ICTV202011317")</f>
        <v>ICTV202011317</v>
      </c>
      <c r="R12279" t="s">
        <v>581</v>
      </c>
      <c r="S12279" t="s">
        <v>22764</v>
      </c>
      <c r="T12279">
        <v>39</v>
      </c>
      <c r="U12279" s="26" t="str">
        <f t="shared" si="451"/>
        <v>2023.001B.Leviviricetes_reorg.zip</v>
      </c>
    </row>
    <row r="12280" spans="1:21">
      <c r="A12280">
        <v>12279</v>
      </c>
      <c r="B12280" s="27" t="s">
        <v>1124</v>
      </c>
      <c r="D12280" s="27" t="s">
        <v>1859</v>
      </c>
      <c r="F12280" s="27" t="s">
        <v>1881</v>
      </c>
      <c r="H12280" s="27" t="s">
        <v>2679</v>
      </c>
      <c r="J12280" s="27" t="s">
        <v>3210</v>
      </c>
      <c r="L12280" s="27" t="s">
        <v>3262</v>
      </c>
      <c r="N12280" s="27" t="s">
        <v>15846</v>
      </c>
      <c r="P12280" s="27" t="s">
        <v>16108</v>
      </c>
      <c r="Q12280" s="26" t="str">
        <f>HYPERLINK("https://ictv.global/taxonomy/taxondetails?taxnode_id=202511312&amp;ictv_id=ICTV202011312","ICTV202011312")</f>
        <v>ICTV202011312</v>
      </c>
      <c r="R12280" t="s">
        <v>581</v>
      </c>
      <c r="S12280" t="s">
        <v>22764</v>
      </c>
      <c r="T12280">
        <v>39</v>
      </c>
      <c r="U12280" s="26" t="str">
        <f t="shared" si="451"/>
        <v>2023.001B.Leviviricetes_reorg.zip</v>
      </c>
    </row>
    <row r="12281" spans="1:21">
      <c r="A12281">
        <v>12280</v>
      </c>
      <c r="B12281" s="27" t="s">
        <v>1124</v>
      </c>
      <c r="D12281" s="27" t="s">
        <v>1859</v>
      </c>
      <c r="F12281" s="27" t="s">
        <v>1881</v>
      </c>
      <c r="H12281" s="27" t="s">
        <v>2679</v>
      </c>
      <c r="J12281" s="27" t="s">
        <v>3210</v>
      </c>
      <c r="L12281" s="27" t="s">
        <v>3262</v>
      </c>
      <c r="N12281" s="27" t="s">
        <v>15846</v>
      </c>
      <c r="P12281" s="27" t="s">
        <v>16109</v>
      </c>
      <c r="Q12281" s="26" t="str">
        <f>HYPERLINK("https://ictv.global/taxonomy/taxondetails?taxnode_id=202511295&amp;ictv_id=ICTV202011295","ICTV202011295")</f>
        <v>ICTV202011295</v>
      </c>
      <c r="R12281" t="s">
        <v>581</v>
      </c>
      <c r="S12281" t="s">
        <v>22764</v>
      </c>
      <c r="T12281">
        <v>39</v>
      </c>
      <c r="U12281" s="26" t="str">
        <f t="shared" si="451"/>
        <v>2023.001B.Leviviricetes_reorg.zip</v>
      </c>
    </row>
    <row r="12282" spans="1:21">
      <c r="A12282">
        <v>12281</v>
      </c>
      <c r="B12282" s="27" t="s">
        <v>1124</v>
      </c>
      <c r="D12282" s="27" t="s">
        <v>1859</v>
      </c>
      <c r="F12282" s="27" t="s">
        <v>1881</v>
      </c>
      <c r="H12282" s="27" t="s">
        <v>2679</v>
      </c>
      <c r="J12282" s="27" t="s">
        <v>3210</v>
      </c>
      <c r="L12282" s="27" t="s">
        <v>3262</v>
      </c>
      <c r="N12282" s="27" t="s">
        <v>15846</v>
      </c>
      <c r="P12282" s="27" t="s">
        <v>16110</v>
      </c>
      <c r="Q12282" s="26" t="str">
        <f>HYPERLINK("https://ictv.global/taxonomy/taxondetails?taxnode_id=202511296&amp;ictv_id=ICTV202011296","ICTV202011296")</f>
        <v>ICTV202011296</v>
      </c>
      <c r="R12282" t="s">
        <v>581</v>
      </c>
      <c r="S12282" t="s">
        <v>22764</v>
      </c>
      <c r="T12282">
        <v>39</v>
      </c>
      <c r="U12282" s="26" t="str">
        <f t="shared" si="451"/>
        <v>2023.001B.Leviviricetes_reorg.zip</v>
      </c>
    </row>
    <row r="12283" spans="1:21">
      <c r="A12283">
        <v>12282</v>
      </c>
      <c r="B12283" s="27" t="s">
        <v>1124</v>
      </c>
      <c r="D12283" s="27" t="s">
        <v>1859</v>
      </c>
      <c r="F12283" s="27" t="s">
        <v>1881</v>
      </c>
      <c r="H12283" s="27" t="s">
        <v>2679</v>
      </c>
      <c r="J12283" s="27" t="s">
        <v>3210</v>
      </c>
      <c r="L12283" s="27" t="s">
        <v>3262</v>
      </c>
      <c r="N12283" s="27" t="s">
        <v>15846</v>
      </c>
      <c r="P12283" s="27" t="s">
        <v>16111</v>
      </c>
      <c r="Q12283" s="26" t="str">
        <f>HYPERLINK("https://ictv.global/taxonomy/taxondetails?taxnode_id=202511297&amp;ictv_id=ICTV202011297","ICTV202011297")</f>
        <v>ICTV202011297</v>
      </c>
      <c r="R12283" t="s">
        <v>581</v>
      </c>
      <c r="S12283" t="s">
        <v>22764</v>
      </c>
      <c r="T12283">
        <v>39</v>
      </c>
      <c r="U12283" s="26" t="str">
        <f t="shared" si="451"/>
        <v>2023.001B.Leviviricetes_reorg.zip</v>
      </c>
    </row>
    <row r="12284" spans="1:21">
      <c r="A12284">
        <v>12283</v>
      </c>
      <c r="B12284" s="27" t="s">
        <v>1124</v>
      </c>
      <c r="D12284" s="27" t="s">
        <v>1859</v>
      </c>
      <c r="F12284" s="27" t="s">
        <v>1881</v>
      </c>
      <c r="H12284" s="27" t="s">
        <v>2679</v>
      </c>
      <c r="J12284" s="27" t="s">
        <v>3210</v>
      </c>
      <c r="L12284" s="27" t="s">
        <v>3262</v>
      </c>
      <c r="N12284" s="27" t="s">
        <v>15846</v>
      </c>
      <c r="P12284" s="27" t="s">
        <v>16112</v>
      </c>
      <c r="Q12284" s="26" t="str">
        <f>HYPERLINK("https://ictv.global/taxonomy/taxondetails?taxnode_id=202511151&amp;ictv_id=ICTV202011151","ICTV202011151")</f>
        <v>ICTV202011151</v>
      </c>
      <c r="R12284" t="s">
        <v>581</v>
      </c>
      <c r="S12284" t="s">
        <v>22764</v>
      </c>
      <c r="T12284">
        <v>39</v>
      </c>
      <c r="U12284" s="26" t="str">
        <f t="shared" si="451"/>
        <v>2023.001B.Leviviricetes_reorg.zip</v>
      </c>
    </row>
    <row r="12285" spans="1:21">
      <c r="A12285">
        <v>12284</v>
      </c>
      <c r="B12285" s="27" t="s">
        <v>1124</v>
      </c>
      <c r="D12285" s="27" t="s">
        <v>1859</v>
      </c>
      <c r="F12285" s="27" t="s">
        <v>1881</v>
      </c>
      <c r="H12285" s="27" t="s">
        <v>2679</v>
      </c>
      <c r="J12285" s="27" t="s">
        <v>3210</v>
      </c>
      <c r="L12285" s="27" t="s">
        <v>3262</v>
      </c>
      <c r="N12285" s="27" t="s">
        <v>15846</v>
      </c>
      <c r="P12285" s="27" t="s">
        <v>16113</v>
      </c>
      <c r="Q12285" s="26" t="str">
        <f>HYPERLINK("https://ictv.global/taxonomy/taxondetails?taxnode_id=202511159&amp;ictv_id=ICTV202011159","ICTV202011159")</f>
        <v>ICTV202011159</v>
      </c>
      <c r="R12285" t="s">
        <v>581</v>
      </c>
      <c r="S12285" t="s">
        <v>22764</v>
      </c>
      <c r="T12285">
        <v>39</v>
      </c>
      <c r="U12285" s="26" t="str">
        <f t="shared" si="451"/>
        <v>2023.001B.Leviviricetes_reorg.zip</v>
      </c>
    </row>
    <row r="12286" spans="1:21">
      <c r="A12286">
        <v>12285</v>
      </c>
      <c r="B12286" s="27" t="s">
        <v>1124</v>
      </c>
      <c r="D12286" s="27" t="s">
        <v>1859</v>
      </c>
      <c r="F12286" s="27" t="s">
        <v>1881</v>
      </c>
      <c r="H12286" s="27" t="s">
        <v>2679</v>
      </c>
      <c r="J12286" s="27" t="s">
        <v>3210</v>
      </c>
      <c r="L12286" s="27" t="s">
        <v>3262</v>
      </c>
      <c r="N12286" s="27" t="s">
        <v>15846</v>
      </c>
      <c r="P12286" s="27" t="s">
        <v>16114</v>
      </c>
      <c r="Q12286" s="26" t="str">
        <f>HYPERLINK("https://ictv.global/taxonomy/taxondetails?taxnode_id=202511160&amp;ictv_id=ICTV202011160","ICTV202011160")</f>
        <v>ICTV202011160</v>
      </c>
      <c r="R12286" t="s">
        <v>581</v>
      </c>
      <c r="S12286" t="s">
        <v>22764</v>
      </c>
      <c r="T12286">
        <v>39</v>
      </c>
      <c r="U12286" s="26" t="str">
        <f t="shared" si="451"/>
        <v>2023.001B.Leviviricetes_reorg.zip</v>
      </c>
    </row>
    <row r="12287" spans="1:21">
      <c r="A12287">
        <v>12286</v>
      </c>
      <c r="B12287" s="27" t="s">
        <v>1124</v>
      </c>
      <c r="D12287" s="27" t="s">
        <v>1859</v>
      </c>
      <c r="F12287" s="27" t="s">
        <v>1881</v>
      </c>
      <c r="H12287" s="27" t="s">
        <v>2679</v>
      </c>
      <c r="J12287" s="27" t="s">
        <v>3210</v>
      </c>
      <c r="L12287" s="27" t="s">
        <v>3262</v>
      </c>
      <c r="N12287" s="27" t="s">
        <v>15846</v>
      </c>
      <c r="P12287" s="27" t="s">
        <v>16115</v>
      </c>
      <c r="Q12287" s="26" t="str">
        <f>HYPERLINK("https://ictv.global/taxonomy/taxondetails?taxnode_id=202511161&amp;ictv_id=ICTV202011161","ICTV202011161")</f>
        <v>ICTV202011161</v>
      </c>
      <c r="R12287" t="s">
        <v>581</v>
      </c>
      <c r="S12287" t="s">
        <v>22764</v>
      </c>
      <c r="T12287">
        <v>39</v>
      </c>
      <c r="U12287" s="26" t="str">
        <f t="shared" si="451"/>
        <v>2023.001B.Leviviricetes_reorg.zip</v>
      </c>
    </row>
    <row r="12288" spans="1:21">
      <c r="A12288">
        <v>12287</v>
      </c>
      <c r="B12288" s="27" t="s">
        <v>1124</v>
      </c>
      <c r="D12288" s="27" t="s">
        <v>1859</v>
      </c>
      <c r="F12288" s="27" t="s">
        <v>1881</v>
      </c>
      <c r="H12288" s="27" t="s">
        <v>2679</v>
      </c>
      <c r="J12288" s="27" t="s">
        <v>3210</v>
      </c>
      <c r="L12288" s="27" t="s">
        <v>3262</v>
      </c>
      <c r="N12288" s="27" t="s">
        <v>15846</v>
      </c>
      <c r="P12288" s="27" t="s">
        <v>16116</v>
      </c>
      <c r="Q12288" s="26" t="str">
        <f>HYPERLINK("https://ictv.global/taxonomy/taxondetails?taxnode_id=202511145&amp;ictv_id=ICTV202011145","ICTV202011145")</f>
        <v>ICTV202011145</v>
      </c>
      <c r="R12288" t="s">
        <v>581</v>
      </c>
      <c r="S12288" t="s">
        <v>22764</v>
      </c>
      <c r="T12288">
        <v>39</v>
      </c>
      <c r="U12288" s="26" t="str">
        <f t="shared" si="451"/>
        <v>2023.001B.Leviviricetes_reorg.zip</v>
      </c>
    </row>
    <row r="12289" spans="1:21">
      <c r="A12289">
        <v>12288</v>
      </c>
      <c r="B12289" s="27" t="s">
        <v>1124</v>
      </c>
      <c r="D12289" s="27" t="s">
        <v>1859</v>
      </c>
      <c r="F12289" s="27" t="s">
        <v>1881</v>
      </c>
      <c r="H12289" s="27" t="s">
        <v>2679</v>
      </c>
      <c r="J12289" s="27" t="s">
        <v>3210</v>
      </c>
      <c r="L12289" s="27" t="s">
        <v>3262</v>
      </c>
      <c r="N12289" s="27" t="s">
        <v>15846</v>
      </c>
      <c r="P12289" s="27" t="s">
        <v>16117</v>
      </c>
      <c r="Q12289" s="26" t="str">
        <f>HYPERLINK("https://ictv.global/taxonomy/taxondetails?taxnode_id=202511147&amp;ictv_id=ICTV202011147","ICTV202011147")</f>
        <v>ICTV202011147</v>
      </c>
      <c r="R12289" t="s">
        <v>581</v>
      </c>
      <c r="S12289" t="s">
        <v>22764</v>
      </c>
      <c r="T12289">
        <v>39</v>
      </c>
      <c r="U12289" s="26" t="str">
        <f t="shared" si="451"/>
        <v>2023.001B.Leviviricetes_reorg.zip</v>
      </c>
    </row>
    <row r="12290" spans="1:21">
      <c r="A12290">
        <v>12289</v>
      </c>
      <c r="B12290" s="27" t="s">
        <v>1124</v>
      </c>
      <c r="D12290" s="27" t="s">
        <v>1859</v>
      </c>
      <c r="F12290" s="27" t="s">
        <v>1881</v>
      </c>
      <c r="H12290" s="27" t="s">
        <v>2679</v>
      </c>
      <c r="J12290" s="27" t="s">
        <v>3210</v>
      </c>
      <c r="L12290" s="27" t="s">
        <v>3262</v>
      </c>
      <c r="N12290" s="27" t="s">
        <v>15846</v>
      </c>
      <c r="P12290" s="27" t="s">
        <v>16118</v>
      </c>
      <c r="Q12290" s="26" t="str">
        <f>HYPERLINK("https://ictv.global/taxonomy/taxondetails?taxnode_id=202511146&amp;ictv_id=ICTV202011146","ICTV202011146")</f>
        <v>ICTV202011146</v>
      </c>
      <c r="R12290" t="s">
        <v>581</v>
      </c>
      <c r="S12290" t="s">
        <v>22764</v>
      </c>
      <c r="T12290">
        <v>39</v>
      </c>
      <c r="U12290" s="26" t="str">
        <f t="shared" si="451"/>
        <v>2023.001B.Leviviricetes_reorg.zip</v>
      </c>
    </row>
    <row r="12291" spans="1:21">
      <c r="A12291">
        <v>12290</v>
      </c>
      <c r="B12291" s="27" t="s">
        <v>1124</v>
      </c>
      <c r="D12291" s="27" t="s">
        <v>1859</v>
      </c>
      <c r="F12291" s="27" t="s">
        <v>1881</v>
      </c>
      <c r="H12291" s="27" t="s">
        <v>2679</v>
      </c>
      <c r="J12291" s="27" t="s">
        <v>3210</v>
      </c>
      <c r="L12291" s="27" t="s">
        <v>3262</v>
      </c>
      <c r="N12291" s="27" t="s">
        <v>15846</v>
      </c>
      <c r="P12291" s="27" t="s">
        <v>16119</v>
      </c>
      <c r="Q12291" s="26" t="str">
        <f>HYPERLINK("https://ictv.global/taxonomy/taxondetails?taxnode_id=202511199&amp;ictv_id=ICTV202011199","ICTV202011199")</f>
        <v>ICTV202011199</v>
      </c>
      <c r="R12291" t="s">
        <v>581</v>
      </c>
      <c r="S12291" t="s">
        <v>22764</v>
      </c>
      <c r="T12291">
        <v>39</v>
      </c>
      <c r="U12291" s="26" t="str">
        <f t="shared" si="451"/>
        <v>2023.001B.Leviviricetes_reorg.zip</v>
      </c>
    </row>
    <row r="12292" spans="1:21">
      <c r="A12292">
        <v>12291</v>
      </c>
      <c r="B12292" s="27" t="s">
        <v>1124</v>
      </c>
      <c r="D12292" s="27" t="s">
        <v>1859</v>
      </c>
      <c r="F12292" s="27" t="s">
        <v>1881</v>
      </c>
      <c r="H12292" s="27" t="s">
        <v>2679</v>
      </c>
      <c r="J12292" s="27" t="s">
        <v>3210</v>
      </c>
      <c r="L12292" s="27" t="s">
        <v>3262</v>
      </c>
      <c r="N12292" s="27" t="s">
        <v>15846</v>
      </c>
      <c r="P12292" s="27" t="s">
        <v>16120</v>
      </c>
      <c r="Q12292" s="26" t="str">
        <f>HYPERLINK("https://ictv.global/taxonomy/taxondetails?taxnode_id=202511201&amp;ictv_id=ICTV202011201","ICTV202011201")</f>
        <v>ICTV202011201</v>
      </c>
      <c r="R12292" t="s">
        <v>581</v>
      </c>
      <c r="S12292" t="s">
        <v>22764</v>
      </c>
      <c r="T12292">
        <v>39</v>
      </c>
      <c r="U12292" s="26" t="str">
        <f t="shared" si="451"/>
        <v>2023.001B.Leviviricetes_reorg.zip</v>
      </c>
    </row>
    <row r="12293" spans="1:21">
      <c r="A12293">
        <v>12292</v>
      </c>
      <c r="B12293" s="27" t="s">
        <v>1124</v>
      </c>
      <c r="D12293" s="27" t="s">
        <v>1859</v>
      </c>
      <c r="F12293" s="27" t="s">
        <v>1881</v>
      </c>
      <c r="H12293" s="27" t="s">
        <v>2679</v>
      </c>
      <c r="J12293" s="27" t="s">
        <v>3210</v>
      </c>
      <c r="L12293" s="27" t="s">
        <v>3262</v>
      </c>
      <c r="N12293" s="27" t="s">
        <v>15846</v>
      </c>
      <c r="P12293" s="27" t="s">
        <v>16121</v>
      </c>
      <c r="Q12293" s="26" t="str">
        <f>HYPERLINK("https://ictv.global/taxonomy/taxondetails?taxnode_id=202511202&amp;ictv_id=ICTV202011202","ICTV202011202")</f>
        <v>ICTV202011202</v>
      </c>
      <c r="R12293" t="s">
        <v>581</v>
      </c>
      <c r="S12293" t="s">
        <v>22764</v>
      </c>
      <c r="T12293">
        <v>39</v>
      </c>
      <c r="U12293" s="26" t="str">
        <f t="shared" si="451"/>
        <v>2023.001B.Leviviricetes_reorg.zip</v>
      </c>
    </row>
    <row r="12294" spans="1:21">
      <c r="A12294">
        <v>12293</v>
      </c>
      <c r="B12294" s="27" t="s">
        <v>1124</v>
      </c>
      <c r="D12294" s="27" t="s">
        <v>1859</v>
      </c>
      <c r="F12294" s="27" t="s">
        <v>1881</v>
      </c>
      <c r="H12294" s="27" t="s">
        <v>2679</v>
      </c>
      <c r="J12294" s="27" t="s">
        <v>3210</v>
      </c>
      <c r="L12294" s="27" t="s">
        <v>3262</v>
      </c>
      <c r="N12294" s="27" t="s">
        <v>15846</v>
      </c>
      <c r="P12294" s="27" t="s">
        <v>16122</v>
      </c>
      <c r="Q12294" s="26" t="str">
        <f>HYPERLINK("https://ictv.global/taxonomy/taxondetails?taxnode_id=202511203&amp;ictv_id=ICTV202011203","ICTV202011203")</f>
        <v>ICTV202011203</v>
      </c>
      <c r="R12294" t="s">
        <v>581</v>
      </c>
      <c r="S12294" t="s">
        <v>22764</v>
      </c>
      <c r="T12294">
        <v>39</v>
      </c>
      <c r="U12294" s="26" t="str">
        <f t="shared" si="451"/>
        <v>2023.001B.Leviviricetes_reorg.zip</v>
      </c>
    </row>
    <row r="12295" spans="1:21">
      <c r="A12295">
        <v>12294</v>
      </c>
      <c r="B12295" s="27" t="s">
        <v>1124</v>
      </c>
      <c r="D12295" s="27" t="s">
        <v>1859</v>
      </c>
      <c r="F12295" s="27" t="s">
        <v>1881</v>
      </c>
      <c r="H12295" s="27" t="s">
        <v>2679</v>
      </c>
      <c r="J12295" s="27" t="s">
        <v>3210</v>
      </c>
      <c r="L12295" s="27" t="s">
        <v>3262</v>
      </c>
      <c r="N12295" s="27" t="s">
        <v>15846</v>
      </c>
      <c r="P12295" s="27" t="s">
        <v>16123</v>
      </c>
      <c r="Q12295" s="26" t="str">
        <f>HYPERLINK("https://ictv.global/taxonomy/taxondetails?taxnode_id=202511204&amp;ictv_id=ICTV202011204","ICTV202011204")</f>
        <v>ICTV202011204</v>
      </c>
      <c r="R12295" t="s">
        <v>581</v>
      </c>
      <c r="S12295" t="s">
        <v>22764</v>
      </c>
      <c r="T12295">
        <v>39</v>
      </c>
      <c r="U12295" s="26" t="str">
        <f t="shared" si="451"/>
        <v>2023.001B.Leviviricetes_reorg.zip</v>
      </c>
    </row>
    <row r="12296" spans="1:21">
      <c r="A12296">
        <v>12295</v>
      </c>
      <c r="B12296" s="27" t="s">
        <v>1124</v>
      </c>
      <c r="D12296" s="27" t="s">
        <v>1859</v>
      </c>
      <c r="F12296" s="27" t="s">
        <v>1881</v>
      </c>
      <c r="H12296" s="27" t="s">
        <v>2679</v>
      </c>
      <c r="J12296" s="27" t="s">
        <v>3210</v>
      </c>
      <c r="L12296" s="27" t="s">
        <v>3262</v>
      </c>
      <c r="N12296" s="27" t="s">
        <v>15846</v>
      </c>
      <c r="P12296" s="27" t="s">
        <v>16124</v>
      </c>
      <c r="Q12296" s="26" t="str">
        <f>HYPERLINK("https://ictv.global/taxonomy/taxondetails?taxnode_id=202511205&amp;ictv_id=ICTV202011205","ICTV202011205")</f>
        <v>ICTV202011205</v>
      </c>
      <c r="R12296" t="s">
        <v>581</v>
      </c>
      <c r="S12296" t="s">
        <v>22764</v>
      </c>
      <c r="T12296">
        <v>39</v>
      </c>
      <c r="U12296" s="26" t="str">
        <f t="shared" ref="U12296:U12359" si="452">HYPERLINK("https://ictv.global/ictv/proposals/2023.001B.Leviviricetes_reorg.zip","2023.001B.Leviviricetes_reorg.zip")</f>
        <v>2023.001B.Leviviricetes_reorg.zip</v>
      </c>
    </row>
    <row r="12297" spans="1:21">
      <c r="A12297">
        <v>12296</v>
      </c>
      <c r="B12297" s="27" t="s">
        <v>1124</v>
      </c>
      <c r="D12297" s="27" t="s">
        <v>1859</v>
      </c>
      <c r="F12297" s="27" t="s">
        <v>1881</v>
      </c>
      <c r="H12297" s="27" t="s">
        <v>2679</v>
      </c>
      <c r="J12297" s="27" t="s">
        <v>3210</v>
      </c>
      <c r="L12297" s="27" t="s">
        <v>3262</v>
      </c>
      <c r="N12297" s="27" t="s">
        <v>15846</v>
      </c>
      <c r="P12297" s="27" t="s">
        <v>16125</v>
      </c>
      <c r="Q12297" s="26" t="str">
        <f>HYPERLINK("https://ictv.global/taxonomy/taxondetails?taxnode_id=202511292&amp;ictv_id=ICTV202011292","ICTV202011292")</f>
        <v>ICTV202011292</v>
      </c>
      <c r="R12297" t="s">
        <v>581</v>
      </c>
      <c r="S12297" t="s">
        <v>22764</v>
      </c>
      <c r="T12297">
        <v>39</v>
      </c>
      <c r="U12297" s="26" t="str">
        <f t="shared" si="452"/>
        <v>2023.001B.Leviviricetes_reorg.zip</v>
      </c>
    </row>
    <row r="12298" spans="1:21">
      <c r="A12298">
        <v>12297</v>
      </c>
      <c r="B12298" s="27" t="s">
        <v>1124</v>
      </c>
      <c r="D12298" s="27" t="s">
        <v>1859</v>
      </c>
      <c r="F12298" s="27" t="s">
        <v>1881</v>
      </c>
      <c r="H12298" s="27" t="s">
        <v>2679</v>
      </c>
      <c r="J12298" s="27" t="s">
        <v>3210</v>
      </c>
      <c r="L12298" s="27" t="s">
        <v>3262</v>
      </c>
      <c r="N12298" s="27" t="s">
        <v>15846</v>
      </c>
      <c r="P12298" s="27" t="s">
        <v>16126</v>
      </c>
      <c r="Q12298" s="26" t="str">
        <f>HYPERLINK("https://ictv.global/taxonomy/taxondetails?taxnode_id=202517302&amp;ictv_id=ICTV202317302","ICTV202317302")</f>
        <v>ICTV202317302</v>
      </c>
      <c r="R12298" t="s">
        <v>581</v>
      </c>
      <c r="S12298" t="s">
        <v>823</v>
      </c>
      <c r="T12298">
        <v>39</v>
      </c>
      <c r="U12298" s="26" t="str">
        <f t="shared" si="452"/>
        <v>2023.001B.Leviviricetes_reorg.zip</v>
      </c>
    </row>
    <row r="12299" spans="1:21">
      <c r="A12299">
        <v>12298</v>
      </c>
      <c r="B12299" s="27" t="s">
        <v>1124</v>
      </c>
      <c r="D12299" s="27" t="s">
        <v>1859</v>
      </c>
      <c r="F12299" s="27" t="s">
        <v>1881</v>
      </c>
      <c r="H12299" s="27" t="s">
        <v>2679</v>
      </c>
      <c r="J12299" s="27" t="s">
        <v>3210</v>
      </c>
      <c r="L12299" s="27" t="s">
        <v>3262</v>
      </c>
      <c r="N12299" s="27" t="s">
        <v>15846</v>
      </c>
      <c r="P12299" s="27" t="s">
        <v>16127</v>
      </c>
      <c r="Q12299" s="26" t="str">
        <f>HYPERLINK("https://ictv.global/taxonomy/taxondetails?taxnode_id=202517303&amp;ictv_id=ICTV202317303","ICTV202317303")</f>
        <v>ICTV202317303</v>
      </c>
      <c r="R12299" t="s">
        <v>581</v>
      </c>
      <c r="S12299" t="s">
        <v>823</v>
      </c>
      <c r="T12299">
        <v>39</v>
      </c>
      <c r="U12299" s="26" t="str">
        <f t="shared" si="452"/>
        <v>2023.001B.Leviviricetes_reorg.zip</v>
      </c>
    </row>
    <row r="12300" spans="1:21">
      <c r="A12300">
        <v>12299</v>
      </c>
      <c r="B12300" s="27" t="s">
        <v>1124</v>
      </c>
      <c r="D12300" s="27" t="s">
        <v>1859</v>
      </c>
      <c r="F12300" s="27" t="s">
        <v>1881</v>
      </c>
      <c r="H12300" s="27" t="s">
        <v>2679</v>
      </c>
      <c r="J12300" s="27" t="s">
        <v>3210</v>
      </c>
      <c r="L12300" s="27" t="s">
        <v>3262</v>
      </c>
      <c r="N12300" s="27" t="s">
        <v>15846</v>
      </c>
      <c r="P12300" s="27" t="s">
        <v>16128</v>
      </c>
      <c r="Q12300" s="26" t="str">
        <f>HYPERLINK("https://ictv.global/taxonomy/taxondetails?taxnode_id=202517304&amp;ictv_id=ICTV202317304","ICTV202317304")</f>
        <v>ICTV202317304</v>
      </c>
      <c r="R12300" t="s">
        <v>581</v>
      </c>
      <c r="S12300" t="s">
        <v>823</v>
      </c>
      <c r="T12300">
        <v>39</v>
      </c>
      <c r="U12300" s="26" t="str">
        <f t="shared" si="452"/>
        <v>2023.001B.Leviviricetes_reorg.zip</v>
      </c>
    </row>
    <row r="12301" spans="1:21">
      <c r="A12301">
        <v>12300</v>
      </c>
      <c r="B12301" s="27" t="s">
        <v>1124</v>
      </c>
      <c r="D12301" s="27" t="s">
        <v>1859</v>
      </c>
      <c r="F12301" s="27" t="s">
        <v>1881</v>
      </c>
      <c r="H12301" s="27" t="s">
        <v>2679</v>
      </c>
      <c r="J12301" s="27" t="s">
        <v>3210</v>
      </c>
      <c r="L12301" s="27" t="s">
        <v>3262</v>
      </c>
      <c r="N12301" s="27" t="s">
        <v>15846</v>
      </c>
      <c r="P12301" s="27" t="s">
        <v>16129</v>
      </c>
      <c r="Q12301" s="26" t="str">
        <f>HYPERLINK("https://ictv.global/taxonomy/taxondetails?taxnode_id=202517305&amp;ictv_id=ICTV202317305","ICTV202317305")</f>
        <v>ICTV202317305</v>
      </c>
      <c r="R12301" t="s">
        <v>581</v>
      </c>
      <c r="S12301" t="s">
        <v>823</v>
      </c>
      <c r="T12301">
        <v>39</v>
      </c>
      <c r="U12301" s="26" t="str">
        <f t="shared" si="452"/>
        <v>2023.001B.Leviviricetes_reorg.zip</v>
      </c>
    </row>
    <row r="12302" spans="1:21">
      <c r="A12302">
        <v>12301</v>
      </c>
      <c r="B12302" s="27" t="s">
        <v>1124</v>
      </c>
      <c r="D12302" s="27" t="s">
        <v>1859</v>
      </c>
      <c r="F12302" s="27" t="s">
        <v>1881</v>
      </c>
      <c r="H12302" s="27" t="s">
        <v>2679</v>
      </c>
      <c r="J12302" s="27" t="s">
        <v>3210</v>
      </c>
      <c r="L12302" s="27" t="s">
        <v>3262</v>
      </c>
      <c r="N12302" s="27" t="s">
        <v>15846</v>
      </c>
      <c r="P12302" s="27" t="s">
        <v>16130</v>
      </c>
      <c r="Q12302" s="26" t="str">
        <f>HYPERLINK("https://ictv.global/taxonomy/taxondetails?taxnode_id=202517306&amp;ictv_id=ICTV202317306","ICTV202317306")</f>
        <v>ICTV202317306</v>
      </c>
      <c r="R12302" t="s">
        <v>581</v>
      </c>
      <c r="S12302" t="s">
        <v>823</v>
      </c>
      <c r="T12302">
        <v>39</v>
      </c>
      <c r="U12302" s="26" t="str">
        <f t="shared" si="452"/>
        <v>2023.001B.Leviviricetes_reorg.zip</v>
      </c>
    </row>
    <row r="12303" spans="1:21">
      <c r="A12303">
        <v>12302</v>
      </c>
      <c r="B12303" s="27" t="s">
        <v>1124</v>
      </c>
      <c r="D12303" s="27" t="s">
        <v>1859</v>
      </c>
      <c r="F12303" s="27" t="s">
        <v>1881</v>
      </c>
      <c r="H12303" s="27" t="s">
        <v>2679</v>
      </c>
      <c r="J12303" s="27" t="s">
        <v>3210</v>
      </c>
      <c r="L12303" s="27" t="s">
        <v>3262</v>
      </c>
      <c r="N12303" s="27" t="s">
        <v>15846</v>
      </c>
      <c r="P12303" s="27" t="s">
        <v>16131</v>
      </c>
      <c r="Q12303" s="26" t="str">
        <f>HYPERLINK("https://ictv.global/taxonomy/taxondetails?taxnode_id=202517307&amp;ictv_id=ICTV202317307","ICTV202317307")</f>
        <v>ICTV202317307</v>
      </c>
      <c r="R12303" t="s">
        <v>581</v>
      </c>
      <c r="S12303" t="s">
        <v>823</v>
      </c>
      <c r="T12303">
        <v>39</v>
      </c>
      <c r="U12303" s="26" t="str">
        <f t="shared" si="452"/>
        <v>2023.001B.Leviviricetes_reorg.zip</v>
      </c>
    </row>
    <row r="12304" spans="1:21">
      <c r="A12304">
        <v>12303</v>
      </c>
      <c r="B12304" s="27" t="s">
        <v>1124</v>
      </c>
      <c r="D12304" s="27" t="s">
        <v>1859</v>
      </c>
      <c r="F12304" s="27" t="s">
        <v>1881</v>
      </c>
      <c r="H12304" s="27" t="s">
        <v>2679</v>
      </c>
      <c r="J12304" s="27" t="s">
        <v>3210</v>
      </c>
      <c r="L12304" s="27" t="s">
        <v>3262</v>
      </c>
      <c r="N12304" s="27" t="s">
        <v>15846</v>
      </c>
      <c r="P12304" s="27" t="s">
        <v>16132</v>
      </c>
      <c r="Q12304" s="26" t="str">
        <f>HYPERLINK("https://ictv.global/taxonomy/taxondetails?taxnode_id=202517308&amp;ictv_id=ICTV202317308","ICTV202317308")</f>
        <v>ICTV202317308</v>
      </c>
      <c r="R12304" t="s">
        <v>581</v>
      </c>
      <c r="S12304" t="s">
        <v>823</v>
      </c>
      <c r="T12304">
        <v>39</v>
      </c>
      <c r="U12304" s="26" t="str">
        <f t="shared" si="452"/>
        <v>2023.001B.Leviviricetes_reorg.zip</v>
      </c>
    </row>
    <row r="12305" spans="1:21">
      <c r="A12305">
        <v>12304</v>
      </c>
      <c r="B12305" s="27" t="s">
        <v>1124</v>
      </c>
      <c r="D12305" s="27" t="s">
        <v>1859</v>
      </c>
      <c r="F12305" s="27" t="s">
        <v>1881</v>
      </c>
      <c r="H12305" s="27" t="s">
        <v>2679</v>
      </c>
      <c r="J12305" s="27" t="s">
        <v>3210</v>
      </c>
      <c r="L12305" s="27" t="s">
        <v>3262</v>
      </c>
      <c r="N12305" s="27" t="s">
        <v>15846</v>
      </c>
      <c r="P12305" s="27" t="s">
        <v>16133</v>
      </c>
      <c r="Q12305" s="26" t="str">
        <f>HYPERLINK("https://ictv.global/taxonomy/taxondetails?taxnode_id=202511298&amp;ictv_id=ICTV202011298","ICTV202011298")</f>
        <v>ICTV202011298</v>
      </c>
      <c r="R12305" t="s">
        <v>581</v>
      </c>
      <c r="S12305" t="s">
        <v>22764</v>
      </c>
      <c r="T12305">
        <v>39</v>
      </c>
      <c r="U12305" s="26" t="str">
        <f t="shared" si="452"/>
        <v>2023.001B.Leviviricetes_reorg.zip</v>
      </c>
    </row>
    <row r="12306" spans="1:21">
      <c r="A12306">
        <v>12305</v>
      </c>
      <c r="B12306" s="27" t="s">
        <v>1124</v>
      </c>
      <c r="D12306" s="27" t="s">
        <v>1859</v>
      </c>
      <c r="F12306" s="27" t="s">
        <v>1881</v>
      </c>
      <c r="H12306" s="27" t="s">
        <v>2679</v>
      </c>
      <c r="J12306" s="27" t="s">
        <v>3210</v>
      </c>
      <c r="L12306" s="27" t="s">
        <v>3262</v>
      </c>
      <c r="N12306" s="27" t="s">
        <v>15846</v>
      </c>
      <c r="P12306" s="27" t="s">
        <v>16134</v>
      </c>
      <c r="Q12306" s="26" t="str">
        <f>HYPERLINK("https://ictv.global/taxonomy/taxondetails?taxnode_id=202511152&amp;ictv_id=ICTV202011152","ICTV202011152")</f>
        <v>ICTV202011152</v>
      </c>
      <c r="R12306" t="s">
        <v>581</v>
      </c>
      <c r="S12306" t="s">
        <v>22764</v>
      </c>
      <c r="T12306">
        <v>39</v>
      </c>
      <c r="U12306" s="26" t="str">
        <f t="shared" si="452"/>
        <v>2023.001B.Leviviricetes_reorg.zip</v>
      </c>
    </row>
    <row r="12307" spans="1:21">
      <c r="A12307">
        <v>12306</v>
      </c>
      <c r="B12307" s="27" t="s">
        <v>1124</v>
      </c>
      <c r="D12307" s="27" t="s">
        <v>1859</v>
      </c>
      <c r="F12307" s="27" t="s">
        <v>1881</v>
      </c>
      <c r="H12307" s="27" t="s">
        <v>2679</v>
      </c>
      <c r="J12307" s="27" t="s">
        <v>3210</v>
      </c>
      <c r="L12307" s="27" t="s">
        <v>3262</v>
      </c>
      <c r="N12307" s="27" t="s">
        <v>15846</v>
      </c>
      <c r="P12307" s="27" t="s">
        <v>16135</v>
      </c>
      <c r="Q12307" s="26" t="str">
        <f>HYPERLINK("https://ictv.global/taxonomy/taxondetails?taxnode_id=202511218&amp;ictv_id=ICTV202011218","ICTV202011218")</f>
        <v>ICTV202011218</v>
      </c>
      <c r="R12307" t="s">
        <v>581</v>
      </c>
      <c r="S12307" t="s">
        <v>22764</v>
      </c>
      <c r="T12307">
        <v>39</v>
      </c>
      <c r="U12307" s="26" t="str">
        <f t="shared" si="452"/>
        <v>2023.001B.Leviviricetes_reorg.zip</v>
      </c>
    </row>
    <row r="12308" spans="1:21">
      <c r="A12308">
        <v>12307</v>
      </c>
      <c r="B12308" s="27" t="s">
        <v>1124</v>
      </c>
      <c r="D12308" s="27" t="s">
        <v>1859</v>
      </c>
      <c r="F12308" s="27" t="s">
        <v>1881</v>
      </c>
      <c r="H12308" s="27" t="s">
        <v>2679</v>
      </c>
      <c r="J12308" s="27" t="s">
        <v>3210</v>
      </c>
      <c r="L12308" s="27" t="s">
        <v>3262</v>
      </c>
      <c r="N12308" s="27" t="s">
        <v>15846</v>
      </c>
      <c r="P12308" s="27" t="s">
        <v>16136</v>
      </c>
      <c r="Q12308" s="26" t="str">
        <f>HYPERLINK("https://ictv.global/taxonomy/taxondetails?taxnode_id=202511153&amp;ictv_id=ICTV202011153","ICTV202011153")</f>
        <v>ICTV202011153</v>
      </c>
      <c r="R12308" t="s">
        <v>581</v>
      </c>
      <c r="S12308" t="s">
        <v>22764</v>
      </c>
      <c r="T12308">
        <v>39</v>
      </c>
      <c r="U12308" s="26" t="str">
        <f t="shared" si="452"/>
        <v>2023.001B.Leviviricetes_reorg.zip</v>
      </c>
    </row>
    <row r="12309" spans="1:21">
      <c r="A12309">
        <v>12308</v>
      </c>
      <c r="B12309" s="27" t="s">
        <v>1124</v>
      </c>
      <c r="D12309" s="27" t="s">
        <v>1859</v>
      </c>
      <c r="F12309" s="27" t="s">
        <v>1881</v>
      </c>
      <c r="H12309" s="27" t="s">
        <v>2679</v>
      </c>
      <c r="J12309" s="27" t="s">
        <v>3210</v>
      </c>
      <c r="L12309" s="27" t="s">
        <v>3262</v>
      </c>
      <c r="N12309" s="27" t="s">
        <v>15846</v>
      </c>
      <c r="P12309" s="27" t="s">
        <v>16137</v>
      </c>
      <c r="Q12309" s="26" t="str">
        <f>HYPERLINK("https://ictv.global/taxonomy/taxondetails?taxnode_id=202511154&amp;ictv_id=ICTV202011154","ICTV202011154")</f>
        <v>ICTV202011154</v>
      </c>
      <c r="R12309" t="s">
        <v>581</v>
      </c>
      <c r="S12309" t="s">
        <v>22764</v>
      </c>
      <c r="T12309">
        <v>39</v>
      </c>
      <c r="U12309" s="26" t="str">
        <f t="shared" si="452"/>
        <v>2023.001B.Leviviricetes_reorg.zip</v>
      </c>
    </row>
    <row r="12310" spans="1:21">
      <c r="A12310">
        <v>12309</v>
      </c>
      <c r="B12310" s="27" t="s">
        <v>1124</v>
      </c>
      <c r="D12310" s="27" t="s">
        <v>1859</v>
      </c>
      <c r="F12310" s="27" t="s">
        <v>1881</v>
      </c>
      <c r="H12310" s="27" t="s">
        <v>2679</v>
      </c>
      <c r="J12310" s="27" t="s">
        <v>3210</v>
      </c>
      <c r="L12310" s="27" t="s">
        <v>3262</v>
      </c>
      <c r="N12310" s="27" t="s">
        <v>15846</v>
      </c>
      <c r="P12310" s="27" t="s">
        <v>16138</v>
      </c>
      <c r="Q12310" s="26" t="str">
        <f>HYPERLINK("https://ictv.global/taxonomy/taxondetails?taxnode_id=202511155&amp;ictv_id=ICTV202011155","ICTV202011155")</f>
        <v>ICTV202011155</v>
      </c>
      <c r="R12310" t="s">
        <v>581</v>
      </c>
      <c r="S12310" t="s">
        <v>22764</v>
      </c>
      <c r="T12310">
        <v>39</v>
      </c>
      <c r="U12310" s="26" t="str">
        <f t="shared" si="452"/>
        <v>2023.001B.Leviviricetes_reorg.zip</v>
      </c>
    </row>
    <row r="12311" spans="1:21">
      <c r="A12311">
        <v>12310</v>
      </c>
      <c r="B12311" s="27" t="s">
        <v>1124</v>
      </c>
      <c r="D12311" s="27" t="s">
        <v>1859</v>
      </c>
      <c r="F12311" s="27" t="s">
        <v>1881</v>
      </c>
      <c r="H12311" s="27" t="s">
        <v>2679</v>
      </c>
      <c r="J12311" s="27" t="s">
        <v>3210</v>
      </c>
      <c r="L12311" s="27" t="s">
        <v>3262</v>
      </c>
      <c r="N12311" s="27" t="s">
        <v>15846</v>
      </c>
      <c r="P12311" s="27" t="s">
        <v>16139</v>
      </c>
      <c r="Q12311" s="26" t="str">
        <f>HYPERLINK("https://ictv.global/taxonomy/taxondetails?taxnode_id=202511162&amp;ictv_id=ICTV202011162","ICTV202011162")</f>
        <v>ICTV202011162</v>
      </c>
      <c r="R12311" t="s">
        <v>581</v>
      </c>
      <c r="S12311" t="s">
        <v>22764</v>
      </c>
      <c r="T12311">
        <v>39</v>
      </c>
      <c r="U12311" s="26" t="str">
        <f t="shared" si="452"/>
        <v>2023.001B.Leviviricetes_reorg.zip</v>
      </c>
    </row>
    <row r="12312" spans="1:21">
      <c r="A12312">
        <v>12311</v>
      </c>
      <c r="B12312" s="27" t="s">
        <v>1124</v>
      </c>
      <c r="D12312" s="27" t="s">
        <v>1859</v>
      </c>
      <c r="F12312" s="27" t="s">
        <v>1881</v>
      </c>
      <c r="H12312" s="27" t="s">
        <v>2679</v>
      </c>
      <c r="J12312" s="27" t="s">
        <v>3210</v>
      </c>
      <c r="L12312" s="27" t="s">
        <v>3262</v>
      </c>
      <c r="N12312" s="27" t="s">
        <v>15846</v>
      </c>
      <c r="P12312" s="27" t="s">
        <v>16140</v>
      </c>
      <c r="Q12312" s="26" t="str">
        <f>HYPERLINK("https://ictv.global/taxonomy/taxondetails?taxnode_id=202517309&amp;ictv_id=ICTV202317309","ICTV202317309")</f>
        <v>ICTV202317309</v>
      </c>
      <c r="R12312" t="s">
        <v>581</v>
      </c>
      <c r="S12312" t="s">
        <v>823</v>
      </c>
      <c r="T12312">
        <v>39</v>
      </c>
      <c r="U12312" s="26" t="str">
        <f t="shared" si="452"/>
        <v>2023.001B.Leviviricetes_reorg.zip</v>
      </c>
    </row>
    <row r="12313" spans="1:21">
      <c r="A12313">
        <v>12312</v>
      </c>
      <c r="B12313" s="27" t="s">
        <v>1124</v>
      </c>
      <c r="D12313" s="27" t="s">
        <v>1859</v>
      </c>
      <c r="F12313" s="27" t="s">
        <v>1881</v>
      </c>
      <c r="H12313" s="27" t="s">
        <v>2679</v>
      </c>
      <c r="J12313" s="27" t="s">
        <v>3210</v>
      </c>
      <c r="L12313" s="27" t="s">
        <v>3262</v>
      </c>
      <c r="N12313" s="27" t="s">
        <v>15846</v>
      </c>
      <c r="P12313" s="27" t="s">
        <v>16141</v>
      </c>
      <c r="Q12313" s="26" t="str">
        <f>HYPERLINK("https://ictv.global/taxonomy/taxondetails?taxnode_id=202517310&amp;ictv_id=ICTV202317310","ICTV202317310")</f>
        <v>ICTV202317310</v>
      </c>
      <c r="R12313" t="s">
        <v>581</v>
      </c>
      <c r="S12313" t="s">
        <v>823</v>
      </c>
      <c r="T12313">
        <v>39</v>
      </c>
      <c r="U12313" s="26" t="str">
        <f t="shared" si="452"/>
        <v>2023.001B.Leviviricetes_reorg.zip</v>
      </c>
    </row>
    <row r="12314" spans="1:21">
      <c r="A12314">
        <v>12313</v>
      </c>
      <c r="B12314" s="27" t="s">
        <v>1124</v>
      </c>
      <c r="D12314" s="27" t="s">
        <v>1859</v>
      </c>
      <c r="F12314" s="27" t="s">
        <v>1881</v>
      </c>
      <c r="H12314" s="27" t="s">
        <v>2679</v>
      </c>
      <c r="J12314" s="27" t="s">
        <v>3210</v>
      </c>
      <c r="L12314" s="27" t="s">
        <v>3262</v>
      </c>
      <c r="N12314" s="27" t="s">
        <v>15846</v>
      </c>
      <c r="P12314" s="27" t="s">
        <v>16142</v>
      </c>
      <c r="Q12314" s="26" t="str">
        <f>HYPERLINK("https://ictv.global/taxonomy/taxondetails?taxnode_id=202517311&amp;ictv_id=ICTV202317311","ICTV202317311")</f>
        <v>ICTV202317311</v>
      </c>
      <c r="R12314" t="s">
        <v>581</v>
      </c>
      <c r="S12314" t="s">
        <v>823</v>
      </c>
      <c r="T12314">
        <v>39</v>
      </c>
      <c r="U12314" s="26" t="str">
        <f t="shared" si="452"/>
        <v>2023.001B.Leviviricetes_reorg.zip</v>
      </c>
    </row>
    <row r="12315" spans="1:21">
      <c r="A12315">
        <v>12314</v>
      </c>
      <c r="B12315" s="27" t="s">
        <v>1124</v>
      </c>
      <c r="D12315" s="27" t="s">
        <v>1859</v>
      </c>
      <c r="F12315" s="27" t="s">
        <v>1881</v>
      </c>
      <c r="H12315" s="27" t="s">
        <v>2679</v>
      </c>
      <c r="J12315" s="27" t="s">
        <v>3210</v>
      </c>
      <c r="L12315" s="27" t="s">
        <v>3262</v>
      </c>
      <c r="N12315" s="27" t="s">
        <v>15846</v>
      </c>
      <c r="P12315" s="27" t="s">
        <v>16143</v>
      </c>
      <c r="Q12315" s="26" t="str">
        <f>HYPERLINK("https://ictv.global/taxonomy/taxondetails?taxnode_id=202517312&amp;ictv_id=ICTV202317312","ICTV202317312")</f>
        <v>ICTV202317312</v>
      </c>
      <c r="R12315" t="s">
        <v>581</v>
      </c>
      <c r="S12315" t="s">
        <v>823</v>
      </c>
      <c r="T12315">
        <v>39</v>
      </c>
      <c r="U12315" s="26" t="str">
        <f t="shared" si="452"/>
        <v>2023.001B.Leviviricetes_reorg.zip</v>
      </c>
    </row>
    <row r="12316" spans="1:21">
      <c r="A12316">
        <v>12315</v>
      </c>
      <c r="B12316" s="27" t="s">
        <v>1124</v>
      </c>
      <c r="D12316" s="27" t="s">
        <v>1859</v>
      </c>
      <c r="F12316" s="27" t="s">
        <v>1881</v>
      </c>
      <c r="H12316" s="27" t="s">
        <v>2679</v>
      </c>
      <c r="J12316" s="27" t="s">
        <v>3210</v>
      </c>
      <c r="L12316" s="27" t="s">
        <v>3262</v>
      </c>
      <c r="N12316" s="27" t="s">
        <v>15846</v>
      </c>
      <c r="P12316" s="27" t="s">
        <v>16144</v>
      </c>
      <c r="Q12316" s="26" t="str">
        <f>HYPERLINK("https://ictv.global/taxonomy/taxondetails?taxnode_id=202511167&amp;ictv_id=ICTV202011167","ICTV202011167")</f>
        <v>ICTV202011167</v>
      </c>
      <c r="R12316" t="s">
        <v>581</v>
      </c>
      <c r="S12316" t="s">
        <v>22764</v>
      </c>
      <c r="T12316">
        <v>39</v>
      </c>
      <c r="U12316" s="26" t="str">
        <f t="shared" si="452"/>
        <v>2023.001B.Leviviricetes_reorg.zip</v>
      </c>
    </row>
    <row r="12317" spans="1:21">
      <c r="A12317">
        <v>12316</v>
      </c>
      <c r="B12317" s="27" t="s">
        <v>1124</v>
      </c>
      <c r="D12317" s="27" t="s">
        <v>1859</v>
      </c>
      <c r="F12317" s="27" t="s">
        <v>1881</v>
      </c>
      <c r="H12317" s="27" t="s">
        <v>2679</v>
      </c>
      <c r="J12317" s="27" t="s">
        <v>3210</v>
      </c>
      <c r="L12317" s="27" t="s">
        <v>3262</v>
      </c>
      <c r="N12317" s="27" t="s">
        <v>15846</v>
      </c>
      <c r="P12317" s="27" t="s">
        <v>16145</v>
      </c>
      <c r="Q12317" s="26" t="str">
        <f>HYPERLINK("https://ictv.global/taxonomy/taxondetails?taxnode_id=202517313&amp;ictv_id=ICTV202317313","ICTV202317313")</f>
        <v>ICTV202317313</v>
      </c>
      <c r="R12317" t="s">
        <v>581</v>
      </c>
      <c r="S12317" t="s">
        <v>823</v>
      </c>
      <c r="T12317">
        <v>39</v>
      </c>
      <c r="U12317" s="26" t="str">
        <f t="shared" si="452"/>
        <v>2023.001B.Leviviricetes_reorg.zip</v>
      </c>
    </row>
    <row r="12318" spans="1:21">
      <c r="A12318">
        <v>12317</v>
      </c>
      <c r="B12318" s="27" t="s">
        <v>1124</v>
      </c>
      <c r="D12318" s="27" t="s">
        <v>1859</v>
      </c>
      <c r="F12318" s="27" t="s">
        <v>1881</v>
      </c>
      <c r="H12318" s="27" t="s">
        <v>2679</v>
      </c>
      <c r="J12318" s="27" t="s">
        <v>3210</v>
      </c>
      <c r="L12318" s="27" t="s">
        <v>3262</v>
      </c>
      <c r="N12318" s="27" t="s">
        <v>15846</v>
      </c>
      <c r="P12318" s="27" t="s">
        <v>16146</v>
      </c>
      <c r="Q12318" s="26" t="str">
        <f>HYPERLINK("https://ictv.global/taxonomy/taxondetails?taxnode_id=202517314&amp;ictv_id=ICTV202317314","ICTV202317314")</f>
        <v>ICTV202317314</v>
      </c>
      <c r="R12318" t="s">
        <v>581</v>
      </c>
      <c r="S12318" t="s">
        <v>823</v>
      </c>
      <c r="T12318">
        <v>39</v>
      </c>
      <c r="U12318" s="26" t="str">
        <f t="shared" si="452"/>
        <v>2023.001B.Leviviricetes_reorg.zip</v>
      </c>
    </row>
    <row r="12319" spans="1:21">
      <c r="A12319">
        <v>12318</v>
      </c>
      <c r="B12319" s="27" t="s">
        <v>1124</v>
      </c>
      <c r="D12319" s="27" t="s">
        <v>1859</v>
      </c>
      <c r="F12319" s="27" t="s">
        <v>1881</v>
      </c>
      <c r="H12319" s="27" t="s">
        <v>2679</v>
      </c>
      <c r="J12319" s="27" t="s">
        <v>3210</v>
      </c>
      <c r="L12319" s="27" t="s">
        <v>3262</v>
      </c>
      <c r="N12319" s="27" t="s">
        <v>15846</v>
      </c>
      <c r="P12319" s="27" t="s">
        <v>16147</v>
      </c>
      <c r="Q12319" s="26" t="str">
        <f>HYPERLINK("https://ictv.global/taxonomy/taxondetails?taxnode_id=202517315&amp;ictv_id=ICTV202317315","ICTV202317315")</f>
        <v>ICTV202317315</v>
      </c>
      <c r="R12319" t="s">
        <v>581</v>
      </c>
      <c r="S12319" t="s">
        <v>823</v>
      </c>
      <c r="T12319">
        <v>39</v>
      </c>
      <c r="U12319" s="26" t="str">
        <f t="shared" si="452"/>
        <v>2023.001B.Leviviricetes_reorg.zip</v>
      </c>
    </row>
    <row r="12320" spans="1:21">
      <c r="A12320">
        <v>12319</v>
      </c>
      <c r="B12320" s="27" t="s">
        <v>1124</v>
      </c>
      <c r="D12320" s="27" t="s">
        <v>1859</v>
      </c>
      <c r="F12320" s="27" t="s">
        <v>1881</v>
      </c>
      <c r="H12320" s="27" t="s">
        <v>2679</v>
      </c>
      <c r="J12320" s="27" t="s">
        <v>3210</v>
      </c>
      <c r="L12320" s="27" t="s">
        <v>3262</v>
      </c>
      <c r="N12320" s="27" t="s">
        <v>15846</v>
      </c>
      <c r="P12320" s="27" t="s">
        <v>16148</v>
      </c>
      <c r="Q12320" s="26" t="str">
        <f>HYPERLINK("https://ictv.global/taxonomy/taxondetails?taxnode_id=202511156&amp;ictv_id=ICTV202011156","ICTV202011156")</f>
        <v>ICTV202011156</v>
      </c>
      <c r="R12320" t="s">
        <v>581</v>
      </c>
      <c r="S12320" t="s">
        <v>22764</v>
      </c>
      <c r="T12320">
        <v>39</v>
      </c>
      <c r="U12320" s="26" t="str">
        <f t="shared" si="452"/>
        <v>2023.001B.Leviviricetes_reorg.zip</v>
      </c>
    </row>
    <row r="12321" spans="1:21">
      <c r="A12321">
        <v>12320</v>
      </c>
      <c r="B12321" s="27" t="s">
        <v>1124</v>
      </c>
      <c r="D12321" s="27" t="s">
        <v>1859</v>
      </c>
      <c r="F12321" s="27" t="s">
        <v>1881</v>
      </c>
      <c r="H12321" s="27" t="s">
        <v>2679</v>
      </c>
      <c r="J12321" s="27" t="s">
        <v>3210</v>
      </c>
      <c r="L12321" s="27" t="s">
        <v>3262</v>
      </c>
      <c r="N12321" s="27" t="s">
        <v>15846</v>
      </c>
      <c r="P12321" s="27" t="s">
        <v>16149</v>
      </c>
      <c r="Q12321" s="26" t="str">
        <f>HYPERLINK("https://ictv.global/taxonomy/taxondetails?taxnode_id=202511158&amp;ictv_id=ICTV202011158","ICTV202011158")</f>
        <v>ICTV202011158</v>
      </c>
      <c r="R12321" t="s">
        <v>581</v>
      </c>
      <c r="S12321" t="s">
        <v>22764</v>
      </c>
      <c r="T12321">
        <v>39</v>
      </c>
      <c r="U12321" s="26" t="str">
        <f t="shared" si="452"/>
        <v>2023.001B.Leviviricetes_reorg.zip</v>
      </c>
    </row>
    <row r="12322" spans="1:21">
      <c r="A12322">
        <v>12321</v>
      </c>
      <c r="B12322" s="27" t="s">
        <v>1124</v>
      </c>
      <c r="D12322" s="27" t="s">
        <v>1859</v>
      </c>
      <c r="F12322" s="27" t="s">
        <v>1881</v>
      </c>
      <c r="H12322" s="27" t="s">
        <v>2679</v>
      </c>
      <c r="J12322" s="27" t="s">
        <v>3210</v>
      </c>
      <c r="L12322" s="27" t="s">
        <v>3262</v>
      </c>
      <c r="N12322" s="27" t="s">
        <v>15846</v>
      </c>
      <c r="P12322" s="27" t="s">
        <v>16150</v>
      </c>
      <c r="Q12322" s="26" t="str">
        <f>HYPERLINK("https://ictv.global/taxonomy/taxondetails?taxnode_id=202511157&amp;ictv_id=ICTV202011157","ICTV202011157")</f>
        <v>ICTV202011157</v>
      </c>
      <c r="R12322" t="s">
        <v>581</v>
      </c>
      <c r="S12322" t="s">
        <v>22764</v>
      </c>
      <c r="T12322">
        <v>39</v>
      </c>
      <c r="U12322" s="26" t="str">
        <f t="shared" si="452"/>
        <v>2023.001B.Leviviricetes_reorg.zip</v>
      </c>
    </row>
    <row r="12323" spans="1:21">
      <c r="A12323">
        <v>12322</v>
      </c>
      <c r="B12323" s="27" t="s">
        <v>1124</v>
      </c>
      <c r="D12323" s="27" t="s">
        <v>1859</v>
      </c>
      <c r="F12323" s="27" t="s">
        <v>1881</v>
      </c>
      <c r="H12323" s="27" t="s">
        <v>2679</v>
      </c>
      <c r="J12323" s="27" t="s">
        <v>3210</v>
      </c>
      <c r="L12323" s="27" t="s">
        <v>3262</v>
      </c>
      <c r="N12323" s="27" t="s">
        <v>15846</v>
      </c>
      <c r="P12323" s="27" t="s">
        <v>16151</v>
      </c>
      <c r="Q12323" s="26" t="str">
        <f>HYPERLINK("https://ictv.global/taxonomy/taxondetails?taxnode_id=202511226&amp;ictv_id=ICTV202011226","ICTV202011226")</f>
        <v>ICTV202011226</v>
      </c>
      <c r="R12323" t="s">
        <v>581</v>
      </c>
      <c r="S12323" t="s">
        <v>22764</v>
      </c>
      <c r="T12323">
        <v>39</v>
      </c>
      <c r="U12323" s="26" t="str">
        <f t="shared" si="452"/>
        <v>2023.001B.Leviviricetes_reorg.zip</v>
      </c>
    </row>
    <row r="12324" spans="1:21">
      <c r="A12324">
        <v>12323</v>
      </c>
      <c r="B12324" s="27" t="s">
        <v>1124</v>
      </c>
      <c r="D12324" s="27" t="s">
        <v>1859</v>
      </c>
      <c r="F12324" s="27" t="s">
        <v>1881</v>
      </c>
      <c r="H12324" s="27" t="s">
        <v>2679</v>
      </c>
      <c r="J12324" s="27" t="s">
        <v>3210</v>
      </c>
      <c r="L12324" s="27" t="s">
        <v>3262</v>
      </c>
      <c r="N12324" s="27" t="s">
        <v>15846</v>
      </c>
      <c r="P12324" s="27" t="s">
        <v>16152</v>
      </c>
      <c r="Q12324" s="26" t="str">
        <f>HYPERLINK("https://ictv.global/taxonomy/taxondetails?taxnode_id=202511227&amp;ictv_id=ICTV202011227","ICTV202011227")</f>
        <v>ICTV202011227</v>
      </c>
      <c r="R12324" t="s">
        <v>581</v>
      </c>
      <c r="S12324" t="s">
        <v>22764</v>
      </c>
      <c r="T12324">
        <v>39</v>
      </c>
      <c r="U12324" s="26" t="str">
        <f t="shared" si="452"/>
        <v>2023.001B.Leviviricetes_reorg.zip</v>
      </c>
    </row>
    <row r="12325" spans="1:21">
      <c r="A12325">
        <v>12324</v>
      </c>
      <c r="B12325" s="27" t="s">
        <v>1124</v>
      </c>
      <c r="D12325" s="27" t="s">
        <v>1859</v>
      </c>
      <c r="F12325" s="27" t="s">
        <v>1881</v>
      </c>
      <c r="H12325" s="27" t="s">
        <v>2679</v>
      </c>
      <c r="J12325" s="27" t="s">
        <v>3210</v>
      </c>
      <c r="L12325" s="27" t="s">
        <v>3262</v>
      </c>
      <c r="N12325" s="27" t="s">
        <v>15846</v>
      </c>
      <c r="P12325" s="27" t="s">
        <v>16153</v>
      </c>
      <c r="Q12325" s="26" t="str">
        <f>HYPERLINK("https://ictv.global/taxonomy/taxondetails?taxnode_id=202511228&amp;ictv_id=ICTV202011228","ICTV202011228")</f>
        <v>ICTV202011228</v>
      </c>
      <c r="R12325" t="s">
        <v>581</v>
      </c>
      <c r="S12325" t="s">
        <v>22764</v>
      </c>
      <c r="T12325">
        <v>39</v>
      </c>
      <c r="U12325" s="26" t="str">
        <f t="shared" si="452"/>
        <v>2023.001B.Leviviricetes_reorg.zip</v>
      </c>
    </row>
    <row r="12326" spans="1:21">
      <c r="A12326">
        <v>12325</v>
      </c>
      <c r="B12326" s="27" t="s">
        <v>1124</v>
      </c>
      <c r="D12326" s="27" t="s">
        <v>1859</v>
      </c>
      <c r="F12326" s="27" t="s">
        <v>1881</v>
      </c>
      <c r="H12326" s="27" t="s">
        <v>2679</v>
      </c>
      <c r="J12326" s="27" t="s">
        <v>3210</v>
      </c>
      <c r="L12326" s="27" t="s">
        <v>3262</v>
      </c>
      <c r="N12326" s="27" t="s">
        <v>15846</v>
      </c>
      <c r="P12326" s="27" t="s">
        <v>16154</v>
      </c>
      <c r="Q12326" s="26" t="str">
        <f>HYPERLINK("https://ictv.global/taxonomy/taxondetails?taxnode_id=202511186&amp;ictv_id=ICTV202011186","ICTV202011186")</f>
        <v>ICTV202011186</v>
      </c>
      <c r="R12326" t="s">
        <v>581</v>
      </c>
      <c r="S12326" t="s">
        <v>22764</v>
      </c>
      <c r="T12326">
        <v>39</v>
      </c>
      <c r="U12326" s="26" t="str">
        <f t="shared" si="452"/>
        <v>2023.001B.Leviviricetes_reorg.zip</v>
      </c>
    </row>
    <row r="12327" spans="1:21">
      <c r="A12327">
        <v>12326</v>
      </c>
      <c r="B12327" s="27" t="s">
        <v>1124</v>
      </c>
      <c r="D12327" s="27" t="s">
        <v>1859</v>
      </c>
      <c r="F12327" s="27" t="s">
        <v>1881</v>
      </c>
      <c r="H12327" s="27" t="s">
        <v>2679</v>
      </c>
      <c r="J12327" s="27" t="s">
        <v>3210</v>
      </c>
      <c r="L12327" s="27" t="s">
        <v>3262</v>
      </c>
      <c r="N12327" s="27" t="s">
        <v>15846</v>
      </c>
      <c r="P12327" s="27" t="s">
        <v>16155</v>
      </c>
      <c r="Q12327" s="26" t="str">
        <f>HYPERLINK("https://ictv.global/taxonomy/taxondetails?taxnode_id=202511188&amp;ictv_id=ICTV202011188","ICTV202011188")</f>
        <v>ICTV202011188</v>
      </c>
      <c r="R12327" t="s">
        <v>581</v>
      </c>
      <c r="S12327" t="s">
        <v>22764</v>
      </c>
      <c r="T12327">
        <v>39</v>
      </c>
      <c r="U12327" s="26" t="str">
        <f t="shared" si="452"/>
        <v>2023.001B.Leviviricetes_reorg.zip</v>
      </c>
    </row>
    <row r="12328" spans="1:21">
      <c r="A12328">
        <v>12327</v>
      </c>
      <c r="B12328" s="27" t="s">
        <v>1124</v>
      </c>
      <c r="D12328" s="27" t="s">
        <v>1859</v>
      </c>
      <c r="F12328" s="27" t="s">
        <v>1881</v>
      </c>
      <c r="H12328" s="27" t="s">
        <v>2679</v>
      </c>
      <c r="J12328" s="27" t="s">
        <v>3210</v>
      </c>
      <c r="L12328" s="27" t="s">
        <v>3262</v>
      </c>
      <c r="N12328" s="27" t="s">
        <v>15846</v>
      </c>
      <c r="P12328" s="27" t="s">
        <v>16156</v>
      </c>
      <c r="Q12328" s="26" t="str">
        <f>HYPERLINK("https://ictv.global/taxonomy/taxondetails?taxnode_id=202511187&amp;ictv_id=ICTV202011187","ICTV202011187")</f>
        <v>ICTV202011187</v>
      </c>
      <c r="R12328" t="s">
        <v>581</v>
      </c>
      <c r="S12328" t="s">
        <v>22764</v>
      </c>
      <c r="T12328">
        <v>39</v>
      </c>
      <c r="U12328" s="26" t="str">
        <f t="shared" si="452"/>
        <v>2023.001B.Leviviricetes_reorg.zip</v>
      </c>
    </row>
    <row r="12329" spans="1:21">
      <c r="A12329">
        <v>12328</v>
      </c>
      <c r="B12329" s="27" t="s">
        <v>1124</v>
      </c>
      <c r="D12329" s="27" t="s">
        <v>1859</v>
      </c>
      <c r="F12329" s="27" t="s">
        <v>1881</v>
      </c>
      <c r="H12329" s="27" t="s">
        <v>2679</v>
      </c>
      <c r="J12329" s="27" t="s">
        <v>3210</v>
      </c>
      <c r="L12329" s="27" t="s">
        <v>3262</v>
      </c>
      <c r="N12329" s="27" t="s">
        <v>15846</v>
      </c>
      <c r="P12329" s="27" t="s">
        <v>16157</v>
      </c>
      <c r="Q12329" s="26" t="str">
        <f>HYPERLINK("https://ictv.global/taxonomy/taxondetails?taxnode_id=202511103&amp;ictv_id=ICTV202011103","ICTV202011103")</f>
        <v>ICTV202011103</v>
      </c>
      <c r="R12329" t="s">
        <v>581</v>
      </c>
      <c r="S12329" t="s">
        <v>22764</v>
      </c>
      <c r="T12329">
        <v>39</v>
      </c>
      <c r="U12329" s="26" t="str">
        <f t="shared" si="452"/>
        <v>2023.001B.Leviviricetes_reorg.zip</v>
      </c>
    </row>
    <row r="12330" spans="1:21">
      <c r="A12330">
        <v>12329</v>
      </c>
      <c r="B12330" s="27" t="s">
        <v>1124</v>
      </c>
      <c r="D12330" s="27" t="s">
        <v>1859</v>
      </c>
      <c r="F12330" s="27" t="s">
        <v>1881</v>
      </c>
      <c r="H12330" s="27" t="s">
        <v>2679</v>
      </c>
      <c r="J12330" s="27" t="s">
        <v>3210</v>
      </c>
      <c r="L12330" s="27" t="s">
        <v>3262</v>
      </c>
      <c r="N12330" s="27" t="s">
        <v>15846</v>
      </c>
      <c r="P12330" s="27" t="s">
        <v>16158</v>
      </c>
      <c r="Q12330" s="26" t="str">
        <f>HYPERLINK("https://ictv.global/taxonomy/taxondetails?taxnode_id=202511190&amp;ictv_id=ICTV202011190","ICTV202011190")</f>
        <v>ICTV202011190</v>
      </c>
      <c r="R12330" t="s">
        <v>581</v>
      </c>
      <c r="S12330" t="s">
        <v>22764</v>
      </c>
      <c r="T12330">
        <v>39</v>
      </c>
      <c r="U12330" s="26" t="str">
        <f t="shared" si="452"/>
        <v>2023.001B.Leviviricetes_reorg.zip</v>
      </c>
    </row>
    <row r="12331" spans="1:21">
      <c r="A12331">
        <v>12330</v>
      </c>
      <c r="B12331" s="27" t="s">
        <v>1124</v>
      </c>
      <c r="D12331" s="27" t="s">
        <v>1859</v>
      </c>
      <c r="F12331" s="27" t="s">
        <v>1881</v>
      </c>
      <c r="H12331" s="27" t="s">
        <v>2679</v>
      </c>
      <c r="J12331" s="27" t="s">
        <v>3210</v>
      </c>
      <c r="L12331" s="27" t="s">
        <v>3262</v>
      </c>
      <c r="N12331" s="27" t="s">
        <v>15846</v>
      </c>
      <c r="P12331" s="27" t="s">
        <v>16159</v>
      </c>
      <c r="Q12331" s="26" t="str">
        <f>HYPERLINK("https://ictv.global/taxonomy/taxondetails?taxnode_id=202511191&amp;ictv_id=ICTV202011191","ICTV202011191")</f>
        <v>ICTV202011191</v>
      </c>
      <c r="R12331" t="s">
        <v>581</v>
      </c>
      <c r="S12331" t="s">
        <v>22764</v>
      </c>
      <c r="T12331">
        <v>39</v>
      </c>
      <c r="U12331" s="26" t="str">
        <f t="shared" si="452"/>
        <v>2023.001B.Leviviricetes_reorg.zip</v>
      </c>
    </row>
    <row r="12332" spans="1:21">
      <c r="A12332">
        <v>12331</v>
      </c>
      <c r="B12332" s="27" t="s">
        <v>1124</v>
      </c>
      <c r="D12332" s="27" t="s">
        <v>1859</v>
      </c>
      <c r="F12332" s="27" t="s">
        <v>1881</v>
      </c>
      <c r="H12332" s="27" t="s">
        <v>2679</v>
      </c>
      <c r="J12332" s="27" t="s">
        <v>3210</v>
      </c>
      <c r="L12332" s="27" t="s">
        <v>3262</v>
      </c>
      <c r="N12332" s="27" t="s">
        <v>15846</v>
      </c>
      <c r="P12332" s="27" t="s">
        <v>16160</v>
      </c>
      <c r="Q12332" s="26" t="str">
        <f>HYPERLINK("https://ictv.global/taxonomy/taxondetails?taxnode_id=202511331&amp;ictv_id=ICTV202011331","ICTV202011331")</f>
        <v>ICTV202011331</v>
      </c>
      <c r="R12332" t="s">
        <v>581</v>
      </c>
      <c r="S12332" t="s">
        <v>22764</v>
      </c>
      <c r="T12332">
        <v>39</v>
      </c>
      <c r="U12332" s="26" t="str">
        <f t="shared" si="452"/>
        <v>2023.001B.Leviviricetes_reorg.zip</v>
      </c>
    </row>
    <row r="12333" spans="1:21">
      <c r="A12333">
        <v>12332</v>
      </c>
      <c r="B12333" s="27" t="s">
        <v>1124</v>
      </c>
      <c r="D12333" s="27" t="s">
        <v>1859</v>
      </c>
      <c r="F12333" s="27" t="s">
        <v>1881</v>
      </c>
      <c r="H12333" s="27" t="s">
        <v>2679</v>
      </c>
      <c r="J12333" s="27" t="s">
        <v>3210</v>
      </c>
      <c r="L12333" s="27" t="s">
        <v>3262</v>
      </c>
      <c r="N12333" s="27" t="s">
        <v>15846</v>
      </c>
      <c r="P12333" s="27" t="s">
        <v>16161</v>
      </c>
      <c r="Q12333" s="26" t="str">
        <f>HYPERLINK("https://ictv.global/taxonomy/taxondetails?taxnode_id=202511244&amp;ictv_id=ICTV202011244","ICTV202011244")</f>
        <v>ICTV202011244</v>
      </c>
      <c r="R12333" t="s">
        <v>581</v>
      </c>
      <c r="S12333" t="s">
        <v>22764</v>
      </c>
      <c r="T12333">
        <v>39</v>
      </c>
      <c r="U12333" s="26" t="str">
        <f t="shared" si="452"/>
        <v>2023.001B.Leviviricetes_reorg.zip</v>
      </c>
    </row>
    <row r="12334" spans="1:21">
      <c r="A12334">
        <v>12333</v>
      </c>
      <c r="B12334" s="27" t="s">
        <v>1124</v>
      </c>
      <c r="D12334" s="27" t="s">
        <v>1859</v>
      </c>
      <c r="F12334" s="27" t="s">
        <v>1881</v>
      </c>
      <c r="H12334" s="27" t="s">
        <v>2679</v>
      </c>
      <c r="J12334" s="27" t="s">
        <v>3210</v>
      </c>
      <c r="L12334" s="27" t="s">
        <v>3262</v>
      </c>
      <c r="N12334" s="27" t="s">
        <v>15846</v>
      </c>
      <c r="P12334" s="27" t="s">
        <v>16162</v>
      </c>
      <c r="Q12334" s="26" t="str">
        <f>HYPERLINK("https://ictv.global/taxonomy/taxondetails?taxnode_id=202511245&amp;ictv_id=ICTV202011245","ICTV202011245")</f>
        <v>ICTV202011245</v>
      </c>
      <c r="R12334" t="s">
        <v>581</v>
      </c>
      <c r="S12334" t="s">
        <v>22764</v>
      </c>
      <c r="T12334">
        <v>39</v>
      </c>
      <c r="U12334" s="26" t="str">
        <f t="shared" si="452"/>
        <v>2023.001B.Leviviricetes_reorg.zip</v>
      </c>
    </row>
    <row r="12335" spans="1:21">
      <c r="A12335">
        <v>12334</v>
      </c>
      <c r="B12335" s="27" t="s">
        <v>1124</v>
      </c>
      <c r="D12335" s="27" t="s">
        <v>1859</v>
      </c>
      <c r="F12335" s="27" t="s">
        <v>1881</v>
      </c>
      <c r="H12335" s="27" t="s">
        <v>2679</v>
      </c>
      <c r="J12335" s="27" t="s">
        <v>3210</v>
      </c>
      <c r="L12335" s="27" t="s">
        <v>3262</v>
      </c>
      <c r="N12335" s="27" t="s">
        <v>15846</v>
      </c>
      <c r="P12335" s="27" t="s">
        <v>16163</v>
      </c>
      <c r="Q12335" s="26" t="str">
        <f>HYPERLINK("https://ictv.global/taxonomy/taxondetails?taxnode_id=202517316&amp;ictv_id=ICTV202317316","ICTV202317316")</f>
        <v>ICTV202317316</v>
      </c>
      <c r="R12335" t="s">
        <v>581</v>
      </c>
      <c r="S12335" t="s">
        <v>823</v>
      </c>
      <c r="T12335">
        <v>39</v>
      </c>
      <c r="U12335" s="26" t="str">
        <f t="shared" si="452"/>
        <v>2023.001B.Leviviricetes_reorg.zip</v>
      </c>
    </row>
    <row r="12336" spans="1:21">
      <c r="A12336">
        <v>12335</v>
      </c>
      <c r="B12336" s="27" t="s">
        <v>1124</v>
      </c>
      <c r="D12336" s="27" t="s">
        <v>1859</v>
      </c>
      <c r="F12336" s="27" t="s">
        <v>1881</v>
      </c>
      <c r="H12336" s="27" t="s">
        <v>2679</v>
      </c>
      <c r="J12336" s="27" t="s">
        <v>3210</v>
      </c>
      <c r="L12336" s="27" t="s">
        <v>3262</v>
      </c>
      <c r="N12336" s="27" t="s">
        <v>15846</v>
      </c>
      <c r="P12336" s="27" t="s">
        <v>16164</v>
      </c>
      <c r="Q12336" s="26" t="str">
        <f>HYPERLINK("https://ictv.global/taxonomy/taxondetails?taxnode_id=202517317&amp;ictv_id=ICTV202317317","ICTV202317317")</f>
        <v>ICTV202317317</v>
      </c>
      <c r="R12336" t="s">
        <v>581</v>
      </c>
      <c r="S12336" t="s">
        <v>823</v>
      </c>
      <c r="T12336">
        <v>39</v>
      </c>
      <c r="U12336" s="26" t="str">
        <f t="shared" si="452"/>
        <v>2023.001B.Leviviricetes_reorg.zip</v>
      </c>
    </row>
    <row r="12337" spans="1:21">
      <c r="A12337">
        <v>12336</v>
      </c>
      <c r="B12337" s="27" t="s">
        <v>1124</v>
      </c>
      <c r="D12337" s="27" t="s">
        <v>1859</v>
      </c>
      <c r="F12337" s="27" t="s">
        <v>1881</v>
      </c>
      <c r="H12337" s="27" t="s">
        <v>2679</v>
      </c>
      <c r="J12337" s="27" t="s">
        <v>3210</v>
      </c>
      <c r="L12337" s="27" t="s">
        <v>3262</v>
      </c>
      <c r="N12337" s="27" t="s">
        <v>15846</v>
      </c>
      <c r="P12337" s="27" t="s">
        <v>16165</v>
      </c>
      <c r="Q12337" s="26" t="str">
        <f>HYPERLINK("https://ictv.global/taxonomy/taxondetails?taxnode_id=202517318&amp;ictv_id=ICTV202317318","ICTV202317318")</f>
        <v>ICTV202317318</v>
      </c>
      <c r="R12337" t="s">
        <v>581</v>
      </c>
      <c r="S12337" t="s">
        <v>823</v>
      </c>
      <c r="T12337">
        <v>39</v>
      </c>
      <c r="U12337" s="26" t="str">
        <f t="shared" si="452"/>
        <v>2023.001B.Leviviricetes_reorg.zip</v>
      </c>
    </row>
    <row r="12338" spans="1:21">
      <c r="A12338">
        <v>12337</v>
      </c>
      <c r="B12338" s="27" t="s">
        <v>1124</v>
      </c>
      <c r="D12338" s="27" t="s">
        <v>1859</v>
      </c>
      <c r="F12338" s="27" t="s">
        <v>1881</v>
      </c>
      <c r="H12338" s="27" t="s">
        <v>2679</v>
      </c>
      <c r="J12338" s="27" t="s">
        <v>3210</v>
      </c>
      <c r="L12338" s="27" t="s">
        <v>3262</v>
      </c>
      <c r="N12338" s="27" t="s">
        <v>15846</v>
      </c>
      <c r="P12338" s="27" t="s">
        <v>16166</v>
      </c>
      <c r="Q12338" s="26" t="str">
        <f>HYPERLINK("https://ictv.global/taxonomy/taxondetails?taxnode_id=202517319&amp;ictv_id=ICTV202317319","ICTV202317319")</f>
        <v>ICTV202317319</v>
      </c>
      <c r="R12338" t="s">
        <v>581</v>
      </c>
      <c r="S12338" t="s">
        <v>823</v>
      </c>
      <c r="T12338">
        <v>39</v>
      </c>
      <c r="U12338" s="26" t="str">
        <f t="shared" si="452"/>
        <v>2023.001B.Leviviricetes_reorg.zip</v>
      </c>
    </row>
    <row r="12339" spans="1:21">
      <c r="A12339">
        <v>12338</v>
      </c>
      <c r="B12339" s="27" t="s">
        <v>1124</v>
      </c>
      <c r="D12339" s="27" t="s">
        <v>1859</v>
      </c>
      <c r="F12339" s="27" t="s">
        <v>1881</v>
      </c>
      <c r="H12339" s="27" t="s">
        <v>2679</v>
      </c>
      <c r="J12339" s="27" t="s">
        <v>3210</v>
      </c>
      <c r="L12339" s="27" t="s">
        <v>3262</v>
      </c>
      <c r="N12339" s="27" t="s">
        <v>15846</v>
      </c>
      <c r="P12339" s="27" t="s">
        <v>16167</v>
      </c>
      <c r="Q12339" s="26" t="str">
        <f>HYPERLINK("https://ictv.global/taxonomy/taxondetails?taxnode_id=202511193&amp;ictv_id=ICTV202011193","ICTV202011193")</f>
        <v>ICTV202011193</v>
      </c>
      <c r="R12339" t="s">
        <v>581</v>
      </c>
      <c r="S12339" t="s">
        <v>22764</v>
      </c>
      <c r="T12339">
        <v>39</v>
      </c>
      <c r="U12339" s="26" t="str">
        <f t="shared" si="452"/>
        <v>2023.001B.Leviviricetes_reorg.zip</v>
      </c>
    </row>
    <row r="12340" spans="1:21">
      <c r="A12340">
        <v>12339</v>
      </c>
      <c r="B12340" s="27" t="s">
        <v>1124</v>
      </c>
      <c r="D12340" s="27" t="s">
        <v>1859</v>
      </c>
      <c r="F12340" s="27" t="s">
        <v>1881</v>
      </c>
      <c r="H12340" s="27" t="s">
        <v>2679</v>
      </c>
      <c r="J12340" s="27" t="s">
        <v>3210</v>
      </c>
      <c r="L12340" s="27" t="s">
        <v>3262</v>
      </c>
      <c r="N12340" s="27" t="s">
        <v>15846</v>
      </c>
      <c r="P12340" s="27" t="s">
        <v>16168</v>
      </c>
      <c r="Q12340" s="26" t="str">
        <f>HYPERLINK("https://ictv.global/taxonomy/taxondetails?taxnode_id=202511128&amp;ictv_id=ICTV202011128","ICTV202011128")</f>
        <v>ICTV202011128</v>
      </c>
      <c r="R12340" t="s">
        <v>581</v>
      </c>
      <c r="S12340" t="s">
        <v>22764</v>
      </c>
      <c r="T12340">
        <v>39</v>
      </c>
      <c r="U12340" s="26" t="str">
        <f t="shared" si="452"/>
        <v>2023.001B.Leviviricetes_reorg.zip</v>
      </c>
    </row>
    <row r="12341" spans="1:21">
      <c r="A12341">
        <v>12340</v>
      </c>
      <c r="B12341" s="27" t="s">
        <v>1124</v>
      </c>
      <c r="D12341" s="27" t="s">
        <v>1859</v>
      </c>
      <c r="F12341" s="27" t="s">
        <v>1881</v>
      </c>
      <c r="H12341" s="27" t="s">
        <v>2679</v>
      </c>
      <c r="J12341" s="27" t="s">
        <v>3210</v>
      </c>
      <c r="L12341" s="27" t="s">
        <v>3262</v>
      </c>
      <c r="N12341" s="27" t="s">
        <v>15846</v>
      </c>
      <c r="P12341" s="27" t="s">
        <v>16169</v>
      </c>
      <c r="Q12341" s="26" t="str">
        <f>HYPERLINK("https://ictv.global/taxonomy/taxondetails?taxnode_id=202511195&amp;ictv_id=ICTV202011195","ICTV202011195")</f>
        <v>ICTV202011195</v>
      </c>
      <c r="R12341" t="s">
        <v>581</v>
      </c>
      <c r="S12341" t="s">
        <v>22764</v>
      </c>
      <c r="T12341">
        <v>39</v>
      </c>
      <c r="U12341" s="26" t="str">
        <f t="shared" si="452"/>
        <v>2023.001B.Leviviricetes_reorg.zip</v>
      </c>
    </row>
    <row r="12342" spans="1:21">
      <c r="A12342">
        <v>12341</v>
      </c>
      <c r="B12342" s="27" t="s">
        <v>1124</v>
      </c>
      <c r="D12342" s="27" t="s">
        <v>1859</v>
      </c>
      <c r="F12342" s="27" t="s">
        <v>1881</v>
      </c>
      <c r="H12342" s="27" t="s">
        <v>2679</v>
      </c>
      <c r="J12342" s="27" t="s">
        <v>3210</v>
      </c>
      <c r="L12342" s="27" t="s">
        <v>3262</v>
      </c>
      <c r="N12342" s="27" t="s">
        <v>15846</v>
      </c>
      <c r="P12342" s="27" t="s">
        <v>16170</v>
      </c>
      <c r="Q12342" s="26" t="str">
        <f>HYPERLINK("https://ictv.global/taxonomy/taxondetails?taxnode_id=202511196&amp;ictv_id=ICTV202011196","ICTV202011196")</f>
        <v>ICTV202011196</v>
      </c>
      <c r="R12342" t="s">
        <v>581</v>
      </c>
      <c r="S12342" t="s">
        <v>22764</v>
      </c>
      <c r="T12342">
        <v>39</v>
      </c>
      <c r="U12342" s="26" t="str">
        <f t="shared" si="452"/>
        <v>2023.001B.Leviviricetes_reorg.zip</v>
      </c>
    </row>
    <row r="12343" spans="1:21">
      <c r="A12343">
        <v>12342</v>
      </c>
      <c r="B12343" s="27" t="s">
        <v>1124</v>
      </c>
      <c r="D12343" s="27" t="s">
        <v>1859</v>
      </c>
      <c r="F12343" s="27" t="s">
        <v>1881</v>
      </c>
      <c r="H12343" s="27" t="s">
        <v>2679</v>
      </c>
      <c r="J12343" s="27" t="s">
        <v>3210</v>
      </c>
      <c r="L12343" s="27" t="s">
        <v>3262</v>
      </c>
      <c r="N12343" s="27" t="s">
        <v>15846</v>
      </c>
      <c r="P12343" s="27" t="s">
        <v>16171</v>
      </c>
      <c r="Q12343" s="26" t="str">
        <f>HYPERLINK("https://ictv.global/taxonomy/taxondetails?taxnode_id=202511197&amp;ictv_id=ICTV202011197","ICTV202011197")</f>
        <v>ICTV202011197</v>
      </c>
      <c r="R12343" t="s">
        <v>581</v>
      </c>
      <c r="S12343" t="s">
        <v>22764</v>
      </c>
      <c r="T12343">
        <v>39</v>
      </c>
      <c r="U12343" s="26" t="str">
        <f t="shared" si="452"/>
        <v>2023.001B.Leviviricetes_reorg.zip</v>
      </c>
    </row>
    <row r="12344" spans="1:21">
      <c r="A12344">
        <v>12343</v>
      </c>
      <c r="B12344" s="27" t="s">
        <v>1124</v>
      </c>
      <c r="D12344" s="27" t="s">
        <v>1859</v>
      </c>
      <c r="F12344" s="27" t="s">
        <v>1881</v>
      </c>
      <c r="H12344" s="27" t="s">
        <v>2679</v>
      </c>
      <c r="J12344" s="27" t="s">
        <v>3210</v>
      </c>
      <c r="L12344" s="27" t="s">
        <v>3262</v>
      </c>
      <c r="N12344" s="27" t="s">
        <v>15846</v>
      </c>
      <c r="P12344" s="27" t="s">
        <v>16172</v>
      </c>
      <c r="Q12344" s="26" t="str">
        <f>HYPERLINK("https://ictv.global/taxonomy/taxondetails?taxnode_id=202511211&amp;ictv_id=ICTV202011211","ICTV202011211")</f>
        <v>ICTV202011211</v>
      </c>
      <c r="R12344" t="s">
        <v>581</v>
      </c>
      <c r="S12344" t="s">
        <v>22764</v>
      </c>
      <c r="T12344">
        <v>39</v>
      </c>
      <c r="U12344" s="26" t="str">
        <f t="shared" si="452"/>
        <v>2023.001B.Leviviricetes_reorg.zip</v>
      </c>
    </row>
    <row r="12345" spans="1:21">
      <c r="A12345">
        <v>12344</v>
      </c>
      <c r="B12345" s="27" t="s">
        <v>1124</v>
      </c>
      <c r="D12345" s="27" t="s">
        <v>1859</v>
      </c>
      <c r="F12345" s="27" t="s">
        <v>1881</v>
      </c>
      <c r="H12345" s="27" t="s">
        <v>2679</v>
      </c>
      <c r="J12345" s="27" t="s">
        <v>3210</v>
      </c>
      <c r="L12345" s="27" t="s">
        <v>3262</v>
      </c>
      <c r="N12345" s="27" t="s">
        <v>15846</v>
      </c>
      <c r="P12345" s="27" t="s">
        <v>16173</v>
      </c>
      <c r="Q12345" s="26" t="str">
        <f>HYPERLINK("https://ictv.global/taxonomy/taxondetails?taxnode_id=202511213&amp;ictv_id=ICTV202011213","ICTV202011213")</f>
        <v>ICTV202011213</v>
      </c>
      <c r="R12345" t="s">
        <v>581</v>
      </c>
      <c r="S12345" t="s">
        <v>22764</v>
      </c>
      <c r="T12345">
        <v>39</v>
      </c>
      <c r="U12345" s="26" t="str">
        <f t="shared" si="452"/>
        <v>2023.001B.Leviviricetes_reorg.zip</v>
      </c>
    </row>
    <row r="12346" spans="1:21">
      <c r="A12346">
        <v>12345</v>
      </c>
      <c r="B12346" s="27" t="s">
        <v>1124</v>
      </c>
      <c r="D12346" s="27" t="s">
        <v>1859</v>
      </c>
      <c r="F12346" s="27" t="s">
        <v>1881</v>
      </c>
      <c r="H12346" s="27" t="s">
        <v>2679</v>
      </c>
      <c r="J12346" s="27" t="s">
        <v>3210</v>
      </c>
      <c r="L12346" s="27" t="s">
        <v>3262</v>
      </c>
      <c r="N12346" s="27" t="s">
        <v>15846</v>
      </c>
      <c r="P12346" s="27" t="s">
        <v>16174</v>
      </c>
      <c r="Q12346" s="26" t="str">
        <f>HYPERLINK("https://ictv.global/taxonomy/taxondetails?taxnode_id=202511212&amp;ictv_id=ICTV202011212","ICTV202011212")</f>
        <v>ICTV202011212</v>
      </c>
      <c r="R12346" t="s">
        <v>581</v>
      </c>
      <c r="S12346" t="s">
        <v>22764</v>
      </c>
      <c r="T12346">
        <v>39</v>
      </c>
      <c r="U12346" s="26" t="str">
        <f t="shared" si="452"/>
        <v>2023.001B.Leviviricetes_reorg.zip</v>
      </c>
    </row>
    <row r="12347" spans="1:21">
      <c r="A12347">
        <v>12346</v>
      </c>
      <c r="B12347" s="27" t="s">
        <v>1124</v>
      </c>
      <c r="D12347" s="27" t="s">
        <v>1859</v>
      </c>
      <c r="F12347" s="27" t="s">
        <v>1881</v>
      </c>
      <c r="H12347" s="27" t="s">
        <v>2679</v>
      </c>
      <c r="J12347" s="27" t="s">
        <v>3210</v>
      </c>
      <c r="L12347" s="27" t="s">
        <v>3262</v>
      </c>
      <c r="N12347" s="27" t="s">
        <v>15846</v>
      </c>
      <c r="P12347" s="27" t="s">
        <v>16175</v>
      </c>
      <c r="Q12347" s="26" t="str">
        <f>HYPERLINK("https://ictv.global/taxonomy/taxondetails?taxnode_id=202511148&amp;ictv_id=ICTV202011148","ICTV202011148")</f>
        <v>ICTV202011148</v>
      </c>
      <c r="R12347" t="s">
        <v>581</v>
      </c>
      <c r="S12347" t="s">
        <v>22764</v>
      </c>
      <c r="T12347">
        <v>39</v>
      </c>
      <c r="U12347" s="26" t="str">
        <f t="shared" si="452"/>
        <v>2023.001B.Leviviricetes_reorg.zip</v>
      </c>
    </row>
    <row r="12348" spans="1:21">
      <c r="A12348">
        <v>12347</v>
      </c>
      <c r="B12348" s="27" t="s">
        <v>1124</v>
      </c>
      <c r="D12348" s="27" t="s">
        <v>1859</v>
      </c>
      <c r="F12348" s="27" t="s">
        <v>1881</v>
      </c>
      <c r="H12348" s="27" t="s">
        <v>2679</v>
      </c>
      <c r="J12348" s="27" t="s">
        <v>3210</v>
      </c>
      <c r="L12348" s="27" t="s">
        <v>3262</v>
      </c>
      <c r="N12348" s="27" t="s">
        <v>15846</v>
      </c>
      <c r="P12348" s="27" t="s">
        <v>16176</v>
      </c>
      <c r="Q12348" s="26" t="str">
        <f>HYPERLINK("https://ictv.global/taxonomy/taxondetails?taxnode_id=202511149&amp;ictv_id=ICTV202011149","ICTV202011149")</f>
        <v>ICTV202011149</v>
      </c>
      <c r="R12348" t="s">
        <v>581</v>
      </c>
      <c r="S12348" t="s">
        <v>22764</v>
      </c>
      <c r="T12348">
        <v>39</v>
      </c>
      <c r="U12348" s="26" t="str">
        <f t="shared" si="452"/>
        <v>2023.001B.Leviviricetes_reorg.zip</v>
      </c>
    </row>
    <row r="12349" spans="1:21">
      <c r="A12349">
        <v>12348</v>
      </c>
      <c r="B12349" s="27" t="s">
        <v>1124</v>
      </c>
      <c r="D12349" s="27" t="s">
        <v>1859</v>
      </c>
      <c r="F12349" s="27" t="s">
        <v>1881</v>
      </c>
      <c r="H12349" s="27" t="s">
        <v>2679</v>
      </c>
      <c r="J12349" s="27" t="s">
        <v>3210</v>
      </c>
      <c r="L12349" s="27" t="s">
        <v>3262</v>
      </c>
      <c r="N12349" s="27" t="s">
        <v>15846</v>
      </c>
      <c r="P12349" s="27" t="s">
        <v>16177</v>
      </c>
      <c r="Q12349" s="26" t="str">
        <f>HYPERLINK("https://ictv.global/taxonomy/taxondetails?taxnode_id=202511150&amp;ictv_id=ICTV202011150","ICTV202011150")</f>
        <v>ICTV202011150</v>
      </c>
      <c r="R12349" t="s">
        <v>581</v>
      </c>
      <c r="S12349" t="s">
        <v>22764</v>
      </c>
      <c r="T12349">
        <v>39</v>
      </c>
      <c r="U12349" s="26" t="str">
        <f t="shared" si="452"/>
        <v>2023.001B.Leviviricetes_reorg.zip</v>
      </c>
    </row>
    <row r="12350" spans="1:21">
      <c r="A12350">
        <v>12349</v>
      </c>
      <c r="B12350" s="27" t="s">
        <v>1124</v>
      </c>
      <c r="D12350" s="27" t="s">
        <v>1859</v>
      </c>
      <c r="F12350" s="27" t="s">
        <v>1881</v>
      </c>
      <c r="H12350" s="27" t="s">
        <v>2679</v>
      </c>
      <c r="J12350" s="27" t="s">
        <v>3210</v>
      </c>
      <c r="L12350" s="27" t="s">
        <v>3262</v>
      </c>
      <c r="N12350" s="27" t="s">
        <v>15846</v>
      </c>
      <c r="P12350" s="27" t="s">
        <v>16178</v>
      </c>
      <c r="Q12350" s="26" t="str">
        <f>HYPERLINK("https://ictv.global/taxonomy/taxondetails?taxnode_id=202511341&amp;ictv_id=ICTV202011341","ICTV202011341")</f>
        <v>ICTV202011341</v>
      </c>
      <c r="R12350" t="s">
        <v>581</v>
      </c>
      <c r="S12350" t="s">
        <v>22764</v>
      </c>
      <c r="T12350">
        <v>39</v>
      </c>
      <c r="U12350" s="26" t="str">
        <f t="shared" si="452"/>
        <v>2023.001B.Leviviricetes_reorg.zip</v>
      </c>
    </row>
    <row r="12351" spans="1:21">
      <c r="A12351">
        <v>12350</v>
      </c>
      <c r="B12351" s="27" t="s">
        <v>1124</v>
      </c>
      <c r="D12351" s="27" t="s">
        <v>1859</v>
      </c>
      <c r="F12351" s="27" t="s">
        <v>1881</v>
      </c>
      <c r="H12351" s="27" t="s">
        <v>2679</v>
      </c>
      <c r="J12351" s="27" t="s">
        <v>3210</v>
      </c>
      <c r="L12351" s="27" t="s">
        <v>3262</v>
      </c>
      <c r="N12351" s="27" t="s">
        <v>15846</v>
      </c>
      <c r="P12351" s="27" t="s">
        <v>16179</v>
      </c>
      <c r="Q12351" s="26" t="str">
        <f>HYPERLINK("https://ictv.global/taxonomy/taxondetails?taxnode_id=202517320&amp;ictv_id=ICTV202317320","ICTV202317320")</f>
        <v>ICTV202317320</v>
      </c>
      <c r="R12351" t="s">
        <v>581</v>
      </c>
      <c r="S12351" t="s">
        <v>823</v>
      </c>
      <c r="T12351">
        <v>39</v>
      </c>
      <c r="U12351" s="26" t="str">
        <f t="shared" si="452"/>
        <v>2023.001B.Leviviricetes_reorg.zip</v>
      </c>
    </row>
    <row r="12352" spans="1:21">
      <c r="A12352">
        <v>12351</v>
      </c>
      <c r="B12352" s="27" t="s">
        <v>1124</v>
      </c>
      <c r="D12352" s="27" t="s">
        <v>1859</v>
      </c>
      <c r="F12352" s="27" t="s">
        <v>1881</v>
      </c>
      <c r="H12352" s="27" t="s">
        <v>2679</v>
      </c>
      <c r="J12352" s="27" t="s">
        <v>3210</v>
      </c>
      <c r="L12352" s="27" t="s">
        <v>3262</v>
      </c>
      <c r="N12352" s="27" t="s">
        <v>15846</v>
      </c>
      <c r="P12352" s="27" t="s">
        <v>16180</v>
      </c>
      <c r="Q12352" s="26" t="str">
        <f>HYPERLINK("https://ictv.global/taxonomy/taxondetails?taxnode_id=202517321&amp;ictv_id=ICTV202317321","ICTV202317321")</f>
        <v>ICTV202317321</v>
      </c>
      <c r="R12352" t="s">
        <v>581</v>
      </c>
      <c r="S12352" t="s">
        <v>823</v>
      </c>
      <c r="T12352">
        <v>39</v>
      </c>
      <c r="U12352" s="26" t="str">
        <f t="shared" si="452"/>
        <v>2023.001B.Leviviricetes_reorg.zip</v>
      </c>
    </row>
    <row r="12353" spans="1:21">
      <c r="A12353">
        <v>12352</v>
      </c>
      <c r="B12353" s="27" t="s">
        <v>1124</v>
      </c>
      <c r="D12353" s="27" t="s">
        <v>1859</v>
      </c>
      <c r="F12353" s="27" t="s">
        <v>1881</v>
      </c>
      <c r="H12353" s="27" t="s">
        <v>2679</v>
      </c>
      <c r="J12353" s="27" t="s">
        <v>3210</v>
      </c>
      <c r="L12353" s="27" t="s">
        <v>3262</v>
      </c>
      <c r="N12353" s="27" t="s">
        <v>15846</v>
      </c>
      <c r="P12353" s="27" t="s">
        <v>16181</v>
      </c>
      <c r="Q12353" s="26" t="str">
        <f>HYPERLINK("https://ictv.global/taxonomy/taxondetails?taxnode_id=202517322&amp;ictv_id=ICTV202317322","ICTV202317322")</f>
        <v>ICTV202317322</v>
      </c>
      <c r="R12353" t="s">
        <v>581</v>
      </c>
      <c r="S12353" t="s">
        <v>823</v>
      </c>
      <c r="T12353">
        <v>39</v>
      </c>
      <c r="U12353" s="26" t="str">
        <f t="shared" si="452"/>
        <v>2023.001B.Leviviricetes_reorg.zip</v>
      </c>
    </row>
    <row r="12354" spans="1:21">
      <c r="A12354">
        <v>12353</v>
      </c>
      <c r="B12354" s="27" t="s">
        <v>1124</v>
      </c>
      <c r="D12354" s="27" t="s">
        <v>1859</v>
      </c>
      <c r="F12354" s="27" t="s">
        <v>1881</v>
      </c>
      <c r="H12354" s="27" t="s">
        <v>2679</v>
      </c>
      <c r="J12354" s="27" t="s">
        <v>3210</v>
      </c>
      <c r="L12354" s="27" t="s">
        <v>3262</v>
      </c>
      <c r="N12354" s="27" t="s">
        <v>15846</v>
      </c>
      <c r="P12354" s="27" t="s">
        <v>16182</v>
      </c>
      <c r="Q12354" s="26" t="str">
        <f>HYPERLINK("https://ictv.global/taxonomy/taxondetails?taxnode_id=202517323&amp;ictv_id=ICTV202317323","ICTV202317323")</f>
        <v>ICTV202317323</v>
      </c>
      <c r="R12354" t="s">
        <v>581</v>
      </c>
      <c r="S12354" t="s">
        <v>823</v>
      </c>
      <c r="T12354">
        <v>39</v>
      </c>
      <c r="U12354" s="26" t="str">
        <f t="shared" si="452"/>
        <v>2023.001B.Leviviricetes_reorg.zip</v>
      </c>
    </row>
    <row r="12355" spans="1:21">
      <c r="A12355">
        <v>12354</v>
      </c>
      <c r="B12355" s="27" t="s">
        <v>1124</v>
      </c>
      <c r="D12355" s="27" t="s">
        <v>1859</v>
      </c>
      <c r="F12355" s="27" t="s">
        <v>1881</v>
      </c>
      <c r="H12355" s="27" t="s">
        <v>2679</v>
      </c>
      <c r="J12355" s="27" t="s">
        <v>3210</v>
      </c>
      <c r="L12355" s="27" t="s">
        <v>3262</v>
      </c>
      <c r="N12355" s="27" t="s">
        <v>15846</v>
      </c>
      <c r="P12355" s="27" t="s">
        <v>16183</v>
      </c>
      <c r="Q12355" s="26" t="str">
        <f>HYPERLINK("https://ictv.global/taxonomy/taxondetails?taxnode_id=202517324&amp;ictv_id=ICTV202317324","ICTV202317324")</f>
        <v>ICTV202317324</v>
      </c>
      <c r="R12355" t="s">
        <v>581</v>
      </c>
      <c r="S12355" t="s">
        <v>823</v>
      </c>
      <c r="T12355">
        <v>39</v>
      </c>
      <c r="U12355" s="26" t="str">
        <f t="shared" si="452"/>
        <v>2023.001B.Leviviricetes_reorg.zip</v>
      </c>
    </row>
    <row r="12356" spans="1:21">
      <c r="A12356">
        <v>12355</v>
      </c>
      <c r="B12356" s="27" t="s">
        <v>1124</v>
      </c>
      <c r="D12356" s="27" t="s">
        <v>1859</v>
      </c>
      <c r="F12356" s="27" t="s">
        <v>1881</v>
      </c>
      <c r="H12356" s="27" t="s">
        <v>2679</v>
      </c>
      <c r="J12356" s="27" t="s">
        <v>3210</v>
      </c>
      <c r="L12356" s="27" t="s">
        <v>3262</v>
      </c>
      <c r="N12356" s="27" t="s">
        <v>15846</v>
      </c>
      <c r="P12356" s="27" t="s">
        <v>16184</v>
      </c>
      <c r="Q12356" s="26" t="str">
        <f>HYPERLINK("https://ictv.global/taxonomy/taxondetails?taxnode_id=202511465&amp;ictv_id=ICTV202011465","ICTV202011465")</f>
        <v>ICTV202011465</v>
      </c>
      <c r="R12356" t="s">
        <v>581</v>
      </c>
      <c r="S12356" t="s">
        <v>22764</v>
      </c>
      <c r="T12356">
        <v>39</v>
      </c>
      <c r="U12356" s="26" t="str">
        <f t="shared" si="452"/>
        <v>2023.001B.Leviviricetes_reorg.zip</v>
      </c>
    </row>
    <row r="12357" spans="1:21">
      <c r="A12357">
        <v>12356</v>
      </c>
      <c r="B12357" s="27" t="s">
        <v>1124</v>
      </c>
      <c r="D12357" s="27" t="s">
        <v>1859</v>
      </c>
      <c r="F12357" s="27" t="s">
        <v>1881</v>
      </c>
      <c r="H12357" s="27" t="s">
        <v>2679</v>
      </c>
      <c r="J12357" s="27" t="s">
        <v>3210</v>
      </c>
      <c r="L12357" s="27" t="s">
        <v>3262</v>
      </c>
      <c r="N12357" s="27" t="s">
        <v>15846</v>
      </c>
      <c r="P12357" s="27" t="s">
        <v>16185</v>
      </c>
      <c r="Q12357" s="26" t="str">
        <f>HYPERLINK("https://ictv.global/taxonomy/taxondetails?taxnode_id=202511178&amp;ictv_id=ICTV202011178","ICTV202011178")</f>
        <v>ICTV202011178</v>
      </c>
      <c r="R12357" t="s">
        <v>581</v>
      </c>
      <c r="S12357" t="s">
        <v>22764</v>
      </c>
      <c r="T12357">
        <v>39</v>
      </c>
      <c r="U12357" s="26" t="str">
        <f t="shared" si="452"/>
        <v>2023.001B.Leviviricetes_reorg.zip</v>
      </c>
    </row>
    <row r="12358" spans="1:21">
      <c r="A12358">
        <v>12357</v>
      </c>
      <c r="B12358" s="27" t="s">
        <v>1124</v>
      </c>
      <c r="D12358" s="27" t="s">
        <v>1859</v>
      </c>
      <c r="F12358" s="27" t="s">
        <v>1881</v>
      </c>
      <c r="H12358" s="27" t="s">
        <v>2679</v>
      </c>
      <c r="J12358" s="27" t="s">
        <v>3210</v>
      </c>
      <c r="L12358" s="27" t="s">
        <v>3262</v>
      </c>
      <c r="N12358" s="27" t="s">
        <v>15846</v>
      </c>
      <c r="P12358" s="27" t="s">
        <v>16186</v>
      </c>
      <c r="Q12358" s="26" t="str">
        <f>HYPERLINK("https://ictv.global/taxonomy/taxondetails?taxnode_id=202511179&amp;ictv_id=ICTV202011179","ICTV202011179")</f>
        <v>ICTV202011179</v>
      </c>
      <c r="R12358" t="s">
        <v>581</v>
      </c>
      <c r="S12358" t="s">
        <v>22764</v>
      </c>
      <c r="T12358">
        <v>39</v>
      </c>
      <c r="U12358" s="26" t="str">
        <f t="shared" si="452"/>
        <v>2023.001B.Leviviricetes_reorg.zip</v>
      </c>
    </row>
    <row r="12359" spans="1:21">
      <c r="A12359">
        <v>12358</v>
      </c>
      <c r="B12359" s="27" t="s">
        <v>1124</v>
      </c>
      <c r="D12359" s="27" t="s">
        <v>1859</v>
      </c>
      <c r="F12359" s="27" t="s">
        <v>1881</v>
      </c>
      <c r="H12359" s="27" t="s">
        <v>2679</v>
      </c>
      <c r="J12359" s="27" t="s">
        <v>3210</v>
      </c>
      <c r="L12359" s="27" t="s">
        <v>3262</v>
      </c>
      <c r="N12359" s="27" t="s">
        <v>15846</v>
      </c>
      <c r="P12359" s="27" t="s">
        <v>16187</v>
      </c>
      <c r="Q12359" s="26" t="str">
        <f>HYPERLINK("https://ictv.global/taxonomy/taxondetails?taxnode_id=202511180&amp;ictv_id=ICTV202011180","ICTV202011180")</f>
        <v>ICTV202011180</v>
      </c>
      <c r="R12359" t="s">
        <v>581</v>
      </c>
      <c r="S12359" t="s">
        <v>22764</v>
      </c>
      <c r="T12359">
        <v>39</v>
      </c>
      <c r="U12359" s="26" t="str">
        <f t="shared" si="452"/>
        <v>2023.001B.Leviviricetes_reorg.zip</v>
      </c>
    </row>
    <row r="12360" spans="1:21">
      <c r="A12360">
        <v>12359</v>
      </c>
      <c r="B12360" s="27" t="s">
        <v>1124</v>
      </c>
      <c r="D12360" s="27" t="s">
        <v>1859</v>
      </c>
      <c r="F12360" s="27" t="s">
        <v>1881</v>
      </c>
      <c r="H12360" s="27" t="s">
        <v>2679</v>
      </c>
      <c r="J12360" s="27" t="s">
        <v>3210</v>
      </c>
      <c r="L12360" s="27" t="s">
        <v>3262</v>
      </c>
      <c r="N12360" s="27" t="s">
        <v>15846</v>
      </c>
      <c r="P12360" s="27" t="s">
        <v>16188</v>
      </c>
      <c r="Q12360" s="26" t="str">
        <f>HYPERLINK("https://ictv.global/taxonomy/taxondetails?taxnode_id=202511182&amp;ictv_id=ICTV202011182","ICTV202011182")</f>
        <v>ICTV202011182</v>
      </c>
      <c r="R12360" t="s">
        <v>581</v>
      </c>
      <c r="S12360" t="s">
        <v>22764</v>
      </c>
      <c r="T12360">
        <v>39</v>
      </c>
      <c r="U12360" s="26" t="str">
        <f t="shared" ref="U12360:U12423" si="453">HYPERLINK("https://ictv.global/ictv/proposals/2023.001B.Leviviricetes_reorg.zip","2023.001B.Leviviricetes_reorg.zip")</f>
        <v>2023.001B.Leviviricetes_reorg.zip</v>
      </c>
    </row>
    <row r="12361" spans="1:21">
      <c r="A12361">
        <v>12360</v>
      </c>
      <c r="B12361" s="27" t="s">
        <v>1124</v>
      </c>
      <c r="D12361" s="27" t="s">
        <v>1859</v>
      </c>
      <c r="F12361" s="27" t="s">
        <v>1881</v>
      </c>
      <c r="H12361" s="27" t="s">
        <v>2679</v>
      </c>
      <c r="J12361" s="27" t="s">
        <v>3210</v>
      </c>
      <c r="L12361" s="27" t="s">
        <v>3262</v>
      </c>
      <c r="N12361" s="27" t="s">
        <v>15846</v>
      </c>
      <c r="P12361" s="27" t="s">
        <v>16189</v>
      </c>
      <c r="Q12361" s="26" t="str">
        <f>HYPERLINK("https://ictv.global/taxonomy/taxondetails?taxnode_id=202511181&amp;ictv_id=ICTV202011181","ICTV202011181")</f>
        <v>ICTV202011181</v>
      </c>
      <c r="R12361" t="s">
        <v>581</v>
      </c>
      <c r="S12361" t="s">
        <v>22764</v>
      </c>
      <c r="T12361">
        <v>39</v>
      </c>
      <c r="U12361" s="26" t="str">
        <f t="shared" si="453"/>
        <v>2023.001B.Leviviricetes_reorg.zip</v>
      </c>
    </row>
    <row r="12362" spans="1:21">
      <c r="A12362">
        <v>12361</v>
      </c>
      <c r="B12362" s="27" t="s">
        <v>1124</v>
      </c>
      <c r="D12362" s="27" t="s">
        <v>1859</v>
      </c>
      <c r="F12362" s="27" t="s">
        <v>1881</v>
      </c>
      <c r="H12362" s="27" t="s">
        <v>2679</v>
      </c>
      <c r="J12362" s="27" t="s">
        <v>3210</v>
      </c>
      <c r="L12362" s="27" t="s">
        <v>3262</v>
      </c>
      <c r="N12362" s="27" t="s">
        <v>15846</v>
      </c>
      <c r="P12362" s="27" t="s">
        <v>16190</v>
      </c>
      <c r="Q12362" s="26" t="str">
        <f>HYPERLINK("https://ictv.global/taxonomy/taxondetails?taxnode_id=202511183&amp;ictv_id=ICTV202011183","ICTV202011183")</f>
        <v>ICTV202011183</v>
      </c>
      <c r="R12362" t="s">
        <v>581</v>
      </c>
      <c r="S12362" t="s">
        <v>22764</v>
      </c>
      <c r="T12362">
        <v>39</v>
      </c>
      <c r="U12362" s="26" t="str">
        <f t="shared" si="453"/>
        <v>2023.001B.Leviviricetes_reorg.zip</v>
      </c>
    </row>
    <row r="12363" spans="1:21">
      <c r="A12363">
        <v>12362</v>
      </c>
      <c r="B12363" s="27" t="s">
        <v>1124</v>
      </c>
      <c r="D12363" s="27" t="s">
        <v>1859</v>
      </c>
      <c r="F12363" s="27" t="s">
        <v>1881</v>
      </c>
      <c r="H12363" s="27" t="s">
        <v>2679</v>
      </c>
      <c r="J12363" s="27" t="s">
        <v>3210</v>
      </c>
      <c r="L12363" s="27" t="s">
        <v>3262</v>
      </c>
      <c r="N12363" s="27" t="s">
        <v>15846</v>
      </c>
      <c r="P12363" s="27" t="s">
        <v>16191</v>
      </c>
      <c r="Q12363" s="26" t="str">
        <f>HYPERLINK("https://ictv.global/taxonomy/taxondetails?taxnode_id=202511184&amp;ictv_id=ICTV202011184","ICTV202011184")</f>
        <v>ICTV202011184</v>
      </c>
      <c r="R12363" t="s">
        <v>581</v>
      </c>
      <c r="S12363" t="s">
        <v>22764</v>
      </c>
      <c r="T12363">
        <v>39</v>
      </c>
      <c r="U12363" s="26" t="str">
        <f t="shared" si="453"/>
        <v>2023.001B.Leviviricetes_reorg.zip</v>
      </c>
    </row>
    <row r="12364" spans="1:21">
      <c r="A12364">
        <v>12363</v>
      </c>
      <c r="B12364" s="27" t="s">
        <v>1124</v>
      </c>
      <c r="D12364" s="27" t="s">
        <v>1859</v>
      </c>
      <c r="F12364" s="27" t="s">
        <v>1881</v>
      </c>
      <c r="H12364" s="27" t="s">
        <v>2679</v>
      </c>
      <c r="J12364" s="27" t="s">
        <v>3210</v>
      </c>
      <c r="L12364" s="27" t="s">
        <v>3262</v>
      </c>
      <c r="N12364" s="27" t="s">
        <v>15846</v>
      </c>
      <c r="P12364" s="27" t="s">
        <v>16192</v>
      </c>
      <c r="Q12364" s="26" t="str">
        <f>HYPERLINK("https://ictv.global/taxonomy/taxondetails?taxnode_id=202511185&amp;ictv_id=ICTV202011185","ICTV202011185")</f>
        <v>ICTV202011185</v>
      </c>
      <c r="R12364" t="s">
        <v>581</v>
      </c>
      <c r="S12364" t="s">
        <v>22764</v>
      </c>
      <c r="T12364">
        <v>39</v>
      </c>
      <c r="U12364" s="26" t="str">
        <f t="shared" si="453"/>
        <v>2023.001B.Leviviricetes_reorg.zip</v>
      </c>
    </row>
    <row r="12365" spans="1:21">
      <c r="A12365">
        <v>12364</v>
      </c>
      <c r="B12365" s="27" t="s">
        <v>1124</v>
      </c>
      <c r="D12365" s="27" t="s">
        <v>1859</v>
      </c>
      <c r="F12365" s="27" t="s">
        <v>1881</v>
      </c>
      <c r="H12365" s="27" t="s">
        <v>2679</v>
      </c>
      <c r="J12365" s="27" t="s">
        <v>3210</v>
      </c>
      <c r="L12365" s="27" t="s">
        <v>3262</v>
      </c>
      <c r="N12365" s="27" t="s">
        <v>15846</v>
      </c>
      <c r="P12365" s="27" t="s">
        <v>16193</v>
      </c>
      <c r="Q12365" s="26" t="str">
        <f>HYPERLINK("https://ictv.global/taxonomy/taxondetails?taxnode_id=202511198&amp;ictv_id=ICTV202011198","ICTV202011198")</f>
        <v>ICTV202011198</v>
      </c>
      <c r="R12365" t="s">
        <v>581</v>
      </c>
      <c r="S12365" t="s">
        <v>22764</v>
      </c>
      <c r="T12365">
        <v>39</v>
      </c>
      <c r="U12365" s="26" t="str">
        <f t="shared" si="453"/>
        <v>2023.001B.Leviviricetes_reorg.zip</v>
      </c>
    </row>
    <row r="12366" spans="1:21">
      <c r="A12366">
        <v>12365</v>
      </c>
      <c r="B12366" s="27" t="s">
        <v>1124</v>
      </c>
      <c r="D12366" s="27" t="s">
        <v>1859</v>
      </c>
      <c r="F12366" s="27" t="s">
        <v>1881</v>
      </c>
      <c r="H12366" s="27" t="s">
        <v>2679</v>
      </c>
      <c r="J12366" s="27" t="s">
        <v>3210</v>
      </c>
      <c r="L12366" s="27" t="s">
        <v>3262</v>
      </c>
      <c r="N12366" s="27" t="s">
        <v>15846</v>
      </c>
      <c r="P12366" s="27" t="s">
        <v>16194</v>
      </c>
      <c r="Q12366" s="26" t="str">
        <f>HYPERLINK("https://ictv.global/taxonomy/taxondetails?taxnode_id=202511135&amp;ictv_id=ICTV202011135","ICTV202011135")</f>
        <v>ICTV202011135</v>
      </c>
      <c r="R12366" t="s">
        <v>581</v>
      </c>
      <c r="S12366" t="s">
        <v>22764</v>
      </c>
      <c r="T12366">
        <v>39</v>
      </c>
      <c r="U12366" s="26" t="str">
        <f t="shared" si="453"/>
        <v>2023.001B.Leviviricetes_reorg.zip</v>
      </c>
    </row>
    <row r="12367" spans="1:21">
      <c r="A12367">
        <v>12366</v>
      </c>
      <c r="B12367" s="27" t="s">
        <v>1124</v>
      </c>
      <c r="D12367" s="27" t="s">
        <v>1859</v>
      </c>
      <c r="F12367" s="27" t="s">
        <v>1881</v>
      </c>
      <c r="H12367" s="27" t="s">
        <v>2679</v>
      </c>
      <c r="J12367" s="27" t="s">
        <v>3210</v>
      </c>
      <c r="L12367" s="27" t="s">
        <v>3262</v>
      </c>
      <c r="N12367" s="27" t="s">
        <v>15846</v>
      </c>
      <c r="P12367" s="27" t="s">
        <v>16195</v>
      </c>
      <c r="Q12367" s="26" t="str">
        <f>HYPERLINK("https://ictv.global/taxonomy/taxondetails?taxnode_id=202511134&amp;ictv_id=ICTV202011134","ICTV202011134")</f>
        <v>ICTV202011134</v>
      </c>
      <c r="R12367" t="s">
        <v>581</v>
      </c>
      <c r="S12367" t="s">
        <v>22764</v>
      </c>
      <c r="T12367">
        <v>39</v>
      </c>
      <c r="U12367" s="26" t="str">
        <f t="shared" si="453"/>
        <v>2023.001B.Leviviricetes_reorg.zip</v>
      </c>
    </row>
    <row r="12368" spans="1:21">
      <c r="A12368">
        <v>12367</v>
      </c>
      <c r="B12368" s="27" t="s">
        <v>1124</v>
      </c>
      <c r="D12368" s="27" t="s">
        <v>1859</v>
      </c>
      <c r="F12368" s="27" t="s">
        <v>1881</v>
      </c>
      <c r="H12368" s="27" t="s">
        <v>2679</v>
      </c>
      <c r="J12368" s="27" t="s">
        <v>3210</v>
      </c>
      <c r="L12368" s="27" t="s">
        <v>3262</v>
      </c>
      <c r="N12368" s="27" t="s">
        <v>15846</v>
      </c>
      <c r="P12368" s="27" t="s">
        <v>16196</v>
      </c>
      <c r="Q12368" s="26" t="str">
        <f>HYPERLINK("https://ictv.global/taxonomy/taxondetails?taxnode_id=202511136&amp;ictv_id=ICTV202011136","ICTV202011136")</f>
        <v>ICTV202011136</v>
      </c>
      <c r="R12368" t="s">
        <v>581</v>
      </c>
      <c r="S12368" t="s">
        <v>22764</v>
      </c>
      <c r="T12368">
        <v>39</v>
      </c>
      <c r="U12368" s="26" t="str">
        <f t="shared" si="453"/>
        <v>2023.001B.Leviviricetes_reorg.zip</v>
      </c>
    </row>
    <row r="12369" spans="1:21">
      <c r="A12369">
        <v>12368</v>
      </c>
      <c r="B12369" s="27" t="s">
        <v>1124</v>
      </c>
      <c r="D12369" s="27" t="s">
        <v>1859</v>
      </c>
      <c r="F12369" s="27" t="s">
        <v>1881</v>
      </c>
      <c r="H12369" s="27" t="s">
        <v>2679</v>
      </c>
      <c r="J12369" s="27" t="s">
        <v>3210</v>
      </c>
      <c r="L12369" s="27" t="s">
        <v>3262</v>
      </c>
      <c r="N12369" s="27" t="s">
        <v>15846</v>
      </c>
      <c r="P12369" s="27" t="s">
        <v>16197</v>
      </c>
      <c r="Q12369" s="26" t="str">
        <f>HYPERLINK("https://ictv.global/taxonomy/taxondetails?taxnode_id=202511137&amp;ictv_id=ICTV202011137","ICTV202011137")</f>
        <v>ICTV202011137</v>
      </c>
      <c r="R12369" t="s">
        <v>581</v>
      </c>
      <c r="S12369" t="s">
        <v>22764</v>
      </c>
      <c r="T12369">
        <v>39</v>
      </c>
      <c r="U12369" s="26" t="str">
        <f t="shared" si="453"/>
        <v>2023.001B.Leviviricetes_reorg.zip</v>
      </c>
    </row>
    <row r="12370" spans="1:21">
      <c r="A12370">
        <v>12369</v>
      </c>
      <c r="B12370" s="27" t="s">
        <v>1124</v>
      </c>
      <c r="D12370" s="27" t="s">
        <v>1859</v>
      </c>
      <c r="F12370" s="27" t="s">
        <v>1881</v>
      </c>
      <c r="H12370" s="27" t="s">
        <v>2679</v>
      </c>
      <c r="J12370" s="27" t="s">
        <v>3210</v>
      </c>
      <c r="L12370" s="27" t="s">
        <v>3262</v>
      </c>
      <c r="N12370" s="27" t="s">
        <v>15846</v>
      </c>
      <c r="P12370" s="27" t="s">
        <v>16198</v>
      </c>
      <c r="Q12370" s="26" t="str">
        <f>HYPERLINK("https://ictv.global/taxonomy/taxondetails?taxnode_id=202511138&amp;ictv_id=ICTV202011138","ICTV202011138")</f>
        <v>ICTV202011138</v>
      </c>
      <c r="R12370" t="s">
        <v>581</v>
      </c>
      <c r="S12370" t="s">
        <v>22764</v>
      </c>
      <c r="T12370">
        <v>39</v>
      </c>
      <c r="U12370" s="26" t="str">
        <f t="shared" si="453"/>
        <v>2023.001B.Leviviricetes_reorg.zip</v>
      </c>
    </row>
    <row r="12371" spans="1:21">
      <c r="A12371">
        <v>12370</v>
      </c>
      <c r="B12371" s="27" t="s">
        <v>1124</v>
      </c>
      <c r="D12371" s="27" t="s">
        <v>1859</v>
      </c>
      <c r="F12371" s="27" t="s">
        <v>1881</v>
      </c>
      <c r="H12371" s="27" t="s">
        <v>2679</v>
      </c>
      <c r="J12371" s="27" t="s">
        <v>3210</v>
      </c>
      <c r="L12371" s="27" t="s">
        <v>3262</v>
      </c>
      <c r="N12371" s="27" t="s">
        <v>15846</v>
      </c>
      <c r="P12371" s="27" t="s">
        <v>16199</v>
      </c>
      <c r="Q12371" s="26" t="str">
        <f>HYPERLINK("https://ictv.global/taxonomy/taxondetails?taxnode_id=202511139&amp;ictv_id=ICTV202011139","ICTV202011139")</f>
        <v>ICTV202011139</v>
      </c>
      <c r="R12371" t="s">
        <v>581</v>
      </c>
      <c r="S12371" t="s">
        <v>22764</v>
      </c>
      <c r="T12371">
        <v>39</v>
      </c>
      <c r="U12371" s="26" t="str">
        <f t="shared" si="453"/>
        <v>2023.001B.Leviviricetes_reorg.zip</v>
      </c>
    </row>
    <row r="12372" spans="1:21">
      <c r="A12372">
        <v>12371</v>
      </c>
      <c r="B12372" s="27" t="s">
        <v>1124</v>
      </c>
      <c r="D12372" s="27" t="s">
        <v>1859</v>
      </c>
      <c r="F12372" s="27" t="s">
        <v>1881</v>
      </c>
      <c r="H12372" s="27" t="s">
        <v>2679</v>
      </c>
      <c r="J12372" s="27" t="s">
        <v>3210</v>
      </c>
      <c r="L12372" s="27" t="s">
        <v>3262</v>
      </c>
      <c r="N12372" s="27" t="s">
        <v>15846</v>
      </c>
      <c r="P12372" s="27" t="s">
        <v>16200</v>
      </c>
      <c r="Q12372" s="26" t="str">
        <f>HYPERLINK("https://ictv.global/taxonomy/taxondetails?taxnode_id=202511141&amp;ictv_id=ICTV202011141","ICTV202011141")</f>
        <v>ICTV202011141</v>
      </c>
      <c r="R12372" t="s">
        <v>581</v>
      </c>
      <c r="S12372" t="s">
        <v>22764</v>
      </c>
      <c r="T12372">
        <v>39</v>
      </c>
      <c r="U12372" s="26" t="str">
        <f t="shared" si="453"/>
        <v>2023.001B.Leviviricetes_reorg.zip</v>
      </c>
    </row>
    <row r="12373" spans="1:21">
      <c r="A12373">
        <v>12372</v>
      </c>
      <c r="B12373" s="27" t="s">
        <v>1124</v>
      </c>
      <c r="D12373" s="27" t="s">
        <v>1859</v>
      </c>
      <c r="F12373" s="27" t="s">
        <v>1881</v>
      </c>
      <c r="H12373" s="27" t="s">
        <v>2679</v>
      </c>
      <c r="J12373" s="27" t="s">
        <v>3210</v>
      </c>
      <c r="L12373" s="27" t="s">
        <v>3262</v>
      </c>
      <c r="N12373" s="27" t="s">
        <v>15846</v>
      </c>
      <c r="P12373" s="27" t="s">
        <v>16201</v>
      </c>
      <c r="Q12373" s="26" t="str">
        <f>HYPERLINK("https://ictv.global/taxonomy/taxondetails?taxnode_id=202511140&amp;ictv_id=ICTV202011140","ICTV202011140")</f>
        <v>ICTV202011140</v>
      </c>
      <c r="R12373" t="s">
        <v>581</v>
      </c>
      <c r="S12373" t="s">
        <v>22764</v>
      </c>
      <c r="T12373">
        <v>39</v>
      </c>
      <c r="U12373" s="26" t="str">
        <f t="shared" si="453"/>
        <v>2023.001B.Leviviricetes_reorg.zip</v>
      </c>
    </row>
    <row r="12374" spans="1:21">
      <c r="A12374">
        <v>12373</v>
      </c>
      <c r="B12374" s="27" t="s">
        <v>1124</v>
      </c>
      <c r="D12374" s="27" t="s">
        <v>1859</v>
      </c>
      <c r="F12374" s="27" t="s">
        <v>1881</v>
      </c>
      <c r="H12374" s="27" t="s">
        <v>2679</v>
      </c>
      <c r="J12374" s="27" t="s">
        <v>3210</v>
      </c>
      <c r="L12374" s="27" t="s">
        <v>3262</v>
      </c>
      <c r="N12374" s="27" t="s">
        <v>15846</v>
      </c>
      <c r="P12374" s="27" t="s">
        <v>16202</v>
      </c>
      <c r="Q12374" s="26" t="str">
        <f>HYPERLINK("https://ictv.global/taxonomy/taxondetails?taxnode_id=202511142&amp;ictv_id=ICTV202011142","ICTV202011142")</f>
        <v>ICTV202011142</v>
      </c>
      <c r="R12374" t="s">
        <v>581</v>
      </c>
      <c r="S12374" t="s">
        <v>22764</v>
      </c>
      <c r="T12374">
        <v>39</v>
      </c>
      <c r="U12374" s="26" t="str">
        <f t="shared" si="453"/>
        <v>2023.001B.Leviviricetes_reorg.zip</v>
      </c>
    </row>
    <row r="12375" spans="1:21">
      <c r="A12375">
        <v>12374</v>
      </c>
      <c r="B12375" s="27" t="s">
        <v>1124</v>
      </c>
      <c r="D12375" s="27" t="s">
        <v>1859</v>
      </c>
      <c r="F12375" s="27" t="s">
        <v>1881</v>
      </c>
      <c r="H12375" s="27" t="s">
        <v>2679</v>
      </c>
      <c r="J12375" s="27" t="s">
        <v>3210</v>
      </c>
      <c r="L12375" s="27" t="s">
        <v>3262</v>
      </c>
      <c r="N12375" s="27" t="s">
        <v>15846</v>
      </c>
      <c r="P12375" s="27" t="s">
        <v>16203</v>
      </c>
      <c r="Q12375" s="26" t="str">
        <f>HYPERLINK("https://ictv.global/taxonomy/taxondetails?taxnode_id=202511143&amp;ictv_id=ICTV202011143","ICTV202011143")</f>
        <v>ICTV202011143</v>
      </c>
      <c r="R12375" t="s">
        <v>581</v>
      </c>
      <c r="S12375" t="s">
        <v>22764</v>
      </c>
      <c r="T12375">
        <v>39</v>
      </c>
      <c r="U12375" s="26" t="str">
        <f t="shared" si="453"/>
        <v>2023.001B.Leviviricetes_reorg.zip</v>
      </c>
    </row>
    <row r="12376" spans="1:21">
      <c r="A12376">
        <v>12375</v>
      </c>
      <c r="B12376" s="27" t="s">
        <v>1124</v>
      </c>
      <c r="D12376" s="27" t="s">
        <v>1859</v>
      </c>
      <c r="F12376" s="27" t="s">
        <v>1881</v>
      </c>
      <c r="H12376" s="27" t="s">
        <v>2679</v>
      </c>
      <c r="J12376" s="27" t="s">
        <v>3210</v>
      </c>
      <c r="L12376" s="27" t="s">
        <v>3262</v>
      </c>
      <c r="N12376" s="27" t="s">
        <v>15846</v>
      </c>
      <c r="P12376" s="27" t="s">
        <v>16204</v>
      </c>
      <c r="Q12376" s="26" t="str">
        <f>HYPERLINK("https://ictv.global/taxonomy/taxondetails?taxnode_id=202511144&amp;ictv_id=ICTV202011144","ICTV202011144")</f>
        <v>ICTV202011144</v>
      </c>
      <c r="R12376" t="s">
        <v>581</v>
      </c>
      <c r="S12376" t="s">
        <v>22764</v>
      </c>
      <c r="T12376">
        <v>39</v>
      </c>
      <c r="U12376" s="26" t="str">
        <f t="shared" si="453"/>
        <v>2023.001B.Leviviricetes_reorg.zip</v>
      </c>
    </row>
    <row r="12377" spans="1:21">
      <c r="A12377">
        <v>12376</v>
      </c>
      <c r="B12377" s="27" t="s">
        <v>1124</v>
      </c>
      <c r="D12377" s="27" t="s">
        <v>1859</v>
      </c>
      <c r="F12377" s="27" t="s">
        <v>1881</v>
      </c>
      <c r="H12377" s="27" t="s">
        <v>2679</v>
      </c>
      <c r="J12377" s="27" t="s">
        <v>3210</v>
      </c>
      <c r="L12377" s="27" t="s">
        <v>3262</v>
      </c>
      <c r="N12377" s="27" t="s">
        <v>15846</v>
      </c>
      <c r="P12377" s="27" t="s">
        <v>16205</v>
      </c>
      <c r="Q12377" s="26" t="str">
        <f>HYPERLINK("https://ictv.global/taxonomy/taxondetails?taxnode_id=202511133&amp;ictv_id=ICTV202011133","ICTV202011133")</f>
        <v>ICTV202011133</v>
      </c>
      <c r="R12377" t="s">
        <v>581</v>
      </c>
      <c r="S12377" t="s">
        <v>22764</v>
      </c>
      <c r="T12377">
        <v>39</v>
      </c>
      <c r="U12377" s="26" t="str">
        <f t="shared" si="453"/>
        <v>2023.001B.Leviviricetes_reorg.zip</v>
      </c>
    </row>
    <row r="12378" spans="1:21">
      <c r="A12378">
        <v>12377</v>
      </c>
      <c r="B12378" s="27" t="s">
        <v>1124</v>
      </c>
      <c r="D12378" s="27" t="s">
        <v>1859</v>
      </c>
      <c r="F12378" s="27" t="s">
        <v>1881</v>
      </c>
      <c r="H12378" s="27" t="s">
        <v>2679</v>
      </c>
      <c r="J12378" s="27" t="s">
        <v>3210</v>
      </c>
      <c r="L12378" s="27" t="s">
        <v>3262</v>
      </c>
      <c r="N12378" s="27" t="s">
        <v>15846</v>
      </c>
      <c r="P12378" s="27" t="s">
        <v>16206</v>
      </c>
      <c r="Q12378" s="26" t="str">
        <f>HYPERLINK("https://ictv.global/taxonomy/taxondetails?taxnode_id=202511174&amp;ictv_id=ICTV202011174","ICTV202011174")</f>
        <v>ICTV202011174</v>
      </c>
      <c r="R12378" t="s">
        <v>581</v>
      </c>
      <c r="S12378" t="s">
        <v>22764</v>
      </c>
      <c r="T12378">
        <v>39</v>
      </c>
      <c r="U12378" s="26" t="str">
        <f t="shared" si="453"/>
        <v>2023.001B.Leviviricetes_reorg.zip</v>
      </c>
    </row>
    <row r="12379" spans="1:21">
      <c r="A12379">
        <v>12378</v>
      </c>
      <c r="B12379" s="27" t="s">
        <v>1124</v>
      </c>
      <c r="D12379" s="27" t="s">
        <v>1859</v>
      </c>
      <c r="F12379" s="27" t="s">
        <v>1881</v>
      </c>
      <c r="H12379" s="27" t="s">
        <v>2679</v>
      </c>
      <c r="J12379" s="27" t="s">
        <v>3210</v>
      </c>
      <c r="L12379" s="27" t="s">
        <v>3262</v>
      </c>
      <c r="N12379" s="27" t="s">
        <v>15846</v>
      </c>
      <c r="P12379" s="27" t="s">
        <v>16207</v>
      </c>
      <c r="Q12379" s="26" t="str">
        <f>HYPERLINK("https://ictv.global/taxonomy/taxondetails?taxnode_id=202511176&amp;ictv_id=ICTV202011176","ICTV202011176")</f>
        <v>ICTV202011176</v>
      </c>
      <c r="R12379" t="s">
        <v>581</v>
      </c>
      <c r="S12379" t="s">
        <v>22764</v>
      </c>
      <c r="T12379">
        <v>39</v>
      </c>
      <c r="U12379" s="26" t="str">
        <f t="shared" si="453"/>
        <v>2023.001B.Leviviricetes_reorg.zip</v>
      </c>
    </row>
    <row r="12380" spans="1:21">
      <c r="A12380">
        <v>12379</v>
      </c>
      <c r="B12380" s="27" t="s">
        <v>1124</v>
      </c>
      <c r="D12380" s="27" t="s">
        <v>1859</v>
      </c>
      <c r="F12380" s="27" t="s">
        <v>1881</v>
      </c>
      <c r="H12380" s="27" t="s">
        <v>2679</v>
      </c>
      <c r="J12380" s="27" t="s">
        <v>3210</v>
      </c>
      <c r="L12380" s="27" t="s">
        <v>3262</v>
      </c>
      <c r="N12380" s="27" t="s">
        <v>15846</v>
      </c>
      <c r="P12380" s="27" t="s">
        <v>16208</v>
      </c>
      <c r="Q12380" s="26" t="str">
        <f>HYPERLINK("https://ictv.global/taxonomy/taxondetails?taxnode_id=202511175&amp;ictv_id=ICTV202011175","ICTV202011175")</f>
        <v>ICTV202011175</v>
      </c>
      <c r="R12380" t="s">
        <v>581</v>
      </c>
      <c r="S12380" t="s">
        <v>22764</v>
      </c>
      <c r="T12380">
        <v>39</v>
      </c>
      <c r="U12380" s="26" t="str">
        <f t="shared" si="453"/>
        <v>2023.001B.Leviviricetes_reorg.zip</v>
      </c>
    </row>
    <row r="12381" spans="1:21">
      <c r="A12381">
        <v>12380</v>
      </c>
      <c r="B12381" s="27" t="s">
        <v>1124</v>
      </c>
      <c r="D12381" s="27" t="s">
        <v>1859</v>
      </c>
      <c r="F12381" s="27" t="s">
        <v>1881</v>
      </c>
      <c r="H12381" s="27" t="s">
        <v>2679</v>
      </c>
      <c r="J12381" s="27" t="s">
        <v>3210</v>
      </c>
      <c r="L12381" s="27" t="s">
        <v>3262</v>
      </c>
      <c r="N12381" s="27" t="s">
        <v>15846</v>
      </c>
      <c r="P12381" s="27" t="s">
        <v>16209</v>
      </c>
      <c r="Q12381" s="26" t="str">
        <f>HYPERLINK("https://ictv.global/taxonomy/taxondetails?taxnode_id=202511177&amp;ictv_id=ICTV202011177","ICTV202011177")</f>
        <v>ICTV202011177</v>
      </c>
      <c r="R12381" t="s">
        <v>581</v>
      </c>
      <c r="S12381" t="s">
        <v>22764</v>
      </c>
      <c r="T12381">
        <v>39</v>
      </c>
      <c r="U12381" s="26" t="str">
        <f t="shared" si="453"/>
        <v>2023.001B.Leviviricetes_reorg.zip</v>
      </c>
    </row>
    <row r="12382" spans="1:21">
      <c r="A12382">
        <v>12381</v>
      </c>
      <c r="B12382" s="27" t="s">
        <v>1124</v>
      </c>
      <c r="D12382" s="27" t="s">
        <v>1859</v>
      </c>
      <c r="F12382" s="27" t="s">
        <v>1881</v>
      </c>
      <c r="H12382" s="27" t="s">
        <v>2679</v>
      </c>
      <c r="J12382" s="27" t="s">
        <v>3210</v>
      </c>
      <c r="L12382" s="27" t="s">
        <v>3262</v>
      </c>
      <c r="N12382" s="27" t="s">
        <v>15846</v>
      </c>
      <c r="P12382" s="27" t="s">
        <v>16210</v>
      </c>
      <c r="Q12382" s="26" t="str">
        <f>HYPERLINK("https://ictv.global/taxonomy/taxondetails?taxnode_id=202511024&amp;ictv_id=ICTV202011024","ICTV202011024")</f>
        <v>ICTV202011024</v>
      </c>
      <c r="R12382" t="s">
        <v>581</v>
      </c>
      <c r="S12382" t="s">
        <v>22764</v>
      </c>
      <c r="T12382">
        <v>39</v>
      </c>
      <c r="U12382" s="26" t="str">
        <f t="shared" si="453"/>
        <v>2023.001B.Leviviricetes_reorg.zip</v>
      </c>
    </row>
    <row r="12383" spans="1:21">
      <c r="A12383">
        <v>12382</v>
      </c>
      <c r="B12383" s="27" t="s">
        <v>1124</v>
      </c>
      <c r="D12383" s="27" t="s">
        <v>1859</v>
      </c>
      <c r="F12383" s="27" t="s">
        <v>1881</v>
      </c>
      <c r="H12383" s="27" t="s">
        <v>2679</v>
      </c>
      <c r="J12383" s="27" t="s">
        <v>3210</v>
      </c>
      <c r="L12383" s="27" t="s">
        <v>3262</v>
      </c>
      <c r="N12383" s="27" t="s">
        <v>15846</v>
      </c>
      <c r="P12383" s="27" t="s">
        <v>16211</v>
      </c>
      <c r="Q12383" s="26" t="str">
        <f>HYPERLINK("https://ictv.global/taxonomy/taxondetails?taxnode_id=202511025&amp;ictv_id=ICTV202011025","ICTV202011025")</f>
        <v>ICTV202011025</v>
      </c>
      <c r="R12383" t="s">
        <v>581</v>
      </c>
      <c r="S12383" t="s">
        <v>22764</v>
      </c>
      <c r="T12383">
        <v>39</v>
      </c>
      <c r="U12383" s="26" t="str">
        <f t="shared" si="453"/>
        <v>2023.001B.Leviviricetes_reorg.zip</v>
      </c>
    </row>
    <row r="12384" spans="1:21">
      <c r="A12384">
        <v>12383</v>
      </c>
      <c r="B12384" s="27" t="s">
        <v>1124</v>
      </c>
      <c r="D12384" s="27" t="s">
        <v>1859</v>
      </c>
      <c r="F12384" s="27" t="s">
        <v>1881</v>
      </c>
      <c r="H12384" s="27" t="s">
        <v>2679</v>
      </c>
      <c r="J12384" s="27" t="s">
        <v>3210</v>
      </c>
      <c r="L12384" s="27" t="s">
        <v>3262</v>
      </c>
      <c r="N12384" s="27" t="s">
        <v>15846</v>
      </c>
      <c r="P12384" s="27" t="s">
        <v>16212</v>
      </c>
      <c r="Q12384" s="26" t="str">
        <f>HYPERLINK("https://ictv.global/taxonomy/taxondetails?taxnode_id=202517325&amp;ictv_id=ICTV202317325","ICTV202317325")</f>
        <v>ICTV202317325</v>
      </c>
      <c r="R12384" t="s">
        <v>581</v>
      </c>
      <c r="S12384" t="s">
        <v>823</v>
      </c>
      <c r="T12384">
        <v>39</v>
      </c>
      <c r="U12384" s="26" t="str">
        <f t="shared" si="453"/>
        <v>2023.001B.Leviviricetes_reorg.zip</v>
      </c>
    </row>
    <row r="12385" spans="1:21">
      <c r="A12385">
        <v>12384</v>
      </c>
      <c r="B12385" s="27" t="s">
        <v>1124</v>
      </c>
      <c r="D12385" s="27" t="s">
        <v>1859</v>
      </c>
      <c r="F12385" s="27" t="s">
        <v>1881</v>
      </c>
      <c r="H12385" s="27" t="s">
        <v>2679</v>
      </c>
      <c r="J12385" s="27" t="s">
        <v>3210</v>
      </c>
      <c r="L12385" s="27" t="s">
        <v>3262</v>
      </c>
      <c r="N12385" s="27" t="s">
        <v>15846</v>
      </c>
      <c r="P12385" s="27" t="s">
        <v>16213</v>
      </c>
      <c r="Q12385" s="26" t="str">
        <f>HYPERLINK("https://ictv.global/taxonomy/taxondetails?taxnode_id=202517326&amp;ictv_id=ICTV202317326","ICTV202317326")</f>
        <v>ICTV202317326</v>
      </c>
      <c r="R12385" t="s">
        <v>581</v>
      </c>
      <c r="S12385" t="s">
        <v>823</v>
      </c>
      <c r="T12385">
        <v>39</v>
      </c>
      <c r="U12385" s="26" t="str">
        <f t="shared" si="453"/>
        <v>2023.001B.Leviviricetes_reorg.zip</v>
      </c>
    </row>
    <row r="12386" spans="1:21">
      <c r="A12386">
        <v>12385</v>
      </c>
      <c r="B12386" s="27" t="s">
        <v>1124</v>
      </c>
      <c r="D12386" s="27" t="s">
        <v>1859</v>
      </c>
      <c r="F12386" s="27" t="s">
        <v>1881</v>
      </c>
      <c r="H12386" s="27" t="s">
        <v>2679</v>
      </c>
      <c r="J12386" s="27" t="s">
        <v>3210</v>
      </c>
      <c r="L12386" s="27" t="s">
        <v>3262</v>
      </c>
      <c r="N12386" s="27" t="s">
        <v>15846</v>
      </c>
      <c r="P12386" s="27" t="s">
        <v>16214</v>
      </c>
      <c r="Q12386" s="26" t="str">
        <f>HYPERLINK("https://ictv.global/taxonomy/taxondetails?taxnode_id=202517327&amp;ictv_id=ICTV202317327","ICTV202317327")</f>
        <v>ICTV202317327</v>
      </c>
      <c r="R12386" t="s">
        <v>581</v>
      </c>
      <c r="S12386" t="s">
        <v>823</v>
      </c>
      <c r="T12386">
        <v>39</v>
      </c>
      <c r="U12386" s="26" t="str">
        <f t="shared" si="453"/>
        <v>2023.001B.Leviviricetes_reorg.zip</v>
      </c>
    </row>
    <row r="12387" spans="1:21">
      <c r="A12387">
        <v>12386</v>
      </c>
      <c r="B12387" s="27" t="s">
        <v>1124</v>
      </c>
      <c r="D12387" s="27" t="s">
        <v>1859</v>
      </c>
      <c r="F12387" s="27" t="s">
        <v>1881</v>
      </c>
      <c r="H12387" s="27" t="s">
        <v>2679</v>
      </c>
      <c r="J12387" s="27" t="s">
        <v>3210</v>
      </c>
      <c r="L12387" s="27" t="s">
        <v>3262</v>
      </c>
      <c r="N12387" s="27" t="s">
        <v>15846</v>
      </c>
      <c r="P12387" s="27" t="s">
        <v>16215</v>
      </c>
      <c r="Q12387" s="26" t="str">
        <f>HYPERLINK("https://ictv.global/taxonomy/taxondetails?taxnode_id=202517328&amp;ictv_id=ICTV202317328","ICTV202317328")</f>
        <v>ICTV202317328</v>
      </c>
      <c r="R12387" t="s">
        <v>581</v>
      </c>
      <c r="S12387" t="s">
        <v>823</v>
      </c>
      <c r="T12387">
        <v>39</v>
      </c>
      <c r="U12387" s="26" t="str">
        <f t="shared" si="453"/>
        <v>2023.001B.Leviviricetes_reorg.zip</v>
      </c>
    </row>
    <row r="12388" spans="1:21">
      <c r="A12388">
        <v>12387</v>
      </c>
      <c r="B12388" s="27" t="s">
        <v>1124</v>
      </c>
      <c r="D12388" s="27" t="s">
        <v>1859</v>
      </c>
      <c r="F12388" s="27" t="s">
        <v>1881</v>
      </c>
      <c r="H12388" s="27" t="s">
        <v>2679</v>
      </c>
      <c r="J12388" s="27" t="s">
        <v>3210</v>
      </c>
      <c r="L12388" s="27" t="s">
        <v>3262</v>
      </c>
      <c r="N12388" s="27" t="s">
        <v>15846</v>
      </c>
      <c r="P12388" s="27" t="s">
        <v>16216</v>
      </c>
      <c r="Q12388" s="26" t="str">
        <f>HYPERLINK("https://ictv.global/taxonomy/taxondetails?taxnode_id=202517329&amp;ictv_id=ICTV202317329","ICTV202317329")</f>
        <v>ICTV202317329</v>
      </c>
      <c r="R12388" t="s">
        <v>581</v>
      </c>
      <c r="S12388" t="s">
        <v>823</v>
      </c>
      <c r="T12388">
        <v>39</v>
      </c>
      <c r="U12388" s="26" t="str">
        <f t="shared" si="453"/>
        <v>2023.001B.Leviviricetes_reorg.zip</v>
      </c>
    </row>
    <row r="12389" spans="1:21">
      <c r="A12389">
        <v>12388</v>
      </c>
      <c r="B12389" s="27" t="s">
        <v>1124</v>
      </c>
      <c r="D12389" s="27" t="s">
        <v>1859</v>
      </c>
      <c r="F12389" s="27" t="s">
        <v>1881</v>
      </c>
      <c r="H12389" s="27" t="s">
        <v>2679</v>
      </c>
      <c r="J12389" s="27" t="s">
        <v>3210</v>
      </c>
      <c r="L12389" s="27" t="s">
        <v>3262</v>
      </c>
      <c r="N12389" s="27" t="s">
        <v>15846</v>
      </c>
      <c r="P12389" s="27" t="s">
        <v>16217</v>
      </c>
      <c r="Q12389" s="26" t="str">
        <f>HYPERLINK("https://ictv.global/taxonomy/taxondetails?taxnode_id=202517330&amp;ictv_id=ICTV202317330","ICTV202317330")</f>
        <v>ICTV202317330</v>
      </c>
      <c r="R12389" t="s">
        <v>581</v>
      </c>
      <c r="S12389" t="s">
        <v>823</v>
      </c>
      <c r="T12389">
        <v>39</v>
      </c>
      <c r="U12389" s="26" t="str">
        <f t="shared" si="453"/>
        <v>2023.001B.Leviviricetes_reorg.zip</v>
      </c>
    </row>
    <row r="12390" spans="1:21">
      <c r="A12390">
        <v>12389</v>
      </c>
      <c r="B12390" s="27" t="s">
        <v>1124</v>
      </c>
      <c r="D12390" s="27" t="s">
        <v>1859</v>
      </c>
      <c r="F12390" s="27" t="s">
        <v>1881</v>
      </c>
      <c r="H12390" s="27" t="s">
        <v>2679</v>
      </c>
      <c r="J12390" s="27" t="s">
        <v>3210</v>
      </c>
      <c r="L12390" s="27" t="s">
        <v>3262</v>
      </c>
      <c r="N12390" s="27" t="s">
        <v>15846</v>
      </c>
      <c r="P12390" s="27" t="s">
        <v>16218</v>
      </c>
      <c r="Q12390" s="26" t="str">
        <f>HYPERLINK("https://ictv.global/taxonomy/taxondetails?taxnode_id=202517331&amp;ictv_id=ICTV202317331","ICTV202317331")</f>
        <v>ICTV202317331</v>
      </c>
      <c r="R12390" t="s">
        <v>581</v>
      </c>
      <c r="S12390" t="s">
        <v>823</v>
      </c>
      <c r="T12390">
        <v>39</v>
      </c>
      <c r="U12390" s="26" t="str">
        <f t="shared" si="453"/>
        <v>2023.001B.Leviviricetes_reorg.zip</v>
      </c>
    </row>
    <row r="12391" spans="1:21">
      <c r="A12391">
        <v>12390</v>
      </c>
      <c r="B12391" s="27" t="s">
        <v>1124</v>
      </c>
      <c r="D12391" s="27" t="s">
        <v>1859</v>
      </c>
      <c r="F12391" s="27" t="s">
        <v>1881</v>
      </c>
      <c r="H12391" s="27" t="s">
        <v>2679</v>
      </c>
      <c r="J12391" s="27" t="s">
        <v>3210</v>
      </c>
      <c r="L12391" s="27" t="s">
        <v>3262</v>
      </c>
      <c r="N12391" s="27" t="s">
        <v>15846</v>
      </c>
      <c r="P12391" s="27" t="s">
        <v>16219</v>
      </c>
      <c r="Q12391" s="26" t="str">
        <f>HYPERLINK("https://ictv.global/taxonomy/taxondetails?taxnode_id=202517332&amp;ictv_id=ICTV202317332","ICTV202317332")</f>
        <v>ICTV202317332</v>
      </c>
      <c r="R12391" t="s">
        <v>581</v>
      </c>
      <c r="S12391" t="s">
        <v>823</v>
      </c>
      <c r="T12391">
        <v>39</v>
      </c>
      <c r="U12391" s="26" t="str">
        <f t="shared" si="453"/>
        <v>2023.001B.Leviviricetes_reorg.zip</v>
      </c>
    </row>
    <row r="12392" spans="1:21">
      <c r="A12392">
        <v>12391</v>
      </c>
      <c r="B12392" s="27" t="s">
        <v>1124</v>
      </c>
      <c r="D12392" s="27" t="s">
        <v>1859</v>
      </c>
      <c r="F12392" s="27" t="s">
        <v>1881</v>
      </c>
      <c r="H12392" s="27" t="s">
        <v>2679</v>
      </c>
      <c r="J12392" s="27" t="s">
        <v>3210</v>
      </c>
      <c r="L12392" s="27" t="s">
        <v>3262</v>
      </c>
      <c r="N12392" s="27" t="s">
        <v>15846</v>
      </c>
      <c r="P12392" s="27" t="s">
        <v>16220</v>
      </c>
      <c r="Q12392" s="26" t="str">
        <f>HYPERLINK("https://ictv.global/taxonomy/taxondetails?taxnode_id=202517333&amp;ictv_id=ICTV202317333","ICTV202317333")</f>
        <v>ICTV202317333</v>
      </c>
      <c r="R12392" t="s">
        <v>581</v>
      </c>
      <c r="S12392" t="s">
        <v>823</v>
      </c>
      <c r="T12392">
        <v>39</v>
      </c>
      <c r="U12392" s="26" t="str">
        <f t="shared" si="453"/>
        <v>2023.001B.Leviviricetes_reorg.zip</v>
      </c>
    </row>
    <row r="12393" spans="1:21">
      <c r="A12393">
        <v>12392</v>
      </c>
      <c r="B12393" s="27" t="s">
        <v>1124</v>
      </c>
      <c r="D12393" s="27" t="s">
        <v>1859</v>
      </c>
      <c r="F12393" s="27" t="s">
        <v>1881</v>
      </c>
      <c r="H12393" s="27" t="s">
        <v>2679</v>
      </c>
      <c r="J12393" s="27" t="s">
        <v>3210</v>
      </c>
      <c r="L12393" s="27" t="s">
        <v>3262</v>
      </c>
      <c r="N12393" s="27" t="s">
        <v>15846</v>
      </c>
      <c r="P12393" s="27" t="s">
        <v>16221</v>
      </c>
      <c r="Q12393" s="26" t="str">
        <f>HYPERLINK("https://ictv.global/taxonomy/taxondetails?taxnode_id=202517334&amp;ictv_id=ICTV202317334","ICTV202317334")</f>
        <v>ICTV202317334</v>
      </c>
      <c r="R12393" t="s">
        <v>581</v>
      </c>
      <c r="S12393" t="s">
        <v>823</v>
      </c>
      <c r="T12393">
        <v>39</v>
      </c>
      <c r="U12393" s="26" t="str">
        <f t="shared" si="453"/>
        <v>2023.001B.Leviviricetes_reorg.zip</v>
      </c>
    </row>
    <row r="12394" spans="1:21">
      <c r="A12394">
        <v>12393</v>
      </c>
      <c r="B12394" s="27" t="s">
        <v>1124</v>
      </c>
      <c r="D12394" s="27" t="s">
        <v>1859</v>
      </c>
      <c r="F12394" s="27" t="s">
        <v>1881</v>
      </c>
      <c r="H12394" s="27" t="s">
        <v>2679</v>
      </c>
      <c r="J12394" s="27" t="s">
        <v>3210</v>
      </c>
      <c r="L12394" s="27" t="s">
        <v>3262</v>
      </c>
      <c r="N12394" s="27" t="s">
        <v>15846</v>
      </c>
      <c r="P12394" s="27" t="s">
        <v>16222</v>
      </c>
      <c r="Q12394" s="26" t="str">
        <f>HYPERLINK("https://ictv.global/taxonomy/taxondetails?taxnode_id=202517335&amp;ictv_id=ICTV202317335","ICTV202317335")</f>
        <v>ICTV202317335</v>
      </c>
      <c r="R12394" t="s">
        <v>581</v>
      </c>
      <c r="S12394" t="s">
        <v>823</v>
      </c>
      <c r="T12394">
        <v>39</v>
      </c>
      <c r="U12394" s="26" t="str">
        <f t="shared" si="453"/>
        <v>2023.001B.Leviviricetes_reorg.zip</v>
      </c>
    </row>
    <row r="12395" spans="1:21">
      <c r="A12395">
        <v>12394</v>
      </c>
      <c r="B12395" s="27" t="s">
        <v>1124</v>
      </c>
      <c r="D12395" s="27" t="s">
        <v>1859</v>
      </c>
      <c r="F12395" s="27" t="s">
        <v>1881</v>
      </c>
      <c r="H12395" s="27" t="s">
        <v>2679</v>
      </c>
      <c r="J12395" s="27" t="s">
        <v>3210</v>
      </c>
      <c r="L12395" s="27" t="s">
        <v>3262</v>
      </c>
      <c r="N12395" s="27" t="s">
        <v>15846</v>
      </c>
      <c r="P12395" s="27" t="s">
        <v>16223</v>
      </c>
      <c r="Q12395" s="26" t="str">
        <f>HYPERLINK("https://ictv.global/taxonomy/taxondetails?taxnode_id=202517336&amp;ictv_id=ICTV202317336","ICTV202317336")</f>
        <v>ICTV202317336</v>
      </c>
      <c r="R12395" t="s">
        <v>581</v>
      </c>
      <c r="S12395" t="s">
        <v>823</v>
      </c>
      <c r="T12395">
        <v>39</v>
      </c>
      <c r="U12395" s="26" t="str">
        <f t="shared" si="453"/>
        <v>2023.001B.Leviviricetes_reorg.zip</v>
      </c>
    </row>
    <row r="12396" spans="1:21">
      <c r="A12396">
        <v>12395</v>
      </c>
      <c r="B12396" s="27" t="s">
        <v>1124</v>
      </c>
      <c r="D12396" s="27" t="s">
        <v>1859</v>
      </c>
      <c r="F12396" s="27" t="s">
        <v>1881</v>
      </c>
      <c r="H12396" s="27" t="s">
        <v>2679</v>
      </c>
      <c r="J12396" s="27" t="s">
        <v>3210</v>
      </c>
      <c r="L12396" s="27" t="s">
        <v>3262</v>
      </c>
      <c r="N12396" s="27" t="s">
        <v>15846</v>
      </c>
      <c r="P12396" s="27" t="s">
        <v>16224</v>
      </c>
      <c r="Q12396" s="26" t="str">
        <f>HYPERLINK("https://ictv.global/taxonomy/taxondetails?taxnode_id=202517337&amp;ictv_id=ICTV202317337","ICTV202317337")</f>
        <v>ICTV202317337</v>
      </c>
      <c r="R12396" t="s">
        <v>581</v>
      </c>
      <c r="S12396" t="s">
        <v>823</v>
      </c>
      <c r="T12396">
        <v>39</v>
      </c>
      <c r="U12396" s="26" t="str">
        <f t="shared" si="453"/>
        <v>2023.001B.Leviviricetes_reorg.zip</v>
      </c>
    </row>
    <row r="12397" spans="1:21">
      <c r="A12397">
        <v>12396</v>
      </c>
      <c r="B12397" s="27" t="s">
        <v>1124</v>
      </c>
      <c r="D12397" s="27" t="s">
        <v>1859</v>
      </c>
      <c r="F12397" s="27" t="s">
        <v>1881</v>
      </c>
      <c r="H12397" s="27" t="s">
        <v>2679</v>
      </c>
      <c r="J12397" s="27" t="s">
        <v>3210</v>
      </c>
      <c r="L12397" s="27" t="s">
        <v>3262</v>
      </c>
      <c r="N12397" s="27" t="s">
        <v>15846</v>
      </c>
      <c r="P12397" s="27" t="s">
        <v>16225</v>
      </c>
      <c r="Q12397" s="26" t="str">
        <f>HYPERLINK("https://ictv.global/taxonomy/taxondetails?taxnode_id=202517338&amp;ictv_id=ICTV202317338","ICTV202317338")</f>
        <v>ICTV202317338</v>
      </c>
      <c r="R12397" t="s">
        <v>581</v>
      </c>
      <c r="S12397" t="s">
        <v>823</v>
      </c>
      <c r="T12397">
        <v>39</v>
      </c>
      <c r="U12397" s="26" t="str">
        <f t="shared" si="453"/>
        <v>2023.001B.Leviviricetes_reorg.zip</v>
      </c>
    </row>
    <row r="12398" spans="1:21">
      <c r="A12398">
        <v>12397</v>
      </c>
      <c r="B12398" s="27" t="s">
        <v>1124</v>
      </c>
      <c r="D12398" s="27" t="s">
        <v>1859</v>
      </c>
      <c r="F12398" s="27" t="s">
        <v>1881</v>
      </c>
      <c r="H12398" s="27" t="s">
        <v>2679</v>
      </c>
      <c r="J12398" s="27" t="s">
        <v>3210</v>
      </c>
      <c r="L12398" s="27" t="s">
        <v>3262</v>
      </c>
      <c r="N12398" s="27" t="s">
        <v>15846</v>
      </c>
      <c r="P12398" s="27" t="s">
        <v>16226</v>
      </c>
      <c r="Q12398" s="26" t="str">
        <f>HYPERLINK("https://ictv.global/taxonomy/taxondetails?taxnode_id=202517339&amp;ictv_id=ICTV202317339","ICTV202317339")</f>
        <v>ICTV202317339</v>
      </c>
      <c r="R12398" t="s">
        <v>581</v>
      </c>
      <c r="S12398" t="s">
        <v>823</v>
      </c>
      <c r="T12398">
        <v>39</v>
      </c>
      <c r="U12398" s="26" t="str">
        <f t="shared" si="453"/>
        <v>2023.001B.Leviviricetes_reorg.zip</v>
      </c>
    </row>
    <row r="12399" spans="1:21">
      <c r="A12399">
        <v>12398</v>
      </c>
      <c r="B12399" s="27" t="s">
        <v>1124</v>
      </c>
      <c r="D12399" s="27" t="s">
        <v>1859</v>
      </c>
      <c r="F12399" s="27" t="s">
        <v>1881</v>
      </c>
      <c r="H12399" s="27" t="s">
        <v>2679</v>
      </c>
      <c r="J12399" s="27" t="s">
        <v>3210</v>
      </c>
      <c r="L12399" s="27" t="s">
        <v>3262</v>
      </c>
      <c r="N12399" s="27" t="s">
        <v>15846</v>
      </c>
      <c r="P12399" s="27" t="s">
        <v>16227</v>
      </c>
      <c r="Q12399" s="26" t="str">
        <f>HYPERLINK("https://ictv.global/taxonomy/taxondetails?taxnode_id=202517340&amp;ictv_id=ICTV202317340","ICTV202317340")</f>
        <v>ICTV202317340</v>
      </c>
      <c r="R12399" t="s">
        <v>581</v>
      </c>
      <c r="S12399" t="s">
        <v>823</v>
      </c>
      <c r="T12399">
        <v>39</v>
      </c>
      <c r="U12399" s="26" t="str">
        <f t="shared" si="453"/>
        <v>2023.001B.Leviviricetes_reorg.zip</v>
      </c>
    </row>
    <row r="12400" spans="1:21">
      <c r="A12400">
        <v>12399</v>
      </c>
      <c r="B12400" s="27" t="s">
        <v>1124</v>
      </c>
      <c r="D12400" s="27" t="s">
        <v>1859</v>
      </c>
      <c r="F12400" s="27" t="s">
        <v>1881</v>
      </c>
      <c r="H12400" s="27" t="s">
        <v>2679</v>
      </c>
      <c r="J12400" s="27" t="s">
        <v>3210</v>
      </c>
      <c r="L12400" s="27" t="s">
        <v>3262</v>
      </c>
      <c r="N12400" s="27" t="s">
        <v>15846</v>
      </c>
      <c r="P12400" s="27" t="s">
        <v>16228</v>
      </c>
      <c r="Q12400" s="26" t="str">
        <f>HYPERLINK("https://ictv.global/taxonomy/taxondetails?taxnode_id=202517341&amp;ictv_id=ICTV202317341","ICTV202317341")</f>
        <v>ICTV202317341</v>
      </c>
      <c r="R12400" t="s">
        <v>581</v>
      </c>
      <c r="S12400" t="s">
        <v>823</v>
      </c>
      <c r="T12400">
        <v>39</v>
      </c>
      <c r="U12400" s="26" t="str">
        <f t="shared" si="453"/>
        <v>2023.001B.Leviviricetes_reorg.zip</v>
      </c>
    </row>
    <row r="12401" spans="1:21">
      <c r="A12401">
        <v>12400</v>
      </c>
      <c r="B12401" s="27" t="s">
        <v>1124</v>
      </c>
      <c r="D12401" s="27" t="s">
        <v>1859</v>
      </c>
      <c r="F12401" s="27" t="s">
        <v>1881</v>
      </c>
      <c r="H12401" s="27" t="s">
        <v>2679</v>
      </c>
      <c r="J12401" s="27" t="s">
        <v>3210</v>
      </c>
      <c r="L12401" s="27" t="s">
        <v>3262</v>
      </c>
      <c r="N12401" s="27" t="s">
        <v>15846</v>
      </c>
      <c r="P12401" s="27" t="s">
        <v>16229</v>
      </c>
      <c r="Q12401" s="26" t="str">
        <f>HYPERLINK("https://ictv.global/taxonomy/taxondetails?taxnode_id=202517342&amp;ictv_id=ICTV202317342","ICTV202317342")</f>
        <v>ICTV202317342</v>
      </c>
      <c r="R12401" t="s">
        <v>581</v>
      </c>
      <c r="S12401" t="s">
        <v>823</v>
      </c>
      <c r="T12401">
        <v>39</v>
      </c>
      <c r="U12401" s="26" t="str">
        <f t="shared" si="453"/>
        <v>2023.001B.Leviviricetes_reorg.zip</v>
      </c>
    </row>
    <row r="12402" spans="1:21">
      <c r="A12402">
        <v>12401</v>
      </c>
      <c r="B12402" s="27" t="s">
        <v>1124</v>
      </c>
      <c r="D12402" s="27" t="s">
        <v>1859</v>
      </c>
      <c r="F12402" s="27" t="s">
        <v>1881</v>
      </c>
      <c r="H12402" s="27" t="s">
        <v>2679</v>
      </c>
      <c r="J12402" s="27" t="s">
        <v>3210</v>
      </c>
      <c r="L12402" s="27" t="s">
        <v>3262</v>
      </c>
      <c r="N12402" s="27" t="s">
        <v>15846</v>
      </c>
      <c r="P12402" s="27" t="s">
        <v>16230</v>
      </c>
      <c r="Q12402" s="26" t="str">
        <f>HYPERLINK("https://ictv.global/taxonomy/taxondetails?taxnode_id=202517343&amp;ictv_id=ICTV202317343","ICTV202317343")</f>
        <v>ICTV202317343</v>
      </c>
      <c r="R12402" t="s">
        <v>581</v>
      </c>
      <c r="S12402" t="s">
        <v>823</v>
      </c>
      <c r="T12402">
        <v>39</v>
      </c>
      <c r="U12402" s="26" t="str">
        <f t="shared" si="453"/>
        <v>2023.001B.Leviviricetes_reorg.zip</v>
      </c>
    </row>
    <row r="12403" spans="1:21">
      <c r="A12403">
        <v>12402</v>
      </c>
      <c r="B12403" s="27" t="s">
        <v>1124</v>
      </c>
      <c r="D12403" s="27" t="s">
        <v>1859</v>
      </c>
      <c r="F12403" s="27" t="s">
        <v>1881</v>
      </c>
      <c r="H12403" s="27" t="s">
        <v>2679</v>
      </c>
      <c r="J12403" s="27" t="s">
        <v>3210</v>
      </c>
      <c r="L12403" s="27" t="s">
        <v>3262</v>
      </c>
      <c r="N12403" s="27" t="s">
        <v>15846</v>
      </c>
      <c r="P12403" s="27" t="s">
        <v>16231</v>
      </c>
      <c r="Q12403" s="26" t="str">
        <f>HYPERLINK("https://ictv.global/taxonomy/taxondetails?taxnode_id=202517344&amp;ictv_id=ICTV202317344","ICTV202317344")</f>
        <v>ICTV202317344</v>
      </c>
      <c r="R12403" t="s">
        <v>581</v>
      </c>
      <c r="S12403" t="s">
        <v>823</v>
      </c>
      <c r="T12403">
        <v>39</v>
      </c>
      <c r="U12403" s="26" t="str">
        <f t="shared" si="453"/>
        <v>2023.001B.Leviviricetes_reorg.zip</v>
      </c>
    </row>
    <row r="12404" spans="1:21">
      <c r="A12404">
        <v>12403</v>
      </c>
      <c r="B12404" s="27" t="s">
        <v>1124</v>
      </c>
      <c r="D12404" s="27" t="s">
        <v>1859</v>
      </c>
      <c r="F12404" s="27" t="s">
        <v>1881</v>
      </c>
      <c r="H12404" s="27" t="s">
        <v>2679</v>
      </c>
      <c r="J12404" s="27" t="s">
        <v>3210</v>
      </c>
      <c r="L12404" s="27" t="s">
        <v>3262</v>
      </c>
      <c r="N12404" s="27" t="s">
        <v>15846</v>
      </c>
      <c r="P12404" s="27" t="s">
        <v>16232</v>
      </c>
      <c r="Q12404" s="26" t="str">
        <f>HYPERLINK("https://ictv.global/taxonomy/taxondetails?taxnode_id=202517345&amp;ictv_id=ICTV202317345","ICTV202317345")</f>
        <v>ICTV202317345</v>
      </c>
      <c r="R12404" t="s">
        <v>581</v>
      </c>
      <c r="S12404" t="s">
        <v>823</v>
      </c>
      <c r="T12404">
        <v>39</v>
      </c>
      <c r="U12404" s="26" t="str">
        <f t="shared" si="453"/>
        <v>2023.001B.Leviviricetes_reorg.zip</v>
      </c>
    </row>
    <row r="12405" spans="1:21">
      <c r="A12405">
        <v>12404</v>
      </c>
      <c r="B12405" s="27" t="s">
        <v>1124</v>
      </c>
      <c r="D12405" s="27" t="s">
        <v>1859</v>
      </c>
      <c r="F12405" s="27" t="s">
        <v>1881</v>
      </c>
      <c r="H12405" s="27" t="s">
        <v>2679</v>
      </c>
      <c r="J12405" s="27" t="s">
        <v>3210</v>
      </c>
      <c r="L12405" s="27" t="s">
        <v>3262</v>
      </c>
      <c r="N12405" s="27" t="s">
        <v>15846</v>
      </c>
      <c r="P12405" s="27" t="s">
        <v>16233</v>
      </c>
      <c r="Q12405" s="26" t="str">
        <f>HYPERLINK("https://ictv.global/taxonomy/taxondetails?taxnode_id=202517346&amp;ictv_id=ICTV202317346","ICTV202317346")</f>
        <v>ICTV202317346</v>
      </c>
      <c r="R12405" t="s">
        <v>581</v>
      </c>
      <c r="S12405" t="s">
        <v>823</v>
      </c>
      <c r="T12405">
        <v>39</v>
      </c>
      <c r="U12405" s="26" t="str">
        <f t="shared" si="453"/>
        <v>2023.001B.Leviviricetes_reorg.zip</v>
      </c>
    </row>
    <row r="12406" spans="1:21">
      <c r="A12406">
        <v>12405</v>
      </c>
      <c r="B12406" s="27" t="s">
        <v>1124</v>
      </c>
      <c r="D12406" s="27" t="s">
        <v>1859</v>
      </c>
      <c r="F12406" s="27" t="s">
        <v>1881</v>
      </c>
      <c r="H12406" s="27" t="s">
        <v>2679</v>
      </c>
      <c r="J12406" s="27" t="s">
        <v>3210</v>
      </c>
      <c r="L12406" s="27" t="s">
        <v>3262</v>
      </c>
      <c r="N12406" s="27" t="s">
        <v>15846</v>
      </c>
      <c r="P12406" s="27" t="s">
        <v>16234</v>
      </c>
      <c r="Q12406" s="26" t="str">
        <f>HYPERLINK("https://ictv.global/taxonomy/taxondetails?taxnode_id=202517347&amp;ictv_id=ICTV202317347","ICTV202317347")</f>
        <v>ICTV202317347</v>
      </c>
      <c r="R12406" t="s">
        <v>581</v>
      </c>
      <c r="S12406" t="s">
        <v>823</v>
      </c>
      <c r="T12406">
        <v>39</v>
      </c>
      <c r="U12406" s="26" t="str">
        <f t="shared" si="453"/>
        <v>2023.001B.Leviviricetes_reorg.zip</v>
      </c>
    </row>
    <row r="12407" spans="1:21">
      <c r="A12407">
        <v>12406</v>
      </c>
      <c r="B12407" s="27" t="s">
        <v>1124</v>
      </c>
      <c r="D12407" s="27" t="s">
        <v>1859</v>
      </c>
      <c r="F12407" s="27" t="s">
        <v>1881</v>
      </c>
      <c r="H12407" s="27" t="s">
        <v>2679</v>
      </c>
      <c r="J12407" s="27" t="s">
        <v>3210</v>
      </c>
      <c r="L12407" s="27" t="s">
        <v>3262</v>
      </c>
      <c r="N12407" s="27" t="s">
        <v>15846</v>
      </c>
      <c r="P12407" s="27" t="s">
        <v>16235</v>
      </c>
      <c r="Q12407" s="26" t="str">
        <f>HYPERLINK("https://ictv.global/taxonomy/taxondetails?taxnode_id=202517348&amp;ictv_id=ICTV202317348","ICTV202317348")</f>
        <v>ICTV202317348</v>
      </c>
      <c r="R12407" t="s">
        <v>581</v>
      </c>
      <c r="S12407" t="s">
        <v>823</v>
      </c>
      <c r="T12407">
        <v>39</v>
      </c>
      <c r="U12407" s="26" t="str">
        <f t="shared" si="453"/>
        <v>2023.001B.Leviviricetes_reorg.zip</v>
      </c>
    </row>
    <row r="12408" spans="1:21">
      <c r="A12408">
        <v>12407</v>
      </c>
      <c r="B12408" s="27" t="s">
        <v>1124</v>
      </c>
      <c r="D12408" s="27" t="s">
        <v>1859</v>
      </c>
      <c r="F12408" s="27" t="s">
        <v>1881</v>
      </c>
      <c r="H12408" s="27" t="s">
        <v>2679</v>
      </c>
      <c r="J12408" s="27" t="s">
        <v>3210</v>
      </c>
      <c r="L12408" s="27" t="s">
        <v>3262</v>
      </c>
      <c r="N12408" s="27" t="s">
        <v>15846</v>
      </c>
      <c r="P12408" s="27" t="s">
        <v>16236</v>
      </c>
      <c r="Q12408" s="26" t="str">
        <f>HYPERLINK("https://ictv.global/taxonomy/taxondetails?taxnode_id=202517349&amp;ictv_id=ICTV202317349","ICTV202317349")</f>
        <v>ICTV202317349</v>
      </c>
      <c r="R12408" t="s">
        <v>581</v>
      </c>
      <c r="S12408" t="s">
        <v>823</v>
      </c>
      <c r="T12408">
        <v>39</v>
      </c>
      <c r="U12408" s="26" t="str">
        <f t="shared" si="453"/>
        <v>2023.001B.Leviviricetes_reorg.zip</v>
      </c>
    </row>
    <row r="12409" spans="1:21">
      <c r="A12409">
        <v>12408</v>
      </c>
      <c r="B12409" s="27" t="s">
        <v>1124</v>
      </c>
      <c r="D12409" s="27" t="s">
        <v>1859</v>
      </c>
      <c r="F12409" s="27" t="s">
        <v>1881</v>
      </c>
      <c r="H12409" s="27" t="s">
        <v>2679</v>
      </c>
      <c r="J12409" s="27" t="s">
        <v>3210</v>
      </c>
      <c r="L12409" s="27" t="s">
        <v>3262</v>
      </c>
      <c r="N12409" s="27" t="s">
        <v>15846</v>
      </c>
      <c r="P12409" s="27" t="s">
        <v>16237</v>
      </c>
      <c r="Q12409" s="26" t="str">
        <f>HYPERLINK("https://ictv.global/taxonomy/taxondetails?taxnode_id=202517350&amp;ictv_id=ICTV202317350","ICTV202317350")</f>
        <v>ICTV202317350</v>
      </c>
      <c r="R12409" t="s">
        <v>581</v>
      </c>
      <c r="S12409" t="s">
        <v>823</v>
      </c>
      <c r="T12409">
        <v>39</v>
      </c>
      <c r="U12409" s="26" t="str">
        <f t="shared" si="453"/>
        <v>2023.001B.Leviviricetes_reorg.zip</v>
      </c>
    </row>
    <row r="12410" spans="1:21">
      <c r="A12410">
        <v>12409</v>
      </c>
      <c r="B12410" s="27" t="s">
        <v>1124</v>
      </c>
      <c r="D12410" s="27" t="s">
        <v>1859</v>
      </c>
      <c r="F12410" s="27" t="s">
        <v>1881</v>
      </c>
      <c r="H12410" s="27" t="s">
        <v>2679</v>
      </c>
      <c r="J12410" s="27" t="s">
        <v>3210</v>
      </c>
      <c r="L12410" s="27" t="s">
        <v>3262</v>
      </c>
      <c r="N12410" s="27" t="s">
        <v>15846</v>
      </c>
      <c r="P12410" s="27" t="s">
        <v>16238</v>
      </c>
      <c r="Q12410" s="26" t="str">
        <f>HYPERLINK("https://ictv.global/taxonomy/taxondetails?taxnode_id=202517351&amp;ictv_id=ICTV202317351","ICTV202317351")</f>
        <v>ICTV202317351</v>
      </c>
      <c r="R12410" t="s">
        <v>581</v>
      </c>
      <c r="S12410" t="s">
        <v>823</v>
      </c>
      <c r="T12410">
        <v>39</v>
      </c>
      <c r="U12410" s="26" t="str">
        <f t="shared" si="453"/>
        <v>2023.001B.Leviviricetes_reorg.zip</v>
      </c>
    </row>
    <row r="12411" spans="1:21">
      <c r="A12411">
        <v>12410</v>
      </c>
      <c r="B12411" s="27" t="s">
        <v>1124</v>
      </c>
      <c r="D12411" s="27" t="s">
        <v>1859</v>
      </c>
      <c r="F12411" s="27" t="s">
        <v>1881</v>
      </c>
      <c r="H12411" s="27" t="s">
        <v>2679</v>
      </c>
      <c r="J12411" s="27" t="s">
        <v>3210</v>
      </c>
      <c r="L12411" s="27" t="s">
        <v>3262</v>
      </c>
      <c r="N12411" s="27" t="s">
        <v>15846</v>
      </c>
      <c r="P12411" s="27" t="s">
        <v>16239</v>
      </c>
      <c r="Q12411" s="26" t="str">
        <f>HYPERLINK("https://ictv.global/taxonomy/taxondetails?taxnode_id=202517352&amp;ictv_id=ICTV202317352","ICTV202317352")</f>
        <v>ICTV202317352</v>
      </c>
      <c r="R12411" t="s">
        <v>581</v>
      </c>
      <c r="S12411" t="s">
        <v>823</v>
      </c>
      <c r="T12411">
        <v>39</v>
      </c>
      <c r="U12411" s="26" t="str">
        <f t="shared" si="453"/>
        <v>2023.001B.Leviviricetes_reorg.zip</v>
      </c>
    </row>
    <row r="12412" spans="1:21">
      <c r="A12412">
        <v>12411</v>
      </c>
      <c r="B12412" s="27" t="s">
        <v>1124</v>
      </c>
      <c r="D12412" s="27" t="s">
        <v>1859</v>
      </c>
      <c r="F12412" s="27" t="s">
        <v>1881</v>
      </c>
      <c r="H12412" s="27" t="s">
        <v>2679</v>
      </c>
      <c r="J12412" s="27" t="s">
        <v>3210</v>
      </c>
      <c r="L12412" s="27" t="s">
        <v>3262</v>
      </c>
      <c r="N12412" s="27" t="s">
        <v>15846</v>
      </c>
      <c r="P12412" s="27" t="s">
        <v>16240</v>
      </c>
      <c r="Q12412" s="26" t="str">
        <f>HYPERLINK("https://ictv.global/taxonomy/taxondetails?taxnode_id=202517353&amp;ictv_id=ICTV202317353","ICTV202317353")</f>
        <v>ICTV202317353</v>
      </c>
      <c r="R12412" t="s">
        <v>581</v>
      </c>
      <c r="S12412" t="s">
        <v>823</v>
      </c>
      <c r="T12412">
        <v>39</v>
      </c>
      <c r="U12412" s="26" t="str">
        <f t="shared" si="453"/>
        <v>2023.001B.Leviviricetes_reorg.zip</v>
      </c>
    </row>
    <row r="12413" spans="1:21">
      <c r="A12413">
        <v>12412</v>
      </c>
      <c r="B12413" s="27" t="s">
        <v>1124</v>
      </c>
      <c r="D12413" s="27" t="s">
        <v>1859</v>
      </c>
      <c r="F12413" s="27" t="s">
        <v>1881</v>
      </c>
      <c r="H12413" s="27" t="s">
        <v>2679</v>
      </c>
      <c r="J12413" s="27" t="s">
        <v>3210</v>
      </c>
      <c r="L12413" s="27" t="s">
        <v>3262</v>
      </c>
      <c r="N12413" s="27" t="s">
        <v>15846</v>
      </c>
      <c r="P12413" s="27" t="s">
        <v>16241</v>
      </c>
      <c r="Q12413" s="26" t="str">
        <f>HYPERLINK("https://ictv.global/taxonomy/taxondetails?taxnode_id=202517354&amp;ictv_id=ICTV202317354","ICTV202317354")</f>
        <v>ICTV202317354</v>
      </c>
      <c r="R12413" t="s">
        <v>581</v>
      </c>
      <c r="S12413" t="s">
        <v>823</v>
      </c>
      <c r="T12413">
        <v>39</v>
      </c>
      <c r="U12413" s="26" t="str">
        <f t="shared" si="453"/>
        <v>2023.001B.Leviviricetes_reorg.zip</v>
      </c>
    </row>
    <row r="12414" spans="1:21">
      <c r="A12414">
        <v>12413</v>
      </c>
      <c r="B12414" s="27" t="s">
        <v>1124</v>
      </c>
      <c r="D12414" s="27" t="s">
        <v>1859</v>
      </c>
      <c r="F12414" s="27" t="s">
        <v>1881</v>
      </c>
      <c r="H12414" s="27" t="s">
        <v>2679</v>
      </c>
      <c r="J12414" s="27" t="s">
        <v>3210</v>
      </c>
      <c r="L12414" s="27" t="s">
        <v>3262</v>
      </c>
      <c r="N12414" s="27" t="s">
        <v>15846</v>
      </c>
      <c r="P12414" s="27" t="s">
        <v>16242</v>
      </c>
      <c r="Q12414" s="26" t="str">
        <f>HYPERLINK("https://ictv.global/taxonomy/taxondetails?taxnode_id=202517355&amp;ictv_id=ICTV202317355","ICTV202317355")</f>
        <v>ICTV202317355</v>
      </c>
      <c r="R12414" t="s">
        <v>581</v>
      </c>
      <c r="S12414" t="s">
        <v>823</v>
      </c>
      <c r="T12414">
        <v>39</v>
      </c>
      <c r="U12414" s="26" t="str">
        <f t="shared" si="453"/>
        <v>2023.001B.Leviviricetes_reorg.zip</v>
      </c>
    </row>
    <row r="12415" spans="1:21">
      <c r="A12415">
        <v>12414</v>
      </c>
      <c r="B12415" s="27" t="s">
        <v>1124</v>
      </c>
      <c r="D12415" s="27" t="s">
        <v>1859</v>
      </c>
      <c r="F12415" s="27" t="s">
        <v>1881</v>
      </c>
      <c r="H12415" s="27" t="s">
        <v>2679</v>
      </c>
      <c r="J12415" s="27" t="s">
        <v>3210</v>
      </c>
      <c r="L12415" s="27" t="s">
        <v>3262</v>
      </c>
      <c r="N12415" s="27" t="s">
        <v>15846</v>
      </c>
      <c r="P12415" s="27" t="s">
        <v>16243</v>
      </c>
      <c r="Q12415" s="26" t="str">
        <f>HYPERLINK("https://ictv.global/taxonomy/taxondetails?taxnode_id=202517356&amp;ictv_id=ICTV202317356","ICTV202317356")</f>
        <v>ICTV202317356</v>
      </c>
      <c r="R12415" t="s">
        <v>581</v>
      </c>
      <c r="S12415" t="s">
        <v>823</v>
      </c>
      <c r="T12415">
        <v>39</v>
      </c>
      <c r="U12415" s="26" t="str">
        <f t="shared" si="453"/>
        <v>2023.001B.Leviviricetes_reorg.zip</v>
      </c>
    </row>
    <row r="12416" spans="1:21">
      <c r="A12416">
        <v>12415</v>
      </c>
      <c r="B12416" s="27" t="s">
        <v>1124</v>
      </c>
      <c r="D12416" s="27" t="s">
        <v>1859</v>
      </c>
      <c r="F12416" s="27" t="s">
        <v>1881</v>
      </c>
      <c r="H12416" s="27" t="s">
        <v>2679</v>
      </c>
      <c r="J12416" s="27" t="s">
        <v>3210</v>
      </c>
      <c r="L12416" s="27" t="s">
        <v>3262</v>
      </c>
      <c r="N12416" s="27" t="s">
        <v>15846</v>
      </c>
      <c r="P12416" s="27" t="s">
        <v>16244</v>
      </c>
      <c r="Q12416" s="26" t="str">
        <f>HYPERLINK("https://ictv.global/taxonomy/taxondetails?taxnode_id=202517357&amp;ictv_id=ICTV202317357","ICTV202317357")</f>
        <v>ICTV202317357</v>
      </c>
      <c r="R12416" t="s">
        <v>581</v>
      </c>
      <c r="S12416" t="s">
        <v>823</v>
      </c>
      <c r="T12416">
        <v>39</v>
      </c>
      <c r="U12416" s="26" t="str">
        <f t="shared" si="453"/>
        <v>2023.001B.Leviviricetes_reorg.zip</v>
      </c>
    </row>
    <row r="12417" spans="1:21">
      <c r="A12417">
        <v>12416</v>
      </c>
      <c r="B12417" s="27" t="s">
        <v>1124</v>
      </c>
      <c r="D12417" s="27" t="s">
        <v>1859</v>
      </c>
      <c r="F12417" s="27" t="s">
        <v>1881</v>
      </c>
      <c r="H12417" s="27" t="s">
        <v>2679</v>
      </c>
      <c r="J12417" s="27" t="s">
        <v>3210</v>
      </c>
      <c r="L12417" s="27" t="s">
        <v>3262</v>
      </c>
      <c r="N12417" s="27" t="s">
        <v>15846</v>
      </c>
      <c r="P12417" s="27" t="s">
        <v>16245</v>
      </c>
      <c r="Q12417" s="26" t="str">
        <f>HYPERLINK("https://ictv.global/taxonomy/taxondetails?taxnode_id=202517358&amp;ictv_id=ICTV202317358","ICTV202317358")</f>
        <v>ICTV202317358</v>
      </c>
      <c r="R12417" t="s">
        <v>581</v>
      </c>
      <c r="S12417" t="s">
        <v>823</v>
      </c>
      <c r="T12417">
        <v>39</v>
      </c>
      <c r="U12417" s="26" t="str">
        <f t="shared" si="453"/>
        <v>2023.001B.Leviviricetes_reorg.zip</v>
      </c>
    </row>
    <row r="12418" spans="1:21">
      <c r="A12418">
        <v>12417</v>
      </c>
      <c r="B12418" s="27" t="s">
        <v>1124</v>
      </c>
      <c r="D12418" s="27" t="s">
        <v>1859</v>
      </c>
      <c r="F12418" s="27" t="s">
        <v>1881</v>
      </c>
      <c r="H12418" s="27" t="s">
        <v>2679</v>
      </c>
      <c r="J12418" s="27" t="s">
        <v>3210</v>
      </c>
      <c r="L12418" s="27" t="s">
        <v>3262</v>
      </c>
      <c r="N12418" s="27" t="s">
        <v>15846</v>
      </c>
      <c r="P12418" s="27" t="s">
        <v>16246</v>
      </c>
      <c r="Q12418" s="26" t="str">
        <f>HYPERLINK("https://ictv.global/taxonomy/taxondetails?taxnode_id=202517359&amp;ictv_id=ICTV202317359","ICTV202317359")</f>
        <v>ICTV202317359</v>
      </c>
      <c r="R12418" t="s">
        <v>581</v>
      </c>
      <c r="S12418" t="s">
        <v>823</v>
      </c>
      <c r="T12418">
        <v>39</v>
      </c>
      <c r="U12418" s="26" t="str">
        <f t="shared" si="453"/>
        <v>2023.001B.Leviviricetes_reorg.zip</v>
      </c>
    </row>
    <row r="12419" spans="1:21">
      <c r="A12419">
        <v>12418</v>
      </c>
      <c r="B12419" s="27" t="s">
        <v>1124</v>
      </c>
      <c r="D12419" s="27" t="s">
        <v>1859</v>
      </c>
      <c r="F12419" s="27" t="s">
        <v>1881</v>
      </c>
      <c r="H12419" s="27" t="s">
        <v>2679</v>
      </c>
      <c r="J12419" s="27" t="s">
        <v>3210</v>
      </c>
      <c r="L12419" s="27" t="s">
        <v>3262</v>
      </c>
      <c r="N12419" s="27" t="s">
        <v>15846</v>
      </c>
      <c r="P12419" s="27" t="s">
        <v>16247</v>
      </c>
      <c r="Q12419" s="26" t="str">
        <f>HYPERLINK("https://ictv.global/taxonomy/taxondetails?taxnode_id=202517360&amp;ictv_id=ICTV202317360","ICTV202317360")</f>
        <v>ICTV202317360</v>
      </c>
      <c r="R12419" t="s">
        <v>581</v>
      </c>
      <c r="S12419" t="s">
        <v>823</v>
      </c>
      <c r="T12419">
        <v>39</v>
      </c>
      <c r="U12419" s="26" t="str">
        <f t="shared" si="453"/>
        <v>2023.001B.Leviviricetes_reorg.zip</v>
      </c>
    </row>
    <row r="12420" spans="1:21">
      <c r="A12420">
        <v>12419</v>
      </c>
      <c r="B12420" s="27" t="s">
        <v>1124</v>
      </c>
      <c r="D12420" s="27" t="s">
        <v>1859</v>
      </c>
      <c r="F12420" s="27" t="s">
        <v>1881</v>
      </c>
      <c r="H12420" s="27" t="s">
        <v>2679</v>
      </c>
      <c r="J12420" s="27" t="s">
        <v>3210</v>
      </c>
      <c r="L12420" s="27" t="s">
        <v>3262</v>
      </c>
      <c r="N12420" s="27" t="s">
        <v>15846</v>
      </c>
      <c r="P12420" s="27" t="s">
        <v>16248</v>
      </c>
      <c r="Q12420" s="26" t="str">
        <f>HYPERLINK("https://ictv.global/taxonomy/taxondetails?taxnode_id=202517361&amp;ictv_id=ICTV202317361","ICTV202317361")</f>
        <v>ICTV202317361</v>
      </c>
      <c r="R12420" t="s">
        <v>581</v>
      </c>
      <c r="S12420" t="s">
        <v>823</v>
      </c>
      <c r="T12420">
        <v>39</v>
      </c>
      <c r="U12420" s="26" t="str">
        <f t="shared" si="453"/>
        <v>2023.001B.Leviviricetes_reorg.zip</v>
      </c>
    </row>
    <row r="12421" spans="1:21">
      <c r="A12421">
        <v>12420</v>
      </c>
      <c r="B12421" s="27" t="s">
        <v>1124</v>
      </c>
      <c r="D12421" s="27" t="s">
        <v>1859</v>
      </c>
      <c r="F12421" s="27" t="s">
        <v>1881</v>
      </c>
      <c r="H12421" s="27" t="s">
        <v>2679</v>
      </c>
      <c r="J12421" s="27" t="s">
        <v>3210</v>
      </c>
      <c r="L12421" s="27" t="s">
        <v>3262</v>
      </c>
      <c r="N12421" s="27" t="s">
        <v>15846</v>
      </c>
      <c r="P12421" s="27" t="s">
        <v>16249</v>
      </c>
      <c r="Q12421" s="26" t="str">
        <f>HYPERLINK("https://ictv.global/taxonomy/taxondetails?taxnode_id=202517362&amp;ictv_id=ICTV202317362","ICTV202317362")</f>
        <v>ICTV202317362</v>
      </c>
      <c r="R12421" t="s">
        <v>581</v>
      </c>
      <c r="S12421" t="s">
        <v>823</v>
      </c>
      <c r="T12421">
        <v>39</v>
      </c>
      <c r="U12421" s="26" t="str">
        <f t="shared" si="453"/>
        <v>2023.001B.Leviviricetes_reorg.zip</v>
      </c>
    </row>
    <row r="12422" spans="1:21">
      <c r="A12422">
        <v>12421</v>
      </c>
      <c r="B12422" s="27" t="s">
        <v>1124</v>
      </c>
      <c r="D12422" s="27" t="s">
        <v>1859</v>
      </c>
      <c r="F12422" s="27" t="s">
        <v>1881</v>
      </c>
      <c r="H12422" s="27" t="s">
        <v>2679</v>
      </c>
      <c r="J12422" s="27" t="s">
        <v>3210</v>
      </c>
      <c r="L12422" s="27" t="s">
        <v>3262</v>
      </c>
      <c r="N12422" s="27" t="s">
        <v>15846</v>
      </c>
      <c r="P12422" s="27" t="s">
        <v>16250</v>
      </c>
      <c r="Q12422" s="26" t="str">
        <f>HYPERLINK("https://ictv.global/taxonomy/taxondetails?taxnode_id=202517363&amp;ictv_id=ICTV202317363","ICTV202317363")</f>
        <v>ICTV202317363</v>
      </c>
      <c r="R12422" t="s">
        <v>581</v>
      </c>
      <c r="S12422" t="s">
        <v>823</v>
      </c>
      <c r="T12422">
        <v>39</v>
      </c>
      <c r="U12422" s="26" t="str">
        <f t="shared" si="453"/>
        <v>2023.001B.Leviviricetes_reorg.zip</v>
      </c>
    </row>
    <row r="12423" spans="1:21">
      <c r="A12423">
        <v>12422</v>
      </c>
      <c r="B12423" s="27" t="s">
        <v>1124</v>
      </c>
      <c r="D12423" s="27" t="s">
        <v>1859</v>
      </c>
      <c r="F12423" s="27" t="s">
        <v>1881</v>
      </c>
      <c r="H12423" s="27" t="s">
        <v>2679</v>
      </c>
      <c r="J12423" s="27" t="s">
        <v>3210</v>
      </c>
      <c r="L12423" s="27" t="s">
        <v>3262</v>
      </c>
      <c r="N12423" s="27" t="s">
        <v>15846</v>
      </c>
      <c r="P12423" s="27" t="s">
        <v>16251</v>
      </c>
      <c r="Q12423" s="26" t="str">
        <f>HYPERLINK("https://ictv.global/taxonomy/taxondetails?taxnode_id=202517364&amp;ictv_id=ICTV202317364","ICTV202317364")</f>
        <v>ICTV202317364</v>
      </c>
      <c r="R12423" t="s">
        <v>581</v>
      </c>
      <c r="S12423" t="s">
        <v>823</v>
      </c>
      <c r="T12423">
        <v>39</v>
      </c>
      <c r="U12423" s="26" t="str">
        <f t="shared" si="453"/>
        <v>2023.001B.Leviviricetes_reorg.zip</v>
      </c>
    </row>
    <row r="12424" spans="1:21">
      <c r="A12424">
        <v>12423</v>
      </c>
      <c r="B12424" s="27" t="s">
        <v>1124</v>
      </c>
      <c r="D12424" s="27" t="s">
        <v>1859</v>
      </c>
      <c r="F12424" s="27" t="s">
        <v>1881</v>
      </c>
      <c r="H12424" s="27" t="s">
        <v>2679</v>
      </c>
      <c r="J12424" s="27" t="s">
        <v>3210</v>
      </c>
      <c r="L12424" s="27" t="s">
        <v>3262</v>
      </c>
      <c r="N12424" s="27" t="s">
        <v>15846</v>
      </c>
      <c r="P12424" s="27" t="s">
        <v>16252</v>
      </c>
      <c r="Q12424" s="26" t="str">
        <f>HYPERLINK("https://ictv.global/taxonomy/taxondetails?taxnode_id=202517365&amp;ictv_id=ICTV202317365","ICTV202317365")</f>
        <v>ICTV202317365</v>
      </c>
      <c r="R12424" t="s">
        <v>581</v>
      </c>
      <c r="S12424" t="s">
        <v>823</v>
      </c>
      <c r="T12424">
        <v>39</v>
      </c>
      <c r="U12424" s="26" t="str">
        <f t="shared" ref="U12424:U12491" si="454">HYPERLINK("https://ictv.global/ictv/proposals/2023.001B.Leviviricetes_reorg.zip","2023.001B.Leviviricetes_reorg.zip")</f>
        <v>2023.001B.Leviviricetes_reorg.zip</v>
      </c>
    </row>
    <row r="12425" spans="1:21">
      <c r="A12425">
        <v>12424</v>
      </c>
      <c r="B12425" s="27" t="s">
        <v>1124</v>
      </c>
      <c r="D12425" s="27" t="s">
        <v>1859</v>
      </c>
      <c r="F12425" s="27" t="s">
        <v>1881</v>
      </c>
      <c r="H12425" s="27" t="s">
        <v>2679</v>
      </c>
      <c r="J12425" s="27" t="s">
        <v>3210</v>
      </c>
      <c r="L12425" s="27" t="s">
        <v>3262</v>
      </c>
      <c r="N12425" s="27" t="s">
        <v>15846</v>
      </c>
      <c r="P12425" s="27" t="s">
        <v>16253</v>
      </c>
      <c r="Q12425" s="26" t="str">
        <f>HYPERLINK("https://ictv.global/taxonomy/taxondetails?taxnode_id=202517366&amp;ictv_id=ICTV202317366","ICTV202317366")</f>
        <v>ICTV202317366</v>
      </c>
      <c r="R12425" t="s">
        <v>581</v>
      </c>
      <c r="S12425" t="s">
        <v>823</v>
      </c>
      <c r="T12425">
        <v>39</v>
      </c>
      <c r="U12425" s="26" t="str">
        <f t="shared" si="454"/>
        <v>2023.001B.Leviviricetes_reorg.zip</v>
      </c>
    </row>
    <row r="12426" spans="1:21">
      <c r="A12426">
        <v>12425</v>
      </c>
      <c r="B12426" s="27" t="s">
        <v>1124</v>
      </c>
      <c r="D12426" s="27" t="s">
        <v>1859</v>
      </c>
      <c r="F12426" s="27" t="s">
        <v>1881</v>
      </c>
      <c r="H12426" s="27" t="s">
        <v>2679</v>
      </c>
      <c r="J12426" s="27" t="s">
        <v>3210</v>
      </c>
      <c r="L12426" s="27" t="s">
        <v>3262</v>
      </c>
      <c r="N12426" s="27" t="s">
        <v>15846</v>
      </c>
      <c r="P12426" s="27" t="s">
        <v>16254</v>
      </c>
      <c r="Q12426" s="26" t="str">
        <f>HYPERLINK("https://ictv.global/taxonomy/taxondetails?taxnode_id=202517367&amp;ictv_id=ICTV202317367","ICTV202317367")</f>
        <v>ICTV202317367</v>
      </c>
      <c r="R12426" t="s">
        <v>581</v>
      </c>
      <c r="S12426" t="s">
        <v>823</v>
      </c>
      <c r="T12426">
        <v>39</v>
      </c>
      <c r="U12426" s="26" t="str">
        <f t="shared" si="454"/>
        <v>2023.001B.Leviviricetes_reorg.zip</v>
      </c>
    </row>
    <row r="12427" spans="1:21">
      <c r="A12427">
        <v>12426</v>
      </c>
      <c r="B12427" s="27" t="s">
        <v>1124</v>
      </c>
      <c r="D12427" s="27" t="s">
        <v>1859</v>
      </c>
      <c r="F12427" s="27" t="s">
        <v>1881</v>
      </c>
      <c r="H12427" s="27" t="s">
        <v>2679</v>
      </c>
      <c r="J12427" s="27" t="s">
        <v>3210</v>
      </c>
      <c r="L12427" s="27" t="s">
        <v>3262</v>
      </c>
      <c r="N12427" s="27" t="s">
        <v>15846</v>
      </c>
      <c r="P12427" s="27" t="s">
        <v>16255</v>
      </c>
      <c r="Q12427" s="26" t="str">
        <f>HYPERLINK("https://ictv.global/taxonomy/taxondetails?taxnode_id=202517368&amp;ictv_id=ICTV202317368","ICTV202317368")</f>
        <v>ICTV202317368</v>
      </c>
      <c r="R12427" t="s">
        <v>581</v>
      </c>
      <c r="S12427" t="s">
        <v>823</v>
      </c>
      <c r="T12427">
        <v>39</v>
      </c>
      <c r="U12427" s="26" t="str">
        <f t="shared" si="454"/>
        <v>2023.001B.Leviviricetes_reorg.zip</v>
      </c>
    </row>
    <row r="12428" spans="1:21">
      <c r="A12428">
        <v>12427</v>
      </c>
      <c r="B12428" s="27" t="s">
        <v>1124</v>
      </c>
      <c r="D12428" s="27" t="s">
        <v>1859</v>
      </c>
      <c r="F12428" s="27" t="s">
        <v>1881</v>
      </c>
      <c r="H12428" s="27" t="s">
        <v>2679</v>
      </c>
      <c r="J12428" s="27" t="s">
        <v>3210</v>
      </c>
      <c r="L12428" s="27" t="s">
        <v>3262</v>
      </c>
      <c r="N12428" s="27" t="s">
        <v>15846</v>
      </c>
      <c r="P12428" s="27" t="s">
        <v>16256</v>
      </c>
      <c r="Q12428" s="26" t="str">
        <f>HYPERLINK("https://ictv.global/taxonomy/taxondetails?taxnode_id=202517369&amp;ictv_id=ICTV202317369","ICTV202317369")</f>
        <v>ICTV202317369</v>
      </c>
      <c r="R12428" t="s">
        <v>581</v>
      </c>
      <c r="S12428" t="s">
        <v>823</v>
      </c>
      <c r="T12428">
        <v>39</v>
      </c>
      <c r="U12428" s="26" t="str">
        <f t="shared" si="454"/>
        <v>2023.001B.Leviviricetes_reorg.zip</v>
      </c>
    </row>
    <row r="12429" spans="1:21">
      <c r="A12429">
        <v>12428</v>
      </c>
      <c r="B12429" s="27" t="s">
        <v>1124</v>
      </c>
      <c r="D12429" s="27" t="s">
        <v>1859</v>
      </c>
      <c r="F12429" s="27" t="s">
        <v>1881</v>
      </c>
      <c r="H12429" s="27" t="s">
        <v>2679</v>
      </c>
      <c r="J12429" s="27" t="s">
        <v>3210</v>
      </c>
      <c r="L12429" s="27" t="s">
        <v>3262</v>
      </c>
      <c r="N12429" s="27" t="s">
        <v>15846</v>
      </c>
      <c r="P12429" s="27" t="s">
        <v>16257</v>
      </c>
      <c r="Q12429" s="26" t="str">
        <f>HYPERLINK("https://ictv.global/taxonomy/taxondetails?taxnode_id=202517370&amp;ictv_id=ICTV202317370","ICTV202317370")</f>
        <v>ICTV202317370</v>
      </c>
      <c r="R12429" t="s">
        <v>581</v>
      </c>
      <c r="S12429" t="s">
        <v>823</v>
      </c>
      <c r="T12429">
        <v>39</v>
      </c>
      <c r="U12429" s="26" t="str">
        <f t="shared" si="454"/>
        <v>2023.001B.Leviviricetes_reorg.zip</v>
      </c>
    </row>
    <row r="12430" spans="1:21">
      <c r="A12430">
        <v>12429</v>
      </c>
      <c r="B12430" s="27" t="s">
        <v>1124</v>
      </c>
      <c r="D12430" s="27" t="s">
        <v>1859</v>
      </c>
      <c r="F12430" s="27" t="s">
        <v>1881</v>
      </c>
      <c r="H12430" s="27" t="s">
        <v>2679</v>
      </c>
      <c r="J12430" s="27" t="s">
        <v>3210</v>
      </c>
      <c r="L12430" s="27" t="s">
        <v>3262</v>
      </c>
      <c r="N12430" s="27" t="s">
        <v>15846</v>
      </c>
      <c r="P12430" s="27" t="s">
        <v>16258</v>
      </c>
      <c r="Q12430" s="26" t="str">
        <f>HYPERLINK("https://ictv.global/taxonomy/taxondetails?taxnode_id=202517371&amp;ictv_id=ICTV202317371","ICTV202317371")</f>
        <v>ICTV202317371</v>
      </c>
      <c r="R12430" t="s">
        <v>581</v>
      </c>
      <c r="S12430" t="s">
        <v>823</v>
      </c>
      <c r="T12430">
        <v>39</v>
      </c>
      <c r="U12430" s="26" t="str">
        <f t="shared" si="454"/>
        <v>2023.001B.Leviviricetes_reorg.zip</v>
      </c>
    </row>
    <row r="12431" spans="1:21">
      <c r="A12431">
        <v>12430</v>
      </c>
      <c r="B12431" s="27" t="s">
        <v>1124</v>
      </c>
      <c r="D12431" s="27" t="s">
        <v>1859</v>
      </c>
      <c r="F12431" s="27" t="s">
        <v>1881</v>
      </c>
      <c r="H12431" s="27" t="s">
        <v>2679</v>
      </c>
      <c r="J12431" s="27" t="s">
        <v>3210</v>
      </c>
      <c r="L12431" s="27" t="s">
        <v>3262</v>
      </c>
      <c r="N12431" s="27" t="s">
        <v>15846</v>
      </c>
      <c r="P12431" s="27" t="s">
        <v>16259</v>
      </c>
      <c r="Q12431" s="26" t="str">
        <f>HYPERLINK("https://ictv.global/taxonomy/taxondetails?taxnode_id=202517372&amp;ictv_id=ICTV202317372","ICTV202317372")</f>
        <v>ICTV202317372</v>
      </c>
      <c r="R12431" t="s">
        <v>581</v>
      </c>
      <c r="S12431" t="s">
        <v>823</v>
      </c>
      <c r="T12431">
        <v>39</v>
      </c>
      <c r="U12431" s="26" t="str">
        <f t="shared" si="454"/>
        <v>2023.001B.Leviviricetes_reorg.zip</v>
      </c>
    </row>
    <row r="12432" spans="1:21">
      <c r="A12432">
        <v>12431</v>
      </c>
      <c r="B12432" s="27" t="s">
        <v>1124</v>
      </c>
      <c r="D12432" s="27" t="s">
        <v>1859</v>
      </c>
      <c r="F12432" s="27" t="s">
        <v>1881</v>
      </c>
      <c r="H12432" s="27" t="s">
        <v>2679</v>
      </c>
      <c r="J12432" s="27" t="s">
        <v>3210</v>
      </c>
      <c r="L12432" s="27" t="s">
        <v>3262</v>
      </c>
      <c r="N12432" s="27" t="s">
        <v>15846</v>
      </c>
      <c r="P12432" s="27" t="s">
        <v>16260</v>
      </c>
      <c r="Q12432" s="26" t="str">
        <f>HYPERLINK("https://ictv.global/taxonomy/taxondetails?taxnode_id=202517373&amp;ictv_id=ICTV202317373","ICTV202317373")</f>
        <v>ICTV202317373</v>
      </c>
      <c r="R12432" t="s">
        <v>581</v>
      </c>
      <c r="S12432" t="s">
        <v>823</v>
      </c>
      <c r="T12432">
        <v>39</v>
      </c>
      <c r="U12432" s="26" t="str">
        <f t="shared" si="454"/>
        <v>2023.001B.Leviviricetes_reorg.zip</v>
      </c>
    </row>
    <row r="12433" spans="1:21">
      <c r="A12433">
        <v>12432</v>
      </c>
      <c r="B12433" s="27" t="s">
        <v>1124</v>
      </c>
      <c r="D12433" s="27" t="s">
        <v>1859</v>
      </c>
      <c r="F12433" s="27" t="s">
        <v>1881</v>
      </c>
      <c r="H12433" s="27" t="s">
        <v>2679</v>
      </c>
      <c r="J12433" s="27" t="s">
        <v>3210</v>
      </c>
      <c r="L12433" s="27" t="s">
        <v>3262</v>
      </c>
      <c r="N12433" s="27" t="s">
        <v>15846</v>
      </c>
      <c r="P12433" s="27" t="s">
        <v>16261</v>
      </c>
      <c r="Q12433" s="26" t="str">
        <f>HYPERLINK("https://ictv.global/taxonomy/taxondetails?taxnode_id=202517374&amp;ictv_id=ICTV202317374","ICTV202317374")</f>
        <v>ICTV202317374</v>
      </c>
      <c r="R12433" t="s">
        <v>581</v>
      </c>
      <c r="S12433" t="s">
        <v>823</v>
      </c>
      <c r="T12433">
        <v>39</v>
      </c>
      <c r="U12433" s="26" t="str">
        <f t="shared" si="454"/>
        <v>2023.001B.Leviviricetes_reorg.zip</v>
      </c>
    </row>
    <row r="12434" spans="1:21">
      <c r="A12434">
        <v>12433</v>
      </c>
      <c r="B12434" s="27" t="s">
        <v>1124</v>
      </c>
      <c r="D12434" s="27" t="s">
        <v>1859</v>
      </c>
      <c r="F12434" s="27" t="s">
        <v>1881</v>
      </c>
      <c r="H12434" s="27" t="s">
        <v>2679</v>
      </c>
      <c r="J12434" s="27" t="s">
        <v>3210</v>
      </c>
      <c r="L12434" s="27" t="s">
        <v>3262</v>
      </c>
      <c r="N12434" s="27" t="s">
        <v>15846</v>
      </c>
      <c r="P12434" s="27" t="s">
        <v>16262</v>
      </c>
      <c r="Q12434" s="26" t="str">
        <f>HYPERLINK("https://ictv.global/taxonomy/taxondetails?taxnode_id=202517375&amp;ictv_id=ICTV202317375","ICTV202317375")</f>
        <v>ICTV202317375</v>
      </c>
      <c r="R12434" t="s">
        <v>581</v>
      </c>
      <c r="S12434" t="s">
        <v>823</v>
      </c>
      <c r="T12434">
        <v>39</v>
      </c>
      <c r="U12434" s="26" t="str">
        <f t="shared" si="454"/>
        <v>2023.001B.Leviviricetes_reorg.zip</v>
      </c>
    </row>
    <row r="12435" spans="1:21">
      <c r="A12435">
        <v>12434</v>
      </c>
      <c r="B12435" s="27" t="s">
        <v>1124</v>
      </c>
      <c r="D12435" s="27" t="s">
        <v>1859</v>
      </c>
      <c r="F12435" s="27" t="s">
        <v>1881</v>
      </c>
      <c r="H12435" s="27" t="s">
        <v>2679</v>
      </c>
      <c r="J12435" s="27" t="s">
        <v>3210</v>
      </c>
      <c r="L12435" s="27" t="s">
        <v>3262</v>
      </c>
      <c r="N12435" s="27" t="s">
        <v>15846</v>
      </c>
      <c r="P12435" s="27" t="s">
        <v>16263</v>
      </c>
      <c r="Q12435" s="26" t="str">
        <f>HYPERLINK("https://ictv.global/taxonomy/taxondetails?taxnode_id=202517376&amp;ictv_id=ICTV202317376","ICTV202317376")</f>
        <v>ICTV202317376</v>
      </c>
      <c r="R12435" t="s">
        <v>581</v>
      </c>
      <c r="S12435" t="s">
        <v>823</v>
      </c>
      <c r="T12435">
        <v>39</v>
      </c>
      <c r="U12435" s="26" t="str">
        <f t="shared" si="454"/>
        <v>2023.001B.Leviviricetes_reorg.zip</v>
      </c>
    </row>
    <row r="12436" spans="1:21">
      <c r="A12436">
        <v>12435</v>
      </c>
      <c r="B12436" s="27" t="s">
        <v>1124</v>
      </c>
      <c r="D12436" s="27" t="s">
        <v>1859</v>
      </c>
      <c r="F12436" s="27" t="s">
        <v>1881</v>
      </c>
      <c r="H12436" s="27" t="s">
        <v>2679</v>
      </c>
      <c r="J12436" s="27" t="s">
        <v>3210</v>
      </c>
      <c r="L12436" s="27" t="s">
        <v>3262</v>
      </c>
      <c r="N12436" s="27" t="s">
        <v>15846</v>
      </c>
      <c r="P12436" s="27" t="s">
        <v>16264</v>
      </c>
      <c r="Q12436" s="26" t="str">
        <f>HYPERLINK("https://ictv.global/taxonomy/taxondetails?taxnode_id=202517377&amp;ictv_id=ICTV202317377","ICTV202317377")</f>
        <v>ICTV202317377</v>
      </c>
      <c r="R12436" t="s">
        <v>581</v>
      </c>
      <c r="S12436" t="s">
        <v>823</v>
      </c>
      <c r="T12436">
        <v>39</v>
      </c>
      <c r="U12436" s="26" t="str">
        <f t="shared" si="454"/>
        <v>2023.001B.Leviviricetes_reorg.zip</v>
      </c>
    </row>
    <row r="12437" spans="1:21">
      <c r="A12437">
        <v>12436</v>
      </c>
      <c r="B12437" s="27" t="s">
        <v>1124</v>
      </c>
      <c r="D12437" s="27" t="s">
        <v>1859</v>
      </c>
      <c r="F12437" s="27" t="s">
        <v>1881</v>
      </c>
      <c r="H12437" s="27" t="s">
        <v>2679</v>
      </c>
      <c r="J12437" s="27" t="s">
        <v>3210</v>
      </c>
      <c r="L12437" s="27" t="s">
        <v>3262</v>
      </c>
      <c r="N12437" s="27" t="s">
        <v>15846</v>
      </c>
      <c r="P12437" s="27" t="s">
        <v>16265</v>
      </c>
      <c r="Q12437" s="26" t="str">
        <f>HYPERLINK("https://ictv.global/taxonomy/taxondetails?taxnode_id=202517378&amp;ictv_id=ICTV202317378","ICTV202317378")</f>
        <v>ICTV202317378</v>
      </c>
      <c r="R12437" t="s">
        <v>581</v>
      </c>
      <c r="S12437" t="s">
        <v>823</v>
      </c>
      <c r="T12437">
        <v>39</v>
      </c>
      <c r="U12437" s="26" t="str">
        <f t="shared" si="454"/>
        <v>2023.001B.Leviviricetes_reorg.zip</v>
      </c>
    </row>
    <row r="12438" spans="1:21">
      <c r="A12438">
        <v>12437</v>
      </c>
      <c r="B12438" s="27" t="s">
        <v>1124</v>
      </c>
      <c r="D12438" s="27" t="s">
        <v>1859</v>
      </c>
      <c r="F12438" s="27" t="s">
        <v>1881</v>
      </c>
      <c r="H12438" s="27" t="s">
        <v>2679</v>
      </c>
      <c r="J12438" s="27" t="s">
        <v>3210</v>
      </c>
      <c r="L12438" s="27" t="s">
        <v>3262</v>
      </c>
      <c r="N12438" s="27" t="s">
        <v>15846</v>
      </c>
      <c r="P12438" s="27" t="s">
        <v>16266</v>
      </c>
      <c r="Q12438" s="26" t="str">
        <f>HYPERLINK("https://ictv.global/taxonomy/taxondetails?taxnode_id=202517379&amp;ictv_id=ICTV202317379","ICTV202317379")</f>
        <v>ICTV202317379</v>
      </c>
      <c r="R12438" t="s">
        <v>581</v>
      </c>
      <c r="S12438" t="s">
        <v>823</v>
      </c>
      <c r="T12438">
        <v>39</v>
      </c>
      <c r="U12438" s="26" t="str">
        <f t="shared" si="454"/>
        <v>2023.001B.Leviviricetes_reorg.zip</v>
      </c>
    </row>
    <row r="12439" spans="1:21">
      <c r="A12439">
        <v>12438</v>
      </c>
      <c r="B12439" s="27" t="s">
        <v>1124</v>
      </c>
      <c r="D12439" s="27" t="s">
        <v>1859</v>
      </c>
      <c r="F12439" s="27" t="s">
        <v>1881</v>
      </c>
      <c r="H12439" s="27" t="s">
        <v>2679</v>
      </c>
      <c r="J12439" s="27" t="s">
        <v>3210</v>
      </c>
      <c r="L12439" s="27" t="s">
        <v>3262</v>
      </c>
      <c r="N12439" s="27" t="s">
        <v>15846</v>
      </c>
      <c r="P12439" s="27" t="s">
        <v>16267</v>
      </c>
      <c r="Q12439" s="26" t="str">
        <f>HYPERLINK("https://ictv.global/taxonomy/taxondetails?taxnode_id=202517380&amp;ictv_id=ICTV202317380","ICTV202317380")</f>
        <v>ICTV202317380</v>
      </c>
      <c r="R12439" t="s">
        <v>581</v>
      </c>
      <c r="S12439" t="s">
        <v>823</v>
      </c>
      <c r="T12439">
        <v>39</v>
      </c>
      <c r="U12439" s="26" t="str">
        <f t="shared" si="454"/>
        <v>2023.001B.Leviviricetes_reorg.zip</v>
      </c>
    </row>
    <row r="12440" spans="1:21">
      <c r="A12440">
        <v>12439</v>
      </c>
      <c r="B12440" s="27" t="s">
        <v>1124</v>
      </c>
      <c r="D12440" s="27" t="s">
        <v>1859</v>
      </c>
      <c r="F12440" s="27" t="s">
        <v>1881</v>
      </c>
      <c r="H12440" s="27" t="s">
        <v>2679</v>
      </c>
      <c r="J12440" s="27" t="s">
        <v>3210</v>
      </c>
      <c r="L12440" s="27" t="s">
        <v>3262</v>
      </c>
      <c r="N12440" s="27" t="s">
        <v>15846</v>
      </c>
      <c r="P12440" s="27" t="s">
        <v>16268</v>
      </c>
      <c r="Q12440" s="26" t="str">
        <f>HYPERLINK("https://ictv.global/taxonomy/taxondetails?taxnode_id=202517381&amp;ictv_id=ICTV202317381","ICTV202317381")</f>
        <v>ICTV202317381</v>
      </c>
      <c r="R12440" t="s">
        <v>581</v>
      </c>
      <c r="S12440" t="s">
        <v>823</v>
      </c>
      <c r="T12440">
        <v>39</v>
      </c>
      <c r="U12440" s="26" t="str">
        <f t="shared" si="454"/>
        <v>2023.001B.Leviviricetes_reorg.zip</v>
      </c>
    </row>
    <row r="12441" spans="1:21">
      <c r="A12441">
        <v>12440</v>
      </c>
      <c r="B12441" s="27" t="s">
        <v>1124</v>
      </c>
      <c r="D12441" s="27" t="s">
        <v>1859</v>
      </c>
      <c r="F12441" s="27" t="s">
        <v>1881</v>
      </c>
      <c r="H12441" s="27" t="s">
        <v>2679</v>
      </c>
      <c r="J12441" s="27" t="s">
        <v>3210</v>
      </c>
      <c r="L12441" s="27" t="s">
        <v>3262</v>
      </c>
      <c r="N12441" s="27" t="s">
        <v>15846</v>
      </c>
      <c r="P12441" s="27" t="s">
        <v>16269</v>
      </c>
      <c r="Q12441" s="26" t="str">
        <f>HYPERLINK("https://ictv.global/taxonomy/taxondetails?taxnode_id=202517382&amp;ictv_id=ICTV202317382","ICTV202317382")</f>
        <v>ICTV202317382</v>
      </c>
      <c r="R12441" t="s">
        <v>581</v>
      </c>
      <c r="S12441" t="s">
        <v>823</v>
      </c>
      <c r="T12441">
        <v>39</v>
      </c>
      <c r="U12441" s="26" t="str">
        <f t="shared" si="454"/>
        <v>2023.001B.Leviviricetes_reorg.zip</v>
      </c>
    </row>
    <row r="12442" spans="1:21">
      <c r="A12442">
        <v>12441</v>
      </c>
      <c r="B12442" s="27" t="s">
        <v>1124</v>
      </c>
      <c r="D12442" s="27" t="s">
        <v>1859</v>
      </c>
      <c r="F12442" s="27" t="s">
        <v>1881</v>
      </c>
      <c r="H12442" s="27" t="s">
        <v>2679</v>
      </c>
      <c r="J12442" s="27" t="s">
        <v>3210</v>
      </c>
      <c r="L12442" s="27" t="s">
        <v>3262</v>
      </c>
      <c r="N12442" s="27" t="s">
        <v>15846</v>
      </c>
      <c r="P12442" s="27" t="s">
        <v>16270</v>
      </c>
      <c r="Q12442" s="26" t="str">
        <f>HYPERLINK("https://ictv.global/taxonomy/taxondetails?taxnode_id=202517383&amp;ictv_id=ICTV202317383","ICTV202317383")</f>
        <v>ICTV202317383</v>
      </c>
      <c r="R12442" t="s">
        <v>581</v>
      </c>
      <c r="S12442" t="s">
        <v>823</v>
      </c>
      <c r="T12442">
        <v>39</v>
      </c>
      <c r="U12442" s="26" t="str">
        <f t="shared" si="454"/>
        <v>2023.001B.Leviviricetes_reorg.zip</v>
      </c>
    </row>
    <row r="12443" spans="1:21">
      <c r="A12443">
        <v>12442</v>
      </c>
      <c r="B12443" s="27" t="s">
        <v>1124</v>
      </c>
      <c r="D12443" s="27" t="s">
        <v>1859</v>
      </c>
      <c r="F12443" s="27" t="s">
        <v>1881</v>
      </c>
      <c r="H12443" s="27" t="s">
        <v>2679</v>
      </c>
      <c r="J12443" s="27" t="s">
        <v>3210</v>
      </c>
      <c r="L12443" s="27" t="s">
        <v>3262</v>
      </c>
      <c r="N12443" s="27" t="s">
        <v>15846</v>
      </c>
      <c r="P12443" s="27" t="s">
        <v>16271</v>
      </c>
      <c r="Q12443" s="26" t="str">
        <f>HYPERLINK("https://ictv.global/taxonomy/taxondetails?taxnode_id=202517384&amp;ictv_id=ICTV202317384","ICTV202317384")</f>
        <v>ICTV202317384</v>
      </c>
      <c r="R12443" t="s">
        <v>581</v>
      </c>
      <c r="S12443" t="s">
        <v>823</v>
      </c>
      <c r="T12443">
        <v>39</v>
      </c>
      <c r="U12443" s="26" t="str">
        <f t="shared" si="454"/>
        <v>2023.001B.Leviviricetes_reorg.zip</v>
      </c>
    </row>
    <row r="12444" spans="1:21">
      <c r="A12444">
        <v>12443</v>
      </c>
      <c r="B12444" s="27" t="s">
        <v>1124</v>
      </c>
      <c r="D12444" s="27" t="s">
        <v>1859</v>
      </c>
      <c r="F12444" s="27" t="s">
        <v>1881</v>
      </c>
      <c r="H12444" s="27" t="s">
        <v>2679</v>
      </c>
      <c r="J12444" s="27" t="s">
        <v>3210</v>
      </c>
      <c r="L12444" s="27" t="s">
        <v>3262</v>
      </c>
      <c r="N12444" s="27" t="s">
        <v>15846</v>
      </c>
      <c r="P12444" s="27" t="s">
        <v>16272</v>
      </c>
      <c r="Q12444" s="26" t="str">
        <f>HYPERLINK("https://ictv.global/taxonomy/taxondetails?taxnode_id=202517385&amp;ictv_id=ICTV202317385","ICTV202317385")</f>
        <v>ICTV202317385</v>
      </c>
      <c r="R12444" t="s">
        <v>581</v>
      </c>
      <c r="S12444" t="s">
        <v>823</v>
      </c>
      <c r="T12444">
        <v>39</v>
      </c>
      <c r="U12444" s="26" t="str">
        <f t="shared" si="454"/>
        <v>2023.001B.Leviviricetes_reorg.zip</v>
      </c>
    </row>
    <row r="12445" spans="1:21">
      <c r="A12445">
        <v>12444</v>
      </c>
      <c r="B12445" s="27" t="s">
        <v>1124</v>
      </c>
      <c r="D12445" s="27" t="s">
        <v>1859</v>
      </c>
      <c r="F12445" s="27" t="s">
        <v>1881</v>
      </c>
      <c r="H12445" s="27" t="s">
        <v>2679</v>
      </c>
      <c r="J12445" s="27" t="s">
        <v>3210</v>
      </c>
      <c r="L12445" s="27" t="s">
        <v>3262</v>
      </c>
      <c r="N12445" s="27" t="s">
        <v>15846</v>
      </c>
      <c r="P12445" s="27" t="s">
        <v>16273</v>
      </c>
      <c r="Q12445" s="26" t="str">
        <f>HYPERLINK("https://ictv.global/taxonomy/taxondetails?taxnode_id=202517386&amp;ictv_id=ICTV202317386","ICTV202317386")</f>
        <v>ICTV202317386</v>
      </c>
      <c r="R12445" t="s">
        <v>581</v>
      </c>
      <c r="S12445" t="s">
        <v>823</v>
      </c>
      <c r="T12445">
        <v>39</v>
      </c>
      <c r="U12445" s="26" t="str">
        <f t="shared" si="454"/>
        <v>2023.001B.Leviviricetes_reorg.zip</v>
      </c>
    </row>
    <row r="12446" spans="1:21">
      <c r="A12446">
        <v>12445</v>
      </c>
      <c r="B12446" s="27" t="s">
        <v>1124</v>
      </c>
      <c r="D12446" s="27" t="s">
        <v>1859</v>
      </c>
      <c r="F12446" s="27" t="s">
        <v>1881</v>
      </c>
      <c r="H12446" s="27" t="s">
        <v>2679</v>
      </c>
      <c r="J12446" s="27" t="s">
        <v>3210</v>
      </c>
      <c r="L12446" s="27" t="s">
        <v>3262</v>
      </c>
      <c r="N12446" s="27" t="s">
        <v>15846</v>
      </c>
      <c r="P12446" s="27" t="s">
        <v>16274</v>
      </c>
      <c r="Q12446" s="26" t="str">
        <f>HYPERLINK("https://ictv.global/taxonomy/taxondetails?taxnode_id=202517387&amp;ictv_id=ICTV202317387","ICTV202317387")</f>
        <v>ICTV202317387</v>
      </c>
      <c r="R12446" t="s">
        <v>581</v>
      </c>
      <c r="S12446" t="s">
        <v>823</v>
      </c>
      <c r="T12446">
        <v>39</v>
      </c>
      <c r="U12446" s="26" t="str">
        <f t="shared" si="454"/>
        <v>2023.001B.Leviviricetes_reorg.zip</v>
      </c>
    </row>
    <row r="12447" spans="1:21">
      <c r="A12447">
        <v>12446</v>
      </c>
      <c r="B12447" s="27" t="s">
        <v>1124</v>
      </c>
      <c r="D12447" s="27" t="s">
        <v>1859</v>
      </c>
      <c r="F12447" s="27" t="s">
        <v>1881</v>
      </c>
      <c r="H12447" s="27" t="s">
        <v>2679</v>
      </c>
      <c r="J12447" s="27" t="s">
        <v>3210</v>
      </c>
      <c r="L12447" s="27" t="s">
        <v>3262</v>
      </c>
      <c r="N12447" s="27" t="s">
        <v>15846</v>
      </c>
      <c r="P12447" s="27" t="s">
        <v>16275</v>
      </c>
      <c r="Q12447" s="26" t="str">
        <f>HYPERLINK("https://ictv.global/taxonomy/taxondetails?taxnode_id=202517388&amp;ictv_id=ICTV202317388","ICTV202317388")</f>
        <v>ICTV202317388</v>
      </c>
      <c r="R12447" t="s">
        <v>581</v>
      </c>
      <c r="S12447" t="s">
        <v>823</v>
      </c>
      <c r="T12447">
        <v>39</v>
      </c>
      <c r="U12447" s="26" t="str">
        <f t="shared" si="454"/>
        <v>2023.001B.Leviviricetes_reorg.zip</v>
      </c>
    </row>
    <row r="12448" spans="1:21">
      <c r="A12448">
        <v>12447</v>
      </c>
      <c r="B12448" s="27" t="s">
        <v>1124</v>
      </c>
      <c r="D12448" s="27" t="s">
        <v>1859</v>
      </c>
      <c r="F12448" s="27" t="s">
        <v>1881</v>
      </c>
      <c r="H12448" s="27" t="s">
        <v>2679</v>
      </c>
      <c r="J12448" s="27" t="s">
        <v>3210</v>
      </c>
      <c r="L12448" s="27" t="s">
        <v>3262</v>
      </c>
      <c r="N12448" s="27" t="s">
        <v>15846</v>
      </c>
      <c r="P12448" s="27" t="s">
        <v>16276</v>
      </c>
      <c r="Q12448" s="26" t="str">
        <f>HYPERLINK("https://ictv.global/taxonomy/taxondetails?taxnode_id=202517389&amp;ictv_id=ICTV202317389","ICTV202317389")</f>
        <v>ICTV202317389</v>
      </c>
      <c r="R12448" t="s">
        <v>581</v>
      </c>
      <c r="S12448" t="s">
        <v>823</v>
      </c>
      <c r="T12448">
        <v>39</v>
      </c>
      <c r="U12448" s="26" t="str">
        <f t="shared" si="454"/>
        <v>2023.001B.Leviviricetes_reorg.zip</v>
      </c>
    </row>
    <row r="12449" spans="1:21">
      <c r="A12449">
        <v>12448</v>
      </c>
      <c r="B12449" s="27" t="s">
        <v>1124</v>
      </c>
      <c r="D12449" s="27" t="s">
        <v>1859</v>
      </c>
      <c r="F12449" s="27" t="s">
        <v>1881</v>
      </c>
      <c r="H12449" s="27" t="s">
        <v>2679</v>
      </c>
      <c r="J12449" s="27" t="s">
        <v>3210</v>
      </c>
      <c r="L12449" s="27" t="s">
        <v>3262</v>
      </c>
      <c r="N12449" s="27" t="s">
        <v>15846</v>
      </c>
      <c r="P12449" s="27" t="s">
        <v>16277</v>
      </c>
      <c r="Q12449" s="26" t="str">
        <f>HYPERLINK("https://ictv.global/taxonomy/taxondetails?taxnode_id=202517390&amp;ictv_id=ICTV202317390","ICTV202317390")</f>
        <v>ICTV202317390</v>
      </c>
      <c r="R12449" t="s">
        <v>581</v>
      </c>
      <c r="S12449" t="s">
        <v>823</v>
      </c>
      <c r="T12449">
        <v>39</v>
      </c>
      <c r="U12449" s="26" t="str">
        <f t="shared" si="454"/>
        <v>2023.001B.Leviviricetes_reorg.zip</v>
      </c>
    </row>
    <row r="12450" spans="1:21">
      <c r="A12450">
        <v>12449</v>
      </c>
      <c r="B12450" s="27" t="s">
        <v>1124</v>
      </c>
      <c r="D12450" s="27" t="s">
        <v>1859</v>
      </c>
      <c r="F12450" s="27" t="s">
        <v>1881</v>
      </c>
      <c r="H12450" s="27" t="s">
        <v>2679</v>
      </c>
      <c r="J12450" s="27" t="s">
        <v>3210</v>
      </c>
      <c r="L12450" s="27" t="s">
        <v>3262</v>
      </c>
      <c r="N12450" s="27" t="s">
        <v>15846</v>
      </c>
      <c r="P12450" s="27" t="s">
        <v>16278</v>
      </c>
      <c r="Q12450" s="26" t="str">
        <f>HYPERLINK("https://ictv.global/taxonomy/taxondetails?taxnode_id=202517391&amp;ictv_id=ICTV202317391","ICTV202317391")</f>
        <v>ICTV202317391</v>
      </c>
      <c r="R12450" t="s">
        <v>581</v>
      </c>
      <c r="S12450" t="s">
        <v>823</v>
      </c>
      <c r="T12450">
        <v>39</v>
      </c>
      <c r="U12450" s="26" t="str">
        <f t="shared" si="454"/>
        <v>2023.001B.Leviviricetes_reorg.zip</v>
      </c>
    </row>
    <row r="12451" spans="1:21">
      <c r="A12451">
        <v>12450</v>
      </c>
      <c r="B12451" s="27" t="s">
        <v>1124</v>
      </c>
      <c r="D12451" s="27" t="s">
        <v>1859</v>
      </c>
      <c r="F12451" s="27" t="s">
        <v>1881</v>
      </c>
      <c r="H12451" s="27" t="s">
        <v>2679</v>
      </c>
      <c r="J12451" s="27" t="s">
        <v>3210</v>
      </c>
      <c r="L12451" s="27" t="s">
        <v>3262</v>
      </c>
      <c r="N12451" s="27" t="s">
        <v>15846</v>
      </c>
      <c r="P12451" s="27" t="s">
        <v>16279</v>
      </c>
      <c r="Q12451" s="26" t="str">
        <f>HYPERLINK("https://ictv.global/taxonomy/taxondetails?taxnode_id=202517392&amp;ictv_id=ICTV202317392","ICTV202317392")</f>
        <v>ICTV202317392</v>
      </c>
      <c r="R12451" t="s">
        <v>581</v>
      </c>
      <c r="S12451" t="s">
        <v>823</v>
      </c>
      <c r="T12451">
        <v>39</v>
      </c>
      <c r="U12451" s="26" t="str">
        <f t="shared" si="454"/>
        <v>2023.001B.Leviviricetes_reorg.zip</v>
      </c>
    </row>
    <row r="12452" spans="1:21">
      <c r="A12452">
        <v>12451</v>
      </c>
      <c r="B12452" s="27" t="s">
        <v>1124</v>
      </c>
      <c r="D12452" s="27" t="s">
        <v>1859</v>
      </c>
      <c r="F12452" s="27" t="s">
        <v>1881</v>
      </c>
      <c r="H12452" s="27" t="s">
        <v>2679</v>
      </c>
      <c r="J12452" s="27" t="s">
        <v>3210</v>
      </c>
      <c r="L12452" s="27" t="s">
        <v>3262</v>
      </c>
      <c r="N12452" s="27" t="s">
        <v>15846</v>
      </c>
      <c r="P12452" s="27" t="s">
        <v>16280</v>
      </c>
      <c r="Q12452" s="26" t="str">
        <f>HYPERLINK("https://ictv.global/taxonomy/taxondetails?taxnode_id=202517393&amp;ictv_id=ICTV202317393","ICTV202317393")</f>
        <v>ICTV202317393</v>
      </c>
      <c r="R12452" t="s">
        <v>581</v>
      </c>
      <c r="S12452" t="s">
        <v>823</v>
      </c>
      <c r="T12452">
        <v>39</v>
      </c>
      <c r="U12452" s="26" t="str">
        <f t="shared" si="454"/>
        <v>2023.001B.Leviviricetes_reorg.zip</v>
      </c>
    </row>
    <row r="12453" spans="1:21">
      <c r="A12453">
        <v>12452</v>
      </c>
      <c r="B12453" s="27" t="s">
        <v>1124</v>
      </c>
      <c r="D12453" s="27" t="s">
        <v>1859</v>
      </c>
      <c r="F12453" s="27" t="s">
        <v>1881</v>
      </c>
      <c r="H12453" s="27" t="s">
        <v>2679</v>
      </c>
      <c r="J12453" s="27" t="s">
        <v>3210</v>
      </c>
      <c r="L12453" s="27" t="s">
        <v>3262</v>
      </c>
      <c r="N12453" s="27" t="s">
        <v>15846</v>
      </c>
      <c r="P12453" s="27" t="s">
        <v>16281</v>
      </c>
      <c r="Q12453" s="26" t="str">
        <f>HYPERLINK("https://ictv.global/taxonomy/taxondetails?taxnode_id=202517394&amp;ictv_id=ICTV202317394","ICTV202317394")</f>
        <v>ICTV202317394</v>
      </c>
      <c r="R12453" t="s">
        <v>581</v>
      </c>
      <c r="S12453" t="s">
        <v>823</v>
      </c>
      <c r="T12453">
        <v>39</v>
      </c>
      <c r="U12453" s="26" t="str">
        <f t="shared" si="454"/>
        <v>2023.001B.Leviviricetes_reorg.zip</v>
      </c>
    </row>
    <row r="12454" spans="1:21">
      <c r="A12454">
        <v>12453</v>
      </c>
      <c r="B12454" s="27" t="s">
        <v>1124</v>
      </c>
      <c r="D12454" s="27" t="s">
        <v>1859</v>
      </c>
      <c r="F12454" s="27" t="s">
        <v>1881</v>
      </c>
      <c r="H12454" s="27" t="s">
        <v>2679</v>
      </c>
      <c r="J12454" s="27" t="s">
        <v>3210</v>
      </c>
      <c r="L12454" s="27" t="s">
        <v>3262</v>
      </c>
      <c r="N12454" s="27" t="s">
        <v>15846</v>
      </c>
      <c r="P12454" s="27" t="s">
        <v>16282</v>
      </c>
      <c r="Q12454" s="26" t="str">
        <f>HYPERLINK("https://ictv.global/taxonomy/taxondetails?taxnode_id=202517395&amp;ictv_id=ICTV202317395","ICTV202317395")</f>
        <v>ICTV202317395</v>
      </c>
      <c r="R12454" t="s">
        <v>581</v>
      </c>
      <c r="S12454" t="s">
        <v>823</v>
      </c>
      <c r="T12454">
        <v>39</v>
      </c>
      <c r="U12454" s="26" t="str">
        <f t="shared" si="454"/>
        <v>2023.001B.Leviviricetes_reorg.zip</v>
      </c>
    </row>
    <row r="12455" spans="1:21">
      <c r="A12455">
        <v>12454</v>
      </c>
      <c r="B12455" s="27" t="s">
        <v>1124</v>
      </c>
      <c r="D12455" s="27" t="s">
        <v>1859</v>
      </c>
      <c r="F12455" s="27" t="s">
        <v>1881</v>
      </c>
      <c r="H12455" s="27" t="s">
        <v>2679</v>
      </c>
      <c r="J12455" s="27" t="s">
        <v>3210</v>
      </c>
      <c r="L12455" s="27" t="s">
        <v>3262</v>
      </c>
      <c r="N12455" s="27" t="s">
        <v>15846</v>
      </c>
      <c r="P12455" s="27" t="s">
        <v>16283</v>
      </c>
      <c r="Q12455" s="26" t="str">
        <f>HYPERLINK("https://ictv.global/taxonomy/taxondetails?taxnode_id=202517396&amp;ictv_id=ICTV202317396","ICTV202317396")</f>
        <v>ICTV202317396</v>
      </c>
      <c r="R12455" t="s">
        <v>581</v>
      </c>
      <c r="S12455" t="s">
        <v>823</v>
      </c>
      <c r="T12455">
        <v>39</v>
      </c>
      <c r="U12455" s="26" t="str">
        <f t="shared" si="454"/>
        <v>2023.001B.Leviviricetes_reorg.zip</v>
      </c>
    </row>
    <row r="12456" spans="1:21">
      <c r="A12456">
        <v>12455</v>
      </c>
      <c r="B12456" s="27" t="s">
        <v>1124</v>
      </c>
      <c r="D12456" s="27" t="s">
        <v>1859</v>
      </c>
      <c r="F12456" s="27" t="s">
        <v>1881</v>
      </c>
      <c r="H12456" s="27" t="s">
        <v>2679</v>
      </c>
      <c r="J12456" s="27" t="s">
        <v>3210</v>
      </c>
      <c r="L12456" s="27" t="s">
        <v>3262</v>
      </c>
      <c r="N12456" s="27" t="s">
        <v>15846</v>
      </c>
      <c r="P12456" s="27" t="s">
        <v>16284</v>
      </c>
      <c r="Q12456" s="26" t="str">
        <f>HYPERLINK("https://ictv.global/taxonomy/taxondetails?taxnode_id=202517397&amp;ictv_id=ICTV202317397","ICTV202317397")</f>
        <v>ICTV202317397</v>
      </c>
      <c r="R12456" t="s">
        <v>581</v>
      </c>
      <c r="S12456" t="s">
        <v>823</v>
      </c>
      <c r="T12456">
        <v>39</v>
      </c>
      <c r="U12456" s="26" t="str">
        <f t="shared" si="454"/>
        <v>2023.001B.Leviviricetes_reorg.zip</v>
      </c>
    </row>
    <row r="12457" spans="1:21">
      <c r="A12457">
        <v>12456</v>
      </c>
      <c r="B12457" s="27" t="s">
        <v>1124</v>
      </c>
      <c r="D12457" s="27" t="s">
        <v>1859</v>
      </c>
      <c r="F12457" s="27" t="s">
        <v>1881</v>
      </c>
      <c r="H12457" s="27" t="s">
        <v>2679</v>
      </c>
      <c r="J12457" s="27" t="s">
        <v>3210</v>
      </c>
      <c r="L12457" s="27" t="s">
        <v>3262</v>
      </c>
      <c r="N12457" s="27" t="s">
        <v>15846</v>
      </c>
      <c r="P12457" s="27" t="s">
        <v>16285</v>
      </c>
      <c r="Q12457" s="26" t="str">
        <f>HYPERLINK("https://ictv.global/taxonomy/taxondetails?taxnode_id=202517398&amp;ictv_id=ICTV202317398","ICTV202317398")</f>
        <v>ICTV202317398</v>
      </c>
      <c r="R12457" t="s">
        <v>581</v>
      </c>
      <c r="S12457" t="s">
        <v>823</v>
      </c>
      <c r="T12457">
        <v>39</v>
      </c>
      <c r="U12457" s="26" t="str">
        <f t="shared" si="454"/>
        <v>2023.001B.Leviviricetes_reorg.zip</v>
      </c>
    </row>
    <row r="12458" spans="1:21">
      <c r="A12458">
        <v>12457</v>
      </c>
      <c r="B12458" s="27" t="s">
        <v>1124</v>
      </c>
      <c r="D12458" s="27" t="s">
        <v>1859</v>
      </c>
      <c r="F12458" s="27" t="s">
        <v>1881</v>
      </c>
      <c r="H12458" s="27" t="s">
        <v>2679</v>
      </c>
      <c r="J12458" s="27" t="s">
        <v>3210</v>
      </c>
      <c r="L12458" s="27" t="s">
        <v>3262</v>
      </c>
      <c r="N12458" s="27" t="s">
        <v>15846</v>
      </c>
      <c r="P12458" s="27" t="s">
        <v>16286</v>
      </c>
      <c r="Q12458" s="26" t="str">
        <f>HYPERLINK("https://ictv.global/taxonomy/taxondetails?taxnode_id=202517399&amp;ictv_id=ICTV202317399","ICTV202317399")</f>
        <v>ICTV202317399</v>
      </c>
      <c r="R12458" t="s">
        <v>581</v>
      </c>
      <c r="S12458" t="s">
        <v>823</v>
      </c>
      <c r="T12458">
        <v>39</v>
      </c>
      <c r="U12458" s="26" t="str">
        <f t="shared" si="454"/>
        <v>2023.001B.Leviviricetes_reorg.zip</v>
      </c>
    </row>
    <row r="12459" spans="1:21">
      <c r="A12459">
        <v>12458</v>
      </c>
      <c r="B12459" s="27" t="s">
        <v>1124</v>
      </c>
      <c r="D12459" s="27" t="s">
        <v>1859</v>
      </c>
      <c r="F12459" s="27" t="s">
        <v>1881</v>
      </c>
      <c r="H12459" s="27" t="s">
        <v>2679</v>
      </c>
      <c r="J12459" s="27" t="s">
        <v>3210</v>
      </c>
      <c r="L12459" s="27" t="s">
        <v>3262</v>
      </c>
      <c r="N12459" s="27" t="s">
        <v>15846</v>
      </c>
      <c r="P12459" s="27" t="s">
        <v>16287</v>
      </c>
      <c r="Q12459" s="26" t="str">
        <f>HYPERLINK("https://ictv.global/taxonomy/taxondetails?taxnode_id=202517400&amp;ictv_id=ICTV202317400","ICTV202317400")</f>
        <v>ICTV202317400</v>
      </c>
      <c r="R12459" t="s">
        <v>581</v>
      </c>
      <c r="S12459" t="s">
        <v>823</v>
      </c>
      <c r="T12459">
        <v>39</v>
      </c>
      <c r="U12459" s="26" t="str">
        <f t="shared" si="454"/>
        <v>2023.001B.Leviviricetes_reorg.zip</v>
      </c>
    </row>
    <row r="12460" spans="1:21">
      <c r="A12460">
        <v>12459</v>
      </c>
      <c r="B12460" s="27" t="s">
        <v>1124</v>
      </c>
      <c r="D12460" s="27" t="s">
        <v>1859</v>
      </c>
      <c r="F12460" s="27" t="s">
        <v>1881</v>
      </c>
      <c r="H12460" s="27" t="s">
        <v>2679</v>
      </c>
      <c r="J12460" s="27" t="s">
        <v>3210</v>
      </c>
      <c r="L12460" s="27" t="s">
        <v>3262</v>
      </c>
      <c r="N12460" s="27" t="s">
        <v>15846</v>
      </c>
      <c r="P12460" s="27" t="s">
        <v>16288</v>
      </c>
      <c r="Q12460" s="26" t="str">
        <f>HYPERLINK("https://ictv.global/taxonomy/taxondetails?taxnode_id=202517401&amp;ictv_id=ICTV202317401","ICTV202317401")</f>
        <v>ICTV202317401</v>
      </c>
      <c r="R12460" t="s">
        <v>581</v>
      </c>
      <c r="S12460" t="s">
        <v>823</v>
      </c>
      <c r="T12460">
        <v>39</v>
      </c>
      <c r="U12460" s="26" t="str">
        <f t="shared" si="454"/>
        <v>2023.001B.Leviviricetes_reorg.zip</v>
      </c>
    </row>
    <row r="12461" spans="1:21">
      <c r="A12461">
        <v>12460</v>
      </c>
      <c r="B12461" s="27" t="s">
        <v>1124</v>
      </c>
      <c r="D12461" s="27" t="s">
        <v>1859</v>
      </c>
      <c r="F12461" s="27" t="s">
        <v>1881</v>
      </c>
      <c r="H12461" s="27" t="s">
        <v>2679</v>
      </c>
      <c r="J12461" s="27" t="s">
        <v>3210</v>
      </c>
      <c r="L12461" s="27" t="s">
        <v>3262</v>
      </c>
      <c r="N12461" s="27" t="s">
        <v>15846</v>
      </c>
      <c r="P12461" s="27" t="s">
        <v>16289</v>
      </c>
      <c r="Q12461" s="26" t="str">
        <f>HYPERLINK("https://ictv.global/taxonomy/taxondetails?taxnode_id=202517402&amp;ictv_id=ICTV202317402","ICTV202317402")</f>
        <v>ICTV202317402</v>
      </c>
      <c r="R12461" t="s">
        <v>581</v>
      </c>
      <c r="S12461" t="s">
        <v>823</v>
      </c>
      <c r="T12461">
        <v>39</v>
      </c>
      <c r="U12461" s="26" t="str">
        <f t="shared" si="454"/>
        <v>2023.001B.Leviviricetes_reorg.zip</v>
      </c>
    </row>
    <row r="12462" spans="1:21">
      <c r="A12462">
        <v>12461</v>
      </c>
      <c r="B12462" s="27" t="s">
        <v>1124</v>
      </c>
      <c r="D12462" s="27" t="s">
        <v>1859</v>
      </c>
      <c r="F12462" s="27" t="s">
        <v>1881</v>
      </c>
      <c r="H12462" s="27" t="s">
        <v>2679</v>
      </c>
      <c r="J12462" s="27" t="s">
        <v>3210</v>
      </c>
      <c r="L12462" s="27" t="s">
        <v>3262</v>
      </c>
      <c r="N12462" s="27" t="s">
        <v>15846</v>
      </c>
      <c r="P12462" s="27" t="s">
        <v>16290</v>
      </c>
      <c r="Q12462" s="26" t="str">
        <f>HYPERLINK("https://ictv.global/taxonomy/taxondetails?taxnode_id=202517403&amp;ictv_id=ICTV202317403","ICTV202317403")</f>
        <v>ICTV202317403</v>
      </c>
      <c r="R12462" t="s">
        <v>581</v>
      </c>
      <c r="S12462" t="s">
        <v>823</v>
      </c>
      <c r="T12462">
        <v>39</v>
      </c>
      <c r="U12462" s="26" t="str">
        <f t="shared" si="454"/>
        <v>2023.001B.Leviviricetes_reorg.zip</v>
      </c>
    </row>
    <row r="12463" spans="1:21">
      <c r="A12463">
        <v>12462</v>
      </c>
      <c r="B12463" s="27" t="s">
        <v>1124</v>
      </c>
      <c r="D12463" s="27" t="s">
        <v>1859</v>
      </c>
      <c r="F12463" s="27" t="s">
        <v>1881</v>
      </c>
      <c r="H12463" s="27" t="s">
        <v>2679</v>
      </c>
      <c r="J12463" s="27" t="s">
        <v>3210</v>
      </c>
      <c r="L12463" s="27" t="s">
        <v>3262</v>
      </c>
      <c r="N12463" s="27" t="s">
        <v>15846</v>
      </c>
      <c r="P12463" s="27" t="s">
        <v>16291</v>
      </c>
      <c r="Q12463" s="26" t="str">
        <f>HYPERLINK("https://ictv.global/taxonomy/taxondetails?taxnode_id=202517404&amp;ictv_id=ICTV202317404","ICTV202317404")</f>
        <v>ICTV202317404</v>
      </c>
      <c r="R12463" t="s">
        <v>581</v>
      </c>
      <c r="S12463" t="s">
        <v>823</v>
      </c>
      <c r="T12463">
        <v>39</v>
      </c>
      <c r="U12463" s="26" t="str">
        <f t="shared" si="454"/>
        <v>2023.001B.Leviviricetes_reorg.zip</v>
      </c>
    </row>
    <row r="12464" spans="1:21">
      <c r="A12464">
        <v>12463</v>
      </c>
      <c r="B12464" s="27" t="s">
        <v>1124</v>
      </c>
      <c r="D12464" s="27" t="s">
        <v>1859</v>
      </c>
      <c r="F12464" s="27" t="s">
        <v>1881</v>
      </c>
      <c r="H12464" s="27" t="s">
        <v>2679</v>
      </c>
      <c r="J12464" s="27" t="s">
        <v>3210</v>
      </c>
      <c r="L12464" s="27" t="s">
        <v>3262</v>
      </c>
      <c r="N12464" s="27" t="s">
        <v>15846</v>
      </c>
      <c r="P12464" s="27" t="s">
        <v>16292</v>
      </c>
      <c r="Q12464" s="26" t="str">
        <f>HYPERLINK("https://ictv.global/taxonomy/taxondetails?taxnode_id=202517405&amp;ictv_id=ICTV202317405","ICTV202317405")</f>
        <v>ICTV202317405</v>
      </c>
      <c r="R12464" t="s">
        <v>581</v>
      </c>
      <c r="S12464" t="s">
        <v>823</v>
      </c>
      <c r="T12464">
        <v>39</v>
      </c>
      <c r="U12464" s="26" t="str">
        <f t="shared" si="454"/>
        <v>2023.001B.Leviviricetes_reorg.zip</v>
      </c>
    </row>
    <row r="12465" spans="1:21">
      <c r="A12465">
        <v>12464</v>
      </c>
      <c r="B12465" s="27" t="s">
        <v>1124</v>
      </c>
      <c r="D12465" s="27" t="s">
        <v>1859</v>
      </c>
      <c r="F12465" s="27" t="s">
        <v>1881</v>
      </c>
      <c r="H12465" s="27" t="s">
        <v>2679</v>
      </c>
      <c r="J12465" s="27" t="s">
        <v>3210</v>
      </c>
      <c r="L12465" s="27" t="s">
        <v>3262</v>
      </c>
      <c r="N12465" s="27" t="s">
        <v>15846</v>
      </c>
      <c r="P12465" s="27" t="s">
        <v>16293</v>
      </c>
      <c r="Q12465" s="26" t="str">
        <f>HYPERLINK("https://ictv.global/taxonomy/taxondetails?taxnode_id=202517406&amp;ictv_id=ICTV202317406","ICTV202317406")</f>
        <v>ICTV202317406</v>
      </c>
      <c r="R12465" t="s">
        <v>581</v>
      </c>
      <c r="S12465" t="s">
        <v>823</v>
      </c>
      <c r="T12465">
        <v>39</v>
      </c>
      <c r="U12465" s="26" t="str">
        <f t="shared" si="454"/>
        <v>2023.001B.Leviviricetes_reorg.zip</v>
      </c>
    </row>
    <row r="12466" spans="1:21">
      <c r="A12466">
        <v>12465</v>
      </c>
      <c r="B12466" s="27" t="s">
        <v>1124</v>
      </c>
      <c r="D12466" s="27" t="s">
        <v>1859</v>
      </c>
      <c r="F12466" s="27" t="s">
        <v>1881</v>
      </c>
      <c r="H12466" s="27" t="s">
        <v>2679</v>
      </c>
      <c r="J12466" s="27" t="s">
        <v>3210</v>
      </c>
      <c r="L12466" s="27" t="s">
        <v>3262</v>
      </c>
      <c r="N12466" s="27" t="s">
        <v>15846</v>
      </c>
      <c r="P12466" s="27" t="s">
        <v>16294</v>
      </c>
      <c r="Q12466" s="26" t="str">
        <f>HYPERLINK("https://ictv.global/taxonomy/taxondetails?taxnode_id=202517407&amp;ictv_id=ICTV202317407","ICTV202317407")</f>
        <v>ICTV202317407</v>
      </c>
      <c r="R12466" t="s">
        <v>581</v>
      </c>
      <c r="S12466" t="s">
        <v>823</v>
      </c>
      <c r="T12466">
        <v>39</v>
      </c>
      <c r="U12466" s="26" t="str">
        <f t="shared" si="454"/>
        <v>2023.001B.Leviviricetes_reorg.zip</v>
      </c>
    </row>
    <row r="12467" spans="1:21">
      <c r="A12467">
        <v>12466</v>
      </c>
      <c r="B12467" s="27" t="s">
        <v>1124</v>
      </c>
      <c r="D12467" s="27" t="s">
        <v>1859</v>
      </c>
      <c r="F12467" s="27" t="s">
        <v>1881</v>
      </c>
      <c r="H12467" s="27" t="s">
        <v>2679</v>
      </c>
      <c r="J12467" s="27" t="s">
        <v>3210</v>
      </c>
      <c r="L12467" s="27" t="s">
        <v>3262</v>
      </c>
      <c r="N12467" s="27" t="s">
        <v>15846</v>
      </c>
      <c r="P12467" s="27" t="s">
        <v>16295</v>
      </c>
      <c r="Q12467" s="26" t="str">
        <f>HYPERLINK("https://ictv.global/taxonomy/taxondetails?taxnode_id=202517408&amp;ictv_id=ICTV202317408","ICTV202317408")</f>
        <v>ICTV202317408</v>
      </c>
      <c r="R12467" t="s">
        <v>581</v>
      </c>
      <c r="S12467" t="s">
        <v>823</v>
      </c>
      <c r="T12467">
        <v>39</v>
      </c>
      <c r="U12467" s="26" t="str">
        <f t="shared" si="454"/>
        <v>2023.001B.Leviviricetes_reorg.zip</v>
      </c>
    </row>
    <row r="12468" spans="1:21">
      <c r="A12468">
        <v>12467</v>
      </c>
      <c r="B12468" s="27" t="s">
        <v>1124</v>
      </c>
      <c r="D12468" s="27" t="s">
        <v>1859</v>
      </c>
      <c r="F12468" s="27" t="s">
        <v>1881</v>
      </c>
      <c r="H12468" s="27" t="s">
        <v>2679</v>
      </c>
      <c r="J12468" s="27" t="s">
        <v>3210</v>
      </c>
      <c r="L12468" s="27" t="s">
        <v>3262</v>
      </c>
      <c r="N12468" s="27" t="s">
        <v>15846</v>
      </c>
      <c r="P12468" s="27" t="s">
        <v>16296</v>
      </c>
      <c r="Q12468" s="26" t="str">
        <f>HYPERLINK("https://ictv.global/taxonomy/taxondetails?taxnode_id=202511026&amp;ictv_id=ICTV202011026","ICTV202011026")</f>
        <v>ICTV202011026</v>
      </c>
      <c r="R12468" t="s">
        <v>581</v>
      </c>
      <c r="S12468" t="s">
        <v>22764</v>
      </c>
      <c r="T12468">
        <v>39</v>
      </c>
      <c r="U12468" s="26" t="str">
        <f t="shared" si="454"/>
        <v>2023.001B.Leviviricetes_reorg.zip</v>
      </c>
    </row>
    <row r="12469" spans="1:21">
      <c r="A12469">
        <v>12468</v>
      </c>
      <c r="B12469" s="27" t="s">
        <v>1124</v>
      </c>
      <c r="D12469" s="27" t="s">
        <v>1859</v>
      </c>
      <c r="F12469" s="27" t="s">
        <v>1881</v>
      </c>
      <c r="H12469" s="27" t="s">
        <v>2679</v>
      </c>
      <c r="J12469" s="27" t="s">
        <v>3210</v>
      </c>
      <c r="L12469" s="27" t="s">
        <v>3262</v>
      </c>
      <c r="N12469" s="27" t="s">
        <v>15846</v>
      </c>
      <c r="P12469" s="27" t="s">
        <v>16297</v>
      </c>
      <c r="Q12469" s="26" t="str">
        <f>HYPERLINK("https://ictv.global/taxonomy/taxondetails?taxnode_id=202511028&amp;ictv_id=ICTV202011028","ICTV202011028")</f>
        <v>ICTV202011028</v>
      </c>
      <c r="R12469" t="s">
        <v>581</v>
      </c>
      <c r="S12469" t="s">
        <v>22764</v>
      </c>
      <c r="T12469">
        <v>39</v>
      </c>
      <c r="U12469" s="26" t="str">
        <f t="shared" si="454"/>
        <v>2023.001B.Leviviricetes_reorg.zip</v>
      </c>
    </row>
    <row r="12470" spans="1:21">
      <c r="A12470">
        <v>12469</v>
      </c>
      <c r="B12470" s="27" t="s">
        <v>1124</v>
      </c>
      <c r="D12470" s="27" t="s">
        <v>1859</v>
      </c>
      <c r="F12470" s="27" t="s">
        <v>1881</v>
      </c>
      <c r="H12470" s="27" t="s">
        <v>2679</v>
      </c>
      <c r="J12470" s="27" t="s">
        <v>3210</v>
      </c>
      <c r="L12470" s="27" t="s">
        <v>3262</v>
      </c>
      <c r="N12470" s="27" t="s">
        <v>15846</v>
      </c>
      <c r="P12470" s="27" t="s">
        <v>16298</v>
      </c>
      <c r="Q12470" s="26" t="str">
        <f>HYPERLINK("https://ictv.global/taxonomy/taxondetails?taxnode_id=202511027&amp;ictv_id=ICTV202011027","ICTV202011027")</f>
        <v>ICTV202011027</v>
      </c>
      <c r="R12470" t="s">
        <v>581</v>
      </c>
      <c r="S12470" t="s">
        <v>22764</v>
      </c>
      <c r="T12470">
        <v>39</v>
      </c>
      <c r="U12470" s="26" t="str">
        <f t="shared" si="454"/>
        <v>2023.001B.Leviviricetes_reorg.zip</v>
      </c>
    </row>
    <row r="12471" spans="1:21">
      <c r="A12471">
        <v>12470</v>
      </c>
      <c r="B12471" s="27" t="s">
        <v>1124</v>
      </c>
      <c r="D12471" s="27" t="s">
        <v>1859</v>
      </c>
      <c r="F12471" s="27" t="s">
        <v>1881</v>
      </c>
      <c r="H12471" s="27" t="s">
        <v>2679</v>
      </c>
      <c r="J12471" s="27" t="s">
        <v>3210</v>
      </c>
      <c r="L12471" s="27" t="s">
        <v>3262</v>
      </c>
      <c r="N12471" s="27" t="s">
        <v>15846</v>
      </c>
      <c r="P12471" s="27" t="s">
        <v>16299</v>
      </c>
      <c r="Q12471" s="26" t="str">
        <f>HYPERLINK("https://ictv.global/taxonomy/taxondetails?taxnode_id=202511029&amp;ictv_id=ICTV202011029","ICTV202011029")</f>
        <v>ICTV202011029</v>
      </c>
      <c r="R12471" t="s">
        <v>581</v>
      </c>
      <c r="S12471" t="s">
        <v>22764</v>
      </c>
      <c r="T12471">
        <v>39</v>
      </c>
      <c r="U12471" s="26" t="str">
        <f t="shared" si="454"/>
        <v>2023.001B.Leviviricetes_reorg.zip</v>
      </c>
    </row>
    <row r="12472" spans="1:21">
      <c r="A12472">
        <v>12471</v>
      </c>
      <c r="B12472" s="27" t="s">
        <v>1124</v>
      </c>
      <c r="D12472" s="27" t="s">
        <v>1859</v>
      </c>
      <c r="F12472" s="27" t="s">
        <v>1881</v>
      </c>
      <c r="H12472" s="27" t="s">
        <v>2679</v>
      </c>
      <c r="J12472" s="27" t="s">
        <v>3210</v>
      </c>
      <c r="L12472" s="27" t="s">
        <v>3262</v>
      </c>
      <c r="N12472" s="27" t="s">
        <v>15846</v>
      </c>
      <c r="P12472" s="27" t="s">
        <v>16300</v>
      </c>
      <c r="Q12472" s="26" t="str">
        <f>HYPERLINK("https://ictv.global/taxonomy/taxondetails?taxnode_id=202511030&amp;ictv_id=ICTV202011030","ICTV202011030")</f>
        <v>ICTV202011030</v>
      </c>
      <c r="R12472" t="s">
        <v>581</v>
      </c>
      <c r="S12472" t="s">
        <v>22764</v>
      </c>
      <c r="T12472">
        <v>39</v>
      </c>
      <c r="U12472" s="26" t="str">
        <f t="shared" si="454"/>
        <v>2023.001B.Leviviricetes_reorg.zip</v>
      </c>
    </row>
    <row r="12473" spans="1:21">
      <c r="A12473">
        <v>12472</v>
      </c>
      <c r="B12473" s="27" t="s">
        <v>1124</v>
      </c>
      <c r="D12473" s="27" t="s">
        <v>1859</v>
      </c>
      <c r="F12473" s="27" t="s">
        <v>1881</v>
      </c>
      <c r="H12473" s="27" t="s">
        <v>2679</v>
      </c>
      <c r="J12473" s="27" t="s">
        <v>3210</v>
      </c>
      <c r="L12473" s="27" t="s">
        <v>3262</v>
      </c>
      <c r="N12473" s="27" t="s">
        <v>15846</v>
      </c>
      <c r="P12473" s="27" t="s">
        <v>16301</v>
      </c>
      <c r="Q12473" s="26" t="str">
        <f>HYPERLINK("https://ictv.global/taxonomy/taxondetails?taxnode_id=202511031&amp;ictv_id=ICTV202011031","ICTV202011031")</f>
        <v>ICTV202011031</v>
      </c>
      <c r="R12473" t="s">
        <v>581</v>
      </c>
      <c r="S12473" t="s">
        <v>22764</v>
      </c>
      <c r="T12473">
        <v>39</v>
      </c>
      <c r="U12473" s="26" t="str">
        <f t="shared" si="454"/>
        <v>2023.001B.Leviviricetes_reorg.zip</v>
      </c>
    </row>
    <row r="12474" spans="1:21">
      <c r="A12474">
        <v>12473</v>
      </c>
      <c r="B12474" s="27" t="s">
        <v>1124</v>
      </c>
      <c r="D12474" s="27" t="s">
        <v>1859</v>
      </c>
      <c r="F12474" s="27" t="s">
        <v>1881</v>
      </c>
      <c r="H12474" s="27" t="s">
        <v>2679</v>
      </c>
      <c r="J12474" s="27" t="s">
        <v>3210</v>
      </c>
      <c r="L12474" s="27" t="s">
        <v>3262</v>
      </c>
      <c r="N12474" s="27" t="s">
        <v>15846</v>
      </c>
      <c r="P12474" s="27" t="s">
        <v>16302</v>
      </c>
      <c r="Q12474" s="26" t="str">
        <f>HYPERLINK("https://ictv.global/taxonomy/taxondetails?taxnode_id=202511044&amp;ictv_id=ICTV202011044","ICTV202011044")</f>
        <v>ICTV202011044</v>
      </c>
      <c r="R12474" t="s">
        <v>581</v>
      </c>
      <c r="S12474" t="s">
        <v>22764</v>
      </c>
      <c r="T12474">
        <v>39</v>
      </c>
      <c r="U12474" s="26" t="str">
        <f t="shared" si="454"/>
        <v>2023.001B.Leviviricetes_reorg.zip</v>
      </c>
    </row>
    <row r="12475" spans="1:21">
      <c r="A12475">
        <v>12474</v>
      </c>
      <c r="B12475" s="27" t="s">
        <v>1124</v>
      </c>
      <c r="D12475" s="27" t="s">
        <v>1859</v>
      </c>
      <c r="F12475" s="27" t="s">
        <v>1881</v>
      </c>
      <c r="H12475" s="27" t="s">
        <v>2679</v>
      </c>
      <c r="J12475" s="27" t="s">
        <v>3210</v>
      </c>
      <c r="L12475" s="27" t="s">
        <v>3262</v>
      </c>
      <c r="N12475" s="27" t="s">
        <v>15846</v>
      </c>
      <c r="P12475" s="27" t="s">
        <v>16303</v>
      </c>
      <c r="Q12475" s="26" t="str">
        <f>HYPERLINK("https://ictv.global/taxonomy/taxondetails?taxnode_id=202511046&amp;ictv_id=ICTV202011046","ICTV202011046")</f>
        <v>ICTV202011046</v>
      </c>
      <c r="R12475" t="s">
        <v>581</v>
      </c>
      <c r="S12475" t="s">
        <v>22764</v>
      </c>
      <c r="T12475">
        <v>39</v>
      </c>
      <c r="U12475" s="26" t="str">
        <f t="shared" si="454"/>
        <v>2023.001B.Leviviricetes_reorg.zip</v>
      </c>
    </row>
    <row r="12476" spans="1:21">
      <c r="A12476">
        <v>12475</v>
      </c>
      <c r="B12476" s="27" t="s">
        <v>1124</v>
      </c>
      <c r="D12476" s="27" t="s">
        <v>1859</v>
      </c>
      <c r="F12476" s="27" t="s">
        <v>1881</v>
      </c>
      <c r="H12476" s="27" t="s">
        <v>2679</v>
      </c>
      <c r="J12476" s="27" t="s">
        <v>3210</v>
      </c>
      <c r="L12476" s="27" t="s">
        <v>3262</v>
      </c>
      <c r="N12476" s="27" t="s">
        <v>15846</v>
      </c>
      <c r="P12476" s="27" t="s">
        <v>16304</v>
      </c>
      <c r="Q12476" s="26" t="str">
        <f>HYPERLINK("https://ictv.global/taxonomy/taxondetails?taxnode_id=202511045&amp;ictv_id=ICTV202011045","ICTV202011045")</f>
        <v>ICTV202011045</v>
      </c>
      <c r="R12476" t="s">
        <v>581</v>
      </c>
      <c r="S12476" t="s">
        <v>22764</v>
      </c>
      <c r="T12476">
        <v>39</v>
      </c>
      <c r="U12476" s="26" t="str">
        <f t="shared" si="454"/>
        <v>2023.001B.Leviviricetes_reorg.zip</v>
      </c>
    </row>
    <row r="12477" spans="1:21">
      <c r="A12477">
        <v>12476</v>
      </c>
      <c r="B12477" s="27" t="s">
        <v>1124</v>
      </c>
      <c r="D12477" s="27" t="s">
        <v>1859</v>
      </c>
      <c r="F12477" s="27" t="s">
        <v>1881</v>
      </c>
      <c r="H12477" s="27" t="s">
        <v>2679</v>
      </c>
      <c r="J12477" s="27" t="s">
        <v>3210</v>
      </c>
      <c r="L12477" s="27" t="s">
        <v>3262</v>
      </c>
      <c r="N12477" s="27" t="s">
        <v>15846</v>
      </c>
      <c r="P12477" s="27" t="s">
        <v>16305</v>
      </c>
      <c r="Q12477" s="26" t="str">
        <f>HYPERLINK("https://ictv.global/taxonomy/taxondetails?taxnode_id=202511047&amp;ictv_id=ICTV202011047","ICTV202011047")</f>
        <v>ICTV202011047</v>
      </c>
      <c r="R12477" t="s">
        <v>581</v>
      </c>
      <c r="S12477" t="s">
        <v>22764</v>
      </c>
      <c r="T12477">
        <v>39</v>
      </c>
      <c r="U12477" s="26" t="str">
        <f t="shared" si="454"/>
        <v>2023.001B.Leviviricetes_reorg.zip</v>
      </c>
    </row>
    <row r="12478" spans="1:21">
      <c r="A12478">
        <v>12477</v>
      </c>
      <c r="B12478" s="27" t="s">
        <v>1124</v>
      </c>
      <c r="D12478" s="27" t="s">
        <v>1859</v>
      </c>
      <c r="F12478" s="27" t="s">
        <v>1881</v>
      </c>
      <c r="H12478" s="27" t="s">
        <v>2679</v>
      </c>
      <c r="J12478" s="27" t="s">
        <v>3210</v>
      </c>
      <c r="L12478" s="27" t="s">
        <v>3262</v>
      </c>
      <c r="N12478" s="27" t="s">
        <v>15846</v>
      </c>
      <c r="P12478" s="27" t="s">
        <v>16306</v>
      </c>
      <c r="Q12478" s="26" t="str">
        <f>HYPERLINK("https://ictv.global/taxonomy/taxondetails?taxnode_id=202511051&amp;ictv_id=ICTV202011051","ICTV202011051")</f>
        <v>ICTV202011051</v>
      </c>
      <c r="R12478" t="s">
        <v>581</v>
      </c>
      <c r="S12478" t="s">
        <v>22764</v>
      </c>
      <c r="T12478">
        <v>39</v>
      </c>
      <c r="U12478" s="26" t="str">
        <f t="shared" si="454"/>
        <v>2023.001B.Leviviricetes_reorg.zip</v>
      </c>
    </row>
    <row r="12479" spans="1:21">
      <c r="A12479">
        <v>12478</v>
      </c>
      <c r="B12479" s="27" t="s">
        <v>1124</v>
      </c>
      <c r="D12479" s="27" t="s">
        <v>1859</v>
      </c>
      <c r="F12479" s="27" t="s">
        <v>1881</v>
      </c>
      <c r="H12479" s="27" t="s">
        <v>2679</v>
      </c>
      <c r="J12479" s="27" t="s">
        <v>3210</v>
      </c>
      <c r="L12479" s="27" t="s">
        <v>3262</v>
      </c>
      <c r="N12479" s="27" t="s">
        <v>15846</v>
      </c>
      <c r="P12479" s="27" t="s">
        <v>16307</v>
      </c>
      <c r="Q12479" s="26" t="str">
        <f>HYPERLINK("https://ictv.global/taxonomy/taxondetails?taxnode_id=202511052&amp;ictv_id=ICTV202011052","ICTV202011052")</f>
        <v>ICTV202011052</v>
      </c>
      <c r="R12479" t="s">
        <v>581</v>
      </c>
      <c r="S12479" t="s">
        <v>22764</v>
      </c>
      <c r="T12479">
        <v>39</v>
      </c>
      <c r="U12479" s="26" t="str">
        <f t="shared" si="454"/>
        <v>2023.001B.Leviviricetes_reorg.zip</v>
      </c>
    </row>
    <row r="12480" spans="1:21">
      <c r="A12480">
        <v>12479</v>
      </c>
      <c r="B12480" s="27" t="s">
        <v>1124</v>
      </c>
      <c r="D12480" s="27" t="s">
        <v>1859</v>
      </c>
      <c r="F12480" s="27" t="s">
        <v>1881</v>
      </c>
      <c r="H12480" s="27" t="s">
        <v>2679</v>
      </c>
      <c r="J12480" s="27" t="s">
        <v>3210</v>
      </c>
      <c r="L12480" s="27" t="s">
        <v>3262</v>
      </c>
      <c r="N12480" s="27" t="s">
        <v>15846</v>
      </c>
      <c r="P12480" s="27" t="s">
        <v>16308</v>
      </c>
      <c r="Q12480" s="26" t="str">
        <f>HYPERLINK("https://ictv.global/taxonomy/taxondetails?taxnode_id=202511053&amp;ictv_id=ICTV202011053","ICTV202011053")</f>
        <v>ICTV202011053</v>
      </c>
      <c r="R12480" t="s">
        <v>581</v>
      </c>
      <c r="S12480" t="s">
        <v>22764</v>
      </c>
      <c r="T12480">
        <v>39</v>
      </c>
      <c r="U12480" s="26" t="str">
        <f t="shared" si="454"/>
        <v>2023.001B.Leviviricetes_reorg.zip</v>
      </c>
    </row>
    <row r="12481" spans="1:21">
      <c r="A12481">
        <v>12480</v>
      </c>
      <c r="B12481" s="27" t="s">
        <v>1124</v>
      </c>
      <c r="D12481" s="27" t="s">
        <v>1859</v>
      </c>
      <c r="F12481" s="27" t="s">
        <v>1881</v>
      </c>
      <c r="H12481" s="27" t="s">
        <v>2679</v>
      </c>
      <c r="J12481" s="27" t="s">
        <v>3210</v>
      </c>
      <c r="L12481" s="27" t="s">
        <v>3262</v>
      </c>
      <c r="N12481" s="27" t="s">
        <v>15846</v>
      </c>
      <c r="P12481" s="27" t="s">
        <v>16309</v>
      </c>
      <c r="Q12481" s="26" t="str">
        <f>HYPERLINK("https://ictv.global/taxonomy/taxondetails?taxnode_id=202511206&amp;ictv_id=ICTV202011206","ICTV202011206")</f>
        <v>ICTV202011206</v>
      </c>
      <c r="R12481" t="s">
        <v>581</v>
      </c>
      <c r="S12481" t="s">
        <v>22764</v>
      </c>
      <c r="T12481">
        <v>39</v>
      </c>
      <c r="U12481" s="26" t="str">
        <f t="shared" si="454"/>
        <v>2023.001B.Leviviricetes_reorg.zip</v>
      </c>
    </row>
    <row r="12482" spans="1:21">
      <c r="A12482">
        <v>12481</v>
      </c>
      <c r="B12482" s="27" t="s">
        <v>1124</v>
      </c>
      <c r="D12482" s="27" t="s">
        <v>1859</v>
      </c>
      <c r="F12482" s="27" t="s">
        <v>1881</v>
      </c>
      <c r="H12482" s="27" t="s">
        <v>2679</v>
      </c>
      <c r="J12482" s="27" t="s">
        <v>3210</v>
      </c>
      <c r="L12482" s="27" t="s">
        <v>3262</v>
      </c>
      <c r="N12482" s="27" t="s">
        <v>15846</v>
      </c>
      <c r="P12482" s="27" t="s">
        <v>16310</v>
      </c>
      <c r="Q12482" s="26" t="str">
        <f>HYPERLINK("https://ictv.global/taxonomy/taxondetails?taxnode_id=202511054&amp;ictv_id=ICTV202011054","ICTV202011054")</f>
        <v>ICTV202011054</v>
      </c>
      <c r="R12482" t="s">
        <v>581</v>
      </c>
      <c r="S12482" t="s">
        <v>22764</v>
      </c>
      <c r="T12482">
        <v>39</v>
      </c>
      <c r="U12482" s="26" t="str">
        <f t="shared" si="454"/>
        <v>2023.001B.Leviviricetes_reorg.zip</v>
      </c>
    </row>
    <row r="12483" spans="1:21">
      <c r="A12483">
        <v>12482</v>
      </c>
      <c r="B12483" s="27" t="s">
        <v>1124</v>
      </c>
      <c r="D12483" s="27" t="s">
        <v>1859</v>
      </c>
      <c r="F12483" s="27" t="s">
        <v>1881</v>
      </c>
      <c r="H12483" s="27" t="s">
        <v>2679</v>
      </c>
      <c r="J12483" s="27" t="s">
        <v>3210</v>
      </c>
      <c r="L12483" s="27" t="s">
        <v>3262</v>
      </c>
      <c r="N12483" s="27" t="s">
        <v>15846</v>
      </c>
      <c r="P12483" s="27" t="s">
        <v>16311</v>
      </c>
      <c r="Q12483" s="26" t="str">
        <f>HYPERLINK("https://ictv.global/taxonomy/taxondetails?taxnode_id=202511207&amp;ictv_id=ICTV202011207","ICTV202011207")</f>
        <v>ICTV202011207</v>
      </c>
      <c r="R12483" t="s">
        <v>581</v>
      </c>
      <c r="S12483" t="s">
        <v>22764</v>
      </c>
      <c r="T12483">
        <v>39</v>
      </c>
      <c r="U12483" s="26" t="str">
        <f t="shared" si="454"/>
        <v>2023.001B.Leviviricetes_reorg.zip</v>
      </c>
    </row>
    <row r="12484" spans="1:21">
      <c r="A12484">
        <v>12483</v>
      </c>
      <c r="B12484" s="27" t="s">
        <v>1124</v>
      </c>
      <c r="D12484" s="27" t="s">
        <v>1859</v>
      </c>
      <c r="F12484" s="27" t="s">
        <v>1881</v>
      </c>
      <c r="H12484" s="27" t="s">
        <v>2679</v>
      </c>
      <c r="J12484" s="27" t="s">
        <v>3210</v>
      </c>
      <c r="L12484" s="27" t="s">
        <v>3262</v>
      </c>
      <c r="N12484" s="27" t="s">
        <v>15846</v>
      </c>
      <c r="P12484" s="27" t="s">
        <v>16312</v>
      </c>
      <c r="Q12484" s="26" t="str">
        <f>HYPERLINK("https://ictv.global/taxonomy/taxondetails?taxnode_id=202511209&amp;ictv_id=ICTV202011209","ICTV202011209")</f>
        <v>ICTV202011209</v>
      </c>
      <c r="R12484" t="s">
        <v>581</v>
      </c>
      <c r="S12484" t="s">
        <v>22764</v>
      </c>
      <c r="T12484">
        <v>39</v>
      </c>
      <c r="U12484" s="26" t="str">
        <f t="shared" si="454"/>
        <v>2023.001B.Leviviricetes_reorg.zip</v>
      </c>
    </row>
    <row r="12485" spans="1:21">
      <c r="A12485">
        <v>12484</v>
      </c>
      <c r="B12485" s="27" t="s">
        <v>1124</v>
      </c>
      <c r="D12485" s="27" t="s">
        <v>1859</v>
      </c>
      <c r="F12485" s="27" t="s">
        <v>1881</v>
      </c>
      <c r="H12485" s="27" t="s">
        <v>2679</v>
      </c>
      <c r="J12485" s="27" t="s">
        <v>3210</v>
      </c>
      <c r="L12485" s="27" t="s">
        <v>3262</v>
      </c>
      <c r="N12485" s="27" t="s">
        <v>15846</v>
      </c>
      <c r="P12485" s="27" t="s">
        <v>16313</v>
      </c>
      <c r="Q12485" s="26" t="str">
        <f>HYPERLINK("https://ictv.global/taxonomy/taxondetails?taxnode_id=202511210&amp;ictv_id=ICTV202011210","ICTV202011210")</f>
        <v>ICTV202011210</v>
      </c>
      <c r="R12485" t="s">
        <v>581</v>
      </c>
      <c r="S12485" t="s">
        <v>22764</v>
      </c>
      <c r="T12485">
        <v>39</v>
      </c>
      <c r="U12485" s="26" t="str">
        <f t="shared" si="454"/>
        <v>2023.001B.Leviviricetes_reorg.zip</v>
      </c>
    </row>
    <row r="12486" spans="1:21">
      <c r="A12486">
        <v>12485</v>
      </c>
      <c r="B12486" s="27" t="s">
        <v>1124</v>
      </c>
      <c r="D12486" s="27" t="s">
        <v>1859</v>
      </c>
      <c r="F12486" s="27" t="s">
        <v>1881</v>
      </c>
      <c r="H12486" s="27" t="s">
        <v>2679</v>
      </c>
      <c r="J12486" s="27" t="s">
        <v>3210</v>
      </c>
      <c r="L12486" s="27" t="s">
        <v>3262</v>
      </c>
      <c r="N12486" s="27" t="s">
        <v>16314</v>
      </c>
      <c r="P12486" s="27" t="s">
        <v>16315</v>
      </c>
      <c r="Q12486" s="26" t="str">
        <f>HYPERLINK("https://ictv.global/taxonomy/taxondetails?taxnode_id=202517409&amp;ictv_id=ICTV202317409","ICTV202317409")</f>
        <v>ICTV202317409</v>
      </c>
      <c r="R12486" t="s">
        <v>581</v>
      </c>
      <c r="S12486" t="s">
        <v>823</v>
      </c>
      <c r="T12486">
        <v>39</v>
      </c>
      <c r="U12486" s="26" t="str">
        <f t="shared" si="454"/>
        <v>2023.001B.Leviviricetes_reorg.zip</v>
      </c>
    </row>
    <row r="12487" spans="1:21">
      <c r="A12487">
        <v>12486</v>
      </c>
      <c r="B12487" s="27" t="s">
        <v>1124</v>
      </c>
      <c r="D12487" s="27" t="s">
        <v>1859</v>
      </c>
      <c r="F12487" s="27" t="s">
        <v>1881</v>
      </c>
      <c r="H12487" s="27" t="s">
        <v>2679</v>
      </c>
      <c r="J12487" s="27" t="s">
        <v>3210</v>
      </c>
      <c r="L12487" s="27" t="s">
        <v>3262</v>
      </c>
      <c r="N12487" s="27" t="s">
        <v>3329</v>
      </c>
      <c r="P12487" s="27" t="s">
        <v>16316</v>
      </c>
      <c r="Q12487" s="26" t="str">
        <f>HYPERLINK("https://ictv.global/taxonomy/taxondetails?taxnode_id=202517410&amp;ictv_id=ICTV202317410","ICTV202317410")</f>
        <v>ICTV202317410</v>
      </c>
      <c r="R12487" t="s">
        <v>581</v>
      </c>
      <c r="S12487" t="s">
        <v>823</v>
      </c>
      <c r="T12487">
        <v>39</v>
      </c>
      <c r="U12487" s="26" t="str">
        <f t="shared" si="454"/>
        <v>2023.001B.Leviviricetes_reorg.zip</v>
      </c>
    </row>
    <row r="12488" spans="1:21">
      <c r="A12488">
        <v>12487</v>
      </c>
      <c r="B12488" s="27" t="s">
        <v>1124</v>
      </c>
      <c r="D12488" s="27" t="s">
        <v>1859</v>
      </c>
      <c r="F12488" s="27" t="s">
        <v>1881</v>
      </c>
      <c r="H12488" s="27" t="s">
        <v>2679</v>
      </c>
      <c r="J12488" s="27" t="s">
        <v>3210</v>
      </c>
      <c r="L12488" s="27" t="s">
        <v>3262</v>
      </c>
      <c r="N12488" s="27" t="s">
        <v>3329</v>
      </c>
      <c r="P12488" s="27" t="s">
        <v>16317</v>
      </c>
      <c r="Q12488" s="26" t="str">
        <f>HYPERLINK("https://ictv.global/taxonomy/taxondetails?taxnode_id=202517411&amp;ictv_id=ICTV202317411","ICTV202317411")</f>
        <v>ICTV202317411</v>
      </c>
      <c r="R12488" t="s">
        <v>581</v>
      </c>
      <c r="S12488" t="s">
        <v>823</v>
      </c>
      <c r="T12488">
        <v>39</v>
      </c>
      <c r="U12488" s="26" t="str">
        <f t="shared" si="454"/>
        <v>2023.001B.Leviviricetes_reorg.zip</v>
      </c>
    </row>
    <row r="12489" spans="1:21">
      <c r="A12489">
        <v>12488</v>
      </c>
      <c r="B12489" s="27" t="s">
        <v>1124</v>
      </c>
      <c r="D12489" s="27" t="s">
        <v>1859</v>
      </c>
      <c r="F12489" s="27" t="s">
        <v>1881</v>
      </c>
      <c r="H12489" s="27" t="s">
        <v>2679</v>
      </c>
      <c r="J12489" s="27" t="s">
        <v>3210</v>
      </c>
      <c r="L12489" s="27" t="s">
        <v>3262</v>
      </c>
      <c r="N12489" s="27" t="s">
        <v>3329</v>
      </c>
      <c r="P12489" s="27" t="s">
        <v>16318</v>
      </c>
      <c r="Q12489" s="26" t="str">
        <f>HYPERLINK("https://ictv.global/taxonomy/taxondetails?taxnode_id=202517412&amp;ictv_id=ICTV202317412","ICTV202317412")</f>
        <v>ICTV202317412</v>
      </c>
      <c r="R12489" t="s">
        <v>581</v>
      </c>
      <c r="S12489" t="s">
        <v>823</v>
      </c>
      <c r="T12489">
        <v>39</v>
      </c>
      <c r="U12489" s="26" t="str">
        <f t="shared" si="454"/>
        <v>2023.001B.Leviviricetes_reorg.zip</v>
      </c>
    </row>
    <row r="12490" spans="1:21">
      <c r="A12490">
        <v>12489</v>
      </c>
      <c r="B12490" s="27" t="s">
        <v>1124</v>
      </c>
      <c r="D12490" s="27" t="s">
        <v>1859</v>
      </c>
      <c r="F12490" s="27" t="s">
        <v>1881</v>
      </c>
      <c r="H12490" s="27" t="s">
        <v>2679</v>
      </c>
      <c r="J12490" s="27" t="s">
        <v>3210</v>
      </c>
      <c r="L12490" s="27" t="s">
        <v>3262</v>
      </c>
      <c r="N12490" s="27" t="s">
        <v>3329</v>
      </c>
      <c r="P12490" s="27" t="s">
        <v>16319</v>
      </c>
      <c r="Q12490" s="26" t="str">
        <f>HYPERLINK("https://ictv.global/taxonomy/taxondetails?taxnode_id=202517413&amp;ictv_id=ICTV202317413","ICTV202317413")</f>
        <v>ICTV202317413</v>
      </c>
      <c r="R12490" t="s">
        <v>581</v>
      </c>
      <c r="S12490" t="s">
        <v>823</v>
      </c>
      <c r="T12490">
        <v>39</v>
      </c>
      <c r="U12490" s="26" t="str">
        <f t="shared" si="454"/>
        <v>2023.001B.Leviviricetes_reorg.zip</v>
      </c>
    </row>
    <row r="12491" spans="1:21">
      <c r="A12491">
        <v>12490</v>
      </c>
      <c r="B12491" s="27" t="s">
        <v>1124</v>
      </c>
      <c r="D12491" s="27" t="s">
        <v>1859</v>
      </c>
      <c r="F12491" s="27" t="s">
        <v>1881</v>
      </c>
      <c r="H12491" s="27" t="s">
        <v>2679</v>
      </c>
      <c r="J12491" s="27" t="s">
        <v>3210</v>
      </c>
      <c r="L12491" s="27" t="s">
        <v>3262</v>
      </c>
      <c r="N12491" s="27" t="s">
        <v>3329</v>
      </c>
      <c r="P12491" s="27" t="s">
        <v>16320</v>
      </c>
      <c r="Q12491" s="26" t="str">
        <f>HYPERLINK("https://ictv.global/taxonomy/taxondetails?taxnode_id=202511098&amp;ictv_id=ICTV202011098","ICTV202011098")</f>
        <v>ICTV202011098</v>
      </c>
      <c r="R12491" t="s">
        <v>581</v>
      </c>
      <c r="S12491" t="s">
        <v>22764</v>
      </c>
      <c r="T12491">
        <v>39</v>
      </c>
      <c r="U12491" s="26" t="str">
        <f t="shared" si="454"/>
        <v>2023.001B.Leviviricetes_reorg.zip</v>
      </c>
    </row>
    <row r="12492" spans="1:21">
      <c r="A12492">
        <v>12491</v>
      </c>
      <c r="B12492" s="27" t="s">
        <v>1124</v>
      </c>
      <c r="D12492" s="27" t="s">
        <v>1859</v>
      </c>
      <c r="F12492" s="27" t="s">
        <v>1881</v>
      </c>
      <c r="H12492" s="27" t="s">
        <v>2679</v>
      </c>
      <c r="J12492" s="27" t="s">
        <v>3210</v>
      </c>
      <c r="L12492" s="27" t="s">
        <v>3262</v>
      </c>
      <c r="N12492" s="27" t="s">
        <v>3329</v>
      </c>
      <c r="P12492" s="27" t="s">
        <v>3330</v>
      </c>
      <c r="Q12492" s="26" t="str">
        <f>HYPERLINK("https://ictv.global/taxonomy/taxondetails?taxnode_id=202511258&amp;ictv_id=ICTV202011258","ICTV202011258")</f>
        <v>ICTV202011258</v>
      </c>
      <c r="R12492" t="s">
        <v>581</v>
      </c>
      <c r="S12492" t="s">
        <v>823</v>
      </c>
      <c r="T12492">
        <v>36</v>
      </c>
      <c r="U12492" s="26" t="str">
        <f>HYPERLINK("https://ictv.global/ictv/proposals/2020.095B.R.Leviviricetes.zip","2020.095B.R.Leviviricetes.zip")</f>
        <v>2020.095B.R.Leviviricetes.zip</v>
      </c>
    </row>
    <row r="12493" spans="1:21">
      <c r="A12493">
        <v>12492</v>
      </c>
      <c r="B12493" s="27" t="s">
        <v>1124</v>
      </c>
      <c r="D12493" s="27" t="s">
        <v>1859</v>
      </c>
      <c r="F12493" s="27" t="s">
        <v>1881</v>
      </c>
      <c r="H12493" s="27" t="s">
        <v>2679</v>
      </c>
      <c r="J12493" s="27" t="s">
        <v>3210</v>
      </c>
      <c r="L12493" s="27" t="s">
        <v>3262</v>
      </c>
      <c r="N12493" s="27" t="s">
        <v>3329</v>
      </c>
      <c r="P12493" s="27" t="s">
        <v>16321</v>
      </c>
      <c r="Q12493" s="26" t="str">
        <f>HYPERLINK("https://ictv.global/taxonomy/taxondetails?taxnode_id=202517414&amp;ictv_id=ICTV202317414","ICTV202317414")</f>
        <v>ICTV202317414</v>
      </c>
      <c r="R12493" t="s">
        <v>581</v>
      </c>
      <c r="S12493" t="s">
        <v>823</v>
      </c>
      <c r="T12493">
        <v>39</v>
      </c>
      <c r="U12493" s="26" t="str">
        <f t="shared" ref="U12493:U12499" si="455">HYPERLINK("https://ictv.global/ictv/proposals/2023.001B.Leviviricetes_reorg.zip","2023.001B.Leviviricetes_reorg.zip")</f>
        <v>2023.001B.Leviviricetes_reorg.zip</v>
      </c>
    </row>
    <row r="12494" spans="1:21">
      <c r="A12494">
        <v>12493</v>
      </c>
      <c r="B12494" s="27" t="s">
        <v>1124</v>
      </c>
      <c r="D12494" s="27" t="s">
        <v>1859</v>
      </c>
      <c r="F12494" s="27" t="s">
        <v>1881</v>
      </c>
      <c r="H12494" s="27" t="s">
        <v>2679</v>
      </c>
      <c r="J12494" s="27" t="s">
        <v>3210</v>
      </c>
      <c r="L12494" s="27" t="s">
        <v>3262</v>
      </c>
      <c r="N12494" s="27" t="s">
        <v>3329</v>
      </c>
      <c r="P12494" s="27" t="s">
        <v>16322</v>
      </c>
      <c r="Q12494" s="26" t="str">
        <f>HYPERLINK("https://ictv.global/taxonomy/taxondetails?taxnode_id=202517415&amp;ictv_id=ICTV202317415","ICTV202317415")</f>
        <v>ICTV202317415</v>
      </c>
      <c r="R12494" t="s">
        <v>581</v>
      </c>
      <c r="S12494" t="s">
        <v>823</v>
      </c>
      <c r="T12494">
        <v>39</v>
      </c>
      <c r="U12494" s="26" t="str">
        <f t="shared" si="455"/>
        <v>2023.001B.Leviviricetes_reorg.zip</v>
      </c>
    </row>
    <row r="12495" spans="1:21">
      <c r="A12495">
        <v>12494</v>
      </c>
      <c r="B12495" s="27" t="s">
        <v>1124</v>
      </c>
      <c r="D12495" s="27" t="s">
        <v>1859</v>
      </c>
      <c r="F12495" s="27" t="s">
        <v>1881</v>
      </c>
      <c r="H12495" s="27" t="s">
        <v>2679</v>
      </c>
      <c r="J12495" s="27" t="s">
        <v>3210</v>
      </c>
      <c r="L12495" s="27" t="s">
        <v>3262</v>
      </c>
      <c r="N12495" s="27" t="s">
        <v>3329</v>
      </c>
      <c r="P12495" s="27" t="s">
        <v>16323</v>
      </c>
      <c r="Q12495" s="26" t="str">
        <f>HYPERLINK("https://ictv.global/taxonomy/taxondetails?taxnode_id=202517416&amp;ictv_id=ICTV202317416","ICTV202317416")</f>
        <v>ICTV202317416</v>
      </c>
      <c r="R12495" t="s">
        <v>581</v>
      </c>
      <c r="S12495" t="s">
        <v>823</v>
      </c>
      <c r="T12495">
        <v>39</v>
      </c>
      <c r="U12495" s="26" t="str">
        <f t="shared" si="455"/>
        <v>2023.001B.Leviviricetes_reorg.zip</v>
      </c>
    </row>
    <row r="12496" spans="1:21">
      <c r="A12496">
        <v>12495</v>
      </c>
      <c r="B12496" s="27" t="s">
        <v>1124</v>
      </c>
      <c r="D12496" s="27" t="s">
        <v>1859</v>
      </c>
      <c r="F12496" s="27" t="s">
        <v>1881</v>
      </c>
      <c r="H12496" s="27" t="s">
        <v>2679</v>
      </c>
      <c r="J12496" s="27" t="s">
        <v>3210</v>
      </c>
      <c r="L12496" s="27" t="s">
        <v>3262</v>
      </c>
      <c r="N12496" s="27" t="s">
        <v>3329</v>
      </c>
      <c r="P12496" s="27" t="s">
        <v>16324</v>
      </c>
      <c r="Q12496" s="26" t="str">
        <f>HYPERLINK("https://ictv.global/taxonomy/taxondetails?taxnode_id=202517417&amp;ictv_id=ICTV202317417","ICTV202317417")</f>
        <v>ICTV202317417</v>
      </c>
      <c r="R12496" t="s">
        <v>581</v>
      </c>
      <c r="S12496" t="s">
        <v>823</v>
      </c>
      <c r="T12496">
        <v>39</v>
      </c>
      <c r="U12496" s="26" t="str">
        <f t="shared" si="455"/>
        <v>2023.001B.Leviviricetes_reorg.zip</v>
      </c>
    </row>
    <row r="12497" spans="1:21">
      <c r="A12497">
        <v>12496</v>
      </c>
      <c r="B12497" s="27" t="s">
        <v>1124</v>
      </c>
      <c r="D12497" s="27" t="s">
        <v>1859</v>
      </c>
      <c r="F12497" s="27" t="s">
        <v>1881</v>
      </c>
      <c r="H12497" s="27" t="s">
        <v>2679</v>
      </c>
      <c r="J12497" s="27" t="s">
        <v>3210</v>
      </c>
      <c r="L12497" s="27" t="s">
        <v>3262</v>
      </c>
      <c r="N12497" s="27" t="s">
        <v>3329</v>
      </c>
      <c r="P12497" s="27" t="s">
        <v>16325</v>
      </c>
      <c r="Q12497" s="26" t="str">
        <f>HYPERLINK("https://ictv.global/taxonomy/taxondetails?taxnode_id=202517418&amp;ictv_id=ICTV202317418","ICTV202317418")</f>
        <v>ICTV202317418</v>
      </c>
      <c r="R12497" t="s">
        <v>581</v>
      </c>
      <c r="S12497" t="s">
        <v>823</v>
      </c>
      <c r="T12497">
        <v>39</v>
      </c>
      <c r="U12497" s="26" t="str">
        <f t="shared" si="455"/>
        <v>2023.001B.Leviviricetes_reorg.zip</v>
      </c>
    </row>
    <row r="12498" spans="1:21">
      <c r="A12498">
        <v>12497</v>
      </c>
      <c r="B12498" s="27" t="s">
        <v>1124</v>
      </c>
      <c r="D12498" s="27" t="s">
        <v>1859</v>
      </c>
      <c r="F12498" s="27" t="s">
        <v>1881</v>
      </c>
      <c r="H12498" s="27" t="s">
        <v>2679</v>
      </c>
      <c r="J12498" s="27" t="s">
        <v>3210</v>
      </c>
      <c r="L12498" s="27" t="s">
        <v>3262</v>
      </c>
      <c r="N12498" s="27" t="s">
        <v>3329</v>
      </c>
      <c r="P12498" s="27" t="s">
        <v>16326</v>
      </c>
      <c r="Q12498" s="26" t="str">
        <f>HYPERLINK("https://ictv.global/taxonomy/taxondetails?taxnode_id=202517419&amp;ictv_id=ICTV202317419","ICTV202317419")</f>
        <v>ICTV202317419</v>
      </c>
      <c r="R12498" t="s">
        <v>581</v>
      </c>
      <c r="S12498" t="s">
        <v>823</v>
      </c>
      <c r="T12498">
        <v>39</v>
      </c>
      <c r="U12498" s="26" t="str">
        <f t="shared" si="455"/>
        <v>2023.001B.Leviviricetes_reorg.zip</v>
      </c>
    </row>
    <row r="12499" spans="1:21">
      <c r="A12499">
        <v>12498</v>
      </c>
      <c r="B12499" s="27" t="s">
        <v>1124</v>
      </c>
      <c r="D12499" s="27" t="s">
        <v>1859</v>
      </c>
      <c r="F12499" s="27" t="s">
        <v>1881</v>
      </c>
      <c r="H12499" s="27" t="s">
        <v>2679</v>
      </c>
      <c r="J12499" s="27" t="s">
        <v>3210</v>
      </c>
      <c r="L12499" s="27" t="s">
        <v>3262</v>
      </c>
      <c r="N12499" s="27" t="s">
        <v>3329</v>
      </c>
      <c r="P12499" s="27" t="s">
        <v>16327</v>
      </c>
      <c r="Q12499" s="26" t="str">
        <f>HYPERLINK("https://ictv.global/taxonomy/taxondetails?taxnode_id=202517420&amp;ictv_id=ICTV202317420","ICTV202317420")</f>
        <v>ICTV202317420</v>
      </c>
      <c r="R12499" t="s">
        <v>581</v>
      </c>
      <c r="S12499" t="s">
        <v>823</v>
      </c>
      <c r="T12499">
        <v>39</v>
      </c>
      <c r="U12499" s="26" t="str">
        <f t="shared" si="455"/>
        <v>2023.001B.Leviviricetes_reorg.zip</v>
      </c>
    </row>
    <row r="12500" spans="1:21">
      <c r="A12500">
        <v>12499</v>
      </c>
      <c r="B12500" s="27" t="s">
        <v>1124</v>
      </c>
      <c r="D12500" s="27" t="s">
        <v>1859</v>
      </c>
      <c r="F12500" s="27" t="s">
        <v>1881</v>
      </c>
      <c r="H12500" s="27" t="s">
        <v>2679</v>
      </c>
      <c r="J12500" s="27" t="s">
        <v>3210</v>
      </c>
      <c r="L12500" s="27" t="s">
        <v>3262</v>
      </c>
      <c r="N12500" s="27" t="s">
        <v>3329</v>
      </c>
      <c r="P12500" s="27" t="s">
        <v>3331</v>
      </c>
      <c r="Q12500" s="26" t="str">
        <f>HYPERLINK("https://ictv.global/taxonomy/taxondetails?taxnode_id=202511247&amp;ictv_id=ICTV202011247","ICTV202011247")</f>
        <v>ICTV202011247</v>
      </c>
      <c r="R12500" t="s">
        <v>581</v>
      </c>
      <c r="S12500" t="s">
        <v>823</v>
      </c>
      <c r="T12500">
        <v>36</v>
      </c>
      <c r="U12500" s="26" t="str">
        <f>HYPERLINK("https://ictv.global/ictv/proposals/2020.095B.R.Leviviricetes.zip","2020.095B.R.Leviviricetes.zip")</f>
        <v>2020.095B.R.Leviviricetes.zip</v>
      </c>
    </row>
    <row r="12501" spans="1:21">
      <c r="A12501">
        <v>12500</v>
      </c>
      <c r="B12501" s="27" t="s">
        <v>1124</v>
      </c>
      <c r="D12501" s="27" t="s">
        <v>1859</v>
      </c>
      <c r="F12501" s="27" t="s">
        <v>1881</v>
      </c>
      <c r="H12501" s="27" t="s">
        <v>2679</v>
      </c>
      <c r="J12501" s="27" t="s">
        <v>3210</v>
      </c>
      <c r="L12501" s="27" t="s">
        <v>3262</v>
      </c>
      <c r="N12501" s="27" t="s">
        <v>3329</v>
      </c>
      <c r="P12501" s="27" t="s">
        <v>3332</v>
      </c>
      <c r="Q12501" s="26" t="str">
        <f>HYPERLINK("https://ictv.global/taxonomy/taxondetails?taxnode_id=202511248&amp;ictv_id=ICTV202011248","ICTV202011248")</f>
        <v>ICTV202011248</v>
      </c>
      <c r="R12501" t="s">
        <v>581</v>
      </c>
      <c r="S12501" t="s">
        <v>823</v>
      </c>
      <c r="T12501">
        <v>36</v>
      </c>
      <c r="U12501" s="26" t="str">
        <f>HYPERLINK("https://ictv.global/ictv/proposals/2020.095B.R.Leviviricetes.zip","2020.095B.R.Leviviricetes.zip")</f>
        <v>2020.095B.R.Leviviricetes.zip</v>
      </c>
    </row>
    <row r="12502" spans="1:21">
      <c r="A12502">
        <v>12501</v>
      </c>
      <c r="B12502" s="27" t="s">
        <v>1124</v>
      </c>
      <c r="D12502" s="27" t="s">
        <v>1859</v>
      </c>
      <c r="F12502" s="27" t="s">
        <v>1881</v>
      </c>
      <c r="H12502" s="27" t="s">
        <v>2679</v>
      </c>
      <c r="J12502" s="27" t="s">
        <v>3210</v>
      </c>
      <c r="L12502" s="27" t="s">
        <v>3262</v>
      </c>
      <c r="N12502" s="27" t="s">
        <v>3329</v>
      </c>
      <c r="P12502" s="27" t="s">
        <v>3333</v>
      </c>
      <c r="Q12502" s="26" t="str">
        <f>HYPERLINK("https://ictv.global/taxonomy/taxondetails?taxnode_id=202511249&amp;ictv_id=ICTV202011249","ICTV202011249")</f>
        <v>ICTV202011249</v>
      </c>
      <c r="R12502" t="s">
        <v>581</v>
      </c>
      <c r="S12502" t="s">
        <v>823</v>
      </c>
      <c r="T12502">
        <v>36</v>
      </c>
      <c r="U12502" s="26" t="str">
        <f>HYPERLINK("https://ictv.global/ictv/proposals/2020.095B.R.Leviviricetes.zip","2020.095B.R.Leviviricetes.zip")</f>
        <v>2020.095B.R.Leviviricetes.zip</v>
      </c>
    </row>
    <row r="12503" spans="1:21">
      <c r="A12503">
        <v>12502</v>
      </c>
      <c r="B12503" s="27" t="s">
        <v>1124</v>
      </c>
      <c r="D12503" s="27" t="s">
        <v>1859</v>
      </c>
      <c r="F12503" s="27" t="s">
        <v>1881</v>
      </c>
      <c r="H12503" s="27" t="s">
        <v>2679</v>
      </c>
      <c r="J12503" s="27" t="s">
        <v>3210</v>
      </c>
      <c r="L12503" s="27" t="s">
        <v>3262</v>
      </c>
      <c r="N12503" s="27" t="s">
        <v>3329</v>
      </c>
      <c r="P12503" s="27" t="s">
        <v>16328</v>
      </c>
      <c r="Q12503" s="26" t="str">
        <f>HYPERLINK("https://ictv.global/taxonomy/taxondetails?taxnode_id=202517421&amp;ictv_id=ICTV202317421","ICTV202317421")</f>
        <v>ICTV202317421</v>
      </c>
      <c r="R12503" t="s">
        <v>581</v>
      </c>
      <c r="S12503" t="s">
        <v>823</v>
      </c>
      <c r="T12503">
        <v>39</v>
      </c>
      <c r="U12503" s="26" t="str">
        <f>HYPERLINK("https://ictv.global/ictv/proposals/2023.001B.Leviviricetes_reorg.zip","2023.001B.Leviviricetes_reorg.zip")</f>
        <v>2023.001B.Leviviricetes_reorg.zip</v>
      </c>
    </row>
    <row r="12504" spans="1:21">
      <c r="A12504">
        <v>12503</v>
      </c>
      <c r="B12504" s="27" t="s">
        <v>1124</v>
      </c>
      <c r="D12504" s="27" t="s">
        <v>1859</v>
      </c>
      <c r="F12504" s="27" t="s">
        <v>1881</v>
      </c>
      <c r="H12504" s="27" t="s">
        <v>2679</v>
      </c>
      <c r="J12504" s="27" t="s">
        <v>3210</v>
      </c>
      <c r="L12504" s="27" t="s">
        <v>3262</v>
      </c>
      <c r="N12504" s="27" t="s">
        <v>3329</v>
      </c>
      <c r="P12504" s="27" t="s">
        <v>16329</v>
      </c>
      <c r="Q12504" s="26" t="str">
        <f>HYPERLINK("https://ictv.global/taxonomy/taxondetails?taxnode_id=202517422&amp;ictv_id=ICTV202317422","ICTV202317422")</f>
        <v>ICTV202317422</v>
      </c>
      <c r="R12504" t="s">
        <v>581</v>
      </c>
      <c r="S12504" t="s">
        <v>823</v>
      </c>
      <c r="T12504">
        <v>39</v>
      </c>
      <c r="U12504" s="26" t="str">
        <f>HYPERLINK("https://ictv.global/ictv/proposals/2023.001B.Leviviricetes_reorg.zip","2023.001B.Leviviricetes_reorg.zip")</f>
        <v>2023.001B.Leviviricetes_reorg.zip</v>
      </c>
    </row>
    <row r="12505" spans="1:21">
      <c r="A12505">
        <v>12504</v>
      </c>
      <c r="B12505" s="27" t="s">
        <v>1124</v>
      </c>
      <c r="D12505" s="27" t="s">
        <v>1859</v>
      </c>
      <c r="F12505" s="27" t="s">
        <v>1881</v>
      </c>
      <c r="H12505" s="27" t="s">
        <v>2679</v>
      </c>
      <c r="J12505" s="27" t="s">
        <v>3210</v>
      </c>
      <c r="L12505" s="27" t="s">
        <v>3262</v>
      </c>
      <c r="N12505" s="27" t="s">
        <v>3329</v>
      </c>
      <c r="P12505" s="27" t="s">
        <v>3334</v>
      </c>
      <c r="Q12505" s="26" t="str">
        <f>HYPERLINK("https://ictv.global/taxonomy/taxondetails?taxnode_id=202511259&amp;ictv_id=ICTV202011259","ICTV202011259")</f>
        <v>ICTV202011259</v>
      </c>
      <c r="R12505" t="s">
        <v>581</v>
      </c>
      <c r="S12505" t="s">
        <v>823</v>
      </c>
      <c r="T12505">
        <v>36</v>
      </c>
      <c r="U12505" s="26" t="str">
        <f>HYPERLINK("https://ictv.global/ictv/proposals/2020.095B.R.Leviviricetes.zip","2020.095B.R.Leviviricetes.zip")</f>
        <v>2020.095B.R.Leviviricetes.zip</v>
      </c>
    </row>
    <row r="12506" spans="1:21">
      <c r="A12506">
        <v>12505</v>
      </c>
      <c r="B12506" s="27" t="s">
        <v>1124</v>
      </c>
      <c r="D12506" s="27" t="s">
        <v>1859</v>
      </c>
      <c r="F12506" s="27" t="s">
        <v>1881</v>
      </c>
      <c r="H12506" s="27" t="s">
        <v>2679</v>
      </c>
      <c r="J12506" s="27" t="s">
        <v>3210</v>
      </c>
      <c r="L12506" s="27" t="s">
        <v>3262</v>
      </c>
      <c r="N12506" s="27" t="s">
        <v>3329</v>
      </c>
      <c r="P12506" s="27" t="s">
        <v>16330</v>
      </c>
      <c r="Q12506" s="26" t="str">
        <f>HYPERLINK("https://ictv.global/taxonomy/taxondetails?taxnode_id=202517423&amp;ictv_id=ICTV202317423","ICTV202317423")</f>
        <v>ICTV202317423</v>
      </c>
      <c r="R12506" t="s">
        <v>581</v>
      </c>
      <c r="S12506" t="s">
        <v>823</v>
      </c>
      <c r="T12506">
        <v>39</v>
      </c>
      <c r="U12506" s="26" t="str">
        <f>HYPERLINK("https://ictv.global/ictv/proposals/2023.001B.Leviviricetes_reorg.zip","2023.001B.Leviviricetes_reorg.zip")</f>
        <v>2023.001B.Leviviricetes_reorg.zip</v>
      </c>
    </row>
    <row r="12507" spans="1:21">
      <c r="A12507">
        <v>12506</v>
      </c>
      <c r="B12507" s="27" t="s">
        <v>1124</v>
      </c>
      <c r="D12507" s="27" t="s">
        <v>1859</v>
      </c>
      <c r="F12507" s="27" t="s">
        <v>1881</v>
      </c>
      <c r="H12507" s="27" t="s">
        <v>2679</v>
      </c>
      <c r="J12507" s="27" t="s">
        <v>3210</v>
      </c>
      <c r="L12507" s="27" t="s">
        <v>3262</v>
      </c>
      <c r="N12507" s="27" t="s">
        <v>3329</v>
      </c>
      <c r="P12507" s="27" t="s">
        <v>16331</v>
      </c>
      <c r="Q12507" s="26" t="str">
        <f>HYPERLINK("https://ictv.global/taxonomy/taxondetails?taxnode_id=202517424&amp;ictv_id=ICTV202317424","ICTV202317424")</f>
        <v>ICTV202317424</v>
      </c>
      <c r="R12507" t="s">
        <v>581</v>
      </c>
      <c r="S12507" t="s">
        <v>823</v>
      </c>
      <c r="T12507">
        <v>39</v>
      </c>
      <c r="U12507" s="26" t="str">
        <f>HYPERLINK("https://ictv.global/ictv/proposals/2023.001B.Leviviricetes_reorg.zip","2023.001B.Leviviricetes_reorg.zip")</f>
        <v>2023.001B.Leviviricetes_reorg.zip</v>
      </c>
    </row>
    <row r="12508" spans="1:21">
      <c r="A12508">
        <v>12507</v>
      </c>
      <c r="B12508" s="27" t="s">
        <v>1124</v>
      </c>
      <c r="D12508" s="27" t="s">
        <v>1859</v>
      </c>
      <c r="F12508" s="27" t="s">
        <v>1881</v>
      </c>
      <c r="H12508" s="27" t="s">
        <v>2679</v>
      </c>
      <c r="J12508" s="27" t="s">
        <v>3210</v>
      </c>
      <c r="L12508" s="27" t="s">
        <v>3262</v>
      </c>
      <c r="N12508" s="27" t="s">
        <v>3329</v>
      </c>
      <c r="P12508" s="27" t="s">
        <v>16332</v>
      </c>
      <c r="Q12508" s="26" t="str">
        <f>HYPERLINK("https://ictv.global/taxonomy/taxondetails?taxnode_id=202517425&amp;ictv_id=ICTV202317425","ICTV202317425")</f>
        <v>ICTV202317425</v>
      </c>
      <c r="R12508" t="s">
        <v>581</v>
      </c>
      <c r="S12508" t="s">
        <v>823</v>
      </c>
      <c r="T12508">
        <v>39</v>
      </c>
      <c r="U12508" s="26" t="str">
        <f>HYPERLINK("https://ictv.global/ictv/proposals/2023.001B.Leviviricetes_reorg.zip","2023.001B.Leviviricetes_reorg.zip")</f>
        <v>2023.001B.Leviviricetes_reorg.zip</v>
      </c>
    </row>
    <row r="12509" spans="1:21">
      <c r="A12509">
        <v>12508</v>
      </c>
      <c r="B12509" s="27" t="s">
        <v>1124</v>
      </c>
      <c r="D12509" s="27" t="s">
        <v>1859</v>
      </c>
      <c r="F12509" s="27" t="s">
        <v>1881</v>
      </c>
      <c r="H12509" s="27" t="s">
        <v>2679</v>
      </c>
      <c r="J12509" s="27" t="s">
        <v>3210</v>
      </c>
      <c r="L12509" s="27" t="s">
        <v>3262</v>
      </c>
      <c r="N12509" s="27" t="s">
        <v>3329</v>
      </c>
      <c r="P12509" s="27" t="s">
        <v>16333</v>
      </c>
      <c r="Q12509" s="26" t="str">
        <f>HYPERLINK("https://ictv.global/taxonomy/taxondetails?taxnode_id=202517426&amp;ictv_id=ICTV202317426","ICTV202317426")</f>
        <v>ICTV202317426</v>
      </c>
      <c r="R12509" t="s">
        <v>581</v>
      </c>
      <c r="S12509" t="s">
        <v>823</v>
      </c>
      <c r="T12509">
        <v>39</v>
      </c>
      <c r="U12509" s="26" t="str">
        <f>HYPERLINK("https://ictv.global/ictv/proposals/2023.001B.Leviviricetes_reorg.zip","2023.001B.Leviviricetes_reorg.zip")</f>
        <v>2023.001B.Leviviricetes_reorg.zip</v>
      </c>
    </row>
    <row r="12510" spans="1:21">
      <c r="A12510">
        <v>12509</v>
      </c>
      <c r="B12510" s="27" t="s">
        <v>1124</v>
      </c>
      <c r="D12510" s="27" t="s">
        <v>1859</v>
      </c>
      <c r="F12510" s="27" t="s">
        <v>1881</v>
      </c>
      <c r="H12510" s="27" t="s">
        <v>2679</v>
      </c>
      <c r="J12510" s="27" t="s">
        <v>3210</v>
      </c>
      <c r="L12510" s="27" t="s">
        <v>3262</v>
      </c>
      <c r="N12510" s="27" t="s">
        <v>3329</v>
      </c>
      <c r="P12510" s="27" t="s">
        <v>16334</v>
      </c>
      <c r="Q12510" s="26" t="str">
        <f>HYPERLINK("https://ictv.global/taxonomy/taxondetails?taxnode_id=202517427&amp;ictv_id=ICTV202317427","ICTV202317427")</f>
        <v>ICTV202317427</v>
      </c>
      <c r="R12510" t="s">
        <v>581</v>
      </c>
      <c r="S12510" t="s">
        <v>823</v>
      </c>
      <c r="T12510">
        <v>39</v>
      </c>
      <c r="U12510" s="26" t="str">
        <f>HYPERLINK("https://ictv.global/ictv/proposals/2023.001B.Leviviricetes_reorg.zip","2023.001B.Leviviricetes_reorg.zip")</f>
        <v>2023.001B.Leviviricetes_reorg.zip</v>
      </c>
    </row>
    <row r="12511" spans="1:21">
      <c r="A12511">
        <v>12510</v>
      </c>
      <c r="B12511" s="27" t="s">
        <v>1124</v>
      </c>
      <c r="D12511" s="27" t="s">
        <v>1859</v>
      </c>
      <c r="F12511" s="27" t="s">
        <v>1881</v>
      </c>
      <c r="H12511" s="27" t="s">
        <v>2679</v>
      </c>
      <c r="J12511" s="27" t="s">
        <v>3210</v>
      </c>
      <c r="L12511" s="27" t="s">
        <v>3262</v>
      </c>
      <c r="N12511" s="27" t="s">
        <v>3329</v>
      </c>
      <c r="P12511" s="27" t="s">
        <v>3335</v>
      </c>
      <c r="Q12511" s="26" t="str">
        <f>HYPERLINK("https://ictv.global/taxonomy/taxondetails?taxnode_id=202511250&amp;ictv_id=ICTV202011250","ICTV202011250")</f>
        <v>ICTV202011250</v>
      </c>
      <c r="R12511" t="s">
        <v>581</v>
      </c>
      <c r="S12511" t="s">
        <v>823</v>
      </c>
      <c r="T12511">
        <v>36</v>
      </c>
      <c r="U12511" s="26" t="str">
        <f t="shared" ref="U12511:U12516" si="456">HYPERLINK("https://ictv.global/ictv/proposals/2020.095B.R.Leviviricetes.zip","2020.095B.R.Leviviricetes.zip")</f>
        <v>2020.095B.R.Leviviricetes.zip</v>
      </c>
    </row>
    <row r="12512" spans="1:21">
      <c r="A12512">
        <v>12511</v>
      </c>
      <c r="B12512" s="27" t="s">
        <v>1124</v>
      </c>
      <c r="D12512" s="27" t="s">
        <v>1859</v>
      </c>
      <c r="F12512" s="27" t="s">
        <v>1881</v>
      </c>
      <c r="H12512" s="27" t="s">
        <v>2679</v>
      </c>
      <c r="J12512" s="27" t="s">
        <v>3210</v>
      </c>
      <c r="L12512" s="27" t="s">
        <v>3262</v>
      </c>
      <c r="N12512" s="27" t="s">
        <v>3329</v>
      </c>
      <c r="P12512" s="27" t="s">
        <v>3336</v>
      </c>
      <c r="Q12512" s="26" t="str">
        <f>HYPERLINK("https://ictv.global/taxonomy/taxondetails?taxnode_id=202511252&amp;ictv_id=ICTV202011252","ICTV202011252")</f>
        <v>ICTV202011252</v>
      </c>
      <c r="R12512" t="s">
        <v>581</v>
      </c>
      <c r="S12512" t="s">
        <v>823</v>
      </c>
      <c r="T12512">
        <v>36</v>
      </c>
      <c r="U12512" s="26" t="str">
        <f t="shared" si="456"/>
        <v>2020.095B.R.Leviviricetes.zip</v>
      </c>
    </row>
    <row r="12513" spans="1:21">
      <c r="A12513">
        <v>12512</v>
      </c>
      <c r="B12513" s="27" t="s">
        <v>1124</v>
      </c>
      <c r="D12513" s="27" t="s">
        <v>1859</v>
      </c>
      <c r="F12513" s="27" t="s">
        <v>1881</v>
      </c>
      <c r="H12513" s="27" t="s">
        <v>2679</v>
      </c>
      <c r="J12513" s="27" t="s">
        <v>3210</v>
      </c>
      <c r="L12513" s="27" t="s">
        <v>3262</v>
      </c>
      <c r="N12513" s="27" t="s">
        <v>3329</v>
      </c>
      <c r="P12513" s="27" t="s">
        <v>3337</v>
      </c>
      <c r="Q12513" s="26" t="str">
        <f>HYPERLINK("https://ictv.global/taxonomy/taxondetails?taxnode_id=202511251&amp;ictv_id=ICTV202011251","ICTV202011251")</f>
        <v>ICTV202011251</v>
      </c>
      <c r="R12513" t="s">
        <v>581</v>
      </c>
      <c r="S12513" t="s">
        <v>823</v>
      </c>
      <c r="T12513">
        <v>36</v>
      </c>
      <c r="U12513" s="26" t="str">
        <f t="shared" si="456"/>
        <v>2020.095B.R.Leviviricetes.zip</v>
      </c>
    </row>
    <row r="12514" spans="1:21">
      <c r="A12514">
        <v>12513</v>
      </c>
      <c r="B12514" s="27" t="s">
        <v>1124</v>
      </c>
      <c r="D12514" s="27" t="s">
        <v>1859</v>
      </c>
      <c r="F12514" s="27" t="s">
        <v>1881</v>
      </c>
      <c r="H12514" s="27" t="s">
        <v>2679</v>
      </c>
      <c r="J12514" s="27" t="s">
        <v>3210</v>
      </c>
      <c r="L12514" s="27" t="s">
        <v>3262</v>
      </c>
      <c r="N12514" s="27" t="s">
        <v>3329</v>
      </c>
      <c r="P12514" s="27" t="s">
        <v>3338</v>
      </c>
      <c r="Q12514" s="26" t="str">
        <f>HYPERLINK("https://ictv.global/taxonomy/taxondetails?taxnode_id=202511253&amp;ictv_id=ICTV202011253","ICTV202011253")</f>
        <v>ICTV202011253</v>
      </c>
      <c r="R12514" t="s">
        <v>581</v>
      </c>
      <c r="S12514" t="s">
        <v>823</v>
      </c>
      <c r="T12514">
        <v>36</v>
      </c>
      <c r="U12514" s="26" t="str">
        <f t="shared" si="456"/>
        <v>2020.095B.R.Leviviricetes.zip</v>
      </c>
    </row>
    <row r="12515" spans="1:21">
      <c r="A12515">
        <v>12514</v>
      </c>
      <c r="B12515" s="27" t="s">
        <v>1124</v>
      </c>
      <c r="D12515" s="27" t="s">
        <v>1859</v>
      </c>
      <c r="F12515" s="27" t="s">
        <v>1881</v>
      </c>
      <c r="H12515" s="27" t="s">
        <v>2679</v>
      </c>
      <c r="J12515" s="27" t="s">
        <v>3210</v>
      </c>
      <c r="L12515" s="27" t="s">
        <v>3262</v>
      </c>
      <c r="N12515" s="27" t="s">
        <v>3329</v>
      </c>
      <c r="P12515" s="27" t="s">
        <v>3339</v>
      </c>
      <c r="Q12515" s="26" t="str">
        <f>HYPERLINK("https://ictv.global/taxonomy/taxondetails?taxnode_id=202511254&amp;ictv_id=ICTV202011254","ICTV202011254")</f>
        <v>ICTV202011254</v>
      </c>
      <c r="R12515" t="s">
        <v>581</v>
      </c>
      <c r="S12515" t="s">
        <v>823</v>
      </c>
      <c r="T12515">
        <v>36</v>
      </c>
      <c r="U12515" s="26" t="str">
        <f t="shared" si="456"/>
        <v>2020.095B.R.Leviviricetes.zip</v>
      </c>
    </row>
    <row r="12516" spans="1:21">
      <c r="A12516">
        <v>12515</v>
      </c>
      <c r="B12516" s="27" t="s">
        <v>1124</v>
      </c>
      <c r="D12516" s="27" t="s">
        <v>1859</v>
      </c>
      <c r="F12516" s="27" t="s">
        <v>1881</v>
      </c>
      <c r="H12516" s="27" t="s">
        <v>2679</v>
      </c>
      <c r="J12516" s="27" t="s">
        <v>3210</v>
      </c>
      <c r="L12516" s="27" t="s">
        <v>3262</v>
      </c>
      <c r="N12516" s="27" t="s">
        <v>3329</v>
      </c>
      <c r="P12516" s="27" t="s">
        <v>3340</v>
      </c>
      <c r="Q12516" s="26" t="str">
        <f>HYPERLINK("https://ictv.global/taxonomy/taxondetails?taxnode_id=202511255&amp;ictv_id=ICTV202011255","ICTV202011255")</f>
        <v>ICTV202011255</v>
      </c>
      <c r="R12516" t="s">
        <v>581</v>
      </c>
      <c r="S12516" t="s">
        <v>823</v>
      </c>
      <c r="T12516">
        <v>36</v>
      </c>
      <c r="U12516" s="26" t="str">
        <f t="shared" si="456"/>
        <v>2020.095B.R.Leviviricetes.zip</v>
      </c>
    </row>
    <row r="12517" spans="1:21">
      <c r="A12517">
        <v>12516</v>
      </c>
      <c r="B12517" s="27" t="s">
        <v>1124</v>
      </c>
      <c r="D12517" s="27" t="s">
        <v>1859</v>
      </c>
      <c r="F12517" s="27" t="s">
        <v>1881</v>
      </c>
      <c r="H12517" s="27" t="s">
        <v>2679</v>
      </c>
      <c r="J12517" s="27" t="s">
        <v>3210</v>
      </c>
      <c r="L12517" s="27" t="s">
        <v>3262</v>
      </c>
      <c r="N12517" s="27" t="s">
        <v>3329</v>
      </c>
      <c r="P12517" s="27" t="s">
        <v>16335</v>
      </c>
      <c r="Q12517" s="26" t="str">
        <f>HYPERLINK("https://ictv.global/taxonomy/taxondetails?taxnode_id=202517428&amp;ictv_id=ICTV202317428","ICTV202317428")</f>
        <v>ICTV202317428</v>
      </c>
      <c r="R12517" t="s">
        <v>581</v>
      </c>
      <c r="S12517" t="s">
        <v>823</v>
      </c>
      <c r="T12517">
        <v>39</v>
      </c>
      <c r="U12517" s="26" t="str">
        <f>HYPERLINK("https://ictv.global/ictv/proposals/2023.001B.Leviviricetes_reorg.zip","2023.001B.Leviviricetes_reorg.zip")</f>
        <v>2023.001B.Leviviricetes_reorg.zip</v>
      </c>
    </row>
    <row r="12518" spans="1:21">
      <c r="A12518">
        <v>12517</v>
      </c>
      <c r="B12518" s="27" t="s">
        <v>1124</v>
      </c>
      <c r="D12518" s="27" t="s">
        <v>1859</v>
      </c>
      <c r="F12518" s="27" t="s">
        <v>1881</v>
      </c>
      <c r="H12518" s="27" t="s">
        <v>2679</v>
      </c>
      <c r="J12518" s="27" t="s">
        <v>3210</v>
      </c>
      <c r="L12518" s="27" t="s">
        <v>3262</v>
      </c>
      <c r="N12518" s="27" t="s">
        <v>3329</v>
      </c>
      <c r="P12518" s="27" t="s">
        <v>3341</v>
      </c>
      <c r="Q12518" s="26" t="str">
        <f>HYPERLINK("https://ictv.global/taxonomy/taxondetails?taxnode_id=202511256&amp;ictv_id=ICTV202011256","ICTV202011256")</f>
        <v>ICTV202011256</v>
      </c>
      <c r="R12518" t="s">
        <v>581</v>
      </c>
      <c r="S12518" t="s">
        <v>823</v>
      </c>
      <c r="T12518">
        <v>36</v>
      </c>
      <c r="U12518" s="26" t="str">
        <f>HYPERLINK("https://ictv.global/ictv/proposals/2020.095B.R.Leviviricetes.zip","2020.095B.R.Leviviricetes.zip")</f>
        <v>2020.095B.R.Leviviricetes.zip</v>
      </c>
    </row>
    <row r="12519" spans="1:21">
      <c r="A12519">
        <v>12518</v>
      </c>
      <c r="B12519" s="27" t="s">
        <v>1124</v>
      </c>
      <c r="D12519" s="27" t="s">
        <v>1859</v>
      </c>
      <c r="F12519" s="27" t="s">
        <v>1881</v>
      </c>
      <c r="H12519" s="27" t="s">
        <v>2679</v>
      </c>
      <c r="J12519" s="27" t="s">
        <v>3210</v>
      </c>
      <c r="L12519" s="27" t="s">
        <v>3262</v>
      </c>
      <c r="N12519" s="27" t="s">
        <v>3329</v>
      </c>
      <c r="P12519" s="27" t="s">
        <v>3342</v>
      </c>
      <c r="Q12519" s="26" t="str">
        <f>HYPERLINK("https://ictv.global/taxonomy/taxondetails?taxnode_id=202511260&amp;ictv_id=ICTV202011260","ICTV202011260")</f>
        <v>ICTV202011260</v>
      </c>
      <c r="R12519" t="s">
        <v>581</v>
      </c>
      <c r="S12519" t="s">
        <v>823</v>
      </c>
      <c r="T12519">
        <v>36</v>
      </c>
      <c r="U12519" s="26" t="str">
        <f>HYPERLINK("https://ictv.global/ictv/proposals/2020.095B.R.Leviviricetes.zip","2020.095B.R.Leviviricetes.zip")</f>
        <v>2020.095B.R.Leviviricetes.zip</v>
      </c>
    </row>
    <row r="12520" spans="1:21">
      <c r="A12520">
        <v>12519</v>
      </c>
      <c r="B12520" s="27" t="s">
        <v>1124</v>
      </c>
      <c r="D12520" s="27" t="s">
        <v>1859</v>
      </c>
      <c r="F12520" s="27" t="s">
        <v>1881</v>
      </c>
      <c r="H12520" s="27" t="s">
        <v>2679</v>
      </c>
      <c r="J12520" s="27" t="s">
        <v>3210</v>
      </c>
      <c r="L12520" s="27" t="s">
        <v>3262</v>
      </c>
      <c r="N12520" s="27" t="s">
        <v>3329</v>
      </c>
      <c r="P12520" s="27" t="s">
        <v>3343</v>
      </c>
      <c r="Q12520" s="26" t="str">
        <f>HYPERLINK("https://ictv.global/taxonomy/taxondetails?taxnode_id=202511257&amp;ictv_id=ICTV202011257","ICTV202011257")</f>
        <v>ICTV202011257</v>
      </c>
      <c r="R12520" t="s">
        <v>581</v>
      </c>
      <c r="S12520" t="s">
        <v>823</v>
      </c>
      <c r="T12520">
        <v>36</v>
      </c>
      <c r="U12520" s="26" t="str">
        <f>HYPERLINK("https://ictv.global/ictv/proposals/2020.095B.R.Leviviricetes.zip","2020.095B.R.Leviviricetes.zip")</f>
        <v>2020.095B.R.Leviviricetes.zip</v>
      </c>
    </row>
    <row r="12521" spans="1:21">
      <c r="A12521">
        <v>12520</v>
      </c>
      <c r="B12521" s="27" t="s">
        <v>1124</v>
      </c>
      <c r="D12521" s="27" t="s">
        <v>1859</v>
      </c>
      <c r="F12521" s="27" t="s">
        <v>1881</v>
      </c>
      <c r="H12521" s="27" t="s">
        <v>2679</v>
      </c>
      <c r="J12521" s="27" t="s">
        <v>3210</v>
      </c>
      <c r="L12521" s="27" t="s">
        <v>3262</v>
      </c>
      <c r="N12521" s="27" t="s">
        <v>3329</v>
      </c>
      <c r="P12521" s="27" t="s">
        <v>3344</v>
      </c>
      <c r="Q12521" s="26" t="str">
        <f>HYPERLINK("https://ictv.global/taxonomy/taxondetails?taxnode_id=202511261&amp;ictv_id=ICTV202011261","ICTV202011261")</f>
        <v>ICTV202011261</v>
      </c>
      <c r="R12521" t="s">
        <v>581</v>
      </c>
      <c r="S12521" t="s">
        <v>823</v>
      </c>
      <c r="T12521">
        <v>36</v>
      </c>
      <c r="U12521" s="26" t="str">
        <f>HYPERLINK("https://ictv.global/ictv/proposals/2020.095B.R.Leviviricetes.zip","2020.095B.R.Leviviricetes.zip")</f>
        <v>2020.095B.R.Leviviricetes.zip</v>
      </c>
    </row>
    <row r="12522" spans="1:21">
      <c r="A12522">
        <v>12521</v>
      </c>
      <c r="B12522" s="27" t="s">
        <v>1124</v>
      </c>
      <c r="D12522" s="27" t="s">
        <v>1859</v>
      </c>
      <c r="F12522" s="27" t="s">
        <v>1881</v>
      </c>
      <c r="H12522" s="27" t="s">
        <v>2679</v>
      </c>
      <c r="J12522" s="27" t="s">
        <v>3210</v>
      </c>
      <c r="L12522" s="27" t="s">
        <v>3262</v>
      </c>
      <c r="N12522" s="27" t="s">
        <v>3329</v>
      </c>
      <c r="P12522" s="27" t="s">
        <v>16336</v>
      </c>
      <c r="Q12522" s="26" t="str">
        <f>HYPERLINK("https://ictv.global/taxonomy/taxondetails?taxnode_id=202517429&amp;ictv_id=ICTV202317429","ICTV202317429")</f>
        <v>ICTV202317429</v>
      </c>
      <c r="R12522" t="s">
        <v>581</v>
      </c>
      <c r="S12522" t="s">
        <v>823</v>
      </c>
      <c r="T12522">
        <v>39</v>
      </c>
      <c r="U12522" s="26" t="str">
        <f t="shared" ref="U12522:U12536" si="457">HYPERLINK("https://ictv.global/ictv/proposals/2023.001B.Leviviricetes_reorg.zip","2023.001B.Leviviricetes_reorg.zip")</f>
        <v>2023.001B.Leviviricetes_reorg.zip</v>
      </c>
    </row>
    <row r="12523" spans="1:21">
      <c r="A12523">
        <v>12522</v>
      </c>
      <c r="B12523" s="27" t="s">
        <v>1124</v>
      </c>
      <c r="D12523" s="27" t="s">
        <v>1859</v>
      </c>
      <c r="F12523" s="27" t="s">
        <v>1881</v>
      </c>
      <c r="H12523" s="27" t="s">
        <v>2679</v>
      </c>
      <c r="J12523" s="27" t="s">
        <v>3210</v>
      </c>
      <c r="L12523" s="27" t="s">
        <v>3262</v>
      </c>
      <c r="N12523" s="27" t="s">
        <v>3329</v>
      </c>
      <c r="P12523" s="27" t="s">
        <v>16337</v>
      </c>
      <c r="Q12523" s="26" t="str">
        <f>HYPERLINK("https://ictv.global/taxonomy/taxondetails?taxnode_id=202517430&amp;ictv_id=ICTV202317430","ICTV202317430")</f>
        <v>ICTV202317430</v>
      </c>
      <c r="R12523" t="s">
        <v>581</v>
      </c>
      <c r="S12523" t="s">
        <v>823</v>
      </c>
      <c r="T12523">
        <v>39</v>
      </c>
      <c r="U12523" s="26" t="str">
        <f t="shared" si="457"/>
        <v>2023.001B.Leviviricetes_reorg.zip</v>
      </c>
    </row>
    <row r="12524" spans="1:21">
      <c r="A12524">
        <v>12523</v>
      </c>
      <c r="B12524" s="27" t="s">
        <v>1124</v>
      </c>
      <c r="D12524" s="27" t="s">
        <v>1859</v>
      </c>
      <c r="F12524" s="27" t="s">
        <v>1881</v>
      </c>
      <c r="H12524" s="27" t="s">
        <v>2679</v>
      </c>
      <c r="J12524" s="27" t="s">
        <v>3210</v>
      </c>
      <c r="L12524" s="27" t="s">
        <v>3262</v>
      </c>
      <c r="N12524" s="27" t="s">
        <v>3329</v>
      </c>
      <c r="P12524" s="27" t="s">
        <v>16338</v>
      </c>
      <c r="Q12524" s="26" t="str">
        <f>HYPERLINK("https://ictv.global/taxonomy/taxondetails?taxnode_id=202517431&amp;ictv_id=ICTV202317431","ICTV202317431")</f>
        <v>ICTV202317431</v>
      </c>
      <c r="R12524" t="s">
        <v>581</v>
      </c>
      <c r="S12524" t="s">
        <v>823</v>
      </c>
      <c r="T12524">
        <v>39</v>
      </c>
      <c r="U12524" s="26" t="str">
        <f t="shared" si="457"/>
        <v>2023.001B.Leviviricetes_reorg.zip</v>
      </c>
    </row>
    <row r="12525" spans="1:21">
      <c r="A12525">
        <v>12524</v>
      </c>
      <c r="B12525" s="27" t="s">
        <v>1124</v>
      </c>
      <c r="D12525" s="27" t="s">
        <v>1859</v>
      </c>
      <c r="F12525" s="27" t="s">
        <v>1881</v>
      </c>
      <c r="H12525" s="27" t="s">
        <v>2679</v>
      </c>
      <c r="J12525" s="27" t="s">
        <v>3210</v>
      </c>
      <c r="L12525" s="27" t="s">
        <v>3262</v>
      </c>
      <c r="N12525" s="27" t="s">
        <v>3329</v>
      </c>
      <c r="P12525" s="27" t="s">
        <v>16339</v>
      </c>
      <c r="Q12525" s="26" t="str">
        <f>HYPERLINK("https://ictv.global/taxonomy/taxondetails?taxnode_id=202517432&amp;ictv_id=ICTV202317432","ICTV202317432")</f>
        <v>ICTV202317432</v>
      </c>
      <c r="R12525" t="s">
        <v>581</v>
      </c>
      <c r="S12525" t="s">
        <v>823</v>
      </c>
      <c r="T12525">
        <v>39</v>
      </c>
      <c r="U12525" s="26" t="str">
        <f t="shared" si="457"/>
        <v>2023.001B.Leviviricetes_reorg.zip</v>
      </c>
    </row>
    <row r="12526" spans="1:21">
      <c r="A12526">
        <v>12525</v>
      </c>
      <c r="B12526" s="27" t="s">
        <v>1124</v>
      </c>
      <c r="D12526" s="27" t="s">
        <v>1859</v>
      </c>
      <c r="F12526" s="27" t="s">
        <v>1881</v>
      </c>
      <c r="H12526" s="27" t="s">
        <v>2679</v>
      </c>
      <c r="J12526" s="27" t="s">
        <v>3210</v>
      </c>
      <c r="L12526" s="27" t="s">
        <v>3262</v>
      </c>
      <c r="N12526" s="27" t="s">
        <v>3329</v>
      </c>
      <c r="P12526" s="27" t="s">
        <v>16340</v>
      </c>
      <c r="Q12526" s="26" t="str">
        <f>HYPERLINK("https://ictv.global/taxonomy/taxondetails?taxnode_id=202517433&amp;ictv_id=ICTV202317433","ICTV202317433")</f>
        <v>ICTV202317433</v>
      </c>
      <c r="R12526" t="s">
        <v>581</v>
      </c>
      <c r="S12526" t="s">
        <v>823</v>
      </c>
      <c r="T12526">
        <v>39</v>
      </c>
      <c r="U12526" s="26" t="str">
        <f t="shared" si="457"/>
        <v>2023.001B.Leviviricetes_reorg.zip</v>
      </c>
    </row>
    <row r="12527" spans="1:21">
      <c r="A12527">
        <v>12526</v>
      </c>
      <c r="B12527" s="27" t="s">
        <v>1124</v>
      </c>
      <c r="D12527" s="27" t="s">
        <v>1859</v>
      </c>
      <c r="F12527" s="27" t="s">
        <v>1881</v>
      </c>
      <c r="H12527" s="27" t="s">
        <v>2679</v>
      </c>
      <c r="J12527" s="27" t="s">
        <v>3210</v>
      </c>
      <c r="L12527" s="27" t="s">
        <v>3262</v>
      </c>
      <c r="N12527" s="27" t="s">
        <v>3345</v>
      </c>
      <c r="P12527" s="27" t="s">
        <v>16341</v>
      </c>
      <c r="Q12527" s="26" t="str">
        <f>HYPERLINK("https://ictv.global/taxonomy/taxondetails?taxnode_id=202517434&amp;ictv_id=ICTV202317434","ICTV202317434")</f>
        <v>ICTV202317434</v>
      </c>
      <c r="R12527" t="s">
        <v>581</v>
      </c>
      <c r="S12527" t="s">
        <v>823</v>
      </c>
      <c r="T12527">
        <v>39</v>
      </c>
      <c r="U12527" s="26" t="str">
        <f t="shared" si="457"/>
        <v>2023.001B.Leviviricetes_reorg.zip</v>
      </c>
    </row>
    <row r="12528" spans="1:21">
      <c r="A12528">
        <v>12527</v>
      </c>
      <c r="B12528" s="27" t="s">
        <v>1124</v>
      </c>
      <c r="D12528" s="27" t="s">
        <v>1859</v>
      </c>
      <c r="F12528" s="27" t="s">
        <v>1881</v>
      </c>
      <c r="H12528" s="27" t="s">
        <v>2679</v>
      </c>
      <c r="J12528" s="27" t="s">
        <v>3210</v>
      </c>
      <c r="L12528" s="27" t="s">
        <v>3262</v>
      </c>
      <c r="N12528" s="27" t="s">
        <v>3345</v>
      </c>
      <c r="P12528" s="27" t="s">
        <v>16342</v>
      </c>
      <c r="Q12528" s="26" t="str">
        <f>HYPERLINK("https://ictv.global/taxonomy/taxondetails?taxnode_id=202517435&amp;ictv_id=ICTV202317435","ICTV202317435")</f>
        <v>ICTV202317435</v>
      </c>
      <c r="R12528" t="s">
        <v>581</v>
      </c>
      <c r="S12528" t="s">
        <v>823</v>
      </c>
      <c r="T12528">
        <v>39</v>
      </c>
      <c r="U12528" s="26" t="str">
        <f t="shared" si="457"/>
        <v>2023.001B.Leviviricetes_reorg.zip</v>
      </c>
    </row>
    <row r="12529" spans="1:21">
      <c r="A12529">
        <v>12528</v>
      </c>
      <c r="B12529" s="27" t="s">
        <v>1124</v>
      </c>
      <c r="D12529" s="27" t="s">
        <v>1859</v>
      </c>
      <c r="F12529" s="27" t="s">
        <v>1881</v>
      </c>
      <c r="H12529" s="27" t="s">
        <v>2679</v>
      </c>
      <c r="J12529" s="27" t="s">
        <v>3210</v>
      </c>
      <c r="L12529" s="27" t="s">
        <v>3262</v>
      </c>
      <c r="N12529" s="27" t="s">
        <v>3345</v>
      </c>
      <c r="P12529" s="27" t="s">
        <v>16343</v>
      </c>
      <c r="Q12529" s="26" t="str">
        <f>HYPERLINK("https://ictv.global/taxonomy/taxondetails?taxnode_id=202517436&amp;ictv_id=ICTV202317436","ICTV202317436")</f>
        <v>ICTV202317436</v>
      </c>
      <c r="R12529" t="s">
        <v>581</v>
      </c>
      <c r="S12529" t="s">
        <v>823</v>
      </c>
      <c r="T12529">
        <v>39</v>
      </c>
      <c r="U12529" s="26" t="str">
        <f t="shared" si="457"/>
        <v>2023.001B.Leviviricetes_reorg.zip</v>
      </c>
    </row>
    <row r="12530" spans="1:21">
      <c r="A12530">
        <v>12529</v>
      </c>
      <c r="B12530" s="27" t="s">
        <v>1124</v>
      </c>
      <c r="D12530" s="27" t="s">
        <v>1859</v>
      </c>
      <c r="F12530" s="27" t="s">
        <v>1881</v>
      </c>
      <c r="H12530" s="27" t="s">
        <v>2679</v>
      </c>
      <c r="J12530" s="27" t="s">
        <v>3210</v>
      </c>
      <c r="L12530" s="27" t="s">
        <v>3262</v>
      </c>
      <c r="N12530" s="27" t="s">
        <v>3345</v>
      </c>
      <c r="P12530" s="27" t="s">
        <v>16344</v>
      </c>
      <c r="Q12530" s="26" t="str">
        <f>HYPERLINK("https://ictv.global/taxonomy/taxondetails?taxnode_id=202517437&amp;ictv_id=ICTV202317437","ICTV202317437")</f>
        <v>ICTV202317437</v>
      </c>
      <c r="R12530" t="s">
        <v>581</v>
      </c>
      <c r="S12530" t="s">
        <v>823</v>
      </c>
      <c r="T12530">
        <v>39</v>
      </c>
      <c r="U12530" s="26" t="str">
        <f t="shared" si="457"/>
        <v>2023.001B.Leviviricetes_reorg.zip</v>
      </c>
    </row>
    <row r="12531" spans="1:21">
      <c r="A12531">
        <v>12530</v>
      </c>
      <c r="B12531" s="27" t="s">
        <v>1124</v>
      </c>
      <c r="D12531" s="27" t="s">
        <v>1859</v>
      </c>
      <c r="F12531" s="27" t="s">
        <v>1881</v>
      </c>
      <c r="H12531" s="27" t="s">
        <v>2679</v>
      </c>
      <c r="J12531" s="27" t="s">
        <v>3210</v>
      </c>
      <c r="L12531" s="27" t="s">
        <v>3262</v>
      </c>
      <c r="N12531" s="27" t="s">
        <v>3345</v>
      </c>
      <c r="P12531" s="27" t="s">
        <v>16345</v>
      </c>
      <c r="Q12531" s="26" t="str">
        <f>HYPERLINK("https://ictv.global/taxonomy/taxondetails?taxnode_id=202517438&amp;ictv_id=ICTV202317438","ICTV202317438")</f>
        <v>ICTV202317438</v>
      </c>
      <c r="R12531" t="s">
        <v>581</v>
      </c>
      <c r="S12531" t="s">
        <v>823</v>
      </c>
      <c r="T12531">
        <v>39</v>
      </c>
      <c r="U12531" s="26" t="str">
        <f t="shared" si="457"/>
        <v>2023.001B.Leviviricetes_reorg.zip</v>
      </c>
    </row>
    <row r="12532" spans="1:21">
      <c r="A12532">
        <v>12531</v>
      </c>
      <c r="B12532" s="27" t="s">
        <v>1124</v>
      </c>
      <c r="D12532" s="27" t="s">
        <v>1859</v>
      </c>
      <c r="F12532" s="27" t="s">
        <v>1881</v>
      </c>
      <c r="H12532" s="27" t="s">
        <v>2679</v>
      </c>
      <c r="J12532" s="27" t="s">
        <v>3210</v>
      </c>
      <c r="L12532" s="27" t="s">
        <v>3262</v>
      </c>
      <c r="N12532" s="27" t="s">
        <v>3345</v>
      </c>
      <c r="P12532" s="27" t="s">
        <v>16346</v>
      </c>
      <c r="Q12532" s="26" t="str">
        <f>HYPERLINK("https://ictv.global/taxonomy/taxondetails?taxnode_id=202517439&amp;ictv_id=ICTV202317439","ICTV202317439")</f>
        <v>ICTV202317439</v>
      </c>
      <c r="R12532" t="s">
        <v>581</v>
      </c>
      <c r="S12532" t="s">
        <v>823</v>
      </c>
      <c r="T12532">
        <v>39</v>
      </c>
      <c r="U12532" s="26" t="str">
        <f t="shared" si="457"/>
        <v>2023.001B.Leviviricetes_reorg.zip</v>
      </c>
    </row>
    <row r="12533" spans="1:21">
      <c r="A12533">
        <v>12532</v>
      </c>
      <c r="B12533" s="27" t="s">
        <v>1124</v>
      </c>
      <c r="D12533" s="27" t="s">
        <v>1859</v>
      </c>
      <c r="F12533" s="27" t="s">
        <v>1881</v>
      </c>
      <c r="H12533" s="27" t="s">
        <v>2679</v>
      </c>
      <c r="J12533" s="27" t="s">
        <v>3210</v>
      </c>
      <c r="L12533" s="27" t="s">
        <v>3262</v>
      </c>
      <c r="N12533" s="27" t="s">
        <v>3345</v>
      </c>
      <c r="P12533" s="27" t="s">
        <v>16347</v>
      </c>
      <c r="Q12533" s="26" t="str">
        <f>HYPERLINK("https://ictv.global/taxonomy/taxondetails?taxnode_id=202517440&amp;ictv_id=ICTV202317440","ICTV202317440")</f>
        <v>ICTV202317440</v>
      </c>
      <c r="R12533" t="s">
        <v>581</v>
      </c>
      <c r="S12533" t="s">
        <v>823</v>
      </c>
      <c r="T12533">
        <v>39</v>
      </c>
      <c r="U12533" s="26" t="str">
        <f t="shared" si="457"/>
        <v>2023.001B.Leviviricetes_reorg.zip</v>
      </c>
    </row>
    <row r="12534" spans="1:21">
      <c r="A12534">
        <v>12533</v>
      </c>
      <c r="B12534" s="27" t="s">
        <v>1124</v>
      </c>
      <c r="D12534" s="27" t="s">
        <v>1859</v>
      </c>
      <c r="F12534" s="27" t="s">
        <v>1881</v>
      </c>
      <c r="H12534" s="27" t="s">
        <v>2679</v>
      </c>
      <c r="J12534" s="27" t="s">
        <v>3210</v>
      </c>
      <c r="L12534" s="27" t="s">
        <v>3262</v>
      </c>
      <c r="N12534" s="27" t="s">
        <v>3345</v>
      </c>
      <c r="P12534" s="27" t="s">
        <v>16348</v>
      </c>
      <c r="Q12534" s="26" t="str">
        <f>HYPERLINK("https://ictv.global/taxonomy/taxondetails?taxnode_id=202517441&amp;ictv_id=ICTV202317441","ICTV202317441")</f>
        <v>ICTV202317441</v>
      </c>
      <c r="R12534" t="s">
        <v>581</v>
      </c>
      <c r="S12534" t="s">
        <v>823</v>
      </c>
      <c r="T12534">
        <v>39</v>
      </c>
      <c r="U12534" s="26" t="str">
        <f t="shared" si="457"/>
        <v>2023.001B.Leviviricetes_reorg.zip</v>
      </c>
    </row>
    <row r="12535" spans="1:21">
      <c r="A12535">
        <v>12534</v>
      </c>
      <c r="B12535" s="27" t="s">
        <v>1124</v>
      </c>
      <c r="D12535" s="27" t="s">
        <v>1859</v>
      </c>
      <c r="F12535" s="27" t="s">
        <v>1881</v>
      </c>
      <c r="H12535" s="27" t="s">
        <v>2679</v>
      </c>
      <c r="J12535" s="27" t="s">
        <v>3210</v>
      </c>
      <c r="L12535" s="27" t="s">
        <v>3262</v>
      </c>
      <c r="N12535" s="27" t="s">
        <v>3345</v>
      </c>
      <c r="P12535" s="27" t="s">
        <v>16349</v>
      </c>
      <c r="Q12535" s="26" t="str">
        <f>HYPERLINK("https://ictv.global/taxonomy/taxondetails?taxnode_id=202517442&amp;ictv_id=ICTV202317442","ICTV202317442")</f>
        <v>ICTV202317442</v>
      </c>
      <c r="R12535" t="s">
        <v>581</v>
      </c>
      <c r="S12535" t="s">
        <v>823</v>
      </c>
      <c r="T12535">
        <v>39</v>
      </c>
      <c r="U12535" s="26" t="str">
        <f t="shared" si="457"/>
        <v>2023.001B.Leviviricetes_reorg.zip</v>
      </c>
    </row>
    <row r="12536" spans="1:21">
      <c r="A12536">
        <v>12535</v>
      </c>
      <c r="B12536" s="27" t="s">
        <v>1124</v>
      </c>
      <c r="D12536" s="27" t="s">
        <v>1859</v>
      </c>
      <c r="F12536" s="27" t="s">
        <v>1881</v>
      </c>
      <c r="H12536" s="27" t="s">
        <v>2679</v>
      </c>
      <c r="J12536" s="27" t="s">
        <v>3210</v>
      </c>
      <c r="L12536" s="27" t="s">
        <v>3262</v>
      </c>
      <c r="N12536" s="27" t="s">
        <v>3345</v>
      </c>
      <c r="P12536" s="27" t="s">
        <v>16350</v>
      </c>
      <c r="Q12536" s="26" t="str">
        <f>HYPERLINK("https://ictv.global/taxonomy/taxondetails?taxnode_id=202517443&amp;ictv_id=ICTV202317443","ICTV202317443")</f>
        <v>ICTV202317443</v>
      </c>
      <c r="R12536" t="s">
        <v>581</v>
      </c>
      <c r="S12536" t="s">
        <v>823</v>
      </c>
      <c r="T12536">
        <v>39</v>
      </c>
      <c r="U12536" s="26" t="str">
        <f t="shared" si="457"/>
        <v>2023.001B.Leviviricetes_reorg.zip</v>
      </c>
    </row>
    <row r="12537" spans="1:21">
      <c r="A12537">
        <v>12536</v>
      </c>
      <c r="B12537" s="27" t="s">
        <v>1124</v>
      </c>
      <c r="D12537" s="27" t="s">
        <v>1859</v>
      </c>
      <c r="F12537" s="27" t="s">
        <v>1881</v>
      </c>
      <c r="H12537" s="27" t="s">
        <v>2679</v>
      </c>
      <c r="J12537" s="27" t="s">
        <v>3210</v>
      </c>
      <c r="L12537" s="27" t="s">
        <v>3262</v>
      </c>
      <c r="N12537" s="27" t="s">
        <v>3345</v>
      </c>
      <c r="P12537" s="27" t="s">
        <v>3346</v>
      </c>
      <c r="Q12537" s="26" t="str">
        <f>HYPERLINK("https://ictv.global/taxonomy/taxondetails?taxnode_id=202511266&amp;ictv_id=ICTV202011266","ICTV202011266")</f>
        <v>ICTV202011266</v>
      </c>
      <c r="R12537" t="s">
        <v>581</v>
      </c>
      <c r="S12537" t="s">
        <v>823</v>
      </c>
      <c r="T12537">
        <v>36</v>
      </c>
      <c r="U12537" s="26" t="str">
        <f t="shared" ref="U12537:U12542" si="458">HYPERLINK("https://ictv.global/ictv/proposals/2020.095B.R.Leviviricetes.zip","2020.095B.R.Leviviricetes.zip")</f>
        <v>2020.095B.R.Leviviricetes.zip</v>
      </c>
    </row>
    <row r="12538" spans="1:21">
      <c r="A12538">
        <v>12537</v>
      </c>
      <c r="B12538" s="27" t="s">
        <v>1124</v>
      </c>
      <c r="D12538" s="27" t="s">
        <v>1859</v>
      </c>
      <c r="F12538" s="27" t="s">
        <v>1881</v>
      </c>
      <c r="H12538" s="27" t="s">
        <v>2679</v>
      </c>
      <c r="J12538" s="27" t="s">
        <v>3210</v>
      </c>
      <c r="L12538" s="27" t="s">
        <v>3262</v>
      </c>
      <c r="N12538" s="27" t="s">
        <v>3345</v>
      </c>
      <c r="P12538" s="27" t="s">
        <v>3347</v>
      </c>
      <c r="Q12538" s="26" t="str">
        <f>HYPERLINK("https://ictv.global/taxonomy/taxondetails?taxnode_id=202511267&amp;ictv_id=ICTV202011267","ICTV202011267")</f>
        <v>ICTV202011267</v>
      </c>
      <c r="R12538" t="s">
        <v>581</v>
      </c>
      <c r="S12538" t="s">
        <v>823</v>
      </c>
      <c r="T12538">
        <v>36</v>
      </c>
      <c r="U12538" s="26" t="str">
        <f t="shared" si="458"/>
        <v>2020.095B.R.Leviviricetes.zip</v>
      </c>
    </row>
    <row r="12539" spans="1:21">
      <c r="A12539">
        <v>12538</v>
      </c>
      <c r="B12539" s="27" t="s">
        <v>1124</v>
      </c>
      <c r="D12539" s="27" t="s">
        <v>1859</v>
      </c>
      <c r="F12539" s="27" t="s">
        <v>1881</v>
      </c>
      <c r="H12539" s="27" t="s">
        <v>2679</v>
      </c>
      <c r="J12539" s="27" t="s">
        <v>3210</v>
      </c>
      <c r="L12539" s="27" t="s">
        <v>3262</v>
      </c>
      <c r="N12539" s="27" t="s">
        <v>3345</v>
      </c>
      <c r="P12539" s="27" t="s">
        <v>3348</v>
      </c>
      <c r="Q12539" s="26" t="str">
        <f>HYPERLINK("https://ictv.global/taxonomy/taxondetails?taxnode_id=202511263&amp;ictv_id=ICTV202011263","ICTV202011263")</f>
        <v>ICTV202011263</v>
      </c>
      <c r="R12539" t="s">
        <v>581</v>
      </c>
      <c r="S12539" t="s">
        <v>823</v>
      </c>
      <c r="T12539">
        <v>36</v>
      </c>
      <c r="U12539" s="26" t="str">
        <f t="shared" si="458"/>
        <v>2020.095B.R.Leviviricetes.zip</v>
      </c>
    </row>
    <row r="12540" spans="1:21">
      <c r="A12540">
        <v>12539</v>
      </c>
      <c r="B12540" s="27" t="s">
        <v>1124</v>
      </c>
      <c r="D12540" s="27" t="s">
        <v>1859</v>
      </c>
      <c r="F12540" s="27" t="s">
        <v>1881</v>
      </c>
      <c r="H12540" s="27" t="s">
        <v>2679</v>
      </c>
      <c r="J12540" s="27" t="s">
        <v>3210</v>
      </c>
      <c r="L12540" s="27" t="s">
        <v>3262</v>
      </c>
      <c r="N12540" s="27" t="s">
        <v>3345</v>
      </c>
      <c r="P12540" s="27" t="s">
        <v>3349</v>
      </c>
      <c r="Q12540" s="26" t="str">
        <f>HYPERLINK("https://ictv.global/taxonomy/taxondetails?taxnode_id=202511268&amp;ictv_id=ICTV202011268","ICTV202011268")</f>
        <v>ICTV202011268</v>
      </c>
      <c r="R12540" t="s">
        <v>581</v>
      </c>
      <c r="S12540" t="s">
        <v>823</v>
      </c>
      <c r="T12540">
        <v>36</v>
      </c>
      <c r="U12540" s="26" t="str">
        <f t="shared" si="458"/>
        <v>2020.095B.R.Leviviricetes.zip</v>
      </c>
    </row>
    <row r="12541" spans="1:21">
      <c r="A12541">
        <v>12540</v>
      </c>
      <c r="B12541" s="27" t="s">
        <v>1124</v>
      </c>
      <c r="D12541" s="27" t="s">
        <v>1859</v>
      </c>
      <c r="F12541" s="27" t="s">
        <v>1881</v>
      </c>
      <c r="H12541" s="27" t="s">
        <v>2679</v>
      </c>
      <c r="J12541" s="27" t="s">
        <v>3210</v>
      </c>
      <c r="L12541" s="27" t="s">
        <v>3262</v>
      </c>
      <c r="N12541" s="27" t="s">
        <v>3345</v>
      </c>
      <c r="P12541" s="27" t="s">
        <v>3350</v>
      </c>
      <c r="Q12541" s="26" t="str">
        <f>HYPERLINK("https://ictv.global/taxonomy/taxondetails?taxnode_id=202511269&amp;ictv_id=ICTV202011269","ICTV202011269")</f>
        <v>ICTV202011269</v>
      </c>
      <c r="R12541" t="s">
        <v>581</v>
      </c>
      <c r="S12541" t="s">
        <v>823</v>
      </c>
      <c r="T12541">
        <v>36</v>
      </c>
      <c r="U12541" s="26" t="str">
        <f t="shared" si="458"/>
        <v>2020.095B.R.Leviviricetes.zip</v>
      </c>
    </row>
    <row r="12542" spans="1:21">
      <c r="A12542">
        <v>12541</v>
      </c>
      <c r="B12542" s="27" t="s">
        <v>1124</v>
      </c>
      <c r="D12542" s="27" t="s">
        <v>1859</v>
      </c>
      <c r="F12542" s="27" t="s">
        <v>1881</v>
      </c>
      <c r="H12542" s="27" t="s">
        <v>2679</v>
      </c>
      <c r="J12542" s="27" t="s">
        <v>3210</v>
      </c>
      <c r="L12542" s="27" t="s">
        <v>3262</v>
      </c>
      <c r="N12542" s="27" t="s">
        <v>3345</v>
      </c>
      <c r="P12542" s="27" t="s">
        <v>3351</v>
      </c>
      <c r="Q12542" s="26" t="str">
        <f>HYPERLINK("https://ictv.global/taxonomy/taxondetails?taxnode_id=202511270&amp;ictv_id=ICTV202011270","ICTV202011270")</f>
        <v>ICTV202011270</v>
      </c>
      <c r="R12542" t="s">
        <v>581</v>
      </c>
      <c r="S12542" t="s">
        <v>823</v>
      </c>
      <c r="T12542">
        <v>36</v>
      </c>
      <c r="U12542" s="26" t="str">
        <f t="shared" si="458"/>
        <v>2020.095B.R.Leviviricetes.zip</v>
      </c>
    </row>
    <row r="12543" spans="1:21">
      <c r="A12543">
        <v>12542</v>
      </c>
      <c r="B12543" s="27" t="s">
        <v>1124</v>
      </c>
      <c r="D12543" s="27" t="s">
        <v>1859</v>
      </c>
      <c r="F12543" s="27" t="s">
        <v>1881</v>
      </c>
      <c r="H12543" s="27" t="s">
        <v>2679</v>
      </c>
      <c r="J12543" s="27" t="s">
        <v>3210</v>
      </c>
      <c r="L12543" s="27" t="s">
        <v>3262</v>
      </c>
      <c r="N12543" s="27" t="s">
        <v>3345</v>
      </c>
      <c r="P12543" s="27" t="s">
        <v>16351</v>
      </c>
      <c r="Q12543" s="26" t="str">
        <f>HYPERLINK("https://ictv.global/taxonomy/taxondetails?taxnode_id=202517444&amp;ictv_id=ICTV202317444","ICTV202317444")</f>
        <v>ICTV202317444</v>
      </c>
      <c r="R12543" t="s">
        <v>581</v>
      </c>
      <c r="S12543" t="s">
        <v>823</v>
      </c>
      <c r="T12543">
        <v>39</v>
      </c>
      <c r="U12543" s="26" t="str">
        <f t="shared" ref="U12543:U12554" si="459">HYPERLINK("https://ictv.global/ictv/proposals/2023.001B.Leviviricetes_reorg.zip","2023.001B.Leviviricetes_reorg.zip")</f>
        <v>2023.001B.Leviviricetes_reorg.zip</v>
      </c>
    </row>
    <row r="12544" spans="1:21">
      <c r="A12544">
        <v>12543</v>
      </c>
      <c r="B12544" s="27" t="s">
        <v>1124</v>
      </c>
      <c r="D12544" s="27" t="s">
        <v>1859</v>
      </c>
      <c r="F12544" s="27" t="s">
        <v>1881</v>
      </c>
      <c r="H12544" s="27" t="s">
        <v>2679</v>
      </c>
      <c r="J12544" s="27" t="s">
        <v>3210</v>
      </c>
      <c r="L12544" s="27" t="s">
        <v>3262</v>
      </c>
      <c r="N12544" s="27" t="s">
        <v>3345</v>
      </c>
      <c r="P12544" s="27" t="s">
        <v>16352</v>
      </c>
      <c r="Q12544" s="26" t="str">
        <f>HYPERLINK("https://ictv.global/taxonomy/taxondetails?taxnode_id=202517445&amp;ictv_id=ICTV202317445","ICTV202317445")</f>
        <v>ICTV202317445</v>
      </c>
      <c r="R12544" t="s">
        <v>581</v>
      </c>
      <c r="S12544" t="s">
        <v>823</v>
      </c>
      <c r="T12544">
        <v>39</v>
      </c>
      <c r="U12544" s="26" t="str">
        <f t="shared" si="459"/>
        <v>2023.001B.Leviviricetes_reorg.zip</v>
      </c>
    </row>
    <row r="12545" spans="1:21">
      <c r="A12545">
        <v>12544</v>
      </c>
      <c r="B12545" s="27" t="s">
        <v>1124</v>
      </c>
      <c r="D12545" s="27" t="s">
        <v>1859</v>
      </c>
      <c r="F12545" s="27" t="s">
        <v>1881</v>
      </c>
      <c r="H12545" s="27" t="s">
        <v>2679</v>
      </c>
      <c r="J12545" s="27" t="s">
        <v>3210</v>
      </c>
      <c r="L12545" s="27" t="s">
        <v>3262</v>
      </c>
      <c r="N12545" s="27" t="s">
        <v>3345</v>
      </c>
      <c r="P12545" s="27" t="s">
        <v>16353</v>
      </c>
      <c r="Q12545" s="26" t="str">
        <f>HYPERLINK("https://ictv.global/taxonomy/taxondetails?taxnode_id=202517446&amp;ictv_id=ICTV202317446","ICTV202317446")</f>
        <v>ICTV202317446</v>
      </c>
      <c r="R12545" t="s">
        <v>581</v>
      </c>
      <c r="S12545" t="s">
        <v>823</v>
      </c>
      <c r="T12545">
        <v>39</v>
      </c>
      <c r="U12545" s="26" t="str">
        <f t="shared" si="459"/>
        <v>2023.001B.Leviviricetes_reorg.zip</v>
      </c>
    </row>
    <row r="12546" spans="1:21">
      <c r="A12546">
        <v>12545</v>
      </c>
      <c r="B12546" s="27" t="s">
        <v>1124</v>
      </c>
      <c r="D12546" s="27" t="s">
        <v>1859</v>
      </c>
      <c r="F12546" s="27" t="s">
        <v>1881</v>
      </c>
      <c r="H12546" s="27" t="s">
        <v>2679</v>
      </c>
      <c r="J12546" s="27" t="s">
        <v>3210</v>
      </c>
      <c r="L12546" s="27" t="s">
        <v>3262</v>
      </c>
      <c r="N12546" s="27" t="s">
        <v>3345</v>
      </c>
      <c r="P12546" s="27" t="s">
        <v>16354</v>
      </c>
      <c r="Q12546" s="26" t="str">
        <f>HYPERLINK("https://ictv.global/taxonomy/taxondetails?taxnode_id=202517447&amp;ictv_id=ICTV202317447","ICTV202317447")</f>
        <v>ICTV202317447</v>
      </c>
      <c r="R12546" t="s">
        <v>581</v>
      </c>
      <c r="S12546" t="s">
        <v>823</v>
      </c>
      <c r="T12546">
        <v>39</v>
      </c>
      <c r="U12546" s="26" t="str">
        <f t="shared" si="459"/>
        <v>2023.001B.Leviviricetes_reorg.zip</v>
      </c>
    </row>
    <row r="12547" spans="1:21">
      <c r="A12547">
        <v>12546</v>
      </c>
      <c r="B12547" s="27" t="s">
        <v>1124</v>
      </c>
      <c r="D12547" s="27" t="s">
        <v>1859</v>
      </c>
      <c r="F12547" s="27" t="s">
        <v>1881</v>
      </c>
      <c r="H12547" s="27" t="s">
        <v>2679</v>
      </c>
      <c r="J12547" s="27" t="s">
        <v>3210</v>
      </c>
      <c r="L12547" s="27" t="s">
        <v>3262</v>
      </c>
      <c r="N12547" s="27" t="s">
        <v>3345</v>
      </c>
      <c r="P12547" s="27" t="s">
        <v>16355</v>
      </c>
      <c r="Q12547" s="26" t="str">
        <f>HYPERLINK("https://ictv.global/taxonomy/taxondetails?taxnode_id=202517448&amp;ictv_id=ICTV202317448","ICTV202317448")</f>
        <v>ICTV202317448</v>
      </c>
      <c r="R12547" t="s">
        <v>581</v>
      </c>
      <c r="S12547" t="s">
        <v>823</v>
      </c>
      <c r="T12547">
        <v>39</v>
      </c>
      <c r="U12547" s="26" t="str">
        <f t="shared" si="459"/>
        <v>2023.001B.Leviviricetes_reorg.zip</v>
      </c>
    </row>
    <row r="12548" spans="1:21">
      <c r="A12548">
        <v>12547</v>
      </c>
      <c r="B12548" s="27" t="s">
        <v>1124</v>
      </c>
      <c r="D12548" s="27" t="s">
        <v>1859</v>
      </c>
      <c r="F12548" s="27" t="s">
        <v>1881</v>
      </c>
      <c r="H12548" s="27" t="s">
        <v>2679</v>
      </c>
      <c r="J12548" s="27" t="s">
        <v>3210</v>
      </c>
      <c r="L12548" s="27" t="s">
        <v>3262</v>
      </c>
      <c r="N12548" s="27" t="s">
        <v>3345</v>
      </c>
      <c r="P12548" s="27" t="s">
        <v>16356</v>
      </c>
      <c r="Q12548" s="26" t="str">
        <f>HYPERLINK("https://ictv.global/taxonomy/taxondetails?taxnode_id=202517449&amp;ictv_id=ICTV202317449","ICTV202317449")</f>
        <v>ICTV202317449</v>
      </c>
      <c r="R12548" t="s">
        <v>581</v>
      </c>
      <c r="S12548" t="s">
        <v>823</v>
      </c>
      <c r="T12548">
        <v>39</v>
      </c>
      <c r="U12548" s="26" t="str">
        <f t="shared" si="459"/>
        <v>2023.001B.Leviviricetes_reorg.zip</v>
      </c>
    </row>
    <row r="12549" spans="1:21">
      <c r="A12549">
        <v>12548</v>
      </c>
      <c r="B12549" s="27" t="s">
        <v>1124</v>
      </c>
      <c r="D12549" s="27" t="s">
        <v>1859</v>
      </c>
      <c r="F12549" s="27" t="s">
        <v>1881</v>
      </c>
      <c r="H12549" s="27" t="s">
        <v>2679</v>
      </c>
      <c r="J12549" s="27" t="s">
        <v>3210</v>
      </c>
      <c r="L12549" s="27" t="s">
        <v>3262</v>
      </c>
      <c r="N12549" s="27" t="s">
        <v>3345</v>
      </c>
      <c r="P12549" s="27" t="s">
        <v>16357</v>
      </c>
      <c r="Q12549" s="26" t="str">
        <f>HYPERLINK("https://ictv.global/taxonomy/taxondetails?taxnode_id=202517450&amp;ictv_id=ICTV202317450","ICTV202317450")</f>
        <v>ICTV202317450</v>
      </c>
      <c r="R12549" t="s">
        <v>581</v>
      </c>
      <c r="S12549" t="s">
        <v>823</v>
      </c>
      <c r="T12549">
        <v>39</v>
      </c>
      <c r="U12549" s="26" t="str">
        <f t="shared" si="459"/>
        <v>2023.001B.Leviviricetes_reorg.zip</v>
      </c>
    </row>
    <row r="12550" spans="1:21">
      <c r="A12550">
        <v>12549</v>
      </c>
      <c r="B12550" s="27" t="s">
        <v>1124</v>
      </c>
      <c r="D12550" s="27" t="s">
        <v>1859</v>
      </c>
      <c r="F12550" s="27" t="s">
        <v>1881</v>
      </c>
      <c r="H12550" s="27" t="s">
        <v>2679</v>
      </c>
      <c r="J12550" s="27" t="s">
        <v>3210</v>
      </c>
      <c r="L12550" s="27" t="s">
        <v>3262</v>
      </c>
      <c r="N12550" s="27" t="s">
        <v>3345</v>
      </c>
      <c r="P12550" s="27" t="s">
        <v>16358</v>
      </c>
      <c r="Q12550" s="26" t="str">
        <f>HYPERLINK("https://ictv.global/taxonomy/taxondetails?taxnode_id=202517451&amp;ictv_id=ICTV202317451","ICTV202317451")</f>
        <v>ICTV202317451</v>
      </c>
      <c r="R12550" t="s">
        <v>581</v>
      </c>
      <c r="S12550" t="s">
        <v>823</v>
      </c>
      <c r="T12550">
        <v>39</v>
      </c>
      <c r="U12550" s="26" t="str">
        <f t="shared" si="459"/>
        <v>2023.001B.Leviviricetes_reorg.zip</v>
      </c>
    </row>
    <row r="12551" spans="1:21">
      <c r="A12551">
        <v>12550</v>
      </c>
      <c r="B12551" s="27" t="s">
        <v>1124</v>
      </c>
      <c r="D12551" s="27" t="s">
        <v>1859</v>
      </c>
      <c r="F12551" s="27" t="s">
        <v>1881</v>
      </c>
      <c r="H12551" s="27" t="s">
        <v>2679</v>
      </c>
      <c r="J12551" s="27" t="s">
        <v>3210</v>
      </c>
      <c r="L12551" s="27" t="s">
        <v>3262</v>
      </c>
      <c r="N12551" s="27" t="s">
        <v>3345</v>
      </c>
      <c r="P12551" s="27" t="s">
        <v>16359</v>
      </c>
      <c r="Q12551" s="26" t="str">
        <f>HYPERLINK("https://ictv.global/taxonomy/taxondetails?taxnode_id=202517452&amp;ictv_id=ICTV202317452","ICTV202317452")</f>
        <v>ICTV202317452</v>
      </c>
      <c r="R12551" t="s">
        <v>581</v>
      </c>
      <c r="S12551" t="s">
        <v>823</v>
      </c>
      <c r="T12551">
        <v>39</v>
      </c>
      <c r="U12551" s="26" t="str">
        <f t="shared" si="459"/>
        <v>2023.001B.Leviviricetes_reorg.zip</v>
      </c>
    </row>
    <row r="12552" spans="1:21">
      <c r="A12552">
        <v>12551</v>
      </c>
      <c r="B12552" s="27" t="s">
        <v>1124</v>
      </c>
      <c r="D12552" s="27" t="s">
        <v>1859</v>
      </c>
      <c r="F12552" s="27" t="s">
        <v>1881</v>
      </c>
      <c r="H12552" s="27" t="s">
        <v>2679</v>
      </c>
      <c r="J12552" s="27" t="s">
        <v>3210</v>
      </c>
      <c r="L12552" s="27" t="s">
        <v>3262</v>
      </c>
      <c r="N12552" s="27" t="s">
        <v>3345</v>
      </c>
      <c r="P12552" s="27" t="s">
        <v>16360</v>
      </c>
      <c r="Q12552" s="26" t="str">
        <f>HYPERLINK("https://ictv.global/taxonomy/taxondetails?taxnode_id=202517453&amp;ictv_id=ICTV202317453","ICTV202317453")</f>
        <v>ICTV202317453</v>
      </c>
      <c r="R12552" t="s">
        <v>581</v>
      </c>
      <c r="S12552" t="s">
        <v>823</v>
      </c>
      <c r="T12552">
        <v>39</v>
      </c>
      <c r="U12552" s="26" t="str">
        <f t="shared" si="459"/>
        <v>2023.001B.Leviviricetes_reorg.zip</v>
      </c>
    </row>
    <row r="12553" spans="1:21">
      <c r="A12553">
        <v>12552</v>
      </c>
      <c r="B12553" s="27" t="s">
        <v>1124</v>
      </c>
      <c r="D12553" s="27" t="s">
        <v>1859</v>
      </c>
      <c r="F12553" s="27" t="s">
        <v>1881</v>
      </c>
      <c r="H12553" s="27" t="s">
        <v>2679</v>
      </c>
      <c r="J12553" s="27" t="s">
        <v>3210</v>
      </c>
      <c r="L12553" s="27" t="s">
        <v>3262</v>
      </c>
      <c r="N12553" s="27" t="s">
        <v>3345</v>
      </c>
      <c r="P12553" s="27" t="s">
        <v>16361</v>
      </c>
      <c r="Q12553" s="26" t="str">
        <f>HYPERLINK("https://ictv.global/taxonomy/taxondetails?taxnode_id=202517454&amp;ictv_id=ICTV202317454","ICTV202317454")</f>
        <v>ICTV202317454</v>
      </c>
      <c r="R12553" t="s">
        <v>581</v>
      </c>
      <c r="S12553" t="s">
        <v>823</v>
      </c>
      <c r="T12553">
        <v>39</v>
      </c>
      <c r="U12553" s="26" t="str">
        <f t="shared" si="459"/>
        <v>2023.001B.Leviviricetes_reorg.zip</v>
      </c>
    </row>
    <row r="12554" spans="1:21">
      <c r="A12554">
        <v>12553</v>
      </c>
      <c r="B12554" s="27" t="s">
        <v>1124</v>
      </c>
      <c r="D12554" s="27" t="s">
        <v>1859</v>
      </c>
      <c r="F12554" s="27" t="s">
        <v>1881</v>
      </c>
      <c r="H12554" s="27" t="s">
        <v>2679</v>
      </c>
      <c r="J12554" s="27" t="s">
        <v>3210</v>
      </c>
      <c r="L12554" s="27" t="s">
        <v>3262</v>
      </c>
      <c r="N12554" s="27" t="s">
        <v>3345</v>
      </c>
      <c r="P12554" s="27" t="s">
        <v>16362</v>
      </c>
      <c r="Q12554" s="26" t="str">
        <f>HYPERLINK("https://ictv.global/taxonomy/taxondetails?taxnode_id=202517455&amp;ictv_id=ICTV202317455","ICTV202317455")</f>
        <v>ICTV202317455</v>
      </c>
      <c r="R12554" t="s">
        <v>581</v>
      </c>
      <c r="S12554" t="s">
        <v>823</v>
      </c>
      <c r="T12554">
        <v>39</v>
      </c>
      <c r="U12554" s="26" t="str">
        <f t="shared" si="459"/>
        <v>2023.001B.Leviviricetes_reorg.zip</v>
      </c>
    </row>
    <row r="12555" spans="1:21">
      <c r="A12555">
        <v>12554</v>
      </c>
      <c r="B12555" s="27" t="s">
        <v>1124</v>
      </c>
      <c r="D12555" s="27" t="s">
        <v>1859</v>
      </c>
      <c r="F12555" s="27" t="s">
        <v>1881</v>
      </c>
      <c r="H12555" s="27" t="s">
        <v>2679</v>
      </c>
      <c r="J12555" s="27" t="s">
        <v>3210</v>
      </c>
      <c r="L12555" s="27" t="s">
        <v>3262</v>
      </c>
      <c r="N12555" s="27" t="s">
        <v>3345</v>
      </c>
      <c r="P12555" s="27" t="s">
        <v>3352</v>
      </c>
      <c r="Q12555" s="26" t="str">
        <f>HYPERLINK("https://ictv.global/taxonomy/taxondetails?taxnode_id=202511271&amp;ictv_id=ICTV202011271","ICTV202011271")</f>
        <v>ICTV202011271</v>
      </c>
      <c r="R12555" t="s">
        <v>581</v>
      </c>
      <c r="S12555" t="s">
        <v>823</v>
      </c>
      <c r="T12555">
        <v>36</v>
      </c>
      <c r="U12555" s="26" t="str">
        <f>HYPERLINK("https://ictv.global/ictv/proposals/2020.095B.R.Leviviricetes.zip","2020.095B.R.Leviviricetes.zip")</f>
        <v>2020.095B.R.Leviviricetes.zip</v>
      </c>
    </row>
    <row r="12556" spans="1:21">
      <c r="A12556">
        <v>12555</v>
      </c>
      <c r="B12556" s="27" t="s">
        <v>1124</v>
      </c>
      <c r="D12556" s="27" t="s">
        <v>1859</v>
      </c>
      <c r="F12556" s="27" t="s">
        <v>1881</v>
      </c>
      <c r="H12556" s="27" t="s">
        <v>2679</v>
      </c>
      <c r="J12556" s="27" t="s">
        <v>3210</v>
      </c>
      <c r="L12556" s="27" t="s">
        <v>3262</v>
      </c>
      <c r="N12556" s="27" t="s">
        <v>3345</v>
      </c>
      <c r="P12556" s="27" t="s">
        <v>16363</v>
      </c>
      <c r="Q12556" s="26" t="str">
        <f>HYPERLINK("https://ictv.global/taxonomy/taxondetails?taxnode_id=202517456&amp;ictv_id=ICTV202317456","ICTV202317456")</f>
        <v>ICTV202317456</v>
      </c>
      <c r="R12556" t="s">
        <v>581</v>
      </c>
      <c r="S12556" t="s">
        <v>823</v>
      </c>
      <c r="T12556">
        <v>39</v>
      </c>
      <c r="U12556" s="26" t="str">
        <f t="shared" ref="U12556:U12580" si="460">HYPERLINK("https://ictv.global/ictv/proposals/2023.001B.Leviviricetes_reorg.zip","2023.001B.Leviviricetes_reorg.zip")</f>
        <v>2023.001B.Leviviricetes_reorg.zip</v>
      </c>
    </row>
    <row r="12557" spans="1:21">
      <c r="A12557">
        <v>12556</v>
      </c>
      <c r="B12557" s="27" t="s">
        <v>1124</v>
      </c>
      <c r="D12557" s="27" t="s">
        <v>1859</v>
      </c>
      <c r="F12557" s="27" t="s">
        <v>1881</v>
      </c>
      <c r="H12557" s="27" t="s">
        <v>2679</v>
      </c>
      <c r="J12557" s="27" t="s">
        <v>3210</v>
      </c>
      <c r="L12557" s="27" t="s">
        <v>3262</v>
      </c>
      <c r="N12557" s="27" t="s">
        <v>3345</v>
      </c>
      <c r="P12557" s="27" t="s">
        <v>16364</v>
      </c>
      <c r="Q12557" s="26" t="str">
        <f>HYPERLINK("https://ictv.global/taxonomy/taxondetails?taxnode_id=202517457&amp;ictv_id=ICTV202317457","ICTV202317457")</f>
        <v>ICTV202317457</v>
      </c>
      <c r="R12557" t="s">
        <v>581</v>
      </c>
      <c r="S12557" t="s">
        <v>823</v>
      </c>
      <c r="T12557">
        <v>39</v>
      </c>
      <c r="U12557" s="26" t="str">
        <f t="shared" si="460"/>
        <v>2023.001B.Leviviricetes_reorg.zip</v>
      </c>
    </row>
    <row r="12558" spans="1:21">
      <c r="A12558">
        <v>12557</v>
      </c>
      <c r="B12558" s="27" t="s">
        <v>1124</v>
      </c>
      <c r="D12558" s="27" t="s">
        <v>1859</v>
      </c>
      <c r="F12558" s="27" t="s">
        <v>1881</v>
      </c>
      <c r="H12558" s="27" t="s">
        <v>2679</v>
      </c>
      <c r="J12558" s="27" t="s">
        <v>3210</v>
      </c>
      <c r="L12558" s="27" t="s">
        <v>3262</v>
      </c>
      <c r="N12558" s="27" t="s">
        <v>3345</v>
      </c>
      <c r="P12558" s="27" t="s">
        <v>16365</v>
      </c>
      <c r="Q12558" s="26" t="str">
        <f>HYPERLINK("https://ictv.global/taxonomy/taxondetails?taxnode_id=202517458&amp;ictv_id=ICTV202317458","ICTV202317458")</f>
        <v>ICTV202317458</v>
      </c>
      <c r="R12558" t="s">
        <v>581</v>
      </c>
      <c r="S12558" t="s">
        <v>823</v>
      </c>
      <c r="T12558">
        <v>39</v>
      </c>
      <c r="U12558" s="26" t="str">
        <f t="shared" si="460"/>
        <v>2023.001B.Leviviricetes_reorg.zip</v>
      </c>
    </row>
    <row r="12559" spans="1:21">
      <c r="A12559">
        <v>12558</v>
      </c>
      <c r="B12559" s="27" t="s">
        <v>1124</v>
      </c>
      <c r="D12559" s="27" t="s">
        <v>1859</v>
      </c>
      <c r="F12559" s="27" t="s">
        <v>1881</v>
      </c>
      <c r="H12559" s="27" t="s">
        <v>2679</v>
      </c>
      <c r="J12559" s="27" t="s">
        <v>3210</v>
      </c>
      <c r="L12559" s="27" t="s">
        <v>3262</v>
      </c>
      <c r="N12559" s="27" t="s">
        <v>3345</v>
      </c>
      <c r="P12559" s="27" t="s">
        <v>16366</v>
      </c>
      <c r="Q12559" s="26" t="str">
        <f>HYPERLINK("https://ictv.global/taxonomy/taxondetails?taxnode_id=202517459&amp;ictv_id=ICTV202317459","ICTV202317459")</f>
        <v>ICTV202317459</v>
      </c>
      <c r="R12559" t="s">
        <v>581</v>
      </c>
      <c r="S12559" t="s">
        <v>823</v>
      </c>
      <c r="T12559">
        <v>39</v>
      </c>
      <c r="U12559" s="26" t="str">
        <f t="shared" si="460"/>
        <v>2023.001B.Leviviricetes_reorg.zip</v>
      </c>
    </row>
    <row r="12560" spans="1:21">
      <c r="A12560">
        <v>12559</v>
      </c>
      <c r="B12560" s="27" t="s">
        <v>1124</v>
      </c>
      <c r="D12560" s="27" t="s">
        <v>1859</v>
      </c>
      <c r="F12560" s="27" t="s">
        <v>1881</v>
      </c>
      <c r="H12560" s="27" t="s">
        <v>2679</v>
      </c>
      <c r="J12560" s="27" t="s">
        <v>3210</v>
      </c>
      <c r="L12560" s="27" t="s">
        <v>3262</v>
      </c>
      <c r="N12560" s="27" t="s">
        <v>3345</v>
      </c>
      <c r="P12560" s="27" t="s">
        <v>16367</v>
      </c>
      <c r="Q12560" s="26" t="str">
        <f>HYPERLINK("https://ictv.global/taxonomy/taxondetails?taxnode_id=202517460&amp;ictv_id=ICTV202317460","ICTV202317460")</f>
        <v>ICTV202317460</v>
      </c>
      <c r="R12560" t="s">
        <v>581</v>
      </c>
      <c r="S12560" t="s">
        <v>823</v>
      </c>
      <c r="T12560">
        <v>39</v>
      </c>
      <c r="U12560" s="26" t="str">
        <f t="shared" si="460"/>
        <v>2023.001B.Leviviricetes_reorg.zip</v>
      </c>
    </row>
    <row r="12561" spans="1:21">
      <c r="A12561">
        <v>12560</v>
      </c>
      <c r="B12561" s="27" t="s">
        <v>1124</v>
      </c>
      <c r="D12561" s="27" t="s">
        <v>1859</v>
      </c>
      <c r="F12561" s="27" t="s">
        <v>1881</v>
      </c>
      <c r="H12561" s="27" t="s">
        <v>2679</v>
      </c>
      <c r="J12561" s="27" t="s">
        <v>3210</v>
      </c>
      <c r="L12561" s="27" t="s">
        <v>3262</v>
      </c>
      <c r="N12561" s="27" t="s">
        <v>3345</v>
      </c>
      <c r="P12561" s="27" t="s">
        <v>16368</v>
      </c>
      <c r="Q12561" s="26" t="str">
        <f>HYPERLINK("https://ictv.global/taxonomy/taxondetails?taxnode_id=202517461&amp;ictv_id=ICTV202317461","ICTV202317461")</f>
        <v>ICTV202317461</v>
      </c>
      <c r="R12561" t="s">
        <v>581</v>
      </c>
      <c r="S12561" t="s">
        <v>823</v>
      </c>
      <c r="T12561">
        <v>39</v>
      </c>
      <c r="U12561" s="26" t="str">
        <f t="shared" si="460"/>
        <v>2023.001B.Leviviricetes_reorg.zip</v>
      </c>
    </row>
    <row r="12562" spans="1:21">
      <c r="A12562">
        <v>12561</v>
      </c>
      <c r="B12562" s="27" t="s">
        <v>1124</v>
      </c>
      <c r="D12562" s="27" t="s">
        <v>1859</v>
      </c>
      <c r="F12562" s="27" t="s">
        <v>1881</v>
      </c>
      <c r="H12562" s="27" t="s">
        <v>2679</v>
      </c>
      <c r="J12562" s="27" t="s">
        <v>3210</v>
      </c>
      <c r="L12562" s="27" t="s">
        <v>3262</v>
      </c>
      <c r="N12562" s="27" t="s">
        <v>3345</v>
      </c>
      <c r="P12562" s="27" t="s">
        <v>16369</v>
      </c>
      <c r="Q12562" s="26" t="str">
        <f>HYPERLINK("https://ictv.global/taxonomy/taxondetails?taxnode_id=202517462&amp;ictv_id=ICTV202317462","ICTV202317462")</f>
        <v>ICTV202317462</v>
      </c>
      <c r="R12562" t="s">
        <v>581</v>
      </c>
      <c r="S12562" t="s">
        <v>823</v>
      </c>
      <c r="T12562">
        <v>39</v>
      </c>
      <c r="U12562" s="26" t="str">
        <f t="shared" si="460"/>
        <v>2023.001B.Leviviricetes_reorg.zip</v>
      </c>
    </row>
    <row r="12563" spans="1:21">
      <c r="A12563">
        <v>12562</v>
      </c>
      <c r="B12563" s="27" t="s">
        <v>1124</v>
      </c>
      <c r="D12563" s="27" t="s">
        <v>1859</v>
      </c>
      <c r="F12563" s="27" t="s">
        <v>1881</v>
      </c>
      <c r="H12563" s="27" t="s">
        <v>2679</v>
      </c>
      <c r="J12563" s="27" t="s">
        <v>3210</v>
      </c>
      <c r="L12563" s="27" t="s">
        <v>3262</v>
      </c>
      <c r="N12563" s="27" t="s">
        <v>3345</v>
      </c>
      <c r="P12563" s="27" t="s">
        <v>16370</v>
      </c>
      <c r="Q12563" s="26" t="str">
        <f>HYPERLINK("https://ictv.global/taxonomy/taxondetails?taxnode_id=202517463&amp;ictv_id=ICTV202317463","ICTV202317463")</f>
        <v>ICTV202317463</v>
      </c>
      <c r="R12563" t="s">
        <v>581</v>
      </c>
      <c r="S12563" t="s">
        <v>823</v>
      </c>
      <c r="T12563">
        <v>39</v>
      </c>
      <c r="U12563" s="26" t="str">
        <f t="shared" si="460"/>
        <v>2023.001B.Leviviricetes_reorg.zip</v>
      </c>
    </row>
    <row r="12564" spans="1:21">
      <c r="A12564">
        <v>12563</v>
      </c>
      <c r="B12564" s="27" t="s">
        <v>1124</v>
      </c>
      <c r="D12564" s="27" t="s">
        <v>1859</v>
      </c>
      <c r="F12564" s="27" t="s">
        <v>1881</v>
      </c>
      <c r="H12564" s="27" t="s">
        <v>2679</v>
      </c>
      <c r="J12564" s="27" t="s">
        <v>3210</v>
      </c>
      <c r="L12564" s="27" t="s">
        <v>3262</v>
      </c>
      <c r="N12564" s="27" t="s">
        <v>3345</v>
      </c>
      <c r="P12564" s="27" t="s">
        <v>16371</v>
      </c>
      <c r="Q12564" s="26" t="str">
        <f>HYPERLINK("https://ictv.global/taxonomy/taxondetails?taxnode_id=202517464&amp;ictv_id=ICTV202317464","ICTV202317464")</f>
        <v>ICTV202317464</v>
      </c>
      <c r="R12564" t="s">
        <v>581</v>
      </c>
      <c r="S12564" t="s">
        <v>823</v>
      </c>
      <c r="T12564">
        <v>39</v>
      </c>
      <c r="U12564" s="26" t="str">
        <f t="shared" si="460"/>
        <v>2023.001B.Leviviricetes_reorg.zip</v>
      </c>
    </row>
    <row r="12565" spans="1:21">
      <c r="A12565">
        <v>12564</v>
      </c>
      <c r="B12565" s="27" t="s">
        <v>1124</v>
      </c>
      <c r="D12565" s="27" t="s">
        <v>1859</v>
      </c>
      <c r="F12565" s="27" t="s">
        <v>1881</v>
      </c>
      <c r="H12565" s="27" t="s">
        <v>2679</v>
      </c>
      <c r="J12565" s="27" t="s">
        <v>3210</v>
      </c>
      <c r="L12565" s="27" t="s">
        <v>3262</v>
      </c>
      <c r="N12565" s="27" t="s">
        <v>3345</v>
      </c>
      <c r="P12565" s="27" t="s">
        <v>16372</v>
      </c>
      <c r="Q12565" s="26" t="str">
        <f>HYPERLINK("https://ictv.global/taxonomy/taxondetails?taxnode_id=202517465&amp;ictv_id=ICTV202317465","ICTV202317465")</f>
        <v>ICTV202317465</v>
      </c>
      <c r="R12565" t="s">
        <v>581</v>
      </c>
      <c r="S12565" t="s">
        <v>823</v>
      </c>
      <c r="T12565">
        <v>39</v>
      </c>
      <c r="U12565" s="26" t="str">
        <f t="shared" si="460"/>
        <v>2023.001B.Leviviricetes_reorg.zip</v>
      </c>
    </row>
    <row r="12566" spans="1:21">
      <c r="A12566">
        <v>12565</v>
      </c>
      <c r="B12566" s="27" t="s">
        <v>1124</v>
      </c>
      <c r="D12566" s="27" t="s">
        <v>1859</v>
      </c>
      <c r="F12566" s="27" t="s">
        <v>1881</v>
      </c>
      <c r="H12566" s="27" t="s">
        <v>2679</v>
      </c>
      <c r="J12566" s="27" t="s">
        <v>3210</v>
      </c>
      <c r="L12566" s="27" t="s">
        <v>3262</v>
      </c>
      <c r="N12566" s="27" t="s">
        <v>3345</v>
      </c>
      <c r="P12566" s="27" t="s">
        <v>16373</v>
      </c>
      <c r="Q12566" s="26" t="str">
        <f>HYPERLINK("https://ictv.global/taxonomy/taxondetails?taxnode_id=202517466&amp;ictv_id=ICTV202317466","ICTV202317466")</f>
        <v>ICTV202317466</v>
      </c>
      <c r="R12566" t="s">
        <v>581</v>
      </c>
      <c r="S12566" t="s">
        <v>823</v>
      </c>
      <c r="T12566">
        <v>39</v>
      </c>
      <c r="U12566" s="26" t="str">
        <f t="shared" si="460"/>
        <v>2023.001B.Leviviricetes_reorg.zip</v>
      </c>
    </row>
    <row r="12567" spans="1:21">
      <c r="A12567">
        <v>12566</v>
      </c>
      <c r="B12567" s="27" t="s">
        <v>1124</v>
      </c>
      <c r="D12567" s="27" t="s">
        <v>1859</v>
      </c>
      <c r="F12567" s="27" t="s">
        <v>1881</v>
      </c>
      <c r="H12567" s="27" t="s">
        <v>2679</v>
      </c>
      <c r="J12567" s="27" t="s">
        <v>3210</v>
      </c>
      <c r="L12567" s="27" t="s">
        <v>3262</v>
      </c>
      <c r="N12567" s="27" t="s">
        <v>3345</v>
      </c>
      <c r="P12567" s="27" t="s">
        <v>16374</v>
      </c>
      <c r="Q12567" s="26" t="str">
        <f>HYPERLINK("https://ictv.global/taxonomy/taxondetails?taxnode_id=202517467&amp;ictv_id=ICTV202317467","ICTV202317467")</f>
        <v>ICTV202317467</v>
      </c>
      <c r="R12567" t="s">
        <v>581</v>
      </c>
      <c r="S12567" t="s">
        <v>823</v>
      </c>
      <c r="T12567">
        <v>39</v>
      </c>
      <c r="U12567" s="26" t="str">
        <f t="shared" si="460"/>
        <v>2023.001B.Leviviricetes_reorg.zip</v>
      </c>
    </row>
    <row r="12568" spans="1:21">
      <c r="A12568">
        <v>12567</v>
      </c>
      <c r="B12568" s="27" t="s">
        <v>1124</v>
      </c>
      <c r="D12568" s="27" t="s">
        <v>1859</v>
      </c>
      <c r="F12568" s="27" t="s">
        <v>1881</v>
      </c>
      <c r="H12568" s="27" t="s">
        <v>2679</v>
      </c>
      <c r="J12568" s="27" t="s">
        <v>3210</v>
      </c>
      <c r="L12568" s="27" t="s">
        <v>3262</v>
      </c>
      <c r="N12568" s="27" t="s">
        <v>3345</v>
      </c>
      <c r="P12568" s="27" t="s">
        <v>16375</v>
      </c>
      <c r="Q12568" s="26" t="str">
        <f>HYPERLINK("https://ictv.global/taxonomy/taxondetails?taxnode_id=202517468&amp;ictv_id=ICTV202317468","ICTV202317468")</f>
        <v>ICTV202317468</v>
      </c>
      <c r="R12568" t="s">
        <v>581</v>
      </c>
      <c r="S12568" t="s">
        <v>823</v>
      </c>
      <c r="T12568">
        <v>39</v>
      </c>
      <c r="U12568" s="26" t="str">
        <f t="shared" si="460"/>
        <v>2023.001B.Leviviricetes_reorg.zip</v>
      </c>
    </row>
    <row r="12569" spans="1:21">
      <c r="A12569">
        <v>12568</v>
      </c>
      <c r="B12569" s="27" t="s">
        <v>1124</v>
      </c>
      <c r="D12569" s="27" t="s">
        <v>1859</v>
      </c>
      <c r="F12569" s="27" t="s">
        <v>1881</v>
      </c>
      <c r="H12569" s="27" t="s">
        <v>2679</v>
      </c>
      <c r="J12569" s="27" t="s">
        <v>3210</v>
      </c>
      <c r="L12569" s="27" t="s">
        <v>3262</v>
      </c>
      <c r="N12569" s="27" t="s">
        <v>3345</v>
      </c>
      <c r="P12569" s="27" t="s">
        <v>16376</v>
      </c>
      <c r="Q12569" s="26" t="str">
        <f>HYPERLINK("https://ictv.global/taxonomy/taxondetails?taxnode_id=202517469&amp;ictv_id=ICTV202317469","ICTV202317469")</f>
        <v>ICTV202317469</v>
      </c>
      <c r="R12569" t="s">
        <v>581</v>
      </c>
      <c r="S12569" t="s">
        <v>823</v>
      </c>
      <c r="T12569">
        <v>39</v>
      </c>
      <c r="U12569" s="26" t="str">
        <f t="shared" si="460"/>
        <v>2023.001B.Leviviricetes_reorg.zip</v>
      </c>
    </row>
    <row r="12570" spans="1:21">
      <c r="A12570">
        <v>12569</v>
      </c>
      <c r="B12570" s="27" t="s">
        <v>1124</v>
      </c>
      <c r="D12570" s="27" t="s">
        <v>1859</v>
      </c>
      <c r="F12570" s="27" t="s">
        <v>1881</v>
      </c>
      <c r="H12570" s="27" t="s">
        <v>2679</v>
      </c>
      <c r="J12570" s="27" t="s">
        <v>3210</v>
      </c>
      <c r="L12570" s="27" t="s">
        <v>3262</v>
      </c>
      <c r="N12570" s="27" t="s">
        <v>3345</v>
      </c>
      <c r="P12570" s="27" t="s">
        <v>16377</v>
      </c>
      <c r="Q12570" s="26" t="str">
        <f>HYPERLINK("https://ictv.global/taxonomy/taxondetails?taxnode_id=202517470&amp;ictv_id=ICTV202317470","ICTV202317470")</f>
        <v>ICTV202317470</v>
      </c>
      <c r="R12570" t="s">
        <v>581</v>
      </c>
      <c r="S12570" t="s">
        <v>823</v>
      </c>
      <c r="T12570">
        <v>39</v>
      </c>
      <c r="U12570" s="26" t="str">
        <f t="shared" si="460"/>
        <v>2023.001B.Leviviricetes_reorg.zip</v>
      </c>
    </row>
    <row r="12571" spans="1:21">
      <c r="A12571">
        <v>12570</v>
      </c>
      <c r="B12571" s="27" t="s">
        <v>1124</v>
      </c>
      <c r="D12571" s="27" t="s">
        <v>1859</v>
      </c>
      <c r="F12571" s="27" t="s">
        <v>1881</v>
      </c>
      <c r="H12571" s="27" t="s">
        <v>2679</v>
      </c>
      <c r="J12571" s="27" t="s">
        <v>3210</v>
      </c>
      <c r="L12571" s="27" t="s">
        <v>3262</v>
      </c>
      <c r="N12571" s="27" t="s">
        <v>3345</v>
      </c>
      <c r="P12571" s="27" t="s">
        <v>16378</v>
      </c>
      <c r="Q12571" s="26" t="str">
        <f>HYPERLINK("https://ictv.global/taxonomy/taxondetails?taxnode_id=202517471&amp;ictv_id=ICTV202317471","ICTV202317471")</f>
        <v>ICTV202317471</v>
      </c>
      <c r="R12571" t="s">
        <v>581</v>
      </c>
      <c r="S12571" t="s">
        <v>823</v>
      </c>
      <c r="T12571">
        <v>39</v>
      </c>
      <c r="U12571" s="26" t="str">
        <f t="shared" si="460"/>
        <v>2023.001B.Leviviricetes_reorg.zip</v>
      </c>
    </row>
    <row r="12572" spans="1:21">
      <c r="A12572">
        <v>12571</v>
      </c>
      <c r="B12572" s="27" t="s">
        <v>1124</v>
      </c>
      <c r="D12572" s="27" t="s">
        <v>1859</v>
      </c>
      <c r="F12572" s="27" t="s">
        <v>1881</v>
      </c>
      <c r="H12572" s="27" t="s">
        <v>2679</v>
      </c>
      <c r="J12572" s="27" t="s">
        <v>3210</v>
      </c>
      <c r="L12572" s="27" t="s">
        <v>3262</v>
      </c>
      <c r="N12572" s="27" t="s">
        <v>3345</v>
      </c>
      <c r="P12572" s="27" t="s">
        <v>16379</v>
      </c>
      <c r="Q12572" s="26" t="str">
        <f>HYPERLINK("https://ictv.global/taxonomy/taxondetails?taxnode_id=202517472&amp;ictv_id=ICTV202317472","ICTV202317472")</f>
        <v>ICTV202317472</v>
      </c>
      <c r="R12572" t="s">
        <v>581</v>
      </c>
      <c r="S12572" t="s">
        <v>823</v>
      </c>
      <c r="T12572">
        <v>39</v>
      </c>
      <c r="U12572" s="26" t="str">
        <f t="shared" si="460"/>
        <v>2023.001B.Leviviricetes_reorg.zip</v>
      </c>
    </row>
    <row r="12573" spans="1:21">
      <c r="A12573">
        <v>12572</v>
      </c>
      <c r="B12573" s="27" t="s">
        <v>1124</v>
      </c>
      <c r="D12573" s="27" t="s">
        <v>1859</v>
      </c>
      <c r="F12573" s="27" t="s">
        <v>1881</v>
      </c>
      <c r="H12573" s="27" t="s">
        <v>2679</v>
      </c>
      <c r="J12573" s="27" t="s">
        <v>3210</v>
      </c>
      <c r="L12573" s="27" t="s">
        <v>3262</v>
      </c>
      <c r="N12573" s="27" t="s">
        <v>3345</v>
      </c>
      <c r="P12573" s="27" t="s">
        <v>16380</v>
      </c>
      <c r="Q12573" s="26" t="str">
        <f>HYPERLINK("https://ictv.global/taxonomy/taxondetails?taxnode_id=202517473&amp;ictv_id=ICTV202317473","ICTV202317473")</f>
        <v>ICTV202317473</v>
      </c>
      <c r="R12573" t="s">
        <v>581</v>
      </c>
      <c r="S12573" t="s">
        <v>823</v>
      </c>
      <c r="T12573">
        <v>39</v>
      </c>
      <c r="U12573" s="26" t="str">
        <f t="shared" si="460"/>
        <v>2023.001B.Leviviricetes_reorg.zip</v>
      </c>
    </row>
    <row r="12574" spans="1:21">
      <c r="A12574">
        <v>12573</v>
      </c>
      <c r="B12574" s="27" t="s">
        <v>1124</v>
      </c>
      <c r="D12574" s="27" t="s">
        <v>1859</v>
      </c>
      <c r="F12574" s="27" t="s">
        <v>1881</v>
      </c>
      <c r="H12574" s="27" t="s">
        <v>2679</v>
      </c>
      <c r="J12574" s="27" t="s">
        <v>3210</v>
      </c>
      <c r="L12574" s="27" t="s">
        <v>3262</v>
      </c>
      <c r="N12574" s="27" t="s">
        <v>3345</v>
      </c>
      <c r="P12574" s="27" t="s">
        <v>16381</v>
      </c>
      <c r="Q12574" s="26" t="str">
        <f>HYPERLINK("https://ictv.global/taxonomy/taxondetails?taxnode_id=202517474&amp;ictv_id=ICTV202317474","ICTV202317474")</f>
        <v>ICTV202317474</v>
      </c>
      <c r="R12574" t="s">
        <v>581</v>
      </c>
      <c r="S12574" t="s">
        <v>823</v>
      </c>
      <c r="T12574">
        <v>39</v>
      </c>
      <c r="U12574" s="26" t="str">
        <f t="shared" si="460"/>
        <v>2023.001B.Leviviricetes_reorg.zip</v>
      </c>
    </row>
    <row r="12575" spans="1:21">
      <c r="A12575">
        <v>12574</v>
      </c>
      <c r="B12575" s="27" t="s">
        <v>1124</v>
      </c>
      <c r="D12575" s="27" t="s">
        <v>1859</v>
      </c>
      <c r="F12575" s="27" t="s">
        <v>1881</v>
      </c>
      <c r="H12575" s="27" t="s">
        <v>2679</v>
      </c>
      <c r="J12575" s="27" t="s">
        <v>3210</v>
      </c>
      <c r="L12575" s="27" t="s">
        <v>3262</v>
      </c>
      <c r="N12575" s="27" t="s">
        <v>3345</v>
      </c>
      <c r="P12575" s="27" t="s">
        <v>16382</v>
      </c>
      <c r="Q12575" s="26" t="str">
        <f>HYPERLINK("https://ictv.global/taxonomy/taxondetails?taxnode_id=202517475&amp;ictv_id=ICTV202317475","ICTV202317475")</f>
        <v>ICTV202317475</v>
      </c>
      <c r="R12575" t="s">
        <v>581</v>
      </c>
      <c r="S12575" t="s">
        <v>823</v>
      </c>
      <c r="T12575">
        <v>39</v>
      </c>
      <c r="U12575" s="26" t="str">
        <f t="shared" si="460"/>
        <v>2023.001B.Leviviricetes_reorg.zip</v>
      </c>
    </row>
    <row r="12576" spans="1:21">
      <c r="A12576">
        <v>12575</v>
      </c>
      <c r="B12576" s="27" t="s">
        <v>1124</v>
      </c>
      <c r="D12576" s="27" t="s">
        <v>1859</v>
      </c>
      <c r="F12576" s="27" t="s">
        <v>1881</v>
      </c>
      <c r="H12576" s="27" t="s">
        <v>2679</v>
      </c>
      <c r="J12576" s="27" t="s">
        <v>3210</v>
      </c>
      <c r="L12576" s="27" t="s">
        <v>3262</v>
      </c>
      <c r="N12576" s="27" t="s">
        <v>3345</v>
      </c>
      <c r="P12576" s="27" t="s">
        <v>16383</v>
      </c>
      <c r="Q12576" s="26" t="str">
        <f>HYPERLINK("https://ictv.global/taxonomy/taxondetails?taxnode_id=202517476&amp;ictv_id=ICTV202317476","ICTV202317476")</f>
        <v>ICTV202317476</v>
      </c>
      <c r="R12576" t="s">
        <v>581</v>
      </c>
      <c r="S12576" t="s">
        <v>823</v>
      </c>
      <c r="T12576">
        <v>39</v>
      </c>
      <c r="U12576" s="26" t="str">
        <f t="shared" si="460"/>
        <v>2023.001B.Leviviricetes_reorg.zip</v>
      </c>
    </row>
    <row r="12577" spans="1:21">
      <c r="A12577">
        <v>12576</v>
      </c>
      <c r="B12577" s="27" t="s">
        <v>1124</v>
      </c>
      <c r="D12577" s="27" t="s">
        <v>1859</v>
      </c>
      <c r="F12577" s="27" t="s">
        <v>1881</v>
      </c>
      <c r="H12577" s="27" t="s">
        <v>2679</v>
      </c>
      <c r="J12577" s="27" t="s">
        <v>3210</v>
      </c>
      <c r="L12577" s="27" t="s">
        <v>3262</v>
      </c>
      <c r="N12577" s="27" t="s">
        <v>3345</v>
      </c>
      <c r="P12577" s="27" t="s">
        <v>16384</v>
      </c>
      <c r="Q12577" s="26" t="str">
        <f>HYPERLINK("https://ictv.global/taxonomy/taxondetails?taxnode_id=202517477&amp;ictv_id=ICTV202317477","ICTV202317477")</f>
        <v>ICTV202317477</v>
      </c>
      <c r="R12577" t="s">
        <v>581</v>
      </c>
      <c r="S12577" t="s">
        <v>823</v>
      </c>
      <c r="T12577">
        <v>39</v>
      </c>
      <c r="U12577" s="26" t="str">
        <f t="shared" si="460"/>
        <v>2023.001B.Leviviricetes_reorg.zip</v>
      </c>
    </row>
    <row r="12578" spans="1:21">
      <c r="A12578">
        <v>12577</v>
      </c>
      <c r="B12578" s="27" t="s">
        <v>1124</v>
      </c>
      <c r="D12578" s="27" t="s">
        <v>1859</v>
      </c>
      <c r="F12578" s="27" t="s">
        <v>1881</v>
      </c>
      <c r="H12578" s="27" t="s">
        <v>2679</v>
      </c>
      <c r="J12578" s="27" t="s">
        <v>3210</v>
      </c>
      <c r="L12578" s="27" t="s">
        <v>3262</v>
      </c>
      <c r="N12578" s="27" t="s">
        <v>3345</v>
      </c>
      <c r="P12578" s="27" t="s">
        <v>16385</v>
      </c>
      <c r="Q12578" s="26" t="str">
        <f>HYPERLINK("https://ictv.global/taxonomy/taxondetails?taxnode_id=202517478&amp;ictv_id=ICTV202317478","ICTV202317478")</f>
        <v>ICTV202317478</v>
      </c>
      <c r="R12578" t="s">
        <v>581</v>
      </c>
      <c r="S12578" t="s">
        <v>823</v>
      </c>
      <c r="T12578">
        <v>39</v>
      </c>
      <c r="U12578" s="26" t="str">
        <f t="shared" si="460"/>
        <v>2023.001B.Leviviricetes_reorg.zip</v>
      </c>
    </row>
    <row r="12579" spans="1:21">
      <c r="A12579">
        <v>12578</v>
      </c>
      <c r="B12579" s="27" t="s">
        <v>1124</v>
      </c>
      <c r="D12579" s="27" t="s">
        <v>1859</v>
      </c>
      <c r="F12579" s="27" t="s">
        <v>1881</v>
      </c>
      <c r="H12579" s="27" t="s">
        <v>2679</v>
      </c>
      <c r="J12579" s="27" t="s">
        <v>3210</v>
      </c>
      <c r="L12579" s="27" t="s">
        <v>3262</v>
      </c>
      <c r="N12579" s="27" t="s">
        <v>3345</v>
      </c>
      <c r="P12579" s="27" t="s">
        <v>16386</v>
      </c>
      <c r="Q12579" s="26" t="str">
        <f>HYPERLINK("https://ictv.global/taxonomy/taxondetails?taxnode_id=202517479&amp;ictv_id=ICTV202317479","ICTV202317479")</f>
        <v>ICTV202317479</v>
      </c>
      <c r="R12579" t="s">
        <v>581</v>
      </c>
      <c r="S12579" t="s">
        <v>823</v>
      </c>
      <c r="T12579">
        <v>39</v>
      </c>
      <c r="U12579" s="26" t="str">
        <f t="shared" si="460"/>
        <v>2023.001B.Leviviricetes_reorg.zip</v>
      </c>
    </row>
    <row r="12580" spans="1:21">
      <c r="A12580">
        <v>12579</v>
      </c>
      <c r="B12580" s="27" t="s">
        <v>1124</v>
      </c>
      <c r="D12580" s="27" t="s">
        <v>1859</v>
      </c>
      <c r="F12580" s="27" t="s">
        <v>1881</v>
      </c>
      <c r="H12580" s="27" t="s">
        <v>2679</v>
      </c>
      <c r="J12580" s="27" t="s">
        <v>3210</v>
      </c>
      <c r="L12580" s="27" t="s">
        <v>3262</v>
      </c>
      <c r="N12580" s="27" t="s">
        <v>3345</v>
      </c>
      <c r="P12580" s="27" t="s">
        <v>16387</v>
      </c>
      <c r="Q12580" s="26" t="str">
        <f>HYPERLINK("https://ictv.global/taxonomy/taxondetails?taxnode_id=202517480&amp;ictv_id=ICTV202317480","ICTV202317480")</f>
        <v>ICTV202317480</v>
      </c>
      <c r="R12580" t="s">
        <v>581</v>
      </c>
      <c r="S12580" t="s">
        <v>823</v>
      </c>
      <c r="T12580">
        <v>39</v>
      </c>
      <c r="U12580" s="26" t="str">
        <f t="shared" si="460"/>
        <v>2023.001B.Leviviricetes_reorg.zip</v>
      </c>
    </row>
    <row r="12581" spans="1:21">
      <c r="A12581">
        <v>12580</v>
      </c>
      <c r="B12581" s="27" t="s">
        <v>1124</v>
      </c>
      <c r="D12581" s="27" t="s">
        <v>1859</v>
      </c>
      <c r="F12581" s="27" t="s">
        <v>1881</v>
      </c>
      <c r="H12581" s="27" t="s">
        <v>2679</v>
      </c>
      <c r="J12581" s="27" t="s">
        <v>3210</v>
      </c>
      <c r="L12581" s="27" t="s">
        <v>3262</v>
      </c>
      <c r="N12581" s="27" t="s">
        <v>3345</v>
      </c>
      <c r="P12581" s="27" t="s">
        <v>3353</v>
      </c>
      <c r="Q12581" s="26" t="str">
        <f>HYPERLINK("https://ictv.global/taxonomy/taxondetails?taxnode_id=202511264&amp;ictv_id=ICTV202011264","ICTV202011264")</f>
        <v>ICTV202011264</v>
      </c>
      <c r="R12581" t="s">
        <v>581</v>
      </c>
      <c r="S12581" t="s">
        <v>823</v>
      </c>
      <c r="T12581">
        <v>36</v>
      </c>
      <c r="U12581" s="26" t="str">
        <f>HYPERLINK("https://ictv.global/ictv/proposals/2020.095B.R.Leviviricetes.zip","2020.095B.R.Leviviricetes.zip")</f>
        <v>2020.095B.R.Leviviricetes.zip</v>
      </c>
    </row>
    <row r="12582" spans="1:21">
      <c r="A12582">
        <v>12581</v>
      </c>
      <c r="B12582" s="27" t="s">
        <v>1124</v>
      </c>
      <c r="D12582" s="27" t="s">
        <v>1859</v>
      </c>
      <c r="F12582" s="27" t="s">
        <v>1881</v>
      </c>
      <c r="H12582" s="27" t="s">
        <v>2679</v>
      </c>
      <c r="J12582" s="27" t="s">
        <v>3210</v>
      </c>
      <c r="L12582" s="27" t="s">
        <v>3262</v>
      </c>
      <c r="N12582" s="27" t="s">
        <v>3345</v>
      </c>
      <c r="P12582" s="27" t="s">
        <v>3354</v>
      </c>
      <c r="Q12582" s="26" t="str">
        <f>HYPERLINK("https://ictv.global/taxonomy/taxondetails?taxnode_id=202511265&amp;ictv_id=ICTV202011265","ICTV202011265")</f>
        <v>ICTV202011265</v>
      </c>
      <c r="R12582" t="s">
        <v>581</v>
      </c>
      <c r="S12582" t="s">
        <v>823</v>
      </c>
      <c r="T12582">
        <v>36</v>
      </c>
      <c r="U12582" s="26" t="str">
        <f>HYPERLINK("https://ictv.global/ictv/proposals/2020.095B.R.Leviviricetes.zip","2020.095B.R.Leviviricetes.zip")</f>
        <v>2020.095B.R.Leviviricetes.zip</v>
      </c>
    </row>
    <row r="12583" spans="1:21">
      <c r="A12583">
        <v>12582</v>
      </c>
      <c r="B12583" s="27" t="s">
        <v>1124</v>
      </c>
      <c r="D12583" s="27" t="s">
        <v>1859</v>
      </c>
      <c r="F12583" s="27" t="s">
        <v>1881</v>
      </c>
      <c r="H12583" s="27" t="s">
        <v>2679</v>
      </c>
      <c r="J12583" s="27" t="s">
        <v>3210</v>
      </c>
      <c r="L12583" s="27" t="s">
        <v>3262</v>
      </c>
      <c r="N12583" s="27" t="s">
        <v>3345</v>
      </c>
      <c r="P12583" s="27" t="s">
        <v>16388</v>
      </c>
      <c r="Q12583" s="26" t="str">
        <f>HYPERLINK("https://ictv.global/taxonomy/taxondetails?taxnode_id=202517481&amp;ictv_id=ICTV202317481","ICTV202317481")</f>
        <v>ICTV202317481</v>
      </c>
      <c r="R12583" t="s">
        <v>581</v>
      </c>
      <c r="S12583" t="s">
        <v>823</v>
      </c>
      <c r="T12583">
        <v>39</v>
      </c>
      <c r="U12583" s="26" t="str">
        <f>HYPERLINK("https://ictv.global/ictv/proposals/2023.001B.Leviviricetes_reorg.zip","2023.001B.Leviviricetes_reorg.zip")</f>
        <v>2023.001B.Leviviricetes_reorg.zip</v>
      </c>
    </row>
    <row r="12584" spans="1:21">
      <c r="A12584">
        <v>12583</v>
      </c>
      <c r="B12584" s="27" t="s">
        <v>1124</v>
      </c>
      <c r="D12584" s="27" t="s">
        <v>1859</v>
      </c>
      <c r="F12584" s="27" t="s">
        <v>1881</v>
      </c>
      <c r="H12584" s="27" t="s">
        <v>2679</v>
      </c>
      <c r="J12584" s="27" t="s">
        <v>3210</v>
      </c>
      <c r="L12584" s="27" t="s">
        <v>3262</v>
      </c>
      <c r="N12584" s="27" t="s">
        <v>3345</v>
      </c>
      <c r="P12584" s="27" t="s">
        <v>16389</v>
      </c>
      <c r="Q12584" s="26" t="str">
        <f>HYPERLINK("https://ictv.global/taxonomy/taxondetails?taxnode_id=202517482&amp;ictv_id=ICTV202317482","ICTV202317482")</f>
        <v>ICTV202317482</v>
      </c>
      <c r="R12584" t="s">
        <v>581</v>
      </c>
      <c r="S12584" t="s">
        <v>823</v>
      </c>
      <c r="T12584">
        <v>39</v>
      </c>
      <c r="U12584" s="26" t="str">
        <f>HYPERLINK("https://ictv.global/ictv/proposals/2023.001B.Leviviricetes_reorg.zip","2023.001B.Leviviricetes_reorg.zip")</f>
        <v>2023.001B.Leviviricetes_reorg.zip</v>
      </c>
    </row>
    <row r="12585" spans="1:21">
      <c r="A12585">
        <v>12584</v>
      </c>
      <c r="B12585" s="27" t="s">
        <v>1124</v>
      </c>
      <c r="D12585" s="27" t="s">
        <v>1859</v>
      </c>
      <c r="F12585" s="27" t="s">
        <v>1881</v>
      </c>
      <c r="H12585" s="27" t="s">
        <v>2679</v>
      </c>
      <c r="J12585" s="27" t="s">
        <v>3210</v>
      </c>
      <c r="L12585" s="27" t="s">
        <v>3262</v>
      </c>
      <c r="N12585" s="27" t="s">
        <v>3345</v>
      </c>
      <c r="P12585" s="27" t="s">
        <v>16390</v>
      </c>
      <c r="Q12585" s="26" t="str">
        <f>HYPERLINK("https://ictv.global/taxonomy/taxondetails?taxnode_id=202517483&amp;ictv_id=ICTV202317483","ICTV202317483")</f>
        <v>ICTV202317483</v>
      </c>
      <c r="R12585" t="s">
        <v>581</v>
      </c>
      <c r="S12585" t="s">
        <v>823</v>
      </c>
      <c r="T12585">
        <v>39</v>
      </c>
      <c r="U12585" s="26" t="str">
        <f>HYPERLINK("https://ictv.global/ictv/proposals/2023.001B.Leviviricetes_reorg.zip","2023.001B.Leviviricetes_reorg.zip")</f>
        <v>2023.001B.Leviviricetes_reorg.zip</v>
      </c>
    </row>
    <row r="12586" spans="1:21">
      <c r="A12586">
        <v>12585</v>
      </c>
      <c r="B12586" s="27" t="s">
        <v>1124</v>
      </c>
      <c r="D12586" s="27" t="s">
        <v>1859</v>
      </c>
      <c r="F12586" s="27" t="s">
        <v>1881</v>
      </c>
      <c r="H12586" s="27" t="s">
        <v>2679</v>
      </c>
      <c r="J12586" s="27" t="s">
        <v>3210</v>
      </c>
      <c r="L12586" s="27" t="s">
        <v>3262</v>
      </c>
      <c r="N12586" s="27" t="s">
        <v>3345</v>
      </c>
      <c r="P12586" s="27" t="s">
        <v>16391</v>
      </c>
      <c r="Q12586" s="26" t="str">
        <f>HYPERLINK("https://ictv.global/taxonomy/taxondetails?taxnode_id=202517484&amp;ictv_id=ICTV202317484","ICTV202317484")</f>
        <v>ICTV202317484</v>
      </c>
      <c r="R12586" t="s">
        <v>581</v>
      </c>
      <c r="S12586" t="s">
        <v>823</v>
      </c>
      <c r="T12586">
        <v>39</v>
      </c>
      <c r="U12586" s="26" t="str">
        <f>HYPERLINK("https://ictv.global/ictv/proposals/2023.001B.Leviviricetes_reorg.zip","2023.001B.Leviviricetes_reorg.zip")</f>
        <v>2023.001B.Leviviricetes_reorg.zip</v>
      </c>
    </row>
    <row r="12587" spans="1:21">
      <c r="A12587">
        <v>12586</v>
      </c>
      <c r="B12587" s="27" t="s">
        <v>1124</v>
      </c>
      <c r="D12587" s="27" t="s">
        <v>1859</v>
      </c>
      <c r="F12587" s="27" t="s">
        <v>1881</v>
      </c>
      <c r="H12587" s="27" t="s">
        <v>2679</v>
      </c>
      <c r="J12587" s="27" t="s">
        <v>3210</v>
      </c>
      <c r="L12587" s="27" t="s">
        <v>3262</v>
      </c>
      <c r="N12587" s="27" t="s">
        <v>3355</v>
      </c>
      <c r="P12587" s="27" t="s">
        <v>16392</v>
      </c>
      <c r="Q12587" s="26" t="str">
        <f>HYPERLINK("https://ictv.global/taxonomy/taxondetails?taxnode_id=202517485&amp;ictv_id=ICTV202317485","ICTV202317485")</f>
        <v>ICTV202317485</v>
      </c>
      <c r="R12587" t="s">
        <v>581</v>
      </c>
      <c r="S12587" t="s">
        <v>823</v>
      </c>
      <c r="T12587">
        <v>39</v>
      </c>
      <c r="U12587" s="26" t="str">
        <f>HYPERLINK("https://ictv.global/ictv/proposals/2023.001B.Leviviricetes_reorg.zip","2023.001B.Leviviricetes_reorg.zip")</f>
        <v>2023.001B.Leviviricetes_reorg.zip</v>
      </c>
    </row>
    <row r="12588" spans="1:21">
      <c r="A12588">
        <v>12587</v>
      </c>
      <c r="B12588" s="27" t="s">
        <v>1124</v>
      </c>
      <c r="D12588" s="27" t="s">
        <v>1859</v>
      </c>
      <c r="F12588" s="27" t="s">
        <v>1881</v>
      </c>
      <c r="H12588" s="27" t="s">
        <v>2679</v>
      </c>
      <c r="J12588" s="27" t="s">
        <v>3210</v>
      </c>
      <c r="L12588" s="27" t="s">
        <v>3262</v>
      </c>
      <c r="N12588" s="27" t="s">
        <v>3355</v>
      </c>
      <c r="P12588" s="27" t="s">
        <v>3356</v>
      </c>
      <c r="Q12588" s="26" t="str">
        <f>HYPERLINK("https://ictv.global/taxonomy/taxondetails?taxnode_id=202511273&amp;ictv_id=ICTV202011273","ICTV202011273")</f>
        <v>ICTV202011273</v>
      </c>
      <c r="R12588" t="s">
        <v>581</v>
      </c>
      <c r="S12588" t="s">
        <v>823</v>
      </c>
      <c r="T12588">
        <v>36</v>
      </c>
      <c r="U12588" s="26" t="str">
        <f>HYPERLINK("https://ictv.global/ictv/proposals/2020.095B.R.Leviviricetes.zip","2020.095B.R.Leviviricetes.zip")</f>
        <v>2020.095B.R.Leviviricetes.zip</v>
      </c>
    </row>
    <row r="12589" spans="1:21">
      <c r="A12589">
        <v>12588</v>
      </c>
      <c r="B12589" s="27" t="s">
        <v>1124</v>
      </c>
      <c r="D12589" s="27" t="s">
        <v>1859</v>
      </c>
      <c r="F12589" s="27" t="s">
        <v>1881</v>
      </c>
      <c r="H12589" s="27" t="s">
        <v>2679</v>
      </c>
      <c r="J12589" s="27" t="s">
        <v>3210</v>
      </c>
      <c r="L12589" s="27" t="s">
        <v>3262</v>
      </c>
      <c r="N12589" s="27" t="s">
        <v>3357</v>
      </c>
      <c r="P12589" s="27" t="s">
        <v>16393</v>
      </c>
      <c r="Q12589" s="26" t="str">
        <f>HYPERLINK("https://ictv.global/taxonomy/taxondetails?taxnode_id=202517486&amp;ictv_id=ICTV202317486","ICTV202317486")</f>
        <v>ICTV202317486</v>
      </c>
      <c r="R12589" t="s">
        <v>581</v>
      </c>
      <c r="S12589" t="s">
        <v>823</v>
      </c>
      <c r="T12589">
        <v>39</v>
      </c>
      <c r="U12589" s="26" t="str">
        <f>HYPERLINK("https://ictv.global/ictv/proposals/2023.001B.Leviviricetes_reorg.zip","2023.001B.Leviviricetes_reorg.zip")</f>
        <v>2023.001B.Leviviricetes_reorg.zip</v>
      </c>
    </row>
    <row r="12590" spans="1:21">
      <c r="A12590">
        <v>12589</v>
      </c>
      <c r="B12590" s="27" t="s">
        <v>1124</v>
      </c>
      <c r="D12590" s="27" t="s">
        <v>1859</v>
      </c>
      <c r="F12590" s="27" t="s">
        <v>1881</v>
      </c>
      <c r="H12590" s="27" t="s">
        <v>2679</v>
      </c>
      <c r="J12590" s="27" t="s">
        <v>3210</v>
      </c>
      <c r="L12590" s="27" t="s">
        <v>3262</v>
      </c>
      <c r="N12590" s="27" t="s">
        <v>3357</v>
      </c>
      <c r="P12590" s="27" t="s">
        <v>16394</v>
      </c>
      <c r="Q12590" s="26" t="str">
        <f>HYPERLINK("https://ictv.global/taxonomy/taxondetails?taxnode_id=202517487&amp;ictv_id=ICTV202317487","ICTV202317487")</f>
        <v>ICTV202317487</v>
      </c>
      <c r="R12590" t="s">
        <v>581</v>
      </c>
      <c r="S12590" t="s">
        <v>823</v>
      </c>
      <c r="T12590">
        <v>39</v>
      </c>
      <c r="U12590" s="26" t="str">
        <f>HYPERLINK("https://ictv.global/ictv/proposals/2023.001B.Leviviricetes_reorg.zip","2023.001B.Leviviricetes_reorg.zip")</f>
        <v>2023.001B.Leviviricetes_reorg.zip</v>
      </c>
    </row>
    <row r="12591" spans="1:21">
      <c r="A12591">
        <v>12590</v>
      </c>
      <c r="B12591" s="27" t="s">
        <v>1124</v>
      </c>
      <c r="D12591" s="27" t="s">
        <v>1859</v>
      </c>
      <c r="F12591" s="27" t="s">
        <v>1881</v>
      </c>
      <c r="H12591" s="27" t="s">
        <v>2679</v>
      </c>
      <c r="J12591" s="27" t="s">
        <v>3210</v>
      </c>
      <c r="L12591" s="27" t="s">
        <v>3262</v>
      </c>
      <c r="N12591" s="27" t="s">
        <v>3357</v>
      </c>
      <c r="P12591" s="27" t="s">
        <v>16395</v>
      </c>
      <c r="Q12591" s="26" t="str">
        <f>HYPERLINK("https://ictv.global/taxonomy/taxondetails?taxnode_id=202517488&amp;ictv_id=ICTV202317488","ICTV202317488")</f>
        <v>ICTV202317488</v>
      </c>
      <c r="R12591" t="s">
        <v>581</v>
      </c>
      <c r="S12591" t="s">
        <v>823</v>
      </c>
      <c r="T12591">
        <v>39</v>
      </c>
      <c r="U12591" s="26" t="str">
        <f>HYPERLINK("https://ictv.global/ictv/proposals/2023.001B.Leviviricetes_reorg.zip","2023.001B.Leviviricetes_reorg.zip")</f>
        <v>2023.001B.Leviviricetes_reorg.zip</v>
      </c>
    </row>
    <row r="12592" spans="1:21">
      <c r="A12592">
        <v>12591</v>
      </c>
      <c r="B12592" s="27" t="s">
        <v>1124</v>
      </c>
      <c r="D12592" s="27" t="s">
        <v>1859</v>
      </c>
      <c r="F12592" s="27" t="s">
        <v>1881</v>
      </c>
      <c r="H12592" s="27" t="s">
        <v>2679</v>
      </c>
      <c r="J12592" s="27" t="s">
        <v>3210</v>
      </c>
      <c r="L12592" s="27" t="s">
        <v>3262</v>
      </c>
      <c r="N12592" s="27" t="s">
        <v>3357</v>
      </c>
      <c r="P12592" s="27" t="s">
        <v>3358</v>
      </c>
      <c r="Q12592" s="26" t="str">
        <f>HYPERLINK("https://ictv.global/taxonomy/taxondetails?taxnode_id=202511275&amp;ictv_id=ICTV202011275","ICTV202011275")</f>
        <v>ICTV202011275</v>
      </c>
      <c r="R12592" t="s">
        <v>581</v>
      </c>
      <c r="S12592" t="s">
        <v>823</v>
      </c>
      <c r="T12592">
        <v>36</v>
      </c>
      <c r="U12592" s="26" t="str">
        <f>HYPERLINK("https://ictv.global/ictv/proposals/2020.095B.R.Leviviricetes.zip","2020.095B.R.Leviviricetes.zip")</f>
        <v>2020.095B.R.Leviviricetes.zip</v>
      </c>
    </row>
    <row r="12593" spans="1:21">
      <c r="A12593">
        <v>12592</v>
      </c>
      <c r="B12593" s="27" t="s">
        <v>1124</v>
      </c>
      <c r="D12593" s="27" t="s">
        <v>1859</v>
      </c>
      <c r="F12593" s="27" t="s">
        <v>1881</v>
      </c>
      <c r="H12593" s="27" t="s">
        <v>2679</v>
      </c>
      <c r="J12593" s="27" t="s">
        <v>3210</v>
      </c>
      <c r="L12593" s="27" t="s">
        <v>3262</v>
      </c>
      <c r="N12593" s="27" t="s">
        <v>3357</v>
      </c>
      <c r="P12593" s="27" t="s">
        <v>16396</v>
      </c>
      <c r="Q12593" s="26" t="str">
        <f>HYPERLINK("https://ictv.global/taxonomy/taxondetails?taxnode_id=202517489&amp;ictv_id=ICTV202317489","ICTV202317489")</f>
        <v>ICTV202317489</v>
      </c>
      <c r="R12593" t="s">
        <v>581</v>
      </c>
      <c r="S12593" t="s">
        <v>823</v>
      </c>
      <c r="T12593">
        <v>39</v>
      </c>
      <c r="U12593" s="26" t="str">
        <f>HYPERLINK("https://ictv.global/ictv/proposals/2023.001B.Leviviricetes_reorg.zip","2023.001B.Leviviricetes_reorg.zip")</f>
        <v>2023.001B.Leviviricetes_reorg.zip</v>
      </c>
    </row>
    <row r="12594" spans="1:21">
      <c r="A12594">
        <v>12593</v>
      </c>
      <c r="B12594" s="27" t="s">
        <v>1124</v>
      </c>
      <c r="D12594" s="27" t="s">
        <v>1859</v>
      </c>
      <c r="F12594" s="27" t="s">
        <v>1881</v>
      </c>
      <c r="H12594" s="27" t="s">
        <v>2679</v>
      </c>
      <c r="J12594" s="27" t="s">
        <v>3210</v>
      </c>
      <c r="L12594" s="27" t="s">
        <v>3262</v>
      </c>
      <c r="N12594" s="27" t="s">
        <v>3359</v>
      </c>
      <c r="P12594" s="27" t="s">
        <v>3360</v>
      </c>
      <c r="Q12594" s="26" t="str">
        <f>HYPERLINK("https://ictv.global/taxonomy/taxondetails?taxnode_id=202511277&amp;ictv_id=ICTV202011277","ICTV202011277")</f>
        <v>ICTV202011277</v>
      </c>
      <c r="R12594" t="s">
        <v>581</v>
      </c>
      <c r="S12594" t="s">
        <v>823</v>
      </c>
      <c r="T12594">
        <v>36</v>
      </c>
      <c r="U12594" s="26" t="str">
        <f>HYPERLINK("https://ictv.global/ictv/proposals/2020.095B.R.Leviviricetes.zip","2020.095B.R.Leviviricetes.zip")</f>
        <v>2020.095B.R.Leviviricetes.zip</v>
      </c>
    </row>
    <row r="12595" spans="1:21">
      <c r="A12595">
        <v>12594</v>
      </c>
      <c r="B12595" s="27" t="s">
        <v>1124</v>
      </c>
      <c r="D12595" s="27" t="s">
        <v>1859</v>
      </c>
      <c r="F12595" s="27" t="s">
        <v>1881</v>
      </c>
      <c r="H12595" s="27" t="s">
        <v>2679</v>
      </c>
      <c r="J12595" s="27" t="s">
        <v>3210</v>
      </c>
      <c r="L12595" s="27" t="s">
        <v>3262</v>
      </c>
      <c r="N12595" s="27" t="s">
        <v>3359</v>
      </c>
      <c r="P12595" s="27" t="s">
        <v>16397</v>
      </c>
      <c r="Q12595" s="26" t="str">
        <f>HYPERLINK("https://ictv.global/taxonomy/taxondetails?taxnode_id=202517490&amp;ictv_id=ICTV202317490","ICTV202317490")</f>
        <v>ICTV202317490</v>
      </c>
      <c r="R12595" t="s">
        <v>581</v>
      </c>
      <c r="S12595" t="s">
        <v>823</v>
      </c>
      <c r="T12595">
        <v>39</v>
      </c>
      <c r="U12595" s="26" t="str">
        <f>HYPERLINK("https://ictv.global/ictv/proposals/2023.001B.Leviviricetes_reorg.zip","2023.001B.Leviviricetes_reorg.zip")</f>
        <v>2023.001B.Leviviricetes_reorg.zip</v>
      </c>
    </row>
    <row r="12596" spans="1:21">
      <c r="A12596">
        <v>12595</v>
      </c>
      <c r="B12596" s="27" t="s">
        <v>1124</v>
      </c>
      <c r="D12596" s="27" t="s">
        <v>1859</v>
      </c>
      <c r="F12596" s="27" t="s">
        <v>1881</v>
      </c>
      <c r="H12596" s="27" t="s">
        <v>2679</v>
      </c>
      <c r="J12596" s="27" t="s">
        <v>3210</v>
      </c>
      <c r="L12596" s="27" t="s">
        <v>3262</v>
      </c>
      <c r="N12596" s="27" t="s">
        <v>3361</v>
      </c>
      <c r="P12596" s="27" t="s">
        <v>3362</v>
      </c>
      <c r="Q12596" s="26" t="str">
        <f>HYPERLINK("https://ictv.global/taxonomy/taxondetails?taxnode_id=202511281&amp;ictv_id=ICTV202011281","ICTV202011281")</f>
        <v>ICTV202011281</v>
      </c>
      <c r="R12596" t="s">
        <v>581</v>
      </c>
      <c r="S12596" t="s">
        <v>823</v>
      </c>
      <c r="T12596">
        <v>36</v>
      </c>
      <c r="U12596" s="26" t="str">
        <f>HYPERLINK("https://ictv.global/ictv/proposals/2020.095B.R.Leviviricetes.zip","2020.095B.R.Leviviricetes.zip")</f>
        <v>2020.095B.R.Leviviricetes.zip</v>
      </c>
    </row>
    <row r="12597" spans="1:21">
      <c r="A12597">
        <v>12596</v>
      </c>
      <c r="B12597" s="27" t="s">
        <v>1124</v>
      </c>
      <c r="D12597" s="27" t="s">
        <v>1859</v>
      </c>
      <c r="F12597" s="27" t="s">
        <v>1881</v>
      </c>
      <c r="H12597" s="27" t="s">
        <v>2679</v>
      </c>
      <c r="J12597" s="27" t="s">
        <v>3210</v>
      </c>
      <c r="L12597" s="27" t="s">
        <v>3262</v>
      </c>
      <c r="N12597" s="27" t="s">
        <v>3363</v>
      </c>
      <c r="P12597" s="27" t="s">
        <v>16398</v>
      </c>
      <c r="Q12597" s="26" t="str">
        <f>HYPERLINK("https://ictv.global/taxonomy/taxondetails?taxnode_id=202517491&amp;ictv_id=ICTV202317491","ICTV202317491")</f>
        <v>ICTV202317491</v>
      </c>
      <c r="R12597" t="s">
        <v>581</v>
      </c>
      <c r="S12597" t="s">
        <v>823</v>
      </c>
      <c r="T12597">
        <v>39</v>
      </c>
      <c r="U12597" s="26" t="str">
        <f>HYPERLINK("https://ictv.global/ictv/proposals/2023.001B.Leviviricetes_reorg.zip","2023.001B.Leviviricetes_reorg.zip")</f>
        <v>2023.001B.Leviviricetes_reorg.zip</v>
      </c>
    </row>
    <row r="12598" spans="1:21">
      <c r="A12598">
        <v>12597</v>
      </c>
      <c r="B12598" s="27" t="s">
        <v>1124</v>
      </c>
      <c r="D12598" s="27" t="s">
        <v>1859</v>
      </c>
      <c r="F12598" s="27" t="s">
        <v>1881</v>
      </c>
      <c r="H12598" s="27" t="s">
        <v>2679</v>
      </c>
      <c r="J12598" s="27" t="s">
        <v>3210</v>
      </c>
      <c r="L12598" s="27" t="s">
        <v>3262</v>
      </c>
      <c r="N12598" s="27" t="s">
        <v>3363</v>
      </c>
      <c r="P12598" s="27" t="s">
        <v>3364</v>
      </c>
      <c r="Q12598" s="26" t="str">
        <f>HYPERLINK("https://ictv.global/taxonomy/taxondetails?taxnode_id=202511287&amp;ictv_id=ICTV202011287","ICTV202011287")</f>
        <v>ICTV202011287</v>
      </c>
      <c r="R12598" t="s">
        <v>581</v>
      </c>
      <c r="S12598" t="s">
        <v>823</v>
      </c>
      <c r="T12598">
        <v>36</v>
      </c>
      <c r="U12598" s="26" t="str">
        <f>HYPERLINK("https://ictv.global/ictv/proposals/2020.095B.R.Leviviricetes.zip","2020.095B.R.Leviviricetes.zip")</f>
        <v>2020.095B.R.Leviviricetes.zip</v>
      </c>
    </row>
    <row r="12599" spans="1:21">
      <c r="A12599">
        <v>12598</v>
      </c>
      <c r="B12599" s="27" t="s">
        <v>1124</v>
      </c>
      <c r="D12599" s="27" t="s">
        <v>1859</v>
      </c>
      <c r="F12599" s="27" t="s">
        <v>1881</v>
      </c>
      <c r="H12599" s="27" t="s">
        <v>2679</v>
      </c>
      <c r="J12599" s="27" t="s">
        <v>3210</v>
      </c>
      <c r="L12599" s="27" t="s">
        <v>3262</v>
      </c>
      <c r="N12599" s="27" t="s">
        <v>3363</v>
      </c>
      <c r="P12599" s="27" t="s">
        <v>3365</v>
      </c>
      <c r="Q12599" s="26" t="str">
        <f>HYPERLINK("https://ictv.global/taxonomy/taxondetails?taxnode_id=202511289&amp;ictv_id=ICTV202011289","ICTV202011289")</f>
        <v>ICTV202011289</v>
      </c>
      <c r="R12599" t="s">
        <v>581</v>
      </c>
      <c r="S12599" t="s">
        <v>823</v>
      </c>
      <c r="T12599">
        <v>36</v>
      </c>
      <c r="U12599" s="26" t="str">
        <f>HYPERLINK("https://ictv.global/ictv/proposals/2020.095B.R.Leviviricetes.zip","2020.095B.R.Leviviricetes.zip")</f>
        <v>2020.095B.R.Leviviricetes.zip</v>
      </c>
    </row>
    <row r="12600" spans="1:21">
      <c r="A12600">
        <v>12599</v>
      </c>
      <c r="B12600" s="27" t="s">
        <v>1124</v>
      </c>
      <c r="D12600" s="27" t="s">
        <v>1859</v>
      </c>
      <c r="F12600" s="27" t="s">
        <v>1881</v>
      </c>
      <c r="H12600" s="27" t="s">
        <v>2679</v>
      </c>
      <c r="J12600" s="27" t="s">
        <v>3210</v>
      </c>
      <c r="L12600" s="27" t="s">
        <v>3262</v>
      </c>
      <c r="N12600" s="27" t="s">
        <v>3363</v>
      </c>
      <c r="P12600" s="27" t="s">
        <v>16399</v>
      </c>
      <c r="Q12600" s="26" t="str">
        <f>HYPERLINK("https://ictv.global/taxonomy/taxondetails?taxnode_id=202517492&amp;ictv_id=ICTV202317492","ICTV202317492")</f>
        <v>ICTV202317492</v>
      </c>
      <c r="R12600" t="s">
        <v>581</v>
      </c>
      <c r="S12600" t="s">
        <v>823</v>
      </c>
      <c r="T12600">
        <v>39</v>
      </c>
      <c r="U12600" s="26" t="str">
        <f t="shared" ref="U12600:U12608" si="461">HYPERLINK("https://ictv.global/ictv/proposals/2023.001B.Leviviricetes_reorg.zip","2023.001B.Leviviricetes_reorg.zip")</f>
        <v>2023.001B.Leviviricetes_reorg.zip</v>
      </c>
    </row>
    <row r="12601" spans="1:21">
      <c r="A12601">
        <v>12600</v>
      </c>
      <c r="B12601" s="27" t="s">
        <v>1124</v>
      </c>
      <c r="D12601" s="27" t="s">
        <v>1859</v>
      </c>
      <c r="F12601" s="27" t="s">
        <v>1881</v>
      </c>
      <c r="H12601" s="27" t="s">
        <v>2679</v>
      </c>
      <c r="J12601" s="27" t="s">
        <v>3210</v>
      </c>
      <c r="L12601" s="27" t="s">
        <v>3262</v>
      </c>
      <c r="N12601" s="27" t="s">
        <v>3363</v>
      </c>
      <c r="P12601" s="27" t="s">
        <v>16400</v>
      </c>
      <c r="Q12601" s="26" t="str">
        <f>HYPERLINK("https://ictv.global/taxonomy/taxondetails?taxnode_id=202517493&amp;ictv_id=ICTV202317493","ICTV202317493")</f>
        <v>ICTV202317493</v>
      </c>
      <c r="R12601" t="s">
        <v>581</v>
      </c>
      <c r="S12601" t="s">
        <v>823</v>
      </c>
      <c r="T12601">
        <v>39</v>
      </c>
      <c r="U12601" s="26" t="str">
        <f t="shared" si="461"/>
        <v>2023.001B.Leviviricetes_reorg.zip</v>
      </c>
    </row>
    <row r="12602" spans="1:21">
      <c r="A12602">
        <v>12601</v>
      </c>
      <c r="B12602" s="27" t="s">
        <v>1124</v>
      </c>
      <c r="D12602" s="27" t="s">
        <v>1859</v>
      </c>
      <c r="F12602" s="27" t="s">
        <v>1881</v>
      </c>
      <c r="H12602" s="27" t="s">
        <v>2679</v>
      </c>
      <c r="J12602" s="27" t="s">
        <v>3210</v>
      </c>
      <c r="L12602" s="27" t="s">
        <v>3262</v>
      </c>
      <c r="N12602" s="27" t="s">
        <v>3363</v>
      </c>
      <c r="P12602" s="27" t="s">
        <v>16401</v>
      </c>
      <c r="Q12602" s="26" t="str">
        <f>HYPERLINK("https://ictv.global/taxonomy/taxondetails?taxnode_id=202517494&amp;ictv_id=ICTV202317494","ICTV202317494")</f>
        <v>ICTV202317494</v>
      </c>
      <c r="R12602" t="s">
        <v>581</v>
      </c>
      <c r="S12602" t="s">
        <v>823</v>
      </c>
      <c r="T12602">
        <v>39</v>
      </c>
      <c r="U12602" s="26" t="str">
        <f t="shared" si="461"/>
        <v>2023.001B.Leviviricetes_reorg.zip</v>
      </c>
    </row>
    <row r="12603" spans="1:21">
      <c r="A12603">
        <v>12602</v>
      </c>
      <c r="B12603" s="27" t="s">
        <v>1124</v>
      </c>
      <c r="D12603" s="27" t="s">
        <v>1859</v>
      </c>
      <c r="F12603" s="27" t="s">
        <v>1881</v>
      </c>
      <c r="H12603" s="27" t="s">
        <v>2679</v>
      </c>
      <c r="J12603" s="27" t="s">
        <v>3210</v>
      </c>
      <c r="L12603" s="27" t="s">
        <v>3262</v>
      </c>
      <c r="N12603" s="27" t="s">
        <v>3363</v>
      </c>
      <c r="P12603" s="27" t="s">
        <v>16402</v>
      </c>
      <c r="Q12603" s="26" t="str">
        <f>HYPERLINK("https://ictv.global/taxonomy/taxondetails?taxnode_id=202517495&amp;ictv_id=ICTV202317495","ICTV202317495")</f>
        <v>ICTV202317495</v>
      </c>
      <c r="R12603" t="s">
        <v>581</v>
      </c>
      <c r="S12603" t="s">
        <v>823</v>
      </c>
      <c r="T12603">
        <v>39</v>
      </c>
      <c r="U12603" s="26" t="str">
        <f t="shared" si="461"/>
        <v>2023.001B.Leviviricetes_reorg.zip</v>
      </c>
    </row>
    <row r="12604" spans="1:21">
      <c r="A12604">
        <v>12603</v>
      </c>
      <c r="B12604" s="27" t="s">
        <v>1124</v>
      </c>
      <c r="D12604" s="27" t="s">
        <v>1859</v>
      </c>
      <c r="F12604" s="27" t="s">
        <v>1881</v>
      </c>
      <c r="H12604" s="27" t="s">
        <v>2679</v>
      </c>
      <c r="J12604" s="27" t="s">
        <v>3210</v>
      </c>
      <c r="L12604" s="27" t="s">
        <v>3262</v>
      </c>
      <c r="N12604" s="27" t="s">
        <v>3363</v>
      </c>
      <c r="P12604" s="27" t="s">
        <v>16403</v>
      </c>
      <c r="Q12604" s="26" t="str">
        <f>HYPERLINK("https://ictv.global/taxonomy/taxondetails?taxnode_id=202517496&amp;ictv_id=ICTV202317496","ICTV202317496")</f>
        <v>ICTV202317496</v>
      </c>
      <c r="R12604" t="s">
        <v>581</v>
      </c>
      <c r="S12604" t="s">
        <v>823</v>
      </c>
      <c r="T12604">
        <v>39</v>
      </c>
      <c r="U12604" s="26" t="str">
        <f t="shared" si="461"/>
        <v>2023.001B.Leviviricetes_reorg.zip</v>
      </c>
    </row>
    <row r="12605" spans="1:21">
      <c r="A12605">
        <v>12604</v>
      </c>
      <c r="B12605" s="27" t="s">
        <v>1124</v>
      </c>
      <c r="D12605" s="27" t="s">
        <v>1859</v>
      </c>
      <c r="F12605" s="27" t="s">
        <v>1881</v>
      </c>
      <c r="H12605" s="27" t="s">
        <v>2679</v>
      </c>
      <c r="J12605" s="27" t="s">
        <v>3210</v>
      </c>
      <c r="L12605" s="27" t="s">
        <v>3262</v>
      </c>
      <c r="N12605" s="27" t="s">
        <v>3363</v>
      </c>
      <c r="P12605" s="27" t="s">
        <v>16404</v>
      </c>
      <c r="Q12605" s="26" t="str">
        <f>HYPERLINK("https://ictv.global/taxonomy/taxondetails?taxnode_id=202517497&amp;ictv_id=ICTV202317497","ICTV202317497")</f>
        <v>ICTV202317497</v>
      </c>
      <c r="R12605" t="s">
        <v>581</v>
      </c>
      <c r="S12605" t="s">
        <v>823</v>
      </c>
      <c r="T12605">
        <v>39</v>
      </c>
      <c r="U12605" s="26" t="str">
        <f t="shared" si="461"/>
        <v>2023.001B.Leviviricetes_reorg.zip</v>
      </c>
    </row>
    <row r="12606" spans="1:21">
      <c r="A12606">
        <v>12605</v>
      </c>
      <c r="B12606" s="27" t="s">
        <v>1124</v>
      </c>
      <c r="D12606" s="27" t="s">
        <v>1859</v>
      </c>
      <c r="F12606" s="27" t="s">
        <v>1881</v>
      </c>
      <c r="H12606" s="27" t="s">
        <v>2679</v>
      </c>
      <c r="J12606" s="27" t="s">
        <v>3210</v>
      </c>
      <c r="L12606" s="27" t="s">
        <v>3262</v>
      </c>
      <c r="N12606" s="27" t="s">
        <v>3363</v>
      </c>
      <c r="P12606" s="27" t="s">
        <v>16405</v>
      </c>
      <c r="Q12606" s="26" t="str">
        <f>HYPERLINK("https://ictv.global/taxonomy/taxondetails?taxnode_id=202517498&amp;ictv_id=ICTV202317498","ICTV202317498")</f>
        <v>ICTV202317498</v>
      </c>
      <c r="R12606" t="s">
        <v>581</v>
      </c>
      <c r="S12606" t="s">
        <v>823</v>
      </c>
      <c r="T12606">
        <v>39</v>
      </c>
      <c r="U12606" s="26" t="str">
        <f t="shared" si="461"/>
        <v>2023.001B.Leviviricetes_reorg.zip</v>
      </c>
    </row>
    <row r="12607" spans="1:21">
      <c r="A12607">
        <v>12606</v>
      </c>
      <c r="B12607" s="27" t="s">
        <v>1124</v>
      </c>
      <c r="D12607" s="27" t="s">
        <v>1859</v>
      </c>
      <c r="F12607" s="27" t="s">
        <v>1881</v>
      </c>
      <c r="H12607" s="27" t="s">
        <v>2679</v>
      </c>
      <c r="J12607" s="27" t="s">
        <v>3210</v>
      </c>
      <c r="L12607" s="27" t="s">
        <v>3262</v>
      </c>
      <c r="N12607" s="27" t="s">
        <v>3363</v>
      </c>
      <c r="P12607" s="27" t="s">
        <v>16406</v>
      </c>
      <c r="Q12607" s="26" t="str">
        <f>HYPERLINK("https://ictv.global/taxonomy/taxondetails?taxnode_id=202517499&amp;ictv_id=ICTV202317499","ICTV202317499")</f>
        <v>ICTV202317499</v>
      </c>
      <c r="R12607" t="s">
        <v>581</v>
      </c>
      <c r="S12607" t="s">
        <v>823</v>
      </c>
      <c r="T12607">
        <v>39</v>
      </c>
      <c r="U12607" s="26" t="str">
        <f t="shared" si="461"/>
        <v>2023.001B.Leviviricetes_reorg.zip</v>
      </c>
    </row>
    <row r="12608" spans="1:21">
      <c r="A12608">
        <v>12607</v>
      </c>
      <c r="B12608" s="27" t="s">
        <v>1124</v>
      </c>
      <c r="D12608" s="27" t="s">
        <v>1859</v>
      </c>
      <c r="F12608" s="27" t="s">
        <v>1881</v>
      </c>
      <c r="H12608" s="27" t="s">
        <v>2679</v>
      </c>
      <c r="J12608" s="27" t="s">
        <v>3210</v>
      </c>
      <c r="L12608" s="27" t="s">
        <v>3262</v>
      </c>
      <c r="N12608" s="27" t="s">
        <v>3363</v>
      </c>
      <c r="P12608" s="27" t="s">
        <v>16407</v>
      </c>
      <c r="Q12608" s="26" t="str">
        <f>HYPERLINK("https://ictv.global/taxonomy/taxondetails?taxnode_id=202517500&amp;ictv_id=ICTV202317500","ICTV202317500")</f>
        <v>ICTV202317500</v>
      </c>
      <c r="R12608" t="s">
        <v>581</v>
      </c>
      <c r="S12608" t="s">
        <v>823</v>
      </c>
      <c r="T12608">
        <v>39</v>
      </c>
      <c r="U12608" s="26" t="str">
        <f t="shared" si="461"/>
        <v>2023.001B.Leviviricetes_reorg.zip</v>
      </c>
    </row>
    <row r="12609" spans="1:21">
      <c r="A12609">
        <v>12608</v>
      </c>
      <c r="B12609" s="27" t="s">
        <v>1124</v>
      </c>
      <c r="D12609" s="27" t="s">
        <v>1859</v>
      </c>
      <c r="F12609" s="27" t="s">
        <v>1881</v>
      </c>
      <c r="H12609" s="27" t="s">
        <v>2679</v>
      </c>
      <c r="J12609" s="27" t="s">
        <v>3210</v>
      </c>
      <c r="L12609" s="27" t="s">
        <v>3262</v>
      </c>
      <c r="N12609" s="27" t="s">
        <v>3363</v>
      </c>
      <c r="P12609" s="27" t="s">
        <v>3366</v>
      </c>
      <c r="Q12609" s="26" t="str">
        <f>HYPERLINK("https://ictv.global/taxonomy/taxondetails?taxnode_id=202511288&amp;ictv_id=ICTV202011288","ICTV202011288")</f>
        <v>ICTV202011288</v>
      </c>
      <c r="R12609" t="s">
        <v>581</v>
      </c>
      <c r="S12609" t="s">
        <v>823</v>
      </c>
      <c r="T12609">
        <v>36</v>
      </c>
      <c r="U12609" s="26" t="str">
        <f>HYPERLINK("https://ictv.global/ictv/proposals/2020.095B.R.Leviviricetes.zip","2020.095B.R.Leviviricetes.zip")</f>
        <v>2020.095B.R.Leviviricetes.zip</v>
      </c>
    </row>
    <row r="12610" spans="1:21">
      <c r="A12610">
        <v>12609</v>
      </c>
      <c r="B12610" s="27" t="s">
        <v>1124</v>
      </c>
      <c r="D12610" s="27" t="s">
        <v>1859</v>
      </c>
      <c r="F12610" s="27" t="s">
        <v>1881</v>
      </c>
      <c r="H12610" s="27" t="s">
        <v>2679</v>
      </c>
      <c r="J12610" s="27" t="s">
        <v>3210</v>
      </c>
      <c r="L12610" s="27" t="s">
        <v>3262</v>
      </c>
      <c r="N12610" s="27" t="s">
        <v>3367</v>
      </c>
      <c r="P12610" s="27" t="s">
        <v>3368</v>
      </c>
      <c r="Q12610" s="26" t="str">
        <f>HYPERLINK("https://ictv.global/taxonomy/taxondetails?taxnode_id=202511301&amp;ictv_id=ICTV202011301","ICTV202011301")</f>
        <v>ICTV202011301</v>
      </c>
      <c r="R12610" t="s">
        <v>581</v>
      </c>
      <c r="S12610" t="s">
        <v>823</v>
      </c>
      <c r="T12610">
        <v>36</v>
      </c>
      <c r="U12610" s="26" t="str">
        <f>HYPERLINK("https://ictv.global/ictv/proposals/2020.095B.R.Leviviricetes.zip","2020.095B.R.Leviviricetes.zip")</f>
        <v>2020.095B.R.Leviviricetes.zip</v>
      </c>
    </row>
    <row r="12611" spans="1:21">
      <c r="A12611">
        <v>12610</v>
      </c>
      <c r="B12611" s="27" t="s">
        <v>1124</v>
      </c>
      <c r="D12611" s="27" t="s">
        <v>1859</v>
      </c>
      <c r="F12611" s="27" t="s">
        <v>1881</v>
      </c>
      <c r="H12611" s="27" t="s">
        <v>2679</v>
      </c>
      <c r="J12611" s="27" t="s">
        <v>3210</v>
      </c>
      <c r="L12611" s="27" t="s">
        <v>3262</v>
      </c>
      <c r="N12611" s="27" t="s">
        <v>3369</v>
      </c>
      <c r="P12611" s="27" t="s">
        <v>3370</v>
      </c>
      <c r="Q12611" s="26" t="str">
        <f>HYPERLINK("https://ictv.global/taxonomy/taxondetails?taxnode_id=202511303&amp;ictv_id=ICTV202011303","ICTV202011303")</f>
        <v>ICTV202011303</v>
      </c>
      <c r="R12611" t="s">
        <v>581</v>
      </c>
      <c r="S12611" t="s">
        <v>823</v>
      </c>
      <c r="T12611">
        <v>36</v>
      </c>
      <c r="U12611" s="26" t="str">
        <f>HYPERLINK("https://ictv.global/ictv/proposals/2020.095B.R.Leviviricetes.zip","2020.095B.R.Leviviricetes.zip")</f>
        <v>2020.095B.R.Leviviricetes.zip</v>
      </c>
    </row>
    <row r="12612" spans="1:21">
      <c r="A12612">
        <v>12611</v>
      </c>
      <c r="B12612" s="27" t="s">
        <v>1124</v>
      </c>
      <c r="D12612" s="27" t="s">
        <v>1859</v>
      </c>
      <c r="F12612" s="27" t="s">
        <v>1881</v>
      </c>
      <c r="H12612" s="27" t="s">
        <v>2679</v>
      </c>
      <c r="J12612" s="27" t="s">
        <v>3210</v>
      </c>
      <c r="L12612" s="27" t="s">
        <v>3262</v>
      </c>
      <c r="N12612" s="27" t="s">
        <v>16408</v>
      </c>
      <c r="P12612" s="27" t="s">
        <v>16409</v>
      </c>
      <c r="Q12612" s="26" t="str">
        <f>HYPERLINK("https://ictv.global/taxonomy/taxondetails?taxnode_id=202517501&amp;ictv_id=ICTV202317501","ICTV202317501")</f>
        <v>ICTV202317501</v>
      </c>
      <c r="R12612" t="s">
        <v>581</v>
      </c>
      <c r="S12612" t="s">
        <v>823</v>
      </c>
      <c r="T12612">
        <v>39</v>
      </c>
      <c r="U12612" s="26" t="str">
        <f t="shared" ref="U12612:U12617" si="462">HYPERLINK("https://ictv.global/ictv/proposals/2023.001B.Leviviricetes_reorg.zip","2023.001B.Leviviricetes_reorg.zip")</f>
        <v>2023.001B.Leviviricetes_reorg.zip</v>
      </c>
    </row>
    <row r="12613" spans="1:21">
      <c r="A12613">
        <v>12612</v>
      </c>
      <c r="B12613" s="27" t="s">
        <v>1124</v>
      </c>
      <c r="D12613" s="27" t="s">
        <v>1859</v>
      </c>
      <c r="F12613" s="27" t="s">
        <v>1881</v>
      </c>
      <c r="H12613" s="27" t="s">
        <v>2679</v>
      </c>
      <c r="J12613" s="27" t="s">
        <v>3210</v>
      </c>
      <c r="L12613" s="27" t="s">
        <v>3262</v>
      </c>
      <c r="N12613" s="27" t="s">
        <v>16410</v>
      </c>
      <c r="P12613" s="27" t="s">
        <v>16411</v>
      </c>
      <c r="Q12613" s="26" t="str">
        <f>HYPERLINK("https://ictv.global/taxonomy/taxondetails?taxnode_id=202517502&amp;ictv_id=ICTV202317502","ICTV202317502")</f>
        <v>ICTV202317502</v>
      </c>
      <c r="R12613" t="s">
        <v>581</v>
      </c>
      <c r="S12613" t="s">
        <v>823</v>
      </c>
      <c r="T12613">
        <v>39</v>
      </c>
      <c r="U12613" s="26" t="str">
        <f t="shared" si="462"/>
        <v>2023.001B.Leviviricetes_reorg.zip</v>
      </c>
    </row>
    <row r="12614" spans="1:21">
      <c r="A12614">
        <v>12613</v>
      </c>
      <c r="B12614" s="27" t="s">
        <v>1124</v>
      </c>
      <c r="D12614" s="27" t="s">
        <v>1859</v>
      </c>
      <c r="F12614" s="27" t="s">
        <v>1881</v>
      </c>
      <c r="H12614" s="27" t="s">
        <v>2679</v>
      </c>
      <c r="J12614" s="27" t="s">
        <v>3210</v>
      </c>
      <c r="L12614" s="27" t="s">
        <v>3262</v>
      </c>
      <c r="N12614" s="27" t="s">
        <v>16410</v>
      </c>
      <c r="P12614" s="27" t="s">
        <v>16412</v>
      </c>
      <c r="Q12614" s="26" t="str">
        <f>HYPERLINK("https://ictv.global/taxonomy/taxondetails?taxnode_id=202517503&amp;ictv_id=ICTV202317503","ICTV202317503")</f>
        <v>ICTV202317503</v>
      </c>
      <c r="R12614" t="s">
        <v>581</v>
      </c>
      <c r="S12614" t="s">
        <v>823</v>
      </c>
      <c r="T12614">
        <v>39</v>
      </c>
      <c r="U12614" s="26" t="str">
        <f t="shared" si="462"/>
        <v>2023.001B.Leviviricetes_reorg.zip</v>
      </c>
    </row>
    <row r="12615" spans="1:21">
      <c r="A12615">
        <v>12614</v>
      </c>
      <c r="B12615" s="27" t="s">
        <v>1124</v>
      </c>
      <c r="D12615" s="27" t="s">
        <v>1859</v>
      </c>
      <c r="F12615" s="27" t="s">
        <v>1881</v>
      </c>
      <c r="H12615" s="27" t="s">
        <v>2679</v>
      </c>
      <c r="J12615" s="27" t="s">
        <v>3210</v>
      </c>
      <c r="L12615" s="27" t="s">
        <v>3262</v>
      </c>
      <c r="N12615" s="27" t="s">
        <v>16410</v>
      </c>
      <c r="P12615" s="27" t="s">
        <v>16413</v>
      </c>
      <c r="Q12615" s="26" t="str">
        <f>HYPERLINK("https://ictv.global/taxonomy/taxondetails?taxnode_id=202517504&amp;ictv_id=ICTV202317504","ICTV202317504")</f>
        <v>ICTV202317504</v>
      </c>
      <c r="R12615" t="s">
        <v>581</v>
      </c>
      <c r="S12615" t="s">
        <v>823</v>
      </c>
      <c r="T12615">
        <v>39</v>
      </c>
      <c r="U12615" s="26" t="str">
        <f t="shared" si="462"/>
        <v>2023.001B.Leviviricetes_reorg.zip</v>
      </c>
    </row>
    <row r="12616" spans="1:21">
      <c r="A12616">
        <v>12615</v>
      </c>
      <c r="B12616" s="27" t="s">
        <v>1124</v>
      </c>
      <c r="D12616" s="27" t="s">
        <v>1859</v>
      </c>
      <c r="F12616" s="27" t="s">
        <v>1881</v>
      </c>
      <c r="H12616" s="27" t="s">
        <v>2679</v>
      </c>
      <c r="J12616" s="27" t="s">
        <v>3210</v>
      </c>
      <c r="L12616" s="27" t="s">
        <v>3262</v>
      </c>
      <c r="N12616" s="27" t="s">
        <v>16410</v>
      </c>
      <c r="P12616" s="27" t="s">
        <v>16414</v>
      </c>
      <c r="Q12616" s="26" t="str">
        <f>HYPERLINK("https://ictv.global/taxonomy/taxondetails?taxnode_id=202517505&amp;ictv_id=ICTV202317505","ICTV202317505")</f>
        <v>ICTV202317505</v>
      </c>
      <c r="R12616" t="s">
        <v>581</v>
      </c>
      <c r="S12616" t="s">
        <v>823</v>
      </c>
      <c r="T12616">
        <v>39</v>
      </c>
      <c r="U12616" s="26" t="str">
        <f t="shared" si="462"/>
        <v>2023.001B.Leviviricetes_reorg.zip</v>
      </c>
    </row>
    <row r="12617" spans="1:21">
      <c r="A12617">
        <v>12616</v>
      </c>
      <c r="B12617" s="27" t="s">
        <v>1124</v>
      </c>
      <c r="D12617" s="27" t="s">
        <v>1859</v>
      </c>
      <c r="F12617" s="27" t="s">
        <v>1881</v>
      </c>
      <c r="H12617" s="27" t="s">
        <v>2679</v>
      </c>
      <c r="J12617" s="27" t="s">
        <v>3210</v>
      </c>
      <c r="L12617" s="27" t="s">
        <v>3262</v>
      </c>
      <c r="N12617" s="27" t="s">
        <v>16410</v>
      </c>
      <c r="P12617" s="27" t="s">
        <v>16415</v>
      </c>
      <c r="Q12617" s="26" t="str">
        <f>HYPERLINK("https://ictv.global/taxonomy/taxondetails?taxnode_id=202517506&amp;ictv_id=ICTV202317506","ICTV202317506")</f>
        <v>ICTV202317506</v>
      </c>
      <c r="R12617" t="s">
        <v>581</v>
      </c>
      <c r="S12617" t="s">
        <v>823</v>
      </c>
      <c r="T12617">
        <v>39</v>
      </c>
      <c r="U12617" s="26" t="str">
        <f t="shared" si="462"/>
        <v>2023.001B.Leviviricetes_reorg.zip</v>
      </c>
    </row>
    <row r="12618" spans="1:21">
      <c r="A12618">
        <v>12617</v>
      </c>
      <c r="B12618" s="27" t="s">
        <v>1124</v>
      </c>
      <c r="D12618" s="27" t="s">
        <v>1859</v>
      </c>
      <c r="F12618" s="27" t="s">
        <v>1881</v>
      </c>
      <c r="H12618" s="27" t="s">
        <v>2679</v>
      </c>
      <c r="J12618" s="27" t="s">
        <v>3210</v>
      </c>
      <c r="L12618" s="27" t="s">
        <v>3262</v>
      </c>
      <c r="N12618" s="27" t="s">
        <v>3371</v>
      </c>
      <c r="P12618" s="27" t="s">
        <v>3372</v>
      </c>
      <c r="Q12618" s="26" t="str">
        <f>HYPERLINK("https://ictv.global/taxonomy/taxondetails?taxnode_id=202511308&amp;ictv_id=ICTV202011308","ICTV202011308")</f>
        <v>ICTV202011308</v>
      </c>
      <c r="R12618" t="s">
        <v>581</v>
      </c>
      <c r="S12618" t="s">
        <v>823</v>
      </c>
      <c r="T12618">
        <v>36</v>
      </c>
      <c r="U12618" s="26" t="str">
        <f>HYPERLINK("https://ictv.global/ictv/proposals/2020.095B.R.Leviviricetes.zip","2020.095B.R.Leviviricetes.zip")</f>
        <v>2020.095B.R.Leviviricetes.zip</v>
      </c>
    </row>
    <row r="12619" spans="1:21">
      <c r="A12619">
        <v>12618</v>
      </c>
      <c r="B12619" s="27" t="s">
        <v>1124</v>
      </c>
      <c r="D12619" s="27" t="s">
        <v>1859</v>
      </c>
      <c r="F12619" s="27" t="s">
        <v>1881</v>
      </c>
      <c r="H12619" s="27" t="s">
        <v>2679</v>
      </c>
      <c r="J12619" s="27" t="s">
        <v>3210</v>
      </c>
      <c r="L12619" s="27" t="s">
        <v>3262</v>
      </c>
      <c r="N12619" s="27" t="s">
        <v>3373</v>
      </c>
      <c r="P12619" s="27" t="s">
        <v>3374</v>
      </c>
      <c r="Q12619" s="26" t="str">
        <f>HYPERLINK("https://ictv.global/taxonomy/taxondetails?taxnode_id=202511310&amp;ictv_id=ICTV202011310","ICTV202011310")</f>
        <v>ICTV202011310</v>
      </c>
      <c r="R12619" t="s">
        <v>581</v>
      </c>
      <c r="S12619" t="s">
        <v>823</v>
      </c>
      <c r="T12619">
        <v>36</v>
      </c>
      <c r="U12619" s="26" t="str">
        <f>HYPERLINK("https://ictv.global/ictv/proposals/2020.095B.R.Leviviricetes.zip","2020.095B.R.Leviviricetes.zip")</f>
        <v>2020.095B.R.Leviviricetes.zip</v>
      </c>
    </row>
    <row r="12620" spans="1:21">
      <c r="A12620">
        <v>12619</v>
      </c>
      <c r="B12620" s="27" t="s">
        <v>1124</v>
      </c>
      <c r="D12620" s="27" t="s">
        <v>1859</v>
      </c>
      <c r="F12620" s="27" t="s">
        <v>1881</v>
      </c>
      <c r="H12620" s="27" t="s">
        <v>2679</v>
      </c>
      <c r="J12620" s="27" t="s">
        <v>3210</v>
      </c>
      <c r="L12620" s="27" t="s">
        <v>3262</v>
      </c>
      <c r="N12620" s="27" t="s">
        <v>3373</v>
      </c>
      <c r="P12620" s="27" t="s">
        <v>16416</v>
      </c>
      <c r="Q12620" s="26" t="str">
        <f>HYPERLINK("https://ictv.global/taxonomy/taxondetails?taxnode_id=202517507&amp;ictv_id=ICTV202317507","ICTV202317507")</f>
        <v>ICTV202317507</v>
      </c>
      <c r="R12620" t="s">
        <v>581</v>
      </c>
      <c r="S12620" t="s">
        <v>823</v>
      </c>
      <c r="T12620">
        <v>39</v>
      </c>
      <c r="U12620" s="26" t="str">
        <f t="shared" ref="U12620:U12637" si="463">HYPERLINK("https://ictv.global/ictv/proposals/2023.001B.Leviviricetes_reorg.zip","2023.001B.Leviviricetes_reorg.zip")</f>
        <v>2023.001B.Leviviricetes_reorg.zip</v>
      </c>
    </row>
    <row r="12621" spans="1:21">
      <c r="A12621">
        <v>12620</v>
      </c>
      <c r="B12621" s="27" t="s">
        <v>1124</v>
      </c>
      <c r="D12621" s="27" t="s">
        <v>1859</v>
      </c>
      <c r="F12621" s="27" t="s">
        <v>1881</v>
      </c>
      <c r="H12621" s="27" t="s">
        <v>2679</v>
      </c>
      <c r="J12621" s="27" t="s">
        <v>3210</v>
      </c>
      <c r="L12621" s="27" t="s">
        <v>3262</v>
      </c>
      <c r="N12621" s="27" t="s">
        <v>3373</v>
      </c>
      <c r="P12621" s="27" t="s">
        <v>16417</v>
      </c>
      <c r="Q12621" s="26" t="str">
        <f>HYPERLINK("https://ictv.global/taxonomy/taxondetails?taxnode_id=202517508&amp;ictv_id=ICTV202317508","ICTV202317508")</f>
        <v>ICTV202317508</v>
      </c>
      <c r="R12621" t="s">
        <v>581</v>
      </c>
      <c r="S12621" t="s">
        <v>823</v>
      </c>
      <c r="T12621">
        <v>39</v>
      </c>
      <c r="U12621" s="26" t="str">
        <f t="shared" si="463"/>
        <v>2023.001B.Leviviricetes_reorg.zip</v>
      </c>
    </row>
    <row r="12622" spans="1:21">
      <c r="A12622">
        <v>12621</v>
      </c>
      <c r="B12622" s="27" t="s">
        <v>1124</v>
      </c>
      <c r="D12622" s="27" t="s">
        <v>1859</v>
      </c>
      <c r="F12622" s="27" t="s">
        <v>1881</v>
      </c>
      <c r="H12622" s="27" t="s">
        <v>2679</v>
      </c>
      <c r="J12622" s="27" t="s">
        <v>3210</v>
      </c>
      <c r="L12622" s="27" t="s">
        <v>3262</v>
      </c>
      <c r="N12622" s="27" t="s">
        <v>3373</v>
      </c>
      <c r="P12622" s="27" t="s">
        <v>16418</v>
      </c>
      <c r="Q12622" s="26" t="str">
        <f>HYPERLINK("https://ictv.global/taxonomy/taxondetails?taxnode_id=202517509&amp;ictv_id=ICTV202317509","ICTV202317509")</f>
        <v>ICTV202317509</v>
      </c>
      <c r="R12622" t="s">
        <v>581</v>
      </c>
      <c r="S12622" t="s">
        <v>823</v>
      </c>
      <c r="T12622">
        <v>39</v>
      </c>
      <c r="U12622" s="26" t="str">
        <f t="shared" si="463"/>
        <v>2023.001B.Leviviricetes_reorg.zip</v>
      </c>
    </row>
    <row r="12623" spans="1:21">
      <c r="A12623">
        <v>12622</v>
      </c>
      <c r="B12623" s="27" t="s">
        <v>1124</v>
      </c>
      <c r="D12623" s="27" t="s">
        <v>1859</v>
      </c>
      <c r="F12623" s="27" t="s">
        <v>1881</v>
      </c>
      <c r="H12623" s="27" t="s">
        <v>2679</v>
      </c>
      <c r="J12623" s="27" t="s">
        <v>3210</v>
      </c>
      <c r="L12623" s="27" t="s">
        <v>3262</v>
      </c>
      <c r="N12623" s="27" t="s">
        <v>16419</v>
      </c>
      <c r="P12623" s="27" t="s">
        <v>16420</v>
      </c>
      <c r="Q12623" s="26" t="str">
        <f>HYPERLINK("https://ictv.global/taxonomy/taxondetails?taxnode_id=202517510&amp;ictv_id=ICTV202317510","ICTV202317510")</f>
        <v>ICTV202317510</v>
      </c>
      <c r="R12623" t="s">
        <v>581</v>
      </c>
      <c r="S12623" t="s">
        <v>823</v>
      </c>
      <c r="T12623">
        <v>39</v>
      </c>
      <c r="U12623" s="26" t="str">
        <f t="shared" si="463"/>
        <v>2023.001B.Leviviricetes_reorg.zip</v>
      </c>
    </row>
    <row r="12624" spans="1:21">
      <c r="A12624">
        <v>12623</v>
      </c>
      <c r="B12624" s="27" t="s">
        <v>1124</v>
      </c>
      <c r="D12624" s="27" t="s">
        <v>1859</v>
      </c>
      <c r="F12624" s="27" t="s">
        <v>1881</v>
      </c>
      <c r="H12624" s="27" t="s">
        <v>2679</v>
      </c>
      <c r="J12624" s="27" t="s">
        <v>3210</v>
      </c>
      <c r="L12624" s="27" t="s">
        <v>3262</v>
      </c>
      <c r="N12624" s="27" t="s">
        <v>16421</v>
      </c>
      <c r="P12624" s="27" t="s">
        <v>16422</v>
      </c>
      <c r="Q12624" s="26" t="str">
        <f>HYPERLINK("https://ictv.global/taxonomy/taxondetails?taxnode_id=202517511&amp;ictv_id=ICTV202317511","ICTV202317511")</f>
        <v>ICTV202317511</v>
      </c>
      <c r="R12624" t="s">
        <v>581</v>
      </c>
      <c r="S12624" t="s">
        <v>823</v>
      </c>
      <c r="T12624">
        <v>39</v>
      </c>
      <c r="U12624" s="26" t="str">
        <f t="shared" si="463"/>
        <v>2023.001B.Leviviricetes_reorg.zip</v>
      </c>
    </row>
    <row r="12625" spans="1:21">
      <c r="A12625">
        <v>12624</v>
      </c>
      <c r="B12625" s="27" t="s">
        <v>1124</v>
      </c>
      <c r="D12625" s="27" t="s">
        <v>1859</v>
      </c>
      <c r="F12625" s="27" t="s">
        <v>1881</v>
      </c>
      <c r="H12625" s="27" t="s">
        <v>2679</v>
      </c>
      <c r="J12625" s="27" t="s">
        <v>3210</v>
      </c>
      <c r="L12625" s="27" t="s">
        <v>3262</v>
      </c>
      <c r="N12625" s="27" t="s">
        <v>16423</v>
      </c>
      <c r="P12625" s="27" t="s">
        <v>16424</v>
      </c>
      <c r="Q12625" s="26" t="str">
        <f>HYPERLINK("https://ictv.global/taxonomy/taxondetails?taxnode_id=202517512&amp;ictv_id=ICTV202317512","ICTV202317512")</f>
        <v>ICTV202317512</v>
      </c>
      <c r="R12625" t="s">
        <v>581</v>
      </c>
      <c r="S12625" t="s">
        <v>823</v>
      </c>
      <c r="T12625">
        <v>39</v>
      </c>
      <c r="U12625" s="26" t="str">
        <f t="shared" si="463"/>
        <v>2023.001B.Leviviricetes_reorg.zip</v>
      </c>
    </row>
    <row r="12626" spans="1:21">
      <c r="A12626">
        <v>12625</v>
      </c>
      <c r="B12626" s="27" t="s">
        <v>1124</v>
      </c>
      <c r="D12626" s="27" t="s">
        <v>1859</v>
      </c>
      <c r="F12626" s="27" t="s">
        <v>1881</v>
      </c>
      <c r="H12626" s="27" t="s">
        <v>2679</v>
      </c>
      <c r="J12626" s="27" t="s">
        <v>3210</v>
      </c>
      <c r="L12626" s="27" t="s">
        <v>3262</v>
      </c>
      <c r="N12626" s="27" t="s">
        <v>16423</v>
      </c>
      <c r="P12626" s="27" t="s">
        <v>16425</v>
      </c>
      <c r="Q12626" s="26" t="str">
        <f>HYPERLINK("https://ictv.global/taxonomy/taxondetails?taxnode_id=202517513&amp;ictv_id=ICTV202317513","ICTV202317513")</f>
        <v>ICTV202317513</v>
      </c>
      <c r="R12626" t="s">
        <v>581</v>
      </c>
      <c r="S12626" t="s">
        <v>823</v>
      </c>
      <c r="T12626">
        <v>39</v>
      </c>
      <c r="U12626" s="26" t="str">
        <f t="shared" si="463"/>
        <v>2023.001B.Leviviricetes_reorg.zip</v>
      </c>
    </row>
    <row r="12627" spans="1:21">
      <c r="A12627">
        <v>12626</v>
      </c>
      <c r="B12627" s="27" t="s">
        <v>1124</v>
      </c>
      <c r="D12627" s="27" t="s">
        <v>1859</v>
      </c>
      <c r="F12627" s="27" t="s">
        <v>1881</v>
      </c>
      <c r="H12627" s="27" t="s">
        <v>2679</v>
      </c>
      <c r="J12627" s="27" t="s">
        <v>3210</v>
      </c>
      <c r="L12627" s="27" t="s">
        <v>3262</v>
      </c>
      <c r="N12627" s="27" t="s">
        <v>16423</v>
      </c>
      <c r="P12627" s="27" t="s">
        <v>16426</v>
      </c>
      <c r="Q12627" s="26" t="str">
        <f>HYPERLINK("https://ictv.global/taxonomy/taxondetails?taxnode_id=202511011&amp;ictv_id=ICTV202011011","ICTV202011011")</f>
        <v>ICTV202011011</v>
      </c>
      <c r="R12627" t="s">
        <v>581</v>
      </c>
      <c r="S12627" t="s">
        <v>22764</v>
      </c>
      <c r="T12627">
        <v>39</v>
      </c>
      <c r="U12627" s="26" t="str">
        <f t="shared" si="463"/>
        <v>2023.001B.Leviviricetes_reorg.zip</v>
      </c>
    </row>
    <row r="12628" spans="1:21">
      <c r="A12628">
        <v>12627</v>
      </c>
      <c r="B12628" s="27" t="s">
        <v>1124</v>
      </c>
      <c r="D12628" s="27" t="s">
        <v>1859</v>
      </c>
      <c r="F12628" s="27" t="s">
        <v>1881</v>
      </c>
      <c r="H12628" s="27" t="s">
        <v>2679</v>
      </c>
      <c r="J12628" s="27" t="s">
        <v>3210</v>
      </c>
      <c r="L12628" s="27" t="s">
        <v>3262</v>
      </c>
      <c r="N12628" s="27" t="s">
        <v>16423</v>
      </c>
      <c r="P12628" s="27" t="s">
        <v>16427</v>
      </c>
      <c r="Q12628" s="26" t="str">
        <f>HYPERLINK("https://ictv.global/taxonomy/taxondetails?taxnode_id=202511007&amp;ictv_id=ICTV202011007","ICTV202011007")</f>
        <v>ICTV202011007</v>
      </c>
      <c r="R12628" t="s">
        <v>581</v>
      </c>
      <c r="S12628" t="s">
        <v>22764</v>
      </c>
      <c r="T12628">
        <v>39</v>
      </c>
      <c r="U12628" s="26" t="str">
        <f t="shared" si="463"/>
        <v>2023.001B.Leviviricetes_reorg.zip</v>
      </c>
    </row>
    <row r="12629" spans="1:21">
      <c r="A12629">
        <v>12628</v>
      </c>
      <c r="B12629" s="27" t="s">
        <v>1124</v>
      </c>
      <c r="D12629" s="27" t="s">
        <v>1859</v>
      </c>
      <c r="F12629" s="27" t="s">
        <v>1881</v>
      </c>
      <c r="H12629" s="27" t="s">
        <v>2679</v>
      </c>
      <c r="J12629" s="27" t="s">
        <v>3210</v>
      </c>
      <c r="L12629" s="27" t="s">
        <v>3262</v>
      </c>
      <c r="N12629" s="27" t="s">
        <v>16423</v>
      </c>
      <c r="P12629" s="27" t="s">
        <v>16428</v>
      </c>
      <c r="Q12629" s="26" t="str">
        <f>HYPERLINK("https://ictv.global/taxonomy/taxondetails?taxnode_id=202511012&amp;ictv_id=ICTV202011012","ICTV202011012")</f>
        <v>ICTV202011012</v>
      </c>
      <c r="R12629" t="s">
        <v>581</v>
      </c>
      <c r="S12629" t="s">
        <v>22764</v>
      </c>
      <c r="T12629">
        <v>39</v>
      </c>
      <c r="U12629" s="26" t="str">
        <f t="shared" si="463"/>
        <v>2023.001B.Leviviricetes_reorg.zip</v>
      </c>
    </row>
    <row r="12630" spans="1:21">
      <c r="A12630">
        <v>12629</v>
      </c>
      <c r="B12630" s="27" t="s">
        <v>1124</v>
      </c>
      <c r="D12630" s="27" t="s">
        <v>1859</v>
      </c>
      <c r="F12630" s="27" t="s">
        <v>1881</v>
      </c>
      <c r="H12630" s="27" t="s">
        <v>2679</v>
      </c>
      <c r="J12630" s="27" t="s">
        <v>3210</v>
      </c>
      <c r="L12630" s="27" t="s">
        <v>3262</v>
      </c>
      <c r="N12630" s="27" t="s">
        <v>16423</v>
      </c>
      <c r="P12630" s="27" t="s">
        <v>16429</v>
      </c>
      <c r="Q12630" s="26" t="str">
        <f>HYPERLINK("https://ictv.global/taxonomy/taxondetails?taxnode_id=202511014&amp;ictv_id=ICTV202011014","ICTV202011014")</f>
        <v>ICTV202011014</v>
      </c>
      <c r="R12630" t="s">
        <v>581</v>
      </c>
      <c r="S12630" t="s">
        <v>22764</v>
      </c>
      <c r="T12630">
        <v>39</v>
      </c>
      <c r="U12630" s="26" t="str">
        <f t="shared" si="463"/>
        <v>2023.001B.Leviviricetes_reorg.zip</v>
      </c>
    </row>
    <row r="12631" spans="1:21">
      <c r="A12631">
        <v>12630</v>
      </c>
      <c r="B12631" s="27" t="s">
        <v>1124</v>
      </c>
      <c r="D12631" s="27" t="s">
        <v>1859</v>
      </c>
      <c r="F12631" s="27" t="s">
        <v>1881</v>
      </c>
      <c r="H12631" s="27" t="s">
        <v>2679</v>
      </c>
      <c r="J12631" s="27" t="s">
        <v>3210</v>
      </c>
      <c r="L12631" s="27" t="s">
        <v>3262</v>
      </c>
      <c r="N12631" s="27" t="s">
        <v>16423</v>
      </c>
      <c r="P12631" s="27" t="s">
        <v>16430</v>
      </c>
      <c r="Q12631" s="26" t="str">
        <f>HYPERLINK("https://ictv.global/taxonomy/taxondetails?taxnode_id=202517514&amp;ictv_id=ICTV202317514","ICTV202317514")</f>
        <v>ICTV202317514</v>
      </c>
      <c r="R12631" t="s">
        <v>581</v>
      </c>
      <c r="S12631" t="s">
        <v>823</v>
      </c>
      <c r="T12631">
        <v>39</v>
      </c>
      <c r="U12631" s="26" t="str">
        <f t="shared" si="463"/>
        <v>2023.001B.Leviviricetes_reorg.zip</v>
      </c>
    </row>
    <row r="12632" spans="1:21">
      <c r="A12632">
        <v>12631</v>
      </c>
      <c r="B12632" s="27" t="s">
        <v>1124</v>
      </c>
      <c r="D12632" s="27" t="s">
        <v>1859</v>
      </c>
      <c r="F12632" s="27" t="s">
        <v>1881</v>
      </c>
      <c r="H12632" s="27" t="s">
        <v>2679</v>
      </c>
      <c r="J12632" s="27" t="s">
        <v>3210</v>
      </c>
      <c r="L12632" s="27" t="s">
        <v>3262</v>
      </c>
      <c r="N12632" s="27" t="s">
        <v>16423</v>
      </c>
      <c r="P12632" s="27" t="s">
        <v>16431</v>
      </c>
      <c r="Q12632" s="26" t="str">
        <f>HYPERLINK("https://ictv.global/taxonomy/taxondetails?taxnode_id=202511070&amp;ictv_id=ICTV202011070","ICTV202011070")</f>
        <v>ICTV202011070</v>
      </c>
      <c r="R12632" t="s">
        <v>581</v>
      </c>
      <c r="S12632" t="s">
        <v>22764</v>
      </c>
      <c r="T12632">
        <v>39</v>
      </c>
      <c r="U12632" s="26" t="str">
        <f t="shared" si="463"/>
        <v>2023.001B.Leviviricetes_reorg.zip</v>
      </c>
    </row>
    <row r="12633" spans="1:21">
      <c r="A12633">
        <v>12632</v>
      </c>
      <c r="B12633" s="27" t="s">
        <v>1124</v>
      </c>
      <c r="D12633" s="27" t="s">
        <v>1859</v>
      </c>
      <c r="F12633" s="27" t="s">
        <v>1881</v>
      </c>
      <c r="H12633" s="27" t="s">
        <v>2679</v>
      </c>
      <c r="J12633" s="27" t="s">
        <v>3210</v>
      </c>
      <c r="L12633" s="27" t="s">
        <v>3262</v>
      </c>
      <c r="N12633" s="27" t="s">
        <v>16423</v>
      </c>
      <c r="P12633" s="27" t="s">
        <v>16432</v>
      </c>
      <c r="Q12633" s="26" t="str">
        <f>HYPERLINK("https://ictv.global/taxonomy/taxondetails?taxnode_id=202511507&amp;ictv_id=ICTV202011507","ICTV202011507")</f>
        <v>ICTV202011507</v>
      </c>
      <c r="R12633" t="s">
        <v>581</v>
      </c>
      <c r="S12633" t="s">
        <v>22764</v>
      </c>
      <c r="T12633">
        <v>39</v>
      </c>
      <c r="U12633" s="26" t="str">
        <f t="shared" si="463"/>
        <v>2023.001B.Leviviricetes_reorg.zip</v>
      </c>
    </row>
    <row r="12634" spans="1:21">
      <c r="A12634">
        <v>12633</v>
      </c>
      <c r="B12634" s="27" t="s">
        <v>1124</v>
      </c>
      <c r="D12634" s="27" t="s">
        <v>1859</v>
      </c>
      <c r="F12634" s="27" t="s">
        <v>1881</v>
      </c>
      <c r="H12634" s="27" t="s">
        <v>2679</v>
      </c>
      <c r="J12634" s="27" t="s">
        <v>3210</v>
      </c>
      <c r="L12634" s="27" t="s">
        <v>3262</v>
      </c>
      <c r="N12634" s="27" t="s">
        <v>16423</v>
      </c>
      <c r="P12634" s="27" t="s">
        <v>16433</v>
      </c>
      <c r="Q12634" s="26" t="str">
        <f>HYPERLINK("https://ictv.global/taxonomy/taxondetails?taxnode_id=202511508&amp;ictv_id=ICTV202011508","ICTV202011508")</f>
        <v>ICTV202011508</v>
      </c>
      <c r="R12634" t="s">
        <v>581</v>
      </c>
      <c r="S12634" t="s">
        <v>22764</v>
      </c>
      <c r="T12634">
        <v>39</v>
      </c>
      <c r="U12634" s="26" t="str">
        <f t="shared" si="463"/>
        <v>2023.001B.Leviviricetes_reorg.zip</v>
      </c>
    </row>
    <row r="12635" spans="1:21">
      <c r="A12635">
        <v>12634</v>
      </c>
      <c r="B12635" s="27" t="s">
        <v>1124</v>
      </c>
      <c r="D12635" s="27" t="s">
        <v>1859</v>
      </c>
      <c r="F12635" s="27" t="s">
        <v>1881</v>
      </c>
      <c r="H12635" s="27" t="s">
        <v>2679</v>
      </c>
      <c r="J12635" s="27" t="s">
        <v>3210</v>
      </c>
      <c r="L12635" s="27" t="s">
        <v>3262</v>
      </c>
      <c r="N12635" s="27" t="s">
        <v>16423</v>
      </c>
      <c r="P12635" s="27" t="s">
        <v>16434</v>
      </c>
      <c r="Q12635" s="26" t="str">
        <f>HYPERLINK("https://ictv.global/taxonomy/taxondetails?taxnode_id=202517515&amp;ictv_id=ICTV202317515","ICTV202317515")</f>
        <v>ICTV202317515</v>
      </c>
      <c r="R12635" t="s">
        <v>581</v>
      </c>
      <c r="S12635" t="s">
        <v>823</v>
      </c>
      <c r="T12635">
        <v>39</v>
      </c>
      <c r="U12635" s="26" t="str">
        <f t="shared" si="463"/>
        <v>2023.001B.Leviviricetes_reorg.zip</v>
      </c>
    </row>
    <row r="12636" spans="1:21">
      <c r="A12636">
        <v>12635</v>
      </c>
      <c r="B12636" s="27" t="s">
        <v>1124</v>
      </c>
      <c r="D12636" s="27" t="s">
        <v>1859</v>
      </c>
      <c r="F12636" s="27" t="s">
        <v>1881</v>
      </c>
      <c r="H12636" s="27" t="s">
        <v>2679</v>
      </c>
      <c r="J12636" s="27" t="s">
        <v>3210</v>
      </c>
      <c r="L12636" s="27" t="s">
        <v>3262</v>
      </c>
      <c r="N12636" s="27" t="s">
        <v>16423</v>
      </c>
      <c r="P12636" s="27" t="s">
        <v>16435</v>
      </c>
      <c r="Q12636" s="26" t="str">
        <f>HYPERLINK("https://ictv.global/taxonomy/taxondetails?taxnode_id=202511506&amp;ictv_id=ICTV202011506","ICTV202011506")</f>
        <v>ICTV202011506</v>
      </c>
      <c r="R12636" t="s">
        <v>581</v>
      </c>
      <c r="S12636" t="s">
        <v>22764</v>
      </c>
      <c r="T12636">
        <v>39</v>
      </c>
      <c r="U12636" s="26" t="str">
        <f t="shared" si="463"/>
        <v>2023.001B.Leviviricetes_reorg.zip</v>
      </c>
    </row>
    <row r="12637" spans="1:21">
      <c r="A12637">
        <v>12636</v>
      </c>
      <c r="B12637" s="27" t="s">
        <v>1124</v>
      </c>
      <c r="D12637" s="27" t="s">
        <v>1859</v>
      </c>
      <c r="F12637" s="27" t="s">
        <v>1881</v>
      </c>
      <c r="H12637" s="27" t="s">
        <v>2679</v>
      </c>
      <c r="J12637" s="27" t="s">
        <v>3210</v>
      </c>
      <c r="L12637" s="27" t="s">
        <v>3262</v>
      </c>
      <c r="N12637" s="27" t="s">
        <v>16423</v>
      </c>
      <c r="P12637" s="27" t="s">
        <v>16436</v>
      </c>
      <c r="Q12637" s="26" t="str">
        <f>HYPERLINK("https://ictv.global/taxonomy/taxondetails?taxnode_id=202511016&amp;ictv_id=ICTV202011016","ICTV202011016")</f>
        <v>ICTV202011016</v>
      </c>
      <c r="R12637" t="s">
        <v>581</v>
      </c>
      <c r="S12637" t="s">
        <v>22764</v>
      </c>
      <c r="T12637">
        <v>39</v>
      </c>
      <c r="U12637" s="26" t="str">
        <f t="shared" si="463"/>
        <v>2023.001B.Leviviricetes_reorg.zip</v>
      </c>
    </row>
    <row r="12638" spans="1:21">
      <c r="A12638">
        <v>12637</v>
      </c>
      <c r="B12638" s="27" t="s">
        <v>1124</v>
      </c>
      <c r="D12638" s="27" t="s">
        <v>1859</v>
      </c>
      <c r="F12638" s="27" t="s">
        <v>1881</v>
      </c>
      <c r="H12638" s="27" t="s">
        <v>2679</v>
      </c>
      <c r="J12638" s="27" t="s">
        <v>3210</v>
      </c>
      <c r="L12638" s="27" t="s">
        <v>3262</v>
      </c>
      <c r="N12638" s="27" t="s">
        <v>3375</v>
      </c>
      <c r="P12638" s="27" t="s">
        <v>3376</v>
      </c>
      <c r="Q12638" s="26" t="str">
        <f>HYPERLINK("https://ictv.global/taxonomy/taxondetails?taxnode_id=202511319&amp;ictv_id=ICTV202011319","ICTV202011319")</f>
        <v>ICTV202011319</v>
      </c>
      <c r="R12638" t="s">
        <v>581</v>
      </c>
      <c r="S12638" t="s">
        <v>823</v>
      </c>
      <c r="T12638">
        <v>36</v>
      </c>
      <c r="U12638" s="26" t="str">
        <f>HYPERLINK("https://ictv.global/ictv/proposals/2020.095B.R.Leviviricetes.zip","2020.095B.R.Leviviricetes.zip")</f>
        <v>2020.095B.R.Leviviricetes.zip</v>
      </c>
    </row>
    <row r="12639" spans="1:21">
      <c r="A12639">
        <v>12638</v>
      </c>
      <c r="B12639" s="27" t="s">
        <v>1124</v>
      </c>
      <c r="D12639" s="27" t="s">
        <v>1859</v>
      </c>
      <c r="F12639" s="27" t="s">
        <v>1881</v>
      </c>
      <c r="H12639" s="27" t="s">
        <v>2679</v>
      </c>
      <c r="J12639" s="27" t="s">
        <v>3210</v>
      </c>
      <c r="L12639" s="27" t="s">
        <v>3262</v>
      </c>
      <c r="N12639" s="27" t="s">
        <v>3377</v>
      </c>
      <c r="P12639" s="27" t="s">
        <v>3378</v>
      </c>
      <c r="Q12639" s="26" t="str">
        <f>HYPERLINK("https://ictv.global/taxonomy/taxondetails?taxnode_id=202511321&amp;ictv_id=ICTV202011321","ICTV202011321")</f>
        <v>ICTV202011321</v>
      </c>
      <c r="R12639" t="s">
        <v>581</v>
      </c>
      <c r="S12639" t="s">
        <v>823</v>
      </c>
      <c r="T12639">
        <v>36</v>
      </c>
      <c r="U12639" s="26" t="str">
        <f>HYPERLINK("https://ictv.global/ictv/proposals/2020.095B.R.Leviviricetes.zip","2020.095B.R.Leviviricetes.zip")</f>
        <v>2020.095B.R.Leviviricetes.zip</v>
      </c>
    </row>
    <row r="12640" spans="1:21">
      <c r="A12640">
        <v>12639</v>
      </c>
      <c r="B12640" s="27" t="s">
        <v>1124</v>
      </c>
      <c r="D12640" s="27" t="s">
        <v>1859</v>
      </c>
      <c r="F12640" s="27" t="s">
        <v>1881</v>
      </c>
      <c r="H12640" s="27" t="s">
        <v>2679</v>
      </c>
      <c r="J12640" s="27" t="s">
        <v>3210</v>
      </c>
      <c r="L12640" s="27" t="s">
        <v>3262</v>
      </c>
      <c r="N12640" s="27" t="s">
        <v>3377</v>
      </c>
      <c r="P12640" s="27" t="s">
        <v>3379</v>
      </c>
      <c r="Q12640" s="26" t="str">
        <f>HYPERLINK("https://ictv.global/taxonomy/taxondetails?taxnode_id=202511322&amp;ictv_id=ICTV202011322","ICTV202011322")</f>
        <v>ICTV202011322</v>
      </c>
      <c r="R12640" t="s">
        <v>581</v>
      </c>
      <c r="S12640" t="s">
        <v>823</v>
      </c>
      <c r="T12640">
        <v>36</v>
      </c>
      <c r="U12640" s="26" t="str">
        <f>HYPERLINK("https://ictv.global/ictv/proposals/2020.095B.R.Leviviricetes.zip","2020.095B.R.Leviviricetes.zip")</f>
        <v>2020.095B.R.Leviviricetes.zip</v>
      </c>
    </row>
    <row r="12641" spans="1:21">
      <c r="A12641">
        <v>12640</v>
      </c>
      <c r="B12641" s="27" t="s">
        <v>1124</v>
      </c>
      <c r="D12641" s="27" t="s">
        <v>1859</v>
      </c>
      <c r="F12641" s="27" t="s">
        <v>1881</v>
      </c>
      <c r="H12641" s="27" t="s">
        <v>2679</v>
      </c>
      <c r="J12641" s="27" t="s">
        <v>3210</v>
      </c>
      <c r="L12641" s="27" t="s">
        <v>3262</v>
      </c>
      <c r="N12641" s="27" t="s">
        <v>16437</v>
      </c>
      <c r="P12641" s="27" t="s">
        <v>16438</v>
      </c>
      <c r="Q12641" s="26" t="str">
        <f>HYPERLINK("https://ictv.global/taxonomy/taxondetails?taxnode_id=202517516&amp;ictv_id=ICTV202317516","ICTV202317516")</f>
        <v>ICTV202317516</v>
      </c>
      <c r="R12641" t="s">
        <v>581</v>
      </c>
      <c r="S12641" t="s">
        <v>823</v>
      </c>
      <c r="T12641">
        <v>39</v>
      </c>
      <c r="U12641" s="26" t="str">
        <f t="shared" ref="U12641:U12662" si="464">HYPERLINK("https://ictv.global/ictv/proposals/2023.001B.Leviviricetes_reorg.zip","2023.001B.Leviviricetes_reorg.zip")</f>
        <v>2023.001B.Leviviricetes_reorg.zip</v>
      </c>
    </row>
    <row r="12642" spans="1:21">
      <c r="A12642">
        <v>12641</v>
      </c>
      <c r="B12642" s="27" t="s">
        <v>1124</v>
      </c>
      <c r="D12642" s="27" t="s">
        <v>1859</v>
      </c>
      <c r="F12642" s="27" t="s">
        <v>1881</v>
      </c>
      <c r="H12642" s="27" t="s">
        <v>2679</v>
      </c>
      <c r="J12642" s="27" t="s">
        <v>3210</v>
      </c>
      <c r="L12642" s="27" t="s">
        <v>3262</v>
      </c>
      <c r="N12642" s="27" t="s">
        <v>16439</v>
      </c>
      <c r="P12642" s="27" t="s">
        <v>16440</v>
      </c>
      <c r="Q12642" s="26" t="str">
        <f>HYPERLINK("https://ictv.global/taxonomy/taxondetails?taxnode_id=202517517&amp;ictv_id=ICTV202317517","ICTV202317517")</f>
        <v>ICTV202317517</v>
      </c>
      <c r="R12642" t="s">
        <v>581</v>
      </c>
      <c r="S12642" t="s">
        <v>823</v>
      </c>
      <c r="T12642">
        <v>39</v>
      </c>
      <c r="U12642" s="26" t="str">
        <f t="shared" si="464"/>
        <v>2023.001B.Leviviricetes_reorg.zip</v>
      </c>
    </row>
    <row r="12643" spans="1:21">
      <c r="A12643">
        <v>12642</v>
      </c>
      <c r="B12643" s="27" t="s">
        <v>1124</v>
      </c>
      <c r="D12643" s="27" t="s">
        <v>1859</v>
      </c>
      <c r="F12643" s="27" t="s">
        <v>1881</v>
      </c>
      <c r="H12643" s="27" t="s">
        <v>2679</v>
      </c>
      <c r="J12643" s="27" t="s">
        <v>3210</v>
      </c>
      <c r="L12643" s="27" t="s">
        <v>3262</v>
      </c>
      <c r="N12643" s="27" t="s">
        <v>16439</v>
      </c>
      <c r="P12643" s="27" t="s">
        <v>16441</v>
      </c>
      <c r="Q12643" s="26" t="str">
        <f>HYPERLINK("https://ictv.global/taxonomy/taxondetails?taxnode_id=202517518&amp;ictv_id=ICTV202317518","ICTV202317518")</f>
        <v>ICTV202317518</v>
      </c>
      <c r="R12643" t="s">
        <v>581</v>
      </c>
      <c r="S12643" t="s">
        <v>823</v>
      </c>
      <c r="T12643">
        <v>39</v>
      </c>
      <c r="U12643" s="26" t="str">
        <f t="shared" si="464"/>
        <v>2023.001B.Leviviricetes_reorg.zip</v>
      </c>
    </row>
    <row r="12644" spans="1:21">
      <c r="A12644">
        <v>12643</v>
      </c>
      <c r="B12644" s="27" t="s">
        <v>1124</v>
      </c>
      <c r="D12644" s="27" t="s">
        <v>1859</v>
      </c>
      <c r="F12644" s="27" t="s">
        <v>1881</v>
      </c>
      <c r="H12644" s="27" t="s">
        <v>2679</v>
      </c>
      <c r="J12644" s="27" t="s">
        <v>3210</v>
      </c>
      <c r="L12644" s="27" t="s">
        <v>3262</v>
      </c>
      <c r="N12644" s="27" t="s">
        <v>16442</v>
      </c>
      <c r="P12644" s="27" t="s">
        <v>16443</v>
      </c>
      <c r="Q12644" s="26" t="str">
        <f>HYPERLINK("https://ictv.global/taxonomy/taxondetails?taxnode_id=202517519&amp;ictv_id=ICTV202317519","ICTV202317519")</f>
        <v>ICTV202317519</v>
      </c>
      <c r="R12644" t="s">
        <v>581</v>
      </c>
      <c r="S12644" t="s">
        <v>823</v>
      </c>
      <c r="T12644">
        <v>39</v>
      </c>
      <c r="U12644" s="26" t="str">
        <f t="shared" si="464"/>
        <v>2023.001B.Leviviricetes_reorg.zip</v>
      </c>
    </row>
    <row r="12645" spans="1:21">
      <c r="A12645">
        <v>12644</v>
      </c>
      <c r="B12645" s="27" t="s">
        <v>1124</v>
      </c>
      <c r="D12645" s="27" t="s">
        <v>1859</v>
      </c>
      <c r="F12645" s="27" t="s">
        <v>1881</v>
      </c>
      <c r="H12645" s="27" t="s">
        <v>2679</v>
      </c>
      <c r="J12645" s="27" t="s">
        <v>3210</v>
      </c>
      <c r="L12645" s="27" t="s">
        <v>3262</v>
      </c>
      <c r="N12645" s="27" t="s">
        <v>16444</v>
      </c>
      <c r="P12645" s="27" t="s">
        <v>16445</v>
      </c>
      <c r="Q12645" s="26" t="str">
        <f>HYPERLINK("https://ictv.global/taxonomy/taxondetails?taxnode_id=202517520&amp;ictv_id=ICTV202317520","ICTV202317520")</f>
        <v>ICTV202317520</v>
      </c>
      <c r="R12645" t="s">
        <v>581</v>
      </c>
      <c r="S12645" t="s">
        <v>823</v>
      </c>
      <c r="T12645">
        <v>39</v>
      </c>
      <c r="U12645" s="26" t="str">
        <f t="shared" si="464"/>
        <v>2023.001B.Leviviricetes_reorg.zip</v>
      </c>
    </row>
    <row r="12646" spans="1:21">
      <c r="A12646">
        <v>12645</v>
      </c>
      <c r="B12646" s="27" t="s">
        <v>1124</v>
      </c>
      <c r="D12646" s="27" t="s">
        <v>1859</v>
      </c>
      <c r="F12646" s="27" t="s">
        <v>1881</v>
      </c>
      <c r="H12646" s="27" t="s">
        <v>2679</v>
      </c>
      <c r="J12646" s="27" t="s">
        <v>3210</v>
      </c>
      <c r="L12646" s="27" t="s">
        <v>3262</v>
      </c>
      <c r="N12646" s="27" t="s">
        <v>16444</v>
      </c>
      <c r="P12646" s="27" t="s">
        <v>16446</v>
      </c>
      <c r="Q12646" s="26" t="str">
        <f>HYPERLINK("https://ictv.global/taxonomy/taxondetails?taxnode_id=202517521&amp;ictv_id=ICTV202317521","ICTV202317521")</f>
        <v>ICTV202317521</v>
      </c>
      <c r="R12646" t="s">
        <v>581</v>
      </c>
      <c r="S12646" t="s">
        <v>823</v>
      </c>
      <c r="T12646">
        <v>39</v>
      </c>
      <c r="U12646" s="26" t="str">
        <f t="shared" si="464"/>
        <v>2023.001B.Leviviricetes_reorg.zip</v>
      </c>
    </row>
    <row r="12647" spans="1:21">
      <c r="A12647">
        <v>12646</v>
      </c>
      <c r="B12647" s="27" t="s">
        <v>1124</v>
      </c>
      <c r="D12647" s="27" t="s">
        <v>1859</v>
      </c>
      <c r="F12647" s="27" t="s">
        <v>1881</v>
      </c>
      <c r="H12647" s="27" t="s">
        <v>2679</v>
      </c>
      <c r="J12647" s="27" t="s">
        <v>3210</v>
      </c>
      <c r="L12647" s="27" t="s">
        <v>3262</v>
      </c>
      <c r="N12647" s="27" t="s">
        <v>16447</v>
      </c>
      <c r="P12647" s="27" t="s">
        <v>16448</v>
      </c>
      <c r="Q12647" s="26" t="str">
        <f>HYPERLINK("https://ictv.global/taxonomy/taxondetails?taxnode_id=202517522&amp;ictv_id=ICTV202317522","ICTV202317522")</f>
        <v>ICTV202317522</v>
      </c>
      <c r="R12647" t="s">
        <v>581</v>
      </c>
      <c r="S12647" t="s">
        <v>823</v>
      </c>
      <c r="T12647">
        <v>39</v>
      </c>
      <c r="U12647" s="26" t="str">
        <f t="shared" si="464"/>
        <v>2023.001B.Leviviricetes_reorg.zip</v>
      </c>
    </row>
    <row r="12648" spans="1:21">
      <c r="A12648">
        <v>12647</v>
      </c>
      <c r="B12648" s="27" t="s">
        <v>1124</v>
      </c>
      <c r="D12648" s="27" t="s">
        <v>1859</v>
      </c>
      <c r="F12648" s="27" t="s">
        <v>1881</v>
      </c>
      <c r="H12648" s="27" t="s">
        <v>2679</v>
      </c>
      <c r="J12648" s="27" t="s">
        <v>3210</v>
      </c>
      <c r="L12648" s="27" t="s">
        <v>3262</v>
      </c>
      <c r="N12648" s="27" t="s">
        <v>16447</v>
      </c>
      <c r="P12648" s="27" t="s">
        <v>16449</v>
      </c>
      <c r="Q12648" s="26" t="str">
        <f>HYPERLINK("https://ictv.global/taxonomy/taxondetails?taxnode_id=202517523&amp;ictv_id=ICTV202317523","ICTV202317523")</f>
        <v>ICTV202317523</v>
      </c>
      <c r="R12648" t="s">
        <v>581</v>
      </c>
      <c r="S12648" t="s">
        <v>823</v>
      </c>
      <c r="T12648">
        <v>39</v>
      </c>
      <c r="U12648" s="26" t="str">
        <f t="shared" si="464"/>
        <v>2023.001B.Leviviricetes_reorg.zip</v>
      </c>
    </row>
    <row r="12649" spans="1:21">
      <c r="A12649">
        <v>12648</v>
      </c>
      <c r="B12649" s="27" t="s">
        <v>1124</v>
      </c>
      <c r="D12649" s="27" t="s">
        <v>1859</v>
      </c>
      <c r="F12649" s="27" t="s">
        <v>1881</v>
      </c>
      <c r="H12649" s="27" t="s">
        <v>2679</v>
      </c>
      <c r="J12649" s="27" t="s">
        <v>3210</v>
      </c>
      <c r="L12649" s="27" t="s">
        <v>3262</v>
      </c>
      <c r="N12649" s="27" t="s">
        <v>16447</v>
      </c>
      <c r="P12649" s="27" t="s">
        <v>16450</v>
      </c>
      <c r="Q12649" s="26" t="str">
        <f>HYPERLINK("https://ictv.global/taxonomy/taxondetails?taxnode_id=202517524&amp;ictv_id=ICTV202317524","ICTV202317524")</f>
        <v>ICTV202317524</v>
      </c>
      <c r="R12649" t="s">
        <v>581</v>
      </c>
      <c r="S12649" t="s">
        <v>823</v>
      </c>
      <c r="T12649">
        <v>39</v>
      </c>
      <c r="U12649" s="26" t="str">
        <f t="shared" si="464"/>
        <v>2023.001B.Leviviricetes_reorg.zip</v>
      </c>
    </row>
    <row r="12650" spans="1:21">
      <c r="A12650">
        <v>12649</v>
      </c>
      <c r="B12650" s="27" t="s">
        <v>1124</v>
      </c>
      <c r="D12650" s="27" t="s">
        <v>1859</v>
      </c>
      <c r="F12650" s="27" t="s">
        <v>1881</v>
      </c>
      <c r="H12650" s="27" t="s">
        <v>2679</v>
      </c>
      <c r="J12650" s="27" t="s">
        <v>3210</v>
      </c>
      <c r="L12650" s="27" t="s">
        <v>3262</v>
      </c>
      <c r="N12650" s="27" t="s">
        <v>16447</v>
      </c>
      <c r="P12650" s="27" t="s">
        <v>16451</v>
      </c>
      <c r="Q12650" s="26" t="str">
        <f>HYPERLINK("https://ictv.global/taxonomy/taxondetails?taxnode_id=202517525&amp;ictv_id=ICTV202317525","ICTV202317525")</f>
        <v>ICTV202317525</v>
      </c>
      <c r="R12650" t="s">
        <v>581</v>
      </c>
      <c r="S12650" t="s">
        <v>823</v>
      </c>
      <c r="T12650">
        <v>39</v>
      </c>
      <c r="U12650" s="26" t="str">
        <f t="shared" si="464"/>
        <v>2023.001B.Leviviricetes_reorg.zip</v>
      </c>
    </row>
    <row r="12651" spans="1:21">
      <c r="A12651">
        <v>12650</v>
      </c>
      <c r="B12651" s="27" t="s">
        <v>1124</v>
      </c>
      <c r="D12651" s="27" t="s">
        <v>1859</v>
      </c>
      <c r="F12651" s="27" t="s">
        <v>1881</v>
      </c>
      <c r="H12651" s="27" t="s">
        <v>2679</v>
      </c>
      <c r="J12651" s="27" t="s">
        <v>3210</v>
      </c>
      <c r="L12651" s="27" t="s">
        <v>3262</v>
      </c>
      <c r="N12651" s="27" t="s">
        <v>16447</v>
      </c>
      <c r="P12651" s="27" t="s">
        <v>16452</v>
      </c>
      <c r="Q12651" s="26" t="str">
        <f>HYPERLINK("https://ictv.global/taxonomy/taxondetails?taxnode_id=202517526&amp;ictv_id=ICTV202317526","ICTV202317526")</f>
        <v>ICTV202317526</v>
      </c>
      <c r="R12651" t="s">
        <v>581</v>
      </c>
      <c r="S12651" t="s">
        <v>823</v>
      </c>
      <c r="T12651">
        <v>39</v>
      </c>
      <c r="U12651" s="26" t="str">
        <f t="shared" si="464"/>
        <v>2023.001B.Leviviricetes_reorg.zip</v>
      </c>
    </row>
    <row r="12652" spans="1:21">
      <c r="A12652">
        <v>12651</v>
      </c>
      <c r="B12652" s="27" t="s">
        <v>1124</v>
      </c>
      <c r="D12652" s="27" t="s">
        <v>1859</v>
      </c>
      <c r="F12652" s="27" t="s">
        <v>1881</v>
      </c>
      <c r="H12652" s="27" t="s">
        <v>2679</v>
      </c>
      <c r="J12652" s="27" t="s">
        <v>3210</v>
      </c>
      <c r="L12652" s="27" t="s">
        <v>3262</v>
      </c>
      <c r="N12652" s="27" t="s">
        <v>16447</v>
      </c>
      <c r="P12652" s="27" t="s">
        <v>16453</v>
      </c>
      <c r="Q12652" s="26" t="str">
        <f>HYPERLINK("https://ictv.global/taxonomy/taxondetails?taxnode_id=202517527&amp;ictv_id=ICTV202317527","ICTV202317527")</f>
        <v>ICTV202317527</v>
      </c>
      <c r="R12652" t="s">
        <v>581</v>
      </c>
      <c r="S12652" t="s">
        <v>823</v>
      </c>
      <c r="T12652">
        <v>39</v>
      </c>
      <c r="U12652" s="26" t="str">
        <f t="shared" si="464"/>
        <v>2023.001B.Leviviricetes_reorg.zip</v>
      </c>
    </row>
    <row r="12653" spans="1:21">
      <c r="A12653">
        <v>12652</v>
      </c>
      <c r="B12653" s="27" t="s">
        <v>1124</v>
      </c>
      <c r="D12653" s="27" t="s">
        <v>1859</v>
      </c>
      <c r="F12653" s="27" t="s">
        <v>1881</v>
      </c>
      <c r="H12653" s="27" t="s">
        <v>2679</v>
      </c>
      <c r="J12653" s="27" t="s">
        <v>3210</v>
      </c>
      <c r="L12653" s="27" t="s">
        <v>3262</v>
      </c>
      <c r="N12653" s="27" t="s">
        <v>16447</v>
      </c>
      <c r="P12653" s="27" t="s">
        <v>16454</v>
      </c>
      <c r="Q12653" s="26" t="str">
        <f>HYPERLINK("https://ictv.global/taxonomy/taxondetails?taxnode_id=202517528&amp;ictv_id=ICTV202317528","ICTV202317528")</f>
        <v>ICTV202317528</v>
      </c>
      <c r="R12653" t="s">
        <v>581</v>
      </c>
      <c r="S12653" t="s">
        <v>823</v>
      </c>
      <c r="T12653">
        <v>39</v>
      </c>
      <c r="U12653" s="26" t="str">
        <f t="shared" si="464"/>
        <v>2023.001B.Leviviricetes_reorg.zip</v>
      </c>
    </row>
    <row r="12654" spans="1:21">
      <c r="A12654">
        <v>12653</v>
      </c>
      <c r="B12654" s="27" t="s">
        <v>1124</v>
      </c>
      <c r="D12654" s="27" t="s">
        <v>1859</v>
      </c>
      <c r="F12654" s="27" t="s">
        <v>1881</v>
      </c>
      <c r="H12654" s="27" t="s">
        <v>2679</v>
      </c>
      <c r="J12654" s="27" t="s">
        <v>3210</v>
      </c>
      <c r="L12654" s="27" t="s">
        <v>3262</v>
      </c>
      <c r="N12654" s="27" t="s">
        <v>16447</v>
      </c>
      <c r="P12654" s="27" t="s">
        <v>16455</v>
      </c>
      <c r="Q12654" s="26" t="str">
        <f>HYPERLINK("https://ictv.global/taxonomy/taxondetails?taxnode_id=202517529&amp;ictv_id=ICTV202317529","ICTV202317529")</f>
        <v>ICTV202317529</v>
      </c>
      <c r="R12654" t="s">
        <v>581</v>
      </c>
      <c r="S12654" t="s">
        <v>823</v>
      </c>
      <c r="T12654">
        <v>39</v>
      </c>
      <c r="U12654" s="26" t="str">
        <f t="shared" si="464"/>
        <v>2023.001B.Leviviricetes_reorg.zip</v>
      </c>
    </row>
    <row r="12655" spans="1:21">
      <c r="A12655">
        <v>12654</v>
      </c>
      <c r="B12655" s="27" t="s">
        <v>1124</v>
      </c>
      <c r="D12655" s="27" t="s">
        <v>1859</v>
      </c>
      <c r="F12655" s="27" t="s">
        <v>1881</v>
      </c>
      <c r="H12655" s="27" t="s">
        <v>2679</v>
      </c>
      <c r="J12655" s="27" t="s">
        <v>3210</v>
      </c>
      <c r="L12655" s="27" t="s">
        <v>3262</v>
      </c>
      <c r="N12655" s="27" t="s">
        <v>16447</v>
      </c>
      <c r="P12655" s="27" t="s">
        <v>16456</v>
      </c>
      <c r="Q12655" s="26" t="str">
        <f>HYPERLINK("https://ictv.global/taxonomy/taxondetails?taxnode_id=202517530&amp;ictv_id=ICTV202317530","ICTV202317530")</f>
        <v>ICTV202317530</v>
      </c>
      <c r="R12655" t="s">
        <v>581</v>
      </c>
      <c r="S12655" t="s">
        <v>823</v>
      </c>
      <c r="T12655">
        <v>39</v>
      </c>
      <c r="U12655" s="26" t="str">
        <f t="shared" si="464"/>
        <v>2023.001B.Leviviricetes_reorg.zip</v>
      </c>
    </row>
    <row r="12656" spans="1:21">
      <c r="A12656">
        <v>12655</v>
      </c>
      <c r="B12656" s="27" t="s">
        <v>1124</v>
      </c>
      <c r="D12656" s="27" t="s">
        <v>1859</v>
      </c>
      <c r="F12656" s="27" t="s">
        <v>1881</v>
      </c>
      <c r="H12656" s="27" t="s">
        <v>2679</v>
      </c>
      <c r="J12656" s="27" t="s">
        <v>3210</v>
      </c>
      <c r="L12656" s="27" t="s">
        <v>3262</v>
      </c>
      <c r="N12656" s="27" t="s">
        <v>16447</v>
      </c>
      <c r="P12656" s="27" t="s">
        <v>16457</v>
      </c>
      <c r="Q12656" s="26" t="str">
        <f>HYPERLINK("https://ictv.global/taxonomy/taxondetails?taxnode_id=202517531&amp;ictv_id=ICTV202317531","ICTV202317531")</f>
        <v>ICTV202317531</v>
      </c>
      <c r="R12656" t="s">
        <v>581</v>
      </c>
      <c r="S12656" t="s">
        <v>823</v>
      </c>
      <c r="T12656">
        <v>39</v>
      </c>
      <c r="U12656" s="26" t="str">
        <f t="shared" si="464"/>
        <v>2023.001B.Leviviricetes_reorg.zip</v>
      </c>
    </row>
    <row r="12657" spans="1:21">
      <c r="A12657">
        <v>12656</v>
      </c>
      <c r="B12657" s="27" t="s">
        <v>1124</v>
      </c>
      <c r="D12657" s="27" t="s">
        <v>1859</v>
      </c>
      <c r="F12657" s="27" t="s">
        <v>1881</v>
      </c>
      <c r="H12657" s="27" t="s">
        <v>2679</v>
      </c>
      <c r="J12657" s="27" t="s">
        <v>3210</v>
      </c>
      <c r="L12657" s="27" t="s">
        <v>3262</v>
      </c>
      <c r="N12657" s="27" t="s">
        <v>16447</v>
      </c>
      <c r="P12657" s="27" t="s">
        <v>16458</v>
      </c>
      <c r="Q12657" s="26" t="str">
        <f>HYPERLINK("https://ictv.global/taxonomy/taxondetails?taxnode_id=202517532&amp;ictv_id=ICTV202317532","ICTV202317532")</f>
        <v>ICTV202317532</v>
      </c>
      <c r="R12657" t="s">
        <v>581</v>
      </c>
      <c r="S12657" t="s">
        <v>823</v>
      </c>
      <c r="T12657">
        <v>39</v>
      </c>
      <c r="U12657" s="26" t="str">
        <f t="shared" si="464"/>
        <v>2023.001B.Leviviricetes_reorg.zip</v>
      </c>
    </row>
    <row r="12658" spans="1:21">
      <c r="A12658">
        <v>12657</v>
      </c>
      <c r="B12658" s="27" t="s">
        <v>1124</v>
      </c>
      <c r="D12658" s="27" t="s">
        <v>1859</v>
      </c>
      <c r="F12658" s="27" t="s">
        <v>1881</v>
      </c>
      <c r="H12658" s="27" t="s">
        <v>2679</v>
      </c>
      <c r="J12658" s="27" t="s">
        <v>3210</v>
      </c>
      <c r="L12658" s="27" t="s">
        <v>3262</v>
      </c>
      <c r="N12658" s="27" t="s">
        <v>16447</v>
      </c>
      <c r="P12658" s="27" t="s">
        <v>16459</v>
      </c>
      <c r="Q12658" s="26" t="str">
        <f>HYPERLINK("https://ictv.global/taxonomy/taxondetails?taxnode_id=202517533&amp;ictv_id=ICTV202317533","ICTV202317533")</f>
        <v>ICTV202317533</v>
      </c>
      <c r="R12658" t="s">
        <v>581</v>
      </c>
      <c r="S12658" t="s">
        <v>823</v>
      </c>
      <c r="T12658">
        <v>39</v>
      </c>
      <c r="U12658" s="26" t="str">
        <f t="shared" si="464"/>
        <v>2023.001B.Leviviricetes_reorg.zip</v>
      </c>
    </row>
    <row r="12659" spans="1:21">
      <c r="A12659">
        <v>12658</v>
      </c>
      <c r="B12659" s="27" t="s">
        <v>1124</v>
      </c>
      <c r="D12659" s="27" t="s">
        <v>1859</v>
      </c>
      <c r="F12659" s="27" t="s">
        <v>1881</v>
      </c>
      <c r="H12659" s="27" t="s">
        <v>2679</v>
      </c>
      <c r="J12659" s="27" t="s">
        <v>3210</v>
      </c>
      <c r="L12659" s="27" t="s">
        <v>3262</v>
      </c>
      <c r="N12659" s="27" t="s">
        <v>16447</v>
      </c>
      <c r="P12659" s="27" t="s">
        <v>16460</v>
      </c>
      <c r="Q12659" s="26" t="str">
        <f>HYPERLINK("https://ictv.global/taxonomy/taxondetails?taxnode_id=202517534&amp;ictv_id=ICTV202317534","ICTV202317534")</f>
        <v>ICTV202317534</v>
      </c>
      <c r="R12659" t="s">
        <v>581</v>
      </c>
      <c r="S12659" t="s">
        <v>823</v>
      </c>
      <c r="T12659">
        <v>39</v>
      </c>
      <c r="U12659" s="26" t="str">
        <f t="shared" si="464"/>
        <v>2023.001B.Leviviricetes_reorg.zip</v>
      </c>
    </row>
    <row r="12660" spans="1:21">
      <c r="A12660">
        <v>12659</v>
      </c>
      <c r="B12660" s="27" t="s">
        <v>1124</v>
      </c>
      <c r="D12660" s="27" t="s">
        <v>1859</v>
      </c>
      <c r="F12660" s="27" t="s">
        <v>1881</v>
      </c>
      <c r="H12660" s="27" t="s">
        <v>2679</v>
      </c>
      <c r="J12660" s="27" t="s">
        <v>3210</v>
      </c>
      <c r="L12660" s="27" t="s">
        <v>3262</v>
      </c>
      <c r="N12660" s="27" t="s">
        <v>16447</v>
      </c>
      <c r="P12660" s="27" t="s">
        <v>16461</v>
      </c>
      <c r="Q12660" s="26" t="str">
        <f>HYPERLINK("https://ictv.global/taxonomy/taxondetails?taxnode_id=202517535&amp;ictv_id=ICTV202317535","ICTV202317535")</f>
        <v>ICTV202317535</v>
      </c>
      <c r="R12660" t="s">
        <v>581</v>
      </c>
      <c r="S12660" t="s">
        <v>823</v>
      </c>
      <c r="T12660">
        <v>39</v>
      </c>
      <c r="U12660" s="26" t="str">
        <f t="shared" si="464"/>
        <v>2023.001B.Leviviricetes_reorg.zip</v>
      </c>
    </row>
    <row r="12661" spans="1:21">
      <c r="A12661">
        <v>12660</v>
      </c>
      <c r="B12661" s="27" t="s">
        <v>1124</v>
      </c>
      <c r="D12661" s="27" t="s">
        <v>1859</v>
      </c>
      <c r="F12661" s="27" t="s">
        <v>1881</v>
      </c>
      <c r="H12661" s="27" t="s">
        <v>2679</v>
      </c>
      <c r="J12661" s="27" t="s">
        <v>3210</v>
      </c>
      <c r="L12661" s="27" t="s">
        <v>3262</v>
      </c>
      <c r="N12661" s="27" t="s">
        <v>16447</v>
      </c>
      <c r="P12661" s="27" t="s">
        <v>16462</v>
      </c>
      <c r="Q12661" s="26" t="str">
        <f>HYPERLINK("https://ictv.global/taxonomy/taxondetails?taxnode_id=202517536&amp;ictv_id=ICTV202317536","ICTV202317536")</f>
        <v>ICTV202317536</v>
      </c>
      <c r="R12661" t="s">
        <v>581</v>
      </c>
      <c r="S12661" t="s">
        <v>823</v>
      </c>
      <c r="T12661">
        <v>39</v>
      </c>
      <c r="U12661" s="26" t="str">
        <f t="shared" si="464"/>
        <v>2023.001B.Leviviricetes_reorg.zip</v>
      </c>
    </row>
    <row r="12662" spans="1:21">
      <c r="A12662">
        <v>12661</v>
      </c>
      <c r="B12662" s="27" t="s">
        <v>1124</v>
      </c>
      <c r="D12662" s="27" t="s">
        <v>1859</v>
      </c>
      <c r="F12662" s="27" t="s">
        <v>1881</v>
      </c>
      <c r="H12662" s="27" t="s">
        <v>2679</v>
      </c>
      <c r="J12662" s="27" t="s">
        <v>3210</v>
      </c>
      <c r="L12662" s="27" t="s">
        <v>3262</v>
      </c>
      <c r="N12662" s="27" t="s">
        <v>16463</v>
      </c>
      <c r="P12662" s="27" t="s">
        <v>16464</v>
      </c>
      <c r="Q12662" s="26" t="str">
        <f>HYPERLINK("https://ictv.global/taxonomy/taxondetails?taxnode_id=202517537&amp;ictv_id=ICTV202317537","ICTV202317537")</f>
        <v>ICTV202317537</v>
      </c>
      <c r="R12662" t="s">
        <v>581</v>
      </c>
      <c r="S12662" t="s">
        <v>823</v>
      </c>
      <c r="T12662">
        <v>39</v>
      </c>
      <c r="U12662" s="26" t="str">
        <f t="shared" si="464"/>
        <v>2023.001B.Leviviricetes_reorg.zip</v>
      </c>
    </row>
    <row r="12663" spans="1:21">
      <c r="A12663">
        <v>12662</v>
      </c>
      <c r="B12663" s="27" t="s">
        <v>1124</v>
      </c>
      <c r="D12663" s="27" t="s">
        <v>1859</v>
      </c>
      <c r="F12663" s="27" t="s">
        <v>1881</v>
      </c>
      <c r="H12663" s="27" t="s">
        <v>2679</v>
      </c>
      <c r="J12663" s="27" t="s">
        <v>3210</v>
      </c>
      <c r="L12663" s="27" t="s">
        <v>3262</v>
      </c>
      <c r="N12663" s="27" t="s">
        <v>3380</v>
      </c>
      <c r="P12663" s="27" t="s">
        <v>3381</v>
      </c>
      <c r="Q12663" s="26" t="str">
        <f>HYPERLINK("https://ictv.global/taxonomy/taxondetails?taxnode_id=202511324&amp;ictv_id=ICTV202011324","ICTV202011324")</f>
        <v>ICTV202011324</v>
      </c>
      <c r="R12663" t="s">
        <v>581</v>
      </c>
      <c r="S12663" t="s">
        <v>823</v>
      </c>
      <c r="T12663">
        <v>36</v>
      </c>
      <c r="U12663" s="26" t="str">
        <f>HYPERLINK("https://ictv.global/ictv/proposals/2020.095B.R.Leviviricetes.zip","2020.095B.R.Leviviricetes.zip")</f>
        <v>2020.095B.R.Leviviricetes.zip</v>
      </c>
    </row>
    <row r="12664" spans="1:21">
      <c r="A12664">
        <v>12663</v>
      </c>
      <c r="B12664" s="27" t="s">
        <v>1124</v>
      </c>
      <c r="D12664" s="27" t="s">
        <v>1859</v>
      </c>
      <c r="F12664" s="27" t="s">
        <v>1881</v>
      </c>
      <c r="H12664" s="27" t="s">
        <v>2679</v>
      </c>
      <c r="J12664" s="27" t="s">
        <v>3210</v>
      </c>
      <c r="L12664" s="27" t="s">
        <v>3262</v>
      </c>
      <c r="N12664" s="27" t="s">
        <v>3382</v>
      </c>
      <c r="P12664" s="27" t="s">
        <v>16465</v>
      </c>
      <c r="Q12664" s="26" t="str">
        <f>HYPERLINK("https://ictv.global/taxonomy/taxondetails?taxnode_id=202517538&amp;ictv_id=ICTV202317538","ICTV202317538")</f>
        <v>ICTV202317538</v>
      </c>
      <c r="R12664" t="s">
        <v>581</v>
      </c>
      <c r="S12664" t="s">
        <v>823</v>
      </c>
      <c r="T12664">
        <v>39</v>
      </c>
      <c r="U12664" s="26" t="str">
        <f>HYPERLINK("https://ictv.global/ictv/proposals/2023.001B.Leviviricetes_reorg.zip","2023.001B.Leviviricetes_reorg.zip")</f>
        <v>2023.001B.Leviviricetes_reorg.zip</v>
      </c>
    </row>
    <row r="12665" spans="1:21">
      <c r="A12665">
        <v>12664</v>
      </c>
      <c r="B12665" s="27" t="s">
        <v>1124</v>
      </c>
      <c r="D12665" s="27" t="s">
        <v>1859</v>
      </c>
      <c r="F12665" s="27" t="s">
        <v>1881</v>
      </c>
      <c r="H12665" s="27" t="s">
        <v>2679</v>
      </c>
      <c r="J12665" s="27" t="s">
        <v>3210</v>
      </c>
      <c r="L12665" s="27" t="s">
        <v>3262</v>
      </c>
      <c r="N12665" s="27" t="s">
        <v>3382</v>
      </c>
      <c r="P12665" s="27" t="s">
        <v>3383</v>
      </c>
      <c r="Q12665" s="26" t="str">
        <f>HYPERLINK("https://ictv.global/taxonomy/taxondetails?taxnode_id=202511326&amp;ictv_id=ICTV202011326","ICTV202011326")</f>
        <v>ICTV202011326</v>
      </c>
      <c r="R12665" t="s">
        <v>581</v>
      </c>
      <c r="S12665" t="s">
        <v>823</v>
      </c>
      <c r="T12665">
        <v>36</v>
      </c>
      <c r="U12665" s="26" t="str">
        <f>HYPERLINK("https://ictv.global/ictv/proposals/2020.095B.R.Leviviricetes.zip","2020.095B.R.Leviviricetes.zip")</f>
        <v>2020.095B.R.Leviviricetes.zip</v>
      </c>
    </row>
    <row r="12666" spans="1:21">
      <c r="A12666">
        <v>12665</v>
      </c>
      <c r="B12666" s="27" t="s">
        <v>1124</v>
      </c>
      <c r="D12666" s="27" t="s">
        <v>1859</v>
      </c>
      <c r="F12666" s="27" t="s">
        <v>1881</v>
      </c>
      <c r="H12666" s="27" t="s">
        <v>2679</v>
      </c>
      <c r="J12666" s="27" t="s">
        <v>3210</v>
      </c>
      <c r="L12666" s="27" t="s">
        <v>3262</v>
      </c>
      <c r="N12666" s="27" t="s">
        <v>3382</v>
      </c>
      <c r="P12666" s="27" t="s">
        <v>3384</v>
      </c>
      <c r="Q12666" s="26" t="str">
        <f>HYPERLINK("https://ictv.global/taxonomy/taxondetails?taxnode_id=202511328&amp;ictv_id=ICTV202011328","ICTV202011328")</f>
        <v>ICTV202011328</v>
      </c>
      <c r="R12666" t="s">
        <v>581</v>
      </c>
      <c r="S12666" t="s">
        <v>823</v>
      </c>
      <c r="T12666">
        <v>36</v>
      </c>
      <c r="U12666" s="26" t="str">
        <f>HYPERLINK("https://ictv.global/ictv/proposals/2020.095B.R.Leviviricetes.zip","2020.095B.R.Leviviricetes.zip")</f>
        <v>2020.095B.R.Leviviricetes.zip</v>
      </c>
    </row>
    <row r="12667" spans="1:21">
      <c r="A12667">
        <v>12666</v>
      </c>
      <c r="B12667" s="27" t="s">
        <v>1124</v>
      </c>
      <c r="D12667" s="27" t="s">
        <v>1859</v>
      </c>
      <c r="F12667" s="27" t="s">
        <v>1881</v>
      </c>
      <c r="H12667" s="27" t="s">
        <v>2679</v>
      </c>
      <c r="J12667" s="27" t="s">
        <v>3210</v>
      </c>
      <c r="L12667" s="27" t="s">
        <v>3262</v>
      </c>
      <c r="N12667" s="27" t="s">
        <v>3382</v>
      </c>
      <c r="P12667" s="27" t="s">
        <v>3385</v>
      </c>
      <c r="Q12667" s="26" t="str">
        <f>HYPERLINK("https://ictv.global/taxonomy/taxondetails?taxnode_id=202511327&amp;ictv_id=ICTV202011327","ICTV202011327")</f>
        <v>ICTV202011327</v>
      </c>
      <c r="R12667" t="s">
        <v>581</v>
      </c>
      <c r="S12667" t="s">
        <v>823</v>
      </c>
      <c r="T12667">
        <v>36</v>
      </c>
      <c r="U12667" s="26" t="str">
        <f>HYPERLINK("https://ictv.global/ictv/proposals/2020.095B.R.Leviviricetes.zip","2020.095B.R.Leviviricetes.zip")</f>
        <v>2020.095B.R.Leviviricetes.zip</v>
      </c>
    </row>
    <row r="12668" spans="1:21">
      <c r="A12668">
        <v>12667</v>
      </c>
      <c r="B12668" s="27" t="s">
        <v>1124</v>
      </c>
      <c r="D12668" s="27" t="s">
        <v>1859</v>
      </c>
      <c r="F12668" s="27" t="s">
        <v>1881</v>
      </c>
      <c r="H12668" s="27" t="s">
        <v>2679</v>
      </c>
      <c r="J12668" s="27" t="s">
        <v>3210</v>
      </c>
      <c r="L12668" s="27" t="s">
        <v>3262</v>
      </c>
      <c r="N12668" s="27" t="s">
        <v>3382</v>
      </c>
      <c r="P12668" s="27" t="s">
        <v>16466</v>
      </c>
      <c r="Q12668" s="26" t="str">
        <f>HYPERLINK("https://ictv.global/taxonomy/taxondetails?taxnode_id=202517539&amp;ictv_id=ICTV202317539","ICTV202317539")</f>
        <v>ICTV202317539</v>
      </c>
      <c r="R12668" t="s">
        <v>581</v>
      </c>
      <c r="S12668" t="s">
        <v>823</v>
      </c>
      <c r="T12668">
        <v>39</v>
      </c>
      <c r="U12668" s="26" t="str">
        <f t="shared" ref="U12668:U12685" si="465">HYPERLINK("https://ictv.global/ictv/proposals/2023.001B.Leviviricetes_reorg.zip","2023.001B.Leviviricetes_reorg.zip")</f>
        <v>2023.001B.Leviviricetes_reorg.zip</v>
      </c>
    </row>
    <row r="12669" spans="1:21">
      <c r="A12669">
        <v>12668</v>
      </c>
      <c r="B12669" s="27" t="s">
        <v>1124</v>
      </c>
      <c r="D12669" s="27" t="s">
        <v>1859</v>
      </c>
      <c r="F12669" s="27" t="s">
        <v>1881</v>
      </c>
      <c r="H12669" s="27" t="s">
        <v>2679</v>
      </c>
      <c r="J12669" s="27" t="s">
        <v>3210</v>
      </c>
      <c r="L12669" s="27" t="s">
        <v>3262</v>
      </c>
      <c r="N12669" s="27" t="s">
        <v>3382</v>
      </c>
      <c r="P12669" s="27" t="s">
        <v>16467</v>
      </c>
      <c r="Q12669" s="26" t="str">
        <f>HYPERLINK("https://ictv.global/taxonomy/taxondetails?taxnode_id=202517540&amp;ictv_id=ICTV202317540","ICTV202317540")</f>
        <v>ICTV202317540</v>
      </c>
      <c r="R12669" t="s">
        <v>581</v>
      </c>
      <c r="S12669" t="s">
        <v>823</v>
      </c>
      <c r="T12669">
        <v>39</v>
      </c>
      <c r="U12669" s="26" t="str">
        <f t="shared" si="465"/>
        <v>2023.001B.Leviviricetes_reorg.zip</v>
      </c>
    </row>
    <row r="12670" spans="1:21">
      <c r="A12670">
        <v>12669</v>
      </c>
      <c r="B12670" s="27" t="s">
        <v>1124</v>
      </c>
      <c r="D12670" s="27" t="s">
        <v>1859</v>
      </c>
      <c r="F12670" s="27" t="s">
        <v>1881</v>
      </c>
      <c r="H12670" s="27" t="s">
        <v>2679</v>
      </c>
      <c r="J12670" s="27" t="s">
        <v>3210</v>
      </c>
      <c r="L12670" s="27" t="s">
        <v>3262</v>
      </c>
      <c r="N12670" s="27" t="s">
        <v>3382</v>
      </c>
      <c r="P12670" s="27" t="s">
        <v>16468</v>
      </c>
      <c r="Q12670" s="26" t="str">
        <f>HYPERLINK("https://ictv.global/taxonomy/taxondetails?taxnode_id=202517541&amp;ictv_id=ICTV202317541","ICTV202317541")</f>
        <v>ICTV202317541</v>
      </c>
      <c r="R12670" t="s">
        <v>581</v>
      </c>
      <c r="S12670" t="s">
        <v>823</v>
      </c>
      <c r="T12670">
        <v>39</v>
      </c>
      <c r="U12670" s="26" t="str">
        <f t="shared" si="465"/>
        <v>2023.001B.Leviviricetes_reorg.zip</v>
      </c>
    </row>
    <row r="12671" spans="1:21">
      <c r="A12671">
        <v>12670</v>
      </c>
      <c r="B12671" s="27" t="s">
        <v>1124</v>
      </c>
      <c r="D12671" s="27" t="s">
        <v>1859</v>
      </c>
      <c r="F12671" s="27" t="s">
        <v>1881</v>
      </c>
      <c r="H12671" s="27" t="s">
        <v>2679</v>
      </c>
      <c r="J12671" s="27" t="s">
        <v>3210</v>
      </c>
      <c r="L12671" s="27" t="s">
        <v>3262</v>
      </c>
      <c r="N12671" s="27" t="s">
        <v>3382</v>
      </c>
      <c r="P12671" s="27" t="s">
        <v>16469</v>
      </c>
      <c r="Q12671" s="26" t="str">
        <f>HYPERLINK("https://ictv.global/taxonomy/taxondetails?taxnode_id=202517542&amp;ictv_id=ICTV202317542","ICTV202317542")</f>
        <v>ICTV202317542</v>
      </c>
      <c r="R12671" t="s">
        <v>581</v>
      </c>
      <c r="S12671" t="s">
        <v>823</v>
      </c>
      <c r="T12671">
        <v>39</v>
      </c>
      <c r="U12671" s="26" t="str">
        <f t="shared" si="465"/>
        <v>2023.001B.Leviviricetes_reorg.zip</v>
      </c>
    </row>
    <row r="12672" spans="1:21">
      <c r="A12672">
        <v>12671</v>
      </c>
      <c r="B12672" s="27" t="s">
        <v>1124</v>
      </c>
      <c r="D12672" s="27" t="s">
        <v>1859</v>
      </c>
      <c r="F12672" s="27" t="s">
        <v>1881</v>
      </c>
      <c r="H12672" s="27" t="s">
        <v>2679</v>
      </c>
      <c r="J12672" s="27" t="s">
        <v>3210</v>
      </c>
      <c r="L12672" s="27" t="s">
        <v>3262</v>
      </c>
      <c r="N12672" s="27" t="s">
        <v>3382</v>
      </c>
      <c r="P12672" s="27" t="s">
        <v>16470</v>
      </c>
      <c r="Q12672" s="26" t="str">
        <f>HYPERLINK("https://ictv.global/taxonomy/taxondetails?taxnode_id=202517543&amp;ictv_id=ICTV202317543","ICTV202317543")</f>
        <v>ICTV202317543</v>
      </c>
      <c r="R12672" t="s">
        <v>581</v>
      </c>
      <c r="S12672" t="s">
        <v>823</v>
      </c>
      <c r="T12672">
        <v>39</v>
      </c>
      <c r="U12672" s="26" t="str">
        <f t="shared" si="465"/>
        <v>2023.001B.Leviviricetes_reorg.zip</v>
      </c>
    </row>
    <row r="12673" spans="1:21">
      <c r="A12673">
        <v>12672</v>
      </c>
      <c r="B12673" s="27" t="s">
        <v>1124</v>
      </c>
      <c r="D12673" s="27" t="s">
        <v>1859</v>
      </c>
      <c r="F12673" s="27" t="s">
        <v>1881</v>
      </c>
      <c r="H12673" s="27" t="s">
        <v>2679</v>
      </c>
      <c r="J12673" s="27" t="s">
        <v>3210</v>
      </c>
      <c r="L12673" s="27" t="s">
        <v>3262</v>
      </c>
      <c r="N12673" s="27" t="s">
        <v>16471</v>
      </c>
      <c r="P12673" s="27" t="s">
        <v>16472</v>
      </c>
      <c r="Q12673" s="26" t="str">
        <f>HYPERLINK("https://ictv.global/taxonomy/taxondetails?taxnode_id=202517544&amp;ictv_id=ICTV202317544","ICTV202317544")</f>
        <v>ICTV202317544</v>
      </c>
      <c r="R12673" t="s">
        <v>581</v>
      </c>
      <c r="S12673" t="s">
        <v>823</v>
      </c>
      <c r="T12673">
        <v>39</v>
      </c>
      <c r="U12673" s="26" t="str">
        <f t="shared" si="465"/>
        <v>2023.001B.Leviviricetes_reorg.zip</v>
      </c>
    </row>
    <row r="12674" spans="1:21">
      <c r="A12674">
        <v>12673</v>
      </c>
      <c r="B12674" s="27" t="s">
        <v>1124</v>
      </c>
      <c r="D12674" s="27" t="s">
        <v>1859</v>
      </c>
      <c r="F12674" s="27" t="s">
        <v>1881</v>
      </c>
      <c r="H12674" s="27" t="s">
        <v>2679</v>
      </c>
      <c r="J12674" s="27" t="s">
        <v>3210</v>
      </c>
      <c r="L12674" s="27" t="s">
        <v>3262</v>
      </c>
      <c r="N12674" s="27" t="s">
        <v>16471</v>
      </c>
      <c r="P12674" s="27" t="s">
        <v>16473</v>
      </c>
      <c r="Q12674" s="26" t="str">
        <f>HYPERLINK("https://ictv.global/taxonomy/taxondetails?taxnode_id=202517545&amp;ictv_id=ICTV202317545","ICTV202317545")</f>
        <v>ICTV202317545</v>
      </c>
      <c r="R12674" t="s">
        <v>581</v>
      </c>
      <c r="S12674" t="s">
        <v>823</v>
      </c>
      <c r="T12674">
        <v>39</v>
      </c>
      <c r="U12674" s="26" t="str">
        <f t="shared" si="465"/>
        <v>2023.001B.Leviviricetes_reorg.zip</v>
      </c>
    </row>
    <row r="12675" spans="1:21">
      <c r="A12675">
        <v>12674</v>
      </c>
      <c r="B12675" s="27" t="s">
        <v>1124</v>
      </c>
      <c r="D12675" s="27" t="s">
        <v>1859</v>
      </c>
      <c r="F12675" s="27" t="s">
        <v>1881</v>
      </c>
      <c r="H12675" s="27" t="s">
        <v>2679</v>
      </c>
      <c r="J12675" s="27" t="s">
        <v>3210</v>
      </c>
      <c r="L12675" s="27" t="s">
        <v>3262</v>
      </c>
      <c r="N12675" s="27" t="s">
        <v>16471</v>
      </c>
      <c r="P12675" s="27" t="s">
        <v>16474</v>
      </c>
      <c r="Q12675" s="26" t="str">
        <f>HYPERLINK("https://ictv.global/taxonomy/taxondetails?taxnode_id=202511089&amp;ictv_id=ICTV202011089","ICTV202011089")</f>
        <v>ICTV202011089</v>
      </c>
      <c r="R12675" t="s">
        <v>581</v>
      </c>
      <c r="S12675" t="s">
        <v>22764</v>
      </c>
      <c r="T12675">
        <v>39</v>
      </c>
      <c r="U12675" s="26" t="str">
        <f t="shared" si="465"/>
        <v>2023.001B.Leviviricetes_reorg.zip</v>
      </c>
    </row>
    <row r="12676" spans="1:21">
      <c r="A12676">
        <v>12675</v>
      </c>
      <c r="B12676" s="27" t="s">
        <v>1124</v>
      </c>
      <c r="D12676" s="27" t="s">
        <v>1859</v>
      </c>
      <c r="F12676" s="27" t="s">
        <v>1881</v>
      </c>
      <c r="H12676" s="27" t="s">
        <v>2679</v>
      </c>
      <c r="J12676" s="27" t="s">
        <v>3210</v>
      </c>
      <c r="L12676" s="27" t="s">
        <v>3262</v>
      </c>
      <c r="N12676" s="27" t="s">
        <v>16471</v>
      </c>
      <c r="P12676" s="27" t="s">
        <v>16475</v>
      </c>
      <c r="Q12676" s="26" t="str">
        <f>HYPERLINK("https://ictv.global/taxonomy/taxondetails?taxnode_id=202511090&amp;ictv_id=ICTV202011090","ICTV202011090")</f>
        <v>ICTV202011090</v>
      </c>
      <c r="R12676" t="s">
        <v>581</v>
      </c>
      <c r="S12676" t="s">
        <v>22764</v>
      </c>
      <c r="T12676">
        <v>39</v>
      </c>
      <c r="U12676" s="26" t="str">
        <f t="shared" si="465"/>
        <v>2023.001B.Leviviricetes_reorg.zip</v>
      </c>
    </row>
    <row r="12677" spans="1:21">
      <c r="A12677">
        <v>12676</v>
      </c>
      <c r="B12677" s="27" t="s">
        <v>1124</v>
      </c>
      <c r="D12677" s="27" t="s">
        <v>1859</v>
      </c>
      <c r="F12677" s="27" t="s">
        <v>1881</v>
      </c>
      <c r="H12677" s="27" t="s">
        <v>2679</v>
      </c>
      <c r="J12677" s="27" t="s">
        <v>3210</v>
      </c>
      <c r="L12677" s="27" t="s">
        <v>3262</v>
      </c>
      <c r="N12677" s="27" t="s">
        <v>16471</v>
      </c>
      <c r="P12677" s="27" t="s">
        <v>16476</v>
      </c>
      <c r="Q12677" s="26" t="str">
        <f>HYPERLINK("https://ictv.global/taxonomy/taxondetails?taxnode_id=202511092&amp;ictv_id=ICTV202011092","ICTV202011092")</f>
        <v>ICTV202011092</v>
      </c>
      <c r="R12677" t="s">
        <v>581</v>
      </c>
      <c r="S12677" t="s">
        <v>22764</v>
      </c>
      <c r="T12677">
        <v>39</v>
      </c>
      <c r="U12677" s="26" t="str">
        <f t="shared" si="465"/>
        <v>2023.001B.Leviviricetes_reorg.zip</v>
      </c>
    </row>
    <row r="12678" spans="1:21">
      <c r="A12678">
        <v>12677</v>
      </c>
      <c r="B12678" s="27" t="s">
        <v>1124</v>
      </c>
      <c r="D12678" s="27" t="s">
        <v>1859</v>
      </c>
      <c r="F12678" s="27" t="s">
        <v>1881</v>
      </c>
      <c r="H12678" s="27" t="s">
        <v>2679</v>
      </c>
      <c r="J12678" s="27" t="s">
        <v>3210</v>
      </c>
      <c r="L12678" s="27" t="s">
        <v>3262</v>
      </c>
      <c r="N12678" s="27" t="s">
        <v>16471</v>
      </c>
      <c r="P12678" s="27" t="s">
        <v>16477</v>
      </c>
      <c r="Q12678" s="26" t="str">
        <f>HYPERLINK("https://ictv.global/taxonomy/taxondetails?taxnode_id=202511091&amp;ictv_id=ICTV202011091","ICTV202011091")</f>
        <v>ICTV202011091</v>
      </c>
      <c r="R12678" t="s">
        <v>581</v>
      </c>
      <c r="S12678" t="s">
        <v>22764</v>
      </c>
      <c r="T12678">
        <v>39</v>
      </c>
      <c r="U12678" s="26" t="str">
        <f t="shared" si="465"/>
        <v>2023.001B.Leviviricetes_reorg.zip</v>
      </c>
    </row>
    <row r="12679" spans="1:21">
      <c r="A12679">
        <v>12678</v>
      </c>
      <c r="B12679" s="27" t="s">
        <v>1124</v>
      </c>
      <c r="D12679" s="27" t="s">
        <v>1859</v>
      </c>
      <c r="F12679" s="27" t="s">
        <v>1881</v>
      </c>
      <c r="H12679" s="27" t="s">
        <v>2679</v>
      </c>
      <c r="J12679" s="27" t="s">
        <v>3210</v>
      </c>
      <c r="L12679" s="27" t="s">
        <v>3262</v>
      </c>
      <c r="N12679" s="27" t="s">
        <v>16471</v>
      </c>
      <c r="P12679" s="27" t="s">
        <v>16478</v>
      </c>
      <c r="Q12679" s="26" t="str">
        <f>HYPERLINK("https://ictv.global/taxonomy/taxondetails?taxnode_id=202511093&amp;ictv_id=ICTV202011093","ICTV202011093")</f>
        <v>ICTV202011093</v>
      </c>
      <c r="R12679" t="s">
        <v>581</v>
      </c>
      <c r="S12679" t="s">
        <v>22764</v>
      </c>
      <c r="T12679">
        <v>39</v>
      </c>
      <c r="U12679" s="26" t="str">
        <f t="shared" si="465"/>
        <v>2023.001B.Leviviricetes_reorg.zip</v>
      </c>
    </row>
    <row r="12680" spans="1:21">
      <c r="A12680">
        <v>12679</v>
      </c>
      <c r="B12680" s="27" t="s">
        <v>1124</v>
      </c>
      <c r="D12680" s="27" t="s">
        <v>1859</v>
      </c>
      <c r="F12680" s="27" t="s">
        <v>1881</v>
      </c>
      <c r="H12680" s="27" t="s">
        <v>2679</v>
      </c>
      <c r="J12680" s="27" t="s">
        <v>3210</v>
      </c>
      <c r="L12680" s="27" t="s">
        <v>3262</v>
      </c>
      <c r="N12680" s="27" t="s">
        <v>16471</v>
      </c>
      <c r="P12680" s="27" t="s">
        <v>16479</v>
      </c>
      <c r="Q12680" s="26" t="str">
        <f>HYPERLINK("https://ictv.global/taxonomy/taxondetails?taxnode_id=202511095&amp;ictv_id=ICTV202011095","ICTV202011095")</f>
        <v>ICTV202011095</v>
      </c>
      <c r="R12680" t="s">
        <v>581</v>
      </c>
      <c r="S12680" t="s">
        <v>22764</v>
      </c>
      <c r="T12680">
        <v>39</v>
      </c>
      <c r="U12680" s="26" t="str">
        <f t="shared" si="465"/>
        <v>2023.001B.Leviviricetes_reorg.zip</v>
      </c>
    </row>
    <row r="12681" spans="1:21">
      <c r="A12681">
        <v>12680</v>
      </c>
      <c r="B12681" s="27" t="s">
        <v>1124</v>
      </c>
      <c r="D12681" s="27" t="s">
        <v>1859</v>
      </c>
      <c r="F12681" s="27" t="s">
        <v>1881</v>
      </c>
      <c r="H12681" s="27" t="s">
        <v>2679</v>
      </c>
      <c r="J12681" s="27" t="s">
        <v>3210</v>
      </c>
      <c r="L12681" s="27" t="s">
        <v>3262</v>
      </c>
      <c r="N12681" s="27" t="s">
        <v>16471</v>
      </c>
      <c r="P12681" s="27" t="s">
        <v>16480</v>
      </c>
      <c r="Q12681" s="26" t="str">
        <f>HYPERLINK("https://ictv.global/taxonomy/taxondetails?taxnode_id=202511096&amp;ictv_id=ICTV202011096","ICTV202011096")</f>
        <v>ICTV202011096</v>
      </c>
      <c r="R12681" t="s">
        <v>581</v>
      </c>
      <c r="S12681" t="s">
        <v>22764</v>
      </c>
      <c r="T12681">
        <v>39</v>
      </c>
      <c r="U12681" s="26" t="str">
        <f t="shared" si="465"/>
        <v>2023.001B.Leviviricetes_reorg.zip</v>
      </c>
    </row>
    <row r="12682" spans="1:21">
      <c r="A12682">
        <v>12681</v>
      </c>
      <c r="B12682" s="27" t="s">
        <v>1124</v>
      </c>
      <c r="D12682" s="27" t="s">
        <v>1859</v>
      </c>
      <c r="F12682" s="27" t="s">
        <v>1881</v>
      </c>
      <c r="H12682" s="27" t="s">
        <v>2679</v>
      </c>
      <c r="J12682" s="27" t="s">
        <v>3210</v>
      </c>
      <c r="L12682" s="27" t="s">
        <v>3262</v>
      </c>
      <c r="N12682" s="27" t="s">
        <v>16471</v>
      </c>
      <c r="P12682" s="27" t="s">
        <v>16481</v>
      </c>
      <c r="Q12682" s="26" t="str">
        <f>HYPERLINK("https://ictv.global/taxonomy/taxondetails?taxnode_id=202517546&amp;ictv_id=ICTV202317546","ICTV202317546")</f>
        <v>ICTV202317546</v>
      </c>
      <c r="R12682" t="s">
        <v>581</v>
      </c>
      <c r="S12682" t="s">
        <v>823</v>
      </c>
      <c r="T12682">
        <v>39</v>
      </c>
      <c r="U12682" s="26" t="str">
        <f t="shared" si="465"/>
        <v>2023.001B.Leviviricetes_reorg.zip</v>
      </c>
    </row>
    <row r="12683" spans="1:21">
      <c r="A12683">
        <v>12682</v>
      </c>
      <c r="B12683" s="27" t="s">
        <v>1124</v>
      </c>
      <c r="D12683" s="27" t="s">
        <v>1859</v>
      </c>
      <c r="F12683" s="27" t="s">
        <v>1881</v>
      </c>
      <c r="H12683" s="27" t="s">
        <v>2679</v>
      </c>
      <c r="J12683" s="27" t="s">
        <v>3210</v>
      </c>
      <c r="L12683" s="27" t="s">
        <v>3262</v>
      </c>
      <c r="N12683" s="27" t="s">
        <v>16471</v>
      </c>
      <c r="P12683" s="27" t="s">
        <v>16482</v>
      </c>
      <c r="Q12683" s="26" t="str">
        <f>HYPERLINK("https://ictv.global/taxonomy/taxondetails?taxnode_id=202517547&amp;ictv_id=ICTV202317547","ICTV202317547")</f>
        <v>ICTV202317547</v>
      </c>
      <c r="R12683" t="s">
        <v>581</v>
      </c>
      <c r="S12683" t="s">
        <v>823</v>
      </c>
      <c r="T12683">
        <v>39</v>
      </c>
      <c r="U12683" s="26" t="str">
        <f t="shared" si="465"/>
        <v>2023.001B.Leviviricetes_reorg.zip</v>
      </c>
    </row>
    <row r="12684" spans="1:21">
      <c r="A12684">
        <v>12683</v>
      </c>
      <c r="B12684" s="27" t="s">
        <v>1124</v>
      </c>
      <c r="D12684" s="27" t="s">
        <v>1859</v>
      </c>
      <c r="F12684" s="27" t="s">
        <v>1881</v>
      </c>
      <c r="H12684" s="27" t="s">
        <v>2679</v>
      </c>
      <c r="J12684" s="27" t="s">
        <v>3210</v>
      </c>
      <c r="L12684" s="27" t="s">
        <v>3262</v>
      </c>
      <c r="N12684" s="27" t="s">
        <v>16483</v>
      </c>
      <c r="P12684" s="27" t="s">
        <v>16484</v>
      </c>
      <c r="Q12684" s="26" t="str">
        <f>HYPERLINK("https://ictv.global/taxonomy/taxondetails?taxnode_id=202511332&amp;ictv_id=ICTV202011332","ICTV202011332")</f>
        <v>ICTV202011332</v>
      </c>
      <c r="R12684" t="s">
        <v>581</v>
      </c>
      <c r="S12684" t="s">
        <v>22764</v>
      </c>
      <c r="T12684">
        <v>39</v>
      </c>
      <c r="U12684" s="26" t="str">
        <f t="shared" si="465"/>
        <v>2023.001B.Leviviricetes_reorg.zip</v>
      </c>
    </row>
    <row r="12685" spans="1:21">
      <c r="A12685">
        <v>12684</v>
      </c>
      <c r="B12685" s="27" t="s">
        <v>1124</v>
      </c>
      <c r="D12685" s="27" t="s">
        <v>1859</v>
      </c>
      <c r="F12685" s="27" t="s">
        <v>1881</v>
      </c>
      <c r="H12685" s="27" t="s">
        <v>2679</v>
      </c>
      <c r="J12685" s="27" t="s">
        <v>3210</v>
      </c>
      <c r="L12685" s="27" t="s">
        <v>3262</v>
      </c>
      <c r="N12685" s="27" t="s">
        <v>16485</v>
      </c>
      <c r="P12685" s="27" t="s">
        <v>16486</v>
      </c>
      <c r="Q12685" s="26" t="str">
        <f>HYPERLINK("https://ictv.global/taxonomy/taxondetails?taxnode_id=202517548&amp;ictv_id=ICTV202317548","ICTV202317548")</f>
        <v>ICTV202317548</v>
      </c>
      <c r="R12685" t="s">
        <v>581</v>
      </c>
      <c r="S12685" t="s">
        <v>823</v>
      </c>
      <c r="T12685">
        <v>39</v>
      </c>
      <c r="U12685" s="26" t="str">
        <f t="shared" si="465"/>
        <v>2023.001B.Leviviricetes_reorg.zip</v>
      </c>
    </row>
    <row r="12686" spans="1:21">
      <c r="A12686">
        <v>12685</v>
      </c>
      <c r="B12686" s="27" t="s">
        <v>1124</v>
      </c>
      <c r="D12686" s="27" t="s">
        <v>1859</v>
      </c>
      <c r="F12686" s="27" t="s">
        <v>1881</v>
      </c>
      <c r="H12686" s="27" t="s">
        <v>2679</v>
      </c>
      <c r="J12686" s="27" t="s">
        <v>3210</v>
      </c>
      <c r="L12686" s="27" t="s">
        <v>3262</v>
      </c>
      <c r="N12686" s="27" t="s">
        <v>3386</v>
      </c>
      <c r="P12686" s="27" t="s">
        <v>3387</v>
      </c>
      <c r="Q12686" s="26" t="str">
        <f>HYPERLINK("https://ictv.global/taxonomy/taxondetails?taxnode_id=202511339&amp;ictv_id=ICTV202011339","ICTV202011339")</f>
        <v>ICTV202011339</v>
      </c>
      <c r="R12686" t="s">
        <v>581</v>
      </c>
      <c r="S12686" t="s">
        <v>823</v>
      </c>
      <c r="T12686">
        <v>36</v>
      </c>
      <c r="U12686" s="26" t="str">
        <f>HYPERLINK("https://ictv.global/ictv/proposals/2020.095B.R.Leviviricetes.zip","2020.095B.R.Leviviricetes.zip")</f>
        <v>2020.095B.R.Leviviricetes.zip</v>
      </c>
    </row>
    <row r="12687" spans="1:21">
      <c r="A12687">
        <v>12686</v>
      </c>
      <c r="B12687" s="27" t="s">
        <v>1124</v>
      </c>
      <c r="D12687" s="27" t="s">
        <v>1859</v>
      </c>
      <c r="F12687" s="27" t="s">
        <v>1881</v>
      </c>
      <c r="H12687" s="27" t="s">
        <v>2679</v>
      </c>
      <c r="J12687" s="27" t="s">
        <v>3210</v>
      </c>
      <c r="L12687" s="27" t="s">
        <v>3262</v>
      </c>
      <c r="N12687" s="27" t="s">
        <v>16487</v>
      </c>
      <c r="P12687" s="27" t="s">
        <v>16488</v>
      </c>
      <c r="Q12687" s="26" t="str">
        <f>HYPERLINK("https://ictv.global/taxonomy/taxondetails?taxnode_id=202517549&amp;ictv_id=ICTV202317549","ICTV202317549")</f>
        <v>ICTV202317549</v>
      </c>
      <c r="R12687" t="s">
        <v>581</v>
      </c>
      <c r="S12687" t="s">
        <v>823</v>
      </c>
      <c r="T12687">
        <v>39</v>
      </c>
      <c r="U12687" s="26" t="str">
        <f>HYPERLINK("https://ictv.global/ictv/proposals/2023.001B.Leviviricetes_reorg.zip","2023.001B.Leviviricetes_reorg.zip")</f>
        <v>2023.001B.Leviviricetes_reorg.zip</v>
      </c>
    </row>
    <row r="12688" spans="1:21">
      <c r="A12688">
        <v>12687</v>
      </c>
      <c r="B12688" s="27" t="s">
        <v>1124</v>
      </c>
      <c r="D12688" s="27" t="s">
        <v>1859</v>
      </c>
      <c r="F12688" s="27" t="s">
        <v>1881</v>
      </c>
      <c r="H12688" s="27" t="s">
        <v>2679</v>
      </c>
      <c r="J12688" s="27" t="s">
        <v>3210</v>
      </c>
      <c r="L12688" s="27" t="s">
        <v>3262</v>
      </c>
      <c r="N12688" s="27" t="s">
        <v>16489</v>
      </c>
      <c r="P12688" s="27" t="s">
        <v>16490</v>
      </c>
      <c r="Q12688" s="26" t="str">
        <f>HYPERLINK("https://ictv.global/taxonomy/taxondetails?taxnode_id=202517550&amp;ictv_id=ICTV202317550","ICTV202317550")</f>
        <v>ICTV202317550</v>
      </c>
      <c r="R12688" t="s">
        <v>581</v>
      </c>
      <c r="S12688" t="s">
        <v>823</v>
      </c>
      <c r="T12688">
        <v>39</v>
      </c>
      <c r="U12688" s="26" t="str">
        <f>HYPERLINK("https://ictv.global/ictv/proposals/2023.001B.Leviviricetes_reorg.zip","2023.001B.Leviviricetes_reorg.zip")</f>
        <v>2023.001B.Leviviricetes_reorg.zip</v>
      </c>
    </row>
    <row r="12689" spans="1:21">
      <c r="A12689">
        <v>12688</v>
      </c>
      <c r="B12689" s="27" t="s">
        <v>1124</v>
      </c>
      <c r="D12689" s="27" t="s">
        <v>1859</v>
      </c>
      <c r="F12689" s="27" t="s">
        <v>1881</v>
      </c>
      <c r="H12689" s="27" t="s">
        <v>2679</v>
      </c>
      <c r="J12689" s="27" t="s">
        <v>3210</v>
      </c>
      <c r="L12689" s="27" t="s">
        <v>3262</v>
      </c>
      <c r="N12689" s="27" t="s">
        <v>3388</v>
      </c>
      <c r="P12689" s="27" t="s">
        <v>3389</v>
      </c>
      <c r="Q12689" s="26" t="str">
        <f>HYPERLINK("https://ictv.global/taxonomy/taxondetails?taxnode_id=202511343&amp;ictv_id=ICTV202011343","ICTV202011343")</f>
        <v>ICTV202011343</v>
      </c>
      <c r="R12689" t="s">
        <v>581</v>
      </c>
      <c r="S12689" t="s">
        <v>823</v>
      </c>
      <c r="T12689">
        <v>36</v>
      </c>
      <c r="U12689" s="26" t="str">
        <f>HYPERLINK("https://ictv.global/ictv/proposals/2020.095B.R.Leviviricetes.zip","2020.095B.R.Leviviricetes.zip")</f>
        <v>2020.095B.R.Leviviricetes.zip</v>
      </c>
    </row>
    <row r="12690" spans="1:21">
      <c r="A12690">
        <v>12689</v>
      </c>
      <c r="B12690" s="27" t="s">
        <v>1124</v>
      </c>
      <c r="D12690" s="27" t="s">
        <v>1859</v>
      </c>
      <c r="F12690" s="27" t="s">
        <v>1881</v>
      </c>
      <c r="H12690" s="27" t="s">
        <v>2679</v>
      </c>
      <c r="J12690" s="27" t="s">
        <v>3210</v>
      </c>
      <c r="L12690" s="27" t="s">
        <v>3262</v>
      </c>
      <c r="N12690" s="27" t="s">
        <v>3390</v>
      </c>
      <c r="P12690" s="27" t="s">
        <v>16491</v>
      </c>
      <c r="Q12690" s="26" t="str">
        <f>HYPERLINK("https://ictv.global/taxonomy/taxondetails?taxnode_id=202517551&amp;ictv_id=ICTV202317551","ICTV202317551")</f>
        <v>ICTV202317551</v>
      </c>
      <c r="R12690" t="s">
        <v>581</v>
      </c>
      <c r="S12690" t="s">
        <v>823</v>
      </c>
      <c r="T12690">
        <v>39</v>
      </c>
      <c r="U12690" s="26" t="str">
        <f>HYPERLINK("https://ictv.global/ictv/proposals/2023.001B.Leviviricetes_reorg.zip","2023.001B.Leviviricetes_reorg.zip")</f>
        <v>2023.001B.Leviviricetes_reorg.zip</v>
      </c>
    </row>
    <row r="12691" spans="1:21">
      <c r="A12691">
        <v>12690</v>
      </c>
      <c r="B12691" s="27" t="s">
        <v>1124</v>
      </c>
      <c r="D12691" s="27" t="s">
        <v>1859</v>
      </c>
      <c r="F12691" s="27" t="s">
        <v>1881</v>
      </c>
      <c r="H12691" s="27" t="s">
        <v>2679</v>
      </c>
      <c r="J12691" s="27" t="s">
        <v>3210</v>
      </c>
      <c r="L12691" s="27" t="s">
        <v>3262</v>
      </c>
      <c r="N12691" s="27" t="s">
        <v>3390</v>
      </c>
      <c r="P12691" s="27" t="s">
        <v>16492</v>
      </c>
      <c r="Q12691" s="26" t="str">
        <f>HYPERLINK("https://ictv.global/taxonomy/taxondetails?taxnode_id=202517552&amp;ictv_id=ICTV202317552","ICTV202317552")</f>
        <v>ICTV202317552</v>
      </c>
      <c r="R12691" t="s">
        <v>581</v>
      </c>
      <c r="S12691" t="s">
        <v>823</v>
      </c>
      <c r="T12691">
        <v>39</v>
      </c>
      <c r="U12691" s="26" t="str">
        <f>HYPERLINK("https://ictv.global/ictv/proposals/2023.001B.Leviviricetes_reorg.zip","2023.001B.Leviviricetes_reorg.zip")</f>
        <v>2023.001B.Leviviricetes_reorg.zip</v>
      </c>
    </row>
    <row r="12692" spans="1:21">
      <c r="A12692">
        <v>12691</v>
      </c>
      <c r="B12692" s="27" t="s">
        <v>1124</v>
      </c>
      <c r="D12692" s="27" t="s">
        <v>1859</v>
      </c>
      <c r="F12692" s="27" t="s">
        <v>1881</v>
      </c>
      <c r="H12692" s="27" t="s">
        <v>2679</v>
      </c>
      <c r="J12692" s="27" t="s">
        <v>3210</v>
      </c>
      <c r="L12692" s="27" t="s">
        <v>3262</v>
      </c>
      <c r="N12692" s="27" t="s">
        <v>3390</v>
      </c>
      <c r="P12692" s="27" t="s">
        <v>3391</v>
      </c>
      <c r="Q12692" s="26" t="str">
        <f>HYPERLINK("https://ictv.global/taxonomy/taxondetails?taxnode_id=202511347&amp;ictv_id=ICTV202011347","ICTV202011347")</f>
        <v>ICTV202011347</v>
      </c>
      <c r="R12692" t="s">
        <v>581</v>
      </c>
      <c r="S12692" t="s">
        <v>823</v>
      </c>
      <c r="T12692">
        <v>36</v>
      </c>
      <c r="U12692" s="26" t="str">
        <f>HYPERLINK("https://ictv.global/ictv/proposals/2020.095B.R.Leviviricetes.zip","2020.095B.R.Leviviricetes.zip")</f>
        <v>2020.095B.R.Leviviricetes.zip</v>
      </c>
    </row>
    <row r="12693" spans="1:21">
      <c r="A12693">
        <v>12692</v>
      </c>
      <c r="B12693" s="27" t="s">
        <v>1124</v>
      </c>
      <c r="D12693" s="27" t="s">
        <v>1859</v>
      </c>
      <c r="F12693" s="27" t="s">
        <v>1881</v>
      </c>
      <c r="H12693" s="27" t="s">
        <v>2679</v>
      </c>
      <c r="J12693" s="27" t="s">
        <v>3210</v>
      </c>
      <c r="L12693" s="27" t="s">
        <v>3262</v>
      </c>
      <c r="N12693" s="27" t="s">
        <v>16493</v>
      </c>
      <c r="P12693" s="27" t="s">
        <v>16494</v>
      </c>
      <c r="Q12693" s="26" t="str">
        <f>HYPERLINK("https://ictv.global/taxonomy/taxondetails?taxnode_id=202517553&amp;ictv_id=ICTV202317553","ICTV202317553")</f>
        <v>ICTV202317553</v>
      </c>
      <c r="R12693" t="s">
        <v>581</v>
      </c>
      <c r="S12693" t="s">
        <v>823</v>
      </c>
      <c r="T12693">
        <v>39</v>
      </c>
      <c r="U12693" s="26" t="str">
        <f>HYPERLINK("https://ictv.global/ictv/proposals/2023.001B.Leviviricetes_reorg.zip","2023.001B.Leviviricetes_reorg.zip")</f>
        <v>2023.001B.Leviviricetes_reorg.zip</v>
      </c>
    </row>
    <row r="12694" spans="1:21">
      <c r="A12694">
        <v>12693</v>
      </c>
      <c r="B12694" s="27" t="s">
        <v>1124</v>
      </c>
      <c r="D12694" s="27" t="s">
        <v>1859</v>
      </c>
      <c r="F12694" s="27" t="s">
        <v>1881</v>
      </c>
      <c r="H12694" s="27" t="s">
        <v>2679</v>
      </c>
      <c r="J12694" s="27" t="s">
        <v>3210</v>
      </c>
      <c r="L12694" s="27" t="s">
        <v>3262</v>
      </c>
      <c r="N12694" s="27" t="s">
        <v>16493</v>
      </c>
      <c r="P12694" s="27" t="s">
        <v>16495</v>
      </c>
      <c r="Q12694" s="26" t="str">
        <f>HYPERLINK("https://ictv.global/taxonomy/taxondetails?taxnode_id=202517554&amp;ictv_id=ICTV202317554","ICTV202317554")</f>
        <v>ICTV202317554</v>
      </c>
      <c r="R12694" t="s">
        <v>581</v>
      </c>
      <c r="S12694" t="s">
        <v>823</v>
      </c>
      <c r="T12694">
        <v>39</v>
      </c>
      <c r="U12694" s="26" t="str">
        <f>HYPERLINK("https://ictv.global/ictv/proposals/2023.001B.Leviviricetes_reorg.zip","2023.001B.Leviviricetes_reorg.zip")</f>
        <v>2023.001B.Leviviricetes_reorg.zip</v>
      </c>
    </row>
    <row r="12695" spans="1:21">
      <c r="A12695">
        <v>12694</v>
      </c>
      <c r="B12695" s="27" t="s">
        <v>1124</v>
      </c>
      <c r="D12695" s="27" t="s">
        <v>1859</v>
      </c>
      <c r="F12695" s="27" t="s">
        <v>1881</v>
      </c>
      <c r="H12695" s="27" t="s">
        <v>2679</v>
      </c>
      <c r="J12695" s="27" t="s">
        <v>3210</v>
      </c>
      <c r="L12695" s="27" t="s">
        <v>3262</v>
      </c>
      <c r="N12695" s="27" t="s">
        <v>16493</v>
      </c>
      <c r="P12695" s="27" t="s">
        <v>16496</v>
      </c>
      <c r="Q12695" s="26" t="str">
        <f>HYPERLINK("https://ictv.global/taxonomy/taxondetails?taxnode_id=202517555&amp;ictv_id=ICTV202317555","ICTV202317555")</f>
        <v>ICTV202317555</v>
      </c>
      <c r="R12695" t="s">
        <v>581</v>
      </c>
      <c r="S12695" t="s">
        <v>823</v>
      </c>
      <c r="T12695">
        <v>39</v>
      </c>
      <c r="U12695" s="26" t="str">
        <f>HYPERLINK("https://ictv.global/ictv/proposals/2023.001B.Leviviricetes_reorg.zip","2023.001B.Leviviricetes_reorg.zip")</f>
        <v>2023.001B.Leviviricetes_reorg.zip</v>
      </c>
    </row>
    <row r="12696" spans="1:21">
      <c r="A12696">
        <v>12695</v>
      </c>
      <c r="B12696" s="27" t="s">
        <v>1124</v>
      </c>
      <c r="D12696" s="27" t="s">
        <v>1859</v>
      </c>
      <c r="F12696" s="27" t="s">
        <v>1881</v>
      </c>
      <c r="H12696" s="27" t="s">
        <v>2679</v>
      </c>
      <c r="J12696" s="27" t="s">
        <v>3210</v>
      </c>
      <c r="L12696" s="27" t="s">
        <v>3262</v>
      </c>
      <c r="N12696" s="27" t="s">
        <v>3392</v>
      </c>
      <c r="P12696" s="27" t="s">
        <v>3393</v>
      </c>
      <c r="Q12696" s="26" t="str">
        <f>HYPERLINK("https://ictv.global/taxonomy/taxondetails?taxnode_id=202511351&amp;ictv_id=ICTV202011351","ICTV202011351")</f>
        <v>ICTV202011351</v>
      </c>
      <c r="R12696" t="s">
        <v>581</v>
      </c>
      <c r="S12696" t="s">
        <v>823</v>
      </c>
      <c r="T12696">
        <v>36</v>
      </c>
      <c r="U12696" s="26" t="str">
        <f>HYPERLINK("https://ictv.global/ictv/proposals/2020.095B.R.Leviviricetes.zip","2020.095B.R.Leviviricetes.zip")</f>
        <v>2020.095B.R.Leviviricetes.zip</v>
      </c>
    </row>
    <row r="12697" spans="1:21">
      <c r="A12697">
        <v>12696</v>
      </c>
      <c r="B12697" s="27" t="s">
        <v>1124</v>
      </c>
      <c r="D12697" s="27" t="s">
        <v>1859</v>
      </c>
      <c r="F12697" s="27" t="s">
        <v>1881</v>
      </c>
      <c r="H12697" s="27" t="s">
        <v>2679</v>
      </c>
      <c r="J12697" s="27" t="s">
        <v>3210</v>
      </c>
      <c r="L12697" s="27" t="s">
        <v>3262</v>
      </c>
      <c r="N12697" s="27" t="s">
        <v>3392</v>
      </c>
      <c r="P12697" s="27" t="s">
        <v>3394</v>
      </c>
      <c r="Q12697" s="26" t="str">
        <f>HYPERLINK("https://ictv.global/taxonomy/taxondetails?taxnode_id=202511349&amp;ictv_id=ICTV202011349","ICTV202011349")</f>
        <v>ICTV202011349</v>
      </c>
      <c r="R12697" t="s">
        <v>581</v>
      </c>
      <c r="S12697" t="s">
        <v>823</v>
      </c>
      <c r="T12697">
        <v>36</v>
      </c>
      <c r="U12697" s="26" t="str">
        <f>HYPERLINK("https://ictv.global/ictv/proposals/2020.095B.R.Leviviricetes.zip","2020.095B.R.Leviviricetes.zip")</f>
        <v>2020.095B.R.Leviviricetes.zip</v>
      </c>
    </row>
    <row r="12698" spans="1:21">
      <c r="A12698">
        <v>12697</v>
      </c>
      <c r="B12698" s="27" t="s">
        <v>1124</v>
      </c>
      <c r="D12698" s="27" t="s">
        <v>1859</v>
      </c>
      <c r="F12698" s="27" t="s">
        <v>1881</v>
      </c>
      <c r="H12698" s="27" t="s">
        <v>2679</v>
      </c>
      <c r="J12698" s="27" t="s">
        <v>3210</v>
      </c>
      <c r="L12698" s="27" t="s">
        <v>3262</v>
      </c>
      <c r="N12698" s="27" t="s">
        <v>3392</v>
      </c>
      <c r="P12698" s="27" t="s">
        <v>3395</v>
      </c>
      <c r="Q12698" s="26" t="str">
        <f>HYPERLINK("https://ictv.global/taxonomy/taxondetails?taxnode_id=202511350&amp;ictv_id=ICTV202011350","ICTV202011350")</f>
        <v>ICTV202011350</v>
      </c>
      <c r="R12698" t="s">
        <v>581</v>
      </c>
      <c r="S12698" t="s">
        <v>823</v>
      </c>
      <c r="T12698">
        <v>36</v>
      </c>
      <c r="U12698" s="26" t="str">
        <f>HYPERLINK("https://ictv.global/ictv/proposals/2020.095B.R.Leviviricetes.zip","2020.095B.R.Leviviricetes.zip")</f>
        <v>2020.095B.R.Leviviricetes.zip</v>
      </c>
    </row>
    <row r="12699" spans="1:21">
      <c r="A12699">
        <v>12698</v>
      </c>
      <c r="B12699" s="27" t="s">
        <v>1124</v>
      </c>
      <c r="D12699" s="27" t="s">
        <v>1859</v>
      </c>
      <c r="F12699" s="27" t="s">
        <v>1881</v>
      </c>
      <c r="H12699" s="27" t="s">
        <v>2679</v>
      </c>
      <c r="J12699" s="27" t="s">
        <v>3210</v>
      </c>
      <c r="L12699" s="27" t="s">
        <v>3262</v>
      </c>
      <c r="N12699" s="27" t="s">
        <v>16497</v>
      </c>
      <c r="P12699" s="27" t="s">
        <v>16498</v>
      </c>
      <c r="Q12699" s="26" t="str">
        <f>HYPERLINK("https://ictv.global/taxonomy/taxondetails?taxnode_id=202517556&amp;ictv_id=ICTV202317556","ICTV202317556")</f>
        <v>ICTV202317556</v>
      </c>
      <c r="R12699" t="s">
        <v>581</v>
      </c>
      <c r="S12699" t="s">
        <v>823</v>
      </c>
      <c r="T12699">
        <v>39</v>
      </c>
      <c r="U12699" s="26" t="str">
        <f>HYPERLINK("https://ictv.global/ictv/proposals/2023.001B.Leviviricetes_reorg.zip","2023.001B.Leviviricetes_reorg.zip")</f>
        <v>2023.001B.Leviviricetes_reorg.zip</v>
      </c>
    </row>
    <row r="12700" spans="1:21">
      <c r="A12700">
        <v>12699</v>
      </c>
      <c r="B12700" s="27" t="s">
        <v>1124</v>
      </c>
      <c r="D12700" s="27" t="s">
        <v>1859</v>
      </c>
      <c r="F12700" s="27" t="s">
        <v>1881</v>
      </c>
      <c r="H12700" s="27" t="s">
        <v>2679</v>
      </c>
      <c r="J12700" s="27" t="s">
        <v>3210</v>
      </c>
      <c r="L12700" s="27" t="s">
        <v>3262</v>
      </c>
      <c r="N12700" s="27" t="s">
        <v>3396</v>
      </c>
      <c r="P12700" s="27" t="s">
        <v>16499</v>
      </c>
      <c r="Q12700" s="26" t="str">
        <f>HYPERLINK("https://ictv.global/taxonomy/taxondetails?taxnode_id=202517557&amp;ictv_id=ICTV202317557","ICTV202317557")</f>
        <v>ICTV202317557</v>
      </c>
      <c r="R12700" t="s">
        <v>581</v>
      </c>
      <c r="S12700" t="s">
        <v>823</v>
      </c>
      <c r="T12700">
        <v>39</v>
      </c>
      <c r="U12700" s="26" t="str">
        <f>HYPERLINK("https://ictv.global/ictv/proposals/2023.001B.Leviviricetes_reorg.zip","2023.001B.Leviviricetes_reorg.zip")</f>
        <v>2023.001B.Leviviricetes_reorg.zip</v>
      </c>
    </row>
    <row r="12701" spans="1:21">
      <c r="A12701">
        <v>12700</v>
      </c>
      <c r="B12701" s="27" t="s">
        <v>1124</v>
      </c>
      <c r="D12701" s="27" t="s">
        <v>1859</v>
      </c>
      <c r="F12701" s="27" t="s">
        <v>1881</v>
      </c>
      <c r="H12701" s="27" t="s">
        <v>2679</v>
      </c>
      <c r="J12701" s="27" t="s">
        <v>3210</v>
      </c>
      <c r="L12701" s="27" t="s">
        <v>3262</v>
      </c>
      <c r="N12701" s="27" t="s">
        <v>3396</v>
      </c>
      <c r="P12701" s="27" t="s">
        <v>3397</v>
      </c>
      <c r="Q12701" s="26" t="str">
        <f>HYPERLINK("https://ictv.global/taxonomy/taxondetails?taxnode_id=202511353&amp;ictv_id=ICTV202011353","ICTV202011353")</f>
        <v>ICTV202011353</v>
      </c>
      <c r="R12701" t="s">
        <v>581</v>
      </c>
      <c r="S12701" t="s">
        <v>823</v>
      </c>
      <c r="T12701">
        <v>36</v>
      </c>
      <c r="U12701" s="26" t="str">
        <f>HYPERLINK("https://ictv.global/ictv/proposals/2020.095B.R.Leviviricetes.zip","2020.095B.R.Leviviricetes.zip")</f>
        <v>2020.095B.R.Leviviricetes.zip</v>
      </c>
    </row>
    <row r="12702" spans="1:21">
      <c r="A12702">
        <v>12701</v>
      </c>
      <c r="B12702" s="27" t="s">
        <v>1124</v>
      </c>
      <c r="D12702" s="27" t="s">
        <v>1859</v>
      </c>
      <c r="F12702" s="27" t="s">
        <v>1881</v>
      </c>
      <c r="H12702" s="27" t="s">
        <v>2679</v>
      </c>
      <c r="J12702" s="27" t="s">
        <v>3210</v>
      </c>
      <c r="L12702" s="27" t="s">
        <v>3262</v>
      </c>
      <c r="N12702" s="27" t="s">
        <v>3396</v>
      </c>
      <c r="P12702" s="27" t="s">
        <v>3398</v>
      </c>
      <c r="Q12702" s="26" t="str">
        <f>HYPERLINK("https://ictv.global/taxonomy/taxondetails?taxnode_id=202511354&amp;ictv_id=ICTV202011354","ICTV202011354")</f>
        <v>ICTV202011354</v>
      </c>
      <c r="R12702" t="s">
        <v>581</v>
      </c>
      <c r="S12702" t="s">
        <v>823</v>
      </c>
      <c r="T12702">
        <v>36</v>
      </c>
      <c r="U12702" s="26" t="str">
        <f>HYPERLINK("https://ictv.global/ictv/proposals/2020.095B.R.Leviviricetes.zip","2020.095B.R.Leviviricetes.zip")</f>
        <v>2020.095B.R.Leviviricetes.zip</v>
      </c>
    </row>
    <row r="12703" spans="1:21">
      <c r="A12703">
        <v>12702</v>
      </c>
      <c r="B12703" s="27" t="s">
        <v>1124</v>
      </c>
      <c r="D12703" s="27" t="s">
        <v>1859</v>
      </c>
      <c r="F12703" s="27" t="s">
        <v>1881</v>
      </c>
      <c r="H12703" s="27" t="s">
        <v>2679</v>
      </c>
      <c r="J12703" s="27" t="s">
        <v>3210</v>
      </c>
      <c r="L12703" s="27" t="s">
        <v>3262</v>
      </c>
      <c r="N12703" s="27" t="s">
        <v>3396</v>
      </c>
      <c r="P12703" s="27" t="s">
        <v>3399</v>
      </c>
      <c r="Q12703" s="26" t="str">
        <f>HYPERLINK("https://ictv.global/taxonomy/taxondetails?taxnode_id=202511355&amp;ictv_id=ICTV202011355","ICTV202011355")</f>
        <v>ICTV202011355</v>
      </c>
      <c r="R12703" t="s">
        <v>581</v>
      </c>
      <c r="S12703" t="s">
        <v>823</v>
      </c>
      <c r="T12703">
        <v>36</v>
      </c>
      <c r="U12703" s="26" t="str">
        <f>HYPERLINK("https://ictv.global/ictv/proposals/2020.095B.R.Leviviricetes.zip","2020.095B.R.Leviviricetes.zip")</f>
        <v>2020.095B.R.Leviviricetes.zip</v>
      </c>
    </row>
    <row r="12704" spans="1:21">
      <c r="A12704">
        <v>12703</v>
      </c>
      <c r="B12704" s="27" t="s">
        <v>1124</v>
      </c>
      <c r="D12704" s="27" t="s">
        <v>1859</v>
      </c>
      <c r="F12704" s="27" t="s">
        <v>1881</v>
      </c>
      <c r="H12704" s="27" t="s">
        <v>2679</v>
      </c>
      <c r="J12704" s="27" t="s">
        <v>3210</v>
      </c>
      <c r="L12704" s="27" t="s">
        <v>3262</v>
      </c>
      <c r="N12704" s="27" t="s">
        <v>3396</v>
      </c>
      <c r="P12704" s="27" t="s">
        <v>3400</v>
      </c>
      <c r="Q12704" s="26" t="str">
        <f>HYPERLINK("https://ictv.global/taxonomy/taxondetails?taxnode_id=202511356&amp;ictv_id=ICTV202011356","ICTV202011356")</f>
        <v>ICTV202011356</v>
      </c>
      <c r="R12704" t="s">
        <v>581</v>
      </c>
      <c r="S12704" t="s">
        <v>823</v>
      </c>
      <c r="T12704">
        <v>36</v>
      </c>
      <c r="U12704" s="26" t="str">
        <f>HYPERLINK("https://ictv.global/ictv/proposals/2020.095B.R.Leviviricetes.zip","2020.095B.R.Leviviricetes.zip")</f>
        <v>2020.095B.R.Leviviricetes.zip</v>
      </c>
    </row>
    <row r="12705" spans="1:21">
      <c r="A12705">
        <v>12704</v>
      </c>
      <c r="B12705" s="27" t="s">
        <v>1124</v>
      </c>
      <c r="D12705" s="27" t="s">
        <v>1859</v>
      </c>
      <c r="F12705" s="27" t="s">
        <v>1881</v>
      </c>
      <c r="H12705" s="27" t="s">
        <v>2679</v>
      </c>
      <c r="J12705" s="27" t="s">
        <v>3210</v>
      </c>
      <c r="L12705" s="27" t="s">
        <v>3262</v>
      </c>
      <c r="N12705" s="27" t="s">
        <v>3396</v>
      </c>
      <c r="P12705" s="27" t="s">
        <v>16500</v>
      </c>
      <c r="Q12705" s="26" t="str">
        <f>HYPERLINK("https://ictv.global/taxonomy/taxondetails?taxnode_id=202517558&amp;ictv_id=ICTV202317558","ICTV202317558")</f>
        <v>ICTV202317558</v>
      </c>
      <c r="R12705" t="s">
        <v>581</v>
      </c>
      <c r="S12705" t="s">
        <v>823</v>
      </c>
      <c r="T12705">
        <v>39</v>
      </c>
      <c r="U12705" s="26" t="str">
        <f t="shared" ref="U12705:U12712" si="466">HYPERLINK("https://ictv.global/ictv/proposals/2023.001B.Leviviricetes_reorg.zip","2023.001B.Leviviricetes_reorg.zip")</f>
        <v>2023.001B.Leviviricetes_reorg.zip</v>
      </c>
    </row>
    <row r="12706" spans="1:21">
      <c r="A12706">
        <v>12705</v>
      </c>
      <c r="B12706" s="27" t="s">
        <v>1124</v>
      </c>
      <c r="D12706" s="27" t="s">
        <v>1859</v>
      </c>
      <c r="F12706" s="27" t="s">
        <v>1881</v>
      </c>
      <c r="H12706" s="27" t="s">
        <v>2679</v>
      </c>
      <c r="J12706" s="27" t="s">
        <v>3210</v>
      </c>
      <c r="L12706" s="27" t="s">
        <v>3262</v>
      </c>
      <c r="N12706" s="27" t="s">
        <v>3396</v>
      </c>
      <c r="P12706" s="27" t="s">
        <v>16501</v>
      </c>
      <c r="Q12706" s="26" t="str">
        <f>HYPERLINK("https://ictv.global/taxonomy/taxondetails?taxnode_id=202517559&amp;ictv_id=ICTV202317559","ICTV202317559")</f>
        <v>ICTV202317559</v>
      </c>
      <c r="R12706" t="s">
        <v>581</v>
      </c>
      <c r="S12706" t="s">
        <v>823</v>
      </c>
      <c r="T12706">
        <v>39</v>
      </c>
      <c r="U12706" s="26" t="str">
        <f t="shared" si="466"/>
        <v>2023.001B.Leviviricetes_reorg.zip</v>
      </c>
    </row>
    <row r="12707" spans="1:21">
      <c r="A12707">
        <v>12706</v>
      </c>
      <c r="B12707" s="27" t="s">
        <v>1124</v>
      </c>
      <c r="D12707" s="27" t="s">
        <v>1859</v>
      </c>
      <c r="F12707" s="27" t="s">
        <v>1881</v>
      </c>
      <c r="H12707" s="27" t="s">
        <v>2679</v>
      </c>
      <c r="J12707" s="27" t="s">
        <v>3210</v>
      </c>
      <c r="L12707" s="27" t="s">
        <v>3262</v>
      </c>
      <c r="N12707" s="27" t="s">
        <v>3396</v>
      </c>
      <c r="P12707" s="27" t="s">
        <v>16502</v>
      </c>
      <c r="Q12707" s="26" t="str">
        <f>HYPERLINK("https://ictv.global/taxonomy/taxondetails?taxnode_id=202517560&amp;ictv_id=ICTV202317560","ICTV202317560")</f>
        <v>ICTV202317560</v>
      </c>
      <c r="R12707" t="s">
        <v>581</v>
      </c>
      <c r="S12707" t="s">
        <v>823</v>
      </c>
      <c r="T12707">
        <v>39</v>
      </c>
      <c r="U12707" s="26" t="str">
        <f t="shared" si="466"/>
        <v>2023.001B.Leviviricetes_reorg.zip</v>
      </c>
    </row>
    <row r="12708" spans="1:21">
      <c r="A12708">
        <v>12707</v>
      </c>
      <c r="B12708" s="27" t="s">
        <v>1124</v>
      </c>
      <c r="D12708" s="27" t="s">
        <v>1859</v>
      </c>
      <c r="F12708" s="27" t="s">
        <v>1881</v>
      </c>
      <c r="H12708" s="27" t="s">
        <v>2679</v>
      </c>
      <c r="J12708" s="27" t="s">
        <v>3210</v>
      </c>
      <c r="L12708" s="27" t="s">
        <v>3262</v>
      </c>
      <c r="N12708" s="27" t="s">
        <v>3401</v>
      </c>
      <c r="P12708" s="27" t="s">
        <v>16503</v>
      </c>
      <c r="Q12708" s="26" t="str">
        <f>HYPERLINK("https://ictv.global/taxonomy/taxondetails?taxnode_id=202517561&amp;ictv_id=ICTV202317561","ICTV202317561")</f>
        <v>ICTV202317561</v>
      </c>
      <c r="R12708" t="s">
        <v>581</v>
      </c>
      <c r="S12708" t="s">
        <v>823</v>
      </c>
      <c r="T12708">
        <v>39</v>
      </c>
      <c r="U12708" s="26" t="str">
        <f t="shared" si="466"/>
        <v>2023.001B.Leviviricetes_reorg.zip</v>
      </c>
    </row>
    <row r="12709" spans="1:21">
      <c r="A12709">
        <v>12708</v>
      </c>
      <c r="B12709" s="27" t="s">
        <v>1124</v>
      </c>
      <c r="D12709" s="27" t="s">
        <v>1859</v>
      </c>
      <c r="F12709" s="27" t="s">
        <v>1881</v>
      </c>
      <c r="H12709" s="27" t="s">
        <v>2679</v>
      </c>
      <c r="J12709" s="27" t="s">
        <v>3210</v>
      </c>
      <c r="L12709" s="27" t="s">
        <v>3262</v>
      </c>
      <c r="N12709" s="27" t="s">
        <v>3401</v>
      </c>
      <c r="P12709" s="27" t="s">
        <v>16504</v>
      </c>
      <c r="Q12709" s="26" t="str">
        <f>HYPERLINK("https://ictv.global/taxonomy/taxondetails?taxnode_id=202517562&amp;ictv_id=ICTV202317562","ICTV202317562")</f>
        <v>ICTV202317562</v>
      </c>
      <c r="R12709" t="s">
        <v>581</v>
      </c>
      <c r="S12709" t="s">
        <v>823</v>
      </c>
      <c r="T12709">
        <v>39</v>
      </c>
      <c r="U12709" s="26" t="str">
        <f t="shared" si="466"/>
        <v>2023.001B.Leviviricetes_reorg.zip</v>
      </c>
    </row>
    <row r="12710" spans="1:21">
      <c r="A12710">
        <v>12709</v>
      </c>
      <c r="B12710" s="27" t="s">
        <v>1124</v>
      </c>
      <c r="D12710" s="27" t="s">
        <v>1859</v>
      </c>
      <c r="F12710" s="27" t="s">
        <v>1881</v>
      </c>
      <c r="H12710" s="27" t="s">
        <v>2679</v>
      </c>
      <c r="J12710" s="27" t="s">
        <v>3210</v>
      </c>
      <c r="L12710" s="27" t="s">
        <v>3262</v>
      </c>
      <c r="N12710" s="27" t="s">
        <v>3401</v>
      </c>
      <c r="P12710" s="27" t="s">
        <v>16505</v>
      </c>
      <c r="Q12710" s="26" t="str">
        <f>HYPERLINK("https://ictv.global/taxonomy/taxondetails?taxnode_id=202517563&amp;ictv_id=ICTV202317563","ICTV202317563")</f>
        <v>ICTV202317563</v>
      </c>
      <c r="R12710" t="s">
        <v>581</v>
      </c>
      <c r="S12710" t="s">
        <v>823</v>
      </c>
      <c r="T12710">
        <v>39</v>
      </c>
      <c r="U12710" s="26" t="str">
        <f t="shared" si="466"/>
        <v>2023.001B.Leviviricetes_reorg.zip</v>
      </c>
    </row>
    <row r="12711" spans="1:21">
      <c r="A12711">
        <v>12710</v>
      </c>
      <c r="B12711" s="27" t="s">
        <v>1124</v>
      </c>
      <c r="D12711" s="27" t="s">
        <v>1859</v>
      </c>
      <c r="F12711" s="27" t="s">
        <v>1881</v>
      </c>
      <c r="H12711" s="27" t="s">
        <v>2679</v>
      </c>
      <c r="J12711" s="27" t="s">
        <v>3210</v>
      </c>
      <c r="L12711" s="27" t="s">
        <v>3262</v>
      </c>
      <c r="N12711" s="27" t="s">
        <v>3401</v>
      </c>
      <c r="P12711" s="27" t="s">
        <v>16506</v>
      </c>
      <c r="Q12711" s="26" t="str">
        <f>HYPERLINK("https://ictv.global/taxonomy/taxondetails?taxnode_id=202517564&amp;ictv_id=ICTV202317564","ICTV202317564")</f>
        <v>ICTV202317564</v>
      </c>
      <c r="R12711" t="s">
        <v>581</v>
      </c>
      <c r="S12711" t="s">
        <v>823</v>
      </c>
      <c r="T12711">
        <v>39</v>
      </c>
      <c r="U12711" s="26" t="str">
        <f t="shared" si="466"/>
        <v>2023.001B.Leviviricetes_reorg.zip</v>
      </c>
    </row>
    <row r="12712" spans="1:21">
      <c r="A12712">
        <v>12711</v>
      </c>
      <c r="B12712" s="27" t="s">
        <v>1124</v>
      </c>
      <c r="D12712" s="27" t="s">
        <v>1859</v>
      </c>
      <c r="F12712" s="27" t="s">
        <v>1881</v>
      </c>
      <c r="H12712" s="27" t="s">
        <v>2679</v>
      </c>
      <c r="J12712" s="27" t="s">
        <v>3210</v>
      </c>
      <c r="L12712" s="27" t="s">
        <v>3262</v>
      </c>
      <c r="N12712" s="27" t="s">
        <v>3401</v>
      </c>
      <c r="P12712" s="27" t="s">
        <v>16507</v>
      </c>
      <c r="Q12712" s="26" t="str">
        <f>HYPERLINK("https://ictv.global/taxonomy/taxondetails?taxnode_id=202517565&amp;ictv_id=ICTV202317565","ICTV202317565")</f>
        <v>ICTV202317565</v>
      </c>
      <c r="R12712" t="s">
        <v>581</v>
      </c>
      <c r="S12712" t="s">
        <v>823</v>
      </c>
      <c r="T12712">
        <v>39</v>
      </c>
      <c r="U12712" s="26" t="str">
        <f t="shared" si="466"/>
        <v>2023.001B.Leviviricetes_reorg.zip</v>
      </c>
    </row>
    <row r="12713" spans="1:21">
      <c r="A12713">
        <v>12712</v>
      </c>
      <c r="B12713" s="27" t="s">
        <v>1124</v>
      </c>
      <c r="D12713" s="27" t="s">
        <v>1859</v>
      </c>
      <c r="F12713" s="27" t="s">
        <v>1881</v>
      </c>
      <c r="H12713" s="27" t="s">
        <v>2679</v>
      </c>
      <c r="J12713" s="27" t="s">
        <v>3210</v>
      </c>
      <c r="L12713" s="27" t="s">
        <v>3262</v>
      </c>
      <c r="N12713" s="27" t="s">
        <v>3401</v>
      </c>
      <c r="P12713" s="27" t="s">
        <v>3402</v>
      </c>
      <c r="Q12713" s="26" t="str">
        <f>HYPERLINK("https://ictv.global/taxonomy/taxondetails?taxnode_id=202511358&amp;ictv_id=ICTV202011358","ICTV202011358")</f>
        <v>ICTV202011358</v>
      </c>
      <c r="R12713" t="s">
        <v>581</v>
      </c>
      <c r="S12713" t="s">
        <v>823</v>
      </c>
      <c r="T12713">
        <v>36</v>
      </c>
      <c r="U12713" s="26" t="str">
        <f>HYPERLINK("https://ictv.global/ictv/proposals/2020.095B.R.Leviviricetes.zip","2020.095B.R.Leviviricetes.zip")</f>
        <v>2020.095B.R.Leviviricetes.zip</v>
      </c>
    </row>
    <row r="12714" spans="1:21">
      <c r="A12714">
        <v>12713</v>
      </c>
      <c r="B12714" s="27" t="s">
        <v>1124</v>
      </c>
      <c r="D12714" s="27" t="s">
        <v>1859</v>
      </c>
      <c r="F12714" s="27" t="s">
        <v>1881</v>
      </c>
      <c r="H12714" s="27" t="s">
        <v>2679</v>
      </c>
      <c r="J12714" s="27" t="s">
        <v>3210</v>
      </c>
      <c r="L12714" s="27" t="s">
        <v>3262</v>
      </c>
      <c r="N12714" s="27" t="s">
        <v>16508</v>
      </c>
      <c r="P12714" s="27" t="s">
        <v>16509</v>
      </c>
      <c r="Q12714" s="26" t="str">
        <f>HYPERLINK("https://ictv.global/taxonomy/taxondetails?taxnode_id=202517566&amp;ictv_id=ICTV202317566","ICTV202317566")</f>
        <v>ICTV202317566</v>
      </c>
      <c r="R12714" t="s">
        <v>581</v>
      </c>
      <c r="S12714" t="s">
        <v>823</v>
      </c>
      <c r="T12714">
        <v>39</v>
      </c>
      <c r="U12714" s="26" t="str">
        <f t="shared" ref="U12714:U12724" si="467">HYPERLINK("https://ictv.global/ictv/proposals/2023.001B.Leviviricetes_reorg.zip","2023.001B.Leviviricetes_reorg.zip")</f>
        <v>2023.001B.Leviviricetes_reorg.zip</v>
      </c>
    </row>
    <row r="12715" spans="1:21">
      <c r="A12715">
        <v>12714</v>
      </c>
      <c r="B12715" s="27" t="s">
        <v>1124</v>
      </c>
      <c r="D12715" s="27" t="s">
        <v>1859</v>
      </c>
      <c r="F12715" s="27" t="s">
        <v>1881</v>
      </c>
      <c r="H12715" s="27" t="s">
        <v>2679</v>
      </c>
      <c r="J12715" s="27" t="s">
        <v>3210</v>
      </c>
      <c r="L12715" s="27" t="s">
        <v>3262</v>
      </c>
      <c r="N12715" s="27" t="s">
        <v>16510</v>
      </c>
      <c r="P12715" s="27" t="s">
        <v>16511</v>
      </c>
      <c r="Q12715" s="26" t="str">
        <f>HYPERLINK("https://ictv.global/taxonomy/taxondetails?taxnode_id=202517567&amp;ictv_id=ICTV202317567","ICTV202317567")</f>
        <v>ICTV202317567</v>
      </c>
      <c r="R12715" t="s">
        <v>581</v>
      </c>
      <c r="S12715" t="s">
        <v>823</v>
      </c>
      <c r="T12715">
        <v>39</v>
      </c>
      <c r="U12715" s="26" t="str">
        <f t="shared" si="467"/>
        <v>2023.001B.Leviviricetes_reorg.zip</v>
      </c>
    </row>
    <row r="12716" spans="1:21">
      <c r="A12716">
        <v>12715</v>
      </c>
      <c r="B12716" s="27" t="s">
        <v>1124</v>
      </c>
      <c r="D12716" s="27" t="s">
        <v>1859</v>
      </c>
      <c r="F12716" s="27" t="s">
        <v>1881</v>
      </c>
      <c r="H12716" s="27" t="s">
        <v>2679</v>
      </c>
      <c r="J12716" s="27" t="s">
        <v>3210</v>
      </c>
      <c r="L12716" s="27" t="s">
        <v>3262</v>
      </c>
      <c r="N12716" s="27" t="s">
        <v>16512</v>
      </c>
      <c r="P12716" s="27" t="s">
        <v>16513</v>
      </c>
      <c r="Q12716" s="26" t="str">
        <f>HYPERLINK("https://ictv.global/taxonomy/taxondetails?taxnode_id=202517568&amp;ictv_id=ICTV202317568","ICTV202317568")</f>
        <v>ICTV202317568</v>
      </c>
      <c r="R12716" t="s">
        <v>581</v>
      </c>
      <c r="S12716" t="s">
        <v>823</v>
      </c>
      <c r="T12716">
        <v>39</v>
      </c>
      <c r="U12716" s="26" t="str">
        <f t="shared" si="467"/>
        <v>2023.001B.Leviviricetes_reorg.zip</v>
      </c>
    </row>
    <row r="12717" spans="1:21">
      <c r="A12717">
        <v>12716</v>
      </c>
      <c r="B12717" s="27" t="s">
        <v>1124</v>
      </c>
      <c r="D12717" s="27" t="s">
        <v>1859</v>
      </c>
      <c r="F12717" s="27" t="s">
        <v>1881</v>
      </c>
      <c r="H12717" s="27" t="s">
        <v>2679</v>
      </c>
      <c r="J12717" s="27" t="s">
        <v>3210</v>
      </c>
      <c r="L12717" s="27" t="s">
        <v>3262</v>
      </c>
      <c r="N12717" s="27" t="s">
        <v>16512</v>
      </c>
      <c r="P12717" s="27" t="s">
        <v>16514</v>
      </c>
      <c r="Q12717" s="26" t="str">
        <f>HYPERLINK("https://ictv.global/taxonomy/taxondetails?taxnode_id=202517569&amp;ictv_id=ICTV202317569","ICTV202317569")</f>
        <v>ICTV202317569</v>
      </c>
      <c r="R12717" t="s">
        <v>581</v>
      </c>
      <c r="S12717" t="s">
        <v>823</v>
      </c>
      <c r="T12717">
        <v>39</v>
      </c>
      <c r="U12717" s="26" t="str">
        <f t="shared" si="467"/>
        <v>2023.001B.Leviviricetes_reorg.zip</v>
      </c>
    </row>
    <row r="12718" spans="1:21">
      <c r="A12718">
        <v>12717</v>
      </c>
      <c r="B12718" s="27" t="s">
        <v>1124</v>
      </c>
      <c r="D12718" s="27" t="s">
        <v>1859</v>
      </c>
      <c r="F12718" s="27" t="s">
        <v>1881</v>
      </c>
      <c r="H12718" s="27" t="s">
        <v>2679</v>
      </c>
      <c r="J12718" s="27" t="s">
        <v>3210</v>
      </c>
      <c r="L12718" s="27" t="s">
        <v>3262</v>
      </c>
      <c r="N12718" s="27" t="s">
        <v>16515</v>
      </c>
      <c r="P12718" s="27" t="s">
        <v>16516</v>
      </c>
      <c r="Q12718" s="26" t="str">
        <f>HYPERLINK("https://ictv.global/taxonomy/taxondetails?taxnode_id=202511013&amp;ictv_id=ICTV202011013","ICTV202011013")</f>
        <v>ICTV202011013</v>
      </c>
      <c r="R12718" t="s">
        <v>581</v>
      </c>
      <c r="S12718" t="s">
        <v>22764</v>
      </c>
      <c r="T12718">
        <v>39</v>
      </c>
      <c r="U12718" s="26" t="str">
        <f t="shared" si="467"/>
        <v>2023.001B.Leviviricetes_reorg.zip</v>
      </c>
    </row>
    <row r="12719" spans="1:21">
      <c r="A12719">
        <v>12718</v>
      </c>
      <c r="B12719" s="27" t="s">
        <v>1124</v>
      </c>
      <c r="D12719" s="27" t="s">
        <v>1859</v>
      </c>
      <c r="F12719" s="27" t="s">
        <v>1881</v>
      </c>
      <c r="H12719" s="27" t="s">
        <v>2679</v>
      </c>
      <c r="J12719" s="27" t="s">
        <v>3210</v>
      </c>
      <c r="L12719" s="27" t="s">
        <v>3262</v>
      </c>
      <c r="N12719" s="27" t="s">
        <v>16515</v>
      </c>
      <c r="P12719" s="27" t="s">
        <v>16517</v>
      </c>
      <c r="Q12719" s="26" t="str">
        <f>HYPERLINK("https://ictv.global/taxonomy/taxondetails?taxnode_id=202517570&amp;ictv_id=ICTV202317570","ICTV202317570")</f>
        <v>ICTV202317570</v>
      </c>
      <c r="R12719" t="s">
        <v>581</v>
      </c>
      <c r="S12719" t="s">
        <v>823</v>
      </c>
      <c r="T12719">
        <v>39</v>
      </c>
      <c r="U12719" s="26" t="str">
        <f t="shared" si="467"/>
        <v>2023.001B.Leviviricetes_reorg.zip</v>
      </c>
    </row>
    <row r="12720" spans="1:21">
      <c r="A12720">
        <v>12719</v>
      </c>
      <c r="B12720" s="27" t="s">
        <v>1124</v>
      </c>
      <c r="D12720" s="27" t="s">
        <v>1859</v>
      </c>
      <c r="F12720" s="27" t="s">
        <v>1881</v>
      </c>
      <c r="H12720" s="27" t="s">
        <v>2679</v>
      </c>
      <c r="J12720" s="27" t="s">
        <v>3210</v>
      </c>
      <c r="L12720" s="27" t="s">
        <v>3262</v>
      </c>
      <c r="N12720" s="27" t="s">
        <v>16518</v>
      </c>
      <c r="P12720" s="27" t="s">
        <v>16519</v>
      </c>
      <c r="Q12720" s="26" t="str">
        <f>HYPERLINK("https://ictv.global/taxonomy/taxondetails?taxnode_id=202517571&amp;ictv_id=ICTV202317571","ICTV202317571")</f>
        <v>ICTV202317571</v>
      </c>
      <c r="R12720" t="s">
        <v>581</v>
      </c>
      <c r="S12720" t="s">
        <v>823</v>
      </c>
      <c r="T12720">
        <v>39</v>
      </c>
      <c r="U12720" s="26" t="str">
        <f t="shared" si="467"/>
        <v>2023.001B.Leviviricetes_reorg.zip</v>
      </c>
    </row>
    <row r="12721" spans="1:21">
      <c r="A12721">
        <v>12720</v>
      </c>
      <c r="B12721" s="27" t="s">
        <v>1124</v>
      </c>
      <c r="D12721" s="27" t="s">
        <v>1859</v>
      </c>
      <c r="F12721" s="27" t="s">
        <v>1881</v>
      </c>
      <c r="H12721" s="27" t="s">
        <v>2679</v>
      </c>
      <c r="J12721" s="27" t="s">
        <v>3210</v>
      </c>
      <c r="L12721" s="27" t="s">
        <v>3262</v>
      </c>
      <c r="N12721" s="27" t="s">
        <v>16518</v>
      </c>
      <c r="P12721" s="27" t="s">
        <v>16520</v>
      </c>
      <c r="Q12721" s="26" t="str">
        <f>HYPERLINK("https://ictv.global/taxonomy/taxondetails?taxnode_id=202517572&amp;ictv_id=ICTV202317572","ICTV202317572")</f>
        <v>ICTV202317572</v>
      </c>
      <c r="R12721" t="s">
        <v>581</v>
      </c>
      <c r="S12721" t="s">
        <v>823</v>
      </c>
      <c r="T12721">
        <v>39</v>
      </c>
      <c r="U12721" s="26" t="str">
        <f t="shared" si="467"/>
        <v>2023.001B.Leviviricetes_reorg.zip</v>
      </c>
    </row>
    <row r="12722" spans="1:21">
      <c r="A12722">
        <v>12721</v>
      </c>
      <c r="B12722" s="27" t="s">
        <v>1124</v>
      </c>
      <c r="D12722" s="27" t="s">
        <v>1859</v>
      </c>
      <c r="F12722" s="27" t="s">
        <v>1881</v>
      </c>
      <c r="H12722" s="27" t="s">
        <v>2679</v>
      </c>
      <c r="J12722" s="27" t="s">
        <v>3210</v>
      </c>
      <c r="L12722" s="27" t="s">
        <v>3262</v>
      </c>
      <c r="N12722" s="27" t="s">
        <v>3403</v>
      </c>
      <c r="P12722" s="27" t="s">
        <v>16521</v>
      </c>
      <c r="Q12722" s="26" t="str">
        <f>HYPERLINK("https://ictv.global/taxonomy/taxondetails?taxnode_id=202517573&amp;ictv_id=ICTV202317573","ICTV202317573")</f>
        <v>ICTV202317573</v>
      </c>
      <c r="R12722" t="s">
        <v>581</v>
      </c>
      <c r="S12722" t="s">
        <v>823</v>
      </c>
      <c r="T12722">
        <v>39</v>
      </c>
      <c r="U12722" s="26" t="str">
        <f t="shared" si="467"/>
        <v>2023.001B.Leviviricetes_reorg.zip</v>
      </c>
    </row>
    <row r="12723" spans="1:21">
      <c r="A12723">
        <v>12722</v>
      </c>
      <c r="B12723" s="27" t="s">
        <v>1124</v>
      </c>
      <c r="D12723" s="27" t="s">
        <v>1859</v>
      </c>
      <c r="F12723" s="27" t="s">
        <v>1881</v>
      </c>
      <c r="H12723" s="27" t="s">
        <v>2679</v>
      </c>
      <c r="J12723" s="27" t="s">
        <v>3210</v>
      </c>
      <c r="L12723" s="27" t="s">
        <v>3262</v>
      </c>
      <c r="N12723" s="27" t="s">
        <v>3403</v>
      </c>
      <c r="P12723" s="27" t="s">
        <v>16522</v>
      </c>
      <c r="Q12723" s="26" t="str">
        <f>HYPERLINK("https://ictv.global/taxonomy/taxondetails?taxnode_id=202517574&amp;ictv_id=ICTV202317574","ICTV202317574")</f>
        <v>ICTV202317574</v>
      </c>
      <c r="R12723" t="s">
        <v>581</v>
      </c>
      <c r="S12723" t="s">
        <v>823</v>
      </c>
      <c r="T12723">
        <v>39</v>
      </c>
      <c r="U12723" s="26" t="str">
        <f t="shared" si="467"/>
        <v>2023.001B.Leviviricetes_reorg.zip</v>
      </c>
    </row>
    <row r="12724" spans="1:21">
      <c r="A12724">
        <v>12723</v>
      </c>
      <c r="B12724" s="27" t="s">
        <v>1124</v>
      </c>
      <c r="D12724" s="27" t="s">
        <v>1859</v>
      </c>
      <c r="F12724" s="27" t="s">
        <v>1881</v>
      </c>
      <c r="H12724" s="27" t="s">
        <v>2679</v>
      </c>
      <c r="J12724" s="27" t="s">
        <v>3210</v>
      </c>
      <c r="L12724" s="27" t="s">
        <v>3262</v>
      </c>
      <c r="N12724" s="27" t="s">
        <v>3403</v>
      </c>
      <c r="P12724" s="27" t="s">
        <v>16523</v>
      </c>
      <c r="Q12724" s="26" t="str">
        <f>HYPERLINK("https://ictv.global/taxonomy/taxondetails?taxnode_id=202517575&amp;ictv_id=ICTV202317575","ICTV202317575")</f>
        <v>ICTV202317575</v>
      </c>
      <c r="R12724" t="s">
        <v>581</v>
      </c>
      <c r="S12724" t="s">
        <v>823</v>
      </c>
      <c r="T12724">
        <v>39</v>
      </c>
      <c r="U12724" s="26" t="str">
        <f t="shared" si="467"/>
        <v>2023.001B.Leviviricetes_reorg.zip</v>
      </c>
    </row>
    <row r="12725" spans="1:21">
      <c r="A12725">
        <v>12724</v>
      </c>
      <c r="B12725" s="27" t="s">
        <v>1124</v>
      </c>
      <c r="D12725" s="27" t="s">
        <v>1859</v>
      </c>
      <c r="F12725" s="27" t="s">
        <v>1881</v>
      </c>
      <c r="H12725" s="27" t="s">
        <v>2679</v>
      </c>
      <c r="J12725" s="27" t="s">
        <v>3210</v>
      </c>
      <c r="L12725" s="27" t="s">
        <v>3262</v>
      </c>
      <c r="N12725" s="27" t="s">
        <v>3403</v>
      </c>
      <c r="P12725" s="27" t="s">
        <v>3404</v>
      </c>
      <c r="Q12725" s="26" t="str">
        <f>HYPERLINK("https://ictv.global/taxonomy/taxondetails?taxnode_id=202511365&amp;ictv_id=ICTV202011365","ICTV202011365")</f>
        <v>ICTV202011365</v>
      </c>
      <c r="R12725" t="s">
        <v>581</v>
      </c>
      <c r="S12725" t="s">
        <v>823</v>
      </c>
      <c r="T12725">
        <v>36</v>
      </c>
      <c r="U12725" s="26" t="str">
        <f>HYPERLINK("https://ictv.global/ictv/proposals/2020.095B.R.Leviviricetes.zip","2020.095B.R.Leviviricetes.zip")</f>
        <v>2020.095B.R.Leviviricetes.zip</v>
      </c>
    </row>
    <row r="12726" spans="1:21">
      <c r="A12726">
        <v>12725</v>
      </c>
      <c r="B12726" s="27" t="s">
        <v>1124</v>
      </c>
      <c r="D12726" s="27" t="s">
        <v>1859</v>
      </c>
      <c r="F12726" s="27" t="s">
        <v>1881</v>
      </c>
      <c r="H12726" s="27" t="s">
        <v>2679</v>
      </c>
      <c r="J12726" s="27" t="s">
        <v>3210</v>
      </c>
      <c r="L12726" s="27" t="s">
        <v>3262</v>
      </c>
      <c r="N12726" s="27" t="s">
        <v>3403</v>
      </c>
      <c r="P12726" s="27" t="s">
        <v>16524</v>
      </c>
      <c r="Q12726" s="26" t="str">
        <f>HYPERLINK("https://ictv.global/taxonomy/taxondetails?taxnode_id=202517576&amp;ictv_id=ICTV202317576","ICTV202317576")</f>
        <v>ICTV202317576</v>
      </c>
      <c r="R12726" t="s">
        <v>581</v>
      </c>
      <c r="S12726" t="s">
        <v>823</v>
      </c>
      <c r="T12726">
        <v>39</v>
      </c>
      <c r="U12726" s="26" t="str">
        <f t="shared" ref="U12726:U12743" si="468">HYPERLINK("https://ictv.global/ictv/proposals/2023.001B.Leviviricetes_reorg.zip","2023.001B.Leviviricetes_reorg.zip")</f>
        <v>2023.001B.Leviviricetes_reorg.zip</v>
      </c>
    </row>
    <row r="12727" spans="1:21">
      <c r="A12727">
        <v>12726</v>
      </c>
      <c r="B12727" s="27" t="s">
        <v>1124</v>
      </c>
      <c r="D12727" s="27" t="s">
        <v>1859</v>
      </c>
      <c r="F12727" s="27" t="s">
        <v>1881</v>
      </c>
      <c r="H12727" s="27" t="s">
        <v>2679</v>
      </c>
      <c r="J12727" s="27" t="s">
        <v>3210</v>
      </c>
      <c r="L12727" s="27" t="s">
        <v>3262</v>
      </c>
      <c r="N12727" s="27" t="s">
        <v>3403</v>
      </c>
      <c r="P12727" s="27" t="s">
        <v>16525</v>
      </c>
      <c r="Q12727" s="26" t="str">
        <f>HYPERLINK("https://ictv.global/taxonomy/taxondetails?taxnode_id=202517577&amp;ictv_id=ICTV202317577","ICTV202317577")</f>
        <v>ICTV202317577</v>
      </c>
      <c r="R12727" t="s">
        <v>581</v>
      </c>
      <c r="S12727" t="s">
        <v>823</v>
      </c>
      <c r="T12727">
        <v>39</v>
      </c>
      <c r="U12727" s="26" t="str">
        <f t="shared" si="468"/>
        <v>2023.001B.Leviviricetes_reorg.zip</v>
      </c>
    </row>
    <row r="12728" spans="1:21">
      <c r="A12728">
        <v>12727</v>
      </c>
      <c r="B12728" s="27" t="s">
        <v>1124</v>
      </c>
      <c r="D12728" s="27" t="s">
        <v>1859</v>
      </c>
      <c r="F12728" s="27" t="s">
        <v>1881</v>
      </c>
      <c r="H12728" s="27" t="s">
        <v>2679</v>
      </c>
      <c r="J12728" s="27" t="s">
        <v>3210</v>
      </c>
      <c r="L12728" s="27" t="s">
        <v>3262</v>
      </c>
      <c r="N12728" s="27" t="s">
        <v>3403</v>
      </c>
      <c r="P12728" s="27" t="s">
        <v>16526</v>
      </c>
      <c r="Q12728" s="26" t="str">
        <f>HYPERLINK("https://ictv.global/taxonomy/taxondetails?taxnode_id=202517578&amp;ictv_id=ICTV202317578","ICTV202317578")</f>
        <v>ICTV202317578</v>
      </c>
      <c r="R12728" t="s">
        <v>581</v>
      </c>
      <c r="S12728" t="s">
        <v>823</v>
      </c>
      <c r="T12728">
        <v>39</v>
      </c>
      <c r="U12728" s="26" t="str">
        <f t="shared" si="468"/>
        <v>2023.001B.Leviviricetes_reorg.zip</v>
      </c>
    </row>
    <row r="12729" spans="1:21">
      <c r="A12729">
        <v>12728</v>
      </c>
      <c r="B12729" s="27" t="s">
        <v>1124</v>
      </c>
      <c r="D12729" s="27" t="s">
        <v>1859</v>
      </c>
      <c r="F12729" s="27" t="s">
        <v>1881</v>
      </c>
      <c r="H12729" s="27" t="s">
        <v>2679</v>
      </c>
      <c r="J12729" s="27" t="s">
        <v>3210</v>
      </c>
      <c r="L12729" s="27" t="s">
        <v>3262</v>
      </c>
      <c r="N12729" s="27" t="s">
        <v>3403</v>
      </c>
      <c r="P12729" s="27" t="s">
        <v>16527</v>
      </c>
      <c r="Q12729" s="26" t="str">
        <f>HYPERLINK("https://ictv.global/taxonomy/taxondetails?taxnode_id=202517579&amp;ictv_id=ICTV202317579","ICTV202317579")</f>
        <v>ICTV202317579</v>
      </c>
      <c r="R12729" t="s">
        <v>581</v>
      </c>
      <c r="S12729" t="s">
        <v>823</v>
      </c>
      <c r="T12729">
        <v>39</v>
      </c>
      <c r="U12729" s="26" t="str">
        <f t="shared" si="468"/>
        <v>2023.001B.Leviviricetes_reorg.zip</v>
      </c>
    </row>
    <row r="12730" spans="1:21">
      <c r="A12730">
        <v>12729</v>
      </c>
      <c r="B12730" s="27" t="s">
        <v>1124</v>
      </c>
      <c r="D12730" s="27" t="s">
        <v>1859</v>
      </c>
      <c r="F12730" s="27" t="s">
        <v>1881</v>
      </c>
      <c r="H12730" s="27" t="s">
        <v>2679</v>
      </c>
      <c r="J12730" s="27" t="s">
        <v>3210</v>
      </c>
      <c r="L12730" s="27" t="s">
        <v>3262</v>
      </c>
      <c r="N12730" s="27" t="s">
        <v>3403</v>
      </c>
      <c r="P12730" s="27" t="s">
        <v>16528</v>
      </c>
      <c r="Q12730" s="26" t="str">
        <f>HYPERLINK("https://ictv.global/taxonomy/taxondetails?taxnode_id=202517580&amp;ictv_id=ICTV202317580","ICTV202317580")</f>
        <v>ICTV202317580</v>
      </c>
      <c r="R12730" t="s">
        <v>581</v>
      </c>
      <c r="S12730" t="s">
        <v>823</v>
      </c>
      <c r="T12730">
        <v>39</v>
      </c>
      <c r="U12730" s="26" t="str">
        <f t="shared" si="468"/>
        <v>2023.001B.Leviviricetes_reorg.zip</v>
      </c>
    </row>
    <row r="12731" spans="1:21">
      <c r="A12731">
        <v>12730</v>
      </c>
      <c r="B12731" s="27" t="s">
        <v>1124</v>
      </c>
      <c r="D12731" s="27" t="s">
        <v>1859</v>
      </c>
      <c r="F12731" s="27" t="s">
        <v>1881</v>
      </c>
      <c r="H12731" s="27" t="s">
        <v>2679</v>
      </c>
      <c r="J12731" s="27" t="s">
        <v>3210</v>
      </c>
      <c r="L12731" s="27" t="s">
        <v>3262</v>
      </c>
      <c r="N12731" s="27" t="s">
        <v>16529</v>
      </c>
      <c r="P12731" s="27" t="s">
        <v>16530</v>
      </c>
      <c r="Q12731" s="26" t="str">
        <f>HYPERLINK("https://ictv.global/taxonomy/taxondetails?taxnode_id=202517581&amp;ictv_id=ICTV202317581","ICTV202317581")</f>
        <v>ICTV202317581</v>
      </c>
      <c r="R12731" t="s">
        <v>581</v>
      </c>
      <c r="S12731" t="s">
        <v>823</v>
      </c>
      <c r="T12731">
        <v>39</v>
      </c>
      <c r="U12731" s="26" t="str">
        <f t="shared" si="468"/>
        <v>2023.001B.Leviviricetes_reorg.zip</v>
      </c>
    </row>
    <row r="12732" spans="1:21">
      <c r="A12732">
        <v>12731</v>
      </c>
      <c r="B12732" s="27" t="s">
        <v>1124</v>
      </c>
      <c r="D12732" s="27" t="s">
        <v>1859</v>
      </c>
      <c r="F12732" s="27" t="s">
        <v>1881</v>
      </c>
      <c r="H12732" s="27" t="s">
        <v>2679</v>
      </c>
      <c r="J12732" s="27" t="s">
        <v>3210</v>
      </c>
      <c r="L12732" s="27" t="s">
        <v>3262</v>
      </c>
      <c r="N12732" s="27" t="s">
        <v>16531</v>
      </c>
      <c r="P12732" s="27" t="s">
        <v>16532</v>
      </c>
      <c r="Q12732" s="26" t="str">
        <f>HYPERLINK("https://ictv.global/taxonomy/taxondetails?taxnode_id=202517582&amp;ictv_id=ICTV202317582","ICTV202317582")</f>
        <v>ICTV202317582</v>
      </c>
      <c r="R12732" t="s">
        <v>581</v>
      </c>
      <c r="S12732" t="s">
        <v>823</v>
      </c>
      <c r="T12732">
        <v>39</v>
      </c>
      <c r="U12732" s="26" t="str">
        <f t="shared" si="468"/>
        <v>2023.001B.Leviviricetes_reorg.zip</v>
      </c>
    </row>
    <row r="12733" spans="1:21">
      <c r="A12733">
        <v>12732</v>
      </c>
      <c r="B12733" s="27" t="s">
        <v>1124</v>
      </c>
      <c r="D12733" s="27" t="s">
        <v>1859</v>
      </c>
      <c r="F12733" s="27" t="s">
        <v>1881</v>
      </c>
      <c r="H12733" s="27" t="s">
        <v>2679</v>
      </c>
      <c r="J12733" s="27" t="s">
        <v>3210</v>
      </c>
      <c r="L12733" s="27" t="s">
        <v>3262</v>
      </c>
      <c r="N12733" s="27" t="s">
        <v>16533</v>
      </c>
      <c r="P12733" s="27" t="s">
        <v>16534</v>
      </c>
      <c r="Q12733" s="26" t="str">
        <f>HYPERLINK("https://ictv.global/taxonomy/taxondetails?taxnode_id=202517583&amp;ictv_id=ICTV202317583","ICTV202317583")</f>
        <v>ICTV202317583</v>
      </c>
      <c r="R12733" t="s">
        <v>581</v>
      </c>
      <c r="S12733" t="s">
        <v>823</v>
      </c>
      <c r="T12733">
        <v>39</v>
      </c>
      <c r="U12733" s="26" t="str">
        <f t="shared" si="468"/>
        <v>2023.001B.Leviviricetes_reorg.zip</v>
      </c>
    </row>
    <row r="12734" spans="1:21">
      <c r="A12734">
        <v>12733</v>
      </c>
      <c r="B12734" s="27" t="s">
        <v>1124</v>
      </c>
      <c r="D12734" s="27" t="s">
        <v>1859</v>
      </c>
      <c r="F12734" s="27" t="s">
        <v>1881</v>
      </c>
      <c r="H12734" s="27" t="s">
        <v>2679</v>
      </c>
      <c r="J12734" s="27" t="s">
        <v>3210</v>
      </c>
      <c r="L12734" s="27" t="s">
        <v>3262</v>
      </c>
      <c r="N12734" s="27" t="s">
        <v>16533</v>
      </c>
      <c r="P12734" s="27" t="s">
        <v>16535</v>
      </c>
      <c r="Q12734" s="26" t="str">
        <f>HYPERLINK("https://ictv.global/taxonomy/taxondetails?taxnode_id=202517584&amp;ictv_id=ICTV202317584","ICTV202317584")</f>
        <v>ICTV202317584</v>
      </c>
      <c r="R12734" t="s">
        <v>581</v>
      </c>
      <c r="S12734" t="s">
        <v>823</v>
      </c>
      <c r="T12734">
        <v>39</v>
      </c>
      <c r="U12734" s="26" t="str">
        <f t="shared" si="468"/>
        <v>2023.001B.Leviviricetes_reorg.zip</v>
      </c>
    </row>
    <row r="12735" spans="1:21">
      <c r="A12735">
        <v>12734</v>
      </c>
      <c r="B12735" s="27" t="s">
        <v>1124</v>
      </c>
      <c r="D12735" s="27" t="s">
        <v>1859</v>
      </c>
      <c r="F12735" s="27" t="s">
        <v>1881</v>
      </c>
      <c r="H12735" s="27" t="s">
        <v>2679</v>
      </c>
      <c r="J12735" s="27" t="s">
        <v>3210</v>
      </c>
      <c r="L12735" s="27" t="s">
        <v>3262</v>
      </c>
      <c r="N12735" s="27" t="s">
        <v>16533</v>
      </c>
      <c r="P12735" s="27" t="s">
        <v>16536</v>
      </c>
      <c r="Q12735" s="26" t="str">
        <f>HYPERLINK("https://ictv.global/taxonomy/taxondetails?taxnode_id=202517585&amp;ictv_id=ICTV202317585","ICTV202317585")</f>
        <v>ICTV202317585</v>
      </c>
      <c r="R12735" t="s">
        <v>581</v>
      </c>
      <c r="S12735" t="s">
        <v>823</v>
      </c>
      <c r="T12735">
        <v>39</v>
      </c>
      <c r="U12735" s="26" t="str">
        <f t="shared" si="468"/>
        <v>2023.001B.Leviviricetes_reorg.zip</v>
      </c>
    </row>
    <row r="12736" spans="1:21">
      <c r="A12736">
        <v>12735</v>
      </c>
      <c r="B12736" s="27" t="s">
        <v>1124</v>
      </c>
      <c r="D12736" s="27" t="s">
        <v>1859</v>
      </c>
      <c r="F12736" s="27" t="s">
        <v>1881</v>
      </c>
      <c r="H12736" s="27" t="s">
        <v>2679</v>
      </c>
      <c r="J12736" s="27" t="s">
        <v>3210</v>
      </c>
      <c r="L12736" s="27" t="s">
        <v>3262</v>
      </c>
      <c r="N12736" s="27" t="s">
        <v>16533</v>
      </c>
      <c r="P12736" s="27" t="s">
        <v>16537</v>
      </c>
      <c r="Q12736" s="26" t="str">
        <f>HYPERLINK("https://ictv.global/taxonomy/taxondetails?taxnode_id=202517586&amp;ictv_id=ICTV202317586","ICTV202317586")</f>
        <v>ICTV202317586</v>
      </c>
      <c r="R12736" t="s">
        <v>581</v>
      </c>
      <c r="S12736" t="s">
        <v>823</v>
      </c>
      <c r="T12736">
        <v>39</v>
      </c>
      <c r="U12736" s="26" t="str">
        <f t="shared" si="468"/>
        <v>2023.001B.Leviviricetes_reorg.zip</v>
      </c>
    </row>
    <row r="12737" spans="1:21">
      <c r="A12737">
        <v>12736</v>
      </c>
      <c r="B12737" s="27" t="s">
        <v>1124</v>
      </c>
      <c r="D12737" s="27" t="s">
        <v>1859</v>
      </c>
      <c r="F12737" s="27" t="s">
        <v>1881</v>
      </c>
      <c r="H12737" s="27" t="s">
        <v>2679</v>
      </c>
      <c r="J12737" s="27" t="s">
        <v>3210</v>
      </c>
      <c r="L12737" s="27" t="s">
        <v>3262</v>
      </c>
      <c r="N12737" s="27" t="s">
        <v>16533</v>
      </c>
      <c r="P12737" s="27" t="s">
        <v>16538</v>
      </c>
      <c r="Q12737" s="26" t="str">
        <f>HYPERLINK("https://ictv.global/taxonomy/taxondetails?taxnode_id=202517587&amp;ictv_id=ICTV202317587","ICTV202317587")</f>
        <v>ICTV202317587</v>
      </c>
      <c r="R12737" t="s">
        <v>581</v>
      </c>
      <c r="S12737" t="s">
        <v>823</v>
      </c>
      <c r="T12737">
        <v>39</v>
      </c>
      <c r="U12737" s="26" t="str">
        <f t="shared" si="468"/>
        <v>2023.001B.Leviviricetes_reorg.zip</v>
      </c>
    </row>
    <row r="12738" spans="1:21">
      <c r="A12738">
        <v>12737</v>
      </c>
      <c r="B12738" s="27" t="s">
        <v>1124</v>
      </c>
      <c r="D12738" s="27" t="s">
        <v>1859</v>
      </c>
      <c r="F12738" s="27" t="s">
        <v>1881</v>
      </c>
      <c r="H12738" s="27" t="s">
        <v>2679</v>
      </c>
      <c r="J12738" s="27" t="s">
        <v>3210</v>
      </c>
      <c r="L12738" s="27" t="s">
        <v>3262</v>
      </c>
      <c r="N12738" s="27" t="s">
        <v>16533</v>
      </c>
      <c r="P12738" s="27" t="s">
        <v>16539</v>
      </c>
      <c r="Q12738" s="26" t="str">
        <f>HYPERLINK("https://ictv.global/taxonomy/taxondetails?taxnode_id=202517588&amp;ictv_id=ICTV202317588","ICTV202317588")</f>
        <v>ICTV202317588</v>
      </c>
      <c r="R12738" t="s">
        <v>581</v>
      </c>
      <c r="S12738" t="s">
        <v>823</v>
      </c>
      <c r="T12738">
        <v>39</v>
      </c>
      <c r="U12738" s="26" t="str">
        <f t="shared" si="468"/>
        <v>2023.001B.Leviviricetes_reorg.zip</v>
      </c>
    </row>
    <row r="12739" spans="1:21">
      <c r="A12739">
        <v>12738</v>
      </c>
      <c r="B12739" s="27" t="s">
        <v>1124</v>
      </c>
      <c r="D12739" s="27" t="s">
        <v>1859</v>
      </c>
      <c r="F12739" s="27" t="s">
        <v>1881</v>
      </c>
      <c r="H12739" s="27" t="s">
        <v>2679</v>
      </c>
      <c r="J12739" s="27" t="s">
        <v>3210</v>
      </c>
      <c r="L12739" s="27" t="s">
        <v>3262</v>
      </c>
      <c r="N12739" s="27" t="s">
        <v>3405</v>
      </c>
      <c r="P12739" s="27" t="s">
        <v>16540</v>
      </c>
      <c r="Q12739" s="26" t="str">
        <f>HYPERLINK("https://ictv.global/taxonomy/taxondetails?taxnode_id=202517589&amp;ictv_id=ICTV202317589","ICTV202317589")</f>
        <v>ICTV202317589</v>
      </c>
      <c r="R12739" t="s">
        <v>581</v>
      </c>
      <c r="S12739" t="s">
        <v>823</v>
      </c>
      <c r="T12739">
        <v>39</v>
      </c>
      <c r="U12739" s="26" t="str">
        <f t="shared" si="468"/>
        <v>2023.001B.Leviviricetes_reorg.zip</v>
      </c>
    </row>
    <row r="12740" spans="1:21">
      <c r="A12740">
        <v>12739</v>
      </c>
      <c r="B12740" s="27" t="s">
        <v>1124</v>
      </c>
      <c r="D12740" s="27" t="s">
        <v>1859</v>
      </c>
      <c r="F12740" s="27" t="s">
        <v>1881</v>
      </c>
      <c r="H12740" s="27" t="s">
        <v>2679</v>
      </c>
      <c r="J12740" s="27" t="s">
        <v>3210</v>
      </c>
      <c r="L12740" s="27" t="s">
        <v>3262</v>
      </c>
      <c r="N12740" s="27" t="s">
        <v>3405</v>
      </c>
      <c r="P12740" s="27" t="s">
        <v>16541</v>
      </c>
      <c r="Q12740" s="26" t="str">
        <f>HYPERLINK("https://ictv.global/taxonomy/taxondetails?taxnode_id=202517590&amp;ictv_id=ICTV202317590","ICTV202317590")</f>
        <v>ICTV202317590</v>
      </c>
      <c r="R12740" t="s">
        <v>581</v>
      </c>
      <c r="S12740" t="s">
        <v>823</v>
      </c>
      <c r="T12740">
        <v>39</v>
      </c>
      <c r="U12740" s="26" t="str">
        <f t="shared" si="468"/>
        <v>2023.001B.Leviviricetes_reorg.zip</v>
      </c>
    </row>
    <row r="12741" spans="1:21">
      <c r="A12741">
        <v>12740</v>
      </c>
      <c r="B12741" s="27" t="s">
        <v>1124</v>
      </c>
      <c r="D12741" s="27" t="s">
        <v>1859</v>
      </c>
      <c r="F12741" s="27" t="s">
        <v>1881</v>
      </c>
      <c r="H12741" s="27" t="s">
        <v>2679</v>
      </c>
      <c r="J12741" s="27" t="s">
        <v>3210</v>
      </c>
      <c r="L12741" s="27" t="s">
        <v>3262</v>
      </c>
      <c r="N12741" s="27" t="s">
        <v>3405</v>
      </c>
      <c r="P12741" s="27" t="s">
        <v>16542</v>
      </c>
      <c r="Q12741" s="26" t="str">
        <f>HYPERLINK("https://ictv.global/taxonomy/taxondetails?taxnode_id=202517591&amp;ictv_id=ICTV202317591","ICTV202317591")</f>
        <v>ICTV202317591</v>
      </c>
      <c r="R12741" t="s">
        <v>581</v>
      </c>
      <c r="S12741" t="s">
        <v>823</v>
      </c>
      <c r="T12741">
        <v>39</v>
      </c>
      <c r="U12741" s="26" t="str">
        <f t="shared" si="468"/>
        <v>2023.001B.Leviviricetes_reorg.zip</v>
      </c>
    </row>
    <row r="12742" spans="1:21">
      <c r="A12742">
        <v>12741</v>
      </c>
      <c r="B12742" s="27" t="s">
        <v>1124</v>
      </c>
      <c r="D12742" s="27" t="s">
        <v>1859</v>
      </c>
      <c r="F12742" s="27" t="s">
        <v>1881</v>
      </c>
      <c r="H12742" s="27" t="s">
        <v>2679</v>
      </c>
      <c r="J12742" s="27" t="s">
        <v>3210</v>
      </c>
      <c r="L12742" s="27" t="s">
        <v>3262</v>
      </c>
      <c r="N12742" s="27" t="s">
        <v>3405</v>
      </c>
      <c r="P12742" s="27" t="s">
        <v>16543</v>
      </c>
      <c r="Q12742" s="26" t="str">
        <f>HYPERLINK("https://ictv.global/taxonomy/taxondetails?taxnode_id=202517592&amp;ictv_id=ICTV202317592","ICTV202317592")</f>
        <v>ICTV202317592</v>
      </c>
      <c r="R12742" t="s">
        <v>581</v>
      </c>
      <c r="S12742" t="s">
        <v>823</v>
      </c>
      <c r="T12742">
        <v>39</v>
      </c>
      <c r="U12742" s="26" t="str">
        <f t="shared" si="468"/>
        <v>2023.001B.Leviviricetes_reorg.zip</v>
      </c>
    </row>
    <row r="12743" spans="1:21">
      <c r="A12743">
        <v>12742</v>
      </c>
      <c r="B12743" s="27" t="s">
        <v>1124</v>
      </c>
      <c r="D12743" s="27" t="s">
        <v>1859</v>
      </c>
      <c r="F12743" s="27" t="s">
        <v>1881</v>
      </c>
      <c r="H12743" s="27" t="s">
        <v>2679</v>
      </c>
      <c r="J12743" s="27" t="s">
        <v>3210</v>
      </c>
      <c r="L12743" s="27" t="s">
        <v>3262</v>
      </c>
      <c r="N12743" s="27" t="s">
        <v>3405</v>
      </c>
      <c r="P12743" s="27" t="s">
        <v>16544</v>
      </c>
      <c r="Q12743" s="26" t="str">
        <f>HYPERLINK("https://ictv.global/taxonomy/taxondetails?taxnode_id=202517593&amp;ictv_id=ICTV202317593","ICTV202317593")</f>
        <v>ICTV202317593</v>
      </c>
      <c r="R12743" t="s">
        <v>581</v>
      </c>
      <c r="S12743" t="s">
        <v>823</v>
      </c>
      <c r="T12743">
        <v>39</v>
      </c>
      <c r="U12743" s="26" t="str">
        <f t="shared" si="468"/>
        <v>2023.001B.Leviviricetes_reorg.zip</v>
      </c>
    </row>
    <row r="12744" spans="1:21">
      <c r="A12744">
        <v>12743</v>
      </c>
      <c r="B12744" s="27" t="s">
        <v>1124</v>
      </c>
      <c r="D12744" s="27" t="s">
        <v>1859</v>
      </c>
      <c r="F12744" s="27" t="s">
        <v>1881</v>
      </c>
      <c r="H12744" s="27" t="s">
        <v>2679</v>
      </c>
      <c r="J12744" s="27" t="s">
        <v>3210</v>
      </c>
      <c r="L12744" s="27" t="s">
        <v>3262</v>
      </c>
      <c r="N12744" s="27" t="s">
        <v>3405</v>
      </c>
      <c r="P12744" s="27" t="s">
        <v>3406</v>
      </c>
      <c r="Q12744" s="26" t="str">
        <f>HYPERLINK("https://ictv.global/taxonomy/taxondetails?taxnode_id=202511375&amp;ictv_id=ICTV202011375","ICTV202011375")</f>
        <v>ICTV202011375</v>
      </c>
      <c r="R12744" t="s">
        <v>581</v>
      </c>
      <c r="S12744" t="s">
        <v>823</v>
      </c>
      <c r="T12744">
        <v>36</v>
      </c>
      <c r="U12744" s="26" t="str">
        <f>HYPERLINK("https://ictv.global/ictv/proposals/2020.095B.R.Leviviricetes.zip","2020.095B.R.Leviviricetes.zip")</f>
        <v>2020.095B.R.Leviviricetes.zip</v>
      </c>
    </row>
    <row r="12745" spans="1:21">
      <c r="A12745">
        <v>12744</v>
      </c>
      <c r="B12745" s="27" t="s">
        <v>1124</v>
      </c>
      <c r="D12745" s="27" t="s">
        <v>1859</v>
      </c>
      <c r="F12745" s="27" t="s">
        <v>1881</v>
      </c>
      <c r="H12745" s="27" t="s">
        <v>2679</v>
      </c>
      <c r="J12745" s="27" t="s">
        <v>3210</v>
      </c>
      <c r="L12745" s="27" t="s">
        <v>3262</v>
      </c>
      <c r="N12745" s="27" t="s">
        <v>3405</v>
      </c>
      <c r="P12745" s="27" t="s">
        <v>16545</v>
      </c>
      <c r="Q12745" s="26" t="str">
        <f>HYPERLINK("https://ictv.global/taxonomy/taxondetails?taxnode_id=202517594&amp;ictv_id=ICTV202317594","ICTV202317594")</f>
        <v>ICTV202317594</v>
      </c>
      <c r="R12745" t="s">
        <v>581</v>
      </c>
      <c r="S12745" t="s">
        <v>823</v>
      </c>
      <c r="T12745">
        <v>39</v>
      </c>
      <c r="U12745" s="26" t="str">
        <f>HYPERLINK("https://ictv.global/ictv/proposals/2023.001B.Leviviricetes_reorg.zip","2023.001B.Leviviricetes_reorg.zip")</f>
        <v>2023.001B.Leviviricetes_reorg.zip</v>
      </c>
    </row>
    <row r="12746" spans="1:21">
      <c r="A12746">
        <v>12745</v>
      </c>
      <c r="B12746" s="27" t="s">
        <v>1124</v>
      </c>
      <c r="D12746" s="27" t="s">
        <v>1859</v>
      </c>
      <c r="F12746" s="27" t="s">
        <v>1881</v>
      </c>
      <c r="H12746" s="27" t="s">
        <v>2679</v>
      </c>
      <c r="J12746" s="27" t="s">
        <v>3210</v>
      </c>
      <c r="L12746" s="27" t="s">
        <v>3262</v>
      </c>
      <c r="N12746" s="27" t="s">
        <v>3405</v>
      </c>
      <c r="P12746" s="27" t="s">
        <v>16546</v>
      </c>
      <c r="Q12746" s="26" t="str">
        <f>HYPERLINK("https://ictv.global/taxonomy/taxondetails?taxnode_id=202517595&amp;ictv_id=ICTV202317595","ICTV202317595")</f>
        <v>ICTV202317595</v>
      </c>
      <c r="R12746" t="s">
        <v>581</v>
      </c>
      <c r="S12746" t="s">
        <v>823</v>
      </c>
      <c r="T12746">
        <v>39</v>
      </c>
      <c r="U12746" s="26" t="str">
        <f>HYPERLINK("https://ictv.global/ictv/proposals/2023.001B.Leviviricetes_reorg.zip","2023.001B.Leviviricetes_reorg.zip")</f>
        <v>2023.001B.Leviviricetes_reorg.zip</v>
      </c>
    </row>
    <row r="12747" spans="1:21">
      <c r="A12747">
        <v>12746</v>
      </c>
      <c r="B12747" s="27" t="s">
        <v>1124</v>
      </c>
      <c r="D12747" s="27" t="s">
        <v>1859</v>
      </c>
      <c r="F12747" s="27" t="s">
        <v>1881</v>
      </c>
      <c r="H12747" s="27" t="s">
        <v>2679</v>
      </c>
      <c r="J12747" s="27" t="s">
        <v>3210</v>
      </c>
      <c r="L12747" s="27" t="s">
        <v>3262</v>
      </c>
      <c r="N12747" s="27" t="s">
        <v>3405</v>
      </c>
      <c r="P12747" s="27" t="s">
        <v>16547</v>
      </c>
      <c r="Q12747" s="26" t="str">
        <f>HYPERLINK("https://ictv.global/taxonomy/taxondetails?taxnode_id=202517596&amp;ictv_id=ICTV202317596","ICTV202317596")</f>
        <v>ICTV202317596</v>
      </c>
      <c r="R12747" t="s">
        <v>581</v>
      </c>
      <c r="S12747" t="s">
        <v>823</v>
      </c>
      <c r="T12747">
        <v>39</v>
      </c>
      <c r="U12747" s="26" t="str">
        <f>HYPERLINK("https://ictv.global/ictv/proposals/2023.001B.Leviviricetes_reorg.zip","2023.001B.Leviviricetes_reorg.zip")</f>
        <v>2023.001B.Leviviricetes_reorg.zip</v>
      </c>
    </row>
    <row r="12748" spans="1:21">
      <c r="A12748">
        <v>12747</v>
      </c>
      <c r="B12748" s="27" t="s">
        <v>1124</v>
      </c>
      <c r="D12748" s="27" t="s">
        <v>1859</v>
      </c>
      <c r="F12748" s="27" t="s">
        <v>1881</v>
      </c>
      <c r="H12748" s="27" t="s">
        <v>2679</v>
      </c>
      <c r="J12748" s="27" t="s">
        <v>3210</v>
      </c>
      <c r="L12748" s="27" t="s">
        <v>3262</v>
      </c>
      <c r="N12748" s="27" t="s">
        <v>3405</v>
      </c>
      <c r="P12748" s="27" t="s">
        <v>16548</v>
      </c>
      <c r="Q12748" s="26" t="str">
        <f>HYPERLINK("https://ictv.global/taxonomy/taxondetails?taxnode_id=202517597&amp;ictv_id=ICTV202317597","ICTV202317597")</f>
        <v>ICTV202317597</v>
      </c>
      <c r="R12748" t="s">
        <v>581</v>
      </c>
      <c r="S12748" t="s">
        <v>823</v>
      </c>
      <c r="T12748">
        <v>39</v>
      </c>
      <c r="U12748" s="26" t="str">
        <f>HYPERLINK("https://ictv.global/ictv/proposals/2023.001B.Leviviricetes_reorg.zip","2023.001B.Leviviricetes_reorg.zip")</f>
        <v>2023.001B.Leviviricetes_reorg.zip</v>
      </c>
    </row>
    <row r="12749" spans="1:21">
      <c r="A12749">
        <v>12748</v>
      </c>
      <c r="B12749" s="27" t="s">
        <v>1124</v>
      </c>
      <c r="D12749" s="27" t="s">
        <v>1859</v>
      </c>
      <c r="F12749" s="27" t="s">
        <v>1881</v>
      </c>
      <c r="H12749" s="27" t="s">
        <v>2679</v>
      </c>
      <c r="J12749" s="27" t="s">
        <v>3210</v>
      </c>
      <c r="L12749" s="27" t="s">
        <v>3262</v>
      </c>
      <c r="N12749" s="27" t="s">
        <v>3407</v>
      </c>
      <c r="P12749" s="27" t="s">
        <v>3408</v>
      </c>
      <c r="Q12749" s="26" t="str">
        <f>HYPERLINK("https://ictv.global/taxonomy/taxondetails?taxnode_id=202511377&amp;ictv_id=ICTV202011377","ICTV202011377")</f>
        <v>ICTV202011377</v>
      </c>
      <c r="R12749" t="s">
        <v>581</v>
      </c>
      <c r="S12749" t="s">
        <v>823</v>
      </c>
      <c r="T12749">
        <v>36</v>
      </c>
      <c r="U12749" s="26" t="str">
        <f>HYPERLINK("https://ictv.global/ictv/proposals/2020.095B.R.Leviviricetes.zip","2020.095B.R.Leviviricetes.zip")</f>
        <v>2020.095B.R.Leviviricetes.zip</v>
      </c>
    </row>
    <row r="12750" spans="1:21">
      <c r="A12750">
        <v>12749</v>
      </c>
      <c r="B12750" s="27" t="s">
        <v>1124</v>
      </c>
      <c r="D12750" s="27" t="s">
        <v>1859</v>
      </c>
      <c r="F12750" s="27" t="s">
        <v>1881</v>
      </c>
      <c r="H12750" s="27" t="s">
        <v>2679</v>
      </c>
      <c r="J12750" s="27" t="s">
        <v>3210</v>
      </c>
      <c r="L12750" s="27" t="s">
        <v>3262</v>
      </c>
      <c r="N12750" s="27" t="s">
        <v>3409</v>
      </c>
      <c r="P12750" s="27" t="s">
        <v>3410</v>
      </c>
      <c r="Q12750" s="26" t="str">
        <f>HYPERLINK("https://ictv.global/taxonomy/taxondetails?taxnode_id=202511379&amp;ictv_id=ICTV202011379","ICTV202011379")</f>
        <v>ICTV202011379</v>
      </c>
      <c r="R12750" t="s">
        <v>581</v>
      </c>
      <c r="S12750" t="s">
        <v>823</v>
      </c>
      <c r="T12750">
        <v>36</v>
      </c>
      <c r="U12750" s="26" t="str">
        <f>HYPERLINK("https://ictv.global/ictv/proposals/2020.095B.R.Leviviricetes.zip","2020.095B.R.Leviviricetes.zip")</f>
        <v>2020.095B.R.Leviviricetes.zip</v>
      </c>
    </row>
    <row r="12751" spans="1:21">
      <c r="A12751">
        <v>12750</v>
      </c>
      <c r="B12751" s="27" t="s">
        <v>1124</v>
      </c>
      <c r="D12751" s="27" t="s">
        <v>1859</v>
      </c>
      <c r="F12751" s="27" t="s">
        <v>1881</v>
      </c>
      <c r="H12751" s="27" t="s">
        <v>2679</v>
      </c>
      <c r="J12751" s="27" t="s">
        <v>3210</v>
      </c>
      <c r="L12751" s="27" t="s">
        <v>3262</v>
      </c>
      <c r="N12751" s="27" t="s">
        <v>16549</v>
      </c>
      <c r="P12751" s="27" t="s">
        <v>16550</v>
      </c>
      <c r="Q12751" s="26" t="str">
        <f>HYPERLINK("https://ictv.global/taxonomy/taxondetails?taxnode_id=202517598&amp;ictv_id=ICTV202317598","ICTV202317598")</f>
        <v>ICTV202317598</v>
      </c>
      <c r="R12751" t="s">
        <v>581</v>
      </c>
      <c r="S12751" t="s">
        <v>823</v>
      </c>
      <c r="T12751">
        <v>39</v>
      </c>
      <c r="U12751" s="26" t="str">
        <f>HYPERLINK("https://ictv.global/ictv/proposals/2023.001B.Leviviricetes_reorg.zip","2023.001B.Leviviricetes_reorg.zip")</f>
        <v>2023.001B.Leviviricetes_reorg.zip</v>
      </c>
    </row>
    <row r="12752" spans="1:21">
      <c r="A12752">
        <v>12751</v>
      </c>
      <c r="B12752" s="27" t="s">
        <v>1124</v>
      </c>
      <c r="D12752" s="27" t="s">
        <v>1859</v>
      </c>
      <c r="F12752" s="27" t="s">
        <v>1881</v>
      </c>
      <c r="H12752" s="27" t="s">
        <v>2679</v>
      </c>
      <c r="J12752" s="27" t="s">
        <v>3210</v>
      </c>
      <c r="L12752" s="27" t="s">
        <v>3262</v>
      </c>
      <c r="N12752" s="27" t="s">
        <v>3411</v>
      </c>
      <c r="P12752" s="27" t="s">
        <v>16551</v>
      </c>
      <c r="Q12752" s="26" t="str">
        <f>HYPERLINK("https://ictv.global/taxonomy/taxondetails?taxnode_id=202517599&amp;ictv_id=ICTV202317599","ICTV202317599")</f>
        <v>ICTV202317599</v>
      </c>
      <c r="R12752" t="s">
        <v>581</v>
      </c>
      <c r="S12752" t="s">
        <v>823</v>
      </c>
      <c r="T12752">
        <v>39</v>
      </c>
      <c r="U12752" s="26" t="str">
        <f>HYPERLINK("https://ictv.global/ictv/proposals/2023.001B.Leviviricetes_reorg.zip","2023.001B.Leviviricetes_reorg.zip")</f>
        <v>2023.001B.Leviviricetes_reorg.zip</v>
      </c>
    </row>
    <row r="12753" spans="1:21">
      <c r="A12753">
        <v>12752</v>
      </c>
      <c r="B12753" s="27" t="s">
        <v>1124</v>
      </c>
      <c r="D12753" s="27" t="s">
        <v>1859</v>
      </c>
      <c r="F12753" s="27" t="s">
        <v>1881</v>
      </c>
      <c r="H12753" s="27" t="s">
        <v>2679</v>
      </c>
      <c r="J12753" s="27" t="s">
        <v>3210</v>
      </c>
      <c r="L12753" s="27" t="s">
        <v>3262</v>
      </c>
      <c r="N12753" s="27" t="s">
        <v>3411</v>
      </c>
      <c r="P12753" s="27" t="s">
        <v>16552</v>
      </c>
      <c r="Q12753" s="26" t="str">
        <f>HYPERLINK("https://ictv.global/taxonomy/taxondetails?taxnode_id=202517600&amp;ictv_id=ICTV202317600","ICTV202317600")</f>
        <v>ICTV202317600</v>
      </c>
      <c r="R12753" t="s">
        <v>581</v>
      </c>
      <c r="S12753" t="s">
        <v>823</v>
      </c>
      <c r="T12753">
        <v>39</v>
      </c>
      <c r="U12753" s="26" t="str">
        <f>HYPERLINK("https://ictv.global/ictv/proposals/2023.001B.Leviviricetes_reorg.zip","2023.001B.Leviviricetes_reorg.zip")</f>
        <v>2023.001B.Leviviricetes_reorg.zip</v>
      </c>
    </row>
    <row r="12754" spans="1:21">
      <c r="A12754">
        <v>12753</v>
      </c>
      <c r="B12754" s="27" t="s">
        <v>1124</v>
      </c>
      <c r="D12754" s="27" t="s">
        <v>1859</v>
      </c>
      <c r="F12754" s="27" t="s">
        <v>1881</v>
      </c>
      <c r="H12754" s="27" t="s">
        <v>2679</v>
      </c>
      <c r="J12754" s="27" t="s">
        <v>3210</v>
      </c>
      <c r="L12754" s="27" t="s">
        <v>3262</v>
      </c>
      <c r="N12754" s="27" t="s">
        <v>3411</v>
      </c>
      <c r="P12754" s="27" t="s">
        <v>3412</v>
      </c>
      <c r="Q12754" s="26" t="str">
        <f>HYPERLINK("https://ictv.global/taxonomy/taxondetails?taxnode_id=202511381&amp;ictv_id=ICTV202011381","ICTV202011381")</f>
        <v>ICTV202011381</v>
      </c>
      <c r="R12754" t="s">
        <v>581</v>
      </c>
      <c r="S12754" t="s">
        <v>823</v>
      </c>
      <c r="T12754">
        <v>36</v>
      </c>
      <c r="U12754" s="26" t="str">
        <f>HYPERLINK("https://ictv.global/ictv/proposals/2020.095B.R.Leviviricetes.zip","2020.095B.R.Leviviricetes.zip")</f>
        <v>2020.095B.R.Leviviricetes.zip</v>
      </c>
    </row>
    <row r="12755" spans="1:21">
      <c r="A12755">
        <v>12754</v>
      </c>
      <c r="B12755" s="27" t="s">
        <v>1124</v>
      </c>
      <c r="D12755" s="27" t="s">
        <v>1859</v>
      </c>
      <c r="F12755" s="27" t="s">
        <v>1881</v>
      </c>
      <c r="H12755" s="27" t="s">
        <v>2679</v>
      </c>
      <c r="J12755" s="27" t="s">
        <v>3210</v>
      </c>
      <c r="L12755" s="27" t="s">
        <v>3262</v>
      </c>
      <c r="N12755" s="27" t="s">
        <v>3411</v>
      </c>
      <c r="P12755" s="27" t="s">
        <v>16553</v>
      </c>
      <c r="Q12755" s="26" t="str">
        <f>HYPERLINK("https://ictv.global/taxonomy/taxondetails?taxnode_id=202517601&amp;ictv_id=ICTV202317601","ICTV202317601")</f>
        <v>ICTV202317601</v>
      </c>
      <c r="R12755" t="s">
        <v>581</v>
      </c>
      <c r="S12755" t="s">
        <v>823</v>
      </c>
      <c r="T12755">
        <v>39</v>
      </c>
      <c r="U12755" s="26" t="str">
        <f>HYPERLINK("https://ictv.global/ictv/proposals/2023.001B.Leviviricetes_reorg.zip","2023.001B.Leviviricetes_reorg.zip")</f>
        <v>2023.001B.Leviviricetes_reorg.zip</v>
      </c>
    </row>
    <row r="12756" spans="1:21">
      <c r="A12756">
        <v>12755</v>
      </c>
      <c r="B12756" s="27" t="s">
        <v>1124</v>
      </c>
      <c r="D12756" s="27" t="s">
        <v>1859</v>
      </c>
      <c r="F12756" s="27" t="s">
        <v>1881</v>
      </c>
      <c r="H12756" s="27" t="s">
        <v>2679</v>
      </c>
      <c r="J12756" s="27" t="s">
        <v>3210</v>
      </c>
      <c r="L12756" s="27" t="s">
        <v>3262</v>
      </c>
      <c r="N12756" s="27" t="s">
        <v>3413</v>
      </c>
      <c r="P12756" s="27" t="s">
        <v>16554</v>
      </c>
      <c r="Q12756" s="26" t="str">
        <f>HYPERLINK("https://ictv.global/taxonomy/taxondetails?taxnode_id=202517602&amp;ictv_id=ICTV202317602","ICTV202317602")</f>
        <v>ICTV202317602</v>
      </c>
      <c r="R12756" t="s">
        <v>581</v>
      </c>
      <c r="S12756" t="s">
        <v>823</v>
      </c>
      <c r="T12756">
        <v>39</v>
      </c>
      <c r="U12756" s="26" t="str">
        <f>HYPERLINK("https://ictv.global/ictv/proposals/2023.001B.Leviviricetes_reorg.zip","2023.001B.Leviviricetes_reorg.zip")</f>
        <v>2023.001B.Leviviricetes_reorg.zip</v>
      </c>
    </row>
    <row r="12757" spans="1:21">
      <c r="A12757">
        <v>12756</v>
      </c>
      <c r="B12757" s="27" t="s">
        <v>1124</v>
      </c>
      <c r="D12757" s="27" t="s">
        <v>1859</v>
      </c>
      <c r="F12757" s="27" t="s">
        <v>1881</v>
      </c>
      <c r="H12757" s="27" t="s">
        <v>2679</v>
      </c>
      <c r="J12757" s="27" t="s">
        <v>3210</v>
      </c>
      <c r="L12757" s="27" t="s">
        <v>3262</v>
      </c>
      <c r="N12757" s="27" t="s">
        <v>3413</v>
      </c>
      <c r="P12757" s="27" t="s">
        <v>16555</v>
      </c>
      <c r="Q12757" s="26" t="str">
        <f>HYPERLINK("https://ictv.global/taxonomy/taxondetails?taxnode_id=202517603&amp;ictv_id=ICTV202317603","ICTV202317603")</f>
        <v>ICTV202317603</v>
      </c>
      <c r="R12757" t="s">
        <v>581</v>
      </c>
      <c r="S12757" t="s">
        <v>823</v>
      </c>
      <c r="T12757">
        <v>39</v>
      </c>
      <c r="U12757" s="26" t="str">
        <f>HYPERLINK("https://ictv.global/ictv/proposals/2023.001B.Leviviricetes_reorg.zip","2023.001B.Leviviricetes_reorg.zip")</f>
        <v>2023.001B.Leviviricetes_reorg.zip</v>
      </c>
    </row>
    <row r="12758" spans="1:21">
      <c r="A12758">
        <v>12757</v>
      </c>
      <c r="B12758" s="27" t="s">
        <v>1124</v>
      </c>
      <c r="D12758" s="27" t="s">
        <v>1859</v>
      </c>
      <c r="F12758" s="27" t="s">
        <v>1881</v>
      </c>
      <c r="H12758" s="27" t="s">
        <v>2679</v>
      </c>
      <c r="J12758" s="27" t="s">
        <v>3210</v>
      </c>
      <c r="L12758" s="27" t="s">
        <v>3262</v>
      </c>
      <c r="N12758" s="27" t="s">
        <v>3413</v>
      </c>
      <c r="P12758" s="27" t="s">
        <v>3414</v>
      </c>
      <c r="Q12758" s="26" t="str">
        <f>HYPERLINK("https://ictv.global/taxonomy/taxondetails?taxnode_id=202511391&amp;ictv_id=ICTV202011391","ICTV202011391")</f>
        <v>ICTV202011391</v>
      </c>
      <c r="R12758" t="s">
        <v>581</v>
      </c>
      <c r="S12758" t="s">
        <v>823</v>
      </c>
      <c r="T12758">
        <v>36</v>
      </c>
      <c r="U12758" s="26" t="str">
        <f>HYPERLINK("https://ictv.global/ictv/proposals/2020.095B.R.Leviviricetes.zip","2020.095B.R.Leviviricetes.zip")</f>
        <v>2020.095B.R.Leviviricetes.zip</v>
      </c>
    </row>
    <row r="12759" spans="1:21">
      <c r="A12759">
        <v>12758</v>
      </c>
      <c r="B12759" s="27" t="s">
        <v>1124</v>
      </c>
      <c r="D12759" s="27" t="s">
        <v>1859</v>
      </c>
      <c r="F12759" s="27" t="s">
        <v>1881</v>
      </c>
      <c r="H12759" s="27" t="s">
        <v>2679</v>
      </c>
      <c r="J12759" s="27" t="s">
        <v>3210</v>
      </c>
      <c r="L12759" s="27" t="s">
        <v>3262</v>
      </c>
      <c r="N12759" s="27" t="s">
        <v>16556</v>
      </c>
      <c r="P12759" s="27" t="s">
        <v>16557</v>
      </c>
      <c r="Q12759" s="26" t="str">
        <f>HYPERLINK("https://ictv.global/taxonomy/taxondetails?taxnode_id=202517604&amp;ictv_id=ICTV202317604","ICTV202317604")</f>
        <v>ICTV202317604</v>
      </c>
      <c r="R12759" t="s">
        <v>581</v>
      </c>
      <c r="S12759" t="s">
        <v>823</v>
      </c>
      <c r="T12759">
        <v>39</v>
      </c>
      <c r="U12759" s="26" t="str">
        <f t="shared" ref="U12759:U12773" si="469">HYPERLINK("https://ictv.global/ictv/proposals/2023.001B.Leviviricetes_reorg.zip","2023.001B.Leviviricetes_reorg.zip")</f>
        <v>2023.001B.Leviviricetes_reorg.zip</v>
      </c>
    </row>
    <row r="12760" spans="1:21">
      <c r="A12760">
        <v>12759</v>
      </c>
      <c r="B12760" s="27" t="s">
        <v>1124</v>
      </c>
      <c r="D12760" s="27" t="s">
        <v>1859</v>
      </c>
      <c r="F12760" s="27" t="s">
        <v>1881</v>
      </c>
      <c r="H12760" s="27" t="s">
        <v>2679</v>
      </c>
      <c r="J12760" s="27" t="s">
        <v>3210</v>
      </c>
      <c r="L12760" s="27" t="s">
        <v>3262</v>
      </c>
      <c r="N12760" s="27" t="s">
        <v>16556</v>
      </c>
      <c r="P12760" s="27" t="s">
        <v>16558</v>
      </c>
      <c r="Q12760" s="26" t="str">
        <f>HYPERLINK("https://ictv.global/taxonomy/taxondetails?taxnode_id=202517605&amp;ictv_id=ICTV202317605","ICTV202317605")</f>
        <v>ICTV202317605</v>
      </c>
      <c r="R12760" t="s">
        <v>581</v>
      </c>
      <c r="S12760" t="s">
        <v>823</v>
      </c>
      <c r="T12760">
        <v>39</v>
      </c>
      <c r="U12760" s="26" t="str">
        <f t="shared" si="469"/>
        <v>2023.001B.Leviviricetes_reorg.zip</v>
      </c>
    </row>
    <row r="12761" spans="1:21">
      <c r="A12761">
        <v>12760</v>
      </c>
      <c r="B12761" s="27" t="s">
        <v>1124</v>
      </c>
      <c r="D12761" s="27" t="s">
        <v>1859</v>
      </c>
      <c r="F12761" s="27" t="s">
        <v>1881</v>
      </c>
      <c r="H12761" s="27" t="s">
        <v>2679</v>
      </c>
      <c r="J12761" s="27" t="s">
        <v>3210</v>
      </c>
      <c r="L12761" s="27" t="s">
        <v>3262</v>
      </c>
      <c r="N12761" s="27" t="s">
        <v>16556</v>
      </c>
      <c r="P12761" s="27" t="s">
        <v>16559</v>
      </c>
      <c r="Q12761" s="26" t="str">
        <f>HYPERLINK("https://ictv.global/taxonomy/taxondetails?taxnode_id=202517606&amp;ictv_id=ICTV202317606","ICTV202317606")</f>
        <v>ICTV202317606</v>
      </c>
      <c r="R12761" t="s">
        <v>581</v>
      </c>
      <c r="S12761" t="s">
        <v>823</v>
      </c>
      <c r="T12761">
        <v>39</v>
      </c>
      <c r="U12761" s="26" t="str">
        <f t="shared" si="469"/>
        <v>2023.001B.Leviviricetes_reorg.zip</v>
      </c>
    </row>
    <row r="12762" spans="1:21">
      <c r="A12762">
        <v>12761</v>
      </c>
      <c r="B12762" s="27" t="s">
        <v>1124</v>
      </c>
      <c r="D12762" s="27" t="s">
        <v>1859</v>
      </c>
      <c r="F12762" s="27" t="s">
        <v>1881</v>
      </c>
      <c r="H12762" s="27" t="s">
        <v>2679</v>
      </c>
      <c r="J12762" s="27" t="s">
        <v>3210</v>
      </c>
      <c r="L12762" s="27" t="s">
        <v>3262</v>
      </c>
      <c r="N12762" s="27" t="s">
        <v>16556</v>
      </c>
      <c r="P12762" s="27" t="s">
        <v>16560</v>
      </c>
      <c r="Q12762" s="26" t="str">
        <f>HYPERLINK("https://ictv.global/taxonomy/taxondetails?taxnode_id=202517607&amp;ictv_id=ICTV202317607","ICTV202317607")</f>
        <v>ICTV202317607</v>
      </c>
      <c r="R12762" t="s">
        <v>581</v>
      </c>
      <c r="S12762" t="s">
        <v>823</v>
      </c>
      <c r="T12762">
        <v>39</v>
      </c>
      <c r="U12762" s="26" t="str">
        <f t="shared" si="469"/>
        <v>2023.001B.Leviviricetes_reorg.zip</v>
      </c>
    </row>
    <row r="12763" spans="1:21">
      <c r="A12763">
        <v>12762</v>
      </c>
      <c r="B12763" s="27" t="s">
        <v>1124</v>
      </c>
      <c r="D12763" s="27" t="s">
        <v>1859</v>
      </c>
      <c r="F12763" s="27" t="s">
        <v>1881</v>
      </c>
      <c r="H12763" s="27" t="s">
        <v>2679</v>
      </c>
      <c r="J12763" s="27" t="s">
        <v>3210</v>
      </c>
      <c r="L12763" s="27" t="s">
        <v>3262</v>
      </c>
      <c r="N12763" s="27" t="s">
        <v>16556</v>
      </c>
      <c r="P12763" s="27" t="s">
        <v>16561</v>
      </c>
      <c r="Q12763" s="26" t="str">
        <f>HYPERLINK("https://ictv.global/taxonomy/taxondetails?taxnode_id=202517608&amp;ictv_id=ICTV202317608","ICTV202317608")</f>
        <v>ICTV202317608</v>
      </c>
      <c r="R12763" t="s">
        <v>581</v>
      </c>
      <c r="S12763" t="s">
        <v>823</v>
      </c>
      <c r="T12763">
        <v>39</v>
      </c>
      <c r="U12763" s="26" t="str">
        <f t="shared" si="469"/>
        <v>2023.001B.Leviviricetes_reorg.zip</v>
      </c>
    </row>
    <row r="12764" spans="1:21">
      <c r="A12764">
        <v>12763</v>
      </c>
      <c r="B12764" s="27" t="s">
        <v>1124</v>
      </c>
      <c r="D12764" s="27" t="s">
        <v>1859</v>
      </c>
      <c r="F12764" s="27" t="s">
        <v>1881</v>
      </c>
      <c r="H12764" s="27" t="s">
        <v>2679</v>
      </c>
      <c r="J12764" s="27" t="s">
        <v>3210</v>
      </c>
      <c r="L12764" s="27" t="s">
        <v>3262</v>
      </c>
      <c r="N12764" s="27" t="s">
        <v>16556</v>
      </c>
      <c r="P12764" s="27" t="s">
        <v>16562</v>
      </c>
      <c r="Q12764" s="26" t="str">
        <f>HYPERLINK("https://ictv.global/taxonomy/taxondetails?taxnode_id=202517609&amp;ictv_id=ICTV202317609","ICTV202317609")</f>
        <v>ICTV202317609</v>
      </c>
      <c r="R12764" t="s">
        <v>581</v>
      </c>
      <c r="S12764" t="s">
        <v>823</v>
      </c>
      <c r="T12764">
        <v>39</v>
      </c>
      <c r="U12764" s="26" t="str">
        <f t="shared" si="469"/>
        <v>2023.001B.Leviviricetes_reorg.zip</v>
      </c>
    </row>
    <row r="12765" spans="1:21">
      <c r="A12765">
        <v>12764</v>
      </c>
      <c r="B12765" s="27" t="s">
        <v>1124</v>
      </c>
      <c r="D12765" s="27" t="s">
        <v>1859</v>
      </c>
      <c r="F12765" s="27" t="s">
        <v>1881</v>
      </c>
      <c r="H12765" s="27" t="s">
        <v>2679</v>
      </c>
      <c r="J12765" s="27" t="s">
        <v>3210</v>
      </c>
      <c r="L12765" s="27" t="s">
        <v>3262</v>
      </c>
      <c r="N12765" s="27" t="s">
        <v>16556</v>
      </c>
      <c r="P12765" s="27" t="s">
        <v>16563</v>
      </c>
      <c r="Q12765" s="26" t="str">
        <f>HYPERLINK("https://ictv.global/taxonomy/taxondetails?taxnode_id=202517610&amp;ictv_id=ICTV202317610","ICTV202317610")</f>
        <v>ICTV202317610</v>
      </c>
      <c r="R12765" t="s">
        <v>581</v>
      </c>
      <c r="S12765" t="s">
        <v>823</v>
      </c>
      <c r="T12765">
        <v>39</v>
      </c>
      <c r="U12765" s="26" t="str">
        <f t="shared" si="469"/>
        <v>2023.001B.Leviviricetes_reorg.zip</v>
      </c>
    </row>
    <row r="12766" spans="1:21">
      <c r="A12766">
        <v>12765</v>
      </c>
      <c r="B12766" s="27" t="s">
        <v>1124</v>
      </c>
      <c r="D12766" s="27" t="s">
        <v>1859</v>
      </c>
      <c r="F12766" s="27" t="s">
        <v>1881</v>
      </c>
      <c r="H12766" s="27" t="s">
        <v>2679</v>
      </c>
      <c r="J12766" s="27" t="s">
        <v>3210</v>
      </c>
      <c r="L12766" s="27" t="s">
        <v>3262</v>
      </c>
      <c r="N12766" s="27" t="s">
        <v>16556</v>
      </c>
      <c r="P12766" s="27" t="s">
        <v>16564</v>
      </c>
      <c r="Q12766" s="26" t="str">
        <f>HYPERLINK("https://ictv.global/taxonomy/taxondetails?taxnode_id=202517611&amp;ictv_id=ICTV202317611","ICTV202317611")</f>
        <v>ICTV202317611</v>
      </c>
      <c r="R12766" t="s">
        <v>581</v>
      </c>
      <c r="S12766" t="s">
        <v>823</v>
      </c>
      <c r="T12766">
        <v>39</v>
      </c>
      <c r="U12766" s="26" t="str">
        <f t="shared" si="469"/>
        <v>2023.001B.Leviviricetes_reorg.zip</v>
      </c>
    </row>
    <row r="12767" spans="1:21">
      <c r="A12767">
        <v>12766</v>
      </c>
      <c r="B12767" s="27" t="s">
        <v>1124</v>
      </c>
      <c r="D12767" s="27" t="s">
        <v>1859</v>
      </c>
      <c r="F12767" s="27" t="s">
        <v>1881</v>
      </c>
      <c r="H12767" s="27" t="s">
        <v>2679</v>
      </c>
      <c r="J12767" s="27" t="s">
        <v>3210</v>
      </c>
      <c r="L12767" s="27" t="s">
        <v>3262</v>
      </c>
      <c r="N12767" s="27" t="s">
        <v>16556</v>
      </c>
      <c r="P12767" s="27" t="s">
        <v>16565</v>
      </c>
      <c r="Q12767" s="26" t="str">
        <f>HYPERLINK("https://ictv.global/taxonomy/taxondetails?taxnode_id=202517612&amp;ictv_id=ICTV202317612","ICTV202317612")</f>
        <v>ICTV202317612</v>
      </c>
      <c r="R12767" t="s">
        <v>581</v>
      </c>
      <c r="S12767" t="s">
        <v>823</v>
      </c>
      <c r="T12767">
        <v>39</v>
      </c>
      <c r="U12767" s="26" t="str">
        <f t="shared" si="469"/>
        <v>2023.001B.Leviviricetes_reorg.zip</v>
      </c>
    </row>
    <row r="12768" spans="1:21">
      <c r="A12768">
        <v>12767</v>
      </c>
      <c r="B12768" s="27" t="s">
        <v>1124</v>
      </c>
      <c r="D12768" s="27" t="s">
        <v>1859</v>
      </c>
      <c r="F12768" s="27" t="s">
        <v>1881</v>
      </c>
      <c r="H12768" s="27" t="s">
        <v>2679</v>
      </c>
      <c r="J12768" s="27" t="s">
        <v>3210</v>
      </c>
      <c r="L12768" s="27" t="s">
        <v>3262</v>
      </c>
      <c r="N12768" s="27" t="s">
        <v>16556</v>
      </c>
      <c r="P12768" s="27" t="s">
        <v>16566</v>
      </c>
      <c r="Q12768" s="26" t="str">
        <f>HYPERLINK("https://ictv.global/taxonomy/taxondetails?taxnode_id=202517613&amp;ictv_id=ICTV202317613","ICTV202317613")</f>
        <v>ICTV202317613</v>
      </c>
      <c r="R12768" t="s">
        <v>581</v>
      </c>
      <c r="S12768" t="s">
        <v>823</v>
      </c>
      <c r="T12768">
        <v>39</v>
      </c>
      <c r="U12768" s="26" t="str">
        <f t="shared" si="469"/>
        <v>2023.001B.Leviviricetes_reorg.zip</v>
      </c>
    </row>
    <row r="12769" spans="1:21">
      <c r="A12769">
        <v>12768</v>
      </c>
      <c r="B12769" s="27" t="s">
        <v>1124</v>
      </c>
      <c r="D12769" s="27" t="s">
        <v>1859</v>
      </c>
      <c r="F12769" s="27" t="s">
        <v>1881</v>
      </c>
      <c r="H12769" s="27" t="s">
        <v>2679</v>
      </c>
      <c r="J12769" s="27" t="s">
        <v>3210</v>
      </c>
      <c r="L12769" s="27" t="s">
        <v>3262</v>
      </c>
      <c r="N12769" s="27" t="s">
        <v>16556</v>
      </c>
      <c r="P12769" s="27" t="s">
        <v>16567</v>
      </c>
      <c r="Q12769" s="26" t="str">
        <f>HYPERLINK("https://ictv.global/taxonomy/taxondetails?taxnode_id=202517614&amp;ictv_id=ICTV202317614","ICTV202317614")</f>
        <v>ICTV202317614</v>
      </c>
      <c r="R12769" t="s">
        <v>581</v>
      </c>
      <c r="S12769" t="s">
        <v>823</v>
      </c>
      <c r="T12769">
        <v>39</v>
      </c>
      <c r="U12769" s="26" t="str">
        <f t="shared" si="469"/>
        <v>2023.001B.Leviviricetes_reorg.zip</v>
      </c>
    </row>
    <row r="12770" spans="1:21">
      <c r="A12770">
        <v>12769</v>
      </c>
      <c r="B12770" s="27" t="s">
        <v>1124</v>
      </c>
      <c r="D12770" s="27" t="s">
        <v>1859</v>
      </c>
      <c r="F12770" s="27" t="s">
        <v>1881</v>
      </c>
      <c r="H12770" s="27" t="s">
        <v>2679</v>
      </c>
      <c r="J12770" s="27" t="s">
        <v>3210</v>
      </c>
      <c r="L12770" s="27" t="s">
        <v>3262</v>
      </c>
      <c r="N12770" s="27" t="s">
        <v>16556</v>
      </c>
      <c r="P12770" s="27" t="s">
        <v>16568</v>
      </c>
      <c r="Q12770" s="26" t="str">
        <f>HYPERLINK("https://ictv.global/taxonomy/taxondetails?taxnode_id=202517615&amp;ictv_id=ICTV202317615","ICTV202317615")</f>
        <v>ICTV202317615</v>
      </c>
      <c r="R12770" t="s">
        <v>581</v>
      </c>
      <c r="S12770" t="s">
        <v>823</v>
      </c>
      <c r="T12770">
        <v>39</v>
      </c>
      <c r="U12770" s="26" t="str">
        <f t="shared" si="469"/>
        <v>2023.001B.Leviviricetes_reorg.zip</v>
      </c>
    </row>
    <row r="12771" spans="1:21">
      <c r="A12771">
        <v>12770</v>
      </c>
      <c r="B12771" s="27" t="s">
        <v>1124</v>
      </c>
      <c r="D12771" s="27" t="s">
        <v>1859</v>
      </c>
      <c r="F12771" s="27" t="s">
        <v>1881</v>
      </c>
      <c r="H12771" s="27" t="s">
        <v>2679</v>
      </c>
      <c r="J12771" s="27" t="s">
        <v>3210</v>
      </c>
      <c r="L12771" s="27" t="s">
        <v>3262</v>
      </c>
      <c r="N12771" s="27" t="s">
        <v>16556</v>
      </c>
      <c r="P12771" s="27" t="s">
        <v>16569</v>
      </c>
      <c r="Q12771" s="26" t="str">
        <f>HYPERLINK("https://ictv.global/taxonomy/taxondetails?taxnode_id=202517616&amp;ictv_id=ICTV202317616","ICTV202317616")</f>
        <v>ICTV202317616</v>
      </c>
      <c r="R12771" t="s">
        <v>581</v>
      </c>
      <c r="S12771" t="s">
        <v>823</v>
      </c>
      <c r="T12771">
        <v>39</v>
      </c>
      <c r="U12771" s="26" t="str">
        <f t="shared" si="469"/>
        <v>2023.001B.Leviviricetes_reorg.zip</v>
      </c>
    </row>
    <row r="12772" spans="1:21">
      <c r="A12772">
        <v>12771</v>
      </c>
      <c r="B12772" s="27" t="s">
        <v>1124</v>
      </c>
      <c r="D12772" s="27" t="s">
        <v>1859</v>
      </c>
      <c r="F12772" s="27" t="s">
        <v>1881</v>
      </c>
      <c r="H12772" s="27" t="s">
        <v>2679</v>
      </c>
      <c r="J12772" s="27" t="s">
        <v>3210</v>
      </c>
      <c r="L12772" s="27" t="s">
        <v>3262</v>
      </c>
      <c r="N12772" s="27" t="s">
        <v>16570</v>
      </c>
      <c r="P12772" s="27" t="s">
        <v>16571</v>
      </c>
      <c r="Q12772" s="26" t="str">
        <f>HYPERLINK("https://ictv.global/taxonomy/taxondetails?taxnode_id=202517617&amp;ictv_id=ICTV202317617","ICTV202317617")</f>
        <v>ICTV202317617</v>
      </c>
      <c r="R12772" t="s">
        <v>581</v>
      </c>
      <c r="S12772" t="s">
        <v>823</v>
      </c>
      <c r="T12772">
        <v>39</v>
      </c>
      <c r="U12772" s="26" t="str">
        <f t="shared" si="469"/>
        <v>2023.001B.Leviviricetes_reorg.zip</v>
      </c>
    </row>
    <row r="12773" spans="1:21">
      <c r="A12773">
        <v>12772</v>
      </c>
      <c r="B12773" s="27" t="s">
        <v>1124</v>
      </c>
      <c r="D12773" s="27" t="s">
        <v>1859</v>
      </c>
      <c r="F12773" s="27" t="s">
        <v>1881</v>
      </c>
      <c r="H12773" s="27" t="s">
        <v>2679</v>
      </c>
      <c r="J12773" s="27" t="s">
        <v>3210</v>
      </c>
      <c r="L12773" s="27" t="s">
        <v>3262</v>
      </c>
      <c r="N12773" s="27" t="s">
        <v>3415</v>
      </c>
      <c r="P12773" s="27" t="s">
        <v>16572</v>
      </c>
      <c r="Q12773" s="26" t="str">
        <f>HYPERLINK("https://ictv.global/taxonomy/taxondetails?taxnode_id=202517618&amp;ictv_id=ICTV202317618","ICTV202317618")</f>
        <v>ICTV202317618</v>
      </c>
      <c r="R12773" t="s">
        <v>581</v>
      </c>
      <c r="S12773" t="s">
        <v>823</v>
      </c>
      <c r="T12773">
        <v>39</v>
      </c>
      <c r="U12773" s="26" t="str">
        <f t="shared" si="469"/>
        <v>2023.001B.Leviviricetes_reorg.zip</v>
      </c>
    </row>
    <row r="12774" spans="1:21">
      <c r="A12774">
        <v>12773</v>
      </c>
      <c r="B12774" s="27" t="s">
        <v>1124</v>
      </c>
      <c r="D12774" s="27" t="s">
        <v>1859</v>
      </c>
      <c r="F12774" s="27" t="s">
        <v>1881</v>
      </c>
      <c r="H12774" s="27" t="s">
        <v>2679</v>
      </c>
      <c r="J12774" s="27" t="s">
        <v>3210</v>
      </c>
      <c r="L12774" s="27" t="s">
        <v>3262</v>
      </c>
      <c r="N12774" s="27" t="s">
        <v>3415</v>
      </c>
      <c r="P12774" s="27" t="s">
        <v>3416</v>
      </c>
      <c r="Q12774" s="26" t="str">
        <f>HYPERLINK("https://ictv.global/taxonomy/taxondetails?taxnode_id=202511413&amp;ictv_id=ICTV202011413","ICTV202011413")</f>
        <v>ICTV202011413</v>
      </c>
      <c r="R12774" t="s">
        <v>581</v>
      </c>
      <c r="S12774" t="s">
        <v>823</v>
      </c>
      <c r="T12774">
        <v>36</v>
      </c>
      <c r="U12774" s="26" t="str">
        <f>HYPERLINK("https://ictv.global/ictv/proposals/2020.095B.R.Leviviricetes.zip","2020.095B.R.Leviviricetes.zip")</f>
        <v>2020.095B.R.Leviviricetes.zip</v>
      </c>
    </row>
    <row r="12775" spans="1:21">
      <c r="A12775">
        <v>12774</v>
      </c>
      <c r="B12775" s="27" t="s">
        <v>1124</v>
      </c>
      <c r="D12775" s="27" t="s">
        <v>1859</v>
      </c>
      <c r="F12775" s="27" t="s">
        <v>1881</v>
      </c>
      <c r="H12775" s="27" t="s">
        <v>2679</v>
      </c>
      <c r="J12775" s="27" t="s">
        <v>3210</v>
      </c>
      <c r="L12775" s="27" t="s">
        <v>3262</v>
      </c>
      <c r="N12775" s="27" t="s">
        <v>16573</v>
      </c>
      <c r="P12775" s="27" t="s">
        <v>16574</v>
      </c>
      <c r="Q12775" s="26" t="str">
        <f>HYPERLINK("https://ictv.global/taxonomy/taxondetails?taxnode_id=202517619&amp;ictv_id=ICTV202317619","ICTV202317619")</f>
        <v>ICTV202317619</v>
      </c>
      <c r="R12775" t="s">
        <v>581</v>
      </c>
      <c r="S12775" t="s">
        <v>823</v>
      </c>
      <c r="T12775">
        <v>39</v>
      </c>
      <c r="U12775" s="26" t="str">
        <f t="shared" ref="U12775:U12791" si="470">HYPERLINK("https://ictv.global/ictv/proposals/2023.001B.Leviviricetes_reorg.zip","2023.001B.Leviviricetes_reorg.zip")</f>
        <v>2023.001B.Leviviricetes_reorg.zip</v>
      </c>
    </row>
    <row r="12776" spans="1:21">
      <c r="A12776">
        <v>12775</v>
      </c>
      <c r="B12776" s="27" t="s">
        <v>1124</v>
      </c>
      <c r="D12776" s="27" t="s">
        <v>1859</v>
      </c>
      <c r="F12776" s="27" t="s">
        <v>1881</v>
      </c>
      <c r="H12776" s="27" t="s">
        <v>2679</v>
      </c>
      <c r="J12776" s="27" t="s">
        <v>3210</v>
      </c>
      <c r="L12776" s="27" t="s">
        <v>3262</v>
      </c>
      <c r="N12776" s="27" t="s">
        <v>16573</v>
      </c>
      <c r="P12776" s="27" t="s">
        <v>16575</v>
      </c>
      <c r="Q12776" s="26" t="str">
        <f>HYPERLINK("https://ictv.global/taxonomy/taxondetails?taxnode_id=202517620&amp;ictv_id=ICTV202317620","ICTV202317620")</f>
        <v>ICTV202317620</v>
      </c>
      <c r="R12776" t="s">
        <v>581</v>
      </c>
      <c r="S12776" t="s">
        <v>823</v>
      </c>
      <c r="T12776">
        <v>39</v>
      </c>
      <c r="U12776" s="26" t="str">
        <f t="shared" si="470"/>
        <v>2023.001B.Leviviricetes_reorg.zip</v>
      </c>
    </row>
    <row r="12777" spans="1:21">
      <c r="A12777">
        <v>12776</v>
      </c>
      <c r="B12777" s="27" t="s">
        <v>1124</v>
      </c>
      <c r="D12777" s="27" t="s">
        <v>1859</v>
      </c>
      <c r="F12777" s="27" t="s">
        <v>1881</v>
      </c>
      <c r="H12777" s="27" t="s">
        <v>2679</v>
      </c>
      <c r="J12777" s="27" t="s">
        <v>3210</v>
      </c>
      <c r="L12777" s="27" t="s">
        <v>3262</v>
      </c>
      <c r="N12777" s="27" t="s">
        <v>16573</v>
      </c>
      <c r="P12777" s="27" t="s">
        <v>16576</v>
      </c>
      <c r="Q12777" s="26" t="str">
        <f>HYPERLINK("https://ictv.global/taxonomy/taxondetails?taxnode_id=202517621&amp;ictv_id=ICTV202317621","ICTV202317621")</f>
        <v>ICTV202317621</v>
      </c>
      <c r="R12777" t="s">
        <v>581</v>
      </c>
      <c r="S12777" t="s">
        <v>823</v>
      </c>
      <c r="T12777">
        <v>39</v>
      </c>
      <c r="U12777" s="26" t="str">
        <f t="shared" si="470"/>
        <v>2023.001B.Leviviricetes_reorg.zip</v>
      </c>
    </row>
    <row r="12778" spans="1:21">
      <c r="A12778">
        <v>12777</v>
      </c>
      <c r="B12778" s="27" t="s">
        <v>1124</v>
      </c>
      <c r="D12778" s="27" t="s">
        <v>1859</v>
      </c>
      <c r="F12778" s="27" t="s">
        <v>1881</v>
      </c>
      <c r="H12778" s="27" t="s">
        <v>2679</v>
      </c>
      <c r="J12778" s="27" t="s">
        <v>3210</v>
      </c>
      <c r="L12778" s="27" t="s">
        <v>3262</v>
      </c>
      <c r="N12778" s="27" t="s">
        <v>16573</v>
      </c>
      <c r="P12778" s="27" t="s">
        <v>16577</v>
      </c>
      <c r="Q12778" s="26" t="str">
        <f>HYPERLINK("https://ictv.global/taxonomy/taxondetails?taxnode_id=202517622&amp;ictv_id=ICTV202317622","ICTV202317622")</f>
        <v>ICTV202317622</v>
      </c>
      <c r="R12778" t="s">
        <v>581</v>
      </c>
      <c r="S12778" t="s">
        <v>823</v>
      </c>
      <c r="T12778">
        <v>39</v>
      </c>
      <c r="U12778" s="26" t="str">
        <f t="shared" si="470"/>
        <v>2023.001B.Leviviricetes_reorg.zip</v>
      </c>
    </row>
    <row r="12779" spans="1:21">
      <c r="A12779">
        <v>12778</v>
      </c>
      <c r="B12779" s="27" t="s">
        <v>1124</v>
      </c>
      <c r="D12779" s="27" t="s">
        <v>1859</v>
      </c>
      <c r="F12779" s="27" t="s">
        <v>1881</v>
      </c>
      <c r="H12779" s="27" t="s">
        <v>2679</v>
      </c>
      <c r="J12779" s="27" t="s">
        <v>3210</v>
      </c>
      <c r="L12779" s="27" t="s">
        <v>3262</v>
      </c>
      <c r="N12779" s="27" t="s">
        <v>16573</v>
      </c>
      <c r="P12779" s="27" t="s">
        <v>16578</v>
      </c>
      <c r="Q12779" s="26" t="str">
        <f>HYPERLINK("https://ictv.global/taxonomy/taxondetails?taxnode_id=202517623&amp;ictv_id=ICTV202317623","ICTV202317623")</f>
        <v>ICTV202317623</v>
      </c>
      <c r="R12779" t="s">
        <v>581</v>
      </c>
      <c r="S12779" t="s">
        <v>823</v>
      </c>
      <c r="T12779">
        <v>39</v>
      </c>
      <c r="U12779" s="26" t="str">
        <f t="shared" si="470"/>
        <v>2023.001B.Leviviricetes_reorg.zip</v>
      </c>
    </row>
    <row r="12780" spans="1:21">
      <c r="A12780">
        <v>12779</v>
      </c>
      <c r="B12780" s="27" t="s">
        <v>1124</v>
      </c>
      <c r="D12780" s="27" t="s">
        <v>1859</v>
      </c>
      <c r="F12780" s="27" t="s">
        <v>1881</v>
      </c>
      <c r="H12780" s="27" t="s">
        <v>2679</v>
      </c>
      <c r="J12780" s="27" t="s">
        <v>3210</v>
      </c>
      <c r="L12780" s="27" t="s">
        <v>3262</v>
      </c>
      <c r="N12780" s="27" t="s">
        <v>16573</v>
      </c>
      <c r="P12780" s="27" t="s">
        <v>16579</v>
      </c>
      <c r="Q12780" s="26" t="str">
        <f>HYPERLINK("https://ictv.global/taxonomy/taxondetails?taxnode_id=202517624&amp;ictv_id=ICTV202317624","ICTV202317624")</f>
        <v>ICTV202317624</v>
      </c>
      <c r="R12780" t="s">
        <v>581</v>
      </c>
      <c r="S12780" t="s">
        <v>823</v>
      </c>
      <c r="T12780">
        <v>39</v>
      </c>
      <c r="U12780" s="26" t="str">
        <f t="shared" si="470"/>
        <v>2023.001B.Leviviricetes_reorg.zip</v>
      </c>
    </row>
    <row r="12781" spans="1:21">
      <c r="A12781">
        <v>12780</v>
      </c>
      <c r="B12781" s="27" t="s">
        <v>1124</v>
      </c>
      <c r="D12781" s="27" t="s">
        <v>1859</v>
      </c>
      <c r="F12781" s="27" t="s">
        <v>1881</v>
      </c>
      <c r="H12781" s="27" t="s">
        <v>2679</v>
      </c>
      <c r="J12781" s="27" t="s">
        <v>3210</v>
      </c>
      <c r="L12781" s="27" t="s">
        <v>3262</v>
      </c>
      <c r="N12781" s="27" t="s">
        <v>16573</v>
      </c>
      <c r="P12781" s="27" t="s">
        <v>16580</v>
      </c>
      <c r="Q12781" s="26" t="str">
        <f>HYPERLINK("https://ictv.global/taxonomy/taxondetails?taxnode_id=202517625&amp;ictv_id=ICTV202317625","ICTV202317625")</f>
        <v>ICTV202317625</v>
      </c>
      <c r="R12781" t="s">
        <v>581</v>
      </c>
      <c r="S12781" t="s">
        <v>823</v>
      </c>
      <c r="T12781">
        <v>39</v>
      </c>
      <c r="U12781" s="26" t="str">
        <f t="shared" si="470"/>
        <v>2023.001B.Leviviricetes_reorg.zip</v>
      </c>
    </row>
    <row r="12782" spans="1:21">
      <c r="A12782">
        <v>12781</v>
      </c>
      <c r="B12782" s="27" t="s">
        <v>1124</v>
      </c>
      <c r="D12782" s="27" t="s">
        <v>1859</v>
      </c>
      <c r="F12782" s="27" t="s">
        <v>1881</v>
      </c>
      <c r="H12782" s="27" t="s">
        <v>2679</v>
      </c>
      <c r="J12782" s="27" t="s">
        <v>3210</v>
      </c>
      <c r="L12782" s="27" t="s">
        <v>3262</v>
      </c>
      <c r="N12782" s="27" t="s">
        <v>16581</v>
      </c>
      <c r="P12782" s="27" t="s">
        <v>16582</v>
      </c>
      <c r="Q12782" s="26" t="str">
        <f>HYPERLINK("https://ictv.global/taxonomy/taxondetails?taxnode_id=202517626&amp;ictv_id=ICTV202317626","ICTV202317626")</f>
        <v>ICTV202317626</v>
      </c>
      <c r="R12782" t="s">
        <v>581</v>
      </c>
      <c r="S12782" t="s">
        <v>823</v>
      </c>
      <c r="T12782">
        <v>39</v>
      </c>
      <c r="U12782" s="26" t="str">
        <f t="shared" si="470"/>
        <v>2023.001B.Leviviricetes_reorg.zip</v>
      </c>
    </row>
    <row r="12783" spans="1:21">
      <c r="A12783">
        <v>12782</v>
      </c>
      <c r="B12783" s="27" t="s">
        <v>1124</v>
      </c>
      <c r="D12783" s="27" t="s">
        <v>1859</v>
      </c>
      <c r="F12783" s="27" t="s">
        <v>1881</v>
      </c>
      <c r="H12783" s="27" t="s">
        <v>2679</v>
      </c>
      <c r="J12783" s="27" t="s">
        <v>3210</v>
      </c>
      <c r="L12783" s="27" t="s">
        <v>3262</v>
      </c>
      <c r="N12783" s="27" t="s">
        <v>16583</v>
      </c>
      <c r="P12783" s="27" t="s">
        <v>16584</v>
      </c>
      <c r="Q12783" s="26" t="str">
        <f>HYPERLINK("https://ictv.global/taxonomy/taxondetails?taxnode_id=202517627&amp;ictv_id=ICTV202317627","ICTV202317627")</f>
        <v>ICTV202317627</v>
      </c>
      <c r="R12783" t="s">
        <v>581</v>
      </c>
      <c r="S12783" t="s">
        <v>823</v>
      </c>
      <c r="T12783">
        <v>39</v>
      </c>
      <c r="U12783" s="26" t="str">
        <f t="shared" si="470"/>
        <v>2023.001B.Leviviricetes_reorg.zip</v>
      </c>
    </row>
    <row r="12784" spans="1:21">
      <c r="A12784">
        <v>12783</v>
      </c>
      <c r="B12784" s="27" t="s">
        <v>1124</v>
      </c>
      <c r="D12784" s="27" t="s">
        <v>1859</v>
      </c>
      <c r="F12784" s="27" t="s">
        <v>1881</v>
      </c>
      <c r="H12784" s="27" t="s">
        <v>2679</v>
      </c>
      <c r="J12784" s="27" t="s">
        <v>3210</v>
      </c>
      <c r="L12784" s="27" t="s">
        <v>3262</v>
      </c>
      <c r="N12784" s="27" t="s">
        <v>16583</v>
      </c>
      <c r="P12784" s="27" t="s">
        <v>16585</v>
      </c>
      <c r="Q12784" s="26" t="str">
        <f>HYPERLINK("https://ictv.global/taxonomy/taxondetails?taxnode_id=202517628&amp;ictv_id=ICTV202317628","ICTV202317628")</f>
        <v>ICTV202317628</v>
      </c>
      <c r="R12784" t="s">
        <v>581</v>
      </c>
      <c r="S12784" t="s">
        <v>823</v>
      </c>
      <c r="T12784">
        <v>39</v>
      </c>
      <c r="U12784" s="26" t="str">
        <f t="shared" si="470"/>
        <v>2023.001B.Leviviricetes_reorg.zip</v>
      </c>
    </row>
    <row r="12785" spans="1:21">
      <c r="A12785">
        <v>12784</v>
      </c>
      <c r="B12785" s="27" t="s">
        <v>1124</v>
      </c>
      <c r="D12785" s="27" t="s">
        <v>1859</v>
      </c>
      <c r="F12785" s="27" t="s">
        <v>1881</v>
      </c>
      <c r="H12785" s="27" t="s">
        <v>2679</v>
      </c>
      <c r="J12785" s="27" t="s">
        <v>3210</v>
      </c>
      <c r="L12785" s="27" t="s">
        <v>3262</v>
      </c>
      <c r="N12785" s="27" t="s">
        <v>16583</v>
      </c>
      <c r="P12785" s="27" t="s">
        <v>16586</v>
      </c>
      <c r="Q12785" s="26" t="str">
        <f>HYPERLINK("https://ictv.global/taxonomy/taxondetails?taxnode_id=202517629&amp;ictv_id=ICTV202317629","ICTV202317629")</f>
        <v>ICTV202317629</v>
      </c>
      <c r="R12785" t="s">
        <v>581</v>
      </c>
      <c r="S12785" t="s">
        <v>823</v>
      </c>
      <c r="T12785">
        <v>39</v>
      </c>
      <c r="U12785" s="26" t="str">
        <f t="shared" si="470"/>
        <v>2023.001B.Leviviricetes_reorg.zip</v>
      </c>
    </row>
    <row r="12786" spans="1:21">
      <c r="A12786">
        <v>12785</v>
      </c>
      <c r="B12786" s="27" t="s">
        <v>1124</v>
      </c>
      <c r="D12786" s="27" t="s">
        <v>1859</v>
      </c>
      <c r="F12786" s="27" t="s">
        <v>1881</v>
      </c>
      <c r="H12786" s="27" t="s">
        <v>2679</v>
      </c>
      <c r="J12786" s="27" t="s">
        <v>3210</v>
      </c>
      <c r="L12786" s="27" t="s">
        <v>3262</v>
      </c>
      <c r="N12786" s="27" t="s">
        <v>16587</v>
      </c>
      <c r="P12786" s="27" t="s">
        <v>16588</v>
      </c>
      <c r="Q12786" s="26" t="str">
        <f>HYPERLINK("https://ictv.global/taxonomy/taxondetails?taxnode_id=202517630&amp;ictv_id=ICTV202317630","ICTV202317630")</f>
        <v>ICTV202317630</v>
      </c>
      <c r="R12786" t="s">
        <v>581</v>
      </c>
      <c r="S12786" t="s">
        <v>823</v>
      </c>
      <c r="T12786">
        <v>39</v>
      </c>
      <c r="U12786" s="26" t="str">
        <f t="shared" si="470"/>
        <v>2023.001B.Leviviricetes_reorg.zip</v>
      </c>
    </row>
    <row r="12787" spans="1:21">
      <c r="A12787">
        <v>12786</v>
      </c>
      <c r="B12787" s="27" t="s">
        <v>1124</v>
      </c>
      <c r="D12787" s="27" t="s">
        <v>1859</v>
      </c>
      <c r="F12787" s="27" t="s">
        <v>1881</v>
      </c>
      <c r="H12787" s="27" t="s">
        <v>2679</v>
      </c>
      <c r="J12787" s="27" t="s">
        <v>3210</v>
      </c>
      <c r="L12787" s="27" t="s">
        <v>3262</v>
      </c>
      <c r="N12787" s="27" t="s">
        <v>16589</v>
      </c>
      <c r="P12787" s="27" t="s">
        <v>16590</v>
      </c>
      <c r="Q12787" s="26" t="str">
        <f>HYPERLINK("https://ictv.global/taxonomy/taxondetails?taxnode_id=202517631&amp;ictv_id=ICTV202317631","ICTV202317631")</f>
        <v>ICTV202317631</v>
      </c>
      <c r="R12787" t="s">
        <v>581</v>
      </c>
      <c r="S12787" t="s">
        <v>823</v>
      </c>
      <c r="T12787">
        <v>39</v>
      </c>
      <c r="U12787" s="26" t="str">
        <f t="shared" si="470"/>
        <v>2023.001B.Leviviricetes_reorg.zip</v>
      </c>
    </row>
    <row r="12788" spans="1:21">
      <c r="A12788">
        <v>12787</v>
      </c>
      <c r="B12788" s="27" t="s">
        <v>1124</v>
      </c>
      <c r="D12788" s="27" t="s">
        <v>1859</v>
      </c>
      <c r="F12788" s="27" t="s">
        <v>1881</v>
      </c>
      <c r="H12788" s="27" t="s">
        <v>2679</v>
      </c>
      <c r="J12788" s="27" t="s">
        <v>3210</v>
      </c>
      <c r="L12788" s="27" t="s">
        <v>3262</v>
      </c>
      <c r="N12788" s="27" t="s">
        <v>16591</v>
      </c>
      <c r="P12788" s="27" t="s">
        <v>16592</v>
      </c>
      <c r="Q12788" s="26" t="str">
        <f>HYPERLINK("https://ictv.global/taxonomy/taxondetails?taxnode_id=202517632&amp;ictv_id=ICTV202317632","ICTV202317632")</f>
        <v>ICTV202317632</v>
      </c>
      <c r="R12788" t="s">
        <v>581</v>
      </c>
      <c r="S12788" t="s">
        <v>823</v>
      </c>
      <c r="T12788">
        <v>39</v>
      </c>
      <c r="U12788" s="26" t="str">
        <f t="shared" si="470"/>
        <v>2023.001B.Leviviricetes_reorg.zip</v>
      </c>
    </row>
    <row r="12789" spans="1:21">
      <c r="A12789">
        <v>12788</v>
      </c>
      <c r="B12789" s="27" t="s">
        <v>1124</v>
      </c>
      <c r="D12789" s="27" t="s">
        <v>1859</v>
      </c>
      <c r="F12789" s="27" t="s">
        <v>1881</v>
      </c>
      <c r="H12789" s="27" t="s">
        <v>2679</v>
      </c>
      <c r="J12789" s="27" t="s">
        <v>3210</v>
      </c>
      <c r="L12789" s="27" t="s">
        <v>3262</v>
      </c>
      <c r="N12789" s="27" t="s">
        <v>16593</v>
      </c>
      <c r="P12789" s="27" t="s">
        <v>16594</v>
      </c>
      <c r="Q12789" s="26" t="str">
        <f>HYPERLINK("https://ictv.global/taxonomy/taxondetails?taxnode_id=202517633&amp;ictv_id=ICTV202317633","ICTV202317633")</f>
        <v>ICTV202317633</v>
      </c>
      <c r="R12789" t="s">
        <v>581</v>
      </c>
      <c r="S12789" t="s">
        <v>823</v>
      </c>
      <c r="T12789">
        <v>39</v>
      </c>
      <c r="U12789" s="26" t="str">
        <f t="shared" si="470"/>
        <v>2023.001B.Leviviricetes_reorg.zip</v>
      </c>
    </row>
    <row r="12790" spans="1:21">
      <c r="A12790">
        <v>12789</v>
      </c>
      <c r="B12790" s="27" t="s">
        <v>1124</v>
      </c>
      <c r="D12790" s="27" t="s">
        <v>1859</v>
      </c>
      <c r="F12790" s="27" t="s">
        <v>1881</v>
      </c>
      <c r="H12790" s="27" t="s">
        <v>2679</v>
      </c>
      <c r="J12790" s="27" t="s">
        <v>3210</v>
      </c>
      <c r="L12790" s="27" t="s">
        <v>3262</v>
      </c>
      <c r="N12790" s="27" t="s">
        <v>16595</v>
      </c>
      <c r="P12790" s="27" t="s">
        <v>16596</v>
      </c>
      <c r="Q12790" s="26" t="str">
        <f>HYPERLINK("https://ictv.global/taxonomy/taxondetails?taxnode_id=202517634&amp;ictv_id=ICTV202317634","ICTV202317634")</f>
        <v>ICTV202317634</v>
      </c>
      <c r="R12790" t="s">
        <v>581</v>
      </c>
      <c r="S12790" t="s">
        <v>823</v>
      </c>
      <c r="T12790">
        <v>39</v>
      </c>
      <c r="U12790" s="26" t="str">
        <f t="shared" si="470"/>
        <v>2023.001B.Leviviricetes_reorg.zip</v>
      </c>
    </row>
    <row r="12791" spans="1:21">
      <c r="A12791">
        <v>12790</v>
      </c>
      <c r="B12791" s="27" t="s">
        <v>1124</v>
      </c>
      <c r="D12791" s="27" t="s">
        <v>1859</v>
      </c>
      <c r="F12791" s="27" t="s">
        <v>1881</v>
      </c>
      <c r="H12791" s="27" t="s">
        <v>2679</v>
      </c>
      <c r="J12791" s="27" t="s">
        <v>3210</v>
      </c>
      <c r="L12791" s="27" t="s">
        <v>3262</v>
      </c>
      <c r="N12791" s="27" t="s">
        <v>16597</v>
      </c>
      <c r="P12791" s="27" t="s">
        <v>16598</v>
      </c>
      <c r="Q12791" s="26" t="str">
        <f>HYPERLINK("https://ictv.global/taxonomy/taxondetails?taxnode_id=202517635&amp;ictv_id=ICTV202317635","ICTV202317635")</f>
        <v>ICTV202317635</v>
      </c>
      <c r="R12791" t="s">
        <v>581</v>
      </c>
      <c r="S12791" t="s">
        <v>823</v>
      </c>
      <c r="T12791">
        <v>39</v>
      </c>
      <c r="U12791" s="26" t="str">
        <f t="shared" si="470"/>
        <v>2023.001B.Leviviricetes_reorg.zip</v>
      </c>
    </row>
    <row r="12792" spans="1:21">
      <c r="A12792">
        <v>12791</v>
      </c>
      <c r="B12792" s="27" t="s">
        <v>1124</v>
      </c>
      <c r="D12792" s="27" t="s">
        <v>1859</v>
      </c>
      <c r="F12792" s="27" t="s">
        <v>1881</v>
      </c>
      <c r="H12792" s="27" t="s">
        <v>2679</v>
      </c>
      <c r="J12792" s="27" t="s">
        <v>3210</v>
      </c>
      <c r="L12792" s="27" t="s">
        <v>3262</v>
      </c>
      <c r="N12792" s="27" t="s">
        <v>3417</v>
      </c>
      <c r="P12792" s="27" t="s">
        <v>3418</v>
      </c>
      <c r="Q12792" s="26" t="str">
        <f>HYPERLINK("https://ictv.global/taxonomy/taxondetails?taxnode_id=202511423&amp;ictv_id=ICTV202011423","ICTV202011423")</f>
        <v>ICTV202011423</v>
      </c>
      <c r="R12792" t="s">
        <v>581</v>
      </c>
      <c r="S12792" t="s">
        <v>823</v>
      </c>
      <c r="T12792">
        <v>36</v>
      </c>
      <c r="U12792" s="26" t="str">
        <f>HYPERLINK("https://ictv.global/ictv/proposals/2020.095B.R.Leviviricetes.zip","2020.095B.R.Leviviricetes.zip")</f>
        <v>2020.095B.R.Leviviricetes.zip</v>
      </c>
    </row>
    <row r="12793" spans="1:21">
      <c r="A12793">
        <v>12792</v>
      </c>
      <c r="B12793" s="27" t="s">
        <v>1124</v>
      </c>
      <c r="D12793" s="27" t="s">
        <v>1859</v>
      </c>
      <c r="F12793" s="27" t="s">
        <v>1881</v>
      </c>
      <c r="H12793" s="27" t="s">
        <v>2679</v>
      </c>
      <c r="J12793" s="27" t="s">
        <v>3210</v>
      </c>
      <c r="L12793" s="27" t="s">
        <v>3262</v>
      </c>
      <c r="N12793" s="27" t="s">
        <v>3419</v>
      </c>
      <c r="P12793" s="27" t="s">
        <v>3420</v>
      </c>
      <c r="Q12793" s="26" t="str">
        <f>HYPERLINK("https://ictv.global/taxonomy/taxondetails?taxnode_id=202511427&amp;ictv_id=ICTV202011427","ICTV202011427")</f>
        <v>ICTV202011427</v>
      </c>
      <c r="R12793" t="s">
        <v>581</v>
      </c>
      <c r="S12793" t="s">
        <v>823</v>
      </c>
      <c r="T12793">
        <v>36</v>
      </c>
      <c r="U12793" s="26" t="str">
        <f>HYPERLINK("https://ictv.global/ictv/proposals/2020.095B.R.Leviviricetes.zip","2020.095B.R.Leviviricetes.zip")</f>
        <v>2020.095B.R.Leviviricetes.zip</v>
      </c>
    </row>
    <row r="12794" spans="1:21">
      <c r="A12794">
        <v>12793</v>
      </c>
      <c r="B12794" s="27" t="s">
        <v>1124</v>
      </c>
      <c r="D12794" s="27" t="s">
        <v>1859</v>
      </c>
      <c r="F12794" s="27" t="s">
        <v>1881</v>
      </c>
      <c r="H12794" s="27" t="s">
        <v>2679</v>
      </c>
      <c r="J12794" s="27" t="s">
        <v>3210</v>
      </c>
      <c r="L12794" s="27" t="s">
        <v>3262</v>
      </c>
      <c r="N12794" s="27" t="s">
        <v>3421</v>
      </c>
      <c r="P12794" s="27" t="s">
        <v>3422</v>
      </c>
      <c r="Q12794" s="26" t="str">
        <f>HYPERLINK("https://ictv.global/taxonomy/taxondetails?taxnode_id=202511431&amp;ictv_id=ICTV202011431","ICTV202011431")</f>
        <v>ICTV202011431</v>
      </c>
      <c r="R12794" t="s">
        <v>581</v>
      </c>
      <c r="S12794" t="s">
        <v>823</v>
      </c>
      <c r="T12794">
        <v>36</v>
      </c>
      <c r="U12794" s="26" t="str">
        <f>HYPERLINK("https://ictv.global/ictv/proposals/2020.095B.R.Leviviricetes.zip","2020.095B.R.Leviviricetes.zip")</f>
        <v>2020.095B.R.Leviviricetes.zip</v>
      </c>
    </row>
    <row r="12795" spans="1:21">
      <c r="A12795">
        <v>12794</v>
      </c>
      <c r="B12795" s="27" t="s">
        <v>1124</v>
      </c>
      <c r="D12795" s="27" t="s">
        <v>1859</v>
      </c>
      <c r="F12795" s="27" t="s">
        <v>1881</v>
      </c>
      <c r="H12795" s="27" t="s">
        <v>2679</v>
      </c>
      <c r="J12795" s="27" t="s">
        <v>3210</v>
      </c>
      <c r="L12795" s="27" t="s">
        <v>3262</v>
      </c>
      <c r="N12795" s="27" t="s">
        <v>3421</v>
      </c>
      <c r="P12795" s="27" t="s">
        <v>16599</v>
      </c>
      <c r="Q12795" s="26" t="str">
        <f>HYPERLINK("https://ictv.global/taxonomy/taxondetails?taxnode_id=202517636&amp;ictv_id=ICTV202317636","ICTV202317636")</f>
        <v>ICTV202317636</v>
      </c>
      <c r="R12795" t="s">
        <v>581</v>
      </c>
      <c r="S12795" t="s">
        <v>823</v>
      </c>
      <c r="T12795">
        <v>39</v>
      </c>
      <c r="U12795" s="26" t="str">
        <f t="shared" ref="U12795:U12802" si="471">HYPERLINK("https://ictv.global/ictv/proposals/2023.001B.Leviviricetes_reorg.zip","2023.001B.Leviviricetes_reorg.zip")</f>
        <v>2023.001B.Leviviricetes_reorg.zip</v>
      </c>
    </row>
    <row r="12796" spans="1:21">
      <c r="A12796">
        <v>12795</v>
      </c>
      <c r="B12796" s="27" t="s">
        <v>1124</v>
      </c>
      <c r="D12796" s="27" t="s">
        <v>1859</v>
      </c>
      <c r="F12796" s="27" t="s">
        <v>1881</v>
      </c>
      <c r="H12796" s="27" t="s">
        <v>2679</v>
      </c>
      <c r="J12796" s="27" t="s">
        <v>3210</v>
      </c>
      <c r="L12796" s="27" t="s">
        <v>3262</v>
      </c>
      <c r="N12796" s="27" t="s">
        <v>16600</v>
      </c>
      <c r="P12796" s="27" t="s">
        <v>16601</v>
      </c>
      <c r="Q12796" s="26" t="str">
        <f>HYPERLINK("https://ictv.global/taxonomy/taxondetails?taxnode_id=202517637&amp;ictv_id=ICTV202317637","ICTV202317637")</f>
        <v>ICTV202317637</v>
      </c>
      <c r="R12796" t="s">
        <v>581</v>
      </c>
      <c r="S12796" t="s">
        <v>823</v>
      </c>
      <c r="T12796">
        <v>39</v>
      </c>
      <c r="U12796" s="26" t="str">
        <f t="shared" si="471"/>
        <v>2023.001B.Leviviricetes_reorg.zip</v>
      </c>
    </row>
    <row r="12797" spans="1:21">
      <c r="A12797">
        <v>12796</v>
      </c>
      <c r="B12797" s="27" t="s">
        <v>1124</v>
      </c>
      <c r="D12797" s="27" t="s">
        <v>1859</v>
      </c>
      <c r="F12797" s="27" t="s">
        <v>1881</v>
      </c>
      <c r="H12797" s="27" t="s">
        <v>2679</v>
      </c>
      <c r="J12797" s="27" t="s">
        <v>3210</v>
      </c>
      <c r="L12797" s="27" t="s">
        <v>3262</v>
      </c>
      <c r="N12797" s="27" t="s">
        <v>16600</v>
      </c>
      <c r="P12797" s="27" t="s">
        <v>16602</v>
      </c>
      <c r="Q12797" s="26" t="str">
        <f>HYPERLINK("https://ictv.global/taxonomy/taxondetails?taxnode_id=202517638&amp;ictv_id=ICTV202317638","ICTV202317638")</f>
        <v>ICTV202317638</v>
      </c>
      <c r="R12797" t="s">
        <v>581</v>
      </c>
      <c r="S12797" t="s">
        <v>823</v>
      </c>
      <c r="T12797">
        <v>39</v>
      </c>
      <c r="U12797" s="26" t="str">
        <f t="shared" si="471"/>
        <v>2023.001B.Leviviricetes_reorg.zip</v>
      </c>
    </row>
    <row r="12798" spans="1:21">
      <c r="A12798">
        <v>12797</v>
      </c>
      <c r="B12798" s="27" t="s">
        <v>1124</v>
      </c>
      <c r="D12798" s="27" t="s">
        <v>1859</v>
      </c>
      <c r="F12798" s="27" t="s">
        <v>1881</v>
      </c>
      <c r="H12798" s="27" t="s">
        <v>2679</v>
      </c>
      <c r="J12798" s="27" t="s">
        <v>3210</v>
      </c>
      <c r="L12798" s="27" t="s">
        <v>3262</v>
      </c>
      <c r="N12798" s="27" t="s">
        <v>16603</v>
      </c>
      <c r="P12798" s="27" t="s">
        <v>16604</v>
      </c>
      <c r="Q12798" s="26" t="str">
        <f>HYPERLINK("https://ictv.global/taxonomy/taxondetails?taxnode_id=202511474&amp;ictv_id=ICTV202011474","ICTV202011474")</f>
        <v>ICTV202011474</v>
      </c>
      <c r="R12798" t="s">
        <v>581</v>
      </c>
      <c r="S12798" t="s">
        <v>22764</v>
      </c>
      <c r="T12798">
        <v>39</v>
      </c>
      <c r="U12798" s="26" t="str">
        <f t="shared" si="471"/>
        <v>2023.001B.Leviviricetes_reorg.zip</v>
      </c>
    </row>
    <row r="12799" spans="1:21">
      <c r="A12799">
        <v>12798</v>
      </c>
      <c r="B12799" s="27" t="s">
        <v>1124</v>
      </c>
      <c r="D12799" s="27" t="s">
        <v>1859</v>
      </c>
      <c r="F12799" s="27" t="s">
        <v>1881</v>
      </c>
      <c r="H12799" s="27" t="s">
        <v>2679</v>
      </c>
      <c r="J12799" s="27" t="s">
        <v>3210</v>
      </c>
      <c r="L12799" s="27" t="s">
        <v>3262</v>
      </c>
      <c r="N12799" s="27" t="s">
        <v>16603</v>
      </c>
      <c r="P12799" s="27" t="s">
        <v>16605</v>
      </c>
      <c r="Q12799" s="26" t="str">
        <f>HYPERLINK("https://ictv.global/taxonomy/taxondetails?taxnode_id=202511481&amp;ictv_id=ICTV202011481","ICTV202011481")</f>
        <v>ICTV202011481</v>
      </c>
      <c r="R12799" t="s">
        <v>581</v>
      </c>
      <c r="S12799" t="s">
        <v>22764</v>
      </c>
      <c r="T12799">
        <v>39</v>
      </c>
      <c r="U12799" s="26" t="str">
        <f t="shared" si="471"/>
        <v>2023.001B.Leviviricetes_reorg.zip</v>
      </c>
    </row>
    <row r="12800" spans="1:21">
      <c r="A12800">
        <v>12799</v>
      </c>
      <c r="B12800" s="27" t="s">
        <v>1124</v>
      </c>
      <c r="D12800" s="27" t="s">
        <v>1859</v>
      </c>
      <c r="F12800" s="27" t="s">
        <v>1881</v>
      </c>
      <c r="H12800" s="27" t="s">
        <v>2679</v>
      </c>
      <c r="J12800" s="27" t="s">
        <v>3210</v>
      </c>
      <c r="L12800" s="27" t="s">
        <v>3262</v>
      </c>
      <c r="N12800" s="27" t="s">
        <v>16603</v>
      </c>
      <c r="P12800" s="27" t="s">
        <v>16606</v>
      </c>
      <c r="Q12800" s="26" t="str">
        <f>HYPERLINK("https://ictv.global/taxonomy/taxondetails?taxnode_id=202511471&amp;ictv_id=ICTV202011471","ICTV202011471")</f>
        <v>ICTV202011471</v>
      </c>
      <c r="R12800" t="s">
        <v>581</v>
      </c>
      <c r="S12800" t="s">
        <v>22764</v>
      </c>
      <c r="T12800">
        <v>39</v>
      </c>
      <c r="U12800" s="26" t="str">
        <f t="shared" si="471"/>
        <v>2023.001B.Leviviricetes_reorg.zip</v>
      </c>
    </row>
    <row r="12801" spans="1:21">
      <c r="A12801">
        <v>12800</v>
      </c>
      <c r="B12801" s="27" t="s">
        <v>1124</v>
      </c>
      <c r="D12801" s="27" t="s">
        <v>1859</v>
      </c>
      <c r="F12801" s="27" t="s">
        <v>1881</v>
      </c>
      <c r="H12801" s="27" t="s">
        <v>2679</v>
      </c>
      <c r="J12801" s="27" t="s">
        <v>3210</v>
      </c>
      <c r="L12801" s="27" t="s">
        <v>3262</v>
      </c>
      <c r="N12801" s="27" t="s">
        <v>16607</v>
      </c>
      <c r="P12801" s="27" t="s">
        <v>16608</v>
      </c>
      <c r="Q12801" s="26" t="str">
        <f>HYPERLINK("https://ictv.global/taxonomy/taxondetails?taxnode_id=202517639&amp;ictv_id=ICTV202317639","ICTV202317639")</f>
        <v>ICTV202317639</v>
      </c>
      <c r="R12801" t="s">
        <v>581</v>
      </c>
      <c r="S12801" t="s">
        <v>823</v>
      </c>
      <c r="T12801">
        <v>39</v>
      </c>
      <c r="U12801" s="26" t="str">
        <f t="shared" si="471"/>
        <v>2023.001B.Leviviricetes_reorg.zip</v>
      </c>
    </row>
    <row r="12802" spans="1:21">
      <c r="A12802">
        <v>12801</v>
      </c>
      <c r="B12802" s="27" t="s">
        <v>1124</v>
      </c>
      <c r="D12802" s="27" t="s">
        <v>1859</v>
      </c>
      <c r="F12802" s="27" t="s">
        <v>1881</v>
      </c>
      <c r="H12802" s="27" t="s">
        <v>2679</v>
      </c>
      <c r="J12802" s="27" t="s">
        <v>3210</v>
      </c>
      <c r="L12802" s="27" t="s">
        <v>3262</v>
      </c>
      <c r="N12802" s="27" t="s">
        <v>16609</v>
      </c>
      <c r="P12802" s="27" t="s">
        <v>16610</v>
      </c>
      <c r="Q12802" s="26" t="str">
        <f>HYPERLINK("https://ictv.global/taxonomy/taxondetails?taxnode_id=202517640&amp;ictv_id=ICTV202317640","ICTV202317640")</f>
        <v>ICTV202317640</v>
      </c>
      <c r="R12802" t="s">
        <v>581</v>
      </c>
      <c r="S12802" t="s">
        <v>823</v>
      </c>
      <c r="T12802">
        <v>39</v>
      </c>
      <c r="U12802" s="26" t="str">
        <f t="shared" si="471"/>
        <v>2023.001B.Leviviricetes_reorg.zip</v>
      </c>
    </row>
    <row r="12803" spans="1:21">
      <c r="A12803">
        <v>12802</v>
      </c>
      <c r="B12803" s="27" t="s">
        <v>1124</v>
      </c>
      <c r="D12803" s="27" t="s">
        <v>1859</v>
      </c>
      <c r="F12803" s="27" t="s">
        <v>1881</v>
      </c>
      <c r="H12803" s="27" t="s">
        <v>2679</v>
      </c>
      <c r="J12803" s="27" t="s">
        <v>3210</v>
      </c>
      <c r="L12803" s="27" t="s">
        <v>3262</v>
      </c>
      <c r="N12803" s="27" t="s">
        <v>3423</v>
      </c>
      <c r="P12803" s="27" t="s">
        <v>3424</v>
      </c>
      <c r="Q12803" s="26" t="str">
        <f>HYPERLINK("https://ictv.global/taxonomy/taxondetails?taxnode_id=202511434&amp;ictv_id=ICTV202011434","ICTV202011434")</f>
        <v>ICTV202011434</v>
      </c>
      <c r="R12803" t="s">
        <v>581</v>
      </c>
      <c r="S12803" t="s">
        <v>823</v>
      </c>
      <c r="T12803">
        <v>36</v>
      </c>
      <c r="U12803" s="26" t="str">
        <f>HYPERLINK("https://ictv.global/ictv/proposals/2020.095B.R.Leviviricetes.zip","2020.095B.R.Leviviricetes.zip")</f>
        <v>2020.095B.R.Leviviricetes.zip</v>
      </c>
    </row>
    <row r="12804" spans="1:21">
      <c r="A12804">
        <v>12803</v>
      </c>
      <c r="B12804" s="27" t="s">
        <v>1124</v>
      </c>
      <c r="D12804" s="27" t="s">
        <v>1859</v>
      </c>
      <c r="F12804" s="27" t="s">
        <v>1881</v>
      </c>
      <c r="H12804" s="27" t="s">
        <v>2679</v>
      </c>
      <c r="J12804" s="27" t="s">
        <v>3210</v>
      </c>
      <c r="L12804" s="27" t="s">
        <v>3262</v>
      </c>
      <c r="N12804" s="27" t="s">
        <v>3423</v>
      </c>
      <c r="P12804" s="27" t="s">
        <v>16611</v>
      </c>
      <c r="Q12804" s="26" t="str">
        <f>HYPERLINK("https://ictv.global/taxonomy/taxondetails?taxnode_id=202517641&amp;ictv_id=ICTV202317641","ICTV202317641")</f>
        <v>ICTV202317641</v>
      </c>
      <c r="R12804" t="s">
        <v>581</v>
      </c>
      <c r="S12804" t="s">
        <v>823</v>
      </c>
      <c r="T12804">
        <v>39</v>
      </c>
      <c r="U12804" s="26" t="str">
        <f>HYPERLINK("https://ictv.global/ictv/proposals/2023.001B.Leviviricetes_reorg.zip","2023.001B.Leviviricetes_reorg.zip")</f>
        <v>2023.001B.Leviviricetes_reorg.zip</v>
      </c>
    </row>
    <row r="12805" spans="1:21">
      <c r="A12805">
        <v>12804</v>
      </c>
      <c r="B12805" s="27" t="s">
        <v>1124</v>
      </c>
      <c r="D12805" s="27" t="s">
        <v>1859</v>
      </c>
      <c r="F12805" s="27" t="s">
        <v>1881</v>
      </c>
      <c r="H12805" s="27" t="s">
        <v>2679</v>
      </c>
      <c r="J12805" s="27" t="s">
        <v>3210</v>
      </c>
      <c r="L12805" s="27" t="s">
        <v>3262</v>
      </c>
      <c r="N12805" s="27" t="s">
        <v>3423</v>
      </c>
      <c r="P12805" s="27" t="s">
        <v>3425</v>
      </c>
      <c r="Q12805" s="26" t="str">
        <f>HYPERLINK("https://ictv.global/taxonomy/taxondetails?taxnode_id=202511435&amp;ictv_id=ICTV202011435","ICTV202011435")</f>
        <v>ICTV202011435</v>
      </c>
      <c r="R12805" t="s">
        <v>581</v>
      </c>
      <c r="S12805" t="s">
        <v>823</v>
      </c>
      <c r="T12805">
        <v>36</v>
      </c>
      <c r="U12805" s="26" t="str">
        <f>HYPERLINK("https://ictv.global/ictv/proposals/2020.095B.R.Leviviricetes.zip","2020.095B.R.Leviviricetes.zip")</f>
        <v>2020.095B.R.Leviviricetes.zip</v>
      </c>
    </row>
    <row r="12806" spans="1:21">
      <c r="A12806">
        <v>12805</v>
      </c>
      <c r="B12806" s="27" t="s">
        <v>1124</v>
      </c>
      <c r="D12806" s="27" t="s">
        <v>1859</v>
      </c>
      <c r="F12806" s="27" t="s">
        <v>1881</v>
      </c>
      <c r="H12806" s="27" t="s">
        <v>2679</v>
      </c>
      <c r="J12806" s="27" t="s">
        <v>3210</v>
      </c>
      <c r="L12806" s="27" t="s">
        <v>3262</v>
      </c>
      <c r="N12806" s="27" t="s">
        <v>3423</v>
      </c>
      <c r="P12806" s="27" t="s">
        <v>16612</v>
      </c>
      <c r="Q12806" s="26" t="str">
        <f>HYPERLINK("https://ictv.global/taxonomy/taxondetails?taxnode_id=202517642&amp;ictv_id=ICTV202317642","ICTV202317642")</f>
        <v>ICTV202317642</v>
      </c>
      <c r="R12806" t="s">
        <v>581</v>
      </c>
      <c r="S12806" t="s">
        <v>823</v>
      </c>
      <c r="T12806">
        <v>39</v>
      </c>
      <c r="U12806" s="26" t="str">
        <f>HYPERLINK("https://ictv.global/ictv/proposals/2023.001B.Leviviricetes_reorg.zip","2023.001B.Leviviricetes_reorg.zip")</f>
        <v>2023.001B.Leviviricetes_reorg.zip</v>
      </c>
    </row>
    <row r="12807" spans="1:21">
      <c r="A12807">
        <v>12806</v>
      </c>
      <c r="B12807" s="27" t="s">
        <v>1124</v>
      </c>
      <c r="D12807" s="27" t="s">
        <v>1859</v>
      </c>
      <c r="F12807" s="27" t="s">
        <v>1881</v>
      </c>
      <c r="H12807" s="27" t="s">
        <v>2679</v>
      </c>
      <c r="J12807" s="27" t="s">
        <v>3210</v>
      </c>
      <c r="L12807" s="27" t="s">
        <v>3262</v>
      </c>
      <c r="N12807" s="27" t="s">
        <v>3426</v>
      </c>
      <c r="P12807" s="27" t="s">
        <v>3427</v>
      </c>
      <c r="Q12807" s="26" t="str">
        <f>HYPERLINK("https://ictv.global/taxonomy/taxondetails?taxnode_id=202511438&amp;ictv_id=ICTV202011438","ICTV202011438")</f>
        <v>ICTV202011438</v>
      </c>
      <c r="R12807" t="s">
        <v>581</v>
      </c>
      <c r="S12807" t="s">
        <v>823</v>
      </c>
      <c r="T12807">
        <v>36</v>
      </c>
      <c r="U12807" s="26" t="str">
        <f>HYPERLINK("https://ictv.global/ictv/proposals/2020.095B.R.Leviviricetes.zip","2020.095B.R.Leviviricetes.zip")</f>
        <v>2020.095B.R.Leviviricetes.zip</v>
      </c>
    </row>
    <row r="12808" spans="1:21">
      <c r="A12808">
        <v>12807</v>
      </c>
      <c r="B12808" s="27" t="s">
        <v>1124</v>
      </c>
      <c r="D12808" s="27" t="s">
        <v>1859</v>
      </c>
      <c r="F12808" s="27" t="s">
        <v>1881</v>
      </c>
      <c r="H12808" s="27" t="s">
        <v>2679</v>
      </c>
      <c r="J12808" s="27" t="s">
        <v>3210</v>
      </c>
      <c r="L12808" s="27" t="s">
        <v>3262</v>
      </c>
      <c r="N12808" s="27" t="s">
        <v>3426</v>
      </c>
      <c r="P12808" s="27" t="s">
        <v>3428</v>
      </c>
      <c r="Q12808" s="26" t="str">
        <f>HYPERLINK("https://ictv.global/taxonomy/taxondetails?taxnode_id=202511437&amp;ictv_id=ICTV202011437","ICTV202011437")</f>
        <v>ICTV202011437</v>
      </c>
      <c r="R12808" t="s">
        <v>581</v>
      </c>
      <c r="S12808" t="s">
        <v>823</v>
      </c>
      <c r="T12808">
        <v>36</v>
      </c>
      <c r="U12808" s="26" t="str">
        <f>HYPERLINK("https://ictv.global/ictv/proposals/2020.095B.R.Leviviricetes.zip","2020.095B.R.Leviviricetes.zip")</f>
        <v>2020.095B.R.Leviviricetes.zip</v>
      </c>
    </row>
    <row r="12809" spans="1:21">
      <c r="A12809">
        <v>12808</v>
      </c>
      <c r="B12809" s="27" t="s">
        <v>1124</v>
      </c>
      <c r="D12809" s="27" t="s">
        <v>1859</v>
      </c>
      <c r="F12809" s="27" t="s">
        <v>1881</v>
      </c>
      <c r="H12809" s="27" t="s">
        <v>2679</v>
      </c>
      <c r="J12809" s="27" t="s">
        <v>3210</v>
      </c>
      <c r="L12809" s="27" t="s">
        <v>3262</v>
      </c>
      <c r="N12809" s="27" t="s">
        <v>3429</v>
      </c>
      <c r="P12809" s="27" t="s">
        <v>3430</v>
      </c>
      <c r="Q12809" s="26" t="str">
        <f>HYPERLINK("https://ictv.global/taxonomy/taxondetails?taxnode_id=202511440&amp;ictv_id=ICTV202011440","ICTV202011440")</f>
        <v>ICTV202011440</v>
      </c>
      <c r="R12809" t="s">
        <v>581</v>
      </c>
      <c r="S12809" t="s">
        <v>823</v>
      </c>
      <c r="T12809">
        <v>36</v>
      </c>
      <c r="U12809" s="26" t="str">
        <f>HYPERLINK("https://ictv.global/ictv/proposals/2020.095B.R.Leviviricetes.zip","2020.095B.R.Leviviricetes.zip")</f>
        <v>2020.095B.R.Leviviricetes.zip</v>
      </c>
    </row>
    <row r="12810" spans="1:21">
      <c r="A12810">
        <v>12809</v>
      </c>
      <c r="B12810" s="27" t="s">
        <v>1124</v>
      </c>
      <c r="D12810" s="27" t="s">
        <v>1859</v>
      </c>
      <c r="F12810" s="27" t="s">
        <v>1881</v>
      </c>
      <c r="H12810" s="27" t="s">
        <v>2679</v>
      </c>
      <c r="J12810" s="27" t="s">
        <v>3210</v>
      </c>
      <c r="L12810" s="27" t="s">
        <v>3262</v>
      </c>
      <c r="N12810" s="27" t="s">
        <v>3431</v>
      </c>
      <c r="P12810" s="27" t="s">
        <v>3432</v>
      </c>
      <c r="Q12810" s="26" t="str">
        <f>HYPERLINK("https://ictv.global/taxonomy/taxondetails?taxnode_id=202511442&amp;ictv_id=ICTV202011442","ICTV202011442")</f>
        <v>ICTV202011442</v>
      </c>
      <c r="R12810" t="s">
        <v>581</v>
      </c>
      <c r="S12810" t="s">
        <v>823</v>
      </c>
      <c r="T12810">
        <v>36</v>
      </c>
      <c r="U12810" s="26" t="str">
        <f>HYPERLINK("https://ictv.global/ictv/proposals/2020.095B.R.Leviviricetes.zip","2020.095B.R.Leviviricetes.zip")</f>
        <v>2020.095B.R.Leviviricetes.zip</v>
      </c>
    </row>
    <row r="12811" spans="1:21">
      <c r="A12811">
        <v>12810</v>
      </c>
      <c r="B12811" s="27" t="s">
        <v>1124</v>
      </c>
      <c r="D12811" s="27" t="s">
        <v>1859</v>
      </c>
      <c r="F12811" s="27" t="s">
        <v>1881</v>
      </c>
      <c r="H12811" s="27" t="s">
        <v>2679</v>
      </c>
      <c r="J12811" s="27" t="s">
        <v>3210</v>
      </c>
      <c r="L12811" s="27" t="s">
        <v>3262</v>
      </c>
      <c r="N12811" s="27" t="s">
        <v>3433</v>
      </c>
      <c r="P12811" s="27" t="s">
        <v>16613</v>
      </c>
      <c r="Q12811" s="26" t="str">
        <f>HYPERLINK("https://ictv.global/taxonomy/taxondetails?taxnode_id=202517643&amp;ictv_id=ICTV202317643","ICTV202317643")</f>
        <v>ICTV202317643</v>
      </c>
      <c r="R12811" t="s">
        <v>581</v>
      </c>
      <c r="S12811" t="s">
        <v>823</v>
      </c>
      <c r="T12811">
        <v>39</v>
      </c>
      <c r="U12811" s="26" t="str">
        <f>HYPERLINK("https://ictv.global/ictv/proposals/2023.001B.Leviviricetes_reorg.zip","2023.001B.Leviviricetes_reorg.zip")</f>
        <v>2023.001B.Leviviricetes_reorg.zip</v>
      </c>
    </row>
    <row r="12812" spans="1:21">
      <c r="A12812">
        <v>12811</v>
      </c>
      <c r="B12812" s="27" t="s">
        <v>1124</v>
      </c>
      <c r="D12812" s="27" t="s">
        <v>1859</v>
      </c>
      <c r="F12812" s="27" t="s">
        <v>1881</v>
      </c>
      <c r="H12812" s="27" t="s">
        <v>2679</v>
      </c>
      <c r="J12812" s="27" t="s">
        <v>3210</v>
      </c>
      <c r="L12812" s="27" t="s">
        <v>3262</v>
      </c>
      <c r="N12812" s="27" t="s">
        <v>3433</v>
      </c>
      <c r="P12812" s="27" t="s">
        <v>3434</v>
      </c>
      <c r="Q12812" s="26" t="str">
        <f>HYPERLINK("https://ictv.global/taxonomy/taxondetails?taxnode_id=202511446&amp;ictv_id=ICTV202011446","ICTV202011446")</f>
        <v>ICTV202011446</v>
      </c>
      <c r="R12812" t="s">
        <v>581</v>
      </c>
      <c r="S12812" t="s">
        <v>823</v>
      </c>
      <c r="T12812">
        <v>36</v>
      </c>
      <c r="U12812" s="26" t="str">
        <f>HYPERLINK("https://ictv.global/ictv/proposals/2020.095B.R.Leviviricetes.zip","2020.095B.R.Leviviricetes.zip")</f>
        <v>2020.095B.R.Leviviricetes.zip</v>
      </c>
    </row>
    <row r="12813" spans="1:21">
      <c r="A12813">
        <v>12812</v>
      </c>
      <c r="B12813" s="27" t="s">
        <v>1124</v>
      </c>
      <c r="D12813" s="27" t="s">
        <v>1859</v>
      </c>
      <c r="F12813" s="27" t="s">
        <v>1881</v>
      </c>
      <c r="H12813" s="27" t="s">
        <v>2679</v>
      </c>
      <c r="J12813" s="27" t="s">
        <v>3210</v>
      </c>
      <c r="L12813" s="27" t="s">
        <v>3262</v>
      </c>
      <c r="N12813" s="27" t="s">
        <v>3433</v>
      </c>
      <c r="P12813" s="27" t="s">
        <v>16614</v>
      </c>
      <c r="Q12813" s="26" t="str">
        <f>HYPERLINK("https://ictv.global/taxonomy/taxondetails?taxnode_id=202517644&amp;ictv_id=ICTV202317644","ICTV202317644")</f>
        <v>ICTV202317644</v>
      </c>
      <c r="R12813" t="s">
        <v>581</v>
      </c>
      <c r="S12813" t="s">
        <v>823</v>
      </c>
      <c r="T12813">
        <v>39</v>
      </c>
      <c r="U12813" s="26" t="str">
        <f>HYPERLINK("https://ictv.global/ictv/proposals/2023.001B.Leviviricetes_reorg.zip","2023.001B.Leviviricetes_reorg.zip")</f>
        <v>2023.001B.Leviviricetes_reorg.zip</v>
      </c>
    </row>
    <row r="12814" spans="1:21">
      <c r="A12814">
        <v>12813</v>
      </c>
      <c r="B12814" s="27" t="s">
        <v>1124</v>
      </c>
      <c r="D12814" s="27" t="s">
        <v>1859</v>
      </c>
      <c r="F12814" s="27" t="s">
        <v>1881</v>
      </c>
      <c r="H12814" s="27" t="s">
        <v>2679</v>
      </c>
      <c r="J12814" s="27" t="s">
        <v>3210</v>
      </c>
      <c r="L12814" s="27" t="s">
        <v>3262</v>
      </c>
      <c r="N12814" s="27" t="s">
        <v>3433</v>
      </c>
      <c r="P12814" s="27" t="s">
        <v>16615</v>
      </c>
      <c r="Q12814" s="26" t="str">
        <f>HYPERLINK("https://ictv.global/taxonomy/taxondetails?taxnode_id=202517645&amp;ictv_id=ICTV202317645","ICTV202317645")</f>
        <v>ICTV202317645</v>
      </c>
      <c r="R12814" t="s">
        <v>581</v>
      </c>
      <c r="S12814" t="s">
        <v>823</v>
      </c>
      <c r="T12814">
        <v>39</v>
      </c>
      <c r="U12814" s="26" t="str">
        <f>HYPERLINK("https://ictv.global/ictv/proposals/2023.001B.Leviviricetes_reorg.zip","2023.001B.Leviviricetes_reorg.zip")</f>
        <v>2023.001B.Leviviricetes_reorg.zip</v>
      </c>
    </row>
    <row r="12815" spans="1:21">
      <c r="A12815">
        <v>12814</v>
      </c>
      <c r="B12815" s="27" t="s">
        <v>1124</v>
      </c>
      <c r="D12815" s="27" t="s">
        <v>1859</v>
      </c>
      <c r="F12815" s="27" t="s">
        <v>1881</v>
      </c>
      <c r="H12815" s="27" t="s">
        <v>2679</v>
      </c>
      <c r="J12815" s="27" t="s">
        <v>3210</v>
      </c>
      <c r="L12815" s="27" t="s">
        <v>3262</v>
      </c>
      <c r="N12815" s="27" t="s">
        <v>3433</v>
      </c>
      <c r="P12815" s="27" t="s">
        <v>16616</v>
      </c>
      <c r="Q12815" s="26" t="str">
        <f>HYPERLINK("https://ictv.global/taxonomy/taxondetails?taxnode_id=202517646&amp;ictv_id=ICTV202317646","ICTV202317646")</f>
        <v>ICTV202317646</v>
      </c>
      <c r="R12815" t="s">
        <v>581</v>
      </c>
      <c r="S12815" t="s">
        <v>823</v>
      </c>
      <c r="T12815">
        <v>39</v>
      </c>
      <c r="U12815" s="26" t="str">
        <f>HYPERLINK("https://ictv.global/ictv/proposals/2023.001B.Leviviricetes_reorg.zip","2023.001B.Leviviricetes_reorg.zip")</f>
        <v>2023.001B.Leviviricetes_reorg.zip</v>
      </c>
    </row>
    <row r="12816" spans="1:21">
      <c r="A12816">
        <v>12815</v>
      </c>
      <c r="B12816" s="27" t="s">
        <v>1124</v>
      </c>
      <c r="D12816" s="27" t="s">
        <v>1859</v>
      </c>
      <c r="F12816" s="27" t="s">
        <v>1881</v>
      </c>
      <c r="H12816" s="27" t="s">
        <v>2679</v>
      </c>
      <c r="J12816" s="27" t="s">
        <v>3210</v>
      </c>
      <c r="L12816" s="27" t="s">
        <v>3262</v>
      </c>
      <c r="N12816" s="27" t="s">
        <v>3433</v>
      </c>
      <c r="P12816" s="27" t="s">
        <v>16617</v>
      </c>
      <c r="Q12816" s="26" t="str">
        <f>HYPERLINK("https://ictv.global/taxonomy/taxondetails?taxnode_id=202517647&amp;ictv_id=ICTV202317647","ICTV202317647")</f>
        <v>ICTV202317647</v>
      </c>
      <c r="R12816" t="s">
        <v>581</v>
      </c>
      <c r="S12816" t="s">
        <v>823</v>
      </c>
      <c r="T12816">
        <v>39</v>
      </c>
      <c r="U12816" s="26" t="str">
        <f>HYPERLINK("https://ictv.global/ictv/proposals/2023.001B.Leviviricetes_reorg.zip","2023.001B.Leviviricetes_reorg.zip")</f>
        <v>2023.001B.Leviviricetes_reorg.zip</v>
      </c>
    </row>
    <row r="12817" spans="1:21">
      <c r="A12817">
        <v>12816</v>
      </c>
      <c r="B12817" s="27" t="s">
        <v>1124</v>
      </c>
      <c r="D12817" s="27" t="s">
        <v>1859</v>
      </c>
      <c r="F12817" s="27" t="s">
        <v>1881</v>
      </c>
      <c r="H12817" s="27" t="s">
        <v>2679</v>
      </c>
      <c r="J12817" s="27" t="s">
        <v>3210</v>
      </c>
      <c r="L12817" s="27" t="s">
        <v>3262</v>
      </c>
      <c r="N12817" s="27" t="s">
        <v>3433</v>
      </c>
      <c r="P12817" s="27" t="s">
        <v>16618</v>
      </c>
      <c r="Q12817" s="26" t="str">
        <f>HYPERLINK("https://ictv.global/taxonomy/taxondetails?taxnode_id=202517648&amp;ictv_id=ICTV202317648","ICTV202317648")</f>
        <v>ICTV202317648</v>
      </c>
      <c r="R12817" t="s">
        <v>581</v>
      </c>
      <c r="S12817" t="s">
        <v>823</v>
      </c>
      <c r="T12817">
        <v>39</v>
      </c>
      <c r="U12817" s="26" t="str">
        <f>HYPERLINK("https://ictv.global/ictv/proposals/2023.001B.Leviviricetes_reorg.zip","2023.001B.Leviviricetes_reorg.zip")</f>
        <v>2023.001B.Leviviricetes_reorg.zip</v>
      </c>
    </row>
    <row r="12818" spans="1:21">
      <c r="A12818">
        <v>12817</v>
      </c>
      <c r="B12818" s="27" t="s">
        <v>1124</v>
      </c>
      <c r="D12818" s="27" t="s">
        <v>1859</v>
      </c>
      <c r="F12818" s="27" t="s">
        <v>1881</v>
      </c>
      <c r="H12818" s="27" t="s">
        <v>2679</v>
      </c>
      <c r="J12818" s="27" t="s">
        <v>3210</v>
      </c>
      <c r="L12818" s="27" t="s">
        <v>3262</v>
      </c>
      <c r="N12818" s="27" t="s">
        <v>3435</v>
      </c>
      <c r="P12818" s="27" t="s">
        <v>3436</v>
      </c>
      <c r="Q12818" s="26" t="str">
        <f>HYPERLINK("https://ictv.global/taxonomy/taxondetails?taxnode_id=202511449&amp;ictv_id=ICTV202011449","ICTV202011449")</f>
        <v>ICTV202011449</v>
      </c>
      <c r="R12818" t="s">
        <v>581</v>
      </c>
      <c r="S12818" t="s">
        <v>823</v>
      </c>
      <c r="T12818">
        <v>36</v>
      </c>
      <c r="U12818" s="26" t="str">
        <f>HYPERLINK("https://ictv.global/ictv/proposals/2020.095B.R.Leviviricetes.zip","2020.095B.R.Leviviricetes.zip")</f>
        <v>2020.095B.R.Leviviricetes.zip</v>
      </c>
    </row>
    <row r="12819" spans="1:21">
      <c r="A12819">
        <v>12818</v>
      </c>
      <c r="B12819" s="27" t="s">
        <v>1124</v>
      </c>
      <c r="D12819" s="27" t="s">
        <v>1859</v>
      </c>
      <c r="F12819" s="27" t="s">
        <v>1881</v>
      </c>
      <c r="H12819" s="27" t="s">
        <v>2679</v>
      </c>
      <c r="J12819" s="27" t="s">
        <v>3210</v>
      </c>
      <c r="L12819" s="27" t="s">
        <v>3262</v>
      </c>
      <c r="N12819" s="27" t="s">
        <v>16619</v>
      </c>
      <c r="P12819" s="27" t="s">
        <v>16620</v>
      </c>
      <c r="Q12819" s="26" t="str">
        <f>HYPERLINK("https://ictv.global/taxonomy/taxondetails?taxnode_id=202517649&amp;ictv_id=ICTV202317649","ICTV202317649")</f>
        <v>ICTV202317649</v>
      </c>
      <c r="R12819" t="s">
        <v>581</v>
      </c>
      <c r="S12819" t="s">
        <v>823</v>
      </c>
      <c r="T12819">
        <v>39</v>
      </c>
      <c r="U12819" s="26" t="str">
        <f>HYPERLINK("https://ictv.global/ictv/proposals/2023.001B.Leviviricetes_reorg.zip","2023.001B.Leviviricetes_reorg.zip")</f>
        <v>2023.001B.Leviviricetes_reorg.zip</v>
      </c>
    </row>
    <row r="12820" spans="1:21">
      <c r="A12820">
        <v>12819</v>
      </c>
      <c r="B12820" s="27" t="s">
        <v>1124</v>
      </c>
      <c r="D12820" s="27" t="s">
        <v>1859</v>
      </c>
      <c r="F12820" s="27" t="s">
        <v>1881</v>
      </c>
      <c r="H12820" s="27" t="s">
        <v>2679</v>
      </c>
      <c r="J12820" s="27" t="s">
        <v>3210</v>
      </c>
      <c r="L12820" s="27" t="s">
        <v>3262</v>
      </c>
      <c r="N12820" s="27" t="s">
        <v>3437</v>
      </c>
      <c r="P12820" s="27" t="s">
        <v>16621</v>
      </c>
      <c r="Q12820" s="26" t="str">
        <f>HYPERLINK("https://ictv.global/taxonomy/taxondetails?taxnode_id=202517650&amp;ictv_id=ICTV202317650","ICTV202317650")</f>
        <v>ICTV202317650</v>
      </c>
      <c r="R12820" t="s">
        <v>581</v>
      </c>
      <c r="S12820" t="s">
        <v>823</v>
      </c>
      <c r="T12820">
        <v>39</v>
      </c>
      <c r="U12820" s="26" t="str">
        <f>HYPERLINK("https://ictv.global/ictv/proposals/2023.001B.Leviviricetes_reorg.zip","2023.001B.Leviviricetes_reorg.zip")</f>
        <v>2023.001B.Leviviricetes_reorg.zip</v>
      </c>
    </row>
    <row r="12821" spans="1:21">
      <c r="A12821">
        <v>12820</v>
      </c>
      <c r="B12821" s="27" t="s">
        <v>1124</v>
      </c>
      <c r="D12821" s="27" t="s">
        <v>1859</v>
      </c>
      <c r="F12821" s="27" t="s">
        <v>1881</v>
      </c>
      <c r="H12821" s="27" t="s">
        <v>2679</v>
      </c>
      <c r="J12821" s="27" t="s">
        <v>3210</v>
      </c>
      <c r="L12821" s="27" t="s">
        <v>3262</v>
      </c>
      <c r="N12821" s="27" t="s">
        <v>3437</v>
      </c>
      <c r="P12821" s="27" t="s">
        <v>16622</v>
      </c>
      <c r="Q12821" s="26" t="str">
        <f>HYPERLINK("https://ictv.global/taxonomy/taxondetails?taxnode_id=202517651&amp;ictv_id=ICTV202317651","ICTV202317651")</f>
        <v>ICTV202317651</v>
      </c>
      <c r="R12821" t="s">
        <v>581</v>
      </c>
      <c r="S12821" t="s">
        <v>823</v>
      </c>
      <c r="T12821">
        <v>39</v>
      </c>
      <c r="U12821" s="26" t="str">
        <f>HYPERLINK("https://ictv.global/ictv/proposals/2023.001B.Leviviricetes_reorg.zip","2023.001B.Leviviricetes_reorg.zip")</f>
        <v>2023.001B.Leviviricetes_reorg.zip</v>
      </c>
    </row>
    <row r="12822" spans="1:21">
      <c r="A12822">
        <v>12821</v>
      </c>
      <c r="B12822" s="27" t="s">
        <v>1124</v>
      </c>
      <c r="D12822" s="27" t="s">
        <v>1859</v>
      </c>
      <c r="F12822" s="27" t="s">
        <v>1881</v>
      </c>
      <c r="H12822" s="27" t="s">
        <v>2679</v>
      </c>
      <c r="J12822" s="27" t="s">
        <v>3210</v>
      </c>
      <c r="L12822" s="27" t="s">
        <v>3262</v>
      </c>
      <c r="N12822" s="27" t="s">
        <v>3437</v>
      </c>
      <c r="P12822" s="27" t="s">
        <v>16623</v>
      </c>
      <c r="Q12822" s="26" t="str">
        <f>HYPERLINK("https://ictv.global/taxonomy/taxondetails?taxnode_id=202517652&amp;ictv_id=ICTV202317652","ICTV202317652")</f>
        <v>ICTV202317652</v>
      </c>
      <c r="R12822" t="s">
        <v>581</v>
      </c>
      <c r="S12822" t="s">
        <v>823</v>
      </c>
      <c r="T12822">
        <v>39</v>
      </c>
      <c r="U12822" s="26" t="str">
        <f>HYPERLINK("https://ictv.global/ictv/proposals/2023.001B.Leviviricetes_reorg.zip","2023.001B.Leviviricetes_reorg.zip")</f>
        <v>2023.001B.Leviviricetes_reorg.zip</v>
      </c>
    </row>
    <row r="12823" spans="1:21">
      <c r="A12823">
        <v>12822</v>
      </c>
      <c r="B12823" s="27" t="s">
        <v>1124</v>
      </c>
      <c r="D12823" s="27" t="s">
        <v>1859</v>
      </c>
      <c r="F12823" s="27" t="s">
        <v>1881</v>
      </c>
      <c r="H12823" s="27" t="s">
        <v>2679</v>
      </c>
      <c r="J12823" s="27" t="s">
        <v>3210</v>
      </c>
      <c r="L12823" s="27" t="s">
        <v>3262</v>
      </c>
      <c r="N12823" s="27" t="s">
        <v>3437</v>
      </c>
      <c r="P12823" s="27" t="s">
        <v>16624</v>
      </c>
      <c r="Q12823" s="26" t="str">
        <f>HYPERLINK("https://ictv.global/taxonomy/taxondetails?taxnode_id=202517653&amp;ictv_id=ICTV202317653","ICTV202317653")</f>
        <v>ICTV202317653</v>
      </c>
      <c r="R12823" t="s">
        <v>581</v>
      </c>
      <c r="S12823" t="s">
        <v>823</v>
      </c>
      <c r="T12823">
        <v>39</v>
      </c>
      <c r="U12823" s="26" t="str">
        <f>HYPERLINK("https://ictv.global/ictv/proposals/2023.001B.Leviviricetes_reorg.zip","2023.001B.Leviviricetes_reorg.zip")</f>
        <v>2023.001B.Leviviricetes_reorg.zip</v>
      </c>
    </row>
    <row r="12824" spans="1:21">
      <c r="A12824">
        <v>12823</v>
      </c>
      <c r="B12824" s="27" t="s">
        <v>1124</v>
      </c>
      <c r="D12824" s="27" t="s">
        <v>1859</v>
      </c>
      <c r="F12824" s="27" t="s">
        <v>1881</v>
      </c>
      <c r="H12824" s="27" t="s">
        <v>2679</v>
      </c>
      <c r="J12824" s="27" t="s">
        <v>3210</v>
      </c>
      <c r="L12824" s="27" t="s">
        <v>3262</v>
      </c>
      <c r="N12824" s="27" t="s">
        <v>3437</v>
      </c>
      <c r="P12824" s="27" t="s">
        <v>3438</v>
      </c>
      <c r="Q12824" s="26" t="str">
        <f>HYPERLINK("https://ictv.global/taxonomy/taxondetails?taxnode_id=202511453&amp;ictv_id=ICTV202011453","ICTV202011453")</f>
        <v>ICTV202011453</v>
      </c>
      <c r="R12824" t="s">
        <v>581</v>
      </c>
      <c r="S12824" t="s">
        <v>823</v>
      </c>
      <c r="T12824">
        <v>36</v>
      </c>
      <c r="U12824" s="26" t="str">
        <f>HYPERLINK("https://ictv.global/ictv/proposals/2020.095B.R.Leviviricetes.zip","2020.095B.R.Leviviricetes.zip")</f>
        <v>2020.095B.R.Leviviricetes.zip</v>
      </c>
    </row>
    <row r="12825" spans="1:21">
      <c r="A12825">
        <v>12824</v>
      </c>
      <c r="B12825" s="27" t="s">
        <v>1124</v>
      </c>
      <c r="D12825" s="27" t="s">
        <v>1859</v>
      </c>
      <c r="F12825" s="27" t="s">
        <v>1881</v>
      </c>
      <c r="H12825" s="27" t="s">
        <v>2679</v>
      </c>
      <c r="J12825" s="27" t="s">
        <v>3210</v>
      </c>
      <c r="L12825" s="27" t="s">
        <v>3262</v>
      </c>
      <c r="N12825" s="27" t="s">
        <v>3437</v>
      </c>
      <c r="P12825" s="27" t="s">
        <v>16625</v>
      </c>
      <c r="Q12825" s="26" t="str">
        <f>HYPERLINK("https://ictv.global/taxonomy/taxondetails?taxnode_id=202511399&amp;ictv_id=ICTV202011399","ICTV202011399")</f>
        <v>ICTV202011399</v>
      </c>
      <c r="R12825" t="s">
        <v>581</v>
      </c>
      <c r="S12825" t="s">
        <v>22764</v>
      </c>
      <c r="T12825">
        <v>39</v>
      </c>
      <c r="U12825" s="26" t="str">
        <f t="shared" ref="U12825:U12857" si="472">HYPERLINK("https://ictv.global/ictv/proposals/2023.001B.Leviviricetes_reorg.zip","2023.001B.Leviviricetes_reorg.zip")</f>
        <v>2023.001B.Leviviricetes_reorg.zip</v>
      </c>
    </row>
    <row r="12826" spans="1:21">
      <c r="A12826">
        <v>12825</v>
      </c>
      <c r="B12826" s="27" t="s">
        <v>1124</v>
      </c>
      <c r="D12826" s="27" t="s">
        <v>1859</v>
      </c>
      <c r="F12826" s="27" t="s">
        <v>1881</v>
      </c>
      <c r="H12826" s="27" t="s">
        <v>2679</v>
      </c>
      <c r="J12826" s="27" t="s">
        <v>3210</v>
      </c>
      <c r="L12826" s="27" t="s">
        <v>3262</v>
      </c>
      <c r="N12826" s="27" t="s">
        <v>3437</v>
      </c>
      <c r="P12826" s="27" t="s">
        <v>16626</v>
      </c>
      <c r="Q12826" s="26" t="str">
        <f>HYPERLINK("https://ictv.global/taxonomy/taxondetails?taxnode_id=202511401&amp;ictv_id=ICTV202011401","ICTV202011401")</f>
        <v>ICTV202011401</v>
      </c>
      <c r="R12826" t="s">
        <v>581</v>
      </c>
      <c r="S12826" t="s">
        <v>22764</v>
      </c>
      <c r="T12826">
        <v>39</v>
      </c>
      <c r="U12826" s="26" t="str">
        <f t="shared" si="472"/>
        <v>2023.001B.Leviviricetes_reorg.zip</v>
      </c>
    </row>
    <row r="12827" spans="1:21">
      <c r="A12827">
        <v>12826</v>
      </c>
      <c r="B12827" s="27" t="s">
        <v>1124</v>
      </c>
      <c r="D12827" s="27" t="s">
        <v>1859</v>
      </c>
      <c r="F12827" s="27" t="s">
        <v>1881</v>
      </c>
      <c r="H12827" s="27" t="s">
        <v>2679</v>
      </c>
      <c r="J12827" s="27" t="s">
        <v>3210</v>
      </c>
      <c r="L12827" s="27" t="s">
        <v>3262</v>
      </c>
      <c r="N12827" s="27" t="s">
        <v>3437</v>
      </c>
      <c r="P12827" s="27" t="s">
        <v>16627</v>
      </c>
      <c r="Q12827" s="26" t="str">
        <f>HYPERLINK("https://ictv.global/taxonomy/taxondetails?taxnode_id=202511400&amp;ictv_id=ICTV202011400","ICTV202011400")</f>
        <v>ICTV202011400</v>
      </c>
      <c r="R12827" t="s">
        <v>581</v>
      </c>
      <c r="S12827" t="s">
        <v>22764</v>
      </c>
      <c r="T12827">
        <v>39</v>
      </c>
      <c r="U12827" s="26" t="str">
        <f t="shared" si="472"/>
        <v>2023.001B.Leviviricetes_reorg.zip</v>
      </c>
    </row>
    <row r="12828" spans="1:21">
      <c r="A12828">
        <v>12827</v>
      </c>
      <c r="B12828" s="27" t="s">
        <v>1124</v>
      </c>
      <c r="D12828" s="27" t="s">
        <v>1859</v>
      </c>
      <c r="F12828" s="27" t="s">
        <v>1881</v>
      </c>
      <c r="H12828" s="27" t="s">
        <v>2679</v>
      </c>
      <c r="J12828" s="27" t="s">
        <v>3210</v>
      </c>
      <c r="L12828" s="27" t="s">
        <v>3262</v>
      </c>
      <c r="N12828" s="27" t="s">
        <v>3437</v>
      </c>
      <c r="P12828" s="27" t="s">
        <v>16628</v>
      </c>
      <c r="Q12828" s="26" t="str">
        <f>HYPERLINK("https://ictv.global/taxonomy/taxondetails?taxnode_id=202511402&amp;ictv_id=ICTV202011402","ICTV202011402")</f>
        <v>ICTV202011402</v>
      </c>
      <c r="R12828" t="s">
        <v>581</v>
      </c>
      <c r="S12828" t="s">
        <v>22764</v>
      </c>
      <c r="T12828">
        <v>39</v>
      </c>
      <c r="U12828" s="26" t="str">
        <f t="shared" si="472"/>
        <v>2023.001B.Leviviricetes_reorg.zip</v>
      </c>
    </row>
    <row r="12829" spans="1:21">
      <c r="A12829">
        <v>12828</v>
      </c>
      <c r="B12829" s="27" t="s">
        <v>1124</v>
      </c>
      <c r="D12829" s="27" t="s">
        <v>1859</v>
      </c>
      <c r="F12829" s="27" t="s">
        <v>1881</v>
      </c>
      <c r="H12829" s="27" t="s">
        <v>2679</v>
      </c>
      <c r="J12829" s="27" t="s">
        <v>3210</v>
      </c>
      <c r="L12829" s="27" t="s">
        <v>3262</v>
      </c>
      <c r="N12829" s="27" t="s">
        <v>3437</v>
      </c>
      <c r="P12829" s="27" t="s">
        <v>16629</v>
      </c>
      <c r="Q12829" s="26" t="str">
        <f>HYPERLINK("https://ictv.global/taxonomy/taxondetails?taxnode_id=202511403&amp;ictv_id=ICTV202011403","ICTV202011403")</f>
        <v>ICTV202011403</v>
      </c>
      <c r="R12829" t="s">
        <v>581</v>
      </c>
      <c r="S12829" t="s">
        <v>22764</v>
      </c>
      <c r="T12829">
        <v>39</v>
      </c>
      <c r="U12829" s="26" t="str">
        <f t="shared" si="472"/>
        <v>2023.001B.Leviviricetes_reorg.zip</v>
      </c>
    </row>
    <row r="12830" spans="1:21">
      <c r="A12830">
        <v>12829</v>
      </c>
      <c r="B12830" s="27" t="s">
        <v>1124</v>
      </c>
      <c r="D12830" s="27" t="s">
        <v>1859</v>
      </c>
      <c r="F12830" s="27" t="s">
        <v>1881</v>
      </c>
      <c r="H12830" s="27" t="s">
        <v>2679</v>
      </c>
      <c r="J12830" s="27" t="s">
        <v>3210</v>
      </c>
      <c r="L12830" s="27" t="s">
        <v>3262</v>
      </c>
      <c r="N12830" s="27" t="s">
        <v>3437</v>
      </c>
      <c r="P12830" s="27" t="s">
        <v>16630</v>
      </c>
      <c r="Q12830" s="26" t="str">
        <f>HYPERLINK("https://ictv.global/taxonomy/taxondetails?taxnode_id=202511404&amp;ictv_id=ICTV202011404","ICTV202011404")</f>
        <v>ICTV202011404</v>
      </c>
      <c r="R12830" t="s">
        <v>581</v>
      </c>
      <c r="S12830" t="s">
        <v>22764</v>
      </c>
      <c r="T12830">
        <v>39</v>
      </c>
      <c r="U12830" s="26" t="str">
        <f t="shared" si="472"/>
        <v>2023.001B.Leviviricetes_reorg.zip</v>
      </c>
    </row>
    <row r="12831" spans="1:21">
      <c r="A12831">
        <v>12830</v>
      </c>
      <c r="B12831" s="27" t="s">
        <v>1124</v>
      </c>
      <c r="D12831" s="27" t="s">
        <v>1859</v>
      </c>
      <c r="F12831" s="27" t="s">
        <v>1881</v>
      </c>
      <c r="H12831" s="27" t="s">
        <v>2679</v>
      </c>
      <c r="J12831" s="27" t="s">
        <v>3210</v>
      </c>
      <c r="L12831" s="27" t="s">
        <v>3262</v>
      </c>
      <c r="N12831" s="27" t="s">
        <v>3437</v>
      </c>
      <c r="P12831" s="27" t="s">
        <v>16631</v>
      </c>
      <c r="Q12831" s="26" t="str">
        <f>HYPERLINK("https://ictv.global/taxonomy/taxondetails?taxnode_id=202517654&amp;ictv_id=ICTV202317654","ICTV202317654")</f>
        <v>ICTV202317654</v>
      </c>
      <c r="R12831" t="s">
        <v>581</v>
      </c>
      <c r="S12831" t="s">
        <v>823</v>
      </c>
      <c r="T12831">
        <v>39</v>
      </c>
      <c r="U12831" s="26" t="str">
        <f t="shared" si="472"/>
        <v>2023.001B.Leviviricetes_reorg.zip</v>
      </c>
    </row>
    <row r="12832" spans="1:21">
      <c r="A12832">
        <v>12831</v>
      </c>
      <c r="B12832" s="27" t="s">
        <v>1124</v>
      </c>
      <c r="D12832" s="27" t="s">
        <v>1859</v>
      </c>
      <c r="F12832" s="27" t="s">
        <v>1881</v>
      </c>
      <c r="H12832" s="27" t="s">
        <v>2679</v>
      </c>
      <c r="J12832" s="27" t="s">
        <v>3210</v>
      </c>
      <c r="L12832" s="27" t="s">
        <v>3262</v>
      </c>
      <c r="N12832" s="27" t="s">
        <v>3437</v>
      </c>
      <c r="P12832" s="27" t="s">
        <v>16632</v>
      </c>
      <c r="Q12832" s="26" t="str">
        <f>HYPERLINK("https://ictv.global/taxonomy/taxondetails?taxnode_id=202517655&amp;ictv_id=ICTV202317655","ICTV202317655")</f>
        <v>ICTV202317655</v>
      </c>
      <c r="R12832" t="s">
        <v>581</v>
      </c>
      <c r="S12832" t="s">
        <v>823</v>
      </c>
      <c r="T12832">
        <v>39</v>
      </c>
      <c r="U12832" s="26" t="str">
        <f t="shared" si="472"/>
        <v>2023.001B.Leviviricetes_reorg.zip</v>
      </c>
    </row>
    <row r="12833" spans="1:21">
      <c r="A12833">
        <v>12832</v>
      </c>
      <c r="B12833" s="27" t="s">
        <v>1124</v>
      </c>
      <c r="D12833" s="27" t="s">
        <v>1859</v>
      </c>
      <c r="F12833" s="27" t="s">
        <v>1881</v>
      </c>
      <c r="H12833" s="27" t="s">
        <v>2679</v>
      </c>
      <c r="J12833" s="27" t="s">
        <v>3210</v>
      </c>
      <c r="L12833" s="27" t="s">
        <v>3262</v>
      </c>
      <c r="N12833" s="27" t="s">
        <v>3437</v>
      </c>
      <c r="P12833" s="27" t="s">
        <v>16633</v>
      </c>
      <c r="Q12833" s="26" t="str">
        <f>HYPERLINK("https://ictv.global/taxonomy/taxondetails?taxnode_id=202517656&amp;ictv_id=ICTV202317656","ICTV202317656")</f>
        <v>ICTV202317656</v>
      </c>
      <c r="R12833" t="s">
        <v>581</v>
      </c>
      <c r="S12833" t="s">
        <v>823</v>
      </c>
      <c r="T12833">
        <v>39</v>
      </c>
      <c r="U12833" s="26" t="str">
        <f t="shared" si="472"/>
        <v>2023.001B.Leviviricetes_reorg.zip</v>
      </c>
    </row>
    <row r="12834" spans="1:21">
      <c r="A12834">
        <v>12833</v>
      </c>
      <c r="B12834" s="27" t="s">
        <v>1124</v>
      </c>
      <c r="D12834" s="27" t="s">
        <v>1859</v>
      </c>
      <c r="F12834" s="27" t="s">
        <v>1881</v>
      </c>
      <c r="H12834" s="27" t="s">
        <v>2679</v>
      </c>
      <c r="J12834" s="27" t="s">
        <v>3210</v>
      </c>
      <c r="L12834" s="27" t="s">
        <v>3262</v>
      </c>
      <c r="N12834" s="27" t="s">
        <v>3437</v>
      </c>
      <c r="P12834" s="27" t="s">
        <v>16634</v>
      </c>
      <c r="Q12834" s="26" t="str">
        <f>HYPERLINK("https://ictv.global/taxonomy/taxondetails?taxnode_id=202517657&amp;ictv_id=ICTV202317657","ICTV202317657")</f>
        <v>ICTV202317657</v>
      </c>
      <c r="R12834" t="s">
        <v>581</v>
      </c>
      <c r="S12834" t="s">
        <v>823</v>
      </c>
      <c r="T12834">
        <v>39</v>
      </c>
      <c r="U12834" s="26" t="str">
        <f t="shared" si="472"/>
        <v>2023.001B.Leviviricetes_reorg.zip</v>
      </c>
    </row>
    <row r="12835" spans="1:21">
      <c r="A12835">
        <v>12834</v>
      </c>
      <c r="B12835" s="27" t="s">
        <v>1124</v>
      </c>
      <c r="D12835" s="27" t="s">
        <v>1859</v>
      </c>
      <c r="F12835" s="27" t="s">
        <v>1881</v>
      </c>
      <c r="H12835" s="27" t="s">
        <v>2679</v>
      </c>
      <c r="J12835" s="27" t="s">
        <v>3210</v>
      </c>
      <c r="L12835" s="27" t="s">
        <v>3262</v>
      </c>
      <c r="N12835" s="27" t="s">
        <v>3437</v>
      </c>
      <c r="P12835" s="27" t="s">
        <v>16635</v>
      </c>
      <c r="Q12835" s="26" t="str">
        <f>HYPERLINK("https://ictv.global/taxonomy/taxondetails?taxnode_id=202511405&amp;ictv_id=ICTV202011405","ICTV202011405")</f>
        <v>ICTV202011405</v>
      </c>
      <c r="R12835" t="s">
        <v>581</v>
      </c>
      <c r="S12835" t="s">
        <v>22764</v>
      </c>
      <c r="T12835">
        <v>39</v>
      </c>
      <c r="U12835" s="26" t="str">
        <f t="shared" si="472"/>
        <v>2023.001B.Leviviricetes_reorg.zip</v>
      </c>
    </row>
    <row r="12836" spans="1:21">
      <c r="A12836">
        <v>12835</v>
      </c>
      <c r="B12836" s="27" t="s">
        <v>1124</v>
      </c>
      <c r="D12836" s="27" t="s">
        <v>1859</v>
      </c>
      <c r="F12836" s="27" t="s">
        <v>1881</v>
      </c>
      <c r="H12836" s="27" t="s">
        <v>2679</v>
      </c>
      <c r="J12836" s="27" t="s">
        <v>3210</v>
      </c>
      <c r="L12836" s="27" t="s">
        <v>3262</v>
      </c>
      <c r="N12836" s="27" t="s">
        <v>3437</v>
      </c>
      <c r="P12836" s="27" t="s">
        <v>16636</v>
      </c>
      <c r="Q12836" s="26" t="str">
        <f>HYPERLINK("https://ictv.global/taxonomy/taxondetails?taxnode_id=202511406&amp;ictv_id=ICTV202011406","ICTV202011406")</f>
        <v>ICTV202011406</v>
      </c>
      <c r="R12836" t="s">
        <v>581</v>
      </c>
      <c r="S12836" t="s">
        <v>22764</v>
      </c>
      <c r="T12836">
        <v>39</v>
      </c>
      <c r="U12836" s="26" t="str">
        <f t="shared" si="472"/>
        <v>2023.001B.Leviviricetes_reorg.zip</v>
      </c>
    </row>
    <row r="12837" spans="1:21">
      <c r="A12837">
        <v>12836</v>
      </c>
      <c r="B12837" s="27" t="s">
        <v>1124</v>
      </c>
      <c r="D12837" s="27" t="s">
        <v>1859</v>
      </c>
      <c r="F12837" s="27" t="s">
        <v>1881</v>
      </c>
      <c r="H12837" s="27" t="s">
        <v>2679</v>
      </c>
      <c r="J12837" s="27" t="s">
        <v>3210</v>
      </c>
      <c r="L12837" s="27" t="s">
        <v>3262</v>
      </c>
      <c r="N12837" s="27" t="s">
        <v>3437</v>
      </c>
      <c r="P12837" s="27" t="s">
        <v>16637</v>
      </c>
      <c r="Q12837" s="26" t="str">
        <f>HYPERLINK("https://ictv.global/taxonomy/taxondetails?taxnode_id=202511407&amp;ictv_id=ICTV202011407","ICTV202011407")</f>
        <v>ICTV202011407</v>
      </c>
      <c r="R12837" t="s">
        <v>581</v>
      </c>
      <c r="S12837" t="s">
        <v>22764</v>
      </c>
      <c r="T12837">
        <v>39</v>
      </c>
      <c r="U12837" s="26" t="str">
        <f t="shared" si="472"/>
        <v>2023.001B.Leviviricetes_reorg.zip</v>
      </c>
    </row>
    <row r="12838" spans="1:21">
      <c r="A12838">
        <v>12837</v>
      </c>
      <c r="B12838" s="27" t="s">
        <v>1124</v>
      </c>
      <c r="D12838" s="27" t="s">
        <v>1859</v>
      </c>
      <c r="F12838" s="27" t="s">
        <v>1881</v>
      </c>
      <c r="H12838" s="27" t="s">
        <v>2679</v>
      </c>
      <c r="J12838" s="27" t="s">
        <v>3210</v>
      </c>
      <c r="L12838" s="27" t="s">
        <v>3262</v>
      </c>
      <c r="N12838" s="27" t="s">
        <v>3437</v>
      </c>
      <c r="P12838" s="27" t="s">
        <v>16638</v>
      </c>
      <c r="Q12838" s="26" t="str">
        <f>HYPERLINK("https://ictv.global/taxonomy/taxondetails?taxnode_id=202511408&amp;ictv_id=ICTV202011408","ICTV202011408")</f>
        <v>ICTV202011408</v>
      </c>
      <c r="R12838" t="s">
        <v>581</v>
      </c>
      <c r="S12838" t="s">
        <v>22764</v>
      </c>
      <c r="T12838">
        <v>39</v>
      </c>
      <c r="U12838" s="26" t="str">
        <f t="shared" si="472"/>
        <v>2023.001B.Leviviricetes_reorg.zip</v>
      </c>
    </row>
    <row r="12839" spans="1:21">
      <c r="A12839">
        <v>12838</v>
      </c>
      <c r="B12839" s="27" t="s">
        <v>1124</v>
      </c>
      <c r="D12839" s="27" t="s">
        <v>1859</v>
      </c>
      <c r="F12839" s="27" t="s">
        <v>1881</v>
      </c>
      <c r="H12839" s="27" t="s">
        <v>2679</v>
      </c>
      <c r="J12839" s="27" t="s">
        <v>3210</v>
      </c>
      <c r="L12839" s="27" t="s">
        <v>3262</v>
      </c>
      <c r="N12839" s="27" t="s">
        <v>3437</v>
      </c>
      <c r="P12839" s="27" t="s">
        <v>16639</v>
      </c>
      <c r="Q12839" s="26" t="str">
        <f>HYPERLINK("https://ictv.global/taxonomy/taxondetails?taxnode_id=202511409&amp;ictv_id=ICTV202011409","ICTV202011409")</f>
        <v>ICTV202011409</v>
      </c>
      <c r="R12839" t="s">
        <v>581</v>
      </c>
      <c r="S12839" t="s">
        <v>22764</v>
      </c>
      <c r="T12839">
        <v>39</v>
      </c>
      <c r="U12839" s="26" t="str">
        <f t="shared" si="472"/>
        <v>2023.001B.Leviviricetes_reorg.zip</v>
      </c>
    </row>
    <row r="12840" spans="1:21">
      <c r="A12840">
        <v>12839</v>
      </c>
      <c r="B12840" s="27" t="s">
        <v>1124</v>
      </c>
      <c r="D12840" s="27" t="s">
        <v>1859</v>
      </c>
      <c r="F12840" s="27" t="s">
        <v>1881</v>
      </c>
      <c r="H12840" s="27" t="s">
        <v>2679</v>
      </c>
      <c r="J12840" s="27" t="s">
        <v>3210</v>
      </c>
      <c r="L12840" s="27" t="s">
        <v>3262</v>
      </c>
      <c r="N12840" s="27" t="s">
        <v>3437</v>
      </c>
      <c r="P12840" s="27" t="s">
        <v>16640</v>
      </c>
      <c r="Q12840" s="26" t="str">
        <f>HYPERLINK("https://ictv.global/taxonomy/taxondetails?taxnode_id=202511410&amp;ictv_id=ICTV202011410","ICTV202011410")</f>
        <v>ICTV202011410</v>
      </c>
      <c r="R12840" t="s">
        <v>581</v>
      </c>
      <c r="S12840" t="s">
        <v>22764</v>
      </c>
      <c r="T12840">
        <v>39</v>
      </c>
      <c r="U12840" s="26" t="str">
        <f t="shared" si="472"/>
        <v>2023.001B.Leviviricetes_reorg.zip</v>
      </c>
    </row>
    <row r="12841" spans="1:21">
      <c r="A12841">
        <v>12840</v>
      </c>
      <c r="B12841" s="27" t="s">
        <v>1124</v>
      </c>
      <c r="D12841" s="27" t="s">
        <v>1859</v>
      </c>
      <c r="F12841" s="27" t="s">
        <v>1881</v>
      </c>
      <c r="H12841" s="27" t="s">
        <v>2679</v>
      </c>
      <c r="J12841" s="27" t="s">
        <v>3210</v>
      </c>
      <c r="L12841" s="27" t="s">
        <v>3262</v>
      </c>
      <c r="N12841" s="27" t="s">
        <v>3437</v>
      </c>
      <c r="P12841" s="27" t="s">
        <v>16641</v>
      </c>
      <c r="Q12841" s="26" t="str">
        <f>HYPERLINK("https://ictv.global/taxonomy/taxondetails?taxnode_id=202517658&amp;ictv_id=ICTV202317658","ICTV202317658")</f>
        <v>ICTV202317658</v>
      </c>
      <c r="R12841" t="s">
        <v>581</v>
      </c>
      <c r="S12841" t="s">
        <v>823</v>
      </c>
      <c r="T12841">
        <v>39</v>
      </c>
      <c r="U12841" s="26" t="str">
        <f t="shared" si="472"/>
        <v>2023.001B.Leviviricetes_reorg.zip</v>
      </c>
    </row>
    <row r="12842" spans="1:21">
      <c r="A12842">
        <v>12841</v>
      </c>
      <c r="B12842" s="27" t="s">
        <v>1124</v>
      </c>
      <c r="D12842" s="27" t="s">
        <v>1859</v>
      </c>
      <c r="F12842" s="27" t="s">
        <v>1881</v>
      </c>
      <c r="H12842" s="27" t="s">
        <v>2679</v>
      </c>
      <c r="J12842" s="27" t="s">
        <v>3210</v>
      </c>
      <c r="L12842" s="27" t="s">
        <v>3262</v>
      </c>
      <c r="N12842" s="27" t="s">
        <v>3437</v>
      </c>
      <c r="P12842" s="27" t="s">
        <v>16642</v>
      </c>
      <c r="Q12842" s="26" t="str">
        <f>HYPERLINK("https://ictv.global/taxonomy/taxondetails?taxnode_id=202517659&amp;ictv_id=ICTV202317659","ICTV202317659")</f>
        <v>ICTV202317659</v>
      </c>
      <c r="R12842" t="s">
        <v>581</v>
      </c>
      <c r="S12842" t="s">
        <v>823</v>
      </c>
      <c r="T12842">
        <v>39</v>
      </c>
      <c r="U12842" s="26" t="str">
        <f t="shared" si="472"/>
        <v>2023.001B.Leviviricetes_reorg.zip</v>
      </c>
    </row>
    <row r="12843" spans="1:21">
      <c r="A12843">
        <v>12842</v>
      </c>
      <c r="B12843" s="27" t="s">
        <v>1124</v>
      </c>
      <c r="D12843" s="27" t="s">
        <v>1859</v>
      </c>
      <c r="F12843" s="27" t="s">
        <v>1881</v>
      </c>
      <c r="H12843" s="27" t="s">
        <v>2679</v>
      </c>
      <c r="J12843" s="27" t="s">
        <v>3210</v>
      </c>
      <c r="L12843" s="27" t="s">
        <v>3262</v>
      </c>
      <c r="N12843" s="27" t="s">
        <v>3437</v>
      </c>
      <c r="P12843" s="27" t="s">
        <v>16643</v>
      </c>
      <c r="Q12843" s="26" t="str">
        <f>HYPERLINK("https://ictv.global/taxonomy/taxondetails?taxnode_id=202517660&amp;ictv_id=ICTV202317660","ICTV202317660")</f>
        <v>ICTV202317660</v>
      </c>
      <c r="R12843" t="s">
        <v>581</v>
      </c>
      <c r="S12843" t="s">
        <v>823</v>
      </c>
      <c r="T12843">
        <v>39</v>
      </c>
      <c r="U12843" s="26" t="str">
        <f t="shared" si="472"/>
        <v>2023.001B.Leviviricetes_reorg.zip</v>
      </c>
    </row>
    <row r="12844" spans="1:21">
      <c r="A12844">
        <v>12843</v>
      </c>
      <c r="B12844" s="27" t="s">
        <v>1124</v>
      </c>
      <c r="D12844" s="27" t="s">
        <v>1859</v>
      </c>
      <c r="F12844" s="27" t="s">
        <v>1881</v>
      </c>
      <c r="H12844" s="27" t="s">
        <v>2679</v>
      </c>
      <c r="J12844" s="27" t="s">
        <v>3210</v>
      </c>
      <c r="L12844" s="27" t="s">
        <v>3262</v>
      </c>
      <c r="N12844" s="27" t="s">
        <v>3437</v>
      </c>
      <c r="P12844" s="27" t="s">
        <v>16644</v>
      </c>
      <c r="Q12844" s="26" t="str">
        <f>HYPERLINK("https://ictv.global/taxonomy/taxondetails?taxnode_id=202517661&amp;ictv_id=ICTV202317661","ICTV202317661")</f>
        <v>ICTV202317661</v>
      </c>
      <c r="R12844" t="s">
        <v>581</v>
      </c>
      <c r="S12844" t="s">
        <v>823</v>
      </c>
      <c r="T12844">
        <v>39</v>
      </c>
      <c r="U12844" s="26" t="str">
        <f t="shared" si="472"/>
        <v>2023.001B.Leviviricetes_reorg.zip</v>
      </c>
    </row>
    <row r="12845" spans="1:21">
      <c r="A12845">
        <v>12844</v>
      </c>
      <c r="B12845" s="27" t="s">
        <v>1124</v>
      </c>
      <c r="D12845" s="27" t="s">
        <v>1859</v>
      </c>
      <c r="F12845" s="27" t="s">
        <v>1881</v>
      </c>
      <c r="H12845" s="27" t="s">
        <v>2679</v>
      </c>
      <c r="J12845" s="27" t="s">
        <v>3210</v>
      </c>
      <c r="L12845" s="27" t="s">
        <v>3262</v>
      </c>
      <c r="N12845" s="27" t="s">
        <v>3437</v>
      </c>
      <c r="P12845" s="27" t="s">
        <v>16645</v>
      </c>
      <c r="Q12845" s="26" t="str">
        <f>HYPERLINK("https://ictv.global/taxonomy/taxondetails?taxnode_id=202517662&amp;ictv_id=ICTV202317662","ICTV202317662")</f>
        <v>ICTV202317662</v>
      </c>
      <c r="R12845" t="s">
        <v>581</v>
      </c>
      <c r="S12845" t="s">
        <v>823</v>
      </c>
      <c r="T12845">
        <v>39</v>
      </c>
      <c r="U12845" s="26" t="str">
        <f t="shared" si="472"/>
        <v>2023.001B.Leviviricetes_reorg.zip</v>
      </c>
    </row>
    <row r="12846" spans="1:21">
      <c r="A12846">
        <v>12845</v>
      </c>
      <c r="B12846" s="27" t="s">
        <v>1124</v>
      </c>
      <c r="D12846" s="27" t="s">
        <v>1859</v>
      </c>
      <c r="F12846" s="27" t="s">
        <v>1881</v>
      </c>
      <c r="H12846" s="27" t="s">
        <v>2679</v>
      </c>
      <c r="J12846" s="27" t="s">
        <v>3210</v>
      </c>
      <c r="L12846" s="27" t="s">
        <v>3262</v>
      </c>
      <c r="N12846" s="27" t="s">
        <v>3437</v>
      </c>
      <c r="P12846" s="27" t="s">
        <v>16646</v>
      </c>
      <c r="Q12846" s="26" t="str">
        <f>HYPERLINK("https://ictv.global/taxonomy/taxondetails?taxnode_id=202517663&amp;ictv_id=ICTV202317663","ICTV202317663")</f>
        <v>ICTV202317663</v>
      </c>
      <c r="R12846" t="s">
        <v>581</v>
      </c>
      <c r="S12846" t="s">
        <v>823</v>
      </c>
      <c r="T12846">
        <v>39</v>
      </c>
      <c r="U12846" s="26" t="str">
        <f t="shared" si="472"/>
        <v>2023.001B.Leviviricetes_reorg.zip</v>
      </c>
    </row>
    <row r="12847" spans="1:21">
      <c r="A12847">
        <v>12846</v>
      </c>
      <c r="B12847" s="27" t="s">
        <v>1124</v>
      </c>
      <c r="D12847" s="27" t="s">
        <v>1859</v>
      </c>
      <c r="F12847" s="27" t="s">
        <v>1881</v>
      </c>
      <c r="H12847" s="27" t="s">
        <v>2679</v>
      </c>
      <c r="J12847" s="27" t="s">
        <v>3210</v>
      </c>
      <c r="L12847" s="27" t="s">
        <v>3262</v>
      </c>
      <c r="N12847" s="27" t="s">
        <v>3437</v>
      </c>
      <c r="P12847" s="27" t="s">
        <v>16647</v>
      </c>
      <c r="Q12847" s="26" t="str">
        <f>HYPERLINK("https://ictv.global/taxonomy/taxondetails?taxnode_id=202517664&amp;ictv_id=ICTV202317664","ICTV202317664")</f>
        <v>ICTV202317664</v>
      </c>
      <c r="R12847" t="s">
        <v>581</v>
      </c>
      <c r="S12847" t="s">
        <v>823</v>
      </c>
      <c r="T12847">
        <v>39</v>
      </c>
      <c r="U12847" s="26" t="str">
        <f t="shared" si="472"/>
        <v>2023.001B.Leviviricetes_reorg.zip</v>
      </c>
    </row>
    <row r="12848" spans="1:21">
      <c r="A12848">
        <v>12847</v>
      </c>
      <c r="B12848" s="27" t="s">
        <v>1124</v>
      </c>
      <c r="D12848" s="27" t="s">
        <v>1859</v>
      </c>
      <c r="F12848" s="27" t="s">
        <v>1881</v>
      </c>
      <c r="H12848" s="27" t="s">
        <v>2679</v>
      </c>
      <c r="J12848" s="27" t="s">
        <v>3210</v>
      </c>
      <c r="L12848" s="27" t="s">
        <v>3262</v>
      </c>
      <c r="N12848" s="27" t="s">
        <v>3437</v>
      </c>
      <c r="P12848" s="27" t="s">
        <v>16648</v>
      </c>
      <c r="Q12848" s="26" t="str">
        <f>HYPERLINK("https://ictv.global/taxonomy/taxondetails?taxnode_id=202517665&amp;ictv_id=ICTV202317665","ICTV202317665")</f>
        <v>ICTV202317665</v>
      </c>
      <c r="R12848" t="s">
        <v>581</v>
      </c>
      <c r="S12848" t="s">
        <v>823</v>
      </c>
      <c r="T12848">
        <v>39</v>
      </c>
      <c r="U12848" s="26" t="str">
        <f t="shared" si="472"/>
        <v>2023.001B.Leviviricetes_reorg.zip</v>
      </c>
    </row>
    <row r="12849" spans="1:21">
      <c r="A12849">
        <v>12848</v>
      </c>
      <c r="B12849" s="27" t="s">
        <v>1124</v>
      </c>
      <c r="D12849" s="27" t="s">
        <v>1859</v>
      </c>
      <c r="F12849" s="27" t="s">
        <v>1881</v>
      </c>
      <c r="H12849" s="27" t="s">
        <v>2679</v>
      </c>
      <c r="J12849" s="27" t="s">
        <v>3210</v>
      </c>
      <c r="L12849" s="27" t="s">
        <v>3262</v>
      </c>
      <c r="N12849" s="27" t="s">
        <v>3437</v>
      </c>
      <c r="P12849" s="27" t="s">
        <v>16649</v>
      </c>
      <c r="Q12849" s="26" t="str">
        <f>HYPERLINK("https://ictv.global/taxonomy/taxondetails?taxnode_id=202517666&amp;ictv_id=ICTV202317666","ICTV202317666")</f>
        <v>ICTV202317666</v>
      </c>
      <c r="R12849" t="s">
        <v>581</v>
      </c>
      <c r="S12849" t="s">
        <v>823</v>
      </c>
      <c r="T12849">
        <v>39</v>
      </c>
      <c r="U12849" s="26" t="str">
        <f t="shared" si="472"/>
        <v>2023.001B.Leviviricetes_reorg.zip</v>
      </c>
    </row>
    <row r="12850" spans="1:21">
      <c r="A12850">
        <v>12849</v>
      </c>
      <c r="B12850" s="27" t="s">
        <v>1124</v>
      </c>
      <c r="D12850" s="27" t="s">
        <v>1859</v>
      </c>
      <c r="F12850" s="27" t="s">
        <v>1881</v>
      </c>
      <c r="H12850" s="27" t="s">
        <v>2679</v>
      </c>
      <c r="J12850" s="27" t="s">
        <v>3210</v>
      </c>
      <c r="L12850" s="27" t="s">
        <v>3262</v>
      </c>
      <c r="N12850" s="27" t="s">
        <v>3437</v>
      </c>
      <c r="P12850" s="27" t="s">
        <v>16650</v>
      </c>
      <c r="Q12850" s="26" t="str">
        <f>HYPERLINK("https://ictv.global/taxonomy/taxondetails?taxnode_id=202511394&amp;ictv_id=ICTV202011394","ICTV202011394")</f>
        <v>ICTV202011394</v>
      </c>
      <c r="R12850" t="s">
        <v>581</v>
      </c>
      <c r="S12850" t="s">
        <v>22764</v>
      </c>
      <c r="T12850">
        <v>39</v>
      </c>
      <c r="U12850" s="26" t="str">
        <f t="shared" si="472"/>
        <v>2023.001B.Leviviricetes_reorg.zip</v>
      </c>
    </row>
    <row r="12851" spans="1:21">
      <c r="A12851">
        <v>12850</v>
      </c>
      <c r="B12851" s="27" t="s">
        <v>1124</v>
      </c>
      <c r="D12851" s="27" t="s">
        <v>1859</v>
      </c>
      <c r="F12851" s="27" t="s">
        <v>1881</v>
      </c>
      <c r="H12851" s="27" t="s">
        <v>2679</v>
      </c>
      <c r="J12851" s="27" t="s">
        <v>3210</v>
      </c>
      <c r="L12851" s="27" t="s">
        <v>3262</v>
      </c>
      <c r="N12851" s="27" t="s">
        <v>3437</v>
      </c>
      <c r="P12851" s="27" t="s">
        <v>16651</v>
      </c>
      <c r="Q12851" s="26" t="str">
        <f>HYPERLINK("https://ictv.global/taxonomy/taxondetails?taxnode_id=202511393&amp;ictv_id=ICTV202011393","ICTV202011393")</f>
        <v>ICTV202011393</v>
      </c>
      <c r="R12851" t="s">
        <v>581</v>
      </c>
      <c r="S12851" t="s">
        <v>22764</v>
      </c>
      <c r="T12851">
        <v>39</v>
      </c>
      <c r="U12851" s="26" t="str">
        <f t="shared" si="472"/>
        <v>2023.001B.Leviviricetes_reorg.zip</v>
      </c>
    </row>
    <row r="12852" spans="1:21">
      <c r="A12852">
        <v>12851</v>
      </c>
      <c r="B12852" s="27" t="s">
        <v>1124</v>
      </c>
      <c r="D12852" s="27" t="s">
        <v>1859</v>
      </c>
      <c r="F12852" s="27" t="s">
        <v>1881</v>
      </c>
      <c r="H12852" s="27" t="s">
        <v>2679</v>
      </c>
      <c r="J12852" s="27" t="s">
        <v>3210</v>
      </c>
      <c r="L12852" s="27" t="s">
        <v>3262</v>
      </c>
      <c r="N12852" s="27" t="s">
        <v>3437</v>
      </c>
      <c r="P12852" s="27" t="s">
        <v>16652</v>
      </c>
      <c r="Q12852" s="26" t="str">
        <f>HYPERLINK("https://ictv.global/taxonomy/taxondetails?taxnode_id=202511395&amp;ictv_id=ICTV202011395","ICTV202011395")</f>
        <v>ICTV202011395</v>
      </c>
      <c r="R12852" t="s">
        <v>581</v>
      </c>
      <c r="S12852" t="s">
        <v>22764</v>
      </c>
      <c r="T12852">
        <v>39</v>
      </c>
      <c r="U12852" s="26" t="str">
        <f t="shared" si="472"/>
        <v>2023.001B.Leviviricetes_reorg.zip</v>
      </c>
    </row>
    <row r="12853" spans="1:21">
      <c r="A12853">
        <v>12852</v>
      </c>
      <c r="B12853" s="27" t="s">
        <v>1124</v>
      </c>
      <c r="D12853" s="27" t="s">
        <v>1859</v>
      </c>
      <c r="F12853" s="27" t="s">
        <v>1881</v>
      </c>
      <c r="H12853" s="27" t="s">
        <v>2679</v>
      </c>
      <c r="J12853" s="27" t="s">
        <v>3210</v>
      </c>
      <c r="L12853" s="27" t="s">
        <v>3262</v>
      </c>
      <c r="N12853" s="27" t="s">
        <v>3437</v>
      </c>
      <c r="P12853" s="27" t="s">
        <v>16653</v>
      </c>
      <c r="Q12853" s="26" t="str">
        <f>HYPERLINK("https://ictv.global/taxonomy/taxondetails?taxnode_id=202511396&amp;ictv_id=ICTV202011396","ICTV202011396")</f>
        <v>ICTV202011396</v>
      </c>
      <c r="R12853" t="s">
        <v>581</v>
      </c>
      <c r="S12853" t="s">
        <v>22764</v>
      </c>
      <c r="T12853">
        <v>39</v>
      </c>
      <c r="U12853" s="26" t="str">
        <f t="shared" si="472"/>
        <v>2023.001B.Leviviricetes_reorg.zip</v>
      </c>
    </row>
    <row r="12854" spans="1:21">
      <c r="A12854">
        <v>12853</v>
      </c>
      <c r="B12854" s="27" t="s">
        <v>1124</v>
      </c>
      <c r="D12854" s="27" t="s">
        <v>1859</v>
      </c>
      <c r="F12854" s="27" t="s">
        <v>1881</v>
      </c>
      <c r="H12854" s="27" t="s">
        <v>2679</v>
      </c>
      <c r="J12854" s="27" t="s">
        <v>3210</v>
      </c>
      <c r="L12854" s="27" t="s">
        <v>3262</v>
      </c>
      <c r="N12854" s="27" t="s">
        <v>3437</v>
      </c>
      <c r="P12854" s="27" t="s">
        <v>16654</v>
      </c>
      <c r="Q12854" s="26" t="str">
        <f>HYPERLINK("https://ictv.global/taxonomy/taxondetails?taxnode_id=202511397&amp;ictv_id=ICTV202011397","ICTV202011397")</f>
        <v>ICTV202011397</v>
      </c>
      <c r="R12854" t="s">
        <v>581</v>
      </c>
      <c r="S12854" t="s">
        <v>22764</v>
      </c>
      <c r="T12854">
        <v>39</v>
      </c>
      <c r="U12854" s="26" t="str">
        <f t="shared" si="472"/>
        <v>2023.001B.Leviviricetes_reorg.zip</v>
      </c>
    </row>
    <row r="12855" spans="1:21">
      <c r="A12855">
        <v>12854</v>
      </c>
      <c r="B12855" s="27" t="s">
        <v>1124</v>
      </c>
      <c r="D12855" s="27" t="s">
        <v>1859</v>
      </c>
      <c r="F12855" s="27" t="s">
        <v>1881</v>
      </c>
      <c r="H12855" s="27" t="s">
        <v>2679</v>
      </c>
      <c r="J12855" s="27" t="s">
        <v>3210</v>
      </c>
      <c r="L12855" s="27" t="s">
        <v>3262</v>
      </c>
      <c r="N12855" s="27" t="s">
        <v>3437</v>
      </c>
      <c r="P12855" s="27" t="s">
        <v>16655</v>
      </c>
      <c r="Q12855" s="26" t="str">
        <f>HYPERLINK("https://ictv.global/taxonomy/taxondetails?taxnode_id=202511398&amp;ictv_id=ICTV202011398","ICTV202011398")</f>
        <v>ICTV202011398</v>
      </c>
      <c r="R12855" t="s">
        <v>581</v>
      </c>
      <c r="S12855" t="s">
        <v>22764</v>
      </c>
      <c r="T12855">
        <v>39</v>
      </c>
      <c r="U12855" s="26" t="str">
        <f t="shared" si="472"/>
        <v>2023.001B.Leviviricetes_reorg.zip</v>
      </c>
    </row>
    <row r="12856" spans="1:21">
      <c r="A12856">
        <v>12855</v>
      </c>
      <c r="B12856" s="27" t="s">
        <v>1124</v>
      </c>
      <c r="D12856" s="27" t="s">
        <v>1859</v>
      </c>
      <c r="F12856" s="27" t="s">
        <v>1881</v>
      </c>
      <c r="H12856" s="27" t="s">
        <v>2679</v>
      </c>
      <c r="J12856" s="27" t="s">
        <v>3210</v>
      </c>
      <c r="L12856" s="27" t="s">
        <v>3262</v>
      </c>
      <c r="N12856" s="27" t="s">
        <v>3437</v>
      </c>
      <c r="P12856" s="27" t="s">
        <v>16656</v>
      </c>
      <c r="Q12856" s="26" t="str">
        <f>HYPERLINK("https://ictv.global/taxonomy/taxondetails?taxnode_id=202511411&amp;ictv_id=ICTV202011411","ICTV202011411")</f>
        <v>ICTV202011411</v>
      </c>
      <c r="R12856" t="s">
        <v>581</v>
      </c>
      <c r="S12856" t="s">
        <v>22764</v>
      </c>
      <c r="T12856">
        <v>39</v>
      </c>
      <c r="U12856" s="26" t="str">
        <f t="shared" si="472"/>
        <v>2023.001B.Leviviricetes_reorg.zip</v>
      </c>
    </row>
    <row r="12857" spans="1:21">
      <c r="A12857">
        <v>12856</v>
      </c>
      <c r="B12857" s="27" t="s">
        <v>1124</v>
      </c>
      <c r="D12857" s="27" t="s">
        <v>1859</v>
      </c>
      <c r="F12857" s="27" t="s">
        <v>1881</v>
      </c>
      <c r="H12857" s="27" t="s">
        <v>2679</v>
      </c>
      <c r="J12857" s="27" t="s">
        <v>3210</v>
      </c>
      <c r="L12857" s="27" t="s">
        <v>3262</v>
      </c>
      <c r="N12857" s="27" t="s">
        <v>3437</v>
      </c>
      <c r="P12857" s="27" t="s">
        <v>16657</v>
      </c>
      <c r="Q12857" s="26" t="str">
        <f>HYPERLINK("https://ictv.global/taxonomy/taxondetails?taxnode_id=202517667&amp;ictv_id=ICTV202317667","ICTV202317667")</f>
        <v>ICTV202317667</v>
      </c>
      <c r="R12857" t="s">
        <v>581</v>
      </c>
      <c r="S12857" t="s">
        <v>823</v>
      </c>
      <c r="T12857">
        <v>39</v>
      </c>
      <c r="U12857" s="26" t="str">
        <f t="shared" si="472"/>
        <v>2023.001B.Leviviricetes_reorg.zip</v>
      </c>
    </row>
    <row r="12858" spans="1:21">
      <c r="A12858">
        <v>12857</v>
      </c>
      <c r="B12858" s="27" t="s">
        <v>1124</v>
      </c>
      <c r="D12858" s="27" t="s">
        <v>1859</v>
      </c>
      <c r="F12858" s="27" t="s">
        <v>1881</v>
      </c>
      <c r="H12858" s="27" t="s">
        <v>2679</v>
      </c>
      <c r="J12858" s="27" t="s">
        <v>3210</v>
      </c>
      <c r="L12858" s="27" t="s">
        <v>3262</v>
      </c>
      <c r="N12858" s="27" t="s">
        <v>3439</v>
      </c>
      <c r="P12858" s="27" t="s">
        <v>3440</v>
      </c>
      <c r="Q12858" s="26" t="str">
        <f>HYPERLINK("https://ictv.global/taxonomy/taxondetails?taxnode_id=202511455&amp;ictv_id=ICTV202011455","ICTV202011455")</f>
        <v>ICTV202011455</v>
      </c>
      <c r="R12858" t="s">
        <v>581</v>
      </c>
      <c r="S12858" t="s">
        <v>823</v>
      </c>
      <c r="T12858">
        <v>36</v>
      </c>
      <c r="U12858" s="26" t="str">
        <f>HYPERLINK("https://ictv.global/ictv/proposals/2020.095B.R.Leviviricetes.zip","2020.095B.R.Leviviricetes.zip")</f>
        <v>2020.095B.R.Leviviricetes.zip</v>
      </c>
    </row>
    <row r="12859" spans="1:21">
      <c r="A12859">
        <v>12858</v>
      </c>
      <c r="B12859" s="27" t="s">
        <v>1124</v>
      </c>
      <c r="D12859" s="27" t="s">
        <v>1859</v>
      </c>
      <c r="F12859" s="27" t="s">
        <v>1881</v>
      </c>
      <c r="H12859" s="27" t="s">
        <v>2679</v>
      </c>
      <c r="J12859" s="27" t="s">
        <v>3210</v>
      </c>
      <c r="L12859" s="27" t="s">
        <v>3262</v>
      </c>
      <c r="N12859" s="27" t="s">
        <v>3441</v>
      </c>
      <c r="P12859" s="27" t="s">
        <v>3442</v>
      </c>
      <c r="Q12859" s="26" t="str">
        <f>HYPERLINK("https://ictv.global/taxonomy/taxondetails?taxnode_id=202511457&amp;ictv_id=ICTV202011457","ICTV202011457")</f>
        <v>ICTV202011457</v>
      </c>
      <c r="R12859" t="s">
        <v>581</v>
      </c>
      <c r="S12859" t="s">
        <v>823</v>
      </c>
      <c r="T12859">
        <v>36</v>
      </c>
      <c r="U12859" s="26" t="str">
        <f>HYPERLINK("https://ictv.global/ictv/proposals/2020.095B.R.Leviviricetes.zip","2020.095B.R.Leviviricetes.zip")</f>
        <v>2020.095B.R.Leviviricetes.zip</v>
      </c>
    </row>
    <row r="12860" spans="1:21">
      <c r="A12860">
        <v>12859</v>
      </c>
      <c r="B12860" s="27" t="s">
        <v>1124</v>
      </c>
      <c r="D12860" s="27" t="s">
        <v>1859</v>
      </c>
      <c r="F12860" s="27" t="s">
        <v>1881</v>
      </c>
      <c r="H12860" s="27" t="s">
        <v>2679</v>
      </c>
      <c r="J12860" s="27" t="s">
        <v>3210</v>
      </c>
      <c r="L12860" s="27" t="s">
        <v>3262</v>
      </c>
      <c r="N12860" s="27" t="s">
        <v>3443</v>
      </c>
      <c r="P12860" s="27" t="s">
        <v>16658</v>
      </c>
      <c r="Q12860" s="26" t="str">
        <f>HYPERLINK("https://ictv.global/taxonomy/taxondetails?taxnode_id=202517668&amp;ictv_id=ICTV202317668","ICTV202317668")</f>
        <v>ICTV202317668</v>
      </c>
      <c r="R12860" t="s">
        <v>581</v>
      </c>
      <c r="S12860" t="s">
        <v>823</v>
      </c>
      <c r="T12860">
        <v>39</v>
      </c>
      <c r="U12860" s="26" t="str">
        <f>HYPERLINK("https://ictv.global/ictv/proposals/2023.001B.Leviviricetes_reorg.zip","2023.001B.Leviviricetes_reorg.zip")</f>
        <v>2023.001B.Leviviricetes_reorg.zip</v>
      </c>
    </row>
    <row r="12861" spans="1:21">
      <c r="A12861">
        <v>12860</v>
      </c>
      <c r="B12861" s="27" t="s">
        <v>1124</v>
      </c>
      <c r="D12861" s="27" t="s">
        <v>1859</v>
      </c>
      <c r="F12861" s="27" t="s">
        <v>1881</v>
      </c>
      <c r="H12861" s="27" t="s">
        <v>2679</v>
      </c>
      <c r="J12861" s="27" t="s">
        <v>3210</v>
      </c>
      <c r="L12861" s="27" t="s">
        <v>3262</v>
      </c>
      <c r="N12861" s="27" t="s">
        <v>3443</v>
      </c>
      <c r="P12861" s="27" t="s">
        <v>3444</v>
      </c>
      <c r="Q12861" s="26" t="str">
        <f>HYPERLINK("https://ictv.global/taxonomy/taxondetails?taxnode_id=202511459&amp;ictv_id=ICTV202011459","ICTV202011459")</f>
        <v>ICTV202011459</v>
      </c>
      <c r="R12861" t="s">
        <v>581</v>
      </c>
      <c r="S12861" t="s">
        <v>823</v>
      </c>
      <c r="T12861">
        <v>36</v>
      </c>
      <c r="U12861" s="26" t="str">
        <f>HYPERLINK("https://ictv.global/ictv/proposals/2020.095B.R.Leviviricetes.zip","2020.095B.R.Leviviricetes.zip")</f>
        <v>2020.095B.R.Leviviricetes.zip</v>
      </c>
    </row>
    <row r="12862" spans="1:21">
      <c r="A12862">
        <v>12861</v>
      </c>
      <c r="B12862" s="27" t="s">
        <v>1124</v>
      </c>
      <c r="D12862" s="27" t="s">
        <v>1859</v>
      </c>
      <c r="F12862" s="27" t="s">
        <v>1881</v>
      </c>
      <c r="H12862" s="27" t="s">
        <v>2679</v>
      </c>
      <c r="J12862" s="27" t="s">
        <v>3210</v>
      </c>
      <c r="L12862" s="27" t="s">
        <v>3262</v>
      </c>
      <c r="N12862" s="27" t="s">
        <v>3443</v>
      </c>
      <c r="P12862" s="27" t="s">
        <v>16659</v>
      </c>
      <c r="Q12862" s="26" t="str">
        <f>HYPERLINK("https://ictv.global/taxonomy/taxondetails?taxnode_id=202517669&amp;ictv_id=ICTV202317669","ICTV202317669")</f>
        <v>ICTV202317669</v>
      </c>
      <c r="R12862" t="s">
        <v>581</v>
      </c>
      <c r="S12862" t="s">
        <v>823</v>
      </c>
      <c r="T12862">
        <v>39</v>
      </c>
      <c r="U12862" s="26" t="str">
        <f>HYPERLINK("https://ictv.global/ictv/proposals/2023.001B.Leviviricetes_reorg.zip","2023.001B.Leviviricetes_reorg.zip")</f>
        <v>2023.001B.Leviviricetes_reorg.zip</v>
      </c>
    </row>
    <row r="12863" spans="1:21">
      <c r="A12863">
        <v>12862</v>
      </c>
      <c r="B12863" s="27" t="s">
        <v>1124</v>
      </c>
      <c r="D12863" s="27" t="s">
        <v>1859</v>
      </c>
      <c r="F12863" s="27" t="s">
        <v>1881</v>
      </c>
      <c r="H12863" s="27" t="s">
        <v>2679</v>
      </c>
      <c r="J12863" s="27" t="s">
        <v>3210</v>
      </c>
      <c r="L12863" s="27" t="s">
        <v>3262</v>
      </c>
      <c r="N12863" s="27" t="s">
        <v>3445</v>
      </c>
      <c r="P12863" s="27" t="s">
        <v>3446</v>
      </c>
      <c r="Q12863" s="26" t="str">
        <f>HYPERLINK("https://ictv.global/taxonomy/taxondetails?taxnode_id=202511461&amp;ictv_id=ICTV202011461","ICTV202011461")</f>
        <v>ICTV202011461</v>
      </c>
      <c r="R12863" t="s">
        <v>581</v>
      </c>
      <c r="S12863" t="s">
        <v>823</v>
      </c>
      <c r="T12863">
        <v>36</v>
      </c>
      <c r="U12863" s="26" t="str">
        <f>HYPERLINK("https://ictv.global/ictv/proposals/2020.095B.R.Leviviricetes.zip","2020.095B.R.Leviviricetes.zip")</f>
        <v>2020.095B.R.Leviviricetes.zip</v>
      </c>
    </row>
    <row r="12864" spans="1:21">
      <c r="A12864">
        <v>12863</v>
      </c>
      <c r="B12864" s="27" t="s">
        <v>1124</v>
      </c>
      <c r="D12864" s="27" t="s">
        <v>1859</v>
      </c>
      <c r="F12864" s="27" t="s">
        <v>1881</v>
      </c>
      <c r="H12864" s="27" t="s">
        <v>2679</v>
      </c>
      <c r="J12864" s="27" t="s">
        <v>3210</v>
      </c>
      <c r="L12864" s="27" t="s">
        <v>3262</v>
      </c>
      <c r="N12864" s="27" t="s">
        <v>3445</v>
      </c>
      <c r="P12864" s="27" t="s">
        <v>16660</v>
      </c>
      <c r="Q12864" s="26" t="str">
        <f>HYPERLINK("https://ictv.global/taxonomy/taxondetails?taxnode_id=202517670&amp;ictv_id=ICTV202317670","ICTV202317670")</f>
        <v>ICTV202317670</v>
      </c>
      <c r="R12864" t="s">
        <v>581</v>
      </c>
      <c r="S12864" t="s">
        <v>823</v>
      </c>
      <c r="T12864">
        <v>39</v>
      </c>
      <c r="U12864" s="26" t="str">
        <f>HYPERLINK("https://ictv.global/ictv/proposals/2023.001B.Leviviricetes_reorg.zip","2023.001B.Leviviricetes_reorg.zip")</f>
        <v>2023.001B.Leviviricetes_reorg.zip</v>
      </c>
    </row>
    <row r="12865" spans="1:21">
      <c r="A12865">
        <v>12864</v>
      </c>
      <c r="B12865" s="27" t="s">
        <v>1124</v>
      </c>
      <c r="D12865" s="27" t="s">
        <v>1859</v>
      </c>
      <c r="F12865" s="27" t="s">
        <v>1881</v>
      </c>
      <c r="H12865" s="27" t="s">
        <v>2679</v>
      </c>
      <c r="J12865" s="27" t="s">
        <v>3210</v>
      </c>
      <c r="L12865" s="27" t="s">
        <v>3262</v>
      </c>
      <c r="N12865" s="27" t="s">
        <v>16661</v>
      </c>
      <c r="P12865" s="27" t="s">
        <v>16662</v>
      </c>
      <c r="Q12865" s="26" t="str">
        <f>HYPERLINK("https://ictv.global/taxonomy/taxondetails?taxnode_id=202517671&amp;ictv_id=ICTV202317671","ICTV202317671")</f>
        <v>ICTV202317671</v>
      </c>
      <c r="R12865" t="s">
        <v>581</v>
      </c>
      <c r="S12865" t="s">
        <v>823</v>
      </c>
      <c r="T12865">
        <v>39</v>
      </c>
      <c r="U12865" s="26" t="str">
        <f>HYPERLINK("https://ictv.global/ictv/proposals/2023.001B.Leviviricetes_reorg.zip","2023.001B.Leviviricetes_reorg.zip")</f>
        <v>2023.001B.Leviviricetes_reorg.zip</v>
      </c>
    </row>
    <row r="12866" spans="1:21">
      <c r="A12866">
        <v>12865</v>
      </c>
      <c r="B12866" s="27" t="s">
        <v>1124</v>
      </c>
      <c r="D12866" s="27" t="s">
        <v>1859</v>
      </c>
      <c r="F12866" s="27" t="s">
        <v>1881</v>
      </c>
      <c r="H12866" s="27" t="s">
        <v>2679</v>
      </c>
      <c r="J12866" s="27" t="s">
        <v>3210</v>
      </c>
      <c r="L12866" s="27" t="s">
        <v>3262</v>
      </c>
      <c r="N12866" s="27" t="s">
        <v>3447</v>
      </c>
      <c r="P12866" s="27" t="s">
        <v>3448</v>
      </c>
      <c r="Q12866" s="26" t="str">
        <f>HYPERLINK("https://ictv.global/taxonomy/taxondetails?taxnode_id=202511467&amp;ictv_id=ICTV202011467","ICTV202011467")</f>
        <v>ICTV202011467</v>
      </c>
      <c r="R12866" t="s">
        <v>581</v>
      </c>
      <c r="S12866" t="s">
        <v>823</v>
      </c>
      <c r="T12866">
        <v>36</v>
      </c>
      <c r="U12866" s="26" t="str">
        <f>HYPERLINK("https://ictv.global/ictv/proposals/2020.095B.R.Leviviricetes.zip","2020.095B.R.Leviviricetes.zip")</f>
        <v>2020.095B.R.Leviviricetes.zip</v>
      </c>
    </row>
    <row r="12867" spans="1:21">
      <c r="A12867">
        <v>12866</v>
      </c>
      <c r="B12867" s="27" t="s">
        <v>1124</v>
      </c>
      <c r="D12867" s="27" t="s">
        <v>1859</v>
      </c>
      <c r="F12867" s="27" t="s">
        <v>1881</v>
      </c>
      <c r="H12867" s="27" t="s">
        <v>2679</v>
      </c>
      <c r="J12867" s="27" t="s">
        <v>3210</v>
      </c>
      <c r="L12867" s="27" t="s">
        <v>3262</v>
      </c>
      <c r="N12867" s="27" t="s">
        <v>16663</v>
      </c>
      <c r="P12867" s="27" t="s">
        <v>16664</v>
      </c>
      <c r="Q12867" s="26" t="str">
        <f>HYPERLINK("https://ictv.global/taxonomy/taxondetails?taxnode_id=202517672&amp;ictv_id=ICTV202317672","ICTV202317672")</f>
        <v>ICTV202317672</v>
      </c>
      <c r="R12867" t="s">
        <v>581</v>
      </c>
      <c r="S12867" t="s">
        <v>823</v>
      </c>
      <c r="T12867">
        <v>39</v>
      </c>
      <c r="U12867" s="26" t="str">
        <f t="shared" ref="U12867:U12894" si="473">HYPERLINK("https://ictv.global/ictv/proposals/2023.001B.Leviviricetes_reorg.zip","2023.001B.Leviviricetes_reorg.zip")</f>
        <v>2023.001B.Leviviricetes_reorg.zip</v>
      </c>
    </row>
    <row r="12868" spans="1:21">
      <c r="A12868">
        <v>12867</v>
      </c>
      <c r="B12868" s="27" t="s">
        <v>1124</v>
      </c>
      <c r="D12868" s="27" t="s">
        <v>1859</v>
      </c>
      <c r="F12868" s="27" t="s">
        <v>1881</v>
      </c>
      <c r="H12868" s="27" t="s">
        <v>2679</v>
      </c>
      <c r="J12868" s="27" t="s">
        <v>3210</v>
      </c>
      <c r="L12868" s="27" t="s">
        <v>3262</v>
      </c>
      <c r="N12868" s="27" t="s">
        <v>16663</v>
      </c>
      <c r="P12868" s="27" t="s">
        <v>16665</v>
      </c>
      <c r="Q12868" s="26" t="str">
        <f>HYPERLINK("https://ictv.global/taxonomy/taxondetails?taxnode_id=202517673&amp;ictv_id=ICTV202317673","ICTV202317673")</f>
        <v>ICTV202317673</v>
      </c>
      <c r="R12868" t="s">
        <v>581</v>
      </c>
      <c r="S12868" t="s">
        <v>823</v>
      </c>
      <c r="T12868">
        <v>39</v>
      </c>
      <c r="U12868" s="26" t="str">
        <f t="shared" si="473"/>
        <v>2023.001B.Leviviricetes_reorg.zip</v>
      </c>
    </row>
    <row r="12869" spans="1:21">
      <c r="A12869">
        <v>12868</v>
      </c>
      <c r="B12869" s="27" t="s">
        <v>1124</v>
      </c>
      <c r="D12869" s="27" t="s">
        <v>1859</v>
      </c>
      <c r="F12869" s="27" t="s">
        <v>1881</v>
      </c>
      <c r="H12869" s="27" t="s">
        <v>2679</v>
      </c>
      <c r="J12869" s="27" t="s">
        <v>3210</v>
      </c>
      <c r="L12869" s="27" t="s">
        <v>3262</v>
      </c>
      <c r="N12869" s="27" t="s">
        <v>16666</v>
      </c>
      <c r="P12869" s="27" t="s">
        <v>16667</v>
      </c>
      <c r="Q12869" s="26" t="str">
        <f>HYPERLINK("https://ictv.global/taxonomy/taxondetails?taxnode_id=202517674&amp;ictv_id=ICTV202317674","ICTV202317674")</f>
        <v>ICTV202317674</v>
      </c>
      <c r="R12869" t="s">
        <v>581</v>
      </c>
      <c r="S12869" t="s">
        <v>823</v>
      </c>
      <c r="T12869">
        <v>39</v>
      </c>
      <c r="U12869" s="26" t="str">
        <f t="shared" si="473"/>
        <v>2023.001B.Leviviricetes_reorg.zip</v>
      </c>
    </row>
    <row r="12870" spans="1:21">
      <c r="A12870">
        <v>12869</v>
      </c>
      <c r="B12870" s="27" t="s">
        <v>1124</v>
      </c>
      <c r="D12870" s="27" t="s">
        <v>1859</v>
      </c>
      <c r="F12870" s="27" t="s">
        <v>1881</v>
      </c>
      <c r="H12870" s="27" t="s">
        <v>2679</v>
      </c>
      <c r="J12870" s="27" t="s">
        <v>3210</v>
      </c>
      <c r="L12870" s="27" t="s">
        <v>3262</v>
      </c>
      <c r="N12870" s="27" t="s">
        <v>16666</v>
      </c>
      <c r="P12870" s="27" t="s">
        <v>16668</v>
      </c>
      <c r="Q12870" s="26" t="str">
        <f>HYPERLINK("https://ictv.global/taxonomy/taxondetails?taxnode_id=202517675&amp;ictv_id=ICTV202317675","ICTV202317675")</f>
        <v>ICTV202317675</v>
      </c>
      <c r="R12870" t="s">
        <v>581</v>
      </c>
      <c r="S12870" t="s">
        <v>823</v>
      </c>
      <c r="T12870">
        <v>39</v>
      </c>
      <c r="U12870" s="26" t="str">
        <f t="shared" si="473"/>
        <v>2023.001B.Leviviricetes_reorg.zip</v>
      </c>
    </row>
    <row r="12871" spans="1:21">
      <c r="A12871">
        <v>12870</v>
      </c>
      <c r="B12871" s="27" t="s">
        <v>1124</v>
      </c>
      <c r="D12871" s="27" t="s">
        <v>1859</v>
      </c>
      <c r="F12871" s="27" t="s">
        <v>1881</v>
      </c>
      <c r="H12871" s="27" t="s">
        <v>2679</v>
      </c>
      <c r="J12871" s="27" t="s">
        <v>3210</v>
      </c>
      <c r="L12871" s="27" t="s">
        <v>3262</v>
      </c>
      <c r="N12871" s="27" t="s">
        <v>16666</v>
      </c>
      <c r="P12871" s="27" t="s">
        <v>16669</v>
      </c>
      <c r="Q12871" s="26" t="str">
        <f>HYPERLINK("https://ictv.global/taxonomy/taxondetails?taxnode_id=202517676&amp;ictv_id=ICTV202317676","ICTV202317676")</f>
        <v>ICTV202317676</v>
      </c>
      <c r="R12871" t="s">
        <v>581</v>
      </c>
      <c r="S12871" t="s">
        <v>823</v>
      </c>
      <c r="T12871">
        <v>39</v>
      </c>
      <c r="U12871" s="26" t="str">
        <f t="shared" si="473"/>
        <v>2023.001B.Leviviricetes_reorg.zip</v>
      </c>
    </row>
    <row r="12872" spans="1:21">
      <c r="A12872">
        <v>12871</v>
      </c>
      <c r="B12872" s="27" t="s">
        <v>1124</v>
      </c>
      <c r="D12872" s="27" t="s">
        <v>1859</v>
      </c>
      <c r="F12872" s="27" t="s">
        <v>1881</v>
      </c>
      <c r="H12872" s="27" t="s">
        <v>2679</v>
      </c>
      <c r="J12872" s="27" t="s">
        <v>3210</v>
      </c>
      <c r="L12872" s="27" t="s">
        <v>3262</v>
      </c>
      <c r="N12872" s="27" t="s">
        <v>16666</v>
      </c>
      <c r="P12872" s="27" t="s">
        <v>16670</v>
      </c>
      <c r="Q12872" s="26" t="str">
        <f>HYPERLINK("https://ictv.global/taxonomy/taxondetails?taxnode_id=202517677&amp;ictv_id=ICTV202317677","ICTV202317677")</f>
        <v>ICTV202317677</v>
      </c>
      <c r="R12872" t="s">
        <v>581</v>
      </c>
      <c r="S12872" t="s">
        <v>823</v>
      </c>
      <c r="T12872">
        <v>39</v>
      </c>
      <c r="U12872" s="26" t="str">
        <f t="shared" si="473"/>
        <v>2023.001B.Leviviricetes_reorg.zip</v>
      </c>
    </row>
    <row r="12873" spans="1:21">
      <c r="A12873">
        <v>12872</v>
      </c>
      <c r="B12873" s="27" t="s">
        <v>1124</v>
      </c>
      <c r="D12873" s="27" t="s">
        <v>1859</v>
      </c>
      <c r="F12873" s="27" t="s">
        <v>1881</v>
      </c>
      <c r="H12873" s="27" t="s">
        <v>2679</v>
      </c>
      <c r="J12873" s="27" t="s">
        <v>3210</v>
      </c>
      <c r="L12873" s="27" t="s">
        <v>3262</v>
      </c>
      <c r="N12873" s="27" t="s">
        <v>16671</v>
      </c>
      <c r="P12873" s="27" t="s">
        <v>16672</v>
      </c>
      <c r="Q12873" s="26" t="str">
        <f>HYPERLINK("https://ictv.global/taxonomy/taxondetails?taxnode_id=202517678&amp;ictv_id=ICTV202317678","ICTV202317678")</f>
        <v>ICTV202317678</v>
      </c>
      <c r="R12873" t="s">
        <v>581</v>
      </c>
      <c r="S12873" t="s">
        <v>823</v>
      </c>
      <c r="T12873">
        <v>39</v>
      </c>
      <c r="U12873" s="26" t="str">
        <f t="shared" si="473"/>
        <v>2023.001B.Leviviricetes_reorg.zip</v>
      </c>
    </row>
    <row r="12874" spans="1:21">
      <c r="A12874">
        <v>12873</v>
      </c>
      <c r="B12874" s="27" t="s">
        <v>1124</v>
      </c>
      <c r="D12874" s="27" t="s">
        <v>1859</v>
      </c>
      <c r="F12874" s="27" t="s">
        <v>1881</v>
      </c>
      <c r="H12874" s="27" t="s">
        <v>2679</v>
      </c>
      <c r="J12874" s="27" t="s">
        <v>3210</v>
      </c>
      <c r="L12874" s="27" t="s">
        <v>3262</v>
      </c>
      <c r="N12874" s="27" t="s">
        <v>16673</v>
      </c>
      <c r="P12874" s="27" t="s">
        <v>16674</v>
      </c>
      <c r="Q12874" s="26" t="str">
        <f>HYPERLINK("https://ictv.global/taxonomy/taxondetails?taxnode_id=202517679&amp;ictv_id=ICTV202317679","ICTV202317679")</f>
        <v>ICTV202317679</v>
      </c>
      <c r="R12874" t="s">
        <v>581</v>
      </c>
      <c r="S12874" t="s">
        <v>823</v>
      </c>
      <c r="T12874">
        <v>39</v>
      </c>
      <c r="U12874" s="26" t="str">
        <f t="shared" si="473"/>
        <v>2023.001B.Leviviricetes_reorg.zip</v>
      </c>
    </row>
    <row r="12875" spans="1:21">
      <c r="A12875">
        <v>12874</v>
      </c>
      <c r="B12875" s="27" t="s">
        <v>1124</v>
      </c>
      <c r="D12875" s="27" t="s">
        <v>1859</v>
      </c>
      <c r="F12875" s="27" t="s">
        <v>1881</v>
      </c>
      <c r="H12875" s="27" t="s">
        <v>2679</v>
      </c>
      <c r="J12875" s="27" t="s">
        <v>3210</v>
      </c>
      <c r="L12875" s="27" t="s">
        <v>3262</v>
      </c>
      <c r="N12875" s="27" t="s">
        <v>16675</v>
      </c>
      <c r="P12875" s="27" t="s">
        <v>16676</v>
      </c>
      <c r="Q12875" s="26" t="str">
        <f>HYPERLINK("https://ictv.global/taxonomy/taxondetails?taxnode_id=202517680&amp;ictv_id=ICTV202317680","ICTV202317680")</f>
        <v>ICTV202317680</v>
      </c>
      <c r="R12875" t="s">
        <v>581</v>
      </c>
      <c r="S12875" t="s">
        <v>823</v>
      </c>
      <c r="T12875">
        <v>39</v>
      </c>
      <c r="U12875" s="26" t="str">
        <f t="shared" si="473"/>
        <v>2023.001B.Leviviricetes_reorg.zip</v>
      </c>
    </row>
    <row r="12876" spans="1:21">
      <c r="A12876">
        <v>12875</v>
      </c>
      <c r="B12876" s="27" t="s">
        <v>1124</v>
      </c>
      <c r="D12876" s="27" t="s">
        <v>1859</v>
      </c>
      <c r="F12876" s="27" t="s">
        <v>1881</v>
      </c>
      <c r="H12876" s="27" t="s">
        <v>2679</v>
      </c>
      <c r="J12876" s="27" t="s">
        <v>3210</v>
      </c>
      <c r="L12876" s="27" t="s">
        <v>3262</v>
      </c>
      <c r="N12876" s="27" t="s">
        <v>16677</v>
      </c>
      <c r="P12876" s="27" t="s">
        <v>16678</v>
      </c>
      <c r="Q12876" s="26" t="str">
        <f>HYPERLINK("https://ictv.global/taxonomy/taxondetails?taxnode_id=202517681&amp;ictv_id=ICTV202317681","ICTV202317681")</f>
        <v>ICTV202317681</v>
      </c>
      <c r="R12876" t="s">
        <v>581</v>
      </c>
      <c r="S12876" t="s">
        <v>823</v>
      </c>
      <c r="T12876">
        <v>39</v>
      </c>
      <c r="U12876" s="26" t="str">
        <f t="shared" si="473"/>
        <v>2023.001B.Leviviricetes_reorg.zip</v>
      </c>
    </row>
    <row r="12877" spans="1:21">
      <c r="A12877">
        <v>12876</v>
      </c>
      <c r="B12877" s="27" t="s">
        <v>1124</v>
      </c>
      <c r="D12877" s="27" t="s">
        <v>1859</v>
      </c>
      <c r="F12877" s="27" t="s">
        <v>1881</v>
      </c>
      <c r="H12877" s="27" t="s">
        <v>2679</v>
      </c>
      <c r="J12877" s="27" t="s">
        <v>3210</v>
      </c>
      <c r="L12877" s="27" t="s">
        <v>3262</v>
      </c>
      <c r="N12877" s="27" t="s">
        <v>16679</v>
      </c>
      <c r="P12877" s="27" t="s">
        <v>16680</v>
      </c>
      <c r="Q12877" s="26" t="str">
        <f>HYPERLINK("https://ictv.global/taxonomy/taxondetails?taxnode_id=202517682&amp;ictv_id=ICTV202317682","ICTV202317682")</f>
        <v>ICTV202317682</v>
      </c>
      <c r="R12877" t="s">
        <v>581</v>
      </c>
      <c r="S12877" t="s">
        <v>823</v>
      </c>
      <c r="T12877">
        <v>39</v>
      </c>
      <c r="U12877" s="26" t="str">
        <f t="shared" si="473"/>
        <v>2023.001B.Leviviricetes_reorg.zip</v>
      </c>
    </row>
    <row r="12878" spans="1:21">
      <c r="A12878">
        <v>12877</v>
      </c>
      <c r="B12878" s="27" t="s">
        <v>1124</v>
      </c>
      <c r="D12878" s="27" t="s">
        <v>1859</v>
      </c>
      <c r="F12878" s="27" t="s">
        <v>1881</v>
      </c>
      <c r="H12878" s="27" t="s">
        <v>2679</v>
      </c>
      <c r="J12878" s="27" t="s">
        <v>3210</v>
      </c>
      <c r="L12878" s="27" t="s">
        <v>3262</v>
      </c>
      <c r="N12878" s="27" t="s">
        <v>16681</v>
      </c>
      <c r="P12878" s="27" t="s">
        <v>16682</v>
      </c>
      <c r="Q12878" s="26" t="str">
        <f>HYPERLINK("https://ictv.global/taxonomy/taxondetails?taxnode_id=202517683&amp;ictv_id=ICTV202317683","ICTV202317683")</f>
        <v>ICTV202317683</v>
      </c>
      <c r="R12878" t="s">
        <v>581</v>
      </c>
      <c r="S12878" t="s">
        <v>823</v>
      </c>
      <c r="T12878">
        <v>39</v>
      </c>
      <c r="U12878" s="26" t="str">
        <f t="shared" si="473"/>
        <v>2023.001B.Leviviricetes_reorg.zip</v>
      </c>
    </row>
    <row r="12879" spans="1:21">
      <c r="A12879">
        <v>12878</v>
      </c>
      <c r="B12879" s="27" t="s">
        <v>1124</v>
      </c>
      <c r="D12879" s="27" t="s">
        <v>1859</v>
      </c>
      <c r="F12879" s="27" t="s">
        <v>1881</v>
      </c>
      <c r="H12879" s="27" t="s">
        <v>2679</v>
      </c>
      <c r="J12879" s="27" t="s">
        <v>3210</v>
      </c>
      <c r="L12879" s="27" t="s">
        <v>3262</v>
      </c>
      <c r="N12879" s="27" t="s">
        <v>16683</v>
      </c>
      <c r="P12879" s="27" t="s">
        <v>16684</v>
      </c>
      <c r="Q12879" s="26" t="str">
        <f>HYPERLINK("https://ictv.global/taxonomy/taxondetails?taxnode_id=202517684&amp;ictv_id=ICTV202317684","ICTV202317684")</f>
        <v>ICTV202317684</v>
      </c>
      <c r="R12879" t="s">
        <v>581</v>
      </c>
      <c r="S12879" t="s">
        <v>823</v>
      </c>
      <c r="T12879">
        <v>39</v>
      </c>
      <c r="U12879" s="26" t="str">
        <f t="shared" si="473"/>
        <v>2023.001B.Leviviricetes_reorg.zip</v>
      </c>
    </row>
    <row r="12880" spans="1:21">
      <c r="A12880">
        <v>12879</v>
      </c>
      <c r="B12880" s="27" t="s">
        <v>1124</v>
      </c>
      <c r="D12880" s="27" t="s">
        <v>1859</v>
      </c>
      <c r="F12880" s="27" t="s">
        <v>1881</v>
      </c>
      <c r="H12880" s="27" t="s">
        <v>2679</v>
      </c>
      <c r="J12880" s="27" t="s">
        <v>3210</v>
      </c>
      <c r="L12880" s="27" t="s">
        <v>3262</v>
      </c>
      <c r="N12880" s="27" t="s">
        <v>16685</v>
      </c>
      <c r="P12880" s="27" t="s">
        <v>16686</v>
      </c>
      <c r="Q12880" s="26" t="str">
        <f>HYPERLINK("https://ictv.global/taxonomy/taxondetails?taxnode_id=202517685&amp;ictv_id=ICTV202317685","ICTV202317685")</f>
        <v>ICTV202317685</v>
      </c>
      <c r="R12880" t="s">
        <v>581</v>
      </c>
      <c r="S12880" t="s">
        <v>823</v>
      </c>
      <c r="T12880">
        <v>39</v>
      </c>
      <c r="U12880" s="26" t="str">
        <f t="shared" si="473"/>
        <v>2023.001B.Leviviricetes_reorg.zip</v>
      </c>
    </row>
    <row r="12881" spans="1:21">
      <c r="A12881">
        <v>12880</v>
      </c>
      <c r="B12881" s="27" t="s">
        <v>1124</v>
      </c>
      <c r="D12881" s="27" t="s">
        <v>1859</v>
      </c>
      <c r="F12881" s="27" t="s">
        <v>1881</v>
      </c>
      <c r="H12881" s="27" t="s">
        <v>2679</v>
      </c>
      <c r="J12881" s="27" t="s">
        <v>3210</v>
      </c>
      <c r="L12881" s="27" t="s">
        <v>3262</v>
      </c>
      <c r="N12881" s="27" t="s">
        <v>16685</v>
      </c>
      <c r="P12881" s="27" t="s">
        <v>16687</v>
      </c>
      <c r="Q12881" s="26" t="str">
        <f>HYPERLINK("https://ictv.global/taxonomy/taxondetails?taxnode_id=202517686&amp;ictv_id=ICTV202317686","ICTV202317686")</f>
        <v>ICTV202317686</v>
      </c>
      <c r="R12881" t="s">
        <v>581</v>
      </c>
      <c r="S12881" t="s">
        <v>823</v>
      </c>
      <c r="T12881">
        <v>39</v>
      </c>
      <c r="U12881" s="26" t="str">
        <f t="shared" si="473"/>
        <v>2023.001B.Leviviricetes_reorg.zip</v>
      </c>
    </row>
    <row r="12882" spans="1:21">
      <c r="A12882">
        <v>12881</v>
      </c>
      <c r="B12882" s="27" t="s">
        <v>1124</v>
      </c>
      <c r="D12882" s="27" t="s">
        <v>1859</v>
      </c>
      <c r="F12882" s="27" t="s">
        <v>1881</v>
      </c>
      <c r="H12882" s="27" t="s">
        <v>2679</v>
      </c>
      <c r="J12882" s="27" t="s">
        <v>3210</v>
      </c>
      <c r="L12882" s="27" t="s">
        <v>3262</v>
      </c>
      <c r="N12882" s="27" t="s">
        <v>16685</v>
      </c>
      <c r="P12882" s="27" t="s">
        <v>16688</v>
      </c>
      <c r="Q12882" s="26" t="str">
        <f>HYPERLINK("https://ictv.global/taxonomy/taxondetails?taxnode_id=202517687&amp;ictv_id=ICTV202317687","ICTV202317687")</f>
        <v>ICTV202317687</v>
      </c>
      <c r="R12882" t="s">
        <v>581</v>
      </c>
      <c r="S12882" t="s">
        <v>823</v>
      </c>
      <c r="T12882">
        <v>39</v>
      </c>
      <c r="U12882" s="26" t="str">
        <f t="shared" si="473"/>
        <v>2023.001B.Leviviricetes_reorg.zip</v>
      </c>
    </row>
    <row r="12883" spans="1:21">
      <c r="A12883">
        <v>12882</v>
      </c>
      <c r="B12883" s="27" t="s">
        <v>1124</v>
      </c>
      <c r="D12883" s="27" t="s">
        <v>1859</v>
      </c>
      <c r="F12883" s="27" t="s">
        <v>1881</v>
      </c>
      <c r="H12883" s="27" t="s">
        <v>2679</v>
      </c>
      <c r="J12883" s="27" t="s">
        <v>3210</v>
      </c>
      <c r="L12883" s="27" t="s">
        <v>3262</v>
      </c>
      <c r="N12883" s="27" t="s">
        <v>16685</v>
      </c>
      <c r="P12883" s="27" t="s">
        <v>16689</v>
      </c>
      <c r="Q12883" s="26" t="str">
        <f>HYPERLINK("https://ictv.global/taxonomy/taxondetails?taxnode_id=202517688&amp;ictv_id=ICTV202317688","ICTV202317688")</f>
        <v>ICTV202317688</v>
      </c>
      <c r="R12883" t="s">
        <v>581</v>
      </c>
      <c r="S12883" t="s">
        <v>823</v>
      </c>
      <c r="T12883">
        <v>39</v>
      </c>
      <c r="U12883" s="26" t="str">
        <f t="shared" si="473"/>
        <v>2023.001B.Leviviricetes_reorg.zip</v>
      </c>
    </row>
    <row r="12884" spans="1:21">
      <c r="A12884">
        <v>12883</v>
      </c>
      <c r="B12884" s="27" t="s">
        <v>1124</v>
      </c>
      <c r="D12884" s="27" t="s">
        <v>1859</v>
      </c>
      <c r="F12884" s="27" t="s">
        <v>1881</v>
      </c>
      <c r="H12884" s="27" t="s">
        <v>2679</v>
      </c>
      <c r="J12884" s="27" t="s">
        <v>3210</v>
      </c>
      <c r="L12884" s="27" t="s">
        <v>3262</v>
      </c>
      <c r="N12884" s="27" t="s">
        <v>16685</v>
      </c>
      <c r="P12884" s="27" t="s">
        <v>16690</v>
      </c>
      <c r="Q12884" s="26" t="str">
        <f>HYPERLINK("https://ictv.global/taxonomy/taxondetails?taxnode_id=202517689&amp;ictv_id=ICTV202317689","ICTV202317689")</f>
        <v>ICTV202317689</v>
      </c>
      <c r="R12884" t="s">
        <v>581</v>
      </c>
      <c r="S12884" t="s">
        <v>823</v>
      </c>
      <c r="T12884">
        <v>39</v>
      </c>
      <c r="U12884" s="26" t="str">
        <f t="shared" si="473"/>
        <v>2023.001B.Leviviricetes_reorg.zip</v>
      </c>
    </row>
    <row r="12885" spans="1:21">
      <c r="A12885">
        <v>12884</v>
      </c>
      <c r="B12885" s="27" t="s">
        <v>1124</v>
      </c>
      <c r="D12885" s="27" t="s">
        <v>1859</v>
      </c>
      <c r="F12885" s="27" t="s">
        <v>1881</v>
      </c>
      <c r="H12885" s="27" t="s">
        <v>2679</v>
      </c>
      <c r="J12885" s="27" t="s">
        <v>3210</v>
      </c>
      <c r="L12885" s="27" t="s">
        <v>3262</v>
      </c>
      <c r="N12885" s="27" t="s">
        <v>16685</v>
      </c>
      <c r="P12885" s="27" t="s">
        <v>16691</v>
      </c>
      <c r="Q12885" s="26" t="str">
        <f>HYPERLINK("https://ictv.global/taxonomy/taxondetails?taxnode_id=202517690&amp;ictv_id=ICTV202317690","ICTV202317690")</f>
        <v>ICTV202317690</v>
      </c>
      <c r="R12885" t="s">
        <v>581</v>
      </c>
      <c r="S12885" t="s">
        <v>823</v>
      </c>
      <c r="T12885">
        <v>39</v>
      </c>
      <c r="U12885" s="26" t="str">
        <f t="shared" si="473"/>
        <v>2023.001B.Leviviricetes_reorg.zip</v>
      </c>
    </row>
    <row r="12886" spans="1:21">
      <c r="A12886">
        <v>12885</v>
      </c>
      <c r="B12886" s="27" t="s">
        <v>1124</v>
      </c>
      <c r="D12886" s="27" t="s">
        <v>1859</v>
      </c>
      <c r="F12886" s="27" t="s">
        <v>1881</v>
      </c>
      <c r="H12886" s="27" t="s">
        <v>2679</v>
      </c>
      <c r="J12886" s="27" t="s">
        <v>3210</v>
      </c>
      <c r="L12886" s="27" t="s">
        <v>3262</v>
      </c>
      <c r="N12886" s="27" t="s">
        <v>16685</v>
      </c>
      <c r="P12886" s="27" t="s">
        <v>16692</v>
      </c>
      <c r="Q12886" s="26" t="str">
        <f>HYPERLINK("https://ictv.global/taxonomy/taxondetails?taxnode_id=202517691&amp;ictv_id=ICTV202317691","ICTV202317691")</f>
        <v>ICTV202317691</v>
      </c>
      <c r="R12886" t="s">
        <v>581</v>
      </c>
      <c r="S12886" t="s">
        <v>823</v>
      </c>
      <c r="T12886">
        <v>39</v>
      </c>
      <c r="U12886" s="26" t="str">
        <f t="shared" si="473"/>
        <v>2023.001B.Leviviricetes_reorg.zip</v>
      </c>
    </row>
    <row r="12887" spans="1:21">
      <c r="A12887">
        <v>12886</v>
      </c>
      <c r="B12887" s="27" t="s">
        <v>1124</v>
      </c>
      <c r="D12887" s="27" t="s">
        <v>1859</v>
      </c>
      <c r="F12887" s="27" t="s">
        <v>1881</v>
      </c>
      <c r="H12887" s="27" t="s">
        <v>2679</v>
      </c>
      <c r="J12887" s="27" t="s">
        <v>3210</v>
      </c>
      <c r="L12887" s="27" t="s">
        <v>3262</v>
      </c>
      <c r="N12887" s="27" t="s">
        <v>16685</v>
      </c>
      <c r="P12887" s="27" t="s">
        <v>16693</v>
      </c>
      <c r="Q12887" s="26" t="str">
        <f>HYPERLINK("https://ictv.global/taxonomy/taxondetails?taxnode_id=202517692&amp;ictv_id=ICTV202317692","ICTV202317692")</f>
        <v>ICTV202317692</v>
      </c>
      <c r="R12887" t="s">
        <v>581</v>
      </c>
      <c r="S12887" t="s">
        <v>823</v>
      </c>
      <c r="T12887">
        <v>39</v>
      </c>
      <c r="U12887" s="26" t="str">
        <f t="shared" si="473"/>
        <v>2023.001B.Leviviricetes_reorg.zip</v>
      </c>
    </row>
    <row r="12888" spans="1:21">
      <c r="A12888">
        <v>12887</v>
      </c>
      <c r="B12888" s="27" t="s">
        <v>1124</v>
      </c>
      <c r="D12888" s="27" t="s">
        <v>1859</v>
      </c>
      <c r="F12888" s="27" t="s">
        <v>1881</v>
      </c>
      <c r="H12888" s="27" t="s">
        <v>2679</v>
      </c>
      <c r="J12888" s="27" t="s">
        <v>3210</v>
      </c>
      <c r="L12888" s="27" t="s">
        <v>3262</v>
      </c>
      <c r="N12888" s="27" t="s">
        <v>16685</v>
      </c>
      <c r="P12888" s="27" t="s">
        <v>16694</v>
      </c>
      <c r="Q12888" s="26" t="str">
        <f>HYPERLINK("https://ictv.global/taxonomy/taxondetails?taxnode_id=202517693&amp;ictv_id=ICTV202317693","ICTV202317693")</f>
        <v>ICTV202317693</v>
      </c>
      <c r="R12888" t="s">
        <v>581</v>
      </c>
      <c r="S12888" t="s">
        <v>823</v>
      </c>
      <c r="T12888">
        <v>39</v>
      </c>
      <c r="U12888" s="26" t="str">
        <f t="shared" si="473"/>
        <v>2023.001B.Leviviricetes_reorg.zip</v>
      </c>
    </row>
    <row r="12889" spans="1:21">
      <c r="A12889">
        <v>12888</v>
      </c>
      <c r="B12889" s="27" t="s">
        <v>1124</v>
      </c>
      <c r="D12889" s="27" t="s">
        <v>1859</v>
      </c>
      <c r="F12889" s="27" t="s">
        <v>1881</v>
      </c>
      <c r="H12889" s="27" t="s">
        <v>2679</v>
      </c>
      <c r="J12889" s="27" t="s">
        <v>3210</v>
      </c>
      <c r="L12889" s="27" t="s">
        <v>3262</v>
      </c>
      <c r="N12889" s="27" t="s">
        <v>16685</v>
      </c>
      <c r="P12889" s="27" t="s">
        <v>16695</v>
      </c>
      <c r="Q12889" s="26" t="str">
        <f>HYPERLINK("https://ictv.global/taxonomy/taxondetails?taxnode_id=202517694&amp;ictv_id=ICTV202317694","ICTV202317694")</f>
        <v>ICTV202317694</v>
      </c>
      <c r="R12889" t="s">
        <v>581</v>
      </c>
      <c r="S12889" t="s">
        <v>823</v>
      </c>
      <c r="T12889">
        <v>39</v>
      </c>
      <c r="U12889" s="26" t="str">
        <f t="shared" si="473"/>
        <v>2023.001B.Leviviricetes_reorg.zip</v>
      </c>
    </row>
    <row r="12890" spans="1:21">
      <c r="A12890">
        <v>12889</v>
      </c>
      <c r="B12890" s="27" t="s">
        <v>1124</v>
      </c>
      <c r="D12890" s="27" t="s">
        <v>1859</v>
      </c>
      <c r="F12890" s="27" t="s">
        <v>1881</v>
      </c>
      <c r="H12890" s="27" t="s">
        <v>2679</v>
      </c>
      <c r="J12890" s="27" t="s">
        <v>3210</v>
      </c>
      <c r="L12890" s="27" t="s">
        <v>3262</v>
      </c>
      <c r="N12890" s="27" t="s">
        <v>16685</v>
      </c>
      <c r="P12890" s="27" t="s">
        <v>16696</v>
      </c>
      <c r="Q12890" s="26" t="str">
        <f>HYPERLINK("https://ictv.global/taxonomy/taxondetails?taxnode_id=202517695&amp;ictv_id=ICTV202317695","ICTV202317695")</f>
        <v>ICTV202317695</v>
      </c>
      <c r="R12890" t="s">
        <v>581</v>
      </c>
      <c r="S12890" t="s">
        <v>823</v>
      </c>
      <c r="T12890">
        <v>39</v>
      </c>
      <c r="U12890" s="26" t="str">
        <f t="shared" si="473"/>
        <v>2023.001B.Leviviricetes_reorg.zip</v>
      </c>
    </row>
    <row r="12891" spans="1:21">
      <c r="A12891">
        <v>12890</v>
      </c>
      <c r="B12891" s="27" t="s">
        <v>1124</v>
      </c>
      <c r="D12891" s="27" t="s">
        <v>1859</v>
      </c>
      <c r="F12891" s="27" t="s">
        <v>1881</v>
      </c>
      <c r="H12891" s="27" t="s">
        <v>2679</v>
      </c>
      <c r="J12891" s="27" t="s">
        <v>3210</v>
      </c>
      <c r="L12891" s="27" t="s">
        <v>3262</v>
      </c>
      <c r="N12891" s="27" t="s">
        <v>16685</v>
      </c>
      <c r="P12891" s="27" t="s">
        <v>16697</v>
      </c>
      <c r="Q12891" s="26" t="str">
        <f>HYPERLINK("https://ictv.global/taxonomy/taxondetails?taxnode_id=202517696&amp;ictv_id=ICTV202317696","ICTV202317696")</f>
        <v>ICTV202317696</v>
      </c>
      <c r="R12891" t="s">
        <v>581</v>
      </c>
      <c r="S12891" t="s">
        <v>823</v>
      </c>
      <c r="T12891">
        <v>39</v>
      </c>
      <c r="U12891" s="26" t="str">
        <f t="shared" si="473"/>
        <v>2023.001B.Leviviricetes_reorg.zip</v>
      </c>
    </row>
    <row r="12892" spans="1:21">
      <c r="A12892">
        <v>12891</v>
      </c>
      <c r="B12892" s="27" t="s">
        <v>1124</v>
      </c>
      <c r="D12892" s="27" t="s">
        <v>1859</v>
      </c>
      <c r="F12892" s="27" t="s">
        <v>1881</v>
      </c>
      <c r="H12892" s="27" t="s">
        <v>2679</v>
      </c>
      <c r="J12892" s="27" t="s">
        <v>3210</v>
      </c>
      <c r="L12892" s="27" t="s">
        <v>3262</v>
      </c>
      <c r="N12892" s="27" t="s">
        <v>16685</v>
      </c>
      <c r="P12892" s="27" t="s">
        <v>16698</v>
      </c>
      <c r="Q12892" s="26" t="str">
        <f>HYPERLINK("https://ictv.global/taxonomy/taxondetails?taxnode_id=202517697&amp;ictv_id=ICTV202317697","ICTV202317697")</f>
        <v>ICTV202317697</v>
      </c>
      <c r="R12892" t="s">
        <v>581</v>
      </c>
      <c r="S12892" t="s">
        <v>823</v>
      </c>
      <c r="T12892">
        <v>39</v>
      </c>
      <c r="U12892" s="26" t="str">
        <f t="shared" si="473"/>
        <v>2023.001B.Leviviricetes_reorg.zip</v>
      </c>
    </row>
    <row r="12893" spans="1:21">
      <c r="A12893">
        <v>12892</v>
      </c>
      <c r="B12893" s="27" t="s">
        <v>1124</v>
      </c>
      <c r="D12893" s="27" t="s">
        <v>1859</v>
      </c>
      <c r="F12893" s="27" t="s">
        <v>1881</v>
      </c>
      <c r="H12893" s="27" t="s">
        <v>2679</v>
      </c>
      <c r="J12893" s="27" t="s">
        <v>3210</v>
      </c>
      <c r="L12893" s="27" t="s">
        <v>3262</v>
      </c>
      <c r="N12893" s="27" t="s">
        <v>16685</v>
      </c>
      <c r="P12893" s="27" t="s">
        <v>16699</v>
      </c>
      <c r="Q12893" s="26" t="str">
        <f>HYPERLINK("https://ictv.global/taxonomy/taxondetails?taxnode_id=202517698&amp;ictv_id=ICTV202317698","ICTV202317698")</f>
        <v>ICTV202317698</v>
      </c>
      <c r="R12893" t="s">
        <v>581</v>
      </c>
      <c r="S12893" t="s">
        <v>823</v>
      </c>
      <c r="T12893">
        <v>39</v>
      </c>
      <c r="U12893" s="26" t="str">
        <f t="shared" si="473"/>
        <v>2023.001B.Leviviricetes_reorg.zip</v>
      </c>
    </row>
    <row r="12894" spans="1:21">
      <c r="A12894">
        <v>12893</v>
      </c>
      <c r="B12894" s="27" t="s">
        <v>1124</v>
      </c>
      <c r="D12894" s="27" t="s">
        <v>1859</v>
      </c>
      <c r="F12894" s="27" t="s">
        <v>1881</v>
      </c>
      <c r="H12894" s="27" t="s">
        <v>2679</v>
      </c>
      <c r="J12894" s="27" t="s">
        <v>3210</v>
      </c>
      <c r="L12894" s="27" t="s">
        <v>3262</v>
      </c>
      <c r="N12894" s="27" t="s">
        <v>16685</v>
      </c>
      <c r="P12894" s="27" t="s">
        <v>16700</v>
      </c>
      <c r="Q12894" s="26" t="str">
        <f>HYPERLINK("https://ictv.global/taxonomy/taxondetails?taxnode_id=202517699&amp;ictv_id=ICTV202317699","ICTV202317699")</f>
        <v>ICTV202317699</v>
      </c>
      <c r="R12894" t="s">
        <v>581</v>
      </c>
      <c r="S12894" t="s">
        <v>823</v>
      </c>
      <c r="T12894">
        <v>39</v>
      </c>
      <c r="U12894" s="26" t="str">
        <f t="shared" si="473"/>
        <v>2023.001B.Leviviricetes_reorg.zip</v>
      </c>
    </row>
    <row r="12895" spans="1:21">
      <c r="A12895">
        <v>12894</v>
      </c>
      <c r="B12895" s="27" t="s">
        <v>1124</v>
      </c>
      <c r="D12895" s="27" t="s">
        <v>1859</v>
      </c>
      <c r="F12895" s="27" t="s">
        <v>1881</v>
      </c>
      <c r="H12895" s="27" t="s">
        <v>2679</v>
      </c>
      <c r="J12895" s="27" t="s">
        <v>3210</v>
      </c>
      <c r="L12895" s="27" t="s">
        <v>3262</v>
      </c>
      <c r="N12895" s="27" t="s">
        <v>3449</v>
      </c>
      <c r="P12895" s="27" t="s">
        <v>3450</v>
      </c>
      <c r="Q12895" s="26" t="str">
        <f>HYPERLINK("https://ictv.global/taxonomy/taxondetails?taxnode_id=202511502&amp;ictv_id=ICTV202011502","ICTV202011502")</f>
        <v>ICTV202011502</v>
      </c>
      <c r="R12895" t="s">
        <v>581</v>
      </c>
      <c r="S12895" t="s">
        <v>823</v>
      </c>
      <c r="T12895">
        <v>36</v>
      </c>
      <c r="U12895" s="26" t="str">
        <f>HYPERLINK("https://ictv.global/ictv/proposals/2020.095B.R.Leviviricetes.zip","2020.095B.R.Leviviricetes.zip")</f>
        <v>2020.095B.R.Leviviricetes.zip</v>
      </c>
    </row>
    <row r="12896" spans="1:21">
      <c r="A12896">
        <v>12895</v>
      </c>
      <c r="B12896" s="27" t="s">
        <v>1124</v>
      </c>
      <c r="D12896" s="27" t="s">
        <v>1859</v>
      </c>
      <c r="F12896" s="27" t="s">
        <v>1881</v>
      </c>
      <c r="H12896" s="27" t="s">
        <v>2679</v>
      </c>
      <c r="J12896" s="27" t="s">
        <v>3210</v>
      </c>
      <c r="L12896" s="27" t="s">
        <v>3262</v>
      </c>
      <c r="N12896" s="27" t="s">
        <v>16701</v>
      </c>
      <c r="P12896" s="27" t="s">
        <v>16702</v>
      </c>
      <c r="Q12896" s="26" t="str">
        <f>HYPERLINK("https://ictv.global/taxonomy/taxondetails?taxnode_id=202517700&amp;ictv_id=ICTV202317700","ICTV202317700")</f>
        <v>ICTV202317700</v>
      </c>
      <c r="R12896" t="s">
        <v>581</v>
      </c>
      <c r="S12896" t="s">
        <v>823</v>
      </c>
      <c r="T12896">
        <v>39</v>
      </c>
      <c r="U12896" s="26" t="str">
        <f t="shared" ref="U12896:U12915" si="474">HYPERLINK("https://ictv.global/ictv/proposals/2023.001B.Leviviricetes_reorg.zip","2023.001B.Leviviricetes_reorg.zip")</f>
        <v>2023.001B.Leviviricetes_reorg.zip</v>
      </c>
    </row>
    <row r="12897" spans="1:21">
      <c r="A12897">
        <v>12896</v>
      </c>
      <c r="B12897" s="27" t="s">
        <v>1124</v>
      </c>
      <c r="D12897" s="27" t="s">
        <v>1859</v>
      </c>
      <c r="F12897" s="27" t="s">
        <v>1881</v>
      </c>
      <c r="H12897" s="27" t="s">
        <v>2679</v>
      </c>
      <c r="J12897" s="27" t="s">
        <v>3210</v>
      </c>
      <c r="L12897" s="27" t="s">
        <v>3262</v>
      </c>
      <c r="N12897" s="27" t="s">
        <v>16703</v>
      </c>
      <c r="P12897" s="27" t="s">
        <v>16704</v>
      </c>
      <c r="Q12897" s="26" t="str">
        <f>HYPERLINK("https://ictv.global/taxonomy/taxondetails?taxnode_id=202517701&amp;ictv_id=ICTV202317701","ICTV202317701")</f>
        <v>ICTV202317701</v>
      </c>
      <c r="R12897" t="s">
        <v>581</v>
      </c>
      <c r="S12897" t="s">
        <v>823</v>
      </c>
      <c r="T12897">
        <v>39</v>
      </c>
      <c r="U12897" s="26" t="str">
        <f t="shared" si="474"/>
        <v>2023.001B.Leviviricetes_reorg.zip</v>
      </c>
    </row>
    <row r="12898" spans="1:21">
      <c r="A12898">
        <v>12897</v>
      </c>
      <c r="B12898" s="27" t="s">
        <v>1124</v>
      </c>
      <c r="D12898" s="27" t="s">
        <v>1859</v>
      </c>
      <c r="F12898" s="27" t="s">
        <v>1881</v>
      </c>
      <c r="H12898" s="27" t="s">
        <v>2679</v>
      </c>
      <c r="J12898" s="27" t="s">
        <v>3210</v>
      </c>
      <c r="L12898" s="27" t="s">
        <v>3262</v>
      </c>
      <c r="N12898" s="27" t="s">
        <v>16705</v>
      </c>
      <c r="P12898" s="27" t="s">
        <v>16706</v>
      </c>
      <c r="Q12898" s="26" t="str">
        <f>HYPERLINK("https://ictv.global/taxonomy/taxondetails?taxnode_id=202517702&amp;ictv_id=ICTV202317702","ICTV202317702")</f>
        <v>ICTV202317702</v>
      </c>
      <c r="R12898" t="s">
        <v>581</v>
      </c>
      <c r="S12898" t="s">
        <v>823</v>
      </c>
      <c r="T12898">
        <v>39</v>
      </c>
      <c r="U12898" s="26" t="str">
        <f t="shared" si="474"/>
        <v>2023.001B.Leviviricetes_reorg.zip</v>
      </c>
    </row>
    <row r="12899" spans="1:21">
      <c r="A12899">
        <v>12898</v>
      </c>
      <c r="B12899" s="27" t="s">
        <v>1124</v>
      </c>
      <c r="D12899" s="27" t="s">
        <v>1859</v>
      </c>
      <c r="F12899" s="27" t="s">
        <v>1881</v>
      </c>
      <c r="H12899" s="27" t="s">
        <v>2679</v>
      </c>
      <c r="J12899" s="27" t="s">
        <v>3210</v>
      </c>
      <c r="L12899" s="27" t="s">
        <v>3262</v>
      </c>
      <c r="N12899" s="27" t="s">
        <v>16707</v>
      </c>
      <c r="P12899" s="27" t="s">
        <v>16708</v>
      </c>
      <c r="Q12899" s="26" t="str">
        <f>HYPERLINK("https://ictv.global/taxonomy/taxondetails?taxnode_id=202517703&amp;ictv_id=ICTV202317703","ICTV202317703")</f>
        <v>ICTV202317703</v>
      </c>
      <c r="R12899" t="s">
        <v>581</v>
      </c>
      <c r="S12899" t="s">
        <v>823</v>
      </c>
      <c r="T12899">
        <v>39</v>
      </c>
      <c r="U12899" s="26" t="str">
        <f t="shared" si="474"/>
        <v>2023.001B.Leviviricetes_reorg.zip</v>
      </c>
    </row>
    <row r="12900" spans="1:21">
      <c r="A12900">
        <v>12899</v>
      </c>
      <c r="B12900" s="27" t="s">
        <v>1124</v>
      </c>
      <c r="D12900" s="27" t="s">
        <v>1859</v>
      </c>
      <c r="F12900" s="27" t="s">
        <v>1881</v>
      </c>
      <c r="H12900" s="27" t="s">
        <v>2679</v>
      </c>
      <c r="J12900" s="27" t="s">
        <v>3210</v>
      </c>
      <c r="L12900" s="27" t="s">
        <v>3262</v>
      </c>
      <c r="N12900" s="27" t="s">
        <v>16709</v>
      </c>
      <c r="P12900" s="27" t="s">
        <v>16710</v>
      </c>
      <c r="Q12900" s="26" t="str">
        <f>HYPERLINK("https://ictv.global/taxonomy/taxondetails?taxnode_id=202517704&amp;ictv_id=ICTV202317704","ICTV202317704")</f>
        <v>ICTV202317704</v>
      </c>
      <c r="R12900" t="s">
        <v>581</v>
      </c>
      <c r="S12900" t="s">
        <v>823</v>
      </c>
      <c r="T12900">
        <v>39</v>
      </c>
      <c r="U12900" s="26" t="str">
        <f t="shared" si="474"/>
        <v>2023.001B.Leviviricetes_reorg.zip</v>
      </c>
    </row>
    <row r="12901" spans="1:21">
      <c r="A12901">
        <v>12900</v>
      </c>
      <c r="B12901" s="27" t="s">
        <v>1124</v>
      </c>
      <c r="D12901" s="27" t="s">
        <v>1859</v>
      </c>
      <c r="F12901" s="27" t="s">
        <v>1881</v>
      </c>
      <c r="H12901" s="27" t="s">
        <v>2679</v>
      </c>
      <c r="J12901" s="27" t="s">
        <v>3210</v>
      </c>
      <c r="L12901" s="27" t="s">
        <v>3262</v>
      </c>
      <c r="N12901" s="27" t="s">
        <v>16711</v>
      </c>
      <c r="P12901" s="27" t="s">
        <v>16712</v>
      </c>
      <c r="Q12901" s="26" t="str">
        <f>HYPERLINK("https://ictv.global/taxonomy/taxondetails?taxnode_id=202517705&amp;ictv_id=ICTV202317705","ICTV202317705")</f>
        <v>ICTV202317705</v>
      </c>
      <c r="R12901" t="s">
        <v>581</v>
      </c>
      <c r="S12901" t="s">
        <v>823</v>
      </c>
      <c r="T12901">
        <v>39</v>
      </c>
      <c r="U12901" s="26" t="str">
        <f t="shared" si="474"/>
        <v>2023.001B.Leviviricetes_reorg.zip</v>
      </c>
    </row>
    <row r="12902" spans="1:21">
      <c r="A12902">
        <v>12901</v>
      </c>
      <c r="B12902" s="27" t="s">
        <v>1124</v>
      </c>
      <c r="D12902" s="27" t="s">
        <v>1859</v>
      </c>
      <c r="F12902" s="27" t="s">
        <v>1881</v>
      </c>
      <c r="H12902" s="27" t="s">
        <v>2679</v>
      </c>
      <c r="J12902" s="27" t="s">
        <v>3210</v>
      </c>
      <c r="L12902" s="27" t="s">
        <v>3262</v>
      </c>
      <c r="N12902" s="27" t="s">
        <v>16713</v>
      </c>
      <c r="P12902" s="27" t="s">
        <v>16714</v>
      </c>
      <c r="Q12902" s="26" t="str">
        <f>HYPERLINK("https://ictv.global/taxonomy/taxondetails?taxnode_id=202517706&amp;ictv_id=ICTV202317706","ICTV202317706")</f>
        <v>ICTV202317706</v>
      </c>
      <c r="R12902" t="s">
        <v>581</v>
      </c>
      <c r="S12902" t="s">
        <v>823</v>
      </c>
      <c r="T12902">
        <v>39</v>
      </c>
      <c r="U12902" s="26" t="str">
        <f t="shared" si="474"/>
        <v>2023.001B.Leviviricetes_reorg.zip</v>
      </c>
    </row>
    <row r="12903" spans="1:21">
      <c r="A12903">
        <v>12902</v>
      </c>
      <c r="B12903" s="27" t="s">
        <v>1124</v>
      </c>
      <c r="D12903" s="27" t="s">
        <v>1859</v>
      </c>
      <c r="F12903" s="27" t="s">
        <v>1881</v>
      </c>
      <c r="H12903" s="27" t="s">
        <v>2679</v>
      </c>
      <c r="J12903" s="27" t="s">
        <v>3210</v>
      </c>
      <c r="L12903" s="27" t="s">
        <v>3262</v>
      </c>
      <c r="N12903" s="27" t="s">
        <v>16715</v>
      </c>
      <c r="P12903" s="27" t="s">
        <v>16716</v>
      </c>
      <c r="Q12903" s="26" t="str">
        <f>HYPERLINK("https://ictv.global/taxonomy/taxondetails?taxnode_id=202517707&amp;ictv_id=ICTV202317707","ICTV202317707")</f>
        <v>ICTV202317707</v>
      </c>
      <c r="R12903" t="s">
        <v>581</v>
      </c>
      <c r="S12903" t="s">
        <v>823</v>
      </c>
      <c r="T12903">
        <v>39</v>
      </c>
      <c r="U12903" s="26" t="str">
        <f t="shared" si="474"/>
        <v>2023.001B.Leviviricetes_reorg.zip</v>
      </c>
    </row>
    <row r="12904" spans="1:21">
      <c r="A12904">
        <v>12903</v>
      </c>
      <c r="B12904" s="27" t="s">
        <v>1124</v>
      </c>
      <c r="D12904" s="27" t="s">
        <v>1859</v>
      </c>
      <c r="F12904" s="27" t="s">
        <v>1881</v>
      </c>
      <c r="H12904" s="27" t="s">
        <v>2679</v>
      </c>
      <c r="J12904" s="27" t="s">
        <v>3210</v>
      </c>
      <c r="L12904" s="27" t="s">
        <v>3262</v>
      </c>
      <c r="N12904" s="27" t="s">
        <v>16715</v>
      </c>
      <c r="P12904" s="27" t="s">
        <v>16717</v>
      </c>
      <c r="Q12904" s="26" t="str">
        <f>HYPERLINK("https://ictv.global/taxonomy/taxondetails?taxnode_id=202517708&amp;ictv_id=ICTV202317708","ICTV202317708")</f>
        <v>ICTV202317708</v>
      </c>
      <c r="R12904" t="s">
        <v>581</v>
      </c>
      <c r="S12904" t="s">
        <v>823</v>
      </c>
      <c r="T12904">
        <v>39</v>
      </c>
      <c r="U12904" s="26" t="str">
        <f t="shared" si="474"/>
        <v>2023.001B.Leviviricetes_reorg.zip</v>
      </c>
    </row>
    <row r="12905" spans="1:21">
      <c r="A12905">
        <v>12904</v>
      </c>
      <c r="B12905" s="27" t="s">
        <v>1124</v>
      </c>
      <c r="D12905" s="27" t="s">
        <v>1859</v>
      </c>
      <c r="F12905" s="27" t="s">
        <v>1881</v>
      </c>
      <c r="H12905" s="27" t="s">
        <v>2679</v>
      </c>
      <c r="J12905" s="27" t="s">
        <v>3210</v>
      </c>
      <c r="L12905" s="27" t="s">
        <v>3262</v>
      </c>
      <c r="N12905" s="27" t="s">
        <v>16715</v>
      </c>
      <c r="P12905" s="27" t="s">
        <v>16718</v>
      </c>
      <c r="Q12905" s="26" t="str">
        <f>HYPERLINK("https://ictv.global/taxonomy/taxondetails?taxnode_id=202517709&amp;ictv_id=ICTV202317709","ICTV202317709")</f>
        <v>ICTV202317709</v>
      </c>
      <c r="R12905" t="s">
        <v>581</v>
      </c>
      <c r="S12905" t="s">
        <v>823</v>
      </c>
      <c r="T12905">
        <v>39</v>
      </c>
      <c r="U12905" s="26" t="str">
        <f t="shared" si="474"/>
        <v>2023.001B.Leviviricetes_reorg.zip</v>
      </c>
    </row>
    <row r="12906" spans="1:21">
      <c r="A12906">
        <v>12905</v>
      </c>
      <c r="B12906" s="27" t="s">
        <v>1124</v>
      </c>
      <c r="D12906" s="27" t="s">
        <v>1859</v>
      </c>
      <c r="F12906" s="27" t="s">
        <v>1881</v>
      </c>
      <c r="H12906" s="27" t="s">
        <v>2679</v>
      </c>
      <c r="J12906" s="27" t="s">
        <v>3210</v>
      </c>
      <c r="L12906" s="27" t="s">
        <v>3262</v>
      </c>
      <c r="N12906" s="27" t="s">
        <v>16719</v>
      </c>
      <c r="P12906" s="27" t="s">
        <v>16720</v>
      </c>
      <c r="Q12906" s="26" t="str">
        <f>HYPERLINK("https://ictv.global/taxonomy/taxondetails?taxnode_id=202517710&amp;ictv_id=ICTV202317710","ICTV202317710")</f>
        <v>ICTV202317710</v>
      </c>
      <c r="R12906" t="s">
        <v>581</v>
      </c>
      <c r="S12906" t="s">
        <v>823</v>
      </c>
      <c r="T12906">
        <v>39</v>
      </c>
      <c r="U12906" s="26" t="str">
        <f t="shared" si="474"/>
        <v>2023.001B.Leviviricetes_reorg.zip</v>
      </c>
    </row>
    <row r="12907" spans="1:21">
      <c r="A12907">
        <v>12906</v>
      </c>
      <c r="B12907" s="27" t="s">
        <v>1124</v>
      </c>
      <c r="D12907" s="27" t="s">
        <v>1859</v>
      </c>
      <c r="F12907" s="27" t="s">
        <v>1881</v>
      </c>
      <c r="H12907" s="27" t="s">
        <v>2679</v>
      </c>
      <c r="J12907" s="27" t="s">
        <v>3210</v>
      </c>
      <c r="L12907" s="27" t="s">
        <v>3262</v>
      </c>
      <c r="N12907" s="27" t="s">
        <v>16721</v>
      </c>
      <c r="P12907" s="27" t="s">
        <v>16722</v>
      </c>
      <c r="Q12907" s="26" t="str">
        <f>HYPERLINK("https://ictv.global/taxonomy/taxondetails?taxnode_id=202517711&amp;ictv_id=ICTV202317711","ICTV202317711")</f>
        <v>ICTV202317711</v>
      </c>
      <c r="R12907" t="s">
        <v>581</v>
      </c>
      <c r="S12907" t="s">
        <v>823</v>
      </c>
      <c r="T12907">
        <v>39</v>
      </c>
      <c r="U12907" s="26" t="str">
        <f t="shared" si="474"/>
        <v>2023.001B.Leviviricetes_reorg.zip</v>
      </c>
    </row>
    <row r="12908" spans="1:21">
      <c r="A12908">
        <v>12907</v>
      </c>
      <c r="B12908" s="27" t="s">
        <v>1124</v>
      </c>
      <c r="D12908" s="27" t="s">
        <v>1859</v>
      </c>
      <c r="F12908" s="27" t="s">
        <v>1881</v>
      </c>
      <c r="H12908" s="27" t="s">
        <v>2679</v>
      </c>
      <c r="J12908" s="27" t="s">
        <v>3210</v>
      </c>
      <c r="L12908" s="27" t="s">
        <v>3262</v>
      </c>
      <c r="N12908" s="27" t="s">
        <v>16721</v>
      </c>
      <c r="P12908" s="27" t="s">
        <v>16723</v>
      </c>
      <c r="Q12908" s="26" t="str">
        <f>HYPERLINK("https://ictv.global/taxonomy/taxondetails?taxnode_id=202517712&amp;ictv_id=ICTV202317712","ICTV202317712")</f>
        <v>ICTV202317712</v>
      </c>
      <c r="R12908" t="s">
        <v>581</v>
      </c>
      <c r="S12908" t="s">
        <v>823</v>
      </c>
      <c r="T12908">
        <v>39</v>
      </c>
      <c r="U12908" s="26" t="str">
        <f t="shared" si="474"/>
        <v>2023.001B.Leviviricetes_reorg.zip</v>
      </c>
    </row>
    <row r="12909" spans="1:21">
      <c r="A12909">
        <v>12908</v>
      </c>
      <c r="B12909" s="27" t="s">
        <v>1124</v>
      </c>
      <c r="D12909" s="27" t="s">
        <v>1859</v>
      </c>
      <c r="F12909" s="27" t="s">
        <v>1881</v>
      </c>
      <c r="H12909" s="27" t="s">
        <v>2679</v>
      </c>
      <c r="J12909" s="27" t="s">
        <v>3210</v>
      </c>
      <c r="L12909" s="27" t="s">
        <v>3262</v>
      </c>
      <c r="N12909" s="27" t="s">
        <v>3451</v>
      </c>
      <c r="P12909" s="27" t="s">
        <v>16724</v>
      </c>
      <c r="Q12909" s="26" t="str">
        <f>HYPERLINK("https://ictv.global/taxonomy/taxondetails?taxnode_id=202517713&amp;ictv_id=ICTV202317713","ICTV202317713")</f>
        <v>ICTV202317713</v>
      </c>
      <c r="R12909" t="s">
        <v>581</v>
      </c>
      <c r="S12909" t="s">
        <v>823</v>
      </c>
      <c r="T12909">
        <v>39</v>
      </c>
      <c r="U12909" s="26" t="str">
        <f t="shared" si="474"/>
        <v>2023.001B.Leviviricetes_reorg.zip</v>
      </c>
    </row>
    <row r="12910" spans="1:21">
      <c r="A12910">
        <v>12909</v>
      </c>
      <c r="B12910" s="27" t="s">
        <v>1124</v>
      </c>
      <c r="D12910" s="27" t="s">
        <v>1859</v>
      </c>
      <c r="F12910" s="27" t="s">
        <v>1881</v>
      </c>
      <c r="H12910" s="27" t="s">
        <v>2679</v>
      </c>
      <c r="J12910" s="27" t="s">
        <v>3210</v>
      </c>
      <c r="L12910" s="27" t="s">
        <v>3262</v>
      </c>
      <c r="N12910" s="27" t="s">
        <v>3451</v>
      </c>
      <c r="P12910" s="27" t="s">
        <v>16725</v>
      </c>
      <c r="Q12910" s="26" t="str">
        <f>HYPERLINK("https://ictv.global/taxonomy/taxondetails?taxnode_id=202517714&amp;ictv_id=ICTV202317714","ICTV202317714")</f>
        <v>ICTV202317714</v>
      </c>
      <c r="R12910" t="s">
        <v>581</v>
      </c>
      <c r="S12910" t="s">
        <v>823</v>
      </c>
      <c r="T12910">
        <v>39</v>
      </c>
      <c r="U12910" s="26" t="str">
        <f t="shared" si="474"/>
        <v>2023.001B.Leviviricetes_reorg.zip</v>
      </c>
    </row>
    <row r="12911" spans="1:21">
      <c r="A12911">
        <v>12910</v>
      </c>
      <c r="B12911" s="27" t="s">
        <v>1124</v>
      </c>
      <c r="D12911" s="27" t="s">
        <v>1859</v>
      </c>
      <c r="F12911" s="27" t="s">
        <v>1881</v>
      </c>
      <c r="H12911" s="27" t="s">
        <v>2679</v>
      </c>
      <c r="J12911" s="27" t="s">
        <v>3210</v>
      </c>
      <c r="L12911" s="27" t="s">
        <v>3262</v>
      </c>
      <c r="N12911" s="27" t="s">
        <v>3451</v>
      </c>
      <c r="P12911" s="27" t="s">
        <v>16726</v>
      </c>
      <c r="Q12911" s="26" t="str">
        <f>HYPERLINK("https://ictv.global/taxonomy/taxondetails?taxnode_id=202517715&amp;ictv_id=ICTV202317715","ICTV202317715")</f>
        <v>ICTV202317715</v>
      </c>
      <c r="R12911" t="s">
        <v>581</v>
      </c>
      <c r="S12911" t="s">
        <v>823</v>
      </c>
      <c r="T12911">
        <v>39</v>
      </c>
      <c r="U12911" s="26" t="str">
        <f t="shared" si="474"/>
        <v>2023.001B.Leviviricetes_reorg.zip</v>
      </c>
    </row>
    <row r="12912" spans="1:21">
      <c r="A12912">
        <v>12911</v>
      </c>
      <c r="B12912" s="27" t="s">
        <v>1124</v>
      </c>
      <c r="D12912" s="27" t="s">
        <v>1859</v>
      </c>
      <c r="F12912" s="27" t="s">
        <v>1881</v>
      </c>
      <c r="H12912" s="27" t="s">
        <v>2679</v>
      </c>
      <c r="J12912" s="27" t="s">
        <v>3210</v>
      </c>
      <c r="L12912" s="27" t="s">
        <v>3262</v>
      </c>
      <c r="N12912" s="27" t="s">
        <v>3451</v>
      </c>
      <c r="P12912" s="27" t="s">
        <v>16727</v>
      </c>
      <c r="Q12912" s="26" t="str">
        <f>HYPERLINK("https://ictv.global/taxonomy/taxondetails?taxnode_id=202517716&amp;ictv_id=ICTV202317716","ICTV202317716")</f>
        <v>ICTV202317716</v>
      </c>
      <c r="R12912" t="s">
        <v>581</v>
      </c>
      <c r="S12912" t="s">
        <v>823</v>
      </c>
      <c r="T12912">
        <v>39</v>
      </c>
      <c r="U12912" s="26" t="str">
        <f t="shared" si="474"/>
        <v>2023.001B.Leviviricetes_reorg.zip</v>
      </c>
    </row>
    <row r="12913" spans="1:21">
      <c r="A12913">
        <v>12912</v>
      </c>
      <c r="B12913" s="27" t="s">
        <v>1124</v>
      </c>
      <c r="D12913" s="27" t="s">
        <v>1859</v>
      </c>
      <c r="F12913" s="27" t="s">
        <v>1881</v>
      </c>
      <c r="H12913" s="27" t="s">
        <v>2679</v>
      </c>
      <c r="J12913" s="27" t="s">
        <v>3210</v>
      </c>
      <c r="L12913" s="27" t="s">
        <v>3262</v>
      </c>
      <c r="N12913" s="27" t="s">
        <v>3451</v>
      </c>
      <c r="P12913" s="27" t="s">
        <v>16728</v>
      </c>
      <c r="Q12913" s="26" t="str">
        <f>HYPERLINK("https://ictv.global/taxonomy/taxondetails?taxnode_id=202517717&amp;ictv_id=ICTV202317717","ICTV202317717")</f>
        <v>ICTV202317717</v>
      </c>
      <c r="R12913" t="s">
        <v>581</v>
      </c>
      <c r="S12913" t="s">
        <v>823</v>
      </c>
      <c r="T12913">
        <v>39</v>
      </c>
      <c r="U12913" s="26" t="str">
        <f t="shared" si="474"/>
        <v>2023.001B.Leviviricetes_reorg.zip</v>
      </c>
    </row>
    <row r="12914" spans="1:21">
      <c r="A12914">
        <v>12913</v>
      </c>
      <c r="B12914" s="27" t="s">
        <v>1124</v>
      </c>
      <c r="D12914" s="27" t="s">
        <v>1859</v>
      </c>
      <c r="F12914" s="27" t="s">
        <v>1881</v>
      </c>
      <c r="H12914" s="27" t="s">
        <v>2679</v>
      </c>
      <c r="J12914" s="27" t="s">
        <v>3210</v>
      </c>
      <c r="L12914" s="27" t="s">
        <v>3262</v>
      </c>
      <c r="N12914" s="27" t="s">
        <v>3451</v>
      </c>
      <c r="P12914" s="27" t="s">
        <v>16729</v>
      </c>
      <c r="Q12914" s="26" t="str">
        <f>HYPERLINK("https://ictv.global/taxonomy/taxondetails?taxnode_id=202517718&amp;ictv_id=ICTV202317718","ICTV202317718")</f>
        <v>ICTV202317718</v>
      </c>
      <c r="R12914" t="s">
        <v>581</v>
      </c>
      <c r="S12914" t="s">
        <v>823</v>
      </c>
      <c r="T12914">
        <v>39</v>
      </c>
      <c r="U12914" s="26" t="str">
        <f t="shared" si="474"/>
        <v>2023.001B.Leviviricetes_reorg.zip</v>
      </c>
    </row>
    <row r="12915" spans="1:21">
      <c r="A12915">
        <v>12914</v>
      </c>
      <c r="B12915" s="27" t="s">
        <v>1124</v>
      </c>
      <c r="D12915" s="27" t="s">
        <v>1859</v>
      </c>
      <c r="F12915" s="27" t="s">
        <v>1881</v>
      </c>
      <c r="H12915" s="27" t="s">
        <v>2679</v>
      </c>
      <c r="J12915" s="27" t="s">
        <v>3210</v>
      </c>
      <c r="L12915" s="27" t="s">
        <v>3262</v>
      </c>
      <c r="N12915" s="27" t="s">
        <v>3451</v>
      </c>
      <c r="P12915" s="27" t="s">
        <v>16730</v>
      </c>
      <c r="Q12915" s="26" t="str">
        <f>HYPERLINK("https://ictv.global/taxonomy/taxondetails?taxnode_id=202517719&amp;ictv_id=ICTV202317719","ICTV202317719")</f>
        <v>ICTV202317719</v>
      </c>
      <c r="R12915" t="s">
        <v>581</v>
      </c>
      <c r="S12915" t="s">
        <v>823</v>
      </c>
      <c r="T12915">
        <v>39</v>
      </c>
      <c r="U12915" s="26" t="str">
        <f t="shared" si="474"/>
        <v>2023.001B.Leviviricetes_reorg.zip</v>
      </c>
    </row>
    <row r="12916" spans="1:21">
      <c r="A12916">
        <v>12915</v>
      </c>
      <c r="B12916" s="27" t="s">
        <v>1124</v>
      </c>
      <c r="D12916" s="27" t="s">
        <v>1859</v>
      </c>
      <c r="F12916" s="27" t="s">
        <v>1881</v>
      </c>
      <c r="H12916" s="27" t="s">
        <v>2679</v>
      </c>
      <c r="J12916" s="27" t="s">
        <v>3210</v>
      </c>
      <c r="L12916" s="27" t="s">
        <v>3262</v>
      </c>
      <c r="N12916" s="27" t="s">
        <v>3451</v>
      </c>
      <c r="P12916" s="27" t="s">
        <v>3452</v>
      </c>
      <c r="Q12916" s="26" t="str">
        <f>HYPERLINK("https://ictv.global/taxonomy/taxondetails?taxnode_id=202511504&amp;ictv_id=ICTV202011504","ICTV202011504")</f>
        <v>ICTV202011504</v>
      </c>
      <c r="R12916" t="s">
        <v>581</v>
      </c>
      <c r="S12916" t="s">
        <v>823</v>
      </c>
      <c r="T12916">
        <v>36</v>
      </c>
      <c r="U12916" s="26" t="str">
        <f>HYPERLINK("https://ictv.global/ictv/proposals/2020.095B.R.Leviviricetes.zip","2020.095B.R.Leviviricetes.zip")</f>
        <v>2020.095B.R.Leviviricetes.zip</v>
      </c>
    </row>
    <row r="12917" spans="1:21">
      <c r="A12917">
        <v>12916</v>
      </c>
      <c r="B12917" s="27" t="s">
        <v>1124</v>
      </c>
      <c r="D12917" s="27" t="s">
        <v>1859</v>
      </c>
      <c r="F12917" s="27" t="s">
        <v>1881</v>
      </c>
      <c r="H12917" s="27" t="s">
        <v>2679</v>
      </c>
      <c r="J12917" s="27" t="s">
        <v>3210</v>
      </c>
      <c r="L12917" s="27" t="s">
        <v>3262</v>
      </c>
      <c r="N12917" s="27" t="s">
        <v>3451</v>
      </c>
      <c r="P12917" s="27" t="s">
        <v>16731</v>
      </c>
      <c r="Q12917" s="26" t="str">
        <f>HYPERLINK("https://ictv.global/taxonomy/taxondetails?taxnode_id=202517720&amp;ictv_id=ICTV202317720","ICTV202317720")</f>
        <v>ICTV202317720</v>
      </c>
      <c r="R12917" t="s">
        <v>581</v>
      </c>
      <c r="S12917" t="s">
        <v>823</v>
      </c>
      <c r="T12917">
        <v>39</v>
      </c>
      <c r="U12917" s="26" t="str">
        <f t="shared" ref="U12917:U12933" si="475">HYPERLINK("https://ictv.global/ictv/proposals/2023.001B.Leviviricetes_reorg.zip","2023.001B.Leviviricetes_reorg.zip")</f>
        <v>2023.001B.Leviviricetes_reorg.zip</v>
      </c>
    </row>
    <row r="12918" spans="1:21">
      <c r="A12918">
        <v>12917</v>
      </c>
      <c r="B12918" s="27" t="s">
        <v>1124</v>
      </c>
      <c r="D12918" s="27" t="s">
        <v>1859</v>
      </c>
      <c r="F12918" s="27" t="s">
        <v>1881</v>
      </c>
      <c r="H12918" s="27" t="s">
        <v>2679</v>
      </c>
      <c r="J12918" s="27" t="s">
        <v>3210</v>
      </c>
      <c r="L12918" s="27" t="s">
        <v>3262</v>
      </c>
      <c r="N12918" s="27" t="s">
        <v>3451</v>
      </c>
      <c r="P12918" s="27" t="s">
        <v>16732</v>
      </c>
      <c r="Q12918" s="26" t="str">
        <f>HYPERLINK("https://ictv.global/taxonomy/taxondetails?taxnode_id=202517721&amp;ictv_id=ICTV202317721","ICTV202317721")</f>
        <v>ICTV202317721</v>
      </c>
      <c r="R12918" t="s">
        <v>581</v>
      </c>
      <c r="S12918" t="s">
        <v>823</v>
      </c>
      <c r="T12918">
        <v>39</v>
      </c>
      <c r="U12918" s="26" t="str">
        <f t="shared" si="475"/>
        <v>2023.001B.Leviviricetes_reorg.zip</v>
      </c>
    </row>
    <row r="12919" spans="1:21">
      <c r="A12919">
        <v>12918</v>
      </c>
      <c r="B12919" s="27" t="s">
        <v>1124</v>
      </c>
      <c r="D12919" s="27" t="s">
        <v>1859</v>
      </c>
      <c r="F12919" s="27" t="s">
        <v>1881</v>
      </c>
      <c r="H12919" s="27" t="s">
        <v>2679</v>
      </c>
      <c r="J12919" s="27" t="s">
        <v>3210</v>
      </c>
      <c r="L12919" s="27" t="s">
        <v>3262</v>
      </c>
      <c r="N12919" s="27" t="s">
        <v>3451</v>
      </c>
      <c r="P12919" s="27" t="s">
        <v>16733</v>
      </c>
      <c r="Q12919" s="26" t="str">
        <f>HYPERLINK("https://ictv.global/taxonomy/taxondetails?taxnode_id=202517722&amp;ictv_id=ICTV202317722","ICTV202317722")</f>
        <v>ICTV202317722</v>
      </c>
      <c r="R12919" t="s">
        <v>581</v>
      </c>
      <c r="S12919" t="s">
        <v>823</v>
      </c>
      <c r="T12919">
        <v>39</v>
      </c>
      <c r="U12919" s="26" t="str">
        <f t="shared" si="475"/>
        <v>2023.001B.Leviviricetes_reorg.zip</v>
      </c>
    </row>
    <row r="12920" spans="1:21">
      <c r="A12920">
        <v>12919</v>
      </c>
      <c r="B12920" s="27" t="s">
        <v>1124</v>
      </c>
      <c r="D12920" s="27" t="s">
        <v>1859</v>
      </c>
      <c r="F12920" s="27" t="s">
        <v>1881</v>
      </c>
      <c r="H12920" s="27" t="s">
        <v>2679</v>
      </c>
      <c r="J12920" s="27" t="s">
        <v>3210</v>
      </c>
      <c r="L12920" s="27" t="s">
        <v>3262</v>
      </c>
      <c r="N12920" s="27" t="s">
        <v>3451</v>
      </c>
      <c r="P12920" s="27" t="s">
        <v>16734</v>
      </c>
      <c r="Q12920" s="26" t="str">
        <f>HYPERLINK("https://ictv.global/taxonomy/taxondetails?taxnode_id=202517723&amp;ictv_id=ICTV202317723","ICTV202317723")</f>
        <v>ICTV202317723</v>
      </c>
      <c r="R12920" t="s">
        <v>581</v>
      </c>
      <c r="S12920" t="s">
        <v>823</v>
      </c>
      <c r="T12920">
        <v>39</v>
      </c>
      <c r="U12920" s="26" t="str">
        <f t="shared" si="475"/>
        <v>2023.001B.Leviviricetes_reorg.zip</v>
      </c>
    </row>
    <row r="12921" spans="1:21">
      <c r="A12921">
        <v>12920</v>
      </c>
      <c r="B12921" s="27" t="s">
        <v>1124</v>
      </c>
      <c r="D12921" s="27" t="s">
        <v>1859</v>
      </c>
      <c r="F12921" s="27" t="s">
        <v>1881</v>
      </c>
      <c r="H12921" s="27" t="s">
        <v>2679</v>
      </c>
      <c r="J12921" s="27" t="s">
        <v>3210</v>
      </c>
      <c r="L12921" s="27" t="s">
        <v>3262</v>
      </c>
      <c r="N12921" s="27" t="s">
        <v>3451</v>
      </c>
      <c r="P12921" s="27" t="s">
        <v>16735</v>
      </c>
      <c r="Q12921" s="26" t="str">
        <f>HYPERLINK("https://ictv.global/taxonomy/taxondetails?taxnode_id=202517724&amp;ictv_id=ICTV202317724","ICTV202317724")</f>
        <v>ICTV202317724</v>
      </c>
      <c r="R12921" t="s">
        <v>581</v>
      </c>
      <c r="S12921" t="s">
        <v>823</v>
      </c>
      <c r="T12921">
        <v>39</v>
      </c>
      <c r="U12921" s="26" t="str">
        <f t="shared" si="475"/>
        <v>2023.001B.Leviviricetes_reorg.zip</v>
      </c>
    </row>
    <row r="12922" spans="1:21">
      <c r="A12922">
        <v>12921</v>
      </c>
      <c r="B12922" s="27" t="s">
        <v>1124</v>
      </c>
      <c r="D12922" s="27" t="s">
        <v>1859</v>
      </c>
      <c r="F12922" s="27" t="s">
        <v>1881</v>
      </c>
      <c r="H12922" s="27" t="s">
        <v>2679</v>
      </c>
      <c r="J12922" s="27" t="s">
        <v>3210</v>
      </c>
      <c r="L12922" s="27" t="s">
        <v>3262</v>
      </c>
      <c r="N12922" s="27" t="s">
        <v>3451</v>
      </c>
      <c r="P12922" s="27" t="s">
        <v>16736</v>
      </c>
      <c r="Q12922" s="26" t="str">
        <f>HYPERLINK("https://ictv.global/taxonomy/taxondetails?taxnode_id=202517725&amp;ictv_id=ICTV202317725","ICTV202317725")</f>
        <v>ICTV202317725</v>
      </c>
      <c r="R12922" t="s">
        <v>581</v>
      </c>
      <c r="S12922" t="s">
        <v>823</v>
      </c>
      <c r="T12922">
        <v>39</v>
      </c>
      <c r="U12922" s="26" t="str">
        <f t="shared" si="475"/>
        <v>2023.001B.Leviviricetes_reorg.zip</v>
      </c>
    </row>
    <row r="12923" spans="1:21">
      <c r="A12923">
        <v>12922</v>
      </c>
      <c r="B12923" s="27" t="s">
        <v>1124</v>
      </c>
      <c r="D12923" s="27" t="s">
        <v>1859</v>
      </c>
      <c r="F12923" s="27" t="s">
        <v>1881</v>
      </c>
      <c r="H12923" s="27" t="s">
        <v>2679</v>
      </c>
      <c r="J12923" s="27" t="s">
        <v>3210</v>
      </c>
      <c r="L12923" s="27" t="s">
        <v>3262</v>
      </c>
      <c r="N12923" s="27" t="s">
        <v>3451</v>
      </c>
      <c r="P12923" s="27" t="s">
        <v>16737</v>
      </c>
      <c r="Q12923" s="26" t="str">
        <f>HYPERLINK("https://ictv.global/taxonomy/taxondetails?taxnode_id=202517726&amp;ictv_id=ICTV202317726","ICTV202317726")</f>
        <v>ICTV202317726</v>
      </c>
      <c r="R12923" t="s">
        <v>581</v>
      </c>
      <c r="S12923" t="s">
        <v>823</v>
      </c>
      <c r="T12923">
        <v>39</v>
      </c>
      <c r="U12923" s="26" t="str">
        <f t="shared" si="475"/>
        <v>2023.001B.Leviviricetes_reorg.zip</v>
      </c>
    </row>
    <row r="12924" spans="1:21">
      <c r="A12924">
        <v>12923</v>
      </c>
      <c r="B12924" s="27" t="s">
        <v>1124</v>
      </c>
      <c r="D12924" s="27" t="s">
        <v>1859</v>
      </c>
      <c r="F12924" s="27" t="s">
        <v>1881</v>
      </c>
      <c r="H12924" s="27" t="s">
        <v>2679</v>
      </c>
      <c r="J12924" s="27" t="s">
        <v>3210</v>
      </c>
      <c r="L12924" s="27" t="s">
        <v>3262</v>
      </c>
      <c r="N12924" s="27" t="s">
        <v>3451</v>
      </c>
      <c r="P12924" s="27" t="s">
        <v>16738</v>
      </c>
      <c r="Q12924" s="26" t="str">
        <f>HYPERLINK("https://ictv.global/taxonomy/taxondetails?taxnode_id=202517727&amp;ictv_id=ICTV202317727","ICTV202317727")</f>
        <v>ICTV202317727</v>
      </c>
      <c r="R12924" t="s">
        <v>581</v>
      </c>
      <c r="S12924" t="s">
        <v>823</v>
      </c>
      <c r="T12924">
        <v>39</v>
      </c>
      <c r="U12924" s="26" t="str">
        <f t="shared" si="475"/>
        <v>2023.001B.Leviviricetes_reorg.zip</v>
      </c>
    </row>
    <row r="12925" spans="1:21">
      <c r="A12925">
        <v>12924</v>
      </c>
      <c r="B12925" s="27" t="s">
        <v>1124</v>
      </c>
      <c r="D12925" s="27" t="s">
        <v>1859</v>
      </c>
      <c r="F12925" s="27" t="s">
        <v>1881</v>
      </c>
      <c r="H12925" s="27" t="s">
        <v>2679</v>
      </c>
      <c r="J12925" s="27" t="s">
        <v>3210</v>
      </c>
      <c r="L12925" s="27" t="s">
        <v>3262</v>
      </c>
      <c r="N12925" s="27" t="s">
        <v>3451</v>
      </c>
      <c r="P12925" s="27" t="s">
        <v>16739</v>
      </c>
      <c r="Q12925" s="26" t="str">
        <f>HYPERLINK("https://ictv.global/taxonomy/taxondetails?taxnode_id=202511056&amp;ictv_id=ICTV202011056","ICTV202011056")</f>
        <v>ICTV202011056</v>
      </c>
      <c r="R12925" t="s">
        <v>581</v>
      </c>
      <c r="S12925" t="s">
        <v>22764</v>
      </c>
      <c r="T12925">
        <v>39</v>
      </c>
      <c r="U12925" s="26" t="str">
        <f t="shared" si="475"/>
        <v>2023.001B.Leviviricetes_reorg.zip</v>
      </c>
    </row>
    <row r="12926" spans="1:21">
      <c r="A12926">
        <v>12925</v>
      </c>
      <c r="B12926" s="27" t="s">
        <v>1124</v>
      </c>
      <c r="D12926" s="27" t="s">
        <v>1859</v>
      </c>
      <c r="F12926" s="27" t="s">
        <v>1881</v>
      </c>
      <c r="H12926" s="27" t="s">
        <v>2679</v>
      </c>
      <c r="J12926" s="27" t="s">
        <v>3210</v>
      </c>
      <c r="L12926" s="27" t="s">
        <v>3262</v>
      </c>
      <c r="N12926" s="27" t="s">
        <v>3451</v>
      </c>
      <c r="P12926" s="27" t="s">
        <v>16740</v>
      </c>
      <c r="Q12926" s="26" t="str">
        <f>HYPERLINK("https://ictv.global/taxonomy/taxondetails?taxnode_id=202517728&amp;ictv_id=ICTV202317728","ICTV202317728")</f>
        <v>ICTV202317728</v>
      </c>
      <c r="R12926" t="s">
        <v>581</v>
      </c>
      <c r="S12926" t="s">
        <v>823</v>
      </c>
      <c r="T12926">
        <v>39</v>
      </c>
      <c r="U12926" s="26" t="str">
        <f t="shared" si="475"/>
        <v>2023.001B.Leviviricetes_reorg.zip</v>
      </c>
    </row>
    <row r="12927" spans="1:21">
      <c r="A12927">
        <v>12926</v>
      </c>
      <c r="B12927" s="27" t="s">
        <v>1124</v>
      </c>
      <c r="D12927" s="27" t="s">
        <v>1859</v>
      </c>
      <c r="F12927" s="27" t="s">
        <v>1881</v>
      </c>
      <c r="H12927" s="27" t="s">
        <v>2679</v>
      </c>
      <c r="J12927" s="27" t="s">
        <v>3210</v>
      </c>
      <c r="L12927" s="27" t="s">
        <v>3262</v>
      </c>
      <c r="N12927" s="27" t="s">
        <v>3451</v>
      </c>
      <c r="P12927" s="27" t="s">
        <v>16741</v>
      </c>
      <c r="Q12927" s="26" t="str">
        <f>HYPERLINK("https://ictv.global/taxonomy/taxondetails?taxnode_id=202517729&amp;ictv_id=ICTV202317729","ICTV202317729")</f>
        <v>ICTV202317729</v>
      </c>
      <c r="R12927" t="s">
        <v>581</v>
      </c>
      <c r="S12927" t="s">
        <v>823</v>
      </c>
      <c r="T12927">
        <v>39</v>
      </c>
      <c r="U12927" s="26" t="str">
        <f t="shared" si="475"/>
        <v>2023.001B.Leviviricetes_reorg.zip</v>
      </c>
    </row>
    <row r="12928" spans="1:21">
      <c r="A12928">
        <v>12927</v>
      </c>
      <c r="B12928" s="27" t="s">
        <v>1124</v>
      </c>
      <c r="D12928" s="27" t="s">
        <v>1859</v>
      </c>
      <c r="F12928" s="27" t="s">
        <v>1881</v>
      </c>
      <c r="H12928" s="27" t="s">
        <v>2679</v>
      </c>
      <c r="J12928" s="27" t="s">
        <v>3210</v>
      </c>
      <c r="L12928" s="27" t="s">
        <v>3262</v>
      </c>
      <c r="N12928" s="27" t="s">
        <v>3451</v>
      </c>
      <c r="P12928" s="27" t="s">
        <v>16742</v>
      </c>
      <c r="Q12928" s="26" t="str">
        <f>HYPERLINK("https://ictv.global/taxonomy/taxondetails?taxnode_id=202517730&amp;ictv_id=ICTV202317730","ICTV202317730")</f>
        <v>ICTV202317730</v>
      </c>
      <c r="R12928" t="s">
        <v>581</v>
      </c>
      <c r="S12928" t="s">
        <v>823</v>
      </c>
      <c r="T12928">
        <v>39</v>
      </c>
      <c r="U12928" s="26" t="str">
        <f t="shared" si="475"/>
        <v>2023.001B.Leviviricetes_reorg.zip</v>
      </c>
    </row>
    <row r="12929" spans="1:21">
      <c r="A12929">
        <v>12928</v>
      </c>
      <c r="B12929" s="27" t="s">
        <v>1124</v>
      </c>
      <c r="D12929" s="27" t="s">
        <v>1859</v>
      </c>
      <c r="F12929" s="27" t="s">
        <v>1881</v>
      </c>
      <c r="H12929" s="27" t="s">
        <v>2679</v>
      </c>
      <c r="J12929" s="27" t="s">
        <v>3210</v>
      </c>
      <c r="L12929" s="27" t="s">
        <v>3262</v>
      </c>
      <c r="N12929" s="27" t="s">
        <v>3451</v>
      </c>
      <c r="P12929" s="27" t="s">
        <v>16743</v>
      </c>
      <c r="Q12929" s="26" t="str">
        <f>HYPERLINK("https://ictv.global/taxonomy/taxondetails?taxnode_id=202517731&amp;ictv_id=ICTV202317731","ICTV202317731")</f>
        <v>ICTV202317731</v>
      </c>
      <c r="R12929" t="s">
        <v>581</v>
      </c>
      <c r="S12929" t="s">
        <v>823</v>
      </c>
      <c r="T12929">
        <v>39</v>
      </c>
      <c r="U12929" s="26" t="str">
        <f t="shared" si="475"/>
        <v>2023.001B.Leviviricetes_reorg.zip</v>
      </c>
    </row>
    <row r="12930" spans="1:21">
      <c r="A12930">
        <v>12929</v>
      </c>
      <c r="B12930" s="27" t="s">
        <v>1124</v>
      </c>
      <c r="D12930" s="27" t="s">
        <v>1859</v>
      </c>
      <c r="F12930" s="27" t="s">
        <v>1881</v>
      </c>
      <c r="H12930" s="27" t="s">
        <v>2679</v>
      </c>
      <c r="J12930" s="27" t="s">
        <v>3210</v>
      </c>
      <c r="L12930" s="27" t="s">
        <v>3262</v>
      </c>
      <c r="N12930" s="27" t="s">
        <v>3451</v>
      </c>
      <c r="P12930" s="27" t="s">
        <v>16744</v>
      </c>
      <c r="Q12930" s="26" t="str">
        <f>HYPERLINK("https://ictv.global/taxonomy/taxondetails?taxnode_id=202517732&amp;ictv_id=ICTV202317732","ICTV202317732")</f>
        <v>ICTV202317732</v>
      </c>
      <c r="R12930" t="s">
        <v>581</v>
      </c>
      <c r="S12930" t="s">
        <v>823</v>
      </c>
      <c r="T12930">
        <v>39</v>
      </c>
      <c r="U12930" s="26" t="str">
        <f t="shared" si="475"/>
        <v>2023.001B.Leviviricetes_reorg.zip</v>
      </c>
    </row>
    <row r="12931" spans="1:21">
      <c r="A12931">
        <v>12930</v>
      </c>
      <c r="B12931" s="27" t="s">
        <v>1124</v>
      </c>
      <c r="D12931" s="27" t="s">
        <v>1859</v>
      </c>
      <c r="F12931" s="27" t="s">
        <v>1881</v>
      </c>
      <c r="H12931" s="27" t="s">
        <v>2679</v>
      </c>
      <c r="J12931" s="27" t="s">
        <v>3210</v>
      </c>
      <c r="L12931" s="27" t="s">
        <v>3262</v>
      </c>
      <c r="N12931" s="27" t="s">
        <v>3451</v>
      </c>
      <c r="P12931" s="27" t="s">
        <v>16745</v>
      </c>
      <c r="Q12931" s="26" t="str">
        <f>HYPERLINK("https://ictv.global/taxonomy/taxondetails?taxnode_id=202517733&amp;ictv_id=ICTV202317733","ICTV202317733")</f>
        <v>ICTV202317733</v>
      </c>
      <c r="R12931" t="s">
        <v>581</v>
      </c>
      <c r="S12931" t="s">
        <v>823</v>
      </c>
      <c r="T12931">
        <v>39</v>
      </c>
      <c r="U12931" s="26" t="str">
        <f t="shared" si="475"/>
        <v>2023.001B.Leviviricetes_reorg.zip</v>
      </c>
    </row>
    <row r="12932" spans="1:21">
      <c r="A12932">
        <v>12931</v>
      </c>
      <c r="B12932" s="27" t="s">
        <v>1124</v>
      </c>
      <c r="D12932" s="27" t="s">
        <v>1859</v>
      </c>
      <c r="F12932" s="27" t="s">
        <v>1881</v>
      </c>
      <c r="H12932" s="27" t="s">
        <v>2679</v>
      </c>
      <c r="N12932" s="27" t="s">
        <v>16746</v>
      </c>
      <c r="P12932" s="27" t="s">
        <v>16747</v>
      </c>
      <c r="Q12932" s="26" t="str">
        <f>HYPERLINK("https://ictv.global/taxonomy/taxondetails?taxnode_id=202516028&amp;ictv_id=ICTV202316028","ICTV202316028")</f>
        <v>ICTV202316028</v>
      </c>
      <c r="R12932" t="s">
        <v>581</v>
      </c>
      <c r="S12932" t="s">
        <v>823</v>
      </c>
      <c r="T12932">
        <v>39</v>
      </c>
      <c r="U12932" s="26" t="str">
        <f t="shared" si="475"/>
        <v>2023.001B.Leviviricetes_reorg.zip</v>
      </c>
    </row>
    <row r="12933" spans="1:21">
      <c r="A12933">
        <v>12932</v>
      </c>
      <c r="B12933" s="27" t="s">
        <v>1124</v>
      </c>
      <c r="D12933" s="27" t="s">
        <v>1859</v>
      </c>
      <c r="F12933" s="27" t="s">
        <v>1881</v>
      </c>
      <c r="H12933" s="27" t="s">
        <v>2679</v>
      </c>
      <c r="N12933" s="27" t="s">
        <v>3455</v>
      </c>
      <c r="P12933" s="27" t="s">
        <v>16748</v>
      </c>
      <c r="Q12933" s="26" t="str">
        <f>HYPERLINK("https://ictv.global/taxonomy/taxondetails?taxnode_id=202516029&amp;ictv_id=ICTV202316029","ICTV202316029")</f>
        <v>ICTV202316029</v>
      </c>
      <c r="R12933" t="s">
        <v>581</v>
      </c>
      <c r="S12933" t="s">
        <v>823</v>
      </c>
      <c r="T12933">
        <v>39</v>
      </c>
      <c r="U12933" s="26" t="str">
        <f t="shared" si="475"/>
        <v>2023.001B.Leviviricetes_reorg.zip</v>
      </c>
    </row>
    <row r="12934" spans="1:21">
      <c r="A12934">
        <v>12933</v>
      </c>
      <c r="B12934" s="27" t="s">
        <v>1124</v>
      </c>
      <c r="D12934" s="27" t="s">
        <v>1859</v>
      </c>
      <c r="F12934" s="27" t="s">
        <v>1881</v>
      </c>
      <c r="H12934" s="27" t="s">
        <v>2679</v>
      </c>
      <c r="N12934" s="27" t="s">
        <v>3455</v>
      </c>
      <c r="P12934" s="27" t="s">
        <v>3456</v>
      </c>
      <c r="Q12934" s="26" t="str">
        <f>HYPERLINK("https://ictv.global/taxonomy/taxondetails?taxnode_id=202511514&amp;ictv_id=ICTV202011514","ICTV202011514")</f>
        <v>ICTV202011514</v>
      </c>
      <c r="R12934" t="s">
        <v>581</v>
      </c>
      <c r="S12934" t="s">
        <v>823</v>
      </c>
      <c r="T12934">
        <v>36</v>
      </c>
      <c r="U12934" s="26" t="str">
        <f>HYPERLINK("https://ictv.global/ictv/proposals/2020.095B.R.Leviviricetes.zip","2020.095B.R.Leviviricetes.zip")</f>
        <v>2020.095B.R.Leviviricetes.zip</v>
      </c>
    </row>
    <row r="12935" spans="1:21">
      <c r="A12935">
        <v>12934</v>
      </c>
      <c r="B12935" s="27" t="s">
        <v>1124</v>
      </c>
      <c r="D12935" s="27" t="s">
        <v>1859</v>
      </c>
      <c r="F12935" s="27" t="s">
        <v>1881</v>
      </c>
      <c r="H12935" s="27" t="s">
        <v>2679</v>
      </c>
      <c r="N12935" s="27" t="s">
        <v>3457</v>
      </c>
      <c r="P12935" s="27" t="s">
        <v>3458</v>
      </c>
      <c r="Q12935" s="26" t="str">
        <f>HYPERLINK("https://ictv.global/taxonomy/taxondetails?taxnode_id=202511518&amp;ictv_id=ICTV202011518","ICTV202011518")</f>
        <v>ICTV202011518</v>
      </c>
      <c r="R12935" t="s">
        <v>581</v>
      </c>
      <c r="S12935" t="s">
        <v>823</v>
      </c>
      <c r="T12935">
        <v>36</v>
      </c>
      <c r="U12935" s="26" t="str">
        <f>HYPERLINK("https://ictv.global/ictv/proposals/2020.095B.R.Leviviricetes.zip","2020.095B.R.Leviviricetes.zip")</f>
        <v>2020.095B.R.Leviviricetes.zip</v>
      </c>
    </row>
    <row r="12936" spans="1:21">
      <c r="A12936">
        <v>12935</v>
      </c>
      <c r="B12936" s="27" t="s">
        <v>1124</v>
      </c>
      <c r="D12936" s="27" t="s">
        <v>1859</v>
      </c>
      <c r="F12936" s="27" t="s">
        <v>1881</v>
      </c>
      <c r="H12936" s="27" t="s">
        <v>2679</v>
      </c>
      <c r="N12936" s="27" t="s">
        <v>16749</v>
      </c>
      <c r="P12936" s="27" t="s">
        <v>16750</v>
      </c>
      <c r="Q12936" s="26" t="str">
        <f>HYPERLINK("https://ictv.global/taxonomy/taxondetails?taxnode_id=202516030&amp;ictv_id=ICTV202316030","ICTV202316030")</f>
        <v>ICTV202316030</v>
      </c>
      <c r="R12936" t="s">
        <v>581</v>
      </c>
      <c r="S12936" t="s">
        <v>823</v>
      </c>
      <c r="T12936">
        <v>39</v>
      </c>
      <c r="U12936" s="26" t="str">
        <f>HYPERLINK("https://ictv.global/ictv/proposals/2023.001B.Leviviricetes_reorg.zip","2023.001B.Leviviricetes_reorg.zip")</f>
        <v>2023.001B.Leviviricetes_reorg.zip</v>
      </c>
    </row>
    <row r="12937" spans="1:21">
      <c r="A12937">
        <v>12936</v>
      </c>
      <c r="B12937" s="27" t="s">
        <v>1124</v>
      </c>
      <c r="D12937" s="27" t="s">
        <v>1859</v>
      </c>
      <c r="F12937" s="27" t="s">
        <v>1881</v>
      </c>
      <c r="H12937" s="27" t="s">
        <v>2679</v>
      </c>
      <c r="N12937" s="27" t="s">
        <v>16749</v>
      </c>
      <c r="P12937" s="27" t="s">
        <v>16751</v>
      </c>
      <c r="Q12937" s="26" t="str">
        <f>HYPERLINK("https://ictv.global/taxonomy/taxondetails?taxnode_id=202516031&amp;ictv_id=ICTV202316031","ICTV202316031")</f>
        <v>ICTV202316031</v>
      </c>
      <c r="R12937" t="s">
        <v>581</v>
      </c>
      <c r="S12937" t="s">
        <v>823</v>
      </c>
      <c r="T12937">
        <v>39</v>
      </c>
      <c r="U12937" s="26" t="str">
        <f>HYPERLINK("https://ictv.global/ictv/proposals/2023.001B.Leviviricetes_reorg.zip","2023.001B.Leviviricetes_reorg.zip")</f>
        <v>2023.001B.Leviviricetes_reorg.zip</v>
      </c>
    </row>
    <row r="12938" spans="1:21">
      <c r="A12938">
        <v>12937</v>
      </c>
      <c r="B12938" s="27" t="s">
        <v>1124</v>
      </c>
      <c r="D12938" s="27" t="s">
        <v>1859</v>
      </c>
      <c r="F12938" s="27" t="s">
        <v>1881</v>
      </c>
      <c r="H12938" s="27" t="s">
        <v>2679</v>
      </c>
      <c r="N12938" s="27" t="s">
        <v>3459</v>
      </c>
      <c r="P12938" s="27" t="s">
        <v>3460</v>
      </c>
      <c r="Q12938" s="26" t="str">
        <f>HYPERLINK("https://ictv.global/taxonomy/taxondetails?taxnode_id=202511522&amp;ictv_id=ICTV202011522","ICTV202011522")</f>
        <v>ICTV202011522</v>
      </c>
      <c r="R12938" t="s">
        <v>581</v>
      </c>
      <c r="S12938" t="s">
        <v>823</v>
      </c>
      <c r="T12938">
        <v>36</v>
      </c>
      <c r="U12938" s="26" t="str">
        <f>HYPERLINK("https://ictv.global/ictv/proposals/2020.095B.R.Leviviricetes.zip","2020.095B.R.Leviviricetes.zip")</f>
        <v>2020.095B.R.Leviviricetes.zip</v>
      </c>
    </row>
    <row r="12939" spans="1:21">
      <c r="A12939">
        <v>12938</v>
      </c>
      <c r="B12939" s="27" t="s">
        <v>1124</v>
      </c>
      <c r="D12939" s="27" t="s">
        <v>1859</v>
      </c>
      <c r="F12939" s="27" t="s">
        <v>1881</v>
      </c>
      <c r="H12939" s="27" t="s">
        <v>2679</v>
      </c>
      <c r="N12939" s="27" t="s">
        <v>3459</v>
      </c>
      <c r="P12939" s="27" t="s">
        <v>16752</v>
      </c>
      <c r="Q12939" s="26" t="str">
        <f>HYPERLINK("https://ictv.global/taxonomy/taxondetails?taxnode_id=202516032&amp;ictv_id=ICTV202316032","ICTV202316032")</f>
        <v>ICTV202316032</v>
      </c>
      <c r="R12939" t="s">
        <v>581</v>
      </c>
      <c r="S12939" t="s">
        <v>823</v>
      </c>
      <c r="T12939">
        <v>39</v>
      </c>
      <c r="U12939" s="26" t="str">
        <f>HYPERLINK("https://ictv.global/ictv/proposals/2023.001B.Leviviricetes_reorg.zip","2023.001B.Leviviricetes_reorg.zip")</f>
        <v>2023.001B.Leviviricetes_reorg.zip</v>
      </c>
    </row>
    <row r="12940" spans="1:21">
      <c r="A12940">
        <v>12939</v>
      </c>
      <c r="B12940" s="27" t="s">
        <v>1124</v>
      </c>
      <c r="D12940" s="27" t="s">
        <v>1859</v>
      </c>
      <c r="F12940" s="27" t="s">
        <v>1881</v>
      </c>
      <c r="H12940" s="27" t="s">
        <v>2679</v>
      </c>
      <c r="N12940" s="27" t="s">
        <v>3459</v>
      </c>
      <c r="P12940" s="27" t="s">
        <v>16753</v>
      </c>
      <c r="Q12940" s="26" t="str">
        <f>HYPERLINK("https://ictv.global/taxonomy/taxondetails?taxnode_id=202516033&amp;ictv_id=ICTV202316033","ICTV202316033")</f>
        <v>ICTV202316033</v>
      </c>
      <c r="R12940" t="s">
        <v>581</v>
      </c>
      <c r="S12940" t="s">
        <v>823</v>
      </c>
      <c r="T12940">
        <v>39</v>
      </c>
      <c r="U12940" s="26" t="str">
        <f>HYPERLINK("https://ictv.global/ictv/proposals/2023.001B.Leviviricetes_reorg.zip","2023.001B.Leviviricetes_reorg.zip")</f>
        <v>2023.001B.Leviviricetes_reorg.zip</v>
      </c>
    </row>
    <row r="12941" spans="1:21">
      <c r="A12941">
        <v>12940</v>
      </c>
      <c r="B12941" s="27" t="s">
        <v>1124</v>
      </c>
      <c r="D12941" s="27" t="s">
        <v>1859</v>
      </c>
      <c r="F12941" s="27" t="s">
        <v>1881</v>
      </c>
      <c r="H12941" s="27" t="s">
        <v>2679</v>
      </c>
      <c r="N12941" s="27" t="s">
        <v>3459</v>
      </c>
      <c r="P12941" s="27" t="s">
        <v>16754</v>
      </c>
      <c r="Q12941" s="26" t="str">
        <f>HYPERLINK("https://ictv.global/taxonomy/taxondetails?taxnode_id=202516034&amp;ictv_id=ICTV202316034","ICTV202316034")</f>
        <v>ICTV202316034</v>
      </c>
      <c r="R12941" t="s">
        <v>581</v>
      </c>
      <c r="S12941" t="s">
        <v>823</v>
      </c>
      <c r="T12941">
        <v>39</v>
      </c>
      <c r="U12941" s="26" t="str">
        <f>HYPERLINK("https://ictv.global/ictv/proposals/2023.001B.Leviviricetes_reorg.zip","2023.001B.Leviviricetes_reorg.zip")</f>
        <v>2023.001B.Leviviricetes_reorg.zip</v>
      </c>
    </row>
    <row r="12942" spans="1:21">
      <c r="A12942">
        <v>12941</v>
      </c>
      <c r="B12942" s="27" t="s">
        <v>1124</v>
      </c>
      <c r="D12942" s="27" t="s">
        <v>1859</v>
      </c>
      <c r="F12942" s="27" t="s">
        <v>1881</v>
      </c>
      <c r="H12942" s="27" t="s">
        <v>2679</v>
      </c>
      <c r="N12942" s="27" t="s">
        <v>3459</v>
      </c>
      <c r="P12942" s="27" t="s">
        <v>16755</v>
      </c>
      <c r="Q12942" s="26" t="str">
        <f>HYPERLINK("https://ictv.global/taxonomy/taxondetails?taxnode_id=202516035&amp;ictv_id=ICTV202316035","ICTV202316035")</f>
        <v>ICTV202316035</v>
      </c>
      <c r="R12942" t="s">
        <v>581</v>
      </c>
      <c r="S12942" t="s">
        <v>823</v>
      </c>
      <c r="T12942">
        <v>39</v>
      </c>
      <c r="U12942" s="26" t="str">
        <f>HYPERLINK("https://ictv.global/ictv/proposals/2023.001B.Leviviricetes_reorg.zip","2023.001B.Leviviricetes_reorg.zip")</f>
        <v>2023.001B.Leviviricetes_reorg.zip</v>
      </c>
    </row>
    <row r="12943" spans="1:21">
      <c r="A12943">
        <v>12942</v>
      </c>
      <c r="B12943" s="27" t="s">
        <v>1124</v>
      </c>
      <c r="D12943" s="27" t="s">
        <v>1859</v>
      </c>
      <c r="F12943" s="27" t="s">
        <v>1881</v>
      </c>
      <c r="H12943" s="27" t="s">
        <v>1887</v>
      </c>
      <c r="J12943" s="27" t="s">
        <v>1888</v>
      </c>
      <c r="L12943" s="27" t="s">
        <v>1173</v>
      </c>
      <c r="N12943" s="27" t="s">
        <v>9148</v>
      </c>
      <c r="P12943" s="27" t="s">
        <v>9149</v>
      </c>
      <c r="Q12943" s="26" t="str">
        <f>HYPERLINK("https://ictv.global/taxonomy/taxondetails?taxnode_id=202512532&amp;ictv_id=ICTV202112532","ICTV202112532")</f>
        <v>ICTV202112532</v>
      </c>
      <c r="R12943" t="s">
        <v>581</v>
      </c>
      <c r="S12943" t="s">
        <v>823</v>
      </c>
      <c r="T12943">
        <v>37</v>
      </c>
      <c r="U12943" s="26" t="str">
        <f t="shared" ref="U12943:U12967" si="476">HYPERLINK("https://ictv.global/ictv/proposals/2021.009F.R.Botourmiaviridae_6newgen_109newsp.zip","2021.009F.R.Botourmiaviridae_6newgen_109newsp.zip")</f>
        <v>2021.009F.R.Botourmiaviridae_6newgen_109newsp.zip</v>
      </c>
    </row>
    <row r="12944" spans="1:21">
      <c r="A12944">
        <v>12943</v>
      </c>
      <c r="B12944" s="27" t="s">
        <v>1124</v>
      </c>
      <c r="D12944" s="27" t="s">
        <v>1859</v>
      </c>
      <c r="F12944" s="27" t="s">
        <v>1881</v>
      </c>
      <c r="H12944" s="27" t="s">
        <v>1887</v>
      </c>
      <c r="J12944" s="27" t="s">
        <v>1888</v>
      </c>
      <c r="L12944" s="27" t="s">
        <v>1173</v>
      </c>
      <c r="N12944" s="27" t="s">
        <v>9148</v>
      </c>
      <c r="P12944" s="27" t="s">
        <v>9150</v>
      </c>
      <c r="Q12944" s="26" t="str">
        <f>HYPERLINK("https://ictv.global/taxonomy/taxondetails?taxnode_id=202512533&amp;ictv_id=ICTV202112533","ICTV202112533")</f>
        <v>ICTV202112533</v>
      </c>
      <c r="R12944" t="s">
        <v>581</v>
      </c>
      <c r="S12944" t="s">
        <v>823</v>
      </c>
      <c r="T12944">
        <v>37</v>
      </c>
      <c r="U12944" s="26" t="str">
        <f t="shared" si="476"/>
        <v>2021.009F.R.Botourmiaviridae_6newgen_109newsp.zip</v>
      </c>
    </row>
    <row r="12945" spans="1:21">
      <c r="A12945">
        <v>12944</v>
      </c>
      <c r="B12945" s="27" t="s">
        <v>1124</v>
      </c>
      <c r="D12945" s="27" t="s">
        <v>1859</v>
      </c>
      <c r="F12945" s="27" t="s">
        <v>1881</v>
      </c>
      <c r="H12945" s="27" t="s">
        <v>1887</v>
      </c>
      <c r="J12945" s="27" t="s">
        <v>1888</v>
      </c>
      <c r="L12945" s="27" t="s">
        <v>1173</v>
      </c>
      <c r="N12945" s="27" t="s">
        <v>9148</v>
      </c>
      <c r="P12945" s="27" t="s">
        <v>9151</v>
      </c>
      <c r="Q12945" s="26" t="str">
        <f>HYPERLINK("https://ictv.global/taxonomy/taxondetails?taxnode_id=202512535&amp;ictv_id=ICTV202112535","ICTV202112535")</f>
        <v>ICTV202112535</v>
      </c>
      <c r="R12945" t="s">
        <v>581</v>
      </c>
      <c r="S12945" t="s">
        <v>823</v>
      </c>
      <c r="T12945">
        <v>37</v>
      </c>
      <c r="U12945" s="26" t="str">
        <f t="shared" si="476"/>
        <v>2021.009F.R.Botourmiaviridae_6newgen_109newsp.zip</v>
      </c>
    </row>
    <row r="12946" spans="1:21">
      <c r="A12946">
        <v>12945</v>
      </c>
      <c r="B12946" s="27" t="s">
        <v>1124</v>
      </c>
      <c r="D12946" s="27" t="s">
        <v>1859</v>
      </c>
      <c r="F12946" s="27" t="s">
        <v>1881</v>
      </c>
      <c r="H12946" s="27" t="s">
        <v>1887</v>
      </c>
      <c r="J12946" s="27" t="s">
        <v>1888</v>
      </c>
      <c r="L12946" s="27" t="s">
        <v>1173</v>
      </c>
      <c r="N12946" s="27" t="s">
        <v>9148</v>
      </c>
      <c r="P12946" s="27" t="s">
        <v>9152</v>
      </c>
      <c r="Q12946" s="26" t="str">
        <f>HYPERLINK("https://ictv.global/taxonomy/taxondetails?taxnode_id=202508723&amp;ictv_id=ICTV202008723","ICTV202008723")</f>
        <v>ICTV202008723</v>
      </c>
      <c r="R12946" t="s">
        <v>581</v>
      </c>
      <c r="S12946" t="s">
        <v>22764</v>
      </c>
      <c r="T12946">
        <v>37</v>
      </c>
      <c r="U12946" s="26" t="str">
        <f t="shared" si="476"/>
        <v>2021.009F.R.Botourmiaviridae_6newgen_109newsp.zip</v>
      </c>
    </row>
    <row r="12947" spans="1:21">
      <c r="A12947">
        <v>12946</v>
      </c>
      <c r="B12947" s="27" t="s">
        <v>1124</v>
      </c>
      <c r="D12947" s="27" t="s">
        <v>1859</v>
      </c>
      <c r="F12947" s="27" t="s">
        <v>1881</v>
      </c>
      <c r="H12947" s="27" t="s">
        <v>1887</v>
      </c>
      <c r="J12947" s="27" t="s">
        <v>1888</v>
      </c>
      <c r="L12947" s="27" t="s">
        <v>1173</v>
      </c>
      <c r="N12947" s="27" t="s">
        <v>9148</v>
      </c>
      <c r="P12947" s="27" t="s">
        <v>9153</v>
      </c>
      <c r="Q12947" s="26" t="str">
        <f>HYPERLINK("https://ictv.global/taxonomy/taxondetails?taxnode_id=202512536&amp;ictv_id=ICTV202112536","ICTV202112536")</f>
        <v>ICTV202112536</v>
      </c>
      <c r="R12947" t="s">
        <v>581</v>
      </c>
      <c r="S12947" t="s">
        <v>823</v>
      </c>
      <c r="T12947">
        <v>37</v>
      </c>
      <c r="U12947" s="26" t="str">
        <f t="shared" si="476"/>
        <v>2021.009F.R.Botourmiaviridae_6newgen_109newsp.zip</v>
      </c>
    </row>
    <row r="12948" spans="1:21">
      <c r="A12948">
        <v>12947</v>
      </c>
      <c r="B12948" s="27" t="s">
        <v>1124</v>
      </c>
      <c r="D12948" s="27" t="s">
        <v>1859</v>
      </c>
      <c r="F12948" s="27" t="s">
        <v>1881</v>
      </c>
      <c r="H12948" s="27" t="s">
        <v>1887</v>
      </c>
      <c r="J12948" s="27" t="s">
        <v>1888</v>
      </c>
      <c r="L12948" s="27" t="s">
        <v>1173</v>
      </c>
      <c r="N12948" s="27" t="s">
        <v>9148</v>
      </c>
      <c r="P12948" s="27" t="s">
        <v>9154</v>
      </c>
      <c r="Q12948" s="26" t="str">
        <f>HYPERLINK("https://ictv.global/taxonomy/taxondetails?taxnode_id=202512538&amp;ictv_id=ICTV202112538","ICTV202112538")</f>
        <v>ICTV202112538</v>
      </c>
      <c r="R12948" t="s">
        <v>581</v>
      </c>
      <c r="S12948" t="s">
        <v>823</v>
      </c>
      <c r="T12948">
        <v>37</v>
      </c>
      <c r="U12948" s="26" t="str">
        <f t="shared" si="476"/>
        <v>2021.009F.R.Botourmiaviridae_6newgen_109newsp.zip</v>
      </c>
    </row>
    <row r="12949" spans="1:21">
      <c r="A12949">
        <v>12948</v>
      </c>
      <c r="B12949" s="27" t="s">
        <v>1124</v>
      </c>
      <c r="D12949" s="27" t="s">
        <v>1859</v>
      </c>
      <c r="F12949" s="27" t="s">
        <v>1881</v>
      </c>
      <c r="H12949" s="27" t="s">
        <v>1887</v>
      </c>
      <c r="J12949" s="27" t="s">
        <v>1888</v>
      </c>
      <c r="L12949" s="27" t="s">
        <v>1173</v>
      </c>
      <c r="N12949" s="27" t="s">
        <v>9148</v>
      </c>
      <c r="P12949" s="27" t="s">
        <v>9155</v>
      </c>
      <c r="Q12949" s="26" t="str">
        <f>HYPERLINK("https://ictv.global/taxonomy/taxondetails?taxnode_id=202512534&amp;ictv_id=ICTV202112534","ICTV202112534")</f>
        <v>ICTV202112534</v>
      </c>
      <c r="R12949" t="s">
        <v>581</v>
      </c>
      <c r="S12949" t="s">
        <v>823</v>
      </c>
      <c r="T12949">
        <v>37</v>
      </c>
      <c r="U12949" s="26" t="str">
        <f t="shared" si="476"/>
        <v>2021.009F.R.Botourmiaviridae_6newgen_109newsp.zip</v>
      </c>
    </row>
    <row r="12950" spans="1:21">
      <c r="A12950">
        <v>12949</v>
      </c>
      <c r="B12950" s="27" t="s">
        <v>1124</v>
      </c>
      <c r="D12950" s="27" t="s">
        <v>1859</v>
      </c>
      <c r="F12950" s="27" t="s">
        <v>1881</v>
      </c>
      <c r="H12950" s="27" t="s">
        <v>1887</v>
      </c>
      <c r="J12950" s="27" t="s">
        <v>1888</v>
      </c>
      <c r="L12950" s="27" t="s">
        <v>1173</v>
      </c>
      <c r="N12950" s="27" t="s">
        <v>9148</v>
      </c>
      <c r="P12950" s="27" t="s">
        <v>9156</v>
      </c>
      <c r="Q12950" s="26" t="str">
        <f>HYPERLINK("https://ictv.global/taxonomy/taxondetails?taxnode_id=202508724&amp;ictv_id=ICTV202008724","ICTV202008724")</f>
        <v>ICTV202008724</v>
      </c>
      <c r="R12950" t="s">
        <v>581</v>
      </c>
      <c r="S12950" t="s">
        <v>22764</v>
      </c>
      <c r="T12950">
        <v>37</v>
      </c>
      <c r="U12950" s="26" t="str">
        <f t="shared" si="476"/>
        <v>2021.009F.R.Botourmiaviridae_6newgen_109newsp.zip</v>
      </c>
    </row>
    <row r="12951" spans="1:21">
      <c r="A12951">
        <v>12950</v>
      </c>
      <c r="B12951" s="27" t="s">
        <v>1124</v>
      </c>
      <c r="D12951" s="27" t="s">
        <v>1859</v>
      </c>
      <c r="F12951" s="27" t="s">
        <v>1881</v>
      </c>
      <c r="H12951" s="27" t="s">
        <v>1887</v>
      </c>
      <c r="J12951" s="27" t="s">
        <v>1888</v>
      </c>
      <c r="L12951" s="27" t="s">
        <v>1173</v>
      </c>
      <c r="N12951" s="27" t="s">
        <v>9148</v>
      </c>
      <c r="P12951" s="27" t="s">
        <v>9157</v>
      </c>
      <c r="Q12951" s="26" t="str">
        <f>HYPERLINK("https://ictv.global/taxonomy/taxondetails?taxnode_id=202512539&amp;ictv_id=ICTV202112539","ICTV202112539")</f>
        <v>ICTV202112539</v>
      </c>
      <c r="R12951" t="s">
        <v>581</v>
      </c>
      <c r="S12951" t="s">
        <v>823</v>
      </c>
      <c r="T12951">
        <v>37</v>
      </c>
      <c r="U12951" s="26" t="str">
        <f t="shared" si="476"/>
        <v>2021.009F.R.Botourmiaviridae_6newgen_109newsp.zip</v>
      </c>
    </row>
    <row r="12952" spans="1:21">
      <c r="A12952">
        <v>12951</v>
      </c>
      <c r="B12952" s="27" t="s">
        <v>1124</v>
      </c>
      <c r="D12952" s="27" t="s">
        <v>1859</v>
      </c>
      <c r="F12952" s="27" t="s">
        <v>1881</v>
      </c>
      <c r="H12952" s="27" t="s">
        <v>1887</v>
      </c>
      <c r="J12952" s="27" t="s">
        <v>1888</v>
      </c>
      <c r="L12952" s="27" t="s">
        <v>1173</v>
      </c>
      <c r="N12952" s="27" t="s">
        <v>9148</v>
      </c>
      <c r="P12952" s="27" t="s">
        <v>9158</v>
      </c>
      <c r="Q12952" s="26" t="str">
        <f>HYPERLINK("https://ictv.global/taxonomy/taxondetails?taxnode_id=202512537&amp;ictv_id=ICTV202112537","ICTV202112537")</f>
        <v>ICTV202112537</v>
      </c>
      <c r="R12952" t="s">
        <v>581</v>
      </c>
      <c r="S12952" t="s">
        <v>823</v>
      </c>
      <c r="T12952">
        <v>37</v>
      </c>
      <c r="U12952" s="26" t="str">
        <f t="shared" si="476"/>
        <v>2021.009F.R.Botourmiaviridae_6newgen_109newsp.zip</v>
      </c>
    </row>
    <row r="12953" spans="1:21">
      <c r="A12953">
        <v>12952</v>
      </c>
      <c r="B12953" s="27" t="s">
        <v>1124</v>
      </c>
      <c r="D12953" s="27" t="s">
        <v>1859</v>
      </c>
      <c r="F12953" s="27" t="s">
        <v>1881</v>
      </c>
      <c r="H12953" s="27" t="s">
        <v>1887</v>
      </c>
      <c r="J12953" s="27" t="s">
        <v>1888</v>
      </c>
      <c r="L12953" s="27" t="s">
        <v>1173</v>
      </c>
      <c r="N12953" s="27" t="s">
        <v>9161</v>
      </c>
      <c r="P12953" s="27" t="s">
        <v>9162</v>
      </c>
      <c r="Q12953" s="26" t="str">
        <f>HYPERLINK("https://ictv.global/taxonomy/taxondetails?taxnode_id=202512557&amp;ictv_id=ICTV202112557","ICTV202112557")</f>
        <v>ICTV202112557</v>
      </c>
      <c r="R12953" t="s">
        <v>581</v>
      </c>
      <c r="S12953" t="s">
        <v>823</v>
      </c>
      <c r="T12953">
        <v>37</v>
      </c>
      <c r="U12953" s="26" t="str">
        <f t="shared" si="476"/>
        <v>2021.009F.R.Botourmiaviridae_6newgen_109newsp.zip</v>
      </c>
    </row>
    <row r="12954" spans="1:21">
      <c r="A12954">
        <v>12953</v>
      </c>
      <c r="B12954" s="27" t="s">
        <v>1124</v>
      </c>
      <c r="D12954" s="27" t="s">
        <v>1859</v>
      </c>
      <c r="F12954" s="27" t="s">
        <v>1881</v>
      </c>
      <c r="H12954" s="27" t="s">
        <v>1887</v>
      </c>
      <c r="J12954" s="27" t="s">
        <v>1888</v>
      </c>
      <c r="L12954" s="27" t="s">
        <v>1173</v>
      </c>
      <c r="N12954" s="27" t="s">
        <v>9161</v>
      </c>
      <c r="P12954" s="27" t="s">
        <v>9163</v>
      </c>
      <c r="Q12954" s="26" t="str">
        <f>HYPERLINK("https://ictv.global/taxonomy/taxondetails?taxnode_id=202512558&amp;ictv_id=ICTV202112558","ICTV202112558")</f>
        <v>ICTV202112558</v>
      </c>
      <c r="R12954" t="s">
        <v>581</v>
      </c>
      <c r="S12954" t="s">
        <v>823</v>
      </c>
      <c r="T12954">
        <v>37</v>
      </c>
      <c r="U12954" s="26" t="str">
        <f t="shared" si="476"/>
        <v>2021.009F.R.Botourmiaviridae_6newgen_109newsp.zip</v>
      </c>
    </row>
    <row r="12955" spans="1:21">
      <c r="A12955">
        <v>12954</v>
      </c>
      <c r="B12955" s="27" t="s">
        <v>1124</v>
      </c>
      <c r="D12955" s="27" t="s">
        <v>1859</v>
      </c>
      <c r="F12955" s="27" t="s">
        <v>1881</v>
      </c>
      <c r="H12955" s="27" t="s">
        <v>1887</v>
      </c>
      <c r="J12955" s="27" t="s">
        <v>1888</v>
      </c>
      <c r="L12955" s="27" t="s">
        <v>1173</v>
      </c>
      <c r="N12955" s="27" t="s">
        <v>9161</v>
      </c>
      <c r="P12955" s="27" t="s">
        <v>9164</v>
      </c>
      <c r="Q12955" s="26" t="str">
        <f>HYPERLINK("https://ictv.global/taxonomy/taxondetails?taxnode_id=202512556&amp;ictv_id=ICTV202112556","ICTV202112556")</f>
        <v>ICTV202112556</v>
      </c>
      <c r="R12955" t="s">
        <v>581</v>
      </c>
      <c r="S12955" t="s">
        <v>823</v>
      </c>
      <c r="T12955">
        <v>37</v>
      </c>
      <c r="U12955" s="26" t="str">
        <f t="shared" si="476"/>
        <v>2021.009F.R.Botourmiaviridae_6newgen_109newsp.zip</v>
      </c>
    </row>
    <row r="12956" spans="1:21">
      <c r="A12956">
        <v>12955</v>
      </c>
      <c r="B12956" s="27" t="s">
        <v>1124</v>
      </c>
      <c r="D12956" s="27" t="s">
        <v>1859</v>
      </c>
      <c r="F12956" s="27" t="s">
        <v>1881</v>
      </c>
      <c r="H12956" s="27" t="s">
        <v>1887</v>
      </c>
      <c r="J12956" s="27" t="s">
        <v>1888</v>
      </c>
      <c r="L12956" s="27" t="s">
        <v>1173</v>
      </c>
      <c r="N12956" s="27" t="s">
        <v>9161</v>
      </c>
      <c r="P12956" s="27" t="s">
        <v>9165</v>
      </c>
      <c r="Q12956" s="26" t="str">
        <f>HYPERLINK("https://ictv.global/taxonomy/taxondetails?taxnode_id=202512560&amp;ictv_id=ICTV202112560","ICTV202112560")</f>
        <v>ICTV202112560</v>
      </c>
      <c r="R12956" t="s">
        <v>581</v>
      </c>
      <c r="S12956" t="s">
        <v>823</v>
      </c>
      <c r="T12956">
        <v>37</v>
      </c>
      <c r="U12956" s="26" t="str">
        <f t="shared" si="476"/>
        <v>2021.009F.R.Botourmiaviridae_6newgen_109newsp.zip</v>
      </c>
    </row>
    <row r="12957" spans="1:21">
      <c r="A12957">
        <v>12956</v>
      </c>
      <c r="B12957" s="27" t="s">
        <v>1124</v>
      </c>
      <c r="D12957" s="27" t="s">
        <v>1859</v>
      </c>
      <c r="F12957" s="27" t="s">
        <v>1881</v>
      </c>
      <c r="H12957" s="27" t="s">
        <v>1887</v>
      </c>
      <c r="J12957" s="27" t="s">
        <v>1888</v>
      </c>
      <c r="L12957" s="27" t="s">
        <v>1173</v>
      </c>
      <c r="N12957" s="27" t="s">
        <v>9161</v>
      </c>
      <c r="P12957" s="27" t="s">
        <v>9166</v>
      </c>
      <c r="Q12957" s="26" t="str">
        <f>HYPERLINK("https://ictv.global/taxonomy/taxondetails?taxnode_id=202512561&amp;ictv_id=ICTV202112561","ICTV202112561")</f>
        <v>ICTV202112561</v>
      </c>
      <c r="R12957" t="s">
        <v>581</v>
      </c>
      <c r="S12957" t="s">
        <v>823</v>
      </c>
      <c r="T12957">
        <v>37</v>
      </c>
      <c r="U12957" s="26" t="str">
        <f t="shared" si="476"/>
        <v>2021.009F.R.Botourmiaviridae_6newgen_109newsp.zip</v>
      </c>
    </row>
    <row r="12958" spans="1:21">
      <c r="A12958">
        <v>12957</v>
      </c>
      <c r="B12958" s="27" t="s">
        <v>1124</v>
      </c>
      <c r="D12958" s="27" t="s">
        <v>1859</v>
      </c>
      <c r="F12958" s="27" t="s">
        <v>1881</v>
      </c>
      <c r="H12958" s="27" t="s">
        <v>1887</v>
      </c>
      <c r="J12958" s="27" t="s">
        <v>1888</v>
      </c>
      <c r="L12958" s="27" t="s">
        <v>1173</v>
      </c>
      <c r="N12958" s="27" t="s">
        <v>9161</v>
      </c>
      <c r="P12958" s="27" t="s">
        <v>9167</v>
      </c>
      <c r="Q12958" s="26" t="str">
        <f>HYPERLINK("https://ictv.global/taxonomy/taxondetails?taxnode_id=202512563&amp;ictv_id=ICTV202112563","ICTV202112563")</f>
        <v>ICTV202112563</v>
      </c>
      <c r="R12958" t="s">
        <v>581</v>
      </c>
      <c r="S12958" t="s">
        <v>823</v>
      </c>
      <c r="T12958">
        <v>37</v>
      </c>
      <c r="U12958" s="26" t="str">
        <f t="shared" si="476"/>
        <v>2021.009F.R.Botourmiaviridae_6newgen_109newsp.zip</v>
      </c>
    </row>
    <row r="12959" spans="1:21">
      <c r="A12959">
        <v>12958</v>
      </c>
      <c r="B12959" s="27" t="s">
        <v>1124</v>
      </c>
      <c r="D12959" s="27" t="s">
        <v>1859</v>
      </c>
      <c r="F12959" s="27" t="s">
        <v>1881</v>
      </c>
      <c r="H12959" s="27" t="s">
        <v>1887</v>
      </c>
      <c r="J12959" s="27" t="s">
        <v>1888</v>
      </c>
      <c r="L12959" s="27" t="s">
        <v>1173</v>
      </c>
      <c r="N12959" s="27" t="s">
        <v>9161</v>
      </c>
      <c r="P12959" s="27" t="s">
        <v>9168</v>
      </c>
      <c r="Q12959" s="26" t="str">
        <f>HYPERLINK("https://ictv.global/taxonomy/taxondetails?taxnode_id=202512559&amp;ictv_id=ICTV202112559","ICTV202112559")</f>
        <v>ICTV202112559</v>
      </c>
      <c r="R12959" t="s">
        <v>581</v>
      </c>
      <c r="S12959" t="s">
        <v>823</v>
      </c>
      <c r="T12959">
        <v>37</v>
      </c>
      <c r="U12959" s="26" t="str">
        <f t="shared" si="476"/>
        <v>2021.009F.R.Botourmiaviridae_6newgen_109newsp.zip</v>
      </c>
    </row>
    <row r="12960" spans="1:21">
      <c r="A12960">
        <v>12959</v>
      </c>
      <c r="B12960" s="27" t="s">
        <v>1124</v>
      </c>
      <c r="D12960" s="27" t="s">
        <v>1859</v>
      </c>
      <c r="F12960" s="27" t="s">
        <v>1881</v>
      </c>
      <c r="H12960" s="27" t="s">
        <v>1887</v>
      </c>
      <c r="J12960" s="27" t="s">
        <v>1888</v>
      </c>
      <c r="L12960" s="27" t="s">
        <v>1173</v>
      </c>
      <c r="N12960" s="27" t="s">
        <v>9161</v>
      </c>
      <c r="P12960" s="27" t="s">
        <v>9169</v>
      </c>
      <c r="Q12960" s="26" t="str">
        <f>HYPERLINK("https://ictv.global/taxonomy/taxondetails?taxnode_id=202512565&amp;ictv_id=ICTV202112565","ICTV202112565")</f>
        <v>ICTV202112565</v>
      </c>
      <c r="R12960" t="s">
        <v>581</v>
      </c>
      <c r="S12960" t="s">
        <v>823</v>
      </c>
      <c r="T12960">
        <v>37</v>
      </c>
      <c r="U12960" s="26" t="str">
        <f t="shared" si="476"/>
        <v>2021.009F.R.Botourmiaviridae_6newgen_109newsp.zip</v>
      </c>
    </row>
    <row r="12961" spans="1:21">
      <c r="A12961">
        <v>12960</v>
      </c>
      <c r="B12961" s="27" t="s">
        <v>1124</v>
      </c>
      <c r="D12961" s="27" t="s">
        <v>1859</v>
      </c>
      <c r="F12961" s="27" t="s">
        <v>1881</v>
      </c>
      <c r="H12961" s="27" t="s">
        <v>1887</v>
      </c>
      <c r="J12961" s="27" t="s">
        <v>1888</v>
      </c>
      <c r="L12961" s="27" t="s">
        <v>1173</v>
      </c>
      <c r="N12961" s="27" t="s">
        <v>9161</v>
      </c>
      <c r="P12961" s="27" t="s">
        <v>9170</v>
      </c>
      <c r="Q12961" s="26" t="str">
        <f>HYPERLINK("https://ictv.global/taxonomy/taxondetails?taxnode_id=202512566&amp;ictv_id=ICTV202112566","ICTV202112566")</f>
        <v>ICTV202112566</v>
      </c>
      <c r="R12961" t="s">
        <v>581</v>
      </c>
      <c r="S12961" t="s">
        <v>823</v>
      </c>
      <c r="T12961">
        <v>37</v>
      </c>
      <c r="U12961" s="26" t="str">
        <f t="shared" si="476"/>
        <v>2021.009F.R.Botourmiaviridae_6newgen_109newsp.zip</v>
      </c>
    </row>
    <row r="12962" spans="1:21">
      <c r="A12962">
        <v>12961</v>
      </c>
      <c r="B12962" s="27" t="s">
        <v>1124</v>
      </c>
      <c r="D12962" s="27" t="s">
        <v>1859</v>
      </c>
      <c r="F12962" s="27" t="s">
        <v>1881</v>
      </c>
      <c r="H12962" s="27" t="s">
        <v>1887</v>
      </c>
      <c r="J12962" s="27" t="s">
        <v>1888</v>
      </c>
      <c r="L12962" s="27" t="s">
        <v>1173</v>
      </c>
      <c r="N12962" s="27" t="s">
        <v>9161</v>
      </c>
      <c r="P12962" s="27" t="s">
        <v>9171</v>
      </c>
      <c r="Q12962" s="26" t="str">
        <f>HYPERLINK("https://ictv.global/taxonomy/taxondetails?taxnode_id=202512567&amp;ictv_id=ICTV202112567","ICTV202112567")</f>
        <v>ICTV202112567</v>
      </c>
      <c r="R12962" t="s">
        <v>581</v>
      </c>
      <c r="S12962" t="s">
        <v>823</v>
      </c>
      <c r="T12962">
        <v>37</v>
      </c>
      <c r="U12962" s="26" t="str">
        <f t="shared" si="476"/>
        <v>2021.009F.R.Botourmiaviridae_6newgen_109newsp.zip</v>
      </c>
    </row>
    <row r="12963" spans="1:21">
      <c r="A12963">
        <v>12962</v>
      </c>
      <c r="B12963" s="27" t="s">
        <v>1124</v>
      </c>
      <c r="D12963" s="27" t="s">
        <v>1859</v>
      </c>
      <c r="F12963" s="27" t="s">
        <v>1881</v>
      </c>
      <c r="H12963" s="27" t="s">
        <v>1887</v>
      </c>
      <c r="J12963" s="27" t="s">
        <v>1888</v>
      </c>
      <c r="L12963" s="27" t="s">
        <v>1173</v>
      </c>
      <c r="N12963" s="27" t="s">
        <v>9161</v>
      </c>
      <c r="P12963" s="27" t="s">
        <v>9172</v>
      </c>
      <c r="Q12963" s="26" t="str">
        <f>HYPERLINK("https://ictv.global/taxonomy/taxondetails?taxnode_id=202512568&amp;ictv_id=ICTV202112568","ICTV202112568")</f>
        <v>ICTV202112568</v>
      </c>
      <c r="R12963" t="s">
        <v>581</v>
      </c>
      <c r="S12963" t="s">
        <v>823</v>
      </c>
      <c r="T12963">
        <v>37</v>
      </c>
      <c r="U12963" s="26" t="str">
        <f t="shared" si="476"/>
        <v>2021.009F.R.Botourmiaviridae_6newgen_109newsp.zip</v>
      </c>
    </row>
    <row r="12964" spans="1:21">
      <c r="A12964">
        <v>12963</v>
      </c>
      <c r="B12964" s="27" t="s">
        <v>1124</v>
      </c>
      <c r="D12964" s="27" t="s">
        <v>1859</v>
      </c>
      <c r="F12964" s="27" t="s">
        <v>1881</v>
      </c>
      <c r="H12964" s="27" t="s">
        <v>1887</v>
      </c>
      <c r="J12964" s="27" t="s">
        <v>1888</v>
      </c>
      <c r="L12964" s="27" t="s">
        <v>1173</v>
      </c>
      <c r="N12964" s="27" t="s">
        <v>9161</v>
      </c>
      <c r="P12964" s="27" t="s">
        <v>9173</v>
      </c>
      <c r="Q12964" s="26" t="str">
        <f>HYPERLINK("https://ictv.global/taxonomy/taxondetails?taxnode_id=202508731&amp;ictv_id=ICTV202008731","ICTV202008731")</f>
        <v>ICTV202008731</v>
      </c>
      <c r="R12964" t="s">
        <v>581</v>
      </c>
      <c r="S12964" t="s">
        <v>22764</v>
      </c>
      <c r="T12964">
        <v>37</v>
      </c>
      <c r="U12964" s="26" t="str">
        <f t="shared" si="476"/>
        <v>2021.009F.R.Botourmiaviridae_6newgen_109newsp.zip</v>
      </c>
    </row>
    <row r="12965" spans="1:21">
      <c r="A12965">
        <v>12964</v>
      </c>
      <c r="B12965" s="27" t="s">
        <v>1124</v>
      </c>
      <c r="D12965" s="27" t="s">
        <v>1859</v>
      </c>
      <c r="F12965" s="27" t="s">
        <v>1881</v>
      </c>
      <c r="H12965" s="27" t="s">
        <v>1887</v>
      </c>
      <c r="J12965" s="27" t="s">
        <v>1888</v>
      </c>
      <c r="L12965" s="27" t="s">
        <v>1173</v>
      </c>
      <c r="N12965" s="27" t="s">
        <v>9161</v>
      </c>
      <c r="P12965" s="27" t="s">
        <v>9174</v>
      </c>
      <c r="Q12965" s="26" t="str">
        <f>HYPERLINK("https://ictv.global/taxonomy/taxondetails?taxnode_id=202512564&amp;ictv_id=ICTV202112564","ICTV202112564")</f>
        <v>ICTV202112564</v>
      </c>
      <c r="R12965" t="s">
        <v>581</v>
      </c>
      <c r="S12965" t="s">
        <v>823</v>
      </c>
      <c r="T12965">
        <v>37</v>
      </c>
      <c r="U12965" s="26" t="str">
        <f t="shared" si="476"/>
        <v>2021.009F.R.Botourmiaviridae_6newgen_109newsp.zip</v>
      </c>
    </row>
    <row r="12966" spans="1:21">
      <c r="A12966">
        <v>12965</v>
      </c>
      <c r="B12966" s="27" t="s">
        <v>1124</v>
      </c>
      <c r="D12966" s="27" t="s">
        <v>1859</v>
      </c>
      <c r="F12966" s="27" t="s">
        <v>1881</v>
      </c>
      <c r="H12966" s="27" t="s">
        <v>1887</v>
      </c>
      <c r="J12966" s="27" t="s">
        <v>1888</v>
      </c>
      <c r="L12966" s="27" t="s">
        <v>1173</v>
      </c>
      <c r="N12966" s="27" t="s">
        <v>9161</v>
      </c>
      <c r="P12966" s="27" t="s">
        <v>9175</v>
      </c>
      <c r="Q12966" s="26" t="str">
        <f>HYPERLINK("https://ictv.global/taxonomy/taxondetails?taxnode_id=202512562&amp;ictv_id=ICTV202112562","ICTV202112562")</f>
        <v>ICTV202112562</v>
      </c>
      <c r="R12966" t="s">
        <v>581</v>
      </c>
      <c r="S12966" t="s">
        <v>823</v>
      </c>
      <c r="T12966">
        <v>37</v>
      </c>
      <c r="U12966" s="26" t="str">
        <f t="shared" si="476"/>
        <v>2021.009F.R.Botourmiaviridae_6newgen_109newsp.zip</v>
      </c>
    </row>
    <row r="12967" spans="1:21">
      <c r="A12967">
        <v>12966</v>
      </c>
      <c r="B12967" s="27" t="s">
        <v>1124</v>
      </c>
      <c r="D12967" s="27" t="s">
        <v>1859</v>
      </c>
      <c r="F12967" s="27" t="s">
        <v>1881</v>
      </c>
      <c r="H12967" s="27" t="s">
        <v>1887</v>
      </c>
      <c r="J12967" s="27" t="s">
        <v>1888</v>
      </c>
      <c r="L12967" s="27" t="s">
        <v>1173</v>
      </c>
      <c r="N12967" s="27" t="s">
        <v>1174</v>
      </c>
      <c r="P12967" s="27" t="s">
        <v>9176</v>
      </c>
      <c r="Q12967" s="26" t="str">
        <f>HYPERLINK("https://ictv.global/taxonomy/taxondetails?taxnode_id=202512540&amp;ictv_id=ICTV202112540","ICTV202112540")</f>
        <v>ICTV202112540</v>
      </c>
      <c r="R12967" t="s">
        <v>581</v>
      </c>
      <c r="S12967" t="s">
        <v>823</v>
      </c>
      <c r="T12967">
        <v>37</v>
      </c>
      <c r="U12967" s="26" t="str">
        <f t="shared" si="476"/>
        <v>2021.009F.R.Botourmiaviridae_6newgen_109newsp.zip</v>
      </c>
    </row>
    <row r="12968" spans="1:21">
      <c r="A12968">
        <v>12967</v>
      </c>
      <c r="B12968" s="27" t="s">
        <v>1124</v>
      </c>
      <c r="D12968" s="27" t="s">
        <v>1859</v>
      </c>
      <c r="F12968" s="27" t="s">
        <v>1881</v>
      </c>
      <c r="H12968" s="27" t="s">
        <v>1887</v>
      </c>
      <c r="J12968" s="27" t="s">
        <v>1888</v>
      </c>
      <c r="L12968" s="27" t="s">
        <v>1173</v>
      </c>
      <c r="N12968" s="27" t="s">
        <v>1174</v>
      </c>
      <c r="P12968" s="27" t="s">
        <v>9177</v>
      </c>
      <c r="Q12968" s="26" t="str">
        <f>HYPERLINK("https://ictv.global/taxonomy/taxondetails?taxnode_id=202515007&amp;ictv_id=ICTV202215007","ICTV202215007")</f>
        <v>ICTV202215007</v>
      </c>
      <c r="R12968" t="s">
        <v>581</v>
      </c>
      <c r="S12968" t="s">
        <v>823</v>
      </c>
      <c r="T12968">
        <v>38</v>
      </c>
      <c r="U12968" s="26" t="str">
        <f>HYPERLINK("https://ictv.global/ictv/proposals/2022.003F.Botourmiaviridae_15nsp.zip","2022.003F.Botourmiaviridae_15nsp.zip")</f>
        <v>2022.003F.Botourmiaviridae_15nsp.zip</v>
      </c>
    </row>
    <row r="12969" spans="1:21">
      <c r="A12969">
        <v>12968</v>
      </c>
      <c r="B12969" s="27" t="s">
        <v>1124</v>
      </c>
      <c r="D12969" s="27" t="s">
        <v>1859</v>
      </c>
      <c r="F12969" s="27" t="s">
        <v>1881</v>
      </c>
      <c r="H12969" s="27" t="s">
        <v>1887</v>
      </c>
      <c r="J12969" s="27" t="s">
        <v>1888</v>
      </c>
      <c r="L12969" s="27" t="s">
        <v>1173</v>
      </c>
      <c r="N12969" s="27" t="s">
        <v>1174</v>
      </c>
      <c r="P12969" s="27" t="s">
        <v>9178</v>
      </c>
      <c r="Q12969" s="26" t="str">
        <f>HYPERLINK("https://ictv.global/taxonomy/taxondetails?taxnode_id=202512548&amp;ictv_id=ICTV202112548","ICTV202112548")</f>
        <v>ICTV202112548</v>
      </c>
      <c r="R12969" t="s">
        <v>581</v>
      </c>
      <c r="S12969" t="s">
        <v>823</v>
      </c>
      <c r="T12969">
        <v>37</v>
      </c>
      <c r="U12969" s="26" t="str">
        <f>HYPERLINK("https://ictv.global/ictv/proposals/2021.009F.R.Botourmiaviridae_6newgen_109newsp.zip","2021.009F.R.Botourmiaviridae_6newgen_109newsp.zip")</f>
        <v>2021.009F.R.Botourmiaviridae_6newgen_109newsp.zip</v>
      </c>
    </row>
    <row r="12970" spans="1:21">
      <c r="A12970">
        <v>12969</v>
      </c>
      <c r="B12970" s="27" t="s">
        <v>1124</v>
      </c>
      <c r="D12970" s="27" t="s">
        <v>1859</v>
      </c>
      <c r="F12970" s="27" t="s">
        <v>1881</v>
      </c>
      <c r="H12970" s="27" t="s">
        <v>1887</v>
      </c>
      <c r="J12970" s="27" t="s">
        <v>1888</v>
      </c>
      <c r="L12970" s="27" t="s">
        <v>1173</v>
      </c>
      <c r="N12970" s="27" t="s">
        <v>1174</v>
      </c>
      <c r="P12970" s="27" t="s">
        <v>20178</v>
      </c>
      <c r="Q12970" s="26" t="str">
        <f>HYPERLINK("https://ictv.global/taxonomy/taxondetails?taxnode_id=202506576&amp;ictv_id=ICTV201856576","ICTV201856576")</f>
        <v>ICTV201856576</v>
      </c>
      <c r="R12970" t="s">
        <v>581</v>
      </c>
      <c r="S12970" t="s">
        <v>824</v>
      </c>
      <c r="T12970">
        <v>40</v>
      </c>
      <c r="U12970" s="26" t="str">
        <f>HYPERLINK("https://ictv.global/ictv/proposals/2024.001F.Botourmiaviridae_spren.zip","2024.001F.Botourmiaviridae_spren.zip")</f>
        <v>2024.001F.Botourmiaviridae_spren.zip</v>
      </c>
    </row>
    <row r="12971" spans="1:21">
      <c r="A12971">
        <v>12970</v>
      </c>
      <c r="B12971" s="27" t="s">
        <v>1124</v>
      </c>
      <c r="D12971" s="27" t="s">
        <v>1859</v>
      </c>
      <c r="F12971" s="27" t="s">
        <v>1881</v>
      </c>
      <c r="H12971" s="27" t="s">
        <v>1887</v>
      </c>
      <c r="J12971" s="27" t="s">
        <v>1888</v>
      </c>
      <c r="L12971" s="27" t="s">
        <v>1173</v>
      </c>
      <c r="N12971" s="27" t="s">
        <v>1174</v>
      </c>
      <c r="P12971" s="27" t="s">
        <v>9179</v>
      </c>
      <c r="Q12971" s="26" t="str">
        <f>HYPERLINK("https://ictv.global/taxonomy/taxondetails?taxnode_id=202512541&amp;ictv_id=ICTV202112541","ICTV202112541")</f>
        <v>ICTV202112541</v>
      </c>
      <c r="R12971" t="s">
        <v>581</v>
      </c>
      <c r="S12971" t="s">
        <v>823</v>
      </c>
      <c r="T12971">
        <v>37</v>
      </c>
      <c r="U12971" s="26" t="str">
        <f>HYPERLINK("https://ictv.global/ictv/proposals/2021.009F.R.Botourmiaviridae_6newgen_109newsp.zip","2021.009F.R.Botourmiaviridae_6newgen_109newsp.zip")</f>
        <v>2021.009F.R.Botourmiaviridae_6newgen_109newsp.zip</v>
      </c>
    </row>
    <row r="12972" spans="1:21">
      <c r="A12972">
        <v>12971</v>
      </c>
      <c r="B12972" s="27" t="s">
        <v>1124</v>
      </c>
      <c r="D12972" s="27" t="s">
        <v>1859</v>
      </c>
      <c r="F12972" s="27" t="s">
        <v>1881</v>
      </c>
      <c r="H12972" s="27" t="s">
        <v>1887</v>
      </c>
      <c r="J12972" s="27" t="s">
        <v>1888</v>
      </c>
      <c r="L12972" s="27" t="s">
        <v>1173</v>
      </c>
      <c r="N12972" s="27" t="s">
        <v>1174</v>
      </c>
      <c r="P12972" s="27" t="s">
        <v>9180</v>
      </c>
      <c r="Q12972" s="26" t="str">
        <f>HYPERLINK("https://ictv.global/taxonomy/taxondetails?taxnode_id=202512549&amp;ictv_id=ICTV202112549","ICTV202112549")</f>
        <v>ICTV202112549</v>
      </c>
      <c r="R12972" t="s">
        <v>581</v>
      </c>
      <c r="S12972" t="s">
        <v>823</v>
      </c>
      <c r="T12972">
        <v>37</v>
      </c>
      <c r="U12972" s="26" t="str">
        <f>HYPERLINK("https://ictv.global/ictv/proposals/2021.009F.R.Botourmiaviridae_6newgen_109newsp.zip","2021.009F.R.Botourmiaviridae_6newgen_109newsp.zip")</f>
        <v>2021.009F.R.Botourmiaviridae_6newgen_109newsp.zip</v>
      </c>
    </row>
    <row r="12973" spans="1:21">
      <c r="A12973">
        <v>12972</v>
      </c>
      <c r="B12973" s="27" t="s">
        <v>1124</v>
      </c>
      <c r="D12973" s="27" t="s">
        <v>1859</v>
      </c>
      <c r="F12973" s="27" t="s">
        <v>1881</v>
      </c>
      <c r="H12973" s="27" t="s">
        <v>1887</v>
      </c>
      <c r="J12973" s="27" t="s">
        <v>1888</v>
      </c>
      <c r="L12973" s="27" t="s">
        <v>1173</v>
      </c>
      <c r="N12973" s="27" t="s">
        <v>1174</v>
      </c>
      <c r="P12973" s="27" t="s">
        <v>20179</v>
      </c>
      <c r="Q12973" s="26" t="str">
        <f>HYPERLINK("https://ictv.global/taxonomy/taxondetails?taxnode_id=202508721&amp;ictv_id=ICTV202008721","ICTV202008721")</f>
        <v>ICTV202008721</v>
      </c>
      <c r="R12973" t="s">
        <v>581</v>
      </c>
      <c r="S12973" t="s">
        <v>824</v>
      </c>
      <c r="T12973">
        <v>40</v>
      </c>
      <c r="U12973" s="26" t="str">
        <f>HYPERLINK("https://ictv.global/ictv/proposals/2024.001F.Botourmiaviridae_spren.zip","2024.001F.Botourmiaviridae_spren.zip")</f>
        <v>2024.001F.Botourmiaviridae_spren.zip</v>
      </c>
    </row>
    <row r="12974" spans="1:21">
      <c r="A12974">
        <v>12973</v>
      </c>
      <c r="B12974" s="27" t="s">
        <v>1124</v>
      </c>
      <c r="D12974" s="27" t="s">
        <v>1859</v>
      </c>
      <c r="F12974" s="27" t="s">
        <v>1881</v>
      </c>
      <c r="H12974" s="27" t="s">
        <v>1887</v>
      </c>
      <c r="J12974" s="27" t="s">
        <v>1888</v>
      </c>
      <c r="L12974" s="27" t="s">
        <v>1173</v>
      </c>
      <c r="N12974" s="27" t="s">
        <v>1174</v>
      </c>
      <c r="P12974" s="27" t="s">
        <v>20180</v>
      </c>
      <c r="Q12974" s="26" t="str">
        <f>HYPERLINK("https://ictv.global/taxonomy/taxondetails?taxnode_id=202506575&amp;ictv_id=ICTV201856575","ICTV201856575")</f>
        <v>ICTV201856575</v>
      </c>
      <c r="R12974" t="s">
        <v>581</v>
      </c>
      <c r="S12974" t="s">
        <v>824</v>
      </c>
      <c r="T12974">
        <v>40</v>
      </c>
      <c r="U12974" s="26" t="str">
        <f>HYPERLINK("https://ictv.global/ictv/proposals/2024.001F.Botourmiaviridae_spren.zip","2024.001F.Botourmiaviridae_spren.zip")</f>
        <v>2024.001F.Botourmiaviridae_spren.zip</v>
      </c>
    </row>
    <row r="12975" spans="1:21">
      <c r="A12975">
        <v>12974</v>
      </c>
      <c r="B12975" s="27" t="s">
        <v>1124</v>
      </c>
      <c r="D12975" s="27" t="s">
        <v>1859</v>
      </c>
      <c r="F12975" s="27" t="s">
        <v>1881</v>
      </c>
      <c r="H12975" s="27" t="s">
        <v>1887</v>
      </c>
      <c r="J12975" s="27" t="s">
        <v>1888</v>
      </c>
      <c r="L12975" s="27" t="s">
        <v>1173</v>
      </c>
      <c r="N12975" s="27" t="s">
        <v>1174</v>
      </c>
      <c r="P12975" s="27" t="s">
        <v>9181</v>
      </c>
      <c r="Q12975" s="26" t="str">
        <f>HYPERLINK("https://ictv.global/taxonomy/taxondetails?taxnode_id=202512543&amp;ictv_id=ICTV202112543","ICTV202112543")</f>
        <v>ICTV202112543</v>
      </c>
      <c r="R12975" t="s">
        <v>581</v>
      </c>
      <c r="S12975" t="s">
        <v>823</v>
      </c>
      <c r="T12975">
        <v>37</v>
      </c>
      <c r="U12975" s="26" t="str">
        <f>HYPERLINK("https://ictv.global/ictv/proposals/2021.009F.R.Botourmiaviridae_6newgen_109newsp.zip","2021.009F.R.Botourmiaviridae_6newgen_109newsp.zip")</f>
        <v>2021.009F.R.Botourmiaviridae_6newgen_109newsp.zip</v>
      </c>
    </row>
    <row r="12976" spans="1:21">
      <c r="A12976">
        <v>12975</v>
      </c>
      <c r="B12976" s="27" t="s">
        <v>1124</v>
      </c>
      <c r="D12976" s="27" t="s">
        <v>1859</v>
      </c>
      <c r="F12976" s="27" t="s">
        <v>1881</v>
      </c>
      <c r="H12976" s="27" t="s">
        <v>1887</v>
      </c>
      <c r="J12976" s="27" t="s">
        <v>1888</v>
      </c>
      <c r="L12976" s="27" t="s">
        <v>1173</v>
      </c>
      <c r="N12976" s="27" t="s">
        <v>1174</v>
      </c>
      <c r="P12976" s="27" t="s">
        <v>9182</v>
      </c>
      <c r="Q12976" s="26" t="str">
        <f>HYPERLINK("https://ictv.global/taxonomy/taxondetails?taxnode_id=202512551&amp;ictv_id=ICTV202112551","ICTV202112551")</f>
        <v>ICTV202112551</v>
      </c>
      <c r="R12976" t="s">
        <v>581</v>
      </c>
      <c r="S12976" t="s">
        <v>823</v>
      </c>
      <c r="T12976">
        <v>37</v>
      </c>
      <c r="U12976" s="26" t="str">
        <f>HYPERLINK("https://ictv.global/ictv/proposals/2021.009F.R.Botourmiaviridae_6newgen_109newsp.zip","2021.009F.R.Botourmiaviridae_6newgen_109newsp.zip")</f>
        <v>2021.009F.R.Botourmiaviridae_6newgen_109newsp.zip</v>
      </c>
    </row>
    <row r="12977" spans="1:21">
      <c r="A12977">
        <v>12976</v>
      </c>
      <c r="B12977" s="27" t="s">
        <v>1124</v>
      </c>
      <c r="D12977" s="27" t="s">
        <v>1859</v>
      </c>
      <c r="F12977" s="27" t="s">
        <v>1881</v>
      </c>
      <c r="H12977" s="27" t="s">
        <v>1887</v>
      </c>
      <c r="J12977" s="27" t="s">
        <v>1888</v>
      </c>
      <c r="L12977" s="27" t="s">
        <v>1173</v>
      </c>
      <c r="N12977" s="27" t="s">
        <v>1174</v>
      </c>
      <c r="P12977" s="27" t="s">
        <v>20181</v>
      </c>
      <c r="Q12977" s="26" t="str">
        <f>HYPERLINK("https://ictv.global/taxonomy/taxondetails?taxnode_id=202508722&amp;ictv_id=ICTV202008722","ICTV202008722")</f>
        <v>ICTV202008722</v>
      </c>
      <c r="R12977" t="s">
        <v>581</v>
      </c>
      <c r="S12977" t="s">
        <v>824</v>
      </c>
      <c r="T12977">
        <v>40</v>
      </c>
      <c r="U12977" s="26" t="str">
        <f>HYPERLINK("https://ictv.global/ictv/proposals/2024.001F.Botourmiaviridae_spren.zip","2024.001F.Botourmiaviridae_spren.zip")</f>
        <v>2024.001F.Botourmiaviridae_spren.zip</v>
      </c>
    </row>
    <row r="12978" spans="1:21">
      <c r="A12978">
        <v>12977</v>
      </c>
      <c r="B12978" s="27" t="s">
        <v>1124</v>
      </c>
      <c r="D12978" s="27" t="s">
        <v>1859</v>
      </c>
      <c r="F12978" s="27" t="s">
        <v>1881</v>
      </c>
      <c r="H12978" s="27" t="s">
        <v>1887</v>
      </c>
      <c r="J12978" s="27" t="s">
        <v>1888</v>
      </c>
      <c r="L12978" s="27" t="s">
        <v>1173</v>
      </c>
      <c r="N12978" s="27" t="s">
        <v>1174</v>
      </c>
      <c r="P12978" s="27" t="s">
        <v>9183</v>
      </c>
      <c r="Q12978" s="26" t="str">
        <f>HYPERLINK("https://ictv.global/taxonomy/taxondetails?taxnode_id=202512544&amp;ictv_id=ICTV202112544","ICTV202112544")</f>
        <v>ICTV202112544</v>
      </c>
      <c r="R12978" t="s">
        <v>581</v>
      </c>
      <c r="S12978" t="s">
        <v>823</v>
      </c>
      <c r="T12978">
        <v>37</v>
      </c>
      <c r="U12978" s="26" t="str">
        <f t="shared" ref="U12978:U12983" si="477">HYPERLINK("https://ictv.global/ictv/proposals/2021.009F.R.Botourmiaviridae_6newgen_109newsp.zip","2021.009F.R.Botourmiaviridae_6newgen_109newsp.zip")</f>
        <v>2021.009F.R.Botourmiaviridae_6newgen_109newsp.zip</v>
      </c>
    </row>
    <row r="12979" spans="1:21">
      <c r="A12979">
        <v>12978</v>
      </c>
      <c r="B12979" s="27" t="s">
        <v>1124</v>
      </c>
      <c r="D12979" s="27" t="s">
        <v>1859</v>
      </c>
      <c r="F12979" s="27" t="s">
        <v>1881</v>
      </c>
      <c r="H12979" s="27" t="s">
        <v>1887</v>
      </c>
      <c r="J12979" s="27" t="s">
        <v>1888</v>
      </c>
      <c r="L12979" s="27" t="s">
        <v>1173</v>
      </c>
      <c r="N12979" s="27" t="s">
        <v>1174</v>
      </c>
      <c r="P12979" s="27" t="s">
        <v>9184</v>
      </c>
      <c r="Q12979" s="26" t="str">
        <f>HYPERLINK("https://ictv.global/taxonomy/taxondetails?taxnode_id=202512552&amp;ictv_id=ICTV202112552","ICTV202112552")</f>
        <v>ICTV202112552</v>
      </c>
      <c r="R12979" t="s">
        <v>581</v>
      </c>
      <c r="S12979" t="s">
        <v>823</v>
      </c>
      <c r="T12979">
        <v>37</v>
      </c>
      <c r="U12979" s="26" t="str">
        <f t="shared" si="477"/>
        <v>2021.009F.R.Botourmiaviridae_6newgen_109newsp.zip</v>
      </c>
    </row>
    <row r="12980" spans="1:21">
      <c r="A12980">
        <v>12979</v>
      </c>
      <c r="B12980" s="27" t="s">
        <v>1124</v>
      </c>
      <c r="D12980" s="27" t="s">
        <v>1859</v>
      </c>
      <c r="F12980" s="27" t="s">
        <v>1881</v>
      </c>
      <c r="H12980" s="27" t="s">
        <v>1887</v>
      </c>
      <c r="J12980" s="27" t="s">
        <v>1888</v>
      </c>
      <c r="L12980" s="27" t="s">
        <v>1173</v>
      </c>
      <c r="N12980" s="27" t="s">
        <v>1174</v>
      </c>
      <c r="P12980" s="27" t="s">
        <v>9185</v>
      </c>
      <c r="Q12980" s="26" t="str">
        <f>HYPERLINK("https://ictv.global/taxonomy/taxondetails?taxnode_id=202512546&amp;ictv_id=ICTV202112546","ICTV202112546")</f>
        <v>ICTV202112546</v>
      </c>
      <c r="R12980" t="s">
        <v>581</v>
      </c>
      <c r="S12980" t="s">
        <v>823</v>
      </c>
      <c r="T12980">
        <v>37</v>
      </c>
      <c r="U12980" s="26" t="str">
        <f t="shared" si="477"/>
        <v>2021.009F.R.Botourmiaviridae_6newgen_109newsp.zip</v>
      </c>
    </row>
    <row r="12981" spans="1:21">
      <c r="A12981">
        <v>12980</v>
      </c>
      <c r="B12981" s="27" t="s">
        <v>1124</v>
      </c>
      <c r="D12981" s="27" t="s">
        <v>1859</v>
      </c>
      <c r="F12981" s="27" t="s">
        <v>1881</v>
      </c>
      <c r="H12981" s="27" t="s">
        <v>1887</v>
      </c>
      <c r="J12981" s="27" t="s">
        <v>1888</v>
      </c>
      <c r="L12981" s="27" t="s">
        <v>1173</v>
      </c>
      <c r="N12981" s="27" t="s">
        <v>1174</v>
      </c>
      <c r="P12981" s="27" t="s">
        <v>9186</v>
      </c>
      <c r="Q12981" s="26" t="str">
        <f>HYPERLINK("https://ictv.global/taxonomy/taxondetails?taxnode_id=202512554&amp;ictv_id=ICTV202112554","ICTV202112554")</f>
        <v>ICTV202112554</v>
      </c>
      <c r="R12981" t="s">
        <v>581</v>
      </c>
      <c r="S12981" t="s">
        <v>823</v>
      </c>
      <c r="T12981">
        <v>37</v>
      </c>
      <c r="U12981" s="26" t="str">
        <f t="shared" si="477"/>
        <v>2021.009F.R.Botourmiaviridae_6newgen_109newsp.zip</v>
      </c>
    </row>
    <row r="12982" spans="1:21">
      <c r="A12982">
        <v>12981</v>
      </c>
      <c r="B12982" s="27" t="s">
        <v>1124</v>
      </c>
      <c r="D12982" s="27" t="s">
        <v>1859</v>
      </c>
      <c r="F12982" s="27" t="s">
        <v>1881</v>
      </c>
      <c r="H12982" s="27" t="s">
        <v>1887</v>
      </c>
      <c r="J12982" s="27" t="s">
        <v>1888</v>
      </c>
      <c r="L12982" s="27" t="s">
        <v>1173</v>
      </c>
      <c r="N12982" s="27" t="s">
        <v>1174</v>
      </c>
      <c r="P12982" s="27" t="s">
        <v>9187</v>
      </c>
      <c r="Q12982" s="26" t="str">
        <f>HYPERLINK("https://ictv.global/taxonomy/taxondetails?taxnode_id=202512542&amp;ictv_id=ICTV202112542","ICTV202112542")</f>
        <v>ICTV202112542</v>
      </c>
      <c r="R12982" t="s">
        <v>581</v>
      </c>
      <c r="S12982" t="s">
        <v>823</v>
      </c>
      <c r="T12982">
        <v>37</v>
      </c>
      <c r="U12982" s="26" t="str">
        <f t="shared" si="477"/>
        <v>2021.009F.R.Botourmiaviridae_6newgen_109newsp.zip</v>
      </c>
    </row>
    <row r="12983" spans="1:21">
      <c r="A12983">
        <v>12982</v>
      </c>
      <c r="B12983" s="27" t="s">
        <v>1124</v>
      </c>
      <c r="D12983" s="27" t="s">
        <v>1859</v>
      </c>
      <c r="F12983" s="27" t="s">
        <v>1881</v>
      </c>
      <c r="H12983" s="27" t="s">
        <v>1887</v>
      </c>
      <c r="J12983" s="27" t="s">
        <v>1888</v>
      </c>
      <c r="L12983" s="27" t="s">
        <v>1173</v>
      </c>
      <c r="N12983" s="27" t="s">
        <v>1174</v>
      </c>
      <c r="P12983" s="27" t="s">
        <v>9188</v>
      </c>
      <c r="Q12983" s="26" t="str">
        <f>HYPERLINK("https://ictv.global/taxonomy/taxondetails?taxnode_id=202512550&amp;ictv_id=ICTV202112550","ICTV202112550")</f>
        <v>ICTV202112550</v>
      </c>
      <c r="R12983" t="s">
        <v>581</v>
      </c>
      <c r="S12983" t="s">
        <v>823</v>
      </c>
      <c r="T12983">
        <v>37</v>
      </c>
      <c r="U12983" s="26" t="str">
        <f t="shared" si="477"/>
        <v>2021.009F.R.Botourmiaviridae_6newgen_109newsp.zip</v>
      </c>
    </row>
    <row r="12984" spans="1:21">
      <c r="A12984">
        <v>12983</v>
      </c>
      <c r="B12984" s="27" t="s">
        <v>1124</v>
      </c>
      <c r="D12984" s="27" t="s">
        <v>1859</v>
      </c>
      <c r="F12984" s="27" t="s">
        <v>1881</v>
      </c>
      <c r="H12984" s="27" t="s">
        <v>1887</v>
      </c>
      <c r="J12984" s="27" t="s">
        <v>1888</v>
      </c>
      <c r="L12984" s="27" t="s">
        <v>1173</v>
      </c>
      <c r="N12984" s="27" t="s">
        <v>1174</v>
      </c>
      <c r="P12984" s="27" t="s">
        <v>9189</v>
      </c>
      <c r="Q12984" s="26" t="str">
        <f>HYPERLINK("https://ictv.global/taxonomy/taxondetails?taxnode_id=202515005&amp;ictv_id=ICTV202215005","ICTV202215005")</f>
        <v>ICTV202215005</v>
      </c>
      <c r="R12984" t="s">
        <v>581</v>
      </c>
      <c r="S12984" t="s">
        <v>823</v>
      </c>
      <c r="T12984">
        <v>38</v>
      </c>
      <c r="U12984" s="26" t="str">
        <f>HYPERLINK("https://ictv.global/ictv/proposals/2022.003F.Botourmiaviridae_15nsp.zip","2022.003F.Botourmiaviridae_15nsp.zip")</f>
        <v>2022.003F.Botourmiaviridae_15nsp.zip</v>
      </c>
    </row>
    <row r="12985" spans="1:21">
      <c r="A12985">
        <v>12984</v>
      </c>
      <c r="B12985" s="27" t="s">
        <v>1124</v>
      </c>
      <c r="D12985" s="27" t="s">
        <v>1859</v>
      </c>
      <c r="F12985" s="27" t="s">
        <v>1881</v>
      </c>
      <c r="H12985" s="27" t="s">
        <v>1887</v>
      </c>
      <c r="J12985" s="27" t="s">
        <v>1888</v>
      </c>
      <c r="L12985" s="27" t="s">
        <v>1173</v>
      </c>
      <c r="N12985" s="27" t="s">
        <v>1174</v>
      </c>
      <c r="P12985" s="27" t="s">
        <v>9190</v>
      </c>
      <c r="Q12985" s="26" t="str">
        <f>HYPERLINK("https://ictv.global/taxonomy/taxondetails?taxnode_id=202515006&amp;ictv_id=ICTV202215006","ICTV202215006")</f>
        <v>ICTV202215006</v>
      </c>
      <c r="R12985" t="s">
        <v>581</v>
      </c>
      <c r="S12985" t="s">
        <v>823</v>
      </c>
      <c r="T12985">
        <v>38</v>
      </c>
      <c r="U12985" s="26" t="str">
        <f>HYPERLINK("https://ictv.global/ictv/proposals/2022.003F.Botourmiaviridae_15nsp.zip","2022.003F.Botourmiaviridae_15nsp.zip")</f>
        <v>2022.003F.Botourmiaviridae_15nsp.zip</v>
      </c>
    </row>
    <row r="12986" spans="1:21">
      <c r="A12986">
        <v>12985</v>
      </c>
      <c r="B12986" s="27" t="s">
        <v>1124</v>
      </c>
      <c r="D12986" s="27" t="s">
        <v>1859</v>
      </c>
      <c r="F12986" s="27" t="s">
        <v>1881</v>
      </c>
      <c r="H12986" s="27" t="s">
        <v>1887</v>
      </c>
      <c r="J12986" s="27" t="s">
        <v>1888</v>
      </c>
      <c r="L12986" s="27" t="s">
        <v>1173</v>
      </c>
      <c r="N12986" s="27" t="s">
        <v>1174</v>
      </c>
      <c r="P12986" s="27" t="s">
        <v>9191</v>
      </c>
      <c r="Q12986" s="26" t="str">
        <f>HYPERLINK("https://ictv.global/taxonomy/taxondetails?taxnode_id=202512547&amp;ictv_id=ICTV202112547","ICTV202112547")</f>
        <v>ICTV202112547</v>
      </c>
      <c r="R12986" t="s">
        <v>581</v>
      </c>
      <c r="S12986" t="s">
        <v>823</v>
      </c>
      <c r="T12986">
        <v>37</v>
      </c>
      <c r="U12986" s="26" t="str">
        <f t="shared" ref="U12986:U12991" si="478">HYPERLINK("https://ictv.global/ictv/proposals/2021.009F.R.Botourmiaviridae_6newgen_109newsp.zip","2021.009F.R.Botourmiaviridae_6newgen_109newsp.zip")</f>
        <v>2021.009F.R.Botourmiaviridae_6newgen_109newsp.zip</v>
      </c>
    </row>
    <row r="12987" spans="1:21">
      <c r="A12987">
        <v>12986</v>
      </c>
      <c r="B12987" s="27" t="s">
        <v>1124</v>
      </c>
      <c r="D12987" s="27" t="s">
        <v>1859</v>
      </c>
      <c r="F12987" s="27" t="s">
        <v>1881</v>
      </c>
      <c r="H12987" s="27" t="s">
        <v>1887</v>
      </c>
      <c r="J12987" s="27" t="s">
        <v>1888</v>
      </c>
      <c r="L12987" s="27" t="s">
        <v>1173</v>
      </c>
      <c r="N12987" s="27" t="s">
        <v>1174</v>
      </c>
      <c r="P12987" s="27" t="s">
        <v>9192</v>
      </c>
      <c r="Q12987" s="26" t="str">
        <f>HYPERLINK("https://ictv.global/taxonomy/taxondetails?taxnode_id=202512545&amp;ictv_id=ICTV202112545","ICTV202112545")</f>
        <v>ICTV202112545</v>
      </c>
      <c r="R12987" t="s">
        <v>581</v>
      </c>
      <c r="S12987" t="s">
        <v>823</v>
      </c>
      <c r="T12987">
        <v>37</v>
      </c>
      <c r="U12987" s="26" t="str">
        <f t="shared" si="478"/>
        <v>2021.009F.R.Botourmiaviridae_6newgen_109newsp.zip</v>
      </c>
    </row>
    <row r="12988" spans="1:21">
      <c r="A12988">
        <v>12987</v>
      </c>
      <c r="B12988" s="27" t="s">
        <v>1124</v>
      </c>
      <c r="D12988" s="27" t="s">
        <v>1859</v>
      </c>
      <c r="F12988" s="27" t="s">
        <v>1881</v>
      </c>
      <c r="H12988" s="27" t="s">
        <v>1887</v>
      </c>
      <c r="J12988" s="27" t="s">
        <v>1888</v>
      </c>
      <c r="L12988" s="27" t="s">
        <v>1173</v>
      </c>
      <c r="N12988" s="27" t="s">
        <v>1174</v>
      </c>
      <c r="P12988" s="27" t="s">
        <v>9193</v>
      </c>
      <c r="Q12988" s="26" t="str">
        <f>HYPERLINK("https://ictv.global/taxonomy/taxondetails?taxnode_id=202512553&amp;ictv_id=ICTV202112553","ICTV202112553")</f>
        <v>ICTV202112553</v>
      </c>
      <c r="R12988" t="s">
        <v>581</v>
      </c>
      <c r="S12988" t="s">
        <v>823</v>
      </c>
      <c r="T12988">
        <v>37</v>
      </c>
      <c r="U12988" s="26" t="str">
        <f t="shared" si="478"/>
        <v>2021.009F.R.Botourmiaviridae_6newgen_109newsp.zip</v>
      </c>
    </row>
    <row r="12989" spans="1:21">
      <c r="A12989">
        <v>12988</v>
      </c>
      <c r="B12989" s="27" t="s">
        <v>1124</v>
      </c>
      <c r="D12989" s="27" t="s">
        <v>1859</v>
      </c>
      <c r="F12989" s="27" t="s">
        <v>1881</v>
      </c>
      <c r="H12989" s="27" t="s">
        <v>1887</v>
      </c>
      <c r="J12989" s="27" t="s">
        <v>1888</v>
      </c>
      <c r="L12989" s="27" t="s">
        <v>1173</v>
      </c>
      <c r="N12989" s="27" t="s">
        <v>9194</v>
      </c>
      <c r="P12989" s="27" t="s">
        <v>9195</v>
      </c>
      <c r="Q12989" s="26" t="str">
        <f>HYPERLINK("https://ictv.global/taxonomy/taxondetails?taxnode_id=202512574&amp;ictv_id=ICTV202112574","ICTV202112574")</f>
        <v>ICTV202112574</v>
      </c>
      <c r="R12989" t="s">
        <v>581</v>
      </c>
      <c r="S12989" t="s">
        <v>823</v>
      </c>
      <c r="T12989">
        <v>37</v>
      </c>
      <c r="U12989" s="26" t="str">
        <f t="shared" si="478"/>
        <v>2021.009F.R.Botourmiaviridae_6newgen_109newsp.zip</v>
      </c>
    </row>
    <row r="12990" spans="1:21">
      <c r="A12990">
        <v>12989</v>
      </c>
      <c r="B12990" s="27" t="s">
        <v>1124</v>
      </c>
      <c r="D12990" s="27" t="s">
        <v>1859</v>
      </c>
      <c r="F12990" s="27" t="s">
        <v>1881</v>
      </c>
      <c r="H12990" s="27" t="s">
        <v>1887</v>
      </c>
      <c r="J12990" s="27" t="s">
        <v>1888</v>
      </c>
      <c r="L12990" s="27" t="s">
        <v>1173</v>
      </c>
      <c r="N12990" s="27" t="s">
        <v>9194</v>
      </c>
      <c r="P12990" s="27" t="s">
        <v>9196</v>
      </c>
      <c r="Q12990" s="26" t="str">
        <f>HYPERLINK("https://ictv.global/taxonomy/taxondetails?taxnode_id=202512575&amp;ictv_id=ICTV202112575","ICTV202112575")</f>
        <v>ICTV202112575</v>
      </c>
      <c r="R12990" t="s">
        <v>581</v>
      </c>
      <c r="S12990" t="s">
        <v>823</v>
      </c>
      <c r="T12990">
        <v>37</v>
      </c>
      <c r="U12990" s="26" t="str">
        <f t="shared" si="478"/>
        <v>2021.009F.R.Botourmiaviridae_6newgen_109newsp.zip</v>
      </c>
    </row>
    <row r="12991" spans="1:21">
      <c r="A12991">
        <v>12990</v>
      </c>
      <c r="B12991" s="27" t="s">
        <v>1124</v>
      </c>
      <c r="D12991" s="27" t="s">
        <v>1859</v>
      </c>
      <c r="F12991" s="27" t="s">
        <v>1881</v>
      </c>
      <c r="H12991" s="27" t="s">
        <v>1887</v>
      </c>
      <c r="J12991" s="27" t="s">
        <v>1888</v>
      </c>
      <c r="L12991" s="27" t="s">
        <v>1173</v>
      </c>
      <c r="N12991" s="27" t="s">
        <v>9194</v>
      </c>
      <c r="P12991" s="27" t="s">
        <v>9197</v>
      </c>
      <c r="Q12991" s="26" t="str">
        <f>HYPERLINK("https://ictv.global/taxonomy/taxondetails?taxnode_id=202512573&amp;ictv_id=ICTV202112573","ICTV202112573")</f>
        <v>ICTV202112573</v>
      </c>
      <c r="R12991" t="s">
        <v>581</v>
      </c>
      <c r="S12991" t="s">
        <v>823</v>
      </c>
      <c r="T12991">
        <v>37</v>
      </c>
      <c r="U12991" s="26" t="str">
        <f t="shared" si="478"/>
        <v>2021.009F.R.Botourmiaviridae_6newgen_109newsp.zip</v>
      </c>
    </row>
    <row r="12992" spans="1:21">
      <c r="A12992">
        <v>12991</v>
      </c>
      <c r="B12992" s="27" t="s">
        <v>1124</v>
      </c>
      <c r="D12992" s="27" t="s">
        <v>1859</v>
      </c>
      <c r="F12992" s="27" t="s">
        <v>1881</v>
      </c>
      <c r="H12992" s="27" t="s">
        <v>1887</v>
      </c>
      <c r="J12992" s="27" t="s">
        <v>1888</v>
      </c>
      <c r="L12992" s="27" t="s">
        <v>1173</v>
      </c>
      <c r="N12992" s="27" t="s">
        <v>9198</v>
      </c>
      <c r="P12992" s="27" t="s">
        <v>9199</v>
      </c>
      <c r="Q12992" s="26" t="str">
        <f>HYPERLINK("https://ictv.global/taxonomy/taxondetails?taxnode_id=202515016&amp;ictv_id=ICTV202215016","ICTV202215016")</f>
        <v>ICTV202215016</v>
      </c>
      <c r="R12992" t="s">
        <v>581</v>
      </c>
      <c r="S12992" t="s">
        <v>823</v>
      </c>
      <c r="T12992">
        <v>38</v>
      </c>
      <c r="U12992" s="26" t="str">
        <f>HYPERLINK("https://ictv.global/ictv/proposals/2022.003F.Botourmiaviridae_15nsp.zip","2022.003F.Botourmiaviridae_15nsp.zip")</f>
        <v>2022.003F.Botourmiaviridae_15nsp.zip</v>
      </c>
    </row>
    <row r="12993" spans="1:21">
      <c r="A12993">
        <v>12992</v>
      </c>
      <c r="B12993" s="27" t="s">
        <v>1124</v>
      </c>
      <c r="D12993" s="27" t="s">
        <v>1859</v>
      </c>
      <c r="F12993" s="27" t="s">
        <v>1881</v>
      </c>
      <c r="H12993" s="27" t="s">
        <v>1887</v>
      </c>
      <c r="J12993" s="27" t="s">
        <v>1888</v>
      </c>
      <c r="L12993" s="27" t="s">
        <v>1173</v>
      </c>
      <c r="N12993" s="27" t="s">
        <v>9198</v>
      </c>
      <c r="P12993" s="27" t="s">
        <v>9200</v>
      </c>
      <c r="Q12993" s="26" t="str">
        <f>HYPERLINK("https://ictv.global/taxonomy/taxondetails?taxnode_id=202512577&amp;ictv_id=ICTV202112577","ICTV202112577")</f>
        <v>ICTV202112577</v>
      </c>
      <c r="R12993" t="s">
        <v>581</v>
      </c>
      <c r="S12993" t="s">
        <v>823</v>
      </c>
      <c r="T12993">
        <v>37</v>
      </c>
      <c r="U12993" s="26" t="str">
        <f>HYPERLINK("https://ictv.global/ictv/proposals/2021.009F.R.Botourmiaviridae_6newgen_109newsp.zip","2021.009F.R.Botourmiaviridae_6newgen_109newsp.zip")</f>
        <v>2021.009F.R.Botourmiaviridae_6newgen_109newsp.zip</v>
      </c>
    </row>
    <row r="12994" spans="1:21">
      <c r="A12994">
        <v>12993</v>
      </c>
      <c r="B12994" s="27" t="s">
        <v>1124</v>
      </c>
      <c r="D12994" s="27" t="s">
        <v>1859</v>
      </c>
      <c r="F12994" s="27" t="s">
        <v>1881</v>
      </c>
      <c r="H12994" s="27" t="s">
        <v>1887</v>
      </c>
      <c r="J12994" s="27" t="s">
        <v>1888</v>
      </c>
      <c r="L12994" s="27" t="s">
        <v>1173</v>
      </c>
      <c r="N12994" s="27" t="s">
        <v>9201</v>
      </c>
      <c r="P12994" s="27" t="s">
        <v>9202</v>
      </c>
      <c r="Q12994" s="26" t="str">
        <f>HYPERLINK("https://ictv.global/taxonomy/taxondetails?taxnode_id=202515015&amp;ictv_id=ICTV202215015","ICTV202215015")</f>
        <v>ICTV202215015</v>
      </c>
      <c r="R12994" t="s">
        <v>581</v>
      </c>
      <c r="S12994" t="s">
        <v>823</v>
      </c>
      <c r="T12994">
        <v>38</v>
      </c>
      <c r="U12994" s="26" t="str">
        <f>HYPERLINK("https://ictv.global/ictv/proposals/2022.003F.Botourmiaviridae_15nsp.zip","2022.003F.Botourmiaviridae_15nsp.zip")</f>
        <v>2022.003F.Botourmiaviridae_15nsp.zip</v>
      </c>
    </row>
    <row r="12995" spans="1:21">
      <c r="A12995">
        <v>12994</v>
      </c>
      <c r="B12995" s="27" t="s">
        <v>1124</v>
      </c>
      <c r="D12995" s="27" t="s">
        <v>1859</v>
      </c>
      <c r="F12995" s="27" t="s">
        <v>1881</v>
      </c>
      <c r="H12995" s="27" t="s">
        <v>1887</v>
      </c>
      <c r="J12995" s="27" t="s">
        <v>1888</v>
      </c>
      <c r="L12995" s="27" t="s">
        <v>1173</v>
      </c>
      <c r="N12995" s="27" t="s">
        <v>9201</v>
      </c>
      <c r="P12995" s="27" t="s">
        <v>9203</v>
      </c>
      <c r="Q12995" s="26" t="str">
        <f>HYPERLINK("https://ictv.global/taxonomy/taxondetails?taxnode_id=202512570&amp;ictv_id=ICTV202112570","ICTV202112570")</f>
        <v>ICTV202112570</v>
      </c>
      <c r="R12995" t="s">
        <v>581</v>
      </c>
      <c r="S12995" t="s">
        <v>823</v>
      </c>
      <c r="T12995">
        <v>37</v>
      </c>
      <c r="U12995" s="26" t="str">
        <f>HYPERLINK("https://ictv.global/ictv/proposals/2021.009F.R.Botourmiaviridae_6newgen_109newsp.zip","2021.009F.R.Botourmiaviridae_6newgen_109newsp.zip")</f>
        <v>2021.009F.R.Botourmiaviridae_6newgen_109newsp.zip</v>
      </c>
    </row>
    <row r="12996" spans="1:21">
      <c r="A12996">
        <v>12995</v>
      </c>
      <c r="B12996" s="27" t="s">
        <v>1124</v>
      </c>
      <c r="D12996" s="27" t="s">
        <v>1859</v>
      </c>
      <c r="F12996" s="27" t="s">
        <v>1881</v>
      </c>
      <c r="H12996" s="27" t="s">
        <v>1887</v>
      </c>
      <c r="J12996" s="27" t="s">
        <v>1888</v>
      </c>
      <c r="L12996" s="27" t="s">
        <v>1173</v>
      </c>
      <c r="N12996" s="27" t="s">
        <v>9201</v>
      </c>
      <c r="P12996" s="27" t="s">
        <v>9204</v>
      </c>
      <c r="Q12996" s="26" t="str">
        <f>HYPERLINK("https://ictv.global/taxonomy/taxondetails?taxnode_id=202512571&amp;ictv_id=ICTV202112571","ICTV202112571")</f>
        <v>ICTV202112571</v>
      </c>
      <c r="R12996" t="s">
        <v>581</v>
      </c>
      <c r="S12996" t="s">
        <v>823</v>
      </c>
      <c r="T12996">
        <v>37</v>
      </c>
      <c r="U12996" s="26" t="str">
        <f>HYPERLINK("https://ictv.global/ictv/proposals/2021.009F.R.Botourmiaviridae_6newgen_109newsp.zip","2021.009F.R.Botourmiaviridae_6newgen_109newsp.zip")</f>
        <v>2021.009F.R.Botourmiaviridae_6newgen_109newsp.zip</v>
      </c>
    </row>
    <row r="12997" spans="1:21">
      <c r="A12997">
        <v>12996</v>
      </c>
      <c r="B12997" s="27" t="s">
        <v>1124</v>
      </c>
      <c r="D12997" s="27" t="s">
        <v>1859</v>
      </c>
      <c r="F12997" s="27" t="s">
        <v>1881</v>
      </c>
      <c r="H12997" s="27" t="s">
        <v>1887</v>
      </c>
      <c r="J12997" s="27" t="s">
        <v>1888</v>
      </c>
      <c r="L12997" s="27" t="s">
        <v>1173</v>
      </c>
      <c r="N12997" s="27" t="s">
        <v>1175</v>
      </c>
      <c r="P12997" s="27" t="s">
        <v>20182</v>
      </c>
      <c r="Q12997" s="26" t="str">
        <f>HYPERLINK("https://ictv.global/taxonomy/taxondetails?taxnode_id=202508726&amp;ictv_id=ICTV202008726","ICTV202008726")</f>
        <v>ICTV202008726</v>
      </c>
      <c r="R12997" t="s">
        <v>581</v>
      </c>
      <c r="S12997" t="s">
        <v>824</v>
      </c>
      <c r="T12997">
        <v>40</v>
      </c>
      <c r="U12997" s="26" t="str">
        <f>HYPERLINK("https://ictv.global/ictv/proposals/2024.001F.Botourmiaviridae_spren.zip","2024.001F.Botourmiaviridae_spren.zip")</f>
        <v>2024.001F.Botourmiaviridae_spren.zip</v>
      </c>
    </row>
    <row r="12998" spans="1:21">
      <c r="A12998">
        <v>12997</v>
      </c>
      <c r="B12998" s="27" t="s">
        <v>1124</v>
      </c>
      <c r="D12998" s="27" t="s">
        <v>1859</v>
      </c>
      <c r="F12998" s="27" t="s">
        <v>1881</v>
      </c>
      <c r="H12998" s="27" t="s">
        <v>1887</v>
      </c>
      <c r="J12998" s="27" t="s">
        <v>1888</v>
      </c>
      <c r="L12998" s="27" t="s">
        <v>1173</v>
      </c>
      <c r="N12998" s="27" t="s">
        <v>1175</v>
      </c>
      <c r="P12998" s="27" t="s">
        <v>9205</v>
      </c>
      <c r="Q12998" s="26" t="str">
        <f>HYPERLINK("https://ictv.global/taxonomy/taxondetails?taxnode_id=202512597&amp;ictv_id=ICTV202112597","ICTV202112597")</f>
        <v>ICTV202112597</v>
      </c>
      <c r="R12998" t="s">
        <v>581</v>
      </c>
      <c r="S12998" t="s">
        <v>823</v>
      </c>
      <c r="T12998">
        <v>37</v>
      </c>
      <c r="U12998" s="26" t="str">
        <f>HYPERLINK("https://ictv.global/ictv/proposals/2021.009F.R.Botourmiaviridae_6newgen_109newsp.zip","2021.009F.R.Botourmiaviridae_6newgen_109newsp.zip")</f>
        <v>2021.009F.R.Botourmiaviridae_6newgen_109newsp.zip</v>
      </c>
    </row>
    <row r="12999" spans="1:21">
      <c r="A12999">
        <v>12998</v>
      </c>
      <c r="B12999" s="27" t="s">
        <v>1124</v>
      </c>
      <c r="D12999" s="27" t="s">
        <v>1859</v>
      </c>
      <c r="F12999" s="27" t="s">
        <v>1881</v>
      </c>
      <c r="H12999" s="27" t="s">
        <v>1887</v>
      </c>
      <c r="J12999" s="27" t="s">
        <v>1888</v>
      </c>
      <c r="L12999" s="27" t="s">
        <v>1173</v>
      </c>
      <c r="N12999" s="27" t="s">
        <v>1175</v>
      </c>
      <c r="P12999" s="27" t="s">
        <v>9206</v>
      </c>
      <c r="Q12999" s="26" t="str">
        <f>HYPERLINK("https://ictv.global/taxonomy/taxondetails?taxnode_id=202515011&amp;ictv_id=ICTV202215011","ICTV202215011")</f>
        <v>ICTV202215011</v>
      </c>
      <c r="R12999" t="s">
        <v>581</v>
      </c>
      <c r="S12999" t="s">
        <v>823</v>
      </c>
      <c r="T12999">
        <v>38</v>
      </c>
      <c r="U12999" s="26" t="str">
        <f>HYPERLINK("https://ictv.global/ictv/proposals/2022.003F.Botourmiaviridae_15nsp.zip","2022.003F.Botourmiaviridae_15nsp.zip")</f>
        <v>2022.003F.Botourmiaviridae_15nsp.zip</v>
      </c>
    </row>
    <row r="13000" spans="1:21">
      <c r="A13000">
        <v>12999</v>
      </c>
      <c r="B13000" s="27" t="s">
        <v>1124</v>
      </c>
      <c r="D13000" s="27" t="s">
        <v>1859</v>
      </c>
      <c r="F13000" s="27" t="s">
        <v>1881</v>
      </c>
      <c r="H13000" s="27" t="s">
        <v>1887</v>
      </c>
      <c r="J13000" s="27" t="s">
        <v>1888</v>
      </c>
      <c r="L13000" s="27" t="s">
        <v>1173</v>
      </c>
      <c r="N13000" s="27" t="s">
        <v>1175</v>
      </c>
      <c r="P13000" s="27" t="s">
        <v>9207</v>
      </c>
      <c r="Q13000" s="26" t="str">
        <f>HYPERLINK("https://ictv.global/taxonomy/taxondetails?taxnode_id=202512599&amp;ictv_id=ICTV202112599","ICTV202112599")</f>
        <v>ICTV202112599</v>
      </c>
      <c r="R13000" t="s">
        <v>581</v>
      </c>
      <c r="S13000" t="s">
        <v>823</v>
      </c>
      <c r="T13000">
        <v>37</v>
      </c>
      <c r="U13000" s="26" t="str">
        <f>HYPERLINK("https://ictv.global/ictv/proposals/2021.009F.R.Botourmiaviridae_6newgen_109newsp.zip","2021.009F.R.Botourmiaviridae_6newgen_109newsp.zip")</f>
        <v>2021.009F.R.Botourmiaviridae_6newgen_109newsp.zip</v>
      </c>
    </row>
    <row r="13001" spans="1:21">
      <c r="A13001">
        <v>13000</v>
      </c>
      <c r="B13001" s="27" t="s">
        <v>1124</v>
      </c>
      <c r="D13001" s="27" t="s">
        <v>1859</v>
      </c>
      <c r="F13001" s="27" t="s">
        <v>1881</v>
      </c>
      <c r="H13001" s="27" t="s">
        <v>1887</v>
      </c>
      <c r="J13001" s="27" t="s">
        <v>1888</v>
      </c>
      <c r="L13001" s="27" t="s">
        <v>1173</v>
      </c>
      <c r="N13001" s="27" t="s">
        <v>1175</v>
      </c>
      <c r="P13001" s="27" t="s">
        <v>9208</v>
      </c>
      <c r="Q13001" s="26" t="str">
        <f>HYPERLINK("https://ictv.global/taxonomy/taxondetails?taxnode_id=202515010&amp;ictv_id=ICTV202215010","ICTV202215010")</f>
        <v>ICTV202215010</v>
      </c>
      <c r="R13001" t="s">
        <v>581</v>
      </c>
      <c r="S13001" t="s">
        <v>823</v>
      </c>
      <c r="T13001">
        <v>38</v>
      </c>
      <c r="U13001" s="26" t="str">
        <f>HYPERLINK("https://ictv.global/ictv/proposals/2022.003F.Botourmiaviridae_15nsp.zip","2022.003F.Botourmiaviridae_15nsp.zip")</f>
        <v>2022.003F.Botourmiaviridae_15nsp.zip</v>
      </c>
    </row>
    <row r="13002" spans="1:21">
      <c r="A13002">
        <v>13001</v>
      </c>
      <c r="B13002" s="27" t="s">
        <v>1124</v>
      </c>
      <c r="D13002" s="27" t="s">
        <v>1859</v>
      </c>
      <c r="F13002" s="27" t="s">
        <v>1881</v>
      </c>
      <c r="H13002" s="27" t="s">
        <v>1887</v>
      </c>
      <c r="J13002" s="27" t="s">
        <v>1888</v>
      </c>
      <c r="L13002" s="27" t="s">
        <v>1173</v>
      </c>
      <c r="N13002" s="27" t="s">
        <v>1175</v>
      </c>
      <c r="P13002" s="27" t="s">
        <v>9209</v>
      </c>
      <c r="Q13002" s="26" t="str">
        <f>HYPERLINK("https://ictv.global/taxonomy/taxondetails?taxnode_id=202515012&amp;ictv_id=ICTV202215012","ICTV202215012")</f>
        <v>ICTV202215012</v>
      </c>
      <c r="R13002" t="s">
        <v>581</v>
      </c>
      <c r="S13002" t="s">
        <v>823</v>
      </c>
      <c r="T13002">
        <v>38</v>
      </c>
      <c r="U13002" s="26" t="str">
        <f>HYPERLINK("https://ictv.global/ictv/proposals/2022.003F.Botourmiaviridae_15nsp.zip","2022.003F.Botourmiaviridae_15nsp.zip")</f>
        <v>2022.003F.Botourmiaviridae_15nsp.zip</v>
      </c>
    </row>
    <row r="13003" spans="1:21">
      <c r="A13003">
        <v>13002</v>
      </c>
      <c r="B13003" s="27" t="s">
        <v>1124</v>
      </c>
      <c r="D13003" s="27" t="s">
        <v>1859</v>
      </c>
      <c r="F13003" s="27" t="s">
        <v>1881</v>
      </c>
      <c r="H13003" s="27" t="s">
        <v>1887</v>
      </c>
      <c r="J13003" s="27" t="s">
        <v>1888</v>
      </c>
      <c r="L13003" s="27" t="s">
        <v>1173</v>
      </c>
      <c r="N13003" s="27" t="s">
        <v>1175</v>
      </c>
      <c r="P13003" s="27" t="s">
        <v>9210</v>
      </c>
      <c r="Q13003" s="26" t="str">
        <f>HYPERLINK("https://ictv.global/taxonomy/taxondetails?taxnode_id=202515008&amp;ictv_id=ICTV202215008","ICTV202215008")</f>
        <v>ICTV202215008</v>
      </c>
      <c r="R13003" t="s">
        <v>581</v>
      </c>
      <c r="S13003" t="s">
        <v>823</v>
      </c>
      <c r="T13003">
        <v>38</v>
      </c>
      <c r="U13003" s="26" t="str">
        <f>HYPERLINK("https://ictv.global/ictv/proposals/2022.003F.Botourmiaviridae_15nsp.zip","2022.003F.Botourmiaviridae_15nsp.zip")</f>
        <v>2022.003F.Botourmiaviridae_15nsp.zip</v>
      </c>
    </row>
    <row r="13004" spans="1:21">
      <c r="A13004">
        <v>13003</v>
      </c>
      <c r="B13004" s="27" t="s">
        <v>1124</v>
      </c>
      <c r="D13004" s="27" t="s">
        <v>1859</v>
      </c>
      <c r="F13004" s="27" t="s">
        <v>1881</v>
      </c>
      <c r="H13004" s="27" t="s">
        <v>1887</v>
      </c>
      <c r="J13004" s="27" t="s">
        <v>1888</v>
      </c>
      <c r="L13004" s="27" t="s">
        <v>1173</v>
      </c>
      <c r="N13004" s="27" t="s">
        <v>1175</v>
      </c>
      <c r="P13004" s="27" t="s">
        <v>9211</v>
      </c>
      <c r="Q13004" s="26" t="str">
        <f>HYPERLINK("https://ictv.global/taxonomy/taxondetails?taxnode_id=202515009&amp;ictv_id=ICTV202215009","ICTV202215009")</f>
        <v>ICTV202215009</v>
      </c>
      <c r="R13004" t="s">
        <v>581</v>
      </c>
      <c r="S13004" t="s">
        <v>823</v>
      </c>
      <c r="T13004">
        <v>38</v>
      </c>
      <c r="U13004" s="26" t="str">
        <f>HYPERLINK("https://ictv.global/ictv/proposals/2022.003F.Botourmiaviridae_15nsp.zip","2022.003F.Botourmiaviridae_15nsp.zip")</f>
        <v>2022.003F.Botourmiaviridae_15nsp.zip</v>
      </c>
    </row>
    <row r="13005" spans="1:21">
      <c r="A13005">
        <v>13004</v>
      </c>
      <c r="B13005" s="27" t="s">
        <v>1124</v>
      </c>
      <c r="D13005" s="27" t="s">
        <v>1859</v>
      </c>
      <c r="F13005" s="27" t="s">
        <v>1881</v>
      </c>
      <c r="H13005" s="27" t="s">
        <v>1887</v>
      </c>
      <c r="J13005" s="27" t="s">
        <v>1888</v>
      </c>
      <c r="L13005" s="27" t="s">
        <v>1173</v>
      </c>
      <c r="N13005" s="27" t="s">
        <v>1175</v>
      </c>
      <c r="P13005" s="27" t="s">
        <v>9212</v>
      </c>
      <c r="Q13005" s="26" t="str">
        <f>HYPERLINK("https://ictv.global/taxonomy/taxondetails?taxnode_id=202512602&amp;ictv_id=ICTV202112602","ICTV202112602")</f>
        <v>ICTV202112602</v>
      </c>
      <c r="R13005" t="s">
        <v>581</v>
      </c>
      <c r="S13005" t="s">
        <v>823</v>
      </c>
      <c r="T13005">
        <v>37</v>
      </c>
      <c r="U13005" s="26" t="str">
        <f>HYPERLINK("https://ictv.global/ictv/proposals/2021.009F.R.Botourmiaviridae_6newgen_109newsp.zip","2021.009F.R.Botourmiaviridae_6newgen_109newsp.zip")</f>
        <v>2021.009F.R.Botourmiaviridae_6newgen_109newsp.zip</v>
      </c>
    </row>
    <row r="13006" spans="1:21">
      <c r="A13006">
        <v>13005</v>
      </c>
      <c r="B13006" s="27" t="s">
        <v>1124</v>
      </c>
      <c r="D13006" s="27" t="s">
        <v>1859</v>
      </c>
      <c r="F13006" s="27" t="s">
        <v>1881</v>
      </c>
      <c r="H13006" s="27" t="s">
        <v>1887</v>
      </c>
      <c r="J13006" s="27" t="s">
        <v>1888</v>
      </c>
      <c r="L13006" s="27" t="s">
        <v>1173</v>
      </c>
      <c r="N13006" s="27" t="s">
        <v>1175</v>
      </c>
      <c r="P13006" s="27" t="s">
        <v>9213</v>
      </c>
      <c r="Q13006" s="26" t="str">
        <f>HYPERLINK("https://ictv.global/taxonomy/taxondetails?taxnode_id=202512598&amp;ictv_id=ICTV202112598","ICTV202112598")</f>
        <v>ICTV202112598</v>
      </c>
      <c r="R13006" t="s">
        <v>581</v>
      </c>
      <c r="S13006" t="s">
        <v>823</v>
      </c>
      <c r="T13006">
        <v>37</v>
      </c>
      <c r="U13006" s="26" t="str">
        <f>HYPERLINK("https://ictv.global/ictv/proposals/2021.009F.R.Botourmiaviridae_6newgen_109newsp.zip","2021.009F.R.Botourmiaviridae_6newgen_109newsp.zip")</f>
        <v>2021.009F.R.Botourmiaviridae_6newgen_109newsp.zip</v>
      </c>
    </row>
    <row r="13007" spans="1:21">
      <c r="A13007">
        <v>13006</v>
      </c>
      <c r="B13007" s="27" t="s">
        <v>1124</v>
      </c>
      <c r="D13007" s="27" t="s">
        <v>1859</v>
      </c>
      <c r="F13007" s="27" t="s">
        <v>1881</v>
      </c>
      <c r="H13007" s="27" t="s">
        <v>1887</v>
      </c>
      <c r="J13007" s="27" t="s">
        <v>1888</v>
      </c>
      <c r="L13007" s="27" t="s">
        <v>1173</v>
      </c>
      <c r="N13007" s="27" t="s">
        <v>1175</v>
      </c>
      <c r="P13007" s="27" t="s">
        <v>9214</v>
      </c>
      <c r="Q13007" s="26" t="str">
        <f>HYPERLINK("https://ictv.global/taxonomy/taxondetails?taxnode_id=202512600&amp;ictv_id=ICTV202112600","ICTV202112600")</f>
        <v>ICTV202112600</v>
      </c>
      <c r="R13007" t="s">
        <v>581</v>
      </c>
      <c r="S13007" t="s">
        <v>823</v>
      </c>
      <c r="T13007">
        <v>37</v>
      </c>
      <c r="U13007" s="26" t="str">
        <f>HYPERLINK("https://ictv.global/ictv/proposals/2021.009F.R.Botourmiaviridae_6newgen_109newsp.zip","2021.009F.R.Botourmiaviridae_6newgen_109newsp.zip")</f>
        <v>2021.009F.R.Botourmiaviridae_6newgen_109newsp.zip</v>
      </c>
    </row>
    <row r="13008" spans="1:21">
      <c r="A13008">
        <v>13007</v>
      </c>
      <c r="B13008" s="27" t="s">
        <v>1124</v>
      </c>
      <c r="D13008" s="27" t="s">
        <v>1859</v>
      </c>
      <c r="F13008" s="27" t="s">
        <v>1881</v>
      </c>
      <c r="H13008" s="27" t="s">
        <v>1887</v>
      </c>
      <c r="J13008" s="27" t="s">
        <v>1888</v>
      </c>
      <c r="L13008" s="27" t="s">
        <v>1173</v>
      </c>
      <c r="N13008" s="27" t="s">
        <v>1175</v>
      </c>
      <c r="P13008" s="27" t="s">
        <v>9215</v>
      </c>
      <c r="Q13008" s="26" t="str">
        <f>HYPERLINK("https://ictv.global/taxonomy/taxondetails?taxnode_id=202512603&amp;ictv_id=ICTV202112603","ICTV202112603")</f>
        <v>ICTV202112603</v>
      </c>
      <c r="R13008" t="s">
        <v>581</v>
      </c>
      <c r="S13008" t="s">
        <v>823</v>
      </c>
      <c r="T13008">
        <v>37</v>
      </c>
      <c r="U13008" s="26" t="str">
        <f>HYPERLINK("https://ictv.global/ictv/proposals/2021.009F.R.Botourmiaviridae_6newgen_109newsp.zip","2021.009F.R.Botourmiaviridae_6newgen_109newsp.zip")</f>
        <v>2021.009F.R.Botourmiaviridae_6newgen_109newsp.zip</v>
      </c>
    </row>
    <row r="13009" spans="1:21">
      <c r="A13009">
        <v>13008</v>
      </c>
      <c r="B13009" s="27" t="s">
        <v>1124</v>
      </c>
      <c r="D13009" s="27" t="s">
        <v>1859</v>
      </c>
      <c r="F13009" s="27" t="s">
        <v>1881</v>
      </c>
      <c r="H13009" s="27" t="s">
        <v>1887</v>
      </c>
      <c r="J13009" s="27" t="s">
        <v>1888</v>
      </c>
      <c r="L13009" s="27" t="s">
        <v>1173</v>
      </c>
      <c r="N13009" s="27" t="s">
        <v>1175</v>
      </c>
      <c r="P13009" s="27" t="s">
        <v>20183</v>
      </c>
      <c r="Q13009" s="26" t="str">
        <f>HYPERLINK("https://ictv.global/taxonomy/taxondetails?taxnode_id=202508729&amp;ictv_id=ICTV202008729","ICTV202008729")</f>
        <v>ICTV202008729</v>
      </c>
      <c r="R13009" t="s">
        <v>581</v>
      </c>
      <c r="S13009" t="s">
        <v>824</v>
      </c>
      <c r="T13009">
        <v>40</v>
      </c>
      <c r="U13009" s="26" t="str">
        <f>HYPERLINK("https://ictv.global/ictv/proposals/2024.001F.Botourmiaviridae_spren.zip","2024.001F.Botourmiaviridae_spren.zip")</f>
        <v>2024.001F.Botourmiaviridae_spren.zip</v>
      </c>
    </row>
    <row r="13010" spans="1:21">
      <c r="A13010">
        <v>13009</v>
      </c>
      <c r="B13010" s="27" t="s">
        <v>1124</v>
      </c>
      <c r="D13010" s="27" t="s">
        <v>1859</v>
      </c>
      <c r="F13010" s="27" t="s">
        <v>1881</v>
      </c>
      <c r="H13010" s="27" t="s">
        <v>1887</v>
      </c>
      <c r="J13010" s="27" t="s">
        <v>1888</v>
      </c>
      <c r="L13010" s="27" t="s">
        <v>1173</v>
      </c>
      <c r="N13010" s="27" t="s">
        <v>1175</v>
      </c>
      <c r="P13010" s="27" t="s">
        <v>20184</v>
      </c>
      <c r="Q13010" s="26" t="str">
        <f>HYPERLINK("https://ictv.global/taxonomy/taxondetails?taxnode_id=202508727&amp;ictv_id=ICTV202008727","ICTV202008727")</f>
        <v>ICTV202008727</v>
      </c>
      <c r="R13010" t="s">
        <v>581</v>
      </c>
      <c r="S13010" t="s">
        <v>824</v>
      </c>
      <c r="T13010">
        <v>40</v>
      </c>
      <c r="U13010" s="26" t="str">
        <f>HYPERLINK("https://ictv.global/ictv/proposals/2024.001F.Botourmiaviridae_spren.zip","2024.001F.Botourmiaviridae_spren.zip")</f>
        <v>2024.001F.Botourmiaviridae_spren.zip</v>
      </c>
    </row>
    <row r="13011" spans="1:21">
      <c r="A13011">
        <v>13010</v>
      </c>
      <c r="B13011" s="27" t="s">
        <v>1124</v>
      </c>
      <c r="D13011" s="27" t="s">
        <v>1859</v>
      </c>
      <c r="F13011" s="27" t="s">
        <v>1881</v>
      </c>
      <c r="H13011" s="27" t="s">
        <v>1887</v>
      </c>
      <c r="J13011" s="27" t="s">
        <v>1888</v>
      </c>
      <c r="L13011" s="27" t="s">
        <v>1173</v>
      </c>
      <c r="N13011" s="27" t="s">
        <v>1175</v>
      </c>
      <c r="P13011" s="27" t="s">
        <v>9216</v>
      </c>
      <c r="Q13011" s="26" t="str">
        <f>HYPERLINK("https://ictv.global/taxonomy/taxondetails?taxnode_id=202512605&amp;ictv_id=ICTV202112605","ICTV202112605")</f>
        <v>ICTV202112605</v>
      </c>
      <c r="R13011" t="s">
        <v>581</v>
      </c>
      <c r="S13011" t="s">
        <v>823</v>
      </c>
      <c r="T13011">
        <v>37</v>
      </c>
      <c r="U13011" s="26" t="str">
        <f t="shared" ref="U13011:U13025" si="479">HYPERLINK("https://ictv.global/ictv/proposals/2021.009F.R.Botourmiaviridae_6newgen_109newsp.zip","2021.009F.R.Botourmiaviridae_6newgen_109newsp.zip")</f>
        <v>2021.009F.R.Botourmiaviridae_6newgen_109newsp.zip</v>
      </c>
    </row>
    <row r="13012" spans="1:21">
      <c r="A13012">
        <v>13011</v>
      </c>
      <c r="B13012" s="27" t="s">
        <v>1124</v>
      </c>
      <c r="D13012" s="27" t="s">
        <v>1859</v>
      </c>
      <c r="F13012" s="27" t="s">
        <v>1881</v>
      </c>
      <c r="H13012" s="27" t="s">
        <v>1887</v>
      </c>
      <c r="J13012" s="27" t="s">
        <v>1888</v>
      </c>
      <c r="L13012" s="27" t="s">
        <v>1173</v>
      </c>
      <c r="N13012" s="27" t="s">
        <v>1175</v>
      </c>
      <c r="P13012" s="27" t="s">
        <v>9217</v>
      </c>
      <c r="Q13012" s="26" t="str">
        <f>HYPERLINK("https://ictv.global/taxonomy/taxondetails?taxnode_id=202512606&amp;ictv_id=ICTV202112606","ICTV202112606")</f>
        <v>ICTV202112606</v>
      </c>
      <c r="R13012" t="s">
        <v>581</v>
      </c>
      <c r="S13012" t="s">
        <v>823</v>
      </c>
      <c r="T13012">
        <v>37</v>
      </c>
      <c r="U13012" s="26" t="str">
        <f t="shared" si="479"/>
        <v>2021.009F.R.Botourmiaviridae_6newgen_109newsp.zip</v>
      </c>
    </row>
    <row r="13013" spans="1:21">
      <c r="A13013">
        <v>13012</v>
      </c>
      <c r="B13013" s="27" t="s">
        <v>1124</v>
      </c>
      <c r="D13013" s="27" t="s">
        <v>1859</v>
      </c>
      <c r="F13013" s="27" t="s">
        <v>1881</v>
      </c>
      <c r="H13013" s="27" t="s">
        <v>1887</v>
      </c>
      <c r="J13013" s="27" t="s">
        <v>1888</v>
      </c>
      <c r="L13013" s="27" t="s">
        <v>1173</v>
      </c>
      <c r="N13013" s="27" t="s">
        <v>1175</v>
      </c>
      <c r="P13013" s="27" t="s">
        <v>9218</v>
      </c>
      <c r="Q13013" s="26" t="str">
        <f>HYPERLINK("https://ictv.global/taxonomy/taxondetails?taxnode_id=202513213&amp;ictv_id=ICTV202113213","ICTV202113213")</f>
        <v>ICTV202113213</v>
      </c>
      <c r="R13013" t="s">
        <v>581</v>
      </c>
      <c r="S13013" t="s">
        <v>823</v>
      </c>
      <c r="T13013">
        <v>37</v>
      </c>
      <c r="U13013" s="26" t="str">
        <f t="shared" si="479"/>
        <v>2021.009F.R.Botourmiaviridae_6newgen_109newsp.zip</v>
      </c>
    </row>
    <row r="13014" spans="1:21">
      <c r="A13014">
        <v>13013</v>
      </c>
      <c r="B13014" s="27" t="s">
        <v>1124</v>
      </c>
      <c r="D13014" s="27" t="s">
        <v>1859</v>
      </c>
      <c r="F13014" s="27" t="s">
        <v>1881</v>
      </c>
      <c r="H13014" s="27" t="s">
        <v>1887</v>
      </c>
      <c r="J13014" s="27" t="s">
        <v>1888</v>
      </c>
      <c r="L13014" s="27" t="s">
        <v>1173</v>
      </c>
      <c r="N13014" s="27" t="s">
        <v>1175</v>
      </c>
      <c r="P13014" s="27" t="s">
        <v>9219</v>
      </c>
      <c r="Q13014" s="26" t="str">
        <f>HYPERLINK("https://ictv.global/taxonomy/taxondetails?taxnode_id=202513227&amp;ictv_id=ICTV202113227","ICTV202113227")</f>
        <v>ICTV202113227</v>
      </c>
      <c r="R13014" t="s">
        <v>581</v>
      </c>
      <c r="S13014" t="s">
        <v>823</v>
      </c>
      <c r="T13014">
        <v>37</v>
      </c>
      <c r="U13014" s="26" t="str">
        <f t="shared" si="479"/>
        <v>2021.009F.R.Botourmiaviridae_6newgen_109newsp.zip</v>
      </c>
    </row>
    <row r="13015" spans="1:21">
      <c r="A13015">
        <v>13014</v>
      </c>
      <c r="B13015" s="27" t="s">
        <v>1124</v>
      </c>
      <c r="D13015" s="27" t="s">
        <v>1859</v>
      </c>
      <c r="F13015" s="27" t="s">
        <v>1881</v>
      </c>
      <c r="H13015" s="27" t="s">
        <v>1887</v>
      </c>
      <c r="J13015" s="27" t="s">
        <v>1888</v>
      </c>
      <c r="L13015" s="27" t="s">
        <v>1173</v>
      </c>
      <c r="N13015" s="27" t="s">
        <v>1175</v>
      </c>
      <c r="P13015" s="27" t="s">
        <v>9220</v>
      </c>
      <c r="Q13015" s="26" t="str">
        <f>HYPERLINK("https://ictv.global/taxonomy/taxondetails?taxnode_id=202512604&amp;ictv_id=ICTV202112604","ICTV202112604")</f>
        <v>ICTV202112604</v>
      </c>
      <c r="R13015" t="s">
        <v>581</v>
      </c>
      <c r="S13015" t="s">
        <v>823</v>
      </c>
      <c r="T13015">
        <v>37</v>
      </c>
      <c r="U13015" s="26" t="str">
        <f t="shared" si="479"/>
        <v>2021.009F.R.Botourmiaviridae_6newgen_109newsp.zip</v>
      </c>
    </row>
    <row r="13016" spans="1:21">
      <c r="A13016">
        <v>13015</v>
      </c>
      <c r="B13016" s="27" t="s">
        <v>1124</v>
      </c>
      <c r="D13016" s="27" t="s">
        <v>1859</v>
      </c>
      <c r="F13016" s="27" t="s">
        <v>1881</v>
      </c>
      <c r="H13016" s="27" t="s">
        <v>1887</v>
      </c>
      <c r="J13016" s="27" t="s">
        <v>1888</v>
      </c>
      <c r="L13016" s="27" t="s">
        <v>1173</v>
      </c>
      <c r="N13016" s="27" t="s">
        <v>1175</v>
      </c>
      <c r="P13016" s="27" t="s">
        <v>9221</v>
      </c>
      <c r="Q13016" s="26" t="str">
        <f>HYPERLINK("https://ictv.global/taxonomy/taxondetails?taxnode_id=202513215&amp;ictv_id=ICTV202113215","ICTV202113215")</f>
        <v>ICTV202113215</v>
      </c>
      <c r="R13016" t="s">
        <v>581</v>
      </c>
      <c r="S13016" t="s">
        <v>823</v>
      </c>
      <c r="T13016">
        <v>37</v>
      </c>
      <c r="U13016" s="26" t="str">
        <f t="shared" si="479"/>
        <v>2021.009F.R.Botourmiaviridae_6newgen_109newsp.zip</v>
      </c>
    </row>
    <row r="13017" spans="1:21">
      <c r="A13017">
        <v>13016</v>
      </c>
      <c r="B13017" s="27" t="s">
        <v>1124</v>
      </c>
      <c r="D13017" s="27" t="s">
        <v>1859</v>
      </c>
      <c r="F13017" s="27" t="s">
        <v>1881</v>
      </c>
      <c r="H13017" s="27" t="s">
        <v>1887</v>
      </c>
      <c r="J13017" s="27" t="s">
        <v>1888</v>
      </c>
      <c r="L13017" s="27" t="s">
        <v>1173</v>
      </c>
      <c r="N13017" s="27" t="s">
        <v>1175</v>
      </c>
      <c r="P13017" s="27" t="s">
        <v>9222</v>
      </c>
      <c r="Q13017" s="26" t="str">
        <f>HYPERLINK("https://ictv.global/taxonomy/taxondetails?taxnode_id=202513226&amp;ictv_id=ICTV202113226","ICTV202113226")</f>
        <v>ICTV202113226</v>
      </c>
      <c r="R13017" t="s">
        <v>581</v>
      </c>
      <c r="S13017" t="s">
        <v>823</v>
      </c>
      <c r="T13017">
        <v>37</v>
      </c>
      <c r="U13017" s="26" t="str">
        <f t="shared" si="479"/>
        <v>2021.009F.R.Botourmiaviridae_6newgen_109newsp.zip</v>
      </c>
    </row>
    <row r="13018" spans="1:21">
      <c r="A13018">
        <v>13017</v>
      </c>
      <c r="B13018" s="27" t="s">
        <v>1124</v>
      </c>
      <c r="D13018" s="27" t="s">
        <v>1859</v>
      </c>
      <c r="F13018" s="27" t="s">
        <v>1881</v>
      </c>
      <c r="H13018" s="27" t="s">
        <v>1887</v>
      </c>
      <c r="J13018" s="27" t="s">
        <v>1888</v>
      </c>
      <c r="L13018" s="27" t="s">
        <v>1173</v>
      </c>
      <c r="N13018" s="27" t="s">
        <v>1175</v>
      </c>
      <c r="P13018" s="27" t="s">
        <v>9223</v>
      </c>
      <c r="Q13018" s="26" t="str">
        <f>HYPERLINK("https://ictv.global/taxonomy/taxondetails?taxnode_id=202513228&amp;ictv_id=ICTV202113228","ICTV202113228")</f>
        <v>ICTV202113228</v>
      </c>
      <c r="R13018" t="s">
        <v>581</v>
      </c>
      <c r="S13018" t="s">
        <v>823</v>
      </c>
      <c r="T13018">
        <v>37</v>
      </c>
      <c r="U13018" s="26" t="str">
        <f t="shared" si="479"/>
        <v>2021.009F.R.Botourmiaviridae_6newgen_109newsp.zip</v>
      </c>
    </row>
    <row r="13019" spans="1:21">
      <c r="A13019">
        <v>13018</v>
      </c>
      <c r="B13019" s="27" t="s">
        <v>1124</v>
      </c>
      <c r="D13019" s="27" t="s">
        <v>1859</v>
      </c>
      <c r="F13019" s="27" t="s">
        <v>1881</v>
      </c>
      <c r="H13019" s="27" t="s">
        <v>1887</v>
      </c>
      <c r="J13019" s="27" t="s">
        <v>1888</v>
      </c>
      <c r="L13019" s="27" t="s">
        <v>1173</v>
      </c>
      <c r="N13019" s="27" t="s">
        <v>1175</v>
      </c>
      <c r="P13019" s="27" t="s">
        <v>9224</v>
      </c>
      <c r="Q13019" s="26" t="str">
        <f>HYPERLINK("https://ictv.global/taxonomy/taxondetails?taxnode_id=202513216&amp;ictv_id=ICTV202113216","ICTV202113216")</f>
        <v>ICTV202113216</v>
      </c>
      <c r="R13019" t="s">
        <v>581</v>
      </c>
      <c r="S13019" t="s">
        <v>823</v>
      </c>
      <c r="T13019">
        <v>37</v>
      </c>
      <c r="U13019" s="26" t="str">
        <f t="shared" si="479"/>
        <v>2021.009F.R.Botourmiaviridae_6newgen_109newsp.zip</v>
      </c>
    </row>
    <row r="13020" spans="1:21">
      <c r="A13020">
        <v>13019</v>
      </c>
      <c r="B13020" s="27" t="s">
        <v>1124</v>
      </c>
      <c r="D13020" s="27" t="s">
        <v>1859</v>
      </c>
      <c r="F13020" s="27" t="s">
        <v>1881</v>
      </c>
      <c r="H13020" s="27" t="s">
        <v>1887</v>
      </c>
      <c r="J13020" s="27" t="s">
        <v>1888</v>
      </c>
      <c r="L13020" s="27" t="s">
        <v>1173</v>
      </c>
      <c r="N13020" s="27" t="s">
        <v>1175</v>
      </c>
      <c r="P13020" s="27" t="s">
        <v>9225</v>
      </c>
      <c r="Q13020" s="26" t="str">
        <f>HYPERLINK("https://ictv.global/taxonomy/taxondetails?taxnode_id=202513217&amp;ictv_id=ICTV202113217","ICTV202113217")</f>
        <v>ICTV202113217</v>
      </c>
      <c r="R13020" t="s">
        <v>581</v>
      </c>
      <c r="S13020" t="s">
        <v>823</v>
      </c>
      <c r="T13020">
        <v>37</v>
      </c>
      <c r="U13020" s="26" t="str">
        <f t="shared" si="479"/>
        <v>2021.009F.R.Botourmiaviridae_6newgen_109newsp.zip</v>
      </c>
    </row>
    <row r="13021" spans="1:21">
      <c r="A13021">
        <v>13020</v>
      </c>
      <c r="B13021" s="27" t="s">
        <v>1124</v>
      </c>
      <c r="D13021" s="27" t="s">
        <v>1859</v>
      </c>
      <c r="F13021" s="27" t="s">
        <v>1881</v>
      </c>
      <c r="H13021" s="27" t="s">
        <v>1887</v>
      </c>
      <c r="J13021" s="27" t="s">
        <v>1888</v>
      </c>
      <c r="L13021" s="27" t="s">
        <v>1173</v>
      </c>
      <c r="N13021" s="27" t="s">
        <v>1175</v>
      </c>
      <c r="P13021" s="27" t="s">
        <v>9226</v>
      </c>
      <c r="Q13021" s="26" t="str">
        <f>HYPERLINK("https://ictv.global/taxonomy/taxondetails?taxnode_id=202512601&amp;ictv_id=ICTV202112601","ICTV202112601")</f>
        <v>ICTV202112601</v>
      </c>
      <c r="R13021" t="s">
        <v>581</v>
      </c>
      <c r="S13021" t="s">
        <v>823</v>
      </c>
      <c r="T13021">
        <v>37</v>
      </c>
      <c r="U13021" s="26" t="str">
        <f t="shared" si="479"/>
        <v>2021.009F.R.Botourmiaviridae_6newgen_109newsp.zip</v>
      </c>
    </row>
    <row r="13022" spans="1:21">
      <c r="A13022">
        <v>13021</v>
      </c>
      <c r="B13022" s="27" t="s">
        <v>1124</v>
      </c>
      <c r="D13022" s="27" t="s">
        <v>1859</v>
      </c>
      <c r="F13022" s="27" t="s">
        <v>1881</v>
      </c>
      <c r="H13022" s="27" t="s">
        <v>1887</v>
      </c>
      <c r="J13022" s="27" t="s">
        <v>1888</v>
      </c>
      <c r="L13022" s="27" t="s">
        <v>1173</v>
      </c>
      <c r="N13022" s="27" t="s">
        <v>1175</v>
      </c>
      <c r="P13022" s="27" t="s">
        <v>9227</v>
      </c>
      <c r="Q13022" s="26" t="str">
        <f>HYPERLINK("https://ictv.global/taxonomy/taxondetails?taxnode_id=202513218&amp;ictv_id=ICTV202113218","ICTV202113218")</f>
        <v>ICTV202113218</v>
      </c>
      <c r="R13022" t="s">
        <v>581</v>
      </c>
      <c r="S13022" t="s">
        <v>823</v>
      </c>
      <c r="T13022">
        <v>37</v>
      </c>
      <c r="U13022" s="26" t="str">
        <f t="shared" si="479"/>
        <v>2021.009F.R.Botourmiaviridae_6newgen_109newsp.zip</v>
      </c>
    </row>
    <row r="13023" spans="1:21">
      <c r="A13023">
        <v>13022</v>
      </c>
      <c r="B13023" s="27" t="s">
        <v>1124</v>
      </c>
      <c r="D13023" s="27" t="s">
        <v>1859</v>
      </c>
      <c r="F13023" s="27" t="s">
        <v>1881</v>
      </c>
      <c r="H13023" s="27" t="s">
        <v>1887</v>
      </c>
      <c r="J13023" s="27" t="s">
        <v>1888</v>
      </c>
      <c r="L13023" s="27" t="s">
        <v>1173</v>
      </c>
      <c r="N13023" s="27" t="s">
        <v>1175</v>
      </c>
      <c r="P13023" s="27" t="s">
        <v>9228</v>
      </c>
      <c r="Q13023" s="26" t="str">
        <f>HYPERLINK("https://ictv.global/taxonomy/taxondetails?taxnode_id=202513219&amp;ictv_id=ICTV202113219","ICTV202113219")</f>
        <v>ICTV202113219</v>
      </c>
      <c r="R13023" t="s">
        <v>581</v>
      </c>
      <c r="S13023" t="s">
        <v>823</v>
      </c>
      <c r="T13023">
        <v>37</v>
      </c>
      <c r="U13023" s="26" t="str">
        <f t="shared" si="479"/>
        <v>2021.009F.R.Botourmiaviridae_6newgen_109newsp.zip</v>
      </c>
    </row>
    <row r="13024" spans="1:21">
      <c r="A13024">
        <v>13023</v>
      </c>
      <c r="B13024" s="27" t="s">
        <v>1124</v>
      </c>
      <c r="D13024" s="27" t="s">
        <v>1859</v>
      </c>
      <c r="F13024" s="27" t="s">
        <v>1881</v>
      </c>
      <c r="H13024" s="27" t="s">
        <v>1887</v>
      </c>
      <c r="J13024" s="27" t="s">
        <v>1888</v>
      </c>
      <c r="L13024" s="27" t="s">
        <v>1173</v>
      </c>
      <c r="N13024" s="27" t="s">
        <v>1175</v>
      </c>
      <c r="P13024" s="27" t="s">
        <v>9229</v>
      </c>
      <c r="Q13024" s="26" t="str">
        <f>HYPERLINK("https://ictv.global/taxonomy/taxondetails?taxnode_id=202513230&amp;ictv_id=ICTV202113230","ICTV202113230")</f>
        <v>ICTV202113230</v>
      </c>
      <c r="R13024" t="s">
        <v>581</v>
      </c>
      <c r="S13024" t="s">
        <v>823</v>
      </c>
      <c r="T13024">
        <v>37</v>
      </c>
      <c r="U13024" s="26" t="str">
        <f t="shared" si="479"/>
        <v>2021.009F.R.Botourmiaviridae_6newgen_109newsp.zip</v>
      </c>
    </row>
    <row r="13025" spans="1:21">
      <c r="A13025">
        <v>13024</v>
      </c>
      <c r="B13025" s="27" t="s">
        <v>1124</v>
      </c>
      <c r="D13025" s="27" t="s">
        <v>1859</v>
      </c>
      <c r="F13025" s="27" t="s">
        <v>1881</v>
      </c>
      <c r="H13025" s="27" t="s">
        <v>1887</v>
      </c>
      <c r="J13025" s="27" t="s">
        <v>1888</v>
      </c>
      <c r="L13025" s="27" t="s">
        <v>1173</v>
      </c>
      <c r="N13025" s="27" t="s">
        <v>1175</v>
      </c>
      <c r="P13025" s="27" t="s">
        <v>9230</v>
      </c>
      <c r="Q13025" s="26" t="str">
        <f>HYPERLINK("https://ictv.global/taxonomy/taxondetails?taxnode_id=202513221&amp;ictv_id=ICTV202113221","ICTV202113221")</f>
        <v>ICTV202113221</v>
      </c>
      <c r="R13025" t="s">
        <v>581</v>
      </c>
      <c r="S13025" t="s">
        <v>823</v>
      </c>
      <c r="T13025">
        <v>37</v>
      </c>
      <c r="U13025" s="26" t="str">
        <f t="shared" si="479"/>
        <v>2021.009F.R.Botourmiaviridae_6newgen_109newsp.zip</v>
      </c>
    </row>
    <row r="13026" spans="1:21">
      <c r="A13026">
        <v>13025</v>
      </c>
      <c r="B13026" s="27" t="s">
        <v>1124</v>
      </c>
      <c r="D13026" s="27" t="s">
        <v>1859</v>
      </c>
      <c r="F13026" s="27" t="s">
        <v>1881</v>
      </c>
      <c r="H13026" s="27" t="s">
        <v>1887</v>
      </c>
      <c r="J13026" s="27" t="s">
        <v>1888</v>
      </c>
      <c r="L13026" s="27" t="s">
        <v>1173</v>
      </c>
      <c r="N13026" s="27" t="s">
        <v>1175</v>
      </c>
      <c r="P13026" s="27" t="s">
        <v>20185</v>
      </c>
      <c r="Q13026" s="26" t="str">
        <f>HYPERLINK("https://ictv.global/taxonomy/taxondetails?taxnode_id=202506578&amp;ictv_id=ICTV201856578","ICTV201856578")</f>
        <v>ICTV201856578</v>
      </c>
      <c r="R13026" t="s">
        <v>581</v>
      </c>
      <c r="S13026" t="s">
        <v>824</v>
      </c>
      <c r="T13026">
        <v>40</v>
      </c>
      <c r="U13026" s="26" t="str">
        <f>HYPERLINK("https://ictv.global/ictv/proposals/2024.001F.Botourmiaviridae_spren.zip","2024.001F.Botourmiaviridae_spren.zip")</f>
        <v>2024.001F.Botourmiaviridae_spren.zip</v>
      </c>
    </row>
    <row r="13027" spans="1:21">
      <c r="A13027">
        <v>13026</v>
      </c>
      <c r="B13027" s="27" t="s">
        <v>1124</v>
      </c>
      <c r="D13027" s="27" t="s">
        <v>1859</v>
      </c>
      <c r="F13027" s="27" t="s">
        <v>1881</v>
      </c>
      <c r="H13027" s="27" t="s">
        <v>1887</v>
      </c>
      <c r="J13027" s="27" t="s">
        <v>1888</v>
      </c>
      <c r="L13027" s="27" t="s">
        <v>1173</v>
      </c>
      <c r="N13027" s="27" t="s">
        <v>1175</v>
      </c>
      <c r="P13027" s="27" t="s">
        <v>20186</v>
      </c>
      <c r="Q13027" s="26" t="str">
        <f>HYPERLINK("https://ictv.global/taxonomy/taxondetails?taxnode_id=202508730&amp;ictv_id=ICTV202008730","ICTV202008730")</f>
        <v>ICTV202008730</v>
      </c>
      <c r="R13027" t="s">
        <v>581</v>
      </c>
      <c r="S13027" t="s">
        <v>824</v>
      </c>
      <c r="T13027">
        <v>40</v>
      </c>
      <c r="U13027" s="26" t="str">
        <f>HYPERLINK("https://ictv.global/ictv/proposals/2024.001F.Botourmiaviridae_spren.zip","2024.001F.Botourmiaviridae_spren.zip")</f>
        <v>2024.001F.Botourmiaviridae_spren.zip</v>
      </c>
    </row>
    <row r="13028" spans="1:21">
      <c r="A13028">
        <v>13027</v>
      </c>
      <c r="B13028" s="27" t="s">
        <v>1124</v>
      </c>
      <c r="D13028" s="27" t="s">
        <v>1859</v>
      </c>
      <c r="F13028" s="27" t="s">
        <v>1881</v>
      </c>
      <c r="H13028" s="27" t="s">
        <v>1887</v>
      </c>
      <c r="J13028" s="27" t="s">
        <v>1888</v>
      </c>
      <c r="L13028" s="27" t="s">
        <v>1173</v>
      </c>
      <c r="N13028" s="27" t="s">
        <v>1175</v>
      </c>
      <c r="P13028" s="27" t="s">
        <v>20187</v>
      </c>
      <c r="Q13028" s="26" t="str">
        <f>HYPERLINK("https://ictv.global/taxonomy/taxondetails?taxnode_id=202508725&amp;ictv_id=ICTV202008725","ICTV202008725")</f>
        <v>ICTV202008725</v>
      </c>
      <c r="R13028" t="s">
        <v>581</v>
      </c>
      <c r="S13028" t="s">
        <v>824</v>
      </c>
      <c r="T13028">
        <v>40</v>
      </c>
      <c r="U13028" s="26" t="str">
        <f>HYPERLINK("https://ictv.global/ictv/proposals/2024.001F.Botourmiaviridae_spren.zip","2024.001F.Botourmiaviridae_spren.zip")</f>
        <v>2024.001F.Botourmiaviridae_spren.zip</v>
      </c>
    </row>
    <row r="13029" spans="1:21">
      <c r="A13029">
        <v>13028</v>
      </c>
      <c r="B13029" s="27" t="s">
        <v>1124</v>
      </c>
      <c r="D13029" s="27" t="s">
        <v>1859</v>
      </c>
      <c r="F13029" s="27" t="s">
        <v>1881</v>
      </c>
      <c r="H13029" s="27" t="s">
        <v>1887</v>
      </c>
      <c r="J13029" s="27" t="s">
        <v>1888</v>
      </c>
      <c r="L13029" s="27" t="s">
        <v>1173</v>
      </c>
      <c r="N13029" s="27" t="s">
        <v>1175</v>
      </c>
      <c r="P13029" s="27" t="s">
        <v>9231</v>
      </c>
      <c r="Q13029" s="26" t="str">
        <f>HYPERLINK("https://ictv.global/taxonomy/taxondetails?taxnode_id=202513222&amp;ictv_id=ICTV202113222","ICTV202113222")</f>
        <v>ICTV202113222</v>
      </c>
      <c r="R13029" t="s">
        <v>581</v>
      </c>
      <c r="S13029" t="s">
        <v>823</v>
      </c>
      <c r="T13029">
        <v>37</v>
      </c>
      <c r="U13029" s="26" t="str">
        <f>HYPERLINK("https://ictv.global/ictv/proposals/2021.009F.R.Botourmiaviridae_6newgen_109newsp.zip","2021.009F.R.Botourmiaviridae_6newgen_109newsp.zip")</f>
        <v>2021.009F.R.Botourmiaviridae_6newgen_109newsp.zip</v>
      </c>
    </row>
    <row r="13030" spans="1:21">
      <c r="A13030">
        <v>13029</v>
      </c>
      <c r="B13030" s="27" t="s">
        <v>1124</v>
      </c>
      <c r="D13030" s="27" t="s">
        <v>1859</v>
      </c>
      <c r="F13030" s="27" t="s">
        <v>1881</v>
      </c>
      <c r="H13030" s="27" t="s">
        <v>1887</v>
      </c>
      <c r="J13030" s="27" t="s">
        <v>1888</v>
      </c>
      <c r="L13030" s="27" t="s">
        <v>1173</v>
      </c>
      <c r="N13030" s="27" t="s">
        <v>1175</v>
      </c>
      <c r="P13030" s="27" t="s">
        <v>20188</v>
      </c>
      <c r="Q13030" s="26" t="str">
        <f>HYPERLINK("https://ictv.global/taxonomy/taxondetails?taxnode_id=202508728&amp;ictv_id=ICTV202008728","ICTV202008728")</f>
        <v>ICTV202008728</v>
      </c>
      <c r="R13030" t="s">
        <v>581</v>
      </c>
      <c r="S13030" t="s">
        <v>824</v>
      </c>
      <c r="T13030">
        <v>40</v>
      </c>
      <c r="U13030" s="26" t="str">
        <f>HYPERLINK("https://ictv.global/ictv/proposals/2024.001F.Botourmiaviridae_spren.zip","2024.001F.Botourmiaviridae_spren.zip")</f>
        <v>2024.001F.Botourmiaviridae_spren.zip</v>
      </c>
    </row>
    <row r="13031" spans="1:21">
      <c r="A13031">
        <v>13030</v>
      </c>
      <c r="B13031" s="27" t="s">
        <v>1124</v>
      </c>
      <c r="D13031" s="27" t="s">
        <v>1859</v>
      </c>
      <c r="F13031" s="27" t="s">
        <v>1881</v>
      </c>
      <c r="H13031" s="27" t="s">
        <v>1887</v>
      </c>
      <c r="J13031" s="27" t="s">
        <v>1888</v>
      </c>
      <c r="L13031" s="27" t="s">
        <v>1173</v>
      </c>
      <c r="N13031" s="27" t="s">
        <v>1175</v>
      </c>
      <c r="P13031" s="27" t="s">
        <v>9232</v>
      </c>
      <c r="Q13031" s="26" t="str">
        <f>HYPERLINK("https://ictv.global/taxonomy/taxondetails?taxnode_id=202513229&amp;ictv_id=ICTV202113229","ICTV202113229")</f>
        <v>ICTV202113229</v>
      </c>
      <c r="R13031" t="s">
        <v>581</v>
      </c>
      <c r="S13031" t="s">
        <v>823</v>
      </c>
      <c r="T13031">
        <v>37</v>
      </c>
      <c r="U13031" s="26" t="str">
        <f>HYPERLINK("https://ictv.global/ictv/proposals/2021.009F.R.Botourmiaviridae_6newgen_109newsp.zip","2021.009F.R.Botourmiaviridae_6newgen_109newsp.zip")</f>
        <v>2021.009F.R.Botourmiaviridae_6newgen_109newsp.zip</v>
      </c>
    </row>
    <row r="13032" spans="1:21">
      <c r="A13032">
        <v>13031</v>
      </c>
      <c r="B13032" s="27" t="s">
        <v>1124</v>
      </c>
      <c r="D13032" s="27" t="s">
        <v>1859</v>
      </c>
      <c r="F13032" s="27" t="s">
        <v>1881</v>
      </c>
      <c r="H13032" s="27" t="s">
        <v>1887</v>
      </c>
      <c r="J13032" s="27" t="s">
        <v>1888</v>
      </c>
      <c r="L13032" s="27" t="s">
        <v>1173</v>
      </c>
      <c r="N13032" s="27" t="s">
        <v>1175</v>
      </c>
      <c r="P13032" s="27" t="s">
        <v>20189</v>
      </c>
      <c r="Q13032" s="26" t="str">
        <f>HYPERLINK("https://ictv.global/taxonomy/taxondetails?taxnode_id=202506579&amp;ictv_id=ICTV201856579","ICTV201856579")</f>
        <v>ICTV201856579</v>
      </c>
      <c r="R13032" t="s">
        <v>581</v>
      </c>
      <c r="S13032" t="s">
        <v>824</v>
      </c>
      <c r="T13032">
        <v>40</v>
      </c>
      <c r="U13032" s="26" t="str">
        <f>HYPERLINK("https://ictv.global/ictv/proposals/2024.001F.Botourmiaviridae_spren.zip","2024.001F.Botourmiaviridae_spren.zip")</f>
        <v>2024.001F.Botourmiaviridae_spren.zip</v>
      </c>
    </row>
    <row r="13033" spans="1:21">
      <c r="A13033">
        <v>13032</v>
      </c>
      <c r="B13033" s="27" t="s">
        <v>1124</v>
      </c>
      <c r="D13033" s="27" t="s">
        <v>1859</v>
      </c>
      <c r="F13033" s="27" t="s">
        <v>1881</v>
      </c>
      <c r="H13033" s="27" t="s">
        <v>1887</v>
      </c>
      <c r="J13033" s="27" t="s">
        <v>1888</v>
      </c>
      <c r="L13033" s="27" t="s">
        <v>1173</v>
      </c>
      <c r="N13033" s="27" t="s">
        <v>1175</v>
      </c>
      <c r="P13033" s="27" t="s">
        <v>9233</v>
      </c>
      <c r="Q13033" s="26" t="str">
        <f>HYPERLINK("https://ictv.global/taxonomy/taxondetails?taxnode_id=202513223&amp;ictv_id=ICTV202113223","ICTV202113223")</f>
        <v>ICTV202113223</v>
      </c>
      <c r="R13033" t="s">
        <v>581</v>
      </c>
      <c r="S13033" t="s">
        <v>823</v>
      </c>
      <c r="T13033">
        <v>37</v>
      </c>
      <c r="U13033" s="26" t="str">
        <f t="shared" ref="U13033:U13040" si="480">HYPERLINK("https://ictv.global/ictv/proposals/2021.009F.R.Botourmiaviridae_6newgen_109newsp.zip","2021.009F.R.Botourmiaviridae_6newgen_109newsp.zip")</f>
        <v>2021.009F.R.Botourmiaviridae_6newgen_109newsp.zip</v>
      </c>
    </row>
    <row r="13034" spans="1:21">
      <c r="A13034">
        <v>13033</v>
      </c>
      <c r="B13034" s="27" t="s">
        <v>1124</v>
      </c>
      <c r="D13034" s="27" t="s">
        <v>1859</v>
      </c>
      <c r="F13034" s="27" t="s">
        <v>1881</v>
      </c>
      <c r="H13034" s="27" t="s">
        <v>1887</v>
      </c>
      <c r="J13034" s="27" t="s">
        <v>1888</v>
      </c>
      <c r="L13034" s="27" t="s">
        <v>1173</v>
      </c>
      <c r="N13034" s="27" t="s">
        <v>1175</v>
      </c>
      <c r="P13034" s="27" t="s">
        <v>9234</v>
      </c>
      <c r="Q13034" s="26" t="str">
        <f>HYPERLINK("https://ictv.global/taxonomy/taxondetails?taxnode_id=202513224&amp;ictv_id=ICTV202113224","ICTV202113224")</f>
        <v>ICTV202113224</v>
      </c>
      <c r="R13034" t="s">
        <v>581</v>
      </c>
      <c r="S13034" t="s">
        <v>823</v>
      </c>
      <c r="T13034">
        <v>37</v>
      </c>
      <c r="U13034" s="26" t="str">
        <f t="shared" si="480"/>
        <v>2021.009F.R.Botourmiaviridae_6newgen_109newsp.zip</v>
      </c>
    </row>
    <row r="13035" spans="1:21">
      <c r="A13035">
        <v>13034</v>
      </c>
      <c r="B13035" s="27" t="s">
        <v>1124</v>
      </c>
      <c r="D13035" s="27" t="s">
        <v>1859</v>
      </c>
      <c r="F13035" s="27" t="s">
        <v>1881</v>
      </c>
      <c r="H13035" s="27" t="s">
        <v>1887</v>
      </c>
      <c r="J13035" s="27" t="s">
        <v>1888</v>
      </c>
      <c r="L13035" s="27" t="s">
        <v>1173</v>
      </c>
      <c r="N13035" s="27" t="s">
        <v>1175</v>
      </c>
      <c r="P13035" s="27" t="s">
        <v>9235</v>
      </c>
      <c r="Q13035" s="26" t="str">
        <f>HYPERLINK("https://ictv.global/taxonomy/taxondetails?taxnode_id=202513225&amp;ictv_id=ICTV202113225","ICTV202113225")</f>
        <v>ICTV202113225</v>
      </c>
      <c r="R13035" t="s">
        <v>581</v>
      </c>
      <c r="S13035" t="s">
        <v>823</v>
      </c>
      <c r="T13035">
        <v>37</v>
      </c>
      <c r="U13035" s="26" t="str">
        <f t="shared" si="480"/>
        <v>2021.009F.R.Botourmiaviridae_6newgen_109newsp.zip</v>
      </c>
    </row>
    <row r="13036" spans="1:21">
      <c r="A13036">
        <v>13035</v>
      </c>
      <c r="B13036" s="27" t="s">
        <v>1124</v>
      </c>
      <c r="D13036" s="27" t="s">
        <v>1859</v>
      </c>
      <c r="F13036" s="27" t="s">
        <v>1881</v>
      </c>
      <c r="H13036" s="27" t="s">
        <v>1887</v>
      </c>
      <c r="J13036" s="27" t="s">
        <v>1888</v>
      </c>
      <c r="L13036" s="27" t="s">
        <v>1173</v>
      </c>
      <c r="N13036" s="27" t="s">
        <v>1175</v>
      </c>
      <c r="P13036" s="27" t="s">
        <v>9236</v>
      </c>
      <c r="Q13036" s="26" t="str">
        <f>HYPERLINK("https://ictv.global/taxonomy/taxondetails?taxnode_id=202513214&amp;ictv_id=ICTV202113214","ICTV202113214")</f>
        <v>ICTV202113214</v>
      </c>
      <c r="R13036" t="s">
        <v>581</v>
      </c>
      <c r="S13036" t="s">
        <v>823</v>
      </c>
      <c r="T13036">
        <v>37</v>
      </c>
      <c r="U13036" s="26" t="str">
        <f t="shared" si="480"/>
        <v>2021.009F.R.Botourmiaviridae_6newgen_109newsp.zip</v>
      </c>
    </row>
    <row r="13037" spans="1:21">
      <c r="A13037">
        <v>13036</v>
      </c>
      <c r="B13037" s="27" t="s">
        <v>1124</v>
      </c>
      <c r="D13037" s="27" t="s">
        <v>1859</v>
      </c>
      <c r="F13037" s="27" t="s">
        <v>1881</v>
      </c>
      <c r="H13037" s="27" t="s">
        <v>1887</v>
      </c>
      <c r="J13037" s="27" t="s">
        <v>1888</v>
      </c>
      <c r="L13037" s="27" t="s">
        <v>1173</v>
      </c>
      <c r="N13037" s="27" t="s">
        <v>1175</v>
      </c>
      <c r="P13037" s="27" t="s">
        <v>9237</v>
      </c>
      <c r="Q13037" s="26" t="str">
        <f>HYPERLINK("https://ictv.global/taxonomy/taxondetails?taxnode_id=202513231&amp;ictv_id=ICTV202113231","ICTV202113231")</f>
        <v>ICTV202113231</v>
      </c>
      <c r="R13037" t="s">
        <v>581</v>
      </c>
      <c r="S13037" t="s">
        <v>823</v>
      </c>
      <c r="T13037">
        <v>37</v>
      </c>
      <c r="U13037" s="26" t="str">
        <f t="shared" si="480"/>
        <v>2021.009F.R.Botourmiaviridae_6newgen_109newsp.zip</v>
      </c>
    </row>
    <row r="13038" spans="1:21">
      <c r="A13038">
        <v>13037</v>
      </c>
      <c r="B13038" s="27" t="s">
        <v>1124</v>
      </c>
      <c r="D13038" s="27" t="s">
        <v>1859</v>
      </c>
      <c r="F13038" s="27" t="s">
        <v>1881</v>
      </c>
      <c r="H13038" s="27" t="s">
        <v>1887</v>
      </c>
      <c r="J13038" s="27" t="s">
        <v>1888</v>
      </c>
      <c r="L13038" s="27" t="s">
        <v>1173</v>
      </c>
      <c r="N13038" s="27" t="s">
        <v>1175</v>
      </c>
      <c r="P13038" s="27" t="s">
        <v>9238</v>
      </c>
      <c r="Q13038" s="26" t="str">
        <f>HYPERLINK("https://ictv.global/taxonomy/taxondetails?taxnode_id=202513220&amp;ictv_id=ICTV202113220","ICTV202113220")</f>
        <v>ICTV202113220</v>
      </c>
      <c r="R13038" t="s">
        <v>581</v>
      </c>
      <c r="S13038" t="s">
        <v>823</v>
      </c>
      <c r="T13038">
        <v>37</v>
      </c>
      <c r="U13038" s="26" t="str">
        <f t="shared" si="480"/>
        <v>2021.009F.R.Botourmiaviridae_6newgen_109newsp.zip</v>
      </c>
    </row>
    <row r="13039" spans="1:21">
      <c r="A13039">
        <v>13038</v>
      </c>
      <c r="B13039" s="27" t="s">
        <v>1124</v>
      </c>
      <c r="D13039" s="27" t="s">
        <v>1859</v>
      </c>
      <c r="F13039" s="27" t="s">
        <v>1881</v>
      </c>
      <c r="H13039" s="27" t="s">
        <v>1887</v>
      </c>
      <c r="J13039" s="27" t="s">
        <v>1888</v>
      </c>
      <c r="L13039" s="27" t="s">
        <v>1173</v>
      </c>
      <c r="N13039" s="27" t="s">
        <v>1175</v>
      </c>
      <c r="P13039" s="27" t="s">
        <v>9239</v>
      </c>
      <c r="Q13039" s="26" t="str">
        <f>HYPERLINK("https://ictv.global/taxonomy/taxondetails?taxnode_id=202513212&amp;ictv_id=ICTV202113212","ICTV202113212")</f>
        <v>ICTV202113212</v>
      </c>
      <c r="R13039" t="s">
        <v>581</v>
      </c>
      <c r="S13039" t="s">
        <v>823</v>
      </c>
      <c r="T13039">
        <v>37</v>
      </c>
      <c r="U13039" s="26" t="str">
        <f t="shared" si="480"/>
        <v>2021.009F.R.Botourmiaviridae_6newgen_109newsp.zip</v>
      </c>
    </row>
    <row r="13040" spans="1:21">
      <c r="A13040">
        <v>13039</v>
      </c>
      <c r="B13040" s="27" t="s">
        <v>1124</v>
      </c>
      <c r="D13040" s="27" t="s">
        <v>1859</v>
      </c>
      <c r="F13040" s="27" t="s">
        <v>1881</v>
      </c>
      <c r="H13040" s="27" t="s">
        <v>1887</v>
      </c>
      <c r="J13040" s="27" t="s">
        <v>1888</v>
      </c>
      <c r="L13040" s="27" t="s">
        <v>1173</v>
      </c>
      <c r="N13040" s="27" t="s">
        <v>3461</v>
      </c>
      <c r="P13040" s="27" t="s">
        <v>9240</v>
      </c>
      <c r="Q13040" s="26" t="str">
        <f>HYPERLINK("https://ictv.global/taxonomy/taxondetails?taxnode_id=202513234&amp;ictv_id=ICTV202113234","ICTV202113234")</f>
        <v>ICTV202113234</v>
      </c>
      <c r="R13040" t="s">
        <v>581</v>
      </c>
      <c r="S13040" t="s">
        <v>823</v>
      </c>
      <c r="T13040">
        <v>37</v>
      </c>
      <c r="U13040" s="26" t="str">
        <f t="shared" si="480"/>
        <v>2021.009F.R.Botourmiaviridae_6newgen_109newsp.zip</v>
      </c>
    </row>
    <row r="13041" spans="1:21">
      <c r="A13041">
        <v>13040</v>
      </c>
      <c r="B13041" s="27" t="s">
        <v>1124</v>
      </c>
      <c r="D13041" s="27" t="s">
        <v>1859</v>
      </c>
      <c r="F13041" s="27" t="s">
        <v>1881</v>
      </c>
      <c r="H13041" s="27" t="s">
        <v>1887</v>
      </c>
      <c r="J13041" s="27" t="s">
        <v>1888</v>
      </c>
      <c r="L13041" s="27" t="s">
        <v>1173</v>
      </c>
      <c r="N13041" s="27" t="s">
        <v>3461</v>
      </c>
      <c r="P13041" s="27" t="s">
        <v>9241</v>
      </c>
      <c r="Q13041" s="26" t="str">
        <f>HYPERLINK("https://ictv.global/taxonomy/taxondetails?taxnode_id=202515018&amp;ictv_id=ICTV202215018","ICTV202215018")</f>
        <v>ICTV202215018</v>
      </c>
      <c r="R13041" t="s">
        <v>581</v>
      </c>
      <c r="S13041" t="s">
        <v>823</v>
      </c>
      <c r="T13041">
        <v>38</v>
      </c>
      <c r="U13041" s="26" t="str">
        <f>HYPERLINK("https://ictv.global/ictv/proposals/2022.003F.Botourmiaviridae_15nsp.zip","2022.003F.Botourmiaviridae_15nsp.zip")</f>
        <v>2022.003F.Botourmiaviridae_15nsp.zip</v>
      </c>
    </row>
    <row r="13042" spans="1:21">
      <c r="A13042">
        <v>13041</v>
      </c>
      <c r="B13042" s="27" t="s">
        <v>1124</v>
      </c>
      <c r="D13042" s="27" t="s">
        <v>1859</v>
      </c>
      <c r="F13042" s="27" t="s">
        <v>1881</v>
      </c>
      <c r="H13042" s="27" t="s">
        <v>1887</v>
      </c>
      <c r="J13042" s="27" t="s">
        <v>1888</v>
      </c>
      <c r="L13042" s="27" t="s">
        <v>1173</v>
      </c>
      <c r="N13042" s="27" t="s">
        <v>3461</v>
      </c>
      <c r="P13042" s="27" t="s">
        <v>9242</v>
      </c>
      <c r="Q13042" s="26" t="str">
        <f>HYPERLINK("https://ictv.global/taxonomy/taxondetails?taxnode_id=202515017&amp;ictv_id=ICTV202215017","ICTV202215017")</f>
        <v>ICTV202215017</v>
      </c>
      <c r="R13042" t="s">
        <v>581</v>
      </c>
      <c r="S13042" t="s">
        <v>823</v>
      </c>
      <c r="T13042">
        <v>38</v>
      </c>
      <c r="U13042" s="26" t="str">
        <f>HYPERLINK("https://ictv.global/ictv/proposals/2022.003F.Botourmiaviridae_15nsp.zip","2022.003F.Botourmiaviridae_15nsp.zip")</f>
        <v>2022.003F.Botourmiaviridae_15nsp.zip</v>
      </c>
    </row>
    <row r="13043" spans="1:21">
      <c r="A13043">
        <v>13042</v>
      </c>
      <c r="B13043" s="27" t="s">
        <v>1124</v>
      </c>
      <c r="D13043" s="27" t="s">
        <v>1859</v>
      </c>
      <c r="F13043" s="27" t="s">
        <v>1881</v>
      </c>
      <c r="H13043" s="27" t="s">
        <v>1887</v>
      </c>
      <c r="J13043" s="27" t="s">
        <v>1888</v>
      </c>
      <c r="L13043" s="27" t="s">
        <v>1173</v>
      </c>
      <c r="N13043" s="27" t="s">
        <v>3461</v>
      </c>
      <c r="P13043" s="27" t="s">
        <v>9243</v>
      </c>
      <c r="Q13043" s="26" t="str">
        <f>HYPERLINK("https://ictv.global/taxonomy/taxondetails?taxnode_id=202513237&amp;ictv_id=ICTV202113237","ICTV202113237")</f>
        <v>ICTV202113237</v>
      </c>
      <c r="R13043" t="s">
        <v>581</v>
      </c>
      <c r="S13043" t="s">
        <v>823</v>
      </c>
      <c r="T13043">
        <v>37</v>
      </c>
      <c r="U13043" s="26" t="str">
        <f>HYPERLINK("https://ictv.global/ictv/proposals/2021.009F.R.Botourmiaviridae_6newgen_109newsp.zip","2021.009F.R.Botourmiaviridae_6newgen_109newsp.zip")</f>
        <v>2021.009F.R.Botourmiaviridae_6newgen_109newsp.zip</v>
      </c>
    </row>
    <row r="13044" spans="1:21">
      <c r="A13044">
        <v>13043</v>
      </c>
      <c r="B13044" s="27" t="s">
        <v>1124</v>
      </c>
      <c r="D13044" s="27" t="s">
        <v>1859</v>
      </c>
      <c r="F13044" s="27" t="s">
        <v>1881</v>
      </c>
      <c r="H13044" s="27" t="s">
        <v>1887</v>
      </c>
      <c r="J13044" s="27" t="s">
        <v>1888</v>
      </c>
      <c r="L13044" s="27" t="s">
        <v>1173</v>
      </c>
      <c r="N13044" s="27" t="s">
        <v>3461</v>
      </c>
      <c r="P13044" s="27" t="s">
        <v>20193</v>
      </c>
      <c r="Q13044" s="26" t="str">
        <f>HYPERLINK("https://ictv.global/taxonomy/taxondetails?taxnode_id=202508743&amp;ictv_id=ICTV202008743","ICTV202008743")</f>
        <v>ICTV202008743</v>
      </c>
      <c r="R13044" t="s">
        <v>581</v>
      </c>
      <c r="S13044" t="s">
        <v>824</v>
      </c>
      <c r="T13044">
        <v>40</v>
      </c>
      <c r="U13044" s="26" t="str">
        <f>HYPERLINK("https://ictv.global/ictv/proposals/2024.001F.Botourmiaviridae_spren.zip","2024.001F.Botourmiaviridae_spren.zip")</f>
        <v>2024.001F.Botourmiaviridae_spren.zip</v>
      </c>
    </row>
    <row r="13045" spans="1:21">
      <c r="A13045">
        <v>13044</v>
      </c>
      <c r="B13045" s="27" t="s">
        <v>1124</v>
      </c>
      <c r="D13045" s="27" t="s">
        <v>1859</v>
      </c>
      <c r="F13045" s="27" t="s">
        <v>1881</v>
      </c>
      <c r="H13045" s="27" t="s">
        <v>1887</v>
      </c>
      <c r="J13045" s="27" t="s">
        <v>1888</v>
      </c>
      <c r="L13045" s="27" t="s">
        <v>1173</v>
      </c>
      <c r="N13045" s="27" t="s">
        <v>3461</v>
      </c>
      <c r="P13045" s="27" t="s">
        <v>9244</v>
      </c>
      <c r="Q13045" s="26" t="str">
        <f>HYPERLINK("https://ictv.global/taxonomy/taxondetails?taxnode_id=202513235&amp;ictv_id=ICTV202113235","ICTV202113235")</f>
        <v>ICTV202113235</v>
      </c>
      <c r="R13045" t="s">
        <v>581</v>
      </c>
      <c r="S13045" t="s">
        <v>823</v>
      </c>
      <c r="T13045">
        <v>37</v>
      </c>
      <c r="U13045" s="26" t="str">
        <f>HYPERLINK("https://ictv.global/ictv/proposals/2021.009F.R.Botourmiaviridae_6newgen_109newsp.zip","2021.009F.R.Botourmiaviridae_6newgen_109newsp.zip")</f>
        <v>2021.009F.R.Botourmiaviridae_6newgen_109newsp.zip</v>
      </c>
    </row>
    <row r="13046" spans="1:21">
      <c r="A13046">
        <v>13045</v>
      </c>
      <c r="B13046" s="27" t="s">
        <v>1124</v>
      </c>
      <c r="D13046" s="27" t="s">
        <v>1859</v>
      </c>
      <c r="F13046" s="27" t="s">
        <v>1881</v>
      </c>
      <c r="H13046" s="27" t="s">
        <v>1887</v>
      </c>
      <c r="J13046" s="27" t="s">
        <v>1888</v>
      </c>
      <c r="L13046" s="27" t="s">
        <v>1173</v>
      </c>
      <c r="N13046" s="27" t="s">
        <v>3461</v>
      </c>
      <c r="P13046" s="27" t="s">
        <v>9245</v>
      </c>
      <c r="Q13046" s="26" t="str">
        <f>HYPERLINK("https://ictv.global/taxonomy/taxondetails?taxnode_id=202513238&amp;ictv_id=ICTV202113238","ICTV202113238")</f>
        <v>ICTV202113238</v>
      </c>
      <c r="R13046" t="s">
        <v>581</v>
      </c>
      <c r="S13046" t="s">
        <v>823</v>
      </c>
      <c r="T13046">
        <v>37</v>
      </c>
      <c r="U13046" s="26" t="str">
        <f>HYPERLINK("https://ictv.global/ictv/proposals/2021.009F.R.Botourmiaviridae_6newgen_109newsp.zip","2021.009F.R.Botourmiaviridae_6newgen_109newsp.zip")</f>
        <v>2021.009F.R.Botourmiaviridae_6newgen_109newsp.zip</v>
      </c>
    </row>
    <row r="13047" spans="1:21">
      <c r="A13047">
        <v>13046</v>
      </c>
      <c r="B13047" s="27" t="s">
        <v>1124</v>
      </c>
      <c r="D13047" s="27" t="s">
        <v>1859</v>
      </c>
      <c r="F13047" s="27" t="s">
        <v>1881</v>
      </c>
      <c r="H13047" s="27" t="s">
        <v>1887</v>
      </c>
      <c r="J13047" s="27" t="s">
        <v>1888</v>
      </c>
      <c r="L13047" s="27" t="s">
        <v>1173</v>
      </c>
      <c r="N13047" s="27" t="s">
        <v>3461</v>
      </c>
      <c r="P13047" s="27" t="s">
        <v>20194</v>
      </c>
      <c r="Q13047" s="26" t="str">
        <f>HYPERLINK("https://ictv.global/taxonomy/taxondetails?taxnode_id=202508741&amp;ictv_id=ICTV202008741","ICTV202008741")</f>
        <v>ICTV202008741</v>
      </c>
      <c r="R13047" t="s">
        <v>581</v>
      </c>
      <c r="S13047" t="s">
        <v>824</v>
      </c>
      <c r="T13047">
        <v>40</v>
      </c>
      <c r="U13047" s="26" t="str">
        <f>HYPERLINK("https://ictv.global/ictv/proposals/2024.001F.Botourmiaviridae_spren.zip","2024.001F.Botourmiaviridae_spren.zip")</f>
        <v>2024.001F.Botourmiaviridae_spren.zip</v>
      </c>
    </row>
    <row r="13048" spans="1:21">
      <c r="A13048">
        <v>13047</v>
      </c>
      <c r="B13048" s="27" t="s">
        <v>1124</v>
      </c>
      <c r="D13048" s="27" t="s">
        <v>1859</v>
      </c>
      <c r="F13048" s="27" t="s">
        <v>1881</v>
      </c>
      <c r="H13048" s="27" t="s">
        <v>1887</v>
      </c>
      <c r="J13048" s="27" t="s">
        <v>1888</v>
      </c>
      <c r="L13048" s="27" t="s">
        <v>1173</v>
      </c>
      <c r="N13048" s="27" t="s">
        <v>3461</v>
      </c>
      <c r="P13048" s="27" t="s">
        <v>9246</v>
      </c>
      <c r="Q13048" s="26" t="str">
        <f>HYPERLINK("https://ictv.global/taxonomy/taxondetails?taxnode_id=202513240&amp;ictv_id=ICTV202113240","ICTV202113240")</f>
        <v>ICTV202113240</v>
      </c>
      <c r="R13048" t="s">
        <v>581</v>
      </c>
      <c r="S13048" t="s">
        <v>823</v>
      </c>
      <c r="T13048">
        <v>37</v>
      </c>
      <c r="U13048" s="26" t="str">
        <f>HYPERLINK("https://ictv.global/ictv/proposals/2021.009F.R.Botourmiaviridae_6newgen_109newsp.zip","2021.009F.R.Botourmiaviridae_6newgen_109newsp.zip")</f>
        <v>2021.009F.R.Botourmiaviridae_6newgen_109newsp.zip</v>
      </c>
    </row>
    <row r="13049" spans="1:21">
      <c r="A13049">
        <v>13048</v>
      </c>
      <c r="B13049" s="27" t="s">
        <v>1124</v>
      </c>
      <c r="D13049" s="27" t="s">
        <v>1859</v>
      </c>
      <c r="F13049" s="27" t="s">
        <v>1881</v>
      </c>
      <c r="H13049" s="27" t="s">
        <v>1887</v>
      </c>
      <c r="J13049" s="27" t="s">
        <v>1888</v>
      </c>
      <c r="L13049" s="27" t="s">
        <v>1173</v>
      </c>
      <c r="N13049" s="27" t="s">
        <v>3461</v>
      </c>
      <c r="P13049" s="27" t="s">
        <v>20195</v>
      </c>
      <c r="Q13049" s="26" t="str">
        <f>HYPERLINK("https://ictv.global/taxonomy/taxondetails?taxnode_id=202508742&amp;ictv_id=ICTV202008742","ICTV202008742")</f>
        <v>ICTV202008742</v>
      </c>
      <c r="R13049" t="s">
        <v>581</v>
      </c>
      <c r="S13049" t="s">
        <v>824</v>
      </c>
      <c r="T13049">
        <v>40</v>
      </c>
      <c r="U13049" s="26" t="str">
        <f>HYPERLINK("https://ictv.global/ictv/proposals/2024.001F.Botourmiaviridae_spren.zip","2024.001F.Botourmiaviridae_spren.zip")</f>
        <v>2024.001F.Botourmiaviridae_spren.zip</v>
      </c>
    </row>
    <row r="13050" spans="1:21">
      <c r="A13050">
        <v>13049</v>
      </c>
      <c r="B13050" s="27" t="s">
        <v>1124</v>
      </c>
      <c r="D13050" s="27" t="s">
        <v>1859</v>
      </c>
      <c r="F13050" s="27" t="s">
        <v>1881</v>
      </c>
      <c r="H13050" s="27" t="s">
        <v>1887</v>
      </c>
      <c r="J13050" s="27" t="s">
        <v>1888</v>
      </c>
      <c r="L13050" s="27" t="s">
        <v>1173</v>
      </c>
      <c r="N13050" s="27" t="s">
        <v>3461</v>
      </c>
      <c r="P13050" s="27" t="s">
        <v>9247</v>
      </c>
      <c r="Q13050" s="26" t="str">
        <f>HYPERLINK("https://ictv.global/taxonomy/taxondetails?taxnode_id=202513241&amp;ictv_id=ICTV202113241","ICTV202113241")</f>
        <v>ICTV202113241</v>
      </c>
      <c r="R13050" t="s">
        <v>581</v>
      </c>
      <c r="S13050" t="s">
        <v>823</v>
      </c>
      <c r="T13050">
        <v>37</v>
      </c>
      <c r="U13050" s="26" t="str">
        <f t="shared" ref="U13050:U13056" si="481">HYPERLINK("https://ictv.global/ictv/proposals/2021.009F.R.Botourmiaviridae_6newgen_109newsp.zip","2021.009F.R.Botourmiaviridae_6newgen_109newsp.zip")</f>
        <v>2021.009F.R.Botourmiaviridae_6newgen_109newsp.zip</v>
      </c>
    </row>
    <row r="13051" spans="1:21">
      <c r="A13051">
        <v>13050</v>
      </c>
      <c r="B13051" s="27" t="s">
        <v>1124</v>
      </c>
      <c r="D13051" s="27" t="s">
        <v>1859</v>
      </c>
      <c r="F13051" s="27" t="s">
        <v>1881</v>
      </c>
      <c r="H13051" s="27" t="s">
        <v>1887</v>
      </c>
      <c r="J13051" s="27" t="s">
        <v>1888</v>
      </c>
      <c r="L13051" s="27" t="s">
        <v>1173</v>
      </c>
      <c r="N13051" s="27" t="s">
        <v>3461</v>
      </c>
      <c r="P13051" s="27" t="s">
        <v>9248</v>
      </c>
      <c r="Q13051" s="26" t="str">
        <f>HYPERLINK("https://ictv.global/taxonomy/taxondetails?taxnode_id=202513243&amp;ictv_id=ICTV202113243","ICTV202113243")</f>
        <v>ICTV202113243</v>
      </c>
      <c r="R13051" t="s">
        <v>581</v>
      </c>
      <c r="S13051" t="s">
        <v>823</v>
      </c>
      <c r="T13051">
        <v>37</v>
      </c>
      <c r="U13051" s="26" t="str">
        <f t="shared" si="481"/>
        <v>2021.009F.R.Botourmiaviridae_6newgen_109newsp.zip</v>
      </c>
    </row>
    <row r="13052" spans="1:21">
      <c r="A13052">
        <v>13051</v>
      </c>
      <c r="B13052" s="27" t="s">
        <v>1124</v>
      </c>
      <c r="D13052" s="27" t="s">
        <v>1859</v>
      </c>
      <c r="F13052" s="27" t="s">
        <v>1881</v>
      </c>
      <c r="H13052" s="27" t="s">
        <v>1887</v>
      </c>
      <c r="J13052" s="27" t="s">
        <v>1888</v>
      </c>
      <c r="L13052" s="27" t="s">
        <v>1173</v>
      </c>
      <c r="N13052" s="27" t="s">
        <v>3461</v>
      </c>
      <c r="P13052" s="27" t="s">
        <v>9249</v>
      </c>
      <c r="Q13052" s="26" t="str">
        <f>HYPERLINK("https://ictv.global/taxonomy/taxondetails?taxnode_id=202513236&amp;ictv_id=ICTV202113236","ICTV202113236")</f>
        <v>ICTV202113236</v>
      </c>
      <c r="R13052" t="s">
        <v>581</v>
      </c>
      <c r="S13052" t="s">
        <v>823</v>
      </c>
      <c r="T13052">
        <v>37</v>
      </c>
      <c r="U13052" s="26" t="str">
        <f t="shared" si="481"/>
        <v>2021.009F.R.Botourmiaviridae_6newgen_109newsp.zip</v>
      </c>
    </row>
    <row r="13053" spans="1:21">
      <c r="A13053">
        <v>13052</v>
      </c>
      <c r="B13053" s="27" t="s">
        <v>1124</v>
      </c>
      <c r="D13053" s="27" t="s">
        <v>1859</v>
      </c>
      <c r="F13053" s="27" t="s">
        <v>1881</v>
      </c>
      <c r="H13053" s="27" t="s">
        <v>1887</v>
      </c>
      <c r="J13053" s="27" t="s">
        <v>1888</v>
      </c>
      <c r="L13053" s="27" t="s">
        <v>1173</v>
      </c>
      <c r="N13053" s="27" t="s">
        <v>3461</v>
      </c>
      <c r="P13053" s="27" t="s">
        <v>9250</v>
      </c>
      <c r="Q13053" s="26" t="str">
        <f>HYPERLINK("https://ictv.global/taxonomy/taxondetails?taxnode_id=202513239&amp;ictv_id=ICTV202113239","ICTV202113239")</f>
        <v>ICTV202113239</v>
      </c>
      <c r="R13053" t="s">
        <v>581</v>
      </c>
      <c r="S13053" t="s">
        <v>823</v>
      </c>
      <c r="T13053">
        <v>37</v>
      </c>
      <c r="U13053" s="26" t="str">
        <f t="shared" si="481"/>
        <v>2021.009F.R.Botourmiaviridae_6newgen_109newsp.zip</v>
      </c>
    </row>
    <row r="13054" spans="1:21">
      <c r="A13054">
        <v>13053</v>
      </c>
      <c r="B13054" s="27" t="s">
        <v>1124</v>
      </c>
      <c r="D13054" s="27" t="s">
        <v>1859</v>
      </c>
      <c r="F13054" s="27" t="s">
        <v>1881</v>
      </c>
      <c r="H13054" s="27" t="s">
        <v>1887</v>
      </c>
      <c r="J13054" s="27" t="s">
        <v>1888</v>
      </c>
      <c r="L13054" s="27" t="s">
        <v>1173</v>
      </c>
      <c r="N13054" s="27" t="s">
        <v>3461</v>
      </c>
      <c r="P13054" s="27" t="s">
        <v>9251</v>
      </c>
      <c r="Q13054" s="26" t="str">
        <f>HYPERLINK("https://ictv.global/taxonomy/taxondetails?taxnode_id=202513245&amp;ictv_id=ICTV202113245","ICTV202113245")</f>
        <v>ICTV202113245</v>
      </c>
      <c r="R13054" t="s">
        <v>581</v>
      </c>
      <c r="S13054" t="s">
        <v>823</v>
      </c>
      <c r="T13054">
        <v>37</v>
      </c>
      <c r="U13054" s="26" t="str">
        <f t="shared" si="481"/>
        <v>2021.009F.R.Botourmiaviridae_6newgen_109newsp.zip</v>
      </c>
    </row>
    <row r="13055" spans="1:21">
      <c r="A13055">
        <v>13054</v>
      </c>
      <c r="B13055" s="27" t="s">
        <v>1124</v>
      </c>
      <c r="D13055" s="27" t="s">
        <v>1859</v>
      </c>
      <c r="F13055" s="27" t="s">
        <v>1881</v>
      </c>
      <c r="H13055" s="27" t="s">
        <v>1887</v>
      </c>
      <c r="J13055" s="27" t="s">
        <v>1888</v>
      </c>
      <c r="L13055" s="27" t="s">
        <v>1173</v>
      </c>
      <c r="N13055" s="27" t="s">
        <v>3461</v>
      </c>
      <c r="P13055" s="27" t="s">
        <v>9252</v>
      </c>
      <c r="Q13055" s="26" t="str">
        <f>HYPERLINK("https://ictv.global/taxonomy/taxondetails?taxnode_id=202513233&amp;ictv_id=ICTV202113233","ICTV202113233")</f>
        <v>ICTV202113233</v>
      </c>
      <c r="R13055" t="s">
        <v>581</v>
      </c>
      <c r="S13055" t="s">
        <v>823</v>
      </c>
      <c r="T13055">
        <v>37</v>
      </c>
      <c r="U13055" s="26" t="str">
        <f t="shared" si="481"/>
        <v>2021.009F.R.Botourmiaviridae_6newgen_109newsp.zip</v>
      </c>
    </row>
    <row r="13056" spans="1:21">
      <c r="A13056">
        <v>13055</v>
      </c>
      <c r="B13056" s="27" t="s">
        <v>1124</v>
      </c>
      <c r="D13056" s="27" t="s">
        <v>1859</v>
      </c>
      <c r="F13056" s="27" t="s">
        <v>1881</v>
      </c>
      <c r="H13056" s="27" t="s">
        <v>1887</v>
      </c>
      <c r="J13056" s="27" t="s">
        <v>1888</v>
      </c>
      <c r="L13056" s="27" t="s">
        <v>1173</v>
      </c>
      <c r="N13056" s="27" t="s">
        <v>3461</v>
      </c>
      <c r="P13056" s="27" t="s">
        <v>9253</v>
      </c>
      <c r="Q13056" s="26" t="str">
        <f>HYPERLINK("https://ictv.global/taxonomy/taxondetails?taxnode_id=202513232&amp;ictv_id=ICTV202113232","ICTV202113232")</f>
        <v>ICTV202113232</v>
      </c>
      <c r="R13056" t="s">
        <v>581</v>
      </c>
      <c r="S13056" t="s">
        <v>823</v>
      </c>
      <c r="T13056">
        <v>37</v>
      </c>
      <c r="U13056" s="26" t="str">
        <f t="shared" si="481"/>
        <v>2021.009F.R.Botourmiaviridae_6newgen_109newsp.zip</v>
      </c>
    </row>
    <row r="13057" spans="1:21">
      <c r="A13057">
        <v>13056</v>
      </c>
      <c r="B13057" s="27" t="s">
        <v>1124</v>
      </c>
      <c r="D13057" s="27" t="s">
        <v>1859</v>
      </c>
      <c r="F13057" s="27" t="s">
        <v>1881</v>
      </c>
      <c r="H13057" s="27" t="s">
        <v>1887</v>
      </c>
      <c r="J13057" s="27" t="s">
        <v>1888</v>
      </c>
      <c r="L13057" s="27" t="s">
        <v>1173</v>
      </c>
      <c r="N13057" s="27" t="s">
        <v>3461</v>
      </c>
      <c r="P13057" s="27" t="s">
        <v>20196</v>
      </c>
      <c r="Q13057" s="26" t="str">
        <f>HYPERLINK("https://ictv.global/taxonomy/taxondetails?taxnode_id=202508745&amp;ictv_id=ICTV202008745","ICTV202008745")</f>
        <v>ICTV202008745</v>
      </c>
      <c r="R13057" t="s">
        <v>581</v>
      </c>
      <c r="S13057" t="s">
        <v>824</v>
      </c>
      <c r="T13057">
        <v>40</v>
      </c>
      <c r="U13057" s="26" t="str">
        <f t="shared" ref="U13057:U13064" si="482">HYPERLINK("https://ictv.global/ictv/proposals/2024.001F.Botourmiaviridae_spren.zip","2024.001F.Botourmiaviridae_spren.zip")</f>
        <v>2024.001F.Botourmiaviridae_spren.zip</v>
      </c>
    </row>
    <row r="13058" spans="1:21">
      <c r="A13058">
        <v>13057</v>
      </c>
      <c r="B13058" s="27" t="s">
        <v>1124</v>
      </c>
      <c r="D13058" s="27" t="s">
        <v>1859</v>
      </c>
      <c r="F13058" s="27" t="s">
        <v>1881</v>
      </c>
      <c r="H13058" s="27" t="s">
        <v>1887</v>
      </c>
      <c r="J13058" s="27" t="s">
        <v>1888</v>
      </c>
      <c r="L13058" s="27" t="s">
        <v>1173</v>
      </c>
      <c r="N13058" s="27" t="s">
        <v>3461</v>
      </c>
      <c r="P13058" s="27" t="s">
        <v>20197</v>
      </c>
      <c r="Q13058" s="26" t="str">
        <f>HYPERLINK("https://ictv.global/taxonomy/taxondetails?taxnode_id=202508746&amp;ictv_id=ICTV202008746","ICTV202008746")</f>
        <v>ICTV202008746</v>
      </c>
      <c r="R13058" t="s">
        <v>581</v>
      </c>
      <c r="S13058" t="s">
        <v>824</v>
      </c>
      <c r="T13058">
        <v>40</v>
      </c>
      <c r="U13058" s="26" t="str">
        <f t="shared" si="482"/>
        <v>2024.001F.Botourmiaviridae_spren.zip</v>
      </c>
    </row>
    <row r="13059" spans="1:21">
      <c r="A13059">
        <v>13058</v>
      </c>
      <c r="B13059" s="27" t="s">
        <v>1124</v>
      </c>
      <c r="D13059" s="27" t="s">
        <v>1859</v>
      </c>
      <c r="F13059" s="27" t="s">
        <v>1881</v>
      </c>
      <c r="H13059" s="27" t="s">
        <v>1887</v>
      </c>
      <c r="J13059" s="27" t="s">
        <v>1888</v>
      </c>
      <c r="L13059" s="27" t="s">
        <v>1173</v>
      </c>
      <c r="N13059" s="27" t="s">
        <v>3461</v>
      </c>
      <c r="P13059" s="27" t="s">
        <v>20198</v>
      </c>
      <c r="Q13059" s="26" t="str">
        <f>HYPERLINK("https://ictv.global/taxonomy/taxondetails?taxnode_id=202508737&amp;ictv_id=ICTV202008737","ICTV202008737")</f>
        <v>ICTV202008737</v>
      </c>
      <c r="R13059" t="s">
        <v>581</v>
      </c>
      <c r="S13059" t="s">
        <v>824</v>
      </c>
      <c r="T13059">
        <v>40</v>
      </c>
      <c r="U13059" s="26" t="str">
        <f t="shared" si="482"/>
        <v>2024.001F.Botourmiaviridae_spren.zip</v>
      </c>
    </row>
    <row r="13060" spans="1:21">
      <c r="A13060">
        <v>13059</v>
      </c>
      <c r="B13060" s="27" t="s">
        <v>1124</v>
      </c>
      <c r="D13060" s="27" t="s">
        <v>1859</v>
      </c>
      <c r="F13060" s="27" t="s">
        <v>1881</v>
      </c>
      <c r="H13060" s="27" t="s">
        <v>1887</v>
      </c>
      <c r="J13060" s="27" t="s">
        <v>1888</v>
      </c>
      <c r="L13060" s="27" t="s">
        <v>1173</v>
      </c>
      <c r="N13060" s="27" t="s">
        <v>3461</v>
      </c>
      <c r="P13060" s="27" t="s">
        <v>20199</v>
      </c>
      <c r="Q13060" s="26" t="str">
        <f>HYPERLINK("https://ictv.global/taxonomy/taxondetails?taxnode_id=202508738&amp;ictv_id=ICTV202008738","ICTV202008738")</f>
        <v>ICTV202008738</v>
      </c>
      <c r="R13060" t="s">
        <v>581</v>
      </c>
      <c r="S13060" t="s">
        <v>824</v>
      </c>
      <c r="T13060">
        <v>40</v>
      </c>
      <c r="U13060" s="26" t="str">
        <f t="shared" si="482"/>
        <v>2024.001F.Botourmiaviridae_spren.zip</v>
      </c>
    </row>
    <row r="13061" spans="1:21">
      <c r="A13061">
        <v>13060</v>
      </c>
      <c r="B13061" s="27" t="s">
        <v>1124</v>
      </c>
      <c r="D13061" s="27" t="s">
        <v>1859</v>
      </c>
      <c r="F13061" s="27" t="s">
        <v>1881</v>
      </c>
      <c r="H13061" s="27" t="s">
        <v>1887</v>
      </c>
      <c r="J13061" s="27" t="s">
        <v>1888</v>
      </c>
      <c r="L13061" s="27" t="s">
        <v>1173</v>
      </c>
      <c r="N13061" s="27" t="s">
        <v>3461</v>
      </c>
      <c r="P13061" s="27" t="s">
        <v>20200</v>
      </c>
      <c r="Q13061" s="26" t="str">
        <f>HYPERLINK("https://ictv.global/taxonomy/taxondetails?taxnode_id=202508740&amp;ictv_id=ICTV202008740","ICTV202008740")</f>
        <v>ICTV202008740</v>
      </c>
      <c r="R13061" t="s">
        <v>581</v>
      </c>
      <c r="S13061" t="s">
        <v>824</v>
      </c>
      <c r="T13061">
        <v>40</v>
      </c>
      <c r="U13061" s="26" t="str">
        <f t="shared" si="482"/>
        <v>2024.001F.Botourmiaviridae_spren.zip</v>
      </c>
    </row>
    <row r="13062" spans="1:21">
      <c r="A13062">
        <v>13061</v>
      </c>
      <c r="B13062" s="27" t="s">
        <v>1124</v>
      </c>
      <c r="D13062" s="27" t="s">
        <v>1859</v>
      </c>
      <c r="F13062" s="27" t="s">
        <v>1881</v>
      </c>
      <c r="H13062" s="27" t="s">
        <v>1887</v>
      </c>
      <c r="J13062" s="27" t="s">
        <v>1888</v>
      </c>
      <c r="L13062" s="27" t="s">
        <v>1173</v>
      </c>
      <c r="N13062" s="27" t="s">
        <v>3461</v>
      </c>
      <c r="P13062" s="27" t="s">
        <v>20201</v>
      </c>
      <c r="Q13062" s="26" t="str">
        <f>HYPERLINK("https://ictv.global/taxonomy/taxondetails?taxnode_id=202508747&amp;ictv_id=ICTV202008747","ICTV202008747")</f>
        <v>ICTV202008747</v>
      </c>
      <c r="R13062" t="s">
        <v>581</v>
      </c>
      <c r="S13062" t="s">
        <v>824</v>
      </c>
      <c r="T13062">
        <v>40</v>
      </c>
      <c r="U13062" s="26" t="str">
        <f t="shared" si="482"/>
        <v>2024.001F.Botourmiaviridae_spren.zip</v>
      </c>
    </row>
    <row r="13063" spans="1:21">
      <c r="A13063">
        <v>13062</v>
      </c>
      <c r="B13063" s="27" t="s">
        <v>1124</v>
      </c>
      <c r="D13063" s="27" t="s">
        <v>1859</v>
      </c>
      <c r="F13063" s="27" t="s">
        <v>1881</v>
      </c>
      <c r="H13063" s="27" t="s">
        <v>1887</v>
      </c>
      <c r="J13063" s="27" t="s">
        <v>1888</v>
      </c>
      <c r="L13063" s="27" t="s">
        <v>1173</v>
      </c>
      <c r="N13063" s="27" t="s">
        <v>3461</v>
      </c>
      <c r="P13063" s="27" t="s">
        <v>20202</v>
      </c>
      <c r="Q13063" s="26" t="str">
        <f>HYPERLINK("https://ictv.global/taxonomy/taxondetails?taxnode_id=202508744&amp;ictv_id=ICTV202008744","ICTV202008744")</f>
        <v>ICTV202008744</v>
      </c>
      <c r="R13063" t="s">
        <v>581</v>
      </c>
      <c r="S13063" t="s">
        <v>824</v>
      </c>
      <c r="T13063">
        <v>40</v>
      </c>
      <c r="U13063" s="26" t="str">
        <f t="shared" si="482"/>
        <v>2024.001F.Botourmiaviridae_spren.zip</v>
      </c>
    </row>
    <row r="13064" spans="1:21">
      <c r="A13064">
        <v>13063</v>
      </c>
      <c r="B13064" s="27" t="s">
        <v>1124</v>
      </c>
      <c r="D13064" s="27" t="s">
        <v>1859</v>
      </c>
      <c r="F13064" s="27" t="s">
        <v>1881</v>
      </c>
      <c r="H13064" s="27" t="s">
        <v>1887</v>
      </c>
      <c r="J13064" s="27" t="s">
        <v>1888</v>
      </c>
      <c r="L13064" s="27" t="s">
        <v>1173</v>
      </c>
      <c r="N13064" s="27" t="s">
        <v>3461</v>
      </c>
      <c r="P13064" s="27" t="s">
        <v>20203</v>
      </c>
      <c r="Q13064" s="26" t="str">
        <f>HYPERLINK("https://ictv.global/taxonomy/taxondetails?taxnode_id=202508739&amp;ictv_id=ICTV202008739","ICTV202008739")</f>
        <v>ICTV202008739</v>
      </c>
      <c r="R13064" t="s">
        <v>581</v>
      </c>
      <c r="S13064" t="s">
        <v>824</v>
      </c>
      <c r="T13064">
        <v>40</v>
      </c>
      <c r="U13064" s="26" t="str">
        <f t="shared" si="482"/>
        <v>2024.001F.Botourmiaviridae_spren.zip</v>
      </c>
    </row>
    <row r="13065" spans="1:21">
      <c r="A13065">
        <v>13064</v>
      </c>
      <c r="B13065" s="27" t="s">
        <v>1124</v>
      </c>
      <c r="D13065" s="27" t="s">
        <v>1859</v>
      </c>
      <c r="F13065" s="27" t="s">
        <v>1881</v>
      </c>
      <c r="H13065" s="27" t="s">
        <v>1887</v>
      </c>
      <c r="J13065" s="27" t="s">
        <v>1888</v>
      </c>
      <c r="L13065" s="27" t="s">
        <v>1173</v>
      </c>
      <c r="N13065" s="27" t="s">
        <v>3461</v>
      </c>
      <c r="P13065" s="27" t="s">
        <v>9254</v>
      </c>
      <c r="Q13065" s="26" t="str">
        <f>HYPERLINK("https://ictv.global/taxonomy/taxondetails?taxnode_id=202513244&amp;ictv_id=ICTV202113244","ICTV202113244")</f>
        <v>ICTV202113244</v>
      </c>
      <c r="R13065" t="s">
        <v>581</v>
      </c>
      <c r="S13065" t="s">
        <v>823</v>
      </c>
      <c r="T13065">
        <v>37</v>
      </c>
      <c r="U13065" s="26" t="str">
        <f>HYPERLINK("https://ictv.global/ictv/proposals/2021.009F.R.Botourmiaviridae_6newgen_109newsp.zip","2021.009F.R.Botourmiaviridae_6newgen_109newsp.zip")</f>
        <v>2021.009F.R.Botourmiaviridae_6newgen_109newsp.zip</v>
      </c>
    </row>
    <row r="13066" spans="1:21">
      <c r="A13066">
        <v>13065</v>
      </c>
      <c r="B13066" s="27" t="s">
        <v>1124</v>
      </c>
      <c r="D13066" s="27" t="s">
        <v>1859</v>
      </c>
      <c r="F13066" s="27" t="s">
        <v>1881</v>
      </c>
      <c r="H13066" s="27" t="s">
        <v>1887</v>
      </c>
      <c r="J13066" s="27" t="s">
        <v>1888</v>
      </c>
      <c r="L13066" s="27" t="s">
        <v>1173</v>
      </c>
      <c r="N13066" s="27" t="s">
        <v>3461</v>
      </c>
      <c r="P13066" s="27" t="s">
        <v>9255</v>
      </c>
      <c r="Q13066" s="26" t="str">
        <f>HYPERLINK("https://ictv.global/taxonomy/taxondetails?taxnode_id=202513242&amp;ictv_id=ICTV202113242","ICTV202113242")</f>
        <v>ICTV202113242</v>
      </c>
      <c r="R13066" t="s">
        <v>581</v>
      </c>
      <c r="S13066" t="s">
        <v>823</v>
      </c>
      <c r="T13066">
        <v>37</v>
      </c>
      <c r="U13066" s="26" t="str">
        <f>HYPERLINK("https://ictv.global/ictv/proposals/2021.009F.R.Botourmiaviridae_6newgen_109newsp.zip","2021.009F.R.Botourmiaviridae_6newgen_109newsp.zip")</f>
        <v>2021.009F.R.Botourmiaviridae_6newgen_109newsp.zip</v>
      </c>
    </row>
    <row r="13067" spans="1:21">
      <c r="A13067">
        <v>13066</v>
      </c>
      <c r="B13067" s="27" t="s">
        <v>1124</v>
      </c>
      <c r="D13067" s="27" t="s">
        <v>1859</v>
      </c>
      <c r="F13067" s="27" t="s">
        <v>1881</v>
      </c>
      <c r="H13067" s="27" t="s">
        <v>1887</v>
      </c>
      <c r="J13067" s="27" t="s">
        <v>1888</v>
      </c>
      <c r="L13067" s="27" t="s">
        <v>1173</v>
      </c>
      <c r="N13067" s="27" t="s">
        <v>1176</v>
      </c>
      <c r="P13067" s="27" t="s">
        <v>20205</v>
      </c>
      <c r="Q13067" s="26" t="str">
        <f>HYPERLINK("https://ictv.global/taxonomy/taxondetails?taxnode_id=202506285&amp;ictv_id=ICTV201856285","ICTV201856285")</f>
        <v>ICTV201856285</v>
      </c>
      <c r="R13067" t="s">
        <v>581</v>
      </c>
      <c r="S13067" t="s">
        <v>824</v>
      </c>
      <c r="T13067">
        <v>40</v>
      </c>
      <c r="U13067" s="26" t="str">
        <f>HYPERLINK("https://ictv.global/ictv/proposals/2024.001F.Botourmiaviridae_spren.zip","2024.001F.Botourmiaviridae_spren.zip")</f>
        <v>2024.001F.Botourmiaviridae_spren.zip</v>
      </c>
    </row>
    <row r="13068" spans="1:21">
      <c r="A13068">
        <v>13067</v>
      </c>
      <c r="B13068" s="27" t="s">
        <v>1124</v>
      </c>
      <c r="D13068" s="27" t="s">
        <v>1859</v>
      </c>
      <c r="F13068" s="27" t="s">
        <v>1881</v>
      </c>
      <c r="H13068" s="27" t="s">
        <v>1887</v>
      </c>
      <c r="J13068" s="27" t="s">
        <v>1888</v>
      </c>
      <c r="L13068" s="27" t="s">
        <v>1173</v>
      </c>
      <c r="N13068" s="27" t="s">
        <v>1176</v>
      </c>
      <c r="P13068" s="27" t="s">
        <v>9259</v>
      </c>
      <c r="Q13068" s="26" t="str">
        <f>HYPERLINK("https://ictv.global/taxonomy/taxondetails?taxnode_id=202515014&amp;ictv_id=ICTV202215014","ICTV202215014")</f>
        <v>ICTV202215014</v>
      </c>
      <c r="R13068" t="s">
        <v>581</v>
      </c>
      <c r="S13068" t="s">
        <v>823</v>
      </c>
      <c r="T13068">
        <v>38</v>
      </c>
      <c r="U13068" s="26" t="str">
        <f>HYPERLINK("https://ictv.global/ictv/proposals/2022.003F.Botourmiaviridae_15nsp.zip","2022.003F.Botourmiaviridae_15nsp.zip")</f>
        <v>2022.003F.Botourmiaviridae_15nsp.zip</v>
      </c>
    </row>
    <row r="13069" spans="1:21">
      <c r="A13069">
        <v>13068</v>
      </c>
      <c r="B13069" s="27" t="s">
        <v>1124</v>
      </c>
      <c r="D13069" s="27" t="s">
        <v>1859</v>
      </c>
      <c r="F13069" s="27" t="s">
        <v>1881</v>
      </c>
      <c r="H13069" s="27" t="s">
        <v>1887</v>
      </c>
      <c r="J13069" s="27" t="s">
        <v>1888</v>
      </c>
      <c r="L13069" s="27" t="s">
        <v>1173</v>
      </c>
      <c r="N13069" s="27" t="s">
        <v>1176</v>
      </c>
      <c r="P13069" s="27" t="s">
        <v>9260</v>
      </c>
      <c r="Q13069" s="26" t="str">
        <f>HYPERLINK("https://ictv.global/taxonomy/taxondetails?taxnode_id=202515013&amp;ictv_id=ICTV202215013","ICTV202215013")</f>
        <v>ICTV202215013</v>
      </c>
      <c r="R13069" t="s">
        <v>581</v>
      </c>
      <c r="S13069" t="s">
        <v>823</v>
      </c>
      <c r="T13069">
        <v>38</v>
      </c>
      <c r="U13069" s="26" t="str">
        <f>HYPERLINK("https://ictv.global/ictv/proposals/2022.003F.Botourmiaviridae_15nsp.zip","2022.003F.Botourmiaviridae_15nsp.zip")</f>
        <v>2022.003F.Botourmiaviridae_15nsp.zip</v>
      </c>
    </row>
    <row r="13070" spans="1:21">
      <c r="A13070">
        <v>13069</v>
      </c>
      <c r="B13070" s="27" t="s">
        <v>1124</v>
      </c>
      <c r="D13070" s="27" t="s">
        <v>1859</v>
      </c>
      <c r="F13070" s="27" t="s">
        <v>1881</v>
      </c>
      <c r="H13070" s="27" t="s">
        <v>1887</v>
      </c>
      <c r="J13070" s="27" t="s">
        <v>1888</v>
      </c>
      <c r="L13070" s="27" t="s">
        <v>1173</v>
      </c>
      <c r="N13070" s="27" t="s">
        <v>1176</v>
      </c>
      <c r="P13070" s="27" t="s">
        <v>9261</v>
      </c>
      <c r="Q13070" s="26" t="str">
        <f>HYPERLINK("https://ictv.global/taxonomy/taxondetails?taxnode_id=202512578&amp;ictv_id=ICTV202112578","ICTV202112578")</f>
        <v>ICTV202112578</v>
      </c>
      <c r="R13070" t="s">
        <v>581</v>
      </c>
      <c r="S13070" t="s">
        <v>823</v>
      </c>
      <c r="T13070">
        <v>37</v>
      </c>
      <c r="U13070" s="26" t="str">
        <f>HYPERLINK("https://ictv.global/ictv/proposals/2021.009F.R.Botourmiaviridae_6newgen_109newsp.zip","2021.009F.R.Botourmiaviridae_6newgen_109newsp.zip")</f>
        <v>2021.009F.R.Botourmiaviridae_6newgen_109newsp.zip</v>
      </c>
    </row>
    <row r="13071" spans="1:21">
      <c r="A13071">
        <v>13070</v>
      </c>
      <c r="B13071" s="27" t="s">
        <v>1124</v>
      </c>
      <c r="D13071" s="27" t="s">
        <v>1859</v>
      </c>
      <c r="F13071" s="27" t="s">
        <v>1881</v>
      </c>
      <c r="H13071" s="27" t="s">
        <v>1887</v>
      </c>
      <c r="J13071" s="27" t="s">
        <v>1888</v>
      </c>
      <c r="L13071" s="27" t="s">
        <v>1173</v>
      </c>
      <c r="N13071" s="27" t="s">
        <v>1176</v>
      </c>
      <c r="P13071" s="27" t="s">
        <v>20206</v>
      </c>
      <c r="Q13071" s="26" t="str">
        <f>HYPERLINK("https://ictv.global/taxonomy/taxondetails?taxnode_id=202506286&amp;ictv_id=ICTV201856286","ICTV201856286")</f>
        <v>ICTV201856286</v>
      </c>
      <c r="R13071" t="s">
        <v>581</v>
      </c>
      <c r="S13071" t="s">
        <v>824</v>
      </c>
      <c r="T13071">
        <v>40</v>
      </c>
      <c r="U13071" s="26" t="str">
        <f>HYPERLINK("https://ictv.global/ictv/proposals/2024.001F.Botourmiaviridae_spren.zip","2024.001F.Botourmiaviridae_spren.zip")</f>
        <v>2024.001F.Botourmiaviridae_spren.zip</v>
      </c>
    </row>
    <row r="13072" spans="1:21">
      <c r="A13072">
        <v>13071</v>
      </c>
      <c r="B13072" s="27" t="s">
        <v>1124</v>
      </c>
      <c r="D13072" s="27" t="s">
        <v>1859</v>
      </c>
      <c r="F13072" s="27" t="s">
        <v>1881</v>
      </c>
      <c r="H13072" s="27" t="s">
        <v>1887</v>
      </c>
      <c r="J13072" s="27" t="s">
        <v>1888</v>
      </c>
      <c r="L13072" s="27" t="s">
        <v>1173</v>
      </c>
      <c r="N13072" s="27" t="s">
        <v>1176</v>
      </c>
      <c r="P13072" s="27" t="s">
        <v>9262</v>
      </c>
      <c r="Q13072" s="26" t="str">
        <f>HYPERLINK("https://ictv.global/taxonomy/taxondetails?taxnode_id=202512579&amp;ictv_id=ICTV202112579","ICTV202112579")</f>
        <v>ICTV202112579</v>
      </c>
      <c r="R13072" t="s">
        <v>581</v>
      </c>
      <c r="S13072" t="s">
        <v>823</v>
      </c>
      <c r="T13072">
        <v>37</v>
      </c>
      <c r="U13072" s="26" t="str">
        <f>HYPERLINK("https://ictv.global/ictv/proposals/2021.009F.R.Botourmiaviridae_6newgen_109newsp.zip","2021.009F.R.Botourmiaviridae_6newgen_109newsp.zip")</f>
        <v>2021.009F.R.Botourmiaviridae_6newgen_109newsp.zip</v>
      </c>
    </row>
    <row r="13073" spans="1:21">
      <c r="A13073">
        <v>13072</v>
      </c>
      <c r="B13073" s="27" t="s">
        <v>1124</v>
      </c>
      <c r="D13073" s="27" t="s">
        <v>1859</v>
      </c>
      <c r="F13073" s="27" t="s">
        <v>1881</v>
      </c>
      <c r="H13073" s="27" t="s">
        <v>1887</v>
      </c>
      <c r="J13073" s="27" t="s">
        <v>1888</v>
      </c>
      <c r="L13073" s="27" t="s">
        <v>1173</v>
      </c>
      <c r="N13073" s="27" t="s">
        <v>1176</v>
      </c>
      <c r="P13073" s="27" t="s">
        <v>20207</v>
      </c>
      <c r="Q13073" s="26" t="str">
        <f>HYPERLINK("https://ictv.global/taxonomy/taxondetails?taxnode_id=202508732&amp;ictv_id=ICTV202008732","ICTV202008732")</f>
        <v>ICTV202008732</v>
      </c>
      <c r="R13073" t="s">
        <v>581</v>
      </c>
      <c r="S13073" t="s">
        <v>824</v>
      </c>
      <c r="T13073">
        <v>40</v>
      </c>
      <c r="U13073" s="26" t="str">
        <f>HYPERLINK("https://ictv.global/ictv/proposals/2024.001F.Botourmiaviridae_spren.zip","2024.001F.Botourmiaviridae_spren.zip")</f>
        <v>2024.001F.Botourmiaviridae_spren.zip</v>
      </c>
    </row>
    <row r="13074" spans="1:21">
      <c r="A13074">
        <v>13073</v>
      </c>
      <c r="B13074" s="27" t="s">
        <v>1124</v>
      </c>
      <c r="D13074" s="27" t="s">
        <v>1859</v>
      </c>
      <c r="F13074" s="27" t="s">
        <v>1881</v>
      </c>
      <c r="H13074" s="27" t="s">
        <v>1887</v>
      </c>
      <c r="J13074" s="27" t="s">
        <v>1888</v>
      </c>
      <c r="L13074" s="27" t="s">
        <v>1173</v>
      </c>
      <c r="N13074" s="27" t="s">
        <v>1176</v>
      </c>
      <c r="P13074" s="27" t="s">
        <v>9263</v>
      </c>
      <c r="Q13074" s="26" t="str">
        <f>HYPERLINK("https://ictv.global/taxonomy/taxondetails?taxnode_id=202512581&amp;ictv_id=ICTV202112581","ICTV202112581")</f>
        <v>ICTV202112581</v>
      </c>
      <c r="R13074" t="s">
        <v>581</v>
      </c>
      <c r="S13074" t="s">
        <v>823</v>
      </c>
      <c r="T13074">
        <v>37</v>
      </c>
      <c r="U13074" s="26" t="str">
        <f t="shared" ref="U13074:U13085" si="483">HYPERLINK("https://ictv.global/ictv/proposals/2021.009F.R.Botourmiaviridae_6newgen_109newsp.zip","2021.009F.R.Botourmiaviridae_6newgen_109newsp.zip")</f>
        <v>2021.009F.R.Botourmiaviridae_6newgen_109newsp.zip</v>
      </c>
    </row>
    <row r="13075" spans="1:21">
      <c r="A13075">
        <v>13074</v>
      </c>
      <c r="B13075" s="27" t="s">
        <v>1124</v>
      </c>
      <c r="D13075" s="27" t="s">
        <v>1859</v>
      </c>
      <c r="F13075" s="27" t="s">
        <v>1881</v>
      </c>
      <c r="H13075" s="27" t="s">
        <v>1887</v>
      </c>
      <c r="J13075" s="27" t="s">
        <v>1888</v>
      </c>
      <c r="L13075" s="27" t="s">
        <v>1173</v>
      </c>
      <c r="N13075" s="27" t="s">
        <v>1176</v>
      </c>
      <c r="P13075" s="27" t="s">
        <v>9264</v>
      </c>
      <c r="Q13075" s="26" t="str">
        <f>HYPERLINK("https://ictv.global/taxonomy/taxondetails?taxnode_id=202512582&amp;ictv_id=ICTV202112582","ICTV202112582")</f>
        <v>ICTV202112582</v>
      </c>
      <c r="R13075" t="s">
        <v>581</v>
      </c>
      <c r="S13075" t="s">
        <v>823</v>
      </c>
      <c r="T13075">
        <v>37</v>
      </c>
      <c r="U13075" s="26" t="str">
        <f t="shared" si="483"/>
        <v>2021.009F.R.Botourmiaviridae_6newgen_109newsp.zip</v>
      </c>
    </row>
    <row r="13076" spans="1:21">
      <c r="A13076">
        <v>13075</v>
      </c>
      <c r="B13076" s="27" t="s">
        <v>1124</v>
      </c>
      <c r="D13076" s="27" t="s">
        <v>1859</v>
      </c>
      <c r="F13076" s="27" t="s">
        <v>1881</v>
      </c>
      <c r="H13076" s="27" t="s">
        <v>1887</v>
      </c>
      <c r="J13076" s="27" t="s">
        <v>1888</v>
      </c>
      <c r="L13076" s="27" t="s">
        <v>1173</v>
      </c>
      <c r="N13076" s="27" t="s">
        <v>1176</v>
      </c>
      <c r="P13076" s="27" t="s">
        <v>9265</v>
      </c>
      <c r="Q13076" s="26" t="str">
        <f>HYPERLINK("https://ictv.global/taxonomy/taxondetails?taxnode_id=202512584&amp;ictv_id=ICTV202112584","ICTV202112584")</f>
        <v>ICTV202112584</v>
      </c>
      <c r="R13076" t="s">
        <v>581</v>
      </c>
      <c r="S13076" t="s">
        <v>823</v>
      </c>
      <c r="T13076">
        <v>37</v>
      </c>
      <c r="U13076" s="26" t="str">
        <f t="shared" si="483"/>
        <v>2021.009F.R.Botourmiaviridae_6newgen_109newsp.zip</v>
      </c>
    </row>
    <row r="13077" spans="1:21">
      <c r="A13077">
        <v>13076</v>
      </c>
      <c r="B13077" s="27" t="s">
        <v>1124</v>
      </c>
      <c r="D13077" s="27" t="s">
        <v>1859</v>
      </c>
      <c r="F13077" s="27" t="s">
        <v>1881</v>
      </c>
      <c r="H13077" s="27" t="s">
        <v>1887</v>
      </c>
      <c r="J13077" s="27" t="s">
        <v>1888</v>
      </c>
      <c r="L13077" s="27" t="s">
        <v>1173</v>
      </c>
      <c r="N13077" s="27" t="s">
        <v>1176</v>
      </c>
      <c r="P13077" s="27" t="s">
        <v>9266</v>
      </c>
      <c r="Q13077" s="26" t="str">
        <f>HYPERLINK("https://ictv.global/taxonomy/taxondetails?taxnode_id=202512580&amp;ictv_id=ICTV202112580","ICTV202112580")</f>
        <v>ICTV202112580</v>
      </c>
      <c r="R13077" t="s">
        <v>581</v>
      </c>
      <c r="S13077" t="s">
        <v>823</v>
      </c>
      <c r="T13077">
        <v>37</v>
      </c>
      <c r="U13077" s="26" t="str">
        <f t="shared" si="483"/>
        <v>2021.009F.R.Botourmiaviridae_6newgen_109newsp.zip</v>
      </c>
    </row>
    <row r="13078" spans="1:21">
      <c r="A13078">
        <v>13077</v>
      </c>
      <c r="B13078" s="27" t="s">
        <v>1124</v>
      </c>
      <c r="D13078" s="27" t="s">
        <v>1859</v>
      </c>
      <c r="F13078" s="27" t="s">
        <v>1881</v>
      </c>
      <c r="H13078" s="27" t="s">
        <v>1887</v>
      </c>
      <c r="J13078" s="27" t="s">
        <v>1888</v>
      </c>
      <c r="L13078" s="27" t="s">
        <v>1173</v>
      </c>
      <c r="N13078" s="27" t="s">
        <v>1176</v>
      </c>
      <c r="P13078" s="27" t="s">
        <v>9267</v>
      </c>
      <c r="Q13078" s="26" t="str">
        <f>HYPERLINK("https://ictv.global/taxonomy/taxondetails?taxnode_id=202512586&amp;ictv_id=ICTV202112586","ICTV202112586")</f>
        <v>ICTV202112586</v>
      </c>
      <c r="R13078" t="s">
        <v>581</v>
      </c>
      <c r="S13078" t="s">
        <v>823</v>
      </c>
      <c r="T13078">
        <v>37</v>
      </c>
      <c r="U13078" s="26" t="str">
        <f t="shared" si="483"/>
        <v>2021.009F.R.Botourmiaviridae_6newgen_109newsp.zip</v>
      </c>
    </row>
    <row r="13079" spans="1:21">
      <c r="A13079">
        <v>13078</v>
      </c>
      <c r="B13079" s="27" t="s">
        <v>1124</v>
      </c>
      <c r="D13079" s="27" t="s">
        <v>1859</v>
      </c>
      <c r="F13079" s="27" t="s">
        <v>1881</v>
      </c>
      <c r="H13079" s="27" t="s">
        <v>1887</v>
      </c>
      <c r="J13079" s="27" t="s">
        <v>1888</v>
      </c>
      <c r="L13079" s="27" t="s">
        <v>1173</v>
      </c>
      <c r="N13079" s="27" t="s">
        <v>1176</v>
      </c>
      <c r="P13079" s="27" t="s">
        <v>9268</v>
      </c>
      <c r="Q13079" s="26" t="str">
        <f>HYPERLINK("https://ictv.global/taxonomy/taxondetails?taxnode_id=202512587&amp;ictv_id=ICTV202112587","ICTV202112587")</f>
        <v>ICTV202112587</v>
      </c>
      <c r="R13079" t="s">
        <v>581</v>
      </c>
      <c r="S13079" t="s">
        <v>823</v>
      </c>
      <c r="T13079">
        <v>37</v>
      </c>
      <c r="U13079" s="26" t="str">
        <f t="shared" si="483"/>
        <v>2021.009F.R.Botourmiaviridae_6newgen_109newsp.zip</v>
      </c>
    </row>
    <row r="13080" spans="1:21">
      <c r="A13080">
        <v>13079</v>
      </c>
      <c r="B13080" s="27" t="s">
        <v>1124</v>
      </c>
      <c r="D13080" s="27" t="s">
        <v>1859</v>
      </c>
      <c r="F13080" s="27" t="s">
        <v>1881</v>
      </c>
      <c r="H13080" s="27" t="s">
        <v>1887</v>
      </c>
      <c r="J13080" s="27" t="s">
        <v>1888</v>
      </c>
      <c r="L13080" s="27" t="s">
        <v>1173</v>
      </c>
      <c r="N13080" s="27" t="s">
        <v>1176</v>
      </c>
      <c r="P13080" s="27" t="s">
        <v>9269</v>
      </c>
      <c r="Q13080" s="26" t="str">
        <f>HYPERLINK("https://ictv.global/taxonomy/taxondetails?taxnode_id=202512588&amp;ictv_id=ICTV202112588","ICTV202112588")</f>
        <v>ICTV202112588</v>
      </c>
      <c r="R13080" t="s">
        <v>581</v>
      </c>
      <c r="S13080" t="s">
        <v>823</v>
      </c>
      <c r="T13080">
        <v>37</v>
      </c>
      <c r="U13080" s="26" t="str">
        <f t="shared" si="483"/>
        <v>2021.009F.R.Botourmiaviridae_6newgen_109newsp.zip</v>
      </c>
    </row>
    <row r="13081" spans="1:21">
      <c r="A13081">
        <v>13080</v>
      </c>
      <c r="B13081" s="27" t="s">
        <v>1124</v>
      </c>
      <c r="D13081" s="27" t="s">
        <v>1859</v>
      </c>
      <c r="F13081" s="27" t="s">
        <v>1881</v>
      </c>
      <c r="H13081" s="27" t="s">
        <v>1887</v>
      </c>
      <c r="J13081" s="27" t="s">
        <v>1888</v>
      </c>
      <c r="L13081" s="27" t="s">
        <v>1173</v>
      </c>
      <c r="N13081" s="27" t="s">
        <v>1176</v>
      </c>
      <c r="P13081" s="27" t="s">
        <v>9270</v>
      </c>
      <c r="Q13081" s="26" t="str">
        <f>HYPERLINK("https://ictv.global/taxonomy/taxondetails?taxnode_id=202512589&amp;ictv_id=ICTV202112589","ICTV202112589")</f>
        <v>ICTV202112589</v>
      </c>
      <c r="R13081" t="s">
        <v>581</v>
      </c>
      <c r="S13081" t="s">
        <v>823</v>
      </c>
      <c r="T13081">
        <v>37</v>
      </c>
      <c r="U13081" s="26" t="str">
        <f t="shared" si="483"/>
        <v>2021.009F.R.Botourmiaviridae_6newgen_109newsp.zip</v>
      </c>
    </row>
    <row r="13082" spans="1:21">
      <c r="A13082">
        <v>13081</v>
      </c>
      <c r="B13082" s="27" t="s">
        <v>1124</v>
      </c>
      <c r="D13082" s="27" t="s">
        <v>1859</v>
      </c>
      <c r="F13082" s="27" t="s">
        <v>1881</v>
      </c>
      <c r="H13082" s="27" t="s">
        <v>1887</v>
      </c>
      <c r="J13082" s="27" t="s">
        <v>1888</v>
      </c>
      <c r="L13082" s="27" t="s">
        <v>1173</v>
      </c>
      <c r="N13082" s="27" t="s">
        <v>1176</v>
      </c>
      <c r="P13082" s="27" t="s">
        <v>9271</v>
      </c>
      <c r="Q13082" s="26" t="str">
        <f>HYPERLINK("https://ictv.global/taxonomy/taxondetails?taxnode_id=202512590&amp;ictv_id=ICTV202112590","ICTV202112590")</f>
        <v>ICTV202112590</v>
      </c>
      <c r="R13082" t="s">
        <v>581</v>
      </c>
      <c r="S13082" t="s">
        <v>823</v>
      </c>
      <c r="T13082">
        <v>37</v>
      </c>
      <c r="U13082" s="26" t="str">
        <f t="shared" si="483"/>
        <v>2021.009F.R.Botourmiaviridae_6newgen_109newsp.zip</v>
      </c>
    </row>
    <row r="13083" spans="1:21">
      <c r="A13083">
        <v>13082</v>
      </c>
      <c r="B13083" s="27" t="s">
        <v>1124</v>
      </c>
      <c r="D13083" s="27" t="s">
        <v>1859</v>
      </c>
      <c r="F13083" s="27" t="s">
        <v>1881</v>
      </c>
      <c r="H13083" s="27" t="s">
        <v>1887</v>
      </c>
      <c r="J13083" s="27" t="s">
        <v>1888</v>
      </c>
      <c r="L13083" s="27" t="s">
        <v>1173</v>
      </c>
      <c r="N13083" s="27" t="s">
        <v>1176</v>
      </c>
      <c r="P13083" s="27" t="s">
        <v>9272</v>
      </c>
      <c r="Q13083" s="26" t="str">
        <f>HYPERLINK("https://ictv.global/taxonomy/taxondetails?taxnode_id=202512596&amp;ictv_id=ICTV202112596","ICTV202112596")</f>
        <v>ICTV202112596</v>
      </c>
      <c r="R13083" t="s">
        <v>581</v>
      </c>
      <c r="S13083" t="s">
        <v>823</v>
      </c>
      <c r="T13083">
        <v>37</v>
      </c>
      <c r="U13083" s="26" t="str">
        <f t="shared" si="483"/>
        <v>2021.009F.R.Botourmiaviridae_6newgen_109newsp.zip</v>
      </c>
    </row>
    <row r="13084" spans="1:21">
      <c r="A13084">
        <v>13083</v>
      </c>
      <c r="B13084" s="27" t="s">
        <v>1124</v>
      </c>
      <c r="D13084" s="27" t="s">
        <v>1859</v>
      </c>
      <c r="F13084" s="27" t="s">
        <v>1881</v>
      </c>
      <c r="H13084" s="27" t="s">
        <v>1887</v>
      </c>
      <c r="J13084" s="27" t="s">
        <v>1888</v>
      </c>
      <c r="L13084" s="27" t="s">
        <v>1173</v>
      </c>
      <c r="N13084" s="27" t="s">
        <v>1176</v>
      </c>
      <c r="P13084" s="27" t="s">
        <v>9273</v>
      </c>
      <c r="Q13084" s="26" t="str">
        <f>HYPERLINK("https://ictv.global/taxonomy/taxondetails?taxnode_id=202512592&amp;ictv_id=ICTV202112592","ICTV202112592")</f>
        <v>ICTV202112592</v>
      </c>
      <c r="R13084" t="s">
        <v>581</v>
      </c>
      <c r="S13084" t="s">
        <v>823</v>
      </c>
      <c r="T13084">
        <v>37</v>
      </c>
      <c r="U13084" s="26" t="str">
        <f t="shared" si="483"/>
        <v>2021.009F.R.Botourmiaviridae_6newgen_109newsp.zip</v>
      </c>
    </row>
    <row r="13085" spans="1:21">
      <c r="A13085">
        <v>13084</v>
      </c>
      <c r="B13085" s="27" t="s">
        <v>1124</v>
      </c>
      <c r="D13085" s="27" t="s">
        <v>1859</v>
      </c>
      <c r="F13085" s="27" t="s">
        <v>1881</v>
      </c>
      <c r="H13085" s="27" t="s">
        <v>1887</v>
      </c>
      <c r="J13085" s="27" t="s">
        <v>1888</v>
      </c>
      <c r="L13085" s="27" t="s">
        <v>1173</v>
      </c>
      <c r="N13085" s="27" t="s">
        <v>1176</v>
      </c>
      <c r="P13085" s="27" t="s">
        <v>9274</v>
      </c>
      <c r="Q13085" s="26" t="str">
        <f>HYPERLINK("https://ictv.global/taxonomy/taxondetails?taxnode_id=202512593&amp;ictv_id=ICTV202112593","ICTV202112593")</f>
        <v>ICTV202112593</v>
      </c>
      <c r="R13085" t="s">
        <v>581</v>
      </c>
      <c r="S13085" t="s">
        <v>823</v>
      </c>
      <c r="T13085">
        <v>37</v>
      </c>
      <c r="U13085" s="26" t="str">
        <f t="shared" si="483"/>
        <v>2021.009F.R.Botourmiaviridae_6newgen_109newsp.zip</v>
      </c>
    </row>
    <row r="13086" spans="1:21">
      <c r="A13086">
        <v>13085</v>
      </c>
      <c r="B13086" s="27" t="s">
        <v>1124</v>
      </c>
      <c r="D13086" s="27" t="s">
        <v>1859</v>
      </c>
      <c r="F13086" s="27" t="s">
        <v>1881</v>
      </c>
      <c r="H13086" s="27" t="s">
        <v>1887</v>
      </c>
      <c r="J13086" s="27" t="s">
        <v>1888</v>
      </c>
      <c r="L13086" s="27" t="s">
        <v>1173</v>
      </c>
      <c r="N13086" s="27" t="s">
        <v>1176</v>
      </c>
      <c r="P13086" s="27" t="s">
        <v>20208</v>
      </c>
      <c r="Q13086" s="26" t="str">
        <f>HYPERLINK("https://ictv.global/taxonomy/taxondetails?taxnode_id=202508733&amp;ictv_id=ICTV202008733","ICTV202008733")</f>
        <v>ICTV202008733</v>
      </c>
      <c r="R13086" t="s">
        <v>581</v>
      </c>
      <c r="S13086" t="s">
        <v>824</v>
      </c>
      <c r="T13086">
        <v>40</v>
      </c>
      <c r="U13086" s="26" t="str">
        <f>HYPERLINK("https://ictv.global/ictv/proposals/2024.001F.Botourmiaviridae_spren.zip","2024.001F.Botourmiaviridae_spren.zip")</f>
        <v>2024.001F.Botourmiaviridae_spren.zip</v>
      </c>
    </row>
    <row r="13087" spans="1:21">
      <c r="A13087">
        <v>13086</v>
      </c>
      <c r="B13087" s="27" t="s">
        <v>1124</v>
      </c>
      <c r="D13087" s="27" t="s">
        <v>1859</v>
      </c>
      <c r="F13087" s="27" t="s">
        <v>1881</v>
      </c>
      <c r="H13087" s="27" t="s">
        <v>1887</v>
      </c>
      <c r="J13087" s="27" t="s">
        <v>1888</v>
      </c>
      <c r="L13087" s="27" t="s">
        <v>1173</v>
      </c>
      <c r="N13087" s="27" t="s">
        <v>1176</v>
      </c>
      <c r="P13087" s="27" t="s">
        <v>9275</v>
      </c>
      <c r="Q13087" s="26" t="str">
        <f>HYPERLINK("https://ictv.global/taxonomy/taxondetails?taxnode_id=202512594&amp;ictv_id=ICTV202112594","ICTV202112594")</f>
        <v>ICTV202112594</v>
      </c>
      <c r="R13087" t="s">
        <v>581</v>
      </c>
      <c r="S13087" t="s">
        <v>823</v>
      </c>
      <c r="T13087">
        <v>37</v>
      </c>
      <c r="U13087" s="26" t="str">
        <f>HYPERLINK("https://ictv.global/ictv/proposals/2021.009F.R.Botourmiaviridae_6newgen_109newsp.zip","2021.009F.R.Botourmiaviridae_6newgen_109newsp.zip")</f>
        <v>2021.009F.R.Botourmiaviridae_6newgen_109newsp.zip</v>
      </c>
    </row>
    <row r="13088" spans="1:21">
      <c r="A13088">
        <v>13087</v>
      </c>
      <c r="B13088" s="27" t="s">
        <v>1124</v>
      </c>
      <c r="D13088" s="27" t="s">
        <v>1859</v>
      </c>
      <c r="F13088" s="27" t="s">
        <v>1881</v>
      </c>
      <c r="H13088" s="27" t="s">
        <v>1887</v>
      </c>
      <c r="J13088" s="27" t="s">
        <v>1888</v>
      </c>
      <c r="L13088" s="27" t="s">
        <v>1173</v>
      </c>
      <c r="N13088" s="27" t="s">
        <v>1176</v>
      </c>
      <c r="P13088" s="27" t="s">
        <v>20209</v>
      </c>
      <c r="Q13088" s="26" t="str">
        <f>HYPERLINK("https://ictv.global/taxonomy/taxondetails?taxnode_id=202506284&amp;ictv_id=ICTV201856284","ICTV201856284")</f>
        <v>ICTV201856284</v>
      </c>
      <c r="R13088" t="s">
        <v>581</v>
      </c>
      <c r="S13088" t="s">
        <v>824</v>
      </c>
      <c r="T13088">
        <v>40</v>
      </c>
      <c r="U13088" s="26" t="str">
        <f>HYPERLINK("https://ictv.global/ictv/proposals/2024.001F.Botourmiaviridae_spren.zip","2024.001F.Botourmiaviridae_spren.zip")</f>
        <v>2024.001F.Botourmiaviridae_spren.zip</v>
      </c>
    </row>
    <row r="13089" spans="1:21">
      <c r="A13089">
        <v>13088</v>
      </c>
      <c r="B13089" s="27" t="s">
        <v>1124</v>
      </c>
      <c r="D13089" s="27" t="s">
        <v>1859</v>
      </c>
      <c r="F13089" s="27" t="s">
        <v>1881</v>
      </c>
      <c r="H13089" s="27" t="s">
        <v>1887</v>
      </c>
      <c r="J13089" s="27" t="s">
        <v>1888</v>
      </c>
      <c r="L13089" s="27" t="s">
        <v>1173</v>
      </c>
      <c r="N13089" s="27" t="s">
        <v>1176</v>
      </c>
      <c r="P13089" s="27" t="s">
        <v>9276</v>
      </c>
      <c r="Q13089" s="26" t="str">
        <f>HYPERLINK("https://ictv.global/taxonomy/taxondetails?taxnode_id=202512595&amp;ictv_id=ICTV202112595","ICTV202112595")</f>
        <v>ICTV202112595</v>
      </c>
      <c r="R13089" t="s">
        <v>581</v>
      </c>
      <c r="S13089" t="s">
        <v>823</v>
      </c>
      <c r="T13089">
        <v>37</v>
      </c>
      <c r="U13089" s="26" t="str">
        <f>HYPERLINK("https://ictv.global/ictv/proposals/2021.009F.R.Botourmiaviridae_6newgen_109newsp.zip","2021.009F.R.Botourmiaviridae_6newgen_109newsp.zip")</f>
        <v>2021.009F.R.Botourmiaviridae_6newgen_109newsp.zip</v>
      </c>
    </row>
    <row r="13090" spans="1:21">
      <c r="A13090">
        <v>13089</v>
      </c>
      <c r="B13090" s="27" t="s">
        <v>1124</v>
      </c>
      <c r="D13090" s="27" t="s">
        <v>1859</v>
      </c>
      <c r="F13090" s="27" t="s">
        <v>1881</v>
      </c>
      <c r="H13090" s="27" t="s">
        <v>1887</v>
      </c>
      <c r="J13090" s="27" t="s">
        <v>1888</v>
      </c>
      <c r="L13090" s="27" t="s">
        <v>1173</v>
      </c>
      <c r="N13090" s="27" t="s">
        <v>1176</v>
      </c>
      <c r="P13090" s="27" t="s">
        <v>9277</v>
      </c>
      <c r="Q13090" s="26" t="str">
        <f>HYPERLINK("https://ictv.global/taxonomy/taxondetails?taxnode_id=202512585&amp;ictv_id=ICTV202112585","ICTV202112585")</f>
        <v>ICTV202112585</v>
      </c>
      <c r="R13090" t="s">
        <v>581</v>
      </c>
      <c r="S13090" t="s">
        <v>823</v>
      </c>
      <c r="T13090">
        <v>37</v>
      </c>
      <c r="U13090" s="26" t="str">
        <f>HYPERLINK("https://ictv.global/ictv/proposals/2021.009F.R.Botourmiaviridae_6newgen_109newsp.zip","2021.009F.R.Botourmiaviridae_6newgen_109newsp.zip")</f>
        <v>2021.009F.R.Botourmiaviridae_6newgen_109newsp.zip</v>
      </c>
    </row>
    <row r="13091" spans="1:21">
      <c r="A13091">
        <v>13090</v>
      </c>
      <c r="B13091" s="27" t="s">
        <v>1124</v>
      </c>
      <c r="D13091" s="27" t="s">
        <v>1859</v>
      </c>
      <c r="F13091" s="27" t="s">
        <v>1881</v>
      </c>
      <c r="H13091" s="27" t="s">
        <v>1887</v>
      </c>
      <c r="J13091" s="27" t="s">
        <v>1888</v>
      </c>
      <c r="L13091" s="27" t="s">
        <v>1173</v>
      </c>
      <c r="N13091" s="27" t="s">
        <v>1176</v>
      </c>
      <c r="P13091" s="27" t="s">
        <v>9278</v>
      </c>
      <c r="Q13091" s="26" t="str">
        <f>HYPERLINK("https://ictv.global/taxonomy/taxondetails?taxnode_id=202512591&amp;ictv_id=ICTV202112591","ICTV202112591")</f>
        <v>ICTV202112591</v>
      </c>
      <c r="R13091" t="s">
        <v>581</v>
      </c>
      <c r="S13091" t="s">
        <v>823</v>
      </c>
      <c r="T13091">
        <v>37</v>
      </c>
      <c r="U13091" s="26" t="str">
        <f>HYPERLINK("https://ictv.global/ictv/proposals/2021.009F.R.Botourmiaviridae_6newgen_109newsp.zip","2021.009F.R.Botourmiaviridae_6newgen_109newsp.zip")</f>
        <v>2021.009F.R.Botourmiaviridae_6newgen_109newsp.zip</v>
      </c>
    </row>
    <row r="13092" spans="1:21">
      <c r="A13092">
        <v>13091</v>
      </c>
      <c r="B13092" s="27" t="s">
        <v>1124</v>
      </c>
      <c r="D13092" s="27" t="s">
        <v>1859</v>
      </c>
      <c r="F13092" s="27" t="s">
        <v>1881</v>
      </c>
      <c r="H13092" s="27" t="s">
        <v>1887</v>
      </c>
      <c r="J13092" s="27" t="s">
        <v>1888</v>
      </c>
      <c r="L13092" s="27" t="s">
        <v>1173</v>
      </c>
      <c r="N13092" s="27" t="s">
        <v>1176</v>
      </c>
      <c r="P13092" s="27" t="s">
        <v>9279</v>
      </c>
      <c r="Q13092" s="26" t="str">
        <f>HYPERLINK("https://ictv.global/taxonomy/taxondetails?taxnode_id=202512583&amp;ictv_id=ICTV202112583","ICTV202112583")</f>
        <v>ICTV202112583</v>
      </c>
      <c r="R13092" t="s">
        <v>581</v>
      </c>
      <c r="S13092" t="s">
        <v>823</v>
      </c>
      <c r="T13092">
        <v>37</v>
      </c>
      <c r="U13092" s="26" t="str">
        <f>HYPERLINK("https://ictv.global/ictv/proposals/2021.009F.R.Botourmiaviridae_6newgen_109newsp.zip","2021.009F.R.Botourmiaviridae_6newgen_109newsp.zip")</f>
        <v>2021.009F.R.Botourmiaviridae_6newgen_109newsp.zip</v>
      </c>
    </row>
    <row r="13093" spans="1:21">
      <c r="A13093">
        <v>13092</v>
      </c>
      <c r="B13093" s="27" t="s">
        <v>1124</v>
      </c>
      <c r="D13093" s="27" t="s">
        <v>1859</v>
      </c>
      <c r="F13093" s="27" t="s">
        <v>1881</v>
      </c>
      <c r="H13093" s="27" t="s">
        <v>1887</v>
      </c>
      <c r="J13093" s="27" t="s">
        <v>1888</v>
      </c>
      <c r="L13093" s="27" t="s">
        <v>20845</v>
      </c>
      <c r="N13093" s="27" t="s">
        <v>21795</v>
      </c>
      <c r="P13093" s="27" t="s">
        <v>21796</v>
      </c>
      <c r="Q13093" s="26" t="str">
        <f>HYPERLINK("https://ictv.global/taxonomy/taxondetails?taxnode_id=202522630&amp;ictv_id=ICTV202522630","ICTV202522630")</f>
        <v>ICTV202522630</v>
      </c>
      <c r="R13093" t="s">
        <v>581</v>
      </c>
      <c r="S13093" t="s">
        <v>823</v>
      </c>
      <c r="T13093">
        <v>41</v>
      </c>
      <c r="U13093" s="26" t="str">
        <f t="shared" ref="U13093:U13125" si="484">HYPERLINK("https://ictv.global/ictv/proposals/2025.013F.Botourmiaviridae_reorgan.zip","2025.013F.Botourmiaviridae_reorgan.zip")</f>
        <v>2025.013F.Botourmiaviridae_reorgan.zip</v>
      </c>
    </row>
    <row r="13094" spans="1:21">
      <c r="A13094">
        <v>13093</v>
      </c>
      <c r="B13094" s="27" t="s">
        <v>1124</v>
      </c>
      <c r="D13094" s="27" t="s">
        <v>1859</v>
      </c>
      <c r="F13094" s="27" t="s">
        <v>1881</v>
      </c>
      <c r="H13094" s="27" t="s">
        <v>1887</v>
      </c>
      <c r="J13094" s="27" t="s">
        <v>1888</v>
      </c>
      <c r="L13094" s="27" t="s">
        <v>20845</v>
      </c>
      <c r="N13094" s="27" t="s">
        <v>21795</v>
      </c>
      <c r="P13094" s="27" t="s">
        <v>21797</v>
      </c>
      <c r="Q13094" s="26" t="str">
        <f>HYPERLINK("https://ictv.global/taxonomy/taxondetails?taxnode_id=202522631&amp;ictv_id=ICTV202522631","ICTV202522631")</f>
        <v>ICTV202522631</v>
      </c>
      <c r="R13094" t="s">
        <v>581</v>
      </c>
      <c r="S13094" t="s">
        <v>823</v>
      </c>
      <c r="T13094">
        <v>41</v>
      </c>
      <c r="U13094" s="26" t="str">
        <f t="shared" si="484"/>
        <v>2025.013F.Botourmiaviridae_reorgan.zip</v>
      </c>
    </row>
    <row r="13095" spans="1:21">
      <c r="A13095">
        <v>13094</v>
      </c>
      <c r="B13095" s="27" t="s">
        <v>1124</v>
      </c>
      <c r="D13095" s="27" t="s">
        <v>1859</v>
      </c>
      <c r="F13095" s="27" t="s">
        <v>1881</v>
      </c>
      <c r="H13095" s="27" t="s">
        <v>1887</v>
      </c>
      <c r="J13095" s="27" t="s">
        <v>1888</v>
      </c>
      <c r="L13095" s="27" t="s">
        <v>20845</v>
      </c>
      <c r="N13095" s="27" t="s">
        <v>21795</v>
      </c>
      <c r="P13095" s="27" t="s">
        <v>21798</v>
      </c>
      <c r="Q13095" s="26" t="str">
        <f>HYPERLINK("https://ictv.global/taxonomy/taxondetails?taxnode_id=202522632&amp;ictv_id=ICTV202522632","ICTV202522632")</f>
        <v>ICTV202522632</v>
      </c>
      <c r="R13095" t="s">
        <v>581</v>
      </c>
      <c r="S13095" t="s">
        <v>823</v>
      </c>
      <c r="T13095">
        <v>41</v>
      </c>
      <c r="U13095" s="26" t="str">
        <f t="shared" si="484"/>
        <v>2025.013F.Botourmiaviridae_reorgan.zip</v>
      </c>
    </row>
    <row r="13096" spans="1:21">
      <c r="A13096">
        <v>13095</v>
      </c>
      <c r="B13096" s="27" t="s">
        <v>1124</v>
      </c>
      <c r="D13096" s="27" t="s">
        <v>1859</v>
      </c>
      <c r="F13096" s="27" t="s">
        <v>1881</v>
      </c>
      <c r="H13096" s="27" t="s">
        <v>1887</v>
      </c>
      <c r="J13096" s="27" t="s">
        <v>1888</v>
      </c>
      <c r="L13096" s="27" t="s">
        <v>20845</v>
      </c>
      <c r="N13096" s="27" t="s">
        <v>21795</v>
      </c>
      <c r="P13096" s="27" t="s">
        <v>21799</v>
      </c>
      <c r="Q13096" s="26" t="str">
        <f>HYPERLINK("https://ictv.global/taxonomy/taxondetails?taxnode_id=202522633&amp;ictv_id=ICTV202522633","ICTV202522633")</f>
        <v>ICTV202522633</v>
      </c>
      <c r="R13096" t="s">
        <v>581</v>
      </c>
      <c r="S13096" t="s">
        <v>823</v>
      </c>
      <c r="T13096">
        <v>41</v>
      </c>
      <c r="U13096" s="26" t="str">
        <f t="shared" si="484"/>
        <v>2025.013F.Botourmiaviridae_reorgan.zip</v>
      </c>
    </row>
    <row r="13097" spans="1:21">
      <c r="A13097">
        <v>13096</v>
      </c>
      <c r="B13097" s="27" t="s">
        <v>1124</v>
      </c>
      <c r="D13097" s="27" t="s">
        <v>1859</v>
      </c>
      <c r="F13097" s="27" t="s">
        <v>1881</v>
      </c>
      <c r="H13097" s="27" t="s">
        <v>1887</v>
      </c>
      <c r="J13097" s="27" t="s">
        <v>1888</v>
      </c>
      <c r="L13097" s="27" t="s">
        <v>20845</v>
      </c>
      <c r="N13097" s="27" t="s">
        <v>21800</v>
      </c>
      <c r="P13097" s="27" t="s">
        <v>21803</v>
      </c>
      <c r="Q13097" s="26" t="str">
        <f>HYPERLINK("https://ictv.global/taxonomy/taxondetails?taxnode_id=202522636&amp;ictv_id=ICTV202522636","ICTV202522636")</f>
        <v>ICTV202522636</v>
      </c>
      <c r="R13097" t="s">
        <v>581</v>
      </c>
      <c r="S13097" t="s">
        <v>823</v>
      </c>
      <c r="T13097">
        <v>41</v>
      </c>
      <c r="U13097" s="26" t="str">
        <f t="shared" si="484"/>
        <v>2025.013F.Botourmiaviridae_reorgan.zip</v>
      </c>
    </row>
    <row r="13098" spans="1:21">
      <c r="A13098">
        <v>13097</v>
      </c>
      <c r="B13098" s="27" t="s">
        <v>1124</v>
      </c>
      <c r="D13098" s="27" t="s">
        <v>1859</v>
      </c>
      <c r="F13098" s="27" t="s">
        <v>1881</v>
      </c>
      <c r="H13098" s="27" t="s">
        <v>1887</v>
      </c>
      <c r="J13098" s="27" t="s">
        <v>1888</v>
      </c>
      <c r="L13098" s="27" t="s">
        <v>20845</v>
      </c>
      <c r="N13098" s="27" t="s">
        <v>21800</v>
      </c>
      <c r="P13098" s="27" t="s">
        <v>21801</v>
      </c>
      <c r="Q13098" s="26" t="str">
        <f>HYPERLINK("https://ictv.global/taxonomy/taxondetails?taxnode_id=202522634&amp;ictv_id=ICTV202522634","ICTV202522634")</f>
        <v>ICTV202522634</v>
      </c>
      <c r="R13098" t="s">
        <v>581</v>
      </c>
      <c r="S13098" t="s">
        <v>823</v>
      </c>
      <c r="T13098">
        <v>41</v>
      </c>
      <c r="U13098" s="26" t="str">
        <f t="shared" si="484"/>
        <v>2025.013F.Botourmiaviridae_reorgan.zip</v>
      </c>
    </row>
    <row r="13099" spans="1:21">
      <c r="A13099">
        <v>13098</v>
      </c>
      <c r="B13099" s="27" t="s">
        <v>1124</v>
      </c>
      <c r="D13099" s="27" t="s">
        <v>1859</v>
      </c>
      <c r="F13099" s="27" t="s">
        <v>1881</v>
      </c>
      <c r="H13099" s="27" t="s">
        <v>1887</v>
      </c>
      <c r="J13099" s="27" t="s">
        <v>1888</v>
      </c>
      <c r="L13099" s="27" t="s">
        <v>20845</v>
      </c>
      <c r="N13099" s="27" t="s">
        <v>21800</v>
      </c>
      <c r="P13099" s="27" t="s">
        <v>21802</v>
      </c>
      <c r="Q13099" s="26" t="str">
        <f>HYPERLINK("https://ictv.global/taxonomy/taxondetails?taxnode_id=202522635&amp;ictv_id=ICTV202522635","ICTV202522635")</f>
        <v>ICTV202522635</v>
      </c>
      <c r="R13099" t="s">
        <v>581</v>
      </c>
      <c r="S13099" t="s">
        <v>823</v>
      </c>
      <c r="T13099">
        <v>41</v>
      </c>
      <c r="U13099" s="26" t="str">
        <f t="shared" si="484"/>
        <v>2025.013F.Botourmiaviridae_reorgan.zip</v>
      </c>
    </row>
    <row r="13100" spans="1:21">
      <c r="A13100">
        <v>13099</v>
      </c>
      <c r="B13100" s="27" t="s">
        <v>1124</v>
      </c>
      <c r="D13100" s="27" t="s">
        <v>1859</v>
      </c>
      <c r="F13100" s="27" t="s">
        <v>1881</v>
      </c>
      <c r="H13100" s="27" t="s">
        <v>1887</v>
      </c>
      <c r="J13100" s="27" t="s">
        <v>1888</v>
      </c>
      <c r="L13100" s="27" t="s">
        <v>20845</v>
      </c>
      <c r="N13100" s="27" t="s">
        <v>21806</v>
      </c>
      <c r="P13100" s="27" t="s">
        <v>21807</v>
      </c>
      <c r="Q13100" s="26" t="str">
        <f>HYPERLINK("https://ictv.global/taxonomy/taxondetails?taxnode_id=202522638&amp;ictv_id=ICTV202522638","ICTV202522638")</f>
        <v>ICTV202522638</v>
      </c>
      <c r="R13100" t="s">
        <v>581</v>
      </c>
      <c r="S13100" t="s">
        <v>823</v>
      </c>
      <c r="T13100">
        <v>41</v>
      </c>
      <c r="U13100" s="26" t="str">
        <f t="shared" si="484"/>
        <v>2025.013F.Botourmiaviridae_reorgan.zip</v>
      </c>
    </row>
    <row r="13101" spans="1:21">
      <c r="A13101">
        <v>13100</v>
      </c>
      <c r="B13101" s="27" t="s">
        <v>1124</v>
      </c>
      <c r="D13101" s="27" t="s">
        <v>1859</v>
      </c>
      <c r="F13101" s="27" t="s">
        <v>1881</v>
      </c>
      <c r="H13101" s="27" t="s">
        <v>1887</v>
      </c>
      <c r="J13101" s="27" t="s">
        <v>1888</v>
      </c>
      <c r="L13101" s="27" t="s">
        <v>20845</v>
      </c>
      <c r="N13101" s="27" t="s">
        <v>21808</v>
      </c>
      <c r="P13101" s="27" t="s">
        <v>21811</v>
      </c>
      <c r="Q13101" s="26" t="str">
        <f>HYPERLINK("https://ictv.global/taxonomy/taxondetails?taxnode_id=202522641&amp;ictv_id=ICTV202522641","ICTV202522641")</f>
        <v>ICTV202522641</v>
      </c>
      <c r="R13101" t="s">
        <v>581</v>
      </c>
      <c r="S13101" t="s">
        <v>823</v>
      </c>
      <c r="T13101">
        <v>41</v>
      </c>
      <c r="U13101" s="26" t="str">
        <f t="shared" si="484"/>
        <v>2025.013F.Botourmiaviridae_reorgan.zip</v>
      </c>
    </row>
    <row r="13102" spans="1:21">
      <c r="A13102">
        <v>13101</v>
      </c>
      <c r="B13102" s="27" t="s">
        <v>1124</v>
      </c>
      <c r="D13102" s="27" t="s">
        <v>1859</v>
      </c>
      <c r="F13102" s="27" t="s">
        <v>1881</v>
      </c>
      <c r="H13102" s="27" t="s">
        <v>1887</v>
      </c>
      <c r="J13102" s="27" t="s">
        <v>1888</v>
      </c>
      <c r="L13102" s="27" t="s">
        <v>20845</v>
      </c>
      <c r="N13102" s="27" t="s">
        <v>21808</v>
      </c>
      <c r="P13102" s="27" t="s">
        <v>21810</v>
      </c>
      <c r="Q13102" s="26" t="str">
        <f>HYPERLINK("https://ictv.global/taxonomy/taxondetails?taxnode_id=202522640&amp;ictv_id=ICTV202522640","ICTV202522640")</f>
        <v>ICTV202522640</v>
      </c>
      <c r="R13102" t="s">
        <v>581</v>
      </c>
      <c r="S13102" t="s">
        <v>823</v>
      </c>
      <c r="T13102">
        <v>41</v>
      </c>
      <c r="U13102" s="26" t="str">
        <f t="shared" si="484"/>
        <v>2025.013F.Botourmiaviridae_reorgan.zip</v>
      </c>
    </row>
    <row r="13103" spans="1:21">
      <c r="A13103">
        <v>13102</v>
      </c>
      <c r="B13103" s="27" t="s">
        <v>1124</v>
      </c>
      <c r="D13103" s="27" t="s">
        <v>1859</v>
      </c>
      <c r="F13103" s="27" t="s">
        <v>1881</v>
      </c>
      <c r="H13103" s="27" t="s">
        <v>1887</v>
      </c>
      <c r="J13103" s="27" t="s">
        <v>1888</v>
      </c>
      <c r="L13103" s="27" t="s">
        <v>20845</v>
      </c>
      <c r="N13103" s="27" t="s">
        <v>21808</v>
      </c>
      <c r="P13103" s="27" t="s">
        <v>21809</v>
      </c>
      <c r="Q13103" s="26" t="str">
        <f>HYPERLINK("https://ictv.global/taxonomy/taxondetails?taxnode_id=202522639&amp;ictv_id=ICTV202522639","ICTV202522639")</f>
        <v>ICTV202522639</v>
      </c>
      <c r="R13103" t="s">
        <v>581</v>
      </c>
      <c r="S13103" t="s">
        <v>823</v>
      </c>
      <c r="T13103">
        <v>41</v>
      </c>
      <c r="U13103" s="26" t="str">
        <f t="shared" si="484"/>
        <v>2025.013F.Botourmiaviridae_reorgan.zip</v>
      </c>
    </row>
    <row r="13104" spans="1:21">
      <c r="A13104">
        <v>13103</v>
      </c>
      <c r="B13104" s="27" t="s">
        <v>1124</v>
      </c>
      <c r="D13104" s="27" t="s">
        <v>1859</v>
      </c>
      <c r="F13104" s="27" t="s">
        <v>1881</v>
      </c>
      <c r="H13104" s="27" t="s">
        <v>1887</v>
      </c>
      <c r="J13104" s="27" t="s">
        <v>1888</v>
      </c>
      <c r="L13104" s="27" t="s">
        <v>20845</v>
      </c>
      <c r="N13104" s="27" t="s">
        <v>21815</v>
      </c>
      <c r="P13104" s="27" t="s">
        <v>21817</v>
      </c>
      <c r="Q13104" s="26" t="str">
        <f>HYPERLINK("https://ictv.global/taxonomy/taxondetails?taxnode_id=202522645&amp;ictv_id=ICTV202522645","ICTV202522645")</f>
        <v>ICTV202522645</v>
      </c>
      <c r="R13104" t="s">
        <v>581</v>
      </c>
      <c r="S13104" t="s">
        <v>823</v>
      </c>
      <c r="T13104">
        <v>41</v>
      </c>
      <c r="U13104" s="26" t="str">
        <f t="shared" si="484"/>
        <v>2025.013F.Botourmiaviridae_reorgan.zip</v>
      </c>
    </row>
    <row r="13105" spans="1:21">
      <c r="A13105">
        <v>13104</v>
      </c>
      <c r="B13105" s="27" t="s">
        <v>1124</v>
      </c>
      <c r="D13105" s="27" t="s">
        <v>1859</v>
      </c>
      <c r="F13105" s="27" t="s">
        <v>1881</v>
      </c>
      <c r="H13105" s="27" t="s">
        <v>1887</v>
      </c>
      <c r="J13105" s="27" t="s">
        <v>1888</v>
      </c>
      <c r="L13105" s="27" t="s">
        <v>20845</v>
      </c>
      <c r="N13105" s="27" t="s">
        <v>21815</v>
      </c>
      <c r="P13105" s="27" t="s">
        <v>21816</v>
      </c>
      <c r="Q13105" s="26" t="str">
        <f>HYPERLINK("https://ictv.global/taxonomy/taxondetails?taxnode_id=202522644&amp;ictv_id=ICTV202522644","ICTV202522644")</f>
        <v>ICTV202522644</v>
      </c>
      <c r="R13105" t="s">
        <v>581</v>
      </c>
      <c r="S13105" t="s">
        <v>823</v>
      </c>
      <c r="T13105">
        <v>41</v>
      </c>
      <c r="U13105" s="26" t="str">
        <f t="shared" si="484"/>
        <v>2025.013F.Botourmiaviridae_reorgan.zip</v>
      </c>
    </row>
    <row r="13106" spans="1:21">
      <c r="A13106">
        <v>13105</v>
      </c>
      <c r="B13106" s="27" t="s">
        <v>1124</v>
      </c>
      <c r="D13106" s="27" t="s">
        <v>1859</v>
      </c>
      <c r="F13106" s="27" t="s">
        <v>1881</v>
      </c>
      <c r="H13106" s="27" t="s">
        <v>1887</v>
      </c>
      <c r="J13106" s="27" t="s">
        <v>1888</v>
      </c>
      <c r="L13106" s="27" t="s">
        <v>20845</v>
      </c>
      <c r="N13106" s="27" t="s">
        <v>21804</v>
      </c>
      <c r="P13106" s="27" t="s">
        <v>21805</v>
      </c>
      <c r="Q13106" s="26" t="str">
        <f>HYPERLINK("https://ictv.global/taxonomy/taxondetails?taxnode_id=202522637&amp;ictv_id=ICTV202522637","ICTV202522637")</f>
        <v>ICTV202522637</v>
      </c>
      <c r="R13106" t="s">
        <v>581</v>
      </c>
      <c r="S13106" t="s">
        <v>823</v>
      </c>
      <c r="T13106">
        <v>41</v>
      </c>
      <c r="U13106" s="26" t="str">
        <f t="shared" si="484"/>
        <v>2025.013F.Botourmiaviridae_reorgan.zip</v>
      </c>
    </row>
    <row r="13107" spans="1:21">
      <c r="A13107">
        <v>13106</v>
      </c>
      <c r="B13107" s="27" t="s">
        <v>1124</v>
      </c>
      <c r="D13107" s="27" t="s">
        <v>1859</v>
      </c>
      <c r="F13107" s="27" t="s">
        <v>1881</v>
      </c>
      <c r="H13107" s="27" t="s">
        <v>1887</v>
      </c>
      <c r="J13107" s="27" t="s">
        <v>1888</v>
      </c>
      <c r="L13107" s="27" t="s">
        <v>20845</v>
      </c>
      <c r="N13107" s="27" t="s">
        <v>21823</v>
      </c>
      <c r="P13107" s="27" t="s">
        <v>21824</v>
      </c>
      <c r="Q13107" s="26" t="str">
        <f>HYPERLINK("https://ictv.global/taxonomy/taxondetails?taxnode_id=202522650&amp;ictv_id=ICTV202522650","ICTV202522650")</f>
        <v>ICTV202522650</v>
      </c>
      <c r="R13107" t="s">
        <v>581</v>
      </c>
      <c r="S13107" t="s">
        <v>823</v>
      </c>
      <c r="T13107">
        <v>41</v>
      </c>
      <c r="U13107" s="26" t="str">
        <f t="shared" si="484"/>
        <v>2025.013F.Botourmiaviridae_reorgan.zip</v>
      </c>
    </row>
    <row r="13108" spans="1:21">
      <c r="A13108">
        <v>13107</v>
      </c>
      <c r="B13108" s="27" t="s">
        <v>1124</v>
      </c>
      <c r="D13108" s="27" t="s">
        <v>1859</v>
      </c>
      <c r="F13108" s="27" t="s">
        <v>1881</v>
      </c>
      <c r="H13108" s="27" t="s">
        <v>1887</v>
      </c>
      <c r="J13108" s="27" t="s">
        <v>1888</v>
      </c>
      <c r="L13108" s="27" t="s">
        <v>20845</v>
      </c>
      <c r="N13108" s="27" t="s">
        <v>21823</v>
      </c>
      <c r="P13108" s="27" t="s">
        <v>21826</v>
      </c>
      <c r="Q13108" s="26" t="str">
        <f>HYPERLINK("https://ictv.global/taxonomy/taxondetails?taxnode_id=202522652&amp;ictv_id=ICTV202522652","ICTV202522652")</f>
        <v>ICTV202522652</v>
      </c>
      <c r="R13108" t="s">
        <v>581</v>
      </c>
      <c r="S13108" t="s">
        <v>823</v>
      </c>
      <c r="T13108">
        <v>41</v>
      </c>
      <c r="U13108" s="26" t="str">
        <f t="shared" si="484"/>
        <v>2025.013F.Botourmiaviridae_reorgan.zip</v>
      </c>
    </row>
    <row r="13109" spans="1:21">
      <c r="A13109">
        <v>13108</v>
      </c>
      <c r="B13109" s="27" t="s">
        <v>1124</v>
      </c>
      <c r="D13109" s="27" t="s">
        <v>1859</v>
      </c>
      <c r="F13109" s="27" t="s">
        <v>1881</v>
      </c>
      <c r="H13109" s="27" t="s">
        <v>1887</v>
      </c>
      <c r="J13109" s="27" t="s">
        <v>1888</v>
      </c>
      <c r="L13109" s="27" t="s">
        <v>20845</v>
      </c>
      <c r="N13109" s="27" t="s">
        <v>21823</v>
      </c>
      <c r="P13109" s="27" t="s">
        <v>21825</v>
      </c>
      <c r="Q13109" s="26" t="str">
        <f>HYPERLINK("https://ictv.global/taxonomy/taxondetails?taxnode_id=202522651&amp;ictv_id=ICTV202522651","ICTV202522651")</f>
        <v>ICTV202522651</v>
      </c>
      <c r="R13109" t="s">
        <v>581</v>
      </c>
      <c r="S13109" t="s">
        <v>823</v>
      </c>
      <c r="T13109">
        <v>41</v>
      </c>
      <c r="U13109" s="26" t="str">
        <f t="shared" si="484"/>
        <v>2025.013F.Botourmiaviridae_reorgan.zip</v>
      </c>
    </row>
    <row r="13110" spans="1:21">
      <c r="A13110">
        <v>13109</v>
      </c>
      <c r="B13110" s="27" t="s">
        <v>1124</v>
      </c>
      <c r="D13110" s="27" t="s">
        <v>1859</v>
      </c>
      <c r="F13110" s="27" t="s">
        <v>1881</v>
      </c>
      <c r="H13110" s="27" t="s">
        <v>1887</v>
      </c>
      <c r="J13110" s="27" t="s">
        <v>1888</v>
      </c>
      <c r="L13110" s="27" t="s">
        <v>20845</v>
      </c>
      <c r="N13110" s="27" t="s">
        <v>21827</v>
      </c>
      <c r="P13110" s="27" t="s">
        <v>21828</v>
      </c>
      <c r="Q13110" s="26" t="str">
        <f>HYPERLINK("https://ictv.global/taxonomy/taxondetails?taxnode_id=202522653&amp;ictv_id=ICTV202522653","ICTV202522653")</f>
        <v>ICTV202522653</v>
      </c>
      <c r="R13110" t="s">
        <v>581</v>
      </c>
      <c r="S13110" t="s">
        <v>823</v>
      </c>
      <c r="T13110">
        <v>41</v>
      </c>
      <c r="U13110" s="26" t="str">
        <f t="shared" si="484"/>
        <v>2025.013F.Botourmiaviridae_reorgan.zip</v>
      </c>
    </row>
    <row r="13111" spans="1:21">
      <c r="A13111">
        <v>13110</v>
      </c>
      <c r="B13111" s="27" t="s">
        <v>1124</v>
      </c>
      <c r="D13111" s="27" t="s">
        <v>1859</v>
      </c>
      <c r="F13111" s="27" t="s">
        <v>1881</v>
      </c>
      <c r="H13111" s="27" t="s">
        <v>1887</v>
      </c>
      <c r="J13111" s="27" t="s">
        <v>1888</v>
      </c>
      <c r="L13111" s="27" t="s">
        <v>20845</v>
      </c>
      <c r="N13111" s="27" t="s">
        <v>118</v>
      </c>
      <c r="P13111" s="27" t="s">
        <v>20190</v>
      </c>
      <c r="Q13111" s="26" t="str">
        <f>HYPERLINK("https://ictv.global/taxonomy/taxondetails?taxnode_id=202505358&amp;ictv_id=ICTV19982659","ICTV19982659")</f>
        <v>ICTV19982659</v>
      </c>
      <c r="R13111" t="s">
        <v>581</v>
      </c>
      <c r="S13111" t="s">
        <v>22763</v>
      </c>
      <c r="T13111">
        <v>41</v>
      </c>
      <c r="U13111" s="26" t="str">
        <f t="shared" si="484"/>
        <v>2025.013F.Botourmiaviridae_reorgan.zip</v>
      </c>
    </row>
    <row r="13112" spans="1:21">
      <c r="A13112">
        <v>13111</v>
      </c>
      <c r="B13112" s="27" t="s">
        <v>1124</v>
      </c>
      <c r="D13112" s="27" t="s">
        <v>1859</v>
      </c>
      <c r="F13112" s="27" t="s">
        <v>1881</v>
      </c>
      <c r="H13112" s="27" t="s">
        <v>1887</v>
      </c>
      <c r="J13112" s="27" t="s">
        <v>1888</v>
      </c>
      <c r="L13112" s="27" t="s">
        <v>20845</v>
      </c>
      <c r="N13112" s="27" t="s">
        <v>118</v>
      </c>
      <c r="P13112" s="27" t="s">
        <v>20191</v>
      </c>
      <c r="Q13112" s="26" t="str">
        <f>HYPERLINK("https://ictv.global/taxonomy/taxondetails?taxnode_id=202505356&amp;ictv_id=ICTV19991821","ICTV19991821")</f>
        <v>ICTV19991821</v>
      </c>
      <c r="R13112" t="s">
        <v>581</v>
      </c>
      <c r="S13112" t="s">
        <v>22763</v>
      </c>
      <c r="T13112">
        <v>41</v>
      </c>
      <c r="U13112" s="26" t="str">
        <f t="shared" si="484"/>
        <v>2025.013F.Botourmiaviridae_reorgan.zip</v>
      </c>
    </row>
    <row r="13113" spans="1:21">
      <c r="A13113">
        <v>13112</v>
      </c>
      <c r="B13113" s="27" t="s">
        <v>1124</v>
      </c>
      <c r="D13113" s="27" t="s">
        <v>1859</v>
      </c>
      <c r="F13113" s="27" t="s">
        <v>1881</v>
      </c>
      <c r="H13113" s="27" t="s">
        <v>1887</v>
      </c>
      <c r="J13113" s="27" t="s">
        <v>1888</v>
      </c>
      <c r="L13113" s="27" t="s">
        <v>20845</v>
      </c>
      <c r="N13113" s="27" t="s">
        <v>118</v>
      </c>
      <c r="P13113" s="27" t="s">
        <v>20192</v>
      </c>
      <c r="Q13113" s="26" t="str">
        <f>HYPERLINK("https://ictv.global/taxonomy/taxondetails?taxnode_id=202505357&amp;ictv_id=ICTV19991822","ICTV19991822")</f>
        <v>ICTV19991822</v>
      </c>
      <c r="R13113" t="s">
        <v>581</v>
      </c>
      <c r="S13113" t="s">
        <v>22763</v>
      </c>
      <c r="T13113">
        <v>41</v>
      </c>
      <c r="U13113" s="26" t="str">
        <f t="shared" si="484"/>
        <v>2025.013F.Botourmiaviridae_reorgan.zip</v>
      </c>
    </row>
    <row r="13114" spans="1:21">
      <c r="A13114">
        <v>13113</v>
      </c>
      <c r="B13114" s="27" t="s">
        <v>1124</v>
      </c>
      <c r="D13114" s="27" t="s">
        <v>1859</v>
      </c>
      <c r="F13114" s="27" t="s">
        <v>1881</v>
      </c>
      <c r="H13114" s="27" t="s">
        <v>1887</v>
      </c>
      <c r="J13114" s="27" t="s">
        <v>1888</v>
      </c>
      <c r="L13114" s="27" t="s">
        <v>20845</v>
      </c>
      <c r="N13114" s="27" t="s">
        <v>21818</v>
      </c>
      <c r="P13114" s="27" t="s">
        <v>21822</v>
      </c>
      <c r="Q13114" s="26" t="str">
        <f>HYPERLINK("https://ictv.global/taxonomy/taxondetails?taxnode_id=202522649&amp;ictv_id=ICTV202522649","ICTV202522649")</f>
        <v>ICTV202522649</v>
      </c>
      <c r="R13114" t="s">
        <v>581</v>
      </c>
      <c r="S13114" t="s">
        <v>823</v>
      </c>
      <c r="T13114">
        <v>41</v>
      </c>
      <c r="U13114" s="26" t="str">
        <f t="shared" si="484"/>
        <v>2025.013F.Botourmiaviridae_reorgan.zip</v>
      </c>
    </row>
    <row r="13115" spans="1:21">
      <c r="A13115">
        <v>13114</v>
      </c>
      <c r="B13115" s="27" t="s">
        <v>1124</v>
      </c>
      <c r="D13115" s="27" t="s">
        <v>1859</v>
      </c>
      <c r="F13115" s="27" t="s">
        <v>1881</v>
      </c>
      <c r="H13115" s="27" t="s">
        <v>1887</v>
      </c>
      <c r="J13115" s="27" t="s">
        <v>1888</v>
      </c>
      <c r="L13115" s="27" t="s">
        <v>20845</v>
      </c>
      <c r="N13115" s="27" t="s">
        <v>21818</v>
      </c>
      <c r="P13115" s="27" t="s">
        <v>21820</v>
      </c>
      <c r="Q13115" s="26" t="str">
        <f>HYPERLINK("https://ictv.global/taxonomy/taxondetails?taxnode_id=202522647&amp;ictv_id=ICTV202522647","ICTV202522647")</f>
        <v>ICTV202522647</v>
      </c>
      <c r="R13115" t="s">
        <v>581</v>
      </c>
      <c r="S13115" t="s">
        <v>823</v>
      </c>
      <c r="T13115">
        <v>41</v>
      </c>
      <c r="U13115" s="26" t="str">
        <f t="shared" si="484"/>
        <v>2025.013F.Botourmiaviridae_reorgan.zip</v>
      </c>
    </row>
    <row r="13116" spans="1:21">
      <c r="A13116">
        <v>13115</v>
      </c>
      <c r="B13116" s="27" t="s">
        <v>1124</v>
      </c>
      <c r="D13116" s="27" t="s">
        <v>1859</v>
      </c>
      <c r="F13116" s="27" t="s">
        <v>1881</v>
      </c>
      <c r="H13116" s="27" t="s">
        <v>1887</v>
      </c>
      <c r="J13116" s="27" t="s">
        <v>1888</v>
      </c>
      <c r="L13116" s="27" t="s">
        <v>20845</v>
      </c>
      <c r="N13116" s="27" t="s">
        <v>21818</v>
      </c>
      <c r="P13116" s="27" t="s">
        <v>21819</v>
      </c>
      <c r="Q13116" s="26" t="str">
        <f>HYPERLINK("https://ictv.global/taxonomy/taxondetails?taxnode_id=202522646&amp;ictv_id=ICTV202522646","ICTV202522646")</f>
        <v>ICTV202522646</v>
      </c>
      <c r="R13116" t="s">
        <v>581</v>
      </c>
      <c r="S13116" t="s">
        <v>823</v>
      </c>
      <c r="T13116">
        <v>41</v>
      </c>
      <c r="U13116" s="26" t="str">
        <f t="shared" si="484"/>
        <v>2025.013F.Botourmiaviridae_reorgan.zip</v>
      </c>
    </row>
    <row r="13117" spans="1:21">
      <c r="A13117">
        <v>13116</v>
      </c>
      <c r="B13117" s="27" t="s">
        <v>1124</v>
      </c>
      <c r="D13117" s="27" t="s">
        <v>1859</v>
      </c>
      <c r="F13117" s="27" t="s">
        <v>1881</v>
      </c>
      <c r="H13117" s="27" t="s">
        <v>1887</v>
      </c>
      <c r="J13117" s="27" t="s">
        <v>1888</v>
      </c>
      <c r="L13117" s="27" t="s">
        <v>20845</v>
      </c>
      <c r="N13117" s="27" t="s">
        <v>21818</v>
      </c>
      <c r="P13117" s="27" t="s">
        <v>21821</v>
      </c>
      <c r="Q13117" s="26" t="str">
        <f>HYPERLINK("https://ictv.global/taxonomy/taxondetails?taxnode_id=202522648&amp;ictv_id=ICTV202522648","ICTV202522648")</f>
        <v>ICTV202522648</v>
      </c>
      <c r="R13117" t="s">
        <v>581</v>
      </c>
      <c r="S13117" t="s">
        <v>823</v>
      </c>
      <c r="T13117">
        <v>41</v>
      </c>
      <c r="U13117" s="26" t="str">
        <f t="shared" si="484"/>
        <v>2025.013F.Botourmiaviridae_reorgan.zip</v>
      </c>
    </row>
    <row r="13118" spans="1:21">
      <c r="A13118">
        <v>13117</v>
      </c>
      <c r="B13118" s="27" t="s">
        <v>1124</v>
      </c>
      <c r="D13118" s="27" t="s">
        <v>1859</v>
      </c>
      <c r="F13118" s="27" t="s">
        <v>1881</v>
      </c>
      <c r="H13118" s="27" t="s">
        <v>1887</v>
      </c>
      <c r="J13118" s="27" t="s">
        <v>1888</v>
      </c>
      <c r="L13118" s="27" t="s">
        <v>20845</v>
      </c>
      <c r="N13118" s="27" t="s">
        <v>21812</v>
      </c>
      <c r="P13118" s="27" t="s">
        <v>21813</v>
      </c>
      <c r="Q13118" s="26" t="str">
        <f>HYPERLINK("https://ictv.global/taxonomy/taxondetails?taxnode_id=202522642&amp;ictv_id=ICTV202522642","ICTV202522642")</f>
        <v>ICTV202522642</v>
      </c>
      <c r="R13118" t="s">
        <v>581</v>
      </c>
      <c r="S13118" t="s">
        <v>823</v>
      </c>
      <c r="T13118">
        <v>41</v>
      </c>
      <c r="U13118" s="26" t="str">
        <f t="shared" si="484"/>
        <v>2025.013F.Botourmiaviridae_reorgan.zip</v>
      </c>
    </row>
    <row r="13119" spans="1:21">
      <c r="A13119">
        <v>13118</v>
      </c>
      <c r="B13119" s="27" t="s">
        <v>1124</v>
      </c>
      <c r="D13119" s="27" t="s">
        <v>1859</v>
      </c>
      <c r="F13119" s="27" t="s">
        <v>1881</v>
      </c>
      <c r="H13119" s="27" t="s">
        <v>1887</v>
      </c>
      <c r="J13119" s="27" t="s">
        <v>1888</v>
      </c>
      <c r="L13119" s="27" t="s">
        <v>20845</v>
      </c>
      <c r="N13119" s="27" t="s">
        <v>21812</v>
      </c>
      <c r="P13119" s="27" t="s">
        <v>21814</v>
      </c>
      <c r="Q13119" s="26" t="str">
        <f>HYPERLINK("https://ictv.global/taxonomy/taxondetails?taxnode_id=202522643&amp;ictv_id=ICTV202522643","ICTV202522643")</f>
        <v>ICTV202522643</v>
      </c>
      <c r="R13119" t="s">
        <v>581</v>
      </c>
      <c r="S13119" t="s">
        <v>823</v>
      </c>
      <c r="T13119">
        <v>41</v>
      </c>
      <c r="U13119" s="26" t="str">
        <f t="shared" si="484"/>
        <v>2025.013F.Botourmiaviridae_reorgan.zip</v>
      </c>
    </row>
    <row r="13120" spans="1:21">
      <c r="A13120">
        <v>13119</v>
      </c>
      <c r="B13120" s="27" t="s">
        <v>1124</v>
      </c>
      <c r="D13120" s="27" t="s">
        <v>1859</v>
      </c>
      <c r="F13120" s="27" t="s">
        <v>1881</v>
      </c>
      <c r="H13120" s="27" t="s">
        <v>1887</v>
      </c>
      <c r="J13120" s="27" t="s">
        <v>1888</v>
      </c>
      <c r="L13120" s="27" t="s">
        <v>20896</v>
      </c>
      <c r="N13120" s="27" t="s">
        <v>9159</v>
      </c>
      <c r="P13120" s="27" t="s">
        <v>9160</v>
      </c>
      <c r="Q13120" s="26" t="str">
        <f>HYPERLINK("https://ictv.global/taxonomy/taxondetails?taxnode_id=202513250&amp;ictv_id=ICTV202113250","ICTV202113250")</f>
        <v>ICTV202113250</v>
      </c>
      <c r="R13120" t="s">
        <v>581</v>
      </c>
      <c r="S13120" t="s">
        <v>22763</v>
      </c>
      <c r="T13120">
        <v>41</v>
      </c>
      <c r="U13120" s="26" t="str">
        <f t="shared" si="484"/>
        <v>2025.013F.Botourmiaviridae_reorgan.zip</v>
      </c>
    </row>
    <row r="13121" spans="1:21">
      <c r="A13121">
        <v>13120</v>
      </c>
      <c r="B13121" s="27" t="s">
        <v>1124</v>
      </c>
      <c r="D13121" s="27" t="s">
        <v>1859</v>
      </c>
      <c r="F13121" s="27" t="s">
        <v>1881</v>
      </c>
      <c r="H13121" s="27" t="s">
        <v>1887</v>
      </c>
      <c r="J13121" s="27" t="s">
        <v>1888</v>
      </c>
      <c r="L13121" s="27" t="s">
        <v>20896</v>
      </c>
      <c r="N13121" s="27" t="s">
        <v>3462</v>
      </c>
      <c r="P13121" s="27" t="s">
        <v>16756</v>
      </c>
      <c r="Q13121" s="26" t="str">
        <f>HYPERLINK("https://ictv.global/taxonomy/taxondetails?taxnode_id=202515019&amp;ictv_id=ICTV202215019","ICTV202215019")</f>
        <v>ICTV202215019</v>
      </c>
      <c r="R13121" t="s">
        <v>581</v>
      </c>
      <c r="S13121" t="s">
        <v>22763</v>
      </c>
      <c r="T13121">
        <v>41</v>
      </c>
      <c r="U13121" s="26" t="str">
        <f t="shared" si="484"/>
        <v>2025.013F.Botourmiaviridae_reorgan.zip</v>
      </c>
    </row>
    <row r="13122" spans="1:21">
      <c r="A13122">
        <v>13121</v>
      </c>
      <c r="B13122" s="27" t="s">
        <v>1124</v>
      </c>
      <c r="D13122" s="27" t="s">
        <v>1859</v>
      </c>
      <c r="F13122" s="27" t="s">
        <v>1881</v>
      </c>
      <c r="H13122" s="27" t="s">
        <v>1887</v>
      </c>
      <c r="J13122" s="27" t="s">
        <v>1888</v>
      </c>
      <c r="L13122" s="27" t="s">
        <v>20896</v>
      </c>
      <c r="N13122" s="27" t="s">
        <v>3462</v>
      </c>
      <c r="P13122" s="27" t="s">
        <v>9256</v>
      </c>
      <c r="Q13122" s="26" t="str">
        <f>HYPERLINK("https://ictv.global/taxonomy/taxondetails?taxnode_id=202513246&amp;ictv_id=ICTV202113246","ICTV202113246")</f>
        <v>ICTV202113246</v>
      </c>
      <c r="R13122" t="s">
        <v>581</v>
      </c>
      <c r="S13122" t="s">
        <v>22763</v>
      </c>
      <c r="T13122">
        <v>41</v>
      </c>
      <c r="U13122" s="26" t="str">
        <f t="shared" si="484"/>
        <v>2025.013F.Botourmiaviridae_reorgan.zip</v>
      </c>
    </row>
    <row r="13123" spans="1:21">
      <c r="A13123">
        <v>13122</v>
      </c>
      <c r="B13123" s="27" t="s">
        <v>1124</v>
      </c>
      <c r="D13123" s="27" t="s">
        <v>1859</v>
      </c>
      <c r="F13123" s="27" t="s">
        <v>1881</v>
      </c>
      <c r="H13123" s="27" t="s">
        <v>1887</v>
      </c>
      <c r="J13123" s="27" t="s">
        <v>1888</v>
      </c>
      <c r="L13123" s="27" t="s">
        <v>20896</v>
      </c>
      <c r="N13123" s="27" t="s">
        <v>3462</v>
      </c>
      <c r="P13123" s="27" t="s">
        <v>9257</v>
      </c>
      <c r="Q13123" s="26" t="str">
        <f>HYPERLINK("https://ictv.global/taxonomy/taxondetails?taxnode_id=202513247&amp;ictv_id=ICTV202113247","ICTV202113247")</f>
        <v>ICTV202113247</v>
      </c>
      <c r="R13123" t="s">
        <v>581</v>
      </c>
      <c r="S13123" t="s">
        <v>22763</v>
      </c>
      <c r="T13123">
        <v>41</v>
      </c>
      <c r="U13123" s="26" t="str">
        <f t="shared" si="484"/>
        <v>2025.013F.Botourmiaviridae_reorgan.zip</v>
      </c>
    </row>
    <row r="13124" spans="1:21">
      <c r="A13124">
        <v>13123</v>
      </c>
      <c r="B13124" s="27" t="s">
        <v>1124</v>
      </c>
      <c r="D13124" s="27" t="s">
        <v>1859</v>
      </c>
      <c r="F13124" s="27" t="s">
        <v>1881</v>
      </c>
      <c r="H13124" s="27" t="s">
        <v>1887</v>
      </c>
      <c r="J13124" s="27" t="s">
        <v>1888</v>
      </c>
      <c r="L13124" s="27" t="s">
        <v>20896</v>
      </c>
      <c r="N13124" s="27" t="s">
        <v>3462</v>
      </c>
      <c r="P13124" s="27" t="s">
        <v>9258</v>
      </c>
      <c r="Q13124" s="26" t="str">
        <f>HYPERLINK("https://ictv.global/taxonomy/taxondetails?taxnode_id=202513248&amp;ictv_id=ICTV202113248","ICTV202113248")</f>
        <v>ICTV202113248</v>
      </c>
      <c r="R13124" t="s">
        <v>581</v>
      </c>
      <c r="S13124" t="s">
        <v>22763</v>
      </c>
      <c r="T13124">
        <v>41</v>
      </c>
      <c r="U13124" s="26" t="str">
        <f t="shared" si="484"/>
        <v>2025.013F.Botourmiaviridae_reorgan.zip</v>
      </c>
    </row>
    <row r="13125" spans="1:21">
      <c r="A13125">
        <v>13124</v>
      </c>
      <c r="B13125" s="27" t="s">
        <v>1124</v>
      </c>
      <c r="D13125" s="27" t="s">
        <v>1859</v>
      </c>
      <c r="F13125" s="27" t="s">
        <v>1881</v>
      </c>
      <c r="H13125" s="27" t="s">
        <v>1887</v>
      </c>
      <c r="J13125" s="27" t="s">
        <v>1888</v>
      </c>
      <c r="L13125" s="27" t="s">
        <v>20896</v>
      </c>
      <c r="N13125" s="27" t="s">
        <v>3462</v>
      </c>
      <c r="P13125" s="27" t="s">
        <v>20204</v>
      </c>
      <c r="Q13125" s="26" t="str">
        <f>HYPERLINK("https://ictv.global/taxonomy/taxondetails?taxnode_id=202508735&amp;ictv_id=ICTV202008735","ICTV202008735")</f>
        <v>ICTV202008735</v>
      </c>
      <c r="R13125" t="s">
        <v>581</v>
      </c>
      <c r="S13125" t="s">
        <v>22763</v>
      </c>
      <c r="T13125">
        <v>41</v>
      </c>
      <c r="U13125" s="26" t="str">
        <f t="shared" si="484"/>
        <v>2025.013F.Botourmiaviridae_reorgan.zip</v>
      </c>
    </row>
    <row r="13126" spans="1:21">
      <c r="A13126">
        <v>13125</v>
      </c>
      <c r="B13126" s="27" t="s">
        <v>1124</v>
      </c>
      <c r="D13126" s="27" t="s">
        <v>1859</v>
      </c>
      <c r="F13126" s="27" t="s">
        <v>938</v>
      </c>
      <c r="G13126" s="27" t="s">
        <v>939</v>
      </c>
      <c r="H13126" s="27" t="s">
        <v>940</v>
      </c>
      <c r="J13126" s="27" t="s">
        <v>941</v>
      </c>
      <c r="L13126" s="27" t="s">
        <v>942</v>
      </c>
      <c r="N13126" s="27" t="s">
        <v>943</v>
      </c>
      <c r="P13126" s="27" t="s">
        <v>9280</v>
      </c>
      <c r="Q13126" s="26" t="str">
        <f>HYPERLINK("https://ictv.global/taxonomy/taxondetails?taxnode_id=202506030&amp;ictv_id=ICTV20186030","ICTV20186030")</f>
        <v>ICTV20186030</v>
      </c>
      <c r="R13126" t="s">
        <v>580</v>
      </c>
      <c r="S13126" t="s">
        <v>824</v>
      </c>
      <c r="T13126">
        <v>37</v>
      </c>
      <c r="U13126" s="26" t="str">
        <f t="shared" ref="U13126:U13133" si="485">HYPERLINK("https://ictv.global/ictv/proposals/2021.018M.R.Negarnaviricota_sprename.zip","2021.018M.R.Negarnaviricota_sprename.zip")</f>
        <v>2021.018M.R.Negarnaviricota_sprename.zip</v>
      </c>
    </row>
    <row r="13127" spans="1:21">
      <c r="A13127">
        <v>13126</v>
      </c>
      <c r="B13127" s="27" t="s">
        <v>1124</v>
      </c>
      <c r="D13127" s="27" t="s">
        <v>1859</v>
      </c>
      <c r="F13127" s="27" t="s">
        <v>938</v>
      </c>
      <c r="G13127" s="27" t="s">
        <v>939</v>
      </c>
      <c r="H13127" s="27" t="s">
        <v>940</v>
      </c>
      <c r="J13127" s="27" t="s">
        <v>941</v>
      </c>
      <c r="L13127" s="27" t="s">
        <v>942</v>
      </c>
      <c r="N13127" s="27" t="s">
        <v>943</v>
      </c>
      <c r="P13127" s="27" t="s">
        <v>9281</v>
      </c>
      <c r="Q13127" s="26" t="str">
        <f>HYPERLINK("https://ictv.global/taxonomy/taxondetails?taxnode_id=202506031&amp;ictv_id=ICTV20186031","ICTV20186031")</f>
        <v>ICTV20186031</v>
      </c>
      <c r="R13127" t="s">
        <v>580</v>
      </c>
      <c r="S13127" t="s">
        <v>824</v>
      </c>
      <c r="T13127">
        <v>37</v>
      </c>
      <c r="U13127" s="26" t="str">
        <f t="shared" si="485"/>
        <v>2021.018M.R.Negarnaviricota_sprename.zip</v>
      </c>
    </row>
    <row r="13128" spans="1:21">
      <c r="A13128">
        <v>13127</v>
      </c>
      <c r="B13128" s="27" t="s">
        <v>1124</v>
      </c>
      <c r="D13128" s="27" t="s">
        <v>1859</v>
      </c>
      <c r="F13128" s="27" t="s">
        <v>938</v>
      </c>
      <c r="G13128" s="27" t="s">
        <v>939</v>
      </c>
      <c r="H13128" s="27" t="s">
        <v>940</v>
      </c>
      <c r="J13128" s="27" t="s">
        <v>941</v>
      </c>
      <c r="L13128" s="27" t="s">
        <v>942</v>
      </c>
      <c r="N13128" s="27" t="s">
        <v>943</v>
      </c>
      <c r="P13128" s="27" t="s">
        <v>9282</v>
      </c>
      <c r="Q13128" s="26" t="str">
        <f>HYPERLINK("https://ictv.global/taxonomy/taxondetails?taxnode_id=202506032&amp;ictv_id=ICTV20186032","ICTV20186032")</f>
        <v>ICTV20186032</v>
      </c>
      <c r="R13128" t="s">
        <v>580</v>
      </c>
      <c r="S13128" t="s">
        <v>824</v>
      </c>
      <c r="T13128">
        <v>37</v>
      </c>
      <c r="U13128" s="26" t="str">
        <f t="shared" si="485"/>
        <v>2021.018M.R.Negarnaviricota_sprename.zip</v>
      </c>
    </row>
    <row r="13129" spans="1:21">
      <c r="A13129">
        <v>13128</v>
      </c>
      <c r="B13129" s="27" t="s">
        <v>1124</v>
      </c>
      <c r="D13129" s="27" t="s">
        <v>1859</v>
      </c>
      <c r="F13129" s="27" t="s">
        <v>938</v>
      </c>
      <c r="G13129" s="27" t="s">
        <v>939</v>
      </c>
      <c r="H13129" s="27" t="s">
        <v>940</v>
      </c>
      <c r="J13129" s="27" t="s">
        <v>941</v>
      </c>
      <c r="L13129" s="27" t="s">
        <v>942</v>
      </c>
      <c r="N13129" s="27" t="s">
        <v>943</v>
      </c>
      <c r="P13129" s="27" t="s">
        <v>9283</v>
      </c>
      <c r="Q13129" s="26" t="str">
        <f>HYPERLINK("https://ictv.global/taxonomy/taxondetails?taxnode_id=202506033&amp;ictv_id=ICTV20186033","ICTV20186033")</f>
        <v>ICTV20186033</v>
      </c>
      <c r="R13129" t="s">
        <v>580</v>
      </c>
      <c r="S13129" t="s">
        <v>824</v>
      </c>
      <c r="T13129">
        <v>37</v>
      </c>
      <c r="U13129" s="26" t="str">
        <f t="shared" si="485"/>
        <v>2021.018M.R.Negarnaviricota_sprename.zip</v>
      </c>
    </row>
    <row r="13130" spans="1:21">
      <c r="A13130">
        <v>13129</v>
      </c>
      <c r="B13130" s="27" t="s">
        <v>1124</v>
      </c>
      <c r="D13130" s="27" t="s">
        <v>1859</v>
      </c>
      <c r="F13130" s="27" t="s">
        <v>938</v>
      </c>
      <c r="G13130" s="27" t="s">
        <v>939</v>
      </c>
      <c r="H13130" s="27" t="s">
        <v>940</v>
      </c>
      <c r="J13130" s="27" t="s">
        <v>941</v>
      </c>
      <c r="L13130" s="27" t="s">
        <v>942</v>
      </c>
      <c r="N13130" s="27" t="s">
        <v>943</v>
      </c>
      <c r="P13130" s="27" t="s">
        <v>9284</v>
      </c>
      <c r="Q13130" s="26" t="str">
        <f>HYPERLINK("https://ictv.global/taxonomy/taxondetails?taxnode_id=202506034&amp;ictv_id=ICTV20186034","ICTV20186034")</f>
        <v>ICTV20186034</v>
      </c>
      <c r="R13130" t="s">
        <v>580</v>
      </c>
      <c r="S13130" t="s">
        <v>824</v>
      </c>
      <c r="T13130">
        <v>37</v>
      </c>
      <c r="U13130" s="26" t="str">
        <f t="shared" si="485"/>
        <v>2021.018M.R.Negarnaviricota_sprename.zip</v>
      </c>
    </row>
    <row r="13131" spans="1:21">
      <c r="A13131">
        <v>13130</v>
      </c>
      <c r="B13131" s="27" t="s">
        <v>1124</v>
      </c>
      <c r="D13131" s="27" t="s">
        <v>1859</v>
      </c>
      <c r="F13131" s="27" t="s">
        <v>938</v>
      </c>
      <c r="G13131" s="27" t="s">
        <v>939</v>
      </c>
      <c r="H13131" s="27" t="s">
        <v>940</v>
      </c>
      <c r="J13131" s="27" t="s">
        <v>941</v>
      </c>
      <c r="L13131" s="27" t="s">
        <v>942</v>
      </c>
      <c r="N13131" s="27" t="s">
        <v>943</v>
      </c>
      <c r="P13131" s="27" t="s">
        <v>9285</v>
      </c>
      <c r="Q13131" s="26" t="str">
        <f>HYPERLINK("https://ictv.global/taxonomy/taxondetails?taxnode_id=202506035&amp;ictv_id=ICTV20186035","ICTV20186035")</f>
        <v>ICTV20186035</v>
      </c>
      <c r="R13131" t="s">
        <v>580</v>
      </c>
      <c r="S13131" t="s">
        <v>824</v>
      </c>
      <c r="T13131">
        <v>37</v>
      </c>
      <c r="U13131" s="26" t="str">
        <f t="shared" si="485"/>
        <v>2021.018M.R.Negarnaviricota_sprename.zip</v>
      </c>
    </row>
    <row r="13132" spans="1:21">
      <c r="A13132">
        <v>13131</v>
      </c>
      <c r="B13132" s="27" t="s">
        <v>1124</v>
      </c>
      <c r="D13132" s="27" t="s">
        <v>1859</v>
      </c>
      <c r="F13132" s="27" t="s">
        <v>938</v>
      </c>
      <c r="G13132" s="27" t="s">
        <v>939</v>
      </c>
      <c r="H13132" s="27" t="s">
        <v>940</v>
      </c>
      <c r="J13132" s="27" t="s">
        <v>941</v>
      </c>
      <c r="L13132" s="27" t="s">
        <v>942</v>
      </c>
      <c r="N13132" s="27" t="s">
        <v>943</v>
      </c>
      <c r="P13132" s="27" t="s">
        <v>9286</v>
      </c>
      <c r="Q13132" s="26" t="str">
        <f>HYPERLINK("https://ictv.global/taxonomy/taxondetails?taxnode_id=202506036&amp;ictv_id=ICTV20186036","ICTV20186036")</f>
        <v>ICTV20186036</v>
      </c>
      <c r="R13132" t="s">
        <v>580</v>
      </c>
      <c r="S13132" t="s">
        <v>824</v>
      </c>
      <c r="T13132">
        <v>37</v>
      </c>
      <c r="U13132" s="26" t="str">
        <f t="shared" si="485"/>
        <v>2021.018M.R.Negarnaviricota_sprename.zip</v>
      </c>
    </row>
    <row r="13133" spans="1:21">
      <c r="A13133">
        <v>13132</v>
      </c>
      <c r="B13133" s="27" t="s">
        <v>1124</v>
      </c>
      <c r="D13133" s="27" t="s">
        <v>1859</v>
      </c>
      <c r="F13133" s="27" t="s">
        <v>938</v>
      </c>
      <c r="G13133" s="27" t="s">
        <v>939</v>
      </c>
      <c r="H13133" s="27" t="s">
        <v>940</v>
      </c>
      <c r="J13133" s="27" t="s">
        <v>941</v>
      </c>
      <c r="L13133" s="27" t="s">
        <v>942</v>
      </c>
      <c r="N13133" s="27" t="s">
        <v>943</v>
      </c>
      <c r="P13133" s="27" t="s">
        <v>9287</v>
      </c>
      <c r="Q13133" s="26" t="str">
        <f>HYPERLINK("https://ictv.global/taxonomy/taxondetails?taxnode_id=202506037&amp;ictv_id=ICTV20186037","ICTV20186037")</f>
        <v>ICTV20186037</v>
      </c>
      <c r="R13133" t="s">
        <v>580</v>
      </c>
      <c r="S13133" t="s">
        <v>824</v>
      </c>
      <c r="T13133">
        <v>37</v>
      </c>
      <c r="U13133" s="26" t="str">
        <f t="shared" si="485"/>
        <v>2021.018M.R.Negarnaviricota_sprename.zip</v>
      </c>
    </row>
    <row r="13134" spans="1:21">
      <c r="A13134">
        <v>13133</v>
      </c>
      <c r="B13134" s="27" t="s">
        <v>1124</v>
      </c>
      <c r="D13134" s="27" t="s">
        <v>1859</v>
      </c>
      <c r="F13134" s="27" t="s">
        <v>938</v>
      </c>
      <c r="G13134" s="27" t="s">
        <v>939</v>
      </c>
      <c r="H13134" s="27" t="s">
        <v>944</v>
      </c>
      <c r="J13134" s="27" t="s">
        <v>16757</v>
      </c>
      <c r="L13134" s="27" t="s">
        <v>882</v>
      </c>
      <c r="N13134" s="27" t="s">
        <v>20824</v>
      </c>
      <c r="P13134" s="27" t="s">
        <v>21127</v>
      </c>
      <c r="Q13134" s="26" t="str">
        <f>HYPERLINK("https://ictv.global/taxonomy/taxondetails?taxnode_id=202522063&amp;ictv_id=ICTV202522063","ICTV202522063")</f>
        <v>ICTV202522063</v>
      </c>
      <c r="R13134" t="s">
        <v>580</v>
      </c>
      <c r="S13134" t="s">
        <v>823</v>
      </c>
      <c r="T13134">
        <v>41</v>
      </c>
      <c r="U13134" s="26" t="str">
        <f t="shared" ref="U13134:U13149" si="486">HYPERLINK("https://ictv.global/ictv/proposals/2025.001P.Aspiviridae_Ophiovirus_splitgen_1ng_14nsp.zip","2025.001P.Aspiviridae_Ophiovirus_splitgen_1ng_14nsp.zip")</f>
        <v>2025.001P.Aspiviridae_Ophiovirus_splitgen_1ng_14nsp.zip</v>
      </c>
    </row>
    <row r="13135" spans="1:21">
      <c r="A13135">
        <v>13134</v>
      </c>
      <c r="B13135" s="27" t="s">
        <v>1124</v>
      </c>
      <c r="D13135" s="27" t="s">
        <v>1859</v>
      </c>
      <c r="F13135" s="27" t="s">
        <v>938</v>
      </c>
      <c r="G13135" s="27" t="s">
        <v>939</v>
      </c>
      <c r="H13135" s="27" t="s">
        <v>944</v>
      </c>
      <c r="J13135" s="27" t="s">
        <v>16757</v>
      </c>
      <c r="L13135" s="27" t="s">
        <v>882</v>
      </c>
      <c r="N13135" s="27" t="s">
        <v>20824</v>
      </c>
      <c r="P13135" s="27" t="s">
        <v>20989</v>
      </c>
      <c r="Q13135" s="26" t="str">
        <f>HYPERLINK("https://ictv.global/taxonomy/taxondetails?taxnode_id=202517926&amp;ictv_id=ICTV202317926","ICTV202317926")</f>
        <v>ICTV202317926</v>
      </c>
      <c r="R13135" t="s">
        <v>580</v>
      </c>
      <c r="S13135" t="s">
        <v>22764</v>
      </c>
      <c r="T13135">
        <v>41</v>
      </c>
      <c r="U13135" s="26" t="str">
        <f t="shared" si="486"/>
        <v>2025.001P.Aspiviridae_Ophiovirus_splitgen_1ng_14nsp.zip</v>
      </c>
    </row>
    <row r="13136" spans="1:21">
      <c r="A13136">
        <v>13135</v>
      </c>
      <c r="B13136" s="27" t="s">
        <v>1124</v>
      </c>
      <c r="D13136" s="27" t="s">
        <v>1859</v>
      </c>
      <c r="F13136" s="27" t="s">
        <v>938</v>
      </c>
      <c r="G13136" s="27" t="s">
        <v>939</v>
      </c>
      <c r="H13136" s="27" t="s">
        <v>944</v>
      </c>
      <c r="J13136" s="27" t="s">
        <v>16757</v>
      </c>
      <c r="L13136" s="27" t="s">
        <v>882</v>
      </c>
      <c r="N13136" s="27" t="s">
        <v>20824</v>
      </c>
      <c r="P13136" s="27" t="s">
        <v>21128</v>
      </c>
      <c r="Q13136" s="26" t="str">
        <f>HYPERLINK("https://ictv.global/taxonomy/taxondetails?taxnode_id=202522064&amp;ictv_id=ICTV202522064","ICTV202522064")</f>
        <v>ICTV202522064</v>
      </c>
      <c r="R13136" t="s">
        <v>580</v>
      </c>
      <c r="S13136" t="s">
        <v>823</v>
      </c>
      <c r="T13136">
        <v>41</v>
      </c>
      <c r="U13136" s="26" t="str">
        <f t="shared" si="486"/>
        <v>2025.001P.Aspiviridae_Ophiovirus_splitgen_1ng_14nsp.zip</v>
      </c>
    </row>
    <row r="13137" spans="1:21">
      <c r="A13137">
        <v>13136</v>
      </c>
      <c r="B13137" s="27" t="s">
        <v>1124</v>
      </c>
      <c r="D13137" s="27" t="s">
        <v>1859</v>
      </c>
      <c r="F13137" s="27" t="s">
        <v>938</v>
      </c>
      <c r="G13137" s="27" t="s">
        <v>939</v>
      </c>
      <c r="H13137" s="27" t="s">
        <v>944</v>
      </c>
      <c r="J13137" s="27" t="s">
        <v>16757</v>
      </c>
      <c r="L13137" s="27" t="s">
        <v>882</v>
      </c>
      <c r="N13137" s="27" t="s">
        <v>20824</v>
      </c>
      <c r="P13137" s="27" t="s">
        <v>21129</v>
      </c>
      <c r="Q13137" s="26" t="str">
        <f>HYPERLINK("https://ictv.global/taxonomy/taxondetails?taxnode_id=202522065&amp;ictv_id=ICTV202522065","ICTV202522065")</f>
        <v>ICTV202522065</v>
      </c>
      <c r="R13137" t="s">
        <v>580</v>
      </c>
      <c r="S13137" t="s">
        <v>823</v>
      </c>
      <c r="T13137">
        <v>41</v>
      </c>
      <c r="U13137" s="26" t="str">
        <f t="shared" si="486"/>
        <v>2025.001P.Aspiviridae_Ophiovirus_splitgen_1ng_14nsp.zip</v>
      </c>
    </row>
    <row r="13138" spans="1:21">
      <c r="A13138">
        <v>13137</v>
      </c>
      <c r="B13138" s="27" t="s">
        <v>1124</v>
      </c>
      <c r="D13138" s="27" t="s">
        <v>1859</v>
      </c>
      <c r="F13138" s="27" t="s">
        <v>938</v>
      </c>
      <c r="G13138" s="27" t="s">
        <v>939</v>
      </c>
      <c r="H13138" s="27" t="s">
        <v>944</v>
      </c>
      <c r="J13138" s="27" t="s">
        <v>16757</v>
      </c>
      <c r="L13138" s="27" t="s">
        <v>882</v>
      </c>
      <c r="N13138" s="27" t="s">
        <v>20824</v>
      </c>
      <c r="P13138" s="27" t="s">
        <v>21130</v>
      </c>
      <c r="Q13138" s="26" t="str">
        <f>HYPERLINK("https://ictv.global/taxonomy/taxondetails?taxnode_id=202522066&amp;ictv_id=ICTV202522066","ICTV202522066")</f>
        <v>ICTV202522066</v>
      </c>
      <c r="R13138" t="s">
        <v>580</v>
      </c>
      <c r="S13138" t="s">
        <v>823</v>
      </c>
      <c r="T13138">
        <v>41</v>
      </c>
      <c r="U13138" s="26" t="str">
        <f t="shared" si="486"/>
        <v>2025.001P.Aspiviridae_Ophiovirus_splitgen_1ng_14nsp.zip</v>
      </c>
    </row>
    <row r="13139" spans="1:21">
      <c r="A13139">
        <v>13138</v>
      </c>
      <c r="B13139" s="27" t="s">
        <v>1124</v>
      </c>
      <c r="D13139" s="27" t="s">
        <v>1859</v>
      </c>
      <c r="F13139" s="27" t="s">
        <v>938</v>
      </c>
      <c r="G13139" s="27" t="s">
        <v>939</v>
      </c>
      <c r="H13139" s="27" t="s">
        <v>944</v>
      </c>
      <c r="J13139" s="27" t="s">
        <v>16757</v>
      </c>
      <c r="L13139" s="27" t="s">
        <v>882</v>
      </c>
      <c r="N13139" s="27" t="s">
        <v>20824</v>
      </c>
      <c r="P13139" s="27" t="s">
        <v>20825</v>
      </c>
      <c r="Q13139" s="26" t="str">
        <f>HYPERLINK("https://ictv.global/taxonomy/taxondetails?taxnode_id=202503948&amp;ictv_id=ICTV20094137","ICTV20094137")</f>
        <v>ICTV20094137</v>
      </c>
      <c r="R13139" t="s">
        <v>580</v>
      </c>
      <c r="S13139" t="s">
        <v>22764</v>
      </c>
      <c r="T13139">
        <v>41</v>
      </c>
      <c r="U13139" s="26" t="str">
        <f t="shared" si="486"/>
        <v>2025.001P.Aspiviridae_Ophiovirus_splitgen_1ng_14nsp.zip</v>
      </c>
    </row>
    <row r="13140" spans="1:21">
      <c r="A13140">
        <v>13139</v>
      </c>
      <c r="B13140" s="27" t="s">
        <v>1124</v>
      </c>
      <c r="D13140" s="27" t="s">
        <v>1859</v>
      </c>
      <c r="F13140" s="27" t="s">
        <v>938</v>
      </c>
      <c r="G13140" s="27" t="s">
        <v>939</v>
      </c>
      <c r="H13140" s="27" t="s">
        <v>944</v>
      </c>
      <c r="J13140" s="27" t="s">
        <v>16757</v>
      </c>
      <c r="L13140" s="27" t="s">
        <v>882</v>
      </c>
      <c r="N13140" s="27" t="s">
        <v>20824</v>
      </c>
      <c r="P13140" s="27" t="s">
        <v>20826</v>
      </c>
      <c r="Q13140" s="26" t="str">
        <f>HYPERLINK("https://ictv.global/taxonomy/taxondetails?taxnode_id=202503949&amp;ictv_id=ICTV20042224","ICTV20042224")</f>
        <v>ICTV20042224</v>
      </c>
      <c r="R13140" t="s">
        <v>580</v>
      </c>
      <c r="S13140" t="s">
        <v>22764</v>
      </c>
      <c r="T13140">
        <v>41</v>
      </c>
      <c r="U13140" s="26" t="str">
        <f t="shared" si="486"/>
        <v>2025.001P.Aspiviridae_Ophiovirus_splitgen_1ng_14nsp.zip</v>
      </c>
    </row>
    <row r="13141" spans="1:21">
      <c r="A13141">
        <v>13140</v>
      </c>
      <c r="B13141" s="27" t="s">
        <v>1124</v>
      </c>
      <c r="D13141" s="27" t="s">
        <v>1859</v>
      </c>
      <c r="F13141" s="27" t="s">
        <v>938</v>
      </c>
      <c r="G13141" s="27" t="s">
        <v>939</v>
      </c>
      <c r="H13141" s="27" t="s">
        <v>944</v>
      </c>
      <c r="J13141" s="27" t="s">
        <v>16757</v>
      </c>
      <c r="L13141" s="27" t="s">
        <v>882</v>
      </c>
      <c r="N13141" s="27" t="s">
        <v>20824</v>
      </c>
      <c r="P13141" s="27" t="s">
        <v>21131</v>
      </c>
      <c r="Q13141" s="26" t="str">
        <f>HYPERLINK("https://ictv.global/taxonomy/taxondetails?taxnode_id=202522067&amp;ictv_id=ICTV202522067","ICTV202522067")</f>
        <v>ICTV202522067</v>
      </c>
      <c r="R13141" t="s">
        <v>580</v>
      </c>
      <c r="S13141" t="s">
        <v>823</v>
      </c>
      <c r="T13141">
        <v>41</v>
      </c>
      <c r="U13141" s="26" t="str">
        <f t="shared" si="486"/>
        <v>2025.001P.Aspiviridae_Ophiovirus_splitgen_1ng_14nsp.zip</v>
      </c>
    </row>
    <row r="13142" spans="1:21">
      <c r="A13142">
        <v>13141</v>
      </c>
      <c r="B13142" s="27" t="s">
        <v>1124</v>
      </c>
      <c r="D13142" s="27" t="s">
        <v>1859</v>
      </c>
      <c r="F13142" s="27" t="s">
        <v>938</v>
      </c>
      <c r="G13142" s="27" t="s">
        <v>939</v>
      </c>
      <c r="H13142" s="27" t="s">
        <v>944</v>
      </c>
      <c r="J13142" s="27" t="s">
        <v>16757</v>
      </c>
      <c r="L13142" s="27" t="s">
        <v>882</v>
      </c>
      <c r="N13142" s="27" t="s">
        <v>20824</v>
      </c>
      <c r="P13142" s="27" t="s">
        <v>20827</v>
      </c>
      <c r="Q13142" s="26" t="str">
        <f>HYPERLINK("https://ictv.global/taxonomy/taxondetails?taxnode_id=202503950&amp;ictv_id=ICTV20074835","ICTV20074835")</f>
        <v>ICTV20074835</v>
      </c>
      <c r="R13142" t="s">
        <v>580</v>
      </c>
      <c r="S13142" t="s">
        <v>22764</v>
      </c>
      <c r="T13142">
        <v>41</v>
      </c>
      <c r="U13142" s="26" t="str">
        <f t="shared" si="486"/>
        <v>2025.001P.Aspiviridae_Ophiovirus_splitgen_1ng_14nsp.zip</v>
      </c>
    </row>
    <row r="13143" spans="1:21">
      <c r="A13143">
        <v>13142</v>
      </c>
      <c r="B13143" s="27" t="s">
        <v>1124</v>
      </c>
      <c r="D13143" s="27" t="s">
        <v>1859</v>
      </c>
      <c r="F13143" s="27" t="s">
        <v>938</v>
      </c>
      <c r="G13143" s="27" t="s">
        <v>939</v>
      </c>
      <c r="H13143" s="27" t="s">
        <v>944</v>
      </c>
      <c r="J13143" s="27" t="s">
        <v>16757</v>
      </c>
      <c r="L13143" s="27" t="s">
        <v>882</v>
      </c>
      <c r="N13143" s="27" t="s">
        <v>20824</v>
      </c>
      <c r="P13143" s="27" t="s">
        <v>20828</v>
      </c>
      <c r="Q13143" s="26" t="str">
        <f>HYPERLINK("https://ictv.global/taxonomy/taxondetails?taxnode_id=202503951&amp;ictv_id=ICTV19991819","ICTV19991819")</f>
        <v>ICTV19991819</v>
      </c>
      <c r="R13143" t="s">
        <v>580</v>
      </c>
      <c r="S13143" t="s">
        <v>22764</v>
      </c>
      <c r="T13143">
        <v>41</v>
      </c>
      <c r="U13143" s="26" t="str">
        <f t="shared" si="486"/>
        <v>2025.001P.Aspiviridae_Ophiovirus_splitgen_1ng_14nsp.zip</v>
      </c>
    </row>
    <row r="13144" spans="1:21">
      <c r="A13144">
        <v>13143</v>
      </c>
      <c r="B13144" s="27" t="s">
        <v>1124</v>
      </c>
      <c r="D13144" s="27" t="s">
        <v>1859</v>
      </c>
      <c r="F13144" s="27" t="s">
        <v>938</v>
      </c>
      <c r="G13144" s="27" t="s">
        <v>939</v>
      </c>
      <c r="H13144" s="27" t="s">
        <v>944</v>
      </c>
      <c r="J13144" s="27" t="s">
        <v>16757</v>
      </c>
      <c r="L13144" s="27" t="s">
        <v>882</v>
      </c>
      <c r="N13144" s="27" t="s">
        <v>20824</v>
      </c>
      <c r="P13144" s="27" t="s">
        <v>20829</v>
      </c>
      <c r="Q13144" s="26" t="str">
        <f>HYPERLINK("https://ictv.global/taxonomy/taxondetails?taxnode_id=202503952&amp;ictv_id=ICTV19991820","ICTV19991820")</f>
        <v>ICTV19991820</v>
      </c>
      <c r="R13144" t="s">
        <v>580</v>
      </c>
      <c r="S13144" t="s">
        <v>22764</v>
      </c>
      <c r="T13144">
        <v>41</v>
      </c>
      <c r="U13144" s="26" t="str">
        <f t="shared" si="486"/>
        <v>2025.001P.Aspiviridae_Ophiovirus_splitgen_1ng_14nsp.zip</v>
      </c>
    </row>
    <row r="13145" spans="1:21">
      <c r="A13145">
        <v>13144</v>
      </c>
      <c r="B13145" s="27" t="s">
        <v>1124</v>
      </c>
      <c r="D13145" s="27" t="s">
        <v>1859</v>
      </c>
      <c r="F13145" s="27" t="s">
        <v>938</v>
      </c>
      <c r="G13145" s="27" t="s">
        <v>939</v>
      </c>
      <c r="H13145" s="27" t="s">
        <v>944</v>
      </c>
      <c r="J13145" s="27" t="s">
        <v>16757</v>
      </c>
      <c r="L13145" s="27" t="s">
        <v>882</v>
      </c>
      <c r="N13145" s="27" t="s">
        <v>20824</v>
      </c>
      <c r="P13145" s="27" t="s">
        <v>21132</v>
      </c>
      <c r="Q13145" s="26" t="str">
        <f>HYPERLINK("https://ictv.global/taxonomy/taxondetails?taxnode_id=202522068&amp;ictv_id=ICTV202522068","ICTV202522068")</f>
        <v>ICTV202522068</v>
      </c>
      <c r="R13145" t="s">
        <v>580</v>
      </c>
      <c r="S13145" t="s">
        <v>823</v>
      </c>
      <c r="T13145">
        <v>41</v>
      </c>
      <c r="U13145" s="26" t="str">
        <f t="shared" si="486"/>
        <v>2025.001P.Aspiviridae_Ophiovirus_splitgen_1ng_14nsp.zip</v>
      </c>
    </row>
    <row r="13146" spans="1:21">
      <c r="A13146">
        <v>13145</v>
      </c>
      <c r="B13146" s="27" t="s">
        <v>1124</v>
      </c>
      <c r="D13146" s="27" t="s">
        <v>1859</v>
      </c>
      <c r="F13146" s="27" t="s">
        <v>938</v>
      </c>
      <c r="G13146" s="27" t="s">
        <v>939</v>
      </c>
      <c r="H13146" s="27" t="s">
        <v>944</v>
      </c>
      <c r="J13146" s="27" t="s">
        <v>16757</v>
      </c>
      <c r="L13146" s="27" t="s">
        <v>882</v>
      </c>
      <c r="N13146" s="27" t="s">
        <v>20824</v>
      </c>
      <c r="P13146" s="27" t="s">
        <v>21133</v>
      </c>
      <c r="Q13146" s="26" t="str">
        <f>HYPERLINK("https://ictv.global/taxonomy/taxondetails?taxnode_id=202522069&amp;ictv_id=ICTV202522069","ICTV202522069")</f>
        <v>ICTV202522069</v>
      </c>
      <c r="R13146" t="s">
        <v>580</v>
      </c>
      <c r="S13146" t="s">
        <v>823</v>
      </c>
      <c r="T13146">
        <v>41</v>
      </c>
      <c r="U13146" s="26" t="str">
        <f t="shared" si="486"/>
        <v>2025.001P.Aspiviridae_Ophiovirus_splitgen_1ng_14nsp.zip</v>
      </c>
    </row>
    <row r="13147" spans="1:21">
      <c r="A13147">
        <v>13146</v>
      </c>
      <c r="B13147" s="27" t="s">
        <v>1124</v>
      </c>
      <c r="D13147" s="27" t="s">
        <v>1859</v>
      </c>
      <c r="F13147" s="27" t="s">
        <v>938</v>
      </c>
      <c r="G13147" s="27" t="s">
        <v>939</v>
      </c>
      <c r="H13147" s="27" t="s">
        <v>944</v>
      </c>
      <c r="J13147" s="27" t="s">
        <v>16757</v>
      </c>
      <c r="L13147" s="27" t="s">
        <v>882</v>
      </c>
      <c r="N13147" s="27" t="s">
        <v>362</v>
      </c>
      <c r="P13147" s="27" t="s">
        <v>21120</v>
      </c>
      <c r="Q13147" s="26" t="str">
        <f>HYPERLINK("https://ictv.global/taxonomy/taxondetails?taxnode_id=202522056&amp;ictv_id=ICTV202522056","ICTV202522056")</f>
        <v>ICTV202522056</v>
      </c>
      <c r="R13147" t="s">
        <v>580</v>
      </c>
      <c r="S13147" t="s">
        <v>823</v>
      </c>
      <c r="T13147">
        <v>41</v>
      </c>
      <c r="U13147" s="26" t="str">
        <f t="shared" si="486"/>
        <v>2025.001P.Aspiviridae_Ophiovirus_splitgen_1ng_14nsp.zip</v>
      </c>
    </row>
    <row r="13148" spans="1:21">
      <c r="A13148">
        <v>13147</v>
      </c>
      <c r="B13148" s="27" t="s">
        <v>1124</v>
      </c>
      <c r="D13148" s="27" t="s">
        <v>1859</v>
      </c>
      <c r="F13148" s="27" t="s">
        <v>938</v>
      </c>
      <c r="G13148" s="27" t="s">
        <v>939</v>
      </c>
      <c r="H13148" s="27" t="s">
        <v>944</v>
      </c>
      <c r="J13148" s="27" t="s">
        <v>16757</v>
      </c>
      <c r="L13148" s="27" t="s">
        <v>882</v>
      </c>
      <c r="N13148" s="27" t="s">
        <v>362</v>
      </c>
      <c r="P13148" s="27" t="s">
        <v>21121</v>
      </c>
      <c r="Q13148" s="26" t="str">
        <f>HYPERLINK("https://ictv.global/taxonomy/taxondetails?taxnode_id=202522057&amp;ictv_id=ICTV202522057","ICTV202522057")</f>
        <v>ICTV202522057</v>
      </c>
      <c r="R13148" t="s">
        <v>580</v>
      </c>
      <c r="S13148" t="s">
        <v>823</v>
      </c>
      <c r="T13148">
        <v>41</v>
      </c>
      <c r="U13148" s="26" t="str">
        <f t="shared" si="486"/>
        <v>2025.001P.Aspiviridae_Ophiovirus_splitgen_1ng_14nsp.zip</v>
      </c>
    </row>
    <row r="13149" spans="1:21">
      <c r="A13149">
        <v>13148</v>
      </c>
      <c r="B13149" s="27" t="s">
        <v>1124</v>
      </c>
      <c r="D13149" s="27" t="s">
        <v>1859</v>
      </c>
      <c r="F13149" s="27" t="s">
        <v>938</v>
      </c>
      <c r="G13149" s="27" t="s">
        <v>939</v>
      </c>
      <c r="H13149" s="27" t="s">
        <v>944</v>
      </c>
      <c r="J13149" s="27" t="s">
        <v>16757</v>
      </c>
      <c r="L13149" s="27" t="s">
        <v>882</v>
      </c>
      <c r="N13149" s="27" t="s">
        <v>362</v>
      </c>
      <c r="P13149" s="27" t="s">
        <v>21122</v>
      </c>
      <c r="Q13149" s="26" t="str">
        <f>HYPERLINK("https://ictv.global/taxonomy/taxondetails?taxnode_id=202522058&amp;ictv_id=ICTV202522058","ICTV202522058")</f>
        <v>ICTV202522058</v>
      </c>
      <c r="R13149" t="s">
        <v>580</v>
      </c>
      <c r="S13149" t="s">
        <v>823</v>
      </c>
      <c r="T13149">
        <v>41</v>
      </c>
      <c r="U13149" s="26" t="str">
        <f t="shared" si="486"/>
        <v>2025.001P.Aspiviridae_Ophiovirus_splitgen_1ng_14nsp.zip</v>
      </c>
    </row>
    <row r="13150" spans="1:21">
      <c r="A13150">
        <v>13149</v>
      </c>
      <c r="B13150" s="27" t="s">
        <v>1124</v>
      </c>
      <c r="D13150" s="27" t="s">
        <v>1859</v>
      </c>
      <c r="F13150" s="27" t="s">
        <v>938</v>
      </c>
      <c r="G13150" s="27" t="s">
        <v>939</v>
      </c>
      <c r="H13150" s="27" t="s">
        <v>944</v>
      </c>
      <c r="J13150" s="27" t="s">
        <v>16757</v>
      </c>
      <c r="L13150" s="27" t="s">
        <v>882</v>
      </c>
      <c r="N13150" s="27" t="s">
        <v>362</v>
      </c>
      <c r="P13150" s="27" t="s">
        <v>9288</v>
      </c>
      <c r="Q13150" s="26" t="str">
        <f>HYPERLINK("https://ictv.global/taxonomy/taxondetails?taxnode_id=202503947&amp;ictv_id=ICTV19982658","ICTV19982658")</f>
        <v>ICTV19982658</v>
      </c>
      <c r="R13150" t="s">
        <v>580</v>
      </c>
      <c r="S13150" t="s">
        <v>824</v>
      </c>
      <c r="T13150">
        <v>39</v>
      </c>
      <c r="U13150" s="26" t="str">
        <f>HYPERLINK("https://ictv.global/ictv/proposals/2023.007P.Serpentovirales_1nord_rename.zip","2023.007P.Serpentovirales_1nord_rename.zip")</f>
        <v>2023.007P.Serpentovirales_1nord_rename.zip</v>
      </c>
    </row>
    <row r="13151" spans="1:21">
      <c r="A13151">
        <v>13150</v>
      </c>
      <c r="B13151" s="27" t="s">
        <v>1124</v>
      </c>
      <c r="D13151" s="27" t="s">
        <v>1859</v>
      </c>
      <c r="F13151" s="27" t="s">
        <v>938</v>
      </c>
      <c r="G13151" s="27" t="s">
        <v>939</v>
      </c>
      <c r="H13151" s="27" t="s">
        <v>944</v>
      </c>
      <c r="J13151" s="27" t="s">
        <v>16757</v>
      </c>
      <c r="L13151" s="27" t="s">
        <v>882</v>
      </c>
      <c r="N13151" s="27" t="s">
        <v>362</v>
      </c>
      <c r="P13151" s="27" t="s">
        <v>21123</v>
      </c>
      <c r="Q13151" s="26" t="str">
        <f>HYPERLINK("https://ictv.global/taxonomy/taxondetails?taxnode_id=202522059&amp;ictv_id=ICTV202522059","ICTV202522059")</f>
        <v>ICTV202522059</v>
      </c>
      <c r="R13151" t="s">
        <v>580</v>
      </c>
      <c r="S13151" t="s">
        <v>823</v>
      </c>
      <c r="T13151">
        <v>41</v>
      </c>
      <c r="U13151" s="26" t="str">
        <f>HYPERLINK("https://ictv.global/ictv/proposals/2025.001P.Aspiviridae_Ophiovirus_splitgen_1ng_14nsp.zip","2025.001P.Aspiviridae_Ophiovirus_splitgen_1ng_14nsp.zip")</f>
        <v>2025.001P.Aspiviridae_Ophiovirus_splitgen_1ng_14nsp.zip</v>
      </c>
    </row>
    <row r="13152" spans="1:21">
      <c r="A13152">
        <v>13151</v>
      </c>
      <c r="B13152" s="27" t="s">
        <v>1124</v>
      </c>
      <c r="D13152" s="27" t="s">
        <v>1859</v>
      </c>
      <c r="F13152" s="27" t="s">
        <v>938</v>
      </c>
      <c r="G13152" s="27" t="s">
        <v>939</v>
      </c>
      <c r="H13152" s="27" t="s">
        <v>944</v>
      </c>
      <c r="J13152" s="27" t="s">
        <v>16757</v>
      </c>
      <c r="L13152" s="27" t="s">
        <v>882</v>
      </c>
      <c r="N13152" s="27" t="s">
        <v>362</v>
      </c>
      <c r="P13152" s="27" t="s">
        <v>21124</v>
      </c>
      <c r="Q13152" s="26" t="str">
        <f>HYPERLINK("https://ictv.global/taxonomy/taxondetails?taxnode_id=202522060&amp;ictv_id=ICTV202522060","ICTV202522060")</f>
        <v>ICTV202522060</v>
      </c>
      <c r="R13152" t="s">
        <v>580</v>
      </c>
      <c r="S13152" t="s">
        <v>823</v>
      </c>
      <c r="T13152">
        <v>41</v>
      </c>
      <c r="U13152" s="26" t="str">
        <f>HYPERLINK("https://ictv.global/ictv/proposals/2025.001P.Aspiviridae_Ophiovirus_splitgen_1ng_14nsp.zip","2025.001P.Aspiviridae_Ophiovirus_splitgen_1ng_14nsp.zip")</f>
        <v>2025.001P.Aspiviridae_Ophiovirus_splitgen_1ng_14nsp.zip</v>
      </c>
    </row>
    <row r="13153" spans="1:21">
      <c r="A13153">
        <v>13152</v>
      </c>
      <c r="B13153" s="27" t="s">
        <v>1124</v>
      </c>
      <c r="D13153" s="27" t="s">
        <v>1859</v>
      </c>
      <c r="F13153" s="27" t="s">
        <v>938</v>
      </c>
      <c r="G13153" s="27" t="s">
        <v>939</v>
      </c>
      <c r="H13153" s="27" t="s">
        <v>944</v>
      </c>
      <c r="J13153" s="27" t="s">
        <v>16757</v>
      </c>
      <c r="L13153" s="27" t="s">
        <v>882</v>
      </c>
      <c r="N13153" s="27" t="s">
        <v>362</v>
      </c>
      <c r="P13153" s="27" t="s">
        <v>21125</v>
      </c>
      <c r="Q13153" s="26" t="str">
        <f>HYPERLINK("https://ictv.global/taxonomy/taxondetails?taxnode_id=202522061&amp;ictv_id=ICTV202522061","ICTV202522061")</f>
        <v>ICTV202522061</v>
      </c>
      <c r="R13153" t="s">
        <v>580</v>
      </c>
      <c r="S13153" t="s">
        <v>823</v>
      </c>
      <c r="T13153">
        <v>41</v>
      </c>
      <c r="U13153" s="26" t="str">
        <f>HYPERLINK("https://ictv.global/ictv/proposals/2025.001P.Aspiviridae_Ophiovirus_splitgen_1ng_14nsp.zip","2025.001P.Aspiviridae_Ophiovirus_splitgen_1ng_14nsp.zip")</f>
        <v>2025.001P.Aspiviridae_Ophiovirus_splitgen_1ng_14nsp.zip</v>
      </c>
    </row>
    <row r="13154" spans="1:21">
      <c r="A13154">
        <v>13153</v>
      </c>
      <c r="B13154" s="27" t="s">
        <v>1124</v>
      </c>
      <c r="D13154" s="27" t="s">
        <v>1859</v>
      </c>
      <c r="F13154" s="27" t="s">
        <v>938</v>
      </c>
      <c r="G13154" s="27" t="s">
        <v>939</v>
      </c>
      <c r="H13154" s="27" t="s">
        <v>944</v>
      </c>
      <c r="J13154" s="27" t="s">
        <v>16757</v>
      </c>
      <c r="L13154" s="27" t="s">
        <v>882</v>
      </c>
      <c r="N13154" s="27" t="s">
        <v>362</v>
      </c>
      <c r="P13154" s="27" t="s">
        <v>21126</v>
      </c>
      <c r="Q13154" s="26" t="str">
        <f>HYPERLINK("https://ictv.global/taxonomy/taxondetails?taxnode_id=202522062&amp;ictv_id=ICTV202522062","ICTV202522062")</f>
        <v>ICTV202522062</v>
      </c>
      <c r="R13154" t="s">
        <v>580</v>
      </c>
      <c r="S13154" t="s">
        <v>823</v>
      </c>
      <c r="T13154">
        <v>41</v>
      </c>
      <c r="U13154" s="26" t="str">
        <f>HYPERLINK("https://ictv.global/ictv/proposals/2025.001P.Aspiviridae_Ophiovirus_splitgen_1ng_14nsp.zip","2025.001P.Aspiviridae_Ophiovirus_splitgen_1ng_14nsp.zip")</f>
        <v>2025.001P.Aspiviridae_Ophiovirus_splitgen_1ng_14nsp.zip</v>
      </c>
    </row>
    <row r="13155" spans="1:21">
      <c r="A13155">
        <v>13154</v>
      </c>
      <c r="B13155" s="27" t="s">
        <v>1124</v>
      </c>
      <c r="D13155" s="27" t="s">
        <v>1859</v>
      </c>
      <c r="F13155" s="27" t="s">
        <v>938</v>
      </c>
      <c r="G13155" s="27" t="s">
        <v>939</v>
      </c>
      <c r="H13155" s="27" t="s">
        <v>944</v>
      </c>
      <c r="J13155" s="27" t="s">
        <v>16757</v>
      </c>
      <c r="L13155" s="27" t="s">
        <v>882</v>
      </c>
      <c r="N13155" s="27" t="s">
        <v>362</v>
      </c>
      <c r="P13155" s="27" t="s">
        <v>9289</v>
      </c>
      <c r="Q13155" s="26" t="str">
        <f>HYPERLINK("https://ictv.global/taxonomy/taxondetails?taxnode_id=202503946&amp;ictv_id=ICTV20153223","ICTV20153223")</f>
        <v>ICTV20153223</v>
      </c>
      <c r="R13155" t="s">
        <v>580</v>
      </c>
      <c r="S13155" t="s">
        <v>824</v>
      </c>
      <c r="T13155">
        <v>39</v>
      </c>
      <c r="U13155" s="26" t="str">
        <f>HYPERLINK("https://ictv.global/ictv/proposals/2023.007P.Serpentovirales_1nord_rename.zip","2023.007P.Serpentovirales_1nord_rename.zip")</f>
        <v>2023.007P.Serpentovirales_1nord_rename.zip</v>
      </c>
    </row>
    <row r="13156" spans="1:21">
      <c r="A13156">
        <v>13155</v>
      </c>
      <c r="B13156" s="27" t="s">
        <v>1124</v>
      </c>
      <c r="D13156" s="27" t="s">
        <v>1859</v>
      </c>
      <c r="F13156" s="27" t="s">
        <v>938</v>
      </c>
      <c r="G13156" s="27" t="s">
        <v>939</v>
      </c>
      <c r="H13156" s="27" t="s">
        <v>945</v>
      </c>
      <c r="J13156" s="27" t="s">
        <v>946</v>
      </c>
      <c r="L13156" s="27" t="s">
        <v>3463</v>
      </c>
      <c r="N13156" s="27" t="s">
        <v>3464</v>
      </c>
      <c r="P13156" s="27" t="s">
        <v>3465</v>
      </c>
      <c r="Q13156" s="26" t="str">
        <f>HYPERLINK("https://ictv.global/taxonomy/taxondetails?taxnode_id=202509744&amp;ictv_id=ICTV202009744","ICTV202009744")</f>
        <v>ICTV202009744</v>
      </c>
      <c r="R13156" t="s">
        <v>580</v>
      </c>
      <c r="S13156" t="s">
        <v>823</v>
      </c>
      <c r="T13156">
        <v>36</v>
      </c>
      <c r="U13156" s="26" t="str">
        <f t="shared" ref="U13156:U13161" si="487">HYPERLINK("https://ictv.global/ictv/proposals/2020.026M.R.Jingchuvirales.zip","2020.026M.R.Jingchuvirales.zip")</f>
        <v>2020.026M.R.Jingchuvirales.zip</v>
      </c>
    </row>
    <row r="13157" spans="1:21">
      <c r="A13157">
        <v>13156</v>
      </c>
      <c r="B13157" s="27" t="s">
        <v>1124</v>
      </c>
      <c r="D13157" s="27" t="s">
        <v>1859</v>
      </c>
      <c r="F13157" s="27" t="s">
        <v>938</v>
      </c>
      <c r="G13157" s="27" t="s">
        <v>939</v>
      </c>
      <c r="H13157" s="27" t="s">
        <v>945</v>
      </c>
      <c r="J13157" s="27" t="s">
        <v>946</v>
      </c>
      <c r="L13157" s="27" t="s">
        <v>3463</v>
      </c>
      <c r="N13157" s="27" t="s">
        <v>3466</v>
      </c>
      <c r="P13157" s="27" t="s">
        <v>3467</v>
      </c>
      <c r="Q13157" s="26" t="str">
        <f>HYPERLINK("https://ictv.global/taxonomy/taxondetails?taxnode_id=202506043&amp;ictv_id=ICTV20186043","ICTV20186043")</f>
        <v>ICTV20186043</v>
      </c>
      <c r="R13157" t="s">
        <v>580</v>
      </c>
      <c r="S13157" t="s">
        <v>22764</v>
      </c>
      <c r="T13157">
        <v>36</v>
      </c>
      <c r="U13157" s="26" t="str">
        <f t="shared" si="487"/>
        <v>2020.026M.R.Jingchuvirales.zip</v>
      </c>
    </row>
    <row r="13158" spans="1:21">
      <c r="A13158">
        <v>13157</v>
      </c>
      <c r="B13158" s="27" t="s">
        <v>1124</v>
      </c>
      <c r="D13158" s="27" t="s">
        <v>1859</v>
      </c>
      <c r="F13158" s="27" t="s">
        <v>938</v>
      </c>
      <c r="G13158" s="27" t="s">
        <v>939</v>
      </c>
      <c r="H13158" s="27" t="s">
        <v>945</v>
      </c>
      <c r="J13158" s="27" t="s">
        <v>946</v>
      </c>
      <c r="L13158" s="27" t="s">
        <v>3463</v>
      </c>
      <c r="N13158" s="27" t="s">
        <v>3466</v>
      </c>
      <c r="P13158" s="27" t="s">
        <v>3468</v>
      </c>
      <c r="Q13158" s="26" t="str">
        <f>HYPERLINK("https://ictv.global/taxonomy/taxondetails?taxnode_id=202509746&amp;ictv_id=ICTV202009746","ICTV202009746")</f>
        <v>ICTV202009746</v>
      </c>
      <c r="R13158" t="s">
        <v>580</v>
      </c>
      <c r="S13158" t="s">
        <v>823</v>
      </c>
      <c r="T13158">
        <v>36</v>
      </c>
      <c r="U13158" s="26" t="str">
        <f t="shared" si="487"/>
        <v>2020.026M.R.Jingchuvirales.zip</v>
      </c>
    </row>
    <row r="13159" spans="1:21">
      <c r="A13159">
        <v>13158</v>
      </c>
      <c r="B13159" s="27" t="s">
        <v>1124</v>
      </c>
      <c r="D13159" s="27" t="s">
        <v>1859</v>
      </c>
      <c r="F13159" s="27" t="s">
        <v>938</v>
      </c>
      <c r="G13159" s="27" t="s">
        <v>939</v>
      </c>
      <c r="H13159" s="27" t="s">
        <v>945</v>
      </c>
      <c r="J13159" s="27" t="s">
        <v>946</v>
      </c>
      <c r="L13159" s="27" t="s">
        <v>3463</v>
      </c>
      <c r="N13159" s="27" t="s">
        <v>3466</v>
      </c>
      <c r="P13159" s="27" t="s">
        <v>3469</v>
      </c>
      <c r="Q13159" s="26" t="str">
        <f>HYPERLINK("https://ictv.global/taxonomy/taxondetails?taxnode_id=202509747&amp;ictv_id=ICTV202009747","ICTV202009747")</f>
        <v>ICTV202009747</v>
      </c>
      <c r="R13159" t="s">
        <v>580</v>
      </c>
      <c r="S13159" t="s">
        <v>823</v>
      </c>
      <c r="T13159">
        <v>36</v>
      </c>
      <c r="U13159" s="26" t="str">
        <f t="shared" si="487"/>
        <v>2020.026M.R.Jingchuvirales.zip</v>
      </c>
    </row>
    <row r="13160" spans="1:21">
      <c r="A13160">
        <v>13159</v>
      </c>
      <c r="B13160" s="27" t="s">
        <v>1124</v>
      </c>
      <c r="D13160" s="27" t="s">
        <v>1859</v>
      </c>
      <c r="F13160" s="27" t="s">
        <v>938</v>
      </c>
      <c r="G13160" s="27" t="s">
        <v>939</v>
      </c>
      <c r="H13160" s="27" t="s">
        <v>945</v>
      </c>
      <c r="J13160" s="27" t="s">
        <v>946</v>
      </c>
      <c r="L13160" s="27" t="s">
        <v>3463</v>
      </c>
      <c r="N13160" s="27" t="s">
        <v>3466</v>
      </c>
      <c r="P13160" s="27" t="s">
        <v>3470</v>
      </c>
      <c r="Q13160" s="26" t="str">
        <f>HYPERLINK("https://ictv.global/taxonomy/taxondetails?taxnode_id=202509748&amp;ictv_id=ICTV202009748","ICTV202009748")</f>
        <v>ICTV202009748</v>
      </c>
      <c r="R13160" t="s">
        <v>580</v>
      </c>
      <c r="S13160" t="s">
        <v>823</v>
      </c>
      <c r="T13160">
        <v>36</v>
      </c>
      <c r="U13160" s="26" t="str">
        <f t="shared" si="487"/>
        <v>2020.026M.R.Jingchuvirales.zip</v>
      </c>
    </row>
    <row r="13161" spans="1:21">
      <c r="A13161">
        <v>13160</v>
      </c>
      <c r="B13161" s="27" t="s">
        <v>1124</v>
      </c>
      <c r="D13161" s="27" t="s">
        <v>1859</v>
      </c>
      <c r="F13161" s="27" t="s">
        <v>938</v>
      </c>
      <c r="G13161" s="27" t="s">
        <v>939</v>
      </c>
      <c r="H13161" s="27" t="s">
        <v>945</v>
      </c>
      <c r="J13161" s="27" t="s">
        <v>946</v>
      </c>
      <c r="L13161" s="27" t="s">
        <v>3463</v>
      </c>
      <c r="N13161" s="27" t="s">
        <v>3466</v>
      </c>
      <c r="P13161" s="27" t="s">
        <v>3471</v>
      </c>
      <c r="Q13161" s="26" t="str">
        <f>HYPERLINK("https://ictv.global/taxonomy/taxondetails?taxnode_id=202509749&amp;ictv_id=ICTV202009749","ICTV202009749")</f>
        <v>ICTV202009749</v>
      </c>
      <c r="R13161" t="s">
        <v>580</v>
      </c>
      <c r="S13161" t="s">
        <v>823</v>
      </c>
      <c r="T13161">
        <v>36</v>
      </c>
      <c r="U13161" s="26" t="str">
        <f t="shared" si="487"/>
        <v>2020.026M.R.Jingchuvirales.zip</v>
      </c>
    </row>
    <row r="13162" spans="1:21">
      <c r="A13162">
        <v>13161</v>
      </c>
      <c r="B13162" s="27" t="s">
        <v>1124</v>
      </c>
      <c r="D13162" s="27" t="s">
        <v>1859</v>
      </c>
      <c r="F13162" s="27" t="s">
        <v>938</v>
      </c>
      <c r="G13162" s="27" t="s">
        <v>939</v>
      </c>
      <c r="H13162" s="27" t="s">
        <v>945</v>
      </c>
      <c r="J13162" s="27" t="s">
        <v>946</v>
      </c>
      <c r="L13162" s="27" t="s">
        <v>3463</v>
      </c>
      <c r="N13162" s="27" t="s">
        <v>3466</v>
      </c>
      <c r="P13162" s="27" t="s">
        <v>9290</v>
      </c>
      <c r="Q13162" s="26" t="str">
        <f>HYPERLINK("https://ictv.global/taxonomy/taxondetails?taxnode_id=202514130&amp;ictv_id=ICTV202214130","ICTV202214130")</f>
        <v>ICTV202214130</v>
      </c>
      <c r="R13162" t="s">
        <v>580</v>
      </c>
      <c r="S13162" t="s">
        <v>823</v>
      </c>
      <c r="T13162">
        <v>38</v>
      </c>
      <c r="U13162" s="26" t="str">
        <f>HYPERLINK("https://ictv.global/ictv/proposals/2021.015M.Jingchuvirales_2ngen_10nsp.zip","2021.015M.Jingchuvirales_2ngen_10nsp.zip")</f>
        <v>2021.015M.Jingchuvirales_2ngen_10nsp.zip</v>
      </c>
    </row>
    <row r="13163" spans="1:21">
      <c r="A13163">
        <v>13162</v>
      </c>
      <c r="B13163" s="27" t="s">
        <v>1124</v>
      </c>
      <c r="D13163" s="27" t="s">
        <v>1859</v>
      </c>
      <c r="F13163" s="27" t="s">
        <v>938</v>
      </c>
      <c r="G13163" s="27" t="s">
        <v>939</v>
      </c>
      <c r="H13163" s="27" t="s">
        <v>945</v>
      </c>
      <c r="J13163" s="27" t="s">
        <v>946</v>
      </c>
      <c r="L13163" s="27" t="s">
        <v>3463</v>
      </c>
      <c r="N13163" s="27" t="s">
        <v>3466</v>
      </c>
      <c r="P13163" s="27" t="s">
        <v>9291</v>
      </c>
      <c r="Q13163" s="26" t="str">
        <f>HYPERLINK("https://ictv.global/taxonomy/taxondetails?taxnode_id=202514129&amp;ictv_id=ICTV202214129","ICTV202214129")</f>
        <v>ICTV202214129</v>
      </c>
      <c r="R13163" t="s">
        <v>580</v>
      </c>
      <c r="S13163" t="s">
        <v>823</v>
      </c>
      <c r="T13163">
        <v>38</v>
      </c>
      <c r="U13163" s="26" t="str">
        <f>HYPERLINK("https://ictv.global/ictv/proposals/2021.015M.Jingchuvirales_2ngen_10nsp.zip","2021.015M.Jingchuvirales_2ngen_10nsp.zip")</f>
        <v>2021.015M.Jingchuvirales_2ngen_10nsp.zip</v>
      </c>
    </row>
    <row r="13164" spans="1:21">
      <c r="A13164">
        <v>13163</v>
      </c>
      <c r="B13164" s="27" t="s">
        <v>1124</v>
      </c>
      <c r="D13164" s="27" t="s">
        <v>1859</v>
      </c>
      <c r="F13164" s="27" t="s">
        <v>938</v>
      </c>
      <c r="G13164" s="27" t="s">
        <v>939</v>
      </c>
      <c r="H13164" s="27" t="s">
        <v>945</v>
      </c>
      <c r="J13164" s="27" t="s">
        <v>946</v>
      </c>
      <c r="L13164" s="27" t="s">
        <v>3463</v>
      </c>
      <c r="N13164" s="27" t="s">
        <v>3466</v>
      </c>
      <c r="P13164" s="27" t="s">
        <v>9292</v>
      </c>
      <c r="Q13164" s="26" t="str">
        <f>HYPERLINK("https://ictv.global/taxonomy/taxondetails?taxnode_id=202514131&amp;ictv_id=ICTV202214131","ICTV202214131")</f>
        <v>ICTV202214131</v>
      </c>
      <c r="R13164" t="s">
        <v>580</v>
      </c>
      <c r="S13164" t="s">
        <v>823</v>
      </c>
      <c r="T13164">
        <v>38</v>
      </c>
      <c r="U13164" s="26" t="str">
        <f>HYPERLINK("https://ictv.global/ictv/proposals/2021.015M.Jingchuvirales_2ngen_10nsp.zip","2021.015M.Jingchuvirales_2ngen_10nsp.zip")</f>
        <v>2021.015M.Jingchuvirales_2ngen_10nsp.zip</v>
      </c>
    </row>
    <row r="13165" spans="1:21">
      <c r="A13165">
        <v>13164</v>
      </c>
      <c r="B13165" s="27" t="s">
        <v>1124</v>
      </c>
      <c r="D13165" s="27" t="s">
        <v>1859</v>
      </c>
      <c r="F13165" s="27" t="s">
        <v>938</v>
      </c>
      <c r="G13165" s="27" t="s">
        <v>939</v>
      </c>
      <c r="H13165" s="27" t="s">
        <v>945</v>
      </c>
      <c r="J13165" s="27" t="s">
        <v>946</v>
      </c>
      <c r="L13165" s="27" t="s">
        <v>3463</v>
      </c>
      <c r="N13165" s="27" t="s">
        <v>3466</v>
      </c>
      <c r="P13165" s="27" t="s">
        <v>3472</v>
      </c>
      <c r="Q13165" s="26" t="str">
        <f>HYPERLINK("https://ictv.global/taxonomy/taxondetails?taxnode_id=202509750&amp;ictv_id=ICTV202009750","ICTV202009750")</f>
        <v>ICTV202009750</v>
      </c>
      <c r="R13165" t="s">
        <v>580</v>
      </c>
      <c r="S13165" t="s">
        <v>823</v>
      </c>
      <c r="T13165">
        <v>36</v>
      </c>
      <c r="U13165" s="26" t="str">
        <f>HYPERLINK("https://ictv.global/ictv/proposals/2020.026M.R.Jingchuvirales.zip","2020.026M.R.Jingchuvirales.zip")</f>
        <v>2020.026M.R.Jingchuvirales.zip</v>
      </c>
    </row>
    <row r="13166" spans="1:21">
      <c r="A13166">
        <v>13165</v>
      </c>
      <c r="B13166" s="27" t="s">
        <v>1124</v>
      </c>
      <c r="D13166" s="27" t="s">
        <v>1859</v>
      </c>
      <c r="F13166" s="27" t="s">
        <v>938</v>
      </c>
      <c r="G13166" s="27" t="s">
        <v>939</v>
      </c>
      <c r="H13166" s="27" t="s">
        <v>945</v>
      </c>
      <c r="J13166" s="27" t="s">
        <v>946</v>
      </c>
      <c r="L13166" s="27" t="s">
        <v>3463</v>
      </c>
      <c r="N13166" s="27" t="s">
        <v>3466</v>
      </c>
      <c r="P13166" s="27" t="s">
        <v>9293</v>
      </c>
      <c r="Q13166" s="26" t="str">
        <f>HYPERLINK("https://ictv.global/taxonomy/taxondetails?taxnode_id=202506066&amp;ictv_id=ICTV20186066","ICTV20186066")</f>
        <v>ICTV20186066</v>
      </c>
      <c r="R13166" t="s">
        <v>580</v>
      </c>
      <c r="S13166" t="s">
        <v>824</v>
      </c>
      <c r="T13166">
        <v>37</v>
      </c>
      <c r="U13166" s="26" t="str">
        <f>HYPERLINK("https://ictv.global/ictv/proposals/2021.042M.R.Corrections_Riboviria_Duplodnaviria.zip","2021.042M.R.Corrections_Riboviria_Duplodnaviria.zip")</f>
        <v>2021.042M.R.Corrections_Riboviria_Duplodnaviria.zip</v>
      </c>
    </row>
    <row r="13167" spans="1:21">
      <c r="A13167">
        <v>13166</v>
      </c>
      <c r="B13167" s="27" t="s">
        <v>1124</v>
      </c>
      <c r="D13167" s="27" t="s">
        <v>1859</v>
      </c>
      <c r="F13167" s="27" t="s">
        <v>938</v>
      </c>
      <c r="G13167" s="27" t="s">
        <v>939</v>
      </c>
      <c r="H13167" s="27" t="s">
        <v>945</v>
      </c>
      <c r="J13167" s="27" t="s">
        <v>946</v>
      </c>
      <c r="L13167" s="27" t="s">
        <v>3463</v>
      </c>
      <c r="N13167" s="27" t="s">
        <v>3466</v>
      </c>
      <c r="P13167" s="27" t="s">
        <v>3473</v>
      </c>
      <c r="Q13167" s="26" t="str">
        <f>HYPERLINK("https://ictv.global/taxonomy/taxondetails?taxnode_id=202507449&amp;ictv_id=ICTV201907449","ICTV201907449")</f>
        <v>ICTV201907449</v>
      </c>
      <c r="R13167" t="s">
        <v>580</v>
      </c>
      <c r="S13167" t="s">
        <v>22764</v>
      </c>
      <c r="T13167">
        <v>36</v>
      </c>
      <c r="U13167" s="26" t="str">
        <f t="shared" ref="U13167:U13178" si="488">HYPERLINK("https://ictv.global/ictv/proposals/2020.026M.R.Jingchuvirales.zip","2020.026M.R.Jingchuvirales.zip")</f>
        <v>2020.026M.R.Jingchuvirales.zip</v>
      </c>
    </row>
    <row r="13168" spans="1:21">
      <c r="A13168">
        <v>13167</v>
      </c>
      <c r="B13168" s="27" t="s">
        <v>1124</v>
      </c>
      <c r="D13168" s="27" t="s">
        <v>1859</v>
      </c>
      <c r="F13168" s="27" t="s">
        <v>938</v>
      </c>
      <c r="G13168" s="27" t="s">
        <v>939</v>
      </c>
      <c r="H13168" s="27" t="s">
        <v>945</v>
      </c>
      <c r="J13168" s="27" t="s">
        <v>946</v>
      </c>
      <c r="L13168" s="27" t="s">
        <v>947</v>
      </c>
      <c r="N13168" s="27" t="s">
        <v>3474</v>
      </c>
      <c r="P13168" s="27" t="s">
        <v>3475</v>
      </c>
      <c r="Q13168" s="26" t="str">
        <f>HYPERLINK("https://ictv.global/taxonomy/taxondetails?taxnode_id=202506054&amp;ictv_id=ICTV20186054","ICTV20186054")</f>
        <v>ICTV20186054</v>
      </c>
      <c r="R13168" t="s">
        <v>580</v>
      </c>
      <c r="S13168" t="s">
        <v>22764</v>
      </c>
      <c r="T13168">
        <v>36</v>
      </c>
      <c r="U13168" s="26" t="str">
        <f t="shared" si="488"/>
        <v>2020.026M.R.Jingchuvirales.zip</v>
      </c>
    </row>
    <row r="13169" spans="1:21">
      <c r="A13169">
        <v>13168</v>
      </c>
      <c r="B13169" s="27" t="s">
        <v>1124</v>
      </c>
      <c r="D13169" s="27" t="s">
        <v>1859</v>
      </c>
      <c r="F13169" s="27" t="s">
        <v>938</v>
      </c>
      <c r="G13169" s="27" t="s">
        <v>939</v>
      </c>
      <c r="H13169" s="27" t="s">
        <v>945</v>
      </c>
      <c r="J13169" s="27" t="s">
        <v>946</v>
      </c>
      <c r="L13169" s="27" t="s">
        <v>947</v>
      </c>
      <c r="N13169" s="27" t="s">
        <v>3474</v>
      </c>
      <c r="P13169" s="27" t="s">
        <v>3476</v>
      </c>
      <c r="Q13169" s="26" t="str">
        <f>HYPERLINK("https://ictv.global/taxonomy/taxondetails?taxnode_id=202506061&amp;ictv_id=ICTV20186061","ICTV20186061")</f>
        <v>ICTV20186061</v>
      </c>
      <c r="R13169" t="s">
        <v>580</v>
      </c>
      <c r="S13169" t="s">
        <v>22764</v>
      </c>
      <c r="T13169">
        <v>36</v>
      </c>
      <c r="U13169" s="26" t="str">
        <f t="shared" si="488"/>
        <v>2020.026M.R.Jingchuvirales.zip</v>
      </c>
    </row>
    <row r="13170" spans="1:21">
      <c r="A13170">
        <v>13169</v>
      </c>
      <c r="B13170" s="27" t="s">
        <v>1124</v>
      </c>
      <c r="D13170" s="27" t="s">
        <v>1859</v>
      </c>
      <c r="F13170" s="27" t="s">
        <v>938</v>
      </c>
      <c r="G13170" s="27" t="s">
        <v>939</v>
      </c>
      <c r="H13170" s="27" t="s">
        <v>945</v>
      </c>
      <c r="J13170" s="27" t="s">
        <v>946</v>
      </c>
      <c r="L13170" s="27" t="s">
        <v>947</v>
      </c>
      <c r="N13170" s="27" t="s">
        <v>3477</v>
      </c>
      <c r="P13170" s="27" t="s">
        <v>3478</v>
      </c>
      <c r="Q13170" s="26" t="str">
        <f>HYPERLINK("https://ictv.global/taxonomy/taxondetails?taxnode_id=202506045&amp;ictv_id=ICTV20186045","ICTV20186045")</f>
        <v>ICTV20186045</v>
      </c>
      <c r="R13170" t="s">
        <v>580</v>
      </c>
      <c r="S13170" t="s">
        <v>22764</v>
      </c>
      <c r="T13170">
        <v>36</v>
      </c>
      <c r="U13170" s="26" t="str">
        <f t="shared" si="488"/>
        <v>2020.026M.R.Jingchuvirales.zip</v>
      </c>
    </row>
    <row r="13171" spans="1:21">
      <c r="A13171">
        <v>13170</v>
      </c>
      <c r="B13171" s="27" t="s">
        <v>1124</v>
      </c>
      <c r="D13171" s="27" t="s">
        <v>1859</v>
      </c>
      <c r="F13171" s="27" t="s">
        <v>938</v>
      </c>
      <c r="G13171" s="27" t="s">
        <v>939</v>
      </c>
      <c r="H13171" s="27" t="s">
        <v>945</v>
      </c>
      <c r="J13171" s="27" t="s">
        <v>946</v>
      </c>
      <c r="L13171" s="27" t="s">
        <v>947</v>
      </c>
      <c r="N13171" s="27" t="s">
        <v>3477</v>
      </c>
      <c r="P13171" s="27" t="s">
        <v>3479</v>
      </c>
      <c r="Q13171" s="26" t="str">
        <f>HYPERLINK("https://ictv.global/taxonomy/taxondetails?taxnode_id=202506049&amp;ictv_id=ICTV20186049","ICTV20186049")</f>
        <v>ICTV20186049</v>
      </c>
      <c r="R13171" t="s">
        <v>580</v>
      </c>
      <c r="S13171" t="s">
        <v>22764</v>
      </c>
      <c r="T13171">
        <v>36</v>
      </c>
      <c r="U13171" s="26" t="str">
        <f t="shared" si="488"/>
        <v>2020.026M.R.Jingchuvirales.zip</v>
      </c>
    </row>
    <row r="13172" spans="1:21">
      <c r="A13172">
        <v>13171</v>
      </c>
      <c r="B13172" s="27" t="s">
        <v>1124</v>
      </c>
      <c r="D13172" s="27" t="s">
        <v>1859</v>
      </c>
      <c r="F13172" s="27" t="s">
        <v>938</v>
      </c>
      <c r="G13172" s="27" t="s">
        <v>939</v>
      </c>
      <c r="H13172" s="27" t="s">
        <v>945</v>
      </c>
      <c r="J13172" s="27" t="s">
        <v>946</v>
      </c>
      <c r="L13172" s="27" t="s">
        <v>947</v>
      </c>
      <c r="N13172" s="27" t="s">
        <v>3480</v>
      </c>
      <c r="P13172" s="27" t="s">
        <v>3481</v>
      </c>
      <c r="Q13172" s="26" t="str">
        <f>HYPERLINK("https://ictv.global/taxonomy/taxondetails?taxnode_id=202506062&amp;ictv_id=ICTV20186062","ICTV20186062")</f>
        <v>ICTV20186062</v>
      </c>
      <c r="R13172" t="s">
        <v>580</v>
      </c>
      <c r="S13172" t="s">
        <v>22764</v>
      </c>
      <c r="T13172">
        <v>36</v>
      </c>
      <c r="U13172" s="26" t="str">
        <f t="shared" si="488"/>
        <v>2020.026M.R.Jingchuvirales.zip</v>
      </c>
    </row>
    <row r="13173" spans="1:21">
      <c r="A13173">
        <v>13172</v>
      </c>
      <c r="B13173" s="27" t="s">
        <v>1124</v>
      </c>
      <c r="D13173" s="27" t="s">
        <v>1859</v>
      </c>
      <c r="F13173" s="27" t="s">
        <v>938</v>
      </c>
      <c r="G13173" s="27" t="s">
        <v>939</v>
      </c>
      <c r="H13173" s="27" t="s">
        <v>945</v>
      </c>
      <c r="J13173" s="27" t="s">
        <v>946</v>
      </c>
      <c r="L13173" s="27" t="s">
        <v>947</v>
      </c>
      <c r="N13173" s="27" t="s">
        <v>3480</v>
      </c>
      <c r="P13173" s="27" t="s">
        <v>3482</v>
      </c>
      <c r="Q13173" s="26" t="str">
        <f>HYPERLINK("https://ictv.global/taxonomy/taxondetails?taxnode_id=202509719&amp;ictv_id=ICTV202009719","ICTV202009719")</f>
        <v>ICTV202009719</v>
      </c>
      <c r="R13173" t="s">
        <v>580</v>
      </c>
      <c r="S13173" t="s">
        <v>823</v>
      </c>
      <c r="T13173">
        <v>36</v>
      </c>
      <c r="U13173" s="26" t="str">
        <f t="shared" si="488"/>
        <v>2020.026M.R.Jingchuvirales.zip</v>
      </c>
    </row>
    <row r="13174" spans="1:21">
      <c r="A13174">
        <v>13173</v>
      </c>
      <c r="B13174" s="27" t="s">
        <v>1124</v>
      </c>
      <c r="D13174" s="27" t="s">
        <v>1859</v>
      </c>
      <c r="F13174" s="27" t="s">
        <v>938</v>
      </c>
      <c r="G13174" s="27" t="s">
        <v>939</v>
      </c>
      <c r="H13174" s="27" t="s">
        <v>945</v>
      </c>
      <c r="J13174" s="27" t="s">
        <v>946</v>
      </c>
      <c r="L13174" s="27" t="s">
        <v>947</v>
      </c>
      <c r="N13174" s="27" t="s">
        <v>3480</v>
      </c>
      <c r="P13174" s="27" t="s">
        <v>3483</v>
      </c>
      <c r="Q13174" s="26" t="str">
        <f>HYPERLINK("https://ictv.global/taxonomy/taxondetails?taxnode_id=202506057&amp;ictv_id=ICTV20186057","ICTV20186057")</f>
        <v>ICTV20186057</v>
      </c>
      <c r="R13174" t="s">
        <v>580</v>
      </c>
      <c r="S13174" t="s">
        <v>22764</v>
      </c>
      <c r="T13174">
        <v>36</v>
      </c>
      <c r="U13174" s="26" t="str">
        <f t="shared" si="488"/>
        <v>2020.026M.R.Jingchuvirales.zip</v>
      </c>
    </row>
    <row r="13175" spans="1:21">
      <c r="A13175">
        <v>13174</v>
      </c>
      <c r="B13175" s="27" t="s">
        <v>1124</v>
      </c>
      <c r="D13175" s="27" t="s">
        <v>1859</v>
      </c>
      <c r="F13175" s="27" t="s">
        <v>938</v>
      </c>
      <c r="G13175" s="27" t="s">
        <v>939</v>
      </c>
      <c r="H13175" s="27" t="s">
        <v>945</v>
      </c>
      <c r="J13175" s="27" t="s">
        <v>946</v>
      </c>
      <c r="L13175" s="27" t="s">
        <v>947</v>
      </c>
      <c r="N13175" s="27" t="s">
        <v>3480</v>
      </c>
      <c r="P13175" s="27" t="s">
        <v>3484</v>
      </c>
      <c r="Q13175" s="26" t="str">
        <f>HYPERLINK("https://ictv.global/taxonomy/taxondetails?taxnode_id=202509720&amp;ictv_id=ICTV202009720","ICTV202009720")</f>
        <v>ICTV202009720</v>
      </c>
      <c r="R13175" t="s">
        <v>580</v>
      </c>
      <c r="S13175" t="s">
        <v>823</v>
      </c>
      <c r="T13175">
        <v>36</v>
      </c>
      <c r="U13175" s="26" t="str">
        <f t="shared" si="488"/>
        <v>2020.026M.R.Jingchuvirales.zip</v>
      </c>
    </row>
    <row r="13176" spans="1:21">
      <c r="A13176">
        <v>13175</v>
      </c>
      <c r="B13176" s="27" t="s">
        <v>1124</v>
      </c>
      <c r="D13176" s="27" t="s">
        <v>1859</v>
      </c>
      <c r="F13176" s="27" t="s">
        <v>938</v>
      </c>
      <c r="G13176" s="27" t="s">
        <v>939</v>
      </c>
      <c r="H13176" s="27" t="s">
        <v>945</v>
      </c>
      <c r="J13176" s="27" t="s">
        <v>946</v>
      </c>
      <c r="L13176" s="27" t="s">
        <v>947</v>
      </c>
      <c r="N13176" s="27" t="s">
        <v>3485</v>
      </c>
      <c r="P13176" s="27" t="s">
        <v>3486</v>
      </c>
      <c r="Q13176" s="26" t="str">
        <f>HYPERLINK("https://ictv.global/taxonomy/taxondetails?taxnode_id=202509715&amp;ictv_id=ICTV202009715","ICTV202009715")</f>
        <v>ICTV202009715</v>
      </c>
      <c r="R13176" t="s">
        <v>580</v>
      </c>
      <c r="S13176" t="s">
        <v>823</v>
      </c>
      <c r="T13176">
        <v>36</v>
      </c>
      <c r="U13176" s="26" t="str">
        <f t="shared" si="488"/>
        <v>2020.026M.R.Jingchuvirales.zip</v>
      </c>
    </row>
    <row r="13177" spans="1:21">
      <c r="A13177">
        <v>13176</v>
      </c>
      <c r="B13177" s="27" t="s">
        <v>1124</v>
      </c>
      <c r="D13177" s="27" t="s">
        <v>1859</v>
      </c>
      <c r="F13177" s="27" t="s">
        <v>938</v>
      </c>
      <c r="G13177" s="27" t="s">
        <v>939</v>
      </c>
      <c r="H13177" s="27" t="s">
        <v>945</v>
      </c>
      <c r="J13177" s="27" t="s">
        <v>946</v>
      </c>
      <c r="L13177" s="27" t="s">
        <v>947</v>
      </c>
      <c r="N13177" s="27" t="s">
        <v>3487</v>
      </c>
      <c r="P13177" s="27" t="s">
        <v>3488</v>
      </c>
      <c r="Q13177" s="26" t="str">
        <f>HYPERLINK("https://ictv.global/taxonomy/taxondetails?taxnode_id=202509722&amp;ictv_id=ICTV202009722","ICTV202009722")</f>
        <v>ICTV202009722</v>
      </c>
      <c r="R13177" t="s">
        <v>580</v>
      </c>
      <c r="S13177" t="s">
        <v>823</v>
      </c>
      <c r="T13177">
        <v>36</v>
      </c>
      <c r="U13177" s="26" t="str">
        <f t="shared" si="488"/>
        <v>2020.026M.R.Jingchuvirales.zip</v>
      </c>
    </row>
    <row r="13178" spans="1:21">
      <c r="A13178">
        <v>13177</v>
      </c>
      <c r="B13178" s="27" t="s">
        <v>1124</v>
      </c>
      <c r="D13178" s="27" t="s">
        <v>1859</v>
      </c>
      <c r="F13178" s="27" t="s">
        <v>938</v>
      </c>
      <c r="G13178" s="27" t="s">
        <v>939</v>
      </c>
      <c r="H13178" s="27" t="s">
        <v>945</v>
      </c>
      <c r="J13178" s="27" t="s">
        <v>946</v>
      </c>
      <c r="L13178" s="27" t="s">
        <v>947</v>
      </c>
      <c r="N13178" s="27" t="s">
        <v>948</v>
      </c>
      <c r="P13178" s="27" t="s">
        <v>3489</v>
      </c>
      <c r="Q13178" s="26" t="str">
        <f>HYPERLINK("https://ictv.global/taxonomy/taxondetails?taxnode_id=202506060&amp;ictv_id=ICTV20186060","ICTV20186060")</f>
        <v>ICTV20186060</v>
      </c>
      <c r="R13178" t="s">
        <v>580</v>
      </c>
      <c r="S13178" t="s">
        <v>824</v>
      </c>
      <c r="T13178">
        <v>36</v>
      </c>
      <c r="U13178" s="26" t="str">
        <f t="shared" si="488"/>
        <v>2020.026M.R.Jingchuvirales.zip</v>
      </c>
    </row>
    <row r="13179" spans="1:21">
      <c r="A13179">
        <v>13178</v>
      </c>
      <c r="B13179" s="27" t="s">
        <v>1124</v>
      </c>
      <c r="D13179" s="27" t="s">
        <v>1859</v>
      </c>
      <c r="F13179" s="27" t="s">
        <v>938</v>
      </c>
      <c r="G13179" s="27" t="s">
        <v>939</v>
      </c>
      <c r="H13179" s="27" t="s">
        <v>945</v>
      </c>
      <c r="J13179" s="27" t="s">
        <v>946</v>
      </c>
      <c r="L13179" s="27" t="s">
        <v>947</v>
      </c>
      <c r="N13179" s="27" t="s">
        <v>948</v>
      </c>
      <c r="P13179" s="27" t="s">
        <v>9294</v>
      </c>
      <c r="Q13179" s="26" t="str">
        <f>HYPERLINK("https://ictv.global/taxonomy/taxondetails?taxnode_id=202514136&amp;ictv_id=ICTV202214136","ICTV202214136")</f>
        <v>ICTV202214136</v>
      </c>
      <c r="R13179" t="s">
        <v>580</v>
      </c>
      <c r="S13179" t="s">
        <v>823</v>
      </c>
      <c r="T13179">
        <v>38</v>
      </c>
      <c r="U13179" s="26" t="str">
        <f>HYPERLINK("https://ictv.global/ictv/proposals/2021.015M.Jingchuvirales_2ngen_10nsp.zip","2021.015M.Jingchuvirales_2ngen_10nsp.zip")</f>
        <v>2021.015M.Jingchuvirales_2ngen_10nsp.zip</v>
      </c>
    </row>
    <row r="13180" spans="1:21">
      <c r="A13180">
        <v>13179</v>
      </c>
      <c r="B13180" s="27" t="s">
        <v>1124</v>
      </c>
      <c r="D13180" s="27" t="s">
        <v>1859</v>
      </c>
      <c r="F13180" s="27" t="s">
        <v>938</v>
      </c>
      <c r="G13180" s="27" t="s">
        <v>939</v>
      </c>
      <c r="H13180" s="27" t="s">
        <v>945</v>
      </c>
      <c r="J13180" s="27" t="s">
        <v>946</v>
      </c>
      <c r="L13180" s="27" t="s">
        <v>947</v>
      </c>
      <c r="N13180" s="27" t="s">
        <v>948</v>
      </c>
      <c r="P13180" s="27" t="s">
        <v>3490</v>
      </c>
      <c r="Q13180" s="26" t="str">
        <f>HYPERLINK("https://ictv.global/taxonomy/taxondetails?taxnode_id=202506044&amp;ictv_id=ICTV20186044","ICTV20186044")</f>
        <v>ICTV20186044</v>
      </c>
      <c r="R13180" t="s">
        <v>580</v>
      </c>
      <c r="S13180" t="s">
        <v>824</v>
      </c>
      <c r="T13180">
        <v>36</v>
      </c>
      <c r="U13180" s="26" t="str">
        <f t="shared" ref="U13180:U13189" si="489">HYPERLINK("https://ictv.global/ictv/proposals/2020.026M.R.Jingchuvirales.zip","2020.026M.R.Jingchuvirales.zip")</f>
        <v>2020.026M.R.Jingchuvirales.zip</v>
      </c>
    </row>
    <row r="13181" spans="1:21">
      <c r="A13181">
        <v>13180</v>
      </c>
      <c r="B13181" s="27" t="s">
        <v>1124</v>
      </c>
      <c r="D13181" s="27" t="s">
        <v>1859</v>
      </c>
      <c r="F13181" s="27" t="s">
        <v>938</v>
      </c>
      <c r="G13181" s="27" t="s">
        <v>939</v>
      </c>
      <c r="H13181" s="27" t="s">
        <v>945</v>
      </c>
      <c r="J13181" s="27" t="s">
        <v>946</v>
      </c>
      <c r="L13181" s="27" t="s">
        <v>947</v>
      </c>
      <c r="N13181" s="27" t="s">
        <v>948</v>
      </c>
      <c r="P13181" s="27" t="s">
        <v>3491</v>
      </c>
      <c r="Q13181" s="26" t="str">
        <f>HYPERLINK("https://ictv.global/taxonomy/taxondetails?taxnode_id=202506046&amp;ictv_id=ICTV20186046","ICTV20186046")</f>
        <v>ICTV20186046</v>
      </c>
      <c r="R13181" t="s">
        <v>580</v>
      </c>
      <c r="S13181" t="s">
        <v>824</v>
      </c>
      <c r="T13181">
        <v>36</v>
      </c>
      <c r="U13181" s="26" t="str">
        <f t="shared" si="489"/>
        <v>2020.026M.R.Jingchuvirales.zip</v>
      </c>
    </row>
    <row r="13182" spans="1:21">
      <c r="A13182">
        <v>13181</v>
      </c>
      <c r="B13182" s="27" t="s">
        <v>1124</v>
      </c>
      <c r="D13182" s="27" t="s">
        <v>1859</v>
      </c>
      <c r="F13182" s="27" t="s">
        <v>938</v>
      </c>
      <c r="G13182" s="27" t="s">
        <v>939</v>
      </c>
      <c r="H13182" s="27" t="s">
        <v>945</v>
      </c>
      <c r="J13182" s="27" t="s">
        <v>946</v>
      </c>
      <c r="L13182" s="27" t="s">
        <v>947</v>
      </c>
      <c r="N13182" s="27" t="s">
        <v>948</v>
      </c>
      <c r="P13182" s="27" t="s">
        <v>3492</v>
      </c>
      <c r="Q13182" s="26" t="str">
        <f>HYPERLINK("https://ictv.global/taxonomy/taxondetails?taxnode_id=202506051&amp;ictv_id=ICTV20186051","ICTV20186051")</f>
        <v>ICTV20186051</v>
      </c>
      <c r="R13182" t="s">
        <v>580</v>
      </c>
      <c r="S13182" t="s">
        <v>824</v>
      </c>
      <c r="T13182">
        <v>36</v>
      </c>
      <c r="U13182" s="26" t="str">
        <f t="shared" si="489"/>
        <v>2020.026M.R.Jingchuvirales.zip</v>
      </c>
    </row>
    <row r="13183" spans="1:21">
      <c r="A13183">
        <v>13182</v>
      </c>
      <c r="B13183" s="27" t="s">
        <v>1124</v>
      </c>
      <c r="D13183" s="27" t="s">
        <v>1859</v>
      </c>
      <c r="F13183" s="27" t="s">
        <v>938</v>
      </c>
      <c r="G13183" s="27" t="s">
        <v>939</v>
      </c>
      <c r="H13183" s="27" t="s">
        <v>945</v>
      </c>
      <c r="J13183" s="27" t="s">
        <v>946</v>
      </c>
      <c r="L13183" s="27" t="s">
        <v>947</v>
      </c>
      <c r="N13183" s="27" t="s">
        <v>948</v>
      </c>
      <c r="P13183" s="27" t="s">
        <v>3493</v>
      </c>
      <c r="Q13183" s="26" t="str">
        <f>HYPERLINK("https://ictv.global/taxonomy/taxondetails?taxnode_id=202509723&amp;ictv_id=ICTV202009723","ICTV202009723")</f>
        <v>ICTV202009723</v>
      </c>
      <c r="R13183" t="s">
        <v>580</v>
      </c>
      <c r="S13183" t="s">
        <v>823</v>
      </c>
      <c r="T13183">
        <v>36</v>
      </c>
      <c r="U13183" s="26" t="str">
        <f t="shared" si="489"/>
        <v>2020.026M.R.Jingchuvirales.zip</v>
      </c>
    </row>
    <row r="13184" spans="1:21">
      <c r="A13184">
        <v>13183</v>
      </c>
      <c r="B13184" s="27" t="s">
        <v>1124</v>
      </c>
      <c r="D13184" s="27" t="s">
        <v>1859</v>
      </c>
      <c r="F13184" s="27" t="s">
        <v>938</v>
      </c>
      <c r="G13184" s="27" t="s">
        <v>939</v>
      </c>
      <c r="H13184" s="27" t="s">
        <v>945</v>
      </c>
      <c r="J13184" s="27" t="s">
        <v>946</v>
      </c>
      <c r="L13184" s="27" t="s">
        <v>947</v>
      </c>
      <c r="N13184" s="27" t="s">
        <v>948</v>
      </c>
      <c r="P13184" s="27" t="s">
        <v>3494</v>
      </c>
      <c r="Q13184" s="26" t="str">
        <f>HYPERLINK("https://ictv.global/taxonomy/taxondetails?taxnode_id=202509724&amp;ictv_id=ICTV202009724","ICTV202009724")</f>
        <v>ICTV202009724</v>
      </c>
      <c r="R13184" t="s">
        <v>580</v>
      </c>
      <c r="S13184" t="s">
        <v>823</v>
      </c>
      <c r="T13184">
        <v>36</v>
      </c>
      <c r="U13184" s="26" t="str">
        <f t="shared" si="489"/>
        <v>2020.026M.R.Jingchuvirales.zip</v>
      </c>
    </row>
    <row r="13185" spans="1:21">
      <c r="A13185">
        <v>13184</v>
      </c>
      <c r="B13185" s="27" t="s">
        <v>1124</v>
      </c>
      <c r="D13185" s="27" t="s">
        <v>1859</v>
      </c>
      <c r="F13185" s="27" t="s">
        <v>938</v>
      </c>
      <c r="G13185" s="27" t="s">
        <v>939</v>
      </c>
      <c r="H13185" s="27" t="s">
        <v>945</v>
      </c>
      <c r="J13185" s="27" t="s">
        <v>946</v>
      </c>
      <c r="L13185" s="27" t="s">
        <v>947</v>
      </c>
      <c r="N13185" s="27" t="s">
        <v>948</v>
      </c>
      <c r="P13185" s="27" t="s">
        <v>3495</v>
      </c>
      <c r="Q13185" s="26" t="str">
        <f>HYPERLINK("https://ictv.global/taxonomy/taxondetails?taxnode_id=202509725&amp;ictv_id=ICTV202009725","ICTV202009725")</f>
        <v>ICTV202009725</v>
      </c>
      <c r="R13185" t="s">
        <v>580</v>
      </c>
      <c r="S13185" t="s">
        <v>823</v>
      </c>
      <c r="T13185">
        <v>36</v>
      </c>
      <c r="U13185" s="26" t="str">
        <f t="shared" si="489"/>
        <v>2020.026M.R.Jingchuvirales.zip</v>
      </c>
    </row>
    <row r="13186" spans="1:21">
      <c r="A13186">
        <v>13185</v>
      </c>
      <c r="B13186" s="27" t="s">
        <v>1124</v>
      </c>
      <c r="D13186" s="27" t="s">
        <v>1859</v>
      </c>
      <c r="F13186" s="27" t="s">
        <v>938</v>
      </c>
      <c r="G13186" s="27" t="s">
        <v>939</v>
      </c>
      <c r="H13186" s="27" t="s">
        <v>945</v>
      </c>
      <c r="J13186" s="27" t="s">
        <v>946</v>
      </c>
      <c r="L13186" s="27" t="s">
        <v>947</v>
      </c>
      <c r="N13186" s="27" t="s">
        <v>948</v>
      </c>
      <c r="P13186" s="27" t="s">
        <v>3496</v>
      </c>
      <c r="Q13186" s="26" t="str">
        <f>HYPERLINK("https://ictv.global/taxonomy/taxondetails?taxnode_id=202506067&amp;ictv_id=ICTV20186067","ICTV20186067")</f>
        <v>ICTV20186067</v>
      </c>
      <c r="R13186" t="s">
        <v>580</v>
      </c>
      <c r="S13186" t="s">
        <v>824</v>
      </c>
      <c r="T13186">
        <v>36</v>
      </c>
      <c r="U13186" s="26" t="str">
        <f t="shared" si="489"/>
        <v>2020.026M.R.Jingchuvirales.zip</v>
      </c>
    </row>
    <row r="13187" spans="1:21">
      <c r="A13187">
        <v>13186</v>
      </c>
      <c r="B13187" s="27" t="s">
        <v>1124</v>
      </c>
      <c r="D13187" s="27" t="s">
        <v>1859</v>
      </c>
      <c r="F13187" s="27" t="s">
        <v>938</v>
      </c>
      <c r="G13187" s="27" t="s">
        <v>939</v>
      </c>
      <c r="H13187" s="27" t="s">
        <v>945</v>
      </c>
      <c r="J13187" s="27" t="s">
        <v>946</v>
      </c>
      <c r="L13187" s="27" t="s">
        <v>947</v>
      </c>
      <c r="N13187" s="27" t="s">
        <v>948</v>
      </c>
      <c r="P13187" s="27" t="s">
        <v>3497</v>
      </c>
      <c r="Q13187" s="26" t="str">
        <f>HYPERLINK("https://ictv.global/taxonomy/taxondetails?taxnode_id=202506069&amp;ictv_id=ICTV20186069","ICTV20186069")</f>
        <v>ICTV20186069</v>
      </c>
      <c r="R13187" t="s">
        <v>580</v>
      </c>
      <c r="S13187" t="s">
        <v>824</v>
      </c>
      <c r="T13187">
        <v>36</v>
      </c>
      <c r="U13187" s="26" t="str">
        <f t="shared" si="489"/>
        <v>2020.026M.R.Jingchuvirales.zip</v>
      </c>
    </row>
    <row r="13188" spans="1:21">
      <c r="A13188">
        <v>13187</v>
      </c>
      <c r="B13188" s="27" t="s">
        <v>1124</v>
      </c>
      <c r="D13188" s="27" t="s">
        <v>1859</v>
      </c>
      <c r="F13188" s="27" t="s">
        <v>938</v>
      </c>
      <c r="G13188" s="27" t="s">
        <v>939</v>
      </c>
      <c r="H13188" s="27" t="s">
        <v>945</v>
      </c>
      <c r="J13188" s="27" t="s">
        <v>946</v>
      </c>
      <c r="L13188" s="27" t="s">
        <v>947</v>
      </c>
      <c r="N13188" s="27" t="s">
        <v>3498</v>
      </c>
      <c r="P13188" s="27" t="s">
        <v>3499</v>
      </c>
      <c r="Q13188" s="26" t="str">
        <f>HYPERLINK("https://ictv.global/taxonomy/taxondetails?taxnode_id=202506041&amp;ictv_id=ICTV20186041","ICTV20186041")</f>
        <v>ICTV20186041</v>
      </c>
      <c r="R13188" t="s">
        <v>580</v>
      </c>
      <c r="S13188" t="s">
        <v>22764</v>
      </c>
      <c r="T13188">
        <v>36</v>
      </c>
      <c r="U13188" s="26" t="str">
        <f t="shared" si="489"/>
        <v>2020.026M.R.Jingchuvirales.zip</v>
      </c>
    </row>
    <row r="13189" spans="1:21">
      <c r="A13189">
        <v>13188</v>
      </c>
      <c r="B13189" s="27" t="s">
        <v>1124</v>
      </c>
      <c r="D13189" s="27" t="s">
        <v>1859</v>
      </c>
      <c r="F13189" s="27" t="s">
        <v>938</v>
      </c>
      <c r="G13189" s="27" t="s">
        <v>939</v>
      </c>
      <c r="H13189" s="27" t="s">
        <v>945</v>
      </c>
      <c r="J13189" s="27" t="s">
        <v>946</v>
      </c>
      <c r="L13189" s="27" t="s">
        <v>947</v>
      </c>
      <c r="N13189" s="27" t="s">
        <v>3500</v>
      </c>
      <c r="P13189" s="27" t="s">
        <v>3501</v>
      </c>
      <c r="Q13189" s="26" t="str">
        <f>HYPERLINK("https://ictv.global/taxonomy/taxondetails?taxnode_id=202509728&amp;ictv_id=ICTV202009728","ICTV202009728")</f>
        <v>ICTV202009728</v>
      </c>
      <c r="R13189" t="s">
        <v>580</v>
      </c>
      <c r="S13189" t="s">
        <v>823</v>
      </c>
      <c r="T13189">
        <v>36</v>
      </c>
      <c r="U13189" s="26" t="str">
        <f t="shared" si="489"/>
        <v>2020.026M.R.Jingchuvirales.zip</v>
      </c>
    </row>
    <row r="13190" spans="1:21">
      <c r="A13190">
        <v>13189</v>
      </c>
      <c r="B13190" s="27" t="s">
        <v>1124</v>
      </c>
      <c r="D13190" s="27" t="s">
        <v>1859</v>
      </c>
      <c r="F13190" s="27" t="s">
        <v>938</v>
      </c>
      <c r="G13190" s="27" t="s">
        <v>939</v>
      </c>
      <c r="H13190" s="27" t="s">
        <v>945</v>
      </c>
      <c r="J13190" s="27" t="s">
        <v>946</v>
      </c>
      <c r="L13190" s="27" t="s">
        <v>947</v>
      </c>
      <c r="N13190" s="27" t="s">
        <v>3500</v>
      </c>
      <c r="P13190" s="27" t="s">
        <v>9295</v>
      </c>
      <c r="Q13190" s="26" t="str">
        <f>HYPERLINK("https://ictv.global/taxonomy/taxondetails?taxnode_id=202514137&amp;ictv_id=ICTV202214137","ICTV202214137")</f>
        <v>ICTV202214137</v>
      </c>
      <c r="R13190" t="s">
        <v>580</v>
      </c>
      <c r="S13190" t="s">
        <v>823</v>
      </c>
      <c r="T13190">
        <v>38</v>
      </c>
      <c r="U13190" s="26" t="str">
        <f>HYPERLINK("https://ictv.global/ictv/proposals/2021.015M.Jingchuvirales_2ngen_10nsp.zip","2021.015M.Jingchuvirales_2ngen_10nsp.zip")</f>
        <v>2021.015M.Jingchuvirales_2ngen_10nsp.zip</v>
      </c>
    </row>
    <row r="13191" spans="1:21">
      <c r="A13191">
        <v>13190</v>
      </c>
      <c r="B13191" s="27" t="s">
        <v>1124</v>
      </c>
      <c r="D13191" s="27" t="s">
        <v>1859</v>
      </c>
      <c r="F13191" s="27" t="s">
        <v>938</v>
      </c>
      <c r="G13191" s="27" t="s">
        <v>939</v>
      </c>
      <c r="H13191" s="27" t="s">
        <v>945</v>
      </c>
      <c r="J13191" s="27" t="s">
        <v>946</v>
      </c>
      <c r="L13191" s="27" t="s">
        <v>947</v>
      </c>
      <c r="N13191" s="27" t="s">
        <v>3502</v>
      </c>
      <c r="P13191" s="27" t="s">
        <v>3503</v>
      </c>
      <c r="Q13191" s="26" t="str">
        <f>HYPERLINK("https://ictv.global/taxonomy/taxondetails?taxnode_id=202509730&amp;ictv_id=ICTV202009730","ICTV202009730")</f>
        <v>ICTV202009730</v>
      </c>
      <c r="R13191" t="s">
        <v>580</v>
      </c>
      <c r="S13191" t="s">
        <v>823</v>
      </c>
      <c r="T13191">
        <v>36</v>
      </c>
      <c r="U13191" s="26" t="str">
        <f>HYPERLINK("https://ictv.global/ictv/proposals/2020.026M.R.Jingchuvirales.zip","2020.026M.R.Jingchuvirales.zip")</f>
        <v>2020.026M.R.Jingchuvirales.zip</v>
      </c>
    </row>
    <row r="13192" spans="1:21">
      <c r="A13192">
        <v>13191</v>
      </c>
      <c r="B13192" s="27" t="s">
        <v>1124</v>
      </c>
      <c r="D13192" s="27" t="s">
        <v>1859</v>
      </c>
      <c r="F13192" s="27" t="s">
        <v>938</v>
      </c>
      <c r="G13192" s="27" t="s">
        <v>939</v>
      </c>
      <c r="H13192" s="27" t="s">
        <v>945</v>
      </c>
      <c r="J13192" s="27" t="s">
        <v>946</v>
      </c>
      <c r="L13192" s="27" t="s">
        <v>947</v>
      </c>
      <c r="N13192" s="27" t="s">
        <v>3502</v>
      </c>
      <c r="P13192" s="27" t="s">
        <v>3504</v>
      </c>
      <c r="Q13192" s="26" t="str">
        <f>HYPERLINK("https://ictv.global/taxonomy/taxondetails?taxnode_id=202506064&amp;ictv_id=ICTV20186064","ICTV20186064")</f>
        <v>ICTV20186064</v>
      </c>
      <c r="R13192" t="s">
        <v>580</v>
      </c>
      <c r="S13192" t="s">
        <v>22764</v>
      </c>
      <c r="T13192">
        <v>36</v>
      </c>
      <c r="U13192" s="26" t="str">
        <f>HYPERLINK("https://ictv.global/ictv/proposals/2020.026M.R.Jingchuvirales.zip","2020.026M.R.Jingchuvirales.zip")</f>
        <v>2020.026M.R.Jingchuvirales.zip</v>
      </c>
    </row>
    <row r="13193" spans="1:21">
      <c r="A13193">
        <v>13192</v>
      </c>
      <c r="B13193" s="27" t="s">
        <v>1124</v>
      </c>
      <c r="D13193" s="27" t="s">
        <v>1859</v>
      </c>
      <c r="F13193" s="27" t="s">
        <v>938</v>
      </c>
      <c r="G13193" s="27" t="s">
        <v>939</v>
      </c>
      <c r="H13193" s="27" t="s">
        <v>945</v>
      </c>
      <c r="J13193" s="27" t="s">
        <v>946</v>
      </c>
      <c r="L13193" s="27" t="s">
        <v>947</v>
      </c>
      <c r="N13193" s="27" t="s">
        <v>3502</v>
      </c>
      <c r="P13193" s="27" t="s">
        <v>3505</v>
      </c>
      <c r="Q13193" s="26" t="str">
        <f>HYPERLINK("https://ictv.global/taxonomy/taxondetails?taxnode_id=202509731&amp;ictv_id=ICTV202009731","ICTV202009731")</f>
        <v>ICTV202009731</v>
      </c>
      <c r="R13193" t="s">
        <v>580</v>
      </c>
      <c r="S13193" t="s">
        <v>823</v>
      </c>
      <c r="T13193">
        <v>36</v>
      </c>
      <c r="U13193" s="26" t="str">
        <f>HYPERLINK("https://ictv.global/ictv/proposals/2020.026M.R.Jingchuvirales.zip","2020.026M.R.Jingchuvirales.zip")</f>
        <v>2020.026M.R.Jingchuvirales.zip</v>
      </c>
    </row>
    <row r="13194" spans="1:21">
      <c r="A13194">
        <v>13193</v>
      </c>
      <c r="B13194" s="27" t="s">
        <v>1124</v>
      </c>
      <c r="D13194" s="27" t="s">
        <v>1859</v>
      </c>
      <c r="F13194" s="27" t="s">
        <v>938</v>
      </c>
      <c r="G13194" s="27" t="s">
        <v>939</v>
      </c>
      <c r="H13194" s="27" t="s">
        <v>945</v>
      </c>
      <c r="J13194" s="27" t="s">
        <v>946</v>
      </c>
      <c r="L13194" s="27" t="s">
        <v>947</v>
      </c>
      <c r="N13194" s="27" t="s">
        <v>3506</v>
      </c>
      <c r="P13194" s="27" t="s">
        <v>3507</v>
      </c>
      <c r="Q13194" s="26" t="str">
        <f>HYPERLINK("https://ictv.global/taxonomy/taxondetails?taxnode_id=202506042&amp;ictv_id=ICTV20186042","ICTV20186042")</f>
        <v>ICTV20186042</v>
      </c>
      <c r="R13194" t="s">
        <v>580</v>
      </c>
      <c r="S13194" t="s">
        <v>22767</v>
      </c>
      <c r="T13194">
        <v>36</v>
      </c>
      <c r="U13194" s="26" t="str">
        <f>HYPERLINK("https://ictv.global/ictv/proposals/2020.001G.R.Abolish_type_species.pdf","2020.001G.R.Abolish_type_species.pdf")</f>
        <v>2020.001G.R.Abolish_type_species.pdf</v>
      </c>
    </row>
    <row r="13195" spans="1:21">
      <c r="A13195">
        <v>13194</v>
      </c>
      <c r="B13195" s="27" t="s">
        <v>1124</v>
      </c>
      <c r="D13195" s="27" t="s">
        <v>1859</v>
      </c>
      <c r="F13195" s="27" t="s">
        <v>938</v>
      </c>
      <c r="G13195" s="27" t="s">
        <v>939</v>
      </c>
      <c r="H13195" s="27" t="s">
        <v>945</v>
      </c>
      <c r="J13195" s="27" t="s">
        <v>946</v>
      </c>
      <c r="L13195" s="27" t="s">
        <v>947</v>
      </c>
      <c r="N13195" s="27" t="s">
        <v>3508</v>
      </c>
      <c r="P13195" s="27" t="s">
        <v>9296</v>
      </c>
      <c r="Q13195" s="26" t="str">
        <f>HYPERLINK("https://ictv.global/taxonomy/taxondetails?taxnode_id=202514138&amp;ictv_id=ICTV202214138","ICTV202214138")</f>
        <v>ICTV202214138</v>
      </c>
      <c r="R13195" t="s">
        <v>580</v>
      </c>
      <c r="S13195" t="s">
        <v>823</v>
      </c>
      <c r="T13195">
        <v>38</v>
      </c>
      <c r="U13195" s="26" t="str">
        <f>HYPERLINK("https://ictv.global/ictv/proposals/2021.015M.Jingchuvirales_2ngen_10nsp.zip","2021.015M.Jingchuvirales_2ngen_10nsp.zip")</f>
        <v>2021.015M.Jingchuvirales_2ngen_10nsp.zip</v>
      </c>
    </row>
    <row r="13196" spans="1:21">
      <c r="A13196">
        <v>13195</v>
      </c>
      <c r="B13196" s="27" t="s">
        <v>1124</v>
      </c>
      <c r="D13196" s="27" t="s">
        <v>1859</v>
      </c>
      <c r="F13196" s="27" t="s">
        <v>938</v>
      </c>
      <c r="G13196" s="27" t="s">
        <v>939</v>
      </c>
      <c r="H13196" s="27" t="s">
        <v>945</v>
      </c>
      <c r="J13196" s="27" t="s">
        <v>946</v>
      </c>
      <c r="L13196" s="27" t="s">
        <v>947</v>
      </c>
      <c r="N13196" s="27" t="s">
        <v>3508</v>
      </c>
      <c r="P13196" s="27" t="s">
        <v>3509</v>
      </c>
      <c r="Q13196" s="26" t="str">
        <f>HYPERLINK("https://ictv.global/taxonomy/taxondetails?taxnode_id=202509734&amp;ictv_id=ICTV202009734","ICTV202009734")</f>
        <v>ICTV202009734</v>
      </c>
      <c r="R13196" t="s">
        <v>580</v>
      </c>
      <c r="S13196" t="s">
        <v>823</v>
      </c>
      <c r="T13196">
        <v>36</v>
      </c>
      <c r="U13196" s="26" t="str">
        <f>HYPERLINK("https://ictv.global/ictv/proposals/2020.026M.R.Jingchuvirales.zip","2020.026M.R.Jingchuvirales.zip")</f>
        <v>2020.026M.R.Jingchuvirales.zip</v>
      </c>
    </row>
    <row r="13197" spans="1:21">
      <c r="A13197">
        <v>13196</v>
      </c>
      <c r="B13197" s="27" t="s">
        <v>1124</v>
      </c>
      <c r="D13197" s="27" t="s">
        <v>1859</v>
      </c>
      <c r="F13197" s="27" t="s">
        <v>938</v>
      </c>
      <c r="G13197" s="27" t="s">
        <v>939</v>
      </c>
      <c r="H13197" s="27" t="s">
        <v>945</v>
      </c>
      <c r="J13197" s="27" t="s">
        <v>946</v>
      </c>
      <c r="L13197" s="27" t="s">
        <v>947</v>
      </c>
      <c r="N13197" s="27" t="s">
        <v>3508</v>
      </c>
      <c r="P13197" s="27" t="s">
        <v>3510</v>
      </c>
      <c r="Q13197" s="26" t="str">
        <f>HYPERLINK("https://ictv.global/taxonomy/taxondetails?taxnode_id=202509735&amp;ictv_id=ICTV202009735","ICTV202009735")</f>
        <v>ICTV202009735</v>
      </c>
      <c r="R13197" t="s">
        <v>580</v>
      </c>
      <c r="S13197" t="s">
        <v>823</v>
      </c>
      <c r="T13197">
        <v>36</v>
      </c>
      <c r="U13197" s="26" t="str">
        <f>HYPERLINK("https://ictv.global/ictv/proposals/2020.026M.R.Jingchuvirales.zip","2020.026M.R.Jingchuvirales.zip")</f>
        <v>2020.026M.R.Jingchuvirales.zip</v>
      </c>
    </row>
    <row r="13198" spans="1:21">
      <c r="A13198">
        <v>13197</v>
      </c>
      <c r="B13198" s="27" t="s">
        <v>1124</v>
      </c>
      <c r="D13198" s="27" t="s">
        <v>1859</v>
      </c>
      <c r="F13198" s="27" t="s">
        <v>938</v>
      </c>
      <c r="G13198" s="27" t="s">
        <v>939</v>
      </c>
      <c r="H13198" s="27" t="s">
        <v>945</v>
      </c>
      <c r="J13198" s="27" t="s">
        <v>946</v>
      </c>
      <c r="L13198" s="27" t="s">
        <v>947</v>
      </c>
      <c r="N13198" s="27" t="s">
        <v>3508</v>
      </c>
      <c r="P13198" s="27" t="s">
        <v>3511</v>
      </c>
      <c r="Q13198" s="26" t="str">
        <f>HYPERLINK("https://ictv.global/taxonomy/taxondetails?taxnode_id=202506065&amp;ictv_id=ICTV20186065","ICTV20186065")</f>
        <v>ICTV20186065</v>
      </c>
      <c r="R13198" t="s">
        <v>580</v>
      </c>
      <c r="S13198" t="s">
        <v>22764</v>
      </c>
      <c r="T13198">
        <v>36</v>
      </c>
      <c r="U13198" s="26" t="str">
        <f>HYPERLINK("https://ictv.global/ictv/proposals/2020.026M.R.Jingchuvirales.zip","2020.026M.R.Jingchuvirales.zip")</f>
        <v>2020.026M.R.Jingchuvirales.zip</v>
      </c>
    </row>
    <row r="13199" spans="1:21">
      <c r="A13199">
        <v>13198</v>
      </c>
      <c r="B13199" s="27" t="s">
        <v>1124</v>
      </c>
      <c r="D13199" s="27" t="s">
        <v>1859</v>
      </c>
      <c r="F13199" s="27" t="s">
        <v>938</v>
      </c>
      <c r="G13199" s="27" t="s">
        <v>939</v>
      </c>
      <c r="H13199" s="27" t="s">
        <v>945</v>
      </c>
      <c r="J13199" s="27" t="s">
        <v>946</v>
      </c>
      <c r="L13199" s="27" t="s">
        <v>947</v>
      </c>
      <c r="N13199" s="27" t="s">
        <v>3508</v>
      </c>
      <c r="P13199" s="27" t="s">
        <v>3512</v>
      </c>
      <c r="Q13199" s="26" t="str">
        <f>HYPERLINK("https://ictv.global/taxonomy/taxondetails?taxnode_id=202509736&amp;ictv_id=ICTV202009736","ICTV202009736")</f>
        <v>ICTV202009736</v>
      </c>
      <c r="R13199" t="s">
        <v>580</v>
      </c>
      <c r="S13199" t="s">
        <v>823</v>
      </c>
      <c r="T13199">
        <v>36</v>
      </c>
      <c r="U13199" s="26" t="str">
        <f>HYPERLINK("https://ictv.global/ictv/proposals/2020.026M.R.Jingchuvirales.zip","2020.026M.R.Jingchuvirales.zip")</f>
        <v>2020.026M.R.Jingchuvirales.zip</v>
      </c>
    </row>
    <row r="13200" spans="1:21">
      <c r="A13200">
        <v>13199</v>
      </c>
      <c r="B13200" s="27" t="s">
        <v>1124</v>
      </c>
      <c r="D13200" s="27" t="s">
        <v>1859</v>
      </c>
      <c r="F13200" s="27" t="s">
        <v>938</v>
      </c>
      <c r="G13200" s="27" t="s">
        <v>939</v>
      </c>
      <c r="H13200" s="27" t="s">
        <v>945</v>
      </c>
      <c r="J13200" s="27" t="s">
        <v>946</v>
      </c>
      <c r="L13200" s="27" t="s">
        <v>947</v>
      </c>
      <c r="N13200" s="27" t="s">
        <v>3513</v>
      </c>
      <c r="P13200" s="27" t="s">
        <v>3514</v>
      </c>
      <c r="Q13200" s="26" t="str">
        <f>HYPERLINK("https://ictv.global/taxonomy/taxondetails?taxnode_id=202509738&amp;ictv_id=ICTV202009738","ICTV202009738")</f>
        <v>ICTV202009738</v>
      </c>
      <c r="R13200" t="s">
        <v>580</v>
      </c>
      <c r="S13200" t="s">
        <v>823</v>
      </c>
      <c r="T13200">
        <v>36</v>
      </c>
      <c r="U13200" s="26" t="str">
        <f>HYPERLINK("https://ictv.global/ictv/proposals/2020.026M.R.Jingchuvirales.zip","2020.026M.R.Jingchuvirales.zip")</f>
        <v>2020.026M.R.Jingchuvirales.zip</v>
      </c>
    </row>
    <row r="13201" spans="1:21">
      <c r="A13201">
        <v>13200</v>
      </c>
      <c r="B13201" s="27" t="s">
        <v>1124</v>
      </c>
      <c r="D13201" s="27" t="s">
        <v>1859</v>
      </c>
      <c r="F13201" s="27" t="s">
        <v>938</v>
      </c>
      <c r="G13201" s="27" t="s">
        <v>939</v>
      </c>
      <c r="H13201" s="27" t="s">
        <v>945</v>
      </c>
      <c r="J13201" s="27" t="s">
        <v>946</v>
      </c>
      <c r="L13201" s="27" t="s">
        <v>947</v>
      </c>
      <c r="N13201" s="27" t="s">
        <v>9297</v>
      </c>
      <c r="P13201" s="27" t="s">
        <v>9298</v>
      </c>
      <c r="Q13201" s="26" t="str">
        <f>HYPERLINK("https://ictv.global/taxonomy/taxondetails?taxnode_id=202514132&amp;ictv_id=ICTV202214132","ICTV202214132")</f>
        <v>ICTV202214132</v>
      </c>
      <c r="R13201" t="s">
        <v>580</v>
      </c>
      <c r="S13201" t="s">
        <v>823</v>
      </c>
      <c r="T13201">
        <v>38</v>
      </c>
      <c r="U13201" s="26" t="str">
        <f>HYPERLINK("https://ictv.global/ictv/proposals/2021.015M.Jingchuvirales_2ngen_10nsp.zip","2021.015M.Jingchuvirales_2ngen_10nsp.zip")</f>
        <v>2021.015M.Jingchuvirales_2ngen_10nsp.zip</v>
      </c>
    </row>
    <row r="13202" spans="1:21">
      <c r="A13202">
        <v>13201</v>
      </c>
      <c r="B13202" s="27" t="s">
        <v>1124</v>
      </c>
      <c r="D13202" s="27" t="s">
        <v>1859</v>
      </c>
      <c r="F13202" s="27" t="s">
        <v>938</v>
      </c>
      <c r="G13202" s="27" t="s">
        <v>939</v>
      </c>
      <c r="H13202" s="27" t="s">
        <v>945</v>
      </c>
      <c r="J13202" s="27" t="s">
        <v>946</v>
      </c>
      <c r="L13202" s="27" t="s">
        <v>947</v>
      </c>
      <c r="N13202" s="27" t="s">
        <v>3515</v>
      </c>
      <c r="P13202" s="27" t="s">
        <v>3516</v>
      </c>
      <c r="Q13202" s="26" t="str">
        <f>HYPERLINK("https://ictv.global/taxonomy/taxondetails?taxnode_id=202506048&amp;ictv_id=ICTV20186048","ICTV20186048")</f>
        <v>ICTV20186048</v>
      </c>
      <c r="R13202" t="s">
        <v>580</v>
      </c>
      <c r="S13202" t="s">
        <v>22764</v>
      </c>
      <c r="T13202">
        <v>36</v>
      </c>
      <c r="U13202" s="26" t="str">
        <f>HYPERLINK("https://ictv.global/ictv/proposals/2020.026M.R.Jingchuvirales.zip","2020.026M.R.Jingchuvirales.zip")</f>
        <v>2020.026M.R.Jingchuvirales.zip</v>
      </c>
    </row>
    <row r="13203" spans="1:21">
      <c r="A13203">
        <v>13202</v>
      </c>
      <c r="B13203" s="27" t="s">
        <v>1124</v>
      </c>
      <c r="D13203" s="27" t="s">
        <v>1859</v>
      </c>
      <c r="F13203" s="27" t="s">
        <v>938</v>
      </c>
      <c r="G13203" s="27" t="s">
        <v>939</v>
      </c>
      <c r="H13203" s="27" t="s">
        <v>945</v>
      </c>
      <c r="J13203" s="27" t="s">
        <v>946</v>
      </c>
      <c r="L13203" s="27" t="s">
        <v>947</v>
      </c>
      <c r="N13203" s="27" t="s">
        <v>3515</v>
      </c>
      <c r="P13203" s="27" t="s">
        <v>3517</v>
      </c>
      <c r="Q13203" s="26" t="str">
        <f>HYPERLINK("https://ictv.global/taxonomy/taxondetails?taxnode_id=202506056&amp;ictv_id=ICTV20186056","ICTV20186056")</f>
        <v>ICTV20186056</v>
      </c>
      <c r="R13203" t="s">
        <v>580</v>
      </c>
      <c r="S13203" t="s">
        <v>22764</v>
      </c>
      <c r="T13203">
        <v>36</v>
      </c>
      <c r="U13203" s="26" t="str">
        <f>HYPERLINK("https://ictv.global/ictv/proposals/2020.026M.R.Jingchuvirales.zip","2020.026M.R.Jingchuvirales.zip")</f>
        <v>2020.026M.R.Jingchuvirales.zip</v>
      </c>
    </row>
    <row r="13204" spans="1:21">
      <c r="A13204">
        <v>13203</v>
      </c>
      <c r="B13204" s="27" t="s">
        <v>1124</v>
      </c>
      <c r="D13204" s="27" t="s">
        <v>1859</v>
      </c>
      <c r="F13204" s="27" t="s">
        <v>938</v>
      </c>
      <c r="G13204" s="27" t="s">
        <v>939</v>
      </c>
      <c r="H13204" s="27" t="s">
        <v>945</v>
      </c>
      <c r="J13204" s="27" t="s">
        <v>946</v>
      </c>
      <c r="L13204" s="27" t="s">
        <v>947</v>
      </c>
      <c r="N13204" s="27" t="s">
        <v>3515</v>
      </c>
      <c r="P13204" s="27" t="s">
        <v>3518</v>
      </c>
      <c r="Q13204" s="26" t="str">
        <f>HYPERLINK("https://ictv.global/taxonomy/taxondetails?taxnode_id=202506055&amp;ictv_id=ICTV20186055","ICTV20186055")</f>
        <v>ICTV20186055</v>
      </c>
      <c r="R13204" t="s">
        <v>580</v>
      </c>
      <c r="S13204" t="s">
        <v>22764</v>
      </c>
      <c r="T13204">
        <v>36</v>
      </c>
      <c r="U13204" s="26" t="str">
        <f>HYPERLINK("https://ictv.global/ictv/proposals/2020.026M.R.Jingchuvirales.zip","2020.026M.R.Jingchuvirales.zip")</f>
        <v>2020.026M.R.Jingchuvirales.zip</v>
      </c>
    </row>
    <row r="13205" spans="1:21">
      <c r="A13205">
        <v>13204</v>
      </c>
      <c r="B13205" s="27" t="s">
        <v>1124</v>
      </c>
      <c r="D13205" s="27" t="s">
        <v>1859</v>
      </c>
      <c r="F13205" s="27" t="s">
        <v>938</v>
      </c>
      <c r="G13205" s="27" t="s">
        <v>939</v>
      </c>
      <c r="H13205" s="27" t="s">
        <v>945</v>
      </c>
      <c r="J13205" s="27" t="s">
        <v>946</v>
      </c>
      <c r="L13205" s="27" t="s">
        <v>947</v>
      </c>
      <c r="N13205" s="27" t="s">
        <v>3515</v>
      </c>
      <c r="P13205" s="27" t="s">
        <v>3519</v>
      </c>
      <c r="Q13205" s="26" t="str">
        <f>HYPERLINK("https://ictv.global/taxonomy/taxondetails?taxnode_id=202509740&amp;ictv_id=ICTV202009740","ICTV202009740")</f>
        <v>ICTV202009740</v>
      </c>
      <c r="R13205" t="s">
        <v>580</v>
      </c>
      <c r="S13205" t="s">
        <v>823</v>
      </c>
      <c r="T13205">
        <v>36</v>
      </c>
      <c r="U13205" s="26" t="str">
        <f>HYPERLINK("https://ictv.global/ictv/proposals/2020.026M.R.Jingchuvirales.zip","2020.026M.R.Jingchuvirales.zip")</f>
        <v>2020.026M.R.Jingchuvirales.zip</v>
      </c>
    </row>
    <row r="13206" spans="1:21">
      <c r="A13206">
        <v>13205</v>
      </c>
      <c r="B13206" s="27" t="s">
        <v>1124</v>
      </c>
      <c r="D13206" s="27" t="s">
        <v>1859</v>
      </c>
      <c r="F13206" s="27" t="s">
        <v>938</v>
      </c>
      <c r="G13206" s="27" t="s">
        <v>939</v>
      </c>
      <c r="H13206" s="27" t="s">
        <v>945</v>
      </c>
      <c r="J13206" s="27" t="s">
        <v>946</v>
      </c>
      <c r="L13206" s="27" t="s">
        <v>947</v>
      </c>
      <c r="N13206" s="27" t="s">
        <v>3515</v>
      </c>
      <c r="P13206" s="27" t="s">
        <v>3520</v>
      </c>
      <c r="Q13206" s="26" t="str">
        <f>HYPERLINK("https://ictv.global/taxonomy/taxondetails?taxnode_id=202506059&amp;ictv_id=ICTV20186059","ICTV20186059")</f>
        <v>ICTV20186059</v>
      </c>
      <c r="R13206" t="s">
        <v>580</v>
      </c>
      <c r="S13206" t="s">
        <v>22764</v>
      </c>
      <c r="T13206">
        <v>36</v>
      </c>
      <c r="U13206" s="26" t="str">
        <f>HYPERLINK("https://ictv.global/ictv/proposals/2020.026M.R.Jingchuvirales.zip","2020.026M.R.Jingchuvirales.zip")</f>
        <v>2020.026M.R.Jingchuvirales.zip</v>
      </c>
    </row>
    <row r="13207" spans="1:21">
      <c r="A13207">
        <v>13206</v>
      </c>
      <c r="B13207" s="27" t="s">
        <v>1124</v>
      </c>
      <c r="D13207" s="27" t="s">
        <v>1859</v>
      </c>
      <c r="F13207" s="27" t="s">
        <v>938</v>
      </c>
      <c r="G13207" s="27" t="s">
        <v>939</v>
      </c>
      <c r="H13207" s="27" t="s">
        <v>945</v>
      </c>
      <c r="J13207" s="27" t="s">
        <v>946</v>
      </c>
      <c r="L13207" s="27" t="s">
        <v>947</v>
      </c>
      <c r="N13207" s="27" t="s">
        <v>3515</v>
      </c>
      <c r="P13207" s="27" t="s">
        <v>9299</v>
      </c>
      <c r="Q13207" s="26" t="str">
        <f>HYPERLINK("https://ictv.global/taxonomy/taxondetails?taxnode_id=202514133&amp;ictv_id=ICTV202214133","ICTV202214133")</f>
        <v>ICTV202214133</v>
      </c>
      <c r="R13207" t="s">
        <v>580</v>
      </c>
      <c r="S13207" t="s">
        <v>823</v>
      </c>
      <c r="T13207">
        <v>38</v>
      </c>
      <c r="U13207" s="26" t="str">
        <f>HYPERLINK("https://ictv.global/ictv/proposals/2021.015M.Jingchuvirales_2ngen_10nsp.zip","2021.015M.Jingchuvirales_2ngen_10nsp.zip")</f>
        <v>2021.015M.Jingchuvirales_2ngen_10nsp.zip</v>
      </c>
    </row>
    <row r="13208" spans="1:21">
      <c r="A13208">
        <v>13207</v>
      </c>
      <c r="B13208" s="27" t="s">
        <v>1124</v>
      </c>
      <c r="D13208" s="27" t="s">
        <v>1859</v>
      </c>
      <c r="F13208" s="27" t="s">
        <v>938</v>
      </c>
      <c r="G13208" s="27" t="s">
        <v>939</v>
      </c>
      <c r="H13208" s="27" t="s">
        <v>945</v>
      </c>
      <c r="J13208" s="27" t="s">
        <v>946</v>
      </c>
      <c r="L13208" s="27" t="s">
        <v>947</v>
      </c>
      <c r="N13208" s="27" t="s">
        <v>3515</v>
      </c>
      <c r="P13208" s="27" t="s">
        <v>9300</v>
      </c>
      <c r="Q13208" s="26" t="str">
        <f>HYPERLINK("https://ictv.global/taxonomy/taxondetails?taxnode_id=202514135&amp;ictv_id=ICTV202214135","ICTV202214135")</f>
        <v>ICTV202214135</v>
      </c>
      <c r="R13208" t="s">
        <v>580</v>
      </c>
      <c r="S13208" t="s">
        <v>823</v>
      </c>
      <c r="T13208">
        <v>38</v>
      </c>
      <c r="U13208" s="26" t="str">
        <f>HYPERLINK("https://ictv.global/ictv/proposals/2021.015M.Jingchuvirales_2ngen_10nsp.zip","2021.015M.Jingchuvirales_2ngen_10nsp.zip")</f>
        <v>2021.015M.Jingchuvirales_2ngen_10nsp.zip</v>
      </c>
    </row>
    <row r="13209" spans="1:21">
      <c r="A13209">
        <v>13208</v>
      </c>
      <c r="B13209" s="27" t="s">
        <v>1124</v>
      </c>
      <c r="D13209" s="27" t="s">
        <v>1859</v>
      </c>
      <c r="F13209" s="27" t="s">
        <v>938</v>
      </c>
      <c r="G13209" s="27" t="s">
        <v>939</v>
      </c>
      <c r="H13209" s="27" t="s">
        <v>945</v>
      </c>
      <c r="J13209" s="27" t="s">
        <v>946</v>
      </c>
      <c r="L13209" s="27" t="s">
        <v>947</v>
      </c>
      <c r="N13209" s="27" t="s">
        <v>3521</v>
      </c>
      <c r="P13209" s="27" t="s">
        <v>3522</v>
      </c>
      <c r="Q13209" s="26" t="str">
        <f>HYPERLINK("https://ictv.global/taxonomy/taxondetails?taxnode_id=202506068&amp;ictv_id=ICTV20186068","ICTV20186068")</f>
        <v>ICTV20186068</v>
      </c>
      <c r="R13209" t="s">
        <v>580</v>
      </c>
      <c r="S13209" t="s">
        <v>22764</v>
      </c>
      <c r="T13209">
        <v>36</v>
      </c>
      <c r="U13209" s="26" t="str">
        <f>HYPERLINK("https://ictv.global/ictv/proposals/2020.026M.R.Jingchuvirales.zip","2020.026M.R.Jingchuvirales.zip")</f>
        <v>2020.026M.R.Jingchuvirales.zip</v>
      </c>
    </row>
    <row r="13210" spans="1:21">
      <c r="A13210">
        <v>13209</v>
      </c>
      <c r="B13210" s="27" t="s">
        <v>1124</v>
      </c>
      <c r="D13210" s="27" t="s">
        <v>1859</v>
      </c>
      <c r="F13210" s="27" t="s">
        <v>938</v>
      </c>
      <c r="G13210" s="27" t="s">
        <v>939</v>
      </c>
      <c r="H13210" s="27" t="s">
        <v>945</v>
      </c>
      <c r="J13210" s="27" t="s">
        <v>946</v>
      </c>
      <c r="L13210" s="27" t="s">
        <v>947</v>
      </c>
      <c r="N13210" s="27" t="s">
        <v>9301</v>
      </c>
      <c r="P13210" s="27" t="s">
        <v>9302</v>
      </c>
      <c r="Q13210" s="26" t="str">
        <f>HYPERLINK("https://ictv.global/taxonomy/taxondetails?taxnode_id=202514134&amp;ictv_id=ICTV202214134","ICTV202214134")</f>
        <v>ICTV202214134</v>
      </c>
      <c r="R13210" t="s">
        <v>580</v>
      </c>
      <c r="S13210" t="s">
        <v>823</v>
      </c>
      <c r="T13210">
        <v>38</v>
      </c>
      <c r="U13210" s="26" t="str">
        <f>HYPERLINK("https://ictv.global/ictv/proposals/2021.015M.Jingchuvirales_2ngen_10nsp.zip","2021.015M.Jingchuvirales_2ngen_10nsp.zip")</f>
        <v>2021.015M.Jingchuvirales_2ngen_10nsp.zip</v>
      </c>
    </row>
    <row r="13211" spans="1:21">
      <c r="A13211">
        <v>13210</v>
      </c>
      <c r="B13211" s="27" t="s">
        <v>1124</v>
      </c>
      <c r="D13211" s="27" t="s">
        <v>1859</v>
      </c>
      <c r="F13211" s="27" t="s">
        <v>938</v>
      </c>
      <c r="G13211" s="27" t="s">
        <v>939</v>
      </c>
      <c r="H13211" s="27" t="s">
        <v>945</v>
      </c>
      <c r="J13211" s="27" t="s">
        <v>946</v>
      </c>
      <c r="L13211" s="27" t="s">
        <v>3523</v>
      </c>
      <c r="N13211" s="27" t="s">
        <v>3524</v>
      </c>
      <c r="P13211" s="27" t="s">
        <v>3525</v>
      </c>
      <c r="Q13211" s="26" t="str">
        <f>HYPERLINK("https://ictv.global/taxonomy/taxondetails?taxnode_id=202509711&amp;ictv_id=ICTV202009711","ICTV202009711")</f>
        <v>ICTV202009711</v>
      </c>
      <c r="R13211" t="s">
        <v>580</v>
      </c>
      <c r="S13211" t="s">
        <v>823</v>
      </c>
      <c r="T13211">
        <v>36</v>
      </c>
      <c r="U13211" s="26" t="str">
        <f>HYPERLINK("https://ictv.global/ictv/proposals/2020.026M.R.Jingchuvirales.zip","2020.026M.R.Jingchuvirales.zip")</f>
        <v>2020.026M.R.Jingchuvirales.zip</v>
      </c>
    </row>
    <row r="13212" spans="1:21">
      <c r="A13212">
        <v>13211</v>
      </c>
      <c r="B13212" s="27" t="s">
        <v>1124</v>
      </c>
      <c r="D13212" s="27" t="s">
        <v>1859</v>
      </c>
      <c r="F13212" s="27" t="s">
        <v>938</v>
      </c>
      <c r="G13212" s="27" t="s">
        <v>939</v>
      </c>
      <c r="H13212" s="27" t="s">
        <v>945</v>
      </c>
      <c r="J13212" s="27" t="s">
        <v>946</v>
      </c>
      <c r="L13212" s="27" t="s">
        <v>3526</v>
      </c>
      <c r="N13212" s="27" t="s">
        <v>3527</v>
      </c>
      <c r="P13212" s="27" t="s">
        <v>3528</v>
      </c>
      <c r="Q13212" s="26" t="str">
        <f>HYPERLINK("https://ictv.global/taxonomy/taxondetails?taxnode_id=202506063&amp;ictv_id=ICTV20186063","ICTV20186063")</f>
        <v>ICTV20186063</v>
      </c>
      <c r="R13212" t="s">
        <v>580</v>
      </c>
      <c r="S13212" t="s">
        <v>22764</v>
      </c>
      <c r="T13212">
        <v>36</v>
      </c>
      <c r="U13212" s="26" t="str">
        <f>HYPERLINK("https://ictv.global/ictv/proposals/2020.026M.R.Jingchuvirales.zip","2020.026M.R.Jingchuvirales.zip")</f>
        <v>2020.026M.R.Jingchuvirales.zip</v>
      </c>
    </row>
    <row r="13213" spans="1:21">
      <c r="A13213">
        <v>13212</v>
      </c>
      <c r="B13213" s="27" t="s">
        <v>1124</v>
      </c>
      <c r="D13213" s="27" t="s">
        <v>1859</v>
      </c>
      <c r="F13213" s="27" t="s">
        <v>938</v>
      </c>
      <c r="G13213" s="27" t="s">
        <v>939</v>
      </c>
      <c r="H13213" s="27" t="s">
        <v>945</v>
      </c>
      <c r="J13213" s="27" t="s">
        <v>946</v>
      </c>
      <c r="L13213" s="27" t="s">
        <v>3529</v>
      </c>
      <c r="N13213" s="27" t="s">
        <v>3530</v>
      </c>
      <c r="P13213" s="27" t="s">
        <v>3531</v>
      </c>
      <c r="Q13213" s="26" t="str">
        <f>HYPERLINK("https://ictv.global/taxonomy/taxondetails?taxnode_id=202506047&amp;ictv_id=ICTV20186047","ICTV20186047")</f>
        <v>ICTV20186047</v>
      </c>
      <c r="R13213" t="s">
        <v>580</v>
      </c>
      <c r="S13213" t="s">
        <v>22764</v>
      </c>
      <c r="T13213">
        <v>36</v>
      </c>
      <c r="U13213" s="26" t="str">
        <f>HYPERLINK("https://ictv.global/ictv/proposals/2020.026M.R.Jingchuvirales.zip","2020.026M.R.Jingchuvirales.zip")</f>
        <v>2020.026M.R.Jingchuvirales.zip</v>
      </c>
    </row>
    <row r="13214" spans="1:21">
      <c r="A13214">
        <v>13213</v>
      </c>
      <c r="B13214" s="27" t="s">
        <v>1124</v>
      </c>
      <c r="D13214" s="27" t="s">
        <v>1859</v>
      </c>
      <c r="F13214" s="27" t="s">
        <v>938</v>
      </c>
      <c r="G13214" s="27" t="s">
        <v>939</v>
      </c>
      <c r="H13214" s="27" t="s">
        <v>945</v>
      </c>
      <c r="J13214" s="27" t="s">
        <v>238</v>
      </c>
      <c r="L13214" s="27" t="s">
        <v>949</v>
      </c>
      <c r="N13214" s="27" t="s">
        <v>1889</v>
      </c>
      <c r="P13214" s="27" t="s">
        <v>20210</v>
      </c>
      <c r="Q13214" s="26" t="str">
        <f>HYPERLINK("https://ictv.global/taxonomy/taxondetails?taxnode_id=202520120&amp;ictv_id=ICTV202420120","ICTV202420120")</f>
        <v>ICTV202420120</v>
      </c>
      <c r="R13214" t="s">
        <v>580</v>
      </c>
      <c r="S13214" t="s">
        <v>823</v>
      </c>
      <c r="T13214">
        <v>40</v>
      </c>
      <c r="U13214" s="26" t="str">
        <f>HYPERLINK("https://ictv.global/ictv/proposals/2024.003M.Artoviridae_4nsp.zip","2024.003M.Artoviridae_4nsp.zip")</f>
        <v>2024.003M.Artoviridae_4nsp.zip</v>
      </c>
    </row>
    <row r="13215" spans="1:21">
      <c r="A13215">
        <v>13214</v>
      </c>
      <c r="B13215" s="27" t="s">
        <v>1124</v>
      </c>
      <c r="D13215" s="27" t="s">
        <v>1859</v>
      </c>
      <c r="F13215" s="27" t="s">
        <v>938</v>
      </c>
      <c r="G13215" s="27" t="s">
        <v>939</v>
      </c>
      <c r="H13215" s="27" t="s">
        <v>945</v>
      </c>
      <c r="J13215" s="27" t="s">
        <v>238</v>
      </c>
      <c r="L13215" s="27" t="s">
        <v>949</v>
      </c>
      <c r="N13215" s="27" t="s">
        <v>1889</v>
      </c>
      <c r="P13215" s="27" t="s">
        <v>20211</v>
      </c>
      <c r="Q13215" s="26" t="str">
        <f>HYPERLINK("https://ictv.global/taxonomy/taxondetails?taxnode_id=202520119&amp;ictv_id=ICTV202420119","ICTV202420119")</f>
        <v>ICTV202420119</v>
      </c>
      <c r="R13215" t="s">
        <v>580</v>
      </c>
      <c r="S13215" t="s">
        <v>823</v>
      </c>
      <c r="T13215">
        <v>40</v>
      </c>
      <c r="U13215" s="26" t="str">
        <f>HYPERLINK("https://ictv.global/ictv/proposals/2024.003M.Artoviridae_4nsp.zip","2024.003M.Artoviridae_4nsp.zip")</f>
        <v>2024.003M.Artoviridae_4nsp.zip</v>
      </c>
    </row>
    <row r="13216" spans="1:21">
      <c r="A13216">
        <v>13215</v>
      </c>
      <c r="B13216" s="27" t="s">
        <v>1124</v>
      </c>
      <c r="D13216" s="27" t="s">
        <v>1859</v>
      </c>
      <c r="F13216" s="27" t="s">
        <v>938</v>
      </c>
      <c r="G13216" s="27" t="s">
        <v>939</v>
      </c>
      <c r="H13216" s="27" t="s">
        <v>945</v>
      </c>
      <c r="J13216" s="27" t="s">
        <v>238</v>
      </c>
      <c r="L13216" s="27" t="s">
        <v>949</v>
      </c>
      <c r="N13216" s="27" t="s">
        <v>1889</v>
      </c>
      <c r="P13216" s="27" t="s">
        <v>9303</v>
      </c>
      <c r="Q13216" s="26" t="str">
        <f>HYPERLINK("https://ictv.global/taxonomy/taxondetails?taxnode_id=202506269&amp;ictv_id=ICTV20186269","ICTV20186269")</f>
        <v>ICTV20186269</v>
      </c>
      <c r="R13216" t="s">
        <v>580</v>
      </c>
      <c r="S13216" t="s">
        <v>824</v>
      </c>
      <c r="T13216">
        <v>37</v>
      </c>
      <c r="U13216" s="26" t="str">
        <f>HYPERLINK("https://ictv.global/ictv/proposals/2021.009M.R.Artoviridae_sprename.zip","2021.009M.R.Artoviridae_sprename.zip")</f>
        <v>2021.009M.R.Artoviridae_sprename.zip</v>
      </c>
    </row>
    <row r="13217" spans="1:21">
      <c r="A13217">
        <v>13216</v>
      </c>
      <c r="B13217" s="27" t="s">
        <v>1124</v>
      </c>
      <c r="D13217" s="27" t="s">
        <v>1859</v>
      </c>
      <c r="F13217" s="27" t="s">
        <v>938</v>
      </c>
      <c r="G13217" s="27" t="s">
        <v>939</v>
      </c>
      <c r="H13217" s="27" t="s">
        <v>945</v>
      </c>
      <c r="J13217" s="27" t="s">
        <v>238</v>
      </c>
      <c r="L13217" s="27" t="s">
        <v>949</v>
      </c>
      <c r="N13217" s="27" t="s">
        <v>1889</v>
      </c>
      <c r="P13217" s="27" t="s">
        <v>9304</v>
      </c>
      <c r="Q13217" s="26" t="str">
        <f>HYPERLINK("https://ictv.global/taxonomy/taxondetails?taxnode_id=202507514&amp;ictv_id=ICTV201907514","ICTV201907514")</f>
        <v>ICTV201907514</v>
      </c>
      <c r="R13217" t="s">
        <v>580</v>
      </c>
      <c r="S13217" t="s">
        <v>824</v>
      </c>
      <c r="T13217">
        <v>37</v>
      </c>
      <c r="U13217" s="26" t="str">
        <f>HYPERLINK("https://ictv.global/ictv/proposals/2021.009M.R.Artoviridae_sprename.zip","2021.009M.R.Artoviridae_sprename.zip")</f>
        <v>2021.009M.R.Artoviridae_sprename.zip</v>
      </c>
    </row>
    <row r="13218" spans="1:21">
      <c r="A13218">
        <v>13217</v>
      </c>
      <c r="B13218" s="27" t="s">
        <v>1124</v>
      </c>
      <c r="D13218" s="27" t="s">
        <v>1859</v>
      </c>
      <c r="F13218" s="27" t="s">
        <v>938</v>
      </c>
      <c r="G13218" s="27" t="s">
        <v>939</v>
      </c>
      <c r="H13218" s="27" t="s">
        <v>945</v>
      </c>
      <c r="J13218" s="27" t="s">
        <v>238</v>
      </c>
      <c r="L13218" s="27" t="s">
        <v>949</v>
      </c>
      <c r="N13218" s="27" t="s">
        <v>794</v>
      </c>
      <c r="P13218" s="27" t="s">
        <v>9305</v>
      </c>
      <c r="Q13218" s="26" t="str">
        <f>HYPERLINK("https://ictv.global/taxonomy/taxondetails?taxnode_id=202506272&amp;ictv_id=ICTV20186272","ICTV20186272")</f>
        <v>ICTV20186272</v>
      </c>
      <c r="R13218" t="s">
        <v>580</v>
      </c>
      <c r="S13218" t="s">
        <v>824</v>
      </c>
      <c r="T13218">
        <v>37</v>
      </c>
      <c r="U13218" s="26" t="str">
        <f>HYPERLINK("https://ictv.global/ictv/proposals/2021.009M.R.Artoviridae_sprename.zip","2021.009M.R.Artoviridae_sprename.zip")</f>
        <v>2021.009M.R.Artoviridae_sprename.zip</v>
      </c>
    </row>
    <row r="13219" spans="1:21">
      <c r="A13219">
        <v>13218</v>
      </c>
      <c r="B13219" s="27" t="s">
        <v>1124</v>
      </c>
      <c r="D13219" s="27" t="s">
        <v>1859</v>
      </c>
      <c r="F13219" s="27" t="s">
        <v>938</v>
      </c>
      <c r="G13219" s="27" t="s">
        <v>939</v>
      </c>
      <c r="H13219" s="27" t="s">
        <v>945</v>
      </c>
      <c r="J13219" s="27" t="s">
        <v>238</v>
      </c>
      <c r="L13219" s="27" t="s">
        <v>949</v>
      </c>
      <c r="N13219" s="27" t="s">
        <v>794</v>
      </c>
      <c r="P13219" s="27" t="s">
        <v>21364</v>
      </c>
      <c r="Q13219" s="26" t="str">
        <f>HYPERLINK("https://ictv.global/taxonomy/taxondetails?taxnode_id=202522256&amp;ictv_id=ICTV202522256","ICTV202522256")</f>
        <v>ICTV202522256</v>
      </c>
      <c r="R13219" t="s">
        <v>580</v>
      </c>
      <c r="S13219" t="s">
        <v>823</v>
      </c>
      <c r="T13219">
        <v>41</v>
      </c>
      <c r="U13219" s="26" t="str">
        <f>HYPERLINK("https://ictv.global/ictv/proposals/2025.005M.Peropuvirus_1nsp.zip","2025.005M.Peropuvirus_1nsp.zip")</f>
        <v>2025.005M.Peropuvirus_1nsp.zip</v>
      </c>
    </row>
    <row r="13220" spans="1:21">
      <c r="A13220">
        <v>13219</v>
      </c>
      <c r="B13220" s="27" t="s">
        <v>1124</v>
      </c>
      <c r="D13220" s="27" t="s">
        <v>1859</v>
      </c>
      <c r="F13220" s="27" t="s">
        <v>938</v>
      </c>
      <c r="G13220" s="27" t="s">
        <v>939</v>
      </c>
      <c r="H13220" s="27" t="s">
        <v>945</v>
      </c>
      <c r="J13220" s="27" t="s">
        <v>238</v>
      </c>
      <c r="L13220" s="27" t="s">
        <v>949</v>
      </c>
      <c r="N13220" s="27" t="s">
        <v>794</v>
      </c>
      <c r="P13220" s="27" t="s">
        <v>9306</v>
      </c>
      <c r="Q13220" s="26" t="str">
        <f>HYPERLINK("https://ictv.global/taxonomy/taxondetails?taxnode_id=202506270&amp;ictv_id=ICTV20186270","ICTV20186270")</f>
        <v>ICTV20186270</v>
      </c>
      <c r="R13220" t="s">
        <v>580</v>
      </c>
      <c r="S13220" t="s">
        <v>824</v>
      </c>
      <c r="T13220">
        <v>37</v>
      </c>
      <c r="U13220" s="26" t="str">
        <f>HYPERLINK("https://ictv.global/ictv/proposals/2021.009M.R.Artoviridae_sprename.zip","2021.009M.R.Artoviridae_sprename.zip")</f>
        <v>2021.009M.R.Artoviridae_sprename.zip</v>
      </c>
    </row>
    <row r="13221" spans="1:21">
      <c r="A13221">
        <v>13220</v>
      </c>
      <c r="B13221" s="27" t="s">
        <v>1124</v>
      </c>
      <c r="D13221" s="27" t="s">
        <v>1859</v>
      </c>
      <c r="F13221" s="27" t="s">
        <v>938</v>
      </c>
      <c r="G13221" s="27" t="s">
        <v>939</v>
      </c>
      <c r="H13221" s="27" t="s">
        <v>945</v>
      </c>
      <c r="J13221" s="27" t="s">
        <v>238</v>
      </c>
      <c r="L13221" s="27" t="s">
        <v>949</v>
      </c>
      <c r="N13221" s="27" t="s">
        <v>794</v>
      </c>
      <c r="P13221" s="27" t="s">
        <v>9307</v>
      </c>
      <c r="Q13221" s="26" t="str">
        <f>HYPERLINK("https://ictv.global/taxonomy/taxondetails?taxnode_id=202506271&amp;ictv_id=ICTV20186271","ICTV20186271")</f>
        <v>ICTV20186271</v>
      </c>
      <c r="R13221" t="s">
        <v>580</v>
      </c>
      <c r="S13221" t="s">
        <v>824</v>
      </c>
      <c r="T13221">
        <v>37</v>
      </c>
      <c r="U13221" s="26" t="str">
        <f>HYPERLINK("https://ictv.global/ictv/proposals/2021.009M.R.Artoviridae_sprename.zip","2021.009M.R.Artoviridae_sprename.zip")</f>
        <v>2021.009M.R.Artoviridae_sprename.zip</v>
      </c>
    </row>
    <row r="13222" spans="1:21">
      <c r="A13222">
        <v>13221</v>
      </c>
      <c r="B13222" s="27" t="s">
        <v>1124</v>
      </c>
      <c r="D13222" s="27" t="s">
        <v>1859</v>
      </c>
      <c r="F13222" s="27" t="s">
        <v>938</v>
      </c>
      <c r="G13222" s="27" t="s">
        <v>939</v>
      </c>
      <c r="H13222" s="27" t="s">
        <v>945</v>
      </c>
      <c r="J13222" s="27" t="s">
        <v>238</v>
      </c>
      <c r="L13222" s="27" t="s">
        <v>949</v>
      </c>
      <c r="N13222" s="27" t="s">
        <v>794</v>
      </c>
      <c r="P13222" s="27" t="s">
        <v>9308</v>
      </c>
      <c r="Q13222" s="26" t="str">
        <f>HYPERLINK("https://ictv.global/taxonomy/taxondetails?taxnode_id=202506274&amp;ictv_id=ICTV20186274","ICTV20186274")</f>
        <v>ICTV20186274</v>
      </c>
      <c r="R13222" t="s">
        <v>580</v>
      </c>
      <c r="S13222" t="s">
        <v>824</v>
      </c>
      <c r="T13222">
        <v>37</v>
      </c>
      <c r="U13222" s="26" t="str">
        <f>HYPERLINK("https://ictv.global/ictv/proposals/2021.009M.R.Artoviridae_sprename.zip","2021.009M.R.Artoviridae_sprename.zip")</f>
        <v>2021.009M.R.Artoviridae_sprename.zip</v>
      </c>
    </row>
    <row r="13223" spans="1:21">
      <c r="A13223">
        <v>13222</v>
      </c>
      <c r="B13223" s="27" t="s">
        <v>1124</v>
      </c>
      <c r="D13223" s="27" t="s">
        <v>1859</v>
      </c>
      <c r="F13223" s="27" t="s">
        <v>938</v>
      </c>
      <c r="G13223" s="27" t="s">
        <v>939</v>
      </c>
      <c r="H13223" s="27" t="s">
        <v>945</v>
      </c>
      <c r="J13223" s="27" t="s">
        <v>238</v>
      </c>
      <c r="L13223" s="27" t="s">
        <v>949</v>
      </c>
      <c r="N13223" s="27" t="s">
        <v>794</v>
      </c>
      <c r="P13223" s="27" t="s">
        <v>9309</v>
      </c>
      <c r="Q13223" s="26" t="str">
        <f>HYPERLINK("https://ictv.global/taxonomy/taxondetails?taxnode_id=202506273&amp;ictv_id=ICTV20186273","ICTV20186273")</f>
        <v>ICTV20186273</v>
      </c>
      <c r="R13223" t="s">
        <v>580</v>
      </c>
      <c r="S13223" t="s">
        <v>824</v>
      </c>
      <c r="T13223">
        <v>37</v>
      </c>
      <c r="U13223" s="26" t="str">
        <f>HYPERLINK("https://ictv.global/ictv/proposals/2021.009M.R.Artoviridae_sprename.zip","2021.009M.R.Artoviridae_sprename.zip")</f>
        <v>2021.009M.R.Artoviridae_sprename.zip</v>
      </c>
    </row>
    <row r="13224" spans="1:21">
      <c r="A13224">
        <v>13223</v>
      </c>
      <c r="B13224" s="27" t="s">
        <v>1124</v>
      </c>
      <c r="D13224" s="27" t="s">
        <v>1859</v>
      </c>
      <c r="F13224" s="27" t="s">
        <v>938</v>
      </c>
      <c r="G13224" s="27" t="s">
        <v>939</v>
      </c>
      <c r="H13224" s="27" t="s">
        <v>945</v>
      </c>
      <c r="J13224" s="27" t="s">
        <v>238</v>
      </c>
      <c r="L13224" s="27" t="s">
        <v>949</v>
      </c>
      <c r="N13224" s="27" t="s">
        <v>794</v>
      </c>
      <c r="P13224" s="27" t="s">
        <v>9310</v>
      </c>
      <c r="Q13224" s="26" t="str">
        <f>HYPERLINK("https://ictv.global/taxonomy/taxondetails?taxnode_id=202512237&amp;ictv_id=ICTV202112237","ICTV202112237")</f>
        <v>ICTV202112237</v>
      </c>
      <c r="R13224" t="s">
        <v>580</v>
      </c>
      <c r="S13224" t="s">
        <v>823</v>
      </c>
      <c r="T13224">
        <v>37</v>
      </c>
      <c r="U13224" s="26" t="str">
        <f>HYPERLINK("https://ictv.global/ictv/proposals/2021.029M.R.Peropuvirus_1nsp.zip","2021.029M.R.Peropuvirus_1nsp.zip")</f>
        <v>2021.029M.R.Peropuvirus_1nsp.zip</v>
      </c>
    </row>
    <row r="13225" spans="1:21">
      <c r="A13225">
        <v>13224</v>
      </c>
      <c r="B13225" s="27" t="s">
        <v>1124</v>
      </c>
      <c r="D13225" s="27" t="s">
        <v>1859</v>
      </c>
      <c r="F13225" s="27" t="s">
        <v>938</v>
      </c>
      <c r="G13225" s="27" t="s">
        <v>939</v>
      </c>
      <c r="H13225" s="27" t="s">
        <v>945</v>
      </c>
      <c r="J13225" s="27" t="s">
        <v>238</v>
      </c>
      <c r="L13225" s="27" t="s">
        <v>949</v>
      </c>
      <c r="N13225" s="27" t="s">
        <v>794</v>
      </c>
      <c r="P13225" s="27" t="s">
        <v>9311</v>
      </c>
      <c r="Q13225" s="26" t="str">
        <f>HYPERLINK("https://ictv.global/taxonomy/taxondetails?taxnode_id=202501583&amp;ictv_id=ICTV20165113","ICTV20165113")</f>
        <v>ICTV20165113</v>
      </c>
      <c r="R13225" t="s">
        <v>580</v>
      </c>
      <c r="S13225" t="s">
        <v>824</v>
      </c>
      <c r="T13225">
        <v>37</v>
      </c>
      <c r="U13225" s="26" t="str">
        <f>HYPERLINK("https://ictv.global/ictv/proposals/2021.009M.R.Artoviridae_sprename.zip","2021.009M.R.Artoviridae_sprename.zip")</f>
        <v>2021.009M.R.Artoviridae_sprename.zip</v>
      </c>
    </row>
    <row r="13226" spans="1:21">
      <c r="A13226">
        <v>13225</v>
      </c>
      <c r="B13226" s="27" t="s">
        <v>1124</v>
      </c>
      <c r="D13226" s="27" t="s">
        <v>1859</v>
      </c>
      <c r="F13226" s="27" t="s">
        <v>938</v>
      </c>
      <c r="G13226" s="27" t="s">
        <v>939</v>
      </c>
      <c r="H13226" s="27" t="s">
        <v>945</v>
      </c>
      <c r="J13226" s="27" t="s">
        <v>238</v>
      </c>
      <c r="L13226" s="27" t="s">
        <v>949</v>
      </c>
      <c r="N13226" s="27" t="s">
        <v>794</v>
      </c>
      <c r="P13226" s="27" t="s">
        <v>20212</v>
      </c>
      <c r="Q13226" s="26" t="str">
        <f>HYPERLINK("https://ictv.global/taxonomy/taxondetails?taxnode_id=202520117&amp;ictv_id=ICTV202420117","ICTV202420117")</f>
        <v>ICTV202420117</v>
      </c>
      <c r="R13226" t="s">
        <v>580</v>
      </c>
      <c r="S13226" t="s">
        <v>823</v>
      </c>
      <c r="T13226">
        <v>40</v>
      </c>
      <c r="U13226" s="26" t="str">
        <f>HYPERLINK("https://ictv.global/ictv/proposals/2024.003M.Artoviridae_4nsp.zip","2024.003M.Artoviridae_4nsp.zip")</f>
        <v>2024.003M.Artoviridae_4nsp.zip</v>
      </c>
    </row>
    <row r="13227" spans="1:21">
      <c r="A13227">
        <v>13226</v>
      </c>
      <c r="B13227" s="27" t="s">
        <v>1124</v>
      </c>
      <c r="D13227" s="27" t="s">
        <v>1859</v>
      </c>
      <c r="F13227" s="27" t="s">
        <v>938</v>
      </c>
      <c r="G13227" s="27" t="s">
        <v>939</v>
      </c>
      <c r="H13227" s="27" t="s">
        <v>945</v>
      </c>
      <c r="J13227" s="27" t="s">
        <v>238</v>
      </c>
      <c r="L13227" s="27" t="s">
        <v>949</v>
      </c>
      <c r="N13227" s="27" t="s">
        <v>794</v>
      </c>
      <c r="P13227" s="27" t="s">
        <v>20213</v>
      </c>
      <c r="Q13227" s="26" t="str">
        <f>HYPERLINK("https://ictv.global/taxonomy/taxondetails?taxnode_id=202520118&amp;ictv_id=ICTV202420118","ICTV202420118")</f>
        <v>ICTV202420118</v>
      </c>
      <c r="R13227" t="s">
        <v>580</v>
      </c>
      <c r="S13227" t="s">
        <v>823</v>
      </c>
      <c r="T13227">
        <v>40</v>
      </c>
      <c r="U13227" s="26" t="str">
        <f>HYPERLINK("https://ictv.global/ictv/proposals/2024.003M.Artoviridae_4nsp.zip","2024.003M.Artoviridae_4nsp.zip")</f>
        <v>2024.003M.Artoviridae_4nsp.zip</v>
      </c>
    </row>
    <row r="13228" spans="1:21">
      <c r="A13228">
        <v>13227</v>
      </c>
      <c r="B13228" s="27" t="s">
        <v>1124</v>
      </c>
      <c r="D13228" s="27" t="s">
        <v>1859</v>
      </c>
      <c r="F13228" s="27" t="s">
        <v>938</v>
      </c>
      <c r="G13228" s="27" t="s">
        <v>939</v>
      </c>
      <c r="H13228" s="27" t="s">
        <v>945</v>
      </c>
      <c r="J13228" s="27" t="s">
        <v>238</v>
      </c>
      <c r="L13228" s="27" t="s">
        <v>340</v>
      </c>
      <c r="N13228" s="27" t="s">
        <v>846</v>
      </c>
      <c r="P13228" s="27" t="s">
        <v>9312</v>
      </c>
      <c r="Q13228" s="26" t="str">
        <f>HYPERLINK("https://ictv.global/taxonomy/taxondetails?taxnode_id=202505571&amp;ictv_id=ICTV20175571","ICTV20175571")</f>
        <v>ICTV20175571</v>
      </c>
      <c r="R13228" t="s">
        <v>580</v>
      </c>
      <c r="S13228" t="s">
        <v>824</v>
      </c>
      <c r="T13228">
        <v>37</v>
      </c>
      <c r="U13228" s="26" t="str">
        <f>HYPERLINK("https://ictv.global/ictv/proposals/2021.010M.R.Bornaviridae_sprename.zip","2021.010M.R.Bornaviridae_sprename.zip")</f>
        <v>2021.010M.R.Bornaviridae_sprename.zip</v>
      </c>
    </row>
    <row r="13229" spans="1:21">
      <c r="A13229">
        <v>13228</v>
      </c>
      <c r="B13229" s="27" t="s">
        <v>1124</v>
      </c>
      <c r="D13229" s="27" t="s">
        <v>1859</v>
      </c>
      <c r="F13229" s="27" t="s">
        <v>938</v>
      </c>
      <c r="G13229" s="27" t="s">
        <v>939</v>
      </c>
      <c r="H13229" s="27" t="s">
        <v>945</v>
      </c>
      <c r="J13229" s="27" t="s">
        <v>238</v>
      </c>
      <c r="L13229" s="27" t="s">
        <v>340</v>
      </c>
      <c r="N13229" s="27" t="s">
        <v>846</v>
      </c>
      <c r="P13229" s="27" t="s">
        <v>9313</v>
      </c>
      <c r="Q13229" s="26" t="str">
        <f>HYPERLINK("https://ictv.global/taxonomy/taxondetails?taxnode_id=202505572&amp;ictv_id=ICTV20175572","ICTV20175572")</f>
        <v>ICTV20175572</v>
      </c>
      <c r="R13229" t="s">
        <v>580</v>
      </c>
      <c r="S13229" t="s">
        <v>824</v>
      </c>
      <c r="T13229">
        <v>37</v>
      </c>
      <c r="U13229" s="26" t="str">
        <f>HYPERLINK("https://ictv.global/ictv/proposals/2021.010M.R.Bornaviridae_sprename.zip","2021.010M.R.Bornaviridae_sprename.zip")</f>
        <v>2021.010M.R.Bornaviridae_sprename.zip</v>
      </c>
    </row>
    <row r="13230" spans="1:21">
      <c r="A13230">
        <v>13229</v>
      </c>
      <c r="B13230" s="27" t="s">
        <v>1124</v>
      </c>
      <c r="D13230" s="27" t="s">
        <v>1859</v>
      </c>
      <c r="F13230" s="27" t="s">
        <v>938</v>
      </c>
      <c r="G13230" s="27" t="s">
        <v>939</v>
      </c>
      <c r="H13230" s="27" t="s">
        <v>945</v>
      </c>
      <c r="J13230" s="27" t="s">
        <v>238</v>
      </c>
      <c r="L13230" s="27" t="s">
        <v>340</v>
      </c>
      <c r="N13230" s="27" t="s">
        <v>16758</v>
      </c>
      <c r="P13230" s="27" t="s">
        <v>16759</v>
      </c>
      <c r="Q13230" s="26" t="str">
        <f>HYPERLINK("https://ictv.global/taxonomy/taxondetails?taxnode_id=202517817&amp;ictv_id=ICTV202317817","ICTV202317817")</f>
        <v>ICTV202317817</v>
      </c>
      <c r="R13230" t="s">
        <v>580</v>
      </c>
      <c r="S13230" t="s">
        <v>823</v>
      </c>
      <c r="T13230">
        <v>39</v>
      </c>
      <c r="U13230" s="26" t="str">
        <f>HYPERLINK("https://ictv.global/ictv/proposals/2023.005M.Bornaviridae_1ngen_3nsp.zip","2023.005M.Bornaviridae_1ngen_3nsp.zip")</f>
        <v>2023.005M.Bornaviridae_1ngen_3nsp.zip</v>
      </c>
    </row>
    <row r="13231" spans="1:21">
      <c r="A13231">
        <v>13230</v>
      </c>
      <c r="B13231" s="27" t="s">
        <v>1124</v>
      </c>
      <c r="D13231" s="27" t="s">
        <v>1859</v>
      </c>
      <c r="F13231" s="27" t="s">
        <v>938</v>
      </c>
      <c r="G13231" s="27" t="s">
        <v>939</v>
      </c>
      <c r="H13231" s="27" t="s">
        <v>945</v>
      </c>
      <c r="J13231" s="27" t="s">
        <v>238</v>
      </c>
      <c r="L13231" s="27" t="s">
        <v>340</v>
      </c>
      <c r="N13231" s="27" t="s">
        <v>1125</v>
      </c>
      <c r="P13231" s="27" t="s">
        <v>16760</v>
      </c>
      <c r="Q13231" s="26" t="str">
        <f>HYPERLINK("https://ictv.global/taxonomy/taxondetails?taxnode_id=202517815&amp;ictv_id=ICTV202317815","ICTV202317815")</f>
        <v>ICTV202317815</v>
      </c>
      <c r="R13231" t="s">
        <v>580</v>
      </c>
      <c r="S13231" t="s">
        <v>823</v>
      </c>
      <c r="T13231">
        <v>39</v>
      </c>
      <c r="U13231" s="26" t="str">
        <f>HYPERLINK("https://ictv.global/ictv/proposals/2023.005M.Bornaviridae_1ngen_3nsp.zip","2023.005M.Bornaviridae_1ngen_3nsp.zip")</f>
        <v>2023.005M.Bornaviridae_1ngen_3nsp.zip</v>
      </c>
    </row>
    <row r="13232" spans="1:21">
      <c r="A13232">
        <v>13231</v>
      </c>
      <c r="B13232" s="27" t="s">
        <v>1124</v>
      </c>
      <c r="D13232" s="27" t="s">
        <v>1859</v>
      </c>
      <c r="F13232" s="27" t="s">
        <v>938</v>
      </c>
      <c r="G13232" s="27" t="s">
        <v>939</v>
      </c>
      <c r="H13232" s="27" t="s">
        <v>945</v>
      </c>
      <c r="J13232" s="27" t="s">
        <v>238</v>
      </c>
      <c r="L13232" s="27" t="s">
        <v>340</v>
      </c>
      <c r="N13232" s="27" t="s">
        <v>1125</v>
      </c>
      <c r="P13232" s="27" t="s">
        <v>20214</v>
      </c>
      <c r="Q13232" s="26" t="str">
        <f>HYPERLINK("https://ictv.global/taxonomy/taxondetails?taxnode_id=202520183&amp;ictv_id=ICTV202420183","ICTV202420183")</f>
        <v>ICTV202420183</v>
      </c>
      <c r="R13232" t="s">
        <v>580</v>
      </c>
      <c r="S13232" t="s">
        <v>823</v>
      </c>
      <c r="T13232">
        <v>40</v>
      </c>
      <c r="U13232" s="26" t="str">
        <f>HYPERLINK("https://ictv.global/ictv/proposals/2024.004M.Bornaviridae_3nsp.zip","2024.004M.Bornaviridae_3nsp.zip")</f>
        <v>2024.004M.Bornaviridae_3nsp.zip</v>
      </c>
    </row>
    <row r="13233" spans="1:21">
      <c r="A13233">
        <v>13232</v>
      </c>
      <c r="B13233" s="27" t="s">
        <v>1124</v>
      </c>
      <c r="D13233" s="27" t="s">
        <v>1859</v>
      </c>
      <c r="F13233" s="27" t="s">
        <v>938</v>
      </c>
      <c r="G13233" s="27" t="s">
        <v>939</v>
      </c>
      <c r="H13233" s="27" t="s">
        <v>945</v>
      </c>
      <c r="J13233" s="27" t="s">
        <v>238</v>
      </c>
      <c r="L13233" s="27" t="s">
        <v>340</v>
      </c>
      <c r="N13233" s="27" t="s">
        <v>1125</v>
      </c>
      <c r="P13233" s="27" t="s">
        <v>9314</v>
      </c>
      <c r="Q13233" s="26" t="str">
        <f>HYPERLINK("https://ictv.global/taxonomy/taxondetails?taxnode_id=202506589&amp;ictv_id=ICTV201856589","ICTV201856589")</f>
        <v>ICTV201856589</v>
      </c>
      <c r="R13233" t="s">
        <v>580</v>
      </c>
      <c r="S13233" t="s">
        <v>824</v>
      </c>
      <c r="T13233">
        <v>37</v>
      </c>
      <c r="U13233" s="26" t="str">
        <f>HYPERLINK("https://ictv.global/ictv/proposals/2021.010M.R.Bornaviridae_sprename.zip","2021.010M.R.Bornaviridae_sprename.zip")</f>
        <v>2021.010M.R.Bornaviridae_sprename.zip</v>
      </c>
    </row>
    <row r="13234" spans="1:21">
      <c r="A13234">
        <v>13233</v>
      </c>
      <c r="B13234" s="27" t="s">
        <v>1124</v>
      </c>
      <c r="D13234" s="27" t="s">
        <v>1859</v>
      </c>
      <c r="F13234" s="27" t="s">
        <v>938</v>
      </c>
      <c r="G13234" s="27" t="s">
        <v>939</v>
      </c>
      <c r="H13234" s="27" t="s">
        <v>945</v>
      </c>
      <c r="J13234" s="27" t="s">
        <v>238</v>
      </c>
      <c r="L13234" s="27" t="s">
        <v>340</v>
      </c>
      <c r="N13234" s="27" t="s">
        <v>1125</v>
      </c>
      <c r="P13234" s="27" t="s">
        <v>16761</v>
      </c>
      <c r="Q13234" s="26" t="str">
        <f>HYPERLINK("https://ictv.global/taxonomy/taxondetails?taxnode_id=202517816&amp;ictv_id=ICTV202317816","ICTV202317816")</f>
        <v>ICTV202317816</v>
      </c>
      <c r="R13234" t="s">
        <v>580</v>
      </c>
      <c r="S13234" t="s">
        <v>823</v>
      </c>
      <c r="T13234">
        <v>39</v>
      </c>
      <c r="U13234" s="26" t="str">
        <f>HYPERLINK("https://ictv.global/ictv/proposals/2023.005M.Bornaviridae_1ngen_3nsp.zip","2023.005M.Bornaviridae_1ngen_3nsp.zip")</f>
        <v>2023.005M.Bornaviridae_1ngen_3nsp.zip</v>
      </c>
    </row>
    <row r="13235" spans="1:21">
      <c r="A13235">
        <v>13234</v>
      </c>
      <c r="B13235" s="27" t="s">
        <v>1124</v>
      </c>
      <c r="D13235" s="27" t="s">
        <v>1859</v>
      </c>
      <c r="F13235" s="27" t="s">
        <v>938</v>
      </c>
      <c r="G13235" s="27" t="s">
        <v>939</v>
      </c>
      <c r="H13235" s="27" t="s">
        <v>945</v>
      </c>
      <c r="J13235" s="27" t="s">
        <v>238</v>
      </c>
      <c r="L13235" s="27" t="s">
        <v>340</v>
      </c>
      <c r="N13235" s="27" t="s">
        <v>1125</v>
      </c>
      <c r="P13235" s="27" t="s">
        <v>20215</v>
      </c>
      <c r="Q13235" s="26" t="str">
        <f>HYPERLINK("https://ictv.global/taxonomy/taxondetails?taxnode_id=202520182&amp;ictv_id=ICTV202420182","ICTV202420182")</f>
        <v>ICTV202420182</v>
      </c>
      <c r="R13235" t="s">
        <v>580</v>
      </c>
      <c r="S13235" t="s">
        <v>823</v>
      </c>
      <c r="T13235">
        <v>40</v>
      </c>
      <c r="U13235" s="26" t="str">
        <f>HYPERLINK("https://ictv.global/ictv/proposals/2024.004M.Bornaviridae_3nsp.zip","2024.004M.Bornaviridae_3nsp.zip")</f>
        <v>2024.004M.Bornaviridae_3nsp.zip</v>
      </c>
    </row>
    <row r="13236" spans="1:21">
      <c r="A13236">
        <v>13235</v>
      </c>
      <c r="B13236" s="27" t="s">
        <v>1124</v>
      </c>
      <c r="D13236" s="27" t="s">
        <v>1859</v>
      </c>
      <c r="F13236" s="27" t="s">
        <v>938</v>
      </c>
      <c r="G13236" s="27" t="s">
        <v>939</v>
      </c>
      <c r="H13236" s="27" t="s">
        <v>945</v>
      </c>
      <c r="J13236" s="27" t="s">
        <v>238</v>
      </c>
      <c r="L13236" s="27" t="s">
        <v>340</v>
      </c>
      <c r="N13236" s="27" t="s">
        <v>847</v>
      </c>
      <c r="P13236" s="27" t="s">
        <v>9315</v>
      </c>
      <c r="Q13236" s="26" t="str">
        <f>HYPERLINK("https://ictv.global/taxonomy/taxondetails?taxnode_id=202501557&amp;ictv_id=ICTV20140718","ICTV20140718")</f>
        <v>ICTV20140718</v>
      </c>
      <c r="R13236" t="s">
        <v>580</v>
      </c>
      <c r="S13236" t="s">
        <v>824</v>
      </c>
      <c r="T13236">
        <v>37</v>
      </c>
      <c r="U13236" s="26" t="str">
        <f>HYPERLINK("https://ictv.global/ictv/proposals/2021.010M.R.Bornaviridae_sprename.zip","2021.010M.R.Bornaviridae_sprename.zip")</f>
        <v>2021.010M.R.Bornaviridae_sprename.zip</v>
      </c>
    </row>
    <row r="13237" spans="1:21">
      <c r="A13237">
        <v>13236</v>
      </c>
      <c r="B13237" s="27" t="s">
        <v>1124</v>
      </c>
      <c r="D13237" s="27" t="s">
        <v>1859</v>
      </c>
      <c r="F13237" s="27" t="s">
        <v>938</v>
      </c>
      <c r="G13237" s="27" t="s">
        <v>939</v>
      </c>
      <c r="H13237" s="27" t="s">
        <v>945</v>
      </c>
      <c r="J13237" s="27" t="s">
        <v>238</v>
      </c>
      <c r="L13237" s="27" t="s">
        <v>340</v>
      </c>
      <c r="N13237" s="27" t="s">
        <v>847</v>
      </c>
      <c r="P13237" s="27" t="s">
        <v>9316</v>
      </c>
      <c r="Q13237" s="26" t="str">
        <f>HYPERLINK("https://ictv.global/taxonomy/taxondetails?taxnode_id=202501559&amp;ictv_id=ICTV20140721","ICTV20140721")</f>
        <v>ICTV20140721</v>
      </c>
      <c r="R13237" t="s">
        <v>580</v>
      </c>
      <c r="S13237" t="s">
        <v>824</v>
      </c>
      <c r="T13237">
        <v>37</v>
      </c>
      <c r="U13237" s="26" t="str">
        <f>HYPERLINK("https://ictv.global/ictv/proposals/2021.010M.R.Bornaviridae_sprename.zip","2021.010M.R.Bornaviridae_sprename.zip")</f>
        <v>2021.010M.R.Bornaviridae_sprename.zip</v>
      </c>
    </row>
    <row r="13238" spans="1:21">
      <c r="A13238">
        <v>13237</v>
      </c>
      <c r="B13238" s="27" t="s">
        <v>1124</v>
      </c>
      <c r="D13238" s="27" t="s">
        <v>1859</v>
      </c>
      <c r="F13238" s="27" t="s">
        <v>938</v>
      </c>
      <c r="G13238" s="27" t="s">
        <v>939</v>
      </c>
      <c r="H13238" s="27" t="s">
        <v>945</v>
      </c>
      <c r="J13238" s="27" t="s">
        <v>238</v>
      </c>
      <c r="L13238" s="27" t="s">
        <v>340</v>
      </c>
      <c r="N13238" s="27" t="s">
        <v>847</v>
      </c>
      <c r="P13238" s="27" t="s">
        <v>9317</v>
      </c>
      <c r="Q13238" s="26" t="str">
        <f>HYPERLINK("https://ictv.global/taxonomy/taxondetails?taxnode_id=202501558&amp;ictv_id=ICTV20150993","ICTV20150993")</f>
        <v>ICTV20150993</v>
      </c>
      <c r="R13238" t="s">
        <v>580</v>
      </c>
      <c r="S13238" t="s">
        <v>824</v>
      </c>
      <c r="T13238">
        <v>37</v>
      </c>
      <c r="U13238" s="26" t="str">
        <f>HYPERLINK("https://ictv.global/ictv/proposals/2021.010M.R.Bornaviridae_sprename.zip","2021.010M.R.Bornaviridae_sprename.zip")</f>
        <v>2021.010M.R.Bornaviridae_sprename.zip</v>
      </c>
    </row>
    <row r="13239" spans="1:21">
      <c r="A13239">
        <v>13238</v>
      </c>
      <c r="B13239" s="27" t="s">
        <v>1124</v>
      </c>
      <c r="D13239" s="27" t="s">
        <v>1859</v>
      </c>
      <c r="F13239" s="27" t="s">
        <v>938</v>
      </c>
      <c r="G13239" s="27" t="s">
        <v>939</v>
      </c>
      <c r="H13239" s="27" t="s">
        <v>945</v>
      </c>
      <c r="J13239" s="27" t="s">
        <v>238</v>
      </c>
      <c r="L13239" s="27" t="s">
        <v>340</v>
      </c>
      <c r="N13239" s="27" t="s">
        <v>847</v>
      </c>
      <c r="P13239" s="27" t="s">
        <v>9318</v>
      </c>
      <c r="Q13239" s="26" t="str">
        <f>HYPERLINK("https://ictv.global/taxonomy/taxondetails?taxnode_id=202501553&amp;ictv_id=ICTV19960309","ICTV19960309")</f>
        <v>ICTV19960309</v>
      </c>
      <c r="R13239" t="s">
        <v>580</v>
      </c>
      <c r="S13239" t="s">
        <v>824</v>
      </c>
      <c r="T13239">
        <v>37</v>
      </c>
      <c r="U13239" s="26" t="str">
        <f>HYPERLINK("https://ictv.global/ictv/proposals/2021.010M.R.Bornaviridae_sprename.zip","2021.010M.R.Bornaviridae_sprename.zip")</f>
        <v>2021.010M.R.Bornaviridae_sprename.zip</v>
      </c>
    </row>
    <row r="13240" spans="1:21">
      <c r="A13240">
        <v>13239</v>
      </c>
      <c r="B13240" s="27" t="s">
        <v>1124</v>
      </c>
      <c r="D13240" s="27" t="s">
        <v>1859</v>
      </c>
      <c r="F13240" s="27" t="s">
        <v>938</v>
      </c>
      <c r="G13240" s="27" t="s">
        <v>939</v>
      </c>
      <c r="H13240" s="27" t="s">
        <v>945</v>
      </c>
      <c r="J13240" s="27" t="s">
        <v>238</v>
      </c>
      <c r="L13240" s="27" t="s">
        <v>340</v>
      </c>
      <c r="N13240" s="27" t="s">
        <v>847</v>
      </c>
      <c r="P13240" s="27" t="s">
        <v>9319</v>
      </c>
      <c r="Q13240" s="26" t="str">
        <f>HYPERLINK("https://ictv.global/taxonomy/taxondetails?taxnode_id=202512226&amp;ictv_id=ICTV202112226","ICTV202112226")</f>
        <v>ICTV202112226</v>
      </c>
      <c r="R13240" t="s">
        <v>580</v>
      </c>
      <c r="S13240" t="s">
        <v>823</v>
      </c>
      <c r="T13240">
        <v>37</v>
      </c>
      <c r="U13240" s="26" t="str">
        <f>HYPERLINK("https://ictv.global/ictv/proposals/2021.021M.R.Orthobornavirus_1nsp.zip","2021.021M.R.Orthobornavirus_1nsp.zip")</f>
        <v>2021.021M.R.Orthobornavirus_1nsp.zip</v>
      </c>
    </row>
    <row r="13241" spans="1:21">
      <c r="A13241">
        <v>13240</v>
      </c>
      <c r="B13241" s="27" t="s">
        <v>1124</v>
      </c>
      <c r="D13241" s="27" t="s">
        <v>1859</v>
      </c>
      <c r="F13241" s="27" t="s">
        <v>938</v>
      </c>
      <c r="G13241" s="27" t="s">
        <v>939</v>
      </c>
      <c r="H13241" s="27" t="s">
        <v>945</v>
      </c>
      <c r="J13241" s="27" t="s">
        <v>238</v>
      </c>
      <c r="L13241" s="27" t="s">
        <v>340</v>
      </c>
      <c r="N13241" s="27" t="s">
        <v>847</v>
      </c>
      <c r="P13241" s="27" t="s">
        <v>9320</v>
      </c>
      <c r="Q13241" s="26" t="str">
        <f>HYPERLINK("https://ictv.global/taxonomy/taxondetails?taxnode_id=202501552&amp;ictv_id=ICTV20150992","ICTV20150992")</f>
        <v>ICTV20150992</v>
      </c>
      <c r="R13241" t="s">
        <v>580</v>
      </c>
      <c r="S13241" t="s">
        <v>824</v>
      </c>
      <c r="T13241">
        <v>37</v>
      </c>
      <c r="U13241" s="26" t="str">
        <f>HYPERLINK("https://ictv.global/ictv/proposals/2021.010M.R.Bornaviridae_sprename.zip","2021.010M.R.Bornaviridae_sprename.zip")</f>
        <v>2021.010M.R.Bornaviridae_sprename.zip</v>
      </c>
    </row>
    <row r="13242" spans="1:21">
      <c r="A13242">
        <v>13241</v>
      </c>
      <c r="B13242" s="27" t="s">
        <v>1124</v>
      </c>
      <c r="D13242" s="27" t="s">
        <v>1859</v>
      </c>
      <c r="F13242" s="27" t="s">
        <v>938</v>
      </c>
      <c r="G13242" s="27" t="s">
        <v>939</v>
      </c>
      <c r="H13242" s="27" t="s">
        <v>945</v>
      </c>
      <c r="J13242" s="27" t="s">
        <v>238</v>
      </c>
      <c r="L13242" s="27" t="s">
        <v>340</v>
      </c>
      <c r="N13242" s="27" t="s">
        <v>847</v>
      </c>
      <c r="P13242" s="27" t="s">
        <v>9321</v>
      </c>
      <c r="Q13242" s="26" t="str">
        <f>HYPERLINK("https://ictv.global/taxonomy/taxondetails?taxnode_id=202501556&amp;ictv_id=ICTV20140720","ICTV20140720")</f>
        <v>ICTV20140720</v>
      </c>
      <c r="R13242" t="s">
        <v>580</v>
      </c>
      <c r="S13242" t="s">
        <v>824</v>
      </c>
      <c r="T13242">
        <v>37</v>
      </c>
      <c r="U13242" s="26" t="str">
        <f>HYPERLINK("https://ictv.global/ictv/proposals/2021.010M.R.Bornaviridae_sprename.zip","2021.010M.R.Bornaviridae_sprename.zip")</f>
        <v>2021.010M.R.Bornaviridae_sprename.zip</v>
      </c>
    </row>
    <row r="13243" spans="1:21">
      <c r="A13243">
        <v>13242</v>
      </c>
      <c r="B13243" s="27" t="s">
        <v>1124</v>
      </c>
      <c r="D13243" s="27" t="s">
        <v>1859</v>
      </c>
      <c r="F13243" s="27" t="s">
        <v>938</v>
      </c>
      <c r="G13243" s="27" t="s">
        <v>939</v>
      </c>
      <c r="H13243" s="27" t="s">
        <v>945</v>
      </c>
      <c r="J13243" s="27" t="s">
        <v>238</v>
      </c>
      <c r="L13243" s="27" t="s">
        <v>340</v>
      </c>
      <c r="N13243" s="27" t="s">
        <v>847</v>
      </c>
      <c r="P13243" s="27" t="s">
        <v>20216</v>
      </c>
      <c r="Q13243" s="26" t="str">
        <f>HYPERLINK("https://ictv.global/taxonomy/taxondetails?taxnode_id=202520184&amp;ictv_id=ICTV202420184","ICTV202420184")</f>
        <v>ICTV202420184</v>
      </c>
      <c r="R13243" t="s">
        <v>580</v>
      </c>
      <c r="S13243" t="s">
        <v>823</v>
      </c>
      <c r="T13243">
        <v>40</v>
      </c>
      <c r="U13243" s="26" t="str">
        <f>HYPERLINK("https://ictv.global/ictv/proposals/2024.004M.Bornaviridae_3nsp.zip","2024.004M.Bornaviridae_3nsp.zip")</f>
        <v>2024.004M.Bornaviridae_3nsp.zip</v>
      </c>
    </row>
    <row r="13244" spans="1:21">
      <c r="A13244">
        <v>13243</v>
      </c>
      <c r="B13244" s="27" t="s">
        <v>1124</v>
      </c>
      <c r="D13244" s="27" t="s">
        <v>1859</v>
      </c>
      <c r="F13244" s="27" t="s">
        <v>938</v>
      </c>
      <c r="G13244" s="27" t="s">
        <v>939</v>
      </c>
      <c r="H13244" s="27" t="s">
        <v>945</v>
      </c>
      <c r="J13244" s="27" t="s">
        <v>238</v>
      </c>
      <c r="L13244" s="27" t="s">
        <v>340</v>
      </c>
      <c r="N13244" s="27" t="s">
        <v>847</v>
      </c>
      <c r="P13244" s="27" t="s">
        <v>9322</v>
      </c>
      <c r="Q13244" s="26" t="str">
        <f>HYPERLINK("https://ictv.global/taxonomy/taxondetails?taxnode_id=202501554&amp;ictv_id=ICTV20165112","ICTV20165112")</f>
        <v>ICTV20165112</v>
      </c>
      <c r="R13244" t="s">
        <v>580</v>
      </c>
      <c r="S13244" t="s">
        <v>824</v>
      </c>
      <c r="T13244">
        <v>37</v>
      </c>
      <c r="U13244" s="26" t="str">
        <f>HYPERLINK("https://ictv.global/ictv/proposals/2021.010M.R.Bornaviridae_sprename.zip","2021.010M.R.Bornaviridae_sprename.zip")</f>
        <v>2021.010M.R.Bornaviridae_sprename.zip</v>
      </c>
    </row>
    <row r="13245" spans="1:21">
      <c r="A13245">
        <v>13244</v>
      </c>
      <c r="B13245" s="27" t="s">
        <v>1124</v>
      </c>
      <c r="D13245" s="27" t="s">
        <v>1859</v>
      </c>
      <c r="F13245" s="27" t="s">
        <v>938</v>
      </c>
      <c r="G13245" s="27" t="s">
        <v>939</v>
      </c>
      <c r="H13245" s="27" t="s">
        <v>945</v>
      </c>
      <c r="J13245" s="27" t="s">
        <v>238</v>
      </c>
      <c r="L13245" s="27" t="s">
        <v>340</v>
      </c>
      <c r="N13245" s="27" t="s">
        <v>847</v>
      </c>
      <c r="P13245" s="27" t="s">
        <v>9323</v>
      </c>
      <c r="Q13245" s="26" t="str">
        <f>HYPERLINK("https://ictv.global/taxonomy/taxondetails?taxnode_id=202501555&amp;ictv_id=ICTV20140719","ICTV20140719")</f>
        <v>ICTV20140719</v>
      </c>
      <c r="R13245" t="s">
        <v>580</v>
      </c>
      <c r="S13245" t="s">
        <v>824</v>
      </c>
      <c r="T13245">
        <v>37</v>
      </c>
      <c r="U13245" s="26" t="str">
        <f>HYPERLINK("https://ictv.global/ictv/proposals/2021.010M.R.Bornaviridae_sprename.zip","2021.010M.R.Bornaviridae_sprename.zip")</f>
        <v>2021.010M.R.Bornaviridae_sprename.zip</v>
      </c>
    </row>
    <row r="13246" spans="1:21">
      <c r="A13246">
        <v>13245</v>
      </c>
      <c r="B13246" s="27" t="s">
        <v>1124</v>
      </c>
      <c r="D13246" s="27" t="s">
        <v>1859</v>
      </c>
      <c r="F13246" s="27" t="s">
        <v>938</v>
      </c>
      <c r="G13246" s="27" t="s">
        <v>939</v>
      </c>
      <c r="H13246" s="27" t="s">
        <v>945</v>
      </c>
      <c r="J13246" s="27" t="s">
        <v>238</v>
      </c>
      <c r="L13246" s="27" t="s">
        <v>341</v>
      </c>
      <c r="N13246" s="27" t="s">
        <v>494</v>
      </c>
      <c r="P13246" s="27" t="s">
        <v>9324</v>
      </c>
      <c r="Q13246" s="26" t="str">
        <f>HYPERLINK("https://ictv.global/taxonomy/taxondetails?taxnode_id=202501563&amp;ictv_id=ICTV20130392","ICTV20130392")</f>
        <v>ICTV20130392</v>
      </c>
      <c r="R13246" t="s">
        <v>580</v>
      </c>
      <c r="S13246" t="s">
        <v>824</v>
      </c>
      <c r="T13246">
        <v>38</v>
      </c>
      <c r="U13246" s="26" t="str">
        <f>HYPERLINK("https://ictv.global/ictv/proposals/2021.012M.Filoviridae_sprenamed.zip","2021.012M.Filoviridae_sprenamed.zip")</f>
        <v>2021.012M.Filoviridae_sprenamed.zip</v>
      </c>
    </row>
    <row r="13247" spans="1:21">
      <c r="A13247">
        <v>13246</v>
      </c>
      <c r="B13247" s="27" t="s">
        <v>1124</v>
      </c>
      <c r="D13247" s="27" t="s">
        <v>1859</v>
      </c>
      <c r="F13247" s="27" t="s">
        <v>938</v>
      </c>
      <c r="G13247" s="27" t="s">
        <v>939</v>
      </c>
      <c r="H13247" s="27" t="s">
        <v>945</v>
      </c>
      <c r="J13247" s="27" t="s">
        <v>238</v>
      </c>
      <c r="L13247" s="27" t="s">
        <v>341</v>
      </c>
      <c r="N13247" s="27" t="s">
        <v>1890</v>
      </c>
      <c r="P13247" s="27" t="s">
        <v>20217</v>
      </c>
      <c r="Q13247" s="26" t="str">
        <f>HYPERLINK("https://ictv.global/taxonomy/taxondetails?taxnode_id=202520257&amp;ictv_id=ICTV202420257","ICTV202420257")</f>
        <v>ICTV202420257</v>
      </c>
      <c r="R13247" t="s">
        <v>580</v>
      </c>
      <c r="S13247" t="s">
        <v>823</v>
      </c>
      <c r="T13247">
        <v>40</v>
      </c>
      <c r="U13247" s="26" t="str">
        <f>HYPERLINK("https://ictv.global/ictv/proposals/2024.007M.Filoviridae_1nsp.zip","2024.007M.Filoviridae_1nsp.zip")</f>
        <v>2024.007M.Filoviridae_1nsp.zip</v>
      </c>
    </row>
    <row r="13248" spans="1:21">
      <c r="A13248">
        <v>13247</v>
      </c>
      <c r="B13248" s="27" t="s">
        <v>1124</v>
      </c>
      <c r="D13248" s="27" t="s">
        <v>1859</v>
      </c>
      <c r="F13248" s="27" t="s">
        <v>938</v>
      </c>
      <c r="G13248" s="27" t="s">
        <v>939</v>
      </c>
      <c r="H13248" s="27" t="s">
        <v>945</v>
      </c>
      <c r="J13248" s="27" t="s">
        <v>238</v>
      </c>
      <c r="L13248" s="27" t="s">
        <v>341</v>
      </c>
      <c r="N13248" s="27" t="s">
        <v>1890</v>
      </c>
      <c r="P13248" s="27" t="s">
        <v>9325</v>
      </c>
      <c r="Q13248" s="26" t="str">
        <f>HYPERLINK("https://ictv.global/taxonomy/taxondetails?taxnode_id=202507367&amp;ictv_id=ICTV201907367","ICTV201907367")</f>
        <v>ICTV201907367</v>
      </c>
      <c r="R13248" t="s">
        <v>580</v>
      </c>
      <c r="S13248" t="s">
        <v>824</v>
      </c>
      <c r="T13248">
        <v>38</v>
      </c>
      <c r="U13248" s="26" t="str">
        <f>HYPERLINK("https://ictv.global/ictv/proposals/2021.012M.Filoviridae_sprenamed.zip","2021.012M.Filoviridae_sprenamed.zip")</f>
        <v>2021.012M.Filoviridae_sprenamed.zip</v>
      </c>
    </row>
    <row r="13249" spans="1:21">
      <c r="A13249">
        <v>13248</v>
      </c>
      <c r="B13249" s="27" t="s">
        <v>1124</v>
      </c>
      <c r="D13249" s="27" t="s">
        <v>1859</v>
      </c>
      <c r="F13249" s="27" t="s">
        <v>938</v>
      </c>
      <c r="G13249" s="27" t="s">
        <v>939</v>
      </c>
      <c r="H13249" s="27" t="s">
        <v>945</v>
      </c>
      <c r="J13249" s="27" t="s">
        <v>238</v>
      </c>
      <c r="L13249" s="27" t="s">
        <v>341</v>
      </c>
      <c r="N13249" s="27" t="s">
        <v>16762</v>
      </c>
      <c r="P13249" s="27" t="s">
        <v>16763</v>
      </c>
      <c r="Q13249" s="26" t="str">
        <f>HYPERLINK("https://ictv.global/taxonomy/taxondetails?taxnode_id=202518978&amp;ictv_id=ICTV202318978","ICTV202318978")</f>
        <v>ICTV202318978</v>
      </c>
      <c r="R13249" t="s">
        <v>580</v>
      </c>
      <c r="S13249" t="s">
        <v>823</v>
      </c>
      <c r="T13249">
        <v>39</v>
      </c>
      <c r="U13249" s="26" t="str">
        <f>HYPERLINK("https://ictv.global/ictv/proposals/2023.025M.Filoviridae_1ng_1nsp.zip","2023.025M.Filoviridae_1ng_1nsp.zip")</f>
        <v>2023.025M.Filoviridae_1ng_1nsp.zip</v>
      </c>
    </row>
    <row r="13250" spans="1:21">
      <c r="A13250">
        <v>13249</v>
      </c>
      <c r="B13250" s="27" t="s">
        <v>1124</v>
      </c>
      <c r="D13250" s="27" t="s">
        <v>1859</v>
      </c>
      <c r="F13250" s="27" t="s">
        <v>938</v>
      </c>
      <c r="G13250" s="27" t="s">
        <v>939</v>
      </c>
      <c r="H13250" s="27" t="s">
        <v>945</v>
      </c>
      <c r="J13250" s="27" t="s">
        <v>238</v>
      </c>
      <c r="L13250" s="27" t="s">
        <v>341</v>
      </c>
      <c r="N13250" s="27" t="s">
        <v>9326</v>
      </c>
      <c r="P13250" s="27" t="s">
        <v>9327</v>
      </c>
      <c r="Q13250" s="26" t="str">
        <f>HYPERLINK("https://ictv.global/taxonomy/taxondetails?taxnode_id=202513343&amp;ictv_id=ICTV202113343","ICTV202113343")</f>
        <v>ICTV202113343</v>
      </c>
      <c r="R13250" t="s">
        <v>580</v>
      </c>
      <c r="S13250" t="s">
        <v>823</v>
      </c>
      <c r="T13250">
        <v>37</v>
      </c>
      <c r="U13250" s="26" t="str">
        <f>HYPERLINK("https://ictv.global/ictv/proposals/2021.011M.R.Filoviridae_1ngen_3nsp.zip","2021.011M.R.Filoviridae_1ngen_3nsp.zip")</f>
        <v>2021.011M.R.Filoviridae_1ngen_3nsp.zip</v>
      </c>
    </row>
    <row r="13251" spans="1:21">
      <c r="A13251">
        <v>13250</v>
      </c>
      <c r="B13251" s="27" t="s">
        <v>1124</v>
      </c>
      <c r="D13251" s="27" t="s">
        <v>1859</v>
      </c>
      <c r="F13251" s="27" t="s">
        <v>938</v>
      </c>
      <c r="G13251" s="27" t="s">
        <v>939</v>
      </c>
      <c r="H13251" s="27" t="s">
        <v>945</v>
      </c>
      <c r="J13251" s="27" t="s">
        <v>238</v>
      </c>
      <c r="L13251" s="27" t="s">
        <v>341</v>
      </c>
      <c r="N13251" s="27" t="s">
        <v>9328</v>
      </c>
      <c r="P13251" s="27" t="s">
        <v>9329</v>
      </c>
      <c r="Q13251" s="26" t="str">
        <f>HYPERLINK("https://ictv.global/taxonomy/taxondetails?taxnode_id=202507261&amp;ictv_id=ICTV201907261","ICTV201907261")</f>
        <v>ICTV201907261</v>
      </c>
      <c r="R13251" t="s">
        <v>580</v>
      </c>
      <c r="S13251" t="s">
        <v>824</v>
      </c>
      <c r="T13251">
        <v>38</v>
      </c>
      <c r="U13251" s="26" t="str">
        <f t="shared" ref="U13251:U13257" si="490">HYPERLINK("https://ictv.global/ictv/proposals/2022.009M.Filoviridae_2genrenamed.zip","2022.009M.Filoviridae_2genrenamed.zip")</f>
        <v>2022.009M.Filoviridae_2genrenamed.zip</v>
      </c>
    </row>
    <row r="13252" spans="1:21">
      <c r="A13252">
        <v>13251</v>
      </c>
      <c r="B13252" s="27" t="s">
        <v>1124</v>
      </c>
      <c r="D13252" s="27" t="s">
        <v>1859</v>
      </c>
      <c r="F13252" s="27" t="s">
        <v>938</v>
      </c>
      <c r="G13252" s="27" t="s">
        <v>939</v>
      </c>
      <c r="H13252" s="27" t="s">
        <v>945</v>
      </c>
      <c r="J13252" s="27" t="s">
        <v>238</v>
      </c>
      <c r="L13252" s="27" t="s">
        <v>341</v>
      </c>
      <c r="N13252" s="27" t="s">
        <v>9328</v>
      </c>
      <c r="P13252" s="27" t="s">
        <v>9330</v>
      </c>
      <c r="Q13252" s="26" t="str">
        <f>HYPERLINK("https://ictv.global/taxonomy/taxondetails?taxnode_id=202501565&amp;ictv_id=ICTV20115622","ICTV20115622")</f>
        <v>ICTV20115622</v>
      </c>
      <c r="R13252" t="s">
        <v>580</v>
      </c>
      <c r="S13252" t="s">
        <v>824</v>
      </c>
      <c r="T13252">
        <v>38</v>
      </c>
      <c r="U13252" s="26" t="str">
        <f t="shared" si="490"/>
        <v>2022.009M.Filoviridae_2genrenamed.zip</v>
      </c>
    </row>
    <row r="13253" spans="1:21">
      <c r="A13253">
        <v>13252</v>
      </c>
      <c r="B13253" s="27" t="s">
        <v>1124</v>
      </c>
      <c r="D13253" s="27" t="s">
        <v>1859</v>
      </c>
      <c r="F13253" s="27" t="s">
        <v>938</v>
      </c>
      <c r="G13253" s="27" t="s">
        <v>939</v>
      </c>
      <c r="H13253" s="27" t="s">
        <v>945</v>
      </c>
      <c r="J13253" s="27" t="s">
        <v>238</v>
      </c>
      <c r="L13253" s="27" t="s">
        <v>341</v>
      </c>
      <c r="N13253" s="27" t="s">
        <v>9328</v>
      </c>
      <c r="P13253" s="27" t="s">
        <v>9331</v>
      </c>
      <c r="Q13253" s="26" t="str">
        <f>HYPERLINK("https://ictv.global/taxonomy/taxondetails?taxnode_id=202501566&amp;ictv_id=ICTV19950285","ICTV19950285")</f>
        <v>ICTV19950285</v>
      </c>
      <c r="R13253" t="s">
        <v>580</v>
      </c>
      <c r="S13253" t="s">
        <v>824</v>
      </c>
      <c r="T13253">
        <v>38</v>
      </c>
      <c r="U13253" s="26" t="str">
        <f t="shared" si="490"/>
        <v>2022.009M.Filoviridae_2genrenamed.zip</v>
      </c>
    </row>
    <row r="13254" spans="1:21">
      <c r="A13254">
        <v>13253</v>
      </c>
      <c r="B13254" s="27" t="s">
        <v>1124</v>
      </c>
      <c r="D13254" s="27" t="s">
        <v>1859</v>
      </c>
      <c r="F13254" s="27" t="s">
        <v>938</v>
      </c>
      <c r="G13254" s="27" t="s">
        <v>939</v>
      </c>
      <c r="H13254" s="27" t="s">
        <v>945</v>
      </c>
      <c r="J13254" s="27" t="s">
        <v>238</v>
      </c>
      <c r="L13254" s="27" t="s">
        <v>341</v>
      </c>
      <c r="N13254" s="27" t="s">
        <v>9328</v>
      </c>
      <c r="P13254" s="27" t="s">
        <v>9332</v>
      </c>
      <c r="Q13254" s="26" t="str">
        <f>HYPERLINK("https://ictv.global/taxonomy/taxondetails?taxnode_id=202501567&amp;ictv_id=ICTV19950286","ICTV19950286")</f>
        <v>ICTV19950286</v>
      </c>
      <c r="R13254" t="s">
        <v>580</v>
      </c>
      <c r="S13254" t="s">
        <v>824</v>
      </c>
      <c r="T13254">
        <v>38</v>
      </c>
      <c r="U13254" s="26" t="str">
        <f t="shared" si="490"/>
        <v>2022.009M.Filoviridae_2genrenamed.zip</v>
      </c>
    </row>
    <row r="13255" spans="1:21">
      <c r="A13255">
        <v>13254</v>
      </c>
      <c r="B13255" s="27" t="s">
        <v>1124</v>
      </c>
      <c r="D13255" s="27" t="s">
        <v>1859</v>
      </c>
      <c r="F13255" s="27" t="s">
        <v>938</v>
      </c>
      <c r="G13255" s="27" t="s">
        <v>939</v>
      </c>
      <c r="H13255" s="27" t="s">
        <v>945</v>
      </c>
      <c r="J13255" s="27" t="s">
        <v>238</v>
      </c>
      <c r="L13255" s="27" t="s">
        <v>341</v>
      </c>
      <c r="N13255" s="27" t="s">
        <v>9328</v>
      </c>
      <c r="P13255" s="27" t="s">
        <v>9333</v>
      </c>
      <c r="Q13255" s="26" t="str">
        <f>HYPERLINK("https://ictv.global/taxonomy/taxondetails?taxnode_id=202501568&amp;ictv_id=ICTV19980652","ICTV19980652")</f>
        <v>ICTV19980652</v>
      </c>
      <c r="R13255" t="s">
        <v>580</v>
      </c>
      <c r="S13255" t="s">
        <v>824</v>
      </c>
      <c r="T13255">
        <v>38</v>
      </c>
      <c r="U13255" s="26" t="str">
        <f t="shared" si="490"/>
        <v>2022.009M.Filoviridae_2genrenamed.zip</v>
      </c>
    </row>
    <row r="13256" spans="1:21">
      <c r="A13256">
        <v>13255</v>
      </c>
      <c r="B13256" s="27" t="s">
        <v>1124</v>
      </c>
      <c r="D13256" s="27" t="s">
        <v>1859</v>
      </c>
      <c r="F13256" s="27" t="s">
        <v>938</v>
      </c>
      <c r="G13256" s="27" t="s">
        <v>939</v>
      </c>
      <c r="H13256" s="27" t="s">
        <v>945</v>
      </c>
      <c r="J13256" s="27" t="s">
        <v>238</v>
      </c>
      <c r="L13256" s="27" t="s">
        <v>341</v>
      </c>
      <c r="N13256" s="27" t="s">
        <v>9328</v>
      </c>
      <c r="P13256" s="27" t="s">
        <v>9334</v>
      </c>
      <c r="Q13256" s="26" t="str">
        <f>HYPERLINK("https://ictv.global/taxonomy/taxondetails?taxnode_id=202501569&amp;ictv_id=ICTV19950287","ICTV19950287")</f>
        <v>ICTV19950287</v>
      </c>
      <c r="R13256" t="s">
        <v>580</v>
      </c>
      <c r="S13256" t="s">
        <v>824</v>
      </c>
      <c r="T13256">
        <v>38</v>
      </c>
      <c r="U13256" s="26" t="str">
        <f t="shared" si="490"/>
        <v>2022.009M.Filoviridae_2genrenamed.zip</v>
      </c>
    </row>
    <row r="13257" spans="1:21">
      <c r="A13257">
        <v>13256</v>
      </c>
      <c r="B13257" s="27" t="s">
        <v>1124</v>
      </c>
      <c r="D13257" s="27" t="s">
        <v>1859</v>
      </c>
      <c r="F13257" s="27" t="s">
        <v>938</v>
      </c>
      <c r="G13257" s="27" t="s">
        <v>939</v>
      </c>
      <c r="H13257" s="27" t="s">
        <v>945</v>
      </c>
      <c r="J13257" s="27" t="s">
        <v>238</v>
      </c>
      <c r="L13257" s="27" t="s">
        <v>341</v>
      </c>
      <c r="N13257" s="27" t="s">
        <v>9335</v>
      </c>
      <c r="P13257" s="27" t="s">
        <v>9336</v>
      </c>
      <c r="Q13257" s="26" t="str">
        <f>HYPERLINK("https://ictv.global/taxonomy/taxondetails?taxnode_id=202501571&amp;ictv_id=ICTV19870485","ICTV19870485")</f>
        <v>ICTV19870485</v>
      </c>
      <c r="R13257" t="s">
        <v>580</v>
      </c>
      <c r="S13257" t="s">
        <v>824</v>
      </c>
      <c r="T13257">
        <v>38</v>
      </c>
      <c r="U13257" s="26" t="str">
        <f t="shared" si="490"/>
        <v>2022.009M.Filoviridae_2genrenamed.zip</v>
      </c>
    </row>
    <row r="13258" spans="1:21">
      <c r="A13258">
        <v>13257</v>
      </c>
      <c r="B13258" s="27" t="s">
        <v>1124</v>
      </c>
      <c r="D13258" s="27" t="s">
        <v>1859</v>
      </c>
      <c r="F13258" s="27" t="s">
        <v>938</v>
      </c>
      <c r="G13258" s="27" t="s">
        <v>939</v>
      </c>
      <c r="H13258" s="27" t="s">
        <v>945</v>
      </c>
      <c r="J13258" s="27" t="s">
        <v>238</v>
      </c>
      <c r="L13258" s="27" t="s">
        <v>341</v>
      </c>
      <c r="N13258" s="27" t="s">
        <v>1126</v>
      </c>
      <c r="P13258" s="27" t="s">
        <v>9337</v>
      </c>
      <c r="Q13258" s="26" t="str">
        <f>HYPERLINK("https://ictv.global/taxonomy/taxondetails?taxnode_id=202506582&amp;ictv_id=ICTV201856582","ICTV201856582")</f>
        <v>ICTV201856582</v>
      </c>
      <c r="R13258" t="s">
        <v>580</v>
      </c>
      <c r="S13258" t="s">
        <v>824</v>
      </c>
      <c r="T13258">
        <v>38</v>
      </c>
      <c r="U13258" s="26" t="str">
        <f>HYPERLINK("https://ictv.global/ictv/proposals/2021.012M.Filoviridae_sprenamed.zip","2021.012M.Filoviridae_sprenamed.zip")</f>
        <v>2021.012M.Filoviridae_sprenamed.zip</v>
      </c>
    </row>
    <row r="13259" spans="1:21">
      <c r="A13259">
        <v>13258</v>
      </c>
      <c r="B13259" s="27" t="s">
        <v>1124</v>
      </c>
      <c r="D13259" s="27" t="s">
        <v>1859</v>
      </c>
      <c r="F13259" s="27" t="s">
        <v>938</v>
      </c>
      <c r="G13259" s="27" t="s">
        <v>939</v>
      </c>
      <c r="H13259" s="27" t="s">
        <v>945</v>
      </c>
      <c r="J13259" s="27" t="s">
        <v>238</v>
      </c>
      <c r="L13259" s="27" t="s">
        <v>341</v>
      </c>
      <c r="N13259" s="27" t="s">
        <v>9338</v>
      </c>
      <c r="P13259" s="27" t="s">
        <v>9339</v>
      </c>
      <c r="Q13259" s="26" t="str">
        <f>HYPERLINK("https://ictv.global/taxonomy/taxondetails?taxnode_id=202513337&amp;ictv_id=ICTV202113337","ICTV202113337")</f>
        <v>ICTV202113337</v>
      </c>
      <c r="R13259" t="s">
        <v>580</v>
      </c>
      <c r="S13259" t="s">
        <v>823</v>
      </c>
      <c r="T13259">
        <v>37</v>
      </c>
      <c r="U13259" s="26" t="str">
        <f>HYPERLINK("https://ictv.global/ictv/proposals/2021.005M.R.Filoviridae_1ngen_1nsp.zip","2021.005M.R.Filoviridae_1ngen_1nsp.zip")</f>
        <v>2021.005M.R.Filoviridae_1ngen_1nsp.zip</v>
      </c>
    </row>
    <row r="13260" spans="1:21">
      <c r="A13260">
        <v>13259</v>
      </c>
      <c r="B13260" s="27" t="s">
        <v>1124</v>
      </c>
      <c r="D13260" s="27" t="s">
        <v>1859</v>
      </c>
      <c r="F13260" s="27" t="s">
        <v>938</v>
      </c>
      <c r="G13260" s="27" t="s">
        <v>939</v>
      </c>
      <c r="H13260" s="27" t="s">
        <v>945</v>
      </c>
      <c r="J13260" s="27" t="s">
        <v>238</v>
      </c>
      <c r="L13260" s="27" t="s">
        <v>341</v>
      </c>
      <c r="N13260" s="27" t="s">
        <v>1127</v>
      </c>
      <c r="P13260" s="27" t="s">
        <v>9340</v>
      </c>
      <c r="Q13260" s="26" t="str">
        <f>HYPERLINK("https://ictv.global/taxonomy/taxondetails?taxnode_id=202513341&amp;ictv_id=ICTV202113341","ICTV202113341")</f>
        <v>ICTV202113341</v>
      </c>
      <c r="R13260" t="s">
        <v>580</v>
      </c>
      <c r="S13260" t="s">
        <v>823</v>
      </c>
      <c r="T13260">
        <v>37</v>
      </c>
      <c r="U13260" s="26" t="str">
        <f>HYPERLINK("https://ictv.global/ictv/proposals/2021.011M.R.Filoviridae_1ngen_3nsp.zip","2021.011M.R.Filoviridae_1ngen_3nsp.zip")</f>
        <v>2021.011M.R.Filoviridae_1ngen_3nsp.zip</v>
      </c>
    </row>
    <row r="13261" spans="1:21">
      <c r="A13261">
        <v>13260</v>
      </c>
      <c r="B13261" s="27" t="s">
        <v>1124</v>
      </c>
      <c r="D13261" s="27" t="s">
        <v>1859</v>
      </c>
      <c r="F13261" s="27" t="s">
        <v>938</v>
      </c>
      <c r="G13261" s="27" t="s">
        <v>939</v>
      </c>
      <c r="H13261" s="27" t="s">
        <v>945</v>
      </c>
      <c r="J13261" s="27" t="s">
        <v>238</v>
      </c>
      <c r="L13261" s="27" t="s">
        <v>341</v>
      </c>
      <c r="N13261" s="27" t="s">
        <v>1127</v>
      </c>
      <c r="P13261" s="27" t="s">
        <v>9341</v>
      </c>
      <c r="Q13261" s="26" t="str">
        <f>HYPERLINK("https://ictv.global/taxonomy/taxondetails?taxnode_id=202513340&amp;ictv_id=ICTV202113340","ICTV202113340")</f>
        <v>ICTV202113340</v>
      </c>
      <c r="R13261" t="s">
        <v>580</v>
      </c>
      <c r="S13261" t="s">
        <v>823</v>
      </c>
      <c r="T13261">
        <v>37</v>
      </c>
      <c r="U13261" s="26" t="str">
        <f>HYPERLINK("https://ictv.global/ictv/proposals/2021.011M.R.Filoviridae_1ngen_3nsp.zip","2021.011M.R.Filoviridae_1ngen_3nsp.zip")</f>
        <v>2021.011M.R.Filoviridae_1ngen_3nsp.zip</v>
      </c>
    </row>
    <row r="13262" spans="1:21">
      <c r="A13262">
        <v>13261</v>
      </c>
      <c r="B13262" s="27" t="s">
        <v>1124</v>
      </c>
      <c r="D13262" s="27" t="s">
        <v>1859</v>
      </c>
      <c r="F13262" s="27" t="s">
        <v>938</v>
      </c>
      <c r="G13262" s="27" t="s">
        <v>939</v>
      </c>
      <c r="H13262" s="27" t="s">
        <v>945</v>
      </c>
      <c r="J13262" s="27" t="s">
        <v>238</v>
      </c>
      <c r="L13262" s="27" t="s">
        <v>341</v>
      </c>
      <c r="N13262" s="27" t="s">
        <v>1127</v>
      </c>
      <c r="P13262" s="27" t="s">
        <v>9342</v>
      </c>
      <c r="Q13262" s="26" t="str">
        <f>HYPERLINK("https://ictv.global/taxonomy/taxondetails?taxnode_id=202506584&amp;ictv_id=ICTV201856584","ICTV201856584")</f>
        <v>ICTV201856584</v>
      </c>
      <c r="R13262" t="s">
        <v>580</v>
      </c>
      <c r="S13262" t="s">
        <v>824</v>
      </c>
      <c r="T13262">
        <v>38</v>
      </c>
      <c r="U13262" s="26" t="str">
        <f>HYPERLINK("https://ictv.global/ictv/proposals/2021.012M.Filoviridae_sprenamed.zip","2021.012M.Filoviridae_sprenamed.zip")</f>
        <v>2021.012M.Filoviridae_sprenamed.zip</v>
      </c>
    </row>
    <row r="13263" spans="1:21">
      <c r="A13263">
        <v>13262</v>
      </c>
      <c r="B13263" s="27" t="s">
        <v>1124</v>
      </c>
      <c r="D13263" s="27" t="s">
        <v>1859</v>
      </c>
      <c r="F13263" s="27" t="s">
        <v>938</v>
      </c>
      <c r="G13263" s="27" t="s">
        <v>939</v>
      </c>
      <c r="H13263" s="27" t="s">
        <v>945</v>
      </c>
      <c r="J13263" s="27" t="s">
        <v>238</v>
      </c>
      <c r="L13263" s="27" t="s">
        <v>950</v>
      </c>
      <c r="N13263" s="27" t="s">
        <v>9343</v>
      </c>
      <c r="P13263" s="27" t="s">
        <v>9344</v>
      </c>
      <c r="Q13263" s="26" t="str">
        <f>HYPERLINK("https://ictv.global/taxonomy/taxondetails?taxnode_id=202514190&amp;ictv_id=ICTV202214190","ICTV202214190")</f>
        <v>ICTV202214190</v>
      </c>
      <c r="R13263" t="s">
        <v>580</v>
      </c>
      <c r="S13263" t="s">
        <v>823</v>
      </c>
      <c r="T13263">
        <v>38</v>
      </c>
      <c r="U13263" s="26" t="str">
        <f>HYPERLINK("https://ictv.global/ictv/proposals/2022.012M.Lispiviridae_7ngen_11nsp.zip","2022.012M.Lispiviridae_7ngen_11nsp.zip")</f>
        <v>2022.012M.Lispiviridae_7ngen_11nsp.zip</v>
      </c>
    </row>
    <row r="13264" spans="1:21">
      <c r="A13264">
        <v>13263</v>
      </c>
      <c r="B13264" s="27" t="s">
        <v>1124</v>
      </c>
      <c r="D13264" s="27" t="s">
        <v>1859</v>
      </c>
      <c r="F13264" s="27" t="s">
        <v>938</v>
      </c>
      <c r="G13264" s="27" t="s">
        <v>939</v>
      </c>
      <c r="H13264" s="27" t="s">
        <v>945</v>
      </c>
      <c r="J13264" s="27" t="s">
        <v>238</v>
      </c>
      <c r="L13264" s="27" t="s">
        <v>950</v>
      </c>
      <c r="N13264" s="27" t="s">
        <v>9345</v>
      </c>
      <c r="P13264" s="27" t="s">
        <v>9346</v>
      </c>
      <c r="Q13264" s="26" t="str">
        <f>HYPERLINK("https://ictv.global/taxonomy/taxondetails?taxnode_id=202514194&amp;ictv_id=ICTV202214194","ICTV202214194")</f>
        <v>ICTV202214194</v>
      </c>
      <c r="R13264" t="s">
        <v>580</v>
      </c>
      <c r="S13264" t="s">
        <v>823</v>
      </c>
      <c r="T13264">
        <v>38</v>
      </c>
      <c r="U13264" s="26" t="str">
        <f>HYPERLINK("https://ictv.global/ictv/proposals/2022.012M.Lispiviridae_7ngen_11nsp.zip","2022.012M.Lispiviridae_7ngen_11nsp.zip")</f>
        <v>2022.012M.Lispiviridae_7ngen_11nsp.zip</v>
      </c>
    </row>
    <row r="13265" spans="1:21">
      <c r="A13265">
        <v>13264</v>
      </c>
      <c r="B13265" s="27" t="s">
        <v>1124</v>
      </c>
      <c r="D13265" s="27" t="s">
        <v>1859</v>
      </c>
      <c r="F13265" s="27" t="s">
        <v>938</v>
      </c>
      <c r="G13265" s="27" t="s">
        <v>939</v>
      </c>
      <c r="H13265" s="27" t="s">
        <v>945</v>
      </c>
      <c r="J13265" s="27" t="s">
        <v>238</v>
      </c>
      <c r="L13265" s="27" t="s">
        <v>950</v>
      </c>
      <c r="N13265" s="27" t="s">
        <v>9347</v>
      </c>
      <c r="P13265" s="27" t="s">
        <v>9348</v>
      </c>
      <c r="Q13265" s="26" t="str">
        <f>HYPERLINK("https://ictv.global/taxonomy/taxondetails?taxnode_id=202514195&amp;ictv_id=ICTV202214195","ICTV202214195")</f>
        <v>ICTV202214195</v>
      </c>
      <c r="R13265" t="s">
        <v>580</v>
      </c>
      <c r="S13265" t="s">
        <v>823</v>
      </c>
      <c r="T13265">
        <v>38</v>
      </c>
      <c r="U13265" s="26" t="str">
        <f>HYPERLINK("https://ictv.global/ictv/proposals/2022.012M.Lispiviridae_7ngen_11nsp.zip","2022.012M.Lispiviridae_7ngen_11nsp.zip")</f>
        <v>2022.012M.Lispiviridae_7ngen_11nsp.zip</v>
      </c>
    </row>
    <row r="13266" spans="1:21">
      <c r="A13266">
        <v>13265</v>
      </c>
      <c r="B13266" s="27" t="s">
        <v>1124</v>
      </c>
      <c r="D13266" s="27" t="s">
        <v>1859</v>
      </c>
      <c r="F13266" s="27" t="s">
        <v>938</v>
      </c>
      <c r="G13266" s="27" t="s">
        <v>939</v>
      </c>
      <c r="H13266" s="27" t="s">
        <v>945</v>
      </c>
      <c r="J13266" s="27" t="s">
        <v>238</v>
      </c>
      <c r="L13266" s="27" t="s">
        <v>950</v>
      </c>
      <c r="N13266" s="27" t="s">
        <v>9349</v>
      </c>
      <c r="P13266" s="27" t="s">
        <v>9350</v>
      </c>
      <c r="Q13266" s="26" t="str">
        <f>HYPERLINK("https://ictv.global/taxonomy/taxondetails?taxnode_id=202513371&amp;ictv_id=ICTV202113371","ICTV202113371")</f>
        <v>ICTV202113371</v>
      </c>
      <c r="R13266" t="s">
        <v>580</v>
      </c>
      <c r="S13266" t="s">
        <v>823</v>
      </c>
      <c r="T13266">
        <v>37</v>
      </c>
      <c r="U13266" s="26" t="str">
        <f>HYPERLINK("https://ictv.global/ictv/proposals/2021.016M.R.Lispiviridae_16ngen_13nsp.zip","2021.016M.R.Lispiviridae_16ngen_13nsp.zip")</f>
        <v>2021.016M.R.Lispiviridae_16ngen_13nsp.zip</v>
      </c>
    </row>
    <row r="13267" spans="1:21">
      <c r="A13267">
        <v>13266</v>
      </c>
      <c r="B13267" s="27" t="s">
        <v>1124</v>
      </c>
      <c r="D13267" s="27" t="s">
        <v>1859</v>
      </c>
      <c r="F13267" s="27" t="s">
        <v>938</v>
      </c>
      <c r="G13267" s="27" t="s">
        <v>939</v>
      </c>
      <c r="H13267" s="27" t="s">
        <v>945</v>
      </c>
      <c r="J13267" s="27" t="s">
        <v>238</v>
      </c>
      <c r="L13267" s="27" t="s">
        <v>950</v>
      </c>
      <c r="N13267" s="27" t="s">
        <v>9349</v>
      </c>
      <c r="P13267" s="27" t="s">
        <v>16764</v>
      </c>
      <c r="Q13267" s="26" t="str">
        <f>HYPERLINK("https://ictv.global/taxonomy/taxondetails?taxnode_id=202518028&amp;ictv_id=ICTV202318028","ICTV202318028")</f>
        <v>ICTV202318028</v>
      </c>
      <c r="R13267" t="s">
        <v>580</v>
      </c>
      <c r="S13267" t="s">
        <v>823</v>
      </c>
      <c r="T13267">
        <v>39</v>
      </c>
      <c r="U13267" s="26" t="str">
        <f>HYPERLINK("https://ictv.global/ictv/proposals/2023.011M.Lispiviridae_1ngen_4nsp.zip","2023.011M.Lispiviridae_1ngen_4nsp.zip")</f>
        <v>2023.011M.Lispiviridae_1ngen_4nsp.zip</v>
      </c>
    </row>
    <row r="13268" spans="1:21">
      <c r="A13268">
        <v>13267</v>
      </c>
      <c r="B13268" s="27" t="s">
        <v>1124</v>
      </c>
      <c r="D13268" s="27" t="s">
        <v>1859</v>
      </c>
      <c r="F13268" s="27" t="s">
        <v>938</v>
      </c>
      <c r="G13268" s="27" t="s">
        <v>939</v>
      </c>
      <c r="H13268" s="27" t="s">
        <v>945</v>
      </c>
      <c r="J13268" s="27" t="s">
        <v>238</v>
      </c>
      <c r="L13268" s="27" t="s">
        <v>950</v>
      </c>
      <c r="N13268" s="27" t="s">
        <v>9351</v>
      </c>
      <c r="P13268" s="27" t="s">
        <v>9352</v>
      </c>
      <c r="Q13268" s="26" t="str">
        <f>HYPERLINK("https://ictv.global/taxonomy/taxondetails?taxnode_id=202513367&amp;ictv_id=ICTV202113367","ICTV202113367")</f>
        <v>ICTV202113367</v>
      </c>
      <c r="R13268" t="s">
        <v>580</v>
      </c>
      <c r="S13268" t="s">
        <v>823</v>
      </c>
      <c r="T13268">
        <v>37</v>
      </c>
      <c r="U13268" s="26" t="str">
        <f>HYPERLINK("https://ictv.global/ictv/proposals/2021.016M.R.Lispiviridae_16ngen_13nsp.zip","2021.016M.R.Lispiviridae_16ngen_13nsp.zip")</f>
        <v>2021.016M.R.Lispiviridae_16ngen_13nsp.zip</v>
      </c>
    </row>
    <row r="13269" spans="1:21">
      <c r="A13269">
        <v>13268</v>
      </c>
      <c r="B13269" s="27" t="s">
        <v>1124</v>
      </c>
      <c r="D13269" s="27" t="s">
        <v>1859</v>
      </c>
      <c r="F13269" s="27" t="s">
        <v>938</v>
      </c>
      <c r="G13269" s="27" t="s">
        <v>939</v>
      </c>
      <c r="H13269" s="27" t="s">
        <v>945</v>
      </c>
      <c r="J13269" s="27" t="s">
        <v>238</v>
      </c>
      <c r="L13269" s="27" t="s">
        <v>950</v>
      </c>
      <c r="N13269" s="27" t="s">
        <v>9353</v>
      </c>
      <c r="P13269" s="27" t="s">
        <v>9354</v>
      </c>
      <c r="Q13269" s="26" t="str">
        <f>HYPERLINK("https://ictv.global/taxonomy/taxondetails?taxnode_id=202514191&amp;ictv_id=ICTV202214191","ICTV202214191")</f>
        <v>ICTV202214191</v>
      </c>
      <c r="R13269" t="s">
        <v>580</v>
      </c>
      <c r="S13269" t="s">
        <v>823</v>
      </c>
      <c r="T13269">
        <v>38</v>
      </c>
      <c r="U13269" s="26" t="str">
        <f>HYPERLINK("https://ictv.global/ictv/proposals/2022.012M.Lispiviridae_7ngen_11nsp.zip","2022.012M.Lispiviridae_7ngen_11nsp.zip")</f>
        <v>2022.012M.Lispiviridae_7ngen_11nsp.zip</v>
      </c>
    </row>
    <row r="13270" spans="1:21">
      <c r="A13270">
        <v>13269</v>
      </c>
      <c r="B13270" s="27" t="s">
        <v>1124</v>
      </c>
      <c r="D13270" s="27" t="s">
        <v>1859</v>
      </c>
      <c r="F13270" s="27" t="s">
        <v>938</v>
      </c>
      <c r="G13270" s="27" t="s">
        <v>939</v>
      </c>
      <c r="H13270" s="27" t="s">
        <v>945</v>
      </c>
      <c r="J13270" s="27" t="s">
        <v>238</v>
      </c>
      <c r="L13270" s="27" t="s">
        <v>950</v>
      </c>
      <c r="N13270" s="27" t="s">
        <v>9355</v>
      </c>
      <c r="P13270" s="27" t="s">
        <v>9356</v>
      </c>
      <c r="Q13270" s="26" t="str">
        <f>HYPERLINK("https://ictv.global/taxonomy/taxondetails?taxnode_id=202514192&amp;ictv_id=ICTV202214192","ICTV202214192")</f>
        <v>ICTV202214192</v>
      </c>
      <c r="R13270" t="s">
        <v>580</v>
      </c>
      <c r="S13270" t="s">
        <v>823</v>
      </c>
      <c r="T13270">
        <v>38</v>
      </c>
      <c r="U13270" s="26" t="str">
        <f>HYPERLINK("https://ictv.global/ictv/proposals/2022.012M.Lispiviridae_7ngen_11nsp.zip","2022.012M.Lispiviridae_7ngen_11nsp.zip")</f>
        <v>2022.012M.Lispiviridae_7ngen_11nsp.zip</v>
      </c>
    </row>
    <row r="13271" spans="1:21">
      <c r="A13271">
        <v>13270</v>
      </c>
      <c r="B13271" s="27" t="s">
        <v>1124</v>
      </c>
      <c r="D13271" s="27" t="s">
        <v>1859</v>
      </c>
      <c r="F13271" s="27" t="s">
        <v>938</v>
      </c>
      <c r="G13271" s="27" t="s">
        <v>939</v>
      </c>
      <c r="H13271" s="27" t="s">
        <v>945</v>
      </c>
      <c r="J13271" s="27" t="s">
        <v>238</v>
      </c>
      <c r="L13271" s="27" t="s">
        <v>950</v>
      </c>
      <c r="N13271" s="27" t="s">
        <v>644</v>
      </c>
      <c r="P13271" s="27" t="s">
        <v>9357</v>
      </c>
      <c r="Q13271" s="26" t="str">
        <f>HYPERLINK("https://ictv.global/taxonomy/taxondetails?taxnode_id=202501814&amp;ictv_id=ICTV20151177","ICTV20151177")</f>
        <v>ICTV20151177</v>
      </c>
      <c r="R13271" t="s">
        <v>580</v>
      </c>
      <c r="S13271" t="s">
        <v>824</v>
      </c>
      <c r="T13271">
        <v>37</v>
      </c>
      <c r="U13271" s="26" t="str">
        <f>HYPERLINK("https://ictv.global/ictv/proposals/2021.016M.R.Lispiviridae_16ngen_13nsp.zip","2021.016M.R.Lispiviridae_16ngen_13nsp.zip")</f>
        <v>2021.016M.R.Lispiviridae_16ngen_13nsp.zip</v>
      </c>
    </row>
    <row r="13272" spans="1:21">
      <c r="A13272">
        <v>13271</v>
      </c>
      <c r="B13272" s="27" t="s">
        <v>1124</v>
      </c>
      <c r="D13272" s="27" t="s">
        <v>1859</v>
      </c>
      <c r="F13272" s="27" t="s">
        <v>938</v>
      </c>
      <c r="G13272" s="27" t="s">
        <v>939</v>
      </c>
      <c r="H13272" s="27" t="s">
        <v>945</v>
      </c>
      <c r="J13272" s="27" t="s">
        <v>238</v>
      </c>
      <c r="L13272" s="27" t="s">
        <v>950</v>
      </c>
      <c r="N13272" s="27" t="s">
        <v>644</v>
      </c>
      <c r="P13272" s="27" t="s">
        <v>9358</v>
      </c>
      <c r="Q13272" s="26" t="str">
        <f>HYPERLINK("https://ictv.global/taxonomy/taxondetails?taxnode_id=202514200&amp;ictv_id=ICTV202214200","ICTV202214200")</f>
        <v>ICTV202214200</v>
      </c>
      <c r="R13272" t="s">
        <v>580</v>
      </c>
      <c r="S13272" t="s">
        <v>823</v>
      </c>
      <c r="T13272">
        <v>38</v>
      </c>
      <c r="U13272" s="26" t="str">
        <f>HYPERLINK("https://ictv.global/ictv/proposals/2022.012M.Lispiviridae_7ngen_11nsp.zip","2022.012M.Lispiviridae_7ngen_11nsp.zip")</f>
        <v>2022.012M.Lispiviridae_7ngen_11nsp.zip</v>
      </c>
    </row>
    <row r="13273" spans="1:21">
      <c r="A13273">
        <v>13272</v>
      </c>
      <c r="B13273" s="27" t="s">
        <v>1124</v>
      </c>
      <c r="D13273" s="27" t="s">
        <v>1859</v>
      </c>
      <c r="F13273" s="27" t="s">
        <v>938</v>
      </c>
      <c r="G13273" s="27" t="s">
        <v>939</v>
      </c>
      <c r="H13273" s="27" t="s">
        <v>945</v>
      </c>
      <c r="J13273" s="27" t="s">
        <v>238</v>
      </c>
      <c r="L13273" s="27" t="s">
        <v>950</v>
      </c>
      <c r="N13273" s="27" t="s">
        <v>644</v>
      </c>
      <c r="P13273" s="27" t="s">
        <v>9359</v>
      </c>
      <c r="Q13273" s="26" t="str">
        <f>HYPERLINK("https://ictv.global/taxonomy/taxondetails?taxnode_id=202514199&amp;ictv_id=ICTV202214199","ICTV202214199")</f>
        <v>ICTV202214199</v>
      </c>
      <c r="R13273" t="s">
        <v>580</v>
      </c>
      <c r="S13273" t="s">
        <v>823</v>
      </c>
      <c r="T13273">
        <v>38</v>
      </c>
      <c r="U13273" s="26" t="str">
        <f>HYPERLINK("https://ictv.global/ictv/proposals/2022.012M.Lispiviridae_7ngen_11nsp.zip","2022.012M.Lispiviridae_7ngen_11nsp.zip")</f>
        <v>2022.012M.Lispiviridae_7ngen_11nsp.zip</v>
      </c>
    </row>
    <row r="13274" spans="1:21">
      <c r="A13274">
        <v>13273</v>
      </c>
      <c r="B13274" s="27" t="s">
        <v>1124</v>
      </c>
      <c r="D13274" s="27" t="s">
        <v>1859</v>
      </c>
      <c r="F13274" s="27" t="s">
        <v>938</v>
      </c>
      <c r="G13274" s="27" t="s">
        <v>939</v>
      </c>
      <c r="H13274" s="27" t="s">
        <v>945</v>
      </c>
      <c r="J13274" s="27" t="s">
        <v>238</v>
      </c>
      <c r="L13274" s="27" t="s">
        <v>950</v>
      </c>
      <c r="N13274" s="27" t="s">
        <v>20218</v>
      </c>
      <c r="P13274" s="27" t="s">
        <v>20219</v>
      </c>
      <c r="Q13274" s="26" t="str">
        <f>HYPERLINK("https://ictv.global/taxonomy/taxondetails?taxnode_id=202520354&amp;ictv_id=ICTV202420354","ICTV202420354")</f>
        <v>ICTV202420354</v>
      </c>
      <c r="R13274" t="s">
        <v>580</v>
      </c>
      <c r="S13274" t="s">
        <v>823</v>
      </c>
      <c r="T13274">
        <v>40</v>
      </c>
      <c r="U13274" s="26" t="str">
        <f t="shared" ref="U13274:U13280" si="491">HYPERLINK("https://ictv.global/ictv/proposals/2024.008M.Lispiviridae_5ngen_11nsp.zip","2024.008M.Lispiviridae_5ngen_11nsp.zip")</f>
        <v>2024.008M.Lispiviridae_5ngen_11nsp.zip</v>
      </c>
    </row>
    <row r="13275" spans="1:21">
      <c r="A13275">
        <v>13274</v>
      </c>
      <c r="B13275" s="27" t="s">
        <v>1124</v>
      </c>
      <c r="D13275" s="27" t="s">
        <v>1859</v>
      </c>
      <c r="F13275" s="27" t="s">
        <v>938</v>
      </c>
      <c r="G13275" s="27" t="s">
        <v>939</v>
      </c>
      <c r="H13275" s="27" t="s">
        <v>945</v>
      </c>
      <c r="J13275" s="27" t="s">
        <v>238</v>
      </c>
      <c r="L13275" s="27" t="s">
        <v>950</v>
      </c>
      <c r="N13275" s="27" t="s">
        <v>20218</v>
      </c>
      <c r="P13275" s="27" t="s">
        <v>20220</v>
      </c>
      <c r="Q13275" s="26" t="str">
        <f>HYPERLINK("https://ictv.global/taxonomy/taxondetails?taxnode_id=202520351&amp;ictv_id=ICTV202420351","ICTV202420351")</f>
        <v>ICTV202420351</v>
      </c>
      <c r="R13275" t="s">
        <v>580</v>
      </c>
      <c r="S13275" t="s">
        <v>823</v>
      </c>
      <c r="T13275">
        <v>40</v>
      </c>
      <c r="U13275" s="26" t="str">
        <f t="shared" si="491"/>
        <v>2024.008M.Lispiviridae_5ngen_11nsp.zip</v>
      </c>
    </row>
    <row r="13276" spans="1:21">
      <c r="A13276">
        <v>13275</v>
      </c>
      <c r="B13276" s="27" t="s">
        <v>1124</v>
      </c>
      <c r="D13276" s="27" t="s">
        <v>1859</v>
      </c>
      <c r="F13276" s="27" t="s">
        <v>938</v>
      </c>
      <c r="G13276" s="27" t="s">
        <v>939</v>
      </c>
      <c r="H13276" s="27" t="s">
        <v>945</v>
      </c>
      <c r="J13276" s="27" t="s">
        <v>238</v>
      </c>
      <c r="L13276" s="27" t="s">
        <v>950</v>
      </c>
      <c r="N13276" s="27" t="s">
        <v>20218</v>
      </c>
      <c r="P13276" s="27" t="s">
        <v>20221</v>
      </c>
      <c r="Q13276" s="26" t="str">
        <f>HYPERLINK("https://ictv.global/taxonomy/taxondetails?taxnode_id=202520348&amp;ictv_id=ICTV202420348","ICTV202420348")</f>
        <v>ICTV202420348</v>
      </c>
      <c r="R13276" t="s">
        <v>580</v>
      </c>
      <c r="S13276" t="s">
        <v>823</v>
      </c>
      <c r="T13276">
        <v>40</v>
      </c>
      <c r="U13276" s="26" t="str">
        <f t="shared" si="491"/>
        <v>2024.008M.Lispiviridae_5ngen_11nsp.zip</v>
      </c>
    </row>
    <row r="13277" spans="1:21">
      <c r="A13277">
        <v>13276</v>
      </c>
      <c r="B13277" s="27" t="s">
        <v>1124</v>
      </c>
      <c r="D13277" s="27" t="s">
        <v>1859</v>
      </c>
      <c r="F13277" s="27" t="s">
        <v>938</v>
      </c>
      <c r="G13277" s="27" t="s">
        <v>939</v>
      </c>
      <c r="H13277" s="27" t="s">
        <v>945</v>
      </c>
      <c r="J13277" s="27" t="s">
        <v>238</v>
      </c>
      <c r="L13277" s="27" t="s">
        <v>950</v>
      </c>
      <c r="N13277" s="27" t="s">
        <v>20218</v>
      </c>
      <c r="P13277" s="27" t="s">
        <v>20222</v>
      </c>
      <c r="Q13277" s="26" t="str">
        <f>HYPERLINK("https://ictv.global/taxonomy/taxondetails?taxnode_id=202520352&amp;ictv_id=ICTV202420352","ICTV202420352")</f>
        <v>ICTV202420352</v>
      </c>
      <c r="R13277" t="s">
        <v>580</v>
      </c>
      <c r="S13277" t="s">
        <v>823</v>
      </c>
      <c r="T13277">
        <v>40</v>
      </c>
      <c r="U13277" s="26" t="str">
        <f t="shared" si="491"/>
        <v>2024.008M.Lispiviridae_5ngen_11nsp.zip</v>
      </c>
    </row>
    <row r="13278" spans="1:21">
      <c r="A13278">
        <v>13277</v>
      </c>
      <c r="B13278" s="27" t="s">
        <v>1124</v>
      </c>
      <c r="D13278" s="27" t="s">
        <v>1859</v>
      </c>
      <c r="F13278" s="27" t="s">
        <v>938</v>
      </c>
      <c r="G13278" s="27" t="s">
        <v>939</v>
      </c>
      <c r="H13278" s="27" t="s">
        <v>945</v>
      </c>
      <c r="J13278" s="27" t="s">
        <v>238</v>
      </c>
      <c r="L13278" s="27" t="s">
        <v>950</v>
      </c>
      <c r="N13278" s="27" t="s">
        <v>20218</v>
      </c>
      <c r="P13278" s="27" t="s">
        <v>20223</v>
      </c>
      <c r="Q13278" s="26" t="str">
        <f>HYPERLINK("https://ictv.global/taxonomy/taxondetails?taxnode_id=202520349&amp;ictv_id=ICTV202420349","ICTV202420349")</f>
        <v>ICTV202420349</v>
      </c>
      <c r="R13278" t="s">
        <v>580</v>
      </c>
      <c r="S13278" t="s">
        <v>823</v>
      </c>
      <c r="T13278">
        <v>40</v>
      </c>
      <c r="U13278" s="26" t="str">
        <f t="shared" si="491"/>
        <v>2024.008M.Lispiviridae_5ngen_11nsp.zip</v>
      </c>
    </row>
    <row r="13279" spans="1:21">
      <c r="A13279">
        <v>13278</v>
      </c>
      <c r="B13279" s="27" t="s">
        <v>1124</v>
      </c>
      <c r="D13279" s="27" t="s">
        <v>1859</v>
      </c>
      <c r="F13279" s="27" t="s">
        <v>938</v>
      </c>
      <c r="G13279" s="27" t="s">
        <v>939</v>
      </c>
      <c r="H13279" s="27" t="s">
        <v>945</v>
      </c>
      <c r="J13279" s="27" t="s">
        <v>238</v>
      </c>
      <c r="L13279" s="27" t="s">
        <v>950</v>
      </c>
      <c r="N13279" s="27" t="s">
        <v>20218</v>
      </c>
      <c r="P13279" s="27" t="s">
        <v>20224</v>
      </c>
      <c r="Q13279" s="26" t="str">
        <f>HYPERLINK("https://ictv.global/taxonomy/taxondetails?taxnode_id=202520353&amp;ictv_id=ICTV202420353","ICTV202420353")</f>
        <v>ICTV202420353</v>
      </c>
      <c r="R13279" t="s">
        <v>580</v>
      </c>
      <c r="S13279" t="s">
        <v>823</v>
      </c>
      <c r="T13279">
        <v>40</v>
      </c>
      <c r="U13279" s="26" t="str">
        <f t="shared" si="491"/>
        <v>2024.008M.Lispiviridae_5ngen_11nsp.zip</v>
      </c>
    </row>
    <row r="13280" spans="1:21">
      <c r="A13280">
        <v>13279</v>
      </c>
      <c r="B13280" s="27" t="s">
        <v>1124</v>
      </c>
      <c r="D13280" s="27" t="s">
        <v>1859</v>
      </c>
      <c r="F13280" s="27" t="s">
        <v>938</v>
      </c>
      <c r="G13280" s="27" t="s">
        <v>939</v>
      </c>
      <c r="H13280" s="27" t="s">
        <v>945</v>
      </c>
      <c r="J13280" s="27" t="s">
        <v>238</v>
      </c>
      <c r="L13280" s="27" t="s">
        <v>950</v>
      </c>
      <c r="N13280" s="27" t="s">
        <v>20218</v>
      </c>
      <c r="P13280" s="27" t="s">
        <v>20225</v>
      </c>
      <c r="Q13280" s="26" t="str">
        <f>HYPERLINK("https://ictv.global/taxonomy/taxondetails?taxnode_id=202520350&amp;ictv_id=ICTV202420350","ICTV202420350")</f>
        <v>ICTV202420350</v>
      </c>
      <c r="R13280" t="s">
        <v>580</v>
      </c>
      <c r="S13280" t="s">
        <v>823</v>
      </c>
      <c r="T13280">
        <v>40</v>
      </c>
      <c r="U13280" s="26" t="str">
        <f t="shared" si="491"/>
        <v>2024.008M.Lispiviridae_5ngen_11nsp.zip</v>
      </c>
    </row>
    <row r="13281" spans="1:21">
      <c r="A13281">
        <v>13280</v>
      </c>
      <c r="B13281" s="27" t="s">
        <v>1124</v>
      </c>
      <c r="D13281" s="27" t="s">
        <v>1859</v>
      </c>
      <c r="F13281" s="27" t="s">
        <v>938</v>
      </c>
      <c r="G13281" s="27" t="s">
        <v>939</v>
      </c>
      <c r="H13281" s="27" t="s">
        <v>945</v>
      </c>
      <c r="J13281" s="27" t="s">
        <v>238</v>
      </c>
      <c r="L13281" s="27" t="s">
        <v>950</v>
      </c>
      <c r="N13281" s="27" t="s">
        <v>9360</v>
      </c>
      <c r="P13281" s="27" t="s">
        <v>9361</v>
      </c>
      <c r="Q13281" s="26" t="str">
        <f>HYPERLINK("https://ictv.global/taxonomy/taxondetails?taxnode_id=202514193&amp;ictv_id=ICTV202214193","ICTV202214193")</f>
        <v>ICTV202214193</v>
      </c>
      <c r="R13281" t="s">
        <v>580</v>
      </c>
      <c r="S13281" t="s">
        <v>823</v>
      </c>
      <c r="T13281">
        <v>38</v>
      </c>
      <c r="U13281" s="26" t="str">
        <f>HYPERLINK("https://ictv.global/ictv/proposals/2022.012M.Lispiviridae_7ngen_11nsp.zip","2022.012M.Lispiviridae_7ngen_11nsp.zip")</f>
        <v>2022.012M.Lispiviridae_7ngen_11nsp.zip</v>
      </c>
    </row>
    <row r="13282" spans="1:21">
      <c r="A13282">
        <v>13281</v>
      </c>
      <c r="B13282" s="27" t="s">
        <v>1124</v>
      </c>
      <c r="D13282" s="27" t="s">
        <v>1859</v>
      </c>
      <c r="F13282" s="27" t="s">
        <v>938</v>
      </c>
      <c r="G13282" s="27" t="s">
        <v>939</v>
      </c>
      <c r="H13282" s="27" t="s">
        <v>945</v>
      </c>
      <c r="J13282" s="27" t="s">
        <v>238</v>
      </c>
      <c r="L13282" s="27" t="s">
        <v>950</v>
      </c>
      <c r="N13282" s="27" t="s">
        <v>16765</v>
      </c>
      <c r="P13282" s="27" t="s">
        <v>16766</v>
      </c>
      <c r="Q13282" s="26" t="str">
        <f>HYPERLINK("https://ictv.global/taxonomy/taxondetails?taxnode_id=202518027&amp;ictv_id=ICTV202318027","ICTV202318027")</f>
        <v>ICTV202318027</v>
      </c>
      <c r="R13282" t="s">
        <v>580</v>
      </c>
      <c r="S13282" t="s">
        <v>823</v>
      </c>
      <c r="T13282">
        <v>39</v>
      </c>
      <c r="U13282" s="26" t="str">
        <f>HYPERLINK("https://ictv.global/ictv/proposals/2023.011M.Lispiviridae_1ngen_4nsp.zip","2023.011M.Lispiviridae_1ngen_4nsp.zip")</f>
        <v>2023.011M.Lispiviridae_1ngen_4nsp.zip</v>
      </c>
    </row>
    <row r="13283" spans="1:21">
      <c r="A13283">
        <v>13282</v>
      </c>
      <c r="B13283" s="27" t="s">
        <v>1124</v>
      </c>
      <c r="D13283" s="27" t="s">
        <v>1859</v>
      </c>
      <c r="F13283" s="27" t="s">
        <v>938</v>
      </c>
      <c r="G13283" s="27" t="s">
        <v>939</v>
      </c>
      <c r="H13283" s="27" t="s">
        <v>945</v>
      </c>
      <c r="J13283" s="27" t="s">
        <v>238</v>
      </c>
      <c r="L13283" s="27" t="s">
        <v>950</v>
      </c>
      <c r="N13283" s="27" t="s">
        <v>20226</v>
      </c>
      <c r="P13283" s="27" t="s">
        <v>20227</v>
      </c>
      <c r="Q13283" s="26" t="str">
        <f>HYPERLINK("https://ictv.global/taxonomy/taxondetails?taxnode_id=202520355&amp;ictv_id=ICTV202420355","ICTV202420355")</f>
        <v>ICTV202420355</v>
      </c>
      <c r="R13283" t="s">
        <v>580</v>
      </c>
      <c r="S13283" t="s">
        <v>823</v>
      </c>
      <c r="T13283">
        <v>40</v>
      </c>
      <c r="U13283" s="26" t="str">
        <f>HYPERLINK("https://ictv.global/ictv/proposals/2024.008M.Lispiviridae_5ngen_11nsp.zip","2024.008M.Lispiviridae_5ngen_11nsp.zip")</f>
        <v>2024.008M.Lispiviridae_5ngen_11nsp.zip</v>
      </c>
    </row>
    <row r="13284" spans="1:21">
      <c r="A13284">
        <v>13283</v>
      </c>
      <c r="B13284" s="27" t="s">
        <v>1124</v>
      </c>
      <c r="D13284" s="27" t="s">
        <v>1859</v>
      </c>
      <c r="F13284" s="27" t="s">
        <v>938</v>
      </c>
      <c r="G13284" s="27" t="s">
        <v>939</v>
      </c>
      <c r="H13284" s="27" t="s">
        <v>945</v>
      </c>
      <c r="J13284" s="27" t="s">
        <v>238</v>
      </c>
      <c r="L13284" s="27" t="s">
        <v>950</v>
      </c>
      <c r="N13284" s="27" t="s">
        <v>9362</v>
      </c>
      <c r="P13284" s="27" t="s">
        <v>16767</v>
      </c>
      <c r="Q13284" s="26" t="str">
        <f>HYPERLINK("https://ictv.global/taxonomy/taxondetails?taxnode_id=202518026&amp;ictv_id=ICTV202318026","ICTV202318026")</f>
        <v>ICTV202318026</v>
      </c>
      <c r="R13284" t="s">
        <v>580</v>
      </c>
      <c r="S13284" t="s">
        <v>823</v>
      </c>
      <c r="T13284">
        <v>39</v>
      </c>
      <c r="U13284" s="26" t="str">
        <f>HYPERLINK("https://ictv.global/ictv/proposals/2023.011M.Lispiviridae_1ngen_4nsp.zip","2023.011M.Lispiviridae_1ngen_4nsp.zip")</f>
        <v>2023.011M.Lispiviridae_1ngen_4nsp.zip</v>
      </c>
    </row>
    <row r="13285" spans="1:21">
      <c r="A13285">
        <v>13284</v>
      </c>
      <c r="B13285" s="27" t="s">
        <v>1124</v>
      </c>
      <c r="D13285" s="27" t="s">
        <v>1859</v>
      </c>
      <c r="F13285" s="27" t="s">
        <v>938</v>
      </c>
      <c r="G13285" s="27" t="s">
        <v>939</v>
      </c>
      <c r="H13285" s="27" t="s">
        <v>945</v>
      </c>
      <c r="J13285" s="27" t="s">
        <v>238</v>
      </c>
      <c r="L13285" s="27" t="s">
        <v>950</v>
      </c>
      <c r="N13285" s="27" t="s">
        <v>9362</v>
      </c>
      <c r="P13285" s="27" t="s">
        <v>9363</v>
      </c>
      <c r="Q13285" s="26" t="str">
        <f>HYPERLINK("https://ictv.global/taxonomy/taxondetails?taxnode_id=202513359&amp;ictv_id=ICTV202113359","ICTV202113359")</f>
        <v>ICTV202113359</v>
      </c>
      <c r="R13285" t="s">
        <v>580</v>
      </c>
      <c r="S13285" t="s">
        <v>823</v>
      </c>
      <c r="T13285">
        <v>37</v>
      </c>
      <c r="U13285" s="26" t="str">
        <f>HYPERLINK("https://ictv.global/ictv/proposals/2021.016M.R.Lispiviridae_16ngen_13nsp.zip","2021.016M.R.Lispiviridae_16ngen_13nsp.zip")</f>
        <v>2021.016M.R.Lispiviridae_16ngen_13nsp.zip</v>
      </c>
    </row>
    <row r="13286" spans="1:21">
      <c r="A13286">
        <v>13285</v>
      </c>
      <c r="B13286" s="27" t="s">
        <v>1124</v>
      </c>
      <c r="D13286" s="27" t="s">
        <v>1859</v>
      </c>
      <c r="F13286" s="27" t="s">
        <v>938</v>
      </c>
      <c r="G13286" s="27" t="s">
        <v>939</v>
      </c>
      <c r="H13286" s="27" t="s">
        <v>945</v>
      </c>
      <c r="J13286" s="27" t="s">
        <v>238</v>
      </c>
      <c r="L13286" s="27" t="s">
        <v>950</v>
      </c>
      <c r="N13286" s="27" t="s">
        <v>9362</v>
      </c>
      <c r="P13286" s="27" t="s">
        <v>21251</v>
      </c>
      <c r="Q13286" s="26" t="str">
        <f>HYPERLINK("https://ictv.global/taxonomy/taxondetails?taxnode_id=202522154&amp;ictv_id=ICTV202522154","ICTV202522154")</f>
        <v>ICTV202522154</v>
      </c>
      <c r="R13286" t="s">
        <v>580</v>
      </c>
      <c r="S13286" t="s">
        <v>823</v>
      </c>
      <c r="T13286">
        <v>41</v>
      </c>
      <c r="U13286" s="26" t="str">
        <f>HYPERLINK("https://ictv.global/ictv/proposals/2025.004M.Lispiviridae_1ngen_6nsp.zip","2025.004M.Lispiviridae_1ngen_6nsp.zip")</f>
        <v>2025.004M.Lispiviridae_1ngen_6nsp.zip</v>
      </c>
    </row>
    <row r="13287" spans="1:21">
      <c r="A13287">
        <v>13286</v>
      </c>
      <c r="B13287" s="27" t="s">
        <v>1124</v>
      </c>
      <c r="D13287" s="27" t="s">
        <v>1859</v>
      </c>
      <c r="F13287" s="27" t="s">
        <v>938</v>
      </c>
      <c r="G13287" s="27" t="s">
        <v>939</v>
      </c>
      <c r="H13287" s="27" t="s">
        <v>945</v>
      </c>
      <c r="J13287" s="27" t="s">
        <v>238</v>
      </c>
      <c r="L13287" s="27" t="s">
        <v>950</v>
      </c>
      <c r="N13287" s="27" t="s">
        <v>9362</v>
      </c>
      <c r="P13287" s="27" t="s">
        <v>21252</v>
      </c>
      <c r="Q13287" s="26" t="str">
        <f>HYPERLINK("https://ictv.global/taxonomy/taxondetails?taxnode_id=202522155&amp;ictv_id=ICTV202522155","ICTV202522155")</f>
        <v>ICTV202522155</v>
      </c>
      <c r="R13287" t="s">
        <v>580</v>
      </c>
      <c r="S13287" t="s">
        <v>823</v>
      </c>
      <c r="T13287">
        <v>41</v>
      </c>
      <c r="U13287" s="26" t="str">
        <f>HYPERLINK("https://ictv.global/ictv/proposals/2025.004M.Lispiviridae_1ngen_6nsp.zip","2025.004M.Lispiviridae_1ngen_6nsp.zip")</f>
        <v>2025.004M.Lispiviridae_1ngen_6nsp.zip</v>
      </c>
    </row>
    <row r="13288" spans="1:21">
      <c r="A13288">
        <v>13287</v>
      </c>
      <c r="B13288" s="27" t="s">
        <v>1124</v>
      </c>
      <c r="D13288" s="27" t="s">
        <v>1859</v>
      </c>
      <c r="F13288" s="27" t="s">
        <v>938</v>
      </c>
      <c r="G13288" s="27" t="s">
        <v>939</v>
      </c>
      <c r="H13288" s="27" t="s">
        <v>945</v>
      </c>
      <c r="J13288" s="27" t="s">
        <v>238</v>
      </c>
      <c r="L13288" s="27" t="s">
        <v>950</v>
      </c>
      <c r="N13288" s="27" t="s">
        <v>9362</v>
      </c>
      <c r="P13288" s="27" t="s">
        <v>21253</v>
      </c>
      <c r="Q13288" s="26" t="str">
        <f>HYPERLINK("https://ictv.global/taxonomy/taxondetails?taxnode_id=202522156&amp;ictv_id=ICTV202522156","ICTV202522156")</f>
        <v>ICTV202522156</v>
      </c>
      <c r="R13288" t="s">
        <v>580</v>
      </c>
      <c r="S13288" t="s">
        <v>823</v>
      </c>
      <c r="T13288">
        <v>41</v>
      </c>
      <c r="U13288" s="26" t="str">
        <f>HYPERLINK("https://ictv.global/ictv/proposals/2025.004M.Lispiviridae_1ngen_6nsp.zip","2025.004M.Lispiviridae_1ngen_6nsp.zip")</f>
        <v>2025.004M.Lispiviridae_1ngen_6nsp.zip</v>
      </c>
    </row>
    <row r="13289" spans="1:21">
      <c r="A13289">
        <v>13288</v>
      </c>
      <c r="B13289" s="27" t="s">
        <v>1124</v>
      </c>
      <c r="D13289" s="27" t="s">
        <v>1859</v>
      </c>
      <c r="F13289" s="27" t="s">
        <v>938</v>
      </c>
      <c r="G13289" s="27" t="s">
        <v>939</v>
      </c>
      <c r="H13289" s="27" t="s">
        <v>945</v>
      </c>
      <c r="J13289" s="27" t="s">
        <v>238</v>
      </c>
      <c r="L13289" s="27" t="s">
        <v>950</v>
      </c>
      <c r="N13289" s="27" t="s">
        <v>9362</v>
      </c>
      <c r="P13289" s="27" t="s">
        <v>9364</v>
      </c>
      <c r="Q13289" s="26" t="str">
        <f>HYPERLINK("https://ictv.global/taxonomy/taxondetails?taxnode_id=202513358&amp;ictv_id=ICTV202113358","ICTV202113358")</f>
        <v>ICTV202113358</v>
      </c>
      <c r="R13289" t="s">
        <v>580</v>
      </c>
      <c r="S13289" t="s">
        <v>823</v>
      </c>
      <c r="T13289">
        <v>37</v>
      </c>
      <c r="U13289" s="26" t="str">
        <f>HYPERLINK("https://ictv.global/ictv/proposals/2021.016M.R.Lispiviridae_16ngen_13nsp.zip","2021.016M.R.Lispiviridae_16ngen_13nsp.zip")</f>
        <v>2021.016M.R.Lispiviridae_16ngen_13nsp.zip</v>
      </c>
    </row>
    <row r="13290" spans="1:21">
      <c r="A13290">
        <v>13289</v>
      </c>
      <c r="B13290" s="27" t="s">
        <v>1124</v>
      </c>
      <c r="D13290" s="27" t="s">
        <v>1859</v>
      </c>
      <c r="F13290" s="27" t="s">
        <v>938</v>
      </c>
      <c r="G13290" s="27" t="s">
        <v>939</v>
      </c>
      <c r="H13290" s="27" t="s">
        <v>945</v>
      </c>
      <c r="J13290" s="27" t="s">
        <v>238</v>
      </c>
      <c r="L13290" s="27" t="s">
        <v>950</v>
      </c>
      <c r="N13290" s="27" t="s">
        <v>20228</v>
      </c>
      <c r="P13290" s="27" t="s">
        <v>21250</v>
      </c>
      <c r="Q13290" s="26" t="str">
        <f>HYPERLINK("https://ictv.global/taxonomy/taxondetails?taxnode_id=202522153&amp;ictv_id=ICTV202522153","ICTV202522153")</f>
        <v>ICTV202522153</v>
      </c>
      <c r="R13290" t="s">
        <v>580</v>
      </c>
      <c r="S13290" t="s">
        <v>823</v>
      </c>
      <c r="T13290">
        <v>41</v>
      </c>
      <c r="U13290" s="26" t="str">
        <f>HYPERLINK("https://ictv.global/ictv/proposals/2025.004M.Lispiviridae_1ngen_6nsp.zip","2025.004M.Lispiviridae_1ngen_6nsp.zip")</f>
        <v>2025.004M.Lispiviridae_1ngen_6nsp.zip</v>
      </c>
    </row>
    <row r="13291" spans="1:21">
      <c r="A13291">
        <v>13290</v>
      </c>
      <c r="B13291" s="27" t="s">
        <v>1124</v>
      </c>
      <c r="D13291" s="27" t="s">
        <v>1859</v>
      </c>
      <c r="F13291" s="27" t="s">
        <v>938</v>
      </c>
      <c r="G13291" s="27" t="s">
        <v>939</v>
      </c>
      <c r="H13291" s="27" t="s">
        <v>945</v>
      </c>
      <c r="J13291" s="27" t="s">
        <v>238</v>
      </c>
      <c r="L13291" s="27" t="s">
        <v>950</v>
      </c>
      <c r="N13291" s="27" t="s">
        <v>20228</v>
      </c>
      <c r="P13291" s="27" t="s">
        <v>20229</v>
      </c>
      <c r="Q13291" s="26" t="str">
        <f>HYPERLINK("https://ictv.global/taxonomy/taxondetails?taxnode_id=202520356&amp;ictv_id=ICTV202420356","ICTV202420356")</f>
        <v>ICTV202420356</v>
      </c>
      <c r="R13291" t="s">
        <v>580</v>
      </c>
      <c r="S13291" t="s">
        <v>823</v>
      </c>
      <c r="T13291">
        <v>40</v>
      </c>
      <c r="U13291" s="26" t="str">
        <f>HYPERLINK("https://ictv.global/ictv/proposals/2024.008M.Lispiviridae_5ngen_11nsp.zip","2024.008M.Lispiviridae_5ngen_11nsp.zip")</f>
        <v>2024.008M.Lispiviridae_5ngen_11nsp.zip</v>
      </c>
    </row>
    <row r="13292" spans="1:21">
      <c r="A13292">
        <v>13291</v>
      </c>
      <c r="B13292" s="27" t="s">
        <v>1124</v>
      </c>
      <c r="D13292" s="27" t="s">
        <v>1859</v>
      </c>
      <c r="F13292" s="27" t="s">
        <v>938</v>
      </c>
      <c r="G13292" s="27" t="s">
        <v>939</v>
      </c>
      <c r="H13292" s="27" t="s">
        <v>945</v>
      </c>
      <c r="J13292" s="27" t="s">
        <v>238</v>
      </c>
      <c r="L13292" s="27" t="s">
        <v>950</v>
      </c>
      <c r="N13292" s="27" t="s">
        <v>21248</v>
      </c>
      <c r="P13292" s="27" t="s">
        <v>21249</v>
      </c>
      <c r="Q13292" s="26" t="str">
        <f>HYPERLINK("https://ictv.global/taxonomy/taxondetails?taxnode_id=202522152&amp;ictv_id=ICTV202522152","ICTV202522152")</f>
        <v>ICTV202522152</v>
      </c>
      <c r="R13292" t="s">
        <v>580</v>
      </c>
      <c r="S13292" t="s">
        <v>823</v>
      </c>
      <c r="T13292">
        <v>41</v>
      </c>
      <c r="U13292" s="26" t="str">
        <f>HYPERLINK("https://ictv.global/ictv/proposals/2025.004M.Lispiviridae_1ngen_6nsp.zip","2025.004M.Lispiviridae_1ngen_6nsp.zip")</f>
        <v>2025.004M.Lispiviridae_1ngen_6nsp.zip</v>
      </c>
    </row>
    <row r="13293" spans="1:21">
      <c r="A13293">
        <v>13292</v>
      </c>
      <c r="B13293" s="27" t="s">
        <v>1124</v>
      </c>
      <c r="D13293" s="27" t="s">
        <v>1859</v>
      </c>
      <c r="F13293" s="27" t="s">
        <v>938</v>
      </c>
      <c r="G13293" s="27" t="s">
        <v>939</v>
      </c>
      <c r="H13293" s="27" t="s">
        <v>945</v>
      </c>
      <c r="J13293" s="27" t="s">
        <v>238</v>
      </c>
      <c r="L13293" s="27" t="s">
        <v>950</v>
      </c>
      <c r="N13293" s="27" t="s">
        <v>9365</v>
      </c>
      <c r="P13293" s="27" t="s">
        <v>9366</v>
      </c>
      <c r="Q13293" s="26" t="str">
        <f>HYPERLINK("https://ictv.global/taxonomy/taxondetails?taxnode_id=202513365&amp;ictv_id=ICTV202113365","ICTV202113365")</f>
        <v>ICTV202113365</v>
      </c>
      <c r="R13293" t="s">
        <v>580</v>
      </c>
      <c r="S13293" t="s">
        <v>823</v>
      </c>
      <c r="T13293">
        <v>37</v>
      </c>
      <c r="U13293" s="26" t="str">
        <f>HYPERLINK("https://ictv.global/ictv/proposals/2021.016M.R.Lispiviridae_16ngen_13nsp.zip","2021.016M.R.Lispiviridae_16ngen_13nsp.zip")</f>
        <v>2021.016M.R.Lispiviridae_16ngen_13nsp.zip</v>
      </c>
    </row>
    <row r="13294" spans="1:21">
      <c r="A13294">
        <v>13293</v>
      </c>
      <c r="B13294" s="27" t="s">
        <v>1124</v>
      </c>
      <c r="D13294" s="27" t="s">
        <v>1859</v>
      </c>
      <c r="F13294" s="27" t="s">
        <v>938</v>
      </c>
      <c r="G13294" s="27" t="s">
        <v>939</v>
      </c>
      <c r="H13294" s="27" t="s">
        <v>945</v>
      </c>
      <c r="J13294" s="27" t="s">
        <v>238</v>
      </c>
      <c r="L13294" s="27" t="s">
        <v>950</v>
      </c>
      <c r="N13294" s="27" t="s">
        <v>9367</v>
      </c>
      <c r="P13294" s="27" t="s">
        <v>9368</v>
      </c>
      <c r="Q13294" s="26" t="str">
        <f>HYPERLINK("https://ictv.global/taxonomy/taxondetails?taxnode_id=202506268&amp;ictv_id=ICTV20186268","ICTV20186268")</f>
        <v>ICTV20186268</v>
      </c>
      <c r="R13294" t="s">
        <v>580</v>
      </c>
      <c r="S13294" t="s">
        <v>22764</v>
      </c>
      <c r="T13294">
        <v>37</v>
      </c>
      <c r="U13294" s="26" t="str">
        <f>HYPERLINK("https://ictv.global/ictv/proposals/2021.016M.R.Lispiviridae_16ngen_13nsp.zip","2021.016M.R.Lispiviridae_16ngen_13nsp.zip")</f>
        <v>2021.016M.R.Lispiviridae_16ngen_13nsp.zip</v>
      </c>
    </row>
    <row r="13295" spans="1:21">
      <c r="A13295">
        <v>13294</v>
      </c>
      <c r="B13295" s="27" t="s">
        <v>1124</v>
      </c>
      <c r="D13295" s="27" t="s">
        <v>1859</v>
      </c>
      <c r="F13295" s="27" t="s">
        <v>938</v>
      </c>
      <c r="G13295" s="27" t="s">
        <v>939</v>
      </c>
      <c r="H13295" s="27" t="s">
        <v>945</v>
      </c>
      <c r="J13295" s="27" t="s">
        <v>238</v>
      </c>
      <c r="L13295" s="27" t="s">
        <v>950</v>
      </c>
      <c r="N13295" s="27" t="s">
        <v>9367</v>
      </c>
      <c r="P13295" s="27" t="s">
        <v>9369</v>
      </c>
      <c r="Q13295" s="26" t="str">
        <f>HYPERLINK("https://ictv.global/taxonomy/taxondetails?taxnode_id=202514198&amp;ictv_id=ICTV202214198","ICTV202214198")</f>
        <v>ICTV202214198</v>
      </c>
      <c r="R13295" t="s">
        <v>580</v>
      </c>
      <c r="S13295" t="s">
        <v>823</v>
      </c>
      <c r="T13295">
        <v>38</v>
      </c>
      <c r="U13295" s="26" t="str">
        <f>HYPERLINK("https://ictv.global/ictv/proposals/2022.012M.Lispiviridae_7ngen_11nsp.zip","2022.012M.Lispiviridae_7ngen_11nsp.zip")</f>
        <v>2022.012M.Lispiviridae_7ngen_11nsp.zip</v>
      </c>
    </row>
    <row r="13296" spans="1:21">
      <c r="A13296">
        <v>13295</v>
      </c>
      <c r="B13296" s="27" t="s">
        <v>1124</v>
      </c>
      <c r="D13296" s="27" t="s">
        <v>1859</v>
      </c>
      <c r="F13296" s="27" t="s">
        <v>938</v>
      </c>
      <c r="G13296" s="27" t="s">
        <v>939</v>
      </c>
      <c r="H13296" s="27" t="s">
        <v>945</v>
      </c>
      <c r="J13296" s="27" t="s">
        <v>238</v>
      </c>
      <c r="L13296" s="27" t="s">
        <v>950</v>
      </c>
      <c r="N13296" s="27" t="s">
        <v>9370</v>
      </c>
      <c r="P13296" s="27" t="s">
        <v>16768</v>
      </c>
      <c r="Q13296" s="26" t="str">
        <f>HYPERLINK("https://ictv.global/taxonomy/taxondetails?taxnode_id=202518029&amp;ictv_id=ICTV202318029","ICTV202318029")</f>
        <v>ICTV202318029</v>
      </c>
      <c r="R13296" t="s">
        <v>580</v>
      </c>
      <c r="S13296" t="s">
        <v>823</v>
      </c>
      <c r="T13296">
        <v>39</v>
      </c>
      <c r="U13296" s="26" t="str">
        <f>HYPERLINK("https://ictv.global/ictv/proposals/2023.011M.Lispiviridae_1ngen_4nsp.zip","2023.011M.Lispiviridae_1ngen_4nsp.zip")</f>
        <v>2023.011M.Lispiviridae_1ngen_4nsp.zip</v>
      </c>
    </row>
    <row r="13297" spans="1:21">
      <c r="A13297">
        <v>13296</v>
      </c>
      <c r="B13297" s="27" t="s">
        <v>1124</v>
      </c>
      <c r="D13297" s="27" t="s">
        <v>1859</v>
      </c>
      <c r="F13297" s="27" t="s">
        <v>938</v>
      </c>
      <c r="G13297" s="27" t="s">
        <v>939</v>
      </c>
      <c r="H13297" s="27" t="s">
        <v>945</v>
      </c>
      <c r="J13297" s="27" t="s">
        <v>238</v>
      </c>
      <c r="L13297" s="27" t="s">
        <v>950</v>
      </c>
      <c r="N13297" s="27" t="s">
        <v>9370</v>
      </c>
      <c r="P13297" s="27" t="s">
        <v>9371</v>
      </c>
      <c r="Q13297" s="26" t="str">
        <f>HYPERLINK("https://ictv.global/taxonomy/taxondetails?taxnode_id=202501816&amp;ictv_id=ICTV20151181","ICTV20151181")</f>
        <v>ICTV20151181</v>
      </c>
      <c r="R13297" t="s">
        <v>580</v>
      </c>
      <c r="S13297" t="s">
        <v>22764</v>
      </c>
      <c r="T13297">
        <v>37</v>
      </c>
      <c r="U13297" s="26" t="str">
        <f>HYPERLINK("https://ictv.global/ictv/proposals/2021.016M.R.Lispiviridae_16ngen_13nsp.zip","2021.016M.R.Lispiviridae_16ngen_13nsp.zip")</f>
        <v>2021.016M.R.Lispiviridae_16ngen_13nsp.zip</v>
      </c>
    </row>
    <row r="13298" spans="1:21">
      <c r="A13298">
        <v>13297</v>
      </c>
      <c r="B13298" s="27" t="s">
        <v>1124</v>
      </c>
      <c r="D13298" s="27" t="s">
        <v>1859</v>
      </c>
      <c r="F13298" s="27" t="s">
        <v>938</v>
      </c>
      <c r="G13298" s="27" t="s">
        <v>939</v>
      </c>
      <c r="H13298" s="27" t="s">
        <v>945</v>
      </c>
      <c r="J13298" s="27" t="s">
        <v>238</v>
      </c>
      <c r="L13298" s="27" t="s">
        <v>950</v>
      </c>
      <c r="N13298" s="27" t="s">
        <v>9372</v>
      </c>
      <c r="P13298" s="27" t="s">
        <v>9373</v>
      </c>
      <c r="Q13298" s="26" t="str">
        <f>HYPERLINK("https://ictv.global/taxonomy/taxondetails?taxnode_id=202514196&amp;ictv_id=ICTV202214196","ICTV202214196")</f>
        <v>ICTV202214196</v>
      </c>
      <c r="R13298" t="s">
        <v>580</v>
      </c>
      <c r="S13298" t="s">
        <v>823</v>
      </c>
      <c r="T13298">
        <v>38</v>
      </c>
      <c r="U13298" s="26" t="str">
        <f>HYPERLINK("https://ictv.global/ictv/proposals/2022.012M.Lispiviridae_7ngen_11nsp.zip","2022.012M.Lispiviridae_7ngen_11nsp.zip")</f>
        <v>2022.012M.Lispiviridae_7ngen_11nsp.zip</v>
      </c>
    </row>
    <row r="13299" spans="1:21">
      <c r="A13299">
        <v>13298</v>
      </c>
      <c r="B13299" s="27" t="s">
        <v>1124</v>
      </c>
      <c r="D13299" s="27" t="s">
        <v>1859</v>
      </c>
      <c r="F13299" s="27" t="s">
        <v>938</v>
      </c>
      <c r="G13299" s="27" t="s">
        <v>939</v>
      </c>
      <c r="H13299" s="27" t="s">
        <v>945</v>
      </c>
      <c r="J13299" s="27" t="s">
        <v>238</v>
      </c>
      <c r="L13299" s="27" t="s">
        <v>950</v>
      </c>
      <c r="N13299" s="27" t="s">
        <v>9372</v>
      </c>
      <c r="P13299" s="27" t="s">
        <v>9374</v>
      </c>
      <c r="Q13299" s="26" t="str">
        <f>HYPERLINK("https://ictv.global/taxonomy/taxondetails?taxnode_id=202514197&amp;ictv_id=ICTV202214197","ICTV202214197")</f>
        <v>ICTV202214197</v>
      </c>
      <c r="R13299" t="s">
        <v>580</v>
      </c>
      <c r="S13299" t="s">
        <v>823</v>
      </c>
      <c r="T13299">
        <v>38</v>
      </c>
      <c r="U13299" s="26" t="str">
        <f>HYPERLINK("https://ictv.global/ictv/proposals/2022.012M.Lispiviridae_7ngen_11nsp.zip","2022.012M.Lispiviridae_7ngen_11nsp.zip")</f>
        <v>2022.012M.Lispiviridae_7ngen_11nsp.zip</v>
      </c>
    </row>
    <row r="13300" spans="1:21">
      <c r="A13300">
        <v>13299</v>
      </c>
      <c r="B13300" s="27" t="s">
        <v>1124</v>
      </c>
      <c r="D13300" s="27" t="s">
        <v>1859</v>
      </c>
      <c r="F13300" s="27" t="s">
        <v>938</v>
      </c>
      <c r="G13300" s="27" t="s">
        <v>939</v>
      </c>
      <c r="H13300" s="27" t="s">
        <v>945</v>
      </c>
      <c r="J13300" s="27" t="s">
        <v>238</v>
      </c>
      <c r="L13300" s="27" t="s">
        <v>950</v>
      </c>
      <c r="N13300" s="27" t="s">
        <v>9375</v>
      </c>
      <c r="P13300" s="27" t="s">
        <v>9376</v>
      </c>
      <c r="Q13300" s="26" t="str">
        <f>HYPERLINK("https://ictv.global/taxonomy/taxondetails?taxnode_id=202506266&amp;ictv_id=ICTV20186266","ICTV20186266")</f>
        <v>ICTV20186266</v>
      </c>
      <c r="R13300" t="s">
        <v>580</v>
      </c>
      <c r="S13300" t="s">
        <v>22764</v>
      </c>
      <c r="T13300">
        <v>37</v>
      </c>
      <c r="U13300" s="26" t="str">
        <f>HYPERLINK("https://ictv.global/ictv/proposals/2021.016M.R.Lispiviridae_16ngen_13nsp.zip","2021.016M.R.Lispiviridae_16ngen_13nsp.zip")</f>
        <v>2021.016M.R.Lispiviridae_16ngen_13nsp.zip</v>
      </c>
    </row>
    <row r="13301" spans="1:21">
      <c r="A13301">
        <v>13300</v>
      </c>
      <c r="B13301" s="27" t="s">
        <v>1124</v>
      </c>
      <c r="D13301" s="27" t="s">
        <v>1859</v>
      </c>
      <c r="F13301" s="27" t="s">
        <v>938</v>
      </c>
      <c r="G13301" s="27" t="s">
        <v>939</v>
      </c>
      <c r="H13301" s="27" t="s">
        <v>945</v>
      </c>
      <c r="J13301" s="27" t="s">
        <v>238</v>
      </c>
      <c r="L13301" s="27" t="s">
        <v>950</v>
      </c>
      <c r="N13301" s="27" t="s">
        <v>9377</v>
      </c>
      <c r="P13301" s="27" t="s">
        <v>9378</v>
      </c>
      <c r="Q13301" s="26" t="str">
        <f>HYPERLINK("https://ictv.global/taxonomy/taxondetails?taxnode_id=202506267&amp;ictv_id=ICTV20186267","ICTV20186267")</f>
        <v>ICTV20186267</v>
      </c>
      <c r="R13301" t="s">
        <v>580</v>
      </c>
      <c r="S13301" t="s">
        <v>22764</v>
      </c>
      <c r="T13301">
        <v>37</v>
      </c>
      <c r="U13301" s="26" t="str">
        <f>HYPERLINK("https://ictv.global/ictv/proposals/2021.016M.R.Lispiviridae_16ngen_13nsp.zip","2021.016M.R.Lispiviridae_16ngen_13nsp.zip")</f>
        <v>2021.016M.R.Lispiviridae_16ngen_13nsp.zip</v>
      </c>
    </row>
    <row r="13302" spans="1:21">
      <c r="A13302">
        <v>13301</v>
      </c>
      <c r="B13302" s="27" t="s">
        <v>1124</v>
      </c>
      <c r="D13302" s="27" t="s">
        <v>1859</v>
      </c>
      <c r="F13302" s="27" t="s">
        <v>938</v>
      </c>
      <c r="G13302" s="27" t="s">
        <v>939</v>
      </c>
      <c r="H13302" s="27" t="s">
        <v>945</v>
      </c>
      <c r="J13302" s="27" t="s">
        <v>238</v>
      </c>
      <c r="L13302" s="27" t="s">
        <v>950</v>
      </c>
      <c r="N13302" s="27" t="s">
        <v>9379</v>
      </c>
      <c r="P13302" s="27" t="s">
        <v>9380</v>
      </c>
      <c r="Q13302" s="26" t="str">
        <f>HYPERLINK("https://ictv.global/taxonomy/taxondetails?taxnode_id=202513369&amp;ictv_id=ICTV202113369","ICTV202113369")</f>
        <v>ICTV202113369</v>
      </c>
      <c r="R13302" t="s">
        <v>580</v>
      </c>
      <c r="S13302" t="s">
        <v>823</v>
      </c>
      <c r="T13302">
        <v>37</v>
      </c>
      <c r="U13302" s="26" t="str">
        <f>HYPERLINK("https://ictv.global/ictv/proposals/2021.016M.R.Lispiviridae_16ngen_13nsp.zip","2021.016M.R.Lispiviridae_16ngen_13nsp.zip")</f>
        <v>2021.016M.R.Lispiviridae_16ngen_13nsp.zip</v>
      </c>
    </row>
    <row r="13303" spans="1:21">
      <c r="A13303">
        <v>13302</v>
      </c>
      <c r="B13303" s="27" t="s">
        <v>1124</v>
      </c>
      <c r="D13303" s="27" t="s">
        <v>1859</v>
      </c>
      <c r="F13303" s="27" t="s">
        <v>938</v>
      </c>
      <c r="G13303" s="27" t="s">
        <v>939</v>
      </c>
      <c r="H13303" s="27" t="s">
        <v>945</v>
      </c>
      <c r="J13303" s="27" t="s">
        <v>238</v>
      </c>
      <c r="L13303" s="27" t="s">
        <v>950</v>
      </c>
      <c r="N13303" s="27" t="s">
        <v>9381</v>
      </c>
      <c r="P13303" s="27" t="s">
        <v>9382</v>
      </c>
      <c r="Q13303" s="26" t="str">
        <f>HYPERLINK("https://ictv.global/taxonomy/taxondetails?taxnode_id=202512218&amp;ictv_id=ICTV202112218","ICTV202112218")</f>
        <v>ICTV202112218</v>
      </c>
      <c r="R13303" t="s">
        <v>580</v>
      </c>
      <c r="S13303" t="s">
        <v>823</v>
      </c>
      <c r="T13303">
        <v>37</v>
      </c>
      <c r="U13303" s="26" t="str">
        <f>HYPERLINK("https://ictv.global/ictv/proposals/2021.016M.R.Lispiviridae_16ngen_13nsp.zip","2021.016M.R.Lispiviridae_16ngen_13nsp.zip")</f>
        <v>2021.016M.R.Lispiviridae_16ngen_13nsp.zip</v>
      </c>
    </row>
    <row r="13304" spans="1:21">
      <c r="A13304">
        <v>13303</v>
      </c>
      <c r="B13304" s="27" t="s">
        <v>1124</v>
      </c>
      <c r="D13304" s="27" t="s">
        <v>1859</v>
      </c>
      <c r="F13304" s="27" t="s">
        <v>938</v>
      </c>
      <c r="G13304" s="27" t="s">
        <v>939</v>
      </c>
      <c r="H13304" s="27" t="s">
        <v>945</v>
      </c>
      <c r="J13304" s="27" t="s">
        <v>238</v>
      </c>
      <c r="L13304" s="27" t="s">
        <v>950</v>
      </c>
      <c r="N13304" s="27" t="s">
        <v>20230</v>
      </c>
      <c r="P13304" s="27" t="s">
        <v>20231</v>
      </c>
      <c r="Q13304" s="26" t="str">
        <f>HYPERLINK("https://ictv.global/taxonomy/taxondetails?taxnode_id=202520357&amp;ictv_id=ICTV202420357","ICTV202420357")</f>
        <v>ICTV202420357</v>
      </c>
      <c r="R13304" t="s">
        <v>580</v>
      </c>
      <c r="S13304" t="s">
        <v>823</v>
      </c>
      <c r="T13304">
        <v>40</v>
      </c>
      <c r="U13304" s="26" t="str">
        <f>HYPERLINK("https://ictv.global/ictv/proposals/2024.008M.Lispiviridae_5ngen_11nsp.zip","2024.008M.Lispiviridae_5ngen_11nsp.zip")</f>
        <v>2024.008M.Lispiviridae_5ngen_11nsp.zip</v>
      </c>
    </row>
    <row r="13305" spans="1:21">
      <c r="A13305">
        <v>13304</v>
      </c>
      <c r="B13305" s="27" t="s">
        <v>1124</v>
      </c>
      <c r="D13305" s="27" t="s">
        <v>1859</v>
      </c>
      <c r="F13305" s="27" t="s">
        <v>938</v>
      </c>
      <c r="G13305" s="27" t="s">
        <v>939</v>
      </c>
      <c r="H13305" s="27" t="s">
        <v>945</v>
      </c>
      <c r="J13305" s="27" t="s">
        <v>238</v>
      </c>
      <c r="L13305" s="27" t="s">
        <v>950</v>
      </c>
      <c r="N13305" s="27" t="s">
        <v>20230</v>
      </c>
      <c r="P13305" s="27" t="s">
        <v>21254</v>
      </c>
      <c r="Q13305" s="26" t="str">
        <f>HYPERLINK("https://ictv.global/taxonomy/taxondetails?taxnode_id=202522157&amp;ictv_id=ICTV202522157","ICTV202522157")</f>
        <v>ICTV202522157</v>
      </c>
      <c r="R13305" t="s">
        <v>580</v>
      </c>
      <c r="S13305" t="s">
        <v>823</v>
      </c>
      <c r="T13305">
        <v>41</v>
      </c>
      <c r="U13305" s="26" t="str">
        <f>HYPERLINK("https://ictv.global/ictv/proposals/2025.004M.Lispiviridae_1ngen_6nsp.zip","2025.004M.Lispiviridae_1ngen_6nsp.zip")</f>
        <v>2025.004M.Lispiviridae_1ngen_6nsp.zip</v>
      </c>
    </row>
    <row r="13306" spans="1:21">
      <c r="A13306">
        <v>13305</v>
      </c>
      <c r="B13306" s="27" t="s">
        <v>1124</v>
      </c>
      <c r="D13306" s="27" t="s">
        <v>1859</v>
      </c>
      <c r="F13306" s="27" t="s">
        <v>938</v>
      </c>
      <c r="G13306" s="27" t="s">
        <v>939</v>
      </c>
      <c r="H13306" s="27" t="s">
        <v>945</v>
      </c>
      <c r="J13306" s="27" t="s">
        <v>238</v>
      </c>
      <c r="L13306" s="27" t="s">
        <v>950</v>
      </c>
      <c r="N13306" s="27" t="s">
        <v>9383</v>
      </c>
      <c r="P13306" s="27" t="s">
        <v>9384</v>
      </c>
      <c r="Q13306" s="26" t="str">
        <f>HYPERLINK("https://ictv.global/taxonomy/taxondetails?taxnode_id=202501820&amp;ictv_id=ICTV20151179","ICTV20151179")</f>
        <v>ICTV20151179</v>
      </c>
      <c r="R13306" t="s">
        <v>580</v>
      </c>
      <c r="S13306" t="s">
        <v>22764</v>
      </c>
      <c r="T13306">
        <v>37</v>
      </c>
      <c r="U13306" s="26" t="str">
        <f t="shared" ref="U13306:U13311" si="492">HYPERLINK("https://ictv.global/ictv/proposals/2021.016M.R.Lispiviridae_16ngen_13nsp.zip","2021.016M.R.Lispiviridae_16ngen_13nsp.zip")</f>
        <v>2021.016M.R.Lispiviridae_16ngen_13nsp.zip</v>
      </c>
    </row>
    <row r="13307" spans="1:21">
      <c r="A13307">
        <v>13306</v>
      </c>
      <c r="B13307" s="27" t="s">
        <v>1124</v>
      </c>
      <c r="D13307" s="27" t="s">
        <v>1859</v>
      </c>
      <c r="F13307" s="27" t="s">
        <v>938</v>
      </c>
      <c r="G13307" s="27" t="s">
        <v>939</v>
      </c>
      <c r="H13307" s="27" t="s">
        <v>945</v>
      </c>
      <c r="J13307" s="27" t="s">
        <v>238</v>
      </c>
      <c r="L13307" s="27" t="s">
        <v>950</v>
      </c>
      <c r="N13307" s="27" t="s">
        <v>9385</v>
      </c>
      <c r="P13307" s="27" t="s">
        <v>9386</v>
      </c>
      <c r="Q13307" s="26" t="str">
        <f>HYPERLINK("https://ictv.global/taxonomy/taxondetails?taxnode_id=202513363&amp;ictv_id=ICTV202113363","ICTV202113363")</f>
        <v>ICTV202113363</v>
      </c>
      <c r="R13307" t="s">
        <v>580</v>
      </c>
      <c r="S13307" t="s">
        <v>823</v>
      </c>
      <c r="T13307">
        <v>37</v>
      </c>
      <c r="U13307" s="26" t="str">
        <f t="shared" si="492"/>
        <v>2021.016M.R.Lispiviridae_16ngen_13nsp.zip</v>
      </c>
    </row>
    <row r="13308" spans="1:21">
      <c r="A13308">
        <v>13307</v>
      </c>
      <c r="B13308" s="27" t="s">
        <v>1124</v>
      </c>
      <c r="D13308" s="27" t="s">
        <v>1859</v>
      </c>
      <c r="F13308" s="27" t="s">
        <v>938</v>
      </c>
      <c r="G13308" s="27" t="s">
        <v>939</v>
      </c>
      <c r="H13308" s="27" t="s">
        <v>945</v>
      </c>
      <c r="J13308" s="27" t="s">
        <v>238</v>
      </c>
      <c r="L13308" s="27" t="s">
        <v>950</v>
      </c>
      <c r="N13308" s="27" t="s">
        <v>9387</v>
      </c>
      <c r="P13308" s="27" t="s">
        <v>9388</v>
      </c>
      <c r="Q13308" s="26" t="str">
        <f>HYPERLINK("https://ictv.global/taxonomy/taxondetails?taxnode_id=202513361&amp;ictv_id=ICTV202113361","ICTV202113361")</f>
        <v>ICTV202113361</v>
      </c>
      <c r="R13308" t="s">
        <v>580</v>
      </c>
      <c r="S13308" t="s">
        <v>823</v>
      </c>
      <c r="T13308">
        <v>37</v>
      </c>
      <c r="U13308" s="26" t="str">
        <f t="shared" si="492"/>
        <v>2021.016M.R.Lispiviridae_16ngen_13nsp.zip</v>
      </c>
    </row>
    <row r="13309" spans="1:21">
      <c r="A13309">
        <v>13308</v>
      </c>
      <c r="B13309" s="27" t="s">
        <v>1124</v>
      </c>
      <c r="D13309" s="27" t="s">
        <v>1859</v>
      </c>
      <c r="F13309" s="27" t="s">
        <v>938</v>
      </c>
      <c r="G13309" s="27" t="s">
        <v>939</v>
      </c>
      <c r="H13309" s="27" t="s">
        <v>945</v>
      </c>
      <c r="J13309" s="27" t="s">
        <v>238</v>
      </c>
      <c r="L13309" s="27" t="s">
        <v>950</v>
      </c>
      <c r="N13309" s="27" t="s">
        <v>9389</v>
      </c>
      <c r="P13309" s="27" t="s">
        <v>9390</v>
      </c>
      <c r="Q13309" s="26" t="str">
        <f>HYPERLINK("https://ictv.global/taxonomy/taxondetails?taxnode_id=202512216&amp;ictv_id=ICTV202112216","ICTV202112216")</f>
        <v>ICTV202112216</v>
      </c>
      <c r="R13309" t="s">
        <v>580</v>
      </c>
      <c r="S13309" t="s">
        <v>823</v>
      </c>
      <c r="T13309">
        <v>37</v>
      </c>
      <c r="U13309" s="26" t="str">
        <f t="shared" si="492"/>
        <v>2021.016M.R.Lispiviridae_16ngen_13nsp.zip</v>
      </c>
    </row>
    <row r="13310" spans="1:21">
      <c r="A13310">
        <v>13309</v>
      </c>
      <c r="B13310" s="27" t="s">
        <v>1124</v>
      </c>
      <c r="D13310" s="27" t="s">
        <v>1859</v>
      </c>
      <c r="F13310" s="27" t="s">
        <v>938</v>
      </c>
      <c r="G13310" s="27" t="s">
        <v>939</v>
      </c>
      <c r="H13310" s="27" t="s">
        <v>945</v>
      </c>
      <c r="J13310" s="27" t="s">
        <v>238</v>
      </c>
      <c r="L13310" s="27" t="s">
        <v>950</v>
      </c>
      <c r="N13310" s="27" t="s">
        <v>9389</v>
      </c>
      <c r="P13310" s="27" t="s">
        <v>9391</v>
      </c>
      <c r="Q13310" s="26" t="str">
        <f>HYPERLINK("https://ictv.global/taxonomy/taxondetails?taxnode_id=202513373&amp;ictv_id=ICTV202113373","ICTV202113373")</f>
        <v>ICTV202113373</v>
      </c>
      <c r="R13310" t="s">
        <v>580</v>
      </c>
      <c r="S13310" t="s">
        <v>823</v>
      </c>
      <c r="T13310">
        <v>37</v>
      </c>
      <c r="U13310" s="26" t="str">
        <f t="shared" si="492"/>
        <v>2021.016M.R.Lispiviridae_16ngen_13nsp.zip</v>
      </c>
    </row>
    <row r="13311" spans="1:21">
      <c r="A13311">
        <v>13310</v>
      </c>
      <c r="B13311" s="27" t="s">
        <v>1124</v>
      </c>
      <c r="D13311" s="27" t="s">
        <v>1859</v>
      </c>
      <c r="F13311" s="27" t="s">
        <v>938</v>
      </c>
      <c r="G13311" s="27" t="s">
        <v>939</v>
      </c>
      <c r="H13311" s="27" t="s">
        <v>945</v>
      </c>
      <c r="J13311" s="27" t="s">
        <v>238</v>
      </c>
      <c r="L13311" s="27" t="s">
        <v>950</v>
      </c>
      <c r="N13311" s="27" t="s">
        <v>9392</v>
      </c>
      <c r="P13311" s="27" t="s">
        <v>9393</v>
      </c>
      <c r="Q13311" s="26" t="str">
        <f>HYPERLINK("https://ictv.global/taxonomy/taxondetails?taxnode_id=202512222&amp;ictv_id=ICTV202112222","ICTV202112222")</f>
        <v>ICTV202112222</v>
      </c>
      <c r="R13311" t="s">
        <v>580</v>
      </c>
      <c r="S13311" t="s">
        <v>823</v>
      </c>
      <c r="T13311">
        <v>37</v>
      </c>
      <c r="U13311" s="26" t="str">
        <f t="shared" si="492"/>
        <v>2021.016M.R.Lispiviridae_16ngen_13nsp.zip</v>
      </c>
    </row>
    <row r="13312" spans="1:21">
      <c r="A13312">
        <v>13311</v>
      </c>
      <c r="B13312" s="27" t="s">
        <v>1124</v>
      </c>
      <c r="D13312" s="27" t="s">
        <v>1859</v>
      </c>
      <c r="F13312" s="27" t="s">
        <v>938</v>
      </c>
      <c r="G13312" s="27" t="s">
        <v>939</v>
      </c>
      <c r="H13312" s="27" t="s">
        <v>945</v>
      </c>
      <c r="J13312" s="27" t="s">
        <v>238</v>
      </c>
      <c r="L13312" s="27" t="s">
        <v>950</v>
      </c>
      <c r="N13312" s="27" t="s">
        <v>20232</v>
      </c>
      <c r="P13312" s="27" t="s">
        <v>20233</v>
      </c>
      <c r="Q13312" s="26" t="str">
        <f>HYPERLINK("https://ictv.global/taxonomy/taxondetails?taxnode_id=202520358&amp;ictv_id=ICTV202420358","ICTV202420358")</f>
        <v>ICTV202420358</v>
      </c>
      <c r="R13312" t="s">
        <v>580</v>
      </c>
      <c r="S13312" t="s">
        <v>823</v>
      </c>
      <c r="T13312">
        <v>40</v>
      </c>
      <c r="U13312" s="26" t="str">
        <f>HYPERLINK("https://ictv.global/ictv/proposals/2024.008M.Lispiviridae_5ngen_11nsp.zip","2024.008M.Lispiviridae_5ngen_11nsp.zip")</f>
        <v>2024.008M.Lispiviridae_5ngen_11nsp.zip</v>
      </c>
    </row>
    <row r="13313" spans="1:21">
      <c r="A13313">
        <v>13312</v>
      </c>
      <c r="B13313" s="27" t="s">
        <v>1124</v>
      </c>
      <c r="D13313" s="27" t="s">
        <v>1859</v>
      </c>
      <c r="F13313" s="27" t="s">
        <v>938</v>
      </c>
      <c r="G13313" s="27" t="s">
        <v>939</v>
      </c>
      <c r="H13313" s="27" t="s">
        <v>945</v>
      </c>
      <c r="J13313" s="27" t="s">
        <v>238</v>
      </c>
      <c r="L13313" s="27" t="s">
        <v>950</v>
      </c>
      <c r="N13313" s="27" t="s">
        <v>9394</v>
      </c>
      <c r="P13313" s="27" t="s">
        <v>9395</v>
      </c>
      <c r="Q13313" s="26" t="str">
        <f>HYPERLINK("https://ictv.global/taxonomy/taxondetails?taxnode_id=202512220&amp;ictv_id=ICTV202112220","ICTV202112220")</f>
        <v>ICTV202112220</v>
      </c>
      <c r="R13313" t="s">
        <v>580</v>
      </c>
      <c r="S13313" t="s">
        <v>823</v>
      </c>
      <c r="T13313">
        <v>37</v>
      </c>
      <c r="U13313" s="26" t="str">
        <f>HYPERLINK("https://ictv.global/ictv/proposals/2021.016M.R.Lispiviridae_16ngen_13nsp.zip","2021.016M.R.Lispiviridae_16ngen_13nsp.zip")</f>
        <v>2021.016M.R.Lispiviridae_16ngen_13nsp.zip</v>
      </c>
    </row>
    <row r="13314" spans="1:21">
      <c r="A13314">
        <v>13313</v>
      </c>
      <c r="B13314" s="27" t="s">
        <v>1124</v>
      </c>
      <c r="D13314" s="27" t="s">
        <v>1859</v>
      </c>
      <c r="F13314" s="27" t="s">
        <v>938</v>
      </c>
      <c r="G13314" s="27" t="s">
        <v>939</v>
      </c>
      <c r="H13314" s="27" t="s">
        <v>945</v>
      </c>
      <c r="J13314" s="27" t="s">
        <v>238</v>
      </c>
      <c r="L13314" s="27" t="s">
        <v>635</v>
      </c>
      <c r="N13314" s="27" t="s">
        <v>3532</v>
      </c>
      <c r="P13314" s="27" t="s">
        <v>9396</v>
      </c>
      <c r="Q13314" s="26" t="str">
        <f>HYPERLINK("https://ictv.global/taxonomy/taxondetails?taxnode_id=202514202&amp;ictv_id=ICTV202214202","ICTV202214202")</f>
        <v>ICTV202214202</v>
      </c>
      <c r="R13314" t="s">
        <v>580</v>
      </c>
      <c r="S13314" t="s">
        <v>823</v>
      </c>
      <c r="T13314">
        <v>38</v>
      </c>
      <c r="U13314" s="26" t="str">
        <f>HYPERLINK("https://ictv.global/ictv/proposals/2022.014M.Mymonaviridae_13nsp.zip","2022.014M.Mymonaviridae_13nsp.zip")</f>
        <v>2022.014M.Mymonaviridae_13nsp.zip</v>
      </c>
    </row>
    <row r="13315" spans="1:21">
      <c r="A13315">
        <v>13314</v>
      </c>
      <c r="B13315" s="27" t="s">
        <v>1124</v>
      </c>
      <c r="D13315" s="27" t="s">
        <v>1859</v>
      </c>
      <c r="F13315" s="27" t="s">
        <v>938</v>
      </c>
      <c r="G13315" s="27" t="s">
        <v>939</v>
      </c>
      <c r="H13315" s="27" t="s">
        <v>945</v>
      </c>
      <c r="J13315" s="27" t="s">
        <v>238</v>
      </c>
      <c r="L13315" s="27" t="s">
        <v>635</v>
      </c>
      <c r="N13315" s="27" t="s">
        <v>3532</v>
      </c>
      <c r="P13315" s="27" t="s">
        <v>3533</v>
      </c>
      <c r="Q13315" s="26" t="str">
        <f>HYPERLINK("https://ictv.global/taxonomy/taxondetails?taxnode_id=202508901&amp;ictv_id=ICTV202008901","ICTV202008901")</f>
        <v>ICTV202008901</v>
      </c>
      <c r="R13315" t="s">
        <v>580</v>
      </c>
      <c r="S13315" t="s">
        <v>823</v>
      </c>
      <c r="T13315">
        <v>36</v>
      </c>
      <c r="U13315" s="26" t="str">
        <f>HYPERLINK("https://ictv.global/ictv/proposals/2020.004F.R.Mymona.zip","2020.004F.R.Mymona.zip")</f>
        <v>2020.004F.R.Mymona.zip</v>
      </c>
    </row>
    <row r="13316" spans="1:21">
      <c r="A13316">
        <v>13315</v>
      </c>
      <c r="B13316" s="27" t="s">
        <v>1124</v>
      </c>
      <c r="D13316" s="27" t="s">
        <v>1859</v>
      </c>
      <c r="F13316" s="27" t="s">
        <v>938</v>
      </c>
      <c r="G13316" s="27" t="s">
        <v>939</v>
      </c>
      <c r="H13316" s="27" t="s">
        <v>945</v>
      </c>
      <c r="J13316" s="27" t="s">
        <v>238</v>
      </c>
      <c r="L13316" s="27" t="s">
        <v>635</v>
      </c>
      <c r="N13316" s="27" t="s">
        <v>3532</v>
      </c>
      <c r="P13316" s="27" t="s">
        <v>9397</v>
      </c>
      <c r="Q13316" s="26" t="str">
        <f>HYPERLINK("https://ictv.global/taxonomy/taxondetails?taxnode_id=202512965&amp;ictv_id=ICTV202112965","ICTV202112965")</f>
        <v>ICTV202112965</v>
      </c>
      <c r="R13316" t="s">
        <v>580</v>
      </c>
      <c r="S13316" t="s">
        <v>823</v>
      </c>
      <c r="T13316">
        <v>37</v>
      </c>
      <c r="U13316" s="26" t="str">
        <f>HYPERLINK("https://ictv.global/ictv/proposals/2021.041M.R.Mymonaviridae_5nsp.zip","2021.041M.R.Mymonaviridae_5nsp.zip")</f>
        <v>2021.041M.R.Mymonaviridae_5nsp.zip</v>
      </c>
    </row>
    <row r="13317" spans="1:21">
      <c r="A13317">
        <v>13316</v>
      </c>
      <c r="B13317" s="27" t="s">
        <v>1124</v>
      </c>
      <c r="D13317" s="27" t="s">
        <v>1859</v>
      </c>
      <c r="F13317" s="27" t="s">
        <v>938</v>
      </c>
      <c r="G13317" s="27" t="s">
        <v>939</v>
      </c>
      <c r="H13317" s="27" t="s">
        <v>945</v>
      </c>
      <c r="J13317" s="27" t="s">
        <v>238</v>
      </c>
      <c r="L13317" s="27" t="s">
        <v>635</v>
      </c>
      <c r="N13317" s="27" t="s">
        <v>3534</v>
      </c>
      <c r="P13317" s="27" t="s">
        <v>9398</v>
      </c>
      <c r="Q13317" s="26" t="str">
        <f>HYPERLINK("https://ictv.global/taxonomy/taxondetails?taxnode_id=202512966&amp;ictv_id=ICTV202112966","ICTV202112966")</f>
        <v>ICTV202112966</v>
      </c>
      <c r="R13317" t="s">
        <v>580</v>
      </c>
      <c r="S13317" t="s">
        <v>823</v>
      </c>
      <c r="T13317">
        <v>37</v>
      </c>
      <c r="U13317" s="26" t="str">
        <f>HYPERLINK("https://ictv.global/ictv/proposals/2021.041M.R.Mymonaviridae_5nsp.zip","2021.041M.R.Mymonaviridae_5nsp.zip")</f>
        <v>2021.041M.R.Mymonaviridae_5nsp.zip</v>
      </c>
    </row>
    <row r="13318" spans="1:21">
      <c r="A13318">
        <v>13317</v>
      </c>
      <c r="B13318" s="27" t="s">
        <v>1124</v>
      </c>
      <c r="D13318" s="27" t="s">
        <v>1859</v>
      </c>
      <c r="F13318" s="27" t="s">
        <v>938</v>
      </c>
      <c r="G13318" s="27" t="s">
        <v>939</v>
      </c>
      <c r="H13318" s="27" t="s">
        <v>945</v>
      </c>
      <c r="J13318" s="27" t="s">
        <v>238</v>
      </c>
      <c r="L13318" s="27" t="s">
        <v>635</v>
      </c>
      <c r="N13318" s="27" t="s">
        <v>3534</v>
      </c>
      <c r="P13318" s="27" t="s">
        <v>3535</v>
      </c>
      <c r="Q13318" s="26" t="str">
        <f>HYPERLINK("https://ictv.global/taxonomy/taxondetails?taxnode_id=202508886&amp;ictv_id=ICTV202008886","ICTV202008886")</f>
        <v>ICTV202008886</v>
      </c>
      <c r="R13318" t="s">
        <v>580</v>
      </c>
      <c r="S13318" t="s">
        <v>823</v>
      </c>
      <c r="T13318">
        <v>36</v>
      </c>
      <c r="U13318" s="26" t="str">
        <f>HYPERLINK("https://ictv.global/ictv/proposals/2020.004F.R.Mymona.zip","2020.004F.R.Mymona.zip")</f>
        <v>2020.004F.R.Mymona.zip</v>
      </c>
    </row>
    <row r="13319" spans="1:21">
      <c r="A13319">
        <v>13318</v>
      </c>
      <c r="B13319" s="27" t="s">
        <v>1124</v>
      </c>
      <c r="D13319" s="27" t="s">
        <v>1859</v>
      </c>
      <c r="F13319" s="27" t="s">
        <v>938</v>
      </c>
      <c r="G13319" s="27" t="s">
        <v>939</v>
      </c>
      <c r="H13319" s="27" t="s">
        <v>945</v>
      </c>
      <c r="J13319" s="27" t="s">
        <v>238</v>
      </c>
      <c r="L13319" s="27" t="s">
        <v>635</v>
      </c>
      <c r="N13319" s="27" t="s">
        <v>3534</v>
      </c>
      <c r="P13319" s="27" t="s">
        <v>3536</v>
      </c>
      <c r="Q13319" s="26" t="str">
        <f>HYPERLINK("https://ictv.global/taxonomy/taxondetails?taxnode_id=202506247&amp;ictv_id=ICTV20186247","ICTV20186247")</f>
        <v>ICTV20186247</v>
      </c>
      <c r="R13319" t="s">
        <v>580</v>
      </c>
      <c r="S13319" t="s">
        <v>22764</v>
      </c>
      <c r="T13319">
        <v>36</v>
      </c>
      <c r="U13319" s="26" t="str">
        <f>HYPERLINK("https://ictv.global/ictv/proposals/2020.004F.R.Mymona.zip","2020.004F.R.Mymona.zip")</f>
        <v>2020.004F.R.Mymona.zip</v>
      </c>
    </row>
    <row r="13320" spans="1:21">
      <c r="A13320">
        <v>13319</v>
      </c>
      <c r="B13320" s="27" t="s">
        <v>1124</v>
      </c>
      <c r="D13320" s="27" t="s">
        <v>1859</v>
      </c>
      <c r="F13320" s="27" t="s">
        <v>938</v>
      </c>
      <c r="G13320" s="27" t="s">
        <v>939</v>
      </c>
      <c r="H13320" s="27" t="s">
        <v>945</v>
      </c>
      <c r="J13320" s="27" t="s">
        <v>238</v>
      </c>
      <c r="L13320" s="27" t="s">
        <v>635</v>
      </c>
      <c r="N13320" s="27" t="s">
        <v>3534</v>
      </c>
      <c r="P13320" s="27" t="s">
        <v>3537</v>
      </c>
      <c r="Q13320" s="26" t="str">
        <f>HYPERLINK("https://ictv.global/taxonomy/taxondetails?taxnode_id=202506248&amp;ictv_id=ICTV20186248","ICTV20186248")</f>
        <v>ICTV20186248</v>
      </c>
      <c r="R13320" t="s">
        <v>580</v>
      </c>
      <c r="S13320" t="s">
        <v>22764</v>
      </c>
      <c r="T13320">
        <v>36</v>
      </c>
      <c r="U13320" s="26" t="str">
        <f>HYPERLINK("https://ictv.global/ictv/proposals/2020.004F.R.Mymona.zip","2020.004F.R.Mymona.zip")</f>
        <v>2020.004F.R.Mymona.zip</v>
      </c>
    </row>
    <row r="13321" spans="1:21">
      <c r="A13321">
        <v>13320</v>
      </c>
      <c r="B13321" s="27" t="s">
        <v>1124</v>
      </c>
      <c r="D13321" s="27" t="s">
        <v>1859</v>
      </c>
      <c r="F13321" s="27" t="s">
        <v>938</v>
      </c>
      <c r="G13321" s="27" t="s">
        <v>939</v>
      </c>
      <c r="H13321" s="27" t="s">
        <v>945</v>
      </c>
      <c r="J13321" s="27" t="s">
        <v>238</v>
      </c>
      <c r="L13321" s="27" t="s">
        <v>635</v>
      </c>
      <c r="N13321" s="27" t="s">
        <v>1891</v>
      </c>
      <c r="P13321" s="27" t="s">
        <v>9399</v>
      </c>
      <c r="Q13321" s="26" t="str">
        <f>HYPERLINK("https://ictv.global/taxonomy/taxondetails?taxnode_id=202514203&amp;ictv_id=ICTV202214203","ICTV202214203")</f>
        <v>ICTV202214203</v>
      </c>
      <c r="R13321" t="s">
        <v>580</v>
      </c>
      <c r="S13321" t="s">
        <v>823</v>
      </c>
      <c r="T13321">
        <v>38</v>
      </c>
      <c r="U13321" s="26" t="str">
        <f>HYPERLINK("https://ictv.global/ictv/proposals/2022.014M.Mymonaviridae_13nsp.zip","2022.014M.Mymonaviridae_13nsp.zip")</f>
        <v>2022.014M.Mymonaviridae_13nsp.zip</v>
      </c>
    </row>
    <row r="13322" spans="1:21">
      <c r="A13322">
        <v>13321</v>
      </c>
      <c r="B13322" s="27" t="s">
        <v>1124</v>
      </c>
      <c r="D13322" s="27" t="s">
        <v>1859</v>
      </c>
      <c r="F13322" s="27" t="s">
        <v>938</v>
      </c>
      <c r="G13322" s="27" t="s">
        <v>939</v>
      </c>
      <c r="H13322" s="27" t="s">
        <v>945</v>
      </c>
      <c r="J13322" s="27" t="s">
        <v>238</v>
      </c>
      <c r="L13322" s="27" t="s">
        <v>635</v>
      </c>
      <c r="N13322" s="27" t="s">
        <v>1891</v>
      </c>
      <c r="P13322" s="27" t="s">
        <v>9400</v>
      </c>
      <c r="Q13322" s="26" t="str">
        <f>HYPERLINK("https://ictv.global/taxonomy/taxondetails?taxnode_id=202514205&amp;ictv_id=ICTV202214205","ICTV202214205")</f>
        <v>ICTV202214205</v>
      </c>
      <c r="R13322" t="s">
        <v>580</v>
      </c>
      <c r="S13322" t="s">
        <v>823</v>
      </c>
      <c r="T13322">
        <v>38</v>
      </c>
      <c r="U13322" s="26" t="str">
        <f>HYPERLINK("https://ictv.global/ictv/proposals/2022.014M.Mymonaviridae_13nsp.zip","2022.014M.Mymonaviridae_13nsp.zip")</f>
        <v>2022.014M.Mymonaviridae_13nsp.zip</v>
      </c>
    </row>
    <row r="13323" spans="1:21">
      <c r="A13323">
        <v>13322</v>
      </c>
      <c r="B13323" s="27" t="s">
        <v>1124</v>
      </c>
      <c r="D13323" s="27" t="s">
        <v>1859</v>
      </c>
      <c r="F13323" s="27" t="s">
        <v>938</v>
      </c>
      <c r="G13323" s="27" t="s">
        <v>939</v>
      </c>
      <c r="H13323" s="27" t="s">
        <v>945</v>
      </c>
      <c r="J13323" s="27" t="s">
        <v>238</v>
      </c>
      <c r="L13323" s="27" t="s">
        <v>635</v>
      </c>
      <c r="N13323" s="27" t="s">
        <v>1891</v>
      </c>
      <c r="P13323" s="27" t="s">
        <v>3538</v>
      </c>
      <c r="Q13323" s="26" t="str">
        <f>HYPERLINK("https://ictv.global/taxonomy/taxondetails?taxnode_id=202508670&amp;ictv_id=ICTV201908670","ICTV201908670")</f>
        <v>ICTV201908670</v>
      </c>
      <c r="R13323" t="s">
        <v>580</v>
      </c>
      <c r="S13323" t="s">
        <v>22766</v>
      </c>
      <c r="T13323">
        <v>36</v>
      </c>
      <c r="U13323" s="26" t="str">
        <f>HYPERLINK("https://ictv.global/ictv/proposals/2020.001G.R.Abolish_type_species.pdf","2020.001G.R.Abolish_type_species.pdf")</f>
        <v>2020.001G.R.Abolish_type_species.pdf</v>
      </c>
    </row>
    <row r="13324" spans="1:21">
      <c r="A13324">
        <v>13323</v>
      </c>
      <c r="B13324" s="27" t="s">
        <v>1124</v>
      </c>
      <c r="D13324" s="27" t="s">
        <v>1859</v>
      </c>
      <c r="F13324" s="27" t="s">
        <v>938</v>
      </c>
      <c r="G13324" s="27" t="s">
        <v>939</v>
      </c>
      <c r="H13324" s="27" t="s">
        <v>945</v>
      </c>
      <c r="J13324" s="27" t="s">
        <v>238</v>
      </c>
      <c r="L13324" s="27" t="s">
        <v>635</v>
      </c>
      <c r="N13324" s="27" t="s">
        <v>1891</v>
      </c>
      <c r="P13324" s="27" t="s">
        <v>3539</v>
      </c>
      <c r="Q13324" s="26" t="str">
        <f>HYPERLINK("https://ictv.global/taxonomy/taxondetails?taxnode_id=202508884&amp;ictv_id=ICTV202008884","ICTV202008884")</f>
        <v>ICTV202008884</v>
      </c>
      <c r="R13324" t="s">
        <v>580</v>
      </c>
      <c r="S13324" t="s">
        <v>823</v>
      </c>
      <c r="T13324">
        <v>36</v>
      </c>
      <c r="U13324" s="26" t="str">
        <f>HYPERLINK("https://ictv.global/ictv/proposals/2020.004F.R.Mymona.zip","2020.004F.R.Mymona.zip")</f>
        <v>2020.004F.R.Mymona.zip</v>
      </c>
    </row>
    <row r="13325" spans="1:21">
      <c r="A13325">
        <v>13324</v>
      </c>
      <c r="B13325" s="27" t="s">
        <v>1124</v>
      </c>
      <c r="D13325" s="27" t="s">
        <v>1859</v>
      </c>
      <c r="F13325" s="27" t="s">
        <v>938</v>
      </c>
      <c r="G13325" s="27" t="s">
        <v>939</v>
      </c>
      <c r="H13325" s="27" t="s">
        <v>945</v>
      </c>
      <c r="J13325" s="27" t="s">
        <v>238</v>
      </c>
      <c r="L13325" s="27" t="s">
        <v>635</v>
      </c>
      <c r="N13325" s="27" t="s">
        <v>1891</v>
      </c>
      <c r="P13325" s="27" t="s">
        <v>9401</v>
      </c>
      <c r="Q13325" s="26" t="str">
        <f>HYPERLINK("https://ictv.global/taxonomy/taxondetails?taxnode_id=202514204&amp;ictv_id=ICTV202214204","ICTV202214204")</f>
        <v>ICTV202214204</v>
      </c>
      <c r="R13325" t="s">
        <v>580</v>
      </c>
      <c r="S13325" t="s">
        <v>823</v>
      </c>
      <c r="T13325">
        <v>38</v>
      </c>
      <c r="U13325" s="26" t="str">
        <f>HYPERLINK("https://ictv.global/ictv/proposals/2022.014M.Mymonaviridae_13nsp.zip","2022.014M.Mymonaviridae_13nsp.zip")</f>
        <v>2022.014M.Mymonaviridae_13nsp.zip</v>
      </c>
    </row>
    <row r="13326" spans="1:21">
      <c r="A13326">
        <v>13325</v>
      </c>
      <c r="B13326" s="27" t="s">
        <v>1124</v>
      </c>
      <c r="D13326" s="27" t="s">
        <v>1859</v>
      </c>
      <c r="F13326" s="27" t="s">
        <v>938</v>
      </c>
      <c r="G13326" s="27" t="s">
        <v>939</v>
      </c>
      <c r="H13326" s="27" t="s">
        <v>945</v>
      </c>
      <c r="J13326" s="27" t="s">
        <v>238</v>
      </c>
      <c r="L13326" s="27" t="s">
        <v>635</v>
      </c>
      <c r="N13326" s="27" t="s">
        <v>3540</v>
      </c>
      <c r="P13326" s="27" t="s">
        <v>9402</v>
      </c>
      <c r="Q13326" s="26" t="str">
        <f>HYPERLINK("https://ictv.global/taxonomy/taxondetails?taxnode_id=202514206&amp;ictv_id=ICTV202214206","ICTV202214206")</f>
        <v>ICTV202214206</v>
      </c>
      <c r="R13326" t="s">
        <v>580</v>
      </c>
      <c r="S13326" t="s">
        <v>823</v>
      </c>
      <c r="T13326">
        <v>38</v>
      </c>
      <c r="U13326" s="26" t="str">
        <f>HYPERLINK("https://ictv.global/ictv/proposals/2022.014M.Mymonaviridae_13nsp.zip","2022.014M.Mymonaviridae_13nsp.zip")</f>
        <v>2022.014M.Mymonaviridae_13nsp.zip</v>
      </c>
    </row>
    <row r="13327" spans="1:21">
      <c r="A13327">
        <v>13326</v>
      </c>
      <c r="B13327" s="27" t="s">
        <v>1124</v>
      </c>
      <c r="D13327" s="27" t="s">
        <v>1859</v>
      </c>
      <c r="F13327" s="27" t="s">
        <v>938</v>
      </c>
      <c r="G13327" s="27" t="s">
        <v>939</v>
      </c>
      <c r="H13327" s="27" t="s">
        <v>945</v>
      </c>
      <c r="J13327" s="27" t="s">
        <v>238</v>
      </c>
      <c r="L13327" s="27" t="s">
        <v>635</v>
      </c>
      <c r="N13327" s="27" t="s">
        <v>3540</v>
      </c>
      <c r="P13327" s="27" t="s">
        <v>3541</v>
      </c>
      <c r="Q13327" s="26" t="str">
        <f>HYPERLINK("https://ictv.global/taxonomy/taxondetails?taxnode_id=202508671&amp;ictv_id=ICTV201908671","ICTV201908671")</f>
        <v>ICTV201908671</v>
      </c>
      <c r="R13327" t="s">
        <v>580</v>
      </c>
      <c r="S13327" t="s">
        <v>22764</v>
      </c>
      <c r="T13327">
        <v>36</v>
      </c>
      <c r="U13327" s="26" t="str">
        <f>HYPERLINK("https://ictv.global/ictv/proposals/2020.004F.R.Mymona.zip","2020.004F.R.Mymona.zip")</f>
        <v>2020.004F.R.Mymona.zip</v>
      </c>
    </row>
    <row r="13328" spans="1:21">
      <c r="A13328">
        <v>13327</v>
      </c>
      <c r="B13328" s="27" t="s">
        <v>1124</v>
      </c>
      <c r="D13328" s="27" t="s">
        <v>1859</v>
      </c>
      <c r="F13328" s="27" t="s">
        <v>938</v>
      </c>
      <c r="G13328" s="27" t="s">
        <v>939</v>
      </c>
      <c r="H13328" s="27" t="s">
        <v>945</v>
      </c>
      <c r="J13328" s="27" t="s">
        <v>238</v>
      </c>
      <c r="L13328" s="27" t="s">
        <v>635</v>
      </c>
      <c r="N13328" s="27" t="s">
        <v>3542</v>
      </c>
      <c r="P13328" s="27" t="s">
        <v>9403</v>
      </c>
      <c r="Q13328" s="26" t="str">
        <f>HYPERLINK("https://ictv.global/taxonomy/taxondetails?taxnode_id=202514208&amp;ictv_id=ICTV202214208","ICTV202214208")</f>
        <v>ICTV202214208</v>
      </c>
      <c r="R13328" t="s">
        <v>580</v>
      </c>
      <c r="S13328" t="s">
        <v>823</v>
      </c>
      <c r="T13328">
        <v>38</v>
      </c>
      <c r="U13328" s="26" t="str">
        <f>HYPERLINK("https://ictv.global/ictv/proposals/2022.014M.Mymonaviridae_13nsp.zip","2022.014M.Mymonaviridae_13nsp.zip")</f>
        <v>2022.014M.Mymonaviridae_13nsp.zip</v>
      </c>
    </row>
    <row r="13329" spans="1:21">
      <c r="A13329">
        <v>13328</v>
      </c>
      <c r="B13329" s="27" t="s">
        <v>1124</v>
      </c>
      <c r="D13329" s="27" t="s">
        <v>1859</v>
      </c>
      <c r="F13329" s="27" t="s">
        <v>938</v>
      </c>
      <c r="G13329" s="27" t="s">
        <v>939</v>
      </c>
      <c r="H13329" s="27" t="s">
        <v>945</v>
      </c>
      <c r="J13329" s="27" t="s">
        <v>238</v>
      </c>
      <c r="L13329" s="27" t="s">
        <v>635</v>
      </c>
      <c r="N13329" s="27" t="s">
        <v>3542</v>
      </c>
      <c r="P13329" s="27" t="s">
        <v>3543</v>
      </c>
      <c r="Q13329" s="26" t="str">
        <f>HYPERLINK("https://ictv.global/taxonomy/taxondetails?taxnode_id=202508888&amp;ictv_id=ICTV202008888","ICTV202008888")</f>
        <v>ICTV202008888</v>
      </c>
      <c r="R13329" t="s">
        <v>580</v>
      </c>
      <c r="S13329" t="s">
        <v>823</v>
      </c>
      <c r="T13329">
        <v>36</v>
      </c>
      <c r="U13329" s="26" t="str">
        <f>HYPERLINK("https://ictv.global/ictv/proposals/2020.004F.R.Mymona.zip","2020.004F.R.Mymona.zip")</f>
        <v>2020.004F.R.Mymona.zip</v>
      </c>
    </row>
    <row r="13330" spans="1:21">
      <c r="A13330">
        <v>13329</v>
      </c>
      <c r="B13330" s="27" t="s">
        <v>1124</v>
      </c>
      <c r="D13330" s="27" t="s">
        <v>1859</v>
      </c>
      <c r="F13330" s="27" t="s">
        <v>938</v>
      </c>
      <c r="G13330" s="27" t="s">
        <v>939</v>
      </c>
      <c r="H13330" s="27" t="s">
        <v>945</v>
      </c>
      <c r="J13330" s="27" t="s">
        <v>238</v>
      </c>
      <c r="L13330" s="27" t="s">
        <v>635</v>
      </c>
      <c r="N13330" s="27" t="s">
        <v>3542</v>
      </c>
      <c r="P13330" s="27" t="s">
        <v>3544</v>
      </c>
      <c r="Q13330" s="26" t="str">
        <f>HYPERLINK("https://ictv.global/taxonomy/taxondetails?taxnode_id=202508890&amp;ictv_id=ICTV202008890","ICTV202008890")</f>
        <v>ICTV202008890</v>
      </c>
      <c r="R13330" t="s">
        <v>580</v>
      </c>
      <c r="S13330" t="s">
        <v>823</v>
      </c>
      <c r="T13330">
        <v>36</v>
      </c>
      <c r="U13330" s="26" t="str">
        <f>HYPERLINK("https://ictv.global/ictv/proposals/2020.004F.R.Mymona.zip","2020.004F.R.Mymona.zip")</f>
        <v>2020.004F.R.Mymona.zip</v>
      </c>
    </row>
    <row r="13331" spans="1:21">
      <c r="A13331">
        <v>13330</v>
      </c>
      <c r="B13331" s="27" t="s">
        <v>1124</v>
      </c>
      <c r="D13331" s="27" t="s">
        <v>1859</v>
      </c>
      <c r="F13331" s="27" t="s">
        <v>938</v>
      </c>
      <c r="G13331" s="27" t="s">
        <v>939</v>
      </c>
      <c r="H13331" s="27" t="s">
        <v>945</v>
      </c>
      <c r="J13331" s="27" t="s">
        <v>238</v>
      </c>
      <c r="L13331" s="27" t="s">
        <v>635</v>
      </c>
      <c r="N13331" s="27" t="s">
        <v>3542</v>
      </c>
      <c r="P13331" s="27" t="s">
        <v>9404</v>
      </c>
      <c r="Q13331" s="26" t="str">
        <f>HYPERLINK("https://ictv.global/taxonomy/taxondetails?taxnode_id=202514209&amp;ictv_id=ICTV202214209","ICTV202214209")</f>
        <v>ICTV202214209</v>
      </c>
      <c r="R13331" t="s">
        <v>580</v>
      </c>
      <c r="S13331" t="s">
        <v>823</v>
      </c>
      <c r="T13331">
        <v>38</v>
      </c>
      <c r="U13331" s="26" t="str">
        <f>HYPERLINK("https://ictv.global/ictv/proposals/2022.014M.Mymonaviridae_13nsp.zip","2022.014M.Mymonaviridae_13nsp.zip")</f>
        <v>2022.014M.Mymonaviridae_13nsp.zip</v>
      </c>
    </row>
    <row r="13332" spans="1:21">
      <c r="A13332">
        <v>13331</v>
      </c>
      <c r="B13332" s="27" t="s">
        <v>1124</v>
      </c>
      <c r="D13332" s="27" t="s">
        <v>1859</v>
      </c>
      <c r="F13332" s="27" t="s">
        <v>938</v>
      </c>
      <c r="G13332" s="27" t="s">
        <v>939</v>
      </c>
      <c r="H13332" s="27" t="s">
        <v>945</v>
      </c>
      <c r="J13332" s="27" t="s">
        <v>238</v>
      </c>
      <c r="L13332" s="27" t="s">
        <v>635</v>
      </c>
      <c r="N13332" s="27" t="s">
        <v>3542</v>
      </c>
      <c r="P13332" s="27" t="s">
        <v>3545</v>
      </c>
      <c r="Q13332" s="26" t="str">
        <f>HYPERLINK("https://ictv.global/taxonomy/taxondetails?taxnode_id=202508889&amp;ictv_id=ICTV202008889","ICTV202008889")</f>
        <v>ICTV202008889</v>
      </c>
      <c r="R13332" t="s">
        <v>580</v>
      </c>
      <c r="S13332" t="s">
        <v>823</v>
      </c>
      <c r="T13332">
        <v>36</v>
      </c>
      <c r="U13332" s="26" t="str">
        <f>HYPERLINK("https://ictv.global/ictv/proposals/2020.004F.R.Mymona.zip","2020.004F.R.Mymona.zip")</f>
        <v>2020.004F.R.Mymona.zip</v>
      </c>
    </row>
    <row r="13333" spans="1:21">
      <c r="A13333">
        <v>13332</v>
      </c>
      <c r="B13333" s="27" t="s">
        <v>1124</v>
      </c>
      <c r="D13333" s="27" t="s">
        <v>1859</v>
      </c>
      <c r="F13333" s="27" t="s">
        <v>938</v>
      </c>
      <c r="G13333" s="27" t="s">
        <v>939</v>
      </c>
      <c r="H13333" s="27" t="s">
        <v>945</v>
      </c>
      <c r="J13333" s="27" t="s">
        <v>238</v>
      </c>
      <c r="L13333" s="27" t="s">
        <v>635</v>
      </c>
      <c r="N13333" s="27" t="s">
        <v>3542</v>
      </c>
      <c r="P13333" s="27" t="s">
        <v>3546</v>
      </c>
      <c r="Q13333" s="26" t="str">
        <f>HYPERLINK("https://ictv.global/taxonomy/taxondetails?taxnode_id=202508891&amp;ictv_id=ICTV202008891","ICTV202008891")</f>
        <v>ICTV202008891</v>
      </c>
      <c r="R13333" t="s">
        <v>580</v>
      </c>
      <c r="S13333" t="s">
        <v>823</v>
      </c>
      <c r="T13333">
        <v>36</v>
      </c>
      <c r="U13333" s="26" t="str">
        <f>HYPERLINK("https://ictv.global/ictv/proposals/2020.004F.R.Mymona.zip","2020.004F.R.Mymona.zip")</f>
        <v>2020.004F.R.Mymona.zip</v>
      </c>
    </row>
    <row r="13334" spans="1:21">
      <c r="A13334">
        <v>13333</v>
      </c>
      <c r="B13334" s="27" t="s">
        <v>1124</v>
      </c>
      <c r="D13334" s="27" t="s">
        <v>1859</v>
      </c>
      <c r="F13334" s="27" t="s">
        <v>938</v>
      </c>
      <c r="G13334" s="27" t="s">
        <v>939</v>
      </c>
      <c r="H13334" s="27" t="s">
        <v>945</v>
      </c>
      <c r="J13334" s="27" t="s">
        <v>238</v>
      </c>
      <c r="L13334" s="27" t="s">
        <v>635</v>
      </c>
      <c r="N13334" s="27" t="s">
        <v>3542</v>
      </c>
      <c r="P13334" s="27" t="s">
        <v>16769</v>
      </c>
      <c r="Q13334" s="26" t="str">
        <f>HYPERLINK("https://ictv.global/taxonomy/taxondetails?taxnode_id=202518265&amp;ictv_id=ICTV202318265","ICTV202318265")</f>
        <v>ICTV202318265</v>
      </c>
      <c r="R13334" t="s">
        <v>580</v>
      </c>
      <c r="S13334" t="s">
        <v>823</v>
      </c>
      <c r="T13334">
        <v>39</v>
      </c>
      <c r="U13334" s="26" t="str">
        <f>HYPERLINK("https://ictv.global/ictv/proposals/2023.016M.Mymonaviridae_11nsp.zip","2023.016M.Mymonaviridae_11nsp.zip")</f>
        <v>2023.016M.Mymonaviridae_11nsp.zip</v>
      </c>
    </row>
    <row r="13335" spans="1:21">
      <c r="A13335">
        <v>13334</v>
      </c>
      <c r="B13335" s="27" t="s">
        <v>1124</v>
      </c>
      <c r="D13335" s="27" t="s">
        <v>1859</v>
      </c>
      <c r="F13335" s="27" t="s">
        <v>938</v>
      </c>
      <c r="G13335" s="27" t="s">
        <v>939</v>
      </c>
      <c r="H13335" s="27" t="s">
        <v>945</v>
      </c>
      <c r="J13335" s="27" t="s">
        <v>238</v>
      </c>
      <c r="L13335" s="27" t="s">
        <v>635</v>
      </c>
      <c r="N13335" s="27" t="s">
        <v>3542</v>
      </c>
      <c r="P13335" s="27" t="s">
        <v>3547</v>
      </c>
      <c r="Q13335" s="26" t="str">
        <f>HYPERLINK("https://ictv.global/taxonomy/taxondetails?taxnode_id=202508893&amp;ictv_id=ICTV202008893","ICTV202008893")</f>
        <v>ICTV202008893</v>
      </c>
      <c r="R13335" t="s">
        <v>580</v>
      </c>
      <c r="S13335" t="s">
        <v>823</v>
      </c>
      <c r="T13335">
        <v>36</v>
      </c>
      <c r="U13335" s="26" t="str">
        <f>HYPERLINK("https://ictv.global/ictv/proposals/2020.004F.R.Mymona.zip","2020.004F.R.Mymona.zip")</f>
        <v>2020.004F.R.Mymona.zip</v>
      </c>
    </row>
    <row r="13336" spans="1:21">
      <c r="A13336">
        <v>13335</v>
      </c>
      <c r="B13336" s="27" t="s">
        <v>1124</v>
      </c>
      <c r="D13336" s="27" t="s">
        <v>1859</v>
      </c>
      <c r="F13336" s="27" t="s">
        <v>938</v>
      </c>
      <c r="G13336" s="27" t="s">
        <v>939</v>
      </c>
      <c r="H13336" s="27" t="s">
        <v>945</v>
      </c>
      <c r="J13336" s="27" t="s">
        <v>238</v>
      </c>
      <c r="L13336" s="27" t="s">
        <v>635</v>
      </c>
      <c r="N13336" s="27" t="s">
        <v>3542</v>
      </c>
      <c r="P13336" s="27" t="s">
        <v>3548</v>
      </c>
      <c r="Q13336" s="26" t="str">
        <f>HYPERLINK("https://ictv.global/taxonomy/taxondetails?taxnode_id=202508894&amp;ictv_id=ICTV202008894","ICTV202008894")</f>
        <v>ICTV202008894</v>
      </c>
      <c r="R13336" t="s">
        <v>580</v>
      </c>
      <c r="S13336" t="s">
        <v>823</v>
      </c>
      <c r="T13336">
        <v>36</v>
      </c>
      <c r="U13336" s="26" t="str">
        <f>HYPERLINK("https://ictv.global/ictv/proposals/2020.004F.R.Mymona.zip","2020.004F.R.Mymona.zip")</f>
        <v>2020.004F.R.Mymona.zip</v>
      </c>
    </row>
    <row r="13337" spans="1:21">
      <c r="A13337">
        <v>13336</v>
      </c>
      <c r="B13337" s="27" t="s">
        <v>1124</v>
      </c>
      <c r="D13337" s="27" t="s">
        <v>1859</v>
      </c>
      <c r="F13337" s="27" t="s">
        <v>938</v>
      </c>
      <c r="G13337" s="27" t="s">
        <v>939</v>
      </c>
      <c r="H13337" s="27" t="s">
        <v>945</v>
      </c>
      <c r="J13337" s="27" t="s">
        <v>238</v>
      </c>
      <c r="L13337" s="27" t="s">
        <v>635</v>
      </c>
      <c r="N13337" s="27" t="s">
        <v>3542</v>
      </c>
      <c r="P13337" s="27" t="s">
        <v>3549</v>
      </c>
      <c r="Q13337" s="26" t="str">
        <f>HYPERLINK("https://ictv.global/taxonomy/taxondetails?taxnode_id=202508896&amp;ictv_id=ICTV202008896","ICTV202008896")</f>
        <v>ICTV202008896</v>
      </c>
      <c r="R13337" t="s">
        <v>580</v>
      </c>
      <c r="S13337" t="s">
        <v>823</v>
      </c>
      <c r="T13337">
        <v>36</v>
      </c>
      <c r="U13337" s="26" t="str">
        <f>HYPERLINK("https://ictv.global/ictv/proposals/2020.004F.R.Mymona.zip","2020.004F.R.Mymona.zip")</f>
        <v>2020.004F.R.Mymona.zip</v>
      </c>
    </row>
    <row r="13338" spans="1:21">
      <c r="A13338">
        <v>13337</v>
      </c>
      <c r="B13338" s="27" t="s">
        <v>1124</v>
      </c>
      <c r="D13338" s="27" t="s">
        <v>1859</v>
      </c>
      <c r="F13338" s="27" t="s">
        <v>938</v>
      </c>
      <c r="G13338" s="27" t="s">
        <v>939</v>
      </c>
      <c r="H13338" s="27" t="s">
        <v>945</v>
      </c>
      <c r="J13338" s="27" t="s">
        <v>238</v>
      </c>
      <c r="L13338" s="27" t="s">
        <v>635</v>
      </c>
      <c r="N13338" s="27" t="s">
        <v>3542</v>
      </c>
      <c r="P13338" s="27" t="s">
        <v>9405</v>
      </c>
      <c r="Q13338" s="26" t="str">
        <f>HYPERLINK("https://ictv.global/taxonomy/taxondetails?taxnode_id=202514210&amp;ictv_id=ICTV202214210","ICTV202214210")</f>
        <v>ICTV202214210</v>
      </c>
      <c r="R13338" t="s">
        <v>580</v>
      </c>
      <c r="S13338" t="s">
        <v>823</v>
      </c>
      <c r="T13338">
        <v>38</v>
      </c>
      <c r="U13338" s="26" t="str">
        <f>HYPERLINK("https://ictv.global/ictv/proposals/2022.014M.Mymonaviridae_13nsp.zip","2022.014M.Mymonaviridae_13nsp.zip")</f>
        <v>2022.014M.Mymonaviridae_13nsp.zip</v>
      </c>
    </row>
    <row r="13339" spans="1:21">
      <c r="A13339">
        <v>13338</v>
      </c>
      <c r="B13339" s="27" t="s">
        <v>1124</v>
      </c>
      <c r="D13339" s="27" t="s">
        <v>1859</v>
      </c>
      <c r="F13339" s="27" t="s">
        <v>938</v>
      </c>
      <c r="G13339" s="27" t="s">
        <v>939</v>
      </c>
      <c r="H13339" s="27" t="s">
        <v>945</v>
      </c>
      <c r="J13339" s="27" t="s">
        <v>238</v>
      </c>
      <c r="L13339" s="27" t="s">
        <v>635</v>
      </c>
      <c r="N13339" s="27" t="s">
        <v>3542</v>
      </c>
      <c r="P13339" s="27" t="s">
        <v>3550</v>
      </c>
      <c r="Q13339" s="26" t="str">
        <f>HYPERLINK("https://ictv.global/taxonomy/taxondetails?taxnode_id=202508892&amp;ictv_id=ICTV202008892","ICTV202008892")</f>
        <v>ICTV202008892</v>
      </c>
      <c r="R13339" t="s">
        <v>580</v>
      </c>
      <c r="S13339" t="s">
        <v>823</v>
      </c>
      <c r="T13339">
        <v>36</v>
      </c>
      <c r="U13339" s="26" t="str">
        <f>HYPERLINK("https://ictv.global/ictv/proposals/2020.004F.R.Mymona.zip","2020.004F.R.Mymona.zip")</f>
        <v>2020.004F.R.Mymona.zip</v>
      </c>
    </row>
    <row r="13340" spans="1:21">
      <c r="A13340">
        <v>13339</v>
      </c>
      <c r="B13340" s="27" t="s">
        <v>1124</v>
      </c>
      <c r="D13340" s="27" t="s">
        <v>1859</v>
      </c>
      <c r="F13340" s="27" t="s">
        <v>938</v>
      </c>
      <c r="G13340" s="27" t="s">
        <v>939</v>
      </c>
      <c r="H13340" s="27" t="s">
        <v>945</v>
      </c>
      <c r="J13340" s="27" t="s">
        <v>238</v>
      </c>
      <c r="L13340" s="27" t="s">
        <v>635</v>
      </c>
      <c r="N13340" s="27" t="s">
        <v>3542</v>
      </c>
      <c r="P13340" s="27" t="s">
        <v>3551</v>
      </c>
      <c r="Q13340" s="26" t="str">
        <f>HYPERLINK("https://ictv.global/taxonomy/taxondetails?taxnode_id=202508897&amp;ictv_id=ICTV202008897","ICTV202008897")</f>
        <v>ICTV202008897</v>
      </c>
      <c r="R13340" t="s">
        <v>580</v>
      </c>
      <c r="S13340" t="s">
        <v>823</v>
      </c>
      <c r="T13340">
        <v>36</v>
      </c>
      <c r="U13340" s="26" t="str">
        <f>HYPERLINK("https://ictv.global/ictv/proposals/2020.004F.R.Mymona.zip","2020.004F.R.Mymona.zip")</f>
        <v>2020.004F.R.Mymona.zip</v>
      </c>
    </row>
    <row r="13341" spans="1:21">
      <c r="A13341">
        <v>13340</v>
      </c>
      <c r="B13341" s="27" t="s">
        <v>1124</v>
      </c>
      <c r="D13341" s="27" t="s">
        <v>1859</v>
      </c>
      <c r="F13341" s="27" t="s">
        <v>938</v>
      </c>
      <c r="G13341" s="27" t="s">
        <v>939</v>
      </c>
      <c r="H13341" s="27" t="s">
        <v>945</v>
      </c>
      <c r="J13341" s="27" t="s">
        <v>238</v>
      </c>
      <c r="L13341" s="27" t="s">
        <v>635</v>
      </c>
      <c r="N13341" s="27" t="s">
        <v>3542</v>
      </c>
      <c r="P13341" s="27" t="s">
        <v>9406</v>
      </c>
      <c r="Q13341" s="26" t="str">
        <f>HYPERLINK("https://ictv.global/taxonomy/taxondetails?taxnode_id=202514207&amp;ictv_id=ICTV202214207","ICTV202214207")</f>
        <v>ICTV202214207</v>
      </c>
      <c r="R13341" t="s">
        <v>580</v>
      </c>
      <c r="S13341" t="s">
        <v>823</v>
      </c>
      <c r="T13341">
        <v>38</v>
      </c>
      <c r="U13341" s="26" t="str">
        <f>HYPERLINK("https://ictv.global/ictv/proposals/2022.014M.Mymonaviridae_13nsp.zip","2022.014M.Mymonaviridae_13nsp.zip")</f>
        <v>2022.014M.Mymonaviridae_13nsp.zip</v>
      </c>
    </row>
    <row r="13342" spans="1:21">
      <c r="A13342">
        <v>13341</v>
      </c>
      <c r="B13342" s="27" t="s">
        <v>1124</v>
      </c>
      <c r="D13342" s="27" t="s">
        <v>1859</v>
      </c>
      <c r="F13342" s="27" t="s">
        <v>938</v>
      </c>
      <c r="G13342" s="27" t="s">
        <v>939</v>
      </c>
      <c r="H13342" s="27" t="s">
        <v>945</v>
      </c>
      <c r="J13342" s="27" t="s">
        <v>238</v>
      </c>
      <c r="L13342" s="27" t="s">
        <v>635</v>
      </c>
      <c r="N13342" s="27" t="s">
        <v>3542</v>
      </c>
      <c r="P13342" s="27" t="s">
        <v>3552</v>
      </c>
      <c r="Q13342" s="26" t="str">
        <f>HYPERLINK("https://ictv.global/taxonomy/taxondetails?taxnode_id=202508895&amp;ictv_id=ICTV202008895","ICTV202008895")</f>
        <v>ICTV202008895</v>
      </c>
      <c r="R13342" t="s">
        <v>580</v>
      </c>
      <c r="S13342" t="s">
        <v>823</v>
      </c>
      <c r="T13342">
        <v>36</v>
      </c>
      <c r="U13342" s="26" t="str">
        <f>HYPERLINK("https://ictv.global/ictv/proposals/2020.004F.R.Mymona.zip","2020.004F.R.Mymona.zip")</f>
        <v>2020.004F.R.Mymona.zip</v>
      </c>
    </row>
    <row r="13343" spans="1:21">
      <c r="A13343">
        <v>13342</v>
      </c>
      <c r="B13343" s="27" t="s">
        <v>1124</v>
      </c>
      <c r="D13343" s="27" t="s">
        <v>1859</v>
      </c>
      <c r="F13343" s="27" t="s">
        <v>938</v>
      </c>
      <c r="G13343" s="27" t="s">
        <v>939</v>
      </c>
      <c r="H13343" s="27" t="s">
        <v>945</v>
      </c>
      <c r="J13343" s="27" t="s">
        <v>238</v>
      </c>
      <c r="L13343" s="27" t="s">
        <v>635</v>
      </c>
      <c r="N13343" s="27" t="s">
        <v>3553</v>
      </c>
      <c r="P13343" s="27" t="s">
        <v>16770</v>
      </c>
      <c r="Q13343" s="26" t="str">
        <f>HYPERLINK("https://ictv.global/taxonomy/taxondetails?taxnode_id=202518266&amp;ictv_id=ICTV202318266","ICTV202318266")</f>
        <v>ICTV202318266</v>
      </c>
      <c r="R13343" t="s">
        <v>580</v>
      </c>
      <c r="S13343" t="s">
        <v>823</v>
      </c>
      <c r="T13343">
        <v>39</v>
      </c>
      <c r="U13343" s="26" t="str">
        <f>HYPERLINK("https://ictv.global/ictv/proposals/2023.016M.Mymonaviridae_11nsp.zip","2023.016M.Mymonaviridae_11nsp.zip")</f>
        <v>2023.016M.Mymonaviridae_11nsp.zip</v>
      </c>
    </row>
    <row r="13344" spans="1:21">
      <c r="A13344">
        <v>13343</v>
      </c>
      <c r="B13344" s="27" t="s">
        <v>1124</v>
      </c>
      <c r="D13344" s="27" t="s">
        <v>1859</v>
      </c>
      <c r="F13344" s="27" t="s">
        <v>938</v>
      </c>
      <c r="G13344" s="27" t="s">
        <v>939</v>
      </c>
      <c r="H13344" s="27" t="s">
        <v>945</v>
      </c>
      <c r="J13344" s="27" t="s">
        <v>238</v>
      </c>
      <c r="L13344" s="27" t="s">
        <v>635</v>
      </c>
      <c r="N13344" s="27" t="s">
        <v>3553</v>
      </c>
      <c r="P13344" s="27" t="s">
        <v>3554</v>
      </c>
      <c r="Q13344" s="26" t="str">
        <f>HYPERLINK("https://ictv.global/taxonomy/taxondetails?taxnode_id=202508903&amp;ictv_id=ICTV202008903","ICTV202008903")</f>
        <v>ICTV202008903</v>
      </c>
      <c r="R13344" t="s">
        <v>580</v>
      </c>
      <c r="S13344" t="s">
        <v>823</v>
      </c>
      <c r="T13344">
        <v>36</v>
      </c>
      <c r="U13344" s="26" t="str">
        <f>HYPERLINK("https://ictv.global/ictv/proposals/2020.004F.R.Mymona.zip","2020.004F.R.Mymona.zip")</f>
        <v>2020.004F.R.Mymona.zip</v>
      </c>
    </row>
    <row r="13345" spans="1:21">
      <c r="A13345">
        <v>13344</v>
      </c>
      <c r="B13345" s="27" t="s">
        <v>1124</v>
      </c>
      <c r="D13345" s="27" t="s">
        <v>1859</v>
      </c>
      <c r="F13345" s="27" t="s">
        <v>938</v>
      </c>
      <c r="G13345" s="27" t="s">
        <v>939</v>
      </c>
      <c r="H13345" s="27" t="s">
        <v>945</v>
      </c>
      <c r="J13345" s="27" t="s">
        <v>238</v>
      </c>
      <c r="L13345" s="27" t="s">
        <v>635</v>
      </c>
      <c r="N13345" s="27" t="s">
        <v>3553</v>
      </c>
      <c r="P13345" s="27" t="s">
        <v>3555</v>
      </c>
      <c r="Q13345" s="26" t="str">
        <f>HYPERLINK("https://ictv.global/taxonomy/taxondetails?taxnode_id=202506245&amp;ictv_id=ICTV20186245","ICTV20186245")</f>
        <v>ICTV20186245</v>
      </c>
      <c r="R13345" t="s">
        <v>580</v>
      </c>
      <c r="S13345" t="s">
        <v>22764</v>
      </c>
      <c r="T13345">
        <v>36</v>
      </c>
      <c r="U13345" s="26" t="str">
        <f>HYPERLINK("https://ictv.global/ictv/proposals/2020.004F.R.Mymona.zip","2020.004F.R.Mymona.zip")</f>
        <v>2020.004F.R.Mymona.zip</v>
      </c>
    </row>
    <row r="13346" spans="1:21">
      <c r="A13346">
        <v>13345</v>
      </c>
      <c r="B13346" s="27" t="s">
        <v>1124</v>
      </c>
      <c r="D13346" s="27" t="s">
        <v>1859</v>
      </c>
      <c r="F13346" s="27" t="s">
        <v>938</v>
      </c>
      <c r="G13346" s="27" t="s">
        <v>939</v>
      </c>
      <c r="H13346" s="27" t="s">
        <v>945</v>
      </c>
      <c r="J13346" s="27" t="s">
        <v>238</v>
      </c>
      <c r="L13346" s="27" t="s">
        <v>635</v>
      </c>
      <c r="N13346" s="27" t="s">
        <v>3556</v>
      </c>
      <c r="P13346" s="27" t="s">
        <v>16771</v>
      </c>
      <c r="Q13346" s="26" t="str">
        <f>HYPERLINK("https://ictv.global/taxonomy/taxondetails?taxnode_id=202518267&amp;ictv_id=ICTV202318267","ICTV202318267")</f>
        <v>ICTV202318267</v>
      </c>
      <c r="R13346" t="s">
        <v>580</v>
      </c>
      <c r="S13346" t="s">
        <v>823</v>
      </c>
      <c r="T13346">
        <v>39</v>
      </c>
      <c r="U13346" s="26" t="str">
        <f>HYPERLINK("https://ictv.global/ictv/proposals/2023.016M.Mymonaviridae_11nsp.zip","2023.016M.Mymonaviridae_11nsp.zip")</f>
        <v>2023.016M.Mymonaviridae_11nsp.zip</v>
      </c>
    </row>
    <row r="13347" spans="1:21">
      <c r="A13347">
        <v>13346</v>
      </c>
      <c r="B13347" s="27" t="s">
        <v>1124</v>
      </c>
      <c r="D13347" s="27" t="s">
        <v>1859</v>
      </c>
      <c r="F13347" s="27" t="s">
        <v>938</v>
      </c>
      <c r="G13347" s="27" t="s">
        <v>939</v>
      </c>
      <c r="H13347" s="27" t="s">
        <v>945</v>
      </c>
      <c r="J13347" s="27" t="s">
        <v>238</v>
      </c>
      <c r="L13347" s="27" t="s">
        <v>635</v>
      </c>
      <c r="N13347" s="27" t="s">
        <v>3556</v>
      </c>
      <c r="P13347" s="27" t="s">
        <v>16772</v>
      </c>
      <c r="Q13347" s="26" t="str">
        <f>HYPERLINK("https://ictv.global/taxonomy/taxondetails?taxnode_id=202518268&amp;ictv_id=ICTV202318268","ICTV202318268")</f>
        <v>ICTV202318268</v>
      </c>
      <c r="R13347" t="s">
        <v>580</v>
      </c>
      <c r="S13347" t="s">
        <v>823</v>
      </c>
      <c r="T13347">
        <v>39</v>
      </c>
      <c r="U13347" s="26" t="str">
        <f>HYPERLINK("https://ictv.global/ictv/proposals/2023.016M.Mymonaviridae_11nsp.zip","2023.016M.Mymonaviridae_11nsp.zip")</f>
        <v>2023.016M.Mymonaviridae_11nsp.zip</v>
      </c>
    </row>
    <row r="13348" spans="1:21">
      <c r="A13348">
        <v>13347</v>
      </c>
      <c r="B13348" s="27" t="s">
        <v>1124</v>
      </c>
      <c r="D13348" s="27" t="s">
        <v>1859</v>
      </c>
      <c r="F13348" s="27" t="s">
        <v>938</v>
      </c>
      <c r="G13348" s="27" t="s">
        <v>939</v>
      </c>
      <c r="H13348" s="27" t="s">
        <v>945</v>
      </c>
      <c r="J13348" s="27" t="s">
        <v>238</v>
      </c>
      <c r="L13348" s="27" t="s">
        <v>635</v>
      </c>
      <c r="N13348" s="27" t="s">
        <v>3556</v>
      </c>
      <c r="P13348" s="27" t="s">
        <v>9407</v>
      </c>
      <c r="Q13348" s="26" t="str">
        <f>HYPERLINK("https://ictv.global/taxonomy/taxondetails?taxnode_id=202514211&amp;ictv_id=ICTV202214211","ICTV202214211")</f>
        <v>ICTV202214211</v>
      </c>
      <c r="R13348" t="s">
        <v>580</v>
      </c>
      <c r="S13348" t="s">
        <v>823</v>
      </c>
      <c r="T13348">
        <v>38</v>
      </c>
      <c r="U13348" s="26" t="str">
        <f>HYPERLINK("https://ictv.global/ictv/proposals/2022.014M.Mymonaviridae_13nsp.zip","2022.014M.Mymonaviridae_13nsp.zip")</f>
        <v>2022.014M.Mymonaviridae_13nsp.zip</v>
      </c>
    </row>
    <row r="13349" spans="1:21">
      <c r="A13349">
        <v>13348</v>
      </c>
      <c r="B13349" s="27" t="s">
        <v>1124</v>
      </c>
      <c r="D13349" s="27" t="s">
        <v>1859</v>
      </c>
      <c r="F13349" s="27" t="s">
        <v>938</v>
      </c>
      <c r="G13349" s="27" t="s">
        <v>939</v>
      </c>
      <c r="H13349" s="27" t="s">
        <v>945</v>
      </c>
      <c r="J13349" s="27" t="s">
        <v>238</v>
      </c>
      <c r="L13349" s="27" t="s">
        <v>635</v>
      </c>
      <c r="N13349" s="27" t="s">
        <v>3556</v>
      </c>
      <c r="P13349" s="27" t="s">
        <v>3557</v>
      </c>
      <c r="Q13349" s="26" t="str">
        <f>HYPERLINK("https://ictv.global/taxonomy/taxondetails?taxnode_id=202508899&amp;ictv_id=ICTV202008899","ICTV202008899")</f>
        <v>ICTV202008899</v>
      </c>
      <c r="R13349" t="s">
        <v>580</v>
      </c>
      <c r="S13349" t="s">
        <v>823</v>
      </c>
      <c r="T13349">
        <v>36</v>
      </c>
      <c r="U13349" s="26" t="str">
        <f>HYPERLINK("https://ictv.global/ictv/proposals/2020.004F.R.Mymona.zip","2020.004F.R.Mymona.zip")</f>
        <v>2020.004F.R.Mymona.zip</v>
      </c>
    </row>
    <row r="13350" spans="1:21">
      <c r="A13350">
        <v>13349</v>
      </c>
      <c r="B13350" s="27" t="s">
        <v>1124</v>
      </c>
      <c r="D13350" s="27" t="s">
        <v>1859</v>
      </c>
      <c r="F13350" s="27" t="s">
        <v>938</v>
      </c>
      <c r="G13350" s="27" t="s">
        <v>939</v>
      </c>
      <c r="H13350" s="27" t="s">
        <v>945</v>
      </c>
      <c r="J13350" s="27" t="s">
        <v>238</v>
      </c>
      <c r="L13350" s="27" t="s">
        <v>635</v>
      </c>
      <c r="N13350" s="27" t="s">
        <v>3558</v>
      </c>
      <c r="P13350" s="27" t="s">
        <v>3559</v>
      </c>
      <c r="Q13350" s="26" t="str">
        <f>HYPERLINK("https://ictv.global/taxonomy/taxondetails?taxnode_id=202508905&amp;ictv_id=ICTV202008905","ICTV202008905")</f>
        <v>ICTV202008905</v>
      </c>
      <c r="R13350" t="s">
        <v>580</v>
      </c>
      <c r="S13350" t="s">
        <v>823</v>
      </c>
      <c r="T13350">
        <v>36</v>
      </c>
      <c r="U13350" s="26" t="str">
        <f>HYPERLINK("https://ictv.global/ictv/proposals/2020.004F.R.Mymona.zip","2020.004F.R.Mymona.zip")</f>
        <v>2020.004F.R.Mymona.zip</v>
      </c>
    </row>
    <row r="13351" spans="1:21">
      <c r="A13351">
        <v>13350</v>
      </c>
      <c r="B13351" s="27" t="s">
        <v>1124</v>
      </c>
      <c r="D13351" s="27" t="s">
        <v>1859</v>
      </c>
      <c r="F13351" s="27" t="s">
        <v>938</v>
      </c>
      <c r="G13351" s="27" t="s">
        <v>939</v>
      </c>
      <c r="H13351" s="27" t="s">
        <v>945</v>
      </c>
      <c r="J13351" s="27" t="s">
        <v>238</v>
      </c>
      <c r="L13351" s="27" t="s">
        <v>635</v>
      </c>
      <c r="N13351" s="27" t="s">
        <v>636</v>
      </c>
      <c r="P13351" s="27" t="s">
        <v>16773</v>
      </c>
      <c r="Q13351" s="26" t="str">
        <f>HYPERLINK("https://ictv.global/taxonomy/taxondetails?taxnode_id=202518273&amp;ictv_id=ICTV202318273","ICTV202318273")</f>
        <v>ICTV202318273</v>
      </c>
      <c r="R13351" t="s">
        <v>580</v>
      </c>
      <c r="S13351" t="s">
        <v>823</v>
      </c>
      <c r="T13351">
        <v>39</v>
      </c>
      <c r="U13351" s="26" t="str">
        <f>HYPERLINK("https://ictv.global/ictv/proposals/2023.016M.Mymonaviridae_11nsp.zip","2023.016M.Mymonaviridae_11nsp.zip")</f>
        <v>2023.016M.Mymonaviridae_11nsp.zip</v>
      </c>
    </row>
    <row r="13352" spans="1:21">
      <c r="A13352">
        <v>13351</v>
      </c>
      <c r="B13352" s="27" t="s">
        <v>1124</v>
      </c>
      <c r="D13352" s="27" t="s">
        <v>1859</v>
      </c>
      <c r="F13352" s="27" t="s">
        <v>938</v>
      </c>
      <c r="G13352" s="27" t="s">
        <v>939</v>
      </c>
      <c r="H13352" s="27" t="s">
        <v>945</v>
      </c>
      <c r="J13352" s="27" t="s">
        <v>238</v>
      </c>
      <c r="L13352" s="27" t="s">
        <v>635</v>
      </c>
      <c r="N13352" s="27" t="s">
        <v>636</v>
      </c>
      <c r="P13352" s="27" t="s">
        <v>9408</v>
      </c>
      <c r="Q13352" s="26" t="str">
        <f>HYPERLINK("https://ictv.global/taxonomy/taxondetails?taxnode_id=202512962&amp;ictv_id=ICTV202112962","ICTV202112962")</f>
        <v>ICTV202112962</v>
      </c>
      <c r="R13352" t="s">
        <v>580</v>
      </c>
      <c r="S13352" t="s">
        <v>823</v>
      </c>
      <c r="T13352">
        <v>37</v>
      </c>
      <c r="U13352" s="26" t="str">
        <f>HYPERLINK("https://ictv.global/ictv/proposals/2021.041M.R.Mymonaviridae_5nsp.zip","2021.041M.R.Mymonaviridae_5nsp.zip")</f>
        <v>2021.041M.R.Mymonaviridae_5nsp.zip</v>
      </c>
    </row>
    <row r="13353" spans="1:21">
      <c r="A13353">
        <v>13352</v>
      </c>
      <c r="B13353" s="27" t="s">
        <v>1124</v>
      </c>
      <c r="D13353" s="27" t="s">
        <v>1859</v>
      </c>
      <c r="F13353" s="27" t="s">
        <v>938</v>
      </c>
      <c r="G13353" s="27" t="s">
        <v>939</v>
      </c>
      <c r="H13353" s="27" t="s">
        <v>945</v>
      </c>
      <c r="J13353" s="27" t="s">
        <v>238</v>
      </c>
      <c r="L13353" s="27" t="s">
        <v>635</v>
      </c>
      <c r="N13353" s="27" t="s">
        <v>636</v>
      </c>
      <c r="P13353" s="27" t="s">
        <v>3560</v>
      </c>
      <c r="Q13353" s="26" t="str">
        <f>HYPERLINK("https://ictv.global/taxonomy/taxondetails?taxnode_id=202508882&amp;ictv_id=ICTV202008882","ICTV202008882")</f>
        <v>ICTV202008882</v>
      </c>
      <c r="R13353" t="s">
        <v>580</v>
      </c>
      <c r="S13353" t="s">
        <v>823</v>
      </c>
      <c r="T13353">
        <v>36</v>
      </c>
      <c r="U13353" s="26" t="str">
        <f>HYPERLINK("https://ictv.global/ictv/proposals/2020.004F.R.Mymona.zip","2020.004F.R.Mymona.zip")</f>
        <v>2020.004F.R.Mymona.zip</v>
      </c>
    </row>
    <row r="13354" spans="1:21">
      <c r="A13354">
        <v>13353</v>
      </c>
      <c r="B13354" s="27" t="s">
        <v>1124</v>
      </c>
      <c r="D13354" s="27" t="s">
        <v>1859</v>
      </c>
      <c r="F13354" s="27" t="s">
        <v>938</v>
      </c>
      <c r="G13354" s="27" t="s">
        <v>939</v>
      </c>
      <c r="H13354" s="27" t="s">
        <v>945</v>
      </c>
      <c r="J13354" s="27" t="s">
        <v>238</v>
      </c>
      <c r="L13354" s="27" t="s">
        <v>635</v>
      </c>
      <c r="N13354" s="27" t="s">
        <v>636</v>
      </c>
      <c r="P13354" s="27" t="s">
        <v>3561</v>
      </c>
      <c r="Q13354" s="26" t="str">
        <f>HYPERLINK("https://ictv.global/taxonomy/taxondetails?taxnode_id=202508879&amp;ictv_id=ICTV202008879","ICTV202008879")</f>
        <v>ICTV202008879</v>
      </c>
      <c r="R13354" t="s">
        <v>580</v>
      </c>
      <c r="S13354" t="s">
        <v>823</v>
      </c>
      <c r="T13354">
        <v>36</v>
      </c>
      <c r="U13354" s="26" t="str">
        <f>HYPERLINK("https://ictv.global/ictv/proposals/2020.004F.R.Mymona.zip","2020.004F.R.Mymona.zip")</f>
        <v>2020.004F.R.Mymona.zip</v>
      </c>
    </row>
    <row r="13355" spans="1:21">
      <c r="A13355">
        <v>13354</v>
      </c>
      <c r="B13355" s="27" t="s">
        <v>1124</v>
      </c>
      <c r="D13355" s="27" t="s">
        <v>1859</v>
      </c>
      <c r="F13355" s="27" t="s">
        <v>938</v>
      </c>
      <c r="G13355" s="27" t="s">
        <v>939</v>
      </c>
      <c r="H13355" s="27" t="s">
        <v>945</v>
      </c>
      <c r="J13355" s="27" t="s">
        <v>238</v>
      </c>
      <c r="L13355" s="27" t="s">
        <v>635</v>
      </c>
      <c r="N13355" s="27" t="s">
        <v>636</v>
      </c>
      <c r="P13355" s="27" t="s">
        <v>16774</v>
      </c>
      <c r="Q13355" s="26" t="str">
        <f>HYPERLINK("https://ictv.global/taxonomy/taxondetails?taxnode_id=202518271&amp;ictv_id=ICTV202318271","ICTV202318271")</f>
        <v>ICTV202318271</v>
      </c>
      <c r="R13355" t="s">
        <v>580</v>
      </c>
      <c r="S13355" t="s">
        <v>823</v>
      </c>
      <c r="T13355">
        <v>39</v>
      </c>
      <c r="U13355" s="26" t="str">
        <f>HYPERLINK("https://ictv.global/ictv/proposals/2023.016M.Mymonaviridae_11nsp.zip","2023.016M.Mymonaviridae_11nsp.zip")</f>
        <v>2023.016M.Mymonaviridae_11nsp.zip</v>
      </c>
    </row>
    <row r="13356" spans="1:21">
      <c r="A13356">
        <v>13355</v>
      </c>
      <c r="B13356" s="27" t="s">
        <v>1124</v>
      </c>
      <c r="D13356" s="27" t="s">
        <v>1859</v>
      </c>
      <c r="F13356" s="27" t="s">
        <v>938</v>
      </c>
      <c r="G13356" s="27" t="s">
        <v>939</v>
      </c>
      <c r="H13356" s="27" t="s">
        <v>945</v>
      </c>
      <c r="J13356" s="27" t="s">
        <v>238</v>
      </c>
      <c r="L13356" s="27" t="s">
        <v>635</v>
      </c>
      <c r="N13356" s="27" t="s">
        <v>636</v>
      </c>
      <c r="P13356" s="27" t="s">
        <v>3562</v>
      </c>
      <c r="Q13356" s="26" t="str">
        <f>HYPERLINK("https://ictv.global/taxonomy/taxondetails?taxnode_id=202508876&amp;ictv_id=ICTV202008876","ICTV202008876")</f>
        <v>ICTV202008876</v>
      </c>
      <c r="R13356" t="s">
        <v>580</v>
      </c>
      <c r="S13356" t="s">
        <v>823</v>
      </c>
      <c r="T13356">
        <v>36</v>
      </c>
      <c r="U13356" s="26" t="str">
        <f>HYPERLINK("https://ictv.global/ictv/proposals/2020.004F.R.Mymona.zip","2020.004F.R.Mymona.zip")</f>
        <v>2020.004F.R.Mymona.zip</v>
      </c>
    </row>
    <row r="13357" spans="1:21">
      <c r="A13357">
        <v>13356</v>
      </c>
      <c r="B13357" s="27" t="s">
        <v>1124</v>
      </c>
      <c r="D13357" s="27" t="s">
        <v>1859</v>
      </c>
      <c r="F13357" s="27" t="s">
        <v>938</v>
      </c>
      <c r="G13357" s="27" t="s">
        <v>939</v>
      </c>
      <c r="H13357" s="27" t="s">
        <v>945</v>
      </c>
      <c r="J13357" s="27" t="s">
        <v>238</v>
      </c>
      <c r="L13357" s="27" t="s">
        <v>635</v>
      </c>
      <c r="N13357" s="27" t="s">
        <v>636</v>
      </c>
      <c r="P13357" s="27" t="s">
        <v>9409</v>
      </c>
      <c r="Q13357" s="26" t="str">
        <f>HYPERLINK("https://ictv.global/taxonomy/taxondetails?taxnode_id=202514212&amp;ictv_id=ICTV202214212","ICTV202214212")</f>
        <v>ICTV202214212</v>
      </c>
      <c r="R13357" t="s">
        <v>580</v>
      </c>
      <c r="S13357" t="s">
        <v>823</v>
      </c>
      <c r="T13357">
        <v>38</v>
      </c>
      <c r="U13357" s="26" t="str">
        <f>HYPERLINK("https://ictv.global/ictv/proposals/2022.014M.Mymonaviridae_13nsp.zip","2022.014M.Mymonaviridae_13nsp.zip")</f>
        <v>2022.014M.Mymonaviridae_13nsp.zip</v>
      </c>
    </row>
    <row r="13358" spans="1:21">
      <c r="A13358">
        <v>13357</v>
      </c>
      <c r="B13358" s="27" t="s">
        <v>1124</v>
      </c>
      <c r="D13358" s="27" t="s">
        <v>1859</v>
      </c>
      <c r="F13358" s="27" t="s">
        <v>938</v>
      </c>
      <c r="G13358" s="27" t="s">
        <v>939</v>
      </c>
      <c r="H13358" s="27" t="s">
        <v>945</v>
      </c>
      <c r="J13358" s="27" t="s">
        <v>238</v>
      </c>
      <c r="L13358" s="27" t="s">
        <v>635</v>
      </c>
      <c r="N13358" s="27" t="s">
        <v>636</v>
      </c>
      <c r="P13358" s="27" t="s">
        <v>16775</v>
      </c>
      <c r="Q13358" s="26" t="str">
        <f>HYPERLINK("https://ictv.global/taxonomy/taxondetails?taxnode_id=202518274&amp;ictv_id=ICTV202318274","ICTV202318274")</f>
        <v>ICTV202318274</v>
      </c>
      <c r="R13358" t="s">
        <v>580</v>
      </c>
      <c r="S13358" t="s">
        <v>823</v>
      </c>
      <c r="T13358">
        <v>39</v>
      </c>
      <c r="U13358" s="26" t="str">
        <f>HYPERLINK("https://ictv.global/ictv/proposals/2023.016M.Mymonaviridae_11nsp.zip","2023.016M.Mymonaviridae_11nsp.zip")</f>
        <v>2023.016M.Mymonaviridae_11nsp.zip</v>
      </c>
    </row>
    <row r="13359" spans="1:21">
      <c r="A13359">
        <v>13358</v>
      </c>
      <c r="B13359" s="27" t="s">
        <v>1124</v>
      </c>
      <c r="D13359" s="27" t="s">
        <v>1859</v>
      </c>
      <c r="F13359" s="27" t="s">
        <v>938</v>
      </c>
      <c r="G13359" s="27" t="s">
        <v>939</v>
      </c>
      <c r="H13359" s="27" t="s">
        <v>945</v>
      </c>
      <c r="J13359" s="27" t="s">
        <v>238</v>
      </c>
      <c r="L13359" s="27" t="s">
        <v>635</v>
      </c>
      <c r="N13359" s="27" t="s">
        <v>636</v>
      </c>
      <c r="P13359" s="27" t="s">
        <v>9410</v>
      </c>
      <c r="Q13359" s="26" t="str">
        <f>HYPERLINK("https://ictv.global/taxonomy/taxondetails?taxnode_id=202512963&amp;ictv_id=ICTV202112963","ICTV202112963")</f>
        <v>ICTV202112963</v>
      </c>
      <c r="R13359" t="s">
        <v>580</v>
      </c>
      <c r="S13359" t="s">
        <v>823</v>
      </c>
      <c r="T13359">
        <v>37</v>
      </c>
      <c r="U13359" s="26" t="str">
        <f>HYPERLINK("https://ictv.global/ictv/proposals/2021.041M.R.Mymonaviridae_5nsp.zip","2021.041M.R.Mymonaviridae_5nsp.zip")</f>
        <v>2021.041M.R.Mymonaviridae_5nsp.zip</v>
      </c>
    </row>
    <row r="13360" spans="1:21">
      <c r="A13360">
        <v>13359</v>
      </c>
      <c r="B13360" s="27" t="s">
        <v>1124</v>
      </c>
      <c r="D13360" s="27" t="s">
        <v>1859</v>
      </c>
      <c r="F13360" s="27" t="s">
        <v>938</v>
      </c>
      <c r="G13360" s="27" t="s">
        <v>939</v>
      </c>
      <c r="H13360" s="27" t="s">
        <v>945</v>
      </c>
      <c r="J13360" s="27" t="s">
        <v>238</v>
      </c>
      <c r="L13360" s="27" t="s">
        <v>635</v>
      </c>
      <c r="N13360" s="27" t="s">
        <v>636</v>
      </c>
      <c r="P13360" s="27" t="s">
        <v>3563</v>
      </c>
      <c r="Q13360" s="26" t="str">
        <f>HYPERLINK("https://ictv.global/taxonomy/taxondetails?taxnode_id=202508883&amp;ictv_id=ICTV202008883","ICTV202008883")</f>
        <v>ICTV202008883</v>
      </c>
      <c r="R13360" t="s">
        <v>580</v>
      </c>
      <c r="S13360" t="s">
        <v>823</v>
      </c>
      <c r="T13360">
        <v>36</v>
      </c>
      <c r="U13360" s="26" t="str">
        <f>HYPERLINK("https://ictv.global/ictv/proposals/2020.004F.R.Mymona.zip","2020.004F.R.Mymona.zip")</f>
        <v>2020.004F.R.Mymona.zip</v>
      </c>
    </row>
    <row r="13361" spans="1:21">
      <c r="A13361">
        <v>13360</v>
      </c>
      <c r="B13361" s="27" t="s">
        <v>1124</v>
      </c>
      <c r="D13361" s="27" t="s">
        <v>1859</v>
      </c>
      <c r="F13361" s="27" t="s">
        <v>938</v>
      </c>
      <c r="G13361" s="27" t="s">
        <v>939</v>
      </c>
      <c r="H13361" s="27" t="s">
        <v>945</v>
      </c>
      <c r="J13361" s="27" t="s">
        <v>238</v>
      </c>
      <c r="L13361" s="27" t="s">
        <v>635</v>
      </c>
      <c r="N13361" s="27" t="s">
        <v>636</v>
      </c>
      <c r="P13361" s="27" t="s">
        <v>3564</v>
      </c>
      <c r="Q13361" s="26" t="str">
        <f>HYPERLINK("https://ictv.global/taxonomy/taxondetails?taxnode_id=202508880&amp;ictv_id=ICTV202008880","ICTV202008880")</f>
        <v>ICTV202008880</v>
      </c>
      <c r="R13361" t="s">
        <v>580</v>
      </c>
      <c r="S13361" t="s">
        <v>823</v>
      </c>
      <c r="T13361">
        <v>36</v>
      </c>
      <c r="U13361" s="26" t="str">
        <f>HYPERLINK("https://ictv.global/ictv/proposals/2020.004F.R.Mymona.zip","2020.004F.R.Mymona.zip")</f>
        <v>2020.004F.R.Mymona.zip</v>
      </c>
    </row>
    <row r="13362" spans="1:21">
      <c r="A13362">
        <v>13361</v>
      </c>
      <c r="B13362" s="27" t="s">
        <v>1124</v>
      </c>
      <c r="D13362" s="27" t="s">
        <v>1859</v>
      </c>
      <c r="F13362" s="27" t="s">
        <v>938</v>
      </c>
      <c r="G13362" s="27" t="s">
        <v>939</v>
      </c>
      <c r="H13362" s="27" t="s">
        <v>945</v>
      </c>
      <c r="J13362" s="27" t="s">
        <v>238</v>
      </c>
      <c r="L13362" s="27" t="s">
        <v>635</v>
      </c>
      <c r="N13362" s="27" t="s">
        <v>636</v>
      </c>
      <c r="P13362" s="27" t="s">
        <v>16776</v>
      </c>
      <c r="Q13362" s="26" t="str">
        <f>HYPERLINK("https://ictv.global/taxonomy/taxondetails?taxnode_id=202518272&amp;ictv_id=ICTV202318272","ICTV202318272")</f>
        <v>ICTV202318272</v>
      </c>
      <c r="R13362" t="s">
        <v>580</v>
      </c>
      <c r="S13362" t="s">
        <v>823</v>
      </c>
      <c r="T13362">
        <v>39</v>
      </c>
      <c r="U13362" s="26" t="str">
        <f>HYPERLINK("https://ictv.global/ictv/proposals/2023.016M.Mymonaviridae_11nsp.zip","2023.016M.Mymonaviridae_11nsp.zip")</f>
        <v>2023.016M.Mymonaviridae_11nsp.zip</v>
      </c>
    </row>
    <row r="13363" spans="1:21">
      <c r="A13363">
        <v>13362</v>
      </c>
      <c r="B13363" s="27" t="s">
        <v>1124</v>
      </c>
      <c r="D13363" s="27" t="s">
        <v>1859</v>
      </c>
      <c r="F13363" s="27" t="s">
        <v>938</v>
      </c>
      <c r="G13363" s="27" t="s">
        <v>939</v>
      </c>
      <c r="H13363" s="27" t="s">
        <v>945</v>
      </c>
      <c r="J13363" s="27" t="s">
        <v>238</v>
      </c>
      <c r="L13363" s="27" t="s">
        <v>635</v>
      </c>
      <c r="N13363" s="27" t="s">
        <v>636</v>
      </c>
      <c r="P13363" s="27" t="s">
        <v>3565</v>
      </c>
      <c r="Q13363" s="26" t="str">
        <f>HYPERLINK("https://ictv.global/taxonomy/taxondetails?taxnode_id=202508881&amp;ictv_id=ICTV202008881","ICTV202008881")</f>
        <v>ICTV202008881</v>
      </c>
      <c r="R13363" t="s">
        <v>580</v>
      </c>
      <c r="S13363" t="s">
        <v>823</v>
      </c>
      <c r="T13363">
        <v>36</v>
      </c>
      <c r="U13363" s="26" t="str">
        <f>HYPERLINK("https://ictv.global/ictv/proposals/2020.004F.R.Mymona.zip","2020.004F.R.Mymona.zip")</f>
        <v>2020.004F.R.Mymona.zip</v>
      </c>
    </row>
    <row r="13364" spans="1:21">
      <c r="A13364">
        <v>13363</v>
      </c>
      <c r="B13364" s="27" t="s">
        <v>1124</v>
      </c>
      <c r="D13364" s="27" t="s">
        <v>1859</v>
      </c>
      <c r="F13364" s="27" t="s">
        <v>938</v>
      </c>
      <c r="G13364" s="27" t="s">
        <v>939</v>
      </c>
      <c r="H13364" s="27" t="s">
        <v>945</v>
      </c>
      <c r="J13364" s="27" t="s">
        <v>238</v>
      </c>
      <c r="L13364" s="27" t="s">
        <v>635</v>
      </c>
      <c r="N13364" s="27" t="s">
        <v>636</v>
      </c>
      <c r="P13364" s="27" t="s">
        <v>16777</v>
      </c>
      <c r="Q13364" s="26" t="str">
        <f>HYPERLINK("https://ictv.global/taxonomy/taxondetails?taxnode_id=202518270&amp;ictv_id=ICTV202318270","ICTV202318270")</f>
        <v>ICTV202318270</v>
      </c>
      <c r="R13364" t="s">
        <v>580</v>
      </c>
      <c r="S13364" t="s">
        <v>823</v>
      </c>
      <c r="T13364">
        <v>39</v>
      </c>
      <c r="U13364" s="26" t="str">
        <f>HYPERLINK("https://ictv.global/ictv/proposals/2023.016M.Mymonaviridae_11nsp.zip","2023.016M.Mymonaviridae_11nsp.zip")</f>
        <v>2023.016M.Mymonaviridae_11nsp.zip</v>
      </c>
    </row>
    <row r="13365" spans="1:21">
      <c r="A13365">
        <v>13364</v>
      </c>
      <c r="B13365" s="27" t="s">
        <v>1124</v>
      </c>
      <c r="D13365" s="27" t="s">
        <v>1859</v>
      </c>
      <c r="F13365" s="27" t="s">
        <v>938</v>
      </c>
      <c r="G13365" s="27" t="s">
        <v>939</v>
      </c>
      <c r="H13365" s="27" t="s">
        <v>945</v>
      </c>
      <c r="J13365" s="27" t="s">
        <v>238</v>
      </c>
      <c r="L13365" s="27" t="s">
        <v>635</v>
      </c>
      <c r="N13365" s="27" t="s">
        <v>636</v>
      </c>
      <c r="P13365" s="27" t="s">
        <v>9411</v>
      </c>
      <c r="Q13365" s="26" t="str">
        <f>HYPERLINK("https://ictv.global/taxonomy/taxondetails?taxnode_id=202512964&amp;ictv_id=ICTV202112964","ICTV202112964")</f>
        <v>ICTV202112964</v>
      </c>
      <c r="R13365" t="s">
        <v>580</v>
      </c>
      <c r="S13365" t="s">
        <v>823</v>
      </c>
      <c r="T13365">
        <v>37</v>
      </c>
      <c r="U13365" s="26" t="str">
        <f>HYPERLINK("https://ictv.global/ictv/proposals/2021.041M.R.Mymonaviridae_5nsp.zip","2021.041M.R.Mymonaviridae_5nsp.zip")</f>
        <v>2021.041M.R.Mymonaviridae_5nsp.zip</v>
      </c>
    </row>
    <row r="13366" spans="1:21">
      <c r="A13366">
        <v>13365</v>
      </c>
      <c r="B13366" s="27" t="s">
        <v>1124</v>
      </c>
      <c r="D13366" s="27" t="s">
        <v>1859</v>
      </c>
      <c r="F13366" s="27" t="s">
        <v>938</v>
      </c>
      <c r="G13366" s="27" t="s">
        <v>939</v>
      </c>
      <c r="H13366" s="27" t="s">
        <v>945</v>
      </c>
      <c r="J13366" s="27" t="s">
        <v>238</v>
      </c>
      <c r="L13366" s="27" t="s">
        <v>635</v>
      </c>
      <c r="N13366" s="27" t="s">
        <v>636</v>
      </c>
      <c r="P13366" s="27" t="s">
        <v>3566</v>
      </c>
      <c r="Q13366" s="26" t="str">
        <f>HYPERLINK("https://ictv.global/taxonomy/taxondetails?taxnode_id=202506243&amp;ictv_id=ICTV20186243","ICTV20186243")</f>
        <v>ICTV20186243</v>
      </c>
      <c r="R13366" t="s">
        <v>580</v>
      </c>
      <c r="S13366" t="s">
        <v>824</v>
      </c>
      <c r="T13366">
        <v>36</v>
      </c>
      <c r="U13366" s="26" t="str">
        <f>HYPERLINK("https://ictv.global/ictv/proposals/2020.004F.R.Mymona.zip","2020.004F.R.Mymona.zip")</f>
        <v>2020.004F.R.Mymona.zip</v>
      </c>
    </row>
    <row r="13367" spans="1:21">
      <c r="A13367">
        <v>13366</v>
      </c>
      <c r="B13367" s="27" t="s">
        <v>1124</v>
      </c>
      <c r="D13367" s="27" t="s">
        <v>1859</v>
      </c>
      <c r="F13367" s="27" t="s">
        <v>938</v>
      </c>
      <c r="G13367" s="27" t="s">
        <v>939</v>
      </c>
      <c r="H13367" s="27" t="s">
        <v>945</v>
      </c>
      <c r="J13367" s="27" t="s">
        <v>238</v>
      </c>
      <c r="L13367" s="27" t="s">
        <v>635</v>
      </c>
      <c r="N13367" s="27" t="s">
        <v>636</v>
      </c>
      <c r="P13367" s="27" t="s">
        <v>3567</v>
      </c>
      <c r="Q13367" s="26" t="str">
        <f>HYPERLINK("https://ictv.global/taxonomy/taxondetails?taxnode_id=202506244&amp;ictv_id=ICTV20186244","ICTV20186244")</f>
        <v>ICTV20186244</v>
      </c>
      <c r="R13367" t="s">
        <v>580</v>
      </c>
      <c r="S13367" t="s">
        <v>824</v>
      </c>
      <c r="T13367">
        <v>36</v>
      </c>
      <c r="U13367" s="26" t="str">
        <f>HYPERLINK("https://ictv.global/ictv/proposals/2020.004F.R.Mymona.zip","2020.004F.R.Mymona.zip")</f>
        <v>2020.004F.R.Mymona.zip</v>
      </c>
    </row>
    <row r="13368" spans="1:21">
      <c r="A13368">
        <v>13367</v>
      </c>
      <c r="B13368" s="27" t="s">
        <v>1124</v>
      </c>
      <c r="D13368" s="27" t="s">
        <v>1859</v>
      </c>
      <c r="F13368" s="27" t="s">
        <v>938</v>
      </c>
      <c r="G13368" s="27" t="s">
        <v>939</v>
      </c>
      <c r="H13368" s="27" t="s">
        <v>945</v>
      </c>
      <c r="J13368" s="27" t="s">
        <v>238</v>
      </c>
      <c r="L13368" s="27" t="s">
        <v>635</v>
      </c>
      <c r="N13368" s="27" t="s">
        <v>636</v>
      </c>
      <c r="P13368" s="27" t="s">
        <v>3568</v>
      </c>
      <c r="Q13368" s="26" t="str">
        <f>HYPERLINK("https://ictv.global/taxonomy/taxondetails?taxnode_id=202508878&amp;ictv_id=ICTV202008878","ICTV202008878")</f>
        <v>ICTV202008878</v>
      </c>
      <c r="R13368" t="s">
        <v>580</v>
      </c>
      <c r="S13368" t="s">
        <v>823</v>
      </c>
      <c r="T13368">
        <v>36</v>
      </c>
      <c r="U13368" s="26" t="str">
        <f>HYPERLINK("https://ictv.global/ictv/proposals/2020.004F.R.Mymona.zip","2020.004F.R.Mymona.zip")</f>
        <v>2020.004F.R.Mymona.zip</v>
      </c>
    </row>
    <row r="13369" spans="1:21">
      <c r="A13369">
        <v>13368</v>
      </c>
      <c r="B13369" s="27" t="s">
        <v>1124</v>
      </c>
      <c r="D13369" s="27" t="s">
        <v>1859</v>
      </c>
      <c r="F13369" s="27" t="s">
        <v>938</v>
      </c>
      <c r="G13369" s="27" t="s">
        <v>939</v>
      </c>
      <c r="H13369" s="27" t="s">
        <v>945</v>
      </c>
      <c r="J13369" s="27" t="s">
        <v>238</v>
      </c>
      <c r="L13369" s="27" t="s">
        <v>635</v>
      </c>
      <c r="N13369" s="27" t="s">
        <v>636</v>
      </c>
      <c r="P13369" s="27" t="s">
        <v>16778</v>
      </c>
      <c r="Q13369" s="26" t="str">
        <f>HYPERLINK("https://ictv.global/taxonomy/taxondetails?taxnode_id=202518269&amp;ictv_id=ICTV202318269","ICTV202318269")</f>
        <v>ICTV202318269</v>
      </c>
      <c r="R13369" t="s">
        <v>580</v>
      </c>
      <c r="S13369" t="s">
        <v>823</v>
      </c>
      <c r="T13369">
        <v>39</v>
      </c>
      <c r="U13369" s="26" t="str">
        <f>HYPERLINK("https://ictv.global/ictv/proposals/2023.016M.Mymonaviridae_11nsp.zip","2023.016M.Mymonaviridae_11nsp.zip")</f>
        <v>2023.016M.Mymonaviridae_11nsp.zip</v>
      </c>
    </row>
    <row r="13370" spans="1:21">
      <c r="A13370">
        <v>13369</v>
      </c>
      <c r="B13370" s="27" t="s">
        <v>1124</v>
      </c>
      <c r="D13370" s="27" t="s">
        <v>1859</v>
      </c>
      <c r="F13370" s="27" t="s">
        <v>938</v>
      </c>
      <c r="G13370" s="27" t="s">
        <v>939</v>
      </c>
      <c r="H13370" s="27" t="s">
        <v>945</v>
      </c>
      <c r="J13370" s="27" t="s">
        <v>238</v>
      </c>
      <c r="L13370" s="27" t="s">
        <v>635</v>
      </c>
      <c r="N13370" s="27" t="s">
        <v>636</v>
      </c>
      <c r="P13370" s="27" t="s">
        <v>3569</v>
      </c>
      <c r="Q13370" s="26" t="str">
        <f>HYPERLINK("https://ictv.global/taxonomy/taxondetails?taxnode_id=202501575&amp;ictv_id=ICTV20151165","ICTV20151165")</f>
        <v>ICTV20151165</v>
      </c>
      <c r="R13370" t="s">
        <v>580</v>
      </c>
      <c r="S13370" t="s">
        <v>22766</v>
      </c>
      <c r="T13370">
        <v>36</v>
      </c>
      <c r="U13370" s="26" t="str">
        <f>HYPERLINK("https://ictv.global/ictv/proposals/2020.001G.R.Abolish_type_species.pdf","2020.001G.R.Abolish_type_species.pdf")</f>
        <v>2020.001G.R.Abolish_type_species.pdf</v>
      </c>
    </row>
    <row r="13371" spans="1:21">
      <c r="A13371">
        <v>13370</v>
      </c>
      <c r="B13371" s="27" t="s">
        <v>1124</v>
      </c>
      <c r="D13371" s="27" t="s">
        <v>1859</v>
      </c>
      <c r="F13371" s="27" t="s">
        <v>938</v>
      </c>
      <c r="G13371" s="27" t="s">
        <v>939</v>
      </c>
      <c r="H13371" s="27" t="s">
        <v>945</v>
      </c>
      <c r="J13371" s="27" t="s">
        <v>238</v>
      </c>
      <c r="L13371" s="27" t="s">
        <v>635</v>
      </c>
      <c r="N13371" s="27" t="s">
        <v>636</v>
      </c>
      <c r="P13371" s="27" t="s">
        <v>3570</v>
      </c>
      <c r="Q13371" s="26" t="str">
        <f>HYPERLINK("https://ictv.global/taxonomy/taxondetails?taxnode_id=202508877&amp;ictv_id=ICTV202008877","ICTV202008877")</f>
        <v>ICTV202008877</v>
      </c>
      <c r="R13371" t="s">
        <v>580</v>
      </c>
      <c r="S13371" t="s">
        <v>823</v>
      </c>
      <c r="T13371">
        <v>36</v>
      </c>
      <c r="U13371" s="26" t="str">
        <f>HYPERLINK("https://ictv.global/ictv/proposals/2020.004F.R.Mymona.zip","2020.004F.R.Mymona.zip")</f>
        <v>2020.004F.R.Mymona.zip</v>
      </c>
    </row>
    <row r="13372" spans="1:21">
      <c r="A13372">
        <v>13371</v>
      </c>
      <c r="B13372" s="27" t="s">
        <v>1124</v>
      </c>
      <c r="D13372" s="27" t="s">
        <v>1859</v>
      </c>
      <c r="F13372" s="27" t="s">
        <v>938</v>
      </c>
      <c r="G13372" s="27" t="s">
        <v>939</v>
      </c>
      <c r="H13372" s="27" t="s">
        <v>945</v>
      </c>
      <c r="J13372" s="27" t="s">
        <v>238</v>
      </c>
      <c r="L13372" s="27" t="s">
        <v>635</v>
      </c>
      <c r="N13372" s="27" t="s">
        <v>636</v>
      </c>
      <c r="P13372" s="27" t="s">
        <v>16779</v>
      </c>
      <c r="Q13372" s="26" t="str">
        <f>HYPERLINK("https://ictv.global/taxonomy/taxondetails?taxnode_id=202518275&amp;ictv_id=ICTV202318275","ICTV202318275")</f>
        <v>ICTV202318275</v>
      </c>
      <c r="R13372" t="s">
        <v>580</v>
      </c>
      <c r="S13372" t="s">
        <v>823</v>
      </c>
      <c r="T13372">
        <v>39</v>
      </c>
      <c r="U13372" s="26" t="str">
        <f>HYPERLINK("https://ictv.global/ictv/proposals/2023.016M.Mymonaviridae_11nsp.zip","2023.016M.Mymonaviridae_11nsp.zip")</f>
        <v>2023.016M.Mymonaviridae_11nsp.zip</v>
      </c>
    </row>
    <row r="13373" spans="1:21">
      <c r="A13373">
        <v>13372</v>
      </c>
      <c r="B13373" s="27" t="s">
        <v>1124</v>
      </c>
      <c r="D13373" s="27" t="s">
        <v>1859</v>
      </c>
      <c r="F13373" s="27" t="s">
        <v>938</v>
      </c>
      <c r="G13373" s="27" t="s">
        <v>939</v>
      </c>
      <c r="H13373" s="27" t="s">
        <v>945</v>
      </c>
      <c r="J13373" s="27" t="s">
        <v>238</v>
      </c>
      <c r="L13373" s="27" t="s">
        <v>635</v>
      </c>
      <c r="N13373" s="27" t="s">
        <v>636</v>
      </c>
      <c r="P13373" s="27" t="s">
        <v>9412</v>
      </c>
      <c r="Q13373" s="26" t="str">
        <f>HYPERLINK("https://ictv.global/taxonomy/taxondetails?taxnode_id=202514213&amp;ictv_id=ICTV202214213","ICTV202214213")</f>
        <v>ICTV202214213</v>
      </c>
      <c r="R13373" t="s">
        <v>580</v>
      </c>
      <c r="S13373" t="s">
        <v>823</v>
      </c>
      <c r="T13373">
        <v>38</v>
      </c>
      <c r="U13373" s="26" t="str">
        <f>HYPERLINK("https://ictv.global/ictv/proposals/2022.014M.Mymonaviridae_13nsp.zip","2022.014M.Mymonaviridae_13nsp.zip")</f>
        <v>2022.014M.Mymonaviridae_13nsp.zip</v>
      </c>
    </row>
    <row r="13374" spans="1:21">
      <c r="A13374">
        <v>13373</v>
      </c>
      <c r="B13374" s="27" t="s">
        <v>1124</v>
      </c>
      <c r="D13374" s="27" t="s">
        <v>1859</v>
      </c>
      <c r="F13374" s="27" t="s">
        <v>938</v>
      </c>
      <c r="G13374" s="27" t="s">
        <v>939</v>
      </c>
      <c r="H13374" s="27" t="s">
        <v>945</v>
      </c>
      <c r="J13374" s="27" t="s">
        <v>238</v>
      </c>
      <c r="L13374" s="27" t="s">
        <v>635</v>
      </c>
      <c r="N13374" s="27" t="s">
        <v>636</v>
      </c>
      <c r="P13374" s="27" t="s">
        <v>9413</v>
      </c>
      <c r="Q13374" s="26" t="str">
        <f>HYPERLINK("https://ictv.global/taxonomy/taxondetails?taxnode_id=202514214&amp;ictv_id=ICTV202214214","ICTV202214214")</f>
        <v>ICTV202214214</v>
      </c>
      <c r="R13374" t="s">
        <v>580</v>
      </c>
      <c r="S13374" t="s">
        <v>823</v>
      </c>
      <c r="T13374">
        <v>38</v>
      </c>
      <c r="U13374" s="26" t="str">
        <f>HYPERLINK("https://ictv.global/ictv/proposals/2022.014M.Mymonaviridae_13nsp.zip","2022.014M.Mymonaviridae_13nsp.zip")</f>
        <v>2022.014M.Mymonaviridae_13nsp.zip</v>
      </c>
    </row>
    <row r="13375" spans="1:21">
      <c r="A13375">
        <v>13374</v>
      </c>
      <c r="B13375" s="27" t="s">
        <v>1124</v>
      </c>
      <c r="D13375" s="27" t="s">
        <v>1859</v>
      </c>
      <c r="F13375" s="27" t="s">
        <v>938</v>
      </c>
      <c r="G13375" s="27" t="s">
        <v>939</v>
      </c>
      <c r="H13375" s="27" t="s">
        <v>945</v>
      </c>
      <c r="J13375" s="27" t="s">
        <v>238</v>
      </c>
      <c r="L13375" s="27" t="s">
        <v>495</v>
      </c>
      <c r="N13375" s="27" t="s">
        <v>951</v>
      </c>
      <c r="P13375" s="27" t="s">
        <v>16780</v>
      </c>
      <c r="Q13375" s="26" t="str">
        <f>HYPERLINK("https://ictv.global/taxonomy/taxondetails?taxnode_id=202519051&amp;ictv_id=ICTV202319051","ICTV202319051")</f>
        <v>ICTV202319051</v>
      </c>
      <c r="R13375" t="s">
        <v>580</v>
      </c>
      <c r="S13375" t="s">
        <v>823</v>
      </c>
      <c r="T13375">
        <v>39</v>
      </c>
      <c r="U13375" s="26" t="str">
        <f>HYPERLINK("https://ictv.global/ictv/proposals/2023.029M.Nyamiviridae_7nsp.zip","2023.029M.Nyamiviridae_7nsp.zip")</f>
        <v>2023.029M.Nyamiviridae_7nsp.zip</v>
      </c>
    </row>
    <row r="13376" spans="1:21">
      <c r="A13376">
        <v>13375</v>
      </c>
      <c r="B13376" s="27" t="s">
        <v>1124</v>
      </c>
      <c r="D13376" s="27" t="s">
        <v>1859</v>
      </c>
      <c r="F13376" s="27" t="s">
        <v>938</v>
      </c>
      <c r="G13376" s="27" t="s">
        <v>939</v>
      </c>
      <c r="H13376" s="27" t="s">
        <v>945</v>
      </c>
      <c r="J13376" s="27" t="s">
        <v>238</v>
      </c>
      <c r="L13376" s="27" t="s">
        <v>495</v>
      </c>
      <c r="N13376" s="27" t="s">
        <v>951</v>
      </c>
      <c r="P13376" s="27" t="s">
        <v>9414</v>
      </c>
      <c r="Q13376" s="26" t="str">
        <f>HYPERLINK("https://ictv.global/taxonomy/taxondetails?taxnode_id=202506257&amp;ictv_id=ICTV20186257","ICTV20186257")</f>
        <v>ICTV20186257</v>
      </c>
      <c r="R13376" t="s">
        <v>580</v>
      </c>
      <c r="S13376" t="s">
        <v>824</v>
      </c>
      <c r="T13376">
        <v>37</v>
      </c>
      <c r="U13376" s="26" t="str">
        <f>HYPERLINK("https://ictv.global/ictv/proposals/2021.020M.R.Nyamiviridae_sprename.zip","2021.020M.R.Nyamiviridae_sprename.zip")</f>
        <v>2021.020M.R.Nyamiviridae_sprename.zip</v>
      </c>
    </row>
    <row r="13377" spans="1:21">
      <c r="A13377">
        <v>13376</v>
      </c>
      <c r="B13377" s="27" t="s">
        <v>1124</v>
      </c>
      <c r="D13377" s="27" t="s">
        <v>1859</v>
      </c>
      <c r="F13377" s="27" t="s">
        <v>938</v>
      </c>
      <c r="G13377" s="27" t="s">
        <v>939</v>
      </c>
      <c r="H13377" s="27" t="s">
        <v>945</v>
      </c>
      <c r="J13377" s="27" t="s">
        <v>238</v>
      </c>
      <c r="L13377" s="27" t="s">
        <v>495</v>
      </c>
      <c r="N13377" s="27" t="s">
        <v>951</v>
      </c>
      <c r="P13377" s="27" t="s">
        <v>16781</v>
      </c>
      <c r="Q13377" s="26" t="str">
        <f>HYPERLINK("https://ictv.global/taxonomy/taxondetails?taxnode_id=202519052&amp;ictv_id=ICTV202319052","ICTV202319052")</f>
        <v>ICTV202319052</v>
      </c>
      <c r="R13377" t="s">
        <v>580</v>
      </c>
      <c r="S13377" t="s">
        <v>823</v>
      </c>
      <c r="T13377">
        <v>39</v>
      </c>
      <c r="U13377" s="26" t="str">
        <f>HYPERLINK("https://ictv.global/ictv/proposals/2023.029M.Nyamiviridae_7nsp.zip","2023.029M.Nyamiviridae_7nsp.zip")</f>
        <v>2023.029M.Nyamiviridae_7nsp.zip</v>
      </c>
    </row>
    <row r="13378" spans="1:21">
      <c r="A13378">
        <v>13377</v>
      </c>
      <c r="B13378" s="27" t="s">
        <v>1124</v>
      </c>
      <c r="D13378" s="27" t="s">
        <v>1859</v>
      </c>
      <c r="F13378" s="27" t="s">
        <v>938</v>
      </c>
      <c r="G13378" s="27" t="s">
        <v>939</v>
      </c>
      <c r="H13378" s="27" t="s">
        <v>945</v>
      </c>
      <c r="J13378" s="27" t="s">
        <v>238</v>
      </c>
      <c r="L13378" s="27" t="s">
        <v>495</v>
      </c>
      <c r="N13378" s="27" t="s">
        <v>951</v>
      </c>
      <c r="P13378" s="27" t="s">
        <v>16782</v>
      </c>
      <c r="Q13378" s="26" t="str">
        <f>HYPERLINK("https://ictv.global/taxonomy/taxondetails?taxnode_id=202519053&amp;ictv_id=ICTV202319053","ICTV202319053")</f>
        <v>ICTV202319053</v>
      </c>
      <c r="R13378" t="s">
        <v>580</v>
      </c>
      <c r="S13378" t="s">
        <v>823</v>
      </c>
      <c r="T13378">
        <v>39</v>
      </c>
      <c r="U13378" s="26" t="str">
        <f>HYPERLINK("https://ictv.global/ictv/proposals/2023.029M.Nyamiviridae_7nsp.zip","2023.029M.Nyamiviridae_7nsp.zip")</f>
        <v>2023.029M.Nyamiviridae_7nsp.zip</v>
      </c>
    </row>
    <row r="13379" spans="1:21">
      <c r="A13379">
        <v>13378</v>
      </c>
      <c r="B13379" s="27" t="s">
        <v>1124</v>
      </c>
      <c r="D13379" s="27" t="s">
        <v>1859</v>
      </c>
      <c r="F13379" s="27" t="s">
        <v>938</v>
      </c>
      <c r="G13379" s="27" t="s">
        <v>939</v>
      </c>
      <c r="H13379" s="27" t="s">
        <v>945</v>
      </c>
      <c r="J13379" s="27" t="s">
        <v>238</v>
      </c>
      <c r="L13379" s="27" t="s">
        <v>495</v>
      </c>
      <c r="N13379" s="27" t="s">
        <v>951</v>
      </c>
      <c r="P13379" s="27" t="s">
        <v>16783</v>
      </c>
      <c r="Q13379" s="26" t="str">
        <f>HYPERLINK("https://ictv.global/taxonomy/taxondetails?taxnode_id=202519054&amp;ictv_id=ICTV202319054","ICTV202319054")</f>
        <v>ICTV202319054</v>
      </c>
      <c r="R13379" t="s">
        <v>580</v>
      </c>
      <c r="S13379" t="s">
        <v>823</v>
      </c>
      <c r="T13379">
        <v>39</v>
      </c>
      <c r="U13379" s="26" t="str">
        <f>HYPERLINK("https://ictv.global/ictv/proposals/2023.029M.Nyamiviridae_7nsp.zip","2023.029M.Nyamiviridae_7nsp.zip")</f>
        <v>2023.029M.Nyamiviridae_7nsp.zip</v>
      </c>
    </row>
    <row r="13380" spans="1:21">
      <c r="A13380">
        <v>13379</v>
      </c>
      <c r="B13380" s="27" t="s">
        <v>1124</v>
      </c>
      <c r="D13380" s="27" t="s">
        <v>1859</v>
      </c>
      <c r="F13380" s="27" t="s">
        <v>938</v>
      </c>
      <c r="G13380" s="27" t="s">
        <v>939</v>
      </c>
      <c r="H13380" s="27" t="s">
        <v>945</v>
      </c>
      <c r="J13380" s="27" t="s">
        <v>238</v>
      </c>
      <c r="L13380" s="27" t="s">
        <v>495</v>
      </c>
      <c r="N13380" s="27" t="s">
        <v>951</v>
      </c>
      <c r="P13380" s="27" t="s">
        <v>9415</v>
      </c>
      <c r="Q13380" s="26" t="str">
        <f>HYPERLINK("https://ictv.global/taxonomy/taxondetails?taxnode_id=202506258&amp;ictv_id=ICTV20186258","ICTV20186258")</f>
        <v>ICTV20186258</v>
      </c>
      <c r="R13380" t="s">
        <v>580</v>
      </c>
      <c r="S13380" t="s">
        <v>824</v>
      </c>
      <c r="T13380">
        <v>37</v>
      </c>
      <c r="U13380" s="26" t="str">
        <f>HYPERLINK("https://ictv.global/ictv/proposals/2021.020M.R.Nyamiviridae_sprename.zip","2021.020M.R.Nyamiviridae_sprename.zip")</f>
        <v>2021.020M.R.Nyamiviridae_sprename.zip</v>
      </c>
    </row>
    <row r="13381" spans="1:21">
      <c r="A13381">
        <v>13380</v>
      </c>
      <c r="B13381" s="27" t="s">
        <v>1124</v>
      </c>
      <c r="D13381" s="27" t="s">
        <v>1859</v>
      </c>
      <c r="F13381" s="27" t="s">
        <v>938</v>
      </c>
      <c r="G13381" s="27" t="s">
        <v>939</v>
      </c>
      <c r="H13381" s="27" t="s">
        <v>945</v>
      </c>
      <c r="J13381" s="27" t="s">
        <v>238</v>
      </c>
      <c r="L13381" s="27" t="s">
        <v>495</v>
      </c>
      <c r="N13381" s="27" t="s">
        <v>951</v>
      </c>
      <c r="P13381" s="27" t="s">
        <v>9416</v>
      </c>
      <c r="Q13381" s="26" t="str">
        <f>HYPERLINK("https://ictv.global/taxonomy/taxondetails?taxnode_id=202506256&amp;ictv_id=ICTV20186256","ICTV20186256")</f>
        <v>ICTV20186256</v>
      </c>
      <c r="R13381" t="s">
        <v>580</v>
      </c>
      <c r="S13381" t="s">
        <v>824</v>
      </c>
      <c r="T13381">
        <v>37</v>
      </c>
      <c r="U13381" s="26" t="str">
        <f>HYPERLINK("https://ictv.global/ictv/proposals/2021.020M.R.Nyamiviridae_sprename.zip","2021.020M.R.Nyamiviridae_sprename.zip")</f>
        <v>2021.020M.R.Nyamiviridae_sprename.zip</v>
      </c>
    </row>
    <row r="13382" spans="1:21">
      <c r="A13382">
        <v>13381</v>
      </c>
      <c r="B13382" s="27" t="s">
        <v>1124</v>
      </c>
      <c r="D13382" s="27" t="s">
        <v>1859</v>
      </c>
      <c r="F13382" s="27" t="s">
        <v>938</v>
      </c>
      <c r="G13382" s="27" t="s">
        <v>939</v>
      </c>
      <c r="H13382" s="27" t="s">
        <v>945</v>
      </c>
      <c r="J13382" s="27" t="s">
        <v>238</v>
      </c>
      <c r="L13382" s="27" t="s">
        <v>495</v>
      </c>
      <c r="N13382" s="27" t="s">
        <v>645</v>
      </c>
      <c r="P13382" s="27" t="s">
        <v>9417</v>
      </c>
      <c r="Q13382" s="26" t="str">
        <f>HYPERLINK("https://ictv.global/taxonomy/taxondetails?taxnode_id=202506250&amp;ictv_id=ICTV20186250","ICTV20186250")</f>
        <v>ICTV20186250</v>
      </c>
      <c r="R13382" t="s">
        <v>580</v>
      </c>
      <c r="S13382" t="s">
        <v>824</v>
      </c>
      <c r="T13382">
        <v>37</v>
      </c>
      <c r="U13382" s="26" t="str">
        <f>HYPERLINK("https://ictv.global/ictv/proposals/2021.020M.R.Nyamiviridae_sprename.zip","2021.020M.R.Nyamiviridae_sprename.zip")</f>
        <v>2021.020M.R.Nyamiviridae_sprename.zip</v>
      </c>
    </row>
    <row r="13383" spans="1:21">
      <c r="A13383">
        <v>13382</v>
      </c>
      <c r="B13383" s="27" t="s">
        <v>1124</v>
      </c>
      <c r="D13383" s="27" t="s">
        <v>1859</v>
      </c>
      <c r="F13383" s="27" t="s">
        <v>938</v>
      </c>
      <c r="G13383" s="27" t="s">
        <v>939</v>
      </c>
      <c r="H13383" s="27" t="s">
        <v>945</v>
      </c>
      <c r="J13383" s="27" t="s">
        <v>238</v>
      </c>
      <c r="L13383" s="27" t="s">
        <v>495</v>
      </c>
      <c r="N13383" s="27" t="s">
        <v>645</v>
      </c>
      <c r="P13383" s="27" t="s">
        <v>21199</v>
      </c>
      <c r="Q13383" s="26" t="str">
        <f>HYPERLINK("https://ictv.global/taxonomy/taxondetails?taxnode_id=202522112&amp;ictv_id=ICTV202522112","ICTV202522112")</f>
        <v>ICTV202522112</v>
      </c>
      <c r="R13383" t="s">
        <v>580</v>
      </c>
      <c r="S13383" t="s">
        <v>823</v>
      </c>
      <c r="T13383">
        <v>41</v>
      </c>
      <c r="U13383" s="26" t="str">
        <f>HYPERLINK("https://ictv.global/ictv/proposals/2025.002M.Crustavirus_1nsp.zip","2025.002M.Crustavirus_1nsp.zip")</f>
        <v>2025.002M.Crustavirus_1nsp.zip</v>
      </c>
    </row>
    <row r="13384" spans="1:21">
      <c r="A13384">
        <v>13383</v>
      </c>
      <c r="B13384" s="27" t="s">
        <v>1124</v>
      </c>
      <c r="D13384" s="27" t="s">
        <v>1859</v>
      </c>
      <c r="F13384" s="27" t="s">
        <v>938</v>
      </c>
      <c r="G13384" s="27" t="s">
        <v>939</v>
      </c>
      <c r="H13384" s="27" t="s">
        <v>945</v>
      </c>
      <c r="J13384" s="27" t="s">
        <v>238</v>
      </c>
      <c r="L13384" s="27" t="s">
        <v>495</v>
      </c>
      <c r="N13384" s="27" t="s">
        <v>645</v>
      </c>
      <c r="P13384" s="27" t="s">
        <v>9418</v>
      </c>
      <c r="Q13384" s="26" t="str">
        <f>HYPERLINK("https://ictv.global/taxonomy/taxondetails?taxnode_id=202506249&amp;ictv_id=ICTV20186249","ICTV20186249")</f>
        <v>ICTV20186249</v>
      </c>
      <c r="R13384" t="s">
        <v>580</v>
      </c>
      <c r="S13384" t="s">
        <v>824</v>
      </c>
      <c r="T13384">
        <v>37</v>
      </c>
      <c r="U13384" s="26" t="str">
        <f t="shared" ref="U13384:U13389" si="493">HYPERLINK("https://ictv.global/ictv/proposals/2021.020M.R.Nyamiviridae_sprename.zip","2021.020M.R.Nyamiviridae_sprename.zip")</f>
        <v>2021.020M.R.Nyamiviridae_sprename.zip</v>
      </c>
    </row>
    <row r="13385" spans="1:21">
      <c r="A13385">
        <v>13384</v>
      </c>
      <c r="B13385" s="27" t="s">
        <v>1124</v>
      </c>
      <c r="D13385" s="27" t="s">
        <v>1859</v>
      </c>
      <c r="F13385" s="27" t="s">
        <v>938</v>
      </c>
      <c r="G13385" s="27" t="s">
        <v>939</v>
      </c>
      <c r="H13385" s="27" t="s">
        <v>945</v>
      </c>
      <c r="J13385" s="27" t="s">
        <v>238</v>
      </c>
      <c r="L13385" s="27" t="s">
        <v>495</v>
      </c>
      <c r="N13385" s="27" t="s">
        <v>645</v>
      </c>
      <c r="P13385" s="27" t="s">
        <v>9419</v>
      </c>
      <c r="Q13385" s="26" t="str">
        <f>HYPERLINK("https://ictv.global/taxonomy/taxondetails?taxnode_id=202501818&amp;ictv_id=ICTV20151173","ICTV20151173")</f>
        <v>ICTV20151173</v>
      </c>
      <c r="R13385" t="s">
        <v>580</v>
      </c>
      <c r="S13385" t="s">
        <v>824</v>
      </c>
      <c r="T13385">
        <v>37</v>
      </c>
      <c r="U13385" s="26" t="str">
        <f t="shared" si="493"/>
        <v>2021.020M.R.Nyamiviridae_sprename.zip</v>
      </c>
    </row>
    <row r="13386" spans="1:21">
      <c r="A13386">
        <v>13385</v>
      </c>
      <c r="B13386" s="27" t="s">
        <v>1124</v>
      </c>
      <c r="D13386" s="27" t="s">
        <v>1859</v>
      </c>
      <c r="F13386" s="27" t="s">
        <v>938</v>
      </c>
      <c r="G13386" s="27" t="s">
        <v>939</v>
      </c>
      <c r="H13386" s="27" t="s">
        <v>945</v>
      </c>
      <c r="J13386" s="27" t="s">
        <v>238</v>
      </c>
      <c r="L13386" s="27" t="s">
        <v>495</v>
      </c>
      <c r="N13386" s="27" t="s">
        <v>3571</v>
      </c>
      <c r="P13386" s="27" t="s">
        <v>9420</v>
      </c>
      <c r="Q13386" s="26" t="str">
        <f>HYPERLINK("https://ictv.global/taxonomy/taxondetails?taxnode_id=202509665&amp;ictv_id=ICTV202009665","ICTV202009665")</f>
        <v>ICTV202009665</v>
      </c>
      <c r="R13386" t="s">
        <v>580</v>
      </c>
      <c r="S13386" t="s">
        <v>824</v>
      </c>
      <c r="T13386">
        <v>37</v>
      </c>
      <c r="U13386" s="26" t="str">
        <f t="shared" si="493"/>
        <v>2021.020M.R.Nyamiviridae_sprename.zip</v>
      </c>
    </row>
    <row r="13387" spans="1:21">
      <c r="A13387">
        <v>13386</v>
      </c>
      <c r="B13387" s="27" t="s">
        <v>1124</v>
      </c>
      <c r="D13387" s="27" t="s">
        <v>1859</v>
      </c>
      <c r="F13387" s="27" t="s">
        <v>938</v>
      </c>
      <c r="G13387" s="27" t="s">
        <v>939</v>
      </c>
      <c r="H13387" s="27" t="s">
        <v>945</v>
      </c>
      <c r="J13387" s="27" t="s">
        <v>238</v>
      </c>
      <c r="L13387" s="27" t="s">
        <v>495</v>
      </c>
      <c r="N13387" s="27" t="s">
        <v>3571</v>
      </c>
      <c r="P13387" s="27" t="s">
        <v>9421</v>
      </c>
      <c r="Q13387" s="26" t="str">
        <f>HYPERLINK("https://ictv.global/taxonomy/taxondetails?taxnode_id=202509668&amp;ictv_id=ICTV202009668","ICTV202009668")</f>
        <v>ICTV202009668</v>
      </c>
      <c r="R13387" t="s">
        <v>580</v>
      </c>
      <c r="S13387" t="s">
        <v>824</v>
      </c>
      <c r="T13387">
        <v>37</v>
      </c>
      <c r="U13387" s="26" t="str">
        <f t="shared" si="493"/>
        <v>2021.020M.R.Nyamiviridae_sprename.zip</v>
      </c>
    </row>
    <row r="13388" spans="1:21">
      <c r="A13388">
        <v>13387</v>
      </c>
      <c r="B13388" s="27" t="s">
        <v>1124</v>
      </c>
      <c r="D13388" s="27" t="s">
        <v>1859</v>
      </c>
      <c r="F13388" s="27" t="s">
        <v>938</v>
      </c>
      <c r="G13388" s="27" t="s">
        <v>939</v>
      </c>
      <c r="H13388" s="27" t="s">
        <v>945</v>
      </c>
      <c r="J13388" s="27" t="s">
        <v>238</v>
      </c>
      <c r="L13388" s="27" t="s">
        <v>495</v>
      </c>
      <c r="N13388" s="27" t="s">
        <v>3571</v>
      </c>
      <c r="P13388" s="27" t="s">
        <v>9422</v>
      </c>
      <c r="Q13388" s="26" t="str">
        <f>HYPERLINK("https://ictv.global/taxonomy/taxondetails?taxnode_id=202509666&amp;ictv_id=ICTV202009666","ICTV202009666")</f>
        <v>ICTV202009666</v>
      </c>
      <c r="R13388" t="s">
        <v>580</v>
      </c>
      <c r="S13388" t="s">
        <v>824</v>
      </c>
      <c r="T13388">
        <v>37</v>
      </c>
      <c r="U13388" s="26" t="str">
        <f t="shared" si="493"/>
        <v>2021.020M.R.Nyamiviridae_sprename.zip</v>
      </c>
    </row>
    <row r="13389" spans="1:21">
      <c r="A13389">
        <v>13388</v>
      </c>
      <c r="B13389" s="27" t="s">
        <v>1124</v>
      </c>
      <c r="D13389" s="27" t="s">
        <v>1859</v>
      </c>
      <c r="F13389" s="27" t="s">
        <v>938</v>
      </c>
      <c r="G13389" s="27" t="s">
        <v>939</v>
      </c>
      <c r="H13389" s="27" t="s">
        <v>945</v>
      </c>
      <c r="J13389" s="27" t="s">
        <v>238</v>
      </c>
      <c r="L13389" s="27" t="s">
        <v>495</v>
      </c>
      <c r="N13389" s="27" t="s">
        <v>3571</v>
      </c>
      <c r="P13389" s="27" t="s">
        <v>9423</v>
      </c>
      <c r="Q13389" s="26" t="str">
        <f>HYPERLINK("https://ictv.global/taxonomy/taxondetails?taxnode_id=202509667&amp;ictv_id=ICTV202009667","ICTV202009667")</f>
        <v>ICTV202009667</v>
      </c>
      <c r="R13389" t="s">
        <v>580</v>
      </c>
      <c r="S13389" t="s">
        <v>824</v>
      </c>
      <c r="T13389">
        <v>37</v>
      </c>
      <c r="U13389" s="26" t="str">
        <f t="shared" si="493"/>
        <v>2021.020M.R.Nyamiviridae_sprename.zip</v>
      </c>
    </row>
    <row r="13390" spans="1:21">
      <c r="A13390">
        <v>13389</v>
      </c>
      <c r="B13390" s="27" t="s">
        <v>1124</v>
      </c>
      <c r="D13390" s="27" t="s">
        <v>1859</v>
      </c>
      <c r="F13390" s="27" t="s">
        <v>938</v>
      </c>
      <c r="G13390" s="27" t="s">
        <v>939</v>
      </c>
      <c r="H13390" s="27" t="s">
        <v>945</v>
      </c>
      <c r="J13390" s="27" t="s">
        <v>238</v>
      </c>
      <c r="L13390" s="27" t="s">
        <v>495</v>
      </c>
      <c r="N13390" s="27" t="s">
        <v>3571</v>
      </c>
      <c r="P13390" s="27" t="s">
        <v>16784</v>
      </c>
      <c r="Q13390" s="26" t="str">
        <f>HYPERLINK("https://ictv.global/taxonomy/taxondetails?taxnode_id=202519048&amp;ictv_id=ICTV202319048","ICTV202319048")</f>
        <v>ICTV202319048</v>
      </c>
      <c r="R13390" t="s">
        <v>580</v>
      </c>
      <c r="S13390" t="s">
        <v>823</v>
      </c>
      <c r="T13390">
        <v>39</v>
      </c>
      <c r="U13390" s="26" t="str">
        <f>HYPERLINK("https://ictv.global/ictv/proposals/2023.029M.Nyamiviridae_7nsp.zip","2023.029M.Nyamiviridae_7nsp.zip")</f>
        <v>2023.029M.Nyamiviridae_7nsp.zip</v>
      </c>
    </row>
    <row r="13391" spans="1:21">
      <c r="A13391">
        <v>13390</v>
      </c>
      <c r="B13391" s="27" t="s">
        <v>1124</v>
      </c>
      <c r="D13391" s="27" t="s">
        <v>1859</v>
      </c>
      <c r="F13391" s="27" t="s">
        <v>938</v>
      </c>
      <c r="G13391" s="27" t="s">
        <v>939</v>
      </c>
      <c r="H13391" s="27" t="s">
        <v>945</v>
      </c>
      <c r="J13391" s="27" t="s">
        <v>238</v>
      </c>
      <c r="L13391" s="27" t="s">
        <v>495</v>
      </c>
      <c r="N13391" s="27" t="s">
        <v>3571</v>
      </c>
      <c r="P13391" s="27" t="s">
        <v>9424</v>
      </c>
      <c r="Q13391" s="26" t="str">
        <f>HYPERLINK("https://ictv.global/taxonomy/taxondetails?taxnode_id=202514220&amp;ictv_id=ICTV202214220","ICTV202214220")</f>
        <v>ICTV202214220</v>
      </c>
      <c r="R13391" t="s">
        <v>580</v>
      </c>
      <c r="S13391" t="s">
        <v>823</v>
      </c>
      <c r="T13391">
        <v>38</v>
      </c>
      <c r="U13391" s="26" t="str">
        <f>HYPERLINK("https://ictv.global/ictv/proposals/2022.016M.Nyamiviridae_2nsp.zip","2022.016M.Nyamiviridae_2nsp.zip")</f>
        <v>2022.016M.Nyamiviridae_2nsp.zip</v>
      </c>
    </row>
    <row r="13392" spans="1:21">
      <c r="A13392">
        <v>13391</v>
      </c>
      <c r="B13392" s="27" t="s">
        <v>1124</v>
      </c>
      <c r="D13392" s="27" t="s">
        <v>1859</v>
      </c>
      <c r="F13392" s="27" t="s">
        <v>938</v>
      </c>
      <c r="G13392" s="27" t="s">
        <v>939</v>
      </c>
      <c r="H13392" s="27" t="s">
        <v>945</v>
      </c>
      <c r="J13392" s="27" t="s">
        <v>238</v>
      </c>
      <c r="L13392" s="27" t="s">
        <v>495</v>
      </c>
      <c r="N13392" s="27" t="s">
        <v>3571</v>
      </c>
      <c r="P13392" s="27" t="s">
        <v>9425</v>
      </c>
      <c r="Q13392" s="26" t="str">
        <f>HYPERLINK("https://ictv.global/taxonomy/taxondetails?taxnode_id=202512225&amp;ictv_id=ICTV202112225","ICTV202112225")</f>
        <v>ICTV202112225</v>
      </c>
      <c r="R13392" t="s">
        <v>580</v>
      </c>
      <c r="S13392" t="s">
        <v>823</v>
      </c>
      <c r="T13392">
        <v>37</v>
      </c>
      <c r="U13392" s="26" t="str">
        <f>HYPERLINK("https://ictv.global/ictv/proposals/2021.019M.R.Nyamiviridae_3nsp.zip","2021.019M.R.Nyamiviridae_3nsp.zip")</f>
        <v>2021.019M.R.Nyamiviridae_3nsp.zip</v>
      </c>
    </row>
    <row r="13393" spans="1:21">
      <c r="A13393">
        <v>13392</v>
      </c>
      <c r="B13393" s="27" t="s">
        <v>1124</v>
      </c>
      <c r="D13393" s="27" t="s">
        <v>1859</v>
      </c>
      <c r="F13393" s="27" t="s">
        <v>938</v>
      </c>
      <c r="G13393" s="27" t="s">
        <v>939</v>
      </c>
      <c r="H13393" s="27" t="s">
        <v>945</v>
      </c>
      <c r="J13393" s="27" t="s">
        <v>238</v>
      </c>
      <c r="L13393" s="27" t="s">
        <v>495</v>
      </c>
      <c r="N13393" s="27" t="s">
        <v>496</v>
      </c>
      <c r="P13393" s="27" t="s">
        <v>9426</v>
      </c>
      <c r="Q13393" s="26" t="str">
        <f>HYPERLINK("https://ictv.global/taxonomy/taxondetails?taxnode_id=202512223&amp;ictv_id=ICTV202112223","ICTV202112223")</f>
        <v>ICTV202112223</v>
      </c>
      <c r="R13393" t="s">
        <v>580</v>
      </c>
      <c r="S13393" t="s">
        <v>823</v>
      </c>
      <c r="T13393">
        <v>37</v>
      </c>
      <c r="U13393" s="26" t="str">
        <f>HYPERLINK("https://ictv.global/ictv/proposals/2021.019M.R.Nyamiviridae_3nsp.zip","2021.019M.R.Nyamiviridae_3nsp.zip")</f>
        <v>2021.019M.R.Nyamiviridae_3nsp.zip</v>
      </c>
    </row>
    <row r="13394" spans="1:21">
      <c r="A13394">
        <v>13393</v>
      </c>
      <c r="B13394" s="27" t="s">
        <v>1124</v>
      </c>
      <c r="D13394" s="27" t="s">
        <v>1859</v>
      </c>
      <c r="F13394" s="27" t="s">
        <v>938</v>
      </c>
      <c r="G13394" s="27" t="s">
        <v>939</v>
      </c>
      <c r="H13394" s="27" t="s">
        <v>945</v>
      </c>
      <c r="J13394" s="27" t="s">
        <v>238</v>
      </c>
      <c r="L13394" s="27" t="s">
        <v>495</v>
      </c>
      <c r="N13394" s="27" t="s">
        <v>496</v>
      </c>
      <c r="P13394" s="27" t="s">
        <v>16785</v>
      </c>
      <c r="Q13394" s="26" t="str">
        <f>HYPERLINK("https://ictv.global/taxonomy/taxondetails?taxnode_id=202519049&amp;ictv_id=ICTV202319049","ICTV202319049")</f>
        <v>ICTV202319049</v>
      </c>
      <c r="R13394" t="s">
        <v>580</v>
      </c>
      <c r="S13394" t="s">
        <v>823</v>
      </c>
      <c r="T13394">
        <v>39</v>
      </c>
      <c r="U13394" s="26" t="str">
        <f>HYPERLINK("https://ictv.global/ictv/proposals/2023.029M.Nyamiviridae_7nsp.zip","2023.029M.Nyamiviridae_7nsp.zip")</f>
        <v>2023.029M.Nyamiviridae_7nsp.zip</v>
      </c>
    </row>
    <row r="13395" spans="1:21">
      <c r="A13395">
        <v>13394</v>
      </c>
      <c r="B13395" s="27" t="s">
        <v>1124</v>
      </c>
      <c r="D13395" s="27" t="s">
        <v>1859</v>
      </c>
      <c r="F13395" s="27" t="s">
        <v>938</v>
      </c>
      <c r="G13395" s="27" t="s">
        <v>939</v>
      </c>
      <c r="H13395" s="27" t="s">
        <v>945</v>
      </c>
      <c r="J13395" s="27" t="s">
        <v>238</v>
      </c>
      <c r="L13395" s="27" t="s">
        <v>495</v>
      </c>
      <c r="N13395" s="27" t="s">
        <v>496</v>
      </c>
      <c r="P13395" s="27" t="s">
        <v>9427</v>
      </c>
      <c r="Q13395" s="26" t="str">
        <f>HYPERLINK("https://ictv.global/taxonomy/taxondetails?taxnode_id=202501579&amp;ictv_id=ICTV20130530","ICTV20130530")</f>
        <v>ICTV20130530</v>
      </c>
      <c r="R13395" t="s">
        <v>580</v>
      </c>
      <c r="S13395" t="s">
        <v>824</v>
      </c>
      <c r="T13395">
        <v>37</v>
      </c>
      <c r="U13395" s="26" t="str">
        <f>HYPERLINK("https://ictv.global/ictv/proposals/2021.020M.R.Nyamiviridae_sprename.zip","2021.020M.R.Nyamiviridae_sprename.zip")</f>
        <v>2021.020M.R.Nyamiviridae_sprename.zip</v>
      </c>
    </row>
    <row r="13396" spans="1:21">
      <c r="A13396">
        <v>13395</v>
      </c>
      <c r="B13396" s="27" t="s">
        <v>1124</v>
      </c>
      <c r="D13396" s="27" t="s">
        <v>1859</v>
      </c>
      <c r="F13396" s="27" t="s">
        <v>938</v>
      </c>
      <c r="G13396" s="27" t="s">
        <v>939</v>
      </c>
      <c r="H13396" s="27" t="s">
        <v>945</v>
      </c>
      <c r="J13396" s="27" t="s">
        <v>238</v>
      </c>
      <c r="L13396" s="27" t="s">
        <v>495</v>
      </c>
      <c r="N13396" s="27" t="s">
        <v>496</v>
      </c>
      <c r="P13396" s="27" t="s">
        <v>9428</v>
      </c>
      <c r="Q13396" s="26" t="str">
        <f>HYPERLINK("https://ictv.global/taxonomy/taxondetails?taxnode_id=202501580&amp;ictv_id=ICTV20130531","ICTV20130531")</f>
        <v>ICTV20130531</v>
      </c>
      <c r="R13396" t="s">
        <v>580</v>
      </c>
      <c r="S13396" t="s">
        <v>824</v>
      </c>
      <c r="T13396">
        <v>37</v>
      </c>
      <c r="U13396" s="26" t="str">
        <f>HYPERLINK("https://ictv.global/ictv/proposals/2021.020M.R.Nyamiviridae_sprename.zip","2021.020M.R.Nyamiviridae_sprename.zip")</f>
        <v>2021.020M.R.Nyamiviridae_sprename.zip</v>
      </c>
    </row>
    <row r="13397" spans="1:21">
      <c r="A13397">
        <v>13396</v>
      </c>
      <c r="B13397" s="27" t="s">
        <v>1124</v>
      </c>
      <c r="D13397" s="27" t="s">
        <v>1859</v>
      </c>
      <c r="F13397" s="27" t="s">
        <v>938</v>
      </c>
      <c r="G13397" s="27" t="s">
        <v>939</v>
      </c>
      <c r="H13397" s="27" t="s">
        <v>945</v>
      </c>
      <c r="J13397" s="27" t="s">
        <v>238</v>
      </c>
      <c r="L13397" s="27" t="s">
        <v>495</v>
      </c>
      <c r="N13397" s="27" t="s">
        <v>496</v>
      </c>
      <c r="P13397" s="27" t="s">
        <v>9429</v>
      </c>
      <c r="Q13397" s="26" t="str">
        <f>HYPERLINK("https://ictv.global/taxonomy/taxondetails?taxnode_id=202509663&amp;ictv_id=ICTV202009663","ICTV202009663")</f>
        <v>ICTV202009663</v>
      </c>
      <c r="R13397" t="s">
        <v>580</v>
      </c>
      <c r="S13397" t="s">
        <v>824</v>
      </c>
      <c r="T13397">
        <v>37</v>
      </c>
      <c r="U13397" s="26" t="str">
        <f>HYPERLINK("https://ictv.global/ictv/proposals/2021.020M.R.Nyamiviridae_sprename.zip","2021.020M.R.Nyamiviridae_sprename.zip")</f>
        <v>2021.020M.R.Nyamiviridae_sprename.zip</v>
      </c>
    </row>
    <row r="13398" spans="1:21">
      <c r="A13398">
        <v>13397</v>
      </c>
      <c r="B13398" s="27" t="s">
        <v>1124</v>
      </c>
      <c r="D13398" s="27" t="s">
        <v>1859</v>
      </c>
      <c r="F13398" s="27" t="s">
        <v>938</v>
      </c>
      <c r="G13398" s="27" t="s">
        <v>939</v>
      </c>
      <c r="H13398" s="27" t="s">
        <v>945</v>
      </c>
      <c r="J13398" s="27" t="s">
        <v>238</v>
      </c>
      <c r="L13398" s="27" t="s">
        <v>495</v>
      </c>
      <c r="N13398" s="27" t="s">
        <v>496</v>
      </c>
      <c r="P13398" s="27" t="s">
        <v>9430</v>
      </c>
      <c r="Q13398" s="26" t="str">
        <f>HYPERLINK("https://ictv.global/taxonomy/taxondetails?taxnode_id=202501581&amp;ictv_id=ICTV20140739","ICTV20140739")</f>
        <v>ICTV20140739</v>
      </c>
      <c r="R13398" t="s">
        <v>580</v>
      </c>
      <c r="S13398" t="s">
        <v>824</v>
      </c>
      <c r="T13398">
        <v>37</v>
      </c>
      <c r="U13398" s="26" t="str">
        <f>HYPERLINK("https://ictv.global/ictv/proposals/2021.020M.R.Nyamiviridae_sprename.zip","2021.020M.R.Nyamiviridae_sprename.zip")</f>
        <v>2021.020M.R.Nyamiviridae_sprename.zip</v>
      </c>
    </row>
    <row r="13399" spans="1:21">
      <c r="A13399">
        <v>13398</v>
      </c>
      <c r="B13399" s="27" t="s">
        <v>1124</v>
      </c>
      <c r="D13399" s="27" t="s">
        <v>1859</v>
      </c>
      <c r="F13399" s="27" t="s">
        <v>938</v>
      </c>
      <c r="G13399" s="27" t="s">
        <v>939</v>
      </c>
      <c r="H13399" s="27" t="s">
        <v>945</v>
      </c>
      <c r="J13399" s="27" t="s">
        <v>238</v>
      </c>
      <c r="L13399" s="27" t="s">
        <v>495</v>
      </c>
      <c r="N13399" s="27" t="s">
        <v>496</v>
      </c>
      <c r="P13399" s="27" t="s">
        <v>9431</v>
      </c>
      <c r="Q13399" s="26" t="str">
        <f>HYPERLINK("https://ictv.global/taxonomy/taxondetails?taxnode_id=202512224&amp;ictv_id=ICTV202112224","ICTV202112224")</f>
        <v>ICTV202112224</v>
      </c>
      <c r="R13399" t="s">
        <v>580</v>
      </c>
      <c r="S13399" t="s">
        <v>823</v>
      </c>
      <c r="T13399">
        <v>37</v>
      </c>
      <c r="U13399" s="26" t="str">
        <f>HYPERLINK("https://ictv.global/ictv/proposals/2021.019M.R.Nyamiviridae_3nsp.zip","2021.019M.R.Nyamiviridae_3nsp.zip")</f>
        <v>2021.019M.R.Nyamiviridae_3nsp.zip</v>
      </c>
    </row>
    <row r="13400" spans="1:21">
      <c r="A13400">
        <v>13399</v>
      </c>
      <c r="B13400" s="27" t="s">
        <v>1124</v>
      </c>
      <c r="D13400" s="27" t="s">
        <v>1859</v>
      </c>
      <c r="F13400" s="27" t="s">
        <v>938</v>
      </c>
      <c r="G13400" s="27" t="s">
        <v>939</v>
      </c>
      <c r="H13400" s="27" t="s">
        <v>945</v>
      </c>
      <c r="J13400" s="27" t="s">
        <v>238</v>
      </c>
      <c r="L13400" s="27" t="s">
        <v>495</v>
      </c>
      <c r="N13400" s="27" t="s">
        <v>952</v>
      </c>
      <c r="P13400" s="27" t="s">
        <v>9432</v>
      </c>
      <c r="Q13400" s="26" t="str">
        <f>HYPERLINK("https://ictv.global/taxonomy/taxondetails?taxnode_id=202506252&amp;ictv_id=ICTV20186252","ICTV20186252")</f>
        <v>ICTV20186252</v>
      </c>
      <c r="R13400" t="s">
        <v>580</v>
      </c>
      <c r="S13400" t="s">
        <v>824</v>
      </c>
      <c r="T13400">
        <v>37</v>
      </c>
      <c r="U13400" s="26" t="str">
        <f>HYPERLINK("https://ictv.global/ictv/proposals/2021.020M.R.Nyamiviridae_sprename.zip","2021.020M.R.Nyamiviridae_sprename.zip")</f>
        <v>2021.020M.R.Nyamiviridae_sprename.zip</v>
      </c>
    </row>
    <row r="13401" spans="1:21">
      <c r="A13401">
        <v>13400</v>
      </c>
      <c r="B13401" s="27" t="s">
        <v>1124</v>
      </c>
      <c r="D13401" s="27" t="s">
        <v>1859</v>
      </c>
      <c r="F13401" s="27" t="s">
        <v>938</v>
      </c>
      <c r="G13401" s="27" t="s">
        <v>939</v>
      </c>
      <c r="H13401" s="27" t="s">
        <v>945</v>
      </c>
      <c r="J13401" s="27" t="s">
        <v>238</v>
      </c>
      <c r="L13401" s="27" t="s">
        <v>495</v>
      </c>
      <c r="N13401" s="27" t="s">
        <v>952</v>
      </c>
      <c r="P13401" s="27" t="s">
        <v>9433</v>
      </c>
      <c r="Q13401" s="26" t="str">
        <f>HYPERLINK("https://ictv.global/taxonomy/taxondetails?taxnode_id=202514219&amp;ictv_id=ICTV202214219","ICTV202214219")</f>
        <v>ICTV202214219</v>
      </c>
      <c r="R13401" t="s">
        <v>580</v>
      </c>
      <c r="S13401" t="s">
        <v>823</v>
      </c>
      <c r="T13401">
        <v>38</v>
      </c>
      <c r="U13401" s="26" t="str">
        <f>HYPERLINK("https://ictv.global/ictv/proposals/2022.016M.Nyamiviridae_2nsp.zip","2022.016M.Nyamiviridae_2nsp.zip")</f>
        <v>2022.016M.Nyamiviridae_2nsp.zip</v>
      </c>
    </row>
    <row r="13402" spans="1:21">
      <c r="A13402">
        <v>13401</v>
      </c>
      <c r="B13402" s="27" t="s">
        <v>1124</v>
      </c>
      <c r="D13402" s="27" t="s">
        <v>1859</v>
      </c>
      <c r="F13402" s="27" t="s">
        <v>938</v>
      </c>
      <c r="G13402" s="27" t="s">
        <v>939</v>
      </c>
      <c r="H13402" s="27" t="s">
        <v>945</v>
      </c>
      <c r="J13402" s="27" t="s">
        <v>238</v>
      </c>
      <c r="L13402" s="27" t="s">
        <v>495</v>
      </c>
      <c r="N13402" s="27" t="s">
        <v>637</v>
      </c>
      <c r="P13402" s="27" t="s">
        <v>9434</v>
      </c>
      <c r="Q13402" s="26" t="str">
        <f>HYPERLINK("https://ictv.global/taxonomy/taxondetails?taxnode_id=202501585&amp;ictv_id=ICTV20130533","ICTV20130533")</f>
        <v>ICTV20130533</v>
      </c>
      <c r="R13402" t="s">
        <v>580</v>
      </c>
      <c r="S13402" t="s">
        <v>824</v>
      </c>
      <c r="T13402">
        <v>37</v>
      </c>
      <c r="U13402" s="26" t="str">
        <f>HYPERLINK("https://ictv.global/ictv/proposals/2021.020M.R.Nyamiviridae_sprename.zip","2021.020M.R.Nyamiviridae_sprename.zip")</f>
        <v>2021.020M.R.Nyamiviridae_sprename.zip</v>
      </c>
    </row>
    <row r="13403" spans="1:21">
      <c r="A13403">
        <v>13402</v>
      </c>
      <c r="B13403" s="27" t="s">
        <v>1124</v>
      </c>
      <c r="D13403" s="27" t="s">
        <v>1859</v>
      </c>
      <c r="F13403" s="27" t="s">
        <v>938</v>
      </c>
      <c r="G13403" s="27" t="s">
        <v>939</v>
      </c>
      <c r="H13403" s="27" t="s">
        <v>945</v>
      </c>
      <c r="J13403" s="27" t="s">
        <v>238</v>
      </c>
      <c r="L13403" s="27" t="s">
        <v>495</v>
      </c>
      <c r="N13403" s="27" t="s">
        <v>953</v>
      </c>
      <c r="P13403" s="27" t="s">
        <v>9435</v>
      </c>
      <c r="Q13403" s="26" t="str">
        <f>HYPERLINK("https://ictv.global/taxonomy/taxondetails?taxnode_id=202506254&amp;ictv_id=ICTV20186254","ICTV20186254")</f>
        <v>ICTV20186254</v>
      </c>
      <c r="R13403" t="s">
        <v>580</v>
      </c>
      <c r="S13403" t="s">
        <v>824</v>
      </c>
      <c r="T13403">
        <v>37</v>
      </c>
      <c r="U13403" s="26" t="str">
        <f>HYPERLINK("https://ictv.global/ictv/proposals/2021.020M.R.Nyamiviridae_sprename.zip","2021.020M.R.Nyamiviridae_sprename.zip")</f>
        <v>2021.020M.R.Nyamiviridae_sprename.zip</v>
      </c>
    </row>
    <row r="13404" spans="1:21">
      <c r="A13404">
        <v>13403</v>
      </c>
      <c r="B13404" s="27" t="s">
        <v>1124</v>
      </c>
      <c r="D13404" s="27" t="s">
        <v>1859</v>
      </c>
      <c r="F13404" s="27" t="s">
        <v>938</v>
      </c>
      <c r="G13404" s="27" t="s">
        <v>939</v>
      </c>
      <c r="H13404" s="27" t="s">
        <v>945</v>
      </c>
      <c r="J13404" s="27" t="s">
        <v>238</v>
      </c>
      <c r="L13404" s="27" t="s">
        <v>495</v>
      </c>
      <c r="N13404" s="27" t="s">
        <v>953</v>
      </c>
      <c r="P13404" s="27" t="s">
        <v>16786</v>
      </c>
      <c r="Q13404" s="26" t="str">
        <f>HYPERLINK("https://ictv.global/taxonomy/taxondetails?taxnode_id=202519050&amp;ictv_id=ICTV202319050","ICTV202319050")</f>
        <v>ICTV202319050</v>
      </c>
      <c r="R13404" t="s">
        <v>580</v>
      </c>
      <c r="S13404" t="s">
        <v>823</v>
      </c>
      <c r="T13404">
        <v>39</v>
      </c>
      <c r="U13404" s="26" t="str">
        <f>HYPERLINK("https://ictv.global/ictv/proposals/2023.029M.Nyamiviridae_7nsp.zip","2023.029M.Nyamiviridae_7nsp.zip")</f>
        <v>2023.029M.Nyamiviridae_7nsp.zip</v>
      </c>
    </row>
    <row r="13405" spans="1:21">
      <c r="A13405">
        <v>13404</v>
      </c>
      <c r="B13405" s="27" t="s">
        <v>1124</v>
      </c>
      <c r="D13405" s="27" t="s">
        <v>1859</v>
      </c>
      <c r="F13405" s="27" t="s">
        <v>938</v>
      </c>
      <c r="G13405" s="27" t="s">
        <v>939</v>
      </c>
      <c r="H13405" s="27" t="s">
        <v>945</v>
      </c>
      <c r="J13405" s="27" t="s">
        <v>238</v>
      </c>
      <c r="L13405" s="27" t="s">
        <v>342</v>
      </c>
      <c r="M13405" s="27" t="s">
        <v>1128</v>
      </c>
      <c r="N13405" s="27" t="s">
        <v>1129</v>
      </c>
      <c r="P13405" s="27" t="s">
        <v>16787</v>
      </c>
      <c r="Q13405" s="26" t="str">
        <f>HYPERLINK("https://ictv.global/taxonomy/taxondetails?taxnode_id=202518318&amp;ictv_id=ICTV202318318","ICTV202318318")</f>
        <v>ICTV202318318</v>
      </c>
      <c r="R13405" t="s">
        <v>580</v>
      </c>
      <c r="S13405" t="s">
        <v>823</v>
      </c>
      <c r="T13405">
        <v>39</v>
      </c>
      <c r="U13405" s="26" t="str">
        <f>HYPERLINK("https://ictv.global/ictv/proposals/2023.018M.Paramyxoviridae_reorg.zip","2023.018M.Paramyxoviridae_reorg.zip")</f>
        <v>2023.018M.Paramyxoviridae_reorg.zip</v>
      </c>
    </row>
    <row r="13406" spans="1:21">
      <c r="A13406">
        <v>13405</v>
      </c>
      <c r="B13406" s="27" t="s">
        <v>1124</v>
      </c>
      <c r="D13406" s="27" t="s">
        <v>1859</v>
      </c>
      <c r="F13406" s="27" t="s">
        <v>938</v>
      </c>
      <c r="G13406" s="27" t="s">
        <v>939</v>
      </c>
      <c r="H13406" s="27" t="s">
        <v>945</v>
      </c>
      <c r="J13406" s="27" t="s">
        <v>238</v>
      </c>
      <c r="L13406" s="27" t="s">
        <v>342</v>
      </c>
      <c r="M13406" s="27" t="s">
        <v>1128</v>
      </c>
      <c r="N13406" s="27" t="s">
        <v>1129</v>
      </c>
      <c r="P13406" s="27" t="s">
        <v>16788</v>
      </c>
      <c r="Q13406" s="26" t="str">
        <f>HYPERLINK("https://ictv.global/taxonomy/taxondetails?taxnode_id=202518319&amp;ictv_id=ICTV202318319","ICTV202318319")</f>
        <v>ICTV202318319</v>
      </c>
      <c r="R13406" t="s">
        <v>580</v>
      </c>
      <c r="S13406" t="s">
        <v>823</v>
      </c>
      <c r="T13406">
        <v>39</v>
      </c>
      <c r="U13406" s="26" t="str">
        <f>HYPERLINK("https://ictv.global/ictv/proposals/2023.018M.Paramyxoviridae_reorg.zip","2023.018M.Paramyxoviridae_reorg.zip")</f>
        <v>2023.018M.Paramyxoviridae_reorg.zip</v>
      </c>
    </row>
    <row r="13407" spans="1:21">
      <c r="A13407">
        <v>13406</v>
      </c>
      <c r="B13407" s="27" t="s">
        <v>1124</v>
      </c>
      <c r="D13407" s="27" t="s">
        <v>1859</v>
      </c>
      <c r="F13407" s="27" t="s">
        <v>938</v>
      </c>
      <c r="G13407" s="27" t="s">
        <v>939</v>
      </c>
      <c r="H13407" s="27" t="s">
        <v>945</v>
      </c>
      <c r="J13407" s="27" t="s">
        <v>238</v>
      </c>
      <c r="L13407" s="27" t="s">
        <v>342</v>
      </c>
      <c r="M13407" s="27" t="s">
        <v>1128</v>
      </c>
      <c r="N13407" s="27" t="s">
        <v>1129</v>
      </c>
      <c r="P13407" s="27" t="s">
        <v>9436</v>
      </c>
      <c r="Q13407" s="26" t="str">
        <f>HYPERLINK("https://ictv.global/taxonomy/taxondetails?taxnode_id=202501598&amp;ictv_id=ICTV19910248","ICTV19910248")</f>
        <v>ICTV19910248</v>
      </c>
      <c r="R13407" t="s">
        <v>580</v>
      </c>
      <c r="S13407" t="s">
        <v>824</v>
      </c>
      <c r="T13407">
        <v>38</v>
      </c>
      <c r="U13407" s="26" t="str">
        <f t="shared" ref="U13407:U13414" si="494">HYPERLINK("https://ictv.global/ictv/proposals/2021.026M.Paramyxoviridae_sprename.zip","2021.026M.Paramyxoviridae_sprename.zip")</f>
        <v>2021.026M.Paramyxoviridae_sprename.zip</v>
      </c>
    </row>
    <row r="13408" spans="1:21">
      <c r="A13408">
        <v>13407</v>
      </c>
      <c r="B13408" s="27" t="s">
        <v>1124</v>
      </c>
      <c r="D13408" s="27" t="s">
        <v>1859</v>
      </c>
      <c r="F13408" s="27" t="s">
        <v>938</v>
      </c>
      <c r="G13408" s="27" t="s">
        <v>939</v>
      </c>
      <c r="H13408" s="27" t="s">
        <v>945</v>
      </c>
      <c r="J13408" s="27" t="s">
        <v>238</v>
      </c>
      <c r="L13408" s="27" t="s">
        <v>342</v>
      </c>
      <c r="M13408" s="27" t="s">
        <v>1128</v>
      </c>
      <c r="N13408" s="27" t="s">
        <v>1129</v>
      </c>
      <c r="P13408" s="27" t="s">
        <v>9437</v>
      </c>
      <c r="Q13408" s="26" t="str">
        <f>HYPERLINK("https://ictv.global/taxonomy/taxondetails?taxnode_id=202501600&amp;ictv_id=ICTV20151030","ICTV20151030")</f>
        <v>ICTV20151030</v>
      </c>
      <c r="R13408" t="s">
        <v>580</v>
      </c>
      <c r="S13408" t="s">
        <v>824</v>
      </c>
      <c r="T13408">
        <v>38</v>
      </c>
      <c r="U13408" s="26" t="str">
        <f t="shared" si="494"/>
        <v>2021.026M.Paramyxoviridae_sprename.zip</v>
      </c>
    </row>
    <row r="13409" spans="1:21">
      <c r="A13409">
        <v>13408</v>
      </c>
      <c r="B13409" s="27" t="s">
        <v>1124</v>
      </c>
      <c r="D13409" s="27" t="s">
        <v>1859</v>
      </c>
      <c r="F13409" s="27" t="s">
        <v>938</v>
      </c>
      <c r="G13409" s="27" t="s">
        <v>939</v>
      </c>
      <c r="H13409" s="27" t="s">
        <v>945</v>
      </c>
      <c r="J13409" s="27" t="s">
        <v>238</v>
      </c>
      <c r="L13409" s="27" t="s">
        <v>342</v>
      </c>
      <c r="M13409" s="27" t="s">
        <v>1128</v>
      </c>
      <c r="N13409" s="27" t="s">
        <v>1129</v>
      </c>
      <c r="P13409" s="27" t="s">
        <v>9438</v>
      </c>
      <c r="Q13409" s="26" t="str">
        <f>HYPERLINK("https://ictv.global/taxonomy/taxondetails?taxnode_id=202501601&amp;ictv_id=ICTV20151031","ICTV20151031")</f>
        <v>ICTV20151031</v>
      </c>
      <c r="R13409" t="s">
        <v>580</v>
      </c>
      <c r="S13409" t="s">
        <v>824</v>
      </c>
      <c r="T13409">
        <v>38</v>
      </c>
      <c r="U13409" s="26" t="str">
        <f t="shared" si="494"/>
        <v>2021.026M.Paramyxoviridae_sprename.zip</v>
      </c>
    </row>
    <row r="13410" spans="1:21">
      <c r="A13410">
        <v>13409</v>
      </c>
      <c r="B13410" s="27" t="s">
        <v>1124</v>
      </c>
      <c r="D13410" s="27" t="s">
        <v>1859</v>
      </c>
      <c r="F13410" s="27" t="s">
        <v>938</v>
      </c>
      <c r="G13410" s="27" t="s">
        <v>939</v>
      </c>
      <c r="H13410" s="27" t="s">
        <v>945</v>
      </c>
      <c r="J13410" s="27" t="s">
        <v>238</v>
      </c>
      <c r="L13410" s="27" t="s">
        <v>342</v>
      </c>
      <c r="M13410" s="27" t="s">
        <v>1128</v>
      </c>
      <c r="N13410" s="27" t="s">
        <v>1129</v>
      </c>
      <c r="P13410" s="27" t="s">
        <v>9439</v>
      </c>
      <c r="Q13410" s="26" t="str">
        <f>HYPERLINK("https://ictv.global/taxonomy/taxondetails?taxnode_id=202501596&amp;ictv_id=ICTV19910246","ICTV19910246")</f>
        <v>ICTV19910246</v>
      </c>
      <c r="R13410" t="s">
        <v>580</v>
      </c>
      <c r="S13410" t="s">
        <v>824</v>
      </c>
      <c r="T13410">
        <v>38</v>
      </c>
      <c r="U13410" s="26" t="str">
        <f t="shared" si="494"/>
        <v>2021.026M.Paramyxoviridae_sprename.zip</v>
      </c>
    </row>
    <row r="13411" spans="1:21">
      <c r="A13411">
        <v>13410</v>
      </c>
      <c r="B13411" s="27" t="s">
        <v>1124</v>
      </c>
      <c r="D13411" s="27" t="s">
        <v>1859</v>
      </c>
      <c r="F13411" s="27" t="s">
        <v>938</v>
      </c>
      <c r="G13411" s="27" t="s">
        <v>939</v>
      </c>
      <c r="H13411" s="27" t="s">
        <v>945</v>
      </c>
      <c r="J13411" s="27" t="s">
        <v>238</v>
      </c>
      <c r="L13411" s="27" t="s">
        <v>342</v>
      </c>
      <c r="M13411" s="27" t="s">
        <v>1128</v>
      </c>
      <c r="N13411" s="27" t="s">
        <v>1129</v>
      </c>
      <c r="P13411" s="27" t="s">
        <v>9440</v>
      </c>
      <c r="Q13411" s="26" t="str">
        <f>HYPERLINK("https://ictv.global/taxonomy/taxondetails?taxnode_id=202505574&amp;ictv_id=ICTV20175574","ICTV20175574")</f>
        <v>ICTV20175574</v>
      </c>
      <c r="R13411" t="s">
        <v>580</v>
      </c>
      <c r="S13411" t="s">
        <v>824</v>
      </c>
      <c r="T13411">
        <v>38</v>
      </c>
      <c r="U13411" s="26" t="str">
        <f t="shared" si="494"/>
        <v>2021.026M.Paramyxoviridae_sprename.zip</v>
      </c>
    </row>
    <row r="13412" spans="1:21">
      <c r="A13412">
        <v>13411</v>
      </c>
      <c r="B13412" s="27" t="s">
        <v>1124</v>
      </c>
      <c r="D13412" s="27" t="s">
        <v>1859</v>
      </c>
      <c r="F13412" s="27" t="s">
        <v>938</v>
      </c>
      <c r="G13412" s="27" t="s">
        <v>939</v>
      </c>
      <c r="H13412" s="27" t="s">
        <v>945</v>
      </c>
      <c r="J13412" s="27" t="s">
        <v>238</v>
      </c>
      <c r="L13412" s="27" t="s">
        <v>342</v>
      </c>
      <c r="M13412" s="27" t="s">
        <v>1128</v>
      </c>
      <c r="N13412" s="27" t="s">
        <v>1129</v>
      </c>
      <c r="P13412" s="27" t="s">
        <v>9441</v>
      </c>
      <c r="Q13412" s="26" t="str">
        <f>HYPERLINK("https://ictv.global/taxonomy/taxondetails?taxnode_id=202506448&amp;ictv_id=ICTV201856448","ICTV201856448")</f>
        <v>ICTV201856448</v>
      </c>
      <c r="R13412" t="s">
        <v>580</v>
      </c>
      <c r="S13412" t="s">
        <v>824</v>
      </c>
      <c r="T13412">
        <v>38</v>
      </c>
      <c r="U13412" s="26" t="str">
        <f t="shared" si="494"/>
        <v>2021.026M.Paramyxoviridae_sprename.zip</v>
      </c>
    </row>
    <row r="13413" spans="1:21">
      <c r="A13413">
        <v>13412</v>
      </c>
      <c r="B13413" s="27" t="s">
        <v>1124</v>
      </c>
      <c r="D13413" s="27" t="s">
        <v>1859</v>
      </c>
      <c r="F13413" s="27" t="s">
        <v>938</v>
      </c>
      <c r="G13413" s="27" t="s">
        <v>939</v>
      </c>
      <c r="H13413" s="27" t="s">
        <v>945</v>
      </c>
      <c r="J13413" s="27" t="s">
        <v>238</v>
      </c>
      <c r="L13413" s="27" t="s">
        <v>342</v>
      </c>
      <c r="M13413" s="27" t="s">
        <v>1128</v>
      </c>
      <c r="N13413" s="27" t="s">
        <v>1129</v>
      </c>
      <c r="P13413" s="27" t="s">
        <v>9442</v>
      </c>
      <c r="Q13413" s="26" t="str">
        <f>HYPERLINK("https://ictv.global/taxonomy/taxondetails?taxnode_id=202501595&amp;ictv_id=ICTV19910245","ICTV19910245")</f>
        <v>ICTV19910245</v>
      </c>
      <c r="R13413" t="s">
        <v>580</v>
      </c>
      <c r="S13413" t="s">
        <v>824</v>
      </c>
      <c r="T13413">
        <v>38</v>
      </c>
      <c r="U13413" s="26" t="str">
        <f t="shared" si="494"/>
        <v>2021.026M.Paramyxoviridae_sprename.zip</v>
      </c>
    </row>
    <row r="13414" spans="1:21">
      <c r="A13414">
        <v>13413</v>
      </c>
      <c r="B13414" s="27" t="s">
        <v>1124</v>
      </c>
      <c r="D13414" s="27" t="s">
        <v>1859</v>
      </c>
      <c r="F13414" s="27" t="s">
        <v>938</v>
      </c>
      <c r="G13414" s="27" t="s">
        <v>939</v>
      </c>
      <c r="H13414" s="27" t="s">
        <v>945</v>
      </c>
      <c r="J13414" s="27" t="s">
        <v>238</v>
      </c>
      <c r="L13414" s="27" t="s">
        <v>342</v>
      </c>
      <c r="M13414" s="27" t="s">
        <v>1128</v>
      </c>
      <c r="N13414" s="27" t="s">
        <v>1129</v>
      </c>
      <c r="P13414" s="27" t="s">
        <v>9443</v>
      </c>
      <c r="Q13414" s="26" t="str">
        <f>HYPERLINK("https://ictv.global/taxonomy/taxondetails?taxnode_id=202505575&amp;ictv_id=ICTV20175575","ICTV20175575")</f>
        <v>ICTV20175575</v>
      </c>
      <c r="R13414" t="s">
        <v>580</v>
      </c>
      <c r="S13414" t="s">
        <v>824</v>
      </c>
      <c r="T13414">
        <v>38</v>
      </c>
      <c r="U13414" s="26" t="str">
        <f t="shared" si="494"/>
        <v>2021.026M.Paramyxoviridae_sprename.zip</v>
      </c>
    </row>
    <row r="13415" spans="1:21">
      <c r="A13415">
        <v>13414</v>
      </c>
      <c r="B13415" s="27" t="s">
        <v>1124</v>
      </c>
      <c r="D13415" s="27" t="s">
        <v>1859</v>
      </c>
      <c r="F13415" s="27" t="s">
        <v>938</v>
      </c>
      <c r="G13415" s="27" t="s">
        <v>939</v>
      </c>
      <c r="H13415" s="27" t="s">
        <v>945</v>
      </c>
      <c r="J13415" s="27" t="s">
        <v>238</v>
      </c>
      <c r="L13415" s="27" t="s">
        <v>342</v>
      </c>
      <c r="M13415" s="27" t="s">
        <v>1128</v>
      </c>
      <c r="N13415" s="27" t="s">
        <v>1129</v>
      </c>
      <c r="P13415" s="27" t="s">
        <v>16789</v>
      </c>
      <c r="Q13415" s="26" t="str">
        <f>HYPERLINK("https://ictv.global/taxonomy/taxondetails?taxnode_id=202518317&amp;ictv_id=ICTV202318317","ICTV202318317")</f>
        <v>ICTV202318317</v>
      </c>
      <c r="R13415" t="s">
        <v>580</v>
      </c>
      <c r="S13415" t="s">
        <v>823</v>
      </c>
      <c r="T13415">
        <v>39</v>
      </c>
      <c r="U13415" s="26" t="str">
        <f>HYPERLINK("https://ictv.global/ictv/proposals/2023.018M.Paramyxoviridae_reorg.zip","2023.018M.Paramyxoviridae_reorg.zip")</f>
        <v>2023.018M.Paramyxoviridae_reorg.zip</v>
      </c>
    </row>
    <row r="13416" spans="1:21">
      <c r="A13416">
        <v>13415</v>
      </c>
      <c r="B13416" s="27" t="s">
        <v>1124</v>
      </c>
      <c r="D13416" s="27" t="s">
        <v>1859</v>
      </c>
      <c r="F13416" s="27" t="s">
        <v>938</v>
      </c>
      <c r="G13416" s="27" t="s">
        <v>939</v>
      </c>
      <c r="H13416" s="27" t="s">
        <v>945</v>
      </c>
      <c r="J13416" s="27" t="s">
        <v>238</v>
      </c>
      <c r="L13416" s="27" t="s">
        <v>342</v>
      </c>
      <c r="M13416" s="27" t="s">
        <v>1128</v>
      </c>
      <c r="N13416" s="27" t="s">
        <v>1129</v>
      </c>
      <c r="P13416" s="27" t="s">
        <v>9444</v>
      </c>
      <c r="Q13416" s="26" t="str">
        <f>HYPERLINK("https://ictv.global/taxonomy/taxondetails?taxnode_id=202509286&amp;ictv_id=ICTV202009286","ICTV202009286")</f>
        <v>ICTV202009286</v>
      </c>
      <c r="R13416" t="s">
        <v>580</v>
      </c>
      <c r="S13416" t="s">
        <v>824</v>
      </c>
      <c r="T13416">
        <v>38</v>
      </c>
      <c r="U13416" s="26" t="str">
        <f>HYPERLINK("https://ictv.global/ictv/proposals/2021.026M.Paramyxoviridae_sprename.zip","2021.026M.Paramyxoviridae_sprename.zip")</f>
        <v>2021.026M.Paramyxoviridae_sprename.zip</v>
      </c>
    </row>
    <row r="13417" spans="1:21">
      <c r="A13417">
        <v>13416</v>
      </c>
      <c r="B13417" s="27" t="s">
        <v>1124</v>
      </c>
      <c r="D13417" s="27" t="s">
        <v>1859</v>
      </c>
      <c r="F13417" s="27" t="s">
        <v>938</v>
      </c>
      <c r="G13417" s="27" t="s">
        <v>939</v>
      </c>
      <c r="H13417" s="27" t="s">
        <v>945</v>
      </c>
      <c r="J13417" s="27" t="s">
        <v>238</v>
      </c>
      <c r="L13417" s="27" t="s">
        <v>342</v>
      </c>
      <c r="M13417" s="27" t="s">
        <v>1128</v>
      </c>
      <c r="N13417" s="27" t="s">
        <v>1129</v>
      </c>
      <c r="P13417" s="27" t="s">
        <v>9445</v>
      </c>
      <c r="Q13417" s="26" t="str">
        <f>HYPERLINK("https://ictv.global/taxonomy/taxondetails?taxnode_id=202501597&amp;ictv_id=ICTV19910247","ICTV19910247")</f>
        <v>ICTV19910247</v>
      </c>
      <c r="R13417" t="s">
        <v>580</v>
      </c>
      <c r="S13417" t="s">
        <v>824</v>
      </c>
      <c r="T13417">
        <v>38</v>
      </c>
      <c r="U13417" s="26" t="str">
        <f>HYPERLINK("https://ictv.global/ictv/proposals/2021.026M.Paramyxoviridae_sprename.zip","2021.026M.Paramyxoviridae_sprename.zip")</f>
        <v>2021.026M.Paramyxoviridae_sprename.zip</v>
      </c>
    </row>
    <row r="13418" spans="1:21">
      <c r="A13418">
        <v>13417</v>
      </c>
      <c r="B13418" s="27" t="s">
        <v>1124</v>
      </c>
      <c r="D13418" s="27" t="s">
        <v>1859</v>
      </c>
      <c r="F13418" s="27" t="s">
        <v>938</v>
      </c>
      <c r="G13418" s="27" t="s">
        <v>939</v>
      </c>
      <c r="H13418" s="27" t="s">
        <v>945</v>
      </c>
      <c r="J13418" s="27" t="s">
        <v>238</v>
      </c>
      <c r="L13418" s="27" t="s">
        <v>342</v>
      </c>
      <c r="M13418" s="27" t="s">
        <v>1128</v>
      </c>
      <c r="N13418" s="27" t="s">
        <v>1129</v>
      </c>
      <c r="P13418" s="27" t="s">
        <v>9446</v>
      </c>
      <c r="Q13418" s="26" t="str">
        <f>HYPERLINK("https://ictv.global/taxonomy/taxondetails?taxnode_id=202501592&amp;ictv_id=ICTV19760295","ICTV19760295")</f>
        <v>ICTV19760295</v>
      </c>
      <c r="R13418" t="s">
        <v>580</v>
      </c>
      <c r="S13418" t="s">
        <v>824</v>
      </c>
      <c r="T13418">
        <v>38</v>
      </c>
      <c r="U13418" s="26" t="str">
        <f>HYPERLINK("https://ictv.global/ictv/proposals/2021.026M.Paramyxoviridae_sprename.zip","2021.026M.Paramyxoviridae_sprename.zip")</f>
        <v>2021.026M.Paramyxoviridae_sprename.zip</v>
      </c>
    </row>
    <row r="13419" spans="1:21">
      <c r="A13419">
        <v>13418</v>
      </c>
      <c r="B13419" s="27" t="s">
        <v>1124</v>
      </c>
      <c r="D13419" s="27" t="s">
        <v>1859</v>
      </c>
      <c r="F13419" s="27" t="s">
        <v>938</v>
      </c>
      <c r="G13419" s="27" t="s">
        <v>939</v>
      </c>
      <c r="H13419" s="27" t="s">
        <v>945</v>
      </c>
      <c r="J13419" s="27" t="s">
        <v>238</v>
      </c>
      <c r="L13419" s="27" t="s">
        <v>342</v>
      </c>
      <c r="M13419" s="27" t="s">
        <v>1128</v>
      </c>
      <c r="N13419" s="27" t="s">
        <v>1130</v>
      </c>
      <c r="P13419" s="27" t="s">
        <v>16790</v>
      </c>
      <c r="Q13419" s="26" t="str">
        <f>HYPERLINK("https://ictv.global/taxonomy/taxondetails?taxnode_id=202518315&amp;ictv_id=ICTV202318315","ICTV202318315")</f>
        <v>ICTV202318315</v>
      </c>
      <c r="R13419" t="s">
        <v>580</v>
      </c>
      <c r="S13419" t="s">
        <v>823</v>
      </c>
      <c r="T13419">
        <v>39</v>
      </c>
      <c r="U13419" s="26" t="str">
        <f>HYPERLINK("https://ictv.global/ictv/proposals/2023.018M.Paramyxoviridae_reorg.zip","2023.018M.Paramyxoviridae_reorg.zip")</f>
        <v>2023.018M.Paramyxoviridae_reorg.zip</v>
      </c>
    </row>
    <row r="13420" spans="1:21">
      <c r="A13420">
        <v>13419</v>
      </c>
      <c r="B13420" s="27" t="s">
        <v>1124</v>
      </c>
      <c r="D13420" s="27" t="s">
        <v>1859</v>
      </c>
      <c r="F13420" s="27" t="s">
        <v>938</v>
      </c>
      <c r="G13420" s="27" t="s">
        <v>939</v>
      </c>
      <c r="H13420" s="27" t="s">
        <v>945</v>
      </c>
      <c r="J13420" s="27" t="s">
        <v>238</v>
      </c>
      <c r="L13420" s="27" t="s">
        <v>342</v>
      </c>
      <c r="M13420" s="27" t="s">
        <v>1128</v>
      </c>
      <c r="N13420" s="27" t="s">
        <v>1130</v>
      </c>
      <c r="P13420" s="27" t="s">
        <v>9447</v>
      </c>
      <c r="Q13420" s="26" t="str">
        <f>HYPERLINK("https://ictv.global/taxonomy/taxondetails?taxnode_id=202505577&amp;ictv_id=ICTV20175577","ICTV20175577")</f>
        <v>ICTV20175577</v>
      </c>
      <c r="R13420" t="s">
        <v>580</v>
      </c>
      <c r="S13420" t="s">
        <v>824</v>
      </c>
      <c r="T13420">
        <v>38</v>
      </c>
      <c r="U13420" s="26" t="str">
        <f t="shared" ref="U13420:U13427" si="495">HYPERLINK("https://ictv.global/ictv/proposals/2021.026M.Paramyxoviridae_sprename.zip","2021.026M.Paramyxoviridae_sprename.zip")</f>
        <v>2021.026M.Paramyxoviridae_sprename.zip</v>
      </c>
    </row>
    <row r="13421" spans="1:21">
      <c r="A13421">
        <v>13420</v>
      </c>
      <c r="B13421" s="27" t="s">
        <v>1124</v>
      </c>
      <c r="D13421" s="27" t="s">
        <v>1859</v>
      </c>
      <c r="F13421" s="27" t="s">
        <v>938</v>
      </c>
      <c r="G13421" s="27" t="s">
        <v>939</v>
      </c>
      <c r="H13421" s="27" t="s">
        <v>945</v>
      </c>
      <c r="J13421" s="27" t="s">
        <v>238</v>
      </c>
      <c r="L13421" s="27" t="s">
        <v>342</v>
      </c>
      <c r="M13421" s="27" t="s">
        <v>1128</v>
      </c>
      <c r="N13421" s="27" t="s">
        <v>1130</v>
      </c>
      <c r="P13421" s="27" t="s">
        <v>9448</v>
      </c>
      <c r="Q13421" s="26" t="str">
        <f>HYPERLINK("https://ictv.global/taxonomy/taxondetails?taxnode_id=202501602&amp;ictv_id=ICTV20151032","ICTV20151032")</f>
        <v>ICTV20151032</v>
      </c>
      <c r="R13421" t="s">
        <v>580</v>
      </c>
      <c r="S13421" t="s">
        <v>824</v>
      </c>
      <c r="T13421">
        <v>38</v>
      </c>
      <c r="U13421" s="26" t="str">
        <f t="shared" si="495"/>
        <v>2021.026M.Paramyxoviridae_sprename.zip</v>
      </c>
    </row>
    <row r="13422" spans="1:21">
      <c r="A13422">
        <v>13421</v>
      </c>
      <c r="B13422" s="27" t="s">
        <v>1124</v>
      </c>
      <c r="D13422" s="27" t="s">
        <v>1859</v>
      </c>
      <c r="F13422" s="27" t="s">
        <v>938</v>
      </c>
      <c r="G13422" s="27" t="s">
        <v>939</v>
      </c>
      <c r="H13422" s="27" t="s">
        <v>945</v>
      </c>
      <c r="J13422" s="27" t="s">
        <v>238</v>
      </c>
      <c r="L13422" s="27" t="s">
        <v>342</v>
      </c>
      <c r="M13422" s="27" t="s">
        <v>1128</v>
      </c>
      <c r="N13422" s="27" t="s">
        <v>1130</v>
      </c>
      <c r="P13422" s="27" t="s">
        <v>9449</v>
      </c>
      <c r="Q13422" s="26" t="str">
        <f>HYPERLINK("https://ictv.global/taxonomy/taxondetails?taxnode_id=202501603&amp;ictv_id=ICTV20165114","ICTV20165114")</f>
        <v>ICTV20165114</v>
      </c>
      <c r="R13422" t="s">
        <v>580</v>
      </c>
      <c r="S13422" t="s">
        <v>824</v>
      </c>
      <c r="T13422">
        <v>38</v>
      </c>
      <c r="U13422" s="26" t="str">
        <f t="shared" si="495"/>
        <v>2021.026M.Paramyxoviridae_sprename.zip</v>
      </c>
    </row>
    <row r="13423" spans="1:21">
      <c r="A13423">
        <v>13422</v>
      </c>
      <c r="B13423" s="27" t="s">
        <v>1124</v>
      </c>
      <c r="D13423" s="27" t="s">
        <v>1859</v>
      </c>
      <c r="F13423" s="27" t="s">
        <v>938</v>
      </c>
      <c r="G13423" s="27" t="s">
        <v>939</v>
      </c>
      <c r="H13423" s="27" t="s">
        <v>945</v>
      </c>
      <c r="J13423" s="27" t="s">
        <v>238</v>
      </c>
      <c r="L13423" s="27" t="s">
        <v>342</v>
      </c>
      <c r="M13423" s="27" t="s">
        <v>1128</v>
      </c>
      <c r="N13423" s="27" t="s">
        <v>1130</v>
      </c>
      <c r="P13423" s="27" t="s">
        <v>9450</v>
      </c>
      <c r="Q13423" s="26" t="str">
        <f>HYPERLINK("https://ictv.global/taxonomy/taxondetails?taxnode_id=202501591&amp;ictv_id=ICTV19710228","ICTV19710228")</f>
        <v>ICTV19710228</v>
      </c>
      <c r="R13423" t="s">
        <v>580</v>
      </c>
      <c r="S13423" t="s">
        <v>824</v>
      </c>
      <c r="T13423">
        <v>38</v>
      </c>
      <c r="U13423" s="26" t="str">
        <f t="shared" si="495"/>
        <v>2021.026M.Paramyxoviridae_sprename.zip</v>
      </c>
    </row>
    <row r="13424" spans="1:21">
      <c r="A13424">
        <v>13423</v>
      </c>
      <c r="B13424" s="27" t="s">
        <v>1124</v>
      </c>
      <c r="D13424" s="27" t="s">
        <v>1859</v>
      </c>
      <c r="F13424" s="27" t="s">
        <v>938</v>
      </c>
      <c r="G13424" s="27" t="s">
        <v>939</v>
      </c>
      <c r="H13424" s="27" t="s">
        <v>945</v>
      </c>
      <c r="J13424" s="27" t="s">
        <v>238</v>
      </c>
      <c r="L13424" s="27" t="s">
        <v>342</v>
      </c>
      <c r="M13424" s="27" t="s">
        <v>1128</v>
      </c>
      <c r="N13424" s="27" t="s">
        <v>1130</v>
      </c>
      <c r="P13424" s="27" t="s">
        <v>9451</v>
      </c>
      <c r="Q13424" s="26" t="str">
        <f>HYPERLINK("https://ictv.global/taxonomy/taxondetails?taxnode_id=202505578&amp;ictv_id=ICTV20175578","ICTV20175578")</f>
        <v>ICTV20175578</v>
      </c>
      <c r="R13424" t="s">
        <v>580</v>
      </c>
      <c r="S13424" t="s">
        <v>824</v>
      </c>
      <c r="T13424">
        <v>38</v>
      </c>
      <c r="U13424" s="26" t="str">
        <f t="shared" si="495"/>
        <v>2021.026M.Paramyxoviridae_sprename.zip</v>
      </c>
    </row>
    <row r="13425" spans="1:21">
      <c r="A13425">
        <v>13424</v>
      </c>
      <c r="B13425" s="27" t="s">
        <v>1124</v>
      </c>
      <c r="D13425" s="27" t="s">
        <v>1859</v>
      </c>
      <c r="F13425" s="27" t="s">
        <v>938</v>
      </c>
      <c r="G13425" s="27" t="s">
        <v>939</v>
      </c>
      <c r="H13425" s="27" t="s">
        <v>945</v>
      </c>
      <c r="J13425" s="27" t="s">
        <v>238</v>
      </c>
      <c r="L13425" s="27" t="s">
        <v>342</v>
      </c>
      <c r="M13425" s="27" t="s">
        <v>1128</v>
      </c>
      <c r="N13425" s="27" t="s">
        <v>1130</v>
      </c>
      <c r="P13425" s="27" t="s">
        <v>9452</v>
      </c>
      <c r="Q13425" s="26" t="str">
        <f>HYPERLINK("https://ictv.global/taxonomy/taxondetails?taxnode_id=202507416&amp;ictv_id=ICTV201907416","ICTV201907416")</f>
        <v>ICTV201907416</v>
      </c>
      <c r="R13425" t="s">
        <v>580</v>
      </c>
      <c r="S13425" t="s">
        <v>824</v>
      </c>
      <c r="T13425">
        <v>38</v>
      </c>
      <c r="U13425" s="26" t="str">
        <f t="shared" si="495"/>
        <v>2021.026M.Paramyxoviridae_sprename.zip</v>
      </c>
    </row>
    <row r="13426" spans="1:21">
      <c r="A13426">
        <v>13425</v>
      </c>
      <c r="B13426" s="27" t="s">
        <v>1124</v>
      </c>
      <c r="D13426" s="27" t="s">
        <v>1859</v>
      </c>
      <c r="F13426" s="27" t="s">
        <v>938</v>
      </c>
      <c r="G13426" s="27" t="s">
        <v>939</v>
      </c>
      <c r="H13426" s="27" t="s">
        <v>945</v>
      </c>
      <c r="J13426" s="27" t="s">
        <v>238</v>
      </c>
      <c r="L13426" s="27" t="s">
        <v>342</v>
      </c>
      <c r="M13426" s="27" t="s">
        <v>1128</v>
      </c>
      <c r="N13426" s="27" t="s">
        <v>1130</v>
      </c>
      <c r="P13426" s="27" t="s">
        <v>9453</v>
      </c>
      <c r="Q13426" s="26" t="str">
        <f>HYPERLINK("https://ictv.global/taxonomy/taxondetails?taxnode_id=202501599&amp;ictv_id=ICTV19910249","ICTV19910249")</f>
        <v>ICTV19910249</v>
      </c>
      <c r="R13426" t="s">
        <v>580</v>
      </c>
      <c r="S13426" t="s">
        <v>824</v>
      </c>
      <c r="T13426">
        <v>38</v>
      </c>
      <c r="U13426" s="26" t="str">
        <f t="shared" si="495"/>
        <v>2021.026M.Paramyxoviridae_sprename.zip</v>
      </c>
    </row>
    <row r="13427" spans="1:21">
      <c r="A13427">
        <v>13426</v>
      </c>
      <c r="B13427" s="27" t="s">
        <v>1124</v>
      </c>
      <c r="D13427" s="27" t="s">
        <v>1859</v>
      </c>
      <c r="F13427" s="27" t="s">
        <v>938</v>
      </c>
      <c r="G13427" s="27" t="s">
        <v>939</v>
      </c>
      <c r="H13427" s="27" t="s">
        <v>945</v>
      </c>
      <c r="J13427" s="27" t="s">
        <v>238</v>
      </c>
      <c r="L13427" s="27" t="s">
        <v>342</v>
      </c>
      <c r="M13427" s="27" t="s">
        <v>1128</v>
      </c>
      <c r="N13427" s="27" t="s">
        <v>1130</v>
      </c>
      <c r="P13427" s="27" t="s">
        <v>9454</v>
      </c>
      <c r="Q13427" s="26" t="str">
        <f>HYPERLINK("https://ictv.global/taxonomy/taxondetails?taxnode_id=202505579&amp;ictv_id=ICTV20175579","ICTV20175579")</f>
        <v>ICTV20175579</v>
      </c>
      <c r="R13427" t="s">
        <v>580</v>
      </c>
      <c r="S13427" t="s">
        <v>824</v>
      </c>
      <c r="T13427">
        <v>38</v>
      </c>
      <c r="U13427" s="26" t="str">
        <f t="shared" si="495"/>
        <v>2021.026M.Paramyxoviridae_sprename.zip</v>
      </c>
    </row>
    <row r="13428" spans="1:21">
      <c r="A13428">
        <v>13427</v>
      </c>
      <c r="B13428" s="27" t="s">
        <v>1124</v>
      </c>
      <c r="D13428" s="27" t="s">
        <v>1859</v>
      </c>
      <c r="F13428" s="27" t="s">
        <v>938</v>
      </c>
      <c r="G13428" s="27" t="s">
        <v>939</v>
      </c>
      <c r="H13428" s="27" t="s">
        <v>945</v>
      </c>
      <c r="J13428" s="27" t="s">
        <v>238</v>
      </c>
      <c r="L13428" s="27" t="s">
        <v>342</v>
      </c>
      <c r="M13428" s="27" t="s">
        <v>1128</v>
      </c>
      <c r="N13428" s="27" t="s">
        <v>1130</v>
      </c>
      <c r="P13428" s="27" t="s">
        <v>16791</v>
      </c>
      <c r="Q13428" s="26" t="str">
        <f>HYPERLINK("https://ictv.global/taxonomy/taxondetails?taxnode_id=202518314&amp;ictv_id=ICTV202318314","ICTV202318314")</f>
        <v>ICTV202318314</v>
      </c>
      <c r="R13428" t="s">
        <v>580</v>
      </c>
      <c r="S13428" t="s">
        <v>823</v>
      </c>
      <c r="T13428">
        <v>39</v>
      </c>
      <c r="U13428" s="26" t="str">
        <f>HYPERLINK("https://ictv.global/ictv/proposals/2023.018M.Paramyxoviridae_reorg.zip","2023.018M.Paramyxoviridae_reorg.zip")</f>
        <v>2023.018M.Paramyxoviridae_reorg.zip</v>
      </c>
    </row>
    <row r="13429" spans="1:21">
      <c r="A13429">
        <v>13428</v>
      </c>
      <c r="B13429" s="27" t="s">
        <v>1124</v>
      </c>
      <c r="D13429" s="27" t="s">
        <v>1859</v>
      </c>
      <c r="F13429" s="27" t="s">
        <v>938</v>
      </c>
      <c r="G13429" s="27" t="s">
        <v>939</v>
      </c>
      <c r="H13429" s="27" t="s">
        <v>945</v>
      </c>
      <c r="J13429" s="27" t="s">
        <v>238</v>
      </c>
      <c r="L13429" s="27" t="s">
        <v>342</v>
      </c>
      <c r="M13429" s="27" t="s">
        <v>1128</v>
      </c>
      <c r="N13429" s="27" t="s">
        <v>1130</v>
      </c>
      <c r="P13429" s="27" t="s">
        <v>9455</v>
      </c>
      <c r="Q13429" s="26" t="str">
        <f>HYPERLINK("https://ictv.global/taxonomy/taxondetails?taxnode_id=202505576&amp;ictv_id=ICTV20175576","ICTV20175576")</f>
        <v>ICTV20175576</v>
      </c>
      <c r="R13429" t="s">
        <v>580</v>
      </c>
      <c r="S13429" t="s">
        <v>824</v>
      </c>
      <c r="T13429">
        <v>38</v>
      </c>
      <c r="U13429" s="26" t="str">
        <f>HYPERLINK("https://ictv.global/ictv/proposals/2021.026M.Paramyxoviridae_sprename.zip","2021.026M.Paramyxoviridae_sprename.zip")</f>
        <v>2021.026M.Paramyxoviridae_sprename.zip</v>
      </c>
    </row>
    <row r="13430" spans="1:21">
      <c r="A13430">
        <v>13429</v>
      </c>
      <c r="B13430" s="27" t="s">
        <v>1124</v>
      </c>
      <c r="D13430" s="27" t="s">
        <v>1859</v>
      </c>
      <c r="F13430" s="27" t="s">
        <v>938</v>
      </c>
      <c r="G13430" s="27" t="s">
        <v>939</v>
      </c>
      <c r="H13430" s="27" t="s">
        <v>945</v>
      </c>
      <c r="J13430" s="27" t="s">
        <v>238</v>
      </c>
      <c r="L13430" s="27" t="s">
        <v>342</v>
      </c>
      <c r="M13430" s="27" t="s">
        <v>1128</v>
      </c>
      <c r="N13430" s="27" t="s">
        <v>1131</v>
      </c>
      <c r="P13430" s="27" t="s">
        <v>9456</v>
      </c>
      <c r="Q13430" s="26" t="str">
        <f>HYPERLINK("https://ictv.global/taxonomy/taxondetails?taxnode_id=202501594&amp;ictv_id=ICTV19910244","ICTV19910244")</f>
        <v>ICTV19910244</v>
      </c>
      <c r="R13430" t="s">
        <v>580</v>
      </c>
      <c r="S13430" t="s">
        <v>824</v>
      </c>
      <c r="T13430">
        <v>38</v>
      </c>
      <c r="U13430" s="26" t="str">
        <f>HYPERLINK("https://ictv.global/ictv/proposals/2021.026M.Paramyxoviridae_sprename.zip","2021.026M.Paramyxoviridae_sprename.zip")</f>
        <v>2021.026M.Paramyxoviridae_sprename.zip</v>
      </c>
    </row>
    <row r="13431" spans="1:21">
      <c r="A13431">
        <v>13430</v>
      </c>
      <c r="B13431" s="27" t="s">
        <v>1124</v>
      </c>
      <c r="D13431" s="27" t="s">
        <v>1859</v>
      </c>
      <c r="F13431" s="27" t="s">
        <v>938</v>
      </c>
      <c r="G13431" s="27" t="s">
        <v>939</v>
      </c>
      <c r="H13431" s="27" t="s">
        <v>945</v>
      </c>
      <c r="J13431" s="27" t="s">
        <v>238</v>
      </c>
      <c r="L13431" s="27" t="s">
        <v>342</v>
      </c>
      <c r="M13431" s="27" t="s">
        <v>1128</v>
      </c>
      <c r="N13431" s="27" t="s">
        <v>1131</v>
      </c>
      <c r="P13431" s="27" t="s">
        <v>16792</v>
      </c>
      <c r="Q13431" s="26" t="str">
        <f>HYPERLINK("https://ictv.global/taxonomy/taxondetails?taxnode_id=202518316&amp;ictv_id=ICTV202318316","ICTV202318316")</f>
        <v>ICTV202318316</v>
      </c>
      <c r="R13431" t="s">
        <v>580</v>
      </c>
      <c r="S13431" t="s">
        <v>823</v>
      </c>
      <c r="T13431">
        <v>39</v>
      </c>
      <c r="U13431" s="26" t="str">
        <f>HYPERLINK("https://ictv.global/ictv/proposals/2023.018M.Paramyxoviridae_reorg.zip","2023.018M.Paramyxoviridae_reorg.zip")</f>
        <v>2023.018M.Paramyxoviridae_reorg.zip</v>
      </c>
    </row>
    <row r="13432" spans="1:21">
      <c r="A13432">
        <v>13431</v>
      </c>
      <c r="B13432" s="27" t="s">
        <v>1124</v>
      </c>
      <c r="D13432" s="27" t="s">
        <v>1859</v>
      </c>
      <c r="F13432" s="27" t="s">
        <v>938</v>
      </c>
      <c r="G13432" s="27" t="s">
        <v>939</v>
      </c>
      <c r="H13432" s="27" t="s">
        <v>945</v>
      </c>
      <c r="J13432" s="27" t="s">
        <v>238</v>
      </c>
      <c r="L13432" s="27" t="s">
        <v>342</v>
      </c>
      <c r="M13432" s="27" t="s">
        <v>1128</v>
      </c>
      <c r="N13432" s="27" t="s">
        <v>1131</v>
      </c>
      <c r="P13432" s="27" t="s">
        <v>9457</v>
      </c>
      <c r="Q13432" s="26" t="str">
        <f>HYPERLINK("https://ictv.global/taxonomy/taxondetails?taxnode_id=202501593&amp;ictv_id=ICTV19910243","ICTV19910243")</f>
        <v>ICTV19910243</v>
      </c>
      <c r="R13432" t="s">
        <v>580</v>
      </c>
      <c r="S13432" t="s">
        <v>824</v>
      </c>
      <c r="T13432">
        <v>38</v>
      </c>
      <c r="U13432" s="26" t="str">
        <f>HYPERLINK("https://ictv.global/ictv/proposals/2021.026M.Paramyxoviridae_sprename.zip","2021.026M.Paramyxoviridae_sprename.zip")</f>
        <v>2021.026M.Paramyxoviridae_sprename.zip</v>
      </c>
    </row>
    <row r="13433" spans="1:21">
      <c r="A13433">
        <v>13432</v>
      </c>
      <c r="B13433" s="27" t="s">
        <v>1124</v>
      </c>
      <c r="D13433" s="27" t="s">
        <v>1859</v>
      </c>
      <c r="F13433" s="27" t="s">
        <v>938</v>
      </c>
      <c r="G13433" s="27" t="s">
        <v>939</v>
      </c>
      <c r="H13433" s="27" t="s">
        <v>945</v>
      </c>
      <c r="J13433" s="27" t="s">
        <v>238</v>
      </c>
      <c r="L13433" s="27" t="s">
        <v>342</v>
      </c>
      <c r="M13433" s="27" t="s">
        <v>16793</v>
      </c>
      <c r="N13433" s="27" t="s">
        <v>326</v>
      </c>
      <c r="P13433" s="27" t="s">
        <v>9459</v>
      </c>
      <c r="Q13433" s="26" t="str">
        <f>HYPERLINK("https://ictv.global/taxonomy/taxondetails?taxnode_id=202507559&amp;ictv_id=ICTV201907559","ICTV201907559")</f>
        <v>ICTV201907559</v>
      </c>
      <c r="R13433" t="s">
        <v>580</v>
      </c>
      <c r="S13433" t="s">
        <v>22763</v>
      </c>
      <c r="T13433">
        <v>39</v>
      </c>
      <c r="U13433" s="26" t="str">
        <f t="shared" ref="U13433:U13447" si="496">HYPERLINK("https://ictv.global/ictv/proposals/2023.018M.Paramyxoviridae_reorg.zip","2023.018M.Paramyxoviridae_reorg.zip")</f>
        <v>2023.018M.Paramyxoviridae_reorg.zip</v>
      </c>
    </row>
    <row r="13434" spans="1:21">
      <c r="A13434">
        <v>13433</v>
      </c>
      <c r="B13434" s="27" t="s">
        <v>1124</v>
      </c>
      <c r="D13434" s="27" t="s">
        <v>1859</v>
      </c>
      <c r="F13434" s="27" t="s">
        <v>938</v>
      </c>
      <c r="G13434" s="27" t="s">
        <v>939</v>
      </c>
      <c r="H13434" s="27" t="s">
        <v>945</v>
      </c>
      <c r="J13434" s="27" t="s">
        <v>238</v>
      </c>
      <c r="L13434" s="27" t="s">
        <v>342</v>
      </c>
      <c r="M13434" s="27" t="s">
        <v>16793</v>
      </c>
      <c r="N13434" s="27" t="s">
        <v>326</v>
      </c>
      <c r="P13434" s="27" t="s">
        <v>9460</v>
      </c>
      <c r="Q13434" s="26" t="str">
        <f>HYPERLINK("https://ictv.global/taxonomy/taxondetails?taxnode_id=202501589&amp;ictv_id=ICTV20115523","ICTV20115523")</f>
        <v>ICTV20115523</v>
      </c>
      <c r="R13434" t="s">
        <v>580</v>
      </c>
      <c r="S13434" t="s">
        <v>22763</v>
      </c>
      <c r="T13434">
        <v>39</v>
      </c>
      <c r="U13434" s="26" t="str">
        <f t="shared" si="496"/>
        <v>2023.018M.Paramyxoviridae_reorg.zip</v>
      </c>
    </row>
    <row r="13435" spans="1:21">
      <c r="A13435">
        <v>13434</v>
      </c>
      <c r="B13435" s="27" t="s">
        <v>1124</v>
      </c>
      <c r="D13435" s="27" t="s">
        <v>1859</v>
      </c>
      <c r="F13435" s="27" t="s">
        <v>938</v>
      </c>
      <c r="G13435" s="27" t="s">
        <v>939</v>
      </c>
      <c r="H13435" s="27" t="s">
        <v>945</v>
      </c>
      <c r="J13435" s="27" t="s">
        <v>238</v>
      </c>
      <c r="L13435" s="27" t="s">
        <v>342</v>
      </c>
      <c r="M13435" s="27" t="s">
        <v>16793</v>
      </c>
      <c r="N13435" s="27" t="s">
        <v>327</v>
      </c>
      <c r="P13435" s="27" t="s">
        <v>9461</v>
      </c>
      <c r="Q13435" s="26" t="str">
        <f>HYPERLINK("https://ictv.global/taxonomy/taxondetails?taxnode_id=202501605&amp;ictv_id=ICTV20115525","ICTV20115525")</f>
        <v>ICTV20115525</v>
      </c>
      <c r="R13435" t="s">
        <v>580</v>
      </c>
      <c r="S13435" t="s">
        <v>22763</v>
      </c>
      <c r="T13435">
        <v>39</v>
      </c>
      <c r="U13435" s="26" t="str">
        <f t="shared" si="496"/>
        <v>2023.018M.Paramyxoviridae_reorg.zip</v>
      </c>
    </row>
    <row r="13436" spans="1:21">
      <c r="A13436">
        <v>13435</v>
      </c>
      <c r="B13436" s="27" t="s">
        <v>1124</v>
      </c>
      <c r="D13436" s="27" t="s">
        <v>1859</v>
      </c>
      <c r="F13436" s="27" t="s">
        <v>938</v>
      </c>
      <c r="G13436" s="27" t="s">
        <v>939</v>
      </c>
      <c r="H13436" s="27" t="s">
        <v>945</v>
      </c>
      <c r="J13436" s="27" t="s">
        <v>238</v>
      </c>
      <c r="L13436" s="27" t="s">
        <v>342</v>
      </c>
      <c r="M13436" s="27" t="s">
        <v>16793</v>
      </c>
      <c r="N13436" s="27" t="s">
        <v>318</v>
      </c>
      <c r="P13436" s="27" t="s">
        <v>9484</v>
      </c>
      <c r="Q13436" s="26" t="str">
        <f>HYPERLINK("https://ictv.global/taxonomy/taxondetails?taxnode_id=202501621&amp;ictv_id=ICTV19950296","ICTV19950296")</f>
        <v>ICTV19950296</v>
      </c>
      <c r="R13436" t="s">
        <v>580</v>
      </c>
      <c r="S13436" t="s">
        <v>22763</v>
      </c>
      <c r="T13436">
        <v>39</v>
      </c>
      <c r="U13436" s="26" t="str">
        <f t="shared" si="496"/>
        <v>2023.018M.Paramyxoviridae_reorg.zip</v>
      </c>
    </row>
    <row r="13437" spans="1:21">
      <c r="A13437">
        <v>13436</v>
      </c>
      <c r="B13437" s="27" t="s">
        <v>1124</v>
      </c>
      <c r="D13437" s="27" t="s">
        <v>1859</v>
      </c>
      <c r="F13437" s="27" t="s">
        <v>938</v>
      </c>
      <c r="G13437" s="27" t="s">
        <v>939</v>
      </c>
      <c r="H13437" s="27" t="s">
        <v>945</v>
      </c>
      <c r="J13437" s="27" t="s">
        <v>238</v>
      </c>
      <c r="L13437" s="27" t="s">
        <v>342</v>
      </c>
      <c r="M13437" s="27" t="s">
        <v>16793</v>
      </c>
      <c r="N13437" s="27" t="s">
        <v>318</v>
      </c>
      <c r="P13437" s="27" t="s">
        <v>9485</v>
      </c>
      <c r="Q13437" s="26" t="str">
        <f>HYPERLINK("https://ictv.global/taxonomy/taxondetails?taxnode_id=202506464&amp;ictv_id=ICTV201856464","ICTV201856464")</f>
        <v>ICTV201856464</v>
      </c>
      <c r="R13437" t="s">
        <v>580</v>
      </c>
      <c r="S13437" t="s">
        <v>22763</v>
      </c>
      <c r="T13437">
        <v>39</v>
      </c>
      <c r="U13437" s="26" t="str">
        <f t="shared" si="496"/>
        <v>2023.018M.Paramyxoviridae_reorg.zip</v>
      </c>
    </row>
    <row r="13438" spans="1:21">
      <c r="A13438">
        <v>13437</v>
      </c>
      <c r="B13438" s="27" t="s">
        <v>1124</v>
      </c>
      <c r="D13438" s="27" t="s">
        <v>1859</v>
      </c>
      <c r="F13438" s="27" t="s">
        <v>938</v>
      </c>
      <c r="G13438" s="27" t="s">
        <v>939</v>
      </c>
      <c r="H13438" s="27" t="s">
        <v>945</v>
      </c>
      <c r="J13438" s="27" t="s">
        <v>238</v>
      </c>
      <c r="L13438" s="27" t="s">
        <v>342</v>
      </c>
      <c r="M13438" s="27" t="s">
        <v>16793</v>
      </c>
      <c r="N13438" s="27" t="s">
        <v>318</v>
      </c>
      <c r="P13438" s="27" t="s">
        <v>16794</v>
      </c>
      <c r="Q13438" s="26" t="str">
        <f>HYPERLINK("https://ictv.global/taxonomy/taxondetails?taxnode_id=202518312&amp;ictv_id=ICTV202318312","ICTV202318312")</f>
        <v>ICTV202318312</v>
      </c>
      <c r="R13438" t="s">
        <v>580</v>
      </c>
      <c r="S13438" t="s">
        <v>823</v>
      </c>
      <c r="T13438">
        <v>39</v>
      </c>
      <c r="U13438" s="26" t="str">
        <f t="shared" si="496"/>
        <v>2023.018M.Paramyxoviridae_reorg.zip</v>
      </c>
    </row>
    <row r="13439" spans="1:21">
      <c r="A13439">
        <v>13438</v>
      </c>
      <c r="B13439" s="27" t="s">
        <v>1124</v>
      </c>
      <c r="D13439" s="27" t="s">
        <v>1859</v>
      </c>
      <c r="F13439" s="27" t="s">
        <v>938</v>
      </c>
      <c r="G13439" s="27" t="s">
        <v>939</v>
      </c>
      <c r="H13439" s="27" t="s">
        <v>945</v>
      </c>
      <c r="J13439" s="27" t="s">
        <v>238</v>
      </c>
      <c r="L13439" s="27" t="s">
        <v>342</v>
      </c>
      <c r="M13439" s="27" t="s">
        <v>16793</v>
      </c>
      <c r="N13439" s="27" t="s">
        <v>318</v>
      </c>
      <c r="P13439" s="27" t="s">
        <v>9486</v>
      </c>
      <c r="Q13439" s="26" t="str">
        <f>HYPERLINK("https://ictv.global/taxonomy/taxondetails?taxnode_id=202501622&amp;ictv_id=ICTV19710229","ICTV19710229")</f>
        <v>ICTV19710229</v>
      </c>
      <c r="R13439" t="s">
        <v>580</v>
      </c>
      <c r="S13439" t="s">
        <v>22763</v>
      </c>
      <c r="T13439">
        <v>39</v>
      </c>
      <c r="U13439" s="26" t="str">
        <f t="shared" si="496"/>
        <v>2023.018M.Paramyxoviridae_reorg.zip</v>
      </c>
    </row>
    <row r="13440" spans="1:21">
      <c r="A13440">
        <v>13439</v>
      </c>
      <c r="B13440" s="27" t="s">
        <v>1124</v>
      </c>
      <c r="D13440" s="27" t="s">
        <v>1859</v>
      </c>
      <c r="F13440" s="27" t="s">
        <v>938</v>
      </c>
      <c r="G13440" s="27" t="s">
        <v>939</v>
      </c>
      <c r="H13440" s="27" t="s">
        <v>945</v>
      </c>
      <c r="J13440" s="27" t="s">
        <v>238</v>
      </c>
      <c r="L13440" s="27" t="s">
        <v>342</v>
      </c>
      <c r="M13440" s="27" t="s">
        <v>16793</v>
      </c>
      <c r="N13440" s="27" t="s">
        <v>318</v>
      </c>
      <c r="P13440" s="27" t="s">
        <v>9487</v>
      </c>
      <c r="Q13440" s="26" t="str">
        <f>HYPERLINK("https://ictv.global/taxonomy/taxondetails?taxnode_id=202501624&amp;ictv_id=ICTV19950299","ICTV19950299")</f>
        <v>ICTV19950299</v>
      </c>
      <c r="R13440" t="s">
        <v>580</v>
      </c>
      <c r="S13440" t="s">
        <v>22763</v>
      </c>
      <c r="T13440">
        <v>39</v>
      </c>
      <c r="U13440" s="26" t="str">
        <f t="shared" si="496"/>
        <v>2023.018M.Paramyxoviridae_reorg.zip</v>
      </c>
    </row>
    <row r="13441" spans="1:21">
      <c r="A13441">
        <v>13440</v>
      </c>
      <c r="B13441" s="27" t="s">
        <v>1124</v>
      </c>
      <c r="D13441" s="27" t="s">
        <v>1859</v>
      </c>
      <c r="F13441" s="27" t="s">
        <v>938</v>
      </c>
      <c r="G13441" s="27" t="s">
        <v>939</v>
      </c>
      <c r="H13441" s="27" t="s">
        <v>945</v>
      </c>
      <c r="J13441" s="27" t="s">
        <v>238</v>
      </c>
      <c r="L13441" s="27" t="s">
        <v>342</v>
      </c>
      <c r="M13441" s="27" t="s">
        <v>16793</v>
      </c>
      <c r="N13441" s="27" t="s">
        <v>318</v>
      </c>
      <c r="P13441" s="27" t="s">
        <v>9488</v>
      </c>
      <c r="Q13441" s="26" t="str">
        <f>HYPERLINK("https://ictv.global/taxonomy/taxondetails?taxnode_id=202501623&amp;ictv_id=ICTV19710231","ICTV19710231")</f>
        <v>ICTV19710231</v>
      </c>
      <c r="R13441" t="s">
        <v>580</v>
      </c>
      <c r="S13441" t="s">
        <v>22763</v>
      </c>
      <c r="T13441">
        <v>39</v>
      </c>
      <c r="U13441" s="26" t="str">
        <f t="shared" si="496"/>
        <v>2023.018M.Paramyxoviridae_reorg.zip</v>
      </c>
    </row>
    <row r="13442" spans="1:21">
      <c r="A13442">
        <v>13441</v>
      </c>
      <c r="B13442" s="27" t="s">
        <v>1124</v>
      </c>
      <c r="D13442" s="27" t="s">
        <v>1859</v>
      </c>
      <c r="F13442" s="27" t="s">
        <v>938</v>
      </c>
      <c r="G13442" s="27" t="s">
        <v>939</v>
      </c>
      <c r="H13442" s="27" t="s">
        <v>945</v>
      </c>
      <c r="J13442" s="27" t="s">
        <v>238</v>
      </c>
      <c r="L13442" s="27" t="s">
        <v>342</v>
      </c>
      <c r="M13442" s="27" t="s">
        <v>16793</v>
      </c>
      <c r="N13442" s="27" t="s">
        <v>318</v>
      </c>
      <c r="P13442" s="27" t="s">
        <v>9489</v>
      </c>
      <c r="Q13442" s="26" t="str">
        <f>HYPERLINK("https://ictv.global/taxonomy/taxondetails?taxnode_id=202507454&amp;ictv_id=ICTV201907454","ICTV201907454")</f>
        <v>ICTV201907454</v>
      </c>
      <c r="R13442" t="s">
        <v>580</v>
      </c>
      <c r="S13442" t="s">
        <v>22763</v>
      </c>
      <c r="T13442">
        <v>39</v>
      </c>
      <c r="U13442" s="26" t="str">
        <f t="shared" si="496"/>
        <v>2023.018M.Paramyxoviridae_reorg.zip</v>
      </c>
    </row>
    <row r="13443" spans="1:21">
      <c r="A13443">
        <v>13442</v>
      </c>
      <c r="B13443" s="27" t="s">
        <v>1124</v>
      </c>
      <c r="D13443" s="27" t="s">
        <v>1859</v>
      </c>
      <c r="F13443" s="27" t="s">
        <v>938</v>
      </c>
      <c r="G13443" s="27" t="s">
        <v>939</v>
      </c>
      <c r="H13443" s="27" t="s">
        <v>945</v>
      </c>
      <c r="J13443" s="27" t="s">
        <v>238</v>
      </c>
      <c r="L13443" s="27" t="s">
        <v>342</v>
      </c>
      <c r="M13443" s="27" t="s">
        <v>16793</v>
      </c>
      <c r="N13443" s="27" t="s">
        <v>318</v>
      </c>
      <c r="P13443" s="27" t="s">
        <v>16795</v>
      </c>
      <c r="Q13443" s="26" t="str">
        <f>HYPERLINK("https://ictv.global/taxonomy/taxondetails?taxnode_id=202518311&amp;ictv_id=ICTV202318311","ICTV202318311")</f>
        <v>ICTV202318311</v>
      </c>
      <c r="R13443" t="s">
        <v>580</v>
      </c>
      <c r="S13443" t="s">
        <v>823</v>
      </c>
      <c r="T13443">
        <v>39</v>
      </c>
      <c r="U13443" s="26" t="str">
        <f t="shared" si="496"/>
        <v>2023.018M.Paramyxoviridae_reorg.zip</v>
      </c>
    </row>
    <row r="13444" spans="1:21">
      <c r="A13444">
        <v>13443</v>
      </c>
      <c r="B13444" s="27" t="s">
        <v>1124</v>
      </c>
      <c r="D13444" s="27" t="s">
        <v>1859</v>
      </c>
      <c r="F13444" s="27" t="s">
        <v>938</v>
      </c>
      <c r="G13444" s="27" t="s">
        <v>939</v>
      </c>
      <c r="H13444" s="27" t="s">
        <v>945</v>
      </c>
      <c r="J13444" s="27" t="s">
        <v>238</v>
      </c>
      <c r="L13444" s="27" t="s">
        <v>342</v>
      </c>
      <c r="M13444" s="27" t="s">
        <v>16793</v>
      </c>
      <c r="N13444" s="27" t="s">
        <v>318</v>
      </c>
      <c r="P13444" s="27" t="s">
        <v>9490</v>
      </c>
      <c r="Q13444" s="26" t="str">
        <f>HYPERLINK("https://ictv.global/taxonomy/taxondetails?taxnode_id=202501625&amp;ictv_id=ICTV20151055","ICTV20151055")</f>
        <v>ICTV20151055</v>
      </c>
      <c r="R13444" t="s">
        <v>580</v>
      </c>
      <c r="S13444" t="s">
        <v>22763</v>
      </c>
      <c r="T13444">
        <v>39</v>
      </c>
      <c r="U13444" s="26" t="str">
        <f t="shared" si="496"/>
        <v>2023.018M.Paramyxoviridae_reorg.zip</v>
      </c>
    </row>
    <row r="13445" spans="1:21">
      <c r="A13445">
        <v>13444</v>
      </c>
      <c r="B13445" s="27" t="s">
        <v>1124</v>
      </c>
      <c r="D13445" s="27" t="s">
        <v>1859</v>
      </c>
      <c r="F13445" s="27" t="s">
        <v>938</v>
      </c>
      <c r="G13445" s="27" t="s">
        <v>939</v>
      </c>
      <c r="H13445" s="27" t="s">
        <v>945</v>
      </c>
      <c r="J13445" s="27" t="s">
        <v>238</v>
      </c>
      <c r="L13445" s="27" t="s">
        <v>342</v>
      </c>
      <c r="M13445" s="27" t="s">
        <v>16796</v>
      </c>
      <c r="N13445" s="27" t="s">
        <v>1892</v>
      </c>
      <c r="P13445" s="27" t="s">
        <v>9509</v>
      </c>
      <c r="Q13445" s="26" t="str">
        <f>HYPERLINK("https://ictv.global/taxonomy/taxondetails?taxnode_id=202506473&amp;ictv_id=ICTV201856473","ICTV201856473")</f>
        <v>ICTV201856473</v>
      </c>
      <c r="R13445" t="s">
        <v>580</v>
      </c>
      <c r="S13445" t="s">
        <v>22763</v>
      </c>
      <c r="T13445">
        <v>39</v>
      </c>
      <c r="U13445" s="26" t="str">
        <f t="shared" si="496"/>
        <v>2023.018M.Paramyxoviridae_reorg.zip</v>
      </c>
    </row>
    <row r="13446" spans="1:21">
      <c r="A13446">
        <v>13445</v>
      </c>
      <c r="B13446" s="27" t="s">
        <v>1124</v>
      </c>
      <c r="D13446" s="27" t="s">
        <v>1859</v>
      </c>
      <c r="F13446" s="27" t="s">
        <v>938</v>
      </c>
      <c r="G13446" s="27" t="s">
        <v>939</v>
      </c>
      <c r="H13446" s="27" t="s">
        <v>945</v>
      </c>
      <c r="J13446" s="27" t="s">
        <v>238</v>
      </c>
      <c r="L13446" s="27" t="s">
        <v>342</v>
      </c>
      <c r="M13446" s="27" t="s">
        <v>16797</v>
      </c>
      <c r="N13446" s="27" t="s">
        <v>1893</v>
      </c>
      <c r="P13446" s="27" t="s">
        <v>9510</v>
      </c>
      <c r="Q13446" s="26" t="str">
        <f>HYPERLINK("https://ictv.global/taxonomy/taxondetails?taxnode_id=202506474&amp;ictv_id=ICTV201856474","ICTV201856474")</f>
        <v>ICTV201856474</v>
      </c>
      <c r="R13446" t="s">
        <v>580</v>
      </c>
      <c r="S13446" t="s">
        <v>22763</v>
      </c>
      <c r="T13446">
        <v>39</v>
      </c>
      <c r="U13446" s="26" t="str">
        <f t="shared" si="496"/>
        <v>2023.018M.Paramyxoviridae_reorg.zip</v>
      </c>
    </row>
    <row r="13447" spans="1:21">
      <c r="A13447">
        <v>13446</v>
      </c>
      <c r="B13447" s="27" t="s">
        <v>1124</v>
      </c>
      <c r="D13447" s="27" t="s">
        <v>1859</v>
      </c>
      <c r="F13447" s="27" t="s">
        <v>938</v>
      </c>
      <c r="G13447" s="27" t="s">
        <v>939</v>
      </c>
      <c r="H13447" s="27" t="s">
        <v>945</v>
      </c>
      <c r="J13447" s="27" t="s">
        <v>238</v>
      </c>
      <c r="L13447" s="27" t="s">
        <v>342</v>
      </c>
      <c r="M13447" s="27" t="s">
        <v>16798</v>
      </c>
      <c r="N13447" s="27" t="s">
        <v>16799</v>
      </c>
      <c r="P13447" s="27" t="s">
        <v>16800</v>
      </c>
      <c r="Q13447" s="26" t="str">
        <f>HYPERLINK("https://ictv.global/taxonomy/taxondetails?taxnode_id=202518313&amp;ictv_id=ICTV202318313","ICTV202318313")</f>
        <v>ICTV202318313</v>
      </c>
      <c r="R13447" t="s">
        <v>580</v>
      </c>
      <c r="S13447" t="s">
        <v>823</v>
      </c>
      <c r="T13447">
        <v>39</v>
      </c>
      <c r="U13447" s="26" t="str">
        <f t="shared" si="496"/>
        <v>2023.018M.Paramyxoviridae_reorg.zip</v>
      </c>
    </row>
    <row r="13448" spans="1:21">
      <c r="A13448">
        <v>13447</v>
      </c>
      <c r="B13448" s="27" t="s">
        <v>1124</v>
      </c>
      <c r="D13448" s="27" t="s">
        <v>1859</v>
      </c>
      <c r="F13448" s="27" t="s">
        <v>938</v>
      </c>
      <c r="G13448" s="27" t="s">
        <v>939</v>
      </c>
      <c r="H13448" s="27" t="s">
        <v>945</v>
      </c>
      <c r="J13448" s="27" t="s">
        <v>238</v>
      </c>
      <c r="L13448" s="27" t="s">
        <v>342</v>
      </c>
      <c r="M13448" s="27" t="s">
        <v>1132</v>
      </c>
      <c r="N13448" s="27" t="s">
        <v>1133</v>
      </c>
      <c r="P13448" s="27" t="s">
        <v>9458</v>
      </c>
      <c r="Q13448" s="26" t="str">
        <f>HYPERLINK("https://ictv.global/taxonomy/taxondetails?taxnode_id=202506472&amp;ictv_id=ICTV201856472","ICTV201856472")</f>
        <v>ICTV201856472</v>
      </c>
      <c r="R13448" t="s">
        <v>580</v>
      </c>
      <c r="S13448" t="s">
        <v>824</v>
      </c>
      <c r="T13448">
        <v>38</v>
      </c>
      <c r="U13448" s="26" t="str">
        <f>HYPERLINK("https://ictv.global/ictv/proposals/2021.026M.Paramyxoviridae_sprename.zip","2021.026M.Paramyxoviridae_sprename.zip")</f>
        <v>2021.026M.Paramyxoviridae_sprename.zip</v>
      </c>
    </row>
    <row r="13449" spans="1:21">
      <c r="A13449">
        <v>13448</v>
      </c>
      <c r="B13449" s="27" t="s">
        <v>1124</v>
      </c>
      <c r="D13449" s="27" t="s">
        <v>1859</v>
      </c>
      <c r="F13449" s="27" t="s">
        <v>938</v>
      </c>
      <c r="G13449" s="27" t="s">
        <v>939</v>
      </c>
      <c r="H13449" s="27" t="s">
        <v>945</v>
      </c>
      <c r="J13449" s="27" t="s">
        <v>238</v>
      </c>
      <c r="L13449" s="27" t="s">
        <v>342</v>
      </c>
      <c r="M13449" s="27" t="s">
        <v>1134</v>
      </c>
      <c r="N13449" s="27" t="s">
        <v>16801</v>
      </c>
      <c r="P13449" s="27" t="s">
        <v>16802</v>
      </c>
      <c r="Q13449" s="26" t="str">
        <f>HYPERLINK("https://ictv.global/taxonomy/taxondetails?taxnode_id=202518322&amp;ictv_id=ICTV202318322","ICTV202318322")</f>
        <v>ICTV202318322</v>
      </c>
      <c r="R13449" t="s">
        <v>580</v>
      </c>
      <c r="S13449" t="s">
        <v>823</v>
      </c>
      <c r="T13449">
        <v>39</v>
      </c>
      <c r="U13449" s="26" t="str">
        <f>HYPERLINK("https://ictv.global/ictv/proposals/2023.018M.Paramyxoviridae_reorg.zip","2023.018M.Paramyxoviridae_reorg.zip")</f>
        <v>2023.018M.Paramyxoviridae_reorg.zip</v>
      </c>
    </row>
    <row r="13450" spans="1:21">
      <c r="A13450">
        <v>13449</v>
      </c>
      <c r="B13450" s="27" t="s">
        <v>1124</v>
      </c>
      <c r="D13450" s="27" t="s">
        <v>1859</v>
      </c>
      <c r="F13450" s="27" t="s">
        <v>938</v>
      </c>
      <c r="G13450" s="27" t="s">
        <v>939</v>
      </c>
      <c r="H13450" s="27" t="s">
        <v>945</v>
      </c>
      <c r="J13450" s="27" t="s">
        <v>238</v>
      </c>
      <c r="L13450" s="27" t="s">
        <v>342</v>
      </c>
      <c r="M13450" s="27" t="s">
        <v>1134</v>
      </c>
      <c r="N13450" s="27" t="s">
        <v>316</v>
      </c>
      <c r="P13450" s="27" t="s">
        <v>16803</v>
      </c>
      <c r="Q13450" s="26" t="str">
        <f>HYPERLINK("https://ictv.global/taxonomy/taxondetails?taxnode_id=202518326&amp;ictv_id=ICTV202318326","ICTV202318326")</f>
        <v>ICTV202318326</v>
      </c>
      <c r="R13450" t="s">
        <v>580</v>
      </c>
      <c r="S13450" t="s">
        <v>823</v>
      </c>
      <c r="T13450">
        <v>39</v>
      </c>
      <c r="U13450" s="26" t="str">
        <f>HYPERLINK("https://ictv.global/ictv/proposals/2023.018M.Paramyxoviridae_reorg.zip","2023.018M.Paramyxoviridae_reorg.zip")</f>
        <v>2023.018M.Paramyxoviridae_reorg.zip</v>
      </c>
    </row>
    <row r="13451" spans="1:21">
      <c r="A13451">
        <v>13450</v>
      </c>
      <c r="B13451" s="27" t="s">
        <v>1124</v>
      </c>
      <c r="D13451" s="27" t="s">
        <v>1859</v>
      </c>
      <c r="F13451" s="27" t="s">
        <v>938</v>
      </c>
      <c r="G13451" s="27" t="s">
        <v>939</v>
      </c>
      <c r="H13451" s="27" t="s">
        <v>945</v>
      </c>
      <c r="J13451" s="27" t="s">
        <v>238</v>
      </c>
      <c r="L13451" s="27" t="s">
        <v>342</v>
      </c>
      <c r="M13451" s="27" t="s">
        <v>1134</v>
      </c>
      <c r="N13451" s="27" t="s">
        <v>316</v>
      </c>
      <c r="P13451" s="27" t="s">
        <v>9462</v>
      </c>
      <c r="Q13451" s="26" t="str">
        <f>HYPERLINK("https://ictv.global/taxonomy/taxondetails?taxnode_id=202501607&amp;ictv_id=ICTV20151038","ICTV20151038")</f>
        <v>ICTV20151038</v>
      </c>
      <c r="R13451" t="s">
        <v>580</v>
      </c>
      <c r="S13451" t="s">
        <v>824</v>
      </c>
      <c r="T13451">
        <v>38</v>
      </c>
      <c r="U13451" s="26" t="str">
        <f>HYPERLINK("https://ictv.global/ictv/proposals/2021.026M.Paramyxoviridae_sprename.zip","2021.026M.Paramyxoviridae_sprename.zip")</f>
        <v>2021.026M.Paramyxoviridae_sprename.zip</v>
      </c>
    </row>
    <row r="13452" spans="1:21">
      <c r="A13452">
        <v>13451</v>
      </c>
      <c r="B13452" s="27" t="s">
        <v>1124</v>
      </c>
      <c r="D13452" s="27" t="s">
        <v>1859</v>
      </c>
      <c r="F13452" s="27" t="s">
        <v>938</v>
      </c>
      <c r="G13452" s="27" t="s">
        <v>939</v>
      </c>
      <c r="H13452" s="27" t="s">
        <v>945</v>
      </c>
      <c r="J13452" s="27" t="s">
        <v>238</v>
      </c>
      <c r="L13452" s="27" t="s">
        <v>342</v>
      </c>
      <c r="M13452" s="27" t="s">
        <v>1134</v>
      </c>
      <c r="N13452" s="27" t="s">
        <v>316</v>
      </c>
      <c r="P13452" s="27" t="s">
        <v>9463</v>
      </c>
      <c r="Q13452" s="26" t="str">
        <f>HYPERLINK("https://ictv.global/taxonomy/taxondetails?taxnode_id=202501608&amp;ictv_id=ICTV20151039","ICTV20151039")</f>
        <v>ICTV20151039</v>
      </c>
      <c r="R13452" t="s">
        <v>580</v>
      </c>
      <c r="S13452" t="s">
        <v>824</v>
      </c>
      <c r="T13452">
        <v>38</v>
      </c>
      <c r="U13452" s="26" t="str">
        <f>HYPERLINK("https://ictv.global/ictv/proposals/2021.026M.Paramyxoviridae_sprename.zip","2021.026M.Paramyxoviridae_sprename.zip")</f>
        <v>2021.026M.Paramyxoviridae_sprename.zip</v>
      </c>
    </row>
    <row r="13453" spans="1:21">
      <c r="A13453">
        <v>13452</v>
      </c>
      <c r="B13453" s="27" t="s">
        <v>1124</v>
      </c>
      <c r="D13453" s="27" t="s">
        <v>1859</v>
      </c>
      <c r="F13453" s="27" t="s">
        <v>938</v>
      </c>
      <c r="G13453" s="27" t="s">
        <v>939</v>
      </c>
      <c r="H13453" s="27" t="s">
        <v>945</v>
      </c>
      <c r="J13453" s="27" t="s">
        <v>238</v>
      </c>
      <c r="L13453" s="27" t="s">
        <v>342</v>
      </c>
      <c r="M13453" s="27" t="s">
        <v>1134</v>
      </c>
      <c r="N13453" s="27" t="s">
        <v>316</v>
      </c>
      <c r="P13453" s="27" t="s">
        <v>9464</v>
      </c>
      <c r="Q13453" s="26" t="str">
        <f>HYPERLINK("https://ictv.global/taxonomy/taxondetails?taxnode_id=202501609&amp;ictv_id=ICTV20020448","ICTV20020448")</f>
        <v>ICTV20020448</v>
      </c>
      <c r="R13453" t="s">
        <v>580</v>
      </c>
      <c r="S13453" t="s">
        <v>824</v>
      </c>
      <c r="T13453">
        <v>38</v>
      </c>
      <c r="U13453" s="26" t="str">
        <f>HYPERLINK("https://ictv.global/ictv/proposals/2021.026M.Paramyxoviridae_sprename.zip","2021.026M.Paramyxoviridae_sprename.zip")</f>
        <v>2021.026M.Paramyxoviridae_sprename.zip</v>
      </c>
    </row>
    <row r="13454" spans="1:21">
      <c r="A13454">
        <v>13453</v>
      </c>
      <c r="B13454" s="27" t="s">
        <v>1124</v>
      </c>
      <c r="D13454" s="27" t="s">
        <v>1859</v>
      </c>
      <c r="F13454" s="27" t="s">
        <v>938</v>
      </c>
      <c r="G13454" s="27" t="s">
        <v>939</v>
      </c>
      <c r="H13454" s="27" t="s">
        <v>945</v>
      </c>
      <c r="J13454" s="27" t="s">
        <v>238</v>
      </c>
      <c r="L13454" s="27" t="s">
        <v>342</v>
      </c>
      <c r="M13454" s="27" t="s">
        <v>1134</v>
      </c>
      <c r="N13454" s="27" t="s">
        <v>316</v>
      </c>
      <c r="P13454" s="27" t="s">
        <v>9465</v>
      </c>
      <c r="Q13454" s="26" t="str">
        <f>HYPERLINK("https://ictv.global/taxonomy/taxondetails?taxnode_id=202501611&amp;ictv_id=ICTV20020449","ICTV20020449")</f>
        <v>ICTV20020449</v>
      </c>
      <c r="R13454" t="s">
        <v>580</v>
      </c>
      <c r="S13454" t="s">
        <v>824</v>
      </c>
      <c r="T13454">
        <v>38</v>
      </c>
      <c r="U13454" s="26" t="str">
        <f>HYPERLINK("https://ictv.global/ictv/proposals/2021.026M.Paramyxoviridae_sprename.zip","2021.026M.Paramyxoviridae_sprename.zip")</f>
        <v>2021.026M.Paramyxoviridae_sprename.zip</v>
      </c>
    </row>
    <row r="13455" spans="1:21">
      <c r="A13455">
        <v>13454</v>
      </c>
      <c r="B13455" s="27" t="s">
        <v>1124</v>
      </c>
      <c r="D13455" s="27" t="s">
        <v>1859</v>
      </c>
      <c r="F13455" s="27" t="s">
        <v>938</v>
      </c>
      <c r="G13455" s="27" t="s">
        <v>939</v>
      </c>
      <c r="H13455" s="27" t="s">
        <v>945</v>
      </c>
      <c r="J13455" s="27" t="s">
        <v>238</v>
      </c>
      <c r="L13455" s="27" t="s">
        <v>342</v>
      </c>
      <c r="M13455" s="27" t="s">
        <v>1134</v>
      </c>
      <c r="N13455" s="27" t="s">
        <v>1135</v>
      </c>
      <c r="P13455" s="27" t="s">
        <v>9466</v>
      </c>
      <c r="Q13455" s="26" t="str">
        <f>HYPERLINK("https://ictv.global/taxonomy/taxondetails?taxnode_id=202513346&amp;ictv_id=ICTV202113346","ICTV202113346")</f>
        <v>ICTV202113346</v>
      </c>
      <c r="R13455" t="s">
        <v>580</v>
      </c>
      <c r="S13455" t="s">
        <v>823</v>
      </c>
      <c r="T13455">
        <v>37</v>
      </c>
      <c r="U13455" s="26" t="str">
        <f>HYPERLINK("https://ictv.global/ictv/proposals/2021.014M.R.Jeilongvirus_2nsp.zip","2021.014M.R.Jeilongvirus_2nsp.zip")</f>
        <v>2021.014M.R.Jeilongvirus_2nsp.zip</v>
      </c>
    </row>
    <row r="13456" spans="1:21">
      <c r="A13456">
        <v>13455</v>
      </c>
      <c r="B13456" s="27" t="s">
        <v>1124</v>
      </c>
      <c r="D13456" s="27" t="s">
        <v>1859</v>
      </c>
      <c r="F13456" s="27" t="s">
        <v>938</v>
      </c>
      <c r="G13456" s="27" t="s">
        <v>939</v>
      </c>
      <c r="H13456" s="27" t="s">
        <v>945</v>
      </c>
      <c r="J13456" s="27" t="s">
        <v>238</v>
      </c>
      <c r="L13456" s="27" t="s">
        <v>342</v>
      </c>
      <c r="M13456" s="27" t="s">
        <v>1134</v>
      </c>
      <c r="N13456" s="27" t="s">
        <v>1135</v>
      </c>
      <c r="P13456" s="27" t="s">
        <v>9467</v>
      </c>
      <c r="Q13456" s="26" t="str">
        <f>HYPERLINK("https://ictv.global/taxonomy/taxondetails?taxnode_id=202506453&amp;ictv_id=ICTV201856453","ICTV201856453")</f>
        <v>ICTV201856453</v>
      </c>
      <c r="R13456" t="s">
        <v>580</v>
      </c>
      <c r="S13456" t="s">
        <v>824</v>
      </c>
      <c r="T13456">
        <v>38</v>
      </c>
      <c r="U13456" s="26" t="str">
        <f>HYPERLINK("https://ictv.global/ictv/proposals/2021.026M.Paramyxoviridae_sprename.zip","2021.026M.Paramyxoviridae_sprename.zip")</f>
        <v>2021.026M.Paramyxoviridae_sprename.zip</v>
      </c>
    </row>
    <row r="13457" spans="1:21">
      <c r="A13457">
        <v>13456</v>
      </c>
      <c r="B13457" s="27" t="s">
        <v>1124</v>
      </c>
      <c r="D13457" s="27" t="s">
        <v>1859</v>
      </c>
      <c r="F13457" s="27" t="s">
        <v>938</v>
      </c>
      <c r="G13457" s="27" t="s">
        <v>939</v>
      </c>
      <c r="H13457" s="27" t="s">
        <v>945</v>
      </c>
      <c r="J13457" s="27" t="s">
        <v>238</v>
      </c>
      <c r="L13457" s="27" t="s">
        <v>342</v>
      </c>
      <c r="M13457" s="27" t="s">
        <v>1134</v>
      </c>
      <c r="N13457" s="27" t="s">
        <v>1135</v>
      </c>
      <c r="P13457" s="27" t="s">
        <v>16804</v>
      </c>
      <c r="Q13457" s="26" t="str">
        <f>HYPERLINK("https://ictv.global/taxonomy/taxondetails?taxnode_id=202518354&amp;ictv_id=ICTV202318354","ICTV202318354")</f>
        <v>ICTV202318354</v>
      </c>
      <c r="R13457" t="s">
        <v>580</v>
      </c>
      <c r="S13457" t="s">
        <v>823</v>
      </c>
      <c r="T13457">
        <v>39</v>
      </c>
      <c r="U13457" s="26" t="str">
        <f>HYPERLINK("https://ictv.global/ictv/proposals/2023.018M.Paramyxoviridae_reorg.zip","2023.018M.Paramyxoviridae_reorg.zip")</f>
        <v>2023.018M.Paramyxoviridae_reorg.zip</v>
      </c>
    </row>
    <row r="13458" spans="1:21">
      <c r="A13458">
        <v>13457</v>
      </c>
      <c r="B13458" s="27" t="s">
        <v>1124</v>
      </c>
      <c r="D13458" s="27" t="s">
        <v>1859</v>
      </c>
      <c r="F13458" s="27" t="s">
        <v>938</v>
      </c>
      <c r="G13458" s="27" t="s">
        <v>939</v>
      </c>
      <c r="H13458" s="27" t="s">
        <v>945</v>
      </c>
      <c r="J13458" s="27" t="s">
        <v>238</v>
      </c>
      <c r="L13458" s="27" t="s">
        <v>342</v>
      </c>
      <c r="M13458" s="27" t="s">
        <v>1134</v>
      </c>
      <c r="N13458" s="27" t="s">
        <v>1135</v>
      </c>
      <c r="P13458" s="27" t="s">
        <v>16805</v>
      </c>
      <c r="Q13458" s="26" t="str">
        <f>HYPERLINK("https://ictv.global/taxonomy/taxondetails?taxnode_id=202518362&amp;ictv_id=ICTV202318362","ICTV202318362")</f>
        <v>ICTV202318362</v>
      </c>
      <c r="R13458" t="s">
        <v>580</v>
      </c>
      <c r="S13458" t="s">
        <v>823</v>
      </c>
      <c r="T13458">
        <v>39</v>
      </c>
      <c r="U13458" s="26" t="str">
        <f>HYPERLINK("https://ictv.global/ictv/proposals/2023.018M.Paramyxoviridae_reorg.zip","2023.018M.Paramyxoviridae_reorg.zip")</f>
        <v>2023.018M.Paramyxoviridae_reorg.zip</v>
      </c>
    </row>
    <row r="13459" spans="1:21">
      <c r="A13459">
        <v>13458</v>
      </c>
      <c r="B13459" s="27" t="s">
        <v>1124</v>
      </c>
      <c r="D13459" s="27" t="s">
        <v>1859</v>
      </c>
      <c r="F13459" s="27" t="s">
        <v>938</v>
      </c>
      <c r="G13459" s="27" t="s">
        <v>939</v>
      </c>
      <c r="H13459" s="27" t="s">
        <v>945</v>
      </c>
      <c r="J13459" s="27" t="s">
        <v>238</v>
      </c>
      <c r="L13459" s="27" t="s">
        <v>342</v>
      </c>
      <c r="M13459" s="27" t="s">
        <v>1134</v>
      </c>
      <c r="N13459" s="27" t="s">
        <v>1135</v>
      </c>
      <c r="P13459" s="27" t="s">
        <v>16806</v>
      </c>
      <c r="Q13459" s="26" t="str">
        <f>HYPERLINK("https://ictv.global/taxonomy/taxondetails?taxnode_id=202518359&amp;ictv_id=ICTV202318359","ICTV202318359")</f>
        <v>ICTV202318359</v>
      </c>
      <c r="R13459" t="s">
        <v>580</v>
      </c>
      <c r="S13459" t="s">
        <v>823</v>
      </c>
      <c r="T13459">
        <v>39</v>
      </c>
      <c r="U13459" s="26" t="str">
        <f>HYPERLINK("https://ictv.global/ictv/proposals/2023.018M.Paramyxoviridae_reorg.zip","2023.018M.Paramyxoviridae_reorg.zip")</f>
        <v>2023.018M.Paramyxoviridae_reorg.zip</v>
      </c>
    </row>
    <row r="13460" spans="1:21">
      <c r="A13460">
        <v>13459</v>
      </c>
      <c r="B13460" s="27" t="s">
        <v>1124</v>
      </c>
      <c r="D13460" s="27" t="s">
        <v>1859</v>
      </c>
      <c r="F13460" s="27" t="s">
        <v>938</v>
      </c>
      <c r="G13460" s="27" t="s">
        <v>939</v>
      </c>
      <c r="H13460" s="27" t="s">
        <v>945</v>
      </c>
      <c r="J13460" s="27" t="s">
        <v>238</v>
      </c>
      <c r="L13460" s="27" t="s">
        <v>342</v>
      </c>
      <c r="M13460" s="27" t="s">
        <v>1134</v>
      </c>
      <c r="N13460" s="27" t="s">
        <v>1135</v>
      </c>
      <c r="P13460" s="27" t="s">
        <v>16807</v>
      </c>
      <c r="Q13460" s="26" t="str">
        <f>HYPERLINK("https://ictv.global/taxonomy/taxondetails?taxnode_id=202518350&amp;ictv_id=ICTV202318350","ICTV202318350")</f>
        <v>ICTV202318350</v>
      </c>
      <c r="R13460" t="s">
        <v>580</v>
      </c>
      <c r="S13460" t="s">
        <v>823</v>
      </c>
      <c r="T13460">
        <v>39</v>
      </c>
      <c r="U13460" s="26" t="str">
        <f>HYPERLINK("https://ictv.global/ictv/proposals/2023.018M.Paramyxoviridae_reorg.zip","2023.018M.Paramyxoviridae_reorg.zip")</f>
        <v>2023.018M.Paramyxoviridae_reorg.zip</v>
      </c>
    </row>
    <row r="13461" spans="1:21">
      <c r="A13461">
        <v>13460</v>
      </c>
      <c r="B13461" s="27" t="s">
        <v>1124</v>
      </c>
      <c r="D13461" s="27" t="s">
        <v>1859</v>
      </c>
      <c r="F13461" s="27" t="s">
        <v>938</v>
      </c>
      <c r="G13461" s="27" t="s">
        <v>939</v>
      </c>
      <c r="H13461" s="27" t="s">
        <v>945</v>
      </c>
      <c r="J13461" s="27" t="s">
        <v>238</v>
      </c>
      <c r="L13461" s="27" t="s">
        <v>342</v>
      </c>
      <c r="M13461" s="27" t="s">
        <v>1134</v>
      </c>
      <c r="N13461" s="27" t="s">
        <v>1135</v>
      </c>
      <c r="P13461" s="27" t="s">
        <v>16808</v>
      </c>
      <c r="Q13461" s="26" t="str">
        <f>HYPERLINK("https://ictv.global/taxonomy/taxondetails?taxnode_id=202518349&amp;ictv_id=ICTV202318349","ICTV202318349")</f>
        <v>ICTV202318349</v>
      </c>
      <c r="R13461" t="s">
        <v>580</v>
      </c>
      <c r="S13461" t="s">
        <v>823</v>
      </c>
      <c r="T13461">
        <v>39</v>
      </c>
      <c r="U13461" s="26" t="str">
        <f>HYPERLINK("https://ictv.global/ictv/proposals/2023.018M.Paramyxoviridae_reorg.zip","2023.018M.Paramyxoviridae_reorg.zip")</f>
        <v>2023.018M.Paramyxoviridae_reorg.zip</v>
      </c>
    </row>
    <row r="13462" spans="1:21">
      <c r="A13462">
        <v>13461</v>
      </c>
      <c r="B13462" s="27" t="s">
        <v>1124</v>
      </c>
      <c r="D13462" s="27" t="s">
        <v>1859</v>
      </c>
      <c r="F13462" s="27" t="s">
        <v>938</v>
      </c>
      <c r="G13462" s="27" t="s">
        <v>939</v>
      </c>
      <c r="H13462" s="27" t="s">
        <v>945</v>
      </c>
      <c r="J13462" s="27" t="s">
        <v>238</v>
      </c>
      <c r="L13462" s="27" t="s">
        <v>342</v>
      </c>
      <c r="M13462" s="27" t="s">
        <v>1134</v>
      </c>
      <c r="N13462" s="27" t="s">
        <v>1135</v>
      </c>
      <c r="P13462" s="27" t="s">
        <v>9468</v>
      </c>
      <c r="Q13462" s="26" t="str">
        <f>HYPERLINK("https://ictv.global/taxonomy/taxondetails?taxnode_id=202506455&amp;ictv_id=ICTV201856455","ICTV201856455")</f>
        <v>ICTV201856455</v>
      </c>
      <c r="R13462" t="s">
        <v>580</v>
      </c>
      <c r="S13462" t="s">
        <v>824</v>
      </c>
      <c r="T13462">
        <v>38</v>
      </c>
      <c r="U13462" s="26" t="str">
        <f>HYPERLINK("https://ictv.global/ictv/proposals/2021.026M.Paramyxoviridae_sprename.zip","2021.026M.Paramyxoviridae_sprename.zip")</f>
        <v>2021.026M.Paramyxoviridae_sprename.zip</v>
      </c>
    </row>
    <row r="13463" spans="1:21">
      <c r="A13463">
        <v>13462</v>
      </c>
      <c r="B13463" s="27" t="s">
        <v>1124</v>
      </c>
      <c r="D13463" s="27" t="s">
        <v>1859</v>
      </c>
      <c r="F13463" s="27" t="s">
        <v>938</v>
      </c>
      <c r="G13463" s="27" t="s">
        <v>939</v>
      </c>
      <c r="H13463" s="27" t="s">
        <v>945</v>
      </c>
      <c r="J13463" s="27" t="s">
        <v>238</v>
      </c>
      <c r="L13463" s="27" t="s">
        <v>342</v>
      </c>
      <c r="M13463" s="27" t="s">
        <v>1134</v>
      </c>
      <c r="N13463" s="27" t="s">
        <v>1135</v>
      </c>
      <c r="P13463" s="27" t="s">
        <v>9469</v>
      </c>
      <c r="Q13463" s="26" t="str">
        <f>HYPERLINK("https://ictv.global/taxonomy/taxondetails?taxnode_id=202506456&amp;ictv_id=ICTV201856456","ICTV201856456")</f>
        <v>ICTV201856456</v>
      </c>
      <c r="R13463" t="s">
        <v>580</v>
      </c>
      <c r="S13463" t="s">
        <v>824</v>
      </c>
      <c r="T13463">
        <v>38</v>
      </c>
      <c r="U13463" s="26" t="str">
        <f>HYPERLINK("https://ictv.global/ictv/proposals/2021.026M.Paramyxoviridae_sprename.zip","2021.026M.Paramyxoviridae_sprename.zip")</f>
        <v>2021.026M.Paramyxoviridae_sprename.zip</v>
      </c>
    </row>
    <row r="13464" spans="1:21">
      <c r="A13464">
        <v>13463</v>
      </c>
      <c r="B13464" s="27" t="s">
        <v>1124</v>
      </c>
      <c r="D13464" s="27" t="s">
        <v>1859</v>
      </c>
      <c r="F13464" s="27" t="s">
        <v>938</v>
      </c>
      <c r="G13464" s="27" t="s">
        <v>939</v>
      </c>
      <c r="H13464" s="27" t="s">
        <v>945</v>
      </c>
      <c r="J13464" s="27" t="s">
        <v>238</v>
      </c>
      <c r="L13464" s="27" t="s">
        <v>342</v>
      </c>
      <c r="M13464" s="27" t="s">
        <v>1134</v>
      </c>
      <c r="N13464" s="27" t="s">
        <v>1135</v>
      </c>
      <c r="P13464" s="27" t="s">
        <v>16809</v>
      </c>
      <c r="Q13464" s="26" t="str">
        <f>HYPERLINK("https://ictv.global/taxonomy/taxondetails?taxnode_id=202518353&amp;ictv_id=ICTV202318353","ICTV202318353")</f>
        <v>ICTV202318353</v>
      </c>
      <c r="R13464" t="s">
        <v>580</v>
      </c>
      <c r="S13464" t="s">
        <v>823</v>
      </c>
      <c r="T13464">
        <v>39</v>
      </c>
      <c r="U13464" s="26" t="str">
        <f>HYPERLINK("https://ictv.global/ictv/proposals/2023.018M.Paramyxoviridae_reorg.zip","2023.018M.Paramyxoviridae_reorg.zip")</f>
        <v>2023.018M.Paramyxoviridae_reorg.zip</v>
      </c>
    </row>
    <row r="13465" spans="1:21">
      <c r="A13465">
        <v>13464</v>
      </c>
      <c r="B13465" s="27" t="s">
        <v>1124</v>
      </c>
      <c r="D13465" s="27" t="s">
        <v>1859</v>
      </c>
      <c r="F13465" s="27" t="s">
        <v>938</v>
      </c>
      <c r="G13465" s="27" t="s">
        <v>939</v>
      </c>
      <c r="H13465" s="27" t="s">
        <v>945</v>
      </c>
      <c r="J13465" s="27" t="s">
        <v>238</v>
      </c>
      <c r="L13465" s="27" t="s">
        <v>342</v>
      </c>
      <c r="M13465" s="27" t="s">
        <v>1134</v>
      </c>
      <c r="N13465" s="27" t="s">
        <v>1135</v>
      </c>
      <c r="P13465" s="27" t="s">
        <v>16810</v>
      </c>
      <c r="Q13465" s="26" t="str">
        <f>HYPERLINK("https://ictv.global/taxonomy/taxondetails?taxnode_id=202518360&amp;ictv_id=ICTV202318360","ICTV202318360")</f>
        <v>ICTV202318360</v>
      </c>
      <c r="R13465" t="s">
        <v>580</v>
      </c>
      <c r="S13465" t="s">
        <v>823</v>
      </c>
      <c r="T13465">
        <v>39</v>
      </c>
      <c r="U13465" s="26" t="str">
        <f>HYPERLINK("https://ictv.global/ictv/proposals/2023.018M.Paramyxoviridae_reorg.zip","2023.018M.Paramyxoviridae_reorg.zip")</f>
        <v>2023.018M.Paramyxoviridae_reorg.zip</v>
      </c>
    </row>
    <row r="13466" spans="1:21">
      <c r="A13466">
        <v>13465</v>
      </c>
      <c r="B13466" s="27" t="s">
        <v>1124</v>
      </c>
      <c r="D13466" s="27" t="s">
        <v>1859</v>
      </c>
      <c r="F13466" s="27" t="s">
        <v>938</v>
      </c>
      <c r="G13466" s="27" t="s">
        <v>939</v>
      </c>
      <c r="H13466" s="27" t="s">
        <v>945</v>
      </c>
      <c r="J13466" s="27" t="s">
        <v>238</v>
      </c>
      <c r="L13466" s="27" t="s">
        <v>342</v>
      </c>
      <c r="M13466" s="27" t="s">
        <v>1134</v>
      </c>
      <c r="N13466" s="27" t="s">
        <v>1135</v>
      </c>
      <c r="P13466" s="27" t="s">
        <v>16811</v>
      </c>
      <c r="Q13466" s="26" t="str">
        <f>HYPERLINK("https://ictv.global/taxonomy/taxondetails?taxnode_id=202518361&amp;ictv_id=ICTV202318361","ICTV202318361")</f>
        <v>ICTV202318361</v>
      </c>
      <c r="R13466" t="s">
        <v>580</v>
      </c>
      <c r="S13466" t="s">
        <v>823</v>
      </c>
      <c r="T13466">
        <v>39</v>
      </c>
      <c r="U13466" s="26" t="str">
        <f>HYPERLINK("https://ictv.global/ictv/proposals/2023.018M.Paramyxoviridae_reorg.zip","2023.018M.Paramyxoviridae_reorg.zip")</f>
        <v>2023.018M.Paramyxoviridae_reorg.zip</v>
      </c>
    </row>
    <row r="13467" spans="1:21">
      <c r="A13467">
        <v>13466</v>
      </c>
      <c r="B13467" s="27" t="s">
        <v>1124</v>
      </c>
      <c r="D13467" s="27" t="s">
        <v>1859</v>
      </c>
      <c r="F13467" s="27" t="s">
        <v>938</v>
      </c>
      <c r="G13467" s="27" t="s">
        <v>939</v>
      </c>
      <c r="H13467" s="27" t="s">
        <v>945</v>
      </c>
      <c r="J13467" s="27" t="s">
        <v>238</v>
      </c>
      <c r="L13467" s="27" t="s">
        <v>342</v>
      </c>
      <c r="M13467" s="27" t="s">
        <v>1134</v>
      </c>
      <c r="N13467" s="27" t="s">
        <v>1135</v>
      </c>
      <c r="P13467" s="27" t="s">
        <v>16812</v>
      </c>
      <c r="Q13467" s="26" t="str">
        <f>HYPERLINK("https://ictv.global/taxonomy/taxondetails?taxnode_id=202518356&amp;ictv_id=ICTV202318356","ICTV202318356")</f>
        <v>ICTV202318356</v>
      </c>
      <c r="R13467" t="s">
        <v>580</v>
      </c>
      <c r="S13467" t="s">
        <v>823</v>
      </c>
      <c r="T13467">
        <v>39</v>
      </c>
      <c r="U13467" s="26" t="str">
        <f>HYPERLINK("https://ictv.global/ictv/proposals/2023.018M.Paramyxoviridae_reorg.zip","2023.018M.Paramyxoviridae_reorg.zip")</f>
        <v>2023.018M.Paramyxoviridae_reorg.zip</v>
      </c>
    </row>
    <row r="13468" spans="1:21">
      <c r="A13468">
        <v>13467</v>
      </c>
      <c r="B13468" s="27" t="s">
        <v>1124</v>
      </c>
      <c r="D13468" s="27" t="s">
        <v>1859</v>
      </c>
      <c r="F13468" s="27" t="s">
        <v>938</v>
      </c>
      <c r="G13468" s="27" t="s">
        <v>939</v>
      </c>
      <c r="H13468" s="27" t="s">
        <v>945</v>
      </c>
      <c r="J13468" s="27" t="s">
        <v>238</v>
      </c>
      <c r="L13468" s="27" t="s">
        <v>342</v>
      </c>
      <c r="M13468" s="27" t="s">
        <v>1134</v>
      </c>
      <c r="N13468" s="27" t="s">
        <v>1135</v>
      </c>
      <c r="P13468" s="27" t="s">
        <v>9470</v>
      </c>
      <c r="Q13468" s="26" t="str">
        <f>HYPERLINK("https://ictv.global/taxonomy/taxondetails?taxnode_id=202506457&amp;ictv_id=ICTV201856457","ICTV201856457")</f>
        <v>ICTV201856457</v>
      </c>
      <c r="R13468" t="s">
        <v>580</v>
      </c>
      <c r="S13468" t="s">
        <v>824</v>
      </c>
      <c r="T13468">
        <v>38</v>
      </c>
      <c r="U13468" s="26" t="str">
        <f>HYPERLINK("https://ictv.global/ictv/proposals/2021.026M.Paramyxoviridae_sprename.zip","2021.026M.Paramyxoviridae_sprename.zip")</f>
        <v>2021.026M.Paramyxoviridae_sprename.zip</v>
      </c>
    </row>
    <row r="13469" spans="1:21">
      <c r="A13469">
        <v>13468</v>
      </c>
      <c r="B13469" s="27" t="s">
        <v>1124</v>
      </c>
      <c r="D13469" s="27" t="s">
        <v>1859</v>
      </c>
      <c r="F13469" s="27" t="s">
        <v>938</v>
      </c>
      <c r="G13469" s="27" t="s">
        <v>939</v>
      </c>
      <c r="H13469" s="27" t="s">
        <v>945</v>
      </c>
      <c r="J13469" s="27" t="s">
        <v>238</v>
      </c>
      <c r="L13469" s="27" t="s">
        <v>342</v>
      </c>
      <c r="M13469" s="27" t="s">
        <v>1134</v>
      </c>
      <c r="N13469" s="27" t="s">
        <v>1135</v>
      </c>
      <c r="P13469" s="27" t="s">
        <v>16813</v>
      </c>
      <c r="Q13469" s="26" t="str">
        <f>HYPERLINK("https://ictv.global/taxonomy/taxondetails?taxnode_id=202518355&amp;ictv_id=ICTV202318355","ICTV202318355")</f>
        <v>ICTV202318355</v>
      </c>
      <c r="R13469" t="s">
        <v>580</v>
      </c>
      <c r="S13469" t="s">
        <v>823</v>
      </c>
      <c r="T13469">
        <v>39</v>
      </c>
      <c r="U13469" s="26" t="str">
        <f t="shared" ref="U13469:U13476" si="497">HYPERLINK("https://ictv.global/ictv/proposals/2023.018M.Paramyxoviridae_reorg.zip","2023.018M.Paramyxoviridae_reorg.zip")</f>
        <v>2023.018M.Paramyxoviridae_reorg.zip</v>
      </c>
    </row>
    <row r="13470" spans="1:21">
      <c r="A13470">
        <v>13469</v>
      </c>
      <c r="B13470" s="27" t="s">
        <v>1124</v>
      </c>
      <c r="D13470" s="27" t="s">
        <v>1859</v>
      </c>
      <c r="F13470" s="27" t="s">
        <v>938</v>
      </c>
      <c r="G13470" s="27" t="s">
        <v>939</v>
      </c>
      <c r="H13470" s="27" t="s">
        <v>945</v>
      </c>
      <c r="J13470" s="27" t="s">
        <v>238</v>
      </c>
      <c r="L13470" s="27" t="s">
        <v>342</v>
      </c>
      <c r="M13470" s="27" t="s">
        <v>1134</v>
      </c>
      <c r="N13470" s="27" t="s">
        <v>1135</v>
      </c>
      <c r="P13470" s="27" t="s">
        <v>16814</v>
      </c>
      <c r="Q13470" s="26" t="str">
        <f>HYPERLINK("https://ictv.global/taxonomy/taxondetails?taxnode_id=202518352&amp;ictv_id=ICTV202318352","ICTV202318352")</f>
        <v>ICTV202318352</v>
      </c>
      <c r="R13470" t="s">
        <v>580</v>
      </c>
      <c r="S13470" t="s">
        <v>823</v>
      </c>
      <c r="T13470">
        <v>39</v>
      </c>
      <c r="U13470" s="26" t="str">
        <f t="shared" si="497"/>
        <v>2023.018M.Paramyxoviridae_reorg.zip</v>
      </c>
    </row>
    <row r="13471" spans="1:21">
      <c r="A13471">
        <v>13470</v>
      </c>
      <c r="B13471" s="27" t="s">
        <v>1124</v>
      </c>
      <c r="D13471" s="27" t="s">
        <v>1859</v>
      </c>
      <c r="F13471" s="27" t="s">
        <v>938</v>
      </c>
      <c r="G13471" s="27" t="s">
        <v>939</v>
      </c>
      <c r="H13471" s="27" t="s">
        <v>945</v>
      </c>
      <c r="J13471" s="27" t="s">
        <v>238</v>
      </c>
      <c r="L13471" s="27" t="s">
        <v>342</v>
      </c>
      <c r="M13471" s="27" t="s">
        <v>1134</v>
      </c>
      <c r="N13471" s="27" t="s">
        <v>1135</v>
      </c>
      <c r="P13471" s="27" t="s">
        <v>16815</v>
      </c>
      <c r="Q13471" s="26" t="str">
        <f>HYPERLINK("https://ictv.global/taxonomy/taxondetails?taxnode_id=202518348&amp;ictv_id=ICTV202318348","ICTV202318348")</f>
        <v>ICTV202318348</v>
      </c>
      <c r="R13471" t="s">
        <v>580</v>
      </c>
      <c r="S13471" t="s">
        <v>823</v>
      </c>
      <c r="T13471">
        <v>39</v>
      </c>
      <c r="U13471" s="26" t="str">
        <f t="shared" si="497"/>
        <v>2023.018M.Paramyxoviridae_reorg.zip</v>
      </c>
    </row>
    <row r="13472" spans="1:21">
      <c r="A13472">
        <v>13471</v>
      </c>
      <c r="B13472" s="27" t="s">
        <v>1124</v>
      </c>
      <c r="D13472" s="27" t="s">
        <v>1859</v>
      </c>
      <c r="F13472" s="27" t="s">
        <v>938</v>
      </c>
      <c r="G13472" s="27" t="s">
        <v>939</v>
      </c>
      <c r="H13472" s="27" t="s">
        <v>945</v>
      </c>
      <c r="J13472" s="27" t="s">
        <v>238</v>
      </c>
      <c r="L13472" s="27" t="s">
        <v>342</v>
      </c>
      <c r="M13472" s="27" t="s">
        <v>1134</v>
      </c>
      <c r="N13472" s="27" t="s">
        <v>1135</v>
      </c>
      <c r="P13472" s="27" t="s">
        <v>16816</v>
      </c>
      <c r="Q13472" s="26" t="str">
        <f>HYPERLINK("https://ictv.global/taxonomy/taxondetails?taxnode_id=202518357&amp;ictv_id=ICTV202318357","ICTV202318357")</f>
        <v>ICTV202318357</v>
      </c>
      <c r="R13472" t="s">
        <v>580</v>
      </c>
      <c r="S13472" t="s">
        <v>823</v>
      </c>
      <c r="T13472">
        <v>39</v>
      </c>
      <c r="U13472" s="26" t="str">
        <f t="shared" si="497"/>
        <v>2023.018M.Paramyxoviridae_reorg.zip</v>
      </c>
    </row>
    <row r="13473" spans="1:21">
      <c r="A13473">
        <v>13472</v>
      </c>
      <c r="B13473" s="27" t="s">
        <v>1124</v>
      </c>
      <c r="D13473" s="27" t="s">
        <v>1859</v>
      </c>
      <c r="F13473" s="27" t="s">
        <v>938</v>
      </c>
      <c r="G13473" s="27" t="s">
        <v>939</v>
      </c>
      <c r="H13473" s="27" t="s">
        <v>945</v>
      </c>
      <c r="J13473" s="27" t="s">
        <v>238</v>
      </c>
      <c r="L13473" s="27" t="s">
        <v>342</v>
      </c>
      <c r="M13473" s="27" t="s">
        <v>1134</v>
      </c>
      <c r="N13473" s="27" t="s">
        <v>1135</v>
      </c>
      <c r="P13473" s="27" t="s">
        <v>16817</v>
      </c>
      <c r="Q13473" s="26" t="str">
        <f>HYPERLINK("https://ictv.global/taxonomy/taxondetails?taxnode_id=202518366&amp;ictv_id=ICTV202318366","ICTV202318366")</f>
        <v>ICTV202318366</v>
      </c>
      <c r="R13473" t="s">
        <v>580</v>
      </c>
      <c r="S13473" t="s">
        <v>823</v>
      </c>
      <c r="T13473">
        <v>39</v>
      </c>
      <c r="U13473" s="26" t="str">
        <f t="shared" si="497"/>
        <v>2023.018M.Paramyxoviridae_reorg.zip</v>
      </c>
    </row>
    <row r="13474" spans="1:21">
      <c r="A13474">
        <v>13473</v>
      </c>
      <c r="B13474" s="27" t="s">
        <v>1124</v>
      </c>
      <c r="D13474" s="27" t="s">
        <v>1859</v>
      </c>
      <c r="F13474" s="27" t="s">
        <v>938</v>
      </c>
      <c r="G13474" s="27" t="s">
        <v>939</v>
      </c>
      <c r="H13474" s="27" t="s">
        <v>945</v>
      </c>
      <c r="J13474" s="27" t="s">
        <v>238</v>
      </c>
      <c r="L13474" s="27" t="s">
        <v>342</v>
      </c>
      <c r="M13474" s="27" t="s">
        <v>1134</v>
      </c>
      <c r="N13474" s="27" t="s">
        <v>1135</v>
      </c>
      <c r="P13474" s="27" t="s">
        <v>16818</v>
      </c>
      <c r="Q13474" s="26" t="str">
        <f>HYPERLINK("https://ictv.global/taxonomy/taxondetails?taxnode_id=202518347&amp;ictv_id=ICTV202318347","ICTV202318347")</f>
        <v>ICTV202318347</v>
      </c>
      <c r="R13474" t="s">
        <v>580</v>
      </c>
      <c r="S13474" t="s">
        <v>823</v>
      </c>
      <c r="T13474">
        <v>39</v>
      </c>
      <c r="U13474" s="26" t="str">
        <f t="shared" si="497"/>
        <v>2023.018M.Paramyxoviridae_reorg.zip</v>
      </c>
    </row>
    <row r="13475" spans="1:21">
      <c r="A13475">
        <v>13474</v>
      </c>
      <c r="B13475" s="27" t="s">
        <v>1124</v>
      </c>
      <c r="D13475" s="27" t="s">
        <v>1859</v>
      </c>
      <c r="F13475" s="27" t="s">
        <v>938</v>
      </c>
      <c r="G13475" s="27" t="s">
        <v>939</v>
      </c>
      <c r="H13475" s="27" t="s">
        <v>945</v>
      </c>
      <c r="J13475" s="27" t="s">
        <v>238</v>
      </c>
      <c r="L13475" s="27" t="s">
        <v>342</v>
      </c>
      <c r="M13475" s="27" t="s">
        <v>1134</v>
      </c>
      <c r="N13475" s="27" t="s">
        <v>1135</v>
      </c>
      <c r="P13475" s="27" t="s">
        <v>16819</v>
      </c>
      <c r="Q13475" s="26" t="str">
        <f>HYPERLINK("https://ictv.global/taxonomy/taxondetails?taxnode_id=202518345&amp;ictv_id=ICTV202318345","ICTV202318345")</f>
        <v>ICTV202318345</v>
      </c>
      <c r="R13475" t="s">
        <v>580</v>
      </c>
      <c r="S13475" t="s">
        <v>823</v>
      </c>
      <c r="T13475">
        <v>39</v>
      </c>
      <c r="U13475" s="26" t="str">
        <f t="shared" si="497"/>
        <v>2023.018M.Paramyxoviridae_reorg.zip</v>
      </c>
    </row>
    <row r="13476" spans="1:21">
      <c r="A13476">
        <v>13475</v>
      </c>
      <c r="B13476" s="27" t="s">
        <v>1124</v>
      </c>
      <c r="D13476" s="27" t="s">
        <v>1859</v>
      </c>
      <c r="F13476" s="27" t="s">
        <v>938</v>
      </c>
      <c r="G13476" s="27" t="s">
        <v>939</v>
      </c>
      <c r="H13476" s="27" t="s">
        <v>945</v>
      </c>
      <c r="J13476" s="27" t="s">
        <v>238</v>
      </c>
      <c r="L13476" s="27" t="s">
        <v>342</v>
      </c>
      <c r="M13476" s="27" t="s">
        <v>1134</v>
      </c>
      <c r="N13476" s="27" t="s">
        <v>1135</v>
      </c>
      <c r="P13476" s="27" t="s">
        <v>16820</v>
      </c>
      <c r="Q13476" s="26" t="str">
        <f>HYPERLINK("https://ictv.global/taxonomy/taxondetails?taxnode_id=202518358&amp;ictv_id=ICTV202318358","ICTV202318358")</f>
        <v>ICTV202318358</v>
      </c>
      <c r="R13476" t="s">
        <v>580</v>
      </c>
      <c r="S13476" t="s">
        <v>823</v>
      </c>
      <c r="T13476">
        <v>39</v>
      </c>
      <c r="U13476" s="26" t="str">
        <f t="shared" si="497"/>
        <v>2023.018M.Paramyxoviridae_reorg.zip</v>
      </c>
    </row>
    <row r="13477" spans="1:21">
      <c r="A13477">
        <v>13476</v>
      </c>
      <c r="B13477" s="27" t="s">
        <v>1124</v>
      </c>
      <c r="D13477" s="27" t="s">
        <v>1859</v>
      </c>
      <c r="F13477" s="27" t="s">
        <v>938</v>
      </c>
      <c r="G13477" s="27" t="s">
        <v>939</v>
      </c>
      <c r="H13477" s="27" t="s">
        <v>945</v>
      </c>
      <c r="J13477" s="27" t="s">
        <v>238</v>
      </c>
      <c r="L13477" s="27" t="s">
        <v>342</v>
      </c>
      <c r="M13477" s="27" t="s">
        <v>1134</v>
      </c>
      <c r="N13477" s="27" t="s">
        <v>1135</v>
      </c>
      <c r="P13477" s="27" t="s">
        <v>9471</v>
      </c>
      <c r="Q13477" s="26" t="str">
        <f>HYPERLINK("https://ictv.global/taxonomy/taxondetails?taxnode_id=202506454&amp;ictv_id=ICTV201856454","ICTV201856454")</f>
        <v>ICTV201856454</v>
      </c>
      <c r="R13477" t="s">
        <v>580</v>
      </c>
      <c r="S13477" t="s">
        <v>824</v>
      </c>
      <c r="T13477">
        <v>38</v>
      </c>
      <c r="U13477" s="26" t="str">
        <f>HYPERLINK("https://ictv.global/ictv/proposals/2021.026M.Paramyxoviridae_sprename.zip","2021.026M.Paramyxoviridae_sprename.zip")</f>
        <v>2021.026M.Paramyxoviridae_sprename.zip</v>
      </c>
    </row>
    <row r="13478" spans="1:21">
      <c r="A13478">
        <v>13477</v>
      </c>
      <c r="B13478" s="27" t="s">
        <v>1124</v>
      </c>
      <c r="D13478" s="27" t="s">
        <v>1859</v>
      </c>
      <c r="F13478" s="27" t="s">
        <v>938</v>
      </c>
      <c r="G13478" s="27" t="s">
        <v>939</v>
      </c>
      <c r="H13478" s="27" t="s">
        <v>945</v>
      </c>
      <c r="J13478" s="27" t="s">
        <v>238</v>
      </c>
      <c r="L13478" s="27" t="s">
        <v>342</v>
      </c>
      <c r="M13478" s="27" t="s">
        <v>1134</v>
      </c>
      <c r="N13478" s="27" t="s">
        <v>1135</v>
      </c>
      <c r="P13478" s="27" t="s">
        <v>16821</v>
      </c>
      <c r="Q13478" s="26" t="str">
        <f>HYPERLINK("https://ictv.global/taxonomy/taxondetails?taxnode_id=202518365&amp;ictv_id=ICTV202318365","ICTV202318365")</f>
        <v>ICTV202318365</v>
      </c>
      <c r="R13478" t="s">
        <v>580</v>
      </c>
      <c r="S13478" t="s">
        <v>823</v>
      </c>
      <c r="T13478">
        <v>39</v>
      </c>
      <c r="U13478" s="26" t="str">
        <f>HYPERLINK("https://ictv.global/ictv/proposals/2023.018M.Paramyxoviridae_reorg.zip","2023.018M.Paramyxoviridae_reorg.zip")</f>
        <v>2023.018M.Paramyxoviridae_reorg.zip</v>
      </c>
    </row>
    <row r="13479" spans="1:21">
      <c r="A13479">
        <v>13478</v>
      </c>
      <c r="B13479" s="27" t="s">
        <v>1124</v>
      </c>
      <c r="D13479" s="27" t="s">
        <v>1859</v>
      </c>
      <c r="F13479" s="27" t="s">
        <v>938</v>
      </c>
      <c r="G13479" s="27" t="s">
        <v>939</v>
      </c>
      <c r="H13479" s="27" t="s">
        <v>945</v>
      </c>
      <c r="J13479" s="27" t="s">
        <v>238</v>
      </c>
      <c r="L13479" s="27" t="s">
        <v>342</v>
      </c>
      <c r="M13479" s="27" t="s">
        <v>1134</v>
      </c>
      <c r="N13479" s="27" t="s">
        <v>1135</v>
      </c>
      <c r="P13479" s="27" t="s">
        <v>9472</v>
      </c>
      <c r="Q13479" s="26" t="str">
        <f>HYPERLINK("https://ictv.global/taxonomy/taxondetails?taxnode_id=202513344&amp;ictv_id=ICTV202113344","ICTV202113344")</f>
        <v>ICTV202113344</v>
      </c>
      <c r="R13479" t="s">
        <v>580</v>
      </c>
      <c r="S13479" t="s">
        <v>823</v>
      </c>
      <c r="T13479">
        <v>37</v>
      </c>
      <c r="U13479" s="26" t="str">
        <f>HYPERLINK("https://ictv.global/ictv/proposals/2021.014M.R.Jeilongvirus_2nsp.zip","2021.014M.R.Jeilongvirus_2nsp.zip")</f>
        <v>2021.014M.R.Jeilongvirus_2nsp.zip</v>
      </c>
    </row>
    <row r="13480" spans="1:21">
      <c r="A13480">
        <v>13479</v>
      </c>
      <c r="B13480" s="27" t="s">
        <v>1124</v>
      </c>
      <c r="D13480" s="27" t="s">
        <v>1859</v>
      </c>
      <c r="F13480" s="27" t="s">
        <v>938</v>
      </c>
      <c r="G13480" s="27" t="s">
        <v>939</v>
      </c>
      <c r="H13480" s="27" t="s">
        <v>945</v>
      </c>
      <c r="J13480" s="27" t="s">
        <v>238</v>
      </c>
      <c r="L13480" s="27" t="s">
        <v>342</v>
      </c>
      <c r="M13480" s="27" t="s">
        <v>1134</v>
      </c>
      <c r="N13480" s="27" t="s">
        <v>1135</v>
      </c>
      <c r="P13480" s="27" t="s">
        <v>16822</v>
      </c>
      <c r="Q13480" s="26" t="str">
        <f>HYPERLINK("https://ictv.global/taxonomy/taxondetails?taxnode_id=202518367&amp;ictv_id=ICTV202318367","ICTV202318367")</f>
        <v>ICTV202318367</v>
      </c>
      <c r="R13480" t="s">
        <v>580</v>
      </c>
      <c r="S13480" t="s">
        <v>823</v>
      </c>
      <c r="T13480">
        <v>39</v>
      </c>
      <c r="U13480" s="26" t="str">
        <f>HYPERLINK("https://ictv.global/ictv/proposals/2023.018M.Paramyxoviridae_reorg.zip","2023.018M.Paramyxoviridae_reorg.zip")</f>
        <v>2023.018M.Paramyxoviridae_reorg.zip</v>
      </c>
    </row>
    <row r="13481" spans="1:21">
      <c r="A13481">
        <v>13480</v>
      </c>
      <c r="B13481" s="27" t="s">
        <v>1124</v>
      </c>
      <c r="D13481" s="27" t="s">
        <v>1859</v>
      </c>
      <c r="F13481" s="27" t="s">
        <v>938</v>
      </c>
      <c r="G13481" s="27" t="s">
        <v>939</v>
      </c>
      <c r="H13481" s="27" t="s">
        <v>945</v>
      </c>
      <c r="J13481" s="27" t="s">
        <v>238</v>
      </c>
      <c r="L13481" s="27" t="s">
        <v>342</v>
      </c>
      <c r="M13481" s="27" t="s">
        <v>1134</v>
      </c>
      <c r="N13481" s="27" t="s">
        <v>1135</v>
      </c>
      <c r="P13481" s="27" t="s">
        <v>16823</v>
      </c>
      <c r="Q13481" s="26" t="str">
        <f>HYPERLINK("https://ictv.global/taxonomy/taxondetails?taxnode_id=202518351&amp;ictv_id=ICTV202318351","ICTV202318351")</f>
        <v>ICTV202318351</v>
      </c>
      <c r="R13481" t="s">
        <v>580</v>
      </c>
      <c r="S13481" t="s">
        <v>823</v>
      </c>
      <c r="T13481">
        <v>39</v>
      </c>
      <c r="U13481" s="26" t="str">
        <f>HYPERLINK("https://ictv.global/ictv/proposals/2023.018M.Paramyxoviridae_reorg.zip","2023.018M.Paramyxoviridae_reorg.zip")</f>
        <v>2023.018M.Paramyxoviridae_reorg.zip</v>
      </c>
    </row>
    <row r="13482" spans="1:21">
      <c r="A13482">
        <v>13481</v>
      </c>
      <c r="B13482" s="27" t="s">
        <v>1124</v>
      </c>
      <c r="D13482" s="27" t="s">
        <v>1859</v>
      </c>
      <c r="F13482" s="27" t="s">
        <v>938</v>
      </c>
      <c r="G13482" s="27" t="s">
        <v>939</v>
      </c>
      <c r="H13482" s="27" t="s">
        <v>945</v>
      </c>
      <c r="J13482" s="27" t="s">
        <v>238</v>
      </c>
      <c r="L13482" s="27" t="s">
        <v>342</v>
      </c>
      <c r="M13482" s="27" t="s">
        <v>1134</v>
      </c>
      <c r="N13482" s="27" t="s">
        <v>1135</v>
      </c>
      <c r="P13482" s="27" t="s">
        <v>9473</v>
      </c>
      <c r="Q13482" s="26" t="str">
        <f>HYPERLINK("https://ictv.global/taxonomy/taxondetails?taxnode_id=202506458&amp;ictv_id=ICTV201856458","ICTV201856458")</f>
        <v>ICTV201856458</v>
      </c>
      <c r="R13482" t="s">
        <v>580</v>
      </c>
      <c r="S13482" t="s">
        <v>824</v>
      </c>
      <c r="T13482">
        <v>38</v>
      </c>
      <c r="U13482" s="26" t="str">
        <f>HYPERLINK("https://ictv.global/ictv/proposals/2021.026M.Paramyxoviridae_sprename.zip","2021.026M.Paramyxoviridae_sprename.zip")</f>
        <v>2021.026M.Paramyxoviridae_sprename.zip</v>
      </c>
    </row>
    <row r="13483" spans="1:21">
      <c r="A13483">
        <v>13482</v>
      </c>
      <c r="B13483" s="27" t="s">
        <v>1124</v>
      </c>
      <c r="D13483" s="27" t="s">
        <v>1859</v>
      </c>
      <c r="F13483" s="27" t="s">
        <v>938</v>
      </c>
      <c r="G13483" s="27" t="s">
        <v>939</v>
      </c>
      <c r="H13483" s="27" t="s">
        <v>945</v>
      </c>
      <c r="J13483" s="27" t="s">
        <v>238</v>
      </c>
      <c r="L13483" s="27" t="s">
        <v>342</v>
      </c>
      <c r="M13483" s="27" t="s">
        <v>1134</v>
      </c>
      <c r="N13483" s="27" t="s">
        <v>1135</v>
      </c>
      <c r="P13483" s="27" t="s">
        <v>16824</v>
      </c>
      <c r="Q13483" s="26" t="str">
        <f>HYPERLINK("https://ictv.global/taxonomy/taxondetails?taxnode_id=202518363&amp;ictv_id=ICTV202318363","ICTV202318363")</f>
        <v>ICTV202318363</v>
      </c>
      <c r="R13483" t="s">
        <v>580</v>
      </c>
      <c r="S13483" t="s">
        <v>823</v>
      </c>
      <c r="T13483">
        <v>39</v>
      </c>
      <c r="U13483" s="26" t="str">
        <f>HYPERLINK("https://ictv.global/ictv/proposals/2023.018M.Paramyxoviridae_reorg.zip","2023.018M.Paramyxoviridae_reorg.zip")</f>
        <v>2023.018M.Paramyxoviridae_reorg.zip</v>
      </c>
    </row>
    <row r="13484" spans="1:21">
      <c r="A13484">
        <v>13483</v>
      </c>
      <c r="B13484" s="27" t="s">
        <v>1124</v>
      </c>
      <c r="D13484" s="27" t="s">
        <v>1859</v>
      </c>
      <c r="F13484" s="27" t="s">
        <v>938</v>
      </c>
      <c r="G13484" s="27" t="s">
        <v>939</v>
      </c>
      <c r="H13484" s="27" t="s">
        <v>945</v>
      </c>
      <c r="J13484" s="27" t="s">
        <v>238</v>
      </c>
      <c r="L13484" s="27" t="s">
        <v>342</v>
      </c>
      <c r="M13484" s="27" t="s">
        <v>1134</v>
      </c>
      <c r="N13484" s="27" t="s">
        <v>1135</v>
      </c>
      <c r="P13484" s="27" t="s">
        <v>16825</v>
      </c>
      <c r="Q13484" s="26" t="str">
        <f>HYPERLINK("https://ictv.global/taxonomy/taxondetails?taxnode_id=202518344&amp;ictv_id=ICTV202318344","ICTV202318344")</f>
        <v>ICTV202318344</v>
      </c>
      <c r="R13484" t="s">
        <v>580</v>
      </c>
      <c r="S13484" t="s">
        <v>823</v>
      </c>
      <c r="T13484">
        <v>39</v>
      </c>
      <c r="U13484" s="26" t="str">
        <f>HYPERLINK("https://ictv.global/ictv/proposals/2023.018M.Paramyxoviridae_reorg.zip","2023.018M.Paramyxoviridae_reorg.zip")</f>
        <v>2023.018M.Paramyxoviridae_reorg.zip</v>
      </c>
    </row>
    <row r="13485" spans="1:21">
      <c r="A13485">
        <v>13484</v>
      </c>
      <c r="B13485" s="27" t="s">
        <v>1124</v>
      </c>
      <c r="D13485" s="27" t="s">
        <v>1859</v>
      </c>
      <c r="F13485" s="27" t="s">
        <v>938</v>
      </c>
      <c r="G13485" s="27" t="s">
        <v>939</v>
      </c>
      <c r="H13485" s="27" t="s">
        <v>945</v>
      </c>
      <c r="J13485" s="27" t="s">
        <v>238</v>
      </c>
      <c r="L13485" s="27" t="s">
        <v>342</v>
      </c>
      <c r="M13485" s="27" t="s">
        <v>1134</v>
      </c>
      <c r="N13485" s="27" t="s">
        <v>1135</v>
      </c>
      <c r="P13485" s="27" t="s">
        <v>16826</v>
      </c>
      <c r="Q13485" s="26" t="str">
        <f>HYPERLINK("https://ictv.global/taxonomy/taxondetails?taxnode_id=202518364&amp;ictv_id=ICTV202318364","ICTV202318364")</f>
        <v>ICTV202318364</v>
      </c>
      <c r="R13485" t="s">
        <v>580</v>
      </c>
      <c r="S13485" t="s">
        <v>823</v>
      </c>
      <c r="T13485">
        <v>39</v>
      </c>
      <c r="U13485" s="26" t="str">
        <f>HYPERLINK("https://ictv.global/ictv/proposals/2023.018M.Paramyxoviridae_reorg.zip","2023.018M.Paramyxoviridae_reorg.zip")</f>
        <v>2023.018M.Paramyxoviridae_reorg.zip</v>
      </c>
    </row>
    <row r="13486" spans="1:21">
      <c r="A13486">
        <v>13485</v>
      </c>
      <c r="B13486" s="27" t="s">
        <v>1124</v>
      </c>
      <c r="D13486" s="27" t="s">
        <v>1859</v>
      </c>
      <c r="F13486" s="27" t="s">
        <v>938</v>
      </c>
      <c r="G13486" s="27" t="s">
        <v>939</v>
      </c>
      <c r="H13486" s="27" t="s">
        <v>945</v>
      </c>
      <c r="J13486" s="27" t="s">
        <v>238</v>
      </c>
      <c r="L13486" s="27" t="s">
        <v>342</v>
      </c>
      <c r="M13486" s="27" t="s">
        <v>1134</v>
      </c>
      <c r="N13486" s="27" t="s">
        <v>1135</v>
      </c>
      <c r="P13486" s="27" t="s">
        <v>16827</v>
      </c>
      <c r="Q13486" s="26" t="str">
        <f>HYPERLINK("https://ictv.global/taxonomy/taxondetails?taxnode_id=202518346&amp;ictv_id=ICTV202318346","ICTV202318346")</f>
        <v>ICTV202318346</v>
      </c>
      <c r="R13486" t="s">
        <v>580</v>
      </c>
      <c r="S13486" t="s">
        <v>823</v>
      </c>
      <c r="T13486">
        <v>39</v>
      </c>
      <c r="U13486" s="26" t="str">
        <f>HYPERLINK("https://ictv.global/ictv/proposals/2023.018M.Paramyxoviridae_reorg.zip","2023.018M.Paramyxoviridae_reorg.zip")</f>
        <v>2023.018M.Paramyxoviridae_reorg.zip</v>
      </c>
    </row>
    <row r="13487" spans="1:21">
      <c r="A13487">
        <v>13486</v>
      </c>
      <c r="B13487" s="27" t="s">
        <v>1124</v>
      </c>
      <c r="D13487" s="27" t="s">
        <v>1859</v>
      </c>
      <c r="F13487" s="27" t="s">
        <v>938</v>
      </c>
      <c r="G13487" s="27" t="s">
        <v>939</v>
      </c>
      <c r="H13487" s="27" t="s">
        <v>945</v>
      </c>
      <c r="J13487" s="27" t="s">
        <v>238</v>
      </c>
      <c r="L13487" s="27" t="s">
        <v>342</v>
      </c>
      <c r="M13487" s="27" t="s">
        <v>1134</v>
      </c>
      <c r="N13487" s="27" t="s">
        <v>317</v>
      </c>
      <c r="P13487" s="27" t="s">
        <v>9474</v>
      </c>
      <c r="Q13487" s="26" t="str">
        <f>HYPERLINK("https://ictv.global/taxonomy/taxondetails?taxnode_id=202501613&amp;ictv_id=ICTV19760282","ICTV19760282")</f>
        <v>ICTV19760282</v>
      </c>
      <c r="R13487" t="s">
        <v>580</v>
      </c>
      <c r="S13487" t="s">
        <v>824</v>
      </c>
      <c r="T13487">
        <v>38</v>
      </c>
      <c r="U13487" s="26" t="str">
        <f>HYPERLINK("https://ictv.global/ictv/proposals/2021.026M.Paramyxoviridae_sprename.zip","2021.026M.Paramyxoviridae_sprename.zip")</f>
        <v>2021.026M.Paramyxoviridae_sprename.zip</v>
      </c>
    </row>
    <row r="13488" spans="1:21">
      <c r="A13488">
        <v>13487</v>
      </c>
      <c r="B13488" s="27" t="s">
        <v>1124</v>
      </c>
      <c r="D13488" s="27" t="s">
        <v>1859</v>
      </c>
      <c r="F13488" s="27" t="s">
        <v>938</v>
      </c>
      <c r="G13488" s="27" t="s">
        <v>939</v>
      </c>
      <c r="H13488" s="27" t="s">
        <v>945</v>
      </c>
      <c r="J13488" s="27" t="s">
        <v>238</v>
      </c>
      <c r="L13488" s="27" t="s">
        <v>342</v>
      </c>
      <c r="M13488" s="27" t="s">
        <v>1134</v>
      </c>
      <c r="N13488" s="27" t="s">
        <v>317</v>
      </c>
      <c r="P13488" s="27" t="s">
        <v>9475</v>
      </c>
      <c r="Q13488" s="26" t="str">
        <f>HYPERLINK("https://ictv.global/taxonomy/taxondetails?taxnode_id=202501619&amp;ictv_id=ICTV19760284","ICTV19760284")</f>
        <v>ICTV19760284</v>
      </c>
      <c r="R13488" t="s">
        <v>580</v>
      </c>
      <c r="S13488" t="s">
        <v>824</v>
      </c>
      <c r="T13488">
        <v>38</v>
      </c>
      <c r="U13488" s="26" t="str">
        <f>HYPERLINK("https://ictv.global/ictv/proposals/2021.026M.Paramyxoviridae_sprename.zip","2021.026M.Paramyxoviridae_sprename.zip")</f>
        <v>2021.026M.Paramyxoviridae_sprename.zip</v>
      </c>
    </row>
    <row r="13489" spans="1:21">
      <c r="A13489">
        <v>13488</v>
      </c>
      <c r="B13489" s="27" t="s">
        <v>1124</v>
      </c>
      <c r="D13489" s="27" t="s">
        <v>1859</v>
      </c>
      <c r="F13489" s="27" t="s">
        <v>938</v>
      </c>
      <c r="G13489" s="27" t="s">
        <v>939</v>
      </c>
      <c r="H13489" s="27" t="s">
        <v>945</v>
      </c>
      <c r="J13489" s="27" t="s">
        <v>238</v>
      </c>
      <c r="L13489" s="27" t="s">
        <v>342</v>
      </c>
      <c r="M13489" s="27" t="s">
        <v>1134</v>
      </c>
      <c r="N13489" s="27" t="s">
        <v>317</v>
      </c>
      <c r="P13489" s="27" t="s">
        <v>9476</v>
      </c>
      <c r="Q13489" s="26" t="str">
        <f>HYPERLINK("https://ictv.global/taxonomy/taxondetails?taxnode_id=202501614&amp;ictv_id=ICTV20073054","ICTV20073054")</f>
        <v>ICTV20073054</v>
      </c>
      <c r="R13489" t="s">
        <v>580</v>
      </c>
      <c r="S13489" t="s">
        <v>824</v>
      </c>
      <c r="T13489">
        <v>38</v>
      </c>
      <c r="U13489" s="26" t="str">
        <f>HYPERLINK("https://ictv.global/ictv/proposals/2021.026M.Paramyxoviridae_sprename.zip","2021.026M.Paramyxoviridae_sprename.zip")</f>
        <v>2021.026M.Paramyxoviridae_sprename.zip</v>
      </c>
    </row>
    <row r="13490" spans="1:21">
      <c r="A13490">
        <v>13489</v>
      </c>
      <c r="B13490" s="27" t="s">
        <v>1124</v>
      </c>
      <c r="D13490" s="27" t="s">
        <v>1859</v>
      </c>
      <c r="F13490" s="27" t="s">
        <v>938</v>
      </c>
      <c r="G13490" s="27" t="s">
        <v>939</v>
      </c>
      <c r="H13490" s="27" t="s">
        <v>945</v>
      </c>
      <c r="J13490" s="27" t="s">
        <v>238</v>
      </c>
      <c r="L13490" s="27" t="s">
        <v>342</v>
      </c>
      <c r="M13490" s="27" t="s">
        <v>1134</v>
      </c>
      <c r="N13490" s="27" t="s">
        <v>317</v>
      </c>
      <c r="P13490" s="27" t="s">
        <v>9477</v>
      </c>
      <c r="Q13490" s="26" t="str">
        <f>HYPERLINK("https://ictv.global/taxonomy/taxondetails?taxnode_id=202501615&amp;ictv_id=ICTV20151048","ICTV20151048")</f>
        <v>ICTV20151048</v>
      </c>
      <c r="R13490" t="s">
        <v>580</v>
      </c>
      <c r="S13490" t="s">
        <v>824</v>
      </c>
      <c r="T13490">
        <v>38</v>
      </c>
      <c r="U13490" s="26" t="str">
        <f>HYPERLINK("https://ictv.global/ictv/proposals/2021.026M.Paramyxoviridae_sprename.zip","2021.026M.Paramyxoviridae_sprename.zip")</f>
        <v>2021.026M.Paramyxoviridae_sprename.zip</v>
      </c>
    </row>
    <row r="13491" spans="1:21">
      <c r="A13491">
        <v>13490</v>
      </c>
      <c r="B13491" s="27" t="s">
        <v>1124</v>
      </c>
      <c r="D13491" s="27" t="s">
        <v>1859</v>
      </c>
      <c r="F13491" s="27" t="s">
        <v>938</v>
      </c>
      <c r="G13491" s="27" t="s">
        <v>939</v>
      </c>
      <c r="H13491" s="27" t="s">
        <v>945</v>
      </c>
      <c r="J13491" s="27" t="s">
        <v>238</v>
      </c>
      <c r="L13491" s="27" t="s">
        <v>342</v>
      </c>
      <c r="M13491" s="27" t="s">
        <v>1134</v>
      </c>
      <c r="N13491" s="27" t="s">
        <v>317</v>
      </c>
      <c r="P13491" s="27" t="s">
        <v>9478</v>
      </c>
      <c r="Q13491" s="26" t="str">
        <f>HYPERLINK("https://ictv.global/taxonomy/taxondetails?taxnode_id=202501616&amp;ictv_id=ICTV19750163","ICTV19750163")</f>
        <v>ICTV19750163</v>
      </c>
      <c r="R13491" t="s">
        <v>580</v>
      </c>
      <c r="S13491" t="s">
        <v>824</v>
      </c>
      <c r="T13491">
        <v>38</v>
      </c>
      <c r="U13491" s="26" t="str">
        <f>HYPERLINK("https://ictv.global/ictv/proposals/2021.026M.Paramyxoviridae_sprename.zip","2021.026M.Paramyxoviridae_sprename.zip")</f>
        <v>2021.026M.Paramyxoviridae_sprename.zip</v>
      </c>
    </row>
    <row r="13492" spans="1:21">
      <c r="A13492">
        <v>13491</v>
      </c>
      <c r="B13492" s="27" t="s">
        <v>1124</v>
      </c>
      <c r="D13492" s="27" t="s">
        <v>1859</v>
      </c>
      <c r="F13492" s="27" t="s">
        <v>938</v>
      </c>
      <c r="G13492" s="27" t="s">
        <v>939</v>
      </c>
      <c r="H13492" s="27" t="s">
        <v>945</v>
      </c>
      <c r="J13492" s="27" t="s">
        <v>238</v>
      </c>
      <c r="L13492" s="27" t="s">
        <v>342</v>
      </c>
      <c r="M13492" s="27" t="s">
        <v>1134</v>
      </c>
      <c r="N13492" s="27" t="s">
        <v>317</v>
      </c>
      <c r="P13492" s="27" t="s">
        <v>16828</v>
      </c>
      <c r="Q13492" s="26" t="str">
        <f>HYPERLINK("https://ictv.global/taxonomy/taxondetails?taxnode_id=202518338&amp;ictv_id=ICTV202318338","ICTV202318338")</f>
        <v>ICTV202318338</v>
      </c>
      <c r="R13492" t="s">
        <v>580</v>
      </c>
      <c r="S13492" t="s">
        <v>823</v>
      </c>
      <c r="T13492">
        <v>39</v>
      </c>
      <c r="U13492" s="26" t="str">
        <f>HYPERLINK("https://ictv.global/ictv/proposals/2023.018M.Paramyxoviridae_reorg.zip","2023.018M.Paramyxoviridae_reorg.zip")</f>
        <v>2023.018M.Paramyxoviridae_reorg.zip</v>
      </c>
    </row>
    <row r="13493" spans="1:21">
      <c r="A13493">
        <v>13492</v>
      </c>
      <c r="B13493" s="27" t="s">
        <v>1124</v>
      </c>
      <c r="D13493" s="27" t="s">
        <v>1859</v>
      </c>
      <c r="F13493" s="27" t="s">
        <v>938</v>
      </c>
      <c r="G13493" s="27" t="s">
        <v>939</v>
      </c>
      <c r="H13493" s="27" t="s">
        <v>945</v>
      </c>
      <c r="J13493" s="27" t="s">
        <v>238</v>
      </c>
      <c r="L13493" s="27" t="s">
        <v>342</v>
      </c>
      <c r="M13493" s="27" t="s">
        <v>1134</v>
      </c>
      <c r="N13493" s="27" t="s">
        <v>317</v>
      </c>
      <c r="P13493" s="27" t="s">
        <v>9479</v>
      </c>
      <c r="Q13493" s="26" t="str">
        <f>HYPERLINK("https://ictv.global/taxonomy/taxondetails?taxnode_id=202501618&amp;ictv_id=ICTV19760285","ICTV19760285")</f>
        <v>ICTV19760285</v>
      </c>
      <c r="R13493" t="s">
        <v>580</v>
      </c>
      <c r="S13493" t="s">
        <v>824</v>
      </c>
      <c r="T13493">
        <v>38</v>
      </c>
      <c r="U13493" s="26" t="str">
        <f>HYPERLINK("https://ictv.global/ictv/proposals/2021.026M.Paramyxoviridae_sprename.zip","2021.026M.Paramyxoviridae_sprename.zip")</f>
        <v>2021.026M.Paramyxoviridae_sprename.zip</v>
      </c>
    </row>
    <row r="13494" spans="1:21">
      <c r="A13494">
        <v>13493</v>
      </c>
      <c r="B13494" s="27" t="s">
        <v>1124</v>
      </c>
      <c r="D13494" s="27" t="s">
        <v>1859</v>
      </c>
      <c r="F13494" s="27" t="s">
        <v>938</v>
      </c>
      <c r="G13494" s="27" t="s">
        <v>939</v>
      </c>
      <c r="H13494" s="27" t="s">
        <v>945</v>
      </c>
      <c r="J13494" s="27" t="s">
        <v>238</v>
      </c>
      <c r="L13494" s="27" t="s">
        <v>342</v>
      </c>
      <c r="M13494" s="27" t="s">
        <v>1134</v>
      </c>
      <c r="N13494" s="27" t="s">
        <v>317</v>
      </c>
      <c r="P13494" s="27" t="s">
        <v>9480</v>
      </c>
      <c r="Q13494" s="26" t="str">
        <f>HYPERLINK("https://ictv.global/taxonomy/taxondetails?taxnode_id=202501617&amp;ictv_id=ICTV19910240","ICTV19910240")</f>
        <v>ICTV19910240</v>
      </c>
      <c r="R13494" t="s">
        <v>580</v>
      </c>
      <c r="S13494" t="s">
        <v>824</v>
      </c>
      <c r="T13494">
        <v>38</v>
      </c>
      <c r="U13494" s="26" t="str">
        <f>HYPERLINK("https://ictv.global/ictv/proposals/2021.026M.Paramyxoviridae_sprename.zip","2021.026M.Paramyxoviridae_sprename.zip")</f>
        <v>2021.026M.Paramyxoviridae_sprename.zip</v>
      </c>
    </row>
    <row r="13495" spans="1:21">
      <c r="A13495">
        <v>13494</v>
      </c>
      <c r="B13495" s="27" t="s">
        <v>1124</v>
      </c>
      <c r="D13495" s="27" t="s">
        <v>1859</v>
      </c>
      <c r="F13495" s="27" t="s">
        <v>938</v>
      </c>
      <c r="G13495" s="27" t="s">
        <v>939</v>
      </c>
      <c r="H13495" s="27" t="s">
        <v>945</v>
      </c>
      <c r="J13495" s="27" t="s">
        <v>238</v>
      </c>
      <c r="L13495" s="27" t="s">
        <v>342</v>
      </c>
      <c r="M13495" s="27" t="s">
        <v>1134</v>
      </c>
      <c r="N13495" s="27" t="s">
        <v>317</v>
      </c>
      <c r="P13495" s="27" t="s">
        <v>16829</v>
      </c>
      <c r="Q13495" s="26" t="str">
        <f>HYPERLINK("https://ictv.global/taxonomy/taxondetails?taxnode_id=202518339&amp;ictv_id=ICTV202318339","ICTV202318339")</f>
        <v>ICTV202318339</v>
      </c>
      <c r="R13495" t="s">
        <v>580</v>
      </c>
      <c r="S13495" t="s">
        <v>823</v>
      </c>
      <c r="T13495">
        <v>39</v>
      </c>
      <c r="U13495" s="26" t="str">
        <f>HYPERLINK("https://ictv.global/ictv/proposals/2023.018M.Paramyxoviridae_reorg.zip","2023.018M.Paramyxoviridae_reorg.zip")</f>
        <v>2023.018M.Paramyxoviridae_reorg.zip</v>
      </c>
    </row>
    <row r="13496" spans="1:21">
      <c r="A13496">
        <v>13495</v>
      </c>
      <c r="B13496" s="27" t="s">
        <v>1124</v>
      </c>
      <c r="D13496" s="27" t="s">
        <v>1859</v>
      </c>
      <c r="F13496" s="27" t="s">
        <v>938</v>
      </c>
      <c r="G13496" s="27" t="s">
        <v>939</v>
      </c>
      <c r="H13496" s="27" t="s">
        <v>945</v>
      </c>
      <c r="J13496" s="27" t="s">
        <v>238</v>
      </c>
      <c r="L13496" s="27" t="s">
        <v>342</v>
      </c>
      <c r="M13496" s="27" t="s">
        <v>1134</v>
      </c>
      <c r="N13496" s="27" t="s">
        <v>317</v>
      </c>
      <c r="P13496" s="27" t="s">
        <v>16830</v>
      </c>
      <c r="Q13496" s="26" t="str">
        <f>HYPERLINK("https://ictv.global/taxonomy/taxondetails?taxnode_id=202518337&amp;ictv_id=ICTV202318337","ICTV202318337")</f>
        <v>ICTV202318337</v>
      </c>
      <c r="R13496" t="s">
        <v>580</v>
      </c>
      <c r="S13496" t="s">
        <v>823</v>
      </c>
      <c r="T13496">
        <v>39</v>
      </c>
      <c r="U13496" s="26" t="str">
        <f>HYPERLINK("https://ictv.global/ictv/proposals/2023.018M.Paramyxoviridae_reorg.zip","2023.018M.Paramyxoviridae_reorg.zip")</f>
        <v>2023.018M.Paramyxoviridae_reorg.zip</v>
      </c>
    </row>
    <row r="13497" spans="1:21">
      <c r="A13497">
        <v>13496</v>
      </c>
      <c r="B13497" s="27" t="s">
        <v>1124</v>
      </c>
      <c r="D13497" s="27" t="s">
        <v>1859</v>
      </c>
      <c r="F13497" s="27" t="s">
        <v>938</v>
      </c>
      <c r="G13497" s="27" t="s">
        <v>939</v>
      </c>
      <c r="H13497" s="27" t="s">
        <v>945</v>
      </c>
      <c r="J13497" s="27" t="s">
        <v>238</v>
      </c>
      <c r="L13497" s="27" t="s">
        <v>342</v>
      </c>
      <c r="M13497" s="27" t="s">
        <v>1134</v>
      </c>
      <c r="N13497" s="27" t="s">
        <v>1136</v>
      </c>
      <c r="P13497" s="27" t="s">
        <v>16831</v>
      </c>
      <c r="Q13497" s="26" t="str">
        <f>HYPERLINK("https://ictv.global/taxonomy/taxondetails?taxnode_id=202518325&amp;ictv_id=ICTV202318325","ICTV202318325")</f>
        <v>ICTV202318325</v>
      </c>
      <c r="R13497" t="s">
        <v>580</v>
      </c>
      <c r="S13497" t="s">
        <v>823</v>
      </c>
      <c r="T13497">
        <v>39</v>
      </c>
      <c r="U13497" s="26" t="str">
        <f>HYPERLINK("https://ictv.global/ictv/proposals/2023.018M.Paramyxoviridae_reorg.zip","2023.018M.Paramyxoviridae_reorg.zip")</f>
        <v>2023.018M.Paramyxoviridae_reorg.zip</v>
      </c>
    </row>
    <row r="13498" spans="1:21">
      <c r="A13498">
        <v>13497</v>
      </c>
      <c r="B13498" s="27" t="s">
        <v>1124</v>
      </c>
      <c r="D13498" s="27" t="s">
        <v>1859</v>
      </c>
      <c r="F13498" s="27" t="s">
        <v>938</v>
      </c>
      <c r="G13498" s="27" t="s">
        <v>939</v>
      </c>
      <c r="H13498" s="27" t="s">
        <v>945</v>
      </c>
      <c r="J13498" s="27" t="s">
        <v>238</v>
      </c>
      <c r="L13498" s="27" t="s">
        <v>342</v>
      </c>
      <c r="M13498" s="27" t="s">
        <v>1134</v>
      </c>
      <c r="N13498" s="27" t="s">
        <v>1136</v>
      </c>
      <c r="P13498" s="27" t="s">
        <v>16832</v>
      </c>
      <c r="Q13498" s="26" t="str">
        <f>HYPERLINK("https://ictv.global/taxonomy/taxondetails?taxnode_id=202518324&amp;ictv_id=ICTV202318324","ICTV202318324")</f>
        <v>ICTV202318324</v>
      </c>
      <c r="R13498" t="s">
        <v>580</v>
      </c>
      <c r="S13498" t="s">
        <v>823</v>
      </c>
      <c r="T13498">
        <v>39</v>
      </c>
      <c r="U13498" s="26" t="str">
        <f>HYPERLINK("https://ictv.global/ictv/proposals/2023.018M.Paramyxoviridae_reorg.zip","2023.018M.Paramyxoviridae_reorg.zip")</f>
        <v>2023.018M.Paramyxoviridae_reorg.zip</v>
      </c>
    </row>
    <row r="13499" spans="1:21">
      <c r="A13499">
        <v>13498</v>
      </c>
      <c r="B13499" s="27" t="s">
        <v>1124</v>
      </c>
      <c r="D13499" s="27" t="s">
        <v>1859</v>
      </c>
      <c r="F13499" s="27" t="s">
        <v>938</v>
      </c>
      <c r="G13499" s="27" t="s">
        <v>939</v>
      </c>
      <c r="H13499" s="27" t="s">
        <v>945</v>
      </c>
      <c r="J13499" s="27" t="s">
        <v>238</v>
      </c>
      <c r="L13499" s="27" t="s">
        <v>342</v>
      </c>
      <c r="M13499" s="27" t="s">
        <v>1134</v>
      </c>
      <c r="N13499" s="27" t="s">
        <v>1136</v>
      </c>
      <c r="P13499" s="27" t="s">
        <v>9481</v>
      </c>
      <c r="Q13499" s="26" t="str">
        <f>HYPERLINK("https://ictv.global/taxonomy/taxondetails?taxnode_id=202506460&amp;ictv_id=ICTV201856460","ICTV201856460")</f>
        <v>ICTV201856460</v>
      </c>
      <c r="R13499" t="s">
        <v>580</v>
      </c>
      <c r="S13499" t="s">
        <v>824</v>
      </c>
      <c r="T13499">
        <v>38</v>
      </c>
      <c r="U13499" s="26" t="str">
        <f>HYPERLINK("https://ictv.global/ictv/proposals/2021.026M.Paramyxoviridae_sprename.zip","2021.026M.Paramyxoviridae_sprename.zip")</f>
        <v>2021.026M.Paramyxoviridae_sprename.zip</v>
      </c>
    </row>
    <row r="13500" spans="1:21">
      <c r="A13500">
        <v>13499</v>
      </c>
      <c r="B13500" s="27" t="s">
        <v>1124</v>
      </c>
      <c r="D13500" s="27" t="s">
        <v>1859</v>
      </c>
      <c r="F13500" s="27" t="s">
        <v>938</v>
      </c>
      <c r="G13500" s="27" t="s">
        <v>939</v>
      </c>
      <c r="H13500" s="27" t="s">
        <v>945</v>
      </c>
      <c r="J13500" s="27" t="s">
        <v>238</v>
      </c>
      <c r="L13500" s="27" t="s">
        <v>342</v>
      </c>
      <c r="M13500" s="27" t="s">
        <v>1134</v>
      </c>
      <c r="N13500" s="27" t="s">
        <v>1136</v>
      </c>
      <c r="P13500" s="27" t="s">
        <v>9482</v>
      </c>
      <c r="Q13500" s="26" t="str">
        <f>HYPERLINK("https://ictv.global/taxonomy/taxondetails?taxnode_id=202506461&amp;ictv_id=ICTV201856461","ICTV201856461")</f>
        <v>ICTV201856461</v>
      </c>
      <c r="R13500" t="s">
        <v>580</v>
      </c>
      <c r="S13500" t="s">
        <v>824</v>
      </c>
      <c r="T13500">
        <v>38</v>
      </c>
      <c r="U13500" s="26" t="str">
        <f>HYPERLINK("https://ictv.global/ictv/proposals/2021.026M.Paramyxoviridae_sprename.zip","2021.026M.Paramyxoviridae_sprename.zip")</f>
        <v>2021.026M.Paramyxoviridae_sprename.zip</v>
      </c>
    </row>
    <row r="13501" spans="1:21">
      <c r="A13501">
        <v>13500</v>
      </c>
      <c r="B13501" s="27" t="s">
        <v>1124</v>
      </c>
      <c r="D13501" s="27" t="s">
        <v>1859</v>
      </c>
      <c r="F13501" s="27" t="s">
        <v>938</v>
      </c>
      <c r="G13501" s="27" t="s">
        <v>939</v>
      </c>
      <c r="H13501" s="27" t="s">
        <v>945</v>
      </c>
      <c r="J13501" s="27" t="s">
        <v>238</v>
      </c>
      <c r="L13501" s="27" t="s">
        <v>342</v>
      </c>
      <c r="M13501" s="27" t="s">
        <v>1134</v>
      </c>
      <c r="N13501" s="27" t="s">
        <v>1136</v>
      </c>
      <c r="P13501" s="27" t="s">
        <v>9483</v>
      </c>
      <c r="Q13501" s="26" t="str">
        <f>HYPERLINK("https://ictv.global/taxonomy/taxondetails?taxnode_id=202506462&amp;ictv_id=ICTV201856462","ICTV201856462")</f>
        <v>ICTV201856462</v>
      </c>
      <c r="R13501" t="s">
        <v>580</v>
      </c>
      <c r="S13501" t="s">
        <v>824</v>
      </c>
      <c r="T13501">
        <v>38</v>
      </c>
      <c r="U13501" s="26" t="str">
        <f>HYPERLINK("https://ictv.global/ictv/proposals/2021.026M.Paramyxoviridae_sprename.zip","2021.026M.Paramyxoviridae_sprename.zip")</f>
        <v>2021.026M.Paramyxoviridae_sprename.zip</v>
      </c>
    </row>
    <row r="13502" spans="1:21">
      <c r="A13502">
        <v>13501</v>
      </c>
      <c r="B13502" s="27" t="s">
        <v>1124</v>
      </c>
      <c r="D13502" s="27" t="s">
        <v>1859</v>
      </c>
      <c r="F13502" s="27" t="s">
        <v>938</v>
      </c>
      <c r="G13502" s="27" t="s">
        <v>939</v>
      </c>
      <c r="H13502" s="27" t="s">
        <v>945</v>
      </c>
      <c r="J13502" s="27" t="s">
        <v>238</v>
      </c>
      <c r="L13502" s="27" t="s">
        <v>342</v>
      </c>
      <c r="M13502" s="27" t="s">
        <v>1134</v>
      </c>
      <c r="N13502" s="27" t="s">
        <v>1136</v>
      </c>
      <c r="P13502" s="27" t="s">
        <v>16833</v>
      </c>
      <c r="Q13502" s="26" t="str">
        <f>HYPERLINK("https://ictv.global/taxonomy/taxondetails?taxnode_id=202518323&amp;ictv_id=ICTV202318323","ICTV202318323")</f>
        <v>ICTV202318323</v>
      </c>
      <c r="R13502" t="s">
        <v>580</v>
      </c>
      <c r="S13502" t="s">
        <v>823</v>
      </c>
      <c r="T13502">
        <v>39</v>
      </c>
      <c r="U13502" s="26" t="str">
        <f t="shared" ref="U13502:U13535" si="498">HYPERLINK("https://ictv.global/ictv/proposals/2023.018M.Paramyxoviridae_reorg.zip","2023.018M.Paramyxoviridae_reorg.zip")</f>
        <v>2023.018M.Paramyxoviridae_reorg.zip</v>
      </c>
    </row>
    <row r="13503" spans="1:21">
      <c r="A13503">
        <v>13502</v>
      </c>
      <c r="B13503" s="27" t="s">
        <v>1124</v>
      </c>
      <c r="D13503" s="27" t="s">
        <v>1859</v>
      </c>
      <c r="F13503" s="27" t="s">
        <v>938</v>
      </c>
      <c r="G13503" s="27" t="s">
        <v>939</v>
      </c>
      <c r="H13503" s="27" t="s">
        <v>945</v>
      </c>
      <c r="J13503" s="27" t="s">
        <v>238</v>
      </c>
      <c r="L13503" s="27" t="s">
        <v>342</v>
      </c>
      <c r="M13503" s="27" t="s">
        <v>1134</v>
      </c>
      <c r="N13503" s="27" t="s">
        <v>16834</v>
      </c>
      <c r="P13503" s="27" t="s">
        <v>16835</v>
      </c>
      <c r="Q13503" s="26" t="str">
        <f>HYPERLINK("https://ictv.global/taxonomy/taxondetails?taxnode_id=202518334&amp;ictv_id=ICTV202318334","ICTV202318334")</f>
        <v>ICTV202318334</v>
      </c>
      <c r="R13503" t="s">
        <v>580</v>
      </c>
      <c r="S13503" t="s">
        <v>823</v>
      </c>
      <c r="T13503">
        <v>39</v>
      </c>
      <c r="U13503" s="26" t="str">
        <f t="shared" si="498"/>
        <v>2023.018M.Paramyxoviridae_reorg.zip</v>
      </c>
    </row>
    <row r="13504" spans="1:21">
      <c r="A13504">
        <v>13503</v>
      </c>
      <c r="B13504" s="27" t="s">
        <v>1124</v>
      </c>
      <c r="D13504" s="27" t="s">
        <v>1859</v>
      </c>
      <c r="F13504" s="27" t="s">
        <v>938</v>
      </c>
      <c r="G13504" s="27" t="s">
        <v>939</v>
      </c>
      <c r="H13504" s="27" t="s">
        <v>945</v>
      </c>
      <c r="J13504" s="27" t="s">
        <v>238</v>
      </c>
      <c r="L13504" s="27" t="s">
        <v>342</v>
      </c>
      <c r="M13504" s="27" t="s">
        <v>1134</v>
      </c>
      <c r="N13504" s="27" t="s">
        <v>16834</v>
      </c>
      <c r="P13504" s="27" t="s">
        <v>16836</v>
      </c>
      <c r="Q13504" s="26" t="str">
        <f>HYPERLINK("https://ictv.global/taxonomy/taxondetails?taxnode_id=202518335&amp;ictv_id=ICTV202318335","ICTV202318335")</f>
        <v>ICTV202318335</v>
      </c>
      <c r="R13504" t="s">
        <v>580</v>
      </c>
      <c r="S13504" t="s">
        <v>823</v>
      </c>
      <c r="T13504">
        <v>39</v>
      </c>
      <c r="U13504" s="26" t="str">
        <f t="shared" si="498"/>
        <v>2023.018M.Paramyxoviridae_reorg.zip</v>
      </c>
    </row>
    <row r="13505" spans="1:21">
      <c r="A13505">
        <v>13504</v>
      </c>
      <c r="B13505" s="27" t="s">
        <v>1124</v>
      </c>
      <c r="D13505" s="27" t="s">
        <v>1859</v>
      </c>
      <c r="F13505" s="27" t="s">
        <v>938</v>
      </c>
      <c r="G13505" s="27" t="s">
        <v>939</v>
      </c>
      <c r="H13505" s="27" t="s">
        <v>945</v>
      </c>
      <c r="J13505" s="27" t="s">
        <v>238</v>
      </c>
      <c r="L13505" s="27" t="s">
        <v>342</v>
      </c>
      <c r="M13505" s="27" t="s">
        <v>1134</v>
      </c>
      <c r="N13505" s="27" t="s">
        <v>16834</v>
      </c>
      <c r="P13505" s="27" t="s">
        <v>16837</v>
      </c>
      <c r="Q13505" s="26" t="str">
        <f>HYPERLINK("https://ictv.global/taxonomy/taxondetails?taxnode_id=202518329&amp;ictv_id=ICTV202318329","ICTV202318329")</f>
        <v>ICTV202318329</v>
      </c>
      <c r="R13505" t="s">
        <v>580</v>
      </c>
      <c r="S13505" t="s">
        <v>823</v>
      </c>
      <c r="T13505">
        <v>39</v>
      </c>
      <c r="U13505" s="26" t="str">
        <f t="shared" si="498"/>
        <v>2023.018M.Paramyxoviridae_reorg.zip</v>
      </c>
    </row>
    <row r="13506" spans="1:21">
      <c r="A13506">
        <v>13505</v>
      </c>
      <c r="B13506" s="27" t="s">
        <v>1124</v>
      </c>
      <c r="D13506" s="27" t="s">
        <v>1859</v>
      </c>
      <c r="F13506" s="27" t="s">
        <v>938</v>
      </c>
      <c r="G13506" s="27" t="s">
        <v>939</v>
      </c>
      <c r="H13506" s="27" t="s">
        <v>945</v>
      </c>
      <c r="J13506" s="27" t="s">
        <v>238</v>
      </c>
      <c r="L13506" s="27" t="s">
        <v>342</v>
      </c>
      <c r="M13506" s="27" t="s">
        <v>1134</v>
      </c>
      <c r="N13506" s="27" t="s">
        <v>16834</v>
      </c>
      <c r="P13506" s="27" t="s">
        <v>16838</v>
      </c>
      <c r="Q13506" s="26" t="str">
        <f>HYPERLINK("https://ictv.global/taxonomy/taxondetails?taxnode_id=202518328&amp;ictv_id=ICTV202318328","ICTV202318328")</f>
        <v>ICTV202318328</v>
      </c>
      <c r="R13506" t="s">
        <v>580</v>
      </c>
      <c r="S13506" t="s">
        <v>823</v>
      </c>
      <c r="T13506">
        <v>39</v>
      </c>
      <c r="U13506" s="26" t="str">
        <f t="shared" si="498"/>
        <v>2023.018M.Paramyxoviridae_reorg.zip</v>
      </c>
    </row>
    <row r="13507" spans="1:21">
      <c r="A13507">
        <v>13506</v>
      </c>
      <c r="B13507" s="27" t="s">
        <v>1124</v>
      </c>
      <c r="D13507" s="27" t="s">
        <v>1859</v>
      </c>
      <c r="F13507" s="27" t="s">
        <v>938</v>
      </c>
      <c r="G13507" s="27" t="s">
        <v>939</v>
      </c>
      <c r="H13507" s="27" t="s">
        <v>945</v>
      </c>
      <c r="J13507" s="27" t="s">
        <v>238</v>
      </c>
      <c r="L13507" s="27" t="s">
        <v>342</v>
      </c>
      <c r="M13507" s="27" t="s">
        <v>1134</v>
      </c>
      <c r="N13507" s="27" t="s">
        <v>16834</v>
      </c>
      <c r="P13507" s="27" t="s">
        <v>16839</v>
      </c>
      <c r="Q13507" s="26" t="str">
        <f>HYPERLINK("https://ictv.global/taxonomy/taxondetails?taxnode_id=202518333&amp;ictv_id=ICTV202318333","ICTV202318333")</f>
        <v>ICTV202318333</v>
      </c>
      <c r="R13507" t="s">
        <v>580</v>
      </c>
      <c r="S13507" t="s">
        <v>823</v>
      </c>
      <c r="T13507">
        <v>39</v>
      </c>
      <c r="U13507" s="26" t="str">
        <f t="shared" si="498"/>
        <v>2023.018M.Paramyxoviridae_reorg.zip</v>
      </c>
    </row>
    <row r="13508" spans="1:21">
      <c r="A13508">
        <v>13507</v>
      </c>
      <c r="B13508" s="27" t="s">
        <v>1124</v>
      </c>
      <c r="D13508" s="27" t="s">
        <v>1859</v>
      </c>
      <c r="F13508" s="27" t="s">
        <v>938</v>
      </c>
      <c r="G13508" s="27" t="s">
        <v>939</v>
      </c>
      <c r="H13508" s="27" t="s">
        <v>945</v>
      </c>
      <c r="J13508" s="27" t="s">
        <v>238</v>
      </c>
      <c r="L13508" s="27" t="s">
        <v>342</v>
      </c>
      <c r="M13508" s="27" t="s">
        <v>1134</v>
      </c>
      <c r="N13508" s="27" t="s">
        <v>16834</v>
      </c>
      <c r="P13508" s="27" t="s">
        <v>16840</v>
      </c>
      <c r="Q13508" s="26" t="str">
        <f>HYPERLINK("https://ictv.global/taxonomy/taxondetails?taxnode_id=202518336&amp;ictv_id=ICTV202318336","ICTV202318336")</f>
        <v>ICTV202318336</v>
      </c>
      <c r="R13508" t="s">
        <v>580</v>
      </c>
      <c r="S13508" t="s">
        <v>823</v>
      </c>
      <c r="T13508">
        <v>39</v>
      </c>
      <c r="U13508" s="26" t="str">
        <f t="shared" si="498"/>
        <v>2023.018M.Paramyxoviridae_reorg.zip</v>
      </c>
    </row>
    <row r="13509" spans="1:21">
      <c r="A13509">
        <v>13508</v>
      </c>
      <c r="B13509" s="27" t="s">
        <v>1124</v>
      </c>
      <c r="D13509" s="27" t="s">
        <v>1859</v>
      </c>
      <c r="F13509" s="27" t="s">
        <v>938</v>
      </c>
      <c r="G13509" s="27" t="s">
        <v>939</v>
      </c>
      <c r="H13509" s="27" t="s">
        <v>945</v>
      </c>
      <c r="J13509" s="27" t="s">
        <v>238</v>
      </c>
      <c r="L13509" s="27" t="s">
        <v>342</v>
      </c>
      <c r="M13509" s="27" t="s">
        <v>1134</v>
      </c>
      <c r="N13509" s="27" t="s">
        <v>16834</v>
      </c>
      <c r="P13509" s="27" t="s">
        <v>16841</v>
      </c>
      <c r="Q13509" s="26" t="str">
        <f>HYPERLINK("https://ictv.global/taxonomy/taxondetails?taxnode_id=202518331&amp;ictv_id=ICTV202318331","ICTV202318331")</f>
        <v>ICTV202318331</v>
      </c>
      <c r="R13509" t="s">
        <v>580</v>
      </c>
      <c r="S13509" t="s">
        <v>823</v>
      </c>
      <c r="T13509">
        <v>39</v>
      </c>
      <c r="U13509" s="26" t="str">
        <f t="shared" si="498"/>
        <v>2023.018M.Paramyxoviridae_reorg.zip</v>
      </c>
    </row>
    <row r="13510" spans="1:21">
      <c r="A13510">
        <v>13509</v>
      </c>
      <c r="B13510" s="27" t="s">
        <v>1124</v>
      </c>
      <c r="D13510" s="27" t="s">
        <v>1859</v>
      </c>
      <c r="F13510" s="27" t="s">
        <v>938</v>
      </c>
      <c r="G13510" s="27" t="s">
        <v>939</v>
      </c>
      <c r="H13510" s="27" t="s">
        <v>945</v>
      </c>
      <c r="J13510" s="27" t="s">
        <v>238</v>
      </c>
      <c r="L13510" s="27" t="s">
        <v>342</v>
      </c>
      <c r="M13510" s="27" t="s">
        <v>1134</v>
      </c>
      <c r="N13510" s="27" t="s">
        <v>16834</v>
      </c>
      <c r="P13510" s="27" t="s">
        <v>16842</v>
      </c>
      <c r="Q13510" s="26" t="str">
        <f>HYPERLINK("https://ictv.global/taxonomy/taxondetails?taxnode_id=202501610&amp;ictv_id=ICTV20151040","ICTV20151040")</f>
        <v>ICTV20151040</v>
      </c>
      <c r="R13510" t="s">
        <v>580</v>
      </c>
      <c r="S13510" t="s">
        <v>22764</v>
      </c>
      <c r="T13510">
        <v>39</v>
      </c>
      <c r="U13510" s="26" t="str">
        <f t="shared" si="498"/>
        <v>2023.018M.Paramyxoviridae_reorg.zip</v>
      </c>
    </row>
    <row r="13511" spans="1:21">
      <c r="A13511">
        <v>13510</v>
      </c>
      <c r="B13511" s="27" t="s">
        <v>1124</v>
      </c>
      <c r="D13511" s="27" t="s">
        <v>1859</v>
      </c>
      <c r="F13511" s="27" t="s">
        <v>938</v>
      </c>
      <c r="G13511" s="27" t="s">
        <v>939</v>
      </c>
      <c r="H13511" s="27" t="s">
        <v>945</v>
      </c>
      <c r="J13511" s="27" t="s">
        <v>238</v>
      </c>
      <c r="L13511" s="27" t="s">
        <v>342</v>
      </c>
      <c r="M13511" s="27" t="s">
        <v>1134</v>
      </c>
      <c r="N13511" s="27" t="s">
        <v>16834</v>
      </c>
      <c r="P13511" s="27" t="s">
        <v>16843</v>
      </c>
      <c r="Q13511" s="26" t="str">
        <f>HYPERLINK("https://ictv.global/taxonomy/taxondetails?taxnode_id=202518330&amp;ictv_id=ICTV202318330","ICTV202318330")</f>
        <v>ICTV202318330</v>
      </c>
      <c r="R13511" t="s">
        <v>580</v>
      </c>
      <c r="S13511" t="s">
        <v>823</v>
      </c>
      <c r="T13511">
        <v>39</v>
      </c>
      <c r="U13511" s="26" t="str">
        <f t="shared" si="498"/>
        <v>2023.018M.Paramyxoviridae_reorg.zip</v>
      </c>
    </row>
    <row r="13512" spans="1:21">
      <c r="A13512">
        <v>13511</v>
      </c>
      <c r="B13512" s="27" t="s">
        <v>1124</v>
      </c>
      <c r="D13512" s="27" t="s">
        <v>1859</v>
      </c>
      <c r="F13512" s="27" t="s">
        <v>938</v>
      </c>
      <c r="G13512" s="27" t="s">
        <v>939</v>
      </c>
      <c r="H13512" s="27" t="s">
        <v>945</v>
      </c>
      <c r="J13512" s="27" t="s">
        <v>238</v>
      </c>
      <c r="L13512" s="27" t="s">
        <v>342</v>
      </c>
      <c r="M13512" s="27" t="s">
        <v>1134</v>
      </c>
      <c r="N13512" s="27" t="s">
        <v>16834</v>
      </c>
      <c r="P13512" s="27" t="s">
        <v>16844</v>
      </c>
      <c r="Q13512" s="26" t="str">
        <f>HYPERLINK("https://ictv.global/taxonomy/taxondetails?taxnode_id=202518327&amp;ictv_id=ICTV202318327","ICTV202318327")</f>
        <v>ICTV202318327</v>
      </c>
      <c r="R13512" t="s">
        <v>580</v>
      </c>
      <c r="S13512" t="s">
        <v>823</v>
      </c>
      <c r="T13512">
        <v>39</v>
      </c>
      <c r="U13512" s="26" t="str">
        <f t="shared" si="498"/>
        <v>2023.018M.Paramyxoviridae_reorg.zip</v>
      </c>
    </row>
    <row r="13513" spans="1:21">
      <c r="A13513">
        <v>13512</v>
      </c>
      <c r="B13513" s="27" t="s">
        <v>1124</v>
      </c>
      <c r="D13513" s="27" t="s">
        <v>1859</v>
      </c>
      <c r="F13513" s="27" t="s">
        <v>938</v>
      </c>
      <c r="G13513" s="27" t="s">
        <v>939</v>
      </c>
      <c r="H13513" s="27" t="s">
        <v>945</v>
      </c>
      <c r="J13513" s="27" t="s">
        <v>238</v>
      </c>
      <c r="L13513" s="27" t="s">
        <v>342</v>
      </c>
      <c r="M13513" s="27" t="s">
        <v>1134</v>
      </c>
      <c r="N13513" s="27" t="s">
        <v>16834</v>
      </c>
      <c r="P13513" s="27" t="s">
        <v>16845</v>
      </c>
      <c r="Q13513" s="26" t="str">
        <f>HYPERLINK("https://ictv.global/taxonomy/taxondetails?taxnode_id=202518332&amp;ictv_id=ICTV202318332","ICTV202318332")</f>
        <v>ICTV202318332</v>
      </c>
      <c r="R13513" t="s">
        <v>580</v>
      </c>
      <c r="S13513" t="s">
        <v>823</v>
      </c>
      <c r="T13513">
        <v>39</v>
      </c>
      <c r="U13513" s="26" t="str">
        <f t="shared" si="498"/>
        <v>2023.018M.Paramyxoviridae_reorg.zip</v>
      </c>
    </row>
    <row r="13514" spans="1:21">
      <c r="A13514">
        <v>13513</v>
      </c>
      <c r="B13514" s="27" t="s">
        <v>1124</v>
      </c>
      <c r="D13514" s="27" t="s">
        <v>1859</v>
      </c>
      <c r="F13514" s="27" t="s">
        <v>938</v>
      </c>
      <c r="G13514" s="27" t="s">
        <v>939</v>
      </c>
      <c r="H13514" s="27" t="s">
        <v>945</v>
      </c>
      <c r="J13514" s="27" t="s">
        <v>238</v>
      </c>
      <c r="L13514" s="27" t="s">
        <v>342</v>
      </c>
      <c r="M13514" s="27" t="s">
        <v>1134</v>
      </c>
      <c r="N13514" s="27" t="s">
        <v>16846</v>
      </c>
      <c r="P13514" s="27" t="s">
        <v>16847</v>
      </c>
      <c r="Q13514" s="26" t="str">
        <f>HYPERLINK("https://ictv.global/taxonomy/taxondetails?taxnode_id=202518371&amp;ictv_id=ICTV202318371","ICTV202318371")</f>
        <v>ICTV202318371</v>
      </c>
      <c r="R13514" t="s">
        <v>580</v>
      </c>
      <c r="S13514" t="s">
        <v>823</v>
      </c>
      <c r="T13514">
        <v>39</v>
      </c>
      <c r="U13514" s="26" t="str">
        <f t="shared" si="498"/>
        <v>2023.018M.Paramyxoviridae_reorg.zip</v>
      </c>
    </row>
    <row r="13515" spans="1:21">
      <c r="A13515">
        <v>13514</v>
      </c>
      <c r="B13515" s="27" t="s">
        <v>1124</v>
      </c>
      <c r="D13515" s="27" t="s">
        <v>1859</v>
      </c>
      <c r="F13515" s="27" t="s">
        <v>938</v>
      </c>
      <c r="G13515" s="27" t="s">
        <v>939</v>
      </c>
      <c r="H13515" s="27" t="s">
        <v>945</v>
      </c>
      <c r="J13515" s="27" t="s">
        <v>238</v>
      </c>
      <c r="L13515" s="27" t="s">
        <v>342</v>
      </c>
      <c r="M13515" s="27" t="s">
        <v>1134</v>
      </c>
      <c r="N13515" s="27" t="s">
        <v>16846</v>
      </c>
      <c r="P13515" s="27" t="s">
        <v>16848</v>
      </c>
      <c r="Q13515" s="26" t="str">
        <f>HYPERLINK("https://ictv.global/taxonomy/taxondetails?taxnode_id=202518368&amp;ictv_id=ICTV202318368","ICTV202318368")</f>
        <v>ICTV202318368</v>
      </c>
      <c r="R13515" t="s">
        <v>580</v>
      </c>
      <c r="S13515" t="s">
        <v>823</v>
      </c>
      <c r="T13515">
        <v>39</v>
      </c>
      <c r="U13515" s="26" t="str">
        <f t="shared" si="498"/>
        <v>2023.018M.Paramyxoviridae_reorg.zip</v>
      </c>
    </row>
    <row r="13516" spans="1:21">
      <c r="A13516">
        <v>13515</v>
      </c>
      <c r="B13516" s="27" t="s">
        <v>1124</v>
      </c>
      <c r="D13516" s="27" t="s">
        <v>1859</v>
      </c>
      <c r="F13516" s="27" t="s">
        <v>938</v>
      </c>
      <c r="G13516" s="27" t="s">
        <v>939</v>
      </c>
      <c r="H13516" s="27" t="s">
        <v>945</v>
      </c>
      <c r="J13516" s="27" t="s">
        <v>238</v>
      </c>
      <c r="L13516" s="27" t="s">
        <v>342</v>
      </c>
      <c r="M13516" s="27" t="s">
        <v>1134</v>
      </c>
      <c r="N13516" s="27" t="s">
        <v>16846</v>
      </c>
      <c r="P13516" s="27" t="s">
        <v>16849</v>
      </c>
      <c r="Q13516" s="26" t="str">
        <f>HYPERLINK("https://ictv.global/taxonomy/taxondetails?taxnode_id=202513347&amp;ictv_id=ICTV202113347","ICTV202113347")</f>
        <v>ICTV202113347</v>
      </c>
      <c r="R13516" t="s">
        <v>580</v>
      </c>
      <c r="S13516" t="s">
        <v>22764</v>
      </c>
      <c r="T13516">
        <v>39</v>
      </c>
      <c r="U13516" s="26" t="str">
        <f t="shared" si="498"/>
        <v>2023.018M.Paramyxoviridae_reorg.zip</v>
      </c>
    </row>
    <row r="13517" spans="1:21">
      <c r="A13517">
        <v>13516</v>
      </c>
      <c r="B13517" s="27" t="s">
        <v>1124</v>
      </c>
      <c r="D13517" s="27" t="s">
        <v>1859</v>
      </c>
      <c r="F13517" s="27" t="s">
        <v>938</v>
      </c>
      <c r="G13517" s="27" t="s">
        <v>939</v>
      </c>
      <c r="H13517" s="27" t="s">
        <v>945</v>
      </c>
      <c r="J13517" s="27" t="s">
        <v>238</v>
      </c>
      <c r="L13517" s="27" t="s">
        <v>342</v>
      </c>
      <c r="M13517" s="27" t="s">
        <v>1134</v>
      </c>
      <c r="N13517" s="27" t="s">
        <v>16846</v>
      </c>
      <c r="P13517" s="27" t="s">
        <v>16850</v>
      </c>
      <c r="Q13517" s="26" t="str">
        <f>HYPERLINK("https://ictv.global/taxonomy/taxondetails?taxnode_id=202518374&amp;ictv_id=ICTV202318374","ICTV202318374")</f>
        <v>ICTV202318374</v>
      </c>
      <c r="R13517" t="s">
        <v>580</v>
      </c>
      <c r="S13517" t="s">
        <v>823</v>
      </c>
      <c r="T13517">
        <v>39</v>
      </c>
      <c r="U13517" s="26" t="str">
        <f t="shared" si="498"/>
        <v>2023.018M.Paramyxoviridae_reorg.zip</v>
      </c>
    </row>
    <row r="13518" spans="1:21">
      <c r="A13518">
        <v>13517</v>
      </c>
      <c r="B13518" s="27" t="s">
        <v>1124</v>
      </c>
      <c r="D13518" s="27" t="s">
        <v>1859</v>
      </c>
      <c r="F13518" s="27" t="s">
        <v>938</v>
      </c>
      <c r="G13518" s="27" t="s">
        <v>939</v>
      </c>
      <c r="H13518" s="27" t="s">
        <v>945</v>
      </c>
      <c r="J13518" s="27" t="s">
        <v>238</v>
      </c>
      <c r="L13518" s="27" t="s">
        <v>342</v>
      </c>
      <c r="M13518" s="27" t="s">
        <v>1134</v>
      </c>
      <c r="N13518" s="27" t="s">
        <v>16846</v>
      </c>
      <c r="P13518" s="27" t="s">
        <v>16851</v>
      </c>
      <c r="Q13518" s="26" t="str">
        <f>HYPERLINK("https://ictv.global/taxonomy/taxondetails?taxnode_id=202518370&amp;ictv_id=ICTV202318370","ICTV202318370")</f>
        <v>ICTV202318370</v>
      </c>
      <c r="R13518" t="s">
        <v>580</v>
      </c>
      <c r="S13518" t="s">
        <v>823</v>
      </c>
      <c r="T13518">
        <v>39</v>
      </c>
      <c r="U13518" s="26" t="str">
        <f t="shared" si="498"/>
        <v>2023.018M.Paramyxoviridae_reorg.zip</v>
      </c>
    </row>
    <row r="13519" spans="1:21">
      <c r="A13519">
        <v>13518</v>
      </c>
      <c r="B13519" s="27" t="s">
        <v>1124</v>
      </c>
      <c r="D13519" s="27" t="s">
        <v>1859</v>
      </c>
      <c r="F13519" s="27" t="s">
        <v>938</v>
      </c>
      <c r="G13519" s="27" t="s">
        <v>939</v>
      </c>
      <c r="H13519" s="27" t="s">
        <v>945</v>
      </c>
      <c r="J13519" s="27" t="s">
        <v>238</v>
      </c>
      <c r="L13519" s="27" t="s">
        <v>342</v>
      </c>
      <c r="M13519" s="27" t="s">
        <v>1134</v>
      </c>
      <c r="N13519" s="27" t="s">
        <v>16846</v>
      </c>
      <c r="P13519" s="27" t="s">
        <v>16852</v>
      </c>
      <c r="Q13519" s="26" t="str">
        <f>HYPERLINK("https://ictv.global/taxonomy/taxondetails?taxnode_id=202513345&amp;ictv_id=ICTV202113345","ICTV202113345")</f>
        <v>ICTV202113345</v>
      </c>
      <c r="R13519" t="s">
        <v>580</v>
      </c>
      <c r="S13519" t="s">
        <v>22764</v>
      </c>
      <c r="T13519">
        <v>39</v>
      </c>
      <c r="U13519" s="26" t="str">
        <f t="shared" si="498"/>
        <v>2023.018M.Paramyxoviridae_reorg.zip</v>
      </c>
    </row>
    <row r="13520" spans="1:21">
      <c r="A13520">
        <v>13519</v>
      </c>
      <c r="B13520" s="27" t="s">
        <v>1124</v>
      </c>
      <c r="D13520" s="27" t="s">
        <v>1859</v>
      </c>
      <c r="F13520" s="27" t="s">
        <v>938</v>
      </c>
      <c r="G13520" s="27" t="s">
        <v>939</v>
      </c>
      <c r="H13520" s="27" t="s">
        <v>945</v>
      </c>
      <c r="J13520" s="27" t="s">
        <v>238</v>
      </c>
      <c r="L13520" s="27" t="s">
        <v>342</v>
      </c>
      <c r="M13520" s="27" t="s">
        <v>1134</v>
      </c>
      <c r="N13520" s="27" t="s">
        <v>16846</v>
      </c>
      <c r="P13520" s="27" t="s">
        <v>16853</v>
      </c>
      <c r="Q13520" s="26" t="str">
        <f>HYPERLINK("https://ictv.global/taxonomy/taxondetails?taxnode_id=202518375&amp;ictv_id=ICTV202318375","ICTV202318375")</f>
        <v>ICTV202318375</v>
      </c>
      <c r="R13520" t="s">
        <v>580</v>
      </c>
      <c r="S13520" t="s">
        <v>823</v>
      </c>
      <c r="T13520">
        <v>39</v>
      </c>
      <c r="U13520" s="26" t="str">
        <f t="shared" si="498"/>
        <v>2023.018M.Paramyxoviridae_reorg.zip</v>
      </c>
    </row>
    <row r="13521" spans="1:21">
      <c r="A13521">
        <v>13520</v>
      </c>
      <c r="B13521" s="27" t="s">
        <v>1124</v>
      </c>
      <c r="D13521" s="27" t="s">
        <v>1859</v>
      </c>
      <c r="F13521" s="27" t="s">
        <v>938</v>
      </c>
      <c r="G13521" s="27" t="s">
        <v>939</v>
      </c>
      <c r="H13521" s="27" t="s">
        <v>945</v>
      </c>
      <c r="J13521" s="27" t="s">
        <v>238</v>
      </c>
      <c r="L13521" s="27" t="s">
        <v>342</v>
      </c>
      <c r="M13521" s="27" t="s">
        <v>1134</v>
      </c>
      <c r="N13521" s="27" t="s">
        <v>16846</v>
      </c>
      <c r="P13521" s="27" t="s">
        <v>16854</v>
      </c>
      <c r="Q13521" s="26" t="str">
        <f>HYPERLINK("https://ictv.global/taxonomy/taxondetails?taxnode_id=202518369&amp;ictv_id=ICTV202318369","ICTV202318369")</f>
        <v>ICTV202318369</v>
      </c>
      <c r="R13521" t="s">
        <v>580</v>
      </c>
      <c r="S13521" t="s">
        <v>823</v>
      </c>
      <c r="T13521">
        <v>39</v>
      </c>
      <c r="U13521" s="26" t="str">
        <f t="shared" si="498"/>
        <v>2023.018M.Paramyxoviridae_reorg.zip</v>
      </c>
    </row>
    <row r="13522" spans="1:21">
      <c r="A13522">
        <v>13521</v>
      </c>
      <c r="B13522" s="27" t="s">
        <v>1124</v>
      </c>
      <c r="D13522" s="27" t="s">
        <v>1859</v>
      </c>
      <c r="F13522" s="27" t="s">
        <v>938</v>
      </c>
      <c r="G13522" s="27" t="s">
        <v>939</v>
      </c>
      <c r="H13522" s="27" t="s">
        <v>945</v>
      </c>
      <c r="J13522" s="27" t="s">
        <v>238</v>
      </c>
      <c r="L13522" s="27" t="s">
        <v>342</v>
      </c>
      <c r="M13522" s="27" t="s">
        <v>1134</v>
      </c>
      <c r="N13522" s="27" t="s">
        <v>16846</v>
      </c>
      <c r="P13522" s="27" t="s">
        <v>16855</v>
      </c>
      <c r="Q13522" s="26" t="str">
        <f>HYPERLINK("https://ictv.global/taxonomy/taxondetails?taxnode_id=202518372&amp;ictv_id=ICTV202318372","ICTV202318372")</f>
        <v>ICTV202318372</v>
      </c>
      <c r="R13522" t="s">
        <v>580</v>
      </c>
      <c r="S13522" t="s">
        <v>823</v>
      </c>
      <c r="T13522">
        <v>39</v>
      </c>
      <c r="U13522" s="26" t="str">
        <f t="shared" si="498"/>
        <v>2023.018M.Paramyxoviridae_reorg.zip</v>
      </c>
    </row>
    <row r="13523" spans="1:21">
      <c r="A13523">
        <v>13522</v>
      </c>
      <c r="B13523" s="27" t="s">
        <v>1124</v>
      </c>
      <c r="D13523" s="27" t="s">
        <v>1859</v>
      </c>
      <c r="F13523" s="27" t="s">
        <v>938</v>
      </c>
      <c r="G13523" s="27" t="s">
        <v>939</v>
      </c>
      <c r="H13523" s="27" t="s">
        <v>945</v>
      </c>
      <c r="J13523" s="27" t="s">
        <v>238</v>
      </c>
      <c r="L13523" s="27" t="s">
        <v>342</v>
      </c>
      <c r="M13523" s="27" t="s">
        <v>1134</v>
      </c>
      <c r="N13523" s="27" t="s">
        <v>16846</v>
      </c>
      <c r="P13523" s="27" t="s">
        <v>16856</v>
      </c>
      <c r="Q13523" s="26" t="str">
        <f>HYPERLINK("https://ictv.global/taxonomy/taxondetails?taxnode_id=202518377&amp;ictv_id=ICTV202318377","ICTV202318377")</f>
        <v>ICTV202318377</v>
      </c>
      <c r="R13523" t="s">
        <v>580</v>
      </c>
      <c r="S13523" t="s">
        <v>823</v>
      </c>
      <c r="T13523">
        <v>39</v>
      </c>
      <c r="U13523" s="26" t="str">
        <f t="shared" si="498"/>
        <v>2023.018M.Paramyxoviridae_reorg.zip</v>
      </c>
    </row>
    <row r="13524" spans="1:21">
      <c r="A13524">
        <v>13523</v>
      </c>
      <c r="B13524" s="27" t="s">
        <v>1124</v>
      </c>
      <c r="D13524" s="27" t="s">
        <v>1859</v>
      </c>
      <c r="F13524" s="27" t="s">
        <v>938</v>
      </c>
      <c r="G13524" s="27" t="s">
        <v>939</v>
      </c>
      <c r="H13524" s="27" t="s">
        <v>945</v>
      </c>
      <c r="J13524" s="27" t="s">
        <v>238</v>
      </c>
      <c r="L13524" s="27" t="s">
        <v>342</v>
      </c>
      <c r="M13524" s="27" t="s">
        <v>1134</v>
      </c>
      <c r="N13524" s="27" t="s">
        <v>16846</v>
      </c>
      <c r="P13524" s="27" t="s">
        <v>16857</v>
      </c>
      <c r="Q13524" s="26" t="str">
        <f>HYPERLINK("https://ictv.global/taxonomy/taxondetails?taxnode_id=202513348&amp;ictv_id=ICTV202113348","ICTV202113348")</f>
        <v>ICTV202113348</v>
      </c>
      <c r="R13524" t="s">
        <v>580</v>
      </c>
      <c r="S13524" t="s">
        <v>22764</v>
      </c>
      <c r="T13524">
        <v>39</v>
      </c>
      <c r="U13524" s="26" t="str">
        <f t="shared" si="498"/>
        <v>2023.018M.Paramyxoviridae_reorg.zip</v>
      </c>
    </row>
    <row r="13525" spans="1:21">
      <c r="A13525">
        <v>13524</v>
      </c>
      <c r="B13525" s="27" t="s">
        <v>1124</v>
      </c>
      <c r="D13525" s="27" t="s">
        <v>1859</v>
      </c>
      <c r="F13525" s="27" t="s">
        <v>938</v>
      </c>
      <c r="G13525" s="27" t="s">
        <v>939</v>
      </c>
      <c r="H13525" s="27" t="s">
        <v>945</v>
      </c>
      <c r="J13525" s="27" t="s">
        <v>238</v>
      </c>
      <c r="L13525" s="27" t="s">
        <v>342</v>
      </c>
      <c r="M13525" s="27" t="s">
        <v>1134</v>
      </c>
      <c r="N13525" s="27" t="s">
        <v>16846</v>
      </c>
      <c r="P13525" s="27" t="s">
        <v>16858</v>
      </c>
      <c r="Q13525" s="26" t="str">
        <f>HYPERLINK("https://ictv.global/taxonomy/taxondetails?taxnode_id=202507560&amp;ictv_id=ICTV201907560","ICTV201907560")</f>
        <v>ICTV201907560</v>
      </c>
      <c r="R13525" t="s">
        <v>580</v>
      </c>
      <c r="S13525" t="s">
        <v>22764</v>
      </c>
      <c r="T13525">
        <v>39</v>
      </c>
      <c r="U13525" s="26" t="str">
        <f t="shared" si="498"/>
        <v>2023.018M.Paramyxoviridae_reorg.zip</v>
      </c>
    </row>
    <row r="13526" spans="1:21">
      <c r="A13526">
        <v>13525</v>
      </c>
      <c r="B13526" s="27" t="s">
        <v>1124</v>
      </c>
      <c r="D13526" s="27" t="s">
        <v>1859</v>
      </c>
      <c r="F13526" s="27" t="s">
        <v>938</v>
      </c>
      <c r="G13526" s="27" t="s">
        <v>939</v>
      </c>
      <c r="H13526" s="27" t="s">
        <v>945</v>
      </c>
      <c r="J13526" s="27" t="s">
        <v>238</v>
      </c>
      <c r="L13526" s="27" t="s">
        <v>342</v>
      </c>
      <c r="M13526" s="27" t="s">
        <v>1134</v>
      </c>
      <c r="N13526" s="27" t="s">
        <v>16846</v>
      </c>
      <c r="P13526" s="27" t="s">
        <v>16859</v>
      </c>
      <c r="Q13526" s="26" t="str">
        <f>HYPERLINK("https://ictv.global/taxonomy/taxondetails?taxnode_id=202518376&amp;ictv_id=ICTV202318376","ICTV202318376")</f>
        <v>ICTV202318376</v>
      </c>
      <c r="R13526" t="s">
        <v>580</v>
      </c>
      <c r="S13526" t="s">
        <v>823</v>
      </c>
      <c r="T13526">
        <v>39</v>
      </c>
      <c r="U13526" s="26" t="str">
        <f t="shared" si="498"/>
        <v>2023.018M.Paramyxoviridae_reorg.zip</v>
      </c>
    </row>
    <row r="13527" spans="1:21">
      <c r="A13527">
        <v>13526</v>
      </c>
      <c r="B13527" s="27" t="s">
        <v>1124</v>
      </c>
      <c r="D13527" s="27" t="s">
        <v>1859</v>
      </c>
      <c r="F13527" s="27" t="s">
        <v>938</v>
      </c>
      <c r="G13527" s="27" t="s">
        <v>939</v>
      </c>
      <c r="H13527" s="27" t="s">
        <v>945</v>
      </c>
      <c r="J13527" s="27" t="s">
        <v>238</v>
      </c>
      <c r="L13527" s="27" t="s">
        <v>342</v>
      </c>
      <c r="M13527" s="27" t="s">
        <v>1134</v>
      </c>
      <c r="N13527" s="27" t="s">
        <v>16846</v>
      </c>
      <c r="P13527" s="27" t="s">
        <v>16860</v>
      </c>
      <c r="Q13527" s="26" t="str">
        <f>HYPERLINK("https://ictv.global/taxonomy/taxondetails?taxnode_id=202518380&amp;ictv_id=ICTV202318380","ICTV202318380")</f>
        <v>ICTV202318380</v>
      </c>
      <c r="R13527" t="s">
        <v>580</v>
      </c>
      <c r="S13527" t="s">
        <v>823</v>
      </c>
      <c r="T13527">
        <v>39</v>
      </c>
      <c r="U13527" s="26" t="str">
        <f t="shared" si="498"/>
        <v>2023.018M.Paramyxoviridae_reorg.zip</v>
      </c>
    </row>
    <row r="13528" spans="1:21">
      <c r="A13528">
        <v>13527</v>
      </c>
      <c r="B13528" s="27" t="s">
        <v>1124</v>
      </c>
      <c r="D13528" s="27" t="s">
        <v>1859</v>
      </c>
      <c r="F13528" s="27" t="s">
        <v>938</v>
      </c>
      <c r="G13528" s="27" t="s">
        <v>939</v>
      </c>
      <c r="H13528" s="27" t="s">
        <v>945</v>
      </c>
      <c r="J13528" s="27" t="s">
        <v>238</v>
      </c>
      <c r="L13528" s="27" t="s">
        <v>342</v>
      </c>
      <c r="M13528" s="27" t="s">
        <v>1134</v>
      </c>
      <c r="N13528" s="27" t="s">
        <v>16846</v>
      </c>
      <c r="P13528" s="27" t="s">
        <v>16861</v>
      </c>
      <c r="Q13528" s="26" t="str">
        <f>HYPERLINK("https://ictv.global/taxonomy/taxondetails?taxnode_id=202518381&amp;ictv_id=ICTV202318381","ICTV202318381")</f>
        <v>ICTV202318381</v>
      </c>
      <c r="R13528" t="s">
        <v>580</v>
      </c>
      <c r="S13528" t="s">
        <v>823</v>
      </c>
      <c r="T13528">
        <v>39</v>
      </c>
      <c r="U13528" s="26" t="str">
        <f t="shared" si="498"/>
        <v>2023.018M.Paramyxoviridae_reorg.zip</v>
      </c>
    </row>
    <row r="13529" spans="1:21">
      <c r="A13529">
        <v>13528</v>
      </c>
      <c r="B13529" s="27" t="s">
        <v>1124</v>
      </c>
      <c r="D13529" s="27" t="s">
        <v>1859</v>
      </c>
      <c r="F13529" s="27" t="s">
        <v>938</v>
      </c>
      <c r="G13529" s="27" t="s">
        <v>939</v>
      </c>
      <c r="H13529" s="27" t="s">
        <v>945</v>
      </c>
      <c r="J13529" s="27" t="s">
        <v>238</v>
      </c>
      <c r="L13529" s="27" t="s">
        <v>342</v>
      </c>
      <c r="M13529" s="27" t="s">
        <v>1134</v>
      </c>
      <c r="N13529" s="27" t="s">
        <v>16846</v>
      </c>
      <c r="P13529" s="27" t="s">
        <v>16862</v>
      </c>
      <c r="Q13529" s="26" t="str">
        <f>HYPERLINK("https://ictv.global/taxonomy/taxondetails?taxnode_id=202518373&amp;ictv_id=ICTV202318373","ICTV202318373")</f>
        <v>ICTV202318373</v>
      </c>
      <c r="R13529" t="s">
        <v>580</v>
      </c>
      <c r="S13529" t="s">
        <v>823</v>
      </c>
      <c r="T13529">
        <v>39</v>
      </c>
      <c r="U13529" s="26" t="str">
        <f t="shared" si="498"/>
        <v>2023.018M.Paramyxoviridae_reorg.zip</v>
      </c>
    </row>
    <row r="13530" spans="1:21">
      <c r="A13530">
        <v>13529</v>
      </c>
      <c r="B13530" s="27" t="s">
        <v>1124</v>
      </c>
      <c r="D13530" s="27" t="s">
        <v>1859</v>
      </c>
      <c r="F13530" s="27" t="s">
        <v>938</v>
      </c>
      <c r="G13530" s="27" t="s">
        <v>939</v>
      </c>
      <c r="H13530" s="27" t="s">
        <v>945</v>
      </c>
      <c r="J13530" s="27" t="s">
        <v>238</v>
      </c>
      <c r="L13530" s="27" t="s">
        <v>342</v>
      </c>
      <c r="M13530" s="27" t="s">
        <v>1134</v>
      </c>
      <c r="N13530" s="27" t="s">
        <v>16846</v>
      </c>
      <c r="P13530" s="27" t="s">
        <v>16863</v>
      </c>
      <c r="Q13530" s="26" t="str">
        <f>HYPERLINK("https://ictv.global/taxonomy/taxondetails?taxnode_id=202518378&amp;ictv_id=ICTV202318378","ICTV202318378")</f>
        <v>ICTV202318378</v>
      </c>
      <c r="R13530" t="s">
        <v>580</v>
      </c>
      <c r="S13530" t="s">
        <v>823</v>
      </c>
      <c r="T13530">
        <v>39</v>
      </c>
      <c r="U13530" s="26" t="str">
        <f t="shared" si="498"/>
        <v>2023.018M.Paramyxoviridae_reorg.zip</v>
      </c>
    </row>
    <row r="13531" spans="1:21">
      <c r="A13531">
        <v>13530</v>
      </c>
      <c r="B13531" s="27" t="s">
        <v>1124</v>
      </c>
      <c r="D13531" s="27" t="s">
        <v>1859</v>
      </c>
      <c r="F13531" s="27" t="s">
        <v>938</v>
      </c>
      <c r="G13531" s="27" t="s">
        <v>939</v>
      </c>
      <c r="H13531" s="27" t="s">
        <v>945</v>
      </c>
      <c r="J13531" s="27" t="s">
        <v>238</v>
      </c>
      <c r="L13531" s="27" t="s">
        <v>342</v>
      </c>
      <c r="M13531" s="27" t="s">
        <v>1134</v>
      </c>
      <c r="N13531" s="27" t="s">
        <v>16846</v>
      </c>
      <c r="P13531" s="27" t="s">
        <v>16864</v>
      </c>
      <c r="Q13531" s="26" t="str">
        <f>HYPERLINK("https://ictv.global/taxonomy/taxondetails?taxnode_id=202518379&amp;ictv_id=ICTV202318379","ICTV202318379")</f>
        <v>ICTV202318379</v>
      </c>
      <c r="R13531" t="s">
        <v>580</v>
      </c>
      <c r="S13531" t="s">
        <v>823</v>
      </c>
      <c r="T13531">
        <v>39</v>
      </c>
      <c r="U13531" s="26" t="str">
        <f t="shared" si="498"/>
        <v>2023.018M.Paramyxoviridae_reorg.zip</v>
      </c>
    </row>
    <row r="13532" spans="1:21">
      <c r="A13532">
        <v>13531</v>
      </c>
      <c r="B13532" s="27" t="s">
        <v>1124</v>
      </c>
      <c r="D13532" s="27" t="s">
        <v>1859</v>
      </c>
      <c r="F13532" s="27" t="s">
        <v>938</v>
      </c>
      <c r="G13532" s="27" t="s">
        <v>939</v>
      </c>
      <c r="H13532" s="27" t="s">
        <v>945</v>
      </c>
      <c r="J13532" s="27" t="s">
        <v>238</v>
      </c>
      <c r="L13532" s="27" t="s">
        <v>342</v>
      </c>
      <c r="M13532" s="27" t="s">
        <v>1134</v>
      </c>
      <c r="N13532" s="27" t="s">
        <v>16865</v>
      </c>
      <c r="P13532" s="27" t="s">
        <v>16866</v>
      </c>
      <c r="Q13532" s="26" t="str">
        <f>HYPERLINK("https://ictv.global/taxonomy/taxondetails?taxnode_id=202518341&amp;ictv_id=ICTV202318341","ICTV202318341")</f>
        <v>ICTV202318341</v>
      </c>
      <c r="R13532" t="s">
        <v>580</v>
      </c>
      <c r="S13532" t="s">
        <v>823</v>
      </c>
      <c r="T13532">
        <v>39</v>
      </c>
      <c r="U13532" s="26" t="str">
        <f t="shared" si="498"/>
        <v>2023.018M.Paramyxoviridae_reorg.zip</v>
      </c>
    </row>
    <row r="13533" spans="1:21">
      <c r="A13533">
        <v>13532</v>
      </c>
      <c r="B13533" s="27" t="s">
        <v>1124</v>
      </c>
      <c r="D13533" s="27" t="s">
        <v>1859</v>
      </c>
      <c r="F13533" s="27" t="s">
        <v>938</v>
      </c>
      <c r="G13533" s="27" t="s">
        <v>939</v>
      </c>
      <c r="H13533" s="27" t="s">
        <v>945</v>
      </c>
      <c r="J13533" s="27" t="s">
        <v>238</v>
      </c>
      <c r="L13533" s="27" t="s">
        <v>342</v>
      </c>
      <c r="M13533" s="27" t="s">
        <v>1134</v>
      </c>
      <c r="N13533" s="27" t="s">
        <v>16865</v>
      </c>
      <c r="P13533" s="27" t="s">
        <v>16867</v>
      </c>
      <c r="Q13533" s="26" t="str">
        <f>HYPERLINK("https://ictv.global/taxonomy/taxondetails?taxnode_id=202518343&amp;ictv_id=ICTV202318343","ICTV202318343")</f>
        <v>ICTV202318343</v>
      </c>
      <c r="R13533" t="s">
        <v>580</v>
      </c>
      <c r="S13533" t="s">
        <v>823</v>
      </c>
      <c r="T13533">
        <v>39</v>
      </c>
      <c r="U13533" s="26" t="str">
        <f t="shared" si="498"/>
        <v>2023.018M.Paramyxoviridae_reorg.zip</v>
      </c>
    </row>
    <row r="13534" spans="1:21">
      <c r="A13534">
        <v>13533</v>
      </c>
      <c r="B13534" s="27" t="s">
        <v>1124</v>
      </c>
      <c r="D13534" s="27" t="s">
        <v>1859</v>
      </c>
      <c r="F13534" s="27" t="s">
        <v>938</v>
      </c>
      <c r="G13534" s="27" t="s">
        <v>939</v>
      </c>
      <c r="H13534" s="27" t="s">
        <v>945</v>
      </c>
      <c r="J13534" s="27" t="s">
        <v>238</v>
      </c>
      <c r="L13534" s="27" t="s">
        <v>342</v>
      </c>
      <c r="M13534" s="27" t="s">
        <v>1134</v>
      </c>
      <c r="N13534" s="27" t="s">
        <v>16865</v>
      </c>
      <c r="P13534" s="27" t="s">
        <v>16868</v>
      </c>
      <c r="Q13534" s="26" t="str">
        <f>HYPERLINK("https://ictv.global/taxonomy/taxondetails?taxnode_id=202518342&amp;ictv_id=ICTV202318342","ICTV202318342")</f>
        <v>ICTV202318342</v>
      </c>
      <c r="R13534" t="s">
        <v>580</v>
      </c>
      <c r="S13534" t="s">
        <v>823</v>
      </c>
      <c r="T13534">
        <v>39</v>
      </c>
      <c r="U13534" s="26" t="str">
        <f t="shared" si="498"/>
        <v>2023.018M.Paramyxoviridae_reorg.zip</v>
      </c>
    </row>
    <row r="13535" spans="1:21">
      <c r="A13535">
        <v>13534</v>
      </c>
      <c r="B13535" s="27" t="s">
        <v>1124</v>
      </c>
      <c r="D13535" s="27" t="s">
        <v>1859</v>
      </c>
      <c r="F13535" s="27" t="s">
        <v>938</v>
      </c>
      <c r="G13535" s="27" t="s">
        <v>939</v>
      </c>
      <c r="H13535" s="27" t="s">
        <v>945</v>
      </c>
      <c r="J13535" s="27" t="s">
        <v>238</v>
      </c>
      <c r="L13535" s="27" t="s">
        <v>342</v>
      </c>
      <c r="M13535" s="27" t="s">
        <v>1134</v>
      </c>
      <c r="N13535" s="27" t="s">
        <v>16865</v>
      </c>
      <c r="P13535" s="27" t="s">
        <v>16869</v>
      </c>
      <c r="Q13535" s="26" t="str">
        <f>HYPERLINK("https://ictv.global/taxonomy/taxondetails?taxnode_id=202518340&amp;ictv_id=ICTV202318340","ICTV202318340")</f>
        <v>ICTV202318340</v>
      </c>
      <c r="R13535" t="s">
        <v>580</v>
      </c>
      <c r="S13535" t="s">
        <v>823</v>
      </c>
      <c r="T13535">
        <v>39</v>
      </c>
      <c r="U13535" s="26" t="str">
        <f t="shared" si="498"/>
        <v>2023.018M.Paramyxoviridae_reorg.zip</v>
      </c>
    </row>
    <row r="13536" spans="1:21">
      <c r="A13536">
        <v>13535</v>
      </c>
      <c r="B13536" s="27" t="s">
        <v>1124</v>
      </c>
      <c r="D13536" s="27" t="s">
        <v>1859</v>
      </c>
      <c r="F13536" s="27" t="s">
        <v>938</v>
      </c>
      <c r="G13536" s="27" t="s">
        <v>939</v>
      </c>
      <c r="H13536" s="27" t="s">
        <v>945</v>
      </c>
      <c r="J13536" s="27" t="s">
        <v>238</v>
      </c>
      <c r="L13536" s="27" t="s">
        <v>342</v>
      </c>
      <c r="M13536" s="27" t="s">
        <v>1134</v>
      </c>
      <c r="N13536" s="27" t="s">
        <v>1137</v>
      </c>
      <c r="P13536" s="27" t="s">
        <v>9491</v>
      </c>
      <c r="Q13536" s="26" t="str">
        <f>HYPERLINK("https://ictv.global/taxonomy/taxondetails?taxnode_id=202506466&amp;ictv_id=ICTV201856466","ICTV201856466")</f>
        <v>ICTV201856466</v>
      </c>
      <c r="R13536" t="s">
        <v>580</v>
      </c>
      <c r="S13536" t="s">
        <v>824</v>
      </c>
      <c r="T13536">
        <v>38</v>
      </c>
      <c r="U13536" s="26" t="str">
        <f>HYPERLINK("https://ictv.global/ictv/proposals/2021.026M.Paramyxoviridae_sprename.zip","2021.026M.Paramyxoviridae_sprename.zip")</f>
        <v>2021.026M.Paramyxoviridae_sprename.zip</v>
      </c>
    </row>
    <row r="13537" spans="1:21">
      <c r="A13537">
        <v>13536</v>
      </c>
      <c r="B13537" s="27" t="s">
        <v>1124</v>
      </c>
      <c r="D13537" s="27" t="s">
        <v>1859</v>
      </c>
      <c r="F13537" s="27" t="s">
        <v>938</v>
      </c>
      <c r="G13537" s="27" t="s">
        <v>939</v>
      </c>
      <c r="H13537" s="27" t="s">
        <v>945</v>
      </c>
      <c r="J13537" s="27" t="s">
        <v>238</v>
      </c>
      <c r="L13537" s="27" t="s">
        <v>342</v>
      </c>
      <c r="M13537" s="27" t="s">
        <v>1134</v>
      </c>
      <c r="N13537" s="27" t="s">
        <v>16870</v>
      </c>
      <c r="P13537" s="27" t="s">
        <v>16871</v>
      </c>
      <c r="Q13537" s="26" t="str">
        <f>HYPERLINK("https://ictv.global/taxonomy/taxondetails?taxnode_id=202506463&amp;ictv_id=ICTV201856463","ICTV201856463")</f>
        <v>ICTV201856463</v>
      </c>
      <c r="R13537" t="s">
        <v>580</v>
      </c>
      <c r="S13537" t="s">
        <v>22764</v>
      </c>
      <c r="T13537">
        <v>39</v>
      </c>
      <c r="U13537" s="26" t="str">
        <f>HYPERLINK("https://ictv.global/ictv/proposals/2023.018M.Paramyxoviridae_reorg.zip","2023.018M.Paramyxoviridae_reorg.zip")</f>
        <v>2023.018M.Paramyxoviridae_reorg.zip</v>
      </c>
    </row>
    <row r="13538" spans="1:21">
      <c r="A13538">
        <v>13537</v>
      </c>
      <c r="B13538" s="27" t="s">
        <v>1124</v>
      </c>
      <c r="D13538" s="27" t="s">
        <v>1859</v>
      </c>
      <c r="F13538" s="27" t="s">
        <v>938</v>
      </c>
      <c r="G13538" s="27" t="s">
        <v>939</v>
      </c>
      <c r="H13538" s="27" t="s">
        <v>945</v>
      </c>
      <c r="J13538" s="27" t="s">
        <v>238</v>
      </c>
      <c r="L13538" s="27" t="s">
        <v>342</v>
      </c>
      <c r="M13538" s="27" t="s">
        <v>1138</v>
      </c>
      <c r="N13538" s="27" t="s">
        <v>1139</v>
      </c>
      <c r="P13538" s="27" t="s">
        <v>9492</v>
      </c>
      <c r="Q13538" s="26" t="str">
        <f>HYPERLINK("https://ictv.global/taxonomy/taxondetails?taxnode_id=202501631&amp;ictv_id=ICTV19990434","ICTV19990434")</f>
        <v>ICTV19990434</v>
      </c>
      <c r="R13538" t="s">
        <v>580</v>
      </c>
      <c r="S13538" t="s">
        <v>824</v>
      </c>
      <c r="T13538">
        <v>38</v>
      </c>
      <c r="U13538" s="26" t="str">
        <f>HYPERLINK("https://ictv.global/ictv/proposals/2021.026M.Paramyxoviridae_sprename.zip","2021.026M.Paramyxoviridae_sprename.zip")</f>
        <v>2021.026M.Paramyxoviridae_sprename.zip</v>
      </c>
    </row>
    <row r="13539" spans="1:21">
      <c r="A13539">
        <v>13538</v>
      </c>
      <c r="B13539" s="27" t="s">
        <v>1124</v>
      </c>
      <c r="D13539" s="27" t="s">
        <v>1859</v>
      </c>
      <c r="F13539" s="27" t="s">
        <v>938</v>
      </c>
      <c r="G13539" s="27" t="s">
        <v>939</v>
      </c>
      <c r="H13539" s="27" t="s">
        <v>945</v>
      </c>
      <c r="J13539" s="27" t="s">
        <v>238</v>
      </c>
      <c r="L13539" s="27" t="s">
        <v>342</v>
      </c>
      <c r="M13539" s="27" t="s">
        <v>1138</v>
      </c>
      <c r="N13539" s="27" t="s">
        <v>1139</v>
      </c>
      <c r="P13539" s="27" t="s">
        <v>9493</v>
      </c>
      <c r="Q13539" s="26" t="str">
        <f>HYPERLINK("https://ictv.global/taxonomy/taxondetails?taxnode_id=202501630&amp;ictv_id=ICTV19950309","ICTV19950309")</f>
        <v>ICTV19950309</v>
      </c>
      <c r="R13539" t="s">
        <v>580</v>
      </c>
      <c r="S13539" t="s">
        <v>824</v>
      </c>
      <c r="T13539">
        <v>38</v>
      </c>
      <c r="U13539" s="26" t="str">
        <f>HYPERLINK("https://ictv.global/ictv/proposals/2021.026M.Paramyxoviridae_sprename.zip","2021.026M.Paramyxoviridae_sprename.zip")</f>
        <v>2021.026M.Paramyxoviridae_sprename.zip</v>
      </c>
    </row>
    <row r="13540" spans="1:21">
      <c r="A13540">
        <v>13539</v>
      </c>
      <c r="B13540" s="27" t="s">
        <v>1124</v>
      </c>
      <c r="D13540" s="27" t="s">
        <v>1859</v>
      </c>
      <c r="F13540" s="27" t="s">
        <v>938</v>
      </c>
      <c r="G13540" s="27" t="s">
        <v>939</v>
      </c>
      <c r="H13540" s="27" t="s">
        <v>945</v>
      </c>
      <c r="J13540" s="27" t="s">
        <v>238</v>
      </c>
      <c r="L13540" s="27" t="s">
        <v>342</v>
      </c>
      <c r="M13540" s="27" t="s">
        <v>1138</v>
      </c>
      <c r="N13540" s="27" t="s">
        <v>1139</v>
      </c>
      <c r="P13540" s="27" t="s">
        <v>9494</v>
      </c>
      <c r="Q13540" s="26" t="str">
        <f>HYPERLINK("https://ictv.global/taxonomy/taxondetails?taxnode_id=202501632&amp;ictv_id=ICTV19950316","ICTV19950316")</f>
        <v>ICTV19950316</v>
      </c>
      <c r="R13540" t="s">
        <v>580</v>
      </c>
      <c r="S13540" t="s">
        <v>824</v>
      </c>
      <c r="T13540">
        <v>38</v>
      </c>
      <c r="U13540" s="26" t="str">
        <f>HYPERLINK("https://ictv.global/ictv/proposals/2021.026M.Paramyxoviridae_sprename.zip","2021.026M.Paramyxoviridae_sprename.zip")</f>
        <v>2021.026M.Paramyxoviridae_sprename.zip</v>
      </c>
    </row>
    <row r="13541" spans="1:21">
      <c r="A13541">
        <v>13540</v>
      </c>
      <c r="B13541" s="27" t="s">
        <v>1124</v>
      </c>
      <c r="D13541" s="27" t="s">
        <v>1859</v>
      </c>
      <c r="F13541" s="27" t="s">
        <v>938</v>
      </c>
      <c r="G13541" s="27" t="s">
        <v>939</v>
      </c>
      <c r="H13541" s="27" t="s">
        <v>945</v>
      </c>
      <c r="J13541" s="27" t="s">
        <v>238</v>
      </c>
      <c r="L13541" s="27" t="s">
        <v>342</v>
      </c>
      <c r="M13541" s="27" t="s">
        <v>1138</v>
      </c>
      <c r="N13541" s="27" t="s">
        <v>1139</v>
      </c>
      <c r="P13541" s="27" t="s">
        <v>9495</v>
      </c>
      <c r="Q13541" s="26" t="str">
        <f>HYPERLINK("https://ictv.global/taxonomy/taxondetails?taxnode_id=202501633&amp;ictv_id=ICTV19990435","ICTV19990435")</f>
        <v>ICTV19990435</v>
      </c>
      <c r="R13541" t="s">
        <v>580</v>
      </c>
      <c r="S13541" t="s">
        <v>824</v>
      </c>
      <c r="T13541">
        <v>38</v>
      </c>
      <c r="U13541" s="26" t="str">
        <f>HYPERLINK("https://ictv.global/ictv/proposals/2021.026M.Paramyxoviridae_sprename.zip","2021.026M.Paramyxoviridae_sprename.zip")</f>
        <v>2021.026M.Paramyxoviridae_sprename.zip</v>
      </c>
    </row>
    <row r="13542" spans="1:21">
      <c r="A13542">
        <v>13541</v>
      </c>
      <c r="B13542" s="27" t="s">
        <v>1124</v>
      </c>
      <c r="D13542" s="27" t="s">
        <v>1859</v>
      </c>
      <c r="F13542" s="27" t="s">
        <v>938</v>
      </c>
      <c r="G13542" s="27" t="s">
        <v>939</v>
      </c>
      <c r="H13542" s="27" t="s">
        <v>945</v>
      </c>
      <c r="J13542" s="27" t="s">
        <v>238</v>
      </c>
      <c r="L13542" s="27" t="s">
        <v>342</v>
      </c>
      <c r="M13542" s="27" t="s">
        <v>1138</v>
      </c>
      <c r="N13542" s="27" t="s">
        <v>1139</v>
      </c>
      <c r="P13542" s="27" t="s">
        <v>9496</v>
      </c>
      <c r="Q13542" s="26" t="str">
        <f>HYPERLINK("https://ictv.global/taxonomy/taxondetails?taxnode_id=202501635&amp;ictv_id=ICTV19710227","ICTV19710227")</f>
        <v>ICTV19710227</v>
      </c>
      <c r="R13542" t="s">
        <v>580</v>
      </c>
      <c r="S13542" t="s">
        <v>824</v>
      </c>
      <c r="T13542">
        <v>38</v>
      </c>
      <c r="U13542" s="26" t="str">
        <f>HYPERLINK("https://ictv.global/ictv/proposals/2021.026M.Paramyxoviridae_sprename.zip","2021.026M.Paramyxoviridae_sprename.zip")</f>
        <v>2021.026M.Paramyxoviridae_sprename.zip</v>
      </c>
    </row>
    <row r="13543" spans="1:21">
      <c r="A13543">
        <v>13542</v>
      </c>
      <c r="B13543" s="27" t="s">
        <v>1124</v>
      </c>
      <c r="D13543" s="27" t="s">
        <v>1859</v>
      </c>
      <c r="F13543" s="27" t="s">
        <v>938</v>
      </c>
      <c r="G13543" s="27" t="s">
        <v>939</v>
      </c>
      <c r="H13543" s="27" t="s">
        <v>945</v>
      </c>
      <c r="J13543" s="27" t="s">
        <v>238</v>
      </c>
      <c r="L13543" s="27" t="s">
        <v>342</v>
      </c>
      <c r="M13543" s="27" t="s">
        <v>1138</v>
      </c>
      <c r="N13543" s="27" t="s">
        <v>1139</v>
      </c>
      <c r="P13543" s="27" t="s">
        <v>16872</v>
      </c>
      <c r="Q13543" s="26" t="str">
        <f>HYPERLINK("https://ictv.global/taxonomy/taxondetails?taxnode_id=202518321&amp;ictv_id=ICTV202318321","ICTV202318321")</f>
        <v>ICTV202318321</v>
      </c>
      <c r="R13543" t="s">
        <v>580</v>
      </c>
      <c r="S13543" t="s">
        <v>823</v>
      </c>
      <c r="T13543">
        <v>39</v>
      </c>
      <c r="U13543" s="26" t="str">
        <f>HYPERLINK("https://ictv.global/ictv/proposals/2023.018M.Paramyxoviridae_reorg.zip","2023.018M.Paramyxoviridae_reorg.zip")</f>
        <v>2023.018M.Paramyxoviridae_reorg.zip</v>
      </c>
    </row>
    <row r="13544" spans="1:21">
      <c r="A13544">
        <v>13543</v>
      </c>
      <c r="B13544" s="27" t="s">
        <v>1124</v>
      </c>
      <c r="D13544" s="27" t="s">
        <v>1859</v>
      </c>
      <c r="F13544" s="27" t="s">
        <v>938</v>
      </c>
      <c r="G13544" s="27" t="s">
        <v>939</v>
      </c>
      <c r="H13544" s="27" t="s">
        <v>945</v>
      </c>
      <c r="J13544" s="27" t="s">
        <v>238</v>
      </c>
      <c r="L13544" s="27" t="s">
        <v>342</v>
      </c>
      <c r="M13544" s="27" t="s">
        <v>1138</v>
      </c>
      <c r="N13544" s="27" t="s">
        <v>1139</v>
      </c>
      <c r="P13544" s="27" t="s">
        <v>9497</v>
      </c>
      <c r="Q13544" s="26" t="str">
        <f>HYPERLINK("https://ictv.global/taxonomy/taxondetails?taxnode_id=202501637&amp;ictv_id=ICTV19950315","ICTV19950315")</f>
        <v>ICTV19950315</v>
      </c>
      <c r="R13544" t="s">
        <v>580</v>
      </c>
      <c r="S13544" t="s">
        <v>824</v>
      </c>
      <c r="T13544">
        <v>38</v>
      </c>
      <c r="U13544" s="26" t="str">
        <f>HYPERLINK("https://ictv.global/ictv/proposals/2021.026M.Paramyxoviridae_sprename.zip","2021.026M.Paramyxoviridae_sprename.zip")</f>
        <v>2021.026M.Paramyxoviridae_sprename.zip</v>
      </c>
    </row>
    <row r="13545" spans="1:21">
      <c r="A13545">
        <v>13544</v>
      </c>
      <c r="B13545" s="27" t="s">
        <v>1124</v>
      </c>
      <c r="D13545" s="27" t="s">
        <v>1859</v>
      </c>
      <c r="F13545" s="27" t="s">
        <v>938</v>
      </c>
      <c r="G13545" s="27" t="s">
        <v>939</v>
      </c>
      <c r="H13545" s="27" t="s">
        <v>945</v>
      </c>
      <c r="J13545" s="27" t="s">
        <v>238</v>
      </c>
      <c r="L13545" s="27" t="s">
        <v>342</v>
      </c>
      <c r="M13545" s="27" t="s">
        <v>1138</v>
      </c>
      <c r="N13545" s="27" t="s">
        <v>1139</v>
      </c>
      <c r="P13545" s="27" t="s">
        <v>9498</v>
      </c>
      <c r="Q13545" s="26" t="str">
        <f>HYPERLINK("https://ictv.global/taxonomy/taxondetails?taxnode_id=202501636&amp;ictv_id=ICTV19950314","ICTV19950314")</f>
        <v>ICTV19950314</v>
      </c>
      <c r="R13545" t="s">
        <v>580</v>
      </c>
      <c r="S13545" t="s">
        <v>824</v>
      </c>
      <c r="T13545">
        <v>38</v>
      </c>
      <c r="U13545" s="26" t="str">
        <f>HYPERLINK("https://ictv.global/ictv/proposals/2021.026M.Paramyxoviridae_sprename.zip","2021.026M.Paramyxoviridae_sprename.zip")</f>
        <v>2021.026M.Paramyxoviridae_sprename.zip</v>
      </c>
    </row>
    <row r="13546" spans="1:21">
      <c r="A13546">
        <v>13545</v>
      </c>
      <c r="B13546" s="27" t="s">
        <v>1124</v>
      </c>
      <c r="D13546" s="27" t="s">
        <v>1859</v>
      </c>
      <c r="F13546" s="27" t="s">
        <v>938</v>
      </c>
      <c r="G13546" s="27" t="s">
        <v>939</v>
      </c>
      <c r="H13546" s="27" t="s">
        <v>945</v>
      </c>
      <c r="J13546" s="27" t="s">
        <v>238</v>
      </c>
      <c r="L13546" s="27" t="s">
        <v>342</v>
      </c>
      <c r="M13546" s="27" t="s">
        <v>1138</v>
      </c>
      <c r="N13546" s="27" t="s">
        <v>1140</v>
      </c>
      <c r="P13546" s="27" t="s">
        <v>9499</v>
      </c>
      <c r="Q13546" s="26" t="str">
        <f>HYPERLINK("https://ictv.global/taxonomy/taxondetails?taxnode_id=202501628&amp;ictv_id=ICTV20165116","ICTV20165116")</f>
        <v>ICTV20165116</v>
      </c>
      <c r="R13546" t="s">
        <v>580</v>
      </c>
      <c r="S13546" t="s">
        <v>824</v>
      </c>
      <c r="T13546">
        <v>38</v>
      </c>
      <c r="U13546" s="26" t="str">
        <f>HYPERLINK("https://ictv.global/ictv/proposals/2021.026M.Paramyxoviridae_sprename.zip","2021.026M.Paramyxoviridae_sprename.zip")</f>
        <v>2021.026M.Paramyxoviridae_sprename.zip</v>
      </c>
    </row>
    <row r="13547" spans="1:21">
      <c r="A13547">
        <v>13546</v>
      </c>
      <c r="B13547" s="27" t="s">
        <v>1124</v>
      </c>
      <c r="D13547" s="27" t="s">
        <v>1859</v>
      </c>
      <c r="F13547" s="27" t="s">
        <v>938</v>
      </c>
      <c r="G13547" s="27" t="s">
        <v>939</v>
      </c>
      <c r="H13547" s="27" t="s">
        <v>945</v>
      </c>
      <c r="J13547" s="27" t="s">
        <v>238</v>
      </c>
      <c r="L13547" s="27" t="s">
        <v>342</v>
      </c>
      <c r="M13547" s="27" t="s">
        <v>1138</v>
      </c>
      <c r="N13547" s="27" t="s">
        <v>1140</v>
      </c>
      <c r="P13547" s="27" t="s">
        <v>9500</v>
      </c>
      <c r="Q13547" s="26" t="str">
        <f>HYPERLINK("https://ictv.global/taxonomy/taxondetails?taxnode_id=202501627&amp;ictv_id=ICTV20165115","ICTV20165115")</f>
        <v>ICTV20165115</v>
      </c>
      <c r="R13547" t="s">
        <v>580</v>
      </c>
      <c r="S13547" t="s">
        <v>824</v>
      </c>
      <c r="T13547">
        <v>38</v>
      </c>
      <c r="U13547" s="26" t="str">
        <f>HYPERLINK("https://ictv.global/ictv/proposals/2021.026M.Paramyxoviridae_sprename.zip","2021.026M.Paramyxoviridae_sprename.zip")</f>
        <v>2021.026M.Paramyxoviridae_sprename.zip</v>
      </c>
    </row>
    <row r="13548" spans="1:21">
      <c r="A13548">
        <v>13547</v>
      </c>
      <c r="B13548" s="27" t="s">
        <v>1124</v>
      </c>
      <c r="D13548" s="27" t="s">
        <v>1859</v>
      </c>
      <c r="F13548" s="27" t="s">
        <v>938</v>
      </c>
      <c r="G13548" s="27" t="s">
        <v>939</v>
      </c>
      <c r="H13548" s="27" t="s">
        <v>945</v>
      </c>
      <c r="J13548" s="27" t="s">
        <v>238</v>
      </c>
      <c r="L13548" s="27" t="s">
        <v>342</v>
      </c>
      <c r="M13548" s="27" t="s">
        <v>1138</v>
      </c>
      <c r="N13548" s="27" t="s">
        <v>1140</v>
      </c>
      <c r="P13548" s="27" t="s">
        <v>9501</v>
      </c>
      <c r="Q13548" s="26" t="str">
        <f>HYPERLINK("https://ictv.global/taxonomy/taxondetails?taxnode_id=202501642&amp;ictv_id=ICTV20165123","ICTV20165123")</f>
        <v>ICTV20165123</v>
      </c>
      <c r="R13548" t="s">
        <v>580</v>
      </c>
      <c r="S13548" t="s">
        <v>824</v>
      </c>
      <c r="T13548">
        <v>38</v>
      </c>
      <c r="U13548" s="26" t="str">
        <f>HYPERLINK("https://ictv.global/ictv/proposals/2021.026M.Paramyxoviridae_sprename.zip","2021.026M.Paramyxoviridae_sprename.zip")</f>
        <v>2021.026M.Paramyxoviridae_sprename.zip</v>
      </c>
    </row>
    <row r="13549" spans="1:21">
      <c r="A13549">
        <v>13548</v>
      </c>
      <c r="B13549" s="27" t="s">
        <v>1124</v>
      </c>
      <c r="D13549" s="27" t="s">
        <v>1859</v>
      </c>
      <c r="F13549" s="27" t="s">
        <v>938</v>
      </c>
      <c r="G13549" s="27" t="s">
        <v>939</v>
      </c>
      <c r="H13549" s="27" t="s">
        <v>945</v>
      </c>
      <c r="J13549" s="27" t="s">
        <v>238</v>
      </c>
      <c r="L13549" s="27" t="s">
        <v>342</v>
      </c>
      <c r="M13549" s="27" t="s">
        <v>1138</v>
      </c>
      <c r="N13549" s="27" t="s">
        <v>1140</v>
      </c>
      <c r="P13549" s="27" t="s">
        <v>16873</v>
      </c>
      <c r="Q13549" s="26" t="str">
        <f>HYPERLINK("https://ictv.global/taxonomy/taxondetails?taxnode_id=202518320&amp;ictv_id=ICTV202318320","ICTV202318320")</f>
        <v>ICTV202318320</v>
      </c>
      <c r="R13549" t="s">
        <v>580</v>
      </c>
      <c r="S13549" t="s">
        <v>823</v>
      </c>
      <c r="T13549">
        <v>39</v>
      </c>
      <c r="U13549" s="26" t="str">
        <f>HYPERLINK("https://ictv.global/ictv/proposals/2023.018M.Paramyxoviridae_reorg.zip","2023.018M.Paramyxoviridae_reorg.zip")</f>
        <v>2023.018M.Paramyxoviridae_reorg.zip</v>
      </c>
    </row>
    <row r="13550" spans="1:21">
      <c r="A13550">
        <v>13549</v>
      </c>
      <c r="B13550" s="27" t="s">
        <v>1124</v>
      </c>
      <c r="D13550" s="27" t="s">
        <v>1859</v>
      </c>
      <c r="F13550" s="27" t="s">
        <v>938</v>
      </c>
      <c r="G13550" s="27" t="s">
        <v>939</v>
      </c>
      <c r="H13550" s="27" t="s">
        <v>945</v>
      </c>
      <c r="J13550" s="27" t="s">
        <v>238</v>
      </c>
      <c r="L13550" s="27" t="s">
        <v>342</v>
      </c>
      <c r="M13550" s="27" t="s">
        <v>1138</v>
      </c>
      <c r="N13550" s="27" t="s">
        <v>1140</v>
      </c>
      <c r="P13550" s="27" t="s">
        <v>9502</v>
      </c>
      <c r="Q13550" s="26" t="str">
        <f>HYPERLINK("https://ictv.global/taxonomy/taxondetails?taxnode_id=202501641&amp;ictv_id=ICTV20165122","ICTV20165122")</f>
        <v>ICTV20165122</v>
      </c>
      <c r="R13550" t="s">
        <v>580</v>
      </c>
      <c r="S13550" t="s">
        <v>824</v>
      </c>
      <c r="T13550">
        <v>38</v>
      </c>
      <c r="U13550" s="26" t="str">
        <f t="shared" ref="U13550:U13556" si="499">HYPERLINK("https://ictv.global/ictv/proposals/2021.026M.Paramyxoviridae_sprename.zip","2021.026M.Paramyxoviridae_sprename.zip")</f>
        <v>2021.026M.Paramyxoviridae_sprename.zip</v>
      </c>
    </row>
    <row r="13551" spans="1:21">
      <c r="A13551">
        <v>13550</v>
      </c>
      <c r="B13551" s="27" t="s">
        <v>1124</v>
      </c>
      <c r="D13551" s="27" t="s">
        <v>1859</v>
      </c>
      <c r="F13551" s="27" t="s">
        <v>938</v>
      </c>
      <c r="G13551" s="27" t="s">
        <v>939</v>
      </c>
      <c r="H13551" s="27" t="s">
        <v>945</v>
      </c>
      <c r="J13551" s="27" t="s">
        <v>238</v>
      </c>
      <c r="L13551" s="27" t="s">
        <v>342</v>
      </c>
      <c r="M13551" s="27" t="s">
        <v>1138</v>
      </c>
      <c r="N13551" s="27" t="s">
        <v>1140</v>
      </c>
      <c r="P13551" s="27" t="s">
        <v>9503</v>
      </c>
      <c r="Q13551" s="26" t="str">
        <f>HYPERLINK("https://ictv.global/taxonomy/taxondetails?taxnode_id=202507558&amp;ictv_id=ICTV201907558","ICTV201907558")</f>
        <v>ICTV201907558</v>
      </c>
      <c r="R13551" t="s">
        <v>580</v>
      </c>
      <c r="S13551" t="s">
        <v>824</v>
      </c>
      <c r="T13551">
        <v>38</v>
      </c>
      <c r="U13551" s="26" t="str">
        <f t="shared" si="499"/>
        <v>2021.026M.Paramyxoviridae_sprename.zip</v>
      </c>
    </row>
    <row r="13552" spans="1:21">
      <c r="A13552">
        <v>13551</v>
      </c>
      <c r="B13552" s="27" t="s">
        <v>1124</v>
      </c>
      <c r="D13552" s="27" t="s">
        <v>1859</v>
      </c>
      <c r="F13552" s="27" t="s">
        <v>938</v>
      </c>
      <c r="G13552" s="27" t="s">
        <v>939</v>
      </c>
      <c r="H13552" s="27" t="s">
        <v>945</v>
      </c>
      <c r="J13552" s="27" t="s">
        <v>238</v>
      </c>
      <c r="L13552" s="27" t="s">
        <v>342</v>
      </c>
      <c r="M13552" s="27" t="s">
        <v>1138</v>
      </c>
      <c r="N13552" s="27" t="s">
        <v>1140</v>
      </c>
      <c r="P13552" s="27" t="s">
        <v>9504</v>
      </c>
      <c r="Q13552" s="26" t="str">
        <f>HYPERLINK("https://ictv.global/taxonomy/taxondetails?taxnode_id=202501643&amp;ictv_id=ICTV20165124","ICTV20165124")</f>
        <v>ICTV20165124</v>
      </c>
      <c r="R13552" t="s">
        <v>580</v>
      </c>
      <c r="S13552" t="s">
        <v>824</v>
      </c>
      <c r="T13552">
        <v>38</v>
      </c>
      <c r="U13552" s="26" t="str">
        <f t="shared" si="499"/>
        <v>2021.026M.Paramyxoviridae_sprename.zip</v>
      </c>
    </row>
    <row r="13553" spans="1:21">
      <c r="A13553">
        <v>13552</v>
      </c>
      <c r="B13553" s="27" t="s">
        <v>1124</v>
      </c>
      <c r="D13553" s="27" t="s">
        <v>1859</v>
      </c>
      <c r="F13553" s="27" t="s">
        <v>938</v>
      </c>
      <c r="G13553" s="27" t="s">
        <v>939</v>
      </c>
      <c r="H13553" s="27" t="s">
        <v>945</v>
      </c>
      <c r="J13553" s="27" t="s">
        <v>238</v>
      </c>
      <c r="L13553" s="27" t="s">
        <v>342</v>
      </c>
      <c r="M13553" s="27" t="s">
        <v>1138</v>
      </c>
      <c r="N13553" s="27" t="s">
        <v>1140</v>
      </c>
      <c r="P13553" s="27" t="s">
        <v>9505</v>
      </c>
      <c r="Q13553" s="26" t="str">
        <f>HYPERLINK("https://ictv.global/taxonomy/taxondetails?taxnode_id=202501634&amp;ictv_id=ICTV20165118","ICTV20165118")</f>
        <v>ICTV20165118</v>
      </c>
      <c r="R13553" t="s">
        <v>580</v>
      </c>
      <c r="S13553" t="s">
        <v>824</v>
      </c>
      <c r="T13553">
        <v>38</v>
      </c>
      <c r="U13553" s="26" t="str">
        <f t="shared" si="499"/>
        <v>2021.026M.Paramyxoviridae_sprename.zip</v>
      </c>
    </row>
    <row r="13554" spans="1:21">
      <c r="A13554">
        <v>13553</v>
      </c>
      <c r="B13554" s="27" t="s">
        <v>1124</v>
      </c>
      <c r="D13554" s="27" t="s">
        <v>1859</v>
      </c>
      <c r="F13554" s="27" t="s">
        <v>938</v>
      </c>
      <c r="G13554" s="27" t="s">
        <v>939</v>
      </c>
      <c r="H13554" s="27" t="s">
        <v>945</v>
      </c>
      <c r="J13554" s="27" t="s">
        <v>238</v>
      </c>
      <c r="L13554" s="27" t="s">
        <v>342</v>
      </c>
      <c r="M13554" s="27" t="s">
        <v>1138</v>
      </c>
      <c r="N13554" s="27" t="s">
        <v>1140</v>
      </c>
      <c r="P13554" s="27" t="s">
        <v>9506</v>
      </c>
      <c r="Q13554" s="26" t="str">
        <f>HYPERLINK("https://ictv.global/taxonomy/taxondetails?taxnode_id=202501638&amp;ictv_id=ICTV20165119","ICTV20165119")</f>
        <v>ICTV20165119</v>
      </c>
      <c r="R13554" t="s">
        <v>580</v>
      </c>
      <c r="S13554" t="s">
        <v>824</v>
      </c>
      <c r="T13554">
        <v>38</v>
      </c>
      <c r="U13554" s="26" t="str">
        <f t="shared" si="499"/>
        <v>2021.026M.Paramyxoviridae_sprename.zip</v>
      </c>
    </row>
    <row r="13555" spans="1:21">
      <c r="A13555">
        <v>13554</v>
      </c>
      <c r="B13555" s="27" t="s">
        <v>1124</v>
      </c>
      <c r="D13555" s="27" t="s">
        <v>1859</v>
      </c>
      <c r="F13555" s="27" t="s">
        <v>938</v>
      </c>
      <c r="G13555" s="27" t="s">
        <v>939</v>
      </c>
      <c r="H13555" s="27" t="s">
        <v>945</v>
      </c>
      <c r="J13555" s="27" t="s">
        <v>238</v>
      </c>
      <c r="L13555" s="27" t="s">
        <v>342</v>
      </c>
      <c r="M13555" s="27" t="s">
        <v>1138</v>
      </c>
      <c r="N13555" s="27" t="s">
        <v>1140</v>
      </c>
      <c r="P13555" s="27" t="s">
        <v>9507</v>
      </c>
      <c r="Q13555" s="26" t="str">
        <f>HYPERLINK("https://ictv.global/taxonomy/taxondetails?taxnode_id=202501639&amp;ictv_id=ICTV20165120","ICTV20165120")</f>
        <v>ICTV20165120</v>
      </c>
      <c r="R13555" t="s">
        <v>580</v>
      </c>
      <c r="S13555" t="s">
        <v>824</v>
      </c>
      <c r="T13555">
        <v>38</v>
      </c>
      <c r="U13555" s="26" t="str">
        <f t="shared" si="499"/>
        <v>2021.026M.Paramyxoviridae_sprename.zip</v>
      </c>
    </row>
    <row r="13556" spans="1:21">
      <c r="A13556">
        <v>13555</v>
      </c>
      <c r="B13556" s="27" t="s">
        <v>1124</v>
      </c>
      <c r="D13556" s="27" t="s">
        <v>1859</v>
      </c>
      <c r="F13556" s="27" t="s">
        <v>938</v>
      </c>
      <c r="G13556" s="27" t="s">
        <v>939</v>
      </c>
      <c r="H13556" s="27" t="s">
        <v>945</v>
      </c>
      <c r="J13556" s="27" t="s">
        <v>238</v>
      </c>
      <c r="L13556" s="27" t="s">
        <v>342</v>
      </c>
      <c r="M13556" s="27" t="s">
        <v>1138</v>
      </c>
      <c r="N13556" s="27" t="s">
        <v>1140</v>
      </c>
      <c r="P13556" s="27" t="s">
        <v>9508</v>
      </c>
      <c r="Q13556" s="26" t="str">
        <f>HYPERLINK("https://ictv.global/taxonomy/taxondetails?taxnode_id=202501640&amp;ictv_id=ICTV20165121","ICTV20165121")</f>
        <v>ICTV20165121</v>
      </c>
      <c r="R13556" t="s">
        <v>580</v>
      </c>
      <c r="S13556" t="s">
        <v>824</v>
      </c>
      <c r="T13556">
        <v>38</v>
      </c>
      <c r="U13556" s="26" t="str">
        <f t="shared" si="499"/>
        <v>2021.026M.Paramyxoviridae_sprename.zip</v>
      </c>
    </row>
    <row r="13557" spans="1:21">
      <c r="A13557">
        <v>13556</v>
      </c>
      <c r="B13557" s="27" t="s">
        <v>1124</v>
      </c>
      <c r="D13557" s="27" t="s">
        <v>1859</v>
      </c>
      <c r="F13557" s="27" t="s">
        <v>938</v>
      </c>
      <c r="G13557" s="27" t="s">
        <v>939</v>
      </c>
      <c r="H13557" s="27" t="s">
        <v>945</v>
      </c>
      <c r="J13557" s="27" t="s">
        <v>238</v>
      </c>
      <c r="L13557" s="27" t="s">
        <v>342</v>
      </c>
      <c r="M13557" s="27" t="s">
        <v>16874</v>
      </c>
      <c r="N13557" s="27" t="s">
        <v>1894</v>
      </c>
      <c r="P13557" s="27" t="s">
        <v>9511</v>
      </c>
      <c r="Q13557" s="26" t="str">
        <f>HYPERLINK("https://ictv.global/taxonomy/taxondetails?taxnode_id=202506475&amp;ictv_id=ICTV201856475","ICTV201856475")</f>
        <v>ICTV201856475</v>
      </c>
      <c r="R13557" t="s">
        <v>580</v>
      </c>
      <c r="S13557" t="s">
        <v>22763</v>
      </c>
      <c r="T13557">
        <v>39</v>
      </c>
      <c r="U13557" s="26" t="str">
        <f>HYPERLINK("https://ictv.global/ictv/proposals/2023.018M.Paramyxoviridae_reorg.zip","2023.018M.Paramyxoviridae_reorg.zip")</f>
        <v>2023.018M.Paramyxoviridae_reorg.zip</v>
      </c>
    </row>
    <row r="13558" spans="1:21">
      <c r="A13558">
        <v>13557</v>
      </c>
      <c r="B13558" s="27" t="s">
        <v>1124</v>
      </c>
      <c r="D13558" s="27" t="s">
        <v>1859</v>
      </c>
      <c r="F13558" s="27" t="s">
        <v>938</v>
      </c>
      <c r="G13558" s="27" t="s">
        <v>939</v>
      </c>
      <c r="H13558" s="27" t="s">
        <v>945</v>
      </c>
      <c r="J13558" s="27" t="s">
        <v>238</v>
      </c>
      <c r="L13558" s="27" t="s">
        <v>638</v>
      </c>
      <c r="N13558" s="27" t="s">
        <v>718</v>
      </c>
      <c r="P13558" s="27" t="s">
        <v>9512</v>
      </c>
      <c r="Q13558" s="26" t="str">
        <f>HYPERLINK("https://ictv.global/taxonomy/taxondetails?taxnode_id=202501647&amp;ictv_id=ICTV19910259","ICTV19910259")</f>
        <v>ICTV19910259</v>
      </c>
      <c r="R13558" t="s">
        <v>580</v>
      </c>
      <c r="S13558" t="s">
        <v>824</v>
      </c>
      <c r="T13558">
        <v>38</v>
      </c>
      <c r="U13558" s="26" t="str">
        <f>HYPERLINK("https://ictv.global/ictv/proposals/2021.033M.Pneumoviridae_sprename.zip","2021.033M.Pneumoviridae_sprename.zip")</f>
        <v>2021.033M.Pneumoviridae_sprename.zip</v>
      </c>
    </row>
    <row r="13559" spans="1:21">
      <c r="A13559">
        <v>13558</v>
      </c>
      <c r="B13559" s="27" t="s">
        <v>1124</v>
      </c>
      <c r="D13559" s="27" t="s">
        <v>1859</v>
      </c>
      <c r="F13559" s="27" t="s">
        <v>938</v>
      </c>
      <c r="G13559" s="27" t="s">
        <v>939</v>
      </c>
      <c r="H13559" s="27" t="s">
        <v>945</v>
      </c>
      <c r="J13559" s="27" t="s">
        <v>238</v>
      </c>
      <c r="L13559" s="27" t="s">
        <v>638</v>
      </c>
      <c r="N13559" s="27" t="s">
        <v>718</v>
      </c>
      <c r="P13559" s="27" t="s">
        <v>9513</v>
      </c>
      <c r="Q13559" s="26" t="str">
        <f>HYPERLINK("https://ictv.global/taxonomy/taxondetails?taxnode_id=202501648&amp;ictv_id=ICTV20073072","ICTV20073072")</f>
        <v>ICTV20073072</v>
      </c>
      <c r="R13559" t="s">
        <v>580</v>
      </c>
      <c r="S13559" t="s">
        <v>824</v>
      </c>
      <c r="T13559">
        <v>38</v>
      </c>
      <c r="U13559" s="26" t="str">
        <f>HYPERLINK("https://ictv.global/ictv/proposals/2021.033M.Pneumoviridae_sprename.zip","2021.033M.Pneumoviridae_sprename.zip")</f>
        <v>2021.033M.Pneumoviridae_sprename.zip</v>
      </c>
    </row>
    <row r="13560" spans="1:21">
      <c r="A13560">
        <v>13559</v>
      </c>
      <c r="B13560" s="27" t="s">
        <v>1124</v>
      </c>
      <c r="D13560" s="27" t="s">
        <v>1859</v>
      </c>
      <c r="F13560" s="27" t="s">
        <v>938</v>
      </c>
      <c r="G13560" s="27" t="s">
        <v>939</v>
      </c>
      <c r="H13560" s="27" t="s">
        <v>945</v>
      </c>
      <c r="J13560" s="27" t="s">
        <v>238</v>
      </c>
      <c r="L13560" s="27" t="s">
        <v>638</v>
      </c>
      <c r="N13560" s="27" t="s">
        <v>639</v>
      </c>
      <c r="P13560" s="27" t="s">
        <v>9514</v>
      </c>
      <c r="Q13560" s="26" t="str">
        <f>HYPERLINK("https://ictv.global/taxonomy/taxondetails?taxnode_id=202501650&amp;ictv_id=ICTV19760296","ICTV19760296")</f>
        <v>ICTV19760296</v>
      </c>
      <c r="R13560" t="s">
        <v>580</v>
      </c>
      <c r="S13560" t="s">
        <v>824</v>
      </c>
      <c r="T13560">
        <v>38</v>
      </c>
      <c r="U13560" s="26" t="str">
        <f>HYPERLINK("https://ictv.global/ictv/proposals/2021.033M.Pneumoviridae_sprename.zip","2021.033M.Pneumoviridae_sprename.zip")</f>
        <v>2021.033M.Pneumoviridae_sprename.zip</v>
      </c>
    </row>
    <row r="13561" spans="1:21">
      <c r="A13561">
        <v>13560</v>
      </c>
      <c r="B13561" s="27" t="s">
        <v>1124</v>
      </c>
      <c r="D13561" s="27" t="s">
        <v>1859</v>
      </c>
      <c r="F13561" s="27" t="s">
        <v>938</v>
      </c>
      <c r="G13561" s="27" t="s">
        <v>939</v>
      </c>
      <c r="H13561" s="27" t="s">
        <v>945</v>
      </c>
      <c r="J13561" s="27" t="s">
        <v>238</v>
      </c>
      <c r="L13561" s="27" t="s">
        <v>638</v>
      </c>
      <c r="N13561" s="27" t="s">
        <v>639</v>
      </c>
      <c r="P13561" s="27" t="s">
        <v>9515</v>
      </c>
      <c r="Q13561" s="26" t="str">
        <f>HYPERLINK("https://ictv.global/taxonomy/taxondetails?taxnode_id=202501651&amp;ictv_id=ICTV19750170","ICTV19750170")</f>
        <v>ICTV19750170</v>
      </c>
      <c r="R13561" t="s">
        <v>580</v>
      </c>
      <c r="S13561" t="s">
        <v>824</v>
      </c>
      <c r="T13561">
        <v>38</v>
      </c>
      <c r="U13561" s="26" t="str">
        <f>HYPERLINK("https://ictv.global/ictv/proposals/2021.033M.Pneumoviridae_sprename.zip","2021.033M.Pneumoviridae_sprename.zip")</f>
        <v>2021.033M.Pneumoviridae_sprename.zip</v>
      </c>
    </row>
    <row r="13562" spans="1:21">
      <c r="A13562">
        <v>13561</v>
      </c>
      <c r="B13562" s="27" t="s">
        <v>1124</v>
      </c>
      <c r="D13562" s="27" t="s">
        <v>1859</v>
      </c>
      <c r="F13562" s="27" t="s">
        <v>938</v>
      </c>
      <c r="G13562" s="27" t="s">
        <v>939</v>
      </c>
      <c r="H13562" s="27" t="s">
        <v>945</v>
      </c>
      <c r="J13562" s="27" t="s">
        <v>238</v>
      </c>
      <c r="L13562" s="27" t="s">
        <v>638</v>
      </c>
      <c r="N13562" s="27" t="s">
        <v>639</v>
      </c>
      <c r="P13562" s="27" t="s">
        <v>9516</v>
      </c>
      <c r="Q13562" s="26" t="str">
        <f>HYPERLINK("https://ictv.global/taxonomy/taxondetails?taxnode_id=202501652&amp;ictv_id=ICTV19760297","ICTV19760297")</f>
        <v>ICTV19760297</v>
      </c>
      <c r="R13562" t="s">
        <v>580</v>
      </c>
      <c r="S13562" t="s">
        <v>824</v>
      </c>
      <c r="T13562">
        <v>38</v>
      </c>
      <c r="U13562" s="26" t="str">
        <f>HYPERLINK("https://ictv.global/ictv/proposals/2021.033M.Pneumoviridae_sprename.zip","2021.033M.Pneumoviridae_sprename.zip")</f>
        <v>2021.033M.Pneumoviridae_sprename.zip</v>
      </c>
    </row>
    <row r="13563" spans="1:21">
      <c r="A13563">
        <v>13562</v>
      </c>
      <c r="B13563" s="27" t="s">
        <v>1124</v>
      </c>
      <c r="D13563" s="27" t="s">
        <v>1859</v>
      </c>
      <c r="F13563" s="27" t="s">
        <v>938</v>
      </c>
      <c r="G13563" s="27" t="s">
        <v>939</v>
      </c>
      <c r="H13563" s="27" t="s">
        <v>945</v>
      </c>
      <c r="J13563" s="27" t="s">
        <v>238</v>
      </c>
      <c r="L13563" s="27" t="s">
        <v>346</v>
      </c>
      <c r="M13563" s="27" t="s">
        <v>3572</v>
      </c>
      <c r="N13563" s="27" t="s">
        <v>795</v>
      </c>
      <c r="P13563" s="27" t="s">
        <v>9517</v>
      </c>
      <c r="Q13563" s="26" t="str">
        <f>HYPERLINK("https://ictv.global/taxonomy/taxondetails?taxnode_id=202501659&amp;ictv_id=ICTV20165128","ICTV20165128")</f>
        <v>ICTV20165128</v>
      </c>
      <c r="R13563" t="s">
        <v>580</v>
      </c>
      <c r="S13563" t="s">
        <v>824</v>
      </c>
      <c r="T13563">
        <v>37</v>
      </c>
      <c r="U13563" s="26" t="str">
        <f t="shared" ref="U13563:U13568" si="500">HYPERLINK("https://ictv.global/ictv/proposals/2021.036M.R.Rhabdoviridae_sprename.zip","2021.036M.R.Rhabdoviridae_sprename.zip")</f>
        <v>2021.036M.R.Rhabdoviridae_sprename.zip</v>
      </c>
    </row>
    <row r="13564" spans="1:21">
      <c r="A13564">
        <v>13563</v>
      </c>
      <c r="B13564" s="27" t="s">
        <v>1124</v>
      </c>
      <c r="D13564" s="27" t="s">
        <v>1859</v>
      </c>
      <c r="F13564" s="27" t="s">
        <v>938</v>
      </c>
      <c r="G13564" s="27" t="s">
        <v>939</v>
      </c>
      <c r="H13564" s="27" t="s">
        <v>945</v>
      </c>
      <c r="J13564" s="27" t="s">
        <v>238</v>
      </c>
      <c r="L13564" s="27" t="s">
        <v>346</v>
      </c>
      <c r="M13564" s="27" t="s">
        <v>3572</v>
      </c>
      <c r="N13564" s="27" t="s">
        <v>795</v>
      </c>
      <c r="P13564" s="27" t="s">
        <v>9518</v>
      </c>
      <c r="Q13564" s="26" t="str">
        <f>HYPERLINK("https://ictv.global/taxonomy/taxondetails?taxnode_id=202501656&amp;ictv_id=ICTV20165125","ICTV20165125")</f>
        <v>ICTV20165125</v>
      </c>
      <c r="R13564" t="s">
        <v>580</v>
      </c>
      <c r="S13564" t="s">
        <v>824</v>
      </c>
      <c r="T13564">
        <v>37</v>
      </c>
      <c r="U13564" s="26" t="str">
        <f t="shared" si="500"/>
        <v>2021.036M.R.Rhabdoviridae_sprename.zip</v>
      </c>
    </row>
    <row r="13565" spans="1:21">
      <c r="A13565">
        <v>13564</v>
      </c>
      <c r="B13565" s="27" t="s">
        <v>1124</v>
      </c>
      <c r="D13565" s="27" t="s">
        <v>1859</v>
      </c>
      <c r="F13565" s="27" t="s">
        <v>938</v>
      </c>
      <c r="G13565" s="27" t="s">
        <v>939</v>
      </c>
      <c r="H13565" s="27" t="s">
        <v>945</v>
      </c>
      <c r="J13565" s="27" t="s">
        <v>238</v>
      </c>
      <c r="L13565" s="27" t="s">
        <v>346</v>
      </c>
      <c r="M13565" s="27" t="s">
        <v>3572</v>
      </c>
      <c r="N13565" s="27" t="s">
        <v>795</v>
      </c>
      <c r="P13565" s="27" t="s">
        <v>9519</v>
      </c>
      <c r="Q13565" s="26" t="str">
        <f>HYPERLINK("https://ictv.global/taxonomy/taxondetails?taxnode_id=202501657&amp;ictv_id=ICTV20165126","ICTV20165126")</f>
        <v>ICTV20165126</v>
      </c>
      <c r="R13565" t="s">
        <v>580</v>
      </c>
      <c r="S13565" t="s">
        <v>824</v>
      </c>
      <c r="T13565">
        <v>37</v>
      </c>
      <c r="U13565" s="26" t="str">
        <f t="shared" si="500"/>
        <v>2021.036M.R.Rhabdoviridae_sprename.zip</v>
      </c>
    </row>
    <row r="13566" spans="1:21">
      <c r="A13566">
        <v>13565</v>
      </c>
      <c r="B13566" s="27" t="s">
        <v>1124</v>
      </c>
      <c r="D13566" s="27" t="s">
        <v>1859</v>
      </c>
      <c r="F13566" s="27" t="s">
        <v>938</v>
      </c>
      <c r="G13566" s="27" t="s">
        <v>939</v>
      </c>
      <c r="H13566" s="27" t="s">
        <v>945</v>
      </c>
      <c r="J13566" s="27" t="s">
        <v>238</v>
      </c>
      <c r="L13566" s="27" t="s">
        <v>346</v>
      </c>
      <c r="M13566" s="27" t="s">
        <v>3572</v>
      </c>
      <c r="N13566" s="27" t="s">
        <v>795</v>
      </c>
      <c r="P13566" s="27" t="s">
        <v>9520</v>
      </c>
      <c r="Q13566" s="26" t="str">
        <f>HYPERLINK("https://ictv.global/taxonomy/taxondetails?taxnode_id=202501660&amp;ictv_id=ICTV20165129","ICTV20165129")</f>
        <v>ICTV20165129</v>
      </c>
      <c r="R13566" t="s">
        <v>580</v>
      </c>
      <c r="S13566" t="s">
        <v>824</v>
      </c>
      <c r="T13566">
        <v>37</v>
      </c>
      <c r="U13566" s="26" t="str">
        <f t="shared" si="500"/>
        <v>2021.036M.R.Rhabdoviridae_sprename.zip</v>
      </c>
    </row>
    <row r="13567" spans="1:21">
      <c r="A13567">
        <v>13566</v>
      </c>
      <c r="B13567" s="27" t="s">
        <v>1124</v>
      </c>
      <c r="D13567" s="27" t="s">
        <v>1859</v>
      </c>
      <c r="F13567" s="27" t="s">
        <v>938</v>
      </c>
      <c r="G13567" s="27" t="s">
        <v>939</v>
      </c>
      <c r="H13567" s="27" t="s">
        <v>945</v>
      </c>
      <c r="J13567" s="27" t="s">
        <v>238</v>
      </c>
      <c r="L13567" s="27" t="s">
        <v>346</v>
      </c>
      <c r="M13567" s="27" t="s">
        <v>3572</v>
      </c>
      <c r="N13567" s="27" t="s">
        <v>795</v>
      </c>
      <c r="P13567" s="27" t="s">
        <v>9521</v>
      </c>
      <c r="Q13567" s="26" t="str">
        <f>HYPERLINK("https://ictv.global/taxonomy/taxondetails?taxnode_id=202501658&amp;ictv_id=ICTV20165127","ICTV20165127")</f>
        <v>ICTV20165127</v>
      </c>
      <c r="R13567" t="s">
        <v>580</v>
      </c>
      <c r="S13567" t="s">
        <v>824</v>
      </c>
      <c r="T13567">
        <v>37</v>
      </c>
      <c r="U13567" s="26" t="str">
        <f t="shared" si="500"/>
        <v>2021.036M.R.Rhabdoviridae_sprename.zip</v>
      </c>
    </row>
    <row r="13568" spans="1:21">
      <c r="A13568">
        <v>13567</v>
      </c>
      <c r="B13568" s="27" t="s">
        <v>1124</v>
      </c>
      <c r="D13568" s="27" t="s">
        <v>1859</v>
      </c>
      <c r="F13568" s="27" t="s">
        <v>938</v>
      </c>
      <c r="G13568" s="27" t="s">
        <v>939</v>
      </c>
      <c r="H13568" s="27" t="s">
        <v>945</v>
      </c>
      <c r="J13568" s="27" t="s">
        <v>238</v>
      </c>
      <c r="L13568" s="27" t="s">
        <v>346</v>
      </c>
      <c r="M13568" s="27" t="s">
        <v>3572</v>
      </c>
      <c r="N13568" s="27" t="s">
        <v>795</v>
      </c>
      <c r="P13568" s="27" t="s">
        <v>9522</v>
      </c>
      <c r="Q13568" s="26" t="str">
        <f>HYPERLINK("https://ictv.global/taxonomy/taxondetails?taxnode_id=202507700&amp;ictv_id=ICTV201907700","ICTV201907700")</f>
        <v>ICTV201907700</v>
      </c>
      <c r="R13568" t="s">
        <v>580</v>
      </c>
      <c r="S13568" t="s">
        <v>824</v>
      </c>
      <c r="T13568">
        <v>37</v>
      </c>
      <c r="U13568" s="26" t="str">
        <f t="shared" si="500"/>
        <v>2021.036M.R.Rhabdoviridae_sprename.zip</v>
      </c>
    </row>
    <row r="13569" spans="1:21">
      <c r="A13569">
        <v>13568</v>
      </c>
      <c r="B13569" s="27" t="s">
        <v>1124</v>
      </c>
      <c r="D13569" s="27" t="s">
        <v>1859</v>
      </c>
      <c r="F13569" s="27" t="s">
        <v>938</v>
      </c>
      <c r="G13569" s="27" t="s">
        <v>939</v>
      </c>
      <c r="H13569" s="27" t="s">
        <v>945</v>
      </c>
      <c r="J13569" s="27" t="s">
        <v>238</v>
      </c>
      <c r="L13569" s="27" t="s">
        <v>346</v>
      </c>
      <c r="M13569" s="27" t="s">
        <v>3572</v>
      </c>
      <c r="N13569" s="27" t="s">
        <v>795</v>
      </c>
      <c r="P13569" s="27" t="s">
        <v>16875</v>
      </c>
      <c r="Q13569" s="26" t="str">
        <f>HYPERLINK("https://ictv.global/taxonomy/taxondetails?taxnode_id=202517783&amp;ictv_id=ICTV202317783","ICTV202317783")</f>
        <v>ICTV202317783</v>
      </c>
      <c r="R13569" t="s">
        <v>580</v>
      </c>
      <c r="S13569" t="s">
        <v>823</v>
      </c>
      <c r="T13569">
        <v>39</v>
      </c>
      <c r="U13569" s="26" t="str">
        <f>HYPERLINK("https://ictv.global/ictv/proposals/2023.003M.Alpharhabdovirinae_8nsp.zip","2023.003M.Alpharhabdovirinae_8nsp.zip")</f>
        <v>2023.003M.Alpharhabdovirinae_8nsp.zip</v>
      </c>
    </row>
    <row r="13570" spans="1:21">
      <c r="A13570">
        <v>13569</v>
      </c>
      <c r="B13570" s="27" t="s">
        <v>1124</v>
      </c>
      <c r="D13570" s="27" t="s">
        <v>1859</v>
      </c>
      <c r="F13570" s="27" t="s">
        <v>938</v>
      </c>
      <c r="G13570" s="27" t="s">
        <v>939</v>
      </c>
      <c r="H13570" s="27" t="s">
        <v>945</v>
      </c>
      <c r="J13570" s="27" t="s">
        <v>238</v>
      </c>
      <c r="L13570" s="27" t="s">
        <v>346</v>
      </c>
      <c r="M13570" s="27" t="s">
        <v>3572</v>
      </c>
      <c r="N13570" s="27" t="s">
        <v>795</v>
      </c>
      <c r="P13570" s="27" t="s">
        <v>16876</v>
      </c>
      <c r="Q13570" s="26" t="str">
        <f>HYPERLINK("https://ictv.global/taxonomy/taxondetails?taxnode_id=202514154&amp;ictv_id=ICTV202214154","ICTV202214154")</f>
        <v>ICTV202214154</v>
      </c>
      <c r="R13570" t="s">
        <v>580</v>
      </c>
      <c r="S13570" t="s">
        <v>824</v>
      </c>
      <c r="T13570">
        <v>39</v>
      </c>
      <c r="U13570" s="26" t="str">
        <f>HYPERLINK("https://ictv.global/ictv/proposals/2023.001M.Almendravirus_1sp_rename.zip","2023.001M.Almendravirus_1sp_rename.zip")</f>
        <v>2023.001M.Almendravirus_1sp_rename.zip</v>
      </c>
    </row>
    <row r="13571" spans="1:21">
      <c r="A13571">
        <v>13570</v>
      </c>
      <c r="B13571" s="27" t="s">
        <v>1124</v>
      </c>
      <c r="D13571" s="27" t="s">
        <v>1859</v>
      </c>
      <c r="F13571" s="27" t="s">
        <v>938</v>
      </c>
      <c r="G13571" s="27" t="s">
        <v>939</v>
      </c>
      <c r="H13571" s="27" t="s">
        <v>945</v>
      </c>
      <c r="J13571" s="27" t="s">
        <v>238</v>
      </c>
      <c r="L13571" s="27" t="s">
        <v>346</v>
      </c>
      <c r="M13571" s="27" t="s">
        <v>3572</v>
      </c>
      <c r="N13571" s="27" t="s">
        <v>1141</v>
      </c>
      <c r="P13571" s="27" t="s">
        <v>9523</v>
      </c>
      <c r="Q13571" s="26" t="str">
        <f>HYPERLINK("https://ictv.global/taxonomy/taxondetails?taxnode_id=202514151&amp;ictv_id=ICTV202214151","ICTV202214151")</f>
        <v>ICTV202214151</v>
      </c>
      <c r="R13571" t="s">
        <v>580</v>
      </c>
      <c r="S13571" t="s">
        <v>823</v>
      </c>
      <c r="T13571">
        <v>38</v>
      </c>
      <c r="U13571" s="26" t="str">
        <f>HYPERLINK("https://ictv.global/ictv/proposals/2022.002M.Alpharhabdovirinae_1ngen14nsp.zip","2022.002M.Alpharhabdovirinae_1ngen14nsp.zip")</f>
        <v>2022.002M.Alpharhabdovirinae_1ngen14nsp.zip</v>
      </c>
    </row>
    <row r="13572" spans="1:21">
      <c r="A13572">
        <v>13571</v>
      </c>
      <c r="B13572" s="27" t="s">
        <v>1124</v>
      </c>
      <c r="D13572" s="27" t="s">
        <v>1859</v>
      </c>
      <c r="F13572" s="27" t="s">
        <v>938</v>
      </c>
      <c r="G13572" s="27" t="s">
        <v>939</v>
      </c>
      <c r="H13572" s="27" t="s">
        <v>945</v>
      </c>
      <c r="J13572" s="27" t="s">
        <v>238</v>
      </c>
      <c r="L13572" s="27" t="s">
        <v>346</v>
      </c>
      <c r="M13572" s="27" t="s">
        <v>3572</v>
      </c>
      <c r="N13572" s="27" t="s">
        <v>1141</v>
      </c>
      <c r="P13572" s="27" t="s">
        <v>9524</v>
      </c>
      <c r="Q13572" s="26" t="str">
        <f>HYPERLINK("https://ictv.global/taxonomy/taxondetails?taxnode_id=202514150&amp;ictv_id=ICTV202214150","ICTV202214150")</f>
        <v>ICTV202214150</v>
      </c>
      <c r="R13572" t="s">
        <v>580</v>
      </c>
      <c r="S13572" t="s">
        <v>823</v>
      </c>
      <c r="T13572">
        <v>38</v>
      </c>
      <c r="U13572" s="26" t="str">
        <f>HYPERLINK("https://ictv.global/ictv/proposals/2022.002M.Alpharhabdovirinae_1ngen14nsp.zip","2022.002M.Alpharhabdovirinae_1ngen14nsp.zip")</f>
        <v>2022.002M.Alpharhabdovirinae_1ngen14nsp.zip</v>
      </c>
    </row>
    <row r="13573" spans="1:21">
      <c r="A13573">
        <v>13572</v>
      </c>
      <c r="B13573" s="27" t="s">
        <v>1124</v>
      </c>
      <c r="D13573" s="27" t="s">
        <v>1859</v>
      </c>
      <c r="F13573" s="27" t="s">
        <v>938</v>
      </c>
      <c r="G13573" s="27" t="s">
        <v>939</v>
      </c>
      <c r="H13573" s="27" t="s">
        <v>945</v>
      </c>
      <c r="J13573" s="27" t="s">
        <v>238</v>
      </c>
      <c r="L13573" s="27" t="s">
        <v>346</v>
      </c>
      <c r="M13573" s="27" t="s">
        <v>3572</v>
      </c>
      <c r="N13573" s="27" t="s">
        <v>1141</v>
      </c>
      <c r="P13573" s="27" t="s">
        <v>20234</v>
      </c>
      <c r="Q13573" s="26" t="str">
        <f>HYPERLINK("https://ictv.global/taxonomy/taxondetails?taxnode_id=202519962&amp;ictv_id=ICTV202419962","ICTV202419962")</f>
        <v>ICTV202419962</v>
      </c>
      <c r="R13573" t="s">
        <v>580</v>
      </c>
      <c r="S13573" t="s">
        <v>823</v>
      </c>
      <c r="T13573">
        <v>40</v>
      </c>
      <c r="U13573" s="26" t="str">
        <f>HYPERLINK("https://ictv.global/ictv/proposals/2024.001M.Alpharhabdovirinae_1ng_11nsp.zip","2024.001M.Alpharhabdovirinae_1ng_11nsp.zip")</f>
        <v>2024.001M.Alpharhabdovirinae_1ng_11nsp.zip</v>
      </c>
    </row>
    <row r="13574" spans="1:21">
      <c r="A13574">
        <v>13573</v>
      </c>
      <c r="B13574" s="27" t="s">
        <v>1124</v>
      </c>
      <c r="D13574" s="27" t="s">
        <v>1859</v>
      </c>
      <c r="F13574" s="27" t="s">
        <v>938</v>
      </c>
      <c r="G13574" s="27" t="s">
        <v>939</v>
      </c>
      <c r="H13574" s="27" t="s">
        <v>945</v>
      </c>
      <c r="J13574" s="27" t="s">
        <v>238</v>
      </c>
      <c r="L13574" s="27" t="s">
        <v>346</v>
      </c>
      <c r="M13574" s="27" t="s">
        <v>3572</v>
      </c>
      <c r="N13574" s="27" t="s">
        <v>1141</v>
      </c>
      <c r="P13574" s="27" t="s">
        <v>9525</v>
      </c>
      <c r="Q13574" s="26" t="str">
        <f>HYPERLINK("https://ictv.global/taxonomy/taxondetails?taxnode_id=202506519&amp;ictv_id=ICTV201856519","ICTV201856519")</f>
        <v>ICTV201856519</v>
      </c>
      <c r="R13574" t="s">
        <v>580</v>
      </c>
      <c r="S13574" t="s">
        <v>824</v>
      </c>
      <c r="T13574">
        <v>37</v>
      </c>
      <c r="U13574" s="26" t="str">
        <f>HYPERLINK("https://ictv.global/ictv/proposals/2021.036M.R.Rhabdoviridae_sprename.zip","2021.036M.R.Rhabdoviridae_sprename.zip")</f>
        <v>2021.036M.R.Rhabdoviridae_sprename.zip</v>
      </c>
    </row>
    <row r="13575" spans="1:21">
      <c r="A13575">
        <v>13574</v>
      </c>
      <c r="B13575" s="27" t="s">
        <v>1124</v>
      </c>
      <c r="D13575" s="27" t="s">
        <v>1859</v>
      </c>
      <c r="F13575" s="27" t="s">
        <v>938</v>
      </c>
      <c r="G13575" s="27" t="s">
        <v>939</v>
      </c>
      <c r="H13575" s="27" t="s">
        <v>945</v>
      </c>
      <c r="J13575" s="27" t="s">
        <v>238</v>
      </c>
      <c r="L13575" s="27" t="s">
        <v>346</v>
      </c>
      <c r="M13575" s="27" t="s">
        <v>3572</v>
      </c>
      <c r="N13575" s="27" t="s">
        <v>1141</v>
      </c>
      <c r="P13575" s="27" t="s">
        <v>9526</v>
      </c>
      <c r="Q13575" s="26" t="str">
        <f>HYPERLINK("https://ictv.global/taxonomy/taxondetails?taxnode_id=202506520&amp;ictv_id=ICTV201856520","ICTV201856520")</f>
        <v>ICTV201856520</v>
      </c>
      <c r="R13575" t="s">
        <v>580</v>
      </c>
      <c r="S13575" t="s">
        <v>824</v>
      </c>
      <c r="T13575">
        <v>37</v>
      </c>
      <c r="U13575" s="26" t="str">
        <f>HYPERLINK("https://ictv.global/ictv/proposals/2021.036M.R.Rhabdoviridae_sprename.zip","2021.036M.R.Rhabdoviridae_sprename.zip")</f>
        <v>2021.036M.R.Rhabdoviridae_sprename.zip</v>
      </c>
    </row>
    <row r="13576" spans="1:21">
      <c r="A13576">
        <v>13575</v>
      </c>
      <c r="B13576" s="27" t="s">
        <v>1124</v>
      </c>
      <c r="D13576" s="27" t="s">
        <v>1859</v>
      </c>
      <c r="F13576" s="27" t="s">
        <v>938</v>
      </c>
      <c r="G13576" s="27" t="s">
        <v>939</v>
      </c>
      <c r="H13576" s="27" t="s">
        <v>945</v>
      </c>
      <c r="J13576" s="27" t="s">
        <v>238</v>
      </c>
      <c r="L13576" s="27" t="s">
        <v>346</v>
      </c>
      <c r="M13576" s="27" t="s">
        <v>3572</v>
      </c>
      <c r="N13576" s="27" t="s">
        <v>3573</v>
      </c>
      <c r="P13576" s="27" t="s">
        <v>20235</v>
      </c>
      <c r="Q13576" s="26" t="str">
        <f>HYPERLINK("https://ictv.global/taxonomy/taxondetails?taxnode_id=202519954&amp;ictv_id=ICTV202419954","ICTV202419954")</f>
        <v>ICTV202419954</v>
      </c>
      <c r="R13576" t="s">
        <v>580</v>
      </c>
      <c r="S13576" t="s">
        <v>823</v>
      </c>
      <c r="T13576">
        <v>40</v>
      </c>
      <c r="U13576" s="26" t="str">
        <f>HYPERLINK("https://ictv.global/ictv/proposals/2024.001M.Alpharhabdovirinae_1ng_11nsp.zip","2024.001M.Alpharhabdovirinae_1ng_11nsp.zip")</f>
        <v>2024.001M.Alpharhabdovirinae_1ng_11nsp.zip</v>
      </c>
    </row>
    <row r="13577" spans="1:21">
      <c r="A13577">
        <v>13576</v>
      </c>
      <c r="B13577" s="27" t="s">
        <v>1124</v>
      </c>
      <c r="D13577" s="27" t="s">
        <v>1859</v>
      </c>
      <c r="F13577" s="27" t="s">
        <v>938</v>
      </c>
      <c r="G13577" s="27" t="s">
        <v>939</v>
      </c>
      <c r="H13577" s="27" t="s">
        <v>945</v>
      </c>
      <c r="J13577" s="27" t="s">
        <v>238</v>
      </c>
      <c r="L13577" s="27" t="s">
        <v>346</v>
      </c>
      <c r="M13577" s="27" t="s">
        <v>3572</v>
      </c>
      <c r="N13577" s="27" t="s">
        <v>3573</v>
      </c>
      <c r="P13577" s="27" t="s">
        <v>9527</v>
      </c>
      <c r="Q13577" s="26" t="str">
        <f>HYPERLINK("https://ictv.global/taxonomy/taxondetails?taxnode_id=202508751&amp;ictv_id=ICTV202008751","ICTV202008751")</f>
        <v>ICTV202008751</v>
      </c>
      <c r="R13577" t="s">
        <v>580</v>
      </c>
      <c r="S13577" t="s">
        <v>824</v>
      </c>
      <c r="T13577">
        <v>37</v>
      </c>
      <c r="U13577" s="26" t="str">
        <f>HYPERLINK("https://ictv.global/ictv/proposals/2021.036M.R.Rhabdoviridae_sprename.zip","2021.036M.R.Rhabdoviridae_sprename.zip")</f>
        <v>2021.036M.R.Rhabdoviridae_sprename.zip</v>
      </c>
    </row>
    <row r="13578" spans="1:21">
      <c r="A13578">
        <v>13577</v>
      </c>
      <c r="B13578" s="27" t="s">
        <v>1124</v>
      </c>
      <c r="D13578" s="27" t="s">
        <v>1859</v>
      </c>
      <c r="F13578" s="27" t="s">
        <v>938</v>
      </c>
      <c r="G13578" s="27" t="s">
        <v>939</v>
      </c>
      <c r="H13578" s="27" t="s">
        <v>945</v>
      </c>
      <c r="J13578" s="27" t="s">
        <v>238</v>
      </c>
      <c r="L13578" s="27" t="s">
        <v>346</v>
      </c>
      <c r="M13578" s="27" t="s">
        <v>3572</v>
      </c>
      <c r="N13578" s="27" t="s">
        <v>3573</v>
      </c>
      <c r="P13578" s="27" t="s">
        <v>20236</v>
      </c>
      <c r="Q13578" s="26" t="str">
        <f>HYPERLINK("https://ictv.global/taxonomy/taxondetails?taxnode_id=202519955&amp;ictv_id=ICTV202419955","ICTV202419955")</f>
        <v>ICTV202419955</v>
      </c>
      <c r="R13578" t="s">
        <v>580</v>
      </c>
      <c r="S13578" t="s">
        <v>823</v>
      </c>
      <c r="T13578">
        <v>40</v>
      </c>
      <c r="U13578" s="26" t="str">
        <f>HYPERLINK("https://ictv.global/ictv/proposals/2024.001M.Alpharhabdovirinae_1ng_11nsp.zip","2024.001M.Alpharhabdovirinae_1ng_11nsp.zip")</f>
        <v>2024.001M.Alpharhabdovirinae_1ng_11nsp.zip</v>
      </c>
    </row>
    <row r="13579" spans="1:21">
      <c r="A13579">
        <v>13578</v>
      </c>
      <c r="B13579" s="27" t="s">
        <v>1124</v>
      </c>
      <c r="D13579" s="27" t="s">
        <v>1859</v>
      </c>
      <c r="F13579" s="27" t="s">
        <v>938</v>
      </c>
      <c r="G13579" s="27" t="s">
        <v>939</v>
      </c>
      <c r="H13579" s="27" t="s">
        <v>945</v>
      </c>
      <c r="J13579" s="27" t="s">
        <v>238</v>
      </c>
      <c r="L13579" s="27" t="s">
        <v>346</v>
      </c>
      <c r="M13579" s="27" t="s">
        <v>3572</v>
      </c>
      <c r="N13579" s="27" t="s">
        <v>3573</v>
      </c>
      <c r="P13579" s="27" t="s">
        <v>9528</v>
      </c>
      <c r="Q13579" s="26" t="str">
        <f>HYPERLINK("https://ictv.global/taxonomy/taxondetails?taxnode_id=202508750&amp;ictv_id=ICTV202008750","ICTV202008750")</f>
        <v>ICTV202008750</v>
      </c>
      <c r="R13579" t="s">
        <v>580</v>
      </c>
      <c r="S13579" t="s">
        <v>824</v>
      </c>
      <c r="T13579">
        <v>37</v>
      </c>
      <c r="U13579" s="26" t="str">
        <f>HYPERLINK("https://ictv.global/ictv/proposals/2021.036M.R.Rhabdoviridae_sprename.zip","2021.036M.R.Rhabdoviridae_sprename.zip")</f>
        <v>2021.036M.R.Rhabdoviridae_sprename.zip</v>
      </c>
    </row>
    <row r="13580" spans="1:21">
      <c r="A13580">
        <v>13579</v>
      </c>
      <c r="B13580" s="27" t="s">
        <v>1124</v>
      </c>
      <c r="D13580" s="27" t="s">
        <v>1859</v>
      </c>
      <c r="F13580" s="27" t="s">
        <v>938</v>
      </c>
      <c r="G13580" s="27" t="s">
        <v>939</v>
      </c>
      <c r="H13580" s="27" t="s">
        <v>945</v>
      </c>
      <c r="J13580" s="27" t="s">
        <v>238</v>
      </c>
      <c r="L13580" s="27" t="s">
        <v>346</v>
      </c>
      <c r="M13580" s="27" t="s">
        <v>3572</v>
      </c>
      <c r="N13580" s="27" t="s">
        <v>3574</v>
      </c>
      <c r="P13580" s="27" t="s">
        <v>16877</v>
      </c>
      <c r="Q13580" s="26" t="str">
        <f>HYPERLINK("https://ictv.global/taxonomy/taxondetails?taxnode_id=202518256&amp;ictv_id=ICTV202318256","ICTV202318256")</f>
        <v>ICTV202318256</v>
      </c>
      <c r="R13580" t="s">
        <v>580</v>
      </c>
      <c r="S13580" t="s">
        <v>823</v>
      </c>
      <c r="T13580">
        <v>39</v>
      </c>
      <c r="U13580" s="26" t="str">
        <f>HYPERLINK("https://ictv.global/ictv/proposals/2023.015M.Alpharhabdovirinae_17nsp.zip","2023.015M.Alpharhabdovirinae_17nsp.zip")</f>
        <v>2023.015M.Alpharhabdovirinae_17nsp.zip</v>
      </c>
    </row>
    <row r="13581" spans="1:21">
      <c r="A13581">
        <v>13580</v>
      </c>
      <c r="B13581" s="27" t="s">
        <v>1124</v>
      </c>
      <c r="D13581" s="27" t="s">
        <v>1859</v>
      </c>
      <c r="F13581" s="27" t="s">
        <v>938</v>
      </c>
      <c r="G13581" s="27" t="s">
        <v>939</v>
      </c>
      <c r="H13581" s="27" t="s">
        <v>945</v>
      </c>
      <c r="J13581" s="27" t="s">
        <v>238</v>
      </c>
      <c r="L13581" s="27" t="s">
        <v>346</v>
      </c>
      <c r="M13581" s="27" t="s">
        <v>3572</v>
      </c>
      <c r="N13581" s="27" t="s">
        <v>3574</v>
      </c>
      <c r="P13581" s="27" t="s">
        <v>9529</v>
      </c>
      <c r="Q13581" s="26" t="str">
        <f>HYPERLINK("https://ictv.global/taxonomy/taxondetails?taxnode_id=202508755&amp;ictv_id=ICTV202008755","ICTV202008755")</f>
        <v>ICTV202008755</v>
      </c>
      <c r="R13581" t="s">
        <v>580</v>
      </c>
      <c r="S13581" t="s">
        <v>824</v>
      </c>
      <c r="T13581">
        <v>37</v>
      </c>
      <c r="U13581" s="26" t="str">
        <f>HYPERLINK("https://ictv.global/ictv/proposals/2021.043M.R.Corrections_Mononegavirales_Bunyavirales.zip","2021.043M.R.Corrections_Mononegavirales_Bunyavirales.zip")</f>
        <v>2021.043M.R.Corrections_Mononegavirales_Bunyavirales.zip</v>
      </c>
    </row>
    <row r="13582" spans="1:21">
      <c r="A13582">
        <v>13581</v>
      </c>
      <c r="B13582" s="27" t="s">
        <v>1124</v>
      </c>
      <c r="D13582" s="27" t="s">
        <v>1859</v>
      </c>
      <c r="F13582" s="27" t="s">
        <v>938</v>
      </c>
      <c r="G13582" s="27" t="s">
        <v>939</v>
      </c>
      <c r="H13582" s="27" t="s">
        <v>945</v>
      </c>
      <c r="J13582" s="27" t="s">
        <v>238</v>
      </c>
      <c r="L13582" s="27" t="s">
        <v>346</v>
      </c>
      <c r="M13582" s="27" t="s">
        <v>3572</v>
      </c>
      <c r="N13582" s="27" t="s">
        <v>3574</v>
      </c>
      <c r="P13582" s="27" t="s">
        <v>9530</v>
      </c>
      <c r="Q13582" s="26" t="str">
        <f>HYPERLINK("https://ictv.global/taxonomy/taxondetails?taxnode_id=202508753&amp;ictv_id=ICTV202008753","ICTV202008753")</f>
        <v>ICTV202008753</v>
      </c>
      <c r="R13582" t="s">
        <v>580</v>
      </c>
      <c r="S13582" t="s">
        <v>824</v>
      </c>
      <c r="T13582">
        <v>37</v>
      </c>
      <c r="U13582" s="26" t="str">
        <f>HYPERLINK("https://ictv.global/ictv/proposals/2021.036M.R.Rhabdoviridae_sprename.zip","2021.036M.R.Rhabdoviridae_sprename.zip")</f>
        <v>2021.036M.R.Rhabdoviridae_sprename.zip</v>
      </c>
    </row>
    <row r="13583" spans="1:21">
      <c r="A13583">
        <v>13582</v>
      </c>
      <c r="B13583" s="27" t="s">
        <v>1124</v>
      </c>
      <c r="D13583" s="27" t="s">
        <v>1859</v>
      </c>
      <c r="F13583" s="27" t="s">
        <v>938</v>
      </c>
      <c r="G13583" s="27" t="s">
        <v>939</v>
      </c>
      <c r="H13583" s="27" t="s">
        <v>945</v>
      </c>
      <c r="J13583" s="27" t="s">
        <v>238</v>
      </c>
      <c r="L13583" s="27" t="s">
        <v>346</v>
      </c>
      <c r="M13583" s="27" t="s">
        <v>3572</v>
      </c>
      <c r="N13583" s="27" t="s">
        <v>3574</v>
      </c>
      <c r="P13583" s="27" t="s">
        <v>20237</v>
      </c>
      <c r="Q13583" s="26" t="str">
        <f>HYPERLINK("https://ictv.global/taxonomy/taxondetails?taxnode_id=202519959&amp;ictv_id=ICTV202419959","ICTV202419959")</f>
        <v>ICTV202419959</v>
      </c>
      <c r="R13583" t="s">
        <v>580</v>
      </c>
      <c r="S13583" t="s">
        <v>823</v>
      </c>
      <c r="T13583">
        <v>40</v>
      </c>
      <c r="U13583" s="26" t="str">
        <f>HYPERLINK("https://ictv.global/ictv/proposals/2024.001M.Alpharhabdovirinae_1ng_11nsp.zip","2024.001M.Alpharhabdovirinae_1ng_11nsp.zip")</f>
        <v>2024.001M.Alpharhabdovirinae_1ng_11nsp.zip</v>
      </c>
    </row>
    <row r="13584" spans="1:21">
      <c r="A13584">
        <v>13583</v>
      </c>
      <c r="B13584" s="27" t="s">
        <v>1124</v>
      </c>
      <c r="D13584" s="27" t="s">
        <v>1859</v>
      </c>
      <c r="F13584" s="27" t="s">
        <v>938</v>
      </c>
      <c r="G13584" s="27" t="s">
        <v>939</v>
      </c>
      <c r="H13584" s="27" t="s">
        <v>945</v>
      </c>
      <c r="J13584" s="27" t="s">
        <v>238</v>
      </c>
      <c r="L13584" s="27" t="s">
        <v>346</v>
      </c>
      <c r="M13584" s="27" t="s">
        <v>3572</v>
      </c>
      <c r="N13584" s="27" t="s">
        <v>3574</v>
      </c>
      <c r="P13584" s="27" t="s">
        <v>16878</v>
      </c>
      <c r="Q13584" s="26" t="str">
        <f>HYPERLINK("https://ictv.global/taxonomy/taxondetails?taxnode_id=202518260&amp;ictv_id=ICTV202318260","ICTV202318260")</f>
        <v>ICTV202318260</v>
      </c>
      <c r="R13584" t="s">
        <v>580</v>
      </c>
      <c r="S13584" t="s">
        <v>823</v>
      </c>
      <c r="T13584">
        <v>39</v>
      </c>
      <c r="U13584" s="26" t="str">
        <f>HYPERLINK("https://ictv.global/ictv/proposals/2023.015M.Alpharhabdovirinae_17nsp.zip","2023.015M.Alpharhabdovirinae_17nsp.zip")</f>
        <v>2023.015M.Alpharhabdovirinae_17nsp.zip</v>
      </c>
    </row>
    <row r="13585" spans="1:21">
      <c r="A13585">
        <v>13584</v>
      </c>
      <c r="B13585" s="27" t="s">
        <v>1124</v>
      </c>
      <c r="D13585" s="27" t="s">
        <v>1859</v>
      </c>
      <c r="F13585" s="27" t="s">
        <v>938</v>
      </c>
      <c r="G13585" s="27" t="s">
        <v>939</v>
      </c>
      <c r="H13585" s="27" t="s">
        <v>945</v>
      </c>
      <c r="J13585" s="27" t="s">
        <v>238</v>
      </c>
      <c r="L13585" s="27" t="s">
        <v>346</v>
      </c>
      <c r="M13585" s="27" t="s">
        <v>3572</v>
      </c>
      <c r="N13585" s="27" t="s">
        <v>3574</v>
      </c>
      <c r="P13585" s="27" t="s">
        <v>16879</v>
      </c>
      <c r="Q13585" s="26" t="str">
        <f>HYPERLINK("https://ictv.global/taxonomy/taxondetails?taxnode_id=202518257&amp;ictv_id=ICTV202318257","ICTV202318257")</f>
        <v>ICTV202318257</v>
      </c>
      <c r="R13585" t="s">
        <v>580</v>
      </c>
      <c r="S13585" t="s">
        <v>823</v>
      </c>
      <c r="T13585">
        <v>39</v>
      </c>
      <c r="U13585" s="26" t="str">
        <f>HYPERLINK("https://ictv.global/ictv/proposals/2023.015M.Alpharhabdovirinae_17nsp.zip","2023.015M.Alpharhabdovirinae_17nsp.zip")</f>
        <v>2023.015M.Alpharhabdovirinae_17nsp.zip</v>
      </c>
    </row>
    <row r="13586" spans="1:21">
      <c r="A13586">
        <v>13585</v>
      </c>
      <c r="B13586" s="27" t="s">
        <v>1124</v>
      </c>
      <c r="D13586" s="27" t="s">
        <v>1859</v>
      </c>
      <c r="F13586" s="27" t="s">
        <v>938</v>
      </c>
      <c r="G13586" s="27" t="s">
        <v>939</v>
      </c>
      <c r="H13586" s="27" t="s">
        <v>945</v>
      </c>
      <c r="J13586" s="27" t="s">
        <v>238</v>
      </c>
      <c r="L13586" s="27" t="s">
        <v>346</v>
      </c>
      <c r="M13586" s="27" t="s">
        <v>3572</v>
      </c>
      <c r="N13586" s="27" t="s">
        <v>3574</v>
      </c>
      <c r="P13586" s="27" t="s">
        <v>9531</v>
      </c>
      <c r="Q13586" s="26" t="str">
        <f>HYPERLINK("https://ictv.global/taxonomy/taxondetails?taxnode_id=202514153&amp;ictv_id=ICTV202214153","ICTV202214153")</f>
        <v>ICTV202214153</v>
      </c>
      <c r="R13586" t="s">
        <v>580</v>
      </c>
      <c r="S13586" t="s">
        <v>823</v>
      </c>
      <c r="T13586">
        <v>38</v>
      </c>
      <c r="U13586" s="26" t="str">
        <f>HYPERLINK("https://ictv.global/ictv/proposals/2022.002M.Alpharhabdovirinae_1ngen14nsp.zip","2022.002M.Alpharhabdovirinae_1ngen14nsp.zip")</f>
        <v>2022.002M.Alpharhabdovirinae_1ngen14nsp.zip</v>
      </c>
    </row>
    <row r="13587" spans="1:21">
      <c r="A13587">
        <v>13586</v>
      </c>
      <c r="B13587" s="27" t="s">
        <v>1124</v>
      </c>
      <c r="D13587" s="27" t="s">
        <v>1859</v>
      </c>
      <c r="F13587" s="27" t="s">
        <v>938</v>
      </c>
      <c r="G13587" s="27" t="s">
        <v>939</v>
      </c>
      <c r="H13587" s="27" t="s">
        <v>945</v>
      </c>
      <c r="J13587" s="27" t="s">
        <v>238</v>
      </c>
      <c r="L13587" s="27" t="s">
        <v>346</v>
      </c>
      <c r="M13587" s="27" t="s">
        <v>3572</v>
      </c>
      <c r="N13587" s="27" t="s">
        <v>3574</v>
      </c>
      <c r="P13587" s="27" t="s">
        <v>21115</v>
      </c>
      <c r="Q13587" s="26" t="str">
        <f>HYPERLINK("https://ictv.global/taxonomy/taxondetails?taxnode_id=202522051&amp;ictv_id=ICTV202522051","ICTV202522051")</f>
        <v>ICTV202522051</v>
      </c>
      <c r="R13587" t="s">
        <v>580</v>
      </c>
      <c r="S13587" t="s">
        <v>823</v>
      </c>
      <c r="T13587">
        <v>41</v>
      </c>
      <c r="U13587" s="26" t="str">
        <f>HYPERLINK("https://ictv.global/ictv/proposals/2025.001M.Alpharhabdovirinae_2ng_14nsp.zip","2025.001M.Alpharhabdovirinae_2ng_14nsp.zip")</f>
        <v>2025.001M.Alpharhabdovirinae_2ng_14nsp.zip</v>
      </c>
    </row>
    <row r="13588" spans="1:21">
      <c r="A13588">
        <v>13587</v>
      </c>
      <c r="B13588" s="27" t="s">
        <v>1124</v>
      </c>
      <c r="D13588" s="27" t="s">
        <v>1859</v>
      </c>
      <c r="F13588" s="27" t="s">
        <v>938</v>
      </c>
      <c r="G13588" s="27" t="s">
        <v>939</v>
      </c>
      <c r="H13588" s="27" t="s">
        <v>945</v>
      </c>
      <c r="J13588" s="27" t="s">
        <v>238</v>
      </c>
      <c r="L13588" s="27" t="s">
        <v>346</v>
      </c>
      <c r="M13588" s="27" t="s">
        <v>3572</v>
      </c>
      <c r="N13588" s="27" t="s">
        <v>3574</v>
      </c>
      <c r="P13588" s="27" t="s">
        <v>16880</v>
      </c>
      <c r="Q13588" s="26" t="str">
        <f>HYPERLINK("https://ictv.global/taxonomy/taxondetails?taxnode_id=202518255&amp;ictv_id=ICTV202318255","ICTV202318255")</f>
        <v>ICTV202318255</v>
      </c>
      <c r="R13588" t="s">
        <v>580</v>
      </c>
      <c r="S13588" t="s">
        <v>823</v>
      </c>
      <c r="T13588">
        <v>39</v>
      </c>
      <c r="U13588" s="26" t="str">
        <f>HYPERLINK("https://ictv.global/ictv/proposals/2023.015M.Alpharhabdovirinae_17nsp.zip","2023.015M.Alpharhabdovirinae_17nsp.zip")</f>
        <v>2023.015M.Alpharhabdovirinae_17nsp.zip</v>
      </c>
    </row>
    <row r="13589" spans="1:21">
      <c r="A13589">
        <v>13588</v>
      </c>
      <c r="B13589" s="27" t="s">
        <v>1124</v>
      </c>
      <c r="D13589" s="27" t="s">
        <v>1859</v>
      </c>
      <c r="F13589" s="27" t="s">
        <v>938</v>
      </c>
      <c r="G13589" s="27" t="s">
        <v>939</v>
      </c>
      <c r="H13589" s="27" t="s">
        <v>945</v>
      </c>
      <c r="J13589" s="27" t="s">
        <v>238</v>
      </c>
      <c r="L13589" s="27" t="s">
        <v>346</v>
      </c>
      <c r="M13589" s="27" t="s">
        <v>3572</v>
      </c>
      <c r="N13589" s="27" t="s">
        <v>3574</v>
      </c>
      <c r="P13589" s="27" t="s">
        <v>21114</v>
      </c>
      <c r="Q13589" s="26" t="str">
        <f>HYPERLINK("https://ictv.global/taxonomy/taxondetails?taxnode_id=202522050&amp;ictv_id=ICTV202522050","ICTV202522050")</f>
        <v>ICTV202522050</v>
      </c>
      <c r="R13589" t="s">
        <v>580</v>
      </c>
      <c r="S13589" t="s">
        <v>823</v>
      </c>
      <c r="T13589">
        <v>41</v>
      </c>
      <c r="U13589" s="26" t="str">
        <f>HYPERLINK("https://ictv.global/ictv/proposals/2025.001M.Alpharhabdovirinae_2ng_14nsp.zip","2025.001M.Alpharhabdovirinae_2ng_14nsp.zip")</f>
        <v>2025.001M.Alpharhabdovirinae_2ng_14nsp.zip</v>
      </c>
    </row>
    <row r="13590" spans="1:21">
      <c r="A13590">
        <v>13589</v>
      </c>
      <c r="B13590" s="27" t="s">
        <v>1124</v>
      </c>
      <c r="D13590" s="27" t="s">
        <v>1859</v>
      </c>
      <c r="F13590" s="27" t="s">
        <v>938</v>
      </c>
      <c r="G13590" s="27" t="s">
        <v>939</v>
      </c>
      <c r="H13590" s="27" t="s">
        <v>945</v>
      </c>
      <c r="J13590" s="27" t="s">
        <v>238</v>
      </c>
      <c r="L13590" s="27" t="s">
        <v>346</v>
      </c>
      <c r="M13590" s="27" t="s">
        <v>3572</v>
      </c>
      <c r="N13590" s="27" t="s">
        <v>3574</v>
      </c>
      <c r="P13590" s="27" t="s">
        <v>16881</v>
      </c>
      <c r="Q13590" s="26" t="str">
        <f>HYPERLINK("https://ictv.global/taxonomy/taxondetails?taxnode_id=202518259&amp;ictv_id=ICTV202318259","ICTV202318259")</f>
        <v>ICTV202318259</v>
      </c>
      <c r="R13590" t="s">
        <v>580</v>
      </c>
      <c r="S13590" t="s">
        <v>823</v>
      </c>
      <c r="T13590">
        <v>39</v>
      </c>
      <c r="U13590" s="26" t="str">
        <f t="shared" ref="U13590:U13596" si="501">HYPERLINK("https://ictv.global/ictv/proposals/2023.015M.Alpharhabdovirinae_17nsp.zip","2023.015M.Alpharhabdovirinae_17nsp.zip")</f>
        <v>2023.015M.Alpharhabdovirinae_17nsp.zip</v>
      </c>
    </row>
    <row r="13591" spans="1:21">
      <c r="A13591">
        <v>13590</v>
      </c>
      <c r="B13591" s="27" t="s">
        <v>1124</v>
      </c>
      <c r="D13591" s="27" t="s">
        <v>1859</v>
      </c>
      <c r="F13591" s="27" t="s">
        <v>938</v>
      </c>
      <c r="G13591" s="27" t="s">
        <v>939</v>
      </c>
      <c r="H13591" s="27" t="s">
        <v>945</v>
      </c>
      <c r="J13591" s="27" t="s">
        <v>238</v>
      </c>
      <c r="L13591" s="27" t="s">
        <v>346</v>
      </c>
      <c r="M13591" s="27" t="s">
        <v>3572</v>
      </c>
      <c r="N13591" s="27" t="s">
        <v>3574</v>
      </c>
      <c r="P13591" s="27" t="s">
        <v>16882</v>
      </c>
      <c r="Q13591" s="26" t="str">
        <f>HYPERLINK("https://ictv.global/taxonomy/taxondetails?taxnode_id=202518263&amp;ictv_id=ICTV202318263","ICTV202318263")</f>
        <v>ICTV202318263</v>
      </c>
      <c r="R13591" t="s">
        <v>580</v>
      </c>
      <c r="S13591" t="s">
        <v>823</v>
      </c>
      <c r="T13591">
        <v>39</v>
      </c>
      <c r="U13591" s="26" t="str">
        <f t="shared" si="501"/>
        <v>2023.015M.Alpharhabdovirinae_17nsp.zip</v>
      </c>
    </row>
    <row r="13592" spans="1:21">
      <c r="A13592">
        <v>13591</v>
      </c>
      <c r="B13592" s="27" t="s">
        <v>1124</v>
      </c>
      <c r="D13592" s="27" t="s">
        <v>1859</v>
      </c>
      <c r="F13592" s="27" t="s">
        <v>938</v>
      </c>
      <c r="G13592" s="27" t="s">
        <v>939</v>
      </c>
      <c r="H13592" s="27" t="s">
        <v>945</v>
      </c>
      <c r="J13592" s="27" t="s">
        <v>238</v>
      </c>
      <c r="L13592" s="27" t="s">
        <v>346</v>
      </c>
      <c r="M13592" s="27" t="s">
        <v>3572</v>
      </c>
      <c r="N13592" s="27" t="s">
        <v>3574</v>
      </c>
      <c r="P13592" s="27" t="s">
        <v>16883</v>
      </c>
      <c r="Q13592" s="26" t="str">
        <f>HYPERLINK("https://ictv.global/taxonomy/taxondetails?taxnode_id=202518262&amp;ictv_id=ICTV202318262","ICTV202318262")</f>
        <v>ICTV202318262</v>
      </c>
      <c r="R13592" t="s">
        <v>580</v>
      </c>
      <c r="S13592" t="s">
        <v>823</v>
      </c>
      <c r="T13592">
        <v>39</v>
      </c>
      <c r="U13592" s="26" t="str">
        <f t="shared" si="501"/>
        <v>2023.015M.Alpharhabdovirinae_17nsp.zip</v>
      </c>
    </row>
    <row r="13593" spans="1:21">
      <c r="A13593">
        <v>13592</v>
      </c>
      <c r="B13593" s="27" t="s">
        <v>1124</v>
      </c>
      <c r="D13593" s="27" t="s">
        <v>1859</v>
      </c>
      <c r="F13593" s="27" t="s">
        <v>938</v>
      </c>
      <c r="G13593" s="27" t="s">
        <v>939</v>
      </c>
      <c r="H13593" s="27" t="s">
        <v>945</v>
      </c>
      <c r="J13593" s="27" t="s">
        <v>238</v>
      </c>
      <c r="L13593" s="27" t="s">
        <v>346</v>
      </c>
      <c r="M13593" s="27" t="s">
        <v>3572</v>
      </c>
      <c r="N13593" s="27" t="s">
        <v>3574</v>
      </c>
      <c r="P13593" s="27" t="s">
        <v>16884</v>
      </c>
      <c r="Q13593" s="26" t="str">
        <f>HYPERLINK("https://ictv.global/taxonomy/taxondetails?taxnode_id=202518261&amp;ictv_id=ICTV202318261","ICTV202318261")</f>
        <v>ICTV202318261</v>
      </c>
      <c r="R13593" t="s">
        <v>580</v>
      </c>
      <c r="S13593" t="s">
        <v>823</v>
      </c>
      <c r="T13593">
        <v>39</v>
      </c>
      <c r="U13593" s="26" t="str">
        <f t="shared" si="501"/>
        <v>2023.015M.Alpharhabdovirinae_17nsp.zip</v>
      </c>
    </row>
    <row r="13594" spans="1:21">
      <c r="A13594">
        <v>13593</v>
      </c>
      <c r="B13594" s="27" t="s">
        <v>1124</v>
      </c>
      <c r="D13594" s="27" t="s">
        <v>1859</v>
      </c>
      <c r="F13594" s="27" t="s">
        <v>938</v>
      </c>
      <c r="G13594" s="27" t="s">
        <v>939</v>
      </c>
      <c r="H13594" s="27" t="s">
        <v>945</v>
      </c>
      <c r="J13594" s="27" t="s">
        <v>238</v>
      </c>
      <c r="L13594" s="27" t="s">
        <v>346</v>
      </c>
      <c r="M13594" s="27" t="s">
        <v>3572</v>
      </c>
      <c r="N13594" s="27" t="s">
        <v>3574</v>
      </c>
      <c r="P13594" s="27" t="s">
        <v>16885</v>
      </c>
      <c r="Q13594" s="26" t="str">
        <f>HYPERLINK("https://ictv.global/taxonomy/taxondetails?taxnode_id=202518254&amp;ictv_id=ICTV202318254","ICTV202318254")</f>
        <v>ICTV202318254</v>
      </c>
      <c r="R13594" t="s">
        <v>580</v>
      </c>
      <c r="S13594" t="s">
        <v>823</v>
      </c>
      <c r="T13594">
        <v>39</v>
      </c>
      <c r="U13594" s="26" t="str">
        <f t="shared" si="501"/>
        <v>2023.015M.Alpharhabdovirinae_17nsp.zip</v>
      </c>
    </row>
    <row r="13595" spans="1:21">
      <c r="A13595">
        <v>13594</v>
      </c>
      <c r="B13595" s="27" t="s">
        <v>1124</v>
      </c>
      <c r="D13595" s="27" t="s">
        <v>1859</v>
      </c>
      <c r="F13595" s="27" t="s">
        <v>938</v>
      </c>
      <c r="G13595" s="27" t="s">
        <v>939</v>
      </c>
      <c r="H13595" s="27" t="s">
        <v>945</v>
      </c>
      <c r="J13595" s="27" t="s">
        <v>238</v>
      </c>
      <c r="L13595" s="27" t="s">
        <v>346</v>
      </c>
      <c r="M13595" s="27" t="s">
        <v>3572</v>
      </c>
      <c r="N13595" s="27" t="s">
        <v>3574</v>
      </c>
      <c r="P13595" s="27" t="s">
        <v>16886</v>
      </c>
      <c r="Q13595" s="26" t="str">
        <f>HYPERLINK("https://ictv.global/taxonomy/taxondetails?taxnode_id=202518258&amp;ictv_id=ICTV202318258","ICTV202318258")</f>
        <v>ICTV202318258</v>
      </c>
      <c r="R13595" t="s">
        <v>580</v>
      </c>
      <c r="S13595" t="s">
        <v>823</v>
      </c>
      <c r="T13595">
        <v>39</v>
      </c>
      <c r="U13595" s="26" t="str">
        <f t="shared" si="501"/>
        <v>2023.015M.Alpharhabdovirinae_17nsp.zip</v>
      </c>
    </row>
    <row r="13596" spans="1:21">
      <c r="A13596">
        <v>13595</v>
      </c>
      <c r="B13596" s="27" t="s">
        <v>1124</v>
      </c>
      <c r="D13596" s="27" t="s">
        <v>1859</v>
      </c>
      <c r="F13596" s="27" t="s">
        <v>938</v>
      </c>
      <c r="G13596" s="27" t="s">
        <v>939</v>
      </c>
      <c r="H13596" s="27" t="s">
        <v>945</v>
      </c>
      <c r="J13596" s="27" t="s">
        <v>238</v>
      </c>
      <c r="L13596" s="27" t="s">
        <v>346</v>
      </c>
      <c r="M13596" s="27" t="s">
        <v>3572</v>
      </c>
      <c r="N13596" s="27" t="s">
        <v>3574</v>
      </c>
      <c r="P13596" s="27" t="s">
        <v>16887</v>
      </c>
      <c r="Q13596" s="26" t="str">
        <f>HYPERLINK("https://ictv.global/taxonomy/taxondetails?taxnode_id=202518253&amp;ictv_id=ICTV202318253","ICTV202318253")</f>
        <v>ICTV202318253</v>
      </c>
      <c r="R13596" t="s">
        <v>580</v>
      </c>
      <c r="S13596" t="s">
        <v>823</v>
      </c>
      <c r="T13596">
        <v>39</v>
      </c>
      <c r="U13596" s="26" t="str">
        <f t="shared" si="501"/>
        <v>2023.015M.Alpharhabdovirinae_17nsp.zip</v>
      </c>
    </row>
    <row r="13597" spans="1:21">
      <c r="A13597">
        <v>13596</v>
      </c>
      <c r="B13597" s="27" t="s">
        <v>1124</v>
      </c>
      <c r="D13597" s="27" t="s">
        <v>1859</v>
      </c>
      <c r="F13597" s="27" t="s">
        <v>938</v>
      </c>
      <c r="G13597" s="27" t="s">
        <v>939</v>
      </c>
      <c r="H13597" s="27" t="s">
        <v>945</v>
      </c>
      <c r="J13597" s="27" t="s">
        <v>238</v>
      </c>
      <c r="L13597" s="27" t="s">
        <v>346</v>
      </c>
      <c r="M13597" s="27" t="s">
        <v>3572</v>
      </c>
      <c r="N13597" s="27" t="s">
        <v>3574</v>
      </c>
      <c r="P13597" s="27" t="s">
        <v>9532</v>
      </c>
      <c r="Q13597" s="26" t="str">
        <f>HYPERLINK("https://ictv.global/taxonomy/taxondetails?taxnode_id=202508754&amp;ictv_id=ICTV202008754","ICTV202008754")</f>
        <v>ICTV202008754</v>
      </c>
      <c r="R13597" t="s">
        <v>580</v>
      </c>
      <c r="S13597" t="s">
        <v>824</v>
      </c>
      <c r="T13597">
        <v>37</v>
      </c>
      <c r="U13597" s="26" t="str">
        <f>HYPERLINK("https://ictv.global/ictv/proposals/2021.036M.R.Rhabdoviridae_sprename.zip","2021.036M.R.Rhabdoviridae_sprename.zip")</f>
        <v>2021.036M.R.Rhabdoviridae_sprename.zip</v>
      </c>
    </row>
    <row r="13598" spans="1:21">
      <c r="A13598">
        <v>13597</v>
      </c>
      <c r="B13598" s="27" t="s">
        <v>1124</v>
      </c>
      <c r="D13598" s="27" t="s">
        <v>1859</v>
      </c>
      <c r="F13598" s="27" t="s">
        <v>938</v>
      </c>
      <c r="G13598" s="27" t="s">
        <v>939</v>
      </c>
      <c r="H13598" s="27" t="s">
        <v>945</v>
      </c>
      <c r="J13598" s="27" t="s">
        <v>238</v>
      </c>
      <c r="L13598" s="27" t="s">
        <v>346</v>
      </c>
      <c r="M13598" s="27" t="s">
        <v>3572</v>
      </c>
      <c r="N13598" s="27" t="s">
        <v>3574</v>
      </c>
      <c r="P13598" s="27" t="s">
        <v>16888</v>
      </c>
      <c r="Q13598" s="26" t="str">
        <f>HYPERLINK("https://ictv.global/taxonomy/taxondetails?taxnode_id=202518252&amp;ictv_id=ICTV202318252","ICTV202318252")</f>
        <v>ICTV202318252</v>
      </c>
      <c r="R13598" t="s">
        <v>580</v>
      </c>
      <c r="S13598" t="s">
        <v>823</v>
      </c>
      <c r="T13598">
        <v>39</v>
      </c>
      <c r="U13598" s="26" t="str">
        <f>HYPERLINK("https://ictv.global/ictv/proposals/2023.015M.Alpharhabdovirinae_17nsp.zip","2023.015M.Alpharhabdovirinae_17nsp.zip")</f>
        <v>2023.015M.Alpharhabdovirinae_17nsp.zip</v>
      </c>
    </row>
    <row r="13599" spans="1:21">
      <c r="A13599">
        <v>13598</v>
      </c>
      <c r="B13599" s="27" t="s">
        <v>1124</v>
      </c>
      <c r="D13599" s="27" t="s">
        <v>1859</v>
      </c>
      <c r="F13599" s="27" t="s">
        <v>938</v>
      </c>
      <c r="G13599" s="27" t="s">
        <v>939</v>
      </c>
      <c r="H13599" s="27" t="s">
        <v>945</v>
      </c>
      <c r="J13599" s="27" t="s">
        <v>238</v>
      </c>
      <c r="L13599" s="27" t="s">
        <v>346</v>
      </c>
      <c r="M13599" s="27" t="s">
        <v>3572</v>
      </c>
      <c r="N13599" s="27" t="s">
        <v>20238</v>
      </c>
      <c r="P13599" s="27" t="s">
        <v>20239</v>
      </c>
      <c r="Q13599" s="26" t="str">
        <f>HYPERLINK("https://ictv.global/taxonomy/taxondetails?taxnode_id=202514147&amp;ictv_id=ICTV202214147","ICTV202214147")</f>
        <v>ICTV202214147</v>
      </c>
      <c r="R13599" t="s">
        <v>580</v>
      </c>
      <c r="S13599" t="s">
        <v>824</v>
      </c>
      <c r="T13599">
        <v>40</v>
      </c>
      <c r="U13599" s="26" t="str">
        <f>HYPERLINK("https://ictv.global/ictv/proposals/2024.001M.Alpharhabdovirinae_1ng_11nsp.zip","2024.001M.Alpharhabdovirinae_1ng_11nsp.zip")</f>
        <v>2024.001M.Alpharhabdovirinae_1ng_11nsp.zip</v>
      </c>
    </row>
    <row r="13600" spans="1:21">
      <c r="A13600">
        <v>13599</v>
      </c>
      <c r="B13600" s="27" t="s">
        <v>1124</v>
      </c>
      <c r="D13600" s="27" t="s">
        <v>1859</v>
      </c>
      <c r="F13600" s="27" t="s">
        <v>938</v>
      </c>
      <c r="G13600" s="27" t="s">
        <v>939</v>
      </c>
      <c r="H13600" s="27" t="s">
        <v>945</v>
      </c>
      <c r="J13600" s="27" t="s">
        <v>238</v>
      </c>
      <c r="L13600" s="27" t="s">
        <v>346</v>
      </c>
      <c r="M13600" s="27" t="s">
        <v>3572</v>
      </c>
      <c r="N13600" s="27" t="s">
        <v>20238</v>
      </c>
      <c r="P13600" s="27" t="s">
        <v>20240</v>
      </c>
      <c r="Q13600" s="26" t="str">
        <f>HYPERLINK("https://ictv.global/taxonomy/taxondetails?taxnode_id=202514146&amp;ictv_id=ICTV202214146","ICTV202214146")</f>
        <v>ICTV202214146</v>
      </c>
      <c r="R13600" t="s">
        <v>580</v>
      </c>
      <c r="S13600" t="s">
        <v>824</v>
      </c>
      <c r="T13600">
        <v>40</v>
      </c>
      <c r="U13600" s="26" t="str">
        <f>HYPERLINK("https://ictv.global/ictv/proposals/2024.001M.Alpharhabdovirinae_1ng_11nsp.zip","2024.001M.Alpharhabdovirinae_1ng_11nsp.zip")</f>
        <v>2024.001M.Alpharhabdovirinae_1ng_11nsp.zip</v>
      </c>
    </row>
    <row r="13601" spans="1:21">
      <c r="A13601">
        <v>13600</v>
      </c>
      <c r="B13601" s="27" t="s">
        <v>1124</v>
      </c>
      <c r="D13601" s="27" t="s">
        <v>1859</v>
      </c>
      <c r="F13601" s="27" t="s">
        <v>938</v>
      </c>
      <c r="G13601" s="27" t="s">
        <v>939</v>
      </c>
      <c r="H13601" s="27" t="s">
        <v>945</v>
      </c>
      <c r="J13601" s="27" t="s">
        <v>238</v>
      </c>
      <c r="L13601" s="27" t="s">
        <v>346</v>
      </c>
      <c r="M13601" s="27" t="s">
        <v>3572</v>
      </c>
      <c r="N13601" s="27" t="s">
        <v>9533</v>
      </c>
      <c r="P13601" s="27" t="s">
        <v>9534</v>
      </c>
      <c r="Q13601" s="26" t="str">
        <f>HYPERLINK("https://ictv.global/taxonomy/taxondetails?taxnode_id=202512249&amp;ictv_id=ICTV202112249","ICTV202112249")</f>
        <v>ICTV202112249</v>
      </c>
      <c r="R13601" t="s">
        <v>580</v>
      </c>
      <c r="S13601" t="s">
        <v>823</v>
      </c>
      <c r="T13601">
        <v>37</v>
      </c>
      <c r="U13601" s="26" t="str">
        <f>HYPERLINK("https://ictv.global/ictv/proposals/2021.035M.R.Rhabdoviridae_2ngen_2nsp.zip","2021.035M.R.Rhabdoviridae_2ngen_2nsp.zip")</f>
        <v>2021.035M.R.Rhabdoviridae_2ngen_2nsp.zip</v>
      </c>
    </row>
    <row r="13602" spans="1:21">
      <c r="A13602">
        <v>13601</v>
      </c>
      <c r="B13602" s="27" t="s">
        <v>1124</v>
      </c>
      <c r="D13602" s="27" t="s">
        <v>1859</v>
      </c>
      <c r="F13602" s="27" t="s">
        <v>938</v>
      </c>
      <c r="G13602" s="27" t="s">
        <v>939</v>
      </c>
      <c r="H13602" s="27" t="s">
        <v>945</v>
      </c>
      <c r="J13602" s="27" t="s">
        <v>238</v>
      </c>
      <c r="L13602" s="27" t="s">
        <v>346</v>
      </c>
      <c r="M13602" s="27" t="s">
        <v>3572</v>
      </c>
      <c r="N13602" s="27" t="s">
        <v>9533</v>
      </c>
      <c r="P13602" s="27" t="s">
        <v>16889</v>
      </c>
      <c r="Q13602" s="26" t="str">
        <f>HYPERLINK("https://ictv.global/taxonomy/taxondetails?taxnode_id=202518251&amp;ictv_id=ICTV202318251","ICTV202318251")</f>
        <v>ICTV202318251</v>
      </c>
      <c r="R13602" t="s">
        <v>580</v>
      </c>
      <c r="S13602" t="s">
        <v>823</v>
      </c>
      <c r="T13602">
        <v>39</v>
      </c>
      <c r="U13602" s="26" t="str">
        <f>HYPERLINK("https://ictv.global/ictv/proposals/2023.015M.Alpharhabdovirinae_17nsp.zip","2023.015M.Alpharhabdovirinae_17nsp.zip")</f>
        <v>2023.015M.Alpharhabdovirinae_17nsp.zip</v>
      </c>
    </row>
    <row r="13603" spans="1:21">
      <c r="A13603">
        <v>13602</v>
      </c>
      <c r="B13603" s="27" t="s">
        <v>1124</v>
      </c>
      <c r="D13603" s="27" t="s">
        <v>1859</v>
      </c>
      <c r="F13603" s="27" t="s">
        <v>938</v>
      </c>
      <c r="G13603" s="27" t="s">
        <v>939</v>
      </c>
      <c r="H13603" s="27" t="s">
        <v>945</v>
      </c>
      <c r="J13603" s="27" t="s">
        <v>238</v>
      </c>
      <c r="L13603" s="27" t="s">
        <v>346</v>
      </c>
      <c r="M13603" s="27" t="s">
        <v>3572</v>
      </c>
      <c r="N13603" s="27" t="s">
        <v>21105</v>
      </c>
      <c r="P13603" s="27" t="s">
        <v>21106</v>
      </c>
      <c r="Q13603" s="26" t="str">
        <f>HYPERLINK("https://ictv.global/taxonomy/taxondetails?taxnode_id=202522042&amp;ictv_id=ICTV202522042","ICTV202522042")</f>
        <v>ICTV202522042</v>
      </c>
      <c r="R13603" t="s">
        <v>580</v>
      </c>
      <c r="S13603" t="s">
        <v>823</v>
      </c>
      <c r="T13603">
        <v>41</v>
      </c>
      <c r="U13603" s="26" t="str">
        <f>HYPERLINK("https://ictv.global/ictv/proposals/2025.001M.Alpharhabdovirinae_2ng_14nsp.zip","2025.001M.Alpharhabdovirinae_2ng_14nsp.zip")</f>
        <v>2025.001M.Alpharhabdovirinae_2ng_14nsp.zip</v>
      </c>
    </row>
    <row r="13604" spans="1:21">
      <c r="A13604">
        <v>13603</v>
      </c>
      <c r="B13604" s="27" t="s">
        <v>1124</v>
      </c>
      <c r="D13604" s="27" t="s">
        <v>1859</v>
      </c>
      <c r="F13604" s="27" t="s">
        <v>938</v>
      </c>
      <c r="G13604" s="27" t="s">
        <v>939</v>
      </c>
      <c r="H13604" s="27" t="s">
        <v>945</v>
      </c>
      <c r="J13604" s="27" t="s">
        <v>238</v>
      </c>
      <c r="L13604" s="27" t="s">
        <v>346</v>
      </c>
      <c r="M13604" s="27" t="s">
        <v>3572</v>
      </c>
      <c r="N13604" s="27" t="s">
        <v>1896</v>
      </c>
      <c r="P13604" s="27" t="s">
        <v>9535</v>
      </c>
      <c r="Q13604" s="26" t="str">
        <f>HYPERLINK("https://ictv.global/taxonomy/taxondetails?taxnode_id=202507241&amp;ictv_id=ICTV201907241","ICTV201907241")</f>
        <v>ICTV201907241</v>
      </c>
      <c r="R13604" t="s">
        <v>580</v>
      </c>
      <c r="S13604" t="s">
        <v>824</v>
      </c>
      <c r="T13604">
        <v>37</v>
      </c>
      <c r="U13604" s="26" t="str">
        <f t="shared" ref="U13604:U13609" si="502">HYPERLINK("https://ictv.global/ictv/proposals/2021.036M.R.Rhabdoviridae_sprename.zip","2021.036M.R.Rhabdoviridae_sprename.zip")</f>
        <v>2021.036M.R.Rhabdoviridae_sprename.zip</v>
      </c>
    </row>
    <row r="13605" spans="1:21">
      <c r="A13605">
        <v>13604</v>
      </c>
      <c r="B13605" s="27" t="s">
        <v>1124</v>
      </c>
      <c r="D13605" s="27" t="s">
        <v>1859</v>
      </c>
      <c r="F13605" s="27" t="s">
        <v>938</v>
      </c>
      <c r="G13605" s="27" t="s">
        <v>939</v>
      </c>
      <c r="H13605" s="27" t="s">
        <v>945</v>
      </c>
      <c r="J13605" s="27" t="s">
        <v>238</v>
      </c>
      <c r="L13605" s="27" t="s">
        <v>346</v>
      </c>
      <c r="M13605" s="27" t="s">
        <v>3572</v>
      </c>
      <c r="N13605" s="27" t="s">
        <v>1896</v>
      </c>
      <c r="P13605" s="27" t="s">
        <v>9536</v>
      </c>
      <c r="Q13605" s="26" t="str">
        <f>HYPERLINK("https://ictv.global/taxonomy/taxondetails?taxnode_id=202507243&amp;ictv_id=ICTV201907243","ICTV201907243")</f>
        <v>ICTV201907243</v>
      </c>
      <c r="R13605" t="s">
        <v>580</v>
      </c>
      <c r="S13605" t="s">
        <v>824</v>
      </c>
      <c r="T13605">
        <v>37</v>
      </c>
      <c r="U13605" s="26" t="str">
        <f t="shared" si="502"/>
        <v>2021.036M.R.Rhabdoviridae_sprename.zip</v>
      </c>
    </row>
    <row r="13606" spans="1:21">
      <c r="A13606">
        <v>13605</v>
      </c>
      <c r="B13606" s="27" t="s">
        <v>1124</v>
      </c>
      <c r="D13606" s="27" t="s">
        <v>1859</v>
      </c>
      <c r="F13606" s="27" t="s">
        <v>938</v>
      </c>
      <c r="G13606" s="27" t="s">
        <v>939</v>
      </c>
      <c r="H13606" s="27" t="s">
        <v>945</v>
      </c>
      <c r="J13606" s="27" t="s">
        <v>238</v>
      </c>
      <c r="L13606" s="27" t="s">
        <v>346</v>
      </c>
      <c r="M13606" s="27" t="s">
        <v>3572</v>
      </c>
      <c r="N13606" s="27" t="s">
        <v>1896</v>
      </c>
      <c r="P13606" s="27" t="s">
        <v>9537</v>
      </c>
      <c r="Q13606" s="26" t="str">
        <f>HYPERLINK("https://ictv.global/taxonomy/taxondetails?taxnode_id=202507244&amp;ictv_id=ICTV201907244","ICTV201907244")</f>
        <v>ICTV201907244</v>
      </c>
      <c r="R13606" t="s">
        <v>580</v>
      </c>
      <c r="S13606" t="s">
        <v>824</v>
      </c>
      <c r="T13606">
        <v>37</v>
      </c>
      <c r="U13606" s="26" t="str">
        <f t="shared" si="502"/>
        <v>2021.036M.R.Rhabdoviridae_sprename.zip</v>
      </c>
    </row>
    <row r="13607" spans="1:21">
      <c r="A13607">
        <v>13606</v>
      </c>
      <c r="B13607" s="27" t="s">
        <v>1124</v>
      </c>
      <c r="D13607" s="27" t="s">
        <v>1859</v>
      </c>
      <c r="F13607" s="27" t="s">
        <v>938</v>
      </c>
      <c r="G13607" s="27" t="s">
        <v>939</v>
      </c>
      <c r="H13607" s="27" t="s">
        <v>945</v>
      </c>
      <c r="J13607" s="27" t="s">
        <v>238</v>
      </c>
      <c r="L13607" s="27" t="s">
        <v>346</v>
      </c>
      <c r="M13607" s="27" t="s">
        <v>3572</v>
      </c>
      <c r="N13607" s="27" t="s">
        <v>1896</v>
      </c>
      <c r="P13607" s="27" t="s">
        <v>9538</v>
      </c>
      <c r="Q13607" s="26" t="str">
        <f>HYPERLINK("https://ictv.global/taxonomy/taxondetails?taxnode_id=202507242&amp;ictv_id=ICTV201907242","ICTV201907242")</f>
        <v>ICTV201907242</v>
      </c>
      <c r="R13607" t="s">
        <v>580</v>
      </c>
      <c r="S13607" t="s">
        <v>824</v>
      </c>
      <c r="T13607">
        <v>37</v>
      </c>
      <c r="U13607" s="26" t="str">
        <f t="shared" si="502"/>
        <v>2021.036M.R.Rhabdoviridae_sprename.zip</v>
      </c>
    </row>
    <row r="13608" spans="1:21">
      <c r="A13608">
        <v>13607</v>
      </c>
      <c r="B13608" s="27" t="s">
        <v>1124</v>
      </c>
      <c r="D13608" s="27" t="s">
        <v>1859</v>
      </c>
      <c r="F13608" s="27" t="s">
        <v>938</v>
      </c>
      <c r="G13608" s="27" t="s">
        <v>939</v>
      </c>
      <c r="H13608" s="27" t="s">
        <v>945</v>
      </c>
      <c r="J13608" s="27" t="s">
        <v>238</v>
      </c>
      <c r="L13608" s="27" t="s">
        <v>346</v>
      </c>
      <c r="M13608" s="27" t="s">
        <v>3572</v>
      </c>
      <c r="N13608" s="27" t="s">
        <v>2015</v>
      </c>
      <c r="P13608" s="27" t="s">
        <v>9539</v>
      </c>
      <c r="Q13608" s="26" t="str">
        <f>HYPERLINK("https://ictv.global/taxonomy/taxondetails?taxnode_id=202507393&amp;ictv_id=ICTV201907393","ICTV201907393")</f>
        <v>ICTV201907393</v>
      </c>
      <c r="R13608" t="s">
        <v>580</v>
      </c>
      <c r="S13608" t="s">
        <v>824</v>
      </c>
      <c r="T13608">
        <v>37</v>
      </c>
      <c r="U13608" s="26" t="str">
        <f t="shared" si="502"/>
        <v>2021.036M.R.Rhabdoviridae_sprename.zip</v>
      </c>
    </row>
    <row r="13609" spans="1:21">
      <c r="A13609">
        <v>13608</v>
      </c>
      <c r="B13609" s="27" t="s">
        <v>1124</v>
      </c>
      <c r="D13609" s="27" t="s">
        <v>1859</v>
      </c>
      <c r="F13609" s="27" t="s">
        <v>938</v>
      </c>
      <c r="G13609" s="27" t="s">
        <v>939</v>
      </c>
      <c r="H13609" s="27" t="s">
        <v>945</v>
      </c>
      <c r="J13609" s="27" t="s">
        <v>238</v>
      </c>
      <c r="L13609" s="27" t="s">
        <v>346</v>
      </c>
      <c r="M13609" s="27" t="s">
        <v>3572</v>
      </c>
      <c r="N13609" s="27" t="s">
        <v>2015</v>
      </c>
      <c r="P13609" s="27" t="s">
        <v>9540</v>
      </c>
      <c r="Q13609" s="26" t="str">
        <f>HYPERLINK("https://ictv.global/taxonomy/taxondetails?taxnode_id=202507394&amp;ictv_id=ICTV201907394","ICTV201907394")</f>
        <v>ICTV201907394</v>
      </c>
      <c r="R13609" t="s">
        <v>580</v>
      </c>
      <c r="S13609" t="s">
        <v>824</v>
      </c>
      <c r="T13609">
        <v>37</v>
      </c>
      <c r="U13609" s="26" t="str">
        <f t="shared" si="502"/>
        <v>2021.036M.R.Rhabdoviridae_sprename.zip</v>
      </c>
    </row>
    <row r="13610" spans="1:21">
      <c r="A13610">
        <v>13609</v>
      </c>
      <c r="B13610" s="27" t="s">
        <v>1124</v>
      </c>
      <c r="D13610" s="27" t="s">
        <v>1859</v>
      </c>
      <c r="F13610" s="27" t="s">
        <v>938</v>
      </c>
      <c r="G13610" s="27" t="s">
        <v>939</v>
      </c>
      <c r="H13610" s="27" t="s">
        <v>945</v>
      </c>
      <c r="J13610" s="27" t="s">
        <v>238</v>
      </c>
      <c r="L13610" s="27" t="s">
        <v>346</v>
      </c>
      <c r="M13610" s="27" t="s">
        <v>3572</v>
      </c>
      <c r="N13610" s="27" t="s">
        <v>20241</v>
      </c>
      <c r="P13610" s="27" t="s">
        <v>20242</v>
      </c>
      <c r="Q13610" s="26" t="str">
        <f>HYPERLINK("https://ictv.global/taxonomy/taxondetails?taxnode_id=202519953&amp;ictv_id=ICTV202419953","ICTV202419953")</f>
        <v>ICTV202419953</v>
      </c>
      <c r="R13610" t="s">
        <v>580</v>
      </c>
      <c r="S13610" t="s">
        <v>823</v>
      </c>
      <c r="T13610">
        <v>40</v>
      </c>
      <c r="U13610" s="26" t="str">
        <f>HYPERLINK("https://ictv.global/ictv/proposals/2024.001M.Alpharhabdovirinae_1ng_11nsp.zip","2024.001M.Alpharhabdovirinae_1ng_11nsp.zip")</f>
        <v>2024.001M.Alpharhabdovirinae_1ng_11nsp.zip</v>
      </c>
    </row>
    <row r="13611" spans="1:21">
      <c r="A13611">
        <v>13610</v>
      </c>
      <c r="B13611" s="27" t="s">
        <v>1124</v>
      </c>
      <c r="D13611" s="27" t="s">
        <v>1859</v>
      </c>
      <c r="F13611" s="27" t="s">
        <v>938</v>
      </c>
      <c r="G13611" s="27" t="s">
        <v>939</v>
      </c>
      <c r="H13611" s="27" t="s">
        <v>945</v>
      </c>
      <c r="J13611" s="27" t="s">
        <v>238</v>
      </c>
      <c r="L13611" s="27" t="s">
        <v>346</v>
      </c>
      <c r="M13611" s="27" t="s">
        <v>3572</v>
      </c>
      <c r="N13611" s="27" t="s">
        <v>20241</v>
      </c>
      <c r="P13611" s="27" t="s">
        <v>21117</v>
      </c>
      <c r="Q13611" s="26" t="str">
        <f>HYPERLINK("https://ictv.global/taxonomy/taxondetails?taxnode_id=202522053&amp;ictv_id=ICTV202522053","ICTV202522053")</f>
        <v>ICTV202522053</v>
      </c>
      <c r="R13611" t="s">
        <v>580</v>
      </c>
      <c r="S13611" t="s">
        <v>823</v>
      </c>
      <c r="T13611">
        <v>41</v>
      </c>
      <c r="U13611" s="26" t="str">
        <f>HYPERLINK("https://ictv.global/ictv/proposals/2025.001M.Alpharhabdovirinae_2ng_14nsp.zip","2025.001M.Alpharhabdovirinae_2ng_14nsp.zip")</f>
        <v>2025.001M.Alpharhabdovirinae_2ng_14nsp.zip</v>
      </c>
    </row>
    <row r="13612" spans="1:21">
      <c r="A13612">
        <v>13611</v>
      </c>
      <c r="B13612" s="27" t="s">
        <v>1124</v>
      </c>
      <c r="D13612" s="27" t="s">
        <v>1859</v>
      </c>
      <c r="F13612" s="27" t="s">
        <v>938</v>
      </c>
      <c r="G13612" s="27" t="s">
        <v>939</v>
      </c>
      <c r="H13612" s="27" t="s">
        <v>945</v>
      </c>
      <c r="J13612" s="27" t="s">
        <v>238</v>
      </c>
      <c r="L13612" s="27" t="s">
        <v>346</v>
      </c>
      <c r="M13612" s="27" t="s">
        <v>3572</v>
      </c>
      <c r="N13612" s="27" t="s">
        <v>20241</v>
      </c>
      <c r="P13612" s="27" t="s">
        <v>21116</v>
      </c>
      <c r="Q13612" s="26" t="str">
        <f>HYPERLINK("https://ictv.global/taxonomy/taxondetails?taxnode_id=202522052&amp;ictv_id=ICTV202522052","ICTV202522052")</f>
        <v>ICTV202522052</v>
      </c>
      <c r="R13612" t="s">
        <v>580</v>
      </c>
      <c r="S13612" t="s">
        <v>823</v>
      </c>
      <c r="T13612">
        <v>41</v>
      </c>
      <c r="U13612" s="26" t="str">
        <f>HYPERLINK("https://ictv.global/ictv/proposals/2025.001M.Alpharhabdovirinae_2ng_14nsp.zip","2025.001M.Alpharhabdovirinae_2ng_14nsp.zip")</f>
        <v>2025.001M.Alpharhabdovirinae_2ng_14nsp.zip</v>
      </c>
    </row>
    <row r="13613" spans="1:21">
      <c r="A13613">
        <v>13612</v>
      </c>
      <c r="B13613" s="27" t="s">
        <v>1124</v>
      </c>
      <c r="D13613" s="27" t="s">
        <v>1859</v>
      </c>
      <c r="F13613" s="27" t="s">
        <v>938</v>
      </c>
      <c r="G13613" s="27" t="s">
        <v>939</v>
      </c>
      <c r="H13613" s="27" t="s">
        <v>945</v>
      </c>
      <c r="J13613" s="27" t="s">
        <v>238</v>
      </c>
      <c r="L13613" s="27" t="s">
        <v>346</v>
      </c>
      <c r="M13613" s="27" t="s">
        <v>3572</v>
      </c>
      <c r="N13613" s="27" t="s">
        <v>20241</v>
      </c>
      <c r="P13613" s="27" t="s">
        <v>20243</v>
      </c>
      <c r="Q13613" s="26" t="str">
        <f>HYPERLINK("https://ictv.global/taxonomy/taxondetails?taxnode_id=202519952&amp;ictv_id=ICTV202419952","ICTV202419952")</f>
        <v>ICTV202419952</v>
      </c>
      <c r="R13613" t="s">
        <v>580</v>
      </c>
      <c r="S13613" t="s">
        <v>823</v>
      </c>
      <c r="T13613">
        <v>40</v>
      </c>
      <c r="U13613" s="26" t="str">
        <f>HYPERLINK("https://ictv.global/ictv/proposals/2024.001M.Alpharhabdovirinae_1ng_11nsp.zip","2024.001M.Alpharhabdovirinae_1ng_11nsp.zip")</f>
        <v>2024.001M.Alpharhabdovirinae_1ng_11nsp.zip</v>
      </c>
    </row>
    <row r="13614" spans="1:21">
      <c r="A13614">
        <v>13613</v>
      </c>
      <c r="B13614" s="27" t="s">
        <v>1124</v>
      </c>
      <c r="D13614" s="27" t="s">
        <v>1859</v>
      </c>
      <c r="F13614" s="27" t="s">
        <v>938</v>
      </c>
      <c r="G13614" s="27" t="s">
        <v>939</v>
      </c>
      <c r="H13614" s="27" t="s">
        <v>945</v>
      </c>
      <c r="J13614" s="27" t="s">
        <v>238</v>
      </c>
      <c r="L13614" s="27" t="s">
        <v>346</v>
      </c>
      <c r="M13614" s="27" t="s">
        <v>3572</v>
      </c>
      <c r="N13614" s="27" t="s">
        <v>1142</v>
      </c>
      <c r="P13614" s="27" t="s">
        <v>9541</v>
      </c>
      <c r="Q13614" s="26" t="str">
        <f>HYPERLINK("https://ictv.global/taxonomy/taxondetails?taxnode_id=202506556&amp;ictv_id=ICTV201856556","ICTV201856556")</f>
        <v>ICTV201856556</v>
      </c>
      <c r="R13614" t="s">
        <v>580</v>
      </c>
      <c r="S13614" t="s">
        <v>824</v>
      </c>
      <c r="T13614">
        <v>37</v>
      </c>
      <c r="U13614" s="26" t="str">
        <f>HYPERLINK("https://ictv.global/ictv/proposals/2021.036M.R.Rhabdoviridae_sprename.zip","2021.036M.R.Rhabdoviridae_sprename.zip")</f>
        <v>2021.036M.R.Rhabdoviridae_sprename.zip</v>
      </c>
    </row>
    <row r="13615" spans="1:21">
      <c r="A13615">
        <v>13614</v>
      </c>
      <c r="B13615" s="27" t="s">
        <v>1124</v>
      </c>
      <c r="D13615" s="27" t="s">
        <v>1859</v>
      </c>
      <c r="F13615" s="27" t="s">
        <v>938</v>
      </c>
      <c r="G13615" s="27" t="s">
        <v>939</v>
      </c>
      <c r="H13615" s="27" t="s">
        <v>945</v>
      </c>
      <c r="J13615" s="27" t="s">
        <v>238</v>
      </c>
      <c r="L13615" s="27" t="s">
        <v>346</v>
      </c>
      <c r="M13615" s="27" t="s">
        <v>3572</v>
      </c>
      <c r="N13615" s="27" t="s">
        <v>1142</v>
      </c>
      <c r="P13615" s="27" t="s">
        <v>9542</v>
      </c>
      <c r="Q13615" s="26" t="str">
        <f>HYPERLINK("https://ictv.global/taxonomy/taxondetails?taxnode_id=202506554&amp;ictv_id=ICTV201856554","ICTV201856554")</f>
        <v>ICTV201856554</v>
      </c>
      <c r="R13615" t="s">
        <v>580</v>
      </c>
      <c r="S13615" t="s">
        <v>824</v>
      </c>
      <c r="T13615">
        <v>37</v>
      </c>
      <c r="U13615" s="26" t="str">
        <f>HYPERLINK("https://ictv.global/ictv/proposals/2021.036M.R.Rhabdoviridae_sprename.zip","2021.036M.R.Rhabdoviridae_sprename.zip")</f>
        <v>2021.036M.R.Rhabdoviridae_sprename.zip</v>
      </c>
    </row>
    <row r="13616" spans="1:21">
      <c r="A13616">
        <v>13615</v>
      </c>
      <c r="B13616" s="27" t="s">
        <v>1124</v>
      </c>
      <c r="D13616" s="27" t="s">
        <v>1859</v>
      </c>
      <c r="F13616" s="27" t="s">
        <v>938</v>
      </c>
      <c r="G13616" s="27" t="s">
        <v>939</v>
      </c>
      <c r="H13616" s="27" t="s">
        <v>945</v>
      </c>
      <c r="J13616" s="27" t="s">
        <v>238</v>
      </c>
      <c r="L13616" s="27" t="s">
        <v>346</v>
      </c>
      <c r="M13616" s="27" t="s">
        <v>3572</v>
      </c>
      <c r="N13616" s="27" t="s">
        <v>1142</v>
      </c>
      <c r="P13616" s="27" t="s">
        <v>9543</v>
      </c>
      <c r="Q13616" s="26" t="str">
        <f>HYPERLINK("https://ictv.global/taxonomy/taxondetails?taxnode_id=202506555&amp;ictv_id=ICTV201856555","ICTV201856555")</f>
        <v>ICTV201856555</v>
      </c>
      <c r="R13616" t="s">
        <v>580</v>
      </c>
      <c r="S13616" t="s">
        <v>824</v>
      </c>
      <c r="T13616">
        <v>37</v>
      </c>
      <c r="U13616" s="26" t="str">
        <f>HYPERLINK("https://ictv.global/ictv/proposals/2021.036M.R.Rhabdoviridae_sprename.zip","2021.036M.R.Rhabdoviridae_sprename.zip")</f>
        <v>2021.036M.R.Rhabdoviridae_sprename.zip</v>
      </c>
    </row>
    <row r="13617" spans="1:21">
      <c r="A13617">
        <v>13616</v>
      </c>
      <c r="B13617" s="27" t="s">
        <v>1124</v>
      </c>
      <c r="D13617" s="27" t="s">
        <v>1859</v>
      </c>
      <c r="F13617" s="27" t="s">
        <v>938</v>
      </c>
      <c r="G13617" s="27" t="s">
        <v>939</v>
      </c>
      <c r="H13617" s="27" t="s">
        <v>945</v>
      </c>
      <c r="J13617" s="27" t="s">
        <v>238</v>
      </c>
      <c r="L13617" s="27" t="s">
        <v>346</v>
      </c>
      <c r="M13617" s="27" t="s">
        <v>3572</v>
      </c>
      <c r="N13617" s="27" t="s">
        <v>9544</v>
      </c>
      <c r="P13617" s="27" t="s">
        <v>9545</v>
      </c>
      <c r="Q13617" s="26" t="str">
        <f>HYPERLINK("https://ictv.global/taxonomy/taxondetails?taxnode_id=202513315&amp;ictv_id=ICTV202113315","ICTV202113315")</f>
        <v>ICTV202113315</v>
      </c>
      <c r="R13617" t="s">
        <v>580</v>
      </c>
      <c r="S13617" t="s">
        <v>823</v>
      </c>
      <c r="T13617">
        <v>37</v>
      </c>
      <c r="U13617" s="26" t="str">
        <f>HYPERLINK("https://ictv.global/ictv/proposals/2021.003M.R.Alpharhabdovirinae_3ngen_7nsp.zip","2021.003M.R.Alpharhabdovirinae_3ngen_7nsp.zip")</f>
        <v>2021.003M.R.Alpharhabdovirinae_3ngen_7nsp.zip</v>
      </c>
    </row>
    <row r="13618" spans="1:21">
      <c r="A13618">
        <v>13617</v>
      </c>
      <c r="B13618" s="27" t="s">
        <v>1124</v>
      </c>
      <c r="D13618" s="27" t="s">
        <v>1859</v>
      </c>
      <c r="F13618" s="27" t="s">
        <v>938</v>
      </c>
      <c r="G13618" s="27" t="s">
        <v>939</v>
      </c>
      <c r="H13618" s="27" t="s">
        <v>945</v>
      </c>
      <c r="J13618" s="27" t="s">
        <v>238</v>
      </c>
      <c r="L13618" s="27" t="s">
        <v>346</v>
      </c>
      <c r="M13618" s="27" t="s">
        <v>3572</v>
      </c>
      <c r="N13618" s="27" t="s">
        <v>9544</v>
      </c>
      <c r="P13618" s="27" t="s">
        <v>9546</v>
      </c>
      <c r="Q13618" s="26" t="str">
        <f>HYPERLINK("https://ictv.global/taxonomy/taxondetails?taxnode_id=202513316&amp;ictv_id=ICTV202113316","ICTV202113316")</f>
        <v>ICTV202113316</v>
      </c>
      <c r="R13618" t="s">
        <v>580</v>
      </c>
      <c r="S13618" t="s">
        <v>823</v>
      </c>
      <c r="T13618">
        <v>37</v>
      </c>
      <c r="U13618" s="26" t="str">
        <f>HYPERLINK("https://ictv.global/ictv/proposals/2021.003M.R.Alpharhabdovirinae_3ngen_7nsp.zip","2021.003M.R.Alpharhabdovirinae_3ngen_7nsp.zip")</f>
        <v>2021.003M.R.Alpharhabdovirinae_3ngen_7nsp.zip</v>
      </c>
    </row>
    <row r="13619" spans="1:21">
      <c r="A13619">
        <v>13618</v>
      </c>
      <c r="B13619" s="27" t="s">
        <v>1124</v>
      </c>
      <c r="D13619" s="27" t="s">
        <v>1859</v>
      </c>
      <c r="F13619" s="27" t="s">
        <v>938</v>
      </c>
      <c r="G13619" s="27" t="s">
        <v>939</v>
      </c>
      <c r="H13619" s="27" t="s">
        <v>945</v>
      </c>
      <c r="J13619" s="27" t="s">
        <v>238</v>
      </c>
      <c r="L13619" s="27" t="s">
        <v>346</v>
      </c>
      <c r="M13619" s="27" t="s">
        <v>3572</v>
      </c>
      <c r="N13619" s="27" t="s">
        <v>20776</v>
      </c>
      <c r="P13619" s="27" t="s">
        <v>20777</v>
      </c>
      <c r="Q13619" s="26" t="str">
        <f>HYPERLINK("https://ictv.global/taxonomy/taxondetails?taxnode_id=202501790&amp;ictv_id=ICTV20165174","ICTV20165174")</f>
        <v>ICTV20165174</v>
      </c>
      <c r="R13619" t="s">
        <v>580</v>
      </c>
      <c r="S13619" t="s">
        <v>22764</v>
      </c>
      <c r="T13619">
        <v>41</v>
      </c>
      <c r="U13619" s="26" t="str">
        <f>HYPERLINK("https://ictv.global/ictv/proposals/2025.001M.Alpharhabdovirinae_2ng_14nsp.zip","2025.001M.Alpharhabdovirinae_2ng_14nsp.zip")</f>
        <v>2025.001M.Alpharhabdovirinae_2ng_14nsp.zip</v>
      </c>
    </row>
    <row r="13620" spans="1:21">
      <c r="A13620">
        <v>13619</v>
      </c>
      <c r="B13620" s="27" t="s">
        <v>1124</v>
      </c>
      <c r="D13620" s="27" t="s">
        <v>1859</v>
      </c>
      <c r="F13620" s="27" t="s">
        <v>938</v>
      </c>
      <c r="G13620" s="27" t="s">
        <v>939</v>
      </c>
      <c r="H13620" s="27" t="s">
        <v>945</v>
      </c>
      <c r="J13620" s="27" t="s">
        <v>238</v>
      </c>
      <c r="L13620" s="27" t="s">
        <v>346</v>
      </c>
      <c r="M13620" s="27" t="s">
        <v>3572</v>
      </c>
      <c r="N13620" s="27" t="s">
        <v>20776</v>
      </c>
      <c r="P13620" s="27" t="s">
        <v>20911</v>
      </c>
      <c r="Q13620" s="26" t="str">
        <f>HYPERLINK("https://ictv.global/taxonomy/taxondetails?taxnode_id=202513323&amp;ictv_id=ICTV202113323","ICTV202113323")</f>
        <v>ICTV202113323</v>
      </c>
      <c r="R13620" t="s">
        <v>580</v>
      </c>
      <c r="S13620" t="s">
        <v>22764</v>
      </c>
      <c r="T13620">
        <v>41</v>
      </c>
      <c r="U13620" s="26" t="str">
        <f>HYPERLINK("https://ictv.global/ictv/proposals/2025.001M.Alpharhabdovirinae_2ng_14nsp.zip","2025.001M.Alpharhabdovirinae_2ng_14nsp.zip")</f>
        <v>2025.001M.Alpharhabdovirinae_2ng_14nsp.zip</v>
      </c>
    </row>
    <row r="13621" spans="1:21">
      <c r="A13621">
        <v>13620</v>
      </c>
      <c r="B13621" s="27" t="s">
        <v>1124</v>
      </c>
      <c r="D13621" s="27" t="s">
        <v>1859</v>
      </c>
      <c r="F13621" s="27" t="s">
        <v>938</v>
      </c>
      <c r="G13621" s="27" t="s">
        <v>939</v>
      </c>
      <c r="H13621" s="27" t="s">
        <v>945</v>
      </c>
      <c r="J13621" s="27" t="s">
        <v>238</v>
      </c>
      <c r="L13621" s="27" t="s">
        <v>346</v>
      </c>
      <c r="M13621" s="27" t="s">
        <v>3572</v>
      </c>
      <c r="N13621" s="27" t="s">
        <v>20776</v>
      </c>
      <c r="P13621" s="27" t="s">
        <v>20897</v>
      </c>
      <c r="Q13621" s="26" t="str">
        <f>HYPERLINK("https://ictv.global/taxonomy/taxondetails?taxnode_id=202509186&amp;ictv_id=ICTV202009186","ICTV202009186")</f>
        <v>ICTV202009186</v>
      </c>
      <c r="R13621" t="s">
        <v>580</v>
      </c>
      <c r="S13621" t="s">
        <v>22764</v>
      </c>
      <c r="T13621">
        <v>41</v>
      </c>
      <c r="U13621" s="26" t="str">
        <f>HYPERLINK("https://ictv.global/ictv/proposals/2025.001M.Alpharhabdovirinae_2ng_14nsp.zip","2025.001M.Alpharhabdovirinae_2ng_14nsp.zip")</f>
        <v>2025.001M.Alpharhabdovirinae_2ng_14nsp.zip</v>
      </c>
    </row>
    <row r="13622" spans="1:21">
      <c r="A13622">
        <v>13621</v>
      </c>
      <c r="B13622" s="27" t="s">
        <v>1124</v>
      </c>
      <c r="D13622" s="27" t="s">
        <v>1859</v>
      </c>
      <c r="F13622" s="27" t="s">
        <v>938</v>
      </c>
      <c r="G13622" s="27" t="s">
        <v>939</v>
      </c>
      <c r="H13622" s="27" t="s">
        <v>945</v>
      </c>
      <c r="J13622" s="27" t="s">
        <v>238</v>
      </c>
      <c r="L13622" s="27" t="s">
        <v>346</v>
      </c>
      <c r="M13622" s="27" t="s">
        <v>3572</v>
      </c>
      <c r="N13622" s="27" t="s">
        <v>20776</v>
      </c>
      <c r="P13622" s="27" t="s">
        <v>20982</v>
      </c>
      <c r="Q13622" s="26" t="str">
        <f>HYPERLINK("https://ictv.global/taxonomy/taxondetails?taxnode_id=202514275&amp;ictv_id=ICTV202214275","ICTV202214275")</f>
        <v>ICTV202214275</v>
      </c>
      <c r="R13622" t="s">
        <v>580</v>
      </c>
      <c r="S13622" t="s">
        <v>22764</v>
      </c>
      <c r="T13622">
        <v>41</v>
      </c>
      <c r="U13622" s="26" t="str">
        <f>HYPERLINK("https://ictv.global/ictv/proposals/2025.001M.Alpharhabdovirinae_2ng_14nsp.zip","2025.001M.Alpharhabdovirinae_2ng_14nsp.zip")</f>
        <v>2025.001M.Alpharhabdovirinae_2ng_14nsp.zip</v>
      </c>
    </row>
    <row r="13623" spans="1:21">
      <c r="A13623">
        <v>13622</v>
      </c>
      <c r="B13623" s="27" t="s">
        <v>1124</v>
      </c>
      <c r="D13623" s="27" t="s">
        <v>1859</v>
      </c>
      <c r="F13623" s="27" t="s">
        <v>938</v>
      </c>
      <c r="G13623" s="27" t="s">
        <v>939</v>
      </c>
      <c r="H13623" s="27" t="s">
        <v>945</v>
      </c>
      <c r="J13623" s="27" t="s">
        <v>238</v>
      </c>
      <c r="L13623" s="27" t="s">
        <v>346</v>
      </c>
      <c r="M13623" s="27" t="s">
        <v>3572</v>
      </c>
      <c r="N13623" s="27" t="s">
        <v>20776</v>
      </c>
      <c r="P13623" s="27" t="s">
        <v>20912</v>
      </c>
      <c r="Q13623" s="26" t="str">
        <f>HYPERLINK("https://ictv.global/taxonomy/taxondetails?taxnode_id=202513324&amp;ictv_id=ICTV202113324","ICTV202113324")</f>
        <v>ICTV202113324</v>
      </c>
      <c r="R13623" t="s">
        <v>580</v>
      </c>
      <c r="S13623" t="s">
        <v>22764</v>
      </c>
      <c r="T13623">
        <v>41</v>
      </c>
      <c r="U13623" s="26" t="str">
        <f>HYPERLINK("https://ictv.global/ictv/proposals/2025.001M.Alpharhabdovirinae_2ng_14nsp.zip","2025.001M.Alpharhabdovirinae_2ng_14nsp.zip")</f>
        <v>2025.001M.Alpharhabdovirinae_2ng_14nsp.zip</v>
      </c>
    </row>
    <row r="13624" spans="1:21">
      <c r="A13624">
        <v>13623</v>
      </c>
      <c r="B13624" s="27" t="s">
        <v>1124</v>
      </c>
      <c r="D13624" s="27" t="s">
        <v>1859</v>
      </c>
      <c r="F13624" s="27" t="s">
        <v>938</v>
      </c>
      <c r="G13624" s="27" t="s">
        <v>939</v>
      </c>
      <c r="H13624" s="27" t="s">
        <v>945</v>
      </c>
      <c r="J13624" s="27" t="s">
        <v>238</v>
      </c>
      <c r="L13624" s="27" t="s">
        <v>346</v>
      </c>
      <c r="M13624" s="27" t="s">
        <v>3572</v>
      </c>
      <c r="N13624" s="27" t="s">
        <v>796</v>
      </c>
      <c r="P13624" s="27" t="s">
        <v>9547</v>
      </c>
      <c r="Q13624" s="26" t="str">
        <f>HYPERLINK("https://ictv.global/taxonomy/taxondetails?taxnode_id=202501662&amp;ictv_id=ICTV20165130","ICTV20165130")</f>
        <v>ICTV20165130</v>
      </c>
      <c r="R13624" t="s">
        <v>580</v>
      </c>
      <c r="S13624" t="s">
        <v>824</v>
      </c>
      <c r="T13624">
        <v>37</v>
      </c>
      <c r="U13624" s="26" t="str">
        <f t="shared" ref="U13624:U13630" si="503">HYPERLINK("https://ictv.global/ictv/proposals/2021.036M.R.Rhabdoviridae_sprename.zip","2021.036M.R.Rhabdoviridae_sprename.zip")</f>
        <v>2021.036M.R.Rhabdoviridae_sprename.zip</v>
      </c>
    </row>
    <row r="13625" spans="1:21">
      <c r="A13625">
        <v>13624</v>
      </c>
      <c r="B13625" s="27" t="s">
        <v>1124</v>
      </c>
      <c r="D13625" s="27" t="s">
        <v>1859</v>
      </c>
      <c r="F13625" s="27" t="s">
        <v>938</v>
      </c>
      <c r="G13625" s="27" t="s">
        <v>939</v>
      </c>
      <c r="H13625" s="27" t="s">
        <v>945</v>
      </c>
      <c r="J13625" s="27" t="s">
        <v>238</v>
      </c>
      <c r="L13625" s="27" t="s">
        <v>346</v>
      </c>
      <c r="M13625" s="27" t="s">
        <v>3572</v>
      </c>
      <c r="N13625" s="27" t="s">
        <v>796</v>
      </c>
      <c r="P13625" s="27" t="s">
        <v>9548</v>
      </c>
      <c r="Q13625" s="26" t="str">
        <f>HYPERLINK("https://ictv.global/taxonomy/taxondetails?taxnode_id=202501663&amp;ictv_id=ICTV20165131","ICTV20165131")</f>
        <v>ICTV20165131</v>
      </c>
      <c r="R13625" t="s">
        <v>580</v>
      </c>
      <c r="S13625" t="s">
        <v>824</v>
      </c>
      <c r="T13625">
        <v>37</v>
      </c>
      <c r="U13625" s="26" t="str">
        <f t="shared" si="503"/>
        <v>2021.036M.R.Rhabdoviridae_sprename.zip</v>
      </c>
    </row>
    <row r="13626" spans="1:21">
      <c r="A13626">
        <v>13625</v>
      </c>
      <c r="B13626" s="27" t="s">
        <v>1124</v>
      </c>
      <c r="D13626" s="27" t="s">
        <v>1859</v>
      </c>
      <c r="F13626" s="27" t="s">
        <v>938</v>
      </c>
      <c r="G13626" s="27" t="s">
        <v>939</v>
      </c>
      <c r="H13626" s="27" t="s">
        <v>945</v>
      </c>
      <c r="J13626" s="27" t="s">
        <v>238</v>
      </c>
      <c r="L13626" s="27" t="s">
        <v>346</v>
      </c>
      <c r="M13626" s="27" t="s">
        <v>3572</v>
      </c>
      <c r="N13626" s="27" t="s">
        <v>796</v>
      </c>
      <c r="P13626" s="27" t="s">
        <v>9549</v>
      </c>
      <c r="Q13626" s="26" t="str">
        <f>HYPERLINK("https://ictv.global/taxonomy/taxondetails?taxnode_id=202501664&amp;ictv_id=ICTV20165132","ICTV20165132")</f>
        <v>ICTV20165132</v>
      </c>
      <c r="R13626" t="s">
        <v>580</v>
      </c>
      <c r="S13626" t="s">
        <v>824</v>
      </c>
      <c r="T13626">
        <v>37</v>
      </c>
      <c r="U13626" s="26" t="str">
        <f t="shared" si="503"/>
        <v>2021.036M.R.Rhabdoviridae_sprename.zip</v>
      </c>
    </row>
    <row r="13627" spans="1:21">
      <c r="A13627">
        <v>13626</v>
      </c>
      <c r="B13627" s="27" t="s">
        <v>1124</v>
      </c>
      <c r="D13627" s="27" t="s">
        <v>1859</v>
      </c>
      <c r="F13627" s="27" t="s">
        <v>938</v>
      </c>
      <c r="G13627" s="27" t="s">
        <v>939</v>
      </c>
      <c r="H13627" s="27" t="s">
        <v>945</v>
      </c>
      <c r="J13627" s="27" t="s">
        <v>238</v>
      </c>
      <c r="L13627" s="27" t="s">
        <v>346</v>
      </c>
      <c r="M13627" s="27" t="s">
        <v>3572</v>
      </c>
      <c r="N13627" s="27" t="s">
        <v>796</v>
      </c>
      <c r="P13627" s="27" t="s">
        <v>9550</v>
      </c>
      <c r="Q13627" s="26" t="str">
        <f>HYPERLINK("https://ictv.global/taxonomy/taxondetails?taxnode_id=202501665&amp;ictv_id=ICTV20165133","ICTV20165133")</f>
        <v>ICTV20165133</v>
      </c>
      <c r="R13627" t="s">
        <v>580</v>
      </c>
      <c r="S13627" t="s">
        <v>824</v>
      </c>
      <c r="T13627">
        <v>37</v>
      </c>
      <c r="U13627" s="26" t="str">
        <f t="shared" si="503"/>
        <v>2021.036M.R.Rhabdoviridae_sprename.zip</v>
      </c>
    </row>
    <row r="13628" spans="1:21">
      <c r="A13628">
        <v>13627</v>
      </c>
      <c r="B13628" s="27" t="s">
        <v>1124</v>
      </c>
      <c r="D13628" s="27" t="s">
        <v>1859</v>
      </c>
      <c r="F13628" s="27" t="s">
        <v>938</v>
      </c>
      <c r="G13628" s="27" t="s">
        <v>939</v>
      </c>
      <c r="H13628" s="27" t="s">
        <v>945</v>
      </c>
      <c r="J13628" s="27" t="s">
        <v>238</v>
      </c>
      <c r="L13628" s="27" t="s">
        <v>346</v>
      </c>
      <c r="M13628" s="27" t="s">
        <v>3572</v>
      </c>
      <c r="N13628" s="27" t="s">
        <v>331</v>
      </c>
      <c r="P13628" s="27" t="s">
        <v>9551</v>
      </c>
      <c r="Q13628" s="26" t="str">
        <f>HYPERLINK("https://ictv.global/taxonomy/taxondetails?taxnode_id=202501682&amp;ictv_id=ICTV19910260","ICTV19910260")</f>
        <v>ICTV19910260</v>
      </c>
      <c r="R13628" t="s">
        <v>580</v>
      </c>
      <c r="S13628" t="s">
        <v>824</v>
      </c>
      <c r="T13628">
        <v>37</v>
      </c>
      <c r="U13628" s="26" t="str">
        <f t="shared" si="503"/>
        <v>2021.036M.R.Rhabdoviridae_sprename.zip</v>
      </c>
    </row>
    <row r="13629" spans="1:21">
      <c r="A13629">
        <v>13628</v>
      </c>
      <c r="B13629" s="27" t="s">
        <v>1124</v>
      </c>
      <c r="D13629" s="27" t="s">
        <v>1859</v>
      </c>
      <c r="F13629" s="27" t="s">
        <v>938</v>
      </c>
      <c r="G13629" s="27" t="s">
        <v>939</v>
      </c>
      <c r="H13629" s="27" t="s">
        <v>945</v>
      </c>
      <c r="J13629" s="27" t="s">
        <v>238</v>
      </c>
      <c r="L13629" s="27" t="s">
        <v>346</v>
      </c>
      <c r="M13629" s="27" t="s">
        <v>3572</v>
      </c>
      <c r="N13629" s="27" t="s">
        <v>331</v>
      </c>
      <c r="P13629" s="27" t="s">
        <v>9552</v>
      </c>
      <c r="Q13629" s="26" t="str">
        <f>HYPERLINK("https://ictv.global/taxonomy/taxondetails?taxnode_id=202501683&amp;ictv_id=ICTV19910261","ICTV19910261")</f>
        <v>ICTV19910261</v>
      </c>
      <c r="R13629" t="s">
        <v>580</v>
      </c>
      <c r="S13629" t="s">
        <v>824</v>
      </c>
      <c r="T13629">
        <v>37</v>
      </c>
      <c r="U13629" s="26" t="str">
        <f t="shared" si="503"/>
        <v>2021.036M.R.Rhabdoviridae_sprename.zip</v>
      </c>
    </row>
    <row r="13630" spans="1:21">
      <c r="A13630">
        <v>13629</v>
      </c>
      <c r="B13630" s="27" t="s">
        <v>1124</v>
      </c>
      <c r="D13630" s="27" t="s">
        <v>1859</v>
      </c>
      <c r="F13630" s="27" t="s">
        <v>938</v>
      </c>
      <c r="G13630" s="27" t="s">
        <v>939</v>
      </c>
      <c r="H13630" s="27" t="s">
        <v>945</v>
      </c>
      <c r="J13630" s="27" t="s">
        <v>238</v>
      </c>
      <c r="L13630" s="27" t="s">
        <v>346</v>
      </c>
      <c r="M13630" s="27" t="s">
        <v>3572</v>
      </c>
      <c r="N13630" s="27" t="s">
        <v>331</v>
      </c>
      <c r="P13630" s="27" t="s">
        <v>9553</v>
      </c>
      <c r="Q13630" s="26" t="str">
        <f>HYPERLINK("https://ictv.global/taxonomy/taxondetails?taxnode_id=202501684&amp;ictv_id=ICTV19910262","ICTV19910262")</f>
        <v>ICTV19910262</v>
      </c>
      <c r="R13630" t="s">
        <v>580</v>
      </c>
      <c r="S13630" t="s">
        <v>824</v>
      </c>
      <c r="T13630">
        <v>37</v>
      </c>
      <c r="U13630" s="26" t="str">
        <f t="shared" si="503"/>
        <v>2021.036M.R.Rhabdoviridae_sprename.zip</v>
      </c>
    </row>
    <row r="13631" spans="1:21">
      <c r="A13631">
        <v>13630</v>
      </c>
      <c r="B13631" s="27" t="s">
        <v>1124</v>
      </c>
      <c r="D13631" s="27" t="s">
        <v>1859</v>
      </c>
      <c r="F13631" s="27" t="s">
        <v>938</v>
      </c>
      <c r="G13631" s="27" t="s">
        <v>939</v>
      </c>
      <c r="H13631" s="27" t="s">
        <v>945</v>
      </c>
      <c r="J13631" s="27" t="s">
        <v>238</v>
      </c>
      <c r="L13631" s="27" t="s">
        <v>346</v>
      </c>
      <c r="M13631" s="27" t="s">
        <v>3572</v>
      </c>
      <c r="N13631" s="27" t="s">
        <v>331</v>
      </c>
      <c r="P13631" s="27" t="s">
        <v>9554</v>
      </c>
      <c r="Q13631" s="26" t="str">
        <f>HYPERLINK("https://ictv.global/taxonomy/taxondetails?taxnode_id=202514177&amp;ictv_id=ICTV202214177","ICTV202214177")</f>
        <v>ICTV202214177</v>
      </c>
      <c r="R13631" t="s">
        <v>580</v>
      </c>
      <c r="S13631" t="s">
        <v>823</v>
      </c>
      <c r="T13631">
        <v>38</v>
      </c>
      <c r="U13631" s="26" t="str">
        <f>HYPERLINK("https://ictv.global/ictv/proposals/2022.008M.Ephemerovirus_2nsp.zip","2022.008M.Ephemerovirus_2nsp.zip")</f>
        <v>2022.008M.Ephemerovirus_2nsp.zip</v>
      </c>
    </row>
    <row r="13632" spans="1:21">
      <c r="A13632">
        <v>13631</v>
      </c>
      <c r="B13632" s="27" t="s">
        <v>1124</v>
      </c>
      <c r="D13632" s="27" t="s">
        <v>1859</v>
      </c>
      <c r="F13632" s="27" t="s">
        <v>938</v>
      </c>
      <c r="G13632" s="27" t="s">
        <v>939</v>
      </c>
      <c r="H13632" s="27" t="s">
        <v>945</v>
      </c>
      <c r="J13632" s="27" t="s">
        <v>238</v>
      </c>
      <c r="L13632" s="27" t="s">
        <v>346</v>
      </c>
      <c r="M13632" s="27" t="s">
        <v>3572</v>
      </c>
      <c r="N13632" s="27" t="s">
        <v>331</v>
      </c>
      <c r="P13632" s="27" t="s">
        <v>21113</v>
      </c>
      <c r="Q13632" s="26" t="str">
        <f>HYPERLINK("https://ictv.global/taxonomy/taxondetails?taxnode_id=202522049&amp;ictv_id=ICTV202522049","ICTV202522049")</f>
        <v>ICTV202522049</v>
      </c>
      <c r="R13632" t="s">
        <v>580</v>
      </c>
      <c r="S13632" t="s">
        <v>823</v>
      </c>
      <c r="T13632">
        <v>41</v>
      </c>
      <c r="U13632" s="26" t="str">
        <f>HYPERLINK("https://ictv.global/ictv/proposals/2025.001M.Alpharhabdovirinae_2ng_14nsp.zip","2025.001M.Alpharhabdovirinae_2ng_14nsp.zip")</f>
        <v>2025.001M.Alpharhabdovirinae_2ng_14nsp.zip</v>
      </c>
    </row>
    <row r="13633" spans="1:21">
      <c r="A13633">
        <v>13632</v>
      </c>
      <c r="B13633" s="27" t="s">
        <v>1124</v>
      </c>
      <c r="D13633" s="27" t="s">
        <v>1859</v>
      </c>
      <c r="F13633" s="27" t="s">
        <v>938</v>
      </c>
      <c r="G13633" s="27" t="s">
        <v>939</v>
      </c>
      <c r="H13633" s="27" t="s">
        <v>945</v>
      </c>
      <c r="J13633" s="27" t="s">
        <v>238</v>
      </c>
      <c r="L13633" s="27" t="s">
        <v>346</v>
      </c>
      <c r="M13633" s="27" t="s">
        <v>3572</v>
      </c>
      <c r="N13633" s="27" t="s">
        <v>331</v>
      </c>
      <c r="P13633" s="27" t="s">
        <v>9555</v>
      </c>
      <c r="Q13633" s="26" t="str">
        <f>HYPERLINK("https://ictv.global/taxonomy/taxondetails?taxnode_id=202509101&amp;ictv_id=ICTV202009101","ICTV202009101")</f>
        <v>ICTV202009101</v>
      </c>
      <c r="R13633" t="s">
        <v>580</v>
      </c>
      <c r="S13633" t="s">
        <v>824</v>
      </c>
      <c r="T13633">
        <v>37</v>
      </c>
      <c r="U13633" s="26" t="str">
        <f>HYPERLINK("https://ictv.global/ictv/proposals/2021.036M.R.Rhabdoviridae_sprename.zip","2021.036M.R.Rhabdoviridae_sprename.zip")</f>
        <v>2021.036M.R.Rhabdoviridae_sprename.zip</v>
      </c>
    </row>
    <row r="13634" spans="1:21">
      <c r="A13634">
        <v>13633</v>
      </c>
      <c r="B13634" s="27" t="s">
        <v>1124</v>
      </c>
      <c r="D13634" s="27" t="s">
        <v>1859</v>
      </c>
      <c r="F13634" s="27" t="s">
        <v>938</v>
      </c>
      <c r="G13634" s="27" t="s">
        <v>939</v>
      </c>
      <c r="H13634" s="27" t="s">
        <v>945</v>
      </c>
      <c r="J13634" s="27" t="s">
        <v>238</v>
      </c>
      <c r="L13634" s="27" t="s">
        <v>346</v>
      </c>
      <c r="M13634" s="27" t="s">
        <v>3572</v>
      </c>
      <c r="N13634" s="27" t="s">
        <v>331</v>
      </c>
      <c r="P13634" s="27" t="s">
        <v>21112</v>
      </c>
      <c r="Q13634" s="26" t="str">
        <f>HYPERLINK("https://ictv.global/taxonomy/taxondetails?taxnode_id=202522048&amp;ictv_id=ICTV202522048","ICTV202522048")</f>
        <v>ICTV202522048</v>
      </c>
      <c r="R13634" t="s">
        <v>580</v>
      </c>
      <c r="S13634" t="s">
        <v>823</v>
      </c>
      <c r="T13634">
        <v>41</v>
      </c>
      <c r="U13634" s="26" t="str">
        <f>HYPERLINK("https://ictv.global/ictv/proposals/2025.001M.Alpharhabdovirinae_2ng_14nsp.zip","2025.001M.Alpharhabdovirinae_2ng_14nsp.zip")</f>
        <v>2025.001M.Alpharhabdovirinae_2ng_14nsp.zip</v>
      </c>
    </row>
    <row r="13635" spans="1:21">
      <c r="A13635">
        <v>13634</v>
      </c>
      <c r="B13635" s="27" t="s">
        <v>1124</v>
      </c>
      <c r="D13635" s="27" t="s">
        <v>1859</v>
      </c>
      <c r="F13635" s="27" t="s">
        <v>938</v>
      </c>
      <c r="G13635" s="27" t="s">
        <v>939</v>
      </c>
      <c r="H13635" s="27" t="s">
        <v>945</v>
      </c>
      <c r="J13635" s="27" t="s">
        <v>238</v>
      </c>
      <c r="L13635" s="27" t="s">
        <v>346</v>
      </c>
      <c r="M13635" s="27" t="s">
        <v>3572</v>
      </c>
      <c r="N13635" s="27" t="s">
        <v>331</v>
      </c>
      <c r="P13635" s="27" t="s">
        <v>9556</v>
      </c>
      <c r="Q13635" s="26" t="str">
        <f>HYPERLINK("https://ictv.global/taxonomy/taxondetails?taxnode_id=202514176&amp;ictv_id=ICTV202214176","ICTV202214176")</f>
        <v>ICTV202214176</v>
      </c>
      <c r="R13635" t="s">
        <v>580</v>
      </c>
      <c r="S13635" t="s">
        <v>823</v>
      </c>
      <c r="T13635">
        <v>38</v>
      </c>
      <c r="U13635" s="26" t="str">
        <f>HYPERLINK("https://ictv.global/ictv/proposals/2022.008M.Ephemerovirus_2nsp.zip","2022.008M.Ephemerovirus_2nsp.zip")</f>
        <v>2022.008M.Ephemerovirus_2nsp.zip</v>
      </c>
    </row>
    <row r="13636" spans="1:21">
      <c r="A13636">
        <v>13635</v>
      </c>
      <c r="B13636" s="27" t="s">
        <v>1124</v>
      </c>
      <c r="D13636" s="27" t="s">
        <v>1859</v>
      </c>
      <c r="F13636" s="27" t="s">
        <v>938</v>
      </c>
      <c r="G13636" s="27" t="s">
        <v>939</v>
      </c>
      <c r="H13636" s="27" t="s">
        <v>945</v>
      </c>
      <c r="J13636" s="27" t="s">
        <v>238</v>
      </c>
      <c r="L13636" s="27" t="s">
        <v>346</v>
      </c>
      <c r="M13636" s="27" t="s">
        <v>3572</v>
      </c>
      <c r="N13636" s="27" t="s">
        <v>331</v>
      </c>
      <c r="P13636" s="27" t="s">
        <v>16890</v>
      </c>
      <c r="Q13636" s="26" t="str">
        <f>HYPERLINK("https://ictv.global/taxonomy/taxondetails?taxnode_id=202517949&amp;ictv_id=ICTV202317949","ICTV202317949")</f>
        <v>ICTV202317949</v>
      </c>
      <c r="R13636" t="s">
        <v>580</v>
      </c>
      <c r="S13636" t="s">
        <v>823</v>
      </c>
      <c r="T13636">
        <v>39</v>
      </c>
      <c r="U13636" s="26" t="str">
        <f>HYPERLINK("https://ictv.global/ictv/proposals/2023.010M.Ephemerovirus_1nsp.zip","2023.010M.Ephemerovirus_1nsp.zip")</f>
        <v>2023.010M.Ephemerovirus_1nsp.zip</v>
      </c>
    </row>
    <row r="13637" spans="1:21">
      <c r="A13637">
        <v>13636</v>
      </c>
      <c r="B13637" s="27" t="s">
        <v>1124</v>
      </c>
      <c r="D13637" s="27" t="s">
        <v>1859</v>
      </c>
      <c r="F13637" s="27" t="s">
        <v>938</v>
      </c>
      <c r="G13637" s="27" t="s">
        <v>939</v>
      </c>
      <c r="H13637" s="27" t="s">
        <v>945</v>
      </c>
      <c r="J13637" s="27" t="s">
        <v>238</v>
      </c>
      <c r="L13637" s="27" t="s">
        <v>346</v>
      </c>
      <c r="M13637" s="27" t="s">
        <v>3572</v>
      </c>
      <c r="N13637" s="27" t="s">
        <v>331</v>
      </c>
      <c r="P13637" s="27" t="s">
        <v>9557</v>
      </c>
      <c r="Q13637" s="26" t="str">
        <f>HYPERLINK("https://ictv.global/taxonomy/taxondetails?taxnode_id=202509103&amp;ictv_id=ICTV202009103","ICTV202009103")</f>
        <v>ICTV202009103</v>
      </c>
      <c r="R13637" t="s">
        <v>580</v>
      </c>
      <c r="S13637" t="s">
        <v>824</v>
      </c>
      <c r="T13637">
        <v>37</v>
      </c>
      <c r="U13637" s="26" t="str">
        <f t="shared" ref="U13637:U13643" si="504">HYPERLINK("https://ictv.global/ictv/proposals/2021.036M.R.Rhabdoviridae_sprename.zip","2021.036M.R.Rhabdoviridae_sprename.zip")</f>
        <v>2021.036M.R.Rhabdoviridae_sprename.zip</v>
      </c>
    </row>
    <row r="13638" spans="1:21">
      <c r="A13638">
        <v>13637</v>
      </c>
      <c r="B13638" s="27" t="s">
        <v>1124</v>
      </c>
      <c r="D13638" s="27" t="s">
        <v>1859</v>
      </c>
      <c r="F13638" s="27" t="s">
        <v>938</v>
      </c>
      <c r="G13638" s="27" t="s">
        <v>939</v>
      </c>
      <c r="H13638" s="27" t="s">
        <v>945</v>
      </c>
      <c r="J13638" s="27" t="s">
        <v>238</v>
      </c>
      <c r="L13638" s="27" t="s">
        <v>346</v>
      </c>
      <c r="M13638" s="27" t="s">
        <v>3572</v>
      </c>
      <c r="N13638" s="27" t="s">
        <v>331</v>
      </c>
      <c r="P13638" s="27" t="s">
        <v>9558</v>
      </c>
      <c r="Q13638" s="26" t="str">
        <f>HYPERLINK("https://ictv.global/taxonomy/taxondetails?taxnode_id=202501685&amp;ictv_id=ICTV20165135","ICTV20165135")</f>
        <v>ICTV20165135</v>
      </c>
      <c r="R13638" t="s">
        <v>580</v>
      </c>
      <c r="S13638" t="s">
        <v>824</v>
      </c>
      <c r="T13638">
        <v>37</v>
      </c>
      <c r="U13638" s="26" t="str">
        <f t="shared" si="504"/>
        <v>2021.036M.R.Rhabdoviridae_sprename.zip</v>
      </c>
    </row>
    <row r="13639" spans="1:21">
      <c r="A13639">
        <v>13638</v>
      </c>
      <c r="B13639" s="27" t="s">
        <v>1124</v>
      </c>
      <c r="D13639" s="27" t="s">
        <v>1859</v>
      </c>
      <c r="F13639" s="27" t="s">
        <v>938</v>
      </c>
      <c r="G13639" s="27" t="s">
        <v>939</v>
      </c>
      <c r="H13639" s="27" t="s">
        <v>945</v>
      </c>
      <c r="J13639" s="27" t="s">
        <v>238</v>
      </c>
      <c r="L13639" s="27" t="s">
        <v>346</v>
      </c>
      <c r="M13639" s="27" t="s">
        <v>3572</v>
      </c>
      <c r="N13639" s="27" t="s">
        <v>331</v>
      </c>
      <c r="P13639" s="27" t="s">
        <v>9559</v>
      </c>
      <c r="Q13639" s="26" t="str">
        <f>HYPERLINK("https://ictv.global/taxonomy/taxondetails?taxnode_id=202501686&amp;ictv_id=ICTV20165136","ICTV20165136")</f>
        <v>ICTV20165136</v>
      </c>
      <c r="R13639" t="s">
        <v>580</v>
      </c>
      <c r="S13639" t="s">
        <v>824</v>
      </c>
      <c r="T13639">
        <v>37</v>
      </c>
      <c r="U13639" s="26" t="str">
        <f t="shared" si="504"/>
        <v>2021.036M.R.Rhabdoviridae_sprename.zip</v>
      </c>
    </row>
    <row r="13640" spans="1:21">
      <c r="A13640">
        <v>13639</v>
      </c>
      <c r="B13640" s="27" t="s">
        <v>1124</v>
      </c>
      <c r="D13640" s="27" t="s">
        <v>1859</v>
      </c>
      <c r="F13640" s="27" t="s">
        <v>938</v>
      </c>
      <c r="G13640" s="27" t="s">
        <v>939</v>
      </c>
      <c r="H13640" s="27" t="s">
        <v>945</v>
      </c>
      <c r="J13640" s="27" t="s">
        <v>238</v>
      </c>
      <c r="L13640" s="27" t="s">
        <v>346</v>
      </c>
      <c r="M13640" s="27" t="s">
        <v>3572</v>
      </c>
      <c r="N13640" s="27" t="s">
        <v>331</v>
      </c>
      <c r="P13640" s="27" t="s">
        <v>9560</v>
      </c>
      <c r="Q13640" s="26" t="str">
        <f>HYPERLINK("https://ictv.global/taxonomy/taxondetails?taxnode_id=202501687&amp;ictv_id=ICTV20125873","ICTV20125873")</f>
        <v>ICTV20125873</v>
      </c>
      <c r="R13640" t="s">
        <v>580</v>
      </c>
      <c r="S13640" t="s">
        <v>824</v>
      </c>
      <c r="T13640">
        <v>37</v>
      </c>
      <c r="U13640" s="26" t="str">
        <f t="shared" si="504"/>
        <v>2021.036M.R.Rhabdoviridae_sprename.zip</v>
      </c>
    </row>
    <row r="13641" spans="1:21">
      <c r="A13641">
        <v>13640</v>
      </c>
      <c r="B13641" s="27" t="s">
        <v>1124</v>
      </c>
      <c r="D13641" s="27" t="s">
        <v>1859</v>
      </c>
      <c r="F13641" s="27" t="s">
        <v>938</v>
      </c>
      <c r="G13641" s="27" t="s">
        <v>939</v>
      </c>
      <c r="H13641" s="27" t="s">
        <v>945</v>
      </c>
      <c r="J13641" s="27" t="s">
        <v>238</v>
      </c>
      <c r="L13641" s="27" t="s">
        <v>346</v>
      </c>
      <c r="M13641" s="27" t="s">
        <v>3572</v>
      </c>
      <c r="N13641" s="27" t="s">
        <v>331</v>
      </c>
      <c r="P13641" s="27" t="s">
        <v>9561</v>
      </c>
      <c r="Q13641" s="26" t="str">
        <f>HYPERLINK("https://ictv.global/taxonomy/taxondetails?taxnode_id=202501688&amp;ictv_id=ICTV20125932","ICTV20125932")</f>
        <v>ICTV20125932</v>
      </c>
      <c r="R13641" t="s">
        <v>580</v>
      </c>
      <c r="S13641" t="s">
        <v>824</v>
      </c>
      <c r="T13641">
        <v>37</v>
      </c>
      <c r="U13641" s="26" t="str">
        <f t="shared" si="504"/>
        <v>2021.036M.R.Rhabdoviridae_sprename.zip</v>
      </c>
    </row>
    <row r="13642" spans="1:21">
      <c r="A13642">
        <v>13641</v>
      </c>
      <c r="B13642" s="27" t="s">
        <v>1124</v>
      </c>
      <c r="D13642" s="27" t="s">
        <v>1859</v>
      </c>
      <c r="F13642" s="27" t="s">
        <v>938</v>
      </c>
      <c r="G13642" s="27" t="s">
        <v>939</v>
      </c>
      <c r="H13642" s="27" t="s">
        <v>945</v>
      </c>
      <c r="J13642" s="27" t="s">
        <v>238</v>
      </c>
      <c r="L13642" s="27" t="s">
        <v>346</v>
      </c>
      <c r="M13642" s="27" t="s">
        <v>3572</v>
      </c>
      <c r="N13642" s="27" t="s">
        <v>331</v>
      </c>
      <c r="P13642" s="27" t="s">
        <v>9562</v>
      </c>
      <c r="Q13642" s="26" t="str">
        <f>HYPERLINK("https://ictv.global/taxonomy/taxondetails?taxnode_id=202509102&amp;ictv_id=ICTV202009102","ICTV202009102")</f>
        <v>ICTV202009102</v>
      </c>
      <c r="R13642" t="s">
        <v>580</v>
      </c>
      <c r="S13642" t="s">
        <v>824</v>
      </c>
      <c r="T13642">
        <v>37</v>
      </c>
      <c r="U13642" s="26" t="str">
        <f t="shared" si="504"/>
        <v>2021.036M.R.Rhabdoviridae_sprename.zip</v>
      </c>
    </row>
    <row r="13643" spans="1:21">
      <c r="A13643">
        <v>13642</v>
      </c>
      <c r="B13643" s="27" t="s">
        <v>1124</v>
      </c>
      <c r="D13643" s="27" t="s">
        <v>1859</v>
      </c>
      <c r="F13643" s="27" t="s">
        <v>938</v>
      </c>
      <c r="G13643" s="27" t="s">
        <v>939</v>
      </c>
      <c r="H13643" s="27" t="s">
        <v>945</v>
      </c>
      <c r="J13643" s="27" t="s">
        <v>238</v>
      </c>
      <c r="L13643" s="27" t="s">
        <v>346</v>
      </c>
      <c r="M13643" s="27" t="s">
        <v>3572</v>
      </c>
      <c r="N13643" s="27" t="s">
        <v>331</v>
      </c>
      <c r="P13643" s="27" t="s">
        <v>9563</v>
      </c>
      <c r="Q13643" s="26" t="str">
        <f>HYPERLINK("https://ictv.global/taxonomy/taxondetails?taxnode_id=202501689&amp;ictv_id=ICTV20165137","ICTV20165137")</f>
        <v>ICTV20165137</v>
      </c>
      <c r="R13643" t="s">
        <v>580</v>
      </c>
      <c r="S13643" t="s">
        <v>824</v>
      </c>
      <c r="T13643">
        <v>37</v>
      </c>
      <c r="U13643" s="26" t="str">
        <f t="shared" si="504"/>
        <v>2021.036M.R.Rhabdoviridae_sprename.zip</v>
      </c>
    </row>
    <row r="13644" spans="1:21">
      <c r="A13644">
        <v>13643</v>
      </c>
      <c r="B13644" s="27" t="s">
        <v>1124</v>
      </c>
      <c r="D13644" s="27" t="s">
        <v>1859</v>
      </c>
      <c r="F13644" s="27" t="s">
        <v>938</v>
      </c>
      <c r="G13644" s="27" t="s">
        <v>939</v>
      </c>
      <c r="H13644" s="27" t="s">
        <v>945</v>
      </c>
      <c r="J13644" s="27" t="s">
        <v>238</v>
      </c>
      <c r="L13644" s="27" t="s">
        <v>346</v>
      </c>
      <c r="M13644" s="27" t="s">
        <v>3572</v>
      </c>
      <c r="N13644" s="27" t="s">
        <v>743</v>
      </c>
      <c r="P13644" s="27" t="s">
        <v>9564</v>
      </c>
      <c r="Q13644" s="26" t="str">
        <f>HYPERLINK("https://ictv.global/taxonomy/taxondetails?taxnode_id=202513335&amp;ictv_id=ICTV202113335","ICTV202113335")</f>
        <v>ICTV202113335</v>
      </c>
      <c r="R13644" t="s">
        <v>580</v>
      </c>
      <c r="S13644" t="s">
        <v>823</v>
      </c>
      <c r="T13644">
        <v>37</v>
      </c>
      <c r="U13644" s="26" t="str">
        <f>HYPERLINK("https://ictv.global/ictv/proposals/2021.004M.R.Alpharhabdovirinae_13nsp.zip","2021.004M.R.Alpharhabdovirinae_13nsp.zip")</f>
        <v>2021.004M.R.Alpharhabdovirinae_13nsp.zip</v>
      </c>
    </row>
    <row r="13645" spans="1:21">
      <c r="A13645">
        <v>13644</v>
      </c>
      <c r="B13645" s="27" t="s">
        <v>1124</v>
      </c>
      <c r="D13645" s="27" t="s">
        <v>1859</v>
      </c>
      <c r="F13645" s="27" t="s">
        <v>938</v>
      </c>
      <c r="G13645" s="27" t="s">
        <v>939</v>
      </c>
      <c r="H13645" s="27" t="s">
        <v>945</v>
      </c>
      <c r="J13645" s="27" t="s">
        <v>238</v>
      </c>
      <c r="L13645" s="27" t="s">
        <v>346</v>
      </c>
      <c r="M13645" s="27" t="s">
        <v>3572</v>
      </c>
      <c r="N13645" s="27" t="s">
        <v>743</v>
      </c>
      <c r="P13645" s="27" t="s">
        <v>9565</v>
      </c>
      <c r="Q13645" s="26" t="str">
        <f>HYPERLINK("https://ictv.global/taxonomy/taxondetails?taxnode_id=202501691&amp;ictv_id=ICTV20094947","ICTV20094947")</f>
        <v>ICTV20094947</v>
      </c>
      <c r="R13645" t="s">
        <v>580</v>
      </c>
      <c r="S13645" t="s">
        <v>824</v>
      </c>
      <c r="T13645">
        <v>37</v>
      </c>
      <c r="U13645" s="26" t="str">
        <f t="shared" ref="U13645:U13659" si="505">HYPERLINK("https://ictv.global/ictv/proposals/2021.036M.R.Rhabdoviridae_sprename.zip","2021.036M.R.Rhabdoviridae_sprename.zip")</f>
        <v>2021.036M.R.Rhabdoviridae_sprename.zip</v>
      </c>
    </row>
    <row r="13646" spans="1:21">
      <c r="A13646">
        <v>13645</v>
      </c>
      <c r="B13646" s="27" t="s">
        <v>1124</v>
      </c>
      <c r="D13646" s="27" t="s">
        <v>1859</v>
      </c>
      <c r="F13646" s="27" t="s">
        <v>938</v>
      </c>
      <c r="G13646" s="27" t="s">
        <v>939</v>
      </c>
      <c r="H13646" s="27" t="s">
        <v>945</v>
      </c>
      <c r="J13646" s="27" t="s">
        <v>238</v>
      </c>
      <c r="L13646" s="27" t="s">
        <v>346</v>
      </c>
      <c r="M13646" s="27" t="s">
        <v>3572</v>
      </c>
      <c r="N13646" s="27" t="s">
        <v>743</v>
      </c>
      <c r="P13646" s="27" t="s">
        <v>9566</v>
      </c>
      <c r="Q13646" s="26" t="str">
        <f>HYPERLINK("https://ictv.global/taxonomy/taxondetails?taxnode_id=202501692&amp;ictv_id=ICTV20165138","ICTV20165138")</f>
        <v>ICTV20165138</v>
      </c>
      <c r="R13646" t="s">
        <v>580</v>
      </c>
      <c r="S13646" t="s">
        <v>824</v>
      </c>
      <c r="T13646">
        <v>37</v>
      </c>
      <c r="U13646" s="26" t="str">
        <f t="shared" si="505"/>
        <v>2021.036M.R.Rhabdoviridae_sprename.zip</v>
      </c>
    </row>
    <row r="13647" spans="1:21">
      <c r="A13647">
        <v>13646</v>
      </c>
      <c r="B13647" s="27" t="s">
        <v>1124</v>
      </c>
      <c r="D13647" s="27" t="s">
        <v>1859</v>
      </c>
      <c r="F13647" s="27" t="s">
        <v>938</v>
      </c>
      <c r="G13647" s="27" t="s">
        <v>939</v>
      </c>
      <c r="H13647" s="27" t="s">
        <v>945</v>
      </c>
      <c r="J13647" s="27" t="s">
        <v>238</v>
      </c>
      <c r="L13647" s="27" t="s">
        <v>346</v>
      </c>
      <c r="M13647" s="27" t="s">
        <v>3572</v>
      </c>
      <c r="N13647" s="27" t="s">
        <v>743</v>
      </c>
      <c r="P13647" s="27" t="s">
        <v>9567</v>
      </c>
      <c r="Q13647" s="26" t="str">
        <f>HYPERLINK("https://ictv.global/taxonomy/taxondetails?taxnode_id=202501693&amp;ictv_id=ICTV20165139","ICTV20165139")</f>
        <v>ICTV20165139</v>
      </c>
      <c r="R13647" t="s">
        <v>580</v>
      </c>
      <c r="S13647" t="s">
        <v>824</v>
      </c>
      <c r="T13647">
        <v>37</v>
      </c>
      <c r="U13647" s="26" t="str">
        <f t="shared" si="505"/>
        <v>2021.036M.R.Rhabdoviridae_sprename.zip</v>
      </c>
    </row>
    <row r="13648" spans="1:21">
      <c r="A13648">
        <v>13647</v>
      </c>
      <c r="B13648" s="27" t="s">
        <v>1124</v>
      </c>
      <c r="D13648" s="27" t="s">
        <v>1859</v>
      </c>
      <c r="F13648" s="27" t="s">
        <v>938</v>
      </c>
      <c r="G13648" s="27" t="s">
        <v>939</v>
      </c>
      <c r="H13648" s="27" t="s">
        <v>945</v>
      </c>
      <c r="J13648" s="27" t="s">
        <v>238</v>
      </c>
      <c r="L13648" s="27" t="s">
        <v>346</v>
      </c>
      <c r="M13648" s="27" t="s">
        <v>3572</v>
      </c>
      <c r="N13648" s="27" t="s">
        <v>743</v>
      </c>
      <c r="P13648" s="27" t="s">
        <v>9568</v>
      </c>
      <c r="Q13648" s="26" t="str">
        <f>HYPERLINK("https://ictv.global/taxonomy/taxondetails?taxnode_id=202507103&amp;ictv_id=ICTV201907103","ICTV201907103")</f>
        <v>ICTV201907103</v>
      </c>
      <c r="R13648" t="s">
        <v>580</v>
      </c>
      <c r="S13648" t="s">
        <v>824</v>
      </c>
      <c r="T13648">
        <v>37</v>
      </c>
      <c r="U13648" s="26" t="str">
        <f t="shared" si="505"/>
        <v>2021.036M.R.Rhabdoviridae_sprename.zip</v>
      </c>
    </row>
    <row r="13649" spans="1:21">
      <c r="A13649">
        <v>13648</v>
      </c>
      <c r="B13649" s="27" t="s">
        <v>1124</v>
      </c>
      <c r="D13649" s="27" t="s">
        <v>1859</v>
      </c>
      <c r="F13649" s="27" t="s">
        <v>938</v>
      </c>
      <c r="G13649" s="27" t="s">
        <v>939</v>
      </c>
      <c r="H13649" s="27" t="s">
        <v>945</v>
      </c>
      <c r="J13649" s="27" t="s">
        <v>238</v>
      </c>
      <c r="L13649" s="27" t="s">
        <v>346</v>
      </c>
      <c r="M13649" s="27" t="s">
        <v>3572</v>
      </c>
      <c r="N13649" s="27" t="s">
        <v>743</v>
      </c>
      <c r="P13649" s="27" t="s">
        <v>9569</v>
      </c>
      <c r="Q13649" s="26" t="str">
        <f>HYPERLINK("https://ictv.global/taxonomy/taxondetails?taxnode_id=202501694&amp;ictv_id=ICTV20165140","ICTV20165140")</f>
        <v>ICTV20165140</v>
      </c>
      <c r="R13649" t="s">
        <v>580</v>
      </c>
      <c r="S13649" t="s">
        <v>824</v>
      </c>
      <c r="T13649">
        <v>37</v>
      </c>
      <c r="U13649" s="26" t="str">
        <f t="shared" si="505"/>
        <v>2021.036M.R.Rhabdoviridae_sprename.zip</v>
      </c>
    </row>
    <row r="13650" spans="1:21">
      <c r="A13650">
        <v>13649</v>
      </c>
      <c r="B13650" s="27" t="s">
        <v>1124</v>
      </c>
      <c r="D13650" s="27" t="s">
        <v>1859</v>
      </c>
      <c r="F13650" s="27" t="s">
        <v>938</v>
      </c>
      <c r="G13650" s="27" t="s">
        <v>939</v>
      </c>
      <c r="H13650" s="27" t="s">
        <v>945</v>
      </c>
      <c r="J13650" s="27" t="s">
        <v>238</v>
      </c>
      <c r="L13650" s="27" t="s">
        <v>346</v>
      </c>
      <c r="M13650" s="27" t="s">
        <v>3572</v>
      </c>
      <c r="N13650" s="27" t="s">
        <v>743</v>
      </c>
      <c r="P13650" s="27" t="s">
        <v>9570</v>
      </c>
      <c r="Q13650" s="26" t="str">
        <f>HYPERLINK("https://ictv.global/taxonomy/taxondetails?taxnode_id=202501695&amp;ictv_id=ICTV20165141","ICTV20165141")</f>
        <v>ICTV20165141</v>
      </c>
      <c r="R13650" t="s">
        <v>580</v>
      </c>
      <c r="S13650" t="s">
        <v>824</v>
      </c>
      <c r="T13650">
        <v>37</v>
      </c>
      <c r="U13650" s="26" t="str">
        <f t="shared" si="505"/>
        <v>2021.036M.R.Rhabdoviridae_sprename.zip</v>
      </c>
    </row>
    <row r="13651" spans="1:21">
      <c r="A13651">
        <v>13650</v>
      </c>
      <c r="B13651" s="27" t="s">
        <v>1124</v>
      </c>
      <c r="D13651" s="27" t="s">
        <v>1859</v>
      </c>
      <c r="F13651" s="27" t="s">
        <v>938</v>
      </c>
      <c r="G13651" s="27" t="s">
        <v>939</v>
      </c>
      <c r="H13651" s="27" t="s">
        <v>945</v>
      </c>
      <c r="J13651" s="27" t="s">
        <v>238</v>
      </c>
      <c r="L13651" s="27" t="s">
        <v>346</v>
      </c>
      <c r="M13651" s="27" t="s">
        <v>3572</v>
      </c>
      <c r="N13651" s="27" t="s">
        <v>743</v>
      </c>
      <c r="P13651" s="27" t="s">
        <v>9571</v>
      </c>
      <c r="Q13651" s="26" t="str">
        <f>HYPERLINK("https://ictv.global/taxonomy/taxondetails?taxnode_id=202501696&amp;ictv_id=ICTV20165142","ICTV20165142")</f>
        <v>ICTV20165142</v>
      </c>
      <c r="R13651" t="s">
        <v>580</v>
      </c>
      <c r="S13651" t="s">
        <v>824</v>
      </c>
      <c r="T13651">
        <v>37</v>
      </c>
      <c r="U13651" s="26" t="str">
        <f t="shared" si="505"/>
        <v>2021.036M.R.Rhabdoviridae_sprename.zip</v>
      </c>
    </row>
    <row r="13652" spans="1:21">
      <c r="A13652">
        <v>13651</v>
      </c>
      <c r="B13652" s="27" t="s">
        <v>1124</v>
      </c>
      <c r="D13652" s="27" t="s">
        <v>1859</v>
      </c>
      <c r="F13652" s="27" t="s">
        <v>938</v>
      </c>
      <c r="G13652" s="27" t="s">
        <v>939</v>
      </c>
      <c r="H13652" s="27" t="s">
        <v>945</v>
      </c>
      <c r="J13652" s="27" t="s">
        <v>238</v>
      </c>
      <c r="L13652" s="27" t="s">
        <v>346</v>
      </c>
      <c r="M13652" s="27" t="s">
        <v>3572</v>
      </c>
      <c r="N13652" s="27" t="s">
        <v>743</v>
      </c>
      <c r="P13652" s="27" t="s">
        <v>9572</v>
      </c>
      <c r="Q13652" s="26" t="str">
        <f>HYPERLINK("https://ictv.global/taxonomy/taxondetails?taxnode_id=202501697&amp;ictv_id=ICTV20165143","ICTV20165143")</f>
        <v>ICTV20165143</v>
      </c>
      <c r="R13652" t="s">
        <v>580</v>
      </c>
      <c r="S13652" t="s">
        <v>824</v>
      </c>
      <c r="T13652">
        <v>37</v>
      </c>
      <c r="U13652" s="26" t="str">
        <f t="shared" si="505"/>
        <v>2021.036M.R.Rhabdoviridae_sprename.zip</v>
      </c>
    </row>
    <row r="13653" spans="1:21">
      <c r="A13653">
        <v>13652</v>
      </c>
      <c r="B13653" s="27" t="s">
        <v>1124</v>
      </c>
      <c r="D13653" s="27" t="s">
        <v>1859</v>
      </c>
      <c r="F13653" s="27" t="s">
        <v>938</v>
      </c>
      <c r="G13653" s="27" t="s">
        <v>939</v>
      </c>
      <c r="H13653" s="27" t="s">
        <v>945</v>
      </c>
      <c r="J13653" s="27" t="s">
        <v>238</v>
      </c>
      <c r="L13653" s="27" t="s">
        <v>346</v>
      </c>
      <c r="M13653" s="27" t="s">
        <v>3572</v>
      </c>
      <c r="N13653" s="27" t="s">
        <v>743</v>
      </c>
      <c r="P13653" s="27" t="s">
        <v>9573</v>
      </c>
      <c r="Q13653" s="26" t="str">
        <f>HYPERLINK("https://ictv.global/taxonomy/taxondetails?taxnode_id=202501698&amp;ictv_id=ICTV20165144","ICTV20165144")</f>
        <v>ICTV20165144</v>
      </c>
      <c r="R13653" t="s">
        <v>580</v>
      </c>
      <c r="S13653" t="s">
        <v>824</v>
      </c>
      <c r="T13653">
        <v>37</v>
      </c>
      <c r="U13653" s="26" t="str">
        <f t="shared" si="505"/>
        <v>2021.036M.R.Rhabdoviridae_sprename.zip</v>
      </c>
    </row>
    <row r="13654" spans="1:21">
      <c r="A13654">
        <v>13653</v>
      </c>
      <c r="B13654" s="27" t="s">
        <v>1124</v>
      </c>
      <c r="D13654" s="27" t="s">
        <v>1859</v>
      </c>
      <c r="F13654" s="27" t="s">
        <v>938</v>
      </c>
      <c r="G13654" s="27" t="s">
        <v>939</v>
      </c>
      <c r="H13654" s="27" t="s">
        <v>945</v>
      </c>
      <c r="J13654" s="27" t="s">
        <v>238</v>
      </c>
      <c r="L13654" s="27" t="s">
        <v>346</v>
      </c>
      <c r="M13654" s="27" t="s">
        <v>3572</v>
      </c>
      <c r="N13654" s="27" t="s">
        <v>743</v>
      </c>
      <c r="P13654" s="27" t="s">
        <v>9574</v>
      </c>
      <c r="Q13654" s="26" t="str">
        <f>HYPERLINK("https://ictv.global/taxonomy/taxondetails?taxnode_id=202501699&amp;ictv_id=ICTV20165145","ICTV20165145")</f>
        <v>ICTV20165145</v>
      </c>
      <c r="R13654" t="s">
        <v>580</v>
      </c>
      <c r="S13654" t="s">
        <v>824</v>
      </c>
      <c r="T13654">
        <v>37</v>
      </c>
      <c r="U13654" s="26" t="str">
        <f t="shared" si="505"/>
        <v>2021.036M.R.Rhabdoviridae_sprename.zip</v>
      </c>
    </row>
    <row r="13655" spans="1:21">
      <c r="A13655">
        <v>13654</v>
      </c>
      <c r="B13655" s="27" t="s">
        <v>1124</v>
      </c>
      <c r="D13655" s="27" t="s">
        <v>1859</v>
      </c>
      <c r="F13655" s="27" t="s">
        <v>938</v>
      </c>
      <c r="G13655" s="27" t="s">
        <v>939</v>
      </c>
      <c r="H13655" s="27" t="s">
        <v>945</v>
      </c>
      <c r="J13655" s="27" t="s">
        <v>238</v>
      </c>
      <c r="L13655" s="27" t="s">
        <v>346</v>
      </c>
      <c r="M13655" s="27" t="s">
        <v>3572</v>
      </c>
      <c r="N13655" s="27" t="s">
        <v>743</v>
      </c>
      <c r="P13655" s="27" t="s">
        <v>9575</v>
      </c>
      <c r="Q13655" s="26" t="str">
        <f>HYPERLINK("https://ictv.global/taxonomy/taxondetails?taxnode_id=202501700&amp;ictv_id=ICTV20165146","ICTV20165146")</f>
        <v>ICTV20165146</v>
      </c>
      <c r="R13655" t="s">
        <v>580</v>
      </c>
      <c r="S13655" t="s">
        <v>824</v>
      </c>
      <c r="T13655">
        <v>37</v>
      </c>
      <c r="U13655" s="26" t="str">
        <f t="shared" si="505"/>
        <v>2021.036M.R.Rhabdoviridae_sprename.zip</v>
      </c>
    </row>
    <row r="13656" spans="1:21">
      <c r="A13656">
        <v>13655</v>
      </c>
      <c r="B13656" s="27" t="s">
        <v>1124</v>
      </c>
      <c r="D13656" s="27" t="s">
        <v>1859</v>
      </c>
      <c r="F13656" s="27" t="s">
        <v>938</v>
      </c>
      <c r="G13656" s="27" t="s">
        <v>939</v>
      </c>
      <c r="H13656" s="27" t="s">
        <v>945</v>
      </c>
      <c r="J13656" s="27" t="s">
        <v>238</v>
      </c>
      <c r="L13656" s="27" t="s">
        <v>346</v>
      </c>
      <c r="M13656" s="27" t="s">
        <v>3572</v>
      </c>
      <c r="N13656" s="27" t="s">
        <v>743</v>
      </c>
      <c r="P13656" s="27" t="s">
        <v>9576</v>
      </c>
      <c r="Q13656" s="26" t="str">
        <f>HYPERLINK("https://ictv.global/taxonomy/taxondetails?taxnode_id=202501701&amp;ictv_id=ICTV20165147","ICTV20165147")</f>
        <v>ICTV20165147</v>
      </c>
      <c r="R13656" t="s">
        <v>580</v>
      </c>
      <c r="S13656" t="s">
        <v>824</v>
      </c>
      <c r="T13656">
        <v>37</v>
      </c>
      <c r="U13656" s="26" t="str">
        <f t="shared" si="505"/>
        <v>2021.036M.R.Rhabdoviridae_sprename.zip</v>
      </c>
    </row>
    <row r="13657" spans="1:21">
      <c r="A13657">
        <v>13656</v>
      </c>
      <c r="B13657" s="27" t="s">
        <v>1124</v>
      </c>
      <c r="D13657" s="27" t="s">
        <v>1859</v>
      </c>
      <c r="F13657" s="27" t="s">
        <v>938</v>
      </c>
      <c r="G13657" s="27" t="s">
        <v>939</v>
      </c>
      <c r="H13657" s="27" t="s">
        <v>945</v>
      </c>
      <c r="J13657" s="27" t="s">
        <v>238</v>
      </c>
      <c r="L13657" s="27" t="s">
        <v>346</v>
      </c>
      <c r="M13657" s="27" t="s">
        <v>3572</v>
      </c>
      <c r="N13657" s="27" t="s">
        <v>743</v>
      </c>
      <c r="P13657" s="27" t="s">
        <v>9577</v>
      </c>
      <c r="Q13657" s="26" t="str">
        <f>HYPERLINK("https://ictv.global/taxonomy/taxondetails?taxnode_id=202501702&amp;ictv_id=ICTV20094948","ICTV20094948")</f>
        <v>ICTV20094948</v>
      </c>
      <c r="R13657" t="s">
        <v>580</v>
      </c>
      <c r="S13657" t="s">
        <v>824</v>
      </c>
      <c r="T13657">
        <v>37</v>
      </c>
      <c r="U13657" s="26" t="str">
        <f t="shared" si="505"/>
        <v>2021.036M.R.Rhabdoviridae_sprename.zip</v>
      </c>
    </row>
    <row r="13658" spans="1:21">
      <c r="A13658">
        <v>13657</v>
      </c>
      <c r="B13658" s="27" t="s">
        <v>1124</v>
      </c>
      <c r="D13658" s="27" t="s">
        <v>1859</v>
      </c>
      <c r="F13658" s="27" t="s">
        <v>938</v>
      </c>
      <c r="G13658" s="27" t="s">
        <v>939</v>
      </c>
      <c r="H13658" s="27" t="s">
        <v>945</v>
      </c>
      <c r="J13658" s="27" t="s">
        <v>238</v>
      </c>
      <c r="L13658" s="27" t="s">
        <v>346</v>
      </c>
      <c r="M13658" s="27" t="s">
        <v>3572</v>
      </c>
      <c r="N13658" s="27" t="s">
        <v>743</v>
      </c>
      <c r="P13658" s="27" t="s">
        <v>9578</v>
      </c>
      <c r="Q13658" s="26" t="str">
        <f>HYPERLINK("https://ictv.global/taxonomy/taxondetails?taxnode_id=202501703&amp;ictv_id=ICTV20165148","ICTV20165148")</f>
        <v>ICTV20165148</v>
      </c>
      <c r="R13658" t="s">
        <v>580</v>
      </c>
      <c r="S13658" t="s">
        <v>824</v>
      </c>
      <c r="T13658">
        <v>37</v>
      </c>
      <c r="U13658" s="26" t="str">
        <f t="shared" si="505"/>
        <v>2021.036M.R.Rhabdoviridae_sprename.zip</v>
      </c>
    </row>
    <row r="13659" spans="1:21">
      <c r="A13659">
        <v>13658</v>
      </c>
      <c r="B13659" s="27" t="s">
        <v>1124</v>
      </c>
      <c r="D13659" s="27" t="s">
        <v>1859</v>
      </c>
      <c r="F13659" s="27" t="s">
        <v>938</v>
      </c>
      <c r="G13659" s="27" t="s">
        <v>939</v>
      </c>
      <c r="H13659" s="27" t="s">
        <v>945</v>
      </c>
      <c r="J13659" s="27" t="s">
        <v>238</v>
      </c>
      <c r="L13659" s="27" t="s">
        <v>346</v>
      </c>
      <c r="M13659" s="27" t="s">
        <v>3572</v>
      </c>
      <c r="N13659" s="27" t="s">
        <v>743</v>
      </c>
      <c r="P13659" s="27" t="s">
        <v>9579</v>
      </c>
      <c r="Q13659" s="26" t="str">
        <f>HYPERLINK("https://ictv.global/taxonomy/taxondetails?taxnode_id=202501704&amp;ictv_id=ICTV20165149","ICTV20165149")</f>
        <v>ICTV20165149</v>
      </c>
      <c r="R13659" t="s">
        <v>580</v>
      </c>
      <c r="S13659" t="s">
        <v>824</v>
      </c>
      <c r="T13659">
        <v>37</v>
      </c>
      <c r="U13659" s="26" t="str">
        <f t="shared" si="505"/>
        <v>2021.036M.R.Rhabdoviridae_sprename.zip</v>
      </c>
    </row>
    <row r="13660" spans="1:21">
      <c r="A13660">
        <v>13659</v>
      </c>
      <c r="B13660" s="27" t="s">
        <v>1124</v>
      </c>
      <c r="D13660" s="27" t="s">
        <v>1859</v>
      </c>
      <c r="F13660" s="27" t="s">
        <v>938</v>
      </c>
      <c r="G13660" s="27" t="s">
        <v>939</v>
      </c>
      <c r="H13660" s="27" t="s">
        <v>945</v>
      </c>
      <c r="J13660" s="27" t="s">
        <v>238</v>
      </c>
      <c r="L13660" s="27" t="s">
        <v>346</v>
      </c>
      <c r="M13660" s="27" t="s">
        <v>3572</v>
      </c>
      <c r="N13660" s="27" t="s">
        <v>743</v>
      </c>
      <c r="P13660" s="27" t="s">
        <v>9580</v>
      </c>
      <c r="Q13660" s="26" t="str">
        <f>HYPERLINK("https://ictv.global/taxonomy/taxondetails?taxnode_id=202513334&amp;ictv_id=ICTV202113334","ICTV202113334")</f>
        <v>ICTV202113334</v>
      </c>
      <c r="R13660" t="s">
        <v>580</v>
      </c>
      <c r="S13660" t="s">
        <v>823</v>
      </c>
      <c r="T13660">
        <v>37</v>
      </c>
      <c r="U13660" s="26" t="str">
        <f>HYPERLINK("https://ictv.global/ictv/proposals/2021.004M.R.Alpharhabdovirinae_13nsp.zip","2021.004M.R.Alpharhabdovirinae_13nsp.zip")</f>
        <v>2021.004M.R.Alpharhabdovirinae_13nsp.zip</v>
      </c>
    </row>
    <row r="13661" spans="1:21">
      <c r="A13661">
        <v>13660</v>
      </c>
      <c r="B13661" s="27" t="s">
        <v>1124</v>
      </c>
      <c r="D13661" s="27" t="s">
        <v>1859</v>
      </c>
      <c r="F13661" s="27" t="s">
        <v>938</v>
      </c>
      <c r="G13661" s="27" t="s">
        <v>939</v>
      </c>
      <c r="H13661" s="27" t="s">
        <v>945</v>
      </c>
      <c r="J13661" s="27" t="s">
        <v>238</v>
      </c>
      <c r="L13661" s="27" t="s">
        <v>346</v>
      </c>
      <c r="M13661" s="27" t="s">
        <v>3572</v>
      </c>
      <c r="N13661" s="27" t="s">
        <v>743</v>
      </c>
      <c r="P13661" s="27" t="s">
        <v>9581</v>
      </c>
      <c r="Q13661" s="26" t="str">
        <f>HYPERLINK("https://ictv.global/taxonomy/taxondetails?taxnode_id=202501705&amp;ictv_id=ICTV20094951","ICTV20094951")</f>
        <v>ICTV20094951</v>
      </c>
      <c r="R13661" t="s">
        <v>580</v>
      </c>
      <c r="S13661" t="s">
        <v>824</v>
      </c>
      <c r="T13661">
        <v>37</v>
      </c>
      <c r="U13661" s="26" t="str">
        <f t="shared" ref="U13661:U13666" si="506">HYPERLINK("https://ictv.global/ictv/proposals/2021.036M.R.Rhabdoviridae_sprename.zip","2021.036M.R.Rhabdoviridae_sprename.zip")</f>
        <v>2021.036M.R.Rhabdoviridae_sprename.zip</v>
      </c>
    </row>
    <row r="13662" spans="1:21">
      <c r="A13662">
        <v>13661</v>
      </c>
      <c r="B13662" s="27" t="s">
        <v>1124</v>
      </c>
      <c r="D13662" s="27" t="s">
        <v>1859</v>
      </c>
      <c r="F13662" s="27" t="s">
        <v>938</v>
      </c>
      <c r="G13662" s="27" t="s">
        <v>939</v>
      </c>
      <c r="H13662" s="27" t="s">
        <v>945</v>
      </c>
      <c r="J13662" s="27" t="s">
        <v>238</v>
      </c>
      <c r="L13662" s="27" t="s">
        <v>346</v>
      </c>
      <c r="M13662" s="27" t="s">
        <v>3572</v>
      </c>
      <c r="N13662" s="27" t="s">
        <v>797</v>
      </c>
      <c r="P13662" s="27" t="s">
        <v>9582</v>
      </c>
      <c r="Q13662" s="26" t="str">
        <f>HYPERLINK("https://ictv.global/taxonomy/taxondetails?taxnode_id=202501707&amp;ictv_id=ICTV20165150","ICTV20165150")</f>
        <v>ICTV20165150</v>
      </c>
      <c r="R13662" t="s">
        <v>580</v>
      </c>
      <c r="S13662" t="s">
        <v>824</v>
      </c>
      <c r="T13662">
        <v>37</v>
      </c>
      <c r="U13662" s="26" t="str">
        <f t="shared" si="506"/>
        <v>2021.036M.R.Rhabdoviridae_sprename.zip</v>
      </c>
    </row>
    <row r="13663" spans="1:21">
      <c r="A13663">
        <v>13662</v>
      </c>
      <c r="B13663" s="27" t="s">
        <v>1124</v>
      </c>
      <c r="D13663" s="27" t="s">
        <v>1859</v>
      </c>
      <c r="F13663" s="27" t="s">
        <v>938</v>
      </c>
      <c r="G13663" s="27" t="s">
        <v>939</v>
      </c>
      <c r="H13663" s="27" t="s">
        <v>945</v>
      </c>
      <c r="J13663" s="27" t="s">
        <v>238</v>
      </c>
      <c r="L13663" s="27" t="s">
        <v>346</v>
      </c>
      <c r="M13663" s="27" t="s">
        <v>3572</v>
      </c>
      <c r="N13663" s="27" t="s">
        <v>797</v>
      </c>
      <c r="P13663" s="27" t="s">
        <v>9583</v>
      </c>
      <c r="Q13663" s="26" t="str">
        <f>HYPERLINK("https://ictv.global/taxonomy/taxondetails?taxnode_id=202509617&amp;ictv_id=ICTV202009617","ICTV202009617")</f>
        <v>ICTV202009617</v>
      </c>
      <c r="R13663" t="s">
        <v>580</v>
      </c>
      <c r="S13663" t="s">
        <v>824</v>
      </c>
      <c r="T13663">
        <v>37</v>
      </c>
      <c r="U13663" s="26" t="str">
        <f t="shared" si="506"/>
        <v>2021.036M.R.Rhabdoviridae_sprename.zip</v>
      </c>
    </row>
    <row r="13664" spans="1:21">
      <c r="A13664">
        <v>13663</v>
      </c>
      <c r="B13664" s="27" t="s">
        <v>1124</v>
      </c>
      <c r="D13664" s="27" t="s">
        <v>1859</v>
      </c>
      <c r="F13664" s="27" t="s">
        <v>938</v>
      </c>
      <c r="G13664" s="27" t="s">
        <v>939</v>
      </c>
      <c r="H13664" s="27" t="s">
        <v>945</v>
      </c>
      <c r="J13664" s="27" t="s">
        <v>238</v>
      </c>
      <c r="L13664" s="27" t="s">
        <v>346</v>
      </c>
      <c r="M13664" s="27" t="s">
        <v>3572</v>
      </c>
      <c r="N13664" s="27" t="s">
        <v>797</v>
      </c>
      <c r="P13664" s="27" t="s">
        <v>9584</v>
      </c>
      <c r="Q13664" s="26" t="str">
        <f>HYPERLINK("https://ictv.global/taxonomy/taxondetails?taxnode_id=202501715&amp;ictv_id=ICTV20165158","ICTV20165158")</f>
        <v>ICTV20165158</v>
      </c>
      <c r="R13664" t="s">
        <v>580</v>
      </c>
      <c r="S13664" t="s">
        <v>824</v>
      </c>
      <c r="T13664">
        <v>37</v>
      </c>
      <c r="U13664" s="26" t="str">
        <f t="shared" si="506"/>
        <v>2021.036M.R.Rhabdoviridae_sprename.zip</v>
      </c>
    </row>
    <row r="13665" spans="1:21">
      <c r="A13665">
        <v>13664</v>
      </c>
      <c r="B13665" s="27" t="s">
        <v>1124</v>
      </c>
      <c r="D13665" s="27" t="s">
        <v>1859</v>
      </c>
      <c r="F13665" s="27" t="s">
        <v>938</v>
      </c>
      <c r="G13665" s="27" t="s">
        <v>939</v>
      </c>
      <c r="H13665" s="27" t="s">
        <v>945</v>
      </c>
      <c r="J13665" s="27" t="s">
        <v>238</v>
      </c>
      <c r="L13665" s="27" t="s">
        <v>346</v>
      </c>
      <c r="M13665" s="27" t="s">
        <v>3572</v>
      </c>
      <c r="N13665" s="27" t="s">
        <v>797</v>
      </c>
      <c r="P13665" s="27" t="s">
        <v>9585</v>
      </c>
      <c r="Q13665" s="26" t="str">
        <f>HYPERLINK("https://ictv.global/taxonomy/taxondetails?taxnode_id=202501708&amp;ictv_id=ICTV20165151","ICTV20165151")</f>
        <v>ICTV20165151</v>
      </c>
      <c r="R13665" t="s">
        <v>580</v>
      </c>
      <c r="S13665" t="s">
        <v>824</v>
      </c>
      <c r="T13665">
        <v>37</v>
      </c>
      <c r="U13665" s="26" t="str">
        <f t="shared" si="506"/>
        <v>2021.036M.R.Rhabdoviridae_sprename.zip</v>
      </c>
    </row>
    <row r="13666" spans="1:21">
      <c r="A13666">
        <v>13665</v>
      </c>
      <c r="B13666" s="27" t="s">
        <v>1124</v>
      </c>
      <c r="D13666" s="27" t="s">
        <v>1859</v>
      </c>
      <c r="F13666" s="27" t="s">
        <v>938</v>
      </c>
      <c r="G13666" s="27" t="s">
        <v>939</v>
      </c>
      <c r="H13666" s="27" t="s">
        <v>945</v>
      </c>
      <c r="J13666" s="27" t="s">
        <v>238</v>
      </c>
      <c r="L13666" s="27" t="s">
        <v>346</v>
      </c>
      <c r="M13666" s="27" t="s">
        <v>3572</v>
      </c>
      <c r="N13666" s="27" t="s">
        <v>797</v>
      </c>
      <c r="P13666" s="27" t="s">
        <v>9586</v>
      </c>
      <c r="Q13666" s="26" t="str">
        <f>HYPERLINK("https://ictv.global/taxonomy/taxondetails?taxnode_id=202501709&amp;ictv_id=ICTV20165152","ICTV20165152")</f>
        <v>ICTV20165152</v>
      </c>
      <c r="R13666" t="s">
        <v>580</v>
      </c>
      <c r="S13666" t="s">
        <v>824</v>
      </c>
      <c r="T13666">
        <v>37</v>
      </c>
      <c r="U13666" s="26" t="str">
        <f t="shared" si="506"/>
        <v>2021.036M.R.Rhabdoviridae_sprename.zip</v>
      </c>
    </row>
    <row r="13667" spans="1:21">
      <c r="A13667">
        <v>13666</v>
      </c>
      <c r="B13667" s="27" t="s">
        <v>1124</v>
      </c>
      <c r="D13667" s="27" t="s">
        <v>1859</v>
      </c>
      <c r="F13667" s="27" t="s">
        <v>938</v>
      </c>
      <c r="G13667" s="27" t="s">
        <v>939</v>
      </c>
      <c r="H13667" s="27" t="s">
        <v>945</v>
      </c>
      <c r="J13667" s="27" t="s">
        <v>238</v>
      </c>
      <c r="L13667" s="27" t="s">
        <v>346</v>
      </c>
      <c r="M13667" s="27" t="s">
        <v>3572</v>
      </c>
      <c r="N13667" s="27" t="s">
        <v>797</v>
      </c>
      <c r="P13667" s="27" t="s">
        <v>21119</v>
      </c>
      <c r="Q13667" s="26" t="str">
        <f>HYPERLINK("https://ictv.global/taxonomy/taxondetails?taxnode_id=202522055&amp;ictv_id=ICTV202522055","ICTV202522055")</f>
        <v>ICTV202522055</v>
      </c>
      <c r="R13667" t="s">
        <v>580</v>
      </c>
      <c r="S13667" t="s">
        <v>823</v>
      </c>
      <c r="T13667">
        <v>41</v>
      </c>
      <c r="U13667" s="26" t="str">
        <f>HYPERLINK("https://ictv.global/ictv/proposals/2025.001M.Alpharhabdovirinae_2ng_14nsp.zip","2025.001M.Alpharhabdovirinae_2ng_14nsp.zip")</f>
        <v>2025.001M.Alpharhabdovirinae_2ng_14nsp.zip</v>
      </c>
    </row>
    <row r="13668" spans="1:21">
      <c r="A13668">
        <v>13667</v>
      </c>
      <c r="B13668" s="27" t="s">
        <v>1124</v>
      </c>
      <c r="D13668" s="27" t="s">
        <v>1859</v>
      </c>
      <c r="F13668" s="27" t="s">
        <v>938</v>
      </c>
      <c r="G13668" s="27" t="s">
        <v>939</v>
      </c>
      <c r="H13668" s="27" t="s">
        <v>945</v>
      </c>
      <c r="J13668" s="27" t="s">
        <v>238</v>
      </c>
      <c r="L13668" s="27" t="s">
        <v>346</v>
      </c>
      <c r="M13668" s="27" t="s">
        <v>3572</v>
      </c>
      <c r="N13668" s="27" t="s">
        <v>797</v>
      </c>
      <c r="P13668" s="27" t="s">
        <v>9587</v>
      </c>
      <c r="Q13668" s="26" t="str">
        <f>HYPERLINK("https://ictv.global/taxonomy/taxondetails?taxnode_id=202505580&amp;ictv_id=ICTV20175580","ICTV20175580")</f>
        <v>ICTV20175580</v>
      </c>
      <c r="R13668" t="s">
        <v>580</v>
      </c>
      <c r="S13668" t="s">
        <v>824</v>
      </c>
      <c r="T13668">
        <v>37</v>
      </c>
      <c r="U13668" s="26" t="str">
        <f t="shared" ref="U13668:U13673" si="507">HYPERLINK("https://ictv.global/ictv/proposals/2021.036M.R.Rhabdoviridae_sprename.zip","2021.036M.R.Rhabdoviridae_sprename.zip")</f>
        <v>2021.036M.R.Rhabdoviridae_sprename.zip</v>
      </c>
    </row>
    <row r="13669" spans="1:21">
      <c r="A13669">
        <v>13668</v>
      </c>
      <c r="B13669" s="27" t="s">
        <v>1124</v>
      </c>
      <c r="D13669" s="27" t="s">
        <v>1859</v>
      </c>
      <c r="F13669" s="27" t="s">
        <v>938</v>
      </c>
      <c r="G13669" s="27" t="s">
        <v>939</v>
      </c>
      <c r="H13669" s="27" t="s">
        <v>945</v>
      </c>
      <c r="J13669" s="27" t="s">
        <v>238</v>
      </c>
      <c r="L13669" s="27" t="s">
        <v>346</v>
      </c>
      <c r="M13669" s="27" t="s">
        <v>3572</v>
      </c>
      <c r="N13669" s="27" t="s">
        <v>797</v>
      </c>
      <c r="P13669" s="27" t="s">
        <v>9588</v>
      </c>
      <c r="Q13669" s="26" t="str">
        <f>HYPERLINK("https://ictv.global/taxonomy/taxondetails?taxnode_id=202501710&amp;ictv_id=ICTV20165153","ICTV20165153")</f>
        <v>ICTV20165153</v>
      </c>
      <c r="R13669" t="s">
        <v>580</v>
      </c>
      <c r="S13669" t="s">
        <v>824</v>
      </c>
      <c r="T13669">
        <v>37</v>
      </c>
      <c r="U13669" s="26" t="str">
        <f t="shared" si="507"/>
        <v>2021.036M.R.Rhabdoviridae_sprename.zip</v>
      </c>
    </row>
    <row r="13670" spans="1:21">
      <c r="A13670">
        <v>13669</v>
      </c>
      <c r="B13670" s="27" t="s">
        <v>1124</v>
      </c>
      <c r="D13670" s="27" t="s">
        <v>1859</v>
      </c>
      <c r="F13670" s="27" t="s">
        <v>938</v>
      </c>
      <c r="G13670" s="27" t="s">
        <v>939</v>
      </c>
      <c r="H13670" s="27" t="s">
        <v>945</v>
      </c>
      <c r="J13670" s="27" t="s">
        <v>238</v>
      </c>
      <c r="L13670" s="27" t="s">
        <v>346</v>
      </c>
      <c r="M13670" s="27" t="s">
        <v>3572</v>
      </c>
      <c r="N13670" s="27" t="s">
        <v>797</v>
      </c>
      <c r="P13670" s="27" t="s">
        <v>9589</v>
      </c>
      <c r="Q13670" s="26" t="str">
        <f>HYPERLINK("https://ictv.global/taxonomy/taxondetails?taxnode_id=202501711&amp;ictv_id=ICTV20165154","ICTV20165154")</f>
        <v>ICTV20165154</v>
      </c>
      <c r="R13670" t="s">
        <v>580</v>
      </c>
      <c r="S13670" t="s">
        <v>824</v>
      </c>
      <c r="T13670">
        <v>37</v>
      </c>
      <c r="U13670" s="26" t="str">
        <f t="shared" si="507"/>
        <v>2021.036M.R.Rhabdoviridae_sprename.zip</v>
      </c>
    </row>
    <row r="13671" spans="1:21">
      <c r="A13671">
        <v>13670</v>
      </c>
      <c r="B13671" s="27" t="s">
        <v>1124</v>
      </c>
      <c r="D13671" s="27" t="s">
        <v>1859</v>
      </c>
      <c r="F13671" s="27" t="s">
        <v>938</v>
      </c>
      <c r="G13671" s="27" t="s">
        <v>939</v>
      </c>
      <c r="H13671" s="27" t="s">
        <v>945</v>
      </c>
      <c r="J13671" s="27" t="s">
        <v>238</v>
      </c>
      <c r="L13671" s="27" t="s">
        <v>346</v>
      </c>
      <c r="M13671" s="27" t="s">
        <v>3572</v>
      </c>
      <c r="N13671" s="27" t="s">
        <v>797</v>
      </c>
      <c r="P13671" s="27" t="s">
        <v>9590</v>
      </c>
      <c r="Q13671" s="26" t="str">
        <f>HYPERLINK("https://ictv.global/taxonomy/taxondetails?taxnode_id=202501712&amp;ictv_id=ICTV20165155","ICTV20165155")</f>
        <v>ICTV20165155</v>
      </c>
      <c r="R13671" t="s">
        <v>580</v>
      </c>
      <c r="S13671" t="s">
        <v>824</v>
      </c>
      <c r="T13671">
        <v>37</v>
      </c>
      <c r="U13671" s="26" t="str">
        <f t="shared" si="507"/>
        <v>2021.036M.R.Rhabdoviridae_sprename.zip</v>
      </c>
    </row>
    <row r="13672" spans="1:21">
      <c r="A13672">
        <v>13671</v>
      </c>
      <c r="B13672" s="27" t="s">
        <v>1124</v>
      </c>
      <c r="D13672" s="27" t="s">
        <v>1859</v>
      </c>
      <c r="F13672" s="27" t="s">
        <v>938</v>
      </c>
      <c r="G13672" s="27" t="s">
        <v>939</v>
      </c>
      <c r="H13672" s="27" t="s">
        <v>945</v>
      </c>
      <c r="J13672" s="27" t="s">
        <v>238</v>
      </c>
      <c r="L13672" s="27" t="s">
        <v>346</v>
      </c>
      <c r="M13672" s="27" t="s">
        <v>3572</v>
      </c>
      <c r="N13672" s="27" t="s">
        <v>797</v>
      </c>
      <c r="P13672" s="27" t="s">
        <v>9591</v>
      </c>
      <c r="Q13672" s="26" t="str">
        <f>HYPERLINK("https://ictv.global/taxonomy/taxondetails?taxnode_id=202501713&amp;ictv_id=ICTV20165156","ICTV20165156")</f>
        <v>ICTV20165156</v>
      </c>
      <c r="R13672" t="s">
        <v>580</v>
      </c>
      <c r="S13672" t="s">
        <v>824</v>
      </c>
      <c r="T13672">
        <v>37</v>
      </c>
      <c r="U13672" s="26" t="str">
        <f t="shared" si="507"/>
        <v>2021.036M.R.Rhabdoviridae_sprename.zip</v>
      </c>
    </row>
    <row r="13673" spans="1:21">
      <c r="A13673">
        <v>13672</v>
      </c>
      <c r="B13673" s="27" t="s">
        <v>1124</v>
      </c>
      <c r="D13673" s="27" t="s">
        <v>1859</v>
      </c>
      <c r="F13673" s="27" t="s">
        <v>938</v>
      </c>
      <c r="G13673" s="27" t="s">
        <v>939</v>
      </c>
      <c r="H13673" s="27" t="s">
        <v>945</v>
      </c>
      <c r="J13673" s="27" t="s">
        <v>238</v>
      </c>
      <c r="L13673" s="27" t="s">
        <v>346</v>
      </c>
      <c r="M13673" s="27" t="s">
        <v>3572</v>
      </c>
      <c r="N13673" s="27" t="s">
        <v>797</v>
      </c>
      <c r="P13673" s="27" t="s">
        <v>9592</v>
      </c>
      <c r="Q13673" s="26" t="str">
        <f>HYPERLINK("https://ictv.global/taxonomy/taxondetails?taxnode_id=202501714&amp;ictv_id=ICTV20165157","ICTV20165157")</f>
        <v>ICTV20165157</v>
      </c>
      <c r="R13673" t="s">
        <v>580</v>
      </c>
      <c r="S13673" t="s">
        <v>824</v>
      </c>
      <c r="T13673">
        <v>37</v>
      </c>
      <c r="U13673" s="26" t="str">
        <f t="shared" si="507"/>
        <v>2021.036M.R.Rhabdoviridae_sprename.zip</v>
      </c>
    </row>
    <row r="13674" spans="1:21">
      <c r="A13674">
        <v>13673</v>
      </c>
      <c r="B13674" s="27" t="s">
        <v>1124</v>
      </c>
      <c r="D13674" s="27" t="s">
        <v>1859</v>
      </c>
      <c r="F13674" s="27" t="s">
        <v>938</v>
      </c>
      <c r="G13674" s="27" t="s">
        <v>939</v>
      </c>
      <c r="H13674" s="27" t="s">
        <v>945</v>
      </c>
      <c r="J13674" s="27" t="s">
        <v>238</v>
      </c>
      <c r="L13674" s="27" t="s">
        <v>346</v>
      </c>
      <c r="M13674" s="27" t="s">
        <v>3572</v>
      </c>
      <c r="N13674" s="27" t="s">
        <v>797</v>
      </c>
      <c r="P13674" s="27" t="s">
        <v>9593</v>
      </c>
      <c r="Q13674" s="26" t="str">
        <f>HYPERLINK("https://ictv.global/taxonomy/taxondetails?taxnode_id=202514156&amp;ictv_id=ICTV202214156","ICTV202214156")</f>
        <v>ICTV202214156</v>
      </c>
      <c r="R13674" t="s">
        <v>580</v>
      </c>
      <c r="S13674" t="s">
        <v>823</v>
      </c>
      <c r="T13674">
        <v>38</v>
      </c>
      <c r="U13674" s="26" t="str">
        <f>HYPERLINK("https://ictv.global/ictv/proposals/2022.002M.Alpharhabdovirinae_1ngen14nsp.zip","2022.002M.Alpharhabdovirinae_1ngen14nsp.zip")</f>
        <v>2022.002M.Alpharhabdovirinae_1ngen14nsp.zip</v>
      </c>
    </row>
    <row r="13675" spans="1:21">
      <c r="A13675">
        <v>13674</v>
      </c>
      <c r="B13675" s="27" t="s">
        <v>1124</v>
      </c>
      <c r="D13675" s="27" t="s">
        <v>1859</v>
      </c>
      <c r="F13675" s="27" t="s">
        <v>938</v>
      </c>
      <c r="G13675" s="27" t="s">
        <v>939</v>
      </c>
      <c r="H13675" s="27" t="s">
        <v>945</v>
      </c>
      <c r="J13675" s="27" t="s">
        <v>238</v>
      </c>
      <c r="L13675" s="27" t="s">
        <v>346</v>
      </c>
      <c r="M13675" s="27" t="s">
        <v>3572</v>
      </c>
      <c r="N13675" s="27" t="s">
        <v>797</v>
      </c>
      <c r="P13675" s="27" t="s">
        <v>9594</v>
      </c>
      <c r="Q13675" s="26" t="str">
        <f>HYPERLINK("https://ictv.global/taxonomy/taxondetails?taxnode_id=202501716&amp;ictv_id=ICTV20165159","ICTV20165159")</f>
        <v>ICTV20165159</v>
      </c>
      <c r="R13675" t="s">
        <v>580</v>
      </c>
      <c r="S13675" t="s">
        <v>824</v>
      </c>
      <c r="T13675">
        <v>37</v>
      </c>
      <c r="U13675" s="26" t="str">
        <f>HYPERLINK("https://ictv.global/ictv/proposals/2021.036M.R.Rhabdoviridae_sprename.zip","2021.036M.R.Rhabdoviridae_sprename.zip")</f>
        <v>2021.036M.R.Rhabdoviridae_sprename.zip</v>
      </c>
    </row>
    <row r="13676" spans="1:21">
      <c r="A13676">
        <v>13675</v>
      </c>
      <c r="B13676" s="27" t="s">
        <v>1124</v>
      </c>
      <c r="D13676" s="27" t="s">
        <v>1859</v>
      </c>
      <c r="F13676" s="27" t="s">
        <v>938</v>
      </c>
      <c r="G13676" s="27" t="s">
        <v>939</v>
      </c>
      <c r="H13676" s="27" t="s">
        <v>945</v>
      </c>
      <c r="J13676" s="27" t="s">
        <v>238</v>
      </c>
      <c r="L13676" s="27" t="s">
        <v>346</v>
      </c>
      <c r="M13676" s="27" t="s">
        <v>3572</v>
      </c>
      <c r="N13676" s="27" t="s">
        <v>797</v>
      </c>
      <c r="P13676" s="27" t="s">
        <v>9595</v>
      </c>
      <c r="Q13676" s="26" t="str">
        <f>HYPERLINK("https://ictv.global/taxonomy/taxondetails?taxnode_id=202501717&amp;ictv_id=ICTV20165160","ICTV20165160")</f>
        <v>ICTV20165160</v>
      </c>
      <c r="R13676" t="s">
        <v>580</v>
      </c>
      <c r="S13676" t="s">
        <v>824</v>
      </c>
      <c r="T13676">
        <v>37</v>
      </c>
      <c r="U13676" s="26" t="str">
        <f>HYPERLINK("https://ictv.global/ictv/proposals/2021.036M.R.Rhabdoviridae_sprename.zip","2021.036M.R.Rhabdoviridae_sprename.zip")</f>
        <v>2021.036M.R.Rhabdoviridae_sprename.zip</v>
      </c>
    </row>
    <row r="13677" spans="1:21">
      <c r="A13677">
        <v>13676</v>
      </c>
      <c r="B13677" s="27" t="s">
        <v>1124</v>
      </c>
      <c r="D13677" s="27" t="s">
        <v>1859</v>
      </c>
      <c r="F13677" s="27" t="s">
        <v>938</v>
      </c>
      <c r="G13677" s="27" t="s">
        <v>939</v>
      </c>
      <c r="H13677" s="27" t="s">
        <v>945</v>
      </c>
      <c r="J13677" s="27" t="s">
        <v>238</v>
      </c>
      <c r="L13677" s="27" t="s">
        <v>346</v>
      </c>
      <c r="M13677" s="27" t="s">
        <v>3572</v>
      </c>
      <c r="N13677" s="27" t="s">
        <v>797</v>
      </c>
      <c r="P13677" s="27" t="s">
        <v>9596</v>
      </c>
      <c r="Q13677" s="26" t="str">
        <f>HYPERLINK("https://ictv.global/taxonomy/taxondetails?taxnode_id=202501718&amp;ictv_id=ICTV20165161","ICTV20165161")</f>
        <v>ICTV20165161</v>
      </c>
      <c r="R13677" t="s">
        <v>580</v>
      </c>
      <c r="S13677" t="s">
        <v>824</v>
      </c>
      <c r="T13677">
        <v>37</v>
      </c>
      <c r="U13677" s="26" t="str">
        <f>HYPERLINK("https://ictv.global/ictv/proposals/2021.036M.R.Rhabdoviridae_sprename.zip","2021.036M.R.Rhabdoviridae_sprename.zip")</f>
        <v>2021.036M.R.Rhabdoviridae_sprename.zip</v>
      </c>
    </row>
    <row r="13678" spans="1:21">
      <c r="A13678">
        <v>13677</v>
      </c>
      <c r="B13678" s="27" t="s">
        <v>1124</v>
      </c>
      <c r="D13678" s="27" t="s">
        <v>1859</v>
      </c>
      <c r="F13678" s="27" t="s">
        <v>938</v>
      </c>
      <c r="G13678" s="27" t="s">
        <v>939</v>
      </c>
      <c r="H13678" s="27" t="s">
        <v>945</v>
      </c>
      <c r="J13678" s="27" t="s">
        <v>238</v>
      </c>
      <c r="L13678" s="27" t="s">
        <v>346</v>
      </c>
      <c r="M13678" s="27" t="s">
        <v>3572</v>
      </c>
      <c r="N13678" s="27" t="s">
        <v>797</v>
      </c>
      <c r="P13678" s="27" t="s">
        <v>9597</v>
      </c>
      <c r="Q13678" s="26" t="str">
        <f>HYPERLINK("https://ictv.global/taxonomy/taxondetails?taxnode_id=202513325&amp;ictv_id=ICTV202113325","ICTV202113325")</f>
        <v>ICTV202113325</v>
      </c>
      <c r="R13678" t="s">
        <v>580</v>
      </c>
      <c r="S13678" t="s">
        <v>823</v>
      </c>
      <c r="T13678">
        <v>37</v>
      </c>
      <c r="U13678" s="26" t="str">
        <f>HYPERLINK("https://ictv.global/ictv/proposals/2021.004M.R.Alpharhabdovirinae_13nsp.zip","2021.004M.R.Alpharhabdovirinae_13nsp.zip")</f>
        <v>2021.004M.R.Alpharhabdovirinae_13nsp.zip</v>
      </c>
    </row>
    <row r="13679" spans="1:21">
      <c r="A13679">
        <v>13678</v>
      </c>
      <c r="B13679" s="27" t="s">
        <v>1124</v>
      </c>
      <c r="D13679" s="27" t="s">
        <v>1859</v>
      </c>
      <c r="F13679" s="27" t="s">
        <v>938</v>
      </c>
      <c r="G13679" s="27" t="s">
        <v>939</v>
      </c>
      <c r="H13679" s="27" t="s">
        <v>945</v>
      </c>
      <c r="J13679" s="27" t="s">
        <v>238</v>
      </c>
      <c r="L13679" s="27" t="s">
        <v>346</v>
      </c>
      <c r="M13679" s="27" t="s">
        <v>3572</v>
      </c>
      <c r="N13679" s="27" t="s">
        <v>797</v>
      </c>
      <c r="P13679" s="27" t="s">
        <v>16891</v>
      </c>
      <c r="Q13679" s="26" t="str">
        <f>HYPERLINK("https://ictv.global/taxonomy/taxondetails?taxnode_id=202517778&amp;ictv_id=ICTV202317778","ICTV202317778")</f>
        <v>ICTV202317778</v>
      </c>
      <c r="R13679" t="s">
        <v>580</v>
      </c>
      <c r="S13679" t="s">
        <v>823</v>
      </c>
      <c r="T13679">
        <v>39</v>
      </c>
      <c r="U13679" s="26" t="str">
        <f>HYPERLINK("https://ictv.global/ictv/proposals/2023.003M.Alpharhabdovirinae_8nsp.zip","2023.003M.Alpharhabdovirinae_8nsp.zip")</f>
        <v>2023.003M.Alpharhabdovirinae_8nsp.zip</v>
      </c>
    </row>
    <row r="13680" spans="1:21">
      <c r="A13680">
        <v>13679</v>
      </c>
      <c r="B13680" s="27" t="s">
        <v>1124</v>
      </c>
      <c r="D13680" s="27" t="s">
        <v>1859</v>
      </c>
      <c r="F13680" s="27" t="s">
        <v>938</v>
      </c>
      <c r="G13680" s="27" t="s">
        <v>939</v>
      </c>
      <c r="H13680" s="27" t="s">
        <v>945</v>
      </c>
      <c r="J13680" s="27" t="s">
        <v>238</v>
      </c>
      <c r="L13680" s="27" t="s">
        <v>346</v>
      </c>
      <c r="M13680" s="27" t="s">
        <v>3572</v>
      </c>
      <c r="N13680" s="27" t="s">
        <v>797</v>
      </c>
      <c r="P13680" s="27" t="s">
        <v>9598</v>
      </c>
      <c r="Q13680" s="26" t="str">
        <f>HYPERLINK("https://ictv.global/taxonomy/taxondetails?taxnode_id=202506313&amp;ictv_id=ICTV201856313","ICTV201856313")</f>
        <v>ICTV201856313</v>
      </c>
      <c r="R13680" t="s">
        <v>580</v>
      </c>
      <c r="S13680" t="s">
        <v>824</v>
      </c>
      <c r="T13680">
        <v>37</v>
      </c>
      <c r="U13680" s="26" t="str">
        <f>HYPERLINK("https://ictv.global/ictv/proposals/2021.036M.R.Rhabdoviridae_sprename.zip","2021.036M.R.Rhabdoviridae_sprename.zip")</f>
        <v>2021.036M.R.Rhabdoviridae_sprename.zip</v>
      </c>
    </row>
    <row r="13681" spans="1:21">
      <c r="A13681">
        <v>13680</v>
      </c>
      <c r="B13681" s="27" t="s">
        <v>1124</v>
      </c>
      <c r="D13681" s="27" t="s">
        <v>1859</v>
      </c>
      <c r="F13681" s="27" t="s">
        <v>938</v>
      </c>
      <c r="G13681" s="27" t="s">
        <v>939</v>
      </c>
      <c r="H13681" s="27" t="s">
        <v>945</v>
      </c>
      <c r="J13681" s="27" t="s">
        <v>238</v>
      </c>
      <c r="L13681" s="27" t="s">
        <v>346</v>
      </c>
      <c r="M13681" s="27" t="s">
        <v>3572</v>
      </c>
      <c r="N13681" s="27" t="s">
        <v>797</v>
      </c>
      <c r="P13681" s="27" t="s">
        <v>9599</v>
      </c>
      <c r="Q13681" s="26" t="str">
        <f>HYPERLINK("https://ictv.global/taxonomy/taxondetails?taxnode_id=202514155&amp;ictv_id=ICTV202214155","ICTV202214155")</f>
        <v>ICTV202214155</v>
      </c>
      <c r="R13681" t="s">
        <v>580</v>
      </c>
      <c r="S13681" t="s">
        <v>823</v>
      </c>
      <c r="T13681">
        <v>38</v>
      </c>
      <c r="U13681" s="26" t="str">
        <f>HYPERLINK("https://ictv.global/ictv/proposals/2022.002M.Alpharhabdovirinae_1ngen14nsp.zip","2022.002M.Alpharhabdovirinae_1ngen14nsp.zip")</f>
        <v>2022.002M.Alpharhabdovirinae_1ngen14nsp.zip</v>
      </c>
    </row>
    <row r="13682" spans="1:21">
      <c r="A13682">
        <v>13681</v>
      </c>
      <c r="B13682" s="27" t="s">
        <v>1124</v>
      </c>
      <c r="D13682" s="27" t="s">
        <v>1859</v>
      </c>
      <c r="F13682" s="27" t="s">
        <v>938</v>
      </c>
      <c r="G13682" s="27" t="s">
        <v>939</v>
      </c>
      <c r="H13682" s="27" t="s">
        <v>945</v>
      </c>
      <c r="J13682" s="27" t="s">
        <v>238</v>
      </c>
      <c r="L13682" s="27" t="s">
        <v>346</v>
      </c>
      <c r="M13682" s="27" t="s">
        <v>3572</v>
      </c>
      <c r="N13682" s="27" t="s">
        <v>797</v>
      </c>
      <c r="P13682" s="27" t="s">
        <v>9600</v>
      </c>
      <c r="Q13682" s="26" t="str">
        <f>HYPERLINK("https://ictv.global/taxonomy/taxondetails?taxnode_id=202501719&amp;ictv_id=ICTV20165162","ICTV20165162")</f>
        <v>ICTV20165162</v>
      </c>
      <c r="R13682" t="s">
        <v>580</v>
      </c>
      <c r="S13682" t="s">
        <v>824</v>
      </c>
      <c r="T13682">
        <v>37</v>
      </c>
      <c r="U13682" s="26" t="str">
        <f>HYPERLINK("https://ictv.global/ictv/proposals/2021.036M.R.Rhabdoviridae_sprename.zip","2021.036M.R.Rhabdoviridae_sprename.zip")</f>
        <v>2021.036M.R.Rhabdoviridae_sprename.zip</v>
      </c>
    </row>
    <row r="13683" spans="1:21">
      <c r="A13683">
        <v>13682</v>
      </c>
      <c r="B13683" s="27" t="s">
        <v>1124</v>
      </c>
      <c r="D13683" s="27" t="s">
        <v>1859</v>
      </c>
      <c r="F13683" s="27" t="s">
        <v>938</v>
      </c>
      <c r="G13683" s="27" t="s">
        <v>939</v>
      </c>
      <c r="H13683" s="27" t="s">
        <v>945</v>
      </c>
      <c r="J13683" s="27" t="s">
        <v>238</v>
      </c>
      <c r="L13683" s="27" t="s">
        <v>346</v>
      </c>
      <c r="M13683" s="27" t="s">
        <v>3572</v>
      </c>
      <c r="N13683" s="27" t="s">
        <v>797</v>
      </c>
      <c r="P13683" s="27" t="s">
        <v>9601</v>
      </c>
      <c r="Q13683" s="26" t="str">
        <f>HYPERLINK("https://ictv.global/taxonomy/taxondetails?taxnode_id=202501720&amp;ictv_id=ICTV20165163","ICTV20165163")</f>
        <v>ICTV20165163</v>
      </c>
      <c r="R13683" t="s">
        <v>580</v>
      </c>
      <c r="S13683" t="s">
        <v>824</v>
      </c>
      <c r="T13683">
        <v>37</v>
      </c>
      <c r="U13683" s="26" t="str">
        <f>HYPERLINK("https://ictv.global/ictv/proposals/2021.036M.R.Rhabdoviridae_sprename.zip","2021.036M.R.Rhabdoviridae_sprename.zip")</f>
        <v>2021.036M.R.Rhabdoviridae_sprename.zip</v>
      </c>
    </row>
    <row r="13684" spans="1:21">
      <c r="A13684">
        <v>13683</v>
      </c>
      <c r="B13684" s="27" t="s">
        <v>1124</v>
      </c>
      <c r="D13684" s="27" t="s">
        <v>1859</v>
      </c>
      <c r="F13684" s="27" t="s">
        <v>938</v>
      </c>
      <c r="G13684" s="27" t="s">
        <v>939</v>
      </c>
      <c r="H13684" s="27" t="s">
        <v>945</v>
      </c>
      <c r="J13684" s="27" t="s">
        <v>238</v>
      </c>
      <c r="L13684" s="27" t="s">
        <v>346</v>
      </c>
      <c r="M13684" s="27" t="s">
        <v>3572</v>
      </c>
      <c r="N13684" s="27" t="s">
        <v>2016</v>
      </c>
      <c r="P13684" s="27" t="s">
        <v>16892</v>
      </c>
      <c r="Q13684" s="26" t="str">
        <f>HYPERLINK("https://ictv.global/taxonomy/taxondetails?taxnode_id=202517779&amp;ictv_id=ICTV202317779","ICTV202317779")</f>
        <v>ICTV202317779</v>
      </c>
      <c r="R13684" t="s">
        <v>580</v>
      </c>
      <c r="S13684" t="s">
        <v>823</v>
      </c>
      <c r="T13684">
        <v>39</v>
      </c>
      <c r="U13684" s="26" t="str">
        <f>HYPERLINK("https://ictv.global/ictv/proposals/2023.003M.Alpharhabdovirinae_8nsp.zip","2023.003M.Alpharhabdovirinae_8nsp.zip")</f>
        <v>2023.003M.Alpharhabdovirinae_8nsp.zip</v>
      </c>
    </row>
    <row r="13685" spans="1:21">
      <c r="A13685">
        <v>13684</v>
      </c>
      <c r="B13685" s="27" t="s">
        <v>1124</v>
      </c>
      <c r="D13685" s="27" t="s">
        <v>1859</v>
      </c>
      <c r="F13685" s="27" t="s">
        <v>938</v>
      </c>
      <c r="G13685" s="27" t="s">
        <v>939</v>
      </c>
      <c r="H13685" s="27" t="s">
        <v>945</v>
      </c>
      <c r="J13685" s="27" t="s">
        <v>238</v>
      </c>
      <c r="L13685" s="27" t="s">
        <v>346</v>
      </c>
      <c r="M13685" s="27" t="s">
        <v>3572</v>
      </c>
      <c r="N13685" s="27" t="s">
        <v>2016</v>
      </c>
      <c r="P13685" s="27" t="s">
        <v>9602</v>
      </c>
      <c r="Q13685" s="26" t="str">
        <f>HYPERLINK("https://ictv.global/taxonomy/taxondetails?taxnode_id=202509258&amp;ictv_id=ICTV202009258","ICTV202009258")</f>
        <v>ICTV202009258</v>
      </c>
      <c r="R13685" t="s">
        <v>580</v>
      </c>
      <c r="S13685" t="s">
        <v>824</v>
      </c>
      <c r="T13685">
        <v>37</v>
      </c>
      <c r="U13685" s="26" t="str">
        <f t="shared" ref="U13685:U13698" si="508">HYPERLINK("https://ictv.global/ictv/proposals/2021.036M.R.Rhabdoviridae_sprename.zip","2021.036M.R.Rhabdoviridae_sprename.zip")</f>
        <v>2021.036M.R.Rhabdoviridae_sprename.zip</v>
      </c>
    </row>
    <row r="13686" spans="1:21">
      <c r="A13686">
        <v>13685</v>
      </c>
      <c r="B13686" s="27" t="s">
        <v>1124</v>
      </c>
      <c r="D13686" s="27" t="s">
        <v>1859</v>
      </c>
      <c r="F13686" s="27" t="s">
        <v>938</v>
      </c>
      <c r="G13686" s="27" t="s">
        <v>939</v>
      </c>
      <c r="H13686" s="27" t="s">
        <v>945</v>
      </c>
      <c r="J13686" s="27" t="s">
        <v>238</v>
      </c>
      <c r="L13686" s="27" t="s">
        <v>346</v>
      </c>
      <c r="M13686" s="27" t="s">
        <v>3572</v>
      </c>
      <c r="N13686" s="27" t="s">
        <v>2016</v>
      </c>
      <c r="P13686" s="27" t="s">
        <v>9603</v>
      </c>
      <c r="Q13686" s="26" t="str">
        <f>HYPERLINK("https://ictv.global/taxonomy/taxondetails?taxnode_id=202507391&amp;ictv_id=ICTV201907391","ICTV201907391")</f>
        <v>ICTV201907391</v>
      </c>
      <c r="R13686" t="s">
        <v>580</v>
      </c>
      <c r="S13686" t="s">
        <v>824</v>
      </c>
      <c r="T13686">
        <v>37</v>
      </c>
      <c r="U13686" s="26" t="str">
        <f t="shared" si="508"/>
        <v>2021.036M.R.Rhabdoviridae_sprename.zip</v>
      </c>
    </row>
    <row r="13687" spans="1:21">
      <c r="A13687">
        <v>13686</v>
      </c>
      <c r="B13687" s="27" t="s">
        <v>1124</v>
      </c>
      <c r="D13687" s="27" t="s">
        <v>1859</v>
      </c>
      <c r="F13687" s="27" t="s">
        <v>938</v>
      </c>
      <c r="G13687" s="27" t="s">
        <v>939</v>
      </c>
      <c r="H13687" s="27" t="s">
        <v>945</v>
      </c>
      <c r="J13687" s="27" t="s">
        <v>238</v>
      </c>
      <c r="L13687" s="27" t="s">
        <v>346</v>
      </c>
      <c r="M13687" s="27" t="s">
        <v>3572</v>
      </c>
      <c r="N13687" s="27" t="s">
        <v>332</v>
      </c>
      <c r="P13687" s="27" t="s">
        <v>9604</v>
      </c>
      <c r="Q13687" s="26" t="str">
        <f>HYPERLINK("https://ictv.global/taxonomy/taxondetails?taxnode_id=202501722&amp;ictv_id=ICTV20094923","ICTV20094923")</f>
        <v>ICTV20094923</v>
      </c>
      <c r="R13687" t="s">
        <v>580</v>
      </c>
      <c r="S13687" t="s">
        <v>824</v>
      </c>
      <c r="T13687">
        <v>37</v>
      </c>
      <c r="U13687" s="26" t="str">
        <f t="shared" si="508"/>
        <v>2021.036M.R.Rhabdoviridae_sprename.zip</v>
      </c>
    </row>
    <row r="13688" spans="1:21">
      <c r="A13688">
        <v>13687</v>
      </c>
      <c r="B13688" s="27" t="s">
        <v>1124</v>
      </c>
      <c r="D13688" s="27" t="s">
        <v>1859</v>
      </c>
      <c r="F13688" s="27" t="s">
        <v>938</v>
      </c>
      <c r="G13688" s="27" t="s">
        <v>939</v>
      </c>
      <c r="H13688" s="27" t="s">
        <v>945</v>
      </c>
      <c r="J13688" s="27" t="s">
        <v>238</v>
      </c>
      <c r="L13688" s="27" t="s">
        <v>346</v>
      </c>
      <c r="M13688" s="27" t="s">
        <v>3572</v>
      </c>
      <c r="N13688" s="27" t="s">
        <v>332</v>
      </c>
      <c r="P13688" s="27" t="s">
        <v>9605</v>
      </c>
      <c r="Q13688" s="26" t="str">
        <f>HYPERLINK("https://ictv.global/taxonomy/taxondetails?taxnode_id=202501723&amp;ictv_id=ICTV19990456","ICTV19990456")</f>
        <v>ICTV19990456</v>
      </c>
      <c r="R13688" t="s">
        <v>580</v>
      </c>
      <c r="S13688" t="s">
        <v>824</v>
      </c>
      <c r="T13688">
        <v>37</v>
      </c>
      <c r="U13688" s="26" t="str">
        <f t="shared" si="508"/>
        <v>2021.036M.R.Rhabdoviridae_sprename.zip</v>
      </c>
    </row>
    <row r="13689" spans="1:21">
      <c r="A13689">
        <v>13688</v>
      </c>
      <c r="B13689" s="27" t="s">
        <v>1124</v>
      </c>
      <c r="D13689" s="27" t="s">
        <v>1859</v>
      </c>
      <c r="F13689" s="27" t="s">
        <v>938</v>
      </c>
      <c r="G13689" s="27" t="s">
        <v>939</v>
      </c>
      <c r="H13689" s="27" t="s">
        <v>945</v>
      </c>
      <c r="J13689" s="27" t="s">
        <v>238</v>
      </c>
      <c r="L13689" s="27" t="s">
        <v>346</v>
      </c>
      <c r="M13689" s="27" t="s">
        <v>3572</v>
      </c>
      <c r="N13689" s="27" t="s">
        <v>332</v>
      </c>
      <c r="P13689" s="27" t="s">
        <v>9606</v>
      </c>
      <c r="Q13689" s="26" t="str">
        <f>HYPERLINK("https://ictv.global/taxonomy/taxondetails?taxnode_id=202501724&amp;ictv_id=ICTV20130473","ICTV20130473")</f>
        <v>ICTV20130473</v>
      </c>
      <c r="R13689" t="s">
        <v>580</v>
      </c>
      <c r="S13689" t="s">
        <v>824</v>
      </c>
      <c r="T13689">
        <v>37</v>
      </c>
      <c r="U13689" s="26" t="str">
        <f t="shared" si="508"/>
        <v>2021.036M.R.Rhabdoviridae_sprename.zip</v>
      </c>
    </row>
    <row r="13690" spans="1:21">
      <c r="A13690">
        <v>13689</v>
      </c>
      <c r="B13690" s="27" t="s">
        <v>1124</v>
      </c>
      <c r="D13690" s="27" t="s">
        <v>1859</v>
      </c>
      <c r="F13690" s="27" t="s">
        <v>938</v>
      </c>
      <c r="G13690" s="27" t="s">
        <v>939</v>
      </c>
      <c r="H13690" s="27" t="s">
        <v>945</v>
      </c>
      <c r="J13690" s="27" t="s">
        <v>238</v>
      </c>
      <c r="L13690" s="27" t="s">
        <v>346</v>
      </c>
      <c r="M13690" s="27" t="s">
        <v>3572</v>
      </c>
      <c r="N13690" s="27" t="s">
        <v>332</v>
      </c>
      <c r="P13690" s="27" t="s">
        <v>9607</v>
      </c>
      <c r="Q13690" s="26" t="str">
        <f>HYPERLINK("https://ictv.global/taxonomy/taxondetails?taxnode_id=202501735&amp;ictv_id=ICTV20094933","ICTV20094933")</f>
        <v>ICTV20094933</v>
      </c>
      <c r="R13690" t="s">
        <v>580</v>
      </c>
      <c r="S13690" t="s">
        <v>824</v>
      </c>
      <c r="T13690">
        <v>37</v>
      </c>
      <c r="U13690" s="26" t="str">
        <f t="shared" si="508"/>
        <v>2021.036M.R.Rhabdoviridae_sprename.zip</v>
      </c>
    </row>
    <row r="13691" spans="1:21">
      <c r="A13691">
        <v>13690</v>
      </c>
      <c r="B13691" s="27" t="s">
        <v>1124</v>
      </c>
      <c r="D13691" s="27" t="s">
        <v>1859</v>
      </c>
      <c r="F13691" s="27" t="s">
        <v>938</v>
      </c>
      <c r="G13691" s="27" t="s">
        <v>939</v>
      </c>
      <c r="H13691" s="27" t="s">
        <v>945</v>
      </c>
      <c r="J13691" s="27" t="s">
        <v>238</v>
      </c>
      <c r="L13691" s="27" t="s">
        <v>346</v>
      </c>
      <c r="M13691" s="27" t="s">
        <v>3572</v>
      </c>
      <c r="N13691" s="27" t="s">
        <v>332</v>
      </c>
      <c r="P13691" s="27" t="s">
        <v>9608</v>
      </c>
      <c r="Q13691" s="26" t="str">
        <f>HYPERLINK("https://ictv.global/taxonomy/taxondetails?taxnode_id=202501725&amp;ictv_id=ICTV19760546","ICTV19760546")</f>
        <v>ICTV19760546</v>
      </c>
      <c r="R13691" t="s">
        <v>580</v>
      </c>
      <c r="S13691" t="s">
        <v>824</v>
      </c>
      <c r="T13691">
        <v>37</v>
      </c>
      <c r="U13691" s="26" t="str">
        <f t="shared" si="508"/>
        <v>2021.036M.R.Rhabdoviridae_sprename.zip</v>
      </c>
    </row>
    <row r="13692" spans="1:21">
      <c r="A13692">
        <v>13691</v>
      </c>
      <c r="B13692" s="27" t="s">
        <v>1124</v>
      </c>
      <c r="D13692" s="27" t="s">
        <v>1859</v>
      </c>
      <c r="F13692" s="27" t="s">
        <v>938</v>
      </c>
      <c r="G13692" s="27" t="s">
        <v>939</v>
      </c>
      <c r="H13692" s="27" t="s">
        <v>945</v>
      </c>
      <c r="J13692" s="27" t="s">
        <v>238</v>
      </c>
      <c r="L13692" s="27" t="s">
        <v>346</v>
      </c>
      <c r="M13692" s="27" t="s">
        <v>3572</v>
      </c>
      <c r="N13692" s="27" t="s">
        <v>332</v>
      </c>
      <c r="P13692" s="27" t="s">
        <v>9609</v>
      </c>
      <c r="Q13692" s="26" t="str">
        <f>HYPERLINK("https://ictv.global/taxonomy/taxondetails?taxnode_id=202508672&amp;ictv_id=ICTV201908672","ICTV201908672")</f>
        <v>ICTV201908672</v>
      </c>
      <c r="R13692" t="s">
        <v>580</v>
      </c>
      <c r="S13692" t="s">
        <v>824</v>
      </c>
      <c r="T13692">
        <v>37</v>
      </c>
      <c r="U13692" s="26" t="str">
        <f t="shared" si="508"/>
        <v>2021.036M.R.Rhabdoviridae_sprename.zip</v>
      </c>
    </row>
    <row r="13693" spans="1:21">
      <c r="A13693">
        <v>13692</v>
      </c>
      <c r="B13693" s="27" t="s">
        <v>1124</v>
      </c>
      <c r="D13693" s="27" t="s">
        <v>1859</v>
      </c>
      <c r="F13693" s="27" t="s">
        <v>938</v>
      </c>
      <c r="G13693" s="27" t="s">
        <v>939</v>
      </c>
      <c r="H13693" s="27" t="s">
        <v>945</v>
      </c>
      <c r="J13693" s="27" t="s">
        <v>238</v>
      </c>
      <c r="L13693" s="27" t="s">
        <v>346</v>
      </c>
      <c r="M13693" s="27" t="s">
        <v>3572</v>
      </c>
      <c r="N13693" s="27" t="s">
        <v>332</v>
      </c>
      <c r="P13693" s="27" t="s">
        <v>9610</v>
      </c>
      <c r="Q13693" s="26" t="str">
        <f>HYPERLINK("https://ictv.global/taxonomy/taxondetails?taxnode_id=202505581&amp;ictv_id=ICTV20175581","ICTV20175581")</f>
        <v>ICTV20175581</v>
      </c>
      <c r="R13693" t="s">
        <v>580</v>
      </c>
      <c r="S13693" t="s">
        <v>824</v>
      </c>
      <c r="T13693">
        <v>37</v>
      </c>
      <c r="U13693" s="26" t="str">
        <f t="shared" si="508"/>
        <v>2021.036M.R.Rhabdoviridae_sprename.zip</v>
      </c>
    </row>
    <row r="13694" spans="1:21">
      <c r="A13694">
        <v>13693</v>
      </c>
      <c r="B13694" s="27" t="s">
        <v>1124</v>
      </c>
      <c r="D13694" s="27" t="s">
        <v>1859</v>
      </c>
      <c r="F13694" s="27" t="s">
        <v>938</v>
      </c>
      <c r="G13694" s="27" t="s">
        <v>939</v>
      </c>
      <c r="H13694" s="27" t="s">
        <v>945</v>
      </c>
      <c r="J13694" s="27" t="s">
        <v>238</v>
      </c>
      <c r="L13694" s="27" t="s">
        <v>346</v>
      </c>
      <c r="M13694" s="27" t="s">
        <v>3572</v>
      </c>
      <c r="N13694" s="27" t="s">
        <v>332</v>
      </c>
      <c r="P13694" s="27" t="s">
        <v>9611</v>
      </c>
      <c r="Q13694" s="26" t="str">
        <f>HYPERLINK("https://ictv.global/taxonomy/taxondetails?taxnode_id=202501726&amp;ictv_id=ICTV19910264","ICTV19910264")</f>
        <v>ICTV19910264</v>
      </c>
      <c r="R13694" t="s">
        <v>580</v>
      </c>
      <c r="S13694" t="s">
        <v>824</v>
      </c>
      <c r="T13694">
        <v>37</v>
      </c>
      <c r="U13694" s="26" t="str">
        <f t="shared" si="508"/>
        <v>2021.036M.R.Rhabdoviridae_sprename.zip</v>
      </c>
    </row>
    <row r="13695" spans="1:21">
      <c r="A13695">
        <v>13694</v>
      </c>
      <c r="B13695" s="27" t="s">
        <v>1124</v>
      </c>
      <c r="D13695" s="27" t="s">
        <v>1859</v>
      </c>
      <c r="F13695" s="27" t="s">
        <v>938</v>
      </c>
      <c r="G13695" s="27" t="s">
        <v>939</v>
      </c>
      <c r="H13695" s="27" t="s">
        <v>945</v>
      </c>
      <c r="J13695" s="27" t="s">
        <v>238</v>
      </c>
      <c r="L13695" s="27" t="s">
        <v>346</v>
      </c>
      <c r="M13695" s="27" t="s">
        <v>3572</v>
      </c>
      <c r="N13695" s="27" t="s">
        <v>332</v>
      </c>
      <c r="P13695" s="27" t="s">
        <v>9612</v>
      </c>
      <c r="Q13695" s="26" t="str">
        <f>HYPERLINK("https://ictv.global/taxonomy/taxondetails?taxnode_id=202501727&amp;ictv_id=ICTV19910265","ICTV19910265")</f>
        <v>ICTV19910265</v>
      </c>
      <c r="R13695" t="s">
        <v>580</v>
      </c>
      <c r="S13695" t="s">
        <v>824</v>
      </c>
      <c r="T13695">
        <v>37</v>
      </c>
      <c r="U13695" s="26" t="str">
        <f t="shared" si="508"/>
        <v>2021.036M.R.Rhabdoviridae_sprename.zip</v>
      </c>
    </row>
    <row r="13696" spans="1:21">
      <c r="A13696">
        <v>13695</v>
      </c>
      <c r="B13696" s="27" t="s">
        <v>1124</v>
      </c>
      <c r="D13696" s="27" t="s">
        <v>1859</v>
      </c>
      <c r="F13696" s="27" t="s">
        <v>938</v>
      </c>
      <c r="G13696" s="27" t="s">
        <v>939</v>
      </c>
      <c r="H13696" s="27" t="s">
        <v>945</v>
      </c>
      <c r="J13696" s="27" t="s">
        <v>238</v>
      </c>
      <c r="L13696" s="27" t="s">
        <v>346</v>
      </c>
      <c r="M13696" s="27" t="s">
        <v>3572</v>
      </c>
      <c r="N13696" s="27" t="s">
        <v>332</v>
      </c>
      <c r="P13696" s="27" t="s">
        <v>9613</v>
      </c>
      <c r="Q13696" s="26" t="str">
        <f>HYPERLINK("https://ictv.global/taxonomy/taxondetails?taxnode_id=202501728&amp;ictv_id=ICTV20130472","ICTV20130472")</f>
        <v>ICTV20130472</v>
      </c>
      <c r="R13696" t="s">
        <v>580</v>
      </c>
      <c r="S13696" t="s">
        <v>824</v>
      </c>
      <c r="T13696">
        <v>37</v>
      </c>
      <c r="U13696" s="26" t="str">
        <f t="shared" si="508"/>
        <v>2021.036M.R.Rhabdoviridae_sprename.zip</v>
      </c>
    </row>
    <row r="13697" spans="1:21">
      <c r="A13697">
        <v>13696</v>
      </c>
      <c r="B13697" s="27" t="s">
        <v>1124</v>
      </c>
      <c r="D13697" s="27" t="s">
        <v>1859</v>
      </c>
      <c r="F13697" s="27" t="s">
        <v>938</v>
      </c>
      <c r="G13697" s="27" t="s">
        <v>939</v>
      </c>
      <c r="H13697" s="27" t="s">
        <v>945</v>
      </c>
      <c r="J13697" s="27" t="s">
        <v>238</v>
      </c>
      <c r="L13697" s="27" t="s">
        <v>346</v>
      </c>
      <c r="M13697" s="27" t="s">
        <v>3572</v>
      </c>
      <c r="N13697" s="27" t="s">
        <v>332</v>
      </c>
      <c r="P13697" s="27" t="s">
        <v>9614</v>
      </c>
      <c r="Q13697" s="26" t="str">
        <f>HYPERLINK("https://ictv.global/taxonomy/taxondetails?taxnode_id=202501729&amp;ictv_id=ICTV20094928","ICTV20094928")</f>
        <v>ICTV20094928</v>
      </c>
      <c r="R13697" t="s">
        <v>580</v>
      </c>
      <c r="S13697" t="s">
        <v>824</v>
      </c>
      <c r="T13697">
        <v>37</v>
      </c>
      <c r="U13697" s="26" t="str">
        <f t="shared" si="508"/>
        <v>2021.036M.R.Rhabdoviridae_sprename.zip</v>
      </c>
    </row>
    <row r="13698" spans="1:21">
      <c r="A13698">
        <v>13697</v>
      </c>
      <c r="B13698" s="27" t="s">
        <v>1124</v>
      </c>
      <c r="D13698" s="27" t="s">
        <v>1859</v>
      </c>
      <c r="F13698" s="27" t="s">
        <v>938</v>
      </c>
      <c r="G13698" s="27" t="s">
        <v>939</v>
      </c>
      <c r="H13698" s="27" t="s">
        <v>945</v>
      </c>
      <c r="J13698" s="27" t="s">
        <v>238</v>
      </c>
      <c r="L13698" s="27" t="s">
        <v>346</v>
      </c>
      <c r="M13698" s="27" t="s">
        <v>3572</v>
      </c>
      <c r="N13698" s="27" t="s">
        <v>332</v>
      </c>
      <c r="P13698" s="27" t="s">
        <v>9615</v>
      </c>
      <c r="Q13698" s="26" t="str">
        <f>HYPERLINK("https://ictv.global/taxonomy/taxondetails?taxnode_id=202501730&amp;ictv_id=ICTV20094929","ICTV20094929")</f>
        <v>ICTV20094929</v>
      </c>
      <c r="R13698" t="s">
        <v>580</v>
      </c>
      <c r="S13698" t="s">
        <v>824</v>
      </c>
      <c r="T13698">
        <v>37</v>
      </c>
      <c r="U13698" s="26" t="str">
        <f t="shared" si="508"/>
        <v>2021.036M.R.Rhabdoviridae_sprename.zip</v>
      </c>
    </row>
    <row r="13699" spans="1:21">
      <c r="A13699">
        <v>13698</v>
      </c>
      <c r="B13699" s="27" t="s">
        <v>1124</v>
      </c>
      <c r="D13699" s="27" t="s">
        <v>1859</v>
      </c>
      <c r="F13699" s="27" t="s">
        <v>938</v>
      </c>
      <c r="G13699" s="27" t="s">
        <v>939</v>
      </c>
      <c r="H13699" s="27" t="s">
        <v>945</v>
      </c>
      <c r="J13699" s="27" t="s">
        <v>238</v>
      </c>
      <c r="L13699" s="27" t="s">
        <v>346</v>
      </c>
      <c r="M13699" s="27" t="s">
        <v>3572</v>
      </c>
      <c r="N13699" s="27" t="s">
        <v>332</v>
      </c>
      <c r="P13699" s="27" t="s">
        <v>16893</v>
      </c>
      <c r="Q13699" s="26" t="str">
        <f>HYPERLINK("https://ictv.global/taxonomy/taxondetails?taxnode_id=202518059&amp;ictv_id=ICTV202318059","ICTV202318059")</f>
        <v>ICTV202318059</v>
      </c>
      <c r="R13699" t="s">
        <v>580</v>
      </c>
      <c r="S13699" t="s">
        <v>823</v>
      </c>
      <c r="T13699">
        <v>39</v>
      </c>
      <c r="U13699" s="26" t="str">
        <f>HYPERLINK("https://ictv.global/ictv/proposals/2023.012M.Lyssavirus_1nsp.zip","2023.012M.Lyssavirus_1nsp.zip")</f>
        <v>2023.012M.Lyssavirus_1nsp.zip</v>
      </c>
    </row>
    <row r="13700" spans="1:21">
      <c r="A13700">
        <v>13699</v>
      </c>
      <c r="B13700" s="27" t="s">
        <v>1124</v>
      </c>
      <c r="D13700" s="27" t="s">
        <v>1859</v>
      </c>
      <c r="F13700" s="27" t="s">
        <v>938</v>
      </c>
      <c r="G13700" s="27" t="s">
        <v>939</v>
      </c>
      <c r="H13700" s="27" t="s">
        <v>945</v>
      </c>
      <c r="J13700" s="27" t="s">
        <v>238</v>
      </c>
      <c r="L13700" s="27" t="s">
        <v>346</v>
      </c>
      <c r="M13700" s="27" t="s">
        <v>3572</v>
      </c>
      <c r="N13700" s="27" t="s">
        <v>332</v>
      </c>
      <c r="P13700" s="27" t="s">
        <v>9616</v>
      </c>
      <c r="Q13700" s="26" t="str">
        <f>HYPERLINK("https://ictv.global/taxonomy/taxondetails?taxnode_id=202501731&amp;ictv_id=ICTV19760548","ICTV19760548")</f>
        <v>ICTV19760548</v>
      </c>
      <c r="R13700" t="s">
        <v>580</v>
      </c>
      <c r="S13700" t="s">
        <v>824</v>
      </c>
      <c r="T13700">
        <v>37</v>
      </c>
      <c r="U13700" s="26" t="str">
        <f>HYPERLINK("https://ictv.global/ictv/proposals/2021.036M.R.Rhabdoviridae_sprename.zip","2021.036M.R.Rhabdoviridae_sprename.zip")</f>
        <v>2021.036M.R.Rhabdoviridae_sprename.zip</v>
      </c>
    </row>
    <row r="13701" spans="1:21">
      <c r="A13701">
        <v>13700</v>
      </c>
      <c r="B13701" s="27" t="s">
        <v>1124</v>
      </c>
      <c r="D13701" s="27" t="s">
        <v>1859</v>
      </c>
      <c r="F13701" s="27" t="s">
        <v>938</v>
      </c>
      <c r="G13701" s="27" t="s">
        <v>939</v>
      </c>
      <c r="H13701" s="27" t="s">
        <v>945</v>
      </c>
      <c r="J13701" s="27" t="s">
        <v>238</v>
      </c>
      <c r="L13701" s="27" t="s">
        <v>346</v>
      </c>
      <c r="M13701" s="27" t="s">
        <v>3572</v>
      </c>
      <c r="N13701" s="27" t="s">
        <v>332</v>
      </c>
      <c r="P13701" s="27" t="s">
        <v>9617</v>
      </c>
      <c r="Q13701" s="26" t="str">
        <f>HYPERLINK("https://ictv.global/taxonomy/taxondetails?taxnode_id=202505582&amp;ictv_id=ICTV20175582","ICTV20175582")</f>
        <v>ICTV20175582</v>
      </c>
      <c r="R13701" t="s">
        <v>580</v>
      </c>
      <c r="S13701" t="s">
        <v>824</v>
      </c>
      <c r="T13701">
        <v>37</v>
      </c>
      <c r="U13701" s="26" t="str">
        <f>HYPERLINK("https://ictv.global/ictv/proposals/2021.036M.R.Rhabdoviridae_sprename.zip","2021.036M.R.Rhabdoviridae_sprename.zip")</f>
        <v>2021.036M.R.Rhabdoviridae_sprename.zip</v>
      </c>
    </row>
    <row r="13702" spans="1:21">
      <c r="A13702">
        <v>13701</v>
      </c>
      <c r="B13702" s="27" t="s">
        <v>1124</v>
      </c>
      <c r="D13702" s="27" t="s">
        <v>1859</v>
      </c>
      <c r="F13702" s="27" t="s">
        <v>938</v>
      </c>
      <c r="G13702" s="27" t="s">
        <v>939</v>
      </c>
      <c r="H13702" s="27" t="s">
        <v>945</v>
      </c>
      <c r="J13702" s="27" t="s">
        <v>238</v>
      </c>
      <c r="L13702" s="27" t="s">
        <v>346</v>
      </c>
      <c r="M13702" s="27" t="s">
        <v>3572</v>
      </c>
      <c r="N13702" s="27" t="s">
        <v>332</v>
      </c>
      <c r="P13702" s="27" t="s">
        <v>9618</v>
      </c>
      <c r="Q13702" s="26" t="str">
        <f>HYPERLINK("https://ictv.global/taxonomy/taxondetails?taxnode_id=202501732&amp;ictv_id=ICTV19760549","ICTV19760549")</f>
        <v>ICTV19760549</v>
      </c>
      <c r="R13702" t="s">
        <v>580</v>
      </c>
      <c r="S13702" t="s">
        <v>824</v>
      </c>
      <c r="T13702">
        <v>37</v>
      </c>
      <c r="U13702" s="26" t="str">
        <f>HYPERLINK("https://ictv.global/ictv/proposals/2021.036M.R.Rhabdoviridae_sprename.zip","2021.036M.R.Rhabdoviridae_sprename.zip")</f>
        <v>2021.036M.R.Rhabdoviridae_sprename.zip</v>
      </c>
    </row>
    <row r="13703" spans="1:21">
      <c r="A13703">
        <v>13702</v>
      </c>
      <c r="B13703" s="27" t="s">
        <v>1124</v>
      </c>
      <c r="D13703" s="27" t="s">
        <v>1859</v>
      </c>
      <c r="F13703" s="27" t="s">
        <v>938</v>
      </c>
      <c r="G13703" s="27" t="s">
        <v>939</v>
      </c>
      <c r="H13703" s="27" t="s">
        <v>945</v>
      </c>
      <c r="J13703" s="27" t="s">
        <v>238</v>
      </c>
      <c r="L13703" s="27" t="s">
        <v>346</v>
      </c>
      <c r="M13703" s="27" t="s">
        <v>3572</v>
      </c>
      <c r="N13703" s="27" t="s">
        <v>332</v>
      </c>
      <c r="P13703" s="27" t="s">
        <v>21118</v>
      </c>
      <c r="Q13703" s="26" t="str">
        <f>HYPERLINK("https://ictv.global/taxonomy/taxondetails?taxnode_id=202522054&amp;ictv_id=ICTV202522054","ICTV202522054")</f>
        <v>ICTV202522054</v>
      </c>
      <c r="R13703" t="s">
        <v>580</v>
      </c>
      <c r="S13703" t="s">
        <v>823</v>
      </c>
      <c r="T13703">
        <v>41</v>
      </c>
      <c r="U13703" s="26" t="str">
        <f>HYPERLINK("https://ictv.global/ictv/proposals/2025.001M.Alpharhabdovirinae_2ng_14nsp.zip","2025.001M.Alpharhabdovirinae_2ng_14nsp.zip")</f>
        <v>2025.001M.Alpharhabdovirinae_2ng_14nsp.zip</v>
      </c>
    </row>
    <row r="13704" spans="1:21">
      <c r="A13704">
        <v>13703</v>
      </c>
      <c r="B13704" s="27" t="s">
        <v>1124</v>
      </c>
      <c r="D13704" s="27" t="s">
        <v>1859</v>
      </c>
      <c r="F13704" s="27" t="s">
        <v>938</v>
      </c>
      <c r="G13704" s="27" t="s">
        <v>939</v>
      </c>
      <c r="H13704" s="27" t="s">
        <v>945</v>
      </c>
      <c r="J13704" s="27" t="s">
        <v>238</v>
      </c>
      <c r="L13704" s="27" t="s">
        <v>346</v>
      </c>
      <c r="M13704" s="27" t="s">
        <v>3572</v>
      </c>
      <c r="N13704" s="27" t="s">
        <v>332</v>
      </c>
      <c r="P13704" s="27" t="s">
        <v>9619</v>
      </c>
      <c r="Q13704" s="26" t="str">
        <f>HYPERLINK("https://ictv.global/taxonomy/taxondetails?taxnode_id=202501733&amp;ictv_id=ICTV19710311","ICTV19710311")</f>
        <v>ICTV19710311</v>
      </c>
      <c r="R13704" t="s">
        <v>580</v>
      </c>
      <c r="S13704" t="s">
        <v>824</v>
      </c>
      <c r="T13704">
        <v>37</v>
      </c>
      <c r="U13704" s="26" t="str">
        <f>HYPERLINK("https://ictv.global/ictv/proposals/2021.036M.R.Rhabdoviridae_sprename.zip","2021.036M.R.Rhabdoviridae_sprename.zip")</f>
        <v>2021.036M.R.Rhabdoviridae_sprename.zip</v>
      </c>
    </row>
    <row r="13705" spans="1:21">
      <c r="A13705">
        <v>13704</v>
      </c>
      <c r="B13705" s="27" t="s">
        <v>1124</v>
      </c>
      <c r="D13705" s="27" t="s">
        <v>1859</v>
      </c>
      <c r="F13705" s="27" t="s">
        <v>938</v>
      </c>
      <c r="G13705" s="27" t="s">
        <v>939</v>
      </c>
      <c r="H13705" s="27" t="s">
        <v>945</v>
      </c>
      <c r="J13705" s="27" t="s">
        <v>238</v>
      </c>
      <c r="L13705" s="27" t="s">
        <v>346</v>
      </c>
      <c r="M13705" s="27" t="s">
        <v>3572</v>
      </c>
      <c r="N13705" s="27" t="s">
        <v>332</v>
      </c>
      <c r="P13705" s="27" t="s">
        <v>9620</v>
      </c>
      <c r="Q13705" s="26" t="str">
        <f>HYPERLINK("https://ictv.global/taxonomy/taxondetails?taxnode_id=202501734&amp;ictv_id=ICTV20115684","ICTV20115684")</f>
        <v>ICTV20115684</v>
      </c>
      <c r="R13705" t="s">
        <v>580</v>
      </c>
      <c r="S13705" t="s">
        <v>824</v>
      </c>
      <c r="T13705">
        <v>37</v>
      </c>
      <c r="U13705" s="26" t="str">
        <f>HYPERLINK("https://ictv.global/ictv/proposals/2021.036M.R.Rhabdoviridae_sprename.zip","2021.036M.R.Rhabdoviridae_sprename.zip")</f>
        <v>2021.036M.R.Rhabdoviridae_sprename.zip</v>
      </c>
    </row>
    <row r="13706" spans="1:21">
      <c r="A13706">
        <v>13705</v>
      </c>
      <c r="B13706" s="27" t="s">
        <v>1124</v>
      </c>
      <c r="D13706" s="27" t="s">
        <v>1859</v>
      </c>
      <c r="F13706" s="27" t="s">
        <v>938</v>
      </c>
      <c r="G13706" s="27" t="s">
        <v>939</v>
      </c>
      <c r="H13706" s="27" t="s">
        <v>945</v>
      </c>
      <c r="J13706" s="27" t="s">
        <v>238</v>
      </c>
      <c r="L13706" s="27" t="s">
        <v>346</v>
      </c>
      <c r="M13706" s="27" t="s">
        <v>3572</v>
      </c>
      <c r="N13706" s="27" t="s">
        <v>3575</v>
      </c>
      <c r="P13706" s="27" t="s">
        <v>20244</v>
      </c>
      <c r="Q13706" s="26" t="str">
        <f>HYPERLINK("https://ictv.global/taxonomy/taxondetails?taxnode_id=202519961&amp;ictv_id=ICTV202419961","ICTV202419961")</f>
        <v>ICTV202419961</v>
      </c>
      <c r="R13706" t="s">
        <v>580</v>
      </c>
      <c r="S13706" t="s">
        <v>823</v>
      </c>
      <c r="T13706">
        <v>40</v>
      </c>
      <c r="U13706" s="26" t="str">
        <f>HYPERLINK("https://ictv.global/ictv/proposals/2024.001M.Alpharhabdovirinae_1ng_11nsp.zip","2024.001M.Alpharhabdovirinae_1ng_11nsp.zip")</f>
        <v>2024.001M.Alpharhabdovirinae_1ng_11nsp.zip</v>
      </c>
    </row>
    <row r="13707" spans="1:21">
      <c r="A13707">
        <v>13706</v>
      </c>
      <c r="B13707" s="27" t="s">
        <v>1124</v>
      </c>
      <c r="D13707" s="27" t="s">
        <v>1859</v>
      </c>
      <c r="F13707" s="27" t="s">
        <v>938</v>
      </c>
      <c r="G13707" s="27" t="s">
        <v>939</v>
      </c>
      <c r="H13707" s="27" t="s">
        <v>945</v>
      </c>
      <c r="J13707" s="27" t="s">
        <v>238</v>
      </c>
      <c r="L13707" s="27" t="s">
        <v>346</v>
      </c>
      <c r="M13707" s="27" t="s">
        <v>3572</v>
      </c>
      <c r="N13707" s="27" t="s">
        <v>3575</v>
      </c>
      <c r="P13707" s="27" t="s">
        <v>21109</v>
      </c>
      <c r="Q13707" s="26" t="str">
        <f>HYPERLINK("https://ictv.global/taxonomy/taxondetails?taxnode_id=202522045&amp;ictv_id=ICTV202522045","ICTV202522045")</f>
        <v>ICTV202522045</v>
      </c>
      <c r="R13707" t="s">
        <v>580</v>
      </c>
      <c r="S13707" t="s">
        <v>823</v>
      </c>
      <c r="T13707">
        <v>41</v>
      </c>
      <c r="U13707" s="26" t="str">
        <f>HYPERLINK("https://ictv.global/ictv/proposals/2025.001M.Alpharhabdovirinae_2ng_14nsp.zip","2025.001M.Alpharhabdovirinae_2ng_14nsp.zip")</f>
        <v>2025.001M.Alpharhabdovirinae_2ng_14nsp.zip</v>
      </c>
    </row>
    <row r="13708" spans="1:21">
      <c r="A13708">
        <v>13707</v>
      </c>
      <c r="B13708" s="27" t="s">
        <v>1124</v>
      </c>
      <c r="D13708" s="27" t="s">
        <v>1859</v>
      </c>
      <c r="F13708" s="27" t="s">
        <v>938</v>
      </c>
      <c r="G13708" s="27" t="s">
        <v>939</v>
      </c>
      <c r="H13708" s="27" t="s">
        <v>945</v>
      </c>
      <c r="J13708" s="27" t="s">
        <v>238</v>
      </c>
      <c r="L13708" s="27" t="s">
        <v>346</v>
      </c>
      <c r="M13708" s="27" t="s">
        <v>3572</v>
      </c>
      <c r="N13708" s="27" t="s">
        <v>3575</v>
      </c>
      <c r="P13708" s="27" t="s">
        <v>16894</v>
      </c>
      <c r="Q13708" s="26" t="str">
        <f>HYPERLINK("https://ictv.global/taxonomy/taxondetails?taxnode_id=202518247&amp;ictv_id=ICTV202318247","ICTV202318247")</f>
        <v>ICTV202318247</v>
      </c>
      <c r="R13708" t="s">
        <v>580</v>
      </c>
      <c r="S13708" t="s">
        <v>823</v>
      </c>
      <c r="T13708">
        <v>39</v>
      </c>
      <c r="U13708" s="26" t="str">
        <f>HYPERLINK("https://ictv.global/ictv/proposals/2023.015M.Alpharhabdovirinae_17nsp.zip","2023.015M.Alpharhabdovirinae_17nsp.zip")</f>
        <v>2023.015M.Alpharhabdovirinae_17nsp.zip</v>
      </c>
    </row>
    <row r="13709" spans="1:21">
      <c r="A13709">
        <v>13708</v>
      </c>
      <c r="B13709" s="27" t="s">
        <v>1124</v>
      </c>
      <c r="D13709" s="27" t="s">
        <v>1859</v>
      </c>
      <c r="F13709" s="27" t="s">
        <v>938</v>
      </c>
      <c r="G13709" s="27" t="s">
        <v>939</v>
      </c>
      <c r="H13709" s="27" t="s">
        <v>945</v>
      </c>
      <c r="J13709" s="27" t="s">
        <v>238</v>
      </c>
      <c r="L13709" s="27" t="s">
        <v>346</v>
      </c>
      <c r="M13709" s="27" t="s">
        <v>3572</v>
      </c>
      <c r="N13709" s="27" t="s">
        <v>3575</v>
      </c>
      <c r="P13709" s="27" t="s">
        <v>16895</v>
      </c>
      <c r="Q13709" s="26" t="str">
        <f>HYPERLINK("https://ictv.global/taxonomy/taxondetails?taxnode_id=202518248&amp;ictv_id=ICTV202318248","ICTV202318248")</f>
        <v>ICTV202318248</v>
      </c>
      <c r="R13709" t="s">
        <v>580</v>
      </c>
      <c r="S13709" t="s">
        <v>823</v>
      </c>
      <c r="T13709">
        <v>39</v>
      </c>
      <c r="U13709" s="26" t="str">
        <f>HYPERLINK("https://ictv.global/ictv/proposals/2023.015M.Alpharhabdovirinae_17nsp.zip","2023.015M.Alpharhabdovirinae_17nsp.zip")</f>
        <v>2023.015M.Alpharhabdovirinae_17nsp.zip</v>
      </c>
    </row>
    <row r="13710" spans="1:21">
      <c r="A13710">
        <v>13709</v>
      </c>
      <c r="B13710" s="27" t="s">
        <v>1124</v>
      </c>
      <c r="D13710" s="27" t="s">
        <v>1859</v>
      </c>
      <c r="F13710" s="27" t="s">
        <v>938</v>
      </c>
      <c r="G13710" s="27" t="s">
        <v>939</v>
      </c>
      <c r="H13710" s="27" t="s">
        <v>945</v>
      </c>
      <c r="J13710" s="27" t="s">
        <v>238</v>
      </c>
      <c r="L13710" s="27" t="s">
        <v>346</v>
      </c>
      <c r="M13710" s="27" t="s">
        <v>3572</v>
      </c>
      <c r="N13710" s="27" t="s">
        <v>3575</v>
      </c>
      <c r="P13710" s="27" t="s">
        <v>16896</v>
      </c>
      <c r="Q13710" s="26" t="str">
        <f>HYPERLINK("https://ictv.global/taxonomy/taxondetails?taxnode_id=202518249&amp;ictv_id=ICTV202318249","ICTV202318249")</f>
        <v>ICTV202318249</v>
      </c>
      <c r="R13710" t="s">
        <v>580</v>
      </c>
      <c r="S13710" t="s">
        <v>823</v>
      </c>
      <c r="T13710">
        <v>39</v>
      </c>
      <c r="U13710" s="26" t="str">
        <f>HYPERLINK("https://ictv.global/ictv/proposals/2023.015M.Alpharhabdovirinae_17nsp.zip","2023.015M.Alpharhabdovirinae_17nsp.zip")</f>
        <v>2023.015M.Alpharhabdovirinae_17nsp.zip</v>
      </c>
    </row>
    <row r="13711" spans="1:21">
      <c r="A13711">
        <v>13710</v>
      </c>
      <c r="B13711" s="27" t="s">
        <v>1124</v>
      </c>
      <c r="D13711" s="27" t="s">
        <v>1859</v>
      </c>
      <c r="F13711" s="27" t="s">
        <v>938</v>
      </c>
      <c r="G13711" s="27" t="s">
        <v>939</v>
      </c>
      <c r="H13711" s="27" t="s">
        <v>945</v>
      </c>
      <c r="J13711" s="27" t="s">
        <v>238</v>
      </c>
      <c r="L13711" s="27" t="s">
        <v>346</v>
      </c>
      <c r="M13711" s="27" t="s">
        <v>3572</v>
      </c>
      <c r="N13711" s="27" t="s">
        <v>3575</v>
      </c>
      <c r="P13711" s="27" t="s">
        <v>9621</v>
      </c>
      <c r="Q13711" s="26" t="str">
        <f>HYPERLINK("https://ictv.global/taxonomy/taxondetails?taxnode_id=202508757&amp;ictv_id=ICTV202008757","ICTV202008757")</f>
        <v>ICTV202008757</v>
      </c>
      <c r="R13711" t="s">
        <v>580</v>
      </c>
      <c r="S13711" t="s">
        <v>824</v>
      </c>
      <c r="T13711">
        <v>37</v>
      </c>
      <c r="U13711" s="26" t="str">
        <f>HYPERLINK("https://ictv.global/ictv/proposals/2021.036M.R.Rhabdoviridae_sprename.zip","2021.036M.R.Rhabdoviridae_sprename.zip")</f>
        <v>2021.036M.R.Rhabdoviridae_sprename.zip</v>
      </c>
    </row>
    <row r="13712" spans="1:21">
      <c r="A13712">
        <v>13711</v>
      </c>
      <c r="B13712" s="27" t="s">
        <v>1124</v>
      </c>
      <c r="D13712" s="27" t="s">
        <v>1859</v>
      </c>
      <c r="F13712" s="27" t="s">
        <v>938</v>
      </c>
      <c r="G13712" s="27" t="s">
        <v>939</v>
      </c>
      <c r="H13712" s="27" t="s">
        <v>945</v>
      </c>
      <c r="J13712" s="27" t="s">
        <v>238</v>
      </c>
      <c r="L13712" s="27" t="s">
        <v>346</v>
      </c>
      <c r="M13712" s="27" t="s">
        <v>3572</v>
      </c>
      <c r="N13712" s="27" t="s">
        <v>3575</v>
      </c>
      <c r="P13712" s="27" t="s">
        <v>20245</v>
      </c>
      <c r="Q13712" s="26" t="str">
        <f>HYPERLINK("https://ictv.global/taxonomy/taxondetails?taxnode_id=202519960&amp;ictv_id=ICTV202419960","ICTV202419960")</f>
        <v>ICTV202419960</v>
      </c>
      <c r="R13712" t="s">
        <v>580</v>
      </c>
      <c r="S13712" t="s">
        <v>823</v>
      </c>
      <c r="T13712">
        <v>40</v>
      </c>
      <c r="U13712" s="26" t="str">
        <f>HYPERLINK("https://ictv.global/ictv/proposals/2024.001M.Alpharhabdovirinae_1ng_11nsp.zip","2024.001M.Alpharhabdovirinae_1ng_11nsp.zip")</f>
        <v>2024.001M.Alpharhabdovirinae_1ng_11nsp.zip</v>
      </c>
    </row>
    <row r="13713" spans="1:21">
      <c r="A13713">
        <v>13712</v>
      </c>
      <c r="B13713" s="27" t="s">
        <v>1124</v>
      </c>
      <c r="D13713" s="27" t="s">
        <v>1859</v>
      </c>
      <c r="F13713" s="27" t="s">
        <v>938</v>
      </c>
      <c r="G13713" s="27" t="s">
        <v>939</v>
      </c>
      <c r="H13713" s="27" t="s">
        <v>945</v>
      </c>
      <c r="J13713" s="27" t="s">
        <v>238</v>
      </c>
      <c r="L13713" s="27" t="s">
        <v>346</v>
      </c>
      <c r="M13713" s="27" t="s">
        <v>3572</v>
      </c>
      <c r="N13713" s="27" t="s">
        <v>3575</v>
      </c>
      <c r="P13713" s="27" t="s">
        <v>9622</v>
      </c>
      <c r="Q13713" s="26" t="str">
        <f>HYPERLINK("https://ictv.global/taxonomy/taxondetails?taxnode_id=202508758&amp;ictv_id=ICTV202008758","ICTV202008758")</f>
        <v>ICTV202008758</v>
      </c>
      <c r="R13713" t="s">
        <v>580</v>
      </c>
      <c r="S13713" t="s">
        <v>824</v>
      </c>
      <c r="T13713">
        <v>37</v>
      </c>
      <c r="U13713" s="26" t="str">
        <f>HYPERLINK("https://ictv.global/ictv/proposals/2021.036M.R.Rhabdoviridae_sprename.zip","2021.036M.R.Rhabdoviridae_sprename.zip")</f>
        <v>2021.036M.R.Rhabdoviridae_sprename.zip</v>
      </c>
    </row>
    <row r="13714" spans="1:21">
      <c r="A13714">
        <v>13713</v>
      </c>
      <c r="B13714" s="27" t="s">
        <v>1124</v>
      </c>
      <c r="D13714" s="27" t="s">
        <v>1859</v>
      </c>
      <c r="F13714" s="27" t="s">
        <v>938</v>
      </c>
      <c r="G13714" s="27" t="s">
        <v>939</v>
      </c>
      <c r="H13714" s="27" t="s">
        <v>945</v>
      </c>
      <c r="J13714" s="27" t="s">
        <v>238</v>
      </c>
      <c r="L13714" s="27" t="s">
        <v>346</v>
      </c>
      <c r="M13714" s="27" t="s">
        <v>3572</v>
      </c>
      <c r="N13714" s="27" t="s">
        <v>1899</v>
      </c>
      <c r="P13714" s="27" t="s">
        <v>9623</v>
      </c>
      <c r="Q13714" s="26" t="str">
        <f>HYPERLINK("https://ictv.global/taxonomy/taxondetails?taxnode_id=202501785&amp;ictv_id=ICTV20115642","ICTV20115642")</f>
        <v>ICTV20115642</v>
      </c>
      <c r="R13714" t="s">
        <v>580</v>
      </c>
      <c r="S13714" t="s">
        <v>824</v>
      </c>
      <c r="T13714">
        <v>37</v>
      </c>
      <c r="U13714" s="26" t="str">
        <f>HYPERLINK("https://ictv.global/ictv/proposals/2021.036M.R.Rhabdoviridae_sprename.zip","2021.036M.R.Rhabdoviridae_sprename.zip")</f>
        <v>2021.036M.R.Rhabdoviridae_sprename.zip</v>
      </c>
    </row>
    <row r="13715" spans="1:21">
      <c r="A13715">
        <v>13714</v>
      </c>
      <c r="B13715" s="27" t="s">
        <v>1124</v>
      </c>
      <c r="D13715" s="27" t="s">
        <v>1859</v>
      </c>
      <c r="F13715" s="27" t="s">
        <v>938</v>
      </c>
      <c r="G13715" s="27" t="s">
        <v>939</v>
      </c>
      <c r="H13715" s="27" t="s">
        <v>945</v>
      </c>
      <c r="J13715" s="27" t="s">
        <v>238</v>
      </c>
      <c r="L13715" s="27" t="s">
        <v>346</v>
      </c>
      <c r="M13715" s="27" t="s">
        <v>3572</v>
      </c>
      <c r="N13715" s="27" t="s">
        <v>1900</v>
      </c>
      <c r="P13715" s="27" t="s">
        <v>16897</v>
      </c>
      <c r="Q13715" s="26" t="str">
        <f>HYPERLINK("https://ictv.global/taxonomy/taxondetails?taxnode_id=202518250&amp;ictv_id=ICTV202318250","ICTV202318250")</f>
        <v>ICTV202318250</v>
      </c>
      <c r="R13715" t="s">
        <v>580</v>
      </c>
      <c r="S13715" t="s">
        <v>823</v>
      </c>
      <c r="T13715">
        <v>39</v>
      </c>
      <c r="U13715" s="26" t="str">
        <f>HYPERLINK("https://ictv.global/ictv/proposals/2023.015M.Alpharhabdovirinae_17nsp.zip","2023.015M.Alpharhabdovirinae_17nsp.zip")</f>
        <v>2023.015M.Alpharhabdovirinae_17nsp.zip</v>
      </c>
    </row>
    <row r="13716" spans="1:21">
      <c r="A13716">
        <v>13715</v>
      </c>
      <c r="B13716" s="27" t="s">
        <v>1124</v>
      </c>
      <c r="D13716" s="27" t="s">
        <v>1859</v>
      </c>
      <c r="F13716" s="27" t="s">
        <v>938</v>
      </c>
      <c r="G13716" s="27" t="s">
        <v>939</v>
      </c>
      <c r="H13716" s="27" t="s">
        <v>945</v>
      </c>
      <c r="J13716" s="27" t="s">
        <v>238</v>
      </c>
      <c r="L13716" s="27" t="s">
        <v>346</v>
      </c>
      <c r="M13716" s="27" t="s">
        <v>3572</v>
      </c>
      <c r="N13716" s="27" t="s">
        <v>1900</v>
      </c>
      <c r="P13716" s="27" t="s">
        <v>9624</v>
      </c>
      <c r="Q13716" s="26" t="str">
        <f>HYPERLINK("https://ictv.global/taxonomy/taxondetails?taxnode_id=202509154&amp;ictv_id=ICTV202009154","ICTV202009154")</f>
        <v>ICTV202009154</v>
      </c>
      <c r="R13716" t="s">
        <v>580</v>
      </c>
      <c r="S13716" t="s">
        <v>824</v>
      </c>
      <c r="T13716">
        <v>37</v>
      </c>
      <c r="U13716" s="26" t="str">
        <f>HYPERLINK("https://ictv.global/ictv/proposals/2021.036M.R.Rhabdoviridae_sprename.zip","2021.036M.R.Rhabdoviridae_sprename.zip")</f>
        <v>2021.036M.R.Rhabdoviridae_sprename.zip</v>
      </c>
    </row>
    <row r="13717" spans="1:21">
      <c r="A13717">
        <v>13716</v>
      </c>
      <c r="B13717" s="27" t="s">
        <v>1124</v>
      </c>
      <c r="D13717" s="27" t="s">
        <v>1859</v>
      </c>
      <c r="F13717" s="27" t="s">
        <v>938</v>
      </c>
      <c r="G13717" s="27" t="s">
        <v>939</v>
      </c>
      <c r="H13717" s="27" t="s">
        <v>945</v>
      </c>
      <c r="J13717" s="27" t="s">
        <v>238</v>
      </c>
      <c r="L13717" s="27" t="s">
        <v>346</v>
      </c>
      <c r="M13717" s="27" t="s">
        <v>3572</v>
      </c>
      <c r="N13717" s="27" t="s">
        <v>1900</v>
      </c>
      <c r="P13717" s="27" t="s">
        <v>21110</v>
      </c>
      <c r="Q13717" s="26" t="str">
        <f>HYPERLINK("https://ictv.global/taxonomy/taxondetails?taxnode_id=202522046&amp;ictv_id=ICTV202522046","ICTV202522046")</f>
        <v>ICTV202522046</v>
      </c>
      <c r="R13717" t="s">
        <v>580</v>
      </c>
      <c r="S13717" t="s">
        <v>823</v>
      </c>
      <c r="T13717">
        <v>41</v>
      </c>
      <c r="U13717" s="26" t="str">
        <f>HYPERLINK("https://ictv.global/ictv/proposals/2025.001M.Alpharhabdovirinae_2ng_14nsp.zip","2025.001M.Alpharhabdovirinae_2ng_14nsp.zip")</f>
        <v>2025.001M.Alpharhabdovirinae_2ng_14nsp.zip</v>
      </c>
    </row>
    <row r="13718" spans="1:21">
      <c r="A13718">
        <v>13717</v>
      </c>
      <c r="B13718" s="27" t="s">
        <v>1124</v>
      </c>
      <c r="D13718" s="27" t="s">
        <v>1859</v>
      </c>
      <c r="F13718" s="27" t="s">
        <v>938</v>
      </c>
      <c r="G13718" s="27" t="s">
        <v>939</v>
      </c>
      <c r="H13718" s="27" t="s">
        <v>945</v>
      </c>
      <c r="J13718" s="27" t="s">
        <v>238</v>
      </c>
      <c r="L13718" s="27" t="s">
        <v>346</v>
      </c>
      <c r="M13718" s="27" t="s">
        <v>3572</v>
      </c>
      <c r="N13718" s="27" t="s">
        <v>1900</v>
      </c>
      <c r="P13718" s="27" t="s">
        <v>9625</v>
      </c>
      <c r="Q13718" s="26" t="str">
        <f>HYPERLINK("https://ictv.global/taxonomy/taxondetails?taxnode_id=202507696&amp;ictv_id=ICTV201907696","ICTV201907696")</f>
        <v>ICTV201907696</v>
      </c>
      <c r="R13718" t="s">
        <v>580</v>
      </c>
      <c r="S13718" t="s">
        <v>824</v>
      </c>
      <c r="T13718">
        <v>37</v>
      </c>
      <c r="U13718" s="26" t="str">
        <f>HYPERLINK("https://ictv.global/ictv/proposals/2021.036M.R.Rhabdoviridae_sprename.zip","2021.036M.R.Rhabdoviridae_sprename.zip")</f>
        <v>2021.036M.R.Rhabdoviridae_sprename.zip</v>
      </c>
    </row>
    <row r="13719" spans="1:21">
      <c r="A13719">
        <v>13718</v>
      </c>
      <c r="B13719" s="27" t="s">
        <v>1124</v>
      </c>
      <c r="D13719" s="27" t="s">
        <v>1859</v>
      </c>
      <c r="F13719" s="27" t="s">
        <v>938</v>
      </c>
      <c r="G13719" s="27" t="s">
        <v>939</v>
      </c>
      <c r="H13719" s="27" t="s">
        <v>945</v>
      </c>
      <c r="J13719" s="27" t="s">
        <v>238</v>
      </c>
      <c r="L13719" s="27" t="s">
        <v>346</v>
      </c>
      <c r="M13719" s="27" t="s">
        <v>3572</v>
      </c>
      <c r="N13719" s="27" t="s">
        <v>1900</v>
      </c>
      <c r="P13719" s="27" t="s">
        <v>21111</v>
      </c>
      <c r="Q13719" s="26" t="str">
        <f>HYPERLINK("https://ictv.global/taxonomy/taxondetails?taxnode_id=202522047&amp;ictv_id=ICTV202522047","ICTV202522047")</f>
        <v>ICTV202522047</v>
      </c>
      <c r="R13719" t="s">
        <v>580</v>
      </c>
      <c r="S13719" t="s">
        <v>823</v>
      </c>
      <c r="T13719">
        <v>41</v>
      </c>
      <c r="U13719" s="26" t="str">
        <f>HYPERLINK("https://ictv.global/ictv/proposals/2025.001M.Alpharhabdovirinae_2ng_14nsp.zip","2025.001M.Alpharhabdovirinae_2ng_14nsp.zip")</f>
        <v>2025.001M.Alpharhabdovirinae_2ng_14nsp.zip</v>
      </c>
    </row>
    <row r="13720" spans="1:21">
      <c r="A13720">
        <v>13719</v>
      </c>
      <c r="B13720" s="27" t="s">
        <v>1124</v>
      </c>
      <c r="D13720" s="27" t="s">
        <v>1859</v>
      </c>
      <c r="F13720" s="27" t="s">
        <v>938</v>
      </c>
      <c r="G13720" s="27" t="s">
        <v>939</v>
      </c>
      <c r="H13720" s="27" t="s">
        <v>945</v>
      </c>
      <c r="J13720" s="27" t="s">
        <v>238</v>
      </c>
      <c r="L13720" s="27" t="s">
        <v>346</v>
      </c>
      <c r="M13720" s="27" t="s">
        <v>3572</v>
      </c>
      <c r="N13720" s="27" t="s">
        <v>1900</v>
      </c>
      <c r="P13720" s="27" t="s">
        <v>9626</v>
      </c>
      <c r="Q13720" s="26" t="str">
        <f>HYPERLINK("https://ictv.global/taxonomy/taxondetails?taxnode_id=202509155&amp;ictv_id=ICTV202009155","ICTV202009155")</f>
        <v>ICTV202009155</v>
      </c>
      <c r="R13720" t="s">
        <v>580</v>
      </c>
      <c r="S13720" t="s">
        <v>824</v>
      </c>
      <c r="T13720">
        <v>37</v>
      </c>
      <c r="U13720" s="26" t="str">
        <f t="shared" ref="U13720:U13726" si="509">HYPERLINK("https://ictv.global/ictv/proposals/2021.036M.R.Rhabdoviridae_sprename.zip","2021.036M.R.Rhabdoviridae_sprename.zip")</f>
        <v>2021.036M.R.Rhabdoviridae_sprename.zip</v>
      </c>
    </row>
    <row r="13721" spans="1:21">
      <c r="A13721">
        <v>13720</v>
      </c>
      <c r="B13721" s="27" t="s">
        <v>1124</v>
      </c>
      <c r="D13721" s="27" t="s">
        <v>1859</v>
      </c>
      <c r="F13721" s="27" t="s">
        <v>938</v>
      </c>
      <c r="G13721" s="27" t="s">
        <v>939</v>
      </c>
      <c r="H13721" s="27" t="s">
        <v>945</v>
      </c>
      <c r="J13721" s="27" t="s">
        <v>238</v>
      </c>
      <c r="L13721" s="27" t="s">
        <v>346</v>
      </c>
      <c r="M13721" s="27" t="s">
        <v>3572</v>
      </c>
      <c r="N13721" s="27" t="s">
        <v>1900</v>
      </c>
      <c r="P13721" s="27" t="s">
        <v>9627</v>
      </c>
      <c r="Q13721" s="26" t="str">
        <f>HYPERLINK("https://ictv.global/taxonomy/taxondetails?taxnode_id=202507697&amp;ictv_id=ICTV201907697","ICTV201907697")</f>
        <v>ICTV201907697</v>
      </c>
      <c r="R13721" t="s">
        <v>580</v>
      </c>
      <c r="S13721" t="s">
        <v>824</v>
      </c>
      <c r="T13721">
        <v>37</v>
      </c>
      <c r="U13721" s="26" t="str">
        <f t="shared" si="509"/>
        <v>2021.036M.R.Rhabdoviridae_sprename.zip</v>
      </c>
    </row>
    <row r="13722" spans="1:21">
      <c r="A13722">
        <v>13721</v>
      </c>
      <c r="B13722" s="27" t="s">
        <v>1124</v>
      </c>
      <c r="D13722" s="27" t="s">
        <v>1859</v>
      </c>
      <c r="F13722" s="27" t="s">
        <v>938</v>
      </c>
      <c r="G13722" s="27" t="s">
        <v>939</v>
      </c>
      <c r="H13722" s="27" t="s">
        <v>945</v>
      </c>
      <c r="J13722" s="27" t="s">
        <v>238</v>
      </c>
      <c r="L13722" s="27" t="s">
        <v>346</v>
      </c>
      <c r="M13722" s="27" t="s">
        <v>3572</v>
      </c>
      <c r="N13722" s="27" t="s">
        <v>1900</v>
      </c>
      <c r="P13722" s="27" t="s">
        <v>9628</v>
      </c>
      <c r="Q13722" s="26" t="str">
        <f>HYPERLINK("https://ictv.global/taxonomy/taxondetails?taxnode_id=202507693&amp;ictv_id=ICTV201907693","ICTV201907693")</f>
        <v>ICTV201907693</v>
      </c>
      <c r="R13722" t="s">
        <v>580</v>
      </c>
      <c r="S13722" t="s">
        <v>824</v>
      </c>
      <c r="T13722">
        <v>37</v>
      </c>
      <c r="U13722" s="26" t="str">
        <f t="shared" si="509"/>
        <v>2021.036M.R.Rhabdoviridae_sprename.zip</v>
      </c>
    </row>
    <row r="13723" spans="1:21">
      <c r="A13723">
        <v>13722</v>
      </c>
      <c r="B13723" s="27" t="s">
        <v>1124</v>
      </c>
      <c r="D13723" s="27" t="s">
        <v>1859</v>
      </c>
      <c r="F13723" s="27" t="s">
        <v>938</v>
      </c>
      <c r="G13723" s="27" t="s">
        <v>939</v>
      </c>
      <c r="H13723" s="27" t="s">
        <v>945</v>
      </c>
      <c r="J13723" s="27" t="s">
        <v>238</v>
      </c>
      <c r="L13723" s="27" t="s">
        <v>346</v>
      </c>
      <c r="M13723" s="27" t="s">
        <v>3572</v>
      </c>
      <c r="N13723" s="27" t="s">
        <v>1900</v>
      </c>
      <c r="P13723" s="27" t="s">
        <v>9629</v>
      </c>
      <c r="Q13723" s="26" t="str">
        <f>HYPERLINK("https://ictv.global/taxonomy/taxondetails?taxnode_id=202509153&amp;ictv_id=ICTV202009153","ICTV202009153")</f>
        <v>ICTV202009153</v>
      </c>
      <c r="R13723" t="s">
        <v>580</v>
      </c>
      <c r="S13723" t="s">
        <v>824</v>
      </c>
      <c r="T13723">
        <v>37</v>
      </c>
      <c r="U13723" s="26" t="str">
        <f t="shared" si="509"/>
        <v>2021.036M.R.Rhabdoviridae_sprename.zip</v>
      </c>
    </row>
    <row r="13724" spans="1:21">
      <c r="A13724">
        <v>13723</v>
      </c>
      <c r="B13724" s="27" t="s">
        <v>1124</v>
      </c>
      <c r="D13724" s="27" t="s">
        <v>1859</v>
      </c>
      <c r="F13724" s="27" t="s">
        <v>938</v>
      </c>
      <c r="G13724" s="27" t="s">
        <v>939</v>
      </c>
      <c r="H13724" s="27" t="s">
        <v>945</v>
      </c>
      <c r="J13724" s="27" t="s">
        <v>238</v>
      </c>
      <c r="L13724" s="27" t="s">
        <v>346</v>
      </c>
      <c r="M13724" s="27" t="s">
        <v>3572</v>
      </c>
      <c r="N13724" s="27" t="s">
        <v>1900</v>
      </c>
      <c r="P13724" s="27" t="s">
        <v>9630</v>
      </c>
      <c r="Q13724" s="26" t="str">
        <f>HYPERLINK("https://ictv.global/taxonomy/taxondetails?taxnode_id=202507695&amp;ictv_id=ICTV201907695","ICTV201907695")</f>
        <v>ICTV201907695</v>
      </c>
      <c r="R13724" t="s">
        <v>580</v>
      </c>
      <c r="S13724" t="s">
        <v>824</v>
      </c>
      <c r="T13724">
        <v>37</v>
      </c>
      <c r="U13724" s="26" t="str">
        <f t="shared" si="509"/>
        <v>2021.036M.R.Rhabdoviridae_sprename.zip</v>
      </c>
    </row>
    <row r="13725" spans="1:21">
      <c r="A13725">
        <v>13724</v>
      </c>
      <c r="B13725" s="27" t="s">
        <v>1124</v>
      </c>
      <c r="D13725" s="27" t="s">
        <v>1859</v>
      </c>
      <c r="F13725" s="27" t="s">
        <v>938</v>
      </c>
      <c r="G13725" s="27" t="s">
        <v>939</v>
      </c>
      <c r="H13725" s="27" t="s">
        <v>945</v>
      </c>
      <c r="J13725" s="27" t="s">
        <v>238</v>
      </c>
      <c r="L13725" s="27" t="s">
        <v>346</v>
      </c>
      <c r="M13725" s="27" t="s">
        <v>3572</v>
      </c>
      <c r="N13725" s="27" t="s">
        <v>1900</v>
      </c>
      <c r="P13725" s="27" t="s">
        <v>9631</v>
      </c>
      <c r="Q13725" s="26" t="str">
        <f>HYPERLINK("https://ictv.global/taxonomy/taxondetails?taxnode_id=202507694&amp;ictv_id=ICTV201907694","ICTV201907694")</f>
        <v>ICTV201907694</v>
      </c>
      <c r="R13725" t="s">
        <v>580</v>
      </c>
      <c r="S13725" t="s">
        <v>824</v>
      </c>
      <c r="T13725">
        <v>37</v>
      </c>
      <c r="U13725" s="26" t="str">
        <f t="shared" si="509"/>
        <v>2021.036M.R.Rhabdoviridae_sprename.zip</v>
      </c>
    </row>
    <row r="13726" spans="1:21">
      <c r="A13726">
        <v>13725</v>
      </c>
      <c r="B13726" s="27" t="s">
        <v>1124</v>
      </c>
      <c r="D13726" s="27" t="s">
        <v>1859</v>
      </c>
      <c r="F13726" s="27" t="s">
        <v>938</v>
      </c>
      <c r="G13726" s="27" t="s">
        <v>939</v>
      </c>
      <c r="H13726" s="27" t="s">
        <v>945</v>
      </c>
      <c r="J13726" s="27" t="s">
        <v>238</v>
      </c>
      <c r="L13726" s="27" t="s">
        <v>346</v>
      </c>
      <c r="M13726" s="27" t="s">
        <v>3572</v>
      </c>
      <c r="N13726" s="27" t="s">
        <v>469</v>
      </c>
      <c r="P13726" s="27" t="s">
        <v>9632</v>
      </c>
      <c r="Q13726" s="26" t="str">
        <f>HYPERLINK("https://ictv.global/taxonomy/taxondetails?taxnode_id=202501753&amp;ictv_id=ICTV20125914","ICTV20125914")</f>
        <v>ICTV20125914</v>
      </c>
      <c r="R13726" t="s">
        <v>580</v>
      </c>
      <c r="S13726" t="s">
        <v>824</v>
      </c>
      <c r="T13726">
        <v>37</v>
      </c>
      <c r="U13726" s="26" t="str">
        <f t="shared" si="509"/>
        <v>2021.036M.R.Rhabdoviridae_sprename.zip</v>
      </c>
    </row>
    <row r="13727" spans="1:21">
      <c r="A13727">
        <v>13726</v>
      </c>
      <c r="B13727" s="27" t="s">
        <v>1124</v>
      </c>
      <c r="D13727" s="27" t="s">
        <v>1859</v>
      </c>
      <c r="F13727" s="27" t="s">
        <v>938</v>
      </c>
      <c r="G13727" s="27" t="s">
        <v>939</v>
      </c>
      <c r="H13727" s="27" t="s">
        <v>945</v>
      </c>
      <c r="J13727" s="27" t="s">
        <v>238</v>
      </c>
      <c r="L13727" s="27" t="s">
        <v>346</v>
      </c>
      <c r="M13727" s="27" t="s">
        <v>3572</v>
      </c>
      <c r="N13727" s="27" t="s">
        <v>469</v>
      </c>
      <c r="P13727" s="27" t="s">
        <v>9633</v>
      </c>
      <c r="Q13727" s="26" t="str">
        <f>HYPERLINK("https://ictv.global/taxonomy/taxondetails?taxnode_id=202513313&amp;ictv_id=ICTV202113313","ICTV202113313")</f>
        <v>ICTV202113313</v>
      </c>
      <c r="R13727" t="s">
        <v>580</v>
      </c>
      <c r="S13727" t="s">
        <v>823</v>
      </c>
      <c r="T13727">
        <v>37</v>
      </c>
      <c r="U13727" s="26" t="str">
        <f>HYPERLINK("https://ictv.global/ictv/proposals/2021.003M.R.Alpharhabdovirinae_3ngen_7nsp.zip","2021.003M.R.Alpharhabdovirinae_3ngen_7nsp.zip")</f>
        <v>2021.003M.R.Alpharhabdovirinae_3ngen_7nsp.zip</v>
      </c>
    </row>
    <row r="13728" spans="1:21">
      <c r="A13728">
        <v>13727</v>
      </c>
      <c r="B13728" s="27" t="s">
        <v>1124</v>
      </c>
      <c r="D13728" s="27" t="s">
        <v>1859</v>
      </c>
      <c r="F13728" s="27" t="s">
        <v>938</v>
      </c>
      <c r="G13728" s="27" t="s">
        <v>939</v>
      </c>
      <c r="H13728" s="27" t="s">
        <v>945</v>
      </c>
      <c r="J13728" s="27" t="s">
        <v>238</v>
      </c>
      <c r="L13728" s="27" t="s">
        <v>346</v>
      </c>
      <c r="M13728" s="27" t="s">
        <v>3572</v>
      </c>
      <c r="N13728" s="27" t="s">
        <v>469</v>
      </c>
      <c r="P13728" s="27" t="s">
        <v>9634</v>
      </c>
      <c r="Q13728" s="26" t="str">
        <f>HYPERLINK("https://ictv.global/taxonomy/taxondetails?taxnode_id=202501754&amp;ictv_id=ICTV20125913","ICTV20125913")</f>
        <v>ICTV20125913</v>
      </c>
      <c r="R13728" t="s">
        <v>580</v>
      </c>
      <c r="S13728" t="s">
        <v>824</v>
      </c>
      <c r="T13728">
        <v>37</v>
      </c>
      <c r="U13728" s="26" t="str">
        <f>HYPERLINK("https://ictv.global/ictv/proposals/2021.036M.R.Rhabdoviridae_sprename.zip","2021.036M.R.Rhabdoviridae_sprename.zip")</f>
        <v>2021.036M.R.Rhabdoviridae_sprename.zip</v>
      </c>
    </row>
    <row r="13729" spans="1:21">
      <c r="A13729">
        <v>13728</v>
      </c>
      <c r="B13729" s="27" t="s">
        <v>1124</v>
      </c>
      <c r="D13729" s="27" t="s">
        <v>1859</v>
      </c>
      <c r="F13729" s="27" t="s">
        <v>938</v>
      </c>
      <c r="G13729" s="27" t="s">
        <v>939</v>
      </c>
      <c r="H13729" s="27" t="s">
        <v>945</v>
      </c>
      <c r="J13729" s="27" t="s">
        <v>238</v>
      </c>
      <c r="L13729" s="27" t="s">
        <v>346</v>
      </c>
      <c r="M13729" s="27" t="s">
        <v>3572</v>
      </c>
      <c r="N13729" s="27" t="s">
        <v>469</v>
      </c>
      <c r="P13729" s="27" t="s">
        <v>9635</v>
      </c>
      <c r="Q13729" s="26" t="str">
        <f>HYPERLINK("https://ictv.global/taxonomy/taxondetails?taxnode_id=202501755&amp;ictv_id=ICTV20125915","ICTV20125915")</f>
        <v>ICTV20125915</v>
      </c>
      <c r="R13729" t="s">
        <v>580</v>
      </c>
      <c r="S13729" t="s">
        <v>824</v>
      </c>
      <c r="T13729">
        <v>37</v>
      </c>
      <c r="U13729" s="26" t="str">
        <f>HYPERLINK("https://ictv.global/ictv/proposals/2021.036M.R.Rhabdoviridae_sprename.zip","2021.036M.R.Rhabdoviridae_sprename.zip")</f>
        <v>2021.036M.R.Rhabdoviridae_sprename.zip</v>
      </c>
    </row>
    <row r="13730" spans="1:21">
      <c r="A13730">
        <v>13729</v>
      </c>
      <c r="B13730" s="27" t="s">
        <v>1124</v>
      </c>
      <c r="D13730" s="27" t="s">
        <v>1859</v>
      </c>
      <c r="F13730" s="27" t="s">
        <v>938</v>
      </c>
      <c r="G13730" s="27" t="s">
        <v>939</v>
      </c>
      <c r="H13730" s="27" t="s">
        <v>945</v>
      </c>
      <c r="J13730" s="27" t="s">
        <v>238</v>
      </c>
      <c r="L13730" s="27" t="s">
        <v>346</v>
      </c>
      <c r="M13730" s="27" t="s">
        <v>3572</v>
      </c>
      <c r="N13730" s="27" t="s">
        <v>9636</v>
      </c>
      <c r="P13730" s="27" t="s">
        <v>9637</v>
      </c>
      <c r="Q13730" s="26" t="str">
        <f>HYPERLINK("https://ictv.global/taxonomy/taxondetails?taxnode_id=202512251&amp;ictv_id=ICTV202112251","ICTV202112251")</f>
        <v>ICTV202112251</v>
      </c>
      <c r="R13730" t="s">
        <v>580</v>
      </c>
      <c r="S13730" t="s">
        <v>823</v>
      </c>
      <c r="T13730">
        <v>37</v>
      </c>
      <c r="U13730" s="26" t="str">
        <f>HYPERLINK("https://ictv.global/ictv/proposals/2021.035M.R.Rhabdoviridae_2ngen_2nsp.zip","2021.035M.R.Rhabdoviridae_2ngen_2nsp.zip")</f>
        <v>2021.035M.R.Rhabdoviridae_2ngen_2nsp.zip</v>
      </c>
    </row>
    <row r="13731" spans="1:21">
      <c r="A13731">
        <v>13730</v>
      </c>
      <c r="B13731" s="27" t="s">
        <v>1124</v>
      </c>
      <c r="D13731" s="27" t="s">
        <v>1859</v>
      </c>
      <c r="F13731" s="27" t="s">
        <v>938</v>
      </c>
      <c r="G13731" s="27" t="s">
        <v>939</v>
      </c>
      <c r="H13731" s="27" t="s">
        <v>945</v>
      </c>
      <c r="J13731" s="27" t="s">
        <v>238</v>
      </c>
      <c r="L13731" s="27" t="s">
        <v>346</v>
      </c>
      <c r="M13731" s="27" t="s">
        <v>3572</v>
      </c>
      <c r="N13731" s="27" t="s">
        <v>2017</v>
      </c>
      <c r="P13731" s="27" t="s">
        <v>9638</v>
      </c>
      <c r="Q13731" s="26" t="str">
        <f>HYPERLINK("https://ictv.global/taxonomy/taxondetails?taxnode_id=202507386&amp;ictv_id=ICTV201907386","ICTV201907386")</f>
        <v>ICTV201907386</v>
      </c>
      <c r="R13731" t="s">
        <v>580</v>
      </c>
      <c r="S13731" t="s">
        <v>824</v>
      </c>
      <c r="T13731">
        <v>37</v>
      </c>
      <c r="U13731" s="26" t="str">
        <f>HYPERLINK("https://ictv.global/ictv/proposals/2021.036M.R.Rhabdoviridae_sprename.zip","2021.036M.R.Rhabdoviridae_sprename.zip")</f>
        <v>2021.036M.R.Rhabdoviridae_sprename.zip</v>
      </c>
    </row>
    <row r="13732" spans="1:21">
      <c r="A13732">
        <v>13731</v>
      </c>
      <c r="B13732" s="27" t="s">
        <v>1124</v>
      </c>
      <c r="D13732" s="27" t="s">
        <v>1859</v>
      </c>
      <c r="F13732" s="27" t="s">
        <v>938</v>
      </c>
      <c r="G13732" s="27" t="s">
        <v>939</v>
      </c>
      <c r="H13732" s="27" t="s">
        <v>945</v>
      </c>
      <c r="J13732" s="27" t="s">
        <v>238</v>
      </c>
      <c r="L13732" s="27" t="s">
        <v>346</v>
      </c>
      <c r="M13732" s="27" t="s">
        <v>3572</v>
      </c>
      <c r="N13732" s="27" t="s">
        <v>2017</v>
      </c>
      <c r="P13732" s="27" t="s">
        <v>9639</v>
      </c>
      <c r="Q13732" s="26" t="str">
        <f>HYPERLINK("https://ictv.global/taxonomy/taxondetails?taxnode_id=202507387&amp;ictv_id=ICTV201907387","ICTV201907387")</f>
        <v>ICTV201907387</v>
      </c>
      <c r="R13732" t="s">
        <v>580</v>
      </c>
      <c r="S13732" t="s">
        <v>824</v>
      </c>
      <c r="T13732">
        <v>37</v>
      </c>
      <c r="U13732" s="26" t="str">
        <f>HYPERLINK("https://ictv.global/ictv/proposals/2021.036M.R.Rhabdoviridae_sprename.zip","2021.036M.R.Rhabdoviridae_sprename.zip")</f>
        <v>2021.036M.R.Rhabdoviridae_sprename.zip</v>
      </c>
    </row>
    <row r="13733" spans="1:21">
      <c r="A13733">
        <v>13732</v>
      </c>
      <c r="B13733" s="27" t="s">
        <v>1124</v>
      </c>
      <c r="D13733" s="27" t="s">
        <v>1859</v>
      </c>
      <c r="F13733" s="27" t="s">
        <v>938</v>
      </c>
      <c r="G13733" s="27" t="s">
        <v>939</v>
      </c>
      <c r="H13733" s="27" t="s">
        <v>945</v>
      </c>
      <c r="J13733" s="27" t="s">
        <v>238</v>
      </c>
      <c r="L13733" s="27" t="s">
        <v>346</v>
      </c>
      <c r="M13733" s="27" t="s">
        <v>3572</v>
      </c>
      <c r="N13733" s="27" t="s">
        <v>2017</v>
      </c>
      <c r="P13733" s="27" t="s">
        <v>9640</v>
      </c>
      <c r="Q13733" s="26" t="str">
        <f>HYPERLINK("https://ictv.global/taxonomy/taxondetails?taxnode_id=202507385&amp;ictv_id=ICTV201907385","ICTV201907385")</f>
        <v>ICTV201907385</v>
      </c>
      <c r="R13733" t="s">
        <v>580</v>
      </c>
      <c r="S13733" t="s">
        <v>824</v>
      </c>
      <c r="T13733">
        <v>37</v>
      </c>
      <c r="U13733" s="26" t="str">
        <f>HYPERLINK("https://ictv.global/ictv/proposals/2021.036M.R.Rhabdoviridae_sprename.zip","2021.036M.R.Rhabdoviridae_sprename.zip")</f>
        <v>2021.036M.R.Rhabdoviridae_sprename.zip</v>
      </c>
    </row>
    <row r="13734" spans="1:21">
      <c r="A13734">
        <v>13733</v>
      </c>
      <c r="B13734" s="27" t="s">
        <v>1124</v>
      </c>
      <c r="D13734" s="27" t="s">
        <v>1859</v>
      </c>
      <c r="F13734" s="27" t="s">
        <v>938</v>
      </c>
      <c r="G13734" s="27" t="s">
        <v>939</v>
      </c>
      <c r="H13734" s="27" t="s">
        <v>945</v>
      </c>
      <c r="J13734" s="27" t="s">
        <v>238</v>
      </c>
      <c r="L13734" s="27" t="s">
        <v>346</v>
      </c>
      <c r="M13734" s="27" t="s">
        <v>3572</v>
      </c>
      <c r="N13734" s="27" t="s">
        <v>2017</v>
      </c>
      <c r="P13734" s="27" t="s">
        <v>9641</v>
      </c>
      <c r="Q13734" s="26" t="str">
        <f>HYPERLINK("https://ictv.global/taxonomy/taxondetails?taxnode_id=202507384&amp;ictv_id=ICTV201907384","ICTV201907384")</f>
        <v>ICTV201907384</v>
      </c>
      <c r="R13734" t="s">
        <v>580</v>
      </c>
      <c r="S13734" t="s">
        <v>824</v>
      </c>
      <c r="T13734">
        <v>37</v>
      </c>
      <c r="U13734" s="26" t="str">
        <f>HYPERLINK("https://ictv.global/ictv/proposals/2021.036M.R.Rhabdoviridae_sprename.zip","2021.036M.R.Rhabdoviridae_sprename.zip")</f>
        <v>2021.036M.R.Rhabdoviridae_sprename.zip</v>
      </c>
    </row>
    <row r="13735" spans="1:21">
      <c r="A13735">
        <v>13734</v>
      </c>
      <c r="B13735" s="27" t="s">
        <v>1124</v>
      </c>
      <c r="D13735" s="27" t="s">
        <v>1859</v>
      </c>
      <c r="F13735" s="27" t="s">
        <v>938</v>
      </c>
      <c r="G13735" s="27" t="s">
        <v>939</v>
      </c>
      <c r="H13735" s="27" t="s">
        <v>945</v>
      </c>
      <c r="J13735" s="27" t="s">
        <v>238</v>
      </c>
      <c r="L13735" s="27" t="s">
        <v>346</v>
      </c>
      <c r="M13735" s="27" t="s">
        <v>3572</v>
      </c>
      <c r="N13735" s="27" t="s">
        <v>9642</v>
      </c>
      <c r="P13735" s="27" t="s">
        <v>9643</v>
      </c>
      <c r="Q13735" s="26" t="str">
        <f>HYPERLINK("https://ictv.global/taxonomy/taxondetails?taxnode_id=202513322&amp;ictv_id=ICTV202113322","ICTV202113322")</f>
        <v>ICTV202113322</v>
      </c>
      <c r="R13735" t="s">
        <v>580</v>
      </c>
      <c r="S13735" t="s">
        <v>823</v>
      </c>
      <c r="T13735">
        <v>37</v>
      </c>
      <c r="U13735" s="26" t="str">
        <f>HYPERLINK("https://ictv.global/ictv/proposals/2021.003M.R.Alpharhabdovirinae_3ngen_7nsp.zip","2021.003M.R.Alpharhabdovirinae_3ngen_7nsp.zip")</f>
        <v>2021.003M.R.Alpharhabdovirinae_3ngen_7nsp.zip</v>
      </c>
    </row>
    <row r="13736" spans="1:21">
      <c r="A13736">
        <v>13735</v>
      </c>
      <c r="B13736" s="27" t="s">
        <v>1124</v>
      </c>
      <c r="D13736" s="27" t="s">
        <v>1859</v>
      </c>
      <c r="F13736" s="27" t="s">
        <v>938</v>
      </c>
      <c r="G13736" s="27" t="s">
        <v>939</v>
      </c>
      <c r="H13736" s="27" t="s">
        <v>945</v>
      </c>
      <c r="J13736" s="27" t="s">
        <v>238</v>
      </c>
      <c r="L13736" s="27" t="s">
        <v>346</v>
      </c>
      <c r="M13736" s="27" t="s">
        <v>3572</v>
      </c>
      <c r="N13736" s="27" t="s">
        <v>9642</v>
      </c>
      <c r="P13736" s="27" t="s">
        <v>9644</v>
      </c>
      <c r="Q13736" s="26" t="str">
        <f>HYPERLINK("https://ictv.global/taxonomy/taxondetails?taxnode_id=202513321&amp;ictv_id=ICTV202113321","ICTV202113321")</f>
        <v>ICTV202113321</v>
      </c>
      <c r="R13736" t="s">
        <v>580</v>
      </c>
      <c r="S13736" t="s">
        <v>823</v>
      </c>
      <c r="T13736">
        <v>37</v>
      </c>
      <c r="U13736" s="26" t="str">
        <f>HYPERLINK("https://ictv.global/ictv/proposals/2021.003M.R.Alpharhabdovirinae_3ngen_7nsp.zip","2021.003M.R.Alpharhabdovirinae_3ngen_7nsp.zip")</f>
        <v>2021.003M.R.Alpharhabdovirinae_3ngen_7nsp.zip</v>
      </c>
    </row>
    <row r="13737" spans="1:21">
      <c r="A13737">
        <v>13736</v>
      </c>
      <c r="B13737" s="27" t="s">
        <v>1124</v>
      </c>
      <c r="D13737" s="27" t="s">
        <v>1859</v>
      </c>
      <c r="F13737" s="27" t="s">
        <v>938</v>
      </c>
      <c r="G13737" s="27" t="s">
        <v>939</v>
      </c>
      <c r="H13737" s="27" t="s">
        <v>945</v>
      </c>
      <c r="J13737" s="27" t="s">
        <v>238</v>
      </c>
      <c r="L13737" s="27" t="s">
        <v>346</v>
      </c>
      <c r="M13737" s="27" t="s">
        <v>3572</v>
      </c>
      <c r="N13737" s="27" t="s">
        <v>470</v>
      </c>
      <c r="P13737" s="27" t="s">
        <v>9645</v>
      </c>
      <c r="Q13737" s="26" t="str">
        <f>HYPERLINK("https://ictv.global/taxonomy/taxondetails?taxnode_id=202501757&amp;ictv_id=ICTV20125877","ICTV20125877")</f>
        <v>ICTV20125877</v>
      </c>
      <c r="R13737" t="s">
        <v>580</v>
      </c>
      <c r="S13737" t="s">
        <v>824</v>
      </c>
      <c r="T13737">
        <v>37</v>
      </c>
      <c r="U13737" s="26" t="str">
        <f>HYPERLINK("https://ictv.global/ictv/proposals/2021.036M.R.Rhabdoviridae_sprename.zip","2021.036M.R.Rhabdoviridae_sprename.zip")</f>
        <v>2021.036M.R.Rhabdoviridae_sprename.zip</v>
      </c>
    </row>
    <row r="13738" spans="1:21">
      <c r="A13738">
        <v>13737</v>
      </c>
      <c r="B13738" s="27" t="s">
        <v>1124</v>
      </c>
      <c r="D13738" s="27" t="s">
        <v>1859</v>
      </c>
      <c r="F13738" s="27" t="s">
        <v>938</v>
      </c>
      <c r="G13738" s="27" t="s">
        <v>939</v>
      </c>
      <c r="H13738" s="27" t="s">
        <v>945</v>
      </c>
      <c r="J13738" s="27" t="s">
        <v>238</v>
      </c>
      <c r="L13738" s="27" t="s">
        <v>346</v>
      </c>
      <c r="M13738" s="27" t="s">
        <v>3572</v>
      </c>
      <c r="N13738" s="27" t="s">
        <v>470</v>
      </c>
      <c r="P13738" s="27" t="s">
        <v>9646</v>
      </c>
      <c r="Q13738" s="26" t="str">
        <f>HYPERLINK("https://ictv.global/taxonomy/taxondetails?taxnode_id=202501758&amp;ictv_id=ICTV20125880","ICTV20125880")</f>
        <v>ICTV20125880</v>
      </c>
      <c r="R13738" t="s">
        <v>580</v>
      </c>
      <c r="S13738" t="s">
        <v>824</v>
      </c>
      <c r="T13738">
        <v>37</v>
      </c>
      <c r="U13738" s="26" t="str">
        <f>HYPERLINK("https://ictv.global/ictv/proposals/2021.036M.R.Rhabdoviridae_sprename.zip","2021.036M.R.Rhabdoviridae_sprename.zip")</f>
        <v>2021.036M.R.Rhabdoviridae_sprename.zip</v>
      </c>
    </row>
    <row r="13739" spans="1:21">
      <c r="A13739">
        <v>13738</v>
      </c>
      <c r="B13739" s="27" t="s">
        <v>1124</v>
      </c>
      <c r="D13739" s="27" t="s">
        <v>1859</v>
      </c>
      <c r="F13739" s="27" t="s">
        <v>938</v>
      </c>
      <c r="G13739" s="27" t="s">
        <v>939</v>
      </c>
      <c r="H13739" s="27" t="s">
        <v>945</v>
      </c>
      <c r="J13739" s="27" t="s">
        <v>238</v>
      </c>
      <c r="L13739" s="27" t="s">
        <v>346</v>
      </c>
      <c r="M13739" s="27" t="s">
        <v>3572</v>
      </c>
      <c r="N13739" s="27" t="s">
        <v>470</v>
      </c>
      <c r="P13739" s="27" t="s">
        <v>21108</v>
      </c>
      <c r="Q13739" s="26" t="str">
        <f>HYPERLINK("https://ictv.global/taxonomy/taxondetails?taxnode_id=202522044&amp;ictv_id=ICTV202522044","ICTV202522044")</f>
        <v>ICTV202522044</v>
      </c>
      <c r="R13739" t="s">
        <v>580</v>
      </c>
      <c r="S13739" t="s">
        <v>823</v>
      </c>
      <c r="T13739">
        <v>41</v>
      </c>
      <c r="U13739" s="26" t="str">
        <f>HYPERLINK("https://ictv.global/ictv/proposals/2025.001M.Alpharhabdovirinae_2ng_14nsp.zip","2025.001M.Alpharhabdovirinae_2ng_14nsp.zip")</f>
        <v>2025.001M.Alpharhabdovirinae_2ng_14nsp.zip</v>
      </c>
    </row>
    <row r="13740" spans="1:21">
      <c r="A13740">
        <v>13739</v>
      </c>
      <c r="B13740" s="27" t="s">
        <v>1124</v>
      </c>
      <c r="D13740" s="27" t="s">
        <v>1859</v>
      </c>
      <c r="F13740" s="27" t="s">
        <v>938</v>
      </c>
      <c r="G13740" s="27" t="s">
        <v>939</v>
      </c>
      <c r="H13740" s="27" t="s">
        <v>945</v>
      </c>
      <c r="J13740" s="27" t="s">
        <v>238</v>
      </c>
      <c r="L13740" s="27" t="s">
        <v>346</v>
      </c>
      <c r="M13740" s="27" t="s">
        <v>3572</v>
      </c>
      <c r="N13740" s="27" t="s">
        <v>470</v>
      </c>
      <c r="P13740" s="27" t="s">
        <v>9647</v>
      </c>
      <c r="Q13740" s="26" t="str">
        <f>HYPERLINK("https://ictv.global/taxonomy/taxondetails?taxnode_id=202508829&amp;ictv_id=ICTV202008829","ICTV202008829")</f>
        <v>ICTV202008829</v>
      </c>
      <c r="R13740" t="s">
        <v>580</v>
      </c>
      <c r="S13740" t="s">
        <v>824</v>
      </c>
      <c r="T13740">
        <v>37</v>
      </c>
      <c r="U13740" s="26" t="str">
        <f>HYPERLINK("https://ictv.global/ictv/proposals/2021.036M.R.Rhabdoviridae_sprename.zip","2021.036M.R.Rhabdoviridae_sprename.zip")</f>
        <v>2021.036M.R.Rhabdoviridae_sprename.zip</v>
      </c>
    </row>
    <row r="13741" spans="1:21">
      <c r="A13741">
        <v>13740</v>
      </c>
      <c r="B13741" s="27" t="s">
        <v>1124</v>
      </c>
      <c r="D13741" s="27" t="s">
        <v>1859</v>
      </c>
      <c r="F13741" s="27" t="s">
        <v>938</v>
      </c>
      <c r="G13741" s="27" t="s">
        <v>939</v>
      </c>
      <c r="H13741" s="27" t="s">
        <v>945</v>
      </c>
      <c r="J13741" s="27" t="s">
        <v>238</v>
      </c>
      <c r="L13741" s="27" t="s">
        <v>346</v>
      </c>
      <c r="M13741" s="27" t="s">
        <v>3572</v>
      </c>
      <c r="N13741" s="27" t="s">
        <v>470</v>
      </c>
      <c r="P13741" s="27" t="s">
        <v>21107</v>
      </c>
      <c r="Q13741" s="26" t="str">
        <f>HYPERLINK("https://ictv.global/taxonomy/taxondetails?taxnode_id=202522043&amp;ictv_id=ICTV202522043","ICTV202522043")</f>
        <v>ICTV202522043</v>
      </c>
      <c r="R13741" t="s">
        <v>580</v>
      </c>
      <c r="S13741" t="s">
        <v>823</v>
      </c>
      <c r="T13741">
        <v>41</v>
      </c>
      <c r="U13741" s="26" t="str">
        <f>HYPERLINK("https://ictv.global/ictv/proposals/2025.001M.Alpharhabdovirinae_2ng_14nsp.zip","2025.001M.Alpharhabdovirinae_2ng_14nsp.zip")</f>
        <v>2025.001M.Alpharhabdovirinae_2ng_14nsp.zip</v>
      </c>
    </row>
    <row r="13742" spans="1:21">
      <c r="A13742">
        <v>13741</v>
      </c>
      <c r="B13742" s="27" t="s">
        <v>1124</v>
      </c>
      <c r="D13742" s="27" t="s">
        <v>1859</v>
      </c>
      <c r="F13742" s="27" t="s">
        <v>938</v>
      </c>
      <c r="G13742" s="27" t="s">
        <v>939</v>
      </c>
      <c r="H13742" s="27" t="s">
        <v>945</v>
      </c>
      <c r="J13742" s="27" t="s">
        <v>238</v>
      </c>
      <c r="L13742" s="27" t="s">
        <v>346</v>
      </c>
      <c r="M13742" s="27" t="s">
        <v>3572</v>
      </c>
      <c r="N13742" s="27" t="s">
        <v>470</v>
      </c>
      <c r="P13742" s="27" t="s">
        <v>9648</v>
      </c>
      <c r="Q13742" s="26" t="str">
        <f>HYPERLINK("https://ictv.global/taxonomy/taxondetails?taxnode_id=202508833&amp;ictv_id=ICTV202008833","ICTV202008833")</f>
        <v>ICTV202008833</v>
      </c>
      <c r="R13742" t="s">
        <v>580</v>
      </c>
      <c r="S13742" t="s">
        <v>824</v>
      </c>
      <c r="T13742">
        <v>37</v>
      </c>
      <c r="U13742" s="26" t="str">
        <f>HYPERLINK("https://ictv.global/ictv/proposals/2021.036M.R.Rhabdoviridae_sprename.zip","2021.036M.R.Rhabdoviridae_sprename.zip")</f>
        <v>2021.036M.R.Rhabdoviridae_sprename.zip</v>
      </c>
    </row>
    <row r="13743" spans="1:21">
      <c r="A13743">
        <v>13742</v>
      </c>
      <c r="B13743" s="27" t="s">
        <v>1124</v>
      </c>
      <c r="D13743" s="27" t="s">
        <v>1859</v>
      </c>
      <c r="F13743" s="27" t="s">
        <v>938</v>
      </c>
      <c r="G13743" s="27" t="s">
        <v>939</v>
      </c>
      <c r="H13743" s="27" t="s">
        <v>945</v>
      </c>
      <c r="J13743" s="27" t="s">
        <v>238</v>
      </c>
      <c r="L13743" s="27" t="s">
        <v>346</v>
      </c>
      <c r="M13743" s="27" t="s">
        <v>3572</v>
      </c>
      <c r="N13743" s="27" t="s">
        <v>470</v>
      </c>
      <c r="P13743" s="27" t="s">
        <v>20246</v>
      </c>
      <c r="Q13743" s="26" t="str">
        <f>HYPERLINK("https://ictv.global/taxonomy/taxondetails?taxnode_id=202519957&amp;ictv_id=ICTV202419957","ICTV202419957")</f>
        <v>ICTV202419957</v>
      </c>
      <c r="R13743" t="s">
        <v>580</v>
      </c>
      <c r="S13743" t="s">
        <v>823</v>
      </c>
      <c r="T13743">
        <v>40</v>
      </c>
      <c r="U13743" s="26" t="str">
        <f>HYPERLINK("https://ictv.global/ictv/proposals/2024.001M.Alpharhabdovirinae_1ng_11nsp.zip","2024.001M.Alpharhabdovirinae_1ng_11nsp.zip")</f>
        <v>2024.001M.Alpharhabdovirinae_1ng_11nsp.zip</v>
      </c>
    </row>
    <row r="13744" spans="1:21">
      <c r="A13744">
        <v>13743</v>
      </c>
      <c r="B13744" s="27" t="s">
        <v>1124</v>
      </c>
      <c r="D13744" s="27" t="s">
        <v>1859</v>
      </c>
      <c r="F13744" s="27" t="s">
        <v>938</v>
      </c>
      <c r="G13744" s="27" t="s">
        <v>939</v>
      </c>
      <c r="H13744" s="27" t="s">
        <v>945</v>
      </c>
      <c r="J13744" s="27" t="s">
        <v>238</v>
      </c>
      <c r="L13744" s="27" t="s">
        <v>346</v>
      </c>
      <c r="M13744" s="27" t="s">
        <v>3572</v>
      </c>
      <c r="N13744" s="27" t="s">
        <v>470</v>
      </c>
      <c r="P13744" s="27" t="s">
        <v>20247</v>
      </c>
      <c r="Q13744" s="26" t="str">
        <f>HYPERLINK("https://ictv.global/taxonomy/taxondetails?taxnode_id=202519956&amp;ictv_id=ICTV202419956","ICTV202419956")</f>
        <v>ICTV202419956</v>
      </c>
      <c r="R13744" t="s">
        <v>580</v>
      </c>
      <c r="S13744" t="s">
        <v>823</v>
      </c>
      <c r="T13744">
        <v>40</v>
      </c>
      <c r="U13744" s="26" t="str">
        <f>HYPERLINK("https://ictv.global/ictv/proposals/2024.001M.Alpharhabdovirinae_1ng_11nsp.zip","2024.001M.Alpharhabdovirinae_1ng_11nsp.zip")</f>
        <v>2024.001M.Alpharhabdovirinae_1ng_11nsp.zip</v>
      </c>
    </row>
    <row r="13745" spans="1:21">
      <c r="A13745">
        <v>13744</v>
      </c>
      <c r="B13745" s="27" t="s">
        <v>1124</v>
      </c>
      <c r="D13745" s="27" t="s">
        <v>1859</v>
      </c>
      <c r="F13745" s="27" t="s">
        <v>938</v>
      </c>
      <c r="G13745" s="27" t="s">
        <v>939</v>
      </c>
      <c r="H13745" s="27" t="s">
        <v>945</v>
      </c>
      <c r="J13745" s="27" t="s">
        <v>238</v>
      </c>
      <c r="L13745" s="27" t="s">
        <v>346</v>
      </c>
      <c r="M13745" s="27" t="s">
        <v>3572</v>
      </c>
      <c r="N13745" s="27" t="s">
        <v>470</v>
      </c>
      <c r="P13745" s="27" t="s">
        <v>9649</v>
      </c>
      <c r="Q13745" s="26" t="str">
        <f>HYPERLINK("https://ictv.global/taxonomy/taxondetails?taxnode_id=202508824&amp;ictv_id=ICTV202008824","ICTV202008824")</f>
        <v>ICTV202008824</v>
      </c>
      <c r="R13745" t="s">
        <v>580</v>
      </c>
      <c r="S13745" t="s">
        <v>824</v>
      </c>
      <c r="T13745">
        <v>37</v>
      </c>
      <c r="U13745" s="26" t="str">
        <f>HYPERLINK("https://ictv.global/ictv/proposals/2021.036M.R.Rhabdoviridae_sprename.zip","2021.036M.R.Rhabdoviridae_sprename.zip")</f>
        <v>2021.036M.R.Rhabdoviridae_sprename.zip</v>
      </c>
    </row>
    <row r="13746" spans="1:21">
      <c r="A13746">
        <v>13745</v>
      </c>
      <c r="B13746" s="27" t="s">
        <v>1124</v>
      </c>
      <c r="D13746" s="27" t="s">
        <v>1859</v>
      </c>
      <c r="F13746" s="27" t="s">
        <v>938</v>
      </c>
      <c r="G13746" s="27" t="s">
        <v>939</v>
      </c>
      <c r="H13746" s="27" t="s">
        <v>945</v>
      </c>
      <c r="J13746" s="27" t="s">
        <v>238</v>
      </c>
      <c r="L13746" s="27" t="s">
        <v>346</v>
      </c>
      <c r="M13746" s="27" t="s">
        <v>3572</v>
      </c>
      <c r="N13746" s="27" t="s">
        <v>470</v>
      </c>
      <c r="P13746" s="27" t="s">
        <v>9650</v>
      </c>
      <c r="Q13746" s="26" t="str">
        <f>HYPERLINK("https://ictv.global/taxonomy/taxondetails?taxnode_id=202508827&amp;ictv_id=ICTV202008827","ICTV202008827")</f>
        <v>ICTV202008827</v>
      </c>
      <c r="R13746" t="s">
        <v>580</v>
      </c>
      <c r="S13746" t="s">
        <v>824</v>
      </c>
      <c r="T13746">
        <v>37</v>
      </c>
      <c r="U13746" s="26" t="str">
        <f>HYPERLINK("https://ictv.global/ictv/proposals/2021.036M.R.Rhabdoviridae_sprename.zip","2021.036M.R.Rhabdoviridae_sprename.zip")</f>
        <v>2021.036M.R.Rhabdoviridae_sprename.zip</v>
      </c>
    </row>
    <row r="13747" spans="1:21">
      <c r="A13747">
        <v>13746</v>
      </c>
      <c r="B13747" s="27" t="s">
        <v>1124</v>
      </c>
      <c r="D13747" s="27" t="s">
        <v>1859</v>
      </c>
      <c r="F13747" s="27" t="s">
        <v>938</v>
      </c>
      <c r="G13747" s="27" t="s">
        <v>939</v>
      </c>
      <c r="H13747" s="27" t="s">
        <v>945</v>
      </c>
      <c r="J13747" s="27" t="s">
        <v>238</v>
      </c>
      <c r="L13747" s="27" t="s">
        <v>346</v>
      </c>
      <c r="M13747" s="27" t="s">
        <v>3572</v>
      </c>
      <c r="N13747" s="27" t="s">
        <v>470</v>
      </c>
      <c r="P13747" s="27" t="s">
        <v>9651</v>
      </c>
      <c r="Q13747" s="26" t="str">
        <f>HYPERLINK("https://ictv.global/taxonomy/taxondetails?taxnode_id=202501759&amp;ictv_id=ICTV20125879","ICTV20125879")</f>
        <v>ICTV20125879</v>
      </c>
      <c r="R13747" t="s">
        <v>580</v>
      </c>
      <c r="S13747" t="s">
        <v>824</v>
      </c>
      <c r="T13747">
        <v>37</v>
      </c>
      <c r="U13747" s="26" t="str">
        <f>HYPERLINK("https://ictv.global/ictv/proposals/2021.036M.R.Rhabdoviridae_sprename.zip","2021.036M.R.Rhabdoviridae_sprename.zip")</f>
        <v>2021.036M.R.Rhabdoviridae_sprename.zip</v>
      </c>
    </row>
    <row r="13748" spans="1:21">
      <c r="A13748">
        <v>13747</v>
      </c>
      <c r="B13748" s="27" t="s">
        <v>1124</v>
      </c>
      <c r="D13748" s="27" t="s">
        <v>1859</v>
      </c>
      <c r="F13748" s="27" t="s">
        <v>938</v>
      </c>
      <c r="G13748" s="27" t="s">
        <v>939</v>
      </c>
      <c r="H13748" s="27" t="s">
        <v>945</v>
      </c>
      <c r="J13748" s="27" t="s">
        <v>238</v>
      </c>
      <c r="L13748" s="27" t="s">
        <v>346</v>
      </c>
      <c r="M13748" s="27" t="s">
        <v>3572</v>
      </c>
      <c r="N13748" s="27" t="s">
        <v>470</v>
      </c>
      <c r="P13748" s="27" t="s">
        <v>16898</v>
      </c>
      <c r="Q13748" s="26" t="str">
        <f>HYPERLINK("https://ictv.global/taxonomy/taxondetails?taxnode_id=202517784&amp;ictv_id=ICTV202317784","ICTV202317784")</f>
        <v>ICTV202317784</v>
      </c>
      <c r="R13748" t="s">
        <v>580</v>
      </c>
      <c r="S13748" t="s">
        <v>823</v>
      </c>
      <c r="T13748">
        <v>39</v>
      </c>
      <c r="U13748" s="26" t="str">
        <f>HYPERLINK("https://ictv.global/ictv/proposals/2023.003M.Alpharhabdovirinae_8nsp.zip","2023.003M.Alpharhabdovirinae_8nsp.zip")</f>
        <v>2023.003M.Alpharhabdovirinae_8nsp.zip</v>
      </c>
    </row>
    <row r="13749" spans="1:21">
      <c r="A13749">
        <v>13748</v>
      </c>
      <c r="B13749" s="27" t="s">
        <v>1124</v>
      </c>
      <c r="D13749" s="27" t="s">
        <v>1859</v>
      </c>
      <c r="F13749" s="27" t="s">
        <v>938</v>
      </c>
      <c r="G13749" s="27" t="s">
        <v>939</v>
      </c>
      <c r="H13749" s="27" t="s">
        <v>945</v>
      </c>
      <c r="J13749" s="27" t="s">
        <v>238</v>
      </c>
      <c r="L13749" s="27" t="s">
        <v>346</v>
      </c>
      <c r="M13749" s="27" t="s">
        <v>3572</v>
      </c>
      <c r="N13749" s="27" t="s">
        <v>470</v>
      </c>
      <c r="P13749" s="27" t="s">
        <v>9652</v>
      </c>
      <c r="Q13749" s="26" t="str">
        <f>HYPERLINK("https://ictv.global/taxonomy/taxondetails?taxnode_id=202508825&amp;ictv_id=ICTV202008825","ICTV202008825")</f>
        <v>ICTV202008825</v>
      </c>
      <c r="R13749" t="s">
        <v>580</v>
      </c>
      <c r="S13749" t="s">
        <v>824</v>
      </c>
      <c r="T13749">
        <v>37</v>
      </c>
      <c r="U13749" s="26" t="str">
        <f t="shared" ref="U13749:U13754" si="510">HYPERLINK("https://ictv.global/ictv/proposals/2021.036M.R.Rhabdoviridae_sprename.zip","2021.036M.R.Rhabdoviridae_sprename.zip")</f>
        <v>2021.036M.R.Rhabdoviridae_sprename.zip</v>
      </c>
    </row>
    <row r="13750" spans="1:21">
      <c r="A13750">
        <v>13749</v>
      </c>
      <c r="B13750" s="27" t="s">
        <v>1124</v>
      </c>
      <c r="D13750" s="27" t="s">
        <v>1859</v>
      </c>
      <c r="F13750" s="27" t="s">
        <v>938</v>
      </c>
      <c r="G13750" s="27" t="s">
        <v>939</v>
      </c>
      <c r="H13750" s="27" t="s">
        <v>945</v>
      </c>
      <c r="J13750" s="27" t="s">
        <v>238</v>
      </c>
      <c r="L13750" s="27" t="s">
        <v>346</v>
      </c>
      <c r="M13750" s="27" t="s">
        <v>3572</v>
      </c>
      <c r="N13750" s="27" t="s">
        <v>470</v>
      </c>
      <c r="P13750" s="27" t="s">
        <v>9653</v>
      </c>
      <c r="Q13750" s="26" t="str">
        <f>HYPERLINK("https://ictv.global/taxonomy/taxondetails?taxnode_id=202501760&amp;ictv_id=ICTV20125875","ICTV20125875")</f>
        <v>ICTV20125875</v>
      </c>
      <c r="R13750" t="s">
        <v>580</v>
      </c>
      <c r="S13750" t="s">
        <v>824</v>
      </c>
      <c r="T13750">
        <v>37</v>
      </c>
      <c r="U13750" s="26" t="str">
        <f t="shared" si="510"/>
        <v>2021.036M.R.Rhabdoviridae_sprename.zip</v>
      </c>
    </row>
    <row r="13751" spans="1:21">
      <c r="A13751">
        <v>13750</v>
      </c>
      <c r="B13751" s="27" t="s">
        <v>1124</v>
      </c>
      <c r="D13751" s="27" t="s">
        <v>1859</v>
      </c>
      <c r="F13751" s="27" t="s">
        <v>938</v>
      </c>
      <c r="G13751" s="27" t="s">
        <v>939</v>
      </c>
      <c r="H13751" s="27" t="s">
        <v>945</v>
      </c>
      <c r="J13751" s="27" t="s">
        <v>238</v>
      </c>
      <c r="L13751" s="27" t="s">
        <v>346</v>
      </c>
      <c r="M13751" s="27" t="s">
        <v>3572</v>
      </c>
      <c r="N13751" s="27" t="s">
        <v>470</v>
      </c>
      <c r="P13751" s="27" t="s">
        <v>9654</v>
      </c>
      <c r="Q13751" s="26" t="str">
        <f>HYPERLINK("https://ictv.global/taxonomy/taxondetails?taxnode_id=202501763&amp;ictv_id=ICTV20125881","ICTV20125881")</f>
        <v>ICTV20125881</v>
      </c>
      <c r="R13751" t="s">
        <v>580</v>
      </c>
      <c r="S13751" t="s">
        <v>824</v>
      </c>
      <c r="T13751">
        <v>37</v>
      </c>
      <c r="U13751" s="26" t="str">
        <f t="shared" si="510"/>
        <v>2021.036M.R.Rhabdoviridae_sprename.zip</v>
      </c>
    </row>
    <row r="13752" spans="1:21">
      <c r="A13752">
        <v>13751</v>
      </c>
      <c r="B13752" s="27" t="s">
        <v>1124</v>
      </c>
      <c r="D13752" s="27" t="s">
        <v>1859</v>
      </c>
      <c r="F13752" s="27" t="s">
        <v>938</v>
      </c>
      <c r="G13752" s="27" t="s">
        <v>939</v>
      </c>
      <c r="H13752" s="27" t="s">
        <v>945</v>
      </c>
      <c r="J13752" s="27" t="s">
        <v>238</v>
      </c>
      <c r="L13752" s="27" t="s">
        <v>346</v>
      </c>
      <c r="M13752" s="27" t="s">
        <v>3572</v>
      </c>
      <c r="N13752" s="27" t="s">
        <v>470</v>
      </c>
      <c r="P13752" s="27" t="s">
        <v>9655</v>
      </c>
      <c r="Q13752" s="26" t="str">
        <f>HYPERLINK("https://ictv.global/taxonomy/taxondetails?taxnode_id=202508828&amp;ictv_id=ICTV202008828","ICTV202008828")</f>
        <v>ICTV202008828</v>
      </c>
      <c r="R13752" t="s">
        <v>580</v>
      </c>
      <c r="S13752" t="s">
        <v>824</v>
      </c>
      <c r="T13752">
        <v>37</v>
      </c>
      <c r="U13752" s="26" t="str">
        <f t="shared" si="510"/>
        <v>2021.036M.R.Rhabdoviridae_sprename.zip</v>
      </c>
    </row>
    <row r="13753" spans="1:21">
      <c r="A13753">
        <v>13752</v>
      </c>
      <c r="B13753" s="27" t="s">
        <v>1124</v>
      </c>
      <c r="D13753" s="27" t="s">
        <v>1859</v>
      </c>
      <c r="F13753" s="27" t="s">
        <v>938</v>
      </c>
      <c r="G13753" s="27" t="s">
        <v>939</v>
      </c>
      <c r="H13753" s="27" t="s">
        <v>945</v>
      </c>
      <c r="J13753" s="27" t="s">
        <v>238</v>
      </c>
      <c r="L13753" s="27" t="s">
        <v>346</v>
      </c>
      <c r="M13753" s="27" t="s">
        <v>3572</v>
      </c>
      <c r="N13753" s="27" t="s">
        <v>470</v>
      </c>
      <c r="P13753" s="27" t="s">
        <v>9656</v>
      </c>
      <c r="Q13753" s="26" t="str">
        <f>HYPERLINK("https://ictv.global/taxonomy/taxondetails?taxnode_id=202501761&amp;ictv_id=ICTV20125876","ICTV20125876")</f>
        <v>ICTV20125876</v>
      </c>
      <c r="R13753" t="s">
        <v>580</v>
      </c>
      <c r="S13753" t="s">
        <v>824</v>
      </c>
      <c r="T13753">
        <v>37</v>
      </c>
      <c r="U13753" s="26" t="str">
        <f t="shared" si="510"/>
        <v>2021.036M.R.Rhabdoviridae_sprename.zip</v>
      </c>
    </row>
    <row r="13754" spans="1:21">
      <c r="A13754">
        <v>13753</v>
      </c>
      <c r="B13754" s="27" t="s">
        <v>1124</v>
      </c>
      <c r="D13754" s="27" t="s">
        <v>1859</v>
      </c>
      <c r="F13754" s="27" t="s">
        <v>938</v>
      </c>
      <c r="G13754" s="27" t="s">
        <v>939</v>
      </c>
      <c r="H13754" s="27" t="s">
        <v>945</v>
      </c>
      <c r="J13754" s="27" t="s">
        <v>238</v>
      </c>
      <c r="L13754" s="27" t="s">
        <v>346</v>
      </c>
      <c r="M13754" s="27" t="s">
        <v>3572</v>
      </c>
      <c r="N13754" s="27" t="s">
        <v>470</v>
      </c>
      <c r="P13754" s="27" t="s">
        <v>9657</v>
      </c>
      <c r="Q13754" s="26" t="str">
        <f>HYPERLINK("https://ictv.global/taxonomy/taxondetails?taxnode_id=202508831&amp;ictv_id=ICTV202008831","ICTV202008831")</f>
        <v>ICTV202008831</v>
      </c>
      <c r="R13754" t="s">
        <v>580</v>
      </c>
      <c r="S13754" t="s">
        <v>824</v>
      </c>
      <c r="T13754">
        <v>37</v>
      </c>
      <c r="U13754" s="26" t="str">
        <f t="shared" si="510"/>
        <v>2021.036M.R.Rhabdoviridae_sprename.zip</v>
      </c>
    </row>
    <row r="13755" spans="1:21">
      <c r="A13755">
        <v>13754</v>
      </c>
      <c r="B13755" s="27" t="s">
        <v>1124</v>
      </c>
      <c r="D13755" s="27" t="s">
        <v>1859</v>
      </c>
      <c r="F13755" s="27" t="s">
        <v>938</v>
      </c>
      <c r="G13755" s="27" t="s">
        <v>939</v>
      </c>
      <c r="H13755" s="27" t="s">
        <v>945</v>
      </c>
      <c r="J13755" s="27" t="s">
        <v>238</v>
      </c>
      <c r="L13755" s="27" t="s">
        <v>346</v>
      </c>
      <c r="M13755" s="27" t="s">
        <v>3572</v>
      </c>
      <c r="N13755" s="27" t="s">
        <v>470</v>
      </c>
      <c r="P13755" s="27" t="s">
        <v>9658</v>
      </c>
      <c r="Q13755" s="26" t="str">
        <f>HYPERLINK("https://ictv.global/taxonomy/taxondetails?taxnode_id=202514158&amp;ictv_id=ICTV202214158","ICTV202214158")</f>
        <v>ICTV202214158</v>
      </c>
      <c r="R13755" t="s">
        <v>580</v>
      </c>
      <c r="S13755" t="s">
        <v>823</v>
      </c>
      <c r="T13755">
        <v>38</v>
      </c>
      <c r="U13755" s="26" t="str">
        <f>HYPERLINK("https://ictv.global/ictv/proposals/2022.002M.Alpharhabdovirinae_1ngen14nsp.zip","2022.002M.Alpharhabdovirinae_1ngen14nsp.zip")</f>
        <v>2022.002M.Alpharhabdovirinae_1ngen14nsp.zip</v>
      </c>
    </row>
    <row r="13756" spans="1:21">
      <c r="A13756">
        <v>13755</v>
      </c>
      <c r="B13756" s="27" t="s">
        <v>1124</v>
      </c>
      <c r="D13756" s="27" t="s">
        <v>1859</v>
      </c>
      <c r="F13756" s="27" t="s">
        <v>938</v>
      </c>
      <c r="G13756" s="27" t="s">
        <v>939</v>
      </c>
      <c r="H13756" s="27" t="s">
        <v>945</v>
      </c>
      <c r="J13756" s="27" t="s">
        <v>238</v>
      </c>
      <c r="L13756" s="27" t="s">
        <v>346</v>
      </c>
      <c r="M13756" s="27" t="s">
        <v>3572</v>
      </c>
      <c r="N13756" s="27" t="s">
        <v>470</v>
      </c>
      <c r="P13756" s="27" t="s">
        <v>9659</v>
      </c>
      <c r="Q13756" s="26" t="str">
        <f>HYPERLINK("https://ictv.global/taxonomy/taxondetails?taxnode_id=202508830&amp;ictv_id=ICTV202008830","ICTV202008830")</f>
        <v>ICTV202008830</v>
      </c>
      <c r="R13756" t="s">
        <v>580</v>
      </c>
      <c r="S13756" t="s">
        <v>824</v>
      </c>
      <c r="T13756">
        <v>37</v>
      </c>
      <c r="U13756" s="26" t="str">
        <f>HYPERLINK("https://ictv.global/ictv/proposals/2021.036M.R.Rhabdoviridae_sprename.zip","2021.036M.R.Rhabdoviridae_sprename.zip")</f>
        <v>2021.036M.R.Rhabdoviridae_sprename.zip</v>
      </c>
    </row>
    <row r="13757" spans="1:21">
      <c r="A13757">
        <v>13756</v>
      </c>
      <c r="B13757" s="27" t="s">
        <v>1124</v>
      </c>
      <c r="D13757" s="27" t="s">
        <v>1859</v>
      </c>
      <c r="F13757" s="27" t="s">
        <v>938</v>
      </c>
      <c r="G13757" s="27" t="s">
        <v>939</v>
      </c>
      <c r="H13757" s="27" t="s">
        <v>945</v>
      </c>
      <c r="J13757" s="27" t="s">
        <v>238</v>
      </c>
      <c r="L13757" s="27" t="s">
        <v>346</v>
      </c>
      <c r="M13757" s="27" t="s">
        <v>3572</v>
      </c>
      <c r="N13757" s="27" t="s">
        <v>470</v>
      </c>
      <c r="P13757" s="27" t="s">
        <v>9660</v>
      </c>
      <c r="Q13757" s="26" t="str">
        <f>HYPERLINK("https://ictv.global/taxonomy/taxondetails?taxnode_id=202501762&amp;ictv_id=ICTV20125878","ICTV20125878")</f>
        <v>ICTV20125878</v>
      </c>
      <c r="R13757" t="s">
        <v>580</v>
      </c>
      <c r="S13757" t="s">
        <v>824</v>
      </c>
      <c r="T13757">
        <v>37</v>
      </c>
      <c r="U13757" s="26" t="str">
        <f>HYPERLINK("https://ictv.global/ictv/proposals/2021.036M.R.Rhabdoviridae_sprename.zip","2021.036M.R.Rhabdoviridae_sprename.zip")</f>
        <v>2021.036M.R.Rhabdoviridae_sprename.zip</v>
      </c>
    </row>
    <row r="13758" spans="1:21">
      <c r="A13758">
        <v>13757</v>
      </c>
      <c r="B13758" s="27" t="s">
        <v>1124</v>
      </c>
      <c r="D13758" s="27" t="s">
        <v>1859</v>
      </c>
      <c r="F13758" s="27" t="s">
        <v>938</v>
      </c>
      <c r="G13758" s="27" t="s">
        <v>939</v>
      </c>
      <c r="H13758" s="27" t="s">
        <v>945</v>
      </c>
      <c r="J13758" s="27" t="s">
        <v>238</v>
      </c>
      <c r="L13758" s="27" t="s">
        <v>346</v>
      </c>
      <c r="M13758" s="27" t="s">
        <v>3572</v>
      </c>
      <c r="N13758" s="27" t="s">
        <v>470</v>
      </c>
      <c r="P13758" s="27" t="s">
        <v>16899</v>
      </c>
      <c r="Q13758" s="26" t="str">
        <f>HYPERLINK("https://ictv.global/taxonomy/taxondetails?taxnode_id=202517785&amp;ictv_id=ICTV202317785","ICTV202317785")</f>
        <v>ICTV202317785</v>
      </c>
      <c r="R13758" t="s">
        <v>580</v>
      </c>
      <c r="S13758" t="s">
        <v>823</v>
      </c>
      <c r="T13758">
        <v>39</v>
      </c>
      <c r="U13758" s="26" t="str">
        <f>HYPERLINK("https://ictv.global/ictv/proposals/2023.003M.Alpharhabdovirinae_8nsp.zip","2023.003M.Alpharhabdovirinae_8nsp.zip")</f>
        <v>2023.003M.Alpharhabdovirinae_8nsp.zip</v>
      </c>
    </row>
    <row r="13759" spans="1:21">
      <c r="A13759">
        <v>13758</v>
      </c>
      <c r="B13759" s="27" t="s">
        <v>1124</v>
      </c>
      <c r="D13759" s="27" t="s">
        <v>1859</v>
      </c>
      <c r="F13759" s="27" t="s">
        <v>938</v>
      </c>
      <c r="G13759" s="27" t="s">
        <v>939</v>
      </c>
      <c r="H13759" s="27" t="s">
        <v>945</v>
      </c>
      <c r="J13759" s="27" t="s">
        <v>238</v>
      </c>
      <c r="L13759" s="27" t="s">
        <v>346</v>
      </c>
      <c r="M13759" s="27" t="s">
        <v>3572</v>
      </c>
      <c r="N13759" s="27" t="s">
        <v>470</v>
      </c>
      <c r="P13759" s="27" t="s">
        <v>9661</v>
      </c>
      <c r="Q13759" s="26" t="str">
        <f>HYPERLINK("https://ictv.global/taxonomy/taxondetails?taxnode_id=202514159&amp;ictv_id=ICTV202214159","ICTV202214159")</f>
        <v>ICTV202214159</v>
      </c>
      <c r="R13759" t="s">
        <v>580</v>
      </c>
      <c r="S13759" t="s">
        <v>823</v>
      </c>
      <c r="T13759">
        <v>38</v>
      </c>
      <c r="U13759" s="26" t="str">
        <f>HYPERLINK("https://ictv.global/ictv/proposals/2022.002M.Alpharhabdovirinae_1ngen14nsp.zip","2022.002M.Alpharhabdovirinae_1ngen14nsp.zip")</f>
        <v>2022.002M.Alpharhabdovirinae_1ngen14nsp.zip</v>
      </c>
    </row>
    <row r="13760" spans="1:21">
      <c r="A13760">
        <v>13759</v>
      </c>
      <c r="B13760" s="27" t="s">
        <v>1124</v>
      </c>
      <c r="D13760" s="27" t="s">
        <v>1859</v>
      </c>
      <c r="F13760" s="27" t="s">
        <v>938</v>
      </c>
      <c r="G13760" s="27" t="s">
        <v>939</v>
      </c>
      <c r="H13760" s="27" t="s">
        <v>945</v>
      </c>
      <c r="J13760" s="27" t="s">
        <v>238</v>
      </c>
      <c r="L13760" s="27" t="s">
        <v>346</v>
      </c>
      <c r="M13760" s="27" t="s">
        <v>3572</v>
      </c>
      <c r="N13760" s="27" t="s">
        <v>470</v>
      </c>
      <c r="P13760" s="27" t="s">
        <v>9662</v>
      </c>
      <c r="Q13760" s="26" t="str">
        <f>HYPERLINK("https://ictv.global/taxonomy/taxondetails?taxnode_id=202508832&amp;ictv_id=ICTV202008832","ICTV202008832")</f>
        <v>ICTV202008832</v>
      </c>
      <c r="R13760" t="s">
        <v>580</v>
      </c>
      <c r="S13760" t="s">
        <v>824</v>
      </c>
      <c r="T13760">
        <v>37</v>
      </c>
      <c r="U13760" s="26" t="str">
        <f>HYPERLINK("https://ictv.global/ictv/proposals/2021.036M.R.Rhabdoviridae_sprename.zip","2021.036M.R.Rhabdoviridae_sprename.zip")</f>
        <v>2021.036M.R.Rhabdoviridae_sprename.zip</v>
      </c>
    </row>
    <row r="13761" spans="1:21">
      <c r="A13761">
        <v>13760</v>
      </c>
      <c r="B13761" s="27" t="s">
        <v>1124</v>
      </c>
      <c r="D13761" s="27" t="s">
        <v>1859</v>
      </c>
      <c r="F13761" s="27" t="s">
        <v>938</v>
      </c>
      <c r="G13761" s="27" t="s">
        <v>939</v>
      </c>
      <c r="H13761" s="27" t="s">
        <v>945</v>
      </c>
      <c r="J13761" s="27" t="s">
        <v>238</v>
      </c>
      <c r="L13761" s="27" t="s">
        <v>346</v>
      </c>
      <c r="M13761" s="27" t="s">
        <v>3572</v>
      </c>
      <c r="N13761" s="27" t="s">
        <v>470</v>
      </c>
      <c r="P13761" s="27" t="s">
        <v>9663</v>
      </c>
      <c r="Q13761" s="26" t="str">
        <f>HYPERLINK("https://ictv.global/taxonomy/taxondetails?taxnode_id=202508826&amp;ictv_id=ICTV202008826","ICTV202008826")</f>
        <v>ICTV202008826</v>
      </c>
      <c r="R13761" t="s">
        <v>580</v>
      </c>
      <c r="S13761" t="s">
        <v>824</v>
      </c>
      <c r="T13761">
        <v>37</v>
      </c>
      <c r="U13761" s="26" t="str">
        <f>HYPERLINK("https://ictv.global/ictv/proposals/2021.036M.R.Rhabdoviridae_sprename.zip","2021.036M.R.Rhabdoviridae_sprename.zip")</f>
        <v>2021.036M.R.Rhabdoviridae_sprename.zip</v>
      </c>
    </row>
    <row r="13762" spans="1:21">
      <c r="A13762">
        <v>13761</v>
      </c>
      <c r="B13762" s="27" t="s">
        <v>1124</v>
      </c>
      <c r="D13762" s="27" t="s">
        <v>1859</v>
      </c>
      <c r="F13762" s="27" t="s">
        <v>938</v>
      </c>
      <c r="G13762" s="27" t="s">
        <v>939</v>
      </c>
      <c r="H13762" s="27" t="s">
        <v>945</v>
      </c>
      <c r="J13762" s="27" t="s">
        <v>238</v>
      </c>
      <c r="L13762" s="27" t="s">
        <v>346</v>
      </c>
      <c r="M13762" s="27" t="s">
        <v>3572</v>
      </c>
      <c r="N13762" s="27" t="s">
        <v>470</v>
      </c>
      <c r="P13762" s="27" t="s">
        <v>9664</v>
      </c>
      <c r="Q13762" s="26" t="str">
        <f>HYPERLINK("https://ictv.global/taxonomy/taxondetails?taxnode_id=202514157&amp;ictv_id=ICTV202214157","ICTV202214157")</f>
        <v>ICTV202214157</v>
      </c>
      <c r="R13762" t="s">
        <v>580</v>
      </c>
      <c r="S13762" t="s">
        <v>823</v>
      </c>
      <c r="T13762">
        <v>38</v>
      </c>
      <c r="U13762" s="26" t="str">
        <f>HYPERLINK("https://ictv.global/ictv/proposals/2022.002M.Alpharhabdovirinae_1ngen14nsp.zip","2022.002M.Alpharhabdovirinae_1ngen14nsp.zip")</f>
        <v>2022.002M.Alpharhabdovirinae_1ngen14nsp.zip</v>
      </c>
    </row>
    <row r="13763" spans="1:21">
      <c r="A13763">
        <v>13762</v>
      </c>
      <c r="B13763" s="27" t="s">
        <v>1124</v>
      </c>
      <c r="D13763" s="27" t="s">
        <v>1859</v>
      </c>
      <c r="F13763" s="27" t="s">
        <v>938</v>
      </c>
      <c r="G13763" s="27" t="s">
        <v>939</v>
      </c>
      <c r="H13763" s="27" t="s">
        <v>945</v>
      </c>
      <c r="J13763" s="27" t="s">
        <v>238</v>
      </c>
      <c r="L13763" s="27" t="s">
        <v>346</v>
      </c>
      <c r="M13763" s="27" t="s">
        <v>3572</v>
      </c>
      <c r="N13763" s="27" t="s">
        <v>9665</v>
      </c>
      <c r="P13763" s="27" t="s">
        <v>9666</v>
      </c>
      <c r="Q13763" s="26" t="str">
        <f>HYPERLINK("https://ictv.global/taxonomy/taxondetails?taxnode_id=202513319&amp;ictv_id=ICTV202113319","ICTV202113319")</f>
        <v>ICTV202113319</v>
      </c>
      <c r="R13763" t="s">
        <v>580</v>
      </c>
      <c r="S13763" t="s">
        <v>823</v>
      </c>
      <c r="T13763">
        <v>37</v>
      </c>
      <c r="U13763" s="26" t="str">
        <f>HYPERLINK("https://ictv.global/ictv/proposals/2021.003M.R.Alpharhabdovirinae_3ngen_7nsp.zip","2021.003M.R.Alpharhabdovirinae_3ngen_7nsp.zip")</f>
        <v>2021.003M.R.Alpharhabdovirinae_3ngen_7nsp.zip</v>
      </c>
    </row>
    <row r="13764" spans="1:21">
      <c r="A13764">
        <v>13763</v>
      </c>
      <c r="B13764" s="27" t="s">
        <v>1124</v>
      </c>
      <c r="D13764" s="27" t="s">
        <v>1859</v>
      </c>
      <c r="F13764" s="27" t="s">
        <v>938</v>
      </c>
      <c r="G13764" s="27" t="s">
        <v>939</v>
      </c>
      <c r="H13764" s="27" t="s">
        <v>945</v>
      </c>
      <c r="J13764" s="27" t="s">
        <v>238</v>
      </c>
      <c r="L13764" s="27" t="s">
        <v>346</v>
      </c>
      <c r="M13764" s="27" t="s">
        <v>3572</v>
      </c>
      <c r="N13764" s="27" t="s">
        <v>9665</v>
      </c>
      <c r="P13764" s="27" t="s">
        <v>9667</v>
      </c>
      <c r="Q13764" s="26" t="str">
        <f>HYPERLINK("https://ictv.global/taxonomy/taxondetails?taxnode_id=202513318&amp;ictv_id=ICTV202113318","ICTV202113318")</f>
        <v>ICTV202113318</v>
      </c>
      <c r="R13764" t="s">
        <v>580</v>
      </c>
      <c r="S13764" t="s">
        <v>823</v>
      </c>
      <c r="T13764">
        <v>37</v>
      </c>
      <c r="U13764" s="26" t="str">
        <f>HYPERLINK("https://ictv.global/ictv/proposals/2021.003M.R.Alpharhabdovirinae_3ngen_7nsp.zip","2021.003M.R.Alpharhabdovirinae_3ngen_7nsp.zip")</f>
        <v>2021.003M.R.Alpharhabdovirinae_3ngen_7nsp.zip</v>
      </c>
    </row>
    <row r="13765" spans="1:21">
      <c r="A13765">
        <v>13764</v>
      </c>
      <c r="B13765" s="27" t="s">
        <v>1124</v>
      </c>
      <c r="D13765" s="27" t="s">
        <v>1859</v>
      </c>
      <c r="F13765" s="27" t="s">
        <v>938</v>
      </c>
      <c r="G13765" s="27" t="s">
        <v>939</v>
      </c>
      <c r="H13765" s="27" t="s">
        <v>945</v>
      </c>
      <c r="J13765" s="27" t="s">
        <v>238</v>
      </c>
      <c r="L13765" s="27" t="s">
        <v>346</v>
      </c>
      <c r="M13765" s="27" t="s">
        <v>3572</v>
      </c>
      <c r="N13765" s="27" t="s">
        <v>497</v>
      </c>
      <c r="P13765" s="27" t="s">
        <v>9668</v>
      </c>
      <c r="Q13765" s="26" t="str">
        <f>HYPERLINK("https://ictv.global/taxonomy/taxondetails?taxnode_id=202501765&amp;ictv_id=ICTV20094958","ICTV20094958")</f>
        <v>ICTV20094958</v>
      </c>
      <c r="R13765" t="s">
        <v>580</v>
      </c>
      <c r="S13765" t="s">
        <v>824</v>
      </c>
      <c r="T13765">
        <v>37</v>
      </c>
      <c r="U13765" s="26" t="str">
        <f>HYPERLINK("https://ictv.global/ictv/proposals/2021.042M.R.Corrections_Riboviria_Duplodnaviria.zip","2021.042M.R.Corrections_Riboviria_Duplodnaviria.zip")</f>
        <v>2021.042M.R.Corrections_Riboviria_Duplodnaviria.zip</v>
      </c>
    </row>
    <row r="13766" spans="1:21">
      <c r="A13766">
        <v>13765</v>
      </c>
      <c r="B13766" s="27" t="s">
        <v>1124</v>
      </c>
      <c r="D13766" s="27" t="s">
        <v>1859</v>
      </c>
      <c r="F13766" s="27" t="s">
        <v>938</v>
      </c>
      <c r="G13766" s="27" t="s">
        <v>939</v>
      </c>
      <c r="H13766" s="27" t="s">
        <v>945</v>
      </c>
      <c r="J13766" s="27" t="s">
        <v>238</v>
      </c>
      <c r="L13766" s="27" t="s">
        <v>346</v>
      </c>
      <c r="M13766" s="27" t="s">
        <v>3572</v>
      </c>
      <c r="N13766" s="27" t="s">
        <v>497</v>
      </c>
      <c r="P13766" s="27" t="s">
        <v>9669</v>
      </c>
      <c r="Q13766" s="26" t="str">
        <f>HYPERLINK("https://ictv.global/taxonomy/taxondetails?taxnode_id=202501766&amp;ictv_id=ICTV20130524","ICTV20130524")</f>
        <v>ICTV20130524</v>
      </c>
      <c r="R13766" t="s">
        <v>580</v>
      </c>
      <c r="S13766" t="s">
        <v>824</v>
      </c>
      <c r="T13766">
        <v>37</v>
      </c>
      <c r="U13766" s="26" t="str">
        <f>HYPERLINK("https://ictv.global/ictv/proposals/2021.042M.R.Corrections_Riboviria_Duplodnaviria.zip","2021.042M.R.Corrections_Riboviria_Duplodnaviria.zip")</f>
        <v>2021.042M.R.Corrections_Riboviria_Duplodnaviria.zip</v>
      </c>
    </row>
    <row r="13767" spans="1:21">
      <c r="A13767">
        <v>13766</v>
      </c>
      <c r="B13767" s="27" t="s">
        <v>1124</v>
      </c>
      <c r="D13767" s="27" t="s">
        <v>1859</v>
      </c>
      <c r="F13767" s="27" t="s">
        <v>938</v>
      </c>
      <c r="G13767" s="27" t="s">
        <v>939</v>
      </c>
      <c r="H13767" s="27" t="s">
        <v>945</v>
      </c>
      <c r="J13767" s="27" t="s">
        <v>238</v>
      </c>
      <c r="L13767" s="27" t="s">
        <v>346</v>
      </c>
      <c r="M13767" s="27" t="s">
        <v>3572</v>
      </c>
      <c r="N13767" s="27" t="s">
        <v>798</v>
      </c>
      <c r="P13767" s="27" t="s">
        <v>9670</v>
      </c>
      <c r="Q13767" s="26" t="str">
        <f>HYPERLINK("https://ictv.global/taxonomy/taxondetails?taxnode_id=202501768&amp;ictv_id=ICTV20165164","ICTV20165164")</f>
        <v>ICTV20165164</v>
      </c>
      <c r="R13767" t="s">
        <v>580</v>
      </c>
      <c r="S13767" t="s">
        <v>824</v>
      </c>
      <c r="T13767">
        <v>37</v>
      </c>
      <c r="U13767" s="26" t="str">
        <f t="shared" ref="U13767:U13774" si="511">HYPERLINK("https://ictv.global/ictv/proposals/2021.036M.R.Rhabdoviridae_sprename.zip","2021.036M.R.Rhabdoviridae_sprename.zip")</f>
        <v>2021.036M.R.Rhabdoviridae_sprename.zip</v>
      </c>
    </row>
    <row r="13768" spans="1:21">
      <c r="A13768">
        <v>13767</v>
      </c>
      <c r="B13768" s="27" t="s">
        <v>1124</v>
      </c>
      <c r="D13768" s="27" t="s">
        <v>1859</v>
      </c>
      <c r="F13768" s="27" t="s">
        <v>938</v>
      </c>
      <c r="G13768" s="27" t="s">
        <v>939</v>
      </c>
      <c r="H13768" s="27" t="s">
        <v>945</v>
      </c>
      <c r="J13768" s="27" t="s">
        <v>238</v>
      </c>
      <c r="L13768" s="27" t="s">
        <v>346</v>
      </c>
      <c r="M13768" s="27" t="s">
        <v>3572</v>
      </c>
      <c r="N13768" s="27" t="s">
        <v>798</v>
      </c>
      <c r="P13768" s="27" t="s">
        <v>9671</v>
      </c>
      <c r="Q13768" s="26" t="str">
        <f>HYPERLINK("https://ictv.global/taxonomy/taxondetails?taxnode_id=202501769&amp;ictv_id=ICTV20165165","ICTV20165165")</f>
        <v>ICTV20165165</v>
      </c>
      <c r="R13768" t="s">
        <v>580</v>
      </c>
      <c r="S13768" t="s">
        <v>824</v>
      </c>
      <c r="T13768">
        <v>37</v>
      </c>
      <c r="U13768" s="26" t="str">
        <f t="shared" si="511"/>
        <v>2021.036M.R.Rhabdoviridae_sprename.zip</v>
      </c>
    </row>
    <row r="13769" spans="1:21">
      <c r="A13769">
        <v>13768</v>
      </c>
      <c r="B13769" s="27" t="s">
        <v>1124</v>
      </c>
      <c r="D13769" s="27" t="s">
        <v>1859</v>
      </c>
      <c r="F13769" s="27" t="s">
        <v>938</v>
      </c>
      <c r="G13769" s="27" t="s">
        <v>939</v>
      </c>
      <c r="H13769" s="27" t="s">
        <v>945</v>
      </c>
      <c r="J13769" s="27" t="s">
        <v>238</v>
      </c>
      <c r="L13769" s="27" t="s">
        <v>346</v>
      </c>
      <c r="M13769" s="27" t="s">
        <v>3572</v>
      </c>
      <c r="N13769" s="27" t="s">
        <v>798</v>
      </c>
      <c r="P13769" s="27" t="s">
        <v>9672</v>
      </c>
      <c r="Q13769" s="26" t="str">
        <f>HYPERLINK("https://ictv.global/taxonomy/taxondetails?taxnode_id=202507405&amp;ictv_id=ICTV201907405","ICTV201907405")</f>
        <v>ICTV201907405</v>
      </c>
      <c r="R13769" t="s">
        <v>580</v>
      </c>
      <c r="S13769" t="s">
        <v>824</v>
      </c>
      <c r="T13769">
        <v>37</v>
      </c>
      <c r="U13769" s="26" t="str">
        <f t="shared" si="511"/>
        <v>2021.036M.R.Rhabdoviridae_sprename.zip</v>
      </c>
    </row>
    <row r="13770" spans="1:21">
      <c r="A13770">
        <v>13769</v>
      </c>
      <c r="B13770" s="27" t="s">
        <v>1124</v>
      </c>
      <c r="D13770" s="27" t="s">
        <v>1859</v>
      </c>
      <c r="F13770" s="27" t="s">
        <v>938</v>
      </c>
      <c r="G13770" s="27" t="s">
        <v>939</v>
      </c>
      <c r="H13770" s="27" t="s">
        <v>945</v>
      </c>
      <c r="J13770" s="27" t="s">
        <v>238</v>
      </c>
      <c r="L13770" s="27" t="s">
        <v>346</v>
      </c>
      <c r="M13770" s="27" t="s">
        <v>3572</v>
      </c>
      <c r="N13770" s="27" t="s">
        <v>798</v>
      </c>
      <c r="P13770" s="27" t="s">
        <v>9673</v>
      </c>
      <c r="Q13770" s="26" t="str">
        <f>HYPERLINK("https://ictv.global/taxonomy/taxondetails?taxnode_id=202507406&amp;ictv_id=ICTV201907406","ICTV201907406")</f>
        <v>ICTV201907406</v>
      </c>
      <c r="R13770" t="s">
        <v>580</v>
      </c>
      <c r="S13770" t="s">
        <v>824</v>
      </c>
      <c r="T13770">
        <v>37</v>
      </c>
      <c r="U13770" s="26" t="str">
        <f t="shared" si="511"/>
        <v>2021.036M.R.Rhabdoviridae_sprename.zip</v>
      </c>
    </row>
    <row r="13771" spans="1:21">
      <c r="A13771">
        <v>13770</v>
      </c>
      <c r="B13771" s="27" t="s">
        <v>1124</v>
      </c>
      <c r="D13771" s="27" t="s">
        <v>1859</v>
      </c>
      <c r="F13771" s="27" t="s">
        <v>938</v>
      </c>
      <c r="G13771" s="27" t="s">
        <v>939</v>
      </c>
      <c r="H13771" s="27" t="s">
        <v>945</v>
      </c>
      <c r="J13771" s="27" t="s">
        <v>238</v>
      </c>
      <c r="L13771" s="27" t="s">
        <v>346</v>
      </c>
      <c r="M13771" s="27" t="s">
        <v>3572</v>
      </c>
      <c r="N13771" s="27" t="s">
        <v>798</v>
      </c>
      <c r="P13771" s="27" t="s">
        <v>9674</v>
      </c>
      <c r="Q13771" s="26" t="str">
        <f>HYPERLINK("https://ictv.global/taxonomy/taxondetails?taxnode_id=202507407&amp;ictv_id=ICTV201907407","ICTV201907407")</f>
        <v>ICTV201907407</v>
      </c>
      <c r="R13771" t="s">
        <v>580</v>
      </c>
      <c r="S13771" t="s">
        <v>824</v>
      </c>
      <c r="T13771">
        <v>37</v>
      </c>
      <c r="U13771" s="26" t="str">
        <f t="shared" si="511"/>
        <v>2021.036M.R.Rhabdoviridae_sprename.zip</v>
      </c>
    </row>
    <row r="13772" spans="1:21">
      <c r="A13772">
        <v>13771</v>
      </c>
      <c r="B13772" s="27" t="s">
        <v>1124</v>
      </c>
      <c r="D13772" s="27" t="s">
        <v>1859</v>
      </c>
      <c r="F13772" s="27" t="s">
        <v>938</v>
      </c>
      <c r="G13772" s="27" t="s">
        <v>939</v>
      </c>
      <c r="H13772" s="27" t="s">
        <v>945</v>
      </c>
      <c r="J13772" s="27" t="s">
        <v>238</v>
      </c>
      <c r="L13772" s="27" t="s">
        <v>346</v>
      </c>
      <c r="M13772" s="27" t="s">
        <v>3572</v>
      </c>
      <c r="N13772" s="27" t="s">
        <v>798</v>
      </c>
      <c r="P13772" s="27" t="s">
        <v>9675</v>
      </c>
      <c r="Q13772" s="26" t="str">
        <f>HYPERLINK("https://ictv.global/taxonomy/taxondetails?taxnode_id=202501771&amp;ictv_id=ICTV20165167","ICTV20165167")</f>
        <v>ICTV20165167</v>
      </c>
      <c r="R13772" t="s">
        <v>580</v>
      </c>
      <c r="S13772" t="s">
        <v>824</v>
      </c>
      <c r="T13772">
        <v>37</v>
      </c>
      <c r="U13772" s="26" t="str">
        <f t="shared" si="511"/>
        <v>2021.036M.R.Rhabdoviridae_sprename.zip</v>
      </c>
    </row>
    <row r="13773" spans="1:21">
      <c r="A13773">
        <v>13772</v>
      </c>
      <c r="B13773" s="27" t="s">
        <v>1124</v>
      </c>
      <c r="D13773" s="27" t="s">
        <v>1859</v>
      </c>
      <c r="F13773" s="27" t="s">
        <v>938</v>
      </c>
      <c r="G13773" s="27" t="s">
        <v>939</v>
      </c>
      <c r="H13773" s="27" t="s">
        <v>945</v>
      </c>
      <c r="J13773" s="27" t="s">
        <v>238</v>
      </c>
      <c r="L13773" s="27" t="s">
        <v>346</v>
      </c>
      <c r="M13773" s="27" t="s">
        <v>3572</v>
      </c>
      <c r="N13773" s="27" t="s">
        <v>798</v>
      </c>
      <c r="P13773" s="27" t="s">
        <v>9676</v>
      </c>
      <c r="Q13773" s="26" t="str">
        <f>HYPERLINK("https://ictv.global/taxonomy/taxondetails?taxnode_id=202501770&amp;ictv_id=ICTV20165166","ICTV20165166")</f>
        <v>ICTV20165166</v>
      </c>
      <c r="R13773" t="s">
        <v>580</v>
      </c>
      <c r="S13773" t="s">
        <v>824</v>
      </c>
      <c r="T13773">
        <v>37</v>
      </c>
      <c r="U13773" s="26" t="str">
        <f t="shared" si="511"/>
        <v>2021.036M.R.Rhabdoviridae_sprename.zip</v>
      </c>
    </row>
    <row r="13774" spans="1:21">
      <c r="A13774">
        <v>13773</v>
      </c>
      <c r="B13774" s="27" t="s">
        <v>1124</v>
      </c>
      <c r="D13774" s="27" t="s">
        <v>1859</v>
      </c>
      <c r="F13774" s="27" t="s">
        <v>938</v>
      </c>
      <c r="G13774" s="27" t="s">
        <v>939</v>
      </c>
      <c r="H13774" s="27" t="s">
        <v>945</v>
      </c>
      <c r="J13774" s="27" t="s">
        <v>238</v>
      </c>
      <c r="L13774" s="27" t="s">
        <v>346</v>
      </c>
      <c r="M13774" s="27" t="s">
        <v>3572</v>
      </c>
      <c r="N13774" s="27" t="s">
        <v>798</v>
      </c>
      <c r="P13774" s="27" t="s">
        <v>9677</v>
      </c>
      <c r="Q13774" s="26" t="str">
        <f>HYPERLINK("https://ictv.global/taxonomy/taxondetails?taxnode_id=202501772&amp;ictv_id=ICTV20165168","ICTV20165168")</f>
        <v>ICTV20165168</v>
      </c>
      <c r="R13774" t="s">
        <v>580</v>
      </c>
      <c r="S13774" t="s">
        <v>824</v>
      </c>
      <c r="T13774">
        <v>37</v>
      </c>
      <c r="U13774" s="26" t="str">
        <f t="shared" si="511"/>
        <v>2021.036M.R.Rhabdoviridae_sprename.zip</v>
      </c>
    </row>
    <row r="13775" spans="1:21">
      <c r="A13775">
        <v>13774</v>
      </c>
      <c r="B13775" s="27" t="s">
        <v>1124</v>
      </c>
      <c r="D13775" s="27" t="s">
        <v>1859</v>
      </c>
      <c r="F13775" s="27" t="s">
        <v>938</v>
      </c>
      <c r="G13775" s="27" t="s">
        <v>939</v>
      </c>
      <c r="H13775" s="27" t="s">
        <v>945</v>
      </c>
      <c r="J13775" s="27" t="s">
        <v>238</v>
      </c>
      <c r="L13775" s="27" t="s">
        <v>346</v>
      </c>
      <c r="M13775" s="27" t="s">
        <v>3572</v>
      </c>
      <c r="N13775" s="27" t="s">
        <v>1901</v>
      </c>
      <c r="P13775" s="27" t="s">
        <v>9678</v>
      </c>
      <c r="Q13775" s="26" t="str">
        <f>HYPERLINK("https://ictv.global/taxonomy/taxondetails?taxnode_id=202513332&amp;ictv_id=ICTV202113332","ICTV202113332")</f>
        <v>ICTV202113332</v>
      </c>
      <c r="R13775" t="s">
        <v>580</v>
      </c>
      <c r="S13775" t="s">
        <v>823</v>
      </c>
      <c r="T13775">
        <v>37</v>
      </c>
      <c r="U13775" s="26" t="str">
        <f>HYPERLINK("https://ictv.global/ictv/proposals/2021.004M.R.Alpharhabdovirinae_13nsp.zip","2021.004M.R.Alpharhabdovirinae_13nsp.zip")</f>
        <v>2021.004M.R.Alpharhabdovirinae_13nsp.zip</v>
      </c>
    </row>
    <row r="13776" spans="1:21">
      <c r="A13776">
        <v>13775</v>
      </c>
      <c r="B13776" s="27" t="s">
        <v>1124</v>
      </c>
      <c r="D13776" s="27" t="s">
        <v>1859</v>
      </c>
      <c r="F13776" s="27" t="s">
        <v>938</v>
      </c>
      <c r="G13776" s="27" t="s">
        <v>939</v>
      </c>
      <c r="H13776" s="27" t="s">
        <v>945</v>
      </c>
      <c r="J13776" s="27" t="s">
        <v>238</v>
      </c>
      <c r="L13776" s="27" t="s">
        <v>346</v>
      </c>
      <c r="M13776" s="27" t="s">
        <v>3572</v>
      </c>
      <c r="N13776" s="27" t="s">
        <v>1901</v>
      </c>
      <c r="P13776" s="27" t="s">
        <v>9679</v>
      </c>
      <c r="Q13776" s="26" t="str">
        <f>HYPERLINK("https://ictv.global/taxonomy/taxondetails?taxnode_id=202513329&amp;ictv_id=ICTV202113329","ICTV202113329")</f>
        <v>ICTV202113329</v>
      </c>
      <c r="R13776" t="s">
        <v>580</v>
      </c>
      <c r="S13776" t="s">
        <v>823</v>
      </c>
      <c r="T13776">
        <v>37</v>
      </c>
      <c r="U13776" s="26" t="str">
        <f>HYPERLINK("https://ictv.global/ictv/proposals/2021.004M.R.Alpharhabdovirinae_13nsp.zip","2021.004M.R.Alpharhabdovirinae_13nsp.zip")</f>
        <v>2021.004M.R.Alpharhabdovirinae_13nsp.zip</v>
      </c>
    </row>
    <row r="13777" spans="1:21">
      <c r="A13777">
        <v>13776</v>
      </c>
      <c r="B13777" s="27" t="s">
        <v>1124</v>
      </c>
      <c r="D13777" s="27" t="s">
        <v>1859</v>
      </c>
      <c r="F13777" s="27" t="s">
        <v>938</v>
      </c>
      <c r="G13777" s="27" t="s">
        <v>939</v>
      </c>
      <c r="H13777" s="27" t="s">
        <v>945</v>
      </c>
      <c r="J13777" s="27" t="s">
        <v>238</v>
      </c>
      <c r="L13777" s="27" t="s">
        <v>346</v>
      </c>
      <c r="M13777" s="27" t="s">
        <v>3572</v>
      </c>
      <c r="N13777" s="27" t="s">
        <v>1901</v>
      </c>
      <c r="P13777" s="27" t="s">
        <v>9680</v>
      </c>
      <c r="Q13777" s="26" t="str">
        <f>HYPERLINK("https://ictv.global/taxonomy/taxondetails?taxnode_id=202513328&amp;ictv_id=ICTV202113328","ICTV202113328")</f>
        <v>ICTV202113328</v>
      </c>
      <c r="R13777" t="s">
        <v>580</v>
      </c>
      <c r="S13777" t="s">
        <v>823</v>
      </c>
      <c r="T13777">
        <v>37</v>
      </c>
      <c r="U13777" s="26" t="str">
        <f>HYPERLINK("https://ictv.global/ictv/proposals/2021.004M.R.Alpharhabdovirinae_13nsp.zip","2021.004M.R.Alpharhabdovirinae_13nsp.zip")</f>
        <v>2021.004M.R.Alpharhabdovirinae_13nsp.zip</v>
      </c>
    </row>
    <row r="13778" spans="1:21">
      <c r="A13778">
        <v>13777</v>
      </c>
      <c r="B13778" s="27" t="s">
        <v>1124</v>
      </c>
      <c r="D13778" s="27" t="s">
        <v>1859</v>
      </c>
      <c r="F13778" s="27" t="s">
        <v>938</v>
      </c>
      <c r="G13778" s="27" t="s">
        <v>939</v>
      </c>
      <c r="H13778" s="27" t="s">
        <v>945</v>
      </c>
      <c r="J13778" s="27" t="s">
        <v>238</v>
      </c>
      <c r="L13778" s="27" t="s">
        <v>346</v>
      </c>
      <c r="M13778" s="27" t="s">
        <v>3572</v>
      </c>
      <c r="N13778" s="27" t="s">
        <v>1901</v>
      </c>
      <c r="P13778" s="27" t="s">
        <v>9681</v>
      </c>
      <c r="Q13778" s="26" t="str">
        <f>HYPERLINK("https://ictv.global/taxonomy/taxondetails?taxnode_id=202509167&amp;ictv_id=ICTV202009167","ICTV202009167")</f>
        <v>ICTV202009167</v>
      </c>
      <c r="R13778" t="s">
        <v>580</v>
      </c>
      <c r="S13778" t="s">
        <v>824</v>
      </c>
      <c r="T13778">
        <v>37</v>
      </c>
      <c r="U13778" s="26" t="str">
        <f>HYPERLINK("https://ictv.global/ictv/proposals/2021.036M.R.Rhabdoviridae_sprename.zip","2021.036M.R.Rhabdoviridae_sprename.zip")</f>
        <v>2021.036M.R.Rhabdoviridae_sprename.zip</v>
      </c>
    </row>
    <row r="13779" spans="1:21">
      <c r="A13779">
        <v>13778</v>
      </c>
      <c r="B13779" s="27" t="s">
        <v>1124</v>
      </c>
      <c r="D13779" s="27" t="s">
        <v>1859</v>
      </c>
      <c r="F13779" s="27" t="s">
        <v>938</v>
      </c>
      <c r="G13779" s="27" t="s">
        <v>939</v>
      </c>
      <c r="H13779" s="27" t="s">
        <v>945</v>
      </c>
      <c r="J13779" s="27" t="s">
        <v>238</v>
      </c>
      <c r="L13779" s="27" t="s">
        <v>346</v>
      </c>
      <c r="M13779" s="27" t="s">
        <v>3572</v>
      </c>
      <c r="N13779" s="27" t="s">
        <v>1901</v>
      </c>
      <c r="P13779" s="27" t="s">
        <v>9682</v>
      </c>
      <c r="Q13779" s="26" t="str">
        <f>HYPERLINK("https://ictv.global/taxonomy/taxondetails?taxnode_id=202507125&amp;ictv_id=ICTV201907125","ICTV201907125")</f>
        <v>ICTV201907125</v>
      </c>
      <c r="R13779" t="s">
        <v>580</v>
      </c>
      <c r="S13779" t="s">
        <v>824</v>
      </c>
      <c r="T13779">
        <v>37</v>
      </c>
      <c r="U13779" s="26" t="str">
        <f>HYPERLINK("https://ictv.global/ictv/proposals/2021.036M.R.Rhabdoviridae_sprename.zip","2021.036M.R.Rhabdoviridae_sprename.zip")</f>
        <v>2021.036M.R.Rhabdoviridae_sprename.zip</v>
      </c>
    </row>
    <row r="13780" spans="1:21">
      <c r="A13780">
        <v>13779</v>
      </c>
      <c r="B13780" s="27" t="s">
        <v>1124</v>
      </c>
      <c r="D13780" s="27" t="s">
        <v>1859</v>
      </c>
      <c r="F13780" s="27" t="s">
        <v>938</v>
      </c>
      <c r="G13780" s="27" t="s">
        <v>939</v>
      </c>
      <c r="H13780" s="27" t="s">
        <v>945</v>
      </c>
      <c r="J13780" s="27" t="s">
        <v>238</v>
      </c>
      <c r="L13780" s="27" t="s">
        <v>346</v>
      </c>
      <c r="M13780" s="27" t="s">
        <v>3572</v>
      </c>
      <c r="N13780" s="27" t="s">
        <v>1901</v>
      </c>
      <c r="P13780" s="27" t="s">
        <v>9683</v>
      </c>
      <c r="Q13780" s="26" t="str">
        <f>HYPERLINK("https://ictv.global/taxonomy/taxondetails?taxnode_id=202507126&amp;ictv_id=ICTV201907126","ICTV201907126")</f>
        <v>ICTV201907126</v>
      </c>
      <c r="R13780" t="s">
        <v>580</v>
      </c>
      <c r="S13780" t="s">
        <v>824</v>
      </c>
      <c r="T13780">
        <v>37</v>
      </c>
      <c r="U13780" s="26" t="str">
        <f>HYPERLINK("https://ictv.global/ictv/proposals/2021.036M.R.Rhabdoviridae_sprename.zip","2021.036M.R.Rhabdoviridae_sprename.zip")</f>
        <v>2021.036M.R.Rhabdoviridae_sprename.zip</v>
      </c>
    </row>
    <row r="13781" spans="1:21">
      <c r="A13781">
        <v>13780</v>
      </c>
      <c r="B13781" s="27" t="s">
        <v>1124</v>
      </c>
      <c r="D13781" s="27" t="s">
        <v>1859</v>
      </c>
      <c r="F13781" s="27" t="s">
        <v>938</v>
      </c>
      <c r="G13781" s="27" t="s">
        <v>939</v>
      </c>
      <c r="H13781" s="27" t="s">
        <v>945</v>
      </c>
      <c r="J13781" s="27" t="s">
        <v>238</v>
      </c>
      <c r="L13781" s="27" t="s">
        <v>346</v>
      </c>
      <c r="M13781" s="27" t="s">
        <v>3572</v>
      </c>
      <c r="N13781" s="27" t="s">
        <v>1901</v>
      </c>
      <c r="P13781" s="27" t="s">
        <v>9684</v>
      </c>
      <c r="Q13781" s="26" t="str">
        <f>HYPERLINK("https://ictv.global/taxonomy/taxondetails?taxnode_id=202513330&amp;ictv_id=ICTV202113330","ICTV202113330")</f>
        <v>ICTV202113330</v>
      </c>
      <c r="R13781" t="s">
        <v>580</v>
      </c>
      <c r="S13781" t="s">
        <v>823</v>
      </c>
      <c r="T13781">
        <v>37</v>
      </c>
      <c r="U13781" s="26" t="str">
        <f>HYPERLINK("https://ictv.global/ictv/proposals/2021.004M.R.Alpharhabdovirinae_13nsp.zip","2021.004M.R.Alpharhabdovirinae_13nsp.zip")</f>
        <v>2021.004M.R.Alpharhabdovirinae_13nsp.zip</v>
      </c>
    </row>
    <row r="13782" spans="1:21">
      <c r="A13782">
        <v>13781</v>
      </c>
      <c r="B13782" s="27" t="s">
        <v>1124</v>
      </c>
      <c r="D13782" s="27" t="s">
        <v>1859</v>
      </c>
      <c r="F13782" s="27" t="s">
        <v>938</v>
      </c>
      <c r="G13782" s="27" t="s">
        <v>939</v>
      </c>
      <c r="H13782" s="27" t="s">
        <v>945</v>
      </c>
      <c r="J13782" s="27" t="s">
        <v>238</v>
      </c>
      <c r="L13782" s="27" t="s">
        <v>346</v>
      </c>
      <c r="M13782" s="27" t="s">
        <v>3572</v>
      </c>
      <c r="N13782" s="27" t="s">
        <v>1901</v>
      </c>
      <c r="P13782" s="27" t="s">
        <v>9685</v>
      </c>
      <c r="Q13782" s="26" t="str">
        <f>HYPERLINK("https://ictv.global/taxonomy/taxondetails?taxnode_id=202507128&amp;ictv_id=ICTV201907128","ICTV201907128")</f>
        <v>ICTV201907128</v>
      </c>
      <c r="R13782" t="s">
        <v>580</v>
      </c>
      <c r="S13782" t="s">
        <v>824</v>
      </c>
      <c r="T13782">
        <v>37</v>
      </c>
      <c r="U13782" s="26" t="str">
        <f>HYPERLINK("https://ictv.global/ictv/proposals/2021.036M.R.Rhabdoviridae_sprename.zip","2021.036M.R.Rhabdoviridae_sprename.zip")</f>
        <v>2021.036M.R.Rhabdoviridae_sprename.zip</v>
      </c>
    </row>
    <row r="13783" spans="1:21">
      <c r="A13783">
        <v>13782</v>
      </c>
      <c r="B13783" s="27" t="s">
        <v>1124</v>
      </c>
      <c r="D13783" s="27" t="s">
        <v>1859</v>
      </c>
      <c r="F13783" s="27" t="s">
        <v>938</v>
      </c>
      <c r="G13783" s="27" t="s">
        <v>939</v>
      </c>
      <c r="H13783" s="27" t="s">
        <v>945</v>
      </c>
      <c r="J13783" s="27" t="s">
        <v>238</v>
      </c>
      <c r="L13783" s="27" t="s">
        <v>346</v>
      </c>
      <c r="M13783" s="27" t="s">
        <v>3572</v>
      </c>
      <c r="N13783" s="27" t="s">
        <v>1901</v>
      </c>
      <c r="P13783" s="27" t="s">
        <v>9686</v>
      </c>
      <c r="Q13783" s="26" t="str">
        <f>HYPERLINK("https://ictv.global/taxonomy/taxondetails?taxnode_id=202513333&amp;ictv_id=ICTV202113333","ICTV202113333")</f>
        <v>ICTV202113333</v>
      </c>
      <c r="R13783" t="s">
        <v>580</v>
      </c>
      <c r="S13783" t="s">
        <v>823</v>
      </c>
      <c r="T13783">
        <v>37</v>
      </c>
      <c r="U13783" s="26" t="str">
        <f>HYPERLINK("https://ictv.global/ictv/proposals/2021.004M.R.Alpharhabdovirinae_13nsp.zip","2021.004M.R.Alpharhabdovirinae_13nsp.zip")</f>
        <v>2021.004M.R.Alpharhabdovirinae_13nsp.zip</v>
      </c>
    </row>
    <row r="13784" spans="1:21">
      <c r="A13784">
        <v>13783</v>
      </c>
      <c r="B13784" s="27" t="s">
        <v>1124</v>
      </c>
      <c r="D13784" s="27" t="s">
        <v>1859</v>
      </c>
      <c r="F13784" s="27" t="s">
        <v>938</v>
      </c>
      <c r="G13784" s="27" t="s">
        <v>939</v>
      </c>
      <c r="H13784" s="27" t="s">
        <v>945</v>
      </c>
      <c r="J13784" s="27" t="s">
        <v>238</v>
      </c>
      <c r="L13784" s="27" t="s">
        <v>346</v>
      </c>
      <c r="M13784" s="27" t="s">
        <v>3572</v>
      </c>
      <c r="N13784" s="27" t="s">
        <v>1901</v>
      </c>
      <c r="P13784" s="27" t="s">
        <v>9687</v>
      </c>
      <c r="Q13784" s="26" t="str">
        <f>HYPERLINK("https://ictv.global/taxonomy/taxondetails?taxnode_id=202513327&amp;ictv_id=ICTV202113327","ICTV202113327")</f>
        <v>ICTV202113327</v>
      </c>
      <c r="R13784" t="s">
        <v>580</v>
      </c>
      <c r="S13784" t="s">
        <v>823</v>
      </c>
      <c r="T13784">
        <v>37</v>
      </c>
      <c r="U13784" s="26" t="str">
        <f>HYPERLINK("https://ictv.global/ictv/proposals/2021.042M.R.Corrections_Riboviria_Duplodnaviria.zip","2021.042M.R.Corrections_Riboviria_Duplodnaviria.zip")</f>
        <v>2021.042M.R.Corrections_Riboviria_Duplodnaviria.zip</v>
      </c>
    </row>
    <row r="13785" spans="1:21">
      <c r="A13785">
        <v>13784</v>
      </c>
      <c r="B13785" s="27" t="s">
        <v>1124</v>
      </c>
      <c r="D13785" s="27" t="s">
        <v>1859</v>
      </c>
      <c r="F13785" s="27" t="s">
        <v>938</v>
      </c>
      <c r="G13785" s="27" t="s">
        <v>939</v>
      </c>
      <c r="H13785" s="27" t="s">
        <v>945</v>
      </c>
      <c r="J13785" s="27" t="s">
        <v>238</v>
      </c>
      <c r="L13785" s="27" t="s">
        <v>346</v>
      </c>
      <c r="M13785" s="27" t="s">
        <v>3572</v>
      </c>
      <c r="N13785" s="27" t="s">
        <v>1901</v>
      </c>
      <c r="P13785" s="27" t="s">
        <v>9688</v>
      </c>
      <c r="Q13785" s="26" t="str">
        <f>HYPERLINK("https://ictv.global/taxonomy/taxondetails?taxnode_id=202507129&amp;ictv_id=ICTV201907129","ICTV201907129")</f>
        <v>ICTV201907129</v>
      </c>
      <c r="R13785" t="s">
        <v>580</v>
      </c>
      <c r="S13785" t="s">
        <v>824</v>
      </c>
      <c r="T13785">
        <v>37</v>
      </c>
      <c r="U13785" s="26" t="str">
        <f>HYPERLINK("https://ictv.global/ictv/proposals/2021.036M.R.Rhabdoviridae_sprename.zip","2021.036M.R.Rhabdoviridae_sprename.zip")</f>
        <v>2021.036M.R.Rhabdoviridae_sprename.zip</v>
      </c>
    </row>
    <row r="13786" spans="1:21">
      <c r="A13786">
        <v>13785</v>
      </c>
      <c r="B13786" s="27" t="s">
        <v>1124</v>
      </c>
      <c r="D13786" s="27" t="s">
        <v>1859</v>
      </c>
      <c r="F13786" s="27" t="s">
        <v>938</v>
      </c>
      <c r="G13786" s="27" t="s">
        <v>939</v>
      </c>
      <c r="H13786" s="27" t="s">
        <v>945</v>
      </c>
      <c r="J13786" s="27" t="s">
        <v>238</v>
      </c>
      <c r="L13786" s="27" t="s">
        <v>346</v>
      </c>
      <c r="M13786" s="27" t="s">
        <v>3572</v>
      </c>
      <c r="N13786" s="27" t="s">
        <v>1901</v>
      </c>
      <c r="P13786" s="27" t="s">
        <v>9689</v>
      </c>
      <c r="Q13786" s="26" t="str">
        <f>HYPERLINK("https://ictv.global/taxonomy/taxondetails?taxnode_id=202513331&amp;ictv_id=ICTV202113331","ICTV202113331")</f>
        <v>ICTV202113331</v>
      </c>
      <c r="R13786" t="s">
        <v>580</v>
      </c>
      <c r="S13786" t="s">
        <v>823</v>
      </c>
      <c r="T13786">
        <v>37</v>
      </c>
      <c r="U13786" s="26" t="str">
        <f>HYPERLINK("https://ictv.global/ictv/proposals/2021.004M.R.Alpharhabdovirinae_13nsp.zip","2021.004M.R.Alpharhabdovirinae_13nsp.zip")</f>
        <v>2021.004M.R.Alpharhabdovirinae_13nsp.zip</v>
      </c>
    </row>
    <row r="13787" spans="1:21">
      <c r="A13787">
        <v>13786</v>
      </c>
      <c r="B13787" s="27" t="s">
        <v>1124</v>
      </c>
      <c r="D13787" s="27" t="s">
        <v>1859</v>
      </c>
      <c r="F13787" s="27" t="s">
        <v>938</v>
      </c>
      <c r="G13787" s="27" t="s">
        <v>939</v>
      </c>
      <c r="H13787" s="27" t="s">
        <v>945</v>
      </c>
      <c r="J13787" s="27" t="s">
        <v>238</v>
      </c>
      <c r="L13787" s="27" t="s">
        <v>346</v>
      </c>
      <c r="M13787" s="27" t="s">
        <v>3572</v>
      </c>
      <c r="N13787" s="27" t="s">
        <v>1901</v>
      </c>
      <c r="P13787" s="27" t="s">
        <v>9690</v>
      </c>
      <c r="Q13787" s="26" t="str">
        <f>HYPERLINK("https://ictv.global/taxonomy/taxondetails?taxnode_id=202513326&amp;ictv_id=ICTV202113326","ICTV202113326")</f>
        <v>ICTV202113326</v>
      </c>
      <c r="R13787" t="s">
        <v>580</v>
      </c>
      <c r="S13787" t="s">
        <v>823</v>
      </c>
      <c r="T13787">
        <v>37</v>
      </c>
      <c r="U13787" s="26" t="str">
        <f>HYPERLINK("https://ictv.global/ictv/proposals/2021.004M.R.Alpharhabdovirinae_13nsp.zip","2021.004M.R.Alpharhabdovirinae_13nsp.zip")</f>
        <v>2021.004M.R.Alpharhabdovirinae_13nsp.zip</v>
      </c>
    </row>
    <row r="13788" spans="1:21">
      <c r="A13788">
        <v>13787</v>
      </c>
      <c r="B13788" s="27" t="s">
        <v>1124</v>
      </c>
      <c r="D13788" s="27" t="s">
        <v>1859</v>
      </c>
      <c r="F13788" s="27" t="s">
        <v>938</v>
      </c>
      <c r="G13788" s="27" t="s">
        <v>939</v>
      </c>
      <c r="H13788" s="27" t="s">
        <v>945</v>
      </c>
      <c r="J13788" s="27" t="s">
        <v>238</v>
      </c>
      <c r="L13788" s="27" t="s">
        <v>346</v>
      </c>
      <c r="M13788" s="27" t="s">
        <v>3572</v>
      </c>
      <c r="N13788" s="27" t="s">
        <v>1901</v>
      </c>
      <c r="P13788" s="27" t="s">
        <v>9691</v>
      </c>
      <c r="Q13788" s="26" t="str">
        <f>HYPERLINK("https://ictv.global/taxonomy/taxondetails?taxnode_id=202507124&amp;ictv_id=ICTV201907124","ICTV201907124")</f>
        <v>ICTV201907124</v>
      </c>
      <c r="R13788" t="s">
        <v>580</v>
      </c>
      <c r="S13788" t="s">
        <v>824</v>
      </c>
      <c r="T13788">
        <v>37</v>
      </c>
      <c r="U13788" s="26" t="str">
        <f t="shared" ref="U13788:U13794" si="512">HYPERLINK("https://ictv.global/ictv/proposals/2021.036M.R.Rhabdoviridae_sprename.zip","2021.036M.R.Rhabdoviridae_sprename.zip")</f>
        <v>2021.036M.R.Rhabdoviridae_sprename.zip</v>
      </c>
    </row>
    <row r="13789" spans="1:21">
      <c r="A13789">
        <v>13788</v>
      </c>
      <c r="B13789" s="27" t="s">
        <v>1124</v>
      </c>
      <c r="D13789" s="27" t="s">
        <v>1859</v>
      </c>
      <c r="F13789" s="27" t="s">
        <v>938</v>
      </c>
      <c r="G13789" s="27" t="s">
        <v>939</v>
      </c>
      <c r="H13789" s="27" t="s">
        <v>945</v>
      </c>
      <c r="J13789" s="27" t="s">
        <v>238</v>
      </c>
      <c r="L13789" s="27" t="s">
        <v>346</v>
      </c>
      <c r="M13789" s="27" t="s">
        <v>3572</v>
      </c>
      <c r="N13789" s="27" t="s">
        <v>1901</v>
      </c>
      <c r="P13789" s="27" t="s">
        <v>9692</v>
      </c>
      <c r="Q13789" s="26" t="str">
        <f>HYPERLINK("https://ictv.global/taxonomy/taxondetails?taxnode_id=202507127&amp;ictv_id=ICTV201907127","ICTV201907127")</f>
        <v>ICTV201907127</v>
      </c>
      <c r="R13789" t="s">
        <v>580</v>
      </c>
      <c r="S13789" t="s">
        <v>824</v>
      </c>
      <c r="T13789">
        <v>37</v>
      </c>
      <c r="U13789" s="26" t="str">
        <f t="shared" si="512"/>
        <v>2021.036M.R.Rhabdoviridae_sprename.zip</v>
      </c>
    </row>
    <row r="13790" spans="1:21">
      <c r="A13790">
        <v>13789</v>
      </c>
      <c r="B13790" s="27" t="s">
        <v>1124</v>
      </c>
      <c r="D13790" s="27" t="s">
        <v>1859</v>
      </c>
      <c r="F13790" s="27" t="s">
        <v>938</v>
      </c>
      <c r="G13790" s="27" t="s">
        <v>939</v>
      </c>
      <c r="H13790" s="27" t="s">
        <v>945</v>
      </c>
      <c r="J13790" s="27" t="s">
        <v>238</v>
      </c>
      <c r="L13790" s="27" t="s">
        <v>346</v>
      </c>
      <c r="M13790" s="27" t="s">
        <v>3572</v>
      </c>
      <c r="N13790" s="27" t="s">
        <v>471</v>
      </c>
      <c r="P13790" s="27" t="s">
        <v>9693</v>
      </c>
      <c r="Q13790" s="26" t="str">
        <f>HYPERLINK("https://ictv.global/taxonomy/taxondetails?taxnode_id=202501776&amp;ictv_id=ICTV20165170","ICTV20165170")</f>
        <v>ICTV20165170</v>
      </c>
      <c r="R13790" t="s">
        <v>580</v>
      </c>
      <c r="S13790" t="s">
        <v>824</v>
      </c>
      <c r="T13790">
        <v>37</v>
      </c>
      <c r="U13790" s="26" t="str">
        <f t="shared" si="512"/>
        <v>2021.036M.R.Rhabdoviridae_sprename.zip</v>
      </c>
    </row>
    <row r="13791" spans="1:21">
      <c r="A13791">
        <v>13790</v>
      </c>
      <c r="B13791" s="27" t="s">
        <v>1124</v>
      </c>
      <c r="D13791" s="27" t="s">
        <v>1859</v>
      </c>
      <c r="F13791" s="27" t="s">
        <v>938</v>
      </c>
      <c r="G13791" s="27" t="s">
        <v>939</v>
      </c>
      <c r="H13791" s="27" t="s">
        <v>945</v>
      </c>
      <c r="J13791" s="27" t="s">
        <v>238</v>
      </c>
      <c r="L13791" s="27" t="s">
        <v>346</v>
      </c>
      <c r="M13791" s="27" t="s">
        <v>3572</v>
      </c>
      <c r="N13791" s="27" t="s">
        <v>471</v>
      </c>
      <c r="P13791" s="27" t="s">
        <v>9694</v>
      </c>
      <c r="Q13791" s="26" t="str">
        <f>HYPERLINK("https://ictv.global/taxonomy/taxondetails?taxnode_id=202505583&amp;ictv_id=ICTV20175583","ICTV20175583")</f>
        <v>ICTV20175583</v>
      </c>
      <c r="R13791" t="s">
        <v>580</v>
      </c>
      <c r="S13791" t="s">
        <v>824</v>
      </c>
      <c r="T13791">
        <v>37</v>
      </c>
      <c r="U13791" s="26" t="str">
        <f t="shared" si="512"/>
        <v>2021.036M.R.Rhabdoviridae_sprename.zip</v>
      </c>
    </row>
    <row r="13792" spans="1:21">
      <c r="A13792">
        <v>13791</v>
      </c>
      <c r="B13792" s="27" t="s">
        <v>1124</v>
      </c>
      <c r="D13792" s="27" t="s">
        <v>1859</v>
      </c>
      <c r="F13792" s="27" t="s">
        <v>938</v>
      </c>
      <c r="G13792" s="27" t="s">
        <v>939</v>
      </c>
      <c r="H13792" s="27" t="s">
        <v>945</v>
      </c>
      <c r="J13792" s="27" t="s">
        <v>238</v>
      </c>
      <c r="L13792" s="27" t="s">
        <v>346</v>
      </c>
      <c r="M13792" s="27" t="s">
        <v>3572</v>
      </c>
      <c r="N13792" s="27" t="s">
        <v>471</v>
      </c>
      <c r="P13792" s="27" t="s">
        <v>9695</v>
      </c>
      <c r="Q13792" s="26" t="str">
        <f>HYPERLINK("https://ictv.global/taxonomy/taxondetails?taxnode_id=202501777&amp;ictv_id=ICTV20165171","ICTV20165171")</f>
        <v>ICTV20165171</v>
      </c>
      <c r="R13792" t="s">
        <v>580</v>
      </c>
      <c r="S13792" t="s">
        <v>824</v>
      </c>
      <c r="T13792">
        <v>37</v>
      </c>
      <c r="U13792" s="26" t="str">
        <f t="shared" si="512"/>
        <v>2021.036M.R.Rhabdoviridae_sprename.zip</v>
      </c>
    </row>
    <row r="13793" spans="1:21">
      <c r="A13793">
        <v>13792</v>
      </c>
      <c r="B13793" s="27" t="s">
        <v>1124</v>
      </c>
      <c r="D13793" s="27" t="s">
        <v>1859</v>
      </c>
      <c r="F13793" s="27" t="s">
        <v>938</v>
      </c>
      <c r="G13793" s="27" t="s">
        <v>939</v>
      </c>
      <c r="H13793" s="27" t="s">
        <v>945</v>
      </c>
      <c r="J13793" s="27" t="s">
        <v>238</v>
      </c>
      <c r="L13793" s="27" t="s">
        <v>346</v>
      </c>
      <c r="M13793" s="27" t="s">
        <v>3572</v>
      </c>
      <c r="N13793" s="27" t="s">
        <v>471</v>
      </c>
      <c r="P13793" s="27" t="s">
        <v>9696</v>
      </c>
      <c r="Q13793" s="26" t="str">
        <f>HYPERLINK("https://ictv.global/taxonomy/taxondetails?taxnode_id=202501775&amp;ictv_id=ICTV20125884","ICTV20125884")</f>
        <v>ICTV20125884</v>
      </c>
      <c r="R13793" t="s">
        <v>580</v>
      </c>
      <c r="S13793" t="s">
        <v>824</v>
      </c>
      <c r="T13793">
        <v>37</v>
      </c>
      <c r="U13793" s="26" t="str">
        <f t="shared" si="512"/>
        <v>2021.036M.R.Rhabdoviridae_sprename.zip</v>
      </c>
    </row>
    <row r="13794" spans="1:21">
      <c r="A13794">
        <v>13793</v>
      </c>
      <c r="B13794" s="27" t="s">
        <v>1124</v>
      </c>
      <c r="D13794" s="27" t="s">
        <v>1859</v>
      </c>
      <c r="F13794" s="27" t="s">
        <v>938</v>
      </c>
      <c r="G13794" s="27" t="s">
        <v>939</v>
      </c>
      <c r="H13794" s="27" t="s">
        <v>945</v>
      </c>
      <c r="J13794" s="27" t="s">
        <v>238</v>
      </c>
      <c r="L13794" s="27" t="s">
        <v>346</v>
      </c>
      <c r="M13794" s="27" t="s">
        <v>3572</v>
      </c>
      <c r="N13794" s="27" t="s">
        <v>471</v>
      </c>
      <c r="P13794" s="27" t="s">
        <v>9697</v>
      </c>
      <c r="Q13794" s="26" t="str">
        <f>HYPERLINK("https://ictv.global/taxonomy/taxondetails?taxnode_id=202501774&amp;ictv_id=ICTV20165169","ICTV20165169")</f>
        <v>ICTV20165169</v>
      </c>
      <c r="R13794" t="s">
        <v>580</v>
      </c>
      <c r="S13794" t="s">
        <v>824</v>
      </c>
      <c r="T13794">
        <v>37</v>
      </c>
      <c r="U13794" s="26" t="str">
        <f t="shared" si="512"/>
        <v>2021.036M.R.Rhabdoviridae_sprename.zip</v>
      </c>
    </row>
    <row r="13795" spans="1:21">
      <c r="A13795">
        <v>13794</v>
      </c>
      <c r="B13795" s="27" t="s">
        <v>1124</v>
      </c>
      <c r="D13795" s="27" t="s">
        <v>1859</v>
      </c>
      <c r="F13795" s="27" t="s">
        <v>938</v>
      </c>
      <c r="G13795" s="27" t="s">
        <v>939</v>
      </c>
      <c r="H13795" s="27" t="s">
        <v>945</v>
      </c>
      <c r="J13795" s="27" t="s">
        <v>238</v>
      </c>
      <c r="L13795" s="27" t="s">
        <v>346</v>
      </c>
      <c r="M13795" s="27" t="s">
        <v>3572</v>
      </c>
      <c r="N13795" s="27" t="s">
        <v>471</v>
      </c>
      <c r="P13795" s="27" t="s">
        <v>9698</v>
      </c>
      <c r="Q13795" s="26" t="str">
        <f>HYPERLINK("https://ictv.global/taxonomy/taxondetails?taxnode_id=202514152&amp;ictv_id=ICTV202214152","ICTV202214152")</f>
        <v>ICTV202214152</v>
      </c>
      <c r="R13795" t="s">
        <v>580</v>
      </c>
      <c r="S13795" t="s">
        <v>823</v>
      </c>
      <c r="T13795">
        <v>38</v>
      </c>
      <c r="U13795" s="26" t="str">
        <f>HYPERLINK("https://ictv.global/ictv/proposals/2022.002M.Alpharhabdovirinae_1ngen14nsp.zip","2022.002M.Alpharhabdovirinae_1ngen14nsp.zip")</f>
        <v>2022.002M.Alpharhabdovirinae_1ngen14nsp.zip</v>
      </c>
    </row>
    <row r="13796" spans="1:21">
      <c r="A13796">
        <v>13795</v>
      </c>
      <c r="B13796" s="27" t="s">
        <v>1124</v>
      </c>
      <c r="D13796" s="27" t="s">
        <v>1859</v>
      </c>
      <c r="F13796" s="27" t="s">
        <v>938</v>
      </c>
      <c r="G13796" s="27" t="s">
        <v>939</v>
      </c>
      <c r="H13796" s="27" t="s">
        <v>945</v>
      </c>
      <c r="J13796" s="27" t="s">
        <v>238</v>
      </c>
      <c r="L13796" s="27" t="s">
        <v>346</v>
      </c>
      <c r="M13796" s="27" t="s">
        <v>3572</v>
      </c>
      <c r="N13796" s="27" t="s">
        <v>471</v>
      </c>
      <c r="P13796" s="27" t="s">
        <v>9699</v>
      </c>
      <c r="Q13796" s="26" t="str">
        <f>HYPERLINK("https://ictv.global/taxonomy/taxondetails?taxnode_id=202501778&amp;ictv_id=ICTV20165172","ICTV20165172")</f>
        <v>ICTV20165172</v>
      </c>
      <c r="R13796" t="s">
        <v>580</v>
      </c>
      <c r="S13796" t="s">
        <v>824</v>
      </c>
      <c r="T13796">
        <v>37</v>
      </c>
      <c r="U13796" s="26" t="str">
        <f>HYPERLINK("https://ictv.global/ictv/proposals/2021.036M.R.Rhabdoviridae_sprename.zip","2021.036M.R.Rhabdoviridae_sprename.zip")</f>
        <v>2021.036M.R.Rhabdoviridae_sprename.zip</v>
      </c>
    </row>
    <row r="13797" spans="1:21">
      <c r="A13797">
        <v>13796</v>
      </c>
      <c r="B13797" s="27" t="s">
        <v>1124</v>
      </c>
      <c r="D13797" s="27" t="s">
        <v>1859</v>
      </c>
      <c r="F13797" s="27" t="s">
        <v>938</v>
      </c>
      <c r="G13797" s="27" t="s">
        <v>939</v>
      </c>
      <c r="H13797" s="27" t="s">
        <v>945</v>
      </c>
      <c r="J13797" s="27" t="s">
        <v>238</v>
      </c>
      <c r="L13797" s="27" t="s">
        <v>346</v>
      </c>
      <c r="M13797" s="27" t="s">
        <v>3572</v>
      </c>
      <c r="N13797" s="27" t="s">
        <v>471</v>
      </c>
      <c r="P13797" s="27" t="s">
        <v>9700</v>
      </c>
      <c r="Q13797" s="26" t="str">
        <f>HYPERLINK("https://ictv.global/taxonomy/taxondetails?taxnode_id=202501779&amp;ictv_id=ICTV20125883","ICTV20125883")</f>
        <v>ICTV20125883</v>
      </c>
      <c r="R13797" t="s">
        <v>580</v>
      </c>
      <c r="S13797" t="s">
        <v>824</v>
      </c>
      <c r="T13797">
        <v>37</v>
      </c>
      <c r="U13797" s="26" t="str">
        <f>HYPERLINK("https://ictv.global/ictv/proposals/2021.036M.R.Rhabdoviridae_sprename.zip","2021.036M.R.Rhabdoviridae_sprename.zip")</f>
        <v>2021.036M.R.Rhabdoviridae_sprename.zip</v>
      </c>
    </row>
    <row r="13798" spans="1:21">
      <c r="A13798">
        <v>13797</v>
      </c>
      <c r="B13798" s="27" t="s">
        <v>1124</v>
      </c>
      <c r="D13798" s="27" t="s">
        <v>1859</v>
      </c>
      <c r="F13798" s="27" t="s">
        <v>938</v>
      </c>
      <c r="G13798" s="27" t="s">
        <v>939</v>
      </c>
      <c r="H13798" s="27" t="s">
        <v>945</v>
      </c>
      <c r="J13798" s="27" t="s">
        <v>238</v>
      </c>
      <c r="L13798" s="27" t="s">
        <v>346</v>
      </c>
      <c r="M13798" s="27" t="s">
        <v>3572</v>
      </c>
      <c r="N13798" s="27" t="s">
        <v>498</v>
      </c>
      <c r="P13798" s="27" t="s">
        <v>21605</v>
      </c>
      <c r="Q13798" s="26" t="str">
        <f>HYPERLINK("https://ictv.global/taxonomy/taxondetails?taxnode_id=202522471&amp;ictv_id=ICTV202522471","ICTV202522471")</f>
        <v>ICTV202522471</v>
      </c>
      <c r="R13798" t="s">
        <v>580</v>
      </c>
      <c r="S13798" t="s">
        <v>823</v>
      </c>
      <c r="T13798">
        <v>41</v>
      </c>
      <c r="U13798" s="26" t="str">
        <f>HYPERLINK("https://ictv.global/ictv/proposals/2025.010M.Tupavirus_1nsp.zip","2025.010M.Tupavirus_1nsp.zip")</f>
        <v>2025.010M.Tupavirus_1nsp.zip</v>
      </c>
    </row>
    <row r="13799" spans="1:21">
      <c r="A13799">
        <v>13798</v>
      </c>
      <c r="B13799" s="27" t="s">
        <v>1124</v>
      </c>
      <c r="D13799" s="27" t="s">
        <v>1859</v>
      </c>
      <c r="F13799" s="27" t="s">
        <v>938</v>
      </c>
      <c r="G13799" s="27" t="s">
        <v>939</v>
      </c>
      <c r="H13799" s="27" t="s">
        <v>945</v>
      </c>
      <c r="J13799" s="27" t="s">
        <v>238</v>
      </c>
      <c r="L13799" s="27" t="s">
        <v>346</v>
      </c>
      <c r="M13799" s="27" t="s">
        <v>3572</v>
      </c>
      <c r="N13799" s="27" t="s">
        <v>498</v>
      </c>
      <c r="P13799" s="27" t="s">
        <v>9701</v>
      </c>
      <c r="Q13799" s="26" t="str">
        <f>HYPERLINK("https://ictv.global/taxonomy/taxondetails?taxnode_id=202501781&amp;ictv_id=ICTV20130526","ICTV20130526")</f>
        <v>ICTV20130526</v>
      </c>
      <c r="R13799" t="s">
        <v>580</v>
      </c>
      <c r="S13799" t="s">
        <v>824</v>
      </c>
      <c r="T13799">
        <v>37</v>
      </c>
      <c r="U13799" s="26" t="str">
        <f>HYPERLINK("https://ictv.global/ictv/proposals/2021.036M.R.Rhabdoviridae_sprename.zip","2021.036M.R.Rhabdoviridae_sprename.zip")</f>
        <v>2021.036M.R.Rhabdoviridae_sprename.zip</v>
      </c>
    </row>
    <row r="13800" spans="1:21">
      <c r="A13800">
        <v>13799</v>
      </c>
      <c r="B13800" s="27" t="s">
        <v>1124</v>
      </c>
      <c r="D13800" s="27" t="s">
        <v>1859</v>
      </c>
      <c r="F13800" s="27" t="s">
        <v>938</v>
      </c>
      <c r="G13800" s="27" t="s">
        <v>939</v>
      </c>
      <c r="H13800" s="27" t="s">
        <v>945</v>
      </c>
      <c r="J13800" s="27" t="s">
        <v>238</v>
      </c>
      <c r="L13800" s="27" t="s">
        <v>346</v>
      </c>
      <c r="M13800" s="27" t="s">
        <v>3572</v>
      </c>
      <c r="N13800" s="27" t="s">
        <v>498</v>
      </c>
      <c r="P13800" s="27" t="s">
        <v>16900</v>
      </c>
      <c r="Q13800" s="26" t="str">
        <f>HYPERLINK("https://ictv.global/taxonomy/taxondetails?taxnode_id=202517780&amp;ictv_id=ICTV202317780","ICTV202317780")</f>
        <v>ICTV202317780</v>
      </c>
      <c r="R13800" t="s">
        <v>580</v>
      </c>
      <c r="S13800" t="s">
        <v>823</v>
      </c>
      <c r="T13800">
        <v>39</v>
      </c>
      <c r="U13800" s="26" t="str">
        <f>HYPERLINK("https://ictv.global/ictv/proposals/2023.003M.Alpharhabdovirinae_8nsp.zip","2023.003M.Alpharhabdovirinae_8nsp.zip")</f>
        <v>2023.003M.Alpharhabdovirinae_8nsp.zip</v>
      </c>
    </row>
    <row r="13801" spans="1:21">
      <c r="A13801">
        <v>13800</v>
      </c>
      <c r="B13801" s="27" t="s">
        <v>1124</v>
      </c>
      <c r="D13801" s="27" t="s">
        <v>1859</v>
      </c>
      <c r="F13801" s="27" t="s">
        <v>938</v>
      </c>
      <c r="G13801" s="27" t="s">
        <v>939</v>
      </c>
      <c r="H13801" s="27" t="s">
        <v>945</v>
      </c>
      <c r="J13801" s="27" t="s">
        <v>238</v>
      </c>
      <c r="L13801" s="27" t="s">
        <v>346</v>
      </c>
      <c r="M13801" s="27" t="s">
        <v>3572</v>
      </c>
      <c r="N13801" s="27" t="s">
        <v>498</v>
      </c>
      <c r="P13801" s="27" t="s">
        <v>9702</v>
      </c>
      <c r="Q13801" s="26" t="str">
        <f>HYPERLINK("https://ictv.global/taxonomy/taxondetails?taxnode_id=202501782&amp;ictv_id=ICTV20165173","ICTV20165173")</f>
        <v>ICTV20165173</v>
      </c>
      <c r="R13801" t="s">
        <v>580</v>
      </c>
      <c r="S13801" t="s">
        <v>824</v>
      </c>
      <c r="T13801">
        <v>37</v>
      </c>
      <c r="U13801" s="26" t="str">
        <f>HYPERLINK("https://ictv.global/ictv/proposals/2021.036M.R.Rhabdoviridae_sprename.zip","2021.036M.R.Rhabdoviridae_sprename.zip")</f>
        <v>2021.036M.R.Rhabdoviridae_sprename.zip</v>
      </c>
    </row>
    <row r="13802" spans="1:21">
      <c r="A13802">
        <v>13801</v>
      </c>
      <c r="B13802" s="27" t="s">
        <v>1124</v>
      </c>
      <c r="D13802" s="27" t="s">
        <v>1859</v>
      </c>
      <c r="F13802" s="27" t="s">
        <v>938</v>
      </c>
      <c r="G13802" s="27" t="s">
        <v>939</v>
      </c>
      <c r="H13802" s="27" t="s">
        <v>945</v>
      </c>
      <c r="J13802" s="27" t="s">
        <v>238</v>
      </c>
      <c r="L13802" s="27" t="s">
        <v>346</v>
      </c>
      <c r="M13802" s="27" t="s">
        <v>3572</v>
      </c>
      <c r="N13802" s="27" t="s">
        <v>498</v>
      </c>
      <c r="P13802" s="27" t="s">
        <v>9703</v>
      </c>
      <c r="Q13802" s="26" t="str">
        <f>HYPERLINK("https://ictv.global/taxonomy/taxondetails?taxnode_id=202514149&amp;ictv_id=ICTV202214149","ICTV202214149")</f>
        <v>ICTV202214149</v>
      </c>
      <c r="R13802" t="s">
        <v>580</v>
      </c>
      <c r="S13802" t="s">
        <v>823</v>
      </c>
      <c r="T13802">
        <v>38</v>
      </c>
      <c r="U13802" s="26" t="str">
        <f>HYPERLINK("https://ictv.global/ictv/proposals/2022.002M.Alpharhabdovirinae_1ngen14nsp.zip","2022.002M.Alpharhabdovirinae_1ngen14nsp.zip")</f>
        <v>2022.002M.Alpharhabdovirinae_1ngen14nsp.zip</v>
      </c>
    </row>
    <row r="13803" spans="1:21">
      <c r="A13803">
        <v>13802</v>
      </c>
      <c r="B13803" s="27" t="s">
        <v>1124</v>
      </c>
      <c r="D13803" s="27" t="s">
        <v>1859</v>
      </c>
      <c r="F13803" s="27" t="s">
        <v>938</v>
      </c>
      <c r="G13803" s="27" t="s">
        <v>939</v>
      </c>
      <c r="H13803" s="27" t="s">
        <v>945</v>
      </c>
      <c r="J13803" s="27" t="s">
        <v>238</v>
      </c>
      <c r="L13803" s="27" t="s">
        <v>346</v>
      </c>
      <c r="M13803" s="27" t="s">
        <v>3572</v>
      </c>
      <c r="N13803" s="27" t="s">
        <v>498</v>
      </c>
      <c r="P13803" s="27" t="s">
        <v>9704</v>
      </c>
      <c r="Q13803" s="26" t="str">
        <f>HYPERLINK("https://ictv.global/taxonomy/taxondetails?taxnode_id=202514148&amp;ictv_id=ICTV202214148","ICTV202214148")</f>
        <v>ICTV202214148</v>
      </c>
      <c r="R13803" t="s">
        <v>580</v>
      </c>
      <c r="S13803" t="s">
        <v>823</v>
      </c>
      <c r="T13803">
        <v>38</v>
      </c>
      <c r="U13803" s="26" t="str">
        <f>HYPERLINK("https://ictv.global/ictv/proposals/2022.002M.Alpharhabdovirinae_1ngen14nsp.zip","2022.002M.Alpharhabdovirinae_1ngen14nsp.zip")</f>
        <v>2022.002M.Alpharhabdovirinae_1ngen14nsp.zip</v>
      </c>
    </row>
    <row r="13804" spans="1:21">
      <c r="A13804">
        <v>13803</v>
      </c>
      <c r="B13804" s="27" t="s">
        <v>1124</v>
      </c>
      <c r="D13804" s="27" t="s">
        <v>1859</v>
      </c>
      <c r="F13804" s="27" t="s">
        <v>938</v>
      </c>
      <c r="G13804" s="27" t="s">
        <v>939</v>
      </c>
      <c r="H13804" s="27" t="s">
        <v>945</v>
      </c>
      <c r="J13804" s="27" t="s">
        <v>238</v>
      </c>
      <c r="L13804" s="27" t="s">
        <v>346</v>
      </c>
      <c r="M13804" s="27" t="s">
        <v>3572</v>
      </c>
      <c r="N13804" s="27" t="s">
        <v>498</v>
      </c>
      <c r="P13804" s="27" t="s">
        <v>16901</v>
      </c>
      <c r="Q13804" s="26" t="str">
        <f>HYPERLINK("https://ictv.global/taxonomy/taxondetails?taxnode_id=202517781&amp;ictv_id=ICTV202317781","ICTV202317781")</f>
        <v>ICTV202317781</v>
      </c>
      <c r="R13804" t="s">
        <v>580</v>
      </c>
      <c r="S13804" t="s">
        <v>823</v>
      </c>
      <c r="T13804">
        <v>39</v>
      </c>
      <c r="U13804" s="26" t="str">
        <f>HYPERLINK("https://ictv.global/ictv/proposals/2023.003M.Alpharhabdovirinae_8nsp.zip","2023.003M.Alpharhabdovirinae_8nsp.zip")</f>
        <v>2023.003M.Alpharhabdovirinae_8nsp.zip</v>
      </c>
    </row>
    <row r="13805" spans="1:21">
      <c r="A13805">
        <v>13804</v>
      </c>
      <c r="B13805" s="27" t="s">
        <v>1124</v>
      </c>
      <c r="D13805" s="27" t="s">
        <v>1859</v>
      </c>
      <c r="F13805" s="27" t="s">
        <v>938</v>
      </c>
      <c r="G13805" s="27" t="s">
        <v>939</v>
      </c>
      <c r="H13805" s="27" t="s">
        <v>945</v>
      </c>
      <c r="J13805" s="27" t="s">
        <v>238</v>
      </c>
      <c r="L13805" s="27" t="s">
        <v>346</v>
      </c>
      <c r="M13805" s="27" t="s">
        <v>3572</v>
      </c>
      <c r="N13805" s="27" t="s">
        <v>498</v>
      </c>
      <c r="P13805" s="27" t="s">
        <v>16902</v>
      </c>
      <c r="Q13805" s="26" t="str">
        <f>HYPERLINK("https://ictv.global/taxonomy/taxondetails?taxnode_id=202517782&amp;ictv_id=ICTV202317782","ICTV202317782")</f>
        <v>ICTV202317782</v>
      </c>
      <c r="R13805" t="s">
        <v>580</v>
      </c>
      <c r="S13805" t="s">
        <v>823</v>
      </c>
      <c r="T13805">
        <v>39</v>
      </c>
      <c r="U13805" s="26" t="str">
        <f>HYPERLINK("https://ictv.global/ictv/proposals/2023.003M.Alpharhabdovirinae_8nsp.zip","2023.003M.Alpharhabdovirinae_8nsp.zip")</f>
        <v>2023.003M.Alpharhabdovirinae_8nsp.zip</v>
      </c>
    </row>
    <row r="13806" spans="1:21">
      <c r="A13806">
        <v>13805</v>
      </c>
      <c r="B13806" s="27" t="s">
        <v>1124</v>
      </c>
      <c r="D13806" s="27" t="s">
        <v>1859</v>
      </c>
      <c r="F13806" s="27" t="s">
        <v>938</v>
      </c>
      <c r="G13806" s="27" t="s">
        <v>939</v>
      </c>
      <c r="H13806" s="27" t="s">
        <v>945</v>
      </c>
      <c r="J13806" s="27" t="s">
        <v>238</v>
      </c>
      <c r="L13806" s="27" t="s">
        <v>346</v>
      </c>
      <c r="M13806" s="27" t="s">
        <v>3572</v>
      </c>
      <c r="N13806" s="27" t="s">
        <v>498</v>
      </c>
      <c r="P13806" s="27" t="s">
        <v>9705</v>
      </c>
      <c r="Q13806" s="26" t="str">
        <f>HYPERLINK("https://ictv.global/taxonomy/taxondetails?taxnode_id=202501783&amp;ictv_id=ICTV20094950","ICTV20094950")</f>
        <v>ICTV20094950</v>
      </c>
      <c r="R13806" t="s">
        <v>580</v>
      </c>
      <c r="S13806" t="s">
        <v>824</v>
      </c>
      <c r="T13806">
        <v>37</v>
      </c>
      <c r="U13806" s="26" t="str">
        <f>HYPERLINK("https://ictv.global/ictv/proposals/2021.036M.R.Rhabdoviridae_sprename.zip","2021.036M.R.Rhabdoviridae_sprename.zip")</f>
        <v>2021.036M.R.Rhabdoviridae_sprename.zip</v>
      </c>
    </row>
    <row r="13807" spans="1:21">
      <c r="A13807">
        <v>13806</v>
      </c>
      <c r="B13807" s="27" t="s">
        <v>1124</v>
      </c>
      <c r="D13807" s="27" t="s">
        <v>1859</v>
      </c>
      <c r="F13807" s="27" t="s">
        <v>938</v>
      </c>
      <c r="G13807" s="27" t="s">
        <v>939</v>
      </c>
      <c r="H13807" s="27" t="s">
        <v>945</v>
      </c>
      <c r="J13807" s="27" t="s">
        <v>238</v>
      </c>
      <c r="L13807" s="27" t="s">
        <v>346</v>
      </c>
      <c r="M13807" s="27" t="s">
        <v>3572</v>
      </c>
      <c r="N13807" s="27" t="s">
        <v>498</v>
      </c>
      <c r="P13807" s="27" t="s">
        <v>20248</v>
      </c>
      <c r="Q13807" s="26" t="str">
        <f>HYPERLINK("https://ictv.global/taxonomy/taxondetails?taxnode_id=202519958&amp;ictv_id=ICTV202419958","ICTV202419958")</f>
        <v>ICTV202419958</v>
      </c>
      <c r="R13807" t="s">
        <v>580</v>
      </c>
      <c r="S13807" t="s">
        <v>823</v>
      </c>
      <c r="T13807">
        <v>40</v>
      </c>
      <c r="U13807" s="26" t="str">
        <f>HYPERLINK("https://ictv.global/ictv/proposals/2024.001M.Alpharhabdovirinae_1ng_11nsp.zip","2024.001M.Alpharhabdovirinae_1ng_11nsp.zip")</f>
        <v>2024.001M.Alpharhabdovirinae_1ng_11nsp.zip</v>
      </c>
    </row>
    <row r="13808" spans="1:21">
      <c r="A13808">
        <v>13807</v>
      </c>
      <c r="B13808" s="27" t="s">
        <v>1124</v>
      </c>
      <c r="D13808" s="27" t="s">
        <v>1859</v>
      </c>
      <c r="F13808" s="27" t="s">
        <v>938</v>
      </c>
      <c r="G13808" s="27" t="s">
        <v>939</v>
      </c>
      <c r="H13808" s="27" t="s">
        <v>945</v>
      </c>
      <c r="J13808" s="27" t="s">
        <v>238</v>
      </c>
      <c r="L13808" s="27" t="s">
        <v>346</v>
      </c>
      <c r="M13808" s="27" t="s">
        <v>3572</v>
      </c>
      <c r="N13808" s="27" t="s">
        <v>16903</v>
      </c>
      <c r="P13808" s="27" t="s">
        <v>16904</v>
      </c>
      <c r="Q13808" s="26" t="str">
        <f>HYPERLINK("https://ictv.global/taxonomy/taxondetails?taxnode_id=202517750&amp;ictv_id=ICTV202317750","ICTV202317750")</f>
        <v>ICTV202317750</v>
      </c>
      <c r="R13808" t="s">
        <v>580</v>
      </c>
      <c r="S13808" t="s">
        <v>823</v>
      </c>
      <c r="T13808">
        <v>39</v>
      </c>
      <c r="U13808" s="26" t="str">
        <f>HYPERLINK("https://ictv.global/ictv/proposals/2023.002M.Alpharhabdovirinae_2ngen_2nsp.zip","2023.002M.Alpharhabdovirinae_2ngen_2nsp.zip")</f>
        <v>2023.002M.Alpharhabdovirinae_2ngen_2nsp.zip</v>
      </c>
    </row>
    <row r="13809" spans="1:21">
      <c r="A13809">
        <v>13808</v>
      </c>
      <c r="B13809" s="27" t="s">
        <v>1124</v>
      </c>
      <c r="D13809" s="27" t="s">
        <v>1859</v>
      </c>
      <c r="F13809" s="27" t="s">
        <v>938</v>
      </c>
      <c r="G13809" s="27" t="s">
        <v>939</v>
      </c>
      <c r="H13809" s="27" t="s">
        <v>945</v>
      </c>
      <c r="J13809" s="27" t="s">
        <v>238</v>
      </c>
      <c r="L13809" s="27" t="s">
        <v>346</v>
      </c>
      <c r="M13809" s="27" t="s">
        <v>3572</v>
      </c>
      <c r="N13809" s="27" t="s">
        <v>347</v>
      </c>
      <c r="P13809" s="27" t="s">
        <v>9706</v>
      </c>
      <c r="Q13809" s="26" t="str">
        <f>HYPERLINK("https://ictv.global/taxonomy/taxondetails?taxnode_id=202501789&amp;ictv_id=ICTV19760561","ICTV19760561")</f>
        <v>ICTV19760561</v>
      </c>
      <c r="R13809" t="s">
        <v>580</v>
      </c>
      <c r="S13809" t="s">
        <v>824</v>
      </c>
      <c r="T13809">
        <v>37</v>
      </c>
      <c r="U13809" s="26" t="str">
        <f t="shared" ref="U13809:U13818" si="513">HYPERLINK("https://ictv.global/ictv/proposals/2021.036M.R.Rhabdoviridae_sprename.zip","2021.036M.R.Rhabdoviridae_sprename.zip")</f>
        <v>2021.036M.R.Rhabdoviridae_sprename.zip</v>
      </c>
    </row>
    <row r="13810" spans="1:21">
      <c r="A13810">
        <v>13809</v>
      </c>
      <c r="B13810" s="27" t="s">
        <v>1124</v>
      </c>
      <c r="D13810" s="27" t="s">
        <v>1859</v>
      </c>
      <c r="F13810" s="27" t="s">
        <v>938</v>
      </c>
      <c r="G13810" s="27" t="s">
        <v>939</v>
      </c>
      <c r="H13810" s="27" t="s">
        <v>945</v>
      </c>
      <c r="J13810" s="27" t="s">
        <v>238</v>
      </c>
      <c r="L13810" s="27" t="s">
        <v>346</v>
      </c>
      <c r="M13810" s="27" t="s">
        <v>3572</v>
      </c>
      <c r="N13810" s="27" t="s">
        <v>347</v>
      </c>
      <c r="P13810" s="27" t="s">
        <v>9707</v>
      </c>
      <c r="Q13810" s="26" t="str">
        <f>HYPERLINK("https://ictv.global/taxonomy/taxondetails?taxnode_id=202501804&amp;ictv_id=ICTV20165180","ICTV20165180")</f>
        <v>ICTV20165180</v>
      </c>
      <c r="R13810" t="s">
        <v>580</v>
      </c>
      <c r="S13810" t="s">
        <v>824</v>
      </c>
      <c r="T13810">
        <v>37</v>
      </c>
      <c r="U13810" s="26" t="str">
        <f t="shared" si="513"/>
        <v>2021.036M.R.Rhabdoviridae_sprename.zip</v>
      </c>
    </row>
    <row r="13811" spans="1:21">
      <c r="A13811">
        <v>13810</v>
      </c>
      <c r="B13811" s="27" t="s">
        <v>1124</v>
      </c>
      <c r="D13811" s="27" t="s">
        <v>1859</v>
      </c>
      <c r="F13811" s="27" t="s">
        <v>938</v>
      </c>
      <c r="G13811" s="27" t="s">
        <v>939</v>
      </c>
      <c r="H13811" s="27" t="s">
        <v>945</v>
      </c>
      <c r="J13811" s="27" t="s">
        <v>238</v>
      </c>
      <c r="L13811" s="27" t="s">
        <v>346</v>
      </c>
      <c r="M13811" s="27" t="s">
        <v>3572</v>
      </c>
      <c r="N13811" s="27" t="s">
        <v>347</v>
      </c>
      <c r="P13811" s="27" t="s">
        <v>9708</v>
      </c>
      <c r="Q13811" s="26" t="str">
        <f>HYPERLINK("https://ictv.global/taxonomy/taxondetails?taxnode_id=202501791&amp;ictv_id=ICTV19990473","ICTV19990473")</f>
        <v>ICTV19990473</v>
      </c>
      <c r="R13811" t="s">
        <v>580</v>
      </c>
      <c r="S13811" t="s">
        <v>824</v>
      </c>
      <c r="T13811">
        <v>37</v>
      </c>
      <c r="U13811" s="26" t="str">
        <f t="shared" si="513"/>
        <v>2021.036M.R.Rhabdoviridae_sprename.zip</v>
      </c>
    </row>
    <row r="13812" spans="1:21">
      <c r="A13812">
        <v>13811</v>
      </c>
      <c r="B13812" s="27" t="s">
        <v>1124</v>
      </c>
      <c r="D13812" s="27" t="s">
        <v>1859</v>
      </c>
      <c r="F13812" s="27" t="s">
        <v>938</v>
      </c>
      <c r="G13812" s="27" t="s">
        <v>939</v>
      </c>
      <c r="H13812" s="27" t="s">
        <v>945</v>
      </c>
      <c r="J13812" s="27" t="s">
        <v>238</v>
      </c>
      <c r="L13812" s="27" t="s">
        <v>346</v>
      </c>
      <c r="M13812" s="27" t="s">
        <v>3572</v>
      </c>
      <c r="N13812" s="27" t="s">
        <v>347</v>
      </c>
      <c r="P13812" s="27" t="s">
        <v>9709</v>
      </c>
      <c r="Q13812" s="26" t="str">
        <f>HYPERLINK("https://ictv.global/taxonomy/taxondetails?taxnode_id=202501792&amp;ictv_id=ICTV19760555","ICTV19760555")</f>
        <v>ICTV19760555</v>
      </c>
      <c r="R13812" t="s">
        <v>580</v>
      </c>
      <c r="S13812" t="s">
        <v>824</v>
      </c>
      <c r="T13812">
        <v>37</v>
      </c>
      <c r="U13812" s="26" t="str">
        <f t="shared" si="513"/>
        <v>2021.036M.R.Rhabdoviridae_sprename.zip</v>
      </c>
    </row>
    <row r="13813" spans="1:21">
      <c r="A13813">
        <v>13812</v>
      </c>
      <c r="B13813" s="27" t="s">
        <v>1124</v>
      </c>
      <c r="D13813" s="27" t="s">
        <v>1859</v>
      </c>
      <c r="F13813" s="27" t="s">
        <v>938</v>
      </c>
      <c r="G13813" s="27" t="s">
        <v>939</v>
      </c>
      <c r="H13813" s="27" t="s">
        <v>945</v>
      </c>
      <c r="J13813" s="27" t="s">
        <v>238</v>
      </c>
      <c r="L13813" s="27" t="s">
        <v>346</v>
      </c>
      <c r="M13813" s="27" t="s">
        <v>3572</v>
      </c>
      <c r="N13813" s="27" t="s">
        <v>347</v>
      </c>
      <c r="P13813" s="27" t="s">
        <v>9710</v>
      </c>
      <c r="Q13813" s="26" t="str">
        <f>HYPERLINK("https://ictv.global/taxonomy/taxondetails?taxnode_id=202501793&amp;ictv_id=ICTV19710307","ICTV19710307")</f>
        <v>ICTV19710307</v>
      </c>
      <c r="R13813" t="s">
        <v>580</v>
      </c>
      <c r="S13813" t="s">
        <v>824</v>
      </c>
      <c r="T13813">
        <v>37</v>
      </c>
      <c r="U13813" s="26" t="str">
        <f t="shared" si="513"/>
        <v>2021.036M.R.Rhabdoviridae_sprename.zip</v>
      </c>
    </row>
    <row r="13814" spans="1:21">
      <c r="A13814">
        <v>13813</v>
      </c>
      <c r="B13814" s="27" t="s">
        <v>1124</v>
      </c>
      <c r="D13814" s="27" t="s">
        <v>1859</v>
      </c>
      <c r="F13814" s="27" t="s">
        <v>938</v>
      </c>
      <c r="G13814" s="27" t="s">
        <v>939</v>
      </c>
      <c r="H13814" s="27" t="s">
        <v>945</v>
      </c>
      <c r="J13814" s="27" t="s">
        <v>238</v>
      </c>
      <c r="L13814" s="27" t="s">
        <v>346</v>
      </c>
      <c r="M13814" s="27" t="s">
        <v>3572</v>
      </c>
      <c r="N13814" s="27" t="s">
        <v>347</v>
      </c>
      <c r="P13814" s="27" t="s">
        <v>9711</v>
      </c>
      <c r="Q13814" s="26" t="str">
        <f>HYPERLINK("https://ictv.global/taxonomy/taxondetails?taxnode_id=202501794&amp;ictv_id=ICTV19710312","ICTV19710312")</f>
        <v>ICTV19710312</v>
      </c>
      <c r="R13814" t="s">
        <v>580</v>
      </c>
      <c r="S13814" t="s">
        <v>824</v>
      </c>
      <c r="T13814">
        <v>37</v>
      </c>
      <c r="U13814" s="26" t="str">
        <f t="shared" si="513"/>
        <v>2021.036M.R.Rhabdoviridae_sprename.zip</v>
      </c>
    </row>
    <row r="13815" spans="1:21">
      <c r="A13815">
        <v>13814</v>
      </c>
      <c r="B13815" s="27" t="s">
        <v>1124</v>
      </c>
      <c r="D13815" s="27" t="s">
        <v>1859</v>
      </c>
      <c r="F13815" s="27" t="s">
        <v>938</v>
      </c>
      <c r="G13815" s="27" t="s">
        <v>939</v>
      </c>
      <c r="H13815" s="27" t="s">
        <v>945</v>
      </c>
      <c r="J13815" s="27" t="s">
        <v>238</v>
      </c>
      <c r="L13815" s="27" t="s">
        <v>346</v>
      </c>
      <c r="M13815" s="27" t="s">
        <v>3572</v>
      </c>
      <c r="N13815" s="27" t="s">
        <v>347</v>
      </c>
      <c r="P13815" s="27" t="s">
        <v>9712</v>
      </c>
      <c r="Q13815" s="26" t="str">
        <f>HYPERLINK("https://ictv.global/taxonomy/taxondetails?taxnode_id=202501795&amp;ictv_id=ICTV19790849","ICTV19790849")</f>
        <v>ICTV19790849</v>
      </c>
      <c r="R13815" t="s">
        <v>580</v>
      </c>
      <c r="S13815" t="s">
        <v>824</v>
      </c>
      <c r="T13815">
        <v>37</v>
      </c>
      <c r="U13815" s="26" t="str">
        <f t="shared" si="513"/>
        <v>2021.036M.R.Rhabdoviridae_sprename.zip</v>
      </c>
    </row>
    <row r="13816" spans="1:21">
      <c r="A13816">
        <v>13815</v>
      </c>
      <c r="B13816" s="27" t="s">
        <v>1124</v>
      </c>
      <c r="D13816" s="27" t="s">
        <v>1859</v>
      </c>
      <c r="F13816" s="27" t="s">
        <v>938</v>
      </c>
      <c r="G13816" s="27" t="s">
        <v>939</v>
      </c>
      <c r="H13816" s="27" t="s">
        <v>945</v>
      </c>
      <c r="J13816" s="27" t="s">
        <v>238</v>
      </c>
      <c r="L13816" s="27" t="s">
        <v>346</v>
      </c>
      <c r="M13816" s="27" t="s">
        <v>3572</v>
      </c>
      <c r="N13816" s="27" t="s">
        <v>347</v>
      </c>
      <c r="P13816" s="27" t="s">
        <v>9713</v>
      </c>
      <c r="Q13816" s="26" t="str">
        <f>HYPERLINK("https://ictv.global/taxonomy/taxondetails?taxnode_id=202501796&amp;ictv_id=ICTV20165175","ICTV20165175")</f>
        <v>ICTV20165175</v>
      </c>
      <c r="R13816" t="s">
        <v>580</v>
      </c>
      <c r="S13816" t="s">
        <v>824</v>
      </c>
      <c r="T13816">
        <v>37</v>
      </c>
      <c r="U13816" s="26" t="str">
        <f t="shared" si="513"/>
        <v>2021.036M.R.Rhabdoviridae_sprename.zip</v>
      </c>
    </row>
    <row r="13817" spans="1:21">
      <c r="A13817">
        <v>13816</v>
      </c>
      <c r="B13817" s="27" t="s">
        <v>1124</v>
      </c>
      <c r="D13817" s="27" t="s">
        <v>1859</v>
      </c>
      <c r="F13817" s="27" t="s">
        <v>938</v>
      </c>
      <c r="G13817" s="27" t="s">
        <v>939</v>
      </c>
      <c r="H13817" s="27" t="s">
        <v>945</v>
      </c>
      <c r="J13817" s="27" t="s">
        <v>238</v>
      </c>
      <c r="L13817" s="27" t="s">
        <v>346</v>
      </c>
      <c r="M13817" s="27" t="s">
        <v>3572</v>
      </c>
      <c r="N13817" s="27" t="s">
        <v>347</v>
      </c>
      <c r="P13817" s="27" t="s">
        <v>9714</v>
      </c>
      <c r="Q13817" s="26" t="str">
        <f>HYPERLINK("https://ictv.global/taxonomy/taxondetails?taxnode_id=202501797&amp;ictv_id=ICTV20165176","ICTV20165176")</f>
        <v>ICTV20165176</v>
      </c>
      <c r="R13817" t="s">
        <v>580</v>
      </c>
      <c r="S13817" t="s">
        <v>824</v>
      </c>
      <c r="T13817">
        <v>37</v>
      </c>
      <c r="U13817" s="26" t="str">
        <f t="shared" si="513"/>
        <v>2021.036M.R.Rhabdoviridae_sprename.zip</v>
      </c>
    </row>
    <row r="13818" spans="1:21">
      <c r="A13818">
        <v>13817</v>
      </c>
      <c r="B13818" s="27" t="s">
        <v>1124</v>
      </c>
      <c r="D13818" s="27" t="s">
        <v>1859</v>
      </c>
      <c r="F13818" s="27" t="s">
        <v>938</v>
      </c>
      <c r="G13818" s="27" t="s">
        <v>939</v>
      </c>
      <c r="H13818" s="27" t="s">
        <v>945</v>
      </c>
      <c r="J13818" s="27" t="s">
        <v>238</v>
      </c>
      <c r="L13818" s="27" t="s">
        <v>346</v>
      </c>
      <c r="M13818" s="27" t="s">
        <v>3572</v>
      </c>
      <c r="N13818" s="27" t="s">
        <v>347</v>
      </c>
      <c r="P13818" s="27" t="s">
        <v>9715</v>
      </c>
      <c r="Q13818" s="26" t="str">
        <f>HYPERLINK("https://ictv.global/taxonomy/taxondetails?taxnode_id=202501798&amp;ictv_id=ICTV19910288","ICTV19910288")</f>
        <v>ICTV19910288</v>
      </c>
      <c r="R13818" t="s">
        <v>580</v>
      </c>
      <c r="S13818" t="s">
        <v>824</v>
      </c>
      <c r="T13818">
        <v>37</v>
      </c>
      <c r="U13818" s="26" t="str">
        <f t="shared" si="513"/>
        <v>2021.036M.R.Rhabdoviridae_sprename.zip</v>
      </c>
    </row>
    <row r="13819" spans="1:21">
      <c r="A13819">
        <v>13818</v>
      </c>
      <c r="B13819" s="27" t="s">
        <v>1124</v>
      </c>
      <c r="D13819" s="27" t="s">
        <v>1859</v>
      </c>
      <c r="F13819" s="27" t="s">
        <v>938</v>
      </c>
      <c r="G13819" s="27" t="s">
        <v>939</v>
      </c>
      <c r="H13819" s="27" t="s">
        <v>945</v>
      </c>
      <c r="J13819" s="27" t="s">
        <v>238</v>
      </c>
      <c r="L13819" s="27" t="s">
        <v>346</v>
      </c>
      <c r="M13819" s="27" t="s">
        <v>3572</v>
      </c>
      <c r="N13819" s="27" t="s">
        <v>347</v>
      </c>
      <c r="P13819" s="27" t="s">
        <v>9716</v>
      </c>
      <c r="Q13819" s="26" t="str">
        <f>HYPERLINK("https://ictv.global/taxonomy/taxondetails?taxnode_id=202514276&amp;ictv_id=ICTV202214276","ICTV202214276")</f>
        <v>ICTV202214276</v>
      </c>
      <c r="R13819" t="s">
        <v>580</v>
      </c>
      <c r="S13819" t="s">
        <v>823</v>
      </c>
      <c r="T13819">
        <v>38</v>
      </c>
      <c r="U13819" s="26" t="str">
        <f>HYPERLINK("https://ictv.global/ictv/proposals/2022.022M.Vesiculovirus_2nsp.zip","2022.022M.Vesiculovirus_2nsp.zip")</f>
        <v>2022.022M.Vesiculovirus_2nsp.zip</v>
      </c>
    </row>
    <row r="13820" spans="1:21">
      <c r="A13820">
        <v>13819</v>
      </c>
      <c r="B13820" s="27" t="s">
        <v>1124</v>
      </c>
      <c r="D13820" s="27" t="s">
        <v>1859</v>
      </c>
      <c r="F13820" s="27" t="s">
        <v>938</v>
      </c>
      <c r="G13820" s="27" t="s">
        <v>939</v>
      </c>
      <c r="H13820" s="27" t="s">
        <v>945</v>
      </c>
      <c r="J13820" s="27" t="s">
        <v>238</v>
      </c>
      <c r="L13820" s="27" t="s">
        <v>346</v>
      </c>
      <c r="M13820" s="27" t="s">
        <v>3572</v>
      </c>
      <c r="N13820" s="27" t="s">
        <v>347</v>
      </c>
      <c r="P13820" s="27" t="s">
        <v>9717</v>
      </c>
      <c r="Q13820" s="26" t="str">
        <f>HYPERLINK("https://ictv.global/taxonomy/taxondetails?taxnode_id=202501799&amp;ictv_id=ICTV20165177","ICTV20165177")</f>
        <v>ICTV20165177</v>
      </c>
      <c r="R13820" t="s">
        <v>580</v>
      </c>
      <c r="S13820" t="s">
        <v>824</v>
      </c>
      <c r="T13820">
        <v>37</v>
      </c>
      <c r="U13820" s="26" t="str">
        <f t="shared" ref="U13820:U13825" si="514">HYPERLINK("https://ictv.global/ictv/proposals/2021.036M.R.Rhabdoviridae_sprename.zip","2021.036M.R.Rhabdoviridae_sprename.zip")</f>
        <v>2021.036M.R.Rhabdoviridae_sprename.zip</v>
      </c>
    </row>
    <row r="13821" spans="1:21">
      <c r="A13821">
        <v>13820</v>
      </c>
      <c r="B13821" s="27" t="s">
        <v>1124</v>
      </c>
      <c r="D13821" s="27" t="s">
        <v>1859</v>
      </c>
      <c r="F13821" s="27" t="s">
        <v>938</v>
      </c>
      <c r="G13821" s="27" t="s">
        <v>939</v>
      </c>
      <c r="H13821" s="27" t="s">
        <v>945</v>
      </c>
      <c r="J13821" s="27" t="s">
        <v>238</v>
      </c>
      <c r="L13821" s="27" t="s">
        <v>346</v>
      </c>
      <c r="M13821" s="27" t="s">
        <v>3572</v>
      </c>
      <c r="N13821" s="27" t="s">
        <v>347</v>
      </c>
      <c r="P13821" s="27" t="s">
        <v>9718</v>
      </c>
      <c r="Q13821" s="26" t="str">
        <f>HYPERLINK("https://ictv.global/taxonomy/taxondetails?taxnode_id=202501800&amp;ictv_id=ICTV19760563","ICTV19760563")</f>
        <v>ICTV19760563</v>
      </c>
      <c r="R13821" t="s">
        <v>580</v>
      </c>
      <c r="S13821" t="s">
        <v>824</v>
      </c>
      <c r="T13821">
        <v>37</v>
      </c>
      <c r="U13821" s="26" t="str">
        <f t="shared" si="514"/>
        <v>2021.036M.R.Rhabdoviridae_sprename.zip</v>
      </c>
    </row>
    <row r="13822" spans="1:21">
      <c r="A13822">
        <v>13821</v>
      </c>
      <c r="B13822" s="27" t="s">
        <v>1124</v>
      </c>
      <c r="D13822" s="27" t="s">
        <v>1859</v>
      </c>
      <c r="F13822" s="27" t="s">
        <v>938</v>
      </c>
      <c r="G13822" s="27" t="s">
        <v>939</v>
      </c>
      <c r="H13822" s="27" t="s">
        <v>945</v>
      </c>
      <c r="J13822" s="27" t="s">
        <v>238</v>
      </c>
      <c r="L13822" s="27" t="s">
        <v>346</v>
      </c>
      <c r="M13822" s="27" t="s">
        <v>3572</v>
      </c>
      <c r="N13822" s="27" t="s">
        <v>347</v>
      </c>
      <c r="P13822" s="27" t="s">
        <v>9719</v>
      </c>
      <c r="Q13822" s="26" t="str">
        <f>HYPERLINK("https://ictv.global/taxonomy/taxondetails?taxnode_id=202501801&amp;ictv_id=ICTV20165178","ICTV20165178")</f>
        <v>ICTV20165178</v>
      </c>
      <c r="R13822" t="s">
        <v>580</v>
      </c>
      <c r="S13822" t="s">
        <v>824</v>
      </c>
      <c r="T13822">
        <v>37</v>
      </c>
      <c r="U13822" s="26" t="str">
        <f t="shared" si="514"/>
        <v>2021.036M.R.Rhabdoviridae_sprename.zip</v>
      </c>
    </row>
    <row r="13823" spans="1:21">
      <c r="A13823">
        <v>13822</v>
      </c>
      <c r="B13823" s="27" t="s">
        <v>1124</v>
      </c>
      <c r="D13823" s="27" t="s">
        <v>1859</v>
      </c>
      <c r="F13823" s="27" t="s">
        <v>938</v>
      </c>
      <c r="G13823" s="27" t="s">
        <v>939</v>
      </c>
      <c r="H13823" s="27" t="s">
        <v>945</v>
      </c>
      <c r="J13823" s="27" t="s">
        <v>238</v>
      </c>
      <c r="L13823" s="27" t="s">
        <v>346</v>
      </c>
      <c r="M13823" s="27" t="s">
        <v>3572</v>
      </c>
      <c r="N13823" s="27" t="s">
        <v>347</v>
      </c>
      <c r="P13823" s="27" t="s">
        <v>9720</v>
      </c>
      <c r="Q13823" s="26" t="str">
        <f>HYPERLINK("https://ictv.global/taxonomy/taxondetails?taxnode_id=202501802&amp;ictv_id=ICTV19760558","ICTV19760558")</f>
        <v>ICTV19760558</v>
      </c>
      <c r="R13823" t="s">
        <v>580</v>
      </c>
      <c r="S13823" t="s">
        <v>824</v>
      </c>
      <c r="T13823">
        <v>37</v>
      </c>
      <c r="U13823" s="26" t="str">
        <f t="shared" si="514"/>
        <v>2021.036M.R.Rhabdoviridae_sprename.zip</v>
      </c>
    </row>
    <row r="13824" spans="1:21">
      <c r="A13824">
        <v>13823</v>
      </c>
      <c r="B13824" s="27" t="s">
        <v>1124</v>
      </c>
      <c r="D13824" s="27" t="s">
        <v>1859</v>
      </c>
      <c r="F13824" s="27" t="s">
        <v>938</v>
      </c>
      <c r="G13824" s="27" t="s">
        <v>939</v>
      </c>
      <c r="H13824" s="27" t="s">
        <v>945</v>
      </c>
      <c r="J13824" s="27" t="s">
        <v>238</v>
      </c>
      <c r="L13824" s="27" t="s">
        <v>346</v>
      </c>
      <c r="M13824" s="27" t="s">
        <v>3572</v>
      </c>
      <c r="N13824" s="27" t="s">
        <v>347</v>
      </c>
      <c r="P13824" s="27" t="s">
        <v>9721</v>
      </c>
      <c r="Q13824" s="26" t="str">
        <f>HYPERLINK("https://ictv.global/taxonomy/taxondetails?taxnode_id=202501803&amp;ictv_id=ICTV20165179","ICTV20165179")</f>
        <v>ICTV20165179</v>
      </c>
      <c r="R13824" t="s">
        <v>580</v>
      </c>
      <c r="S13824" t="s">
        <v>824</v>
      </c>
      <c r="T13824">
        <v>37</v>
      </c>
      <c r="U13824" s="26" t="str">
        <f t="shared" si="514"/>
        <v>2021.036M.R.Rhabdoviridae_sprename.zip</v>
      </c>
    </row>
    <row r="13825" spans="1:21">
      <c r="A13825">
        <v>13824</v>
      </c>
      <c r="B13825" s="27" t="s">
        <v>1124</v>
      </c>
      <c r="D13825" s="27" t="s">
        <v>1859</v>
      </c>
      <c r="F13825" s="27" t="s">
        <v>938</v>
      </c>
      <c r="G13825" s="27" t="s">
        <v>939</v>
      </c>
      <c r="H13825" s="27" t="s">
        <v>945</v>
      </c>
      <c r="J13825" s="27" t="s">
        <v>238</v>
      </c>
      <c r="L13825" s="27" t="s">
        <v>346</v>
      </c>
      <c r="M13825" s="27" t="s">
        <v>3572</v>
      </c>
      <c r="N13825" s="27" t="s">
        <v>2018</v>
      </c>
      <c r="P13825" s="27" t="s">
        <v>9722</v>
      </c>
      <c r="Q13825" s="26" t="str">
        <f>HYPERLINK("https://ictv.global/taxonomy/taxondetails?taxnode_id=202507389&amp;ictv_id=ICTV201907389","ICTV201907389")</f>
        <v>ICTV201907389</v>
      </c>
      <c r="R13825" t="s">
        <v>580</v>
      </c>
      <c r="S13825" t="s">
        <v>824</v>
      </c>
      <c r="T13825">
        <v>37</v>
      </c>
      <c r="U13825" s="26" t="str">
        <f t="shared" si="514"/>
        <v>2021.036M.R.Rhabdoviridae_sprename.zip</v>
      </c>
    </row>
    <row r="13826" spans="1:21">
      <c r="A13826">
        <v>13825</v>
      </c>
      <c r="B13826" s="27" t="s">
        <v>1124</v>
      </c>
      <c r="D13826" s="27" t="s">
        <v>1859</v>
      </c>
      <c r="F13826" s="27" t="s">
        <v>938</v>
      </c>
      <c r="G13826" s="27" t="s">
        <v>939</v>
      </c>
      <c r="H13826" s="27" t="s">
        <v>945</v>
      </c>
      <c r="J13826" s="27" t="s">
        <v>238</v>
      </c>
      <c r="L13826" s="27" t="s">
        <v>346</v>
      </c>
      <c r="M13826" s="27" t="s">
        <v>3576</v>
      </c>
      <c r="N13826" s="27" t="s">
        <v>20249</v>
      </c>
      <c r="P13826" s="27" t="s">
        <v>20250</v>
      </c>
      <c r="Q13826" s="26" t="str">
        <f>HYPERLINK("https://ictv.global/taxonomy/taxondetails?taxnode_id=202514166&amp;ictv_id=ICTV202214166","ICTV202214166")</f>
        <v>ICTV202214166</v>
      </c>
      <c r="R13826" t="s">
        <v>580</v>
      </c>
      <c r="S13826" t="s">
        <v>22764</v>
      </c>
      <c r="T13826">
        <v>40</v>
      </c>
      <c r="U13826" s="26" t="str">
        <f t="shared" ref="U13826:U13872" si="515">HYPERLINK("https://ictv.global/ictv/proposals/2024.015P.Rhabdoviridae_Cytorhabdovirus_splitgen.zip","2024.015P.Rhabdoviridae_Cytorhabdovirus_splitgen.zip")</f>
        <v>2024.015P.Rhabdoviridae_Cytorhabdovirus_splitgen.zip</v>
      </c>
    </row>
    <row r="13827" spans="1:21">
      <c r="A13827">
        <v>13826</v>
      </c>
      <c r="B13827" s="27" t="s">
        <v>1124</v>
      </c>
      <c r="D13827" s="27" t="s">
        <v>1859</v>
      </c>
      <c r="F13827" s="27" t="s">
        <v>938</v>
      </c>
      <c r="G13827" s="27" t="s">
        <v>939</v>
      </c>
      <c r="H13827" s="27" t="s">
        <v>945</v>
      </c>
      <c r="J13827" s="27" t="s">
        <v>238</v>
      </c>
      <c r="L13827" s="27" t="s">
        <v>346</v>
      </c>
      <c r="M13827" s="27" t="s">
        <v>3576</v>
      </c>
      <c r="N13827" s="27" t="s">
        <v>20249</v>
      </c>
      <c r="P13827" s="27" t="s">
        <v>20251</v>
      </c>
      <c r="Q13827" s="26" t="str">
        <f>HYPERLINK("https://ictv.global/taxonomy/taxondetails?taxnode_id=202520631&amp;ictv_id=ICTV202420631","ICTV202420631")</f>
        <v>ICTV202420631</v>
      </c>
      <c r="R13827" t="s">
        <v>580</v>
      </c>
      <c r="S13827" t="s">
        <v>823</v>
      </c>
      <c r="T13827">
        <v>40</v>
      </c>
      <c r="U13827" s="26" t="str">
        <f t="shared" si="515"/>
        <v>2024.015P.Rhabdoviridae_Cytorhabdovirus_splitgen.zip</v>
      </c>
    </row>
    <row r="13828" spans="1:21">
      <c r="A13828">
        <v>13827</v>
      </c>
      <c r="B13828" s="27" t="s">
        <v>1124</v>
      </c>
      <c r="D13828" s="27" t="s">
        <v>1859</v>
      </c>
      <c r="F13828" s="27" t="s">
        <v>938</v>
      </c>
      <c r="G13828" s="27" t="s">
        <v>939</v>
      </c>
      <c r="H13828" s="27" t="s">
        <v>945</v>
      </c>
      <c r="J13828" s="27" t="s">
        <v>238</v>
      </c>
      <c r="L13828" s="27" t="s">
        <v>346</v>
      </c>
      <c r="M13828" s="27" t="s">
        <v>3576</v>
      </c>
      <c r="N13828" s="27" t="s">
        <v>20249</v>
      </c>
      <c r="P13828" s="27" t="s">
        <v>20252</v>
      </c>
      <c r="Q13828" s="26" t="str">
        <f>HYPERLINK("https://ictv.global/taxonomy/taxondetails?taxnode_id=202520633&amp;ictv_id=ICTV202420633","ICTV202420633")</f>
        <v>ICTV202420633</v>
      </c>
      <c r="R13828" t="s">
        <v>580</v>
      </c>
      <c r="S13828" t="s">
        <v>823</v>
      </c>
      <c r="T13828">
        <v>40</v>
      </c>
      <c r="U13828" s="26" t="str">
        <f t="shared" si="515"/>
        <v>2024.015P.Rhabdoviridae_Cytorhabdovirus_splitgen.zip</v>
      </c>
    </row>
    <row r="13829" spans="1:21">
      <c r="A13829">
        <v>13828</v>
      </c>
      <c r="B13829" s="27" t="s">
        <v>1124</v>
      </c>
      <c r="D13829" s="27" t="s">
        <v>1859</v>
      </c>
      <c r="F13829" s="27" t="s">
        <v>938</v>
      </c>
      <c r="G13829" s="27" t="s">
        <v>939</v>
      </c>
      <c r="H13829" s="27" t="s">
        <v>945</v>
      </c>
      <c r="J13829" s="27" t="s">
        <v>238</v>
      </c>
      <c r="L13829" s="27" t="s">
        <v>346</v>
      </c>
      <c r="M13829" s="27" t="s">
        <v>3576</v>
      </c>
      <c r="N13829" s="27" t="s">
        <v>20249</v>
      </c>
      <c r="P13829" s="27" t="s">
        <v>20253</v>
      </c>
      <c r="Q13829" s="26" t="str">
        <f>HYPERLINK("https://ictv.global/taxonomy/taxondetails?taxnode_id=202513309&amp;ictv_id=ICTV202113309","ICTV202113309")</f>
        <v>ICTV202113309</v>
      </c>
      <c r="R13829" t="s">
        <v>580</v>
      </c>
      <c r="S13829" t="s">
        <v>22764</v>
      </c>
      <c r="T13829">
        <v>40</v>
      </c>
      <c r="U13829" s="26" t="str">
        <f t="shared" si="515"/>
        <v>2024.015P.Rhabdoviridae_Cytorhabdovirus_splitgen.zip</v>
      </c>
    </row>
    <row r="13830" spans="1:21">
      <c r="A13830">
        <v>13829</v>
      </c>
      <c r="B13830" s="27" t="s">
        <v>1124</v>
      </c>
      <c r="D13830" s="27" t="s">
        <v>1859</v>
      </c>
      <c r="F13830" s="27" t="s">
        <v>938</v>
      </c>
      <c r="G13830" s="27" t="s">
        <v>939</v>
      </c>
      <c r="H13830" s="27" t="s">
        <v>945</v>
      </c>
      <c r="J13830" s="27" t="s">
        <v>238</v>
      </c>
      <c r="L13830" s="27" t="s">
        <v>346</v>
      </c>
      <c r="M13830" s="27" t="s">
        <v>3576</v>
      </c>
      <c r="N13830" s="27" t="s">
        <v>20249</v>
      </c>
      <c r="P13830" s="27" t="s">
        <v>20254</v>
      </c>
      <c r="Q13830" s="26" t="str">
        <f>HYPERLINK("https://ictv.global/taxonomy/taxondetails?taxnode_id=202508907&amp;ictv_id=ICTV202008907","ICTV202008907")</f>
        <v>ICTV202008907</v>
      </c>
      <c r="R13830" t="s">
        <v>580</v>
      </c>
      <c r="S13830" t="s">
        <v>22764</v>
      </c>
      <c r="T13830">
        <v>40</v>
      </c>
      <c r="U13830" s="26" t="str">
        <f t="shared" si="515"/>
        <v>2024.015P.Rhabdoviridae_Cytorhabdovirus_splitgen.zip</v>
      </c>
    </row>
    <row r="13831" spans="1:21">
      <c r="A13831">
        <v>13830</v>
      </c>
      <c r="B13831" s="27" t="s">
        <v>1124</v>
      </c>
      <c r="D13831" s="27" t="s">
        <v>1859</v>
      </c>
      <c r="F13831" s="27" t="s">
        <v>938</v>
      </c>
      <c r="G13831" s="27" t="s">
        <v>939</v>
      </c>
      <c r="H13831" s="27" t="s">
        <v>945</v>
      </c>
      <c r="J13831" s="27" t="s">
        <v>238</v>
      </c>
      <c r="L13831" s="27" t="s">
        <v>346</v>
      </c>
      <c r="M13831" s="27" t="s">
        <v>3576</v>
      </c>
      <c r="N13831" s="27" t="s">
        <v>20249</v>
      </c>
      <c r="P13831" s="27" t="s">
        <v>20255</v>
      </c>
      <c r="Q13831" s="26" t="str">
        <f>HYPERLINK("https://ictv.global/taxonomy/taxondetails?taxnode_id=202501667&amp;ictv_id=ICTV20151085","ICTV20151085")</f>
        <v>ICTV20151085</v>
      </c>
      <c r="R13831" t="s">
        <v>580</v>
      </c>
      <c r="S13831" t="s">
        <v>22764</v>
      </c>
      <c r="T13831">
        <v>40</v>
      </c>
      <c r="U13831" s="26" t="str">
        <f t="shared" si="515"/>
        <v>2024.015P.Rhabdoviridae_Cytorhabdovirus_splitgen.zip</v>
      </c>
    </row>
    <row r="13832" spans="1:21">
      <c r="A13832">
        <v>13831</v>
      </c>
      <c r="B13832" s="27" t="s">
        <v>1124</v>
      </c>
      <c r="D13832" s="27" t="s">
        <v>1859</v>
      </c>
      <c r="F13832" s="27" t="s">
        <v>938</v>
      </c>
      <c r="G13832" s="27" t="s">
        <v>939</v>
      </c>
      <c r="H13832" s="27" t="s">
        <v>945</v>
      </c>
      <c r="J13832" s="27" t="s">
        <v>238</v>
      </c>
      <c r="L13832" s="27" t="s">
        <v>346</v>
      </c>
      <c r="M13832" s="27" t="s">
        <v>3576</v>
      </c>
      <c r="N13832" s="27" t="s">
        <v>20249</v>
      </c>
      <c r="P13832" s="27" t="s">
        <v>20256</v>
      </c>
      <c r="Q13832" s="26" t="str">
        <f>HYPERLINK("https://ictv.global/taxonomy/taxondetails?taxnode_id=202517918&amp;ictv_id=ICTV202317918","ICTV202317918")</f>
        <v>ICTV202317918</v>
      </c>
      <c r="R13832" t="s">
        <v>580</v>
      </c>
      <c r="S13832" t="s">
        <v>22764</v>
      </c>
      <c r="T13832">
        <v>40</v>
      </c>
      <c r="U13832" s="26" t="str">
        <f t="shared" si="515"/>
        <v>2024.015P.Rhabdoviridae_Cytorhabdovirus_splitgen.zip</v>
      </c>
    </row>
    <row r="13833" spans="1:21">
      <c r="A13833">
        <v>13832</v>
      </c>
      <c r="B13833" s="27" t="s">
        <v>1124</v>
      </c>
      <c r="D13833" s="27" t="s">
        <v>1859</v>
      </c>
      <c r="F13833" s="27" t="s">
        <v>938</v>
      </c>
      <c r="G13833" s="27" t="s">
        <v>939</v>
      </c>
      <c r="H13833" s="27" t="s">
        <v>945</v>
      </c>
      <c r="J13833" s="27" t="s">
        <v>238</v>
      </c>
      <c r="L13833" s="27" t="s">
        <v>346</v>
      </c>
      <c r="M13833" s="27" t="s">
        <v>3576</v>
      </c>
      <c r="N13833" s="27" t="s">
        <v>20249</v>
      </c>
      <c r="P13833" s="27" t="s">
        <v>20257</v>
      </c>
      <c r="Q13833" s="26" t="str">
        <f>HYPERLINK("https://ictv.global/taxonomy/taxondetails?taxnode_id=202520634&amp;ictv_id=ICTV202420634","ICTV202420634")</f>
        <v>ICTV202420634</v>
      </c>
      <c r="R13833" t="s">
        <v>580</v>
      </c>
      <c r="S13833" t="s">
        <v>823</v>
      </c>
      <c r="T13833">
        <v>40</v>
      </c>
      <c r="U13833" s="26" t="str">
        <f t="shared" si="515"/>
        <v>2024.015P.Rhabdoviridae_Cytorhabdovirus_splitgen.zip</v>
      </c>
    </row>
    <row r="13834" spans="1:21">
      <c r="A13834">
        <v>13833</v>
      </c>
      <c r="B13834" s="27" t="s">
        <v>1124</v>
      </c>
      <c r="D13834" s="27" t="s">
        <v>1859</v>
      </c>
      <c r="F13834" s="27" t="s">
        <v>938</v>
      </c>
      <c r="G13834" s="27" t="s">
        <v>939</v>
      </c>
      <c r="H13834" s="27" t="s">
        <v>945</v>
      </c>
      <c r="J13834" s="27" t="s">
        <v>238</v>
      </c>
      <c r="L13834" s="27" t="s">
        <v>346</v>
      </c>
      <c r="M13834" s="27" t="s">
        <v>3576</v>
      </c>
      <c r="N13834" s="27" t="s">
        <v>20249</v>
      </c>
      <c r="P13834" s="27" t="s">
        <v>20258</v>
      </c>
      <c r="Q13834" s="26" t="str">
        <f>HYPERLINK("https://ictv.global/taxonomy/taxondetails?taxnode_id=202507671&amp;ictv_id=ICTV201907671","ICTV201907671")</f>
        <v>ICTV201907671</v>
      </c>
      <c r="R13834" t="s">
        <v>580</v>
      </c>
      <c r="S13834" t="s">
        <v>22764</v>
      </c>
      <c r="T13834">
        <v>40</v>
      </c>
      <c r="U13834" s="26" t="str">
        <f t="shared" si="515"/>
        <v>2024.015P.Rhabdoviridae_Cytorhabdovirus_splitgen.zip</v>
      </c>
    </row>
    <row r="13835" spans="1:21">
      <c r="A13835">
        <v>13834</v>
      </c>
      <c r="B13835" s="27" t="s">
        <v>1124</v>
      </c>
      <c r="D13835" s="27" t="s">
        <v>1859</v>
      </c>
      <c r="F13835" s="27" t="s">
        <v>938</v>
      </c>
      <c r="G13835" s="27" t="s">
        <v>939</v>
      </c>
      <c r="H13835" s="27" t="s">
        <v>945</v>
      </c>
      <c r="J13835" s="27" t="s">
        <v>238</v>
      </c>
      <c r="L13835" s="27" t="s">
        <v>346</v>
      </c>
      <c r="M13835" s="27" t="s">
        <v>3576</v>
      </c>
      <c r="N13835" s="27" t="s">
        <v>20249</v>
      </c>
      <c r="P13835" s="27" t="s">
        <v>20259</v>
      </c>
      <c r="Q13835" s="26" t="str">
        <f>HYPERLINK("https://ictv.global/taxonomy/taxondetails?taxnode_id=202508908&amp;ictv_id=ICTV202008908","ICTV202008908")</f>
        <v>ICTV202008908</v>
      </c>
      <c r="R13835" t="s">
        <v>580</v>
      </c>
      <c r="S13835" t="s">
        <v>22764</v>
      </c>
      <c r="T13835">
        <v>40</v>
      </c>
      <c r="U13835" s="26" t="str">
        <f t="shared" si="515"/>
        <v>2024.015P.Rhabdoviridae_Cytorhabdovirus_splitgen.zip</v>
      </c>
    </row>
    <row r="13836" spans="1:21">
      <c r="A13836">
        <v>13835</v>
      </c>
      <c r="B13836" s="27" t="s">
        <v>1124</v>
      </c>
      <c r="D13836" s="27" t="s">
        <v>1859</v>
      </c>
      <c r="F13836" s="27" t="s">
        <v>938</v>
      </c>
      <c r="G13836" s="27" t="s">
        <v>939</v>
      </c>
      <c r="H13836" s="27" t="s">
        <v>945</v>
      </c>
      <c r="J13836" s="27" t="s">
        <v>238</v>
      </c>
      <c r="L13836" s="27" t="s">
        <v>346</v>
      </c>
      <c r="M13836" s="27" t="s">
        <v>3576</v>
      </c>
      <c r="N13836" s="27" t="s">
        <v>20249</v>
      </c>
      <c r="P13836" s="27" t="s">
        <v>20260</v>
      </c>
      <c r="Q13836" s="26" t="str">
        <f>HYPERLINK("https://ictv.global/taxonomy/taxondetails?taxnode_id=202507675&amp;ictv_id=ICTV201907675","ICTV201907675")</f>
        <v>ICTV201907675</v>
      </c>
      <c r="R13836" t="s">
        <v>580</v>
      </c>
      <c r="S13836" t="s">
        <v>22764</v>
      </c>
      <c r="T13836">
        <v>40</v>
      </c>
      <c r="U13836" s="26" t="str">
        <f t="shared" si="515"/>
        <v>2024.015P.Rhabdoviridae_Cytorhabdovirus_splitgen.zip</v>
      </c>
    </row>
    <row r="13837" spans="1:21">
      <c r="A13837">
        <v>13836</v>
      </c>
      <c r="B13837" s="27" t="s">
        <v>1124</v>
      </c>
      <c r="D13837" s="27" t="s">
        <v>1859</v>
      </c>
      <c r="F13837" s="27" t="s">
        <v>938</v>
      </c>
      <c r="G13837" s="27" t="s">
        <v>939</v>
      </c>
      <c r="H13837" s="27" t="s">
        <v>945</v>
      </c>
      <c r="J13837" s="27" t="s">
        <v>238</v>
      </c>
      <c r="L13837" s="27" t="s">
        <v>346</v>
      </c>
      <c r="M13837" s="27" t="s">
        <v>3576</v>
      </c>
      <c r="N13837" s="27" t="s">
        <v>20249</v>
      </c>
      <c r="P13837" s="27" t="s">
        <v>20261</v>
      </c>
      <c r="Q13837" s="26" t="str">
        <f>HYPERLINK("https://ictv.global/taxonomy/taxondetails?taxnode_id=202520632&amp;ictv_id=ICTV202420632","ICTV202420632")</f>
        <v>ICTV202420632</v>
      </c>
      <c r="R13837" t="s">
        <v>580</v>
      </c>
      <c r="S13837" t="s">
        <v>823</v>
      </c>
      <c r="T13837">
        <v>40</v>
      </c>
      <c r="U13837" s="26" t="str">
        <f t="shared" si="515"/>
        <v>2024.015P.Rhabdoviridae_Cytorhabdovirus_splitgen.zip</v>
      </c>
    </row>
    <row r="13838" spans="1:21">
      <c r="A13838">
        <v>13837</v>
      </c>
      <c r="B13838" s="27" t="s">
        <v>1124</v>
      </c>
      <c r="D13838" s="27" t="s">
        <v>1859</v>
      </c>
      <c r="F13838" s="27" t="s">
        <v>938</v>
      </c>
      <c r="G13838" s="27" t="s">
        <v>939</v>
      </c>
      <c r="H13838" s="27" t="s">
        <v>945</v>
      </c>
      <c r="J13838" s="27" t="s">
        <v>238</v>
      </c>
      <c r="L13838" s="27" t="s">
        <v>346</v>
      </c>
      <c r="M13838" s="27" t="s">
        <v>3576</v>
      </c>
      <c r="N13838" s="27" t="s">
        <v>20249</v>
      </c>
      <c r="P13838" s="27" t="s">
        <v>20262</v>
      </c>
      <c r="Q13838" s="26" t="str">
        <f>HYPERLINK("https://ictv.global/taxonomy/taxondetails?taxnode_id=202514168&amp;ictv_id=ICTV202214168","ICTV202214168")</f>
        <v>ICTV202214168</v>
      </c>
      <c r="R13838" t="s">
        <v>580</v>
      </c>
      <c r="S13838" t="s">
        <v>22764</v>
      </c>
      <c r="T13838">
        <v>40</v>
      </c>
      <c r="U13838" s="26" t="str">
        <f t="shared" si="515"/>
        <v>2024.015P.Rhabdoviridae_Cytorhabdovirus_splitgen.zip</v>
      </c>
    </row>
    <row r="13839" spans="1:21">
      <c r="A13839">
        <v>13838</v>
      </c>
      <c r="B13839" s="27" t="s">
        <v>1124</v>
      </c>
      <c r="D13839" s="27" t="s">
        <v>1859</v>
      </c>
      <c r="F13839" s="27" t="s">
        <v>938</v>
      </c>
      <c r="G13839" s="27" t="s">
        <v>939</v>
      </c>
      <c r="H13839" s="27" t="s">
        <v>945</v>
      </c>
      <c r="J13839" s="27" t="s">
        <v>238</v>
      </c>
      <c r="L13839" s="27" t="s">
        <v>346</v>
      </c>
      <c r="M13839" s="27" t="s">
        <v>3576</v>
      </c>
      <c r="N13839" s="27" t="s">
        <v>20249</v>
      </c>
      <c r="P13839" s="27" t="s">
        <v>20263</v>
      </c>
      <c r="Q13839" s="26" t="str">
        <f>HYPERLINK("https://ictv.global/taxonomy/taxondetails?taxnode_id=202520635&amp;ictv_id=ICTV202420635","ICTV202420635")</f>
        <v>ICTV202420635</v>
      </c>
      <c r="R13839" t="s">
        <v>580</v>
      </c>
      <c r="S13839" t="s">
        <v>823</v>
      </c>
      <c r="T13839">
        <v>40</v>
      </c>
      <c r="U13839" s="26" t="str">
        <f t="shared" si="515"/>
        <v>2024.015P.Rhabdoviridae_Cytorhabdovirus_splitgen.zip</v>
      </c>
    </row>
    <row r="13840" spans="1:21">
      <c r="A13840">
        <v>13839</v>
      </c>
      <c r="B13840" s="27" t="s">
        <v>1124</v>
      </c>
      <c r="D13840" s="27" t="s">
        <v>1859</v>
      </c>
      <c r="F13840" s="27" t="s">
        <v>938</v>
      </c>
      <c r="G13840" s="27" t="s">
        <v>939</v>
      </c>
      <c r="H13840" s="27" t="s">
        <v>945</v>
      </c>
      <c r="J13840" s="27" t="s">
        <v>238</v>
      </c>
      <c r="L13840" s="27" t="s">
        <v>346</v>
      </c>
      <c r="M13840" s="27" t="s">
        <v>3576</v>
      </c>
      <c r="N13840" s="27" t="s">
        <v>20249</v>
      </c>
      <c r="P13840" s="27" t="s">
        <v>20264</v>
      </c>
      <c r="Q13840" s="26" t="str">
        <f>HYPERLINK("https://ictv.global/taxonomy/taxondetails?taxnode_id=202513308&amp;ictv_id=ICTV202113308","ICTV202113308")</f>
        <v>ICTV202113308</v>
      </c>
      <c r="R13840" t="s">
        <v>580</v>
      </c>
      <c r="S13840" t="s">
        <v>22764</v>
      </c>
      <c r="T13840">
        <v>40</v>
      </c>
      <c r="U13840" s="26" t="str">
        <f t="shared" si="515"/>
        <v>2024.015P.Rhabdoviridae_Cytorhabdovirus_splitgen.zip</v>
      </c>
    </row>
    <row r="13841" spans="1:21">
      <c r="A13841">
        <v>13840</v>
      </c>
      <c r="B13841" s="27" t="s">
        <v>1124</v>
      </c>
      <c r="D13841" s="27" t="s">
        <v>1859</v>
      </c>
      <c r="F13841" s="27" t="s">
        <v>938</v>
      </c>
      <c r="G13841" s="27" t="s">
        <v>939</v>
      </c>
      <c r="H13841" s="27" t="s">
        <v>945</v>
      </c>
      <c r="J13841" s="27" t="s">
        <v>238</v>
      </c>
      <c r="L13841" s="27" t="s">
        <v>346</v>
      </c>
      <c r="M13841" s="27" t="s">
        <v>3576</v>
      </c>
      <c r="N13841" s="27" t="s">
        <v>20249</v>
      </c>
      <c r="P13841" s="27" t="s">
        <v>20265</v>
      </c>
      <c r="Q13841" s="26" t="str">
        <f>HYPERLINK("https://ictv.global/taxonomy/taxondetails?taxnode_id=202520636&amp;ictv_id=ICTV202420636","ICTV202420636")</f>
        <v>ICTV202420636</v>
      </c>
      <c r="R13841" t="s">
        <v>580</v>
      </c>
      <c r="S13841" t="s">
        <v>823</v>
      </c>
      <c r="T13841">
        <v>40</v>
      </c>
      <c r="U13841" s="26" t="str">
        <f t="shared" si="515"/>
        <v>2024.015P.Rhabdoviridae_Cytorhabdovirus_splitgen.zip</v>
      </c>
    </row>
    <row r="13842" spans="1:21">
      <c r="A13842">
        <v>13841</v>
      </c>
      <c r="B13842" s="27" t="s">
        <v>1124</v>
      </c>
      <c r="D13842" s="27" t="s">
        <v>1859</v>
      </c>
      <c r="F13842" s="27" t="s">
        <v>938</v>
      </c>
      <c r="G13842" s="27" t="s">
        <v>939</v>
      </c>
      <c r="H13842" s="27" t="s">
        <v>945</v>
      </c>
      <c r="J13842" s="27" t="s">
        <v>238</v>
      </c>
      <c r="L13842" s="27" t="s">
        <v>346</v>
      </c>
      <c r="M13842" s="27" t="s">
        <v>3576</v>
      </c>
      <c r="N13842" s="27" t="s">
        <v>20249</v>
      </c>
      <c r="P13842" s="27" t="s">
        <v>20266</v>
      </c>
      <c r="Q13842" s="26" t="str">
        <f>HYPERLINK("https://ictv.global/taxonomy/taxondetails?taxnode_id=202520637&amp;ictv_id=ICTV202420637","ICTV202420637")</f>
        <v>ICTV202420637</v>
      </c>
      <c r="R13842" t="s">
        <v>580</v>
      </c>
      <c r="S13842" t="s">
        <v>823</v>
      </c>
      <c r="T13842">
        <v>40</v>
      </c>
      <c r="U13842" s="26" t="str">
        <f t="shared" si="515"/>
        <v>2024.015P.Rhabdoviridae_Cytorhabdovirus_splitgen.zip</v>
      </c>
    </row>
    <row r="13843" spans="1:21">
      <c r="A13843">
        <v>13842</v>
      </c>
      <c r="B13843" s="27" t="s">
        <v>1124</v>
      </c>
      <c r="D13843" s="27" t="s">
        <v>1859</v>
      </c>
      <c r="F13843" s="27" t="s">
        <v>938</v>
      </c>
      <c r="G13843" s="27" t="s">
        <v>939</v>
      </c>
      <c r="H13843" s="27" t="s">
        <v>945</v>
      </c>
      <c r="J13843" s="27" t="s">
        <v>238</v>
      </c>
      <c r="L13843" s="27" t="s">
        <v>346</v>
      </c>
      <c r="M13843" s="27" t="s">
        <v>3576</v>
      </c>
      <c r="N13843" s="27" t="s">
        <v>20249</v>
      </c>
      <c r="P13843" s="27" t="s">
        <v>20267</v>
      </c>
      <c r="Q13843" s="26" t="str">
        <f>HYPERLINK("https://ictv.global/taxonomy/taxondetails?taxnode_id=202517923&amp;ictv_id=ICTV202317923","ICTV202317923")</f>
        <v>ICTV202317923</v>
      </c>
      <c r="R13843" t="s">
        <v>580</v>
      </c>
      <c r="S13843" t="s">
        <v>22764</v>
      </c>
      <c r="T13843">
        <v>40</v>
      </c>
      <c r="U13843" s="26" t="str">
        <f t="shared" si="515"/>
        <v>2024.015P.Rhabdoviridae_Cytorhabdovirus_splitgen.zip</v>
      </c>
    </row>
    <row r="13844" spans="1:21">
      <c r="A13844">
        <v>13843</v>
      </c>
      <c r="B13844" s="27" t="s">
        <v>1124</v>
      </c>
      <c r="D13844" s="27" t="s">
        <v>1859</v>
      </c>
      <c r="F13844" s="27" t="s">
        <v>938</v>
      </c>
      <c r="G13844" s="27" t="s">
        <v>939</v>
      </c>
      <c r="H13844" s="27" t="s">
        <v>945</v>
      </c>
      <c r="J13844" s="27" t="s">
        <v>238</v>
      </c>
      <c r="L13844" s="27" t="s">
        <v>346</v>
      </c>
      <c r="M13844" s="27" t="s">
        <v>3576</v>
      </c>
      <c r="N13844" s="27" t="s">
        <v>20249</v>
      </c>
      <c r="P13844" s="27" t="s">
        <v>20268</v>
      </c>
      <c r="Q13844" s="26" t="str">
        <f>HYPERLINK("https://ictv.global/taxonomy/taxondetails?taxnode_id=202520638&amp;ictv_id=ICTV202420638","ICTV202420638")</f>
        <v>ICTV202420638</v>
      </c>
      <c r="R13844" t="s">
        <v>580</v>
      </c>
      <c r="S13844" t="s">
        <v>823</v>
      </c>
      <c r="T13844">
        <v>40</v>
      </c>
      <c r="U13844" s="26" t="str">
        <f t="shared" si="515"/>
        <v>2024.015P.Rhabdoviridae_Cytorhabdovirus_splitgen.zip</v>
      </c>
    </row>
    <row r="13845" spans="1:21">
      <c r="A13845">
        <v>13844</v>
      </c>
      <c r="B13845" s="27" t="s">
        <v>1124</v>
      </c>
      <c r="D13845" s="27" t="s">
        <v>1859</v>
      </c>
      <c r="F13845" s="27" t="s">
        <v>938</v>
      </c>
      <c r="G13845" s="27" t="s">
        <v>939</v>
      </c>
      <c r="H13845" s="27" t="s">
        <v>945</v>
      </c>
      <c r="J13845" s="27" t="s">
        <v>238</v>
      </c>
      <c r="L13845" s="27" t="s">
        <v>346</v>
      </c>
      <c r="M13845" s="27" t="s">
        <v>3576</v>
      </c>
      <c r="N13845" s="27" t="s">
        <v>20249</v>
      </c>
      <c r="P13845" s="27" t="s">
        <v>20269</v>
      </c>
      <c r="Q13845" s="26" t="str">
        <f>HYPERLINK("https://ictv.global/taxonomy/taxondetails?taxnode_id=202520639&amp;ictv_id=ICTV202420639","ICTV202420639")</f>
        <v>ICTV202420639</v>
      </c>
      <c r="R13845" t="s">
        <v>580</v>
      </c>
      <c r="S13845" t="s">
        <v>823</v>
      </c>
      <c r="T13845">
        <v>40</v>
      </c>
      <c r="U13845" s="26" t="str">
        <f t="shared" si="515"/>
        <v>2024.015P.Rhabdoviridae_Cytorhabdovirus_splitgen.zip</v>
      </c>
    </row>
    <row r="13846" spans="1:21">
      <c r="A13846">
        <v>13845</v>
      </c>
      <c r="B13846" s="27" t="s">
        <v>1124</v>
      </c>
      <c r="D13846" s="27" t="s">
        <v>1859</v>
      </c>
      <c r="F13846" s="27" t="s">
        <v>938</v>
      </c>
      <c r="G13846" s="27" t="s">
        <v>939</v>
      </c>
      <c r="H13846" s="27" t="s">
        <v>945</v>
      </c>
      <c r="J13846" s="27" t="s">
        <v>238</v>
      </c>
      <c r="L13846" s="27" t="s">
        <v>346</v>
      </c>
      <c r="M13846" s="27" t="s">
        <v>3576</v>
      </c>
      <c r="N13846" s="27" t="s">
        <v>20249</v>
      </c>
      <c r="P13846" s="27" t="s">
        <v>20270</v>
      </c>
      <c r="Q13846" s="26" t="str">
        <f>HYPERLINK("https://ictv.global/taxonomy/taxondetails?taxnode_id=202520640&amp;ictv_id=ICTV202420640","ICTV202420640")</f>
        <v>ICTV202420640</v>
      </c>
      <c r="R13846" t="s">
        <v>580</v>
      </c>
      <c r="S13846" t="s">
        <v>823</v>
      </c>
      <c r="T13846">
        <v>40</v>
      </c>
      <c r="U13846" s="26" t="str">
        <f t="shared" si="515"/>
        <v>2024.015P.Rhabdoviridae_Cytorhabdovirus_splitgen.zip</v>
      </c>
    </row>
    <row r="13847" spans="1:21">
      <c r="A13847">
        <v>13846</v>
      </c>
      <c r="B13847" s="27" t="s">
        <v>1124</v>
      </c>
      <c r="D13847" s="27" t="s">
        <v>1859</v>
      </c>
      <c r="F13847" s="27" t="s">
        <v>938</v>
      </c>
      <c r="G13847" s="27" t="s">
        <v>939</v>
      </c>
      <c r="H13847" s="27" t="s">
        <v>945</v>
      </c>
      <c r="J13847" s="27" t="s">
        <v>238</v>
      </c>
      <c r="L13847" s="27" t="s">
        <v>346</v>
      </c>
      <c r="M13847" s="27" t="s">
        <v>3576</v>
      </c>
      <c r="N13847" s="27" t="s">
        <v>20249</v>
      </c>
      <c r="P13847" s="27" t="s">
        <v>20271</v>
      </c>
      <c r="Q13847" s="26" t="str">
        <f>HYPERLINK("https://ictv.global/taxonomy/taxondetails?taxnode_id=202520641&amp;ictv_id=ICTV202420641","ICTV202420641")</f>
        <v>ICTV202420641</v>
      </c>
      <c r="R13847" t="s">
        <v>580</v>
      </c>
      <c r="S13847" t="s">
        <v>823</v>
      </c>
      <c r="T13847">
        <v>40</v>
      </c>
      <c r="U13847" s="26" t="str">
        <f t="shared" si="515"/>
        <v>2024.015P.Rhabdoviridae_Cytorhabdovirus_splitgen.zip</v>
      </c>
    </row>
    <row r="13848" spans="1:21">
      <c r="A13848">
        <v>13847</v>
      </c>
      <c r="B13848" s="27" t="s">
        <v>1124</v>
      </c>
      <c r="D13848" s="27" t="s">
        <v>1859</v>
      </c>
      <c r="F13848" s="27" t="s">
        <v>938</v>
      </c>
      <c r="G13848" s="27" t="s">
        <v>939</v>
      </c>
      <c r="H13848" s="27" t="s">
        <v>945</v>
      </c>
      <c r="J13848" s="27" t="s">
        <v>238</v>
      </c>
      <c r="L13848" s="27" t="s">
        <v>346</v>
      </c>
      <c r="M13848" s="27" t="s">
        <v>3576</v>
      </c>
      <c r="N13848" s="27" t="s">
        <v>20249</v>
      </c>
      <c r="P13848" s="27" t="s">
        <v>20272</v>
      </c>
      <c r="Q13848" s="26" t="str">
        <f>HYPERLINK("https://ictv.global/taxonomy/taxondetails?taxnode_id=202508909&amp;ictv_id=ICTV202008909","ICTV202008909")</f>
        <v>ICTV202008909</v>
      </c>
      <c r="R13848" t="s">
        <v>580</v>
      </c>
      <c r="S13848" t="s">
        <v>22764</v>
      </c>
      <c r="T13848">
        <v>40</v>
      </c>
      <c r="U13848" s="26" t="str">
        <f t="shared" si="515"/>
        <v>2024.015P.Rhabdoviridae_Cytorhabdovirus_splitgen.zip</v>
      </c>
    </row>
    <row r="13849" spans="1:21">
      <c r="A13849">
        <v>13848</v>
      </c>
      <c r="B13849" s="27" t="s">
        <v>1124</v>
      </c>
      <c r="D13849" s="27" t="s">
        <v>1859</v>
      </c>
      <c r="F13849" s="27" t="s">
        <v>938</v>
      </c>
      <c r="G13849" s="27" t="s">
        <v>939</v>
      </c>
      <c r="H13849" s="27" t="s">
        <v>945</v>
      </c>
      <c r="J13849" s="27" t="s">
        <v>238</v>
      </c>
      <c r="L13849" s="27" t="s">
        <v>346</v>
      </c>
      <c r="M13849" s="27" t="s">
        <v>3576</v>
      </c>
      <c r="N13849" s="27" t="s">
        <v>20249</v>
      </c>
      <c r="P13849" s="27" t="s">
        <v>20273</v>
      </c>
      <c r="Q13849" s="26" t="str">
        <f>HYPERLINK("https://ictv.global/taxonomy/taxondetails?taxnode_id=202507676&amp;ictv_id=ICTV201907676","ICTV201907676")</f>
        <v>ICTV201907676</v>
      </c>
      <c r="R13849" t="s">
        <v>580</v>
      </c>
      <c r="S13849" t="s">
        <v>22764</v>
      </c>
      <c r="T13849">
        <v>40</v>
      </c>
      <c r="U13849" s="26" t="str">
        <f t="shared" si="515"/>
        <v>2024.015P.Rhabdoviridae_Cytorhabdovirus_splitgen.zip</v>
      </c>
    </row>
    <row r="13850" spans="1:21">
      <c r="A13850">
        <v>13849</v>
      </c>
      <c r="B13850" s="27" t="s">
        <v>1124</v>
      </c>
      <c r="D13850" s="27" t="s">
        <v>1859</v>
      </c>
      <c r="F13850" s="27" t="s">
        <v>938</v>
      </c>
      <c r="G13850" s="27" t="s">
        <v>939</v>
      </c>
      <c r="H13850" s="27" t="s">
        <v>945</v>
      </c>
      <c r="J13850" s="27" t="s">
        <v>238</v>
      </c>
      <c r="L13850" s="27" t="s">
        <v>346</v>
      </c>
      <c r="M13850" s="27" t="s">
        <v>3576</v>
      </c>
      <c r="N13850" s="27" t="s">
        <v>20249</v>
      </c>
      <c r="P13850" s="27" t="s">
        <v>20274</v>
      </c>
      <c r="Q13850" s="26" t="str">
        <f>HYPERLINK("https://ictv.global/taxonomy/taxondetails?taxnode_id=202507666&amp;ictv_id=ICTV201907666","ICTV201907666")</f>
        <v>ICTV201907666</v>
      </c>
      <c r="R13850" t="s">
        <v>580</v>
      </c>
      <c r="S13850" t="s">
        <v>22764</v>
      </c>
      <c r="T13850">
        <v>40</v>
      </c>
      <c r="U13850" s="26" t="str">
        <f t="shared" si="515"/>
        <v>2024.015P.Rhabdoviridae_Cytorhabdovirus_splitgen.zip</v>
      </c>
    </row>
    <row r="13851" spans="1:21">
      <c r="A13851">
        <v>13850</v>
      </c>
      <c r="B13851" s="27" t="s">
        <v>1124</v>
      </c>
      <c r="D13851" s="27" t="s">
        <v>1859</v>
      </c>
      <c r="F13851" s="27" t="s">
        <v>938</v>
      </c>
      <c r="G13851" s="27" t="s">
        <v>939</v>
      </c>
      <c r="H13851" s="27" t="s">
        <v>945</v>
      </c>
      <c r="J13851" s="27" t="s">
        <v>238</v>
      </c>
      <c r="L13851" s="27" t="s">
        <v>346</v>
      </c>
      <c r="M13851" s="27" t="s">
        <v>3576</v>
      </c>
      <c r="N13851" s="27" t="s">
        <v>20249</v>
      </c>
      <c r="P13851" s="27" t="s">
        <v>20275</v>
      </c>
      <c r="Q13851" s="26" t="str">
        <f>HYPERLINK("https://ictv.global/taxonomy/taxondetails?taxnode_id=202520642&amp;ictv_id=ICTV202420642","ICTV202420642")</f>
        <v>ICTV202420642</v>
      </c>
      <c r="R13851" t="s">
        <v>580</v>
      </c>
      <c r="S13851" t="s">
        <v>823</v>
      </c>
      <c r="T13851">
        <v>40</v>
      </c>
      <c r="U13851" s="26" t="str">
        <f t="shared" si="515"/>
        <v>2024.015P.Rhabdoviridae_Cytorhabdovirus_splitgen.zip</v>
      </c>
    </row>
    <row r="13852" spans="1:21">
      <c r="A13852">
        <v>13851</v>
      </c>
      <c r="B13852" s="27" t="s">
        <v>1124</v>
      </c>
      <c r="D13852" s="27" t="s">
        <v>1859</v>
      </c>
      <c r="F13852" s="27" t="s">
        <v>938</v>
      </c>
      <c r="G13852" s="27" t="s">
        <v>939</v>
      </c>
      <c r="H13852" s="27" t="s">
        <v>945</v>
      </c>
      <c r="J13852" s="27" t="s">
        <v>238</v>
      </c>
      <c r="L13852" s="27" t="s">
        <v>346</v>
      </c>
      <c r="M13852" s="27" t="s">
        <v>3576</v>
      </c>
      <c r="N13852" s="27" t="s">
        <v>20249</v>
      </c>
      <c r="P13852" s="27" t="s">
        <v>20276</v>
      </c>
      <c r="Q13852" s="26" t="str">
        <f>HYPERLINK("https://ictv.global/taxonomy/taxondetails?taxnode_id=202520643&amp;ictv_id=ICTV202420643","ICTV202420643")</f>
        <v>ICTV202420643</v>
      </c>
      <c r="R13852" t="s">
        <v>580</v>
      </c>
      <c r="S13852" t="s">
        <v>823</v>
      </c>
      <c r="T13852">
        <v>40</v>
      </c>
      <c r="U13852" s="26" t="str">
        <f t="shared" si="515"/>
        <v>2024.015P.Rhabdoviridae_Cytorhabdovirus_splitgen.zip</v>
      </c>
    </row>
    <row r="13853" spans="1:21">
      <c r="A13853">
        <v>13852</v>
      </c>
      <c r="B13853" s="27" t="s">
        <v>1124</v>
      </c>
      <c r="D13853" s="27" t="s">
        <v>1859</v>
      </c>
      <c r="F13853" s="27" t="s">
        <v>938</v>
      </c>
      <c r="G13853" s="27" t="s">
        <v>939</v>
      </c>
      <c r="H13853" s="27" t="s">
        <v>945</v>
      </c>
      <c r="J13853" s="27" t="s">
        <v>238</v>
      </c>
      <c r="L13853" s="27" t="s">
        <v>346</v>
      </c>
      <c r="M13853" s="27" t="s">
        <v>3576</v>
      </c>
      <c r="N13853" s="27" t="s">
        <v>20249</v>
      </c>
      <c r="P13853" s="27" t="s">
        <v>20277</v>
      </c>
      <c r="Q13853" s="26" t="str">
        <f>HYPERLINK("https://ictv.global/taxonomy/taxondetails?taxnode_id=202520644&amp;ictv_id=ICTV202420644","ICTV202420644")</f>
        <v>ICTV202420644</v>
      </c>
      <c r="R13853" t="s">
        <v>580</v>
      </c>
      <c r="S13853" t="s">
        <v>823</v>
      </c>
      <c r="T13853">
        <v>40</v>
      </c>
      <c r="U13853" s="26" t="str">
        <f t="shared" si="515"/>
        <v>2024.015P.Rhabdoviridae_Cytorhabdovirus_splitgen.zip</v>
      </c>
    </row>
    <row r="13854" spans="1:21">
      <c r="A13854">
        <v>13853</v>
      </c>
      <c r="B13854" s="27" t="s">
        <v>1124</v>
      </c>
      <c r="D13854" s="27" t="s">
        <v>1859</v>
      </c>
      <c r="F13854" s="27" t="s">
        <v>938</v>
      </c>
      <c r="G13854" s="27" t="s">
        <v>939</v>
      </c>
      <c r="H13854" s="27" t="s">
        <v>945</v>
      </c>
      <c r="J13854" s="27" t="s">
        <v>238</v>
      </c>
      <c r="L13854" s="27" t="s">
        <v>346</v>
      </c>
      <c r="M13854" s="27" t="s">
        <v>3576</v>
      </c>
      <c r="N13854" s="27" t="s">
        <v>20249</v>
      </c>
      <c r="P13854" s="27" t="s">
        <v>20278</v>
      </c>
      <c r="Q13854" s="26" t="str">
        <f>HYPERLINK("https://ictv.global/taxonomy/taxondetails?taxnode_id=202520645&amp;ictv_id=ICTV202420645","ICTV202420645")</f>
        <v>ICTV202420645</v>
      </c>
      <c r="R13854" t="s">
        <v>580</v>
      </c>
      <c r="S13854" t="s">
        <v>823</v>
      </c>
      <c r="T13854">
        <v>40</v>
      </c>
      <c r="U13854" s="26" t="str">
        <f t="shared" si="515"/>
        <v>2024.015P.Rhabdoviridae_Cytorhabdovirus_splitgen.zip</v>
      </c>
    </row>
    <row r="13855" spans="1:21">
      <c r="A13855">
        <v>13854</v>
      </c>
      <c r="B13855" s="27" t="s">
        <v>1124</v>
      </c>
      <c r="D13855" s="27" t="s">
        <v>1859</v>
      </c>
      <c r="F13855" s="27" t="s">
        <v>938</v>
      </c>
      <c r="G13855" s="27" t="s">
        <v>939</v>
      </c>
      <c r="H13855" s="27" t="s">
        <v>945</v>
      </c>
      <c r="J13855" s="27" t="s">
        <v>238</v>
      </c>
      <c r="L13855" s="27" t="s">
        <v>346</v>
      </c>
      <c r="M13855" s="27" t="s">
        <v>3576</v>
      </c>
      <c r="N13855" s="27" t="s">
        <v>20249</v>
      </c>
      <c r="P13855" s="27" t="s">
        <v>20279</v>
      </c>
      <c r="Q13855" s="26" t="str">
        <f>HYPERLINK("https://ictv.global/taxonomy/taxondetails?taxnode_id=202520646&amp;ictv_id=ICTV202420646","ICTV202420646")</f>
        <v>ICTV202420646</v>
      </c>
      <c r="R13855" t="s">
        <v>580</v>
      </c>
      <c r="S13855" t="s">
        <v>823</v>
      </c>
      <c r="T13855">
        <v>40</v>
      </c>
      <c r="U13855" s="26" t="str">
        <f t="shared" si="515"/>
        <v>2024.015P.Rhabdoviridae_Cytorhabdovirus_splitgen.zip</v>
      </c>
    </row>
    <row r="13856" spans="1:21">
      <c r="A13856">
        <v>13855</v>
      </c>
      <c r="B13856" s="27" t="s">
        <v>1124</v>
      </c>
      <c r="D13856" s="27" t="s">
        <v>1859</v>
      </c>
      <c r="F13856" s="27" t="s">
        <v>938</v>
      </c>
      <c r="G13856" s="27" t="s">
        <v>939</v>
      </c>
      <c r="H13856" s="27" t="s">
        <v>945</v>
      </c>
      <c r="J13856" s="27" t="s">
        <v>238</v>
      </c>
      <c r="L13856" s="27" t="s">
        <v>346</v>
      </c>
      <c r="M13856" s="27" t="s">
        <v>3576</v>
      </c>
      <c r="N13856" s="27" t="s">
        <v>20249</v>
      </c>
      <c r="P13856" s="27" t="s">
        <v>20280</v>
      </c>
      <c r="Q13856" s="26" t="str">
        <f>HYPERLINK("https://ictv.global/taxonomy/taxondetails?taxnode_id=202520647&amp;ictv_id=ICTV202420647","ICTV202420647")</f>
        <v>ICTV202420647</v>
      </c>
      <c r="R13856" t="s">
        <v>580</v>
      </c>
      <c r="S13856" t="s">
        <v>823</v>
      </c>
      <c r="T13856">
        <v>40</v>
      </c>
      <c r="U13856" s="26" t="str">
        <f t="shared" si="515"/>
        <v>2024.015P.Rhabdoviridae_Cytorhabdovirus_splitgen.zip</v>
      </c>
    </row>
    <row r="13857" spans="1:21">
      <c r="A13857">
        <v>13856</v>
      </c>
      <c r="B13857" s="27" t="s">
        <v>1124</v>
      </c>
      <c r="D13857" s="27" t="s">
        <v>1859</v>
      </c>
      <c r="F13857" s="27" t="s">
        <v>938</v>
      </c>
      <c r="G13857" s="27" t="s">
        <v>939</v>
      </c>
      <c r="H13857" s="27" t="s">
        <v>945</v>
      </c>
      <c r="J13857" s="27" t="s">
        <v>238</v>
      </c>
      <c r="L13857" s="27" t="s">
        <v>346</v>
      </c>
      <c r="M13857" s="27" t="s">
        <v>3576</v>
      </c>
      <c r="N13857" s="27" t="s">
        <v>20249</v>
      </c>
      <c r="P13857" s="27" t="s">
        <v>20281</v>
      </c>
      <c r="Q13857" s="26" t="str">
        <f>HYPERLINK("https://ictv.global/taxonomy/taxondetails?taxnode_id=202517915&amp;ictv_id=ICTV202317915","ICTV202317915")</f>
        <v>ICTV202317915</v>
      </c>
      <c r="R13857" t="s">
        <v>580</v>
      </c>
      <c r="S13857" t="s">
        <v>22764</v>
      </c>
      <c r="T13857">
        <v>40</v>
      </c>
      <c r="U13857" s="26" t="str">
        <f t="shared" si="515"/>
        <v>2024.015P.Rhabdoviridae_Cytorhabdovirus_splitgen.zip</v>
      </c>
    </row>
    <row r="13858" spans="1:21">
      <c r="A13858">
        <v>13857</v>
      </c>
      <c r="B13858" s="27" t="s">
        <v>1124</v>
      </c>
      <c r="D13858" s="27" t="s">
        <v>1859</v>
      </c>
      <c r="F13858" s="27" t="s">
        <v>938</v>
      </c>
      <c r="G13858" s="27" t="s">
        <v>939</v>
      </c>
      <c r="H13858" s="27" t="s">
        <v>945</v>
      </c>
      <c r="J13858" s="27" t="s">
        <v>238</v>
      </c>
      <c r="L13858" s="27" t="s">
        <v>346</v>
      </c>
      <c r="M13858" s="27" t="s">
        <v>3576</v>
      </c>
      <c r="N13858" s="27" t="s">
        <v>20249</v>
      </c>
      <c r="P13858" s="27" t="s">
        <v>20282</v>
      </c>
      <c r="Q13858" s="26" t="str">
        <f>HYPERLINK("https://ictv.global/taxonomy/taxondetails?taxnode_id=202520648&amp;ictv_id=ICTV202420648","ICTV202420648")</f>
        <v>ICTV202420648</v>
      </c>
      <c r="R13858" t="s">
        <v>580</v>
      </c>
      <c r="S13858" t="s">
        <v>823</v>
      </c>
      <c r="T13858">
        <v>40</v>
      </c>
      <c r="U13858" s="26" t="str">
        <f t="shared" si="515"/>
        <v>2024.015P.Rhabdoviridae_Cytorhabdovirus_splitgen.zip</v>
      </c>
    </row>
    <row r="13859" spans="1:21">
      <c r="A13859">
        <v>13858</v>
      </c>
      <c r="B13859" s="27" t="s">
        <v>1124</v>
      </c>
      <c r="D13859" s="27" t="s">
        <v>1859</v>
      </c>
      <c r="F13859" s="27" t="s">
        <v>938</v>
      </c>
      <c r="G13859" s="27" t="s">
        <v>939</v>
      </c>
      <c r="H13859" s="27" t="s">
        <v>945</v>
      </c>
      <c r="J13859" s="27" t="s">
        <v>238</v>
      </c>
      <c r="L13859" s="27" t="s">
        <v>346</v>
      </c>
      <c r="M13859" s="27" t="s">
        <v>3576</v>
      </c>
      <c r="N13859" s="27" t="s">
        <v>20249</v>
      </c>
      <c r="P13859" s="27" t="s">
        <v>20283</v>
      </c>
      <c r="Q13859" s="26" t="str">
        <f>HYPERLINK("https://ictv.global/taxonomy/taxondetails?taxnode_id=202520649&amp;ictv_id=ICTV202420649","ICTV202420649")</f>
        <v>ICTV202420649</v>
      </c>
      <c r="R13859" t="s">
        <v>580</v>
      </c>
      <c r="S13859" t="s">
        <v>823</v>
      </c>
      <c r="T13859">
        <v>40</v>
      </c>
      <c r="U13859" s="26" t="str">
        <f t="shared" si="515"/>
        <v>2024.015P.Rhabdoviridae_Cytorhabdovirus_splitgen.zip</v>
      </c>
    </row>
    <row r="13860" spans="1:21">
      <c r="A13860">
        <v>13859</v>
      </c>
      <c r="B13860" s="27" t="s">
        <v>1124</v>
      </c>
      <c r="D13860" s="27" t="s">
        <v>1859</v>
      </c>
      <c r="F13860" s="27" t="s">
        <v>938</v>
      </c>
      <c r="G13860" s="27" t="s">
        <v>939</v>
      </c>
      <c r="H13860" s="27" t="s">
        <v>945</v>
      </c>
      <c r="J13860" s="27" t="s">
        <v>238</v>
      </c>
      <c r="L13860" s="27" t="s">
        <v>346</v>
      </c>
      <c r="M13860" s="27" t="s">
        <v>3576</v>
      </c>
      <c r="N13860" s="27" t="s">
        <v>20249</v>
      </c>
      <c r="P13860" s="27" t="s">
        <v>20284</v>
      </c>
      <c r="Q13860" s="26" t="str">
        <f>HYPERLINK("https://ictv.global/taxonomy/taxondetails?taxnode_id=202520650&amp;ictv_id=ICTV202420650","ICTV202420650")</f>
        <v>ICTV202420650</v>
      </c>
      <c r="R13860" t="s">
        <v>580</v>
      </c>
      <c r="S13860" t="s">
        <v>823</v>
      </c>
      <c r="T13860">
        <v>40</v>
      </c>
      <c r="U13860" s="26" t="str">
        <f t="shared" si="515"/>
        <v>2024.015P.Rhabdoviridae_Cytorhabdovirus_splitgen.zip</v>
      </c>
    </row>
    <row r="13861" spans="1:21">
      <c r="A13861">
        <v>13860</v>
      </c>
      <c r="B13861" s="27" t="s">
        <v>1124</v>
      </c>
      <c r="D13861" s="27" t="s">
        <v>1859</v>
      </c>
      <c r="F13861" s="27" t="s">
        <v>938</v>
      </c>
      <c r="G13861" s="27" t="s">
        <v>939</v>
      </c>
      <c r="H13861" s="27" t="s">
        <v>945</v>
      </c>
      <c r="J13861" s="27" t="s">
        <v>238</v>
      </c>
      <c r="L13861" s="27" t="s">
        <v>346</v>
      </c>
      <c r="M13861" s="27" t="s">
        <v>3576</v>
      </c>
      <c r="N13861" s="27" t="s">
        <v>20249</v>
      </c>
      <c r="P13861" s="27" t="s">
        <v>20285</v>
      </c>
      <c r="Q13861" s="26" t="str">
        <f>HYPERLINK("https://ictv.global/taxonomy/taxondetails?taxnode_id=202501676&amp;ictv_id=ICTV19910279","ICTV19910279")</f>
        <v>ICTV19910279</v>
      </c>
      <c r="R13861" t="s">
        <v>580</v>
      </c>
      <c r="S13861" t="s">
        <v>22764</v>
      </c>
      <c r="T13861">
        <v>40</v>
      </c>
      <c r="U13861" s="26" t="str">
        <f t="shared" si="515"/>
        <v>2024.015P.Rhabdoviridae_Cytorhabdovirus_splitgen.zip</v>
      </c>
    </row>
    <row r="13862" spans="1:21">
      <c r="A13862">
        <v>13861</v>
      </c>
      <c r="B13862" s="27" t="s">
        <v>1124</v>
      </c>
      <c r="D13862" s="27" t="s">
        <v>1859</v>
      </c>
      <c r="F13862" s="27" t="s">
        <v>938</v>
      </c>
      <c r="G13862" s="27" t="s">
        <v>939</v>
      </c>
      <c r="H13862" s="27" t="s">
        <v>945</v>
      </c>
      <c r="J13862" s="27" t="s">
        <v>238</v>
      </c>
      <c r="L13862" s="27" t="s">
        <v>346</v>
      </c>
      <c r="M13862" s="27" t="s">
        <v>3576</v>
      </c>
      <c r="N13862" s="27" t="s">
        <v>20249</v>
      </c>
      <c r="P13862" s="27" t="s">
        <v>20286</v>
      </c>
      <c r="Q13862" s="26" t="str">
        <f>HYPERLINK("https://ictv.global/taxonomy/taxondetails?taxnode_id=202520651&amp;ictv_id=ICTV202420651","ICTV202420651")</f>
        <v>ICTV202420651</v>
      </c>
      <c r="R13862" t="s">
        <v>580</v>
      </c>
      <c r="S13862" t="s">
        <v>823</v>
      </c>
      <c r="T13862">
        <v>40</v>
      </c>
      <c r="U13862" s="26" t="str">
        <f t="shared" si="515"/>
        <v>2024.015P.Rhabdoviridae_Cytorhabdovirus_splitgen.zip</v>
      </c>
    </row>
    <row r="13863" spans="1:21">
      <c r="A13863">
        <v>13862</v>
      </c>
      <c r="B13863" s="27" t="s">
        <v>1124</v>
      </c>
      <c r="D13863" s="27" t="s">
        <v>1859</v>
      </c>
      <c r="F13863" s="27" t="s">
        <v>938</v>
      </c>
      <c r="G13863" s="27" t="s">
        <v>939</v>
      </c>
      <c r="H13863" s="27" t="s">
        <v>945</v>
      </c>
      <c r="J13863" s="27" t="s">
        <v>238</v>
      </c>
      <c r="L13863" s="27" t="s">
        <v>346</v>
      </c>
      <c r="M13863" s="27" t="s">
        <v>3576</v>
      </c>
      <c r="N13863" s="27" t="s">
        <v>20249</v>
      </c>
      <c r="P13863" s="27" t="s">
        <v>20287</v>
      </c>
      <c r="Q13863" s="26" t="str">
        <f>HYPERLINK("https://ictv.global/taxonomy/taxondetails?taxnode_id=202520652&amp;ictv_id=ICTV202420652","ICTV202420652")</f>
        <v>ICTV202420652</v>
      </c>
      <c r="R13863" t="s">
        <v>580</v>
      </c>
      <c r="S13863" t="s">
        <v>823</v>
      </c>
      <c r="T13863">
        <v>40</v>
      </c>
      <c r="U13863" s="26" t="str">
        <f t="shared" si="515"/>
        <v>2024.015P.Rhabdoviridae_Cytorhabdovirus_splitgen.zip</v>
      </c>
    </row>
    <row r="13864" spans="1:21">
      <c r="A13864">
        <v>13863</v>
      </c>
      <c r="B13864" s="27" t="s">
        <v>1124</v>
      </c>
      <c r="D13864" s="27" t="s">
        <v>1859</v>
      </c>
      <c r="F13864" s="27" t="s">
        <v>938</v>
      </c>
      <c r="G13864" s="27" t="s">
        <v>939</v>
      </c>
      <c r="H13864" s="27" t="s">
        <v>945</v>
      </c>
      <c r="J13864" s="27" t="s">
        <v>238</v>
      </c>
      <c r="L13864" s="27" t="s">
        <v>346</v>
      </c>
      <c r="M13864" s="27" t="s">
        <v>3576</v>
      </c>
      <c r="N13864" s="27" t="s">
        <v>20249</v>
      </c>
      <c r="P13864" s="27" t="s">
        <v>20288</v>
      </c>
      <c r="Q13864" s="26" t="str">
        <f>HYPERLINK("https://ictv.global/taxonomy/taxondetails?taxnode_id=202507677&amp;ictv_id=ICTV201907677","ICTV201907677")</f>
        <v>ICTV201907677</v>
      </c>
      <c r="R13864" t="s">
        <v>580</v>
      </c>
      <c r="S13864" t="s">
        <v>22764</v>
      </c>
      <c r="T13864">
        <v>40</v>
      </c>
      <c r="U13864" s="26" t="str">
        <f t="shared" si="515"/>
        <v>2024.015P.Rhabdoviridae_Cytorhabdovirus_splitgen.zip</v>
      </c>
    </row>
    <row r="13865" spans="1:21">
      <c r="A13865">
        <v>13864</v>
      </c>
      <c r="B13865" s="27" t="s">
        <v>1124</v>
      </c>
      <c r="D13865" s="27" t="s">
        <v>1859</v>
      </c>
      <c r="F13865" s="27" t="s">
        <v>938</v>
      </c>
      <c r="G13865" s="27" t="s">
        <v>939</v>
      </c>
      <c r="H13865" s="27" t="s">
        <v>945</v>
      </c>
      <c r="J13865" s="27" t="s">
        <v>238</v>
      </c>
      <c r="L13865" s="27" t="s">
        <v>346</v>
      </c>
      <c r="M13865" s="27" t="s">
        <v>3576</v>
      </c>
      <c r="N13865" s="27" t="s">
        <v>20249</v>
      </c>
      <c r="P13865" s="27" t="s">
        <v>20289</v>
      </c>
      <c r="Q13865" s="26" t="str">
        <f>HYPERLINK("https://ictv.global/taxonomy/taxondetails?taxnode_id=202520653&amp;ictv_id=ICTV202420653","ICTV202420653")</f>
        <v>ICTV202420653</v>
      </c>
      <c r="R13865" t="s">
        <v>580</v>
      </c>
      <c r="S13865" t="s">
        <v>823</v>
      </c>
      <c r="T13865">
        <v>40</v>
      </c>
      <c r="U13865" s="26" t="str">
        <f t="shared" si="515"/>
        <v>2024.015P.Rhabdoviridae_Cytorhabdovirus_splitgen.zip</v>
      </c>
    </row>
    <row r="13866" spans="1:21">
      <c r="A13866">
        <v>13865</v>
      </c>
      <c r="B13866" s="27" t="s">
        <v>1124</v>
      </c>
      <c r="D13866" s="27" t="s">
        <v>1859</v>
      </c>
      <c r="F13866" s="27" t="s">
        <v>938</v>
      </c>
      <c r="G13866" s="27" t="s">
        <v>939</v>
      </c>
      <c r="H13866" s="27" t="s">
        <v>945</v>
      </c>
      <c r="J13866" s="27" t="s">
        <v>238</v>
      </c>
      <c r="L13866" s="27" t="s">
        <v>346</v>
      </c>
      <c r="M13866" s="27" t="s">
        <v>3576</v>
      </c>
      <c r="N13866" s="27" t="s">
        <v>20249</v>
      </c>
      <c r="P13866" s="27" t="s">
        <v>20290</v>
      </c>
      <c r="Q13866" s="26" t="str">
        <f>HYPERLINK("https://ictv.global/taxonomy/taxondetails?taxnode_id=202514170&amp;ictv_id=ICTV202214170","ICTV202214170")</f>
        <v>ICTV202214170</v>
      </c>
      <c r="R13866" t="s">
        <v>580</v>
      </c>
      <c r="S13866" t="s">
        <v>22764</v>
      </c>
      <c r="T13866">
        <v>40</v>
      </c>
      <c r="U13866" s="26" t="str">
        <f t="shared" si="515"/>
        <v>2024.015P.Rhabdoviridae_Cytorhabdovirus_splitgen.zip</v>
      </c>
    </row>
    <row r="13867" spans="1:21">
      <c r="A13867">
        <v>13866</v>
      </c>
      <c r="B13867" s="27" t="s">
        <v>1124</v>
      </c>
      <c r="D13867" s="27" t="s">
        <v>1859</v>
      </c>
      <c r="F13867" s="27" t="s">
        <v>938</v>
      </c>
      <c r="G13867" s="27" t="s">
        <v>939</v>
      </c>
      <c r="H13867" s="27" t="s">
        <v>945</v>
      </c>
      <c r="J13867" s="27" t="s">
        <v>238</v>
      </c>
      <c r="L13867" s="27" t="s">
        <v>346</v>
      </c>
      <c r="M13867" s="27" t="s">
        <v>3576</v>
      </c>
      <c r="N13867" s="27" t="s">
        <v>20249</v>
      </c>
      <c r="P13867" s="27" t="s">
        <v>20291</v>
      </c>
      <c r="Q13867" s="26" t="str">
        <f>HYPERLINK("https://ictv.global/taxonomy/taxondetails?taxnode_id=202520654&amp;ictv_id=ICTV202420654","ICTV202420654")</f>
        <v>ICTV202420654</v>
      </c>
      <c r="R13867" t="s">
        <v>580</v>
      </c>
      <c r="S13867" t="s">
        <v>823</v>
      </c>
      <c r="T13867">
        <v>40</v>
      </c>
      <c r="U13867" s="26" t="str">
        <f t="shared" si="515"/>
        <v>2024.015P.Rhabdoviridae_Cytorhabdovirus_splitgen.zip</v>
      </c>
    </row>
    <row r="13868" spans="1:21">
      <c r="A13868">
        <v>13867</v>
      </c>
      <c r="B13868" s="27" t="s">
        <v>1124</v>
      </c>
      <c r="D13868" s="27" t="s">
        <v>1859</v>
      </c>
      <c r="F13868" s="27" t="s">
        <v>938</v>
      </c>
      <c r="G13868" s="27" t="s">
        <v>939</v>
      </c>
      <c r="H13868" s="27" t="s">
        <v>945</v>
      </c>
      <c r="J13868" s="27" t="s">
        <v>238</v>
      </c>
      <c r="L13868" s="27" t="s">
        <v>346</v>
      </c>
      <c r="M13868" s="27" t="s">
        <v>3576</v>
      </c>
      <c r="N13868" s="27" t="s">
        <v>20249</v>
      </c>
      <c r="P13868" s="27" t="s">
        <v>20292</v>
      </c>
      <c r="Q13868" s="26" t="str">
        <f>HYPERLINK("https://ictv.global/taxonomy/taxondetails?taxnode_id=202517916&amp;ictv_id=ICTV202317916","ICTV202317916")</f>
        <v>ICTV202317916</v>
      </c>
      <c r="R13868" t="s">
        <v>580</v>
      </c>
      <c r="S13868" t="s">
        <v>22764</v>
      </c>
      <c r="T13868">
        <v>40</v>
      </c>
      <c r="U13868" s="26" t="str">
        <f t="shared" si="515"/>
        <v>2024.015P.Rhabdoviridae_Cytorhabdovirus_splitgen.zip</v>
      </c>
    </row>
    <row r="13869" spans="1:21">
      <c r="A13869">
        <v>13868</v>
      </c>
      <c r="B13869" s="27" t="s">
        <v>1124</v>
      </c>
      <c r="D13869" s="27" t="s">
        <v>1859</v>
      </c>
      <c r="F13869" s="27" t="s">
        <v>938</v>
      </c>
      <c r="G13869" s="27" t="s">
        <v>939</v>
      </c>
      <c r="H13869" s="27" t="s">
        <v>945</v>
      </c>
      <c r="J13869" s="27" t="s">
        <v>238</v>
      </c>
      <c r="L13869" s="27" t="s">
        <v>346</v>
      </c>
      <c r="M13869" s="27" t="s">
        <v>3576</v>
      </c>
      <c r="N13869" s="27" t="s">
        <v>20249</v>
      </c>
      <c r="P13869" s="27" t="s">
        <v>20293</v>
      </c>
      <c r="Q13869" s="26" t="str">
        <f>HYPERLINK("https://ictv.global/taxonomy/taxondetails?taxnode_id=202520655&amp;ictv_id=ICTV202420655","ICTV202420655")</f>
        <v>ICTV202420655</v>
      </c>
      <c r="R13869" t="s">
        <v>580</v>
      </c>
      <c r="S13869" t="s">
        <v>823</v>
      </c>
      <c r="T13869">
        <v>40</v>
      </c>
      <c r="U13869" s="26" t="str">
        <f t="shared" si="515"/>
        <v>2024.015P.Rhabdoviridae_Cytorhabdovirus_splitgen.zip</v>
      </c>
    </row>
    <row r="13870" spans="1:21">
      <c r="A13870">
        <v>13869</v>
      </c>
      <c r="B13870" s="27" t="s">
        <v>1124</v>
      </c>
      <c r="D13870" s="27" t="s">
        <v>1859</v>
      </c>
      <c r="F13870" s="27" t="s">
        <v>938</v>
      </c>
      <c r="G13870" s="27" t="s">
        <v>939</v>
      </c>
      <c r="H13870" s="27" t="s">
        <v>945</v>
      </c>
      <c r="J13870" s="27" t="s">
        <v>238</v>
      </c>
      <c r="L13870" s="27" t="s">
        <v>346</v>
      </c>
      <c r="M13870" s="27" t="s">
        <v>3576</v>
      </c>
      <c r="N13870" s="27" t="s">
        <v>20249</v>
      </c>
      <c r="P13870" s="27" t="s">
        <v>20294</v>
      </c>
      <c r="Q13870" s="26" t="str">
        <f>HYPERLINK("https://ictv.global/taxonomy/taxondetails?taxnode_id=202514172&amp;ictv_id=ICTV202214172","ICTV202214172")</f>
        <v>ICTV202214172</v>
      </c>
      <c r="R13870" t="s">
        <v>580</v>
      </c>
      <c r="S13870" t="s">
        <v>22764</v>
      </c>
      <c r="T13870">
        <v>40</v>
      </c>
      <c r="U13870" s="26" t="str">
        <f t="shared" si="515"/>
        <v>2024.015P.Rhabdoviridae_Cytorhabdovirus_splitgen.zip</v>
      </c>
    </row>
    <row r="13871" spans="1:21">
      <c r="A13871">
        <v>13870</v>
      </c>
      <c r="B13871" s="27" t="s">
        <v>1124</v>
      </c>
      <c r="D13871" s="27" t="s">
        <v>1859</v>
      </c>
      <c r="F13871" s="27" t="s">
        <v>938</v>
      </c>
      <c r="G13871" s="27" t="s">
        <v>939</v>
      </c>
      <c r="H13871" s="27" t="s">
        <v>945</v>
      </c>
      <c r="J13871" s="27" t="s">
        <v>238</v>
      </c>
      <c r="L13871" s="27" t="s">
        <v>346</v>
      </c>
      <c r="M13871" s="27" t="s">
        <v>3576</v>
      </c>
      <c r="N13871" s="27" t="s">
        <v>20249</v>
      </c>
      <c r="P13871" s="27" t="s">
        <v>20295</v>
      </c>
      <c r="Q13871" s="26" t="str">
        <f>HYPERLINK("https://ictv.global/taxonomy/taxondetails?taxnode_id=202501672&amp;ictv_id=ICTV19760552","ICTV19760552")</f>
        <v>ICTV19760552</v>
      </c>
      <c r="R13871" t="s">
        <v>580</v>
      </c>
      <c r="S13871" t="s">
        <v>22764</v>
      </c>
      <c r="T13871">
        <v>40</v>
      </c>
      <c r="U13871" s="26" t="str">
        <f t="shared" si="515"/>
        <v>2024.015P.Rhabdoviridae_Cytorhabdovirus_splitgen.zip</v>
      </c>
    </row>
    <row r="13872" spans="1:21">
      <c r="A13872">
        <v>13871</v>
      </c>
      <c r="B13872" s="27" t="s">
        <v>1124</v>
      </c>
      <c r="D13872" s="27" t="s">
        <v>1859</v>
      </c>
      <c r="F13872" s="27" t="s">
        <v>938</v>
      </c>
      <c r="G13872" s="27" t="s">
        <v>939</v>
      </c>
      <c r="H13872" s="27" t="s">
        <v>945</v>
      </c>
      <c r="J13872" s="27" t="s">
        <v>238</v>
      </c>
      <c r="L13872" s="27" t="s">
        <v>346</v>
      </c>
      <c r="M13872" s="27" t="s">
        <v>3576</v>
      </c>
      <c r="N13872" s="27" t="s">
        <v>20249</v>
      </c>
      <c r="P13872" s="27" t="s">
        <v>20296</v>
      </c>
      <c r="Q13872" s="26" t="str">
        <f>HYPERLINK("https://ictv.global/taxonomy/taxondetails?taxnode_id=202501673&amp;ictv_id=ICTV20094915","ICTV20094915")</f>
        <v>ICTV20094915</v>
      </c>
      <c r="R13872" t="s">
        <v>580</v>
      </c>
      <c r="S13872" t="s">
        <v>22764</v>
      </c>
      <c r="T13872">
        <v>40</v>
      </c>
      <c r="U13872" s="26" t="str">
        <f t="shared" si="515"/>
        <v>2024.015P.Rhabdoviridae_Cytorhabdovirus_splitgen.zip</v>
      </c>
    </row>
    <row r="13873" spans="1:21">
      <c r="A13873">
        <v>13872</v>
      </c>
      <c r="B13873" s="27" t="s">
        <v>1124</v>
      </c>
      <c r="D13873" s="27" t="s">
        <v>1859</v>
      </c>
      <c r="F13873" s="27" t="s">
        <v>938</v>
      </c>
      <c r="G13873" s="27" t="s">
        <v>939</v>
      </c>
      <c r="H13873" s="27" t="s">
        <v>945</v>
      </c>
      <c r="J13873" s="27" t="s">
        <v>238</v>
      </c>
      <c r="L13873" s="27" t="s">
        <v>346</v>
      </c>
      <c r="M13873" s="27" t="s">
        <v>3576</v>
      </c>
      <c r="N13873" s="27" t="s">
        <v>20249</v>
      </c>
      <c r="P13873" s="27" t="s">
        <v>22028</v>
      </c>
      <c r="Q13873" s="26" t="str">
        <f>HYPERLINK("https://ictv.global/taxonomy/taxondetails?taxnode_id=202522832&amp;ictv_id=ICTV202522832","ICTV202522832")</f>
        <v>ICTV202522832</v>
      </c>
      <c r="R13873" t="s">
        <v>580</v>
      </c>
      <c r="S13873" t="s">
        <v>823</v>
      </c>
      <c r="T13873">
        <v>41</v>
      </c>
      <c r="U13873" s="26" t="str">
        <f>HYPERLINK("https://ictv.global/ictv/proposals/2025.025P.Rhabdoviridae_Alpha_and_Betacytorhabdovirus_3nsp.zip","2025.025P.Rhabdoviridae_Alpha_and_Betacytorhabdovirus_3nsp.zip")</f>
        <v>2025.025P.Rhabdoviridae_Alpha_and_Betacytorhabdovirus_3nsp.zip</v>
      </c>
    </row>
    <row r="13874" spans="1:21">
      <c r="A13874">
        <v>13873</v>
      </c>
      <c r="B13874" s="27" t="s">
        <v>1124</v>
      </c>
      <c r="D13874" s="27" t="s">
        <v>1859</v>
      </c>
      <c r="F13874" s="27" t="s">
        <v>938</v>
      </c>
      <c r="G13874" s="27" t="s">
        <v>939</v>
      </c>
      <c r="H13874" s="27" t="s">
        <v>945</v>
      </c>
      <c r="J13874" s="27" t="s">
        <v>238</v>
      </c>
      <c r="L13874" s="27" t="s">
        <v>346</v>
      </c>
      <c r="M13874" s="27" t="s">
        <v>3576</v>
      </c>
      <c r="N13874" s="27" t="s">
        <v>20249</v>
      </c>
      <c r="P13874" s="27" t="s">
        <v>20297</v>
      </c>
      <c r="Q13874" s="26" t="str">
        <f>HYPERLINK("https://ictv.global/taxonomy/taxondetails?taxnode_id=202507673&amp;ictv_id=ICTV201907673","ICTV201907673")</f>
        <v>ICTV201907673</v>
      </c>
      <c r="R13874" t="s">
        <v>580</v>
      </c>
      <c r="S13874" t="s">
        <v>22764</v>
      </c>
      <c r="T13874">
        <v>40</v>
      </c>
      <c r="U13874" s="26" t="str">
        <f t="shared" ref="U13874:U13897" si="516">HYPERLINK("https://ictv.global/ictv/proposals/2024.015P.Rhabdoviridae_Cytorhabdovirus_splitgen.zip","2024.015P.Rhabdoviridae_Cytorhabdovirus_splitgen.zip")</f>
        <v>2024.015P.Rhabdoviridae_Cytorhabdovirus_splitgen.zip</v>
      </c>
    </row>
    <row r="13875" spans="1:21">
      <c r="A13875">
        <v>13874</v>
      </c>
      <c r="B13875" s="27" t="s">
        <v>1124</v>
      </c>
      <c r="D13875" s="27" t="s">
        <v>1859</v>
      </c>
      <c r="F13875" s="27" t="s">
        <v>938</v>
      </c>
      <c r="G13875" s="27" t="s">
        <v>939</v>
      </c>
      <c r="H13875" s="27" t="s">
        <v>945</v>
      </c>
      <c r="J13875" s="27" t="s">
        <v>238</v>
      </c>
      <c r="L13875" s="27" t="s">
        <v>346</v>
      </c>
      <c r="M13875" s="27" t="s">
        <v>3576</v>
      </c>
      <c r="N13875" s="27" t="s">
        <v>20249</v>
      </c>
      <c r="P13875" s="27" t="s">
        <v>20298</v>
      </c>
      <c r="Q13875" s="26" t="str">
        <f>HYPERLINK("https://ictv.global/taxonomy/taxondetails?taxnode_id=202520656&amp;ictv_id=ICTV202420656","ICTV202420656")</f>
        <v>ICTV202420656</v>
      </c>
      <c r="R13875" t="s">
        <v>580</v>
      </c>
      <c r="S13875" t="s">
        <v>823</v>
      </c>
      <c r="T13875">
        <v>40</v>
      </c>
      <c r="U13875" s="26" t="str">
        <f t="shared" si="516"/>
        <v>2024.015P.Rhabdoviridae_Cytorhabdovirus_splitgen.zip</v>
      </c>
    </row>
    <row r="13876" spans="1:21">
      <c r="A13876">
        <v>13875</v>
      </c>
      <c r="B13876" s="27" t="s">
        <v>1124</v>
      </c>
      <c r="D13876" s="27" t="s">
        <v>1859</v>
      </c>
      <c r="F13876" s="27" t="s">
        <v>938</v>
      </c>
      <c r="G13876" s="27" t="s">
        <v>939</v>
      </c>
      <c r="H13876" s="27" t="s">
        <v>945</v>
      </c>
      <c r="J13876" s="27" t="s">
        <v>238</v>
      </c>
      <c r="L13876" s="27" t="s">
        <v>346</v>
      </c>
      <c r="M13876" s="27" t="s">
        <v>3576</v>
      </c>
      <c r="N13876" s="27" t="s">
        <v>20249</v>
      </c>
      <c r="P13876" s="27" t="s">
        <v>20299</v>
      </c>
      <c r="Q13876" s="26" t="str">
        <f>HYPERLINK("https://ictv.global/taxonomy/taxondetails?taxnode_id=202520657&amp;ictv_id=ICTV202420657","ICTV202420657")</f>
        <v>ICTV202420657</v>
      </c>
      <c r="R13876" t="s">
        <v>580</v>
      </c>
      <c r="S13876" t="s">
        <v>823</v>
      </c>
      <c r="T13876">
        <v>40</v>
      </c>
      <c r="U13876" s="26" t="str">
        <f t="shared" si="516"/>
        <v>2024.015P.Rhabdoviridae_Cytorhabdovirus_splitgen.zip</v>
      </c>
    </row>
    <row r="13877" spans="1:21">
      <c r="A13877">
        <v>13876</v>
      </c>
      <c r="B13877" s="27" t="s">
        <v>1124</v>
      </c>
      <c r="D13877" s="27" t="s">
        <v>1859</v>
      </c>
      <c r="F13877" s="27" t="s">
        <v>938</v>
      </c>
      <c r="G13877" s="27" t="s">
        <v>939</v>
      </c>
      <c r="H13877" s="27" t="s">
        <v>945</v>
      </c>
      <c r="J13877" s="27" t="s">
        <v>238</v>
      </c>
      <c r="L13877" s="27" t="s">
        <v>346</v>
      </c>
      <c r="M13877" s="27" t="s">
        <v>3576</v>
      </c>
      <c r="N13877" s="27" t="s">
        <v>20249</v>
      </c>
      <c r="P13877" s="27" t="s">
        <v>20300</v>
      </c>
      <c r="Q13877" s="26" t="str">
        <f>HYPERLINK("https://ictv.global/taxonomy/taxondetails?taxnode_id=202514173&amp;ictv_id=ICTV202214173","ICTV202214173")</f>
        <v>ICTV202214173</v>
      </c>
      <c r="R13877" t="s">
        <v>580</v>
      </c>
      <c r="S13877" t="s">
        <v>22764</v>
      </c>
      <c r="T13877">
        <v>40</v>
      </c>
      <c r="U13877" s="26" t="str">
        <f t="shared" si="516"/>
        <v>2024.015P.Rhabdoviridae_Cytorhabdovirus_splitgen.zip</v>
      </c>
    </row>
    <row r="13878" spans="1:21">
      <c r="A13878">
        <v>13877</v>
      </c>
      <c r="B13878" s="27" t="s">
        <v>1124</v>
      </c>
      <c r="D13878" s="27" t="s">
        <v>1859</v>
      </c>
      <c r="F13878" s="27" t="s">
        <v>938</v>
      </c>
      <c r="G13878" s="27" t="s">
        <v>939</v>
      </c>
      <c r="H13878" s="27" t="s">
        <v>945</v>
      </c>
      <c r="J13878" s="27" t="s">
        <v>238</v>
      </c>
      <c r="L13878" s="27" t="s">
        <v>346</v>
      </c>
      <c r="M13878" s="27" t="s">
        <v>3576</v>
      </c>
      <c r="N13878" s="27" t="s">
        <v>20249</v>
      </c>
      <c r="P13878" s="27" t="s">
        <v>20301</v>
      </c>
      <c r="Q13878" s="26" t="str">
        <f>HYPERLINK("https://ictv.global/taxonomy/taxondetails?taxnode_id=202520659&amp;ictv_id=ICTV202420659","ICTV202420659")</f>
        <v>ICTV202420659</v>
      </c>
      <c r="R13878" t="s">
        <v>580</v>
      </c>
      <c r="S13878" t="s">
        <v>823</v>
      </c>
      <c r="T13878">
        <v>40</v>
      </c>
      <c r="U13878" s="26" t="str">
        <f t="shared" si="516"/>
        <v>2024.015P.Rhabdoviridae_Cytorhabdovirus_splitgen.zip</v>
      </c>
    </row>
    <row r="13879" spans="1:21">
      <c r="A13879">
        <v>13878</v>
      </c>
      <c r="B13879" s="27" t="s">
        <v>1124</v>
      </c>
      <c r="D13879" s="27" t="s">
        <v>1859</v>
      </c>
      <c r="F13879" s="27" t="s">
        <v>938</v>
      </c>
      <c r="G13879" s="27" t="s">
        <v>939</v>
      </c>
      <c r="H13879" s="27" t="s">
        <v>945</v>
      </c>
      <c r="J13879" s="27" t="s">
        <v>238</v>
      </c>
      <c r="L13879" s="27" t="s">
        <v>346</v>
      </c>
      <c r="M13879" s="27" t="s">
        <v>3576</v>
      </c>
      <c r="N13879" s="27" t="s">
        <v>20249</v>
      </c>
      <c r="P13879" s="27" t="s">
        <v>20302</v>
      </c>
      <c r="Q13879" s="26" t="str">
        <f>HYPERLINK("https://ictv.global/taxonomy/taxondetails?taxnode_id=202520660&amp;ictv_id=ICTV202420660","ICTV202420660")</f>
        <v>ICTV202420660</v>
      </c>
      <c r="R13879" t="s">
        <v>580</v>
      </c>
      <c r="S13879" t="s">
        <v>823</v>
      </c>
      <c r="T13879">
        <v>40</v>
      </c>
      <c r="U13879" s="26" t="str">
        <f t="shared" si="516"/>
        <v>2024.015P.Rhabdoviridae_Cytorhabdovirus_splitgen.zip</v>
      </c>
    </row>
    <row r="13880" spans="1:21">
      <c r="A13880">
        <v>13879</v>
      </c>
      <c r="B13880" s="27" t="s">
        <v>1124</v>
      </c>
      <c r="D13880" s="27" t="s">
        <v>1859</v>
      </c>
      <c r="F13880" s="27" t="s">
        <v>938</v>
      </c>
      <c r="G13880" s="27" t="s">
        <v>939</v>
      </c>
      <c r="H13880" s="27" t="s">
        <v>945</v>
      </c>
      <c r="J13880" s="27" t="s">
        <v>238</v>
      </c>
      <c r="L13880" s="27" t="s">
        <v>346</v>
      </c>
      <c r="M13880" s="27" t="s">
        <v>3576</v>
      </c>
      <c r="N13880" s="27" t="s">
        <v>20249</v>
      </c>
      <c r="P13880" s="27" t="s">
        <v>20303</v>
      </c>
      <c r="Q13880" s="26" t="str">
        <f>HYPERLINK("https://ictv.global/taxonomy/taxondetails?taxnode_id=202517917&amp;ictv_id=ICTV202317917","ICTV202317917")</f>
        <v>ICTV202317917</v>
      </c>
      <c r="R13880" t="s">
        <v>580</v>
      </c>
      <c r="S13880" t="s">
        <v>22764</v>
      </c>
      <c r="T13880">
        <v>40</v>
      </c>
      <c r="U13880" s="26" t="str">
        <f t="shared" si="516"/>
        <v>2024.015P.Rhabdoviridae_Cytorhabdovirus_splitgen.zip</v>
      </c>
    </row>
    <row r="13881" spans="1:21">
      <c r="A13881">
        <v>13880</v>
      </c>
      <c r="B13881" s="27" t="s">
        <v>1124</v>
      </c>
      <c r="D13881" s="27" t="s">
        <v>1859</v>
      </c>
      <c r="F13881" s="27" t="s">
        <v>938</v>
      </c>
      <c r="G13881" s="27" t="s">
        <v>939</v>
      </c>
      <c r="H13881" s="27" t="s">
        <v>945</v>
      </c>
      <c r="J13881" s="27" t="s">
        <v>238</v>
      </c>
      <c r="L13881" s="27" t="s">
        <v>346</v>
      </c>
      <c r="M13881" s="27" t="s">
        <v>3576</v>
      </c>
      <c r="N13881" s="27" t="s">
        <v>20249</v>
      </c>
      <c r="P13881" s="27" t="s">
        <v>20304</v>
      </c>
      <c r="Q13881" s="26" t="str">
        <f>HYPERLINK("https://ictv.global/taxonomy/taxondetails?taxnode_id=202520661&amp;ictv_id=ICTV202420661","ICTV202420661")</f>
        <v>ICTV202420661</v>
      </c>
      <c r="R13881" t="s">
        <v>580</v>
      </c>
      <c r="S13881" t="s">
        <v>823</v>
      </c>
      <c r="T13881">
        <v>40</v>
      </c>
      <c r="U13881" s="26" t="str">
        <f t="shared" si="516"/>
        <v>2024.015P.Rhabdoviridae_Cytorhabdovirus_splitgen.zip</v>
      </c>
    </row>
    <row r="13882" spans="1:21">
      <c r="A13882">
        <v>13881</v>
      </c>
      <c r="B13882" s="27" t="s">
        <v>1124</v>
      </c>
      <c r="D13882" s="27" t="s">
        <v>1859</v>
      </c>
      <c r="F13882" s="27" t="s">
        <v>938</v>
      </c>
      <c r="G13882" s="27" t="s">
        <v>939</v>
      </c>
      <c r="H13882" s="27" t="s">
        <v>945</v>
      </c>
      <c r="J13882" s="27" t="s">
        <v>238</v>
      </c>
      <c r="L13882" s="27" t="s">
        <v>346</v>
      </c>
      <c r="M13882" s="27" t="s">
        <v>3576</v>
      </c>
      <c r="N13882" s="27" t="s">
        <v>20249</v>
      </c>
      <c r="P13882" s="27" t="s">
        <v>20305</v>
      </c>
      <c r="Q13882" s="26" t="str">
        <f>HYPERLINK("https://ictv.global/taxonomy/taxondetails?taxnode_id=202507670&amp;ictv_id=ICTV201907670","ICTV201907670")</f>
        <v>ICTV201907670</v>
      </c>
      <c r="R13882" t="s">
        <v>580</v>
      </c>
      <c r="S13882" t="s">
        <v>22764</v>
      </c>
      <c r="T13882">
        <v>40</v>
      </c>
      <c r="U13882" s="26" t="str">
        <f t="shared" si="516"/>
        <v>2024.015P.Rhabdoviridae_Cytorhabdovirus_splitgen.zip</v>
      </c>
    </row>
    <row r="13883" spans="1:21">
      <c r="A13883">
        <v>13882</v>
      </c>
      <c r="B13883" s="27" t="s">
        <v>1124</v>
      </c>
      <c r="D13883" s="27" t="s">
        <v>1859</v>
      </c>
      <c r="F13883" s="27" t="s">
        <v>938</v>
      </c>
      <c r="G13883" s="27" t="s">
        <v>939</v>
      </c>
      <c r="H13883" s="27" t="s">
        <v>945</v>
      </c>
      <c r="J13883" s="27" t="s">
        <v>238</v>
      </c>
      <c r="L13883" s="27" t="s">
        <v>346</v>
      </c>
      <c r="M13883" s="27" t="s">
        <v>3576</v>
      </c>
      <c r="N13883" s="27" t="s">
        <v>20249</v>
      </c>
      <c r="P13883" s="27" t="s">
        <v>20306</v>
      </c>
      <c r="Q13883" s="26" t="str">
        <f>HYPERLINK("https://ictv.global/taxonomy/taxondetails?taxnode_id=202520662&amp;ictv_id=ICTV202420662","ICTV202420662")</f>
        <v>ICTV202420662</v>
      </c>
      <c r="R13883" t="s">
        <v>580</v>
      </c>
      <c r="S13883" t="s">
        <v>823</v>
      </c>
      <c r="T13883">
        <v>40</v>
      </c>
      <c r="U13883" s="26" t="str">
        <f t="shared" si="516"/>
        <v>2024.015P.Rhabdoviridae_Cytorhabdovirus_splitgen.zip</v>
      </c>
    </row>
    <row r="13884" spans="1:21">
      <c r="A13884">
        <v>13883</v>
      </c>
      <c r="B13884" s="27" t="s">
        <v>1124</v>
      </c>
      <c r="D13884" s="27" t="s">
        <v>1859</v>
      </c>
      <c r="F13884" s="27" t="s">
        <v>938</v>
      </c>
      <c r="G13884" s="27" t="s">
        <v>939</v>
      </c>
      <c r="H13884" s="27" t="s">
        <v>945</v>
      </c>
      <c r="J13884" s="27" t="s">
        <v>238</v>
      </c>
      <c r="L13884" s="27" t="s">
        <v>346</v>
      </c>
      <c r="M13884" s="27" t="s">
        <v>3576</v>
      </c>
      <c r="N13884" s="27" t="s">
        <v>20249</v>
      </c>
      <c r="P13884" s="27" t="s">
        <v>20307</v>
      </c>
      <c r="Q13884" s="26" t="str">
        <f>HYPERLINK("https://ictv.global/taxonomy/taxondetails?taxnode_id=202520663&amp;ictv_id=ICTV202420663","ICTV202420663")</f>
        <v>ICTV202420663</v>
      </c>
      <c r="R13884" t="s">
        <v>580</v>
      </c>
      <c r="S13884" t="s">
        <v>823</v>
      </c>
      <c r="T13884">
        <v>40</v>
      </c>
      <c r="U13884" s="26" t="str">
        <f t="shared" si="516"/>
        <v>2024.015P.Rhabdoviridae_Cytorhabdovirus_splitgen.zip</v>
      </c>
    </row>
    <row r="13885" spans="1:21">
      <c r="A13885">
        <v>13884</v>
      </c>
      <c r="B13885" s="27" t="s">
        <v>1124</v>
      </c>
      <c r="D13885" s="27" t="s">
        <v>1859</v>
      </c>
      <c r="F13885" s="27" t="s">
        <v>938</v>
      </c>
      <c r="G13885" s="27" t="s">
        <v>939</v>
      </c>
      <c r="H13885" s="27" t="s">
        <v>945</v>
      </c>
      <c r="J13885" s="27" t="s">
        <v>238</v>
      </c>
      <c r="L13885" s="27" t="s">
        <v>346</v>
      </c>
      <c r="M13885" s="27" t="s">
        <v>3576</v>
      </c>
      <c r="N13885" s="27" t="s">
        <v>20249</v>
      </c>
      <c r="P13885" s="27" t="s">
        <v>20308</v>
      </c>
      <c r="Q13885" s="26" t="str">
        <f>HYPERLINK("https://ictv.global/taxonomy/taxondetails?taxnode_id=202520664&amp;ictv_id=ICTV202420664","ICTV202420664")</f>
        <v>ICTV202420664</v>
      </c>
      <c r="R13885" t="s">
        <v>580</v>
      </c>
      <c r="S13885" t="s">
        <v>823</v>
      </c>
      <c r="T13885">
        <v>40</v>
      </c>
      <c r="U13885" s="26" t="str">
        <f t="shared" si="516"/>
        <v>2024.015P.Rhabdoviridae_Cytorhabdovirus_splitgen.zip</v>
      </c>
    </row>
    <row r="13886" spans="1:21">
      <c r="A13886">
        <v>13885</v>
      </c>
      <c r="B13886" s="27" t="s">
        <v>1124</v>
      </c>
      <c r="D13886" s="27" t="s">
        <v>1859</v>
      </c>
      <c r="F13886" s="27" t="s">
        <v>938</v>
      </c>
      <c r="G13886" s="27" t="s">
        <v>939</v>
      </c>
      <c r="H13886" s="27" t="s">
        <v>945</v>
      </c>
      <c r="J13886" s="27" t="s">
        <v>238</v>
      </c>
      <c r="L13886" s="27" t="s">
        <v>346</v>
      </c>
      <c r="M13886" s="27" t="s">
        <v>3576</v>
      </c>
      <c r="N13886" s="27" t="s">
        <v>20249</v>
      </c>
      <c r="P13886" s="27" t="s">
        <v>20309</v>
      </c>
      <c r="Q13886" s="26" t="str">
        <f>HYPERLINK("https://ictv.global/taxonomy/taxondetails?taxnode_id=202520658&amp;ictv_id=ICTV202420658","ICTV202420658")</f>
        <v>ICTV202420658</v>
      </c>
      <c r="R13886" t="s">
        <v>580</v>
      </c>
      <c r="S13886" t="s">
        <v>823</v>
      </c>
      <c r="T13886">
        <v>40</v>
      </c>
      <c r="U13886" s="26" t="str">
        <f t="shared" si="516"/>
        <v>2024.015P.Rhabdoviridae_Cytorhabdovirus_splitgen.zip</v>
      </c>
    </row>
    <row r="13887" spans="1:21">
      <c r="A13887">
        <v>13886</v>
      </c>
      <c r="B13887" s="27" t="s">
        <v>1124</v>
      </c>
      <c r="D13887" s="27" t="s">
        <v>1859</v>
      </c>
      <c r="F13887" s="27" t="s">
        <v>938</v>
      </c>
      <c r="G13887" s="27" t="s">
        <v>939</v>
      </c>
      <c r="H13887" s="27" t="s">
        <v>945</v>
      </c>
      <c r="J13887" s="27" t="s">
        <v>238</v>
      </c>
      <c r="L13887" s="27" t="s">
        <v>346</v>
      </c>
      <c r="M13887" s="27" t="s">
        <v>3576</v>
      </c>
      <c r="N13887" s="27" t="s">
        <v>20249</v>
      </c>
      <c r="P13887" s="27" t="s">
        <v>20310</v>
      </c>
      <c r="Q13887" s="26" t="str">
        <f>HYPERLINK("https://ictv.global/taxonomy/taxondetails?taxnode_id=202517914&amp;ictv_id=ICTV202317914","ICTV202317914")</f>
        <v>ICTV202317914</v>
      </c>
      <c r="R13887" t="s">
        <v>580</v>
      </c>
      <c r="S13887" t="s">
        <v>22764</v>
      </c>
      <c r="T13887">
        <v>40</v>
      </c>
      <c r="U13887" s="26" t="str">
        <f t="shared" si="516"/>
        <v>2024.015P.Rhabdoviridae_Cytorhabdovirus_splitgen.zip</v>
      </c>
    </row>
    <row r="13888" spans="1:21">
      <c r="A13888">
        <v>13887</v>
      </c>
      <c r="B13888" s="27" t="s">
        <v>1124</v>
      </c>
      <c r="D13888" s="27" t="s">
        <v>1859</v>
      </c>
      <c r="F13888" s="27" t="s">
        <v>938</v>
      </c>
      <c r="G13888" s="27" t="s">
        <v>939</v>
      </c>
      <c r="H13888" s="27" t="s">
        <v>945</v>
      </c>
      <c r="J13888" s="27" t="s">
        <v>238</v>
      </c>
      <c r="L13888" s="27" t="s">
        <v>346</v>
      </c>
      <c r="M13888" s="27" t="s">
        <v>3576</v>
      </c>
      <c r="N13888" s="27" t="s">
        <v>20249</v>
      </c>
      <c r="P13888" s="27" t="s">
        <v>20311</v>
      </c>
      <c r="Q13888" s="26" t="str">
        <f>HYPERLINK("https://ictv.global/taxonomy/taxondetails?taxnode_id=202520665&amp;ictv_id=ICTV202420665","ICTV202420665")</f>
        <v>ICTV202420665</v>
      </c>
      <c r="R13888" t="s">
        <v>580</v>
      </c>
      <c r="S13888" t="s">
        <v>823</v>
      </c>
      <c r="T13888">
        <v>40</v>
      </c>
      <c r="U13888" s="26" t="str">
        <f t="shared" si="516"/>
        <v>2024.015P.Rhabdoviridae_Cytorhabdovirus_splitgen.zip</v>
      </c>
    </row>
    <row r="13889" spans="1:21">
      <c r="A13889">
        <v>13888</v>
      </c>
      <c r="B13889" s="27" t="s">
        <v>1124</v>
      </c>
      <c r="D13889" s="27" t="s">
        <v>1859</v>
      </c>
      <c r="F13889" s="27" t="s">
        <v>938</v>
      </c>
      <c r="G13889" s="27" t="s">
        <v>939</v>
      </c>
      <c r="H13889" s="27" t="s">
        <v>945</v>
      </c>
      <c r="J13889" s="27" t="s">
        <v>238</v>
      </c>
      <c r="L13889" s="27" t="s">
        <v>346</v>
      </c>
      <c r="M13889" s="27" t="s">
        <v>3576</v>
      </c>
      <c r="N13889" s="27" t="s">
        <v>20249</v>
      </c>
      <c r="P13889" s="27" t="s">
        <v>20312</v>
      </c>
      <c r="Q13889" s="26" t="str">
        <f>HYPERLINK("https://ictv.global/taxonomy/taxondetails?taxnode_id=202517921&amp;ictv_id=ICTV202317921","ICTV202317921")</f>
        <v>ICTV202317921</v>
      </c>
      <c r="R13889" t="s">
        <v>580</v>
      </c>
      <c r="S13889" t="s">
        <v>22764</v>
      </c>
      <c r="T13889">
        <v>40</v>
      </c>
      <c r="U13889" s="26" t="str">
        <f t="shared" si="516"/>
        <v>2024.015P.Rhabdoviridae_Cytorhabdovirus_splitgen.zip</v>
      </c>
    </row>
    <row r="13890" spans="1:21">
      <c r="A13890">
        <v>13889</v>
      </c>
      <c r="B13890" s="27" t="s">
        <v>1124</v>
      </c>
      <c r="D13890" s="27" t="s">
        <v>1859</v>
      </c>
      <c r="F13890" s="27" t="s">
        <v>938</v>
      </c>
      <c r="G13890" s="27" t="s">
        <v>939</v>
      </c>
      <c r="H13890" s="27" t="s">
        <v>945</v>
      </c>
      <c r="J13890" s="27" t="s">
        <v>238</v>
      </c>
      <c r="L13890" s="27" t="s">
        <v>346</v>
      </c>
      <c r="M13890" s="27" t="s">
        <v>3576</v>
      </c>
      <c r="N13890" s="27" t="s">
        <v>20249</v>
      </c>
      <c r="P13890" s="27" t="s">
        <v>20313</v>
      </c>
      <c r="Q13890" s="26" t="str">
        <f>HYPERLINK("https://ictv.global/taxonomy/taxondetails?taxnode_id=202520666&amp;ictv_id=ICTV202420666","ICTV202420666")</f>
        <v>ICTV202420666</v>
      </c>
      <c r="R13890" t="s">
        <v>580</v>
      </c>
      <c r="S13890" t="s">
        <v>823</v>
      </c>
      <c r="T13890">
        <v>40</v>
      </c>
      <c r="U13890" s="26" t="str">
        <f t="shared" si="516"/>
        <v>2024.015P.Rhabdoviridae_Cytorhabdovirus_splitgen.zip</v>
      </c>
    </row>
    <row r="13891" spans="1:21">
      <c r="A13891">
        <v>13890</v>
      </c>
      <c r="B13891" s="27" t="s">
        <v>1124</v>
      </c>
      <c r="D13891" s="27" t="s">
        <v>1859</v>
      </c>
      <c r="F13891" s="27" t="s">
        <v>938</v>
      </c>
      <c r="G13891" s="27" t="s">
        <v>939</v>
      </c>
      <c r="H13891" s="27" t="s">
        <v>945</v>
      </c>
      <c r="J13891" s="27" t="s">
        <v>238</v>
      </c>
      <c r="L13891" s="27" t="s">
        <v>346</v>
      </c>
      <c r="M13891" s="27" t="s">
        <v>3576</v>
      </c>
      <c r="N13891" s="27" t="s">
        <v>20249</v>
      </c>
      <c r="P13891" s="27" t="s">
        <v>20314</v>
      </c>
      <c r="Q13891" s="26" t="str">
        <f>HYPERLINK("https://ictv.global/taxonomy/taxondetails?taxnode_id=202517924&amp;ictv_id=ICTV202317924","ICTV202317924")</f>
        <v>ICTV202317924</v>
      </c>
      <c r="R13891" t="s">
        <v>580</v>
      </c>
      <c r="S13891" t="s">
        <v>22764</v>
      </c>
      <c r="T13891">
        <v>40</v>
      </c>
      <c r="U13891" s="26" t="str">
        <f t="shared" si="516"/>
        <v>2024.015P.Rhabdoviridae_Cytorhabdovirus_splitgen.zip</v>
      </c>
    </row>
    <row r="13892" spans="1:21">
      <c r="A13892">
        <v>13891</v>
      </c>
      <c r="B13892" s="27" t="s">
        <v>1124</v>
      </c>
      <c r="D13892" s="27" t="s">
        <v>1859</v>
      </c>
      <c r="F13892" s="27" t="s">
        <v>938</v>
      </c>
      <c r="G13892" s="27" t="s">
        <v>939</v>
      </c>
      <c r="H13892" s="27" t="s">
        <v>945</v>
      </c>
      <c r="J13892" s="27" t="s">
        <v>238</v>
      </c>
      <c r="L13892" s="27" t="s">
        <v>346</v>
      </c>
      <c r="M13892" s="27" t="s">
        <v>3576</v>
      </c>
      <c r="N13892" s="27" t="s">
        <v>20249</v>
      </c>
      <c r="P13892" s="27" t="s">
        <v>20315</v>
      </c>
      <c r="Q13892" s="26" t="str">
        <f>HYPERLINK("https://ictv.global/taxonomy/taxondetails?taxnode_id=202520667&amp;ictv_id=ICTV202420667","ICTV202420667")</f>
        <v>ICTV202420667</v>
      </c>
      <c r="R13892" t="s">
        <v>580</v>
      </c>
      <c r="S13892" t="s">
        <v>823</v>
      </c>
      <c r="T13892">
        <v>40</v>
      </c>
      <c r="U13892" s="26" t="str">
        <f t="shared" si="516"/>
        <v>2024.015P.Rhabdoviridae_Cytorhabdovirus_splitgen.zip</v>
      </c>
    </row>
    <row r="13893" spans="1:21">
      <c r="A13893">
        <v>13892</v>
      </c>
      <c r="B13893" s="27" t="s">
        <v>1124</v>
      </c>
      <c r="D13893" s="27" t="s">
        <v>1859</v>
      </c>
      <c r="F13893" s="27" t="s">
        <v>938</v>
      </c>
      <c r="G13893" s="27" t="s">
        <v>939</v>
      </c>
      <c r="H13893" s="27" t="s">
        <v>945</v>
      </c>
      <c r="J13893" s="27" t="s">
        <v>238</v>
      </c>
      <c r="L13893" s="27" t="s">
        <v>346</v>
      </c>
      <c r="M13893" s="27" t="s">
        <v>3576</v>
      </c>
      <c r="N13893" s="27" t="s">
        <v>20249</v>
      </c>
      <c r="P13893" s="27" t="s">
        <v>20316</v>
      </c>
      <c r="Q13893" s="26" t="str">
        <f>HYPERLINK("https://ictv.global/taxonomy/taxondetails?taxnode_id=202509363&amp;ictv_id=ICTV202009363","ICTV202009363")</f>
        <v>ICTV202009363</v>
      </c>
      <c r="R13893" t="s">
        <v>580</v>
      </c>
      <c r="S13893" t="s">
        <v>22764</v>
      </c>
      <c r="T13893">
        <v>40</v>
      </c>
      <c r="U13893" s="26" t="str">
        <f t="shared" si="516"/>
        <v>2024.015P.Rhabdoviridae_Cytorhabdovirus_splitgen.zip</v>
      </c>
    </row>
    <row r="13894" spans="1:21">
      <c r="A13894">
        <v>13893</v>
      </c>
      <c r="B13894" s="27" t="s">
        <v>1124</v>
      </c>
      <c r="D13894" s="27" t="s">
        <v>1859</v>
      </c>
      <c r="F13894" s="27" t="s">
        <v>938</v>
      </c>
      <c r="G13894" s="27" t="s">
        <v>939</v>
      </c>
      <c r="H13894" s="27" t="s">
        <v>945</v>
      </c>
      <c r="J13894" s="27" t="s">
        <v>238</v>
      </c>
      <c r="L13894" s="27" t="s">
        <v>346</v>
      </c>
      <c r="M13894" s="27" t="s">
        <v>3576</v>
      </c>
      <c r="N13894" s="27" t="s">
        <v>20249</v>
      </c>
      <c r="P13894" s="27" t="s">
        <v>20317</v>
      </c>
      <c r="Q13894" s="26" t="str">
        <f>HYPERLINK("https://ictv.global/taxonomy/taxondetails?taxnode_id=202520668&amp;ictv_id=ICTV202420668","ICTV202420668")</f>
        <v>ICTV202420668</v>
      </c>
      <c r="R13894" t="s">
        <v>580</v>
      </c>
      <c r="S13894" t="s">
        <v>823</v>
      </c>
      <c r="T13894">
        <v>40</v>
      </c>
      <c r="U13894" s="26" t="str">
        <f t="shared" si="516"/>
        <v>2024.015P.Rhabdoviridae_Cytorhabdovirus_splitgen.zip</v>
      </c>
    </row>
    <row r="13895" spans="1:21">
      <c r="A13895">
        <v>13894</v>
      </c>
      <c r="B13895" s="27" t="s">
        <v>1124</v>
      </c>
      <c r="D13895" s="27" t="s">
        <v>1859</v>
      </c>
      <c r="F13895" s="27" t="s">
        <v>938</v>
      </c>
      <c r="G13895" s="27" t="s">
        <v>939</v>
      </c>
      <c r="H13895" s="27" t="s">
        <v>945</v>
      </c>
      <c r="J13895" s="27" t="s">
        <v>238</v>
      </c>
      <c r="L13895" s="27" t="s">
        <v>346</v>
      </c>
      <c r="M13895" s="27" t="s">
        <v>3576</v>
      </c>
      <c r="N13895" s="27" t="s">
        <v>20249</v>
      </c>
      <c r="P13895" s="27" t="s">
        <v>20318</v>
      </c>
      <c r="Q13895" s="26" t="str">
        <f>HYPERLINK("https://ictv.global/taxonomy/taxondetails?taxnode_id=202520669&amp;ictv_id=ICTV202420669","ICTV202420669")</f>
        <v>ICTV202420669</v>
      </c>
      <c r="R13895" t="s">
        <v>580</v>
      </c>
      <c r="S13895" t="s">
        <v>823</v>
      </c>
      <c r="T13895">
        <v>40</v>
      </c>
      <c r="U13895" s="26" t="str">
        <f t="shared" si="516"/>
        <v>2024.015P.Rhabdoviridae_Cytorhabdovirus_splitgen.zip</v>
      </c>
    </row>
    <row r="13896" spans="1:21">
      <c r="A13896">
        <v>13895</v>
      </c>
      <c r="B13896" s="27" t="s">
        <v>1124</v>
      </c>
      <c r="D13896" s="27" t="s">
        <v>1859</v>
      </c>
      <c r="F13896" s="27" t="s">
        <v>938</v>
      </c>
      <c r="G13896" s="27" t="s">
        <v>939</v>
      </c>
      <c r="H13896" s="27" t="s">
        <v>945</v>
      </c>
      <c r="J13896" s="27" t="s">
        <v>238</v>
      </c>
      <c r="L13896" s="27" t="s">
        <v>346</v>
      </c>
      <c r="M13896" s="27" t="s">
        <v>3576</v>
      </c>
      <c r="N13896" s="27" t="s">
        <v>20249</v>
      </c>
      <c r="P13896" s="27" t="s">
        <v>20319</v>
      </c>
      <c r="Q13896" s="26" t="str">
        <f>HYPERLINK("https://ictv.global/taxonomy/taxondetails?taxnode_id=202520670&amp;ictv_id=ICTV202420670","ICTV202420670")</f>
        <v>ICTV202420670</v>
      </c>
      <c r="R13896" t="s">
        <v>580</v>
      </c>
      <c r="S13896" t="s">
        <v>823</v>
      </c>
      <c r="T13896">
        <v>40</v>
      </c>
      <c r="U13896" s="26" t="str">
        <f t="shared" si="516"/>
        <v>2024.015P.Rhabdoviridae_Cytorhabdovirus_splitgen.zip</v>
      </c>
    </row>
    <row r="13897" spans="1:21">
      <c r="A13897">
        <v>13896</v>
      </c>
      <c r="B13897" s="27" t="s">
        <v>1124</v>
      </c>
      <c r="D13897" s="27" t="s">
        <v>1859</v>
      </c>
      <c r="F13897" s="27" t="s">
        <v>938</v>
      </c>
      <c r="G13897" s="27" t="s">
        <v>939</v>
      </c>
      <c r="H13897" s="27" t="s">
        <v>945</v>
      </c>
      <c r="J13897" s="27" t="s">
        <v>238</v>
      </c>
      <c r="L13897" s="27" t="s">
        <v>346</v>
      </c>
      <c r="M13897" s="27" t="s">
        <v>3576</v>
      </c>
      <c r="N13897" s="27" t="s">
        <v>20249</v>
      </c>
      <c r="P13897" s="27" t="s">
        <v>20320</v>
      </c>
      <c r="Q13897" s="26" t="str">
        <f>HYPERLINK("https://ictv.global/taxonomy/taxondetails?taxnode_id=202520671&amp;ictv_id=ICTV202420671","ICTV202420671")</f>
        <v>ICTV202420671</v>
      </c>
      <c r="R13897" t="s">
        <v>580</v>
      </c>
      <c r="S13897" t="s">
        <v>823</v>
      </c>
      <c r="T13897">
        <v>40</v>
      </c>
      <c r="U13897" s="26" t="str">
        <f t="shared" si="516"/>
        <v>2024.015P.Rhabdoviridae_Cytorhabdovirus_splitgen.zip</v>
      </c>
    </row>
    <row r="13898" spans="1:21">
      <c r="A13898">
        <v>13897</v>
      </c>
      <c r="B13898" s="27" t="s">
        <v>1124</v>
      </c>
      <c r="D13898" s="27" t="s">
        <v>1859</v>
      </c>
      <c r="F13898" s="27" t="s">
        <v>938</v>
      </c>
      <c r="G13898" s="27" t="s">
        <v>939</v>
      </c>
      <c r="H13898" s="27" t="s">
        <v>945</v>
      </c>
      <c r="J13898" s="27" t="s">
        <v>238</v>
      </c>
      <c r="L13898" s="27" t="s">
        <v>346</v>
      </c>
      <c r="M13898" s="27" t="s">
        <v>3576</v>
      </c>
      <c r="N13898" s="27" t="s">
        <v>16905</v>
      </c>
      <c r="P13898" s="27" t="s">
        <v>16906</v>
      </c>
      <c r="Q13898" s="26" t="str">
        <f>HYPERLINK("https://ictv.global/taxonomy/taxondetails?taxnode_id=202517788&amp;ictv_id=ICTV202317788","ICTV202317788")</f>
        <v>ICTV202317788</v>
      </c>
      <c r="R13898" t="s">
        <v>580</v>
      </c>
      <c r="S13898" t="s">
        <v>823</v>
      </c>
      <c r="T13898">
        <v>39</v>
      </c>
      <c r="U13898" s="26" t="str">
        <f t="shared" ref="U13898:U13906" si="517">HYPERLINK("https://ictv.global/ictv/proposals/2023.004M.Betarhabdovirinae_2ngen_9nsp_move1sp.zip","2023.004M.Betarhabdovirinae_2ngen_9nsp_move1sp.zip")</f>
        <v>2023.004M.Betarhabdovirinae_2ngen_9nsp_move1sp.zip</v>
      </c>
    </row>
    <row r="13899" spans="1:21">
      <c r="A13899">
        <v>13898</v>
      </c>
      <c r="B13899" s="27" t="s">
        <v>1124</v>
      </c>
      <c r="D13899" s="27" t="s">
        <v>1859</v>
      </c>
      <c r="F13899" s="27" t="s">
        <v>938</v>
      </c>
      <c r="G13899" s="27" t="s">
        <v>939</v>
      </c>
      <c r="H13899" s="27" t="s">
        <v>945</v>
      </c>
      <c r="J13899" s="27" t="s">
        <v>238</v>
      </c>
      <c r="L13899" s="27" t="s">
        <v>346</v>
      </c>
      <c r="M13899" s="27" t="s">
        <v>3576</v>
      </c>
      <c r="N13899" s="27" t="s">
        <v>16905</v>
      </c>
      <c r="P13899" s="27" t="s">
        <v>16907</v>
      </c>
      <c r="Q13899" s="26" t="str">
        <f>HYPERLINK("https://ictv.global/taxonomy/taxondetails?taxnode_id=202517789&amp;ictv_id=ICTV202317789","ICTV202317789")</f>
        <v>ICTV202317789</v>
      </c>
      <c r="R13899" t="s">
        <v>580</v>
      </c>
      <c r="S13899" t="s">
        <v>823</v>
      </c>
      <c r="T13899">
        <v>39</v>
      </c>
      <c r="U13899" s="26" t="str">
        <f t="shared" si="517"/>
        <v>2023.004M.Betarhabdovirinae_2ngen_9nsp_move1sp.zip</v>
      </c>
    </row>
    <row r="13900" spans="1:21">
      <c r="A13900">
        <v>13899</v>
      </c>
      <c r="B13900" s="27" t="s">
        <v>1124</v>
      </c>
      <c r="D13900" s="27" t="s">
        <v>1859</v>
      </c>
      <c r="F13900" s="27" t="s">
        <v>938</v>
      </c>
      <c r="G13900" s="27" t="s">
        <v>939</v>
      </c>
      <c r="H13900" s="27" t="s">
        <v>945</v>
      </c>
      <c r="J13900" s="27" t="s">
        <v>238</v>
      </c>
      <c r="L13900" s="27" t="s">
        <v>346</v>
      </c>
      <c r="M13900" s="27" t="s">
        <v>3576</v>
      </c>
      <c r="N13900" s="27" t="s">
        <v>16905</v>
      </c>
      <c r="P13900" s="27" t="s">
        <v>16908</v>
      </c>
      <c r="Q13900" s="26" t="str">
        <f>HYPERLINK("https://ictv.global/taxonomy/taxondetails?taxnode_id=202517790&amp;ictv_id=ICTV202317790","ICTV202317790")</f>
        <v>ICTV202317790</v>
      </c>
      <c r="R13900" t="s">
        <v>580</v>
      </c>
      <c r="S13900" t="s">
        <v>823</v>
      </c>
      <c r="T13900">
        <v>39</v>
      </c>
      <c r="U13900" s="26" t="str">
        <f t="shared" si="517"/>
        <v>2023.004M.Betarhabdovirinae_2ngen_9nsp_move1sp.zip</v>
      </c>
    </row>
    <row r="13901" spans="1:21">
      <c r="A13901">
        <v>13900</v>
      </c>
      <c r="B13901" s="27" t="s">
        <v>1124</v>
      </c>
      <c r="D13901" s="27" t="s">
        <v>1859</v>
      </c>
      <c r="F13901" s="27" t="s">
        <v>938</v>
      </c>
      <c r="G13901" s="27" t="s">
        <v>939</v>
      </c>
      <c r="H13901" s="27" t="s">
        <v>945</v>
      </c>
      <c r="J13901" s="27" t="s">
        <v>238</v>
      </c>
      <c r="L13901" s="27" t="s">
        <v>346</v>
      </c>
      <c r="M13901" s="27" t="s">
        <v>3576</v>
      </c>
      <c r="N13901" s="27" t="s">
        <v>16905</v>
      </c>
      <c r="P13901" s="27" t="s">
        <v>16909</v>
      </c>
      <c r="Q13901" s="26" t="str">
        <f>HYPERLINK("https://ictv.global/taxonomy/taxondetails?taxnode_id=202517791&amp;ictv_id=ICTV202317791","ICTV202317791")</f>
        <v>ICTV202317791</v>
      </c>
      <c r="R13901" t="s">
        <v>580</v>
      </c>
      <c r="S13901" t="s">
        <v>823</v>
      </c>
      <c r="T13901">
        <v>39</v>
      </c>
      <c r="U13901" s="26" t="str">
        <f t="shared" si="517"/>
        <v>2023.004M.Betarhabdovirinae_2ngen_9nsp_move1sp.zip</v>
      </c>
    </row>
    <row r="13902" spans="1:21">
      <c r="A13902">
        <v>13901</v>
      </c>
      <c r="B13902" s="27" t="s">
        <v>1124</v>
      </c>
      <c r="D13902" s="27" t="s">
        <v>1859</v>
      </c>
      <c r="F13902" s="27" t="s">
        <v>938</v>
      </c>
      <c r="G13902" s="27" t="s">
        <v>939</v>
      </c>
      <c r="H13902" s="27" t="s">
        <v>945</v>
      </c>
      <c r="J13902" s="27" t="s">
        <v>238</v>
      </c>
      <c r="L13902" s="27" t="s">
        <v>346</v>
      </c>
      <c r="M13902" s="27" t="s">
        <v>3576</v>
      </c>
      <c r="N13902" s="27" t="s">
        <v>16905</v>
      </c>
      <c r="P13902" s="27" t="s">
        <v>16910</v>
      </c>
      <c r="Q13902" s="26" t="str">
        <f>HYPERLINK("https://ictv.global/taxonomy/taxondetails?taxnode_id=202517792&amp;ictv_id=ICTV202317792","ICTV202317792")</f>
        <v>ICTV202317792</v>
      </c>
      <c r="R13902" t="s">
        <v>580</v>
      </c>
      <c r="S13902" t="s">
        <v>823</v>
      </c>
      <c r="T13902">
        <v>39</v>
      </c>
      <c r="U13902" s="26" t="str">
        <f t="shared" si="517"/>
        <v>2023.004M.Betarhabdovirinae_2ngen_9nsp_move1sp.zip</v>
      </c>
    </row>
    <row r="13903" spans="1:21">
      <c r="A13903">
        <v>13902</v>
      </c>
      <c r="B13903" s="27" t="s">
        <v>1124</v>
      </c>
      <c r="D13903" s="27" t="s">
        <v>1859</v>
      </c>
      <c r="F13903" s="27" t="s">
        <v>938</v>
      </c>
      <c r="G13903" s="27" t="s">
        <v>939</v>
      </c>
      <c r="H13903" s="27" t="s">
        <v>945</v>
      </c>
      <c r="J13903" s="27" t="s">
        <v>238</v>
      </c>
      <c r="L13903" s="27" t="s">
        <v>346</v>
      </c>
      <c r="M13903" s="27" t="s">
        <v>3576</v>
      </c>
      <c r="N13903" s="27" t="s">
        <v>16905</v>
      </c>
      <c r="P13903" s="27" t="s">
        <v>16911</v>
      </c>
      <c r="Q13903" s="26" t="str">
        <f>HYPERLINK("https://ictv.global/taxonomy/taxondetails?taxnode_id=202514271&amp;ictv_id=ICTV202214271","ICTV202214271")</f>
        <v>ICTV202214271</v>
      </c>
      <c r="R13903" t="s">
        <v>580</v>
      </c>
      <c r="S13903" t="s">
        <v>22764</v>
      </c>
      <c r="T13903">
        <v>39</v>
      </c>
      <c r="U13903" s="26" t="str">
        <f t="shared" si="517"/>
        <v>2023.004M.Betarhabdovirinae_2ngen_9nsp_move1sp.zip</v>
      </c>
    </row>
    <row r="13904" spans="1:21">
      <c r="A13904">
        <v>13903</v>
      </c>
      <c r="B13904" s="27" t="s">
        <v>1124</v>
      </c>
      <c r="D13904" s="27" t="s">
        <v>1859</v>
      </c>
      <c r="F13904" s="27" t="s">
        <v>938</v>
      </c>
      <c r="G13904" s="27" t="s">
        <v>939</v>
      </c>
      <c r="H13904" s="27" t="s">
        <v>945</v>
      </c>
      <c r="J13904" s="27" t="s">
        <v>238</v>
      </c>
      <c r="L13904" s="27" t="s">
        <v>346</v>
      </c>
      <c r="M13904" s="27" t="s">
        <v>3576</v>
      </c>
      <c r="N13904" s="27" t="s">
        <v>16905</v>
      </c>
      <c r="P13904" s="27" t="s">
        <v>16912</v>
      </c>
      <c r="Q13904" s="26" t="str">
        <f>HYPERLINK("https://ictv.global/taxonomy/taxondetails?taxnode_id=202517793&amp;ictv_id=ICTV202317793","ICTV202317793")</f>
        <v>ICTV202317793</v>
      </c>
      <c r="R13904" t="s">
        <v>580</v>
      </c>
      <c r="S13904" t="s">
        <v>823</v>
      </c>
      <c r="T13904">
        <v>39</v>
      </c>
      <c r="U13904" s="26" t="str">
        <f t="shared" si="517"/>
        <v>2023.004M.Betarhabdovirinae_2ngen_9nsp_move1sp.zip</v>
      </c>
    </row>
    <row r="13905" spans="1:21">
      <c r="A13905">
        <v>13904</v>
      </c>
      <c r="B13905" s="27" t="s">
        <v>1124</v>
      </c>
      <c r="D13905" s="27" t="s">
        <v>1859</v>
      </c>
      <c r="F13905" s="27" t="s">
        <v>938</v>
      </c>
      <c r="G13905" s="27" t="s">
        <v>939</v>
      </c>
      <c r="H13905" s="27" t="s">
        <v>945</v>
      </c>
      <c r="J13905" s="27" t="s">
        <v>238</v>
      </c>
      <c r="L13905" s="27" t="s">
        <v>346</v>
      </c>
      <c r="M13905" s="27" t="s">
        <v>3576</v>
      </c>
      <c r="N13905" s="27" t="s">
        <v>16905</v>
      </c>
      <c r="P13905" s="27" t="s">
        <v>16913</v>
      </c>
      <c r="Q13905" s="26" t="str">
        <f>HYPERLINK("https://ictv.global/taxonomy/taxondetails?taxnode_id=202517794&amp;ictv_id=ICTV202317794","ICTV202317794")</f>
        <v>ICTV202317794</v>
      </c>
      <c r="R13905" t="s">
        <v>580</v>
      </c>
      <c r="S13905" t="s">
        <v>823</v>
      </c>
      <c r="T13905">
        <v>39</v>
      </c>
      <c r="U13905" s="26" t="str">
        <f t="shared" si="517"/>
        <v>2023.004M.Betarhabdovirinae_2ngen_9nsp_move1sp.zip</v>
      </c>
    </row>
    <row r="13906" spans="1:21">
      <c r="A13906">
        <v>13905</v>
      </c>
      <c r="B13906" s="27" t="s">
        <v>1124</v>
      </c>
      <c r="D13906" s="27" t="s">
        <v>1859</v>
      </c>
      <c r="F13906" s="27" t="s">
        <v>938</v>
      </c>
      <c r="G13906" s="27" t="s">
        <v>939</v>
      </c>
      <c r="H13906" s="27" t="s">
        <v>945</v>
      </c>
      <c r="J13906" s="27" t="s">
        <v>238</v>
      </c>
      <c r="L13906" s="27" t="s">
        <v>346</v>
      </c>
      <c r="M13906" s="27" t="s">
        <v>3576</v>
      </c>
      <c r="N13906" s="27" t="s">
        <v>16905</v>
      </c>
      <c r="P13906" s="27" t="s">
        <v>16914</v>
      </c>
      <c r="Q13906" s="26" t="str">
        <f>HYPERLINK("https://ictv.global/taxonomy/taxondetails?taxnode_id=202517795&amp;ictv_id=ICTV202317795","ICTV202317795")</f>
        <v>ICTV202317795</v>
      </c>
      <c r="R13906" t="s">
        <v>580</v>
      </c>
      <c r="S13906" t="s">
        <v>823</v>
      </c>
      <c r="T13906">
        <v>39</v>
      </c>
      <c r="U13906" s="26" t="str">
        <f t="shared" si="517"/>
        <v>2023.004M.Betarhabdovirinae_2ngen_9nsp_move1sp.zip</v>
      </c>
    </row>
    <row r="13907" spans="1:21">
      <c r="A13907">
        <v>13906</v>
      </c>
      <c r="B13907" s="27" t="s">
        <v>1124</v>
      </c>
      <c r="D13907" s="27" t="s">
        <v>1859</v>
      </c>
      <c r="F13907" s="27" t="s">
        <v>938</v>
      </c>
      <c r="G13907" s="27" t="s">
        <v>939</v>
      </c>
      <c r="H13907" s="27" t="s">
        <v>945</v>
      </c>
      <c r="J13907" s="27" t="s">
        <v>238</v>
      </c>
      <c r="L13907" s="27" t="s">
        <v>346</v>
      </c>
      <c r="M13907" s="27" t="s">
        <v>3576</v>
      </c>
      <c r="N13907" s="27" t="s">
        <v>1895</v>
      </c>
      <c r="P13907" s="27" t="s">
        <v>9723</v>
      </c>
      <c r="Q13907" s="26" t="str">
        <f>HYPERLINK("https://ictv.global/taxonomy/taxondetails?taxnode_id=202514139&amp;ictv_id=ICTV202214139","ICTV202214139")</f>
        <v>ICTV202214139</v>
      </c>
      <c r="R13907" t="s">
        <v>580</v>
      </c>
      <c r="S13907" t="s">
        <v>823</v>
      </c>
      <c r="T13907">
        <v>38</v>
      </c>
      <c r="U13907" s="26" t="str">
        <f>HYPERLINK("https://ictv.global/ictv/proposals/2022.001M.Alpha_and_betanucleorhabdoviruses_6nsp.zip","2022.001M.Alpha_and_betanucleorhabdoviruses_6nsp.zip")</f>
        <v>2022.001M.Alpha_and_betanucleorhabdoviruses_6nsp.zip</v>
      </c>
    </row>
    <row r="13908" spans="1:21">
      <c r="A13908">
        <v>13907</v>
      </c>
      <c r="B13908" s="27" t="s">
        <v>1124</v>
      </c>
      <c r="D13908" s="27" t="s">
        <v>1859</v>
      </c>
      <c r="F13908" s="27" t="s">
        <v>938</v>
      </c>
      <c r="G13908" s="27" t="s">
        <v>939</v>
      </c>
      <c r="H13908" s="27" t="s">
        <v>945</v>
      </c>
      <c r="J13908" s="27" t="s">
        <v>238</v>
      </c>
      <c r="L13908" s="27" t="s">
        <v>346</v>
      </c>
      <c r="M13908" s="27" t="s">
        <v>3576</v>
      </c>
      <c r="N13908" s="27" t="s">
        <v>1895</v>
      </c>
      <c r="P13908" s="27" t="s">
        <v>9724</v>
      </c>
      <c r="Q13908" s="26" t="str">
        <f>HYPERLINK("https://ictv.global/taxonomy/taxondetails?taxnode_id=202514140&amp;ictv_id=ICTV202214140","ICTV202214140")</f>
        <v>ICTV202214140</v>
      </c>
      <c r="R13908" t="s">
        <v>580</v>
      </c>
      <c r="S13908" t="s">
        <v>823</v>
      </c>
      <c r="T13908">
        <v>38</v>
      </c>
      <c r="U13908" s="26" t="str">
        <f>HYPERLINK("https://ictv.global/ictv/proposals/2022.001M.Alpha_and_betanucleorhabdoviruses_6nsp.zip","2022.001M.Alpha_and_betanucleorhabdoviruses_6nsp.zip")</f>
        <v>2022.001M.Alpha_and_betanucleorhabdoviruses_6nsp.zip</v>
      </c>
    </row>
    <row r="13909" spans="1:21">
      <c r="A13909">
        <v>13908</v>
      </c>
      <c r="B13909" s="27" t="s">
        <v>1124</v>
      </c>
      <c r="D13909" s="27" t="s">
        <v>1859</v>
      </c>
      <c r="F13909" s="27" t="s">
        <v>938</v>
      </c>
      <c r="G13909" s="27" t="s">
        <v>939</v>
      </c>
      <c r="H13909" s="27" t="s">
        <v>945</v>
      </c>
      <c r="J13909" s="27" t="s">
        <v>238</v>
      </c>
      <c r="L13909" s="27" t="s">
        <v>346</v>
      </c>
      <c r="M13909" s="27" t="s">
        <v>3576</v>
      </c>
      <c r="N13909" s="27" t="s">
        <v>1895</v>
      </c>
      <c r="P13909" s="27" t="s">
        <v>20321</v>
      </c>
      <c r="Q13909" s="26" t="str">
        <f>HYPERLINK("https://ictv.global/taxonomy/taxondetails?taxnode_id=202520625&amp;ictv_id=ICTV202420625","ICTV202420625")</f>
        <v>ICTV202420625</v>
      </c>
      <c r="R13909" t="s">
        <v>580</v>
      </c>
      <c r="S13909" t="s">
        <v>823</v>
      </c>
      <c r="T13909">
        <v>40</v>
      </c>
      <c r="U13909" s="26" t="str">
        <f>HYPERLINK("https://ictv.global/ictv/proposals/2024.014P.Rhabdoviridae_2nsp.zip","2024.014P.Rhabdoviridae_2nsp.zip")</f>
        <v>2024.014P.Rhabdoviridae_2nsp.zip</v>
      </c>
    </row>
    <row r="13910" spans="1:21">
      <c r="A13910">
        <v>13909</v>
      </c>
      <c r="B13910" s="27" t="s">
        <v>1124</v>
      </c>
      <c r="D13910" s="27" t="s">
        <v>1859</v>
      </c>
      <c r="F13910" s="27" t="s">
        <v>938</v>
      </c>
      <c r="G13910" s="27" t="s">
        <v>939</v>
      </c>
      <c r="H13910" s="27" t="s">
        <v>945</v>
      </c>
      <c r="J13910" s="27" t="s">
        <v>238</v>
      </c>
      <c r="L13910" s="27" t="s">
        <v>346</v>
      </c>
      <c r="M13910" s="27" t="s">
        <v>3576</v>
      </c>
      <c r="N13910" s="27" t="s">
        <v>1895</v>
      </c>
      <c r="P13910" s="27" t="s">
        <v>9725</v>
      </c>
      <c r="Q13910" s="26" t="str">
        <f>HYPERLINK("https://ictv.global/taxonomy/taxondetails?taxnode_id=202501751&amp;ictv_id=ICTV20094946","ICTV20094946")</f>
        <v>ICTV20094946</v>
      </c>
      <c r="R13910" t="s">
        <v>580</v>
      </c>
      <c r="S13910" t="s">
        <v>824</v>
      </c>
      <c r="T13910">
        <v>37</v>
      </c>
      <c r="U13910" s="26" t="str">
        <f>HYPERLINK("https://ictv.global/ictv/proposals/2021.036M.R.Rhabdoviridae_sprename.zip","2021.036M.R.Rhabdoviridae_sprename.zip")</f>
        <v>2021.036M.R.Rhabdoviridae_sprename.zip</v>
      </c>
    </row>
    <row r="13911" spans="1:21">
      <c r="A13911">
        <v>13910</v>
      </c>
      <c r="B13911" s="27" t="s">
        <v>1124</v>
      </c>
      <c r="D13911" s="27" t="s">
        <v>1859</v>
      </c>
      <c r="F13911" s="27" t="s">
        <v>938</v>
      </c>
      <c r="G13911" s="27" t="s">
        <v>939</v>
      </c>
      <c r="H13911" s="27" t="s">
        <v>945</v>
      </c>
      <c r="J13911" s="27" t="s">
        <v>238</v>
      </c>
      <c r="L13911" s="27" t="s">
        <v>346</v>
      </c>
      <c r="M13911" s="27" t="s">
        <v>3576</v>
      </c>
      <c r="N13911" s="27" t="s">
        <v>1895</v>
      </c>
      <c r="P13911" s="27" t="s">
        <v>9726</v>
      </c>
      <c r="Q13911" s="26" t="str">
        <f>HYPERLINK("https://ictv.global/taxonomy/taxondetails?taxnode_id=202509365&amp;ictv_id=ICTV202009365","ICTV202009365")</f>
        <v>ICTV202009365</v>
      </c>
      <c r="R13911" t="s">
        <v>580</v>
      </c>
      <c r="S13911" t="s">
        <v>824</v>
      </c>
      <c r="T13911">
        <v>37</v>
      </c>
      <c r="U13911" s="26" t="str">
        <f>HYPERLINK("https://ictv.global/ictv/proposals/2021.036M.R.Rhabdoviridae_sprename.zip","2021.036M.R.Rhabdoviridae_sprename.zip")</f>
        <v>2021.036M.R.Rhabdoviridae_sprename.zip</v>
      </c>
    </row>
    <row r="13912" spans="1:21">
      <c r="A13912">
        <v>13911</v>
      </c>
      <c r="B13912" s="27" t="s">
        <v>1124</v>
      </c>
      <c r="D13912" s="27" t="s">
        <v>1859</v>
      </c>
      <c r="F13912" s="27" t="s">
        <v>938</v>
      </c>
      <c r="G13912" s="27" t="s">
        <v>939</v>
      </c>
      <c r="H13912" s="27" t="s">
        <v>945</v>
      </c>
      <c r="J13912" s="27" t="s">
        <v>238</v>
      </c>
      <c r="L13912" s="27" t="s">
        <v>346</v>
      </c>
      <c r="M13912" s="27" t="s">
        <v>3576</v>
      </c>
      <c r="N13912" s="27" t="s">
        <v>1895</v>
      </c>
      <c r="P13912" s="27" t="s">
        <v>9727</v>
      </c>
      <c r="Q13912" s="26" t="str">
        <f>HYPERLINK("https://ictv.global/taxonomy/taxondetails?taxnode_id=202513306&amp;ictv_id=ICTV202113306","ICTV202113306")</f>
        <v>ICTV202113306</v>
      </c>
      <c r="R13912" t="s">
        <v>580</v>
      </c>
      <c r="S13912" t="s">
        <v>823</v>
      </c>
      <c r="T13912">
        <v>37</v>
      </c>
      <c r="U13912" s="26" t="str">
        <f>HYPERLINK("https://ictv.global/ictv/proposals/2021.001M.R.Betarhabdovirinae_7nsp.zip","2021.001M.R.Betarhabdovirinae_7nsp.zip")</f>
        <v>2021.001M.R.Betarhabdovirinae_7nsp.zip</v>
      </c>
    </row>
    <row r="13913" spans="1:21">
      <c r="A13913">
        <v>13912</v>
      </c>
      <c r="B13913" s="27" t="s">
        <v>1124</v>
      </c>
      <c r="D13913" s="27" t="s">
        <v>1859</v>
      </c>
      <c r="F13913" s="27" t="s">
        <v>938</v>
      </c>
      <c r="G13913" s="27" t="s">
        <v>939</v>
      </c>
      <c r="H13913" s="27" t="s">
        <v>945</v>
      </c>
      <c r="J13913" s="27" t="s">
        <v>238</v>
      </c>
      <c r="L13913" s="27" t="s">
        <v>346</v>
      </c>
      <c r="M13913" s="27" t="s">
        <v>3576</v>
      </c>
      <c r="N13913" s="27" t="s">
        <v>1895</v>
      </c>
      <c r="P13913" s="27" t="s">
        <v>16915</v>
      </c>
      <c r="Q13913" s="26" t="str">
        <f>HYPERLINK("https://ictv.global/taxonomy/taxondetails?taxnode_id=202518284&amp;ictv_id=ICTV202318284","ICTV202318284")</f>
        <v>ICTV202318284</v>
      </c>
      <c r="R13913" t="s">
        <v>580</v>
      </c>
      <c r="S13913" t="s">
        <v>823</v>
      </c>
      <c r="T13913">
        <v>39</v>
      </c>
      <c r="U13913" s="26" t="str">
        <f>HYPERLINK("https://ictv.global/ictv/proposals/2023.017M.Betarhabdovirinae_1ng_7nsp.zip","2023.017M.Betarhabdovirinae_1ng_7nsp.zip")</f>
        <v>2023.017M.Betarhabdovirinae_1ng_7nsp.zip</v>
      </c>
    </row>
    <row r="13914" spans="1:21">
      <c r="A13914">
        <v>13913</v>
      </c>
      <c r="B13914" s="27" t="s">
        <v>1124</v>
      </c>
      <c r="D13914" s="27" t="s">
        <v>1859</v>
      </c>
      <c r="F13914" s="27" t="s">
        <v>938</v>
      </c>
      <c r="G13914" s="27" t="s">
        <v>939</v>
      </c>
      <c r="H13914" s="27" t="s">
        <v>945</v>
      </c>
      <c r="J13914" s="27" t="s">
        <v>238</v>
      </c>
      <c r="L13914" s="27" t="s">
        <v>346</v>
      </c>
      <c r="M13914" s="27" t="s">
        <v>3576</v>
      </c>
      <c r="N13914" s="27" t="s">
        <v>1895</v>
      </c>
      <c r="P13914" s="27" t="s">
        <v>9728</v>
      </c>
      <c r="Q13914" s="26" t="str">
        <f>HYPERLINK("https://ictv.global/taxonomy/taxondetails?taxnode_id=202501746&amp;ictv_id=ICTV19910276","ICTV19910276")</f>
        <v>ICTV19910276</v>
      </c>
      <c r="R13914" t="s">
        <v>580</v>
      </c>
      <c r="S13914" t="s">
        <v>824</v>
      </c>
      <c r="T13914">
        <v>37</v>
      </c>
      <c r="U13914" s="26" t="str">
        <f t="shared" ref="U13914:U13921" si="518">HYPERLINK("https://ictv.global/ictv/proposals/2021.036M.R.Rhabdoviridae_sprename.zip","2021.036M.R.Rhabdoviridae_sprename.zip")</f>
        <v>2021.036M.R.Rhabdoviridae_sprename.zip</v>
      </c>
    </row>
    <row r="13915" spans="1:21">
      <c r="A13915">
        <v>13914</v>
      </c>
      <c r="B13915" s="27" t="s">
        <v>1124</v>
      </c>
      <c r="D13915" s="27" t="s">
        <v>1859</v>
      </c>
      <c r="F13915" s="27" t="s">
        <v>938</v>
      </c>
      <c r="G13915" s="27" t="s">
        <v>939</v>
      </c>
      <c r="H13915" s="27" t="s">
        <v>945</v>
      </c>
      <c r="J13915" s="27" t="s">
        <v>238</v>
      </c>
      <c r="L13915" s="27" t="s">
        <v>346</v>
      </c>
      <c r="M13915" s="27" t="s">
        <v>3576</v>
      </c>
      <c r="N13915" s="27" t="s">
        <v>1895</v>
      </c>
      <c r="P13915" s="27" t="s">
        <v>9729</v>
      </c>
      <c r="Q13915" s="26" t="str">
        <f>HYPERLINK("https://ictv.global/taxonomy/taxondetails?taxnode_id=202501743&amp;ictv_id=ICTV19790840","ICTV19790840")</f>
        <v>ICTV19790840</v>
      </c>
      <c r="R13915" t="s">
        <v>580</v>
      </c>
      <c r="S13915" t="s">
        <v>824</v>
      </c>
      <c r="T13915">
        <v>37</v>
      </c>
      <c r="U13915" s="26" t="str">
        <f t="shared" si="518"/>
        <v>2021.036M.R.Rhabdoviridae_sprename.zip</v>
      </c>
    </row>
    <row r="13916" spans="1:21">
      <c r="A13916">
        <v>13915</v>
      </c>
      <c r="B13916" s="27" t="s">
        <v>1124</v>
      </c>
      <c r="D13916" s="27" t="s">
        <v>1859</v>
      </c>
      <c r="F13916" s="27" t="s">
        <v>938</v>
      </c>
      <c r="G13916" s="27" t="s">
        <v>939</v>
      </c>
      <c r="H13916" s="27" t="s">
        <v>945</v>
      </c>
      <c r="J13916" s="27" t="s">
        <v>238</v>
      </c>
      <c r="L13916" s="27" t="s">
        <v>346</v>
      </c>
      <c r="M13916" s="27" t="s">
        <v>3576</v>
      </c>
      <c r="N13916" s="27" t="s">
        <v>1895</v>
      </c>
      <c r="P13916" s="27" t="s">
        <v>9730</v>
      </c>
      <c r="Q13916" s="26" t="str">
        <f>HYPERLINK("https://ictv.global/taxonomy/taxondetails?taxnode_id=202507683&amp;ictv_id=ICTV201907683","ICTV201907683")</f>
        <v>ICTV201907683</v>
      </c>
      <c r="R13916" t="s">
        <v>580</v>
      </c>
      <c r="S13916" t="s">
        <v>824</v>
      </c>
      <c r="T13916">
        <v>37</v>
      </c>
      <c r="U13916" s="26" t="str">
        <f t="shared" si="518"/>
        <v>2021.036M.R.Rhabdoviridae_sprename.zip</v>
      </c>
    </row>
    <row r="13917" spans="1:21">
      <c r="A13917">
        <v>13916</v>
      </c>
      <c r="B13917" s="27" t="s">
        <v>1124</v>
      </c>
      <c r="D13917" s="27" t="s">
        <v>1859</v>
      </c>
      <c r="F13917" s="27" t="s">
        <v>938</v>
      </c>
      <c r="G13917" s="27" t="s">
        <v>939</v>
      </c>
      <c r="H13917" s="27" t="s">
        <v>945</v>
      </c>
      <c r="J13917" s="27" t="s">
        <v>238</v>
      </c>
      <c r="L13917" s="27" t="s">
        <v>346</v>
      </c>
      <c r="M13917" s="27" t="s">
        <v>3576</v>
      </c>
      <c r="N13917" s="27" t="s">
        <v>1895</v>
      </c>
      <c r="P13917" s="27" t="s">
        <v>9731</v>
      </c>
      <c r="Q13917" s="26" t="str">
        <f>HYPERLINK("https://ictv.global/taxonomy/taxondetails?taxnode_id=202501748&amp;ictv_id=ICTV19990470","ICTV19990470")</f>
        <v>ICTV19990470</v>
      </c>
      <c r="R13917" t="s">
        <v>580</v>
      </c>
      <c r="S13917" t="s">
        <v>824</v>
      </c>
      <c r="T13917">
        <v>37</v>
      </c>
      <c r="U13917" s="26" t="str">
        <f t="shared" si="518"/>
        <v>2021.036M.R.Rhabdoviridae_sprename.zip</v>
      </c>
    </row>
    <row r="13918" spans="1:21">
      <c r="A13918">
        <v>13917</v>
      </c>
      <c r="B13918" s="27" t="s">
        <v>1124</v>
      </c>
      <c r="D13918" s="27" t="s">
        <v>1859</v>
      </c>
      <c r="F13918" s="27" t="s">
        <v>938</v>
      </c>
      <c r="G13918" s="27" t="s">
        <v>939</v>
      </c>
      <c r="H13918" s="27" t="s">
        <v>945</v>
      </c>
      <c r="J13918" s="27" t="s">
        <v>238</v>
      </c>
      <c r="L13918" s="27" t="s">
        <v>346</v>
      </c>
      <c r="M13918" s="27" t="s">
        <v>3576</v>
      </c>
      <c r="N13918" s="27" t="s">
        <v>1895</v>
      </c>
      <c r="P13918" s="27" t="s">
        <v>9732</v>
      </c>
      <c r="Q13918" s="26" t="str">
        <f>HYPERLINK("https://ictv.global/taxonomy/taxondetails?taxnode_id=202507684&amp;ictv_id=ICTV201907684","ICTV201907684")</f>
        <v>ICTV201907684</v>
      </c>
      <c r="R13918" t="s">
        <v>580</v>
      </c>
      <c r="S13918" t="s">
        <v>824</v>
      </c>
      <c r="T13918">
        <v>37</v>
      </c>
      <c r="U13918" s="26" t="str">
        <f t="shared" si="518"/>
        <v>2021.036M.R.Rhabdoviridae_sprename.zip</v>
      </c>
    </row>
    <row r="13919" spans="1:21">
      <c r="A13919">
        <v>13918</v>
      </c>
      <c r="B13919" s="27" t="s">
        <v>1124</v>
      </c>
      <c r="D13919" s="27" t="s">
        <v>1859</v>
      </c>
      <c r="F13919" s="27" t="s">
        <v>938</v>
      </c>
      <c r="G13919" s="27" t="s">
        <v>939</v>
      </c>
      <c r="H13919" s="27" t="s">
        <v>945</v>
      </c>
      <c r="J13919" s="27" t="s">
        <v>238</v>
      </c>
      <c r="L13919" s="27" t="s">
        <v>346</v>
      </c>
      <c r="M13919" s="27" t="s">
        <v>3576</v>
      </c>
      <c r="N13919" s="27" t="s">
        <v>1895</v>
      </c>
      <c r="P13919" s="27" t="s">
        <v>9733</v>
      </c>
      <c r="Q13919" s="26" t="str">
        <f>HYPERLINK("https://ictv.global/taxonomy/taxondetails?taxnode_id=202509364&amp;ictv_id=ICTV202009364","ICTV202009364")</f>
        <v>ICTV202009364</v>
      </c>
      <c r="R13919" t="s">
        <v>580</v>
      </c>
      <c r="S13919" t="s">
        <v>824</v>
      </c>
      <c r="T13919">
        <v>37</v>
      </c>
      <c r="U13919" s="26" t="str">
        <f t="shared" si="518"/>
        <v>2021.036M.R.Rhabdoviridae_sprename.zip</v>
      </c>
    </row>
    <row r="13920" spans="1:21">
      <c r="A13920">
        <v>13919</v>
      </c>
      <c r="B13920" s="27" t="s">
        <v>1124</v>
      </c>
      <c r="D13920" s="27" t="s">
        <v>1859</v>
      </c>
      <c r="F13920" s="27" t="s">
        <v>938</v>
      </c>
      <c r="G13920" s="27" t="s">
        <v>939</v>
      </c>
      <c r="H13920" s="27" t="s">
        <v>945</v>
      </c>
      <c r="J13920" s="27" t="s">
        <v>238</v>
      </c>
      <c r="L13920" s="27" t="s">
        <v>346</v>
      </c>
      <c r="M13920" s="27" t="s">
        <v>3576</v>
      </c>
      <c r="N13920" s="27" t="s">
        <v>1895</v>
      </c>
      <c r="P13920" s="27" t="s">
        <v>9734</v>
      </c>
      <c r="Q13920" s="26" t="str">
        <f>HYPERLINK("https://ictv.global/taxonomy/taxondetails?taxnode_id=202507682&amp;ictv_id=ICTV201907682","ICTV201907682")</f>
        <v>ICTV201907682</v>
      </c>
      <c r="R13920" t="s">
        <v>580</v>
      </c>
      <c r="S13920" t="s">
        <v>824</v>
      </c>
      <c r="T13920">
        <v>37</v>
      </c>
      <c r="U13920" s="26" t="str">
        <f t="shared" si="518"/>
        <v>2021.036M.R.Rhabdoviridae_sprename.zip</v>
      </c>
    </row>
    <row r="13921" spans="1:21">
      <c r="A13921">
        <v>13920</v>
      </c>
      <c r="B13921" s="27" t="s">
        <v>1124</v>
      </c>
      <c r="D13921" s="27" t="s">
        <v>1859</v>
      </c>
      <c r="F13921" s="27" t="s">
        <v>938</v>
      </c>
      <c r="G13921" s="27" t="s">
        <v>939</v>
      </c>
      <c r="H13921" s="27" t="s">
        <v>945</v>
      </c>
      <c r="J13921" s="27" t="s">
        <v>238</v>
      </c>
      <c r="L13921" s="27" t="s">
        <v>346</v>
      </c>
      <c r="M13921" s="27" t="s">
        <v>3576</v>
      </c>
      <c r="N13921" s="27" t="s">
        <v>1895</v>
      </c>
      <c r="P13921" s="27" t="s">
        <v>9735</v>
      </c>
      <c r="Q13921" s="26" t="str">
        <f>HYPERLINK("https://ictv.global/taxonomy/taxondetails?taxnode_id=202501747&amp;ictv_id=ICTV19760553","ICTV19760553")</f>
        <v>ICTV19760553</v>
      </c>
      <c r="R13921" t="s">
        <v>580</v>
      </c>
      <c r="S13921" t="s">
        <v>824</v>
      </c>
      <c r="T13921">
        <v>37</v>
      </c>
      <c r="U13921" s="26" t="str">
        <f t="shared" si="518"/>
        <v>2021.036M.R.Rhabdoviridae_sprename.zip</v>
      </c>
    </row>
    <row r="13922" spans="1:21">
      <c r="A13922">
        <v>13921</v>
      </c>
      <c r="B13922" s="27" t="s">
        <v>1124</v>
      </c>
      <c r="D13922" s="27" t="s">
        <v>1859</v>
      </c>
      <c r="F13922" s="27" t="s">
        <v>938</v>
      </c>
      <c r="G13922" s="27" t="s">
        <v>939</v>
      </c>
      <c r="H13922" s="27" t="s">
        <v>945</v>
      </c>
      <c r="J13922" s="27" t="s">
        <v>238</v>
      </c>
      <c r="L13922" s="27" t="s">
        <v>346</v>
      </c>
      <c r="M13922" s="27" t="s">
        <v>3576</v>
      </c>
      <c r="N13922" s="27" t="s">
        <v>1895</v>
      </c>
      <c r="P13922" s="27" t="s">
        <v>16916</v>
      </c>
      <c r="Q13922" s="26" t="str">
        <f>HYPERLINK("https://ictv.global/taxonomy/taxondetails?taxnode_id=202518285&amp;ictv_id=ICTV202318285","ICTV202318285")</f>
        <v>ICTV202318285</v>
      </c>
      <c r="R13922" t="s">
        <v>580</v>
      </c>
      <c r="S13922" t="s">
        <v>823</v>
      </c>
      <c r="T13922">
        <v>39</v>
      </c>
      <c r="U13922" s="26" t="str">
        <f>HYPERLINK("https://ictv.global/ictv/proposals/2023.017M.Betarhabdovirinae_1ng_7nsp.zip","2023.017M.Betarhabdovirinae_1ng_7nsp.zip")</f>
        <v>2023.017M.Betarhabdovirinae_1ng_7nsp.zip</v>
      </c>
    </row>
    <row r="13923" spans="1:21">
      <c r="A13923">
        <v>13922</v>
      </c>
      <c r="B13923" s="27" t="s">
        <v>1124</v>
      </c>
      <c r="D13923" s="27" t="s">
        <v>1859</v>
      </c>
      <c r="F13923" s="27" t="s">
        <v>938</v>
      </c>
      <c r="G13923" s="27" t="s">
        <v>939</v>
      </c>
      <c r="H13923" s="27" t="s">
        <v>945</v>
      </c>
      <c r="J13923" s="27" t="s">
        <v>238</v>
      </c>
      <c r="L13923" s="27" t="s">
        <v>346</v>
      </c>
      <c r="M13923" s="27" t="s">
        <v>3576</v>
      </c>
      <c r="N13923" s="27" t="s">
        <v>1895</v>
      </c>
      <c r="P13923" s="27" t="s">
        <v>9736</v>
      </c>
      <c r="Q13923" s="26" t="str">
        <f>HYPERLINK("https://ictv.global/taxonomy/taxondetails?taxnode_id=202501745&amp;ictv_id=ICTV20115609","ICTV20115609")</f>
        <v>ICTV20115609</v>
      </c>
      <c r="R13923" t="s">
        <v>580</v>
      </c>
      <c r="S13923" t="s">
        <v>824</v>
      </c>
      <c r="T13923">
        <v>37</v>
      </c>
      <c r="U13923" s="26" t="str">
        <f>HYPERLINK("https://ictv.global/ictv/proposals/2021.036M.R.Rhabdoviridae_sprename.zip","2021.036M.R.Rhabdoviridae_sprename.zip")</f>
        <v>2021.036M.R.Rhabdoviridae_sprename.zip</v>
      </c>
    </row>
    <row r="13924" spans="1:21">
      <c r="A13924">
        <v>13923</v>
      </c>
      <c r="B13924" s="27" t="s">
        <v>1124</v>
      </c>
      <c r="D13924" s="27" t="s">
        <v>1859</v>
      </c>
      <c r="F13924" s="27" t="s">
        <v>938</v>
      </c>
      <c r="G13924" s="27" t="s">
        <v>939</v>
      </c>
      <c r="H13924" s="27" t="s">
        <v>945</v>
      </c>
      <c r="J13924" s="27" t="s">
        <v>238</v>
      </c>
      <c r="L13924" s="27" t="s">
        <v>346</v>
      </c>
      <c r="M13924" s="27" t="s">
        <v>3576</v>
      </c>
      <c r="N13924" s="27" t="s">
        <v>20322</v>
      </c>
      <c r="P13924" s="27" t="s">
        <v>20323</v>
      </c>
      <c r="Q13924" s="26" t="str">
        <f>HYPERLINK("https://ictv.global/taxonomy/taxondetails?taxnode_id=202520672&amp;ictv_id=ICTV202420672","ICTV202420672")</f>
        <v>ICTV202420672</v>
      </c>
      <c r="R13924" t="s">
        <v>580</v>
      </c>
      <c r="S13924" t="s">
        <v>823</v>
      </c>
      <c r="T13924">
        <v>40</v>
      </c>
      <c r="U13924" s="26" t="str">
        <f t="shared" ref="U13924:U13945" si="519">HYPERLINK("https://ictv.global/ictv/proposals/2024.015P.Rhabdoviridae_Cytorhabdovirus_splitgen.zip","2024.015P.Rhabdoviridae_Cytorhabdovirus_splitgen.zip")</f>
        <v>2024.015P.Rhabdoviridae_Cytorhabdovirus_splitgen.zip</v>
      </c>
    </row>
    <row r="13925" spans="1:21">
      <c r="A13925">
        <v>13924</v>
      </c>
      <c r="B13925" s="27" t="s">
        <v>1124</v>
      </c>
      <c r="D13925" s="27" t="s">
        <v>1859</v>
      </c>
      <c r="F13925" s="27" t="s">
        <v>938</v>
      </c>
      <c r="G13925" s="27" t="s">
        <v>939</v>
      </c>
      <c r="H13925" s="27" t="s">
        <v>945</v>
      </c>
      <c r="J13925" s="27" t="s">
        <v>238</v>
      </c>
      <c r="L13925" s="27" t="s">
        <v>346</v>
      </c>
      <c r="M13925" s="27" t="s">
        <v>3576</v>
      </c>
      <c r="N13925" s="27" t="s">
        <v>20322</v>
      </c>
      <c r="P13925" s="27" t="s">
        <v>20324</v>
      </c>
      <c r="Q13925" s="26" t="str">
        <f>HYPERLINK("https://ictv.global/taxonomy/taxondetails?taxnode_id=202513310&amp;ictv_id=ICTV202113310","ICTV202113310")</f>
        <v>ICTV202113310</v>
      </c>
      <c r="R13925" t="s">
        <v>580</v>
      </c>
      <c r="S13925" t="s">
        <v>22764</v>
      </c>
      <c r="T13925">
        <v>40</v>
      </c>
      <c r="U13925" s="26" t="str">
        <f t="shared" si="519"/>
        <v>2024.015P.Rhabdoviridae_Cytorhabdovirus_splitgen.zip</v>
      </c>
    </row>
    <row r="13926" spans="1:21">
      <c r="A13926">
        <v>13925</v>
      </c>
      <c r="B13926" s="27" t="s">
        <v>1124</v>
      </c>
      <c r="D13926" s="27" t="s">
        <v>1859</v>
      </c>
      <c r="F13926" s="27" t="s">
        <v>938</v>
      </c>
      <c r="G13926" s="27" t="s">
        <v>939</v>
      </c>
      <c r="H13926" s="27" t="s">
        <v>945</v>
      </c>
      <c r="J13926" s="27" t="s">
        <v>238</v>
      </c>
      <c r="L13926" s="27" t="s">
        <v>346</v>
      </c>
      <c r="M13926" s="27" t="s">
        <v>3576</v>
      </c>
      <c r="N13926" s="27" t="s">
        <v>20322</v>
      </c>
      <c r="P13926" s="27" t="s">
        <v>20325</v>
      </c>
      <c r="Q13926" s="26" t="str">
        <f>HYPERLINK("https://ictv.global/taxonomy/taxondetails?taxnode_id=202513312&amp;ictv_id=ICTV202113312","ICTV202113312")</f>
        <v>ICTV202113312</v>
      </c>
      <c r="R13926" t="s">
        <v>580</v>
      </c>
      <c r="S13926" t="s">
        <v>22764</v>
      </c>
      <c r="T13926">
        <v>40</v>
      </c>
      <c r="U13926" s="26" t="str">
        <f t="shared" si="519"/>
        <v>2024.015P.Rhabdoviridae_Cytorhabdovirus_splitgen.zip</v>
      </c>
    </row>
    <row r="13927" spans="1:21">
      <c r="A13927">
        <v>13926</v>
      </c>
      <c r="B13927" s="27" t="s">
        <v>1124</v>
      </c>
      <c r="D13927" s="27" t="s">
        <v>1859</v>
      </c>
      <c r="F13927" s="27" t="s">
        <v>938</v>
      </c>
      <c r="G13927" s="27" t="s">
        <v>939</v>
      </c>
      <c r="H13927" s="27" t="s">
        <v>945</v>
      </c>
      <c r="J13927" s="27" t="s">
        <v>238</v>
      </c>
      <c r="L13927" s="27" t="s">
        <v>346</v>
      </c>
      <c r="M13927" s="27" t="s">
        <v>3576</v>
      </c>
      <c r="N13927" s="27" t="s">
        <v>20322</v>
      </c>
      <c r="P13927" s="27" t="s">
        <v>20326</v>
      </c>
      <c r="Q13927" s="26" t="str">
        <f>HYPERLINK("https://ictv.global/taxonomy/taxondetails?taxnode_id=202520673&amp;ictv_id=ICTV202420673","ICTV202420673")</f>
        <v>ICTV202420673</v>
      </c>
      <c r="R13927" t="s">
        <v>580</v>
      </c>
      <c r="S13927" t="s">
        <v>823</v>
      </c>
      <c r="T13927">
        <v>40</v>
      </c>
      <c r="U13927" s="26" t="str">
        <f t="shared" si="519"/>
        <v>2024.015P.Rhabdoviridae_Cytorhabdovirus_splitgen.zip</v>
      </c>
    </row>
    <row r="13928" spans="1:21">
      <c r="A13928">
        <v>13927</v>
      </c>
      <c r="B13928" s="27" t="s">
        <v>1124</v>
      </c>
      <c r="D13928" s="27" t="s">
        <v>1859</v>
      </c>
      <c r="F13928" s="27" t="s">
        <v>938</v>
      </c>
      <c r="G13928" s="27" t="s">
        <v>939</v>
      </c>
      <c r="H13928" s="27" t="s">
        <v>945</v>
      </c>
      <c r="J13928" s="27" t="s">
        <v>238</v>
      </c>
      <c r="L13928" s="27" t="s">
        <v>346</v>
      </c>
      <c r="M13928" s="27" t="s">
        <v>3576</v>
      </c>
      <c r="N13928" s="27" t="s">
        <v>20322</v>
      </c>
      <c r="P13928" s="27" t="s">
        <v>20327</v>
      </c>
      <c r="Q13928" s="26" t="str">
        <f>HYPERLINK("https://ictv.global/taxonomy/taxondetails?taxnode_id=202520674&amp;ictv_id=ICTV202420674","ICTV202420674")</f>
        <v>ICTV202420674</v>
      </c>
      <c r="R13928" t="s">
        <v>580</v>
      </c>
      <c r="S13928" t="s">
        <v>823</v>
      </c>
      <c r="T13928">
        <v>40</v>
      </c>
      <c r="U13928" s="26" t="str">
        <f t="shared" si="519"/>
        <v>2024.015P.Rhabdoviridae_Cytorhabdovirus_splitgen.zip</v>
      </c>
    </row>
    <row r="13929" spans="1:21">
      <c r="A13929">
        <v>13928</v>
      </c>
      <c r="B13929" s="27" t="s">
        <v>1124</v>
      </c>
      <c r="D13929" s="27" t="s">
        <v>1859</v>
      </c>
      <c r="F13929" s="27" t="s">
        <v>938</v>
      </c>
      <c r="G13929" s="27" t="s">
        <v>939</v>
      </c>
      <c r="H13929" s="27" t="s">
        <v>945</v>
      </c>
      <c r="J13929" s="27" t="s">
        <v>238</v>
      </c>
      <c r="L13929" s="27" t="s">
        <v>346</v>
      </c>
      <c r="M13929" s="27" t="s">
        <v>3576</v>
      </c>
      <c r="N13929" s="27" t="s">
        <v>20322</v>
      </c>
      <c r="P13929" s="27" t="s">
        <v>20328</v>
      </c>
      <c r="Q13929" s="26" t="str">
        <f>HYPERLINK("https://ictv.global/taxonomy/taxondetails?taxnode_id=202514167&amp;ictv_id=ICTV202214167","ICTV202214167")</f>
        <v>ICTV202214167</v>
      </c>
      <c r="R13929" t="s">
        <v>580</v>
      </c>
      <c r="S13929" t="s">
        <v>22764</v>
      </c>
      <c r="T13929">
        <v>40</v>
      </c>
      <c r="U13929" s="26" t="str">
        <f t="shared" si="519"/>
        <v>2024.015P.Rhabdoviridae_Cytorhabdovirus_splitgen.zip</v>
      </c>
    </row>
    <row r="13930" spans="1:21">
      <c r="A13930">
        <v>13929</v>
      </c>
      <c r="B13930" s="27" t="s">
        <v>1124</v>
      </c>
      <c r="D13930" s="27" t="s">
        <v>1859</v>
      </c>
      <c r="F13930" s="27" t="s">
        <v>938</v>
      </c>
      <c r="G13930" s="27" t="s">
        <v>939</v>
      </c>
      <c r="H13930" s="27" t="s">
        <v>945</v>
      </c>
      <c r="J13930" s="27" t="s">
        <v>238</v>
      </c>
      <c r="L13930" s="27" t="s">
        <v>346</v>
      </c>
      <c r="M13930" s="27" t="s">
        <v>3576</v>
      </c>
      <c r="N13930" s="27" t="s">
        <v>20322</v>
      </c>
      <c r="P13930" s="27" t="s">
        <v>20329</v>
      </c>
      <c r="Q13930" s="26" t="str">
        <f>HYPERLINK("https://ictv.global/taxonomy/taxondetails?taxnode_id=202520675&amp;ictv_id=ICTV202420675","ICTV202420675")</f>
        <v>ICTV202420675</v>
      </c>
      <c r="R13930" t="s">
        <v>580</v>
      </c>
      <c r="S13930" t="s">
        <v>823</v>
      </c>
      <c r="T13930">
        <v>40</v>
      </c>
      <c r="U13930" s="26" t="str">
        <f t="shared" si="519"/>
        <v>2024.015P.Rhabdoviridae_Cytorhabdovirus_splitgen.zip</v>
      </c>
    </row>
    <row r="13931" spans="1:21">
      <c r="A13931">
        <v>13930</v>
      </c>
      <c r="B13931" s="27" t="s">
        <v>1124</v>
      </c>
      <c r="D13931" s="27" t="s">
        <v>1859</v>
      </c>
      <c r="F13931" s="27" t="s">
        <v>938</v>
      </c>
      <c r="G13931" s="27" t="s">
        <v>939</v>
      </c>
      <c r="H13931" s="27" t="s">
        <v>945</v>
      </c>
      <c r="J13931" s="27" t="s">
        <v>238</v>
      </c>
      <c r="L13931" s="27" t="s">
        <v>346</v>
      </c>
      <c r="M13931" s="27" t="s">
        <v>3576</v>
      </c>
      <c r="N13931" s="27" t="s">
        <v>20322</v>
      </c>
      <c r="P13931" s="27" t="s">
        <v>20330</v>
      </c>
      <c r="Q13931" s="26" t="str">
        <f>HYPERLINK("https://ictv.global/taxonomy/taxondetails?taxnode_id=202520676&amp;ictv_id=ICTV202420676","ICTV202420676")</f>
        <v>ICTV202420676</v>
      </c>
      <c r="R13931" t="s">
        <v>580</v>
      </c>
      <c r="S13931" t="s">
        <v>823</v>
      </c>
      <c r="T13931">
        <v>40</v>
      </c>
      <c r="U13931" s="26" t="str">
        <f t="shared" si="519"/>
        <v>2024.015P.Rhabdoviridae_Cytorhabdovirus_splitgen.zip</v>
      </c>
    </row>
    <row r="13932" spans="1:21">
      <c r="A13932">
        <v>13931</v>
      </c>
      <c r="B13932" s="27" t="s">
        <v>1124</v>
      </c>
      <c r="D13932" s="27" t="s">
        <v>1859</v>
      </c>
      <c r="F13932" s="27" t="s">
        <v>938</v>
      </c>
      <c r="G13932" s="27" t="s">
        <v>939</v>
      </c>
      <c r="H13932" s="27" t="s">
        <v>945</v>
      </c>
      <c r="J13932" s="27" t="s">
        <v>238</v>
      </c>
      <c r="L13932" s="27" t="s">
        <v>346</v>
      </c>
      <c r="M13932" s="27" t="s">
        <v>3576</v>
      </c>
      <c r="N13932" s="27" t="s">
        <v>20322</v>
      </c>
      <c r="P13932" s="27" t="s">
        <v>20331</v>
      </c>
      <c r="Q13932" s="26" t="str">
        <f>HYPERLINK("https://ictv.global/taxonomy/taxondetails?taxnode_id=202520677&amp;ictv_id=ICTV202420677","ICTV202420677")</f>
        <v>ICTV202420677</v>
      </c>
      <c r="R13932" t="s">
        <v>580</v>
      </c>
      <c r="S13932" t="s">
        <v>823</v>
      </c>
      <c r="T13932">
        <v>40</v>
      </c>
      <c r="U13932" s="26" t="str">
        <f t="shared" si="519"/>
        <v>2024.015P.Rhabdoviridae_Cytorhabdovirus_splitgen.zip</v>
      </c>
    </row>
    <row r="13933" spans="1:21">
      <c r="A13933">
        <v>13932</v>
      </c>
      <c r="B13933" s="27" t="s">
        <v>1124</v>
      </c>
      <c r="D13933" s="27" t="s">
        <v>1859</v>
      </c>
      <c r="F13933" s="27" t="s">
        <v>938</v>
      </c>
      <c r="G13933" s="27" t="s">
        <v>939</v>
      </c>
      <c r="H13933" s="27" t="s">
        <v>945</v>
      </c>
      <c r="J13933" s="27" t="s">
        <v>238</v>
      </c>
      <c r="L13933" s="27" t="s">
        <v>346</v>
      </c>
      <c r="M13933" s="27" t="s">
        <v>3576</v>
      </c>
      <c r="N13933" s="27" t="s">
        <v>20322</v>
      </c>
      <c r="P13933" s="27" t="s">
        <v>20332</v>
      </c>
      <c r="Q13933" s="26" t="str">
        <f>HYPERLINK("https://ictv.global/taxonomy/taxondetails?taxnode_id=202514169&amp;ictv_id=ICTV202214169","ICTV202214169")</f>
        <v>ICTV202214169</v>
      </c>
      <c r="R13933" t="s">
        <v>580</v>
      </c>
      <c r="S13933" t="s">
        <v>22764</v>
      </c>
      <c r="T13933">
        <v>40</v>
      </c>
      <c r="U13933" s="26" t="str">
        <f t="shared" si="519"/>
        <v>2024.015P.Rhabdoviridae_Cytorhabdovirus_splitgen.zip</v>
      </c>
    </row>
    <row r="13934" spans="1:21">
      <c r="A13934">
        <v>13933</v>
      </c>
      <c r="B13934" s="27" t="s">
        <v>1124</v>
      </c>
      <c r="D13934" s="27" t="s">
        <v>1859</v>
      </c>
      <c r="F13934" s="27" t="s">
        <v>938</v>
      </c>
      <c r="G13934" s="27" t="s">
        <v>939</v>
      </c>
      <c r="H13934" s="27" t="s">
        <v>945</v>
      </c>
      <c r="J13934" s="27" t="s">
        <v>238</v>
      </c>
      <c r="L13934" s="27" t="s">
        <v>346</v>
      </c>
      <c r="M13934" s="27" t="s">
        <v>3576</v>
      </c>
      <c r="N13934" s="27" t="s">
        <v>20322</v>
      </c>
      <c r="P13934" s="27" t="s">
        <v>20333</v>
      </c>
      <c r="Q13934" s="26" t="str">
        <f>HYPERLINK("https://ictv.global/taxonomy/taxondetails?taxnode_id=202520678&amp;ictv_id=ICTV202420678","ICTV202420678")</f>
        <v>ICTV202420678</v>
      </c>
      <c r="R13934" t="s">
        <v>580</v>
      </c>
      <c r="S13934" t="s">
        <v>823</v>
      </c>
      <c r="T13934">
        <v>40</v>
      </c>
      <c r="U13934" s="26" t="str">
        <f t="shared" si="519"/>
        <v>2024.015P.Rhabdoviridae_Cytorhabdovirus_splitgen.zip</v>
      </c>
    </row>
    <row r="13935" spans="1:21">
      <c r="A13935">
        <v>13934</v>
      </c>
      <c r="B13935" s="27" t="s">
        <v>1124</v>
      </c>
      <c r="D13935" s="27" t="s">
        <v>1859</v>
      </c>
      <c r="F13935" s="27" t="s">
        <v>938</v>
      </c>
      <c r="G13935" s="27" t="s">
        <v>939</v>
      </c>
      <c r="H13935" s="27" t="s">
        <v>945</v>
      </c>
      <c r="J13935" s="27" t="s">
        <v>238</v>
      </c>
      <c r="L13935" s="27" t="s">
        <v>346</v>
      </c>
      <c r="M13935" s="27" t="s">
        <v>3576</v>
      </c>
      <c r="N13935" s="27" t="s">
        <v>20322</v>
      </c>
      <c r="P13935" s="27" t="s">
        <v>20334</v>
      </c>
      <c r="Q13935" s="26" t="str">
        <f>HYPERLINK("https://ictv.global/taxonomy/taxondetails?taxnode_id=202520679&amp;ictv_id=ICTV202420679","ICTV202420679")</f>
        <v>ICTV202420679</v>
      </c>
      <c r="R13935" t="s">
        <v>580</v>
      </c>
      <c r="S13935" t="s">
        <v>823</v>
      </c>
      <c r="T13935">
        <v>40</v>
      </c>
      <c r="U13935" s="26" t="str">
        <f t="shared" si="519"/>
        <v>2024.015P.Rhabdoviridae_Cytorhabdovirus_splitgen.zip</v>
      </c>
    </row>
    <row r="13936" spans="1:21">
      <c r="A13936">
        <v>13935</v>
      </c>
      <c r="B13936" s="27" t="s">
        <v>1124</v>
      </c>
      <c r="D13936" s="27" t="s">
        <v>1859</v>
      </c>
      <c r="F13936" s="27" t="s">
        <v>938</v>
      </c>
      <c r="G13936" s="27" t="s">
        <v>939</v>
      </c>
      <c r="H13936" s="27" t="s">
        <v>945</v>
      </c>
      <c r="J13936" s="27" t="s">
        <v>238</v>
      </c>
      <c r="L13936" s="27" t="s">
        <v>346</v>
      </c>
      <c r="M13936" s="27" t="s">
        <v>3576</v>
      </c>
      <c r="N13936" s="27" t="s">
        <v>20322</v>
      </c>
      <c r="P13936" s="27" t="s">
        <v>20335</v>
      </c>
      <c r="Q13936" s="26" t="str">
        <f>HYPERLINK("https://ictv.global/taxonomy/taxondetails?taxnode_id=202517919&amp;ictv_id=ICTV202317919","ICTV202317919")</f>
        <v>ICTV202317919</v>
      </c>
      <c r="R13936" t="s">
        <v>580</v>
      </c>
      <c r="S13936" t="s">
        <v>22764</v>
      </c>
      <c r="T13936">
        <v>40</v>
      </c>
      <c r="U13936" s="26" t="str">
        <f t="shared" si="519"/>
        <v>2024.015P.Rhabdoviridae_Cytorhabdovirus_splitgen.zip</v>
      </c>
    </row>
    <row r="13937" spans="1:21">
      <c r="A13937">
        <v>13936</v>
      </c>
      <c r="B13937" s="27" t="s">
        <v>1124</v>
      </c>
      <c r="D13937" s="27" t="s">
        <v>1859</v>
      </c>
      <c r="F13937" s="27" t="s">
        <v>938</v>
      </c>
      <c r="G13937" s="27" t="s">
        <v>939</v>
      </c>
      <c r="H13937" s="27" t="s">
        <v>945</v>
      </c>
      <c r="J13937" s="27" t="s">
        <v>238</v>
      </c>
      <c r="L13937" s="27" t="s">
        <v>346</v>
      </c>
      <c r="M13937" s="27" t="s">
        <v>3576</v>
      </c>
      <c r="N13937" s="27" t="s">
        <v>20322</v>
      </c>
      <c r="P13937" s="27" t="s">
        <v>20336</v>
      </c>
      <c r="Q13937" s="26" t="str">
        <f>HYPERLINK("https://ictv.global/taxonomy/taxondetails?taxnode_id=202520680&amp;ictv_id=ICTV202420680","ICTV202420680")</f>
        <v>ICTV202420680</v>
      </c>
      <c r="R13937" t="s">
        <v>580</v>
      </c>
      <c r="S13937" t="s">
        <v>823</v>
      </c>
      <c r="T13937">
        <v>40</v>
      </c>
      <c r="U13937" s="26" t="str">
        <f t="shared" si="519"/>
        <v>2024.015P.Rhabdoviridae_Cytorhabdovirus_splitgen.zip</v>
      </c>
    </row>
    <row r="13938" spans="1:21">
      <c r="A13938">
        <v>13937</v>
      </c>
      <c r="B13938" s="27" t="s">
        <v>1124</v>
      </c>
      <c r="D13938" s="27" t="s">
        <v>1859</v>
      </c>
      <c r="F13938" s="27" t="s">
        <v>938</v>
      </c>
      <c r="G13938" s="27" t="s">
        <v>939</v>
      </c>
      <c r="H13938" s="27" t="s">
        <v>945</v>
      </c>
      <c r="J13938" s="27" t="s">
        <v>238</v>
      </c>
      <c r="L13938" s="27" t="s">
        <v>346</v>
      </c>
      <c r="M13938" s="27" t="s">
        <v>3576</v>
      </c>
      <c r="N13938" s="27" t="s">
        <v>20322</v>
      </c>
      <c r="P13938" s="27" t="s">
        <v>20337</v>
      </c>
      <c r="Q13938" s="26" t="str">
        <f>HYPERLINK("https://ictv.global/taxonomy/taxondetails?taxnode_id=202520681&amp;ictv_id=ICTV202420681","ICTV202420681")</f>
        <v>ICTV202420681</v>
      </c>
      <c r="R13938" t="s">
        <v>580</v>
      </c>
      <c r="S13938" t="s">
        <v>823</v>
      </c>
      <c r="T13938">
        <v>40</v>
      </c>
      <c r="U13938" s="26" t="str">
        <f t="shared" si="519"/>
        <v>2024.015P.Rhabdoviridae_Cytorhabdovirus_splitgen.zip</v>
      </c>
    </row>
    <row r="13939" spans="1:21">
      <c r="A13939">
        <v>13938</v>
      </c>
      <c r="B13939" s="27" t="s">
        <v>1124</v>
      </c>
      <c r="D13939" s="27" t="s">
        <v>1859</v>
      </c>
      <c r="F13939" s="27" t="s">
        <v>938</v>
      </c>
      <c r="G13939" s="27" t="s">
        <v>939</v>
      </c>
      <c r="H13939" s="27" t="s">
        <v>945</v>
      </c>
      <c r="J13939" s="27" t="s">
        <v>238</v>
      </c>
      <c r="L13939" s="27" t="s">
        <v>346</v>
      </c>
      <c r="M13939" s="27" t="s">
        <v>3576</v>
      </c>
      <c r="N13939" s="27" t="s">
        <v>20322</v>
      </c>
      <c r="P13939" s="27" t="s">
        <v>20338</v>
      </c>
      <c r="Q13939" s="26" t="str">
        <f>HYPERLINK("https://ictv.global/taxonomy/taxondetails?taxnode_id=202520682&amp;ictv_id=ICTV202420682","ICTV202420682")</f>
        <v>ICTV202420682</v>
      </c>
      <c r="R13939" t="s">
        <v>580</v>
      </c>
      <c r="S13939" t="s">
        <v>823</v>
      </c>
      <c r="T13939">
        <v>40</v>
      </c>
      <c r="U13939" s="26" t="str">
        <f t="shared" si="519"/>
        <v>2024.015P.Rhabdoviridae_Cytorhabdovirus_splitgen.zip</v>
      </c>
    </row>
    <row r="13940" spans="1:21">
      <c r="A13940">
        <v>13939</v>
      </c>
      <c r="B13940" s="27" t="s">
        <v>1124</v>
      </c>
      <c r="D13940" s="27" t="s">
        <v>1859</v>
      </c>
      <c r="F13940" s="27" t="s">
        <v>938</v>
      </c>
      <c r="G13940" s="27" t="s">
        <v>939</v>
      </c>
      <c r="H13940" s="27" t="s">
        <v>945</v>
      </c>
      <c r="J13940" s="27" t="s">
        <v>238</v>
      </c>
      <c r="L13940" s="27" t="s">
        <v>346</v>
      </c>
      <c r="M13940" s="27" t="s">
        <v>3576</v>
      </c>
      <c r="N13940" s="27" t="s">
        <v>20322</v>
      </c>
      <c r="P13940" s="27" t="s">
        <v>20339</v>
      </c>
      <c r="Q13940" s="26" t="str">
        <f>HYPERLINK("https://ictv.global/taxonomy/taxondetails?taxnode_id=202513311&amp;ictv_id=ICTV202113311","ICTV202113311")</f>
        <v>ICTV202113311</v>
      </c>
      <c r="R13940" t="s">
        <v>580</v>
      </c>
      <c r="S13940" t="s">
        <v>22764</v>
      </c>
      <c r="T13940">
        <v>40</v>
      </c>
      <c r="U13940" s="26" t="str">
        <f t="shared" si="519"/>
        <v>2024.015P.Rhabdoviridae_Cytorhabdovirus_splitgen.zip</v>
      </c>
    </row>
    <row r="13941" spans="1:21">
      <c r="A13941">
        <v>13940</v>
      </c>
      <c r="B13941" s="27" t="s">
        <v>1124</v>
      </c>
      <c r="D13941" s="27" t="s">
        <v>1859</v>
      </c>
      <c r="F13941" s="27" t="s">
        <v>938</v>
      </c>
      <c r="G13941" s="27" t="s">
        <v>939</v>
      </c>
      <c r="H13941" s="27" t="s">
        <v>945</v>
      </c>
      <c r="J13941" s="27" t="s">
        <v>238</v>
      </c>
      <c r="L13941" s="27" t="s">
        <v>346</v>
      </c>
      <c r="M13941" s="27" t="s">
        <v>3576</v>
      </c>
      <c r="N13941" s="27" t="s">
        <v>20322</v>
      </c>
      <c r="P13941" s="27" t="s">
        <v>20340</v>
      </c>
      <c r="Q13941" s="26" t="str">
        <f>HYPERLINK("https://ictv.global/taxonomy/taxondetails?taxnode_id=202507669&amp;ictv_id=ICTV201907669","ICTV201907669")</f>
        <v>ICTV201907669</v>
      </c>
      <c r="R13941" t="s">
        <v>580</v>
      </c>
      <c r="S13941" t="s">
        <v>22764</v>
      </c>
      <c r="T13941">
        <v>40</v>
      </c>
      <c r="U13941" s="26" t="str">
        <f t="shared" si="519"/>
        <v>2024.015P.Rhabdoviridae_Cytorhabdovirus_splitgen.zip</v>
      </c>
    </row>
    <row r="13942" spans="1:21">
      <c r="A13942">
        <v>13941</v>
      </c>
      <c r="B13942" s="27" t="s">
        <v>1124</v>
      </c>
      <c r="D13942" s="27" t="s">
        <v>1859</v>
      </c>
      <c r="F13942" s="27" t="s">
        <v>938</v>
      </c>
      <c r="G13942" s="27" t="s">
        <v>939</v>
      </c>
      <c r="H13942" s="27" t="s">
        <v>945</v>
      </c>
      <c r="J13942" s="27" t="s">
        <v>238</v>
      </c>
      <c r="L13942" s="27" t="s">
        <v>346</v>
      </c>
      <c r="M13942" s="27" t="s">
        <v>3576</v>
      </c>
      <c r="N13942" s="27" t="s">
        <v>20322</v>
      </c>
      <c r="P13942" s="27" t="s">
        <v>20341</v>
      </c>
      <c r="Q13942" s="26" t="str">
        <f>HYPERLINK("https://ictv.global/taxonomy/taxondetails?taxnode_id=202520683&amp;ictv_id=ICTV202420683","ICTV202420683")</f>
        <v>ICTV202420683</v>
      </c>
      <c r="R13942" t="s">
        <v>580</v>
      </c>
      <c r="S13942" t="s">
        <v>823</v>
      </c>
      <c r="T13942">
        <v>40</v>
      </c>
      <c r="U13942" s="26" t="str">
        <f t="shared" si="519"/>
        <v>2024.015P.Rhabdoviridae_Cytorhabdovirus_splitgen.zip</v>
      </c>
    </row>
    <row r="13943" spans="1:21">
      <c r="A13943">
        <v>13942</v>
      </c>
      <c r="B13943" s="27" t="s">
        <v>1124</v>
      </c>
      <c r="D13943" s="27" t="s">
        <v>1859</v>
      </c>
      <c r="F13943" s="27" t="s">
        <v>938</v>
      </c>
      <c r="G13943" s="27" t="s">
        <v>939</v>
      </c>
      <c r="H13943" s="27" t="s">
        <v>945</v>
      </c>
      <c r="J13943" s="27" t="s">
        <v>238</v>
      </c>
      <c r="L13943" s="27" t="s">
        <v>346</v>
      </c>
      <c r="M13943" s="27" t="s">
        <v>3576</v>
      </c>
      <c r="N13943" s="27" t="s">
        <v>20322</v>
      </c>
      <c r="P13943" s="27" t="s">
        <v>20342</v>
      </c>
      <c r="Q13943" s="26" t="str">
        <f>HYPERLINK("https://ictv.global/taxonomy/taxondetails?taxnode_id=202501670&amp;ictv_id=ICTV20165134","ICTV20165134")</f>
        <v>ICTV20165134</v>
      </c>
      <c r="R13943" t="s">
        <v>580</v>
      </c>
      <c r="S13943" t="s">
        <v>22764</v>
      </c>
      <c r="T13943">
        <v>40</v>
      </c>
      <c r="U13943" s="26" t="str">
        <f t="shared" si="519"/>
        <v>2024.015P.Rhabdoviridae_Cytorhabdovirus_splitgen.zip</v>
      </c>
    </row>
    <row r="13944" spans="1:21">
      <c r="A13944">
        <v>13943</v>
      </c>
      <c r="B13944" s="27" t="s">
        <v>1124</v>
      </c>
      <c r="D13944" s="27" t="s">
        <v>1859</v>
      </c>
      <c r="F13944" s="27" t="s">
        <v>938</v>
      </c>
      <c r="G13944" s="27" t="s">
        <v>939</v>
      </c>
      <c r="H13944" s="27" t="s">
        <v>945</v>
      </c>
      <c r="J13944" s="27" t="s">
        <v>238</v>
      </c>
      <c r="L13944" s="27" t="s">
        <v>346</v>
      </c>
      <c r="M13944" s="27" t="s">
        <v>3576</v>
      </c>
      <c r="N13944" s="27" t="s">
        <v>20322</v>
      </c>
      <c r="P13944" s="27" t="s">
        <v>20343</v>
      </c>
      <c r="Q13944" s="26" t="str">
        <f>HYPERLINK("https://ictv.global/taxonomy/taxondetails?taxnode_id=202520684&amp;ictv_id=ICTV202420684","ICTV202420684")</f>
        <v>ICTV202420684</v>
      </c>
      <c r="R13944" t="s">
        <v>580</v>
      </c>
      <c r="S13944" t="s">
        <v>823</v>
      </c>
      <c r="T13944">
        <v>40</v>
      </c>
      <c r="U13944" s="26" t="str">
        <f t="shared" si="519"/>
        <v>2024.015P.Rhabdoviridae_Cytorhabdovirus_splitgen.zip</v>
      </c>
    </row>
    <row r="13945" spans="1:21">
      <c r="A13945">
        <v>13944</v>
      </c>
      <c r="B13945" s="27" t="s">
        <v>1124</v>
      </c>
      <c r="D13945" s="27" t="s">
        <v>1859</v>
      </c>
      <c r="F13945" s="27" t="s">
        <v>938</v>
      </c>
      <c r="G13945" s="27" t="s">
        <v>939</v>
      </c>
      <c r="H13945" s="27" t="s">
        <v>945</v>
      </c>
      <c r="J13945" s="27" t="s">
        <v>238</v>
      </c>
      <c r="L13945" s="27" t="s">
        <v>346</v>
      </c>
      <c r="M13945" s="27" t="s">
        <v>3576</v>
      </c>
      <c r="N13945" s="27" t="s">
        <v>20322</v>
      </c>
      <c r="P13945" s="27" t="s">
        <v>20344</v>
      </c>
      <c r="Q13945" s="26" t="str">
        <f>HYPERLINK("https://ictv.global/taxonomy/taxondetails?taxnode_id=202520685&amp;ictv_id=ICTV202420685","ICTV202420685")</f>
        <v>ICTV202420685</v>
      </c>
      <c r="R13945" t="s">
        <v>580</v>
      </c>
      <c r="S13945" t="s">
        <v>823</v>
      </c>
      <c r="T13945">
        <v>40</v>
      </c>
      <c r="U13945" s="26" t="str">
        <f t="shared" si="519"/>
        <v>2024.015P.Rhabdoviridae_Cytorhabdovirus_splitgen.zip</v>
      </c>
    </row>
    <row r="13946" spans="1:21">
      <c r="A13946">
        <v>13945</v>
      </c>
      <c r="B13946" s="27" t="s">
        <v>1124</v>
      </c>
      <c r="D13946" s="27" t="s">
        <v>1859</v>
      </c>
      <c r="F13946" s="27" t="s">
        <v>938</v>
      </c>
      <c r="G13946" s="27" t="s">
        <v>939</v>
      </c>
      <c r="H13946" s="27" t="s">
        <v>945</v>
      </c>
      <c r="J13946" s="27" t="s">
        <v>238</v>
      </c>
      <c r="L13946" s="27" t="s">
        <v>346</v>
      </c>
      <c r="M13946" s="27" t="s">
        <v>3576</v>
      </c>
      <c r="N13946" s="27" t="s">
        <v>20322</v>
      </c>
      <c r="P13946" s="27" t="s">
        <v>22029</v>
      </c>
      <c r="Q13946" s="26" t="str">
        <f>HYPERLINK("https://ictv.global/taxonomy/taxondetails?taxnode_id=202522833&amp;ictv_id=ICTV202522833","ICTV202522833")</f>
        <v>ICTV202522833</v>
      </c>
      <c r="R13946" t="s">
        <v>580</v>
      </c>
      <c r="S13946" t="s">
        <v>823</v>
      </c>
      <c r="T13946">
        <v>41</v>
      </c>
      <c r="U13946" s="26" t="str">
        <f>HYPERLINK("https://ictv.global/ictv/proposals/2025.025P.Rhabdoviridae_Alpha_and_Betacytorhabdovirus_3nsp.zip","2025.025P.Rhabdoviridae_Alpha_and_Betacytorhabdovirus_3nsp.zip")</f>
        <v>2025.025P.Rhabdoviridae_Alpha_and_Betacytorhabdovirus_3nsp.zip</v>
      </c>
    </row>
    <row r="13947" spans="1:21">
      <c r="A13947">
        <v>13946</v>
      </c>
      <c r="B13947" s="27" t="s">
        <v>1124</v>
      </c>
      <c r="D13947" s="27" t="s">
        <v>1859</v>
      </c>
      <c r="F13947" s="27" t="s">
        <v>938</v>
      </c>
      <c r="G13947" s="27" t="s">
        <v>939</v>
      </c>
      <c r="H13947" s="27" t="s">
        <v>945</v>
      </c>
      <c r="J13947" s="27" t="s">
        <v>238</v>
      </c>
      <c r="L13947" s="27" t="s">
        <v>346</v>
      </c>
      <c r="M13947" s="27" t="s">
        <v>3576</v>
      </c>
      <c r="N13947" s="27" t="s">
        <v>20322</v>
      </c>
      <c r="P13947" s="27" t="s">
        <v>20345</v>
      </c>
      <c r="Q13947" s="26" t="str">
        <f>HYPERLINK("https://ictv.global/taxonomy/taxondetails?taxnode_id=202520686&amp;ictv_id=ICTV202420686","ICTV202420686")</f>
        <v>ICTV202420686</v>
      </c>
      <c r="R13947" t="s">
        <v>580</v>
      </c>
      <c r="S13947" t="s">
        <v>823</v>
      </c>
      <c r="T13947">
        <v>40</v>
      </c>
      <c r="U13947" s="26" t="str">
        <f t="shared" ref="U13947:U13975" si="520">HYPERLINK("https://ictv.global/ictv/proposals/2024.015P.Rhabdoviridae_Cytorhabdovirus_splitgen.zip","2024.015P.Rhabdoviridae_Cytorhabdovirus_splitgen.zip")</f>
        <v>2024.015P.Rhabdoviridae_Cytorhabdovirus_splitgen.zip</v>
      </c>
    </row>
    <row r="13948" spans="1:21">
      <c r="A13948">
        <v>13947</v>
      </c>
      <c r="B13948" s="27" t="s">
        <v>1124</v>
      </c>
      <c r="D13948" s="27" t="s">
        <v>1859</v>
      </c>
      <c r="F13948" s="27" t="s">
        <v>938</v>
      </c>
      <c r="G13948" s="27" t="s">
        <v>939</v>
      </c>
      <c r="H13948" s="27" t="s">
        <v>945</v>
      </c>
      <c r="J13948" s="27" t="s">
        <v>238</v>
      </c>
      <c r="L13948" s="27" t="s">
        <v>346</v>
      </c>
      <c r="M13948" s="27" t="s">
        <v>3576</v>
      </c>
      <c r="N13948" s="27" t="s">
        <v>20322</v>
      </c>
      <c r="P13948" s="27" t="s">
        <v>20346</v>
      </c>
      <c r="Q13948" s="26" t="str">
        <f>HYPERLINK("https://ictv.global/taxonomy/taxondetails?taxnode_id=202520687&amp;ictv_id=ICTV202420687","ICTV202420687")</f>
        <v>ICTV202420687</v>
      </c>
      <c r="R13948" t="s">
        <v>580</v>
      </c>
      <c r="S13948" t="s">
        <v>823</v>
      </c>
      <c r="T13948">
        <v>40</v>
      </c>
      <c r="U13948" s="26" t="str">
        <f t="shared" si="520"/>
        <v>2024.015P.Rhabdoviridae_Cytorhabdovirus_splitgen.zip</v>
      </c>
    </row>
    <row r="13949" spans="1:21">
      <c r="A13949">
        <v>13948</v>
      </c>
      <c r="B13949" s="27" t="s">
        <v>1124</v>
      </c>
      <c r="D13949" s="27" t="s">
        <v>1859</v>
      </c>
      <c r="F13949" s="27" t="s">
        <v>938</v>
      </c>
      <c r="G13949" s="27" t="s">
        <v>939</v>
      </c>
      <c r="H13949" s="27" t="s">
        <v>945</v>
      </c>
      <c r="J13949" s="27" t="s">
        <v>238</v>
      </c>
      <c r="L13949" s="27" t="s">
        <v>346</v>
      </c>
      <c r="M13949" s="27" t="s">
        <v>3576</v>
      </c>
      <c r="N13949" s="27" t="s">
        <v>20322</v>
      </c>
      <c r="P13949" s="27" t="s">
        <v>20347</v>
      </c>
      <c r="Q13949" s="26" t="str">
        <f>HYPERLINK("https://ictv.global/taxonomy/taxondetails?taxnode_id=202507674&amp;ictv_id=ICTV201907674","ICTV201907674")</f>
        <v>ICTV201907674</v>
      </c>
      <c r="R13949" t="s">
        <v>580</v>
      </c>
      <c r="S13949" t="s">
        <v>22764</v>
      </c>
      <c r="T13949">
        <v>40</v>
      </c>
      <c r="U13949" s="26" t="str">
        <f t="shared" si="520"/>
        <v>2024.015P.Rhabdoviridae_Cytorhabdovirus_splitgen.zip</v>
      </c>
    </row>
    <row r="13950" spans="1:21">
      <c r="A13950">
        <v>13949</v>
      </c>
      <c r="B13950" s="27" t="s">
        <v>1124</v>
      </c>
      <c r="D13950" s="27" t="s">
        <v>1859</v>
      </c>
      <c r="F13950" s="27" t="s">
        <v>938</v>
      </c>
      <c r="G13950" s="27" t="s">
        <v>939</v>
      </c>
      <c r="H13950" s="27" t="s">
        <v>945</v>
      </c>
      <c r="J13950" s="27" t="s">
        <v>238</v>
      </c>
      <c r="L13950" s="27" t="s">
        <v>346</v>
      </c>
      <c r="M13950" s="27" t="s">
        <v>3576</v>
      </c>
      <c r="N13950" s="27" t="s">
        <v>20322</v>
      </c>
      <c r="P13950" s="27" t="s">
        <v>20348</v>
      </c>
      <c r="Q13950" s="26" t="str">
        <f>HYPERLINK("https://ictv.global/taxonomy/taxondetails?taxnode_id=202520688&amp;ictv_id=ICTV202420688","ICTV202420688")</f>
        <v>ICTV202420688</v>
      </c>
      <c r="R13950" t="s">
        <v>580</v>
      </c>
      <c r="S13950" t="s">
        <v>823</v>
      </c>
      <c r="T13950">
        <v>40</v>
      </c>
      <c r="U13950" s="26" t="str">
        <f t="shared" si="520"/>
        <v>2024.015P.Rhabdoviridae_Cytorhabdovirus_splitgen.zip</v>
      </c>
    </row>
    <row r="13951" spans="1:21">
      <c r="A13951">
        <v>13950</v>
      </c>
      <c r="B13951" s="27" t="s">
        <v>1124</v>
      </c>
      <c r="D13951" s="27" t="s">
        <v>1859</v>
      </c>
      <c r="F13951" s="27" t="s">
        <v>938</v>
      </c>
      <c r="G13951" s="27" t="s">
        <v>939</v>
      </c>
      <c r="H13951" s="27" t="s">
        <v>945</v>
      </c>
      <c r="J13951" s="27" t="s">
        <v>238</v>
      </c>
      <c r="L13951" s="27" t="s">
        <v>346</v>
      </c>
      <c r="M13951" s="27" t="s">
        <v>3576</v>
      </c>
      <c r="N13951" s="27" t="s">
        <v>20322</v>
      </c>
      <c r="P13951" s="27" t="s">
        <v>20349</v>
      </c>
      <c r="Q13951" s="26" t="str">
        <f>HYPERLINK("https://ictv.global/taxonomy/taxondetails?taxnode_id=202520689&amp;ictv_id=ICTV202420689","ICTV202420689")</f>
        <v>ICTV202420689</v>
      </c>
      <c r="R13951" t="s">
        <v>580</v>
      </c>
      <c r="S13951" t="s">
        <v>823</v>
      </c>
      <c r="T13951">
        <v>40</v>
      </c>
      <c r="U13951" s="26" t="str">
        <f t="shared" si="520"/>
        <v>2024.015P.Rhabdoviridae_Cytorhabdovirus_splitgen.zip</v>
      </c>
    </row>
    <row r="13952" spans="1:21">
      <c r="A13952">
        <v>13951</v>
      </c>
      <c r="B13952" s="27" t="s">
        <v>1124</v>
      </c>
      <c r="D13952" s="27" t="s">
        <v>1859</v>
      </c>
      <c r="F13952" s="27" t="s">
        <v>938</v>
      </c>
      <c r="G13952" s="27" t="s">
        <v>939</v>
      </c>
      <c r="H13952" s="27" t="s">
        <v>945</v>
      </c>
      <c r="J13952" s="27" t="s">
        <v>238</v>
      </c>
      <c r="L13952" s="27" t="s">
        <v>346</v>
      </c>
      <c r="M13952" s="27" t="s">
        <v>3576</v>
      </c>
      <c r="N13952" s="27" t="s">
        <v>20322</v>
      </c>
      <c r="P13952" s="27" t="s">
        <v>20350</v>
      </c>
      <c r="Q13952" s="26" t="str">
        <f>HYPERLINK("https://ictv.global/taxonomy/taxondetails?taxnode_id=202517922&amp;ictv_id=ICTV202317922","ICTV202317922")</f>
        <v>ICTV202317922</v>
      </c>
      <c r="R13952" t="s">
        <v>580</v>
      </c>
      <c r="S13952" t="s">
        <v>22764</v>
      </c>
      <c r="T13952">
        <v>40</v>
      </c>
      <c r="U13952" s="26" t="str">
        <f t="shared" si="520"/>
        <v>2024.015P.Rhabdoviridae_Cytorhabdovirus_splitgen.zip</v>
      </c>
    </row>
    <row r="13953" spans="1:21">
      <c r="A13953">
        <v>13952</v>
      </c>
      <c r="B13953" s="27" t="s">
        <v>1124</v>
      </c>
      <c r="D13953" s="27" t="s">
        <v>1859</v>
      </c>
      <c r="F13953" s="27" t="s">
        <v>938</v>
      </c>
      <c r="G13953" s="27" t="s">
        <v>939</v>
      </c>
      <c r="H13953" s="27" t="s">
        <v>945</v>
      </c>
      <c r="J13953" s="27" t="s">
        <v>238</v>
      </c>
      <c r="L13953" s="27" t="s">
        <v>346</v>
      </c>
      <c r="M13953" s="27" t="s">
        <v>3576</v>
      </c>
      <c r="N13953" s="27" t="s">
        <v>20322</v>
      </c>
      <c r="P13953" s="27" t="s">
        <v>20351</v>
      </c>
      <c r="Q13953" s="26" t="str">
        <f>HYPERLINK("https://ictv.global/taxonomy/taxondetails?taxnode_id=202520690&amp;ictv_id=ICTV202420690","ICTV202420690")</f>
        <v>ICTV202420690</v>
      </c>
      <c r="R13953" t="s">
        <v>580</v>
      </c>
      <c r="S13953" t="s">
        <v>823</v>
      </c>
      <c r="T13953">
        <v>40</v>
      </c>
      <c r="U13953" s="26" t="str">
        <f t="shared" si="520"/>
        <v>2024.015P.Rhabdoviridae_Cytorhabdovirus_splitgen.zip</v>
      </c>
    </row>
    <row r="13954" spans="1:21">
      <c r="A13954">
        <v>13953</v>
      </c>
      <c r="B13954" s="27" t="s">
        <v>1124</v>
      </c>
      <c r="D13954" s="27" t="s">
        <v>1859</v>
      </c>
      <c r="F13954" s="27" t="s">
        <v>938</v>
      </c>
      <c r="G13954" s="27" t="s">
        <v>939</v>
      </c>
      <c r="H13954" s="27" t="s">
        <v>945</v>
      </c>
      <c r="J13954" s="27" t="s">
        <v>238</v>
      </c>
      <c r="L13954" s="27" t="s">
        <v>346</v>
      </c>
      <c r="M13954" s="27" t="s">
        <v>3576</v>
      </c>
      <c r="N13954" s="27" t="s">
        <v>20322</v>
      </c>
      <c r="P13954" s="27" t="s">
        <v>20352</v>
      </c>
      <c r="Q13954" s="26" t="str">
        <f>HYPERLINK("https://ictv.global/taxonomy/taxondetails?taxnode_id=202501674&amp;ictv_id=ICTV19910277","ICTV19910277")</f>
        <v>ICTV19910277</v>
      </c>
      <c r="R13954" t="s">
        <v>580</v>
      </c>
      <c r="S13954" t="s">
        <v>22764</v>
      </c>
      <c r="T13954">
        <v>40</v>
      </c>
      <c r="U13954" s="26" t="str">
        <f t="shared" si="520"/>
        <v>2024.015P.Rhabdoviridae_Cytorhabdovirus_splitgen.zip</v>
      </c>
    </row>
    <row r="13955" spans="1:21">
      <c r="A13955">
        <v>13954</v>
      </c>
      <c r="B13955" s="27" t="s">
        <v>1124</v>
      </c>
      <c r="D13955" s="27" t="s">
        <v>1859</v>
      </c>
      <c r="F13955" s="27" t="s">
        <v>938</v>
      </c>
      <c r="G13955" s="27" t="s">
        <v>939</v>
      </c>
      <c r="H13955" s="27" t="s">
        <v>945</v>
      </c>
      <c r="J13955" s="27" t="s">
        <v>238</v>
      </c>
      <c r="L13955" s="27" t="s">
        <v>346</v>
      </c>
      <c r="M13955" s="27" t="s">
        <v>3576</v>
      </c>
      <c r="N13955" s="27" t="s">
        <v>20322</v>
      </c>
      <c r="P13955" s="27" t="s">
        <v>20353</v>
      </c>
      <c r="Q13955" s="26" t="str">
        <f>HYPERLINK("https://ictv.global/taxonomy/taxondetails?taxnode_id=202520692&amp;ictv_id=ICTV202420692","ICTV202420692")</f>
        <v>ICTV202420692</v>
      </c>
      <c r="R13955" t="s">
        <v>580</v>
      </c>
      <c r="S13955" t="s">
        <v>823</v>
      </c>
      <c r="T13955">
        <v>40</v>
      </c>
      <c r="U13955" s="26" t="str">
        <f t="shared" si="520"/>
        <v>2024.015P.Rhabdoviridae_Cytorhabdovirus_splitgen.zip</v>
      </c>
    </row>
    <row r="13956" spans="1:21">
      <c r="A13956">
        <v>13955</v>
      </c>
      <c r="B13956" s="27" t="s">
        <v>1124</v>
      </c>
      <c r="D13956" s="27" t="s">
        <v>1859</v>
      </c>
      <c r="F13956" s="27" t="s">
        <v>938</v>
      </c>
      <c r="G13956" s="27" t="s">
        <v>939</v>
      </c>
      <c r="H13956" s="27" t="s">
        <v>945</v>
      </c>
      <c r="J13956" s="27" t="s">
        <v>238</v>
      </c>
      <c r="L13956" s="27" t="s">
        <v>346</v>
      </c>
      <c r="M13956" s="27" t="s">
        <v>3576</v>
      </c>
      <c r="N13956" s="27" t="s">
        <v>20322</v>
      </c>
      <c r="P13956" s="27" t="s">
        <v>20354</v>
      </c>
      <c r="Q13956" s="26" t="str">
        <f>HYPERLINK("https://ictv.global/taxonomy/taxondetails?taxnode_id=202501668&amp;ictv_id=ICTV19910271","ICTV19910271")</f>
        <v>ICTV19910271</v>
      </c>
      <c r="R13956" t="s">
        <v>580</v>
      </c>
      <c r="S13956" t="s">
        <v>22764</v>
      </c>
      <c r="T13956">
        <v>40</v>
      </c>
      <c r="U13956" s="26" t="str">
        <f t="shared" si="520"/>
        <v>2024.015P.Rhabdoviridae_Cytorhabdovirus_splitgen.zip</v>
      </c>
    </row>
    <row r="13957" spans="1:21">
      <c r="A13957">
        <v>13956</v>
      </c>
      <c r="B13957" s="27" t="s">
        <v>1124</v>
      </c>
      <c r="D13957" s="27" t="s">
        <v>1859</v>
      </c>
      <c r="F13957" s="27" t="s">
        <v>938</v>
      </c>
      <c r="G13957" s="27" t="s">
        <v>939</v>
      </c>
      <c r="H13957" s="27" t="s">
        <v>945</v>
      </c>
      <c r="J13957" s="27" t="s">
        <v>238</v>
      </c>
      <c r="L13957" s="27" t="s">
        <v>346</v>
      </c>
      <c r="M13957" s="27" t="s">
        <v>3576</v>
      </c>
      <c r="N13957" s="27" t="s">
        <v>20322</v>
      </c>
      <c r="P13957" s="27" t="s">
        <v>20355</v>
      </c>
      <c r="Q13957" s="26" t="str">
        <f>HYPERLINK("https://ictv.global/taxonomy/taxondetails?taxnode_id=202520693&amp;ictv_id=ICTV202420693","ICTV202420693")</f>
        <v>ICTV202420693</v>
      </c>
      <c r="R13957" t="s">
        <v>580</v>
      </c>
      <c r="S13957" t="s">
        <v>823</v>
      </c>
      <c r="T13957">
        <v>40</v>
      </c>
      <c r="U13957" s="26" t="str">
        <f t="shared" si="520"/>
        <v>2024.015P.Rhabdoviridae_Cytorhabdovirus_splitgen.zip</v>
      </c>
    </row>
    <row r="13958" spans="1:21">
      <c r="A13958">
        <v>13957</v>
      </c>
      <c r="B13958" s="27" t="s">
        <v>1124</v>
      </c>
      <c r="D13958" s="27" t="s">
        <v>1859</v>
      </c>
      <c r="F13958" s="27" t="s">
        <v>938</v>
      </c>
      <c r="G13958" s="27" t="s">
        <v>939</v>
      </c>
      <c r="H13958" s="27" t="s">
        <v>945</v>
      </c>
      <c r="J13958" s="27" t="s">
        <v>238</v>
      </c>
      <c r="L13958" s="27" t="s">
        <v>346</v>
      </c>
      <c r="M13958" s="27" t="s">
        <v>3576</v>
      </c>
      <c r="N13958" s="27" t="s">
        <v>20322</v>
      </c>
      <c r="P13958" s="27" t="s">
        <v>20356</v>
      </c>
      <c r="Q13958" s="26" t="str">
        <f>HYPERLINK("https://ictv.global/taxonomy/taxondetails?taxnode_id=202520694&amp;ictv_id=ICTV202420694","ICTV202420694")</f>
        <v>ICTV202420694</v>
      </c>
      <c r="R13958" t="s">
        <v>580</v>
      </c>
      <c r="S13958" t="s">
        <v>823</v>
      </c>
      <c r="T13958">
        <v>40</v>
      </c>
      <c r="U13958" s="26" t="str">
        <f t="shared" si="520"/>
        <v>2024.015P.Rhabdoviridae_Cytorhabdovirus_splitgen.zip</v>
      </c>
    </row>
    <row r="13959" spans="1:21">
      <c r="A13959">
        <v>13958</v>
      </c>
      <c r="B13959" s="27" t="s">
        <v>1124</v>
      </c>
      <c r="D13959" s="27" t="s">
        <v>1859</v>
      </c>
      <c r="F13959" s="27" t="s">
        <v>938</v>
      </c>
      <c r="G13959" s="27" t="s">
        <v>939</v>
      </c>
      <c r="H13959" s="27" t="s">
        <v>945</v>
      </c>
      <c r="J13959" s="27" t="s">
        <v>238</v>
      </c>
      <c r="L13959" s="27" t="s">
        <v>346</v>
      </c>
      <c r="M13959" s="27" t="s">
        <v>3576</v>
      </c>
      <c r="N13959" s="27" t="s">
        <v>20322</v>
      </c>
      <c r="P13959" s="27" t="s">
        <v>20357</v>
      </c>
      <c r="Q13959" s="26" t="str">
        <f>HYPERLINK("https://ictv.global/taxonomy/taxondetails?taxnode_id=202520695&amp;ictv_id=ICTV202420695","ICTV202420695")</f>
        <v>ICTV202420695</v>
      </c>
      <c r="R13959" t="s">
        <v>580</v>
      </c>
      <c r="S13959" t="s">
        <v>823</v>
      </c>
      <c r="T13959">
        <v>40</v>
      </c>
      <c r="U13959" s="26" t="str">
        <f t="shared" si="520"/>
        <v>2024.015P.Rhabdoviridae_Cytorhabdovirus_splitgen.zip</v>
      </c>
    </row>
    <row r="13960" spans="1:21">
      <c r="A13960">
        <v>13959</v>
      </c>
      <c r="B13960" s="27" t="s">
        <v>1124</v>
      </c>
      <c r="D13960" s="27" t="s">
        <v>1859</v>
      </c>
      <c r="F13960" s="27" t="s">
        <v>938</v>
      </c>
      <c r="G13960" s="27" t="s">
        <v>939</v>
      </c>
      <c r="H13960" s="27" t="s">
        <v>945</v>
      </c>
      <c r="J13960" s="27" t="s">
        <v>238</v>
      </c>
      <c r="L13960" s="27" t="s">
        <v>346</v>
      </c>
      <c r="M13960" s="27" t="s">
        <v>3576</v>
      </c>
      <c r="N13960" s="27" t="s">
        <v>20322</v>
      </c>
      <c r="P13960" s="27" t="s">
        <v>20358</v>
      </c>
      <c r="Q13960" s="26" t="str">
        <f>HYPERLINK("https://ictv.global/taxonomy/taxondetails?taxnode_id=202520696&amp;ictv_id=ICTV202420696","ICTV202420696")</f>
        <v>ICTV202420696</v>
      </c>
      <c r="R13960" t="s">
        <v>580</v>
      </c>
      <c r="S13960" t="s">
        <v>823</v>
      </c>
      <c r="T13960">
        <v>40</v>
      </c>
      <c r="U13960" s="26" t="str">
        <f t="shared" si="520"/>
        <v>2024.015P.Rhabdoviridae_Cytorhabdovirus_splitgen.zip</v>
      </c>
    </row>
    <row r="13961" spans="1:21">
      <c r="A13961">
        <v>13960</v>
      </c>
      <c r="B13961" s="27" t="s">
        <v>1124</v>
      </c>
      <c r="D13961" s="27" t="s">
        <v>1859</v>
      </c>
      <c r="F13961" s="27" t="s">
        <v>938</v>
      </c>
      <c r="G13961" s="27" t="s">
        <v>939</v>
      </c>
      <c r="H13961" s="27" t="s">
        <v>945</v>
      </c>
      <c r="J13961" s="27" t="s">
        <v>238</v>
      </c>
      <c r="L13961" s="27" t="s">
        <v>346</v>
      </c>
      <c r="M13961" s="27" t="s">
        <v>3576</v>
      </c>
      <c r="N13961" s="27" t="s">
        <v>20322</v>
      </c>
      <c r="P13961" s="27" t="s">
        <v>20359</v>
      </c>
      <c r="Q13961" s="26" t="str">
        <f>HYPERLINK("https://ictv.global/taxonomy/taxondetails?taxnode_id=202520697&amp;ictv_id=ICTV202420697","ICTV202420697")</f>
        <v>ICTV202420697</v>
      </c>
      <c r="R13961" t="s">
        <v>580</v>
      </c>
      <c r="S13961" t="s">
        <v>823</v>
      </c>
      <c r="T13961">
        <v>40</v>
      </c>
      <c r="U13961" s="26" t="str">
        <f t="shared" si="520"/>
        <v>2024.015P.Rhabdoviridae_Cytorhabdovirus_splitgen.zip</v>
      </c>
    </row>
    <row r="13962" spans="1:21">
      <c r="A13962">
        <v>13961</v>
      </c>
      <c r="B13962" s="27" t="s">
        <v>1124</v>
      </c>
      <c r="D13962" s="27" t="s">
        <v>1859</v>
      </c>
      <c r="F13962" s="27" t="s">
        <v>938</v>
      </c>
      <c r="G13962" s="27" t="s">
        <v>939</v>
      </c>
      <c r="H13962" s="27" t="s">
        <v>945</v>
      </c>
      <c r="J13962" s="27" t="s">
        <v>238</v>
      </c>
      <c r="L13962" s="27" t="s">
        <v>346</v>
      </c>
      <c r="M13962" s="27" t="s">
        <v>3576</v>
      </c>
      <c r="N13962" s="27" t="s">
        <v>20322</v>
      </c>
      <c r="P13962" s="27" t="s">
        <v>20360</v>
      </c>
      <c r="Q13962" s="26" t="str">
        <f>HYPERLINK("https://ictv.global/taxonomy/taxondetails?taxnode_id=202520698&amp;ictv_id=ICTV202420698","ICTV202420698")</f>
        <v>ICTV202420698</v>
      </c>
      <c r="R13962" t="s">
        <v>580</v>
      </c>
      <c r="S13962" t="s">
        <v>823</v>
      </c>
      <c r="T13962">
        <v>40</v>
      </c>
      <c r="U13962" s="26" t="str">
        <f t="shared" si="520"/>
        <v>2024.015P.Rhabdoviridae_Cytorhabdovirus_splitgen.zip</v>
      </c>
    </row>
    <row r="13963" spans="1:21">
      <c r="A13963">
        <v>13962</v>
      </c>
      <c r="B13963" s="27" t="s">
        <v>1124</v>
      </c>
      <c r="D13963" s="27" t="s">
        <v>1859</v>
      </c>
      <c r="F13963" s="27" t="s">
        <v>938</v>
      </c>
      <c r="G13963" s="27" t="s">
        <v>939</v>
      </c>
      <c r="H13963" s="27" t="s">
        <v>945</v>
      </c>
      <c r="J13963" s="27" t="s">
        <v>238</v>
      </c>
      <c r="L13963" s="27" t="s">
        <v>346</v>
      </c>
      <c r="M13963" s="27" t="s">
        <v>3576</v>
      </c>
      <c r="N13963" s="27" t="s">
        <v>20322</v>
      </c>
      <c r="P13963" s="27" t="s">
        <v>20361</v>
      </c>
      <c r="Q13963" s="26" t="str">
        <f>HYPERLINK("https://ictv.global/taxonomy/taxondetails?taxnode_id=202520691&amp;ictv_id=ICTV202420691","ICTV202420691")</f>
        <v>ICTV202420691</v>
      </c>
      <c r="R13963" t="s">
        <v>580</v>
      </c>
      <c r="S13963" t="s">
        <v>823</v>
      </c>
      <c r="T13963">
        <v>40</v>
      </c>
      <c r="U13963" s="26" t="str">
        <f t="shared" si="520"/>
        <v>2024.015P.Rhabdoviridae_Cytorhabdovirus_splitgen.zip</v>
      </c>
    </row>
    <row r="13964" spans="1:21">
      <c r="A13964">
        <v>13963</v>
      </c>
      <c r="B13964" s="27" t="s">
        <v>1124</v>
      </c>
      <c r="D13964" s="27" t="s">
        <v>1859</v>
      </c>
      <c r="F13964" s="27" t="s">
        <v>938</v>
      </c>
      <c r="G13964" s="27" t="s">
        <v>939</v>
      </c>
      <c r="H13964" s="27" t="s">
        <v>945</v>
      </c>
      <c r="J13964" s="27" t="s">
        <v>238</v>
      </c>
      <c r="L13964" s="27" t="s">
        <v>346</v>
      </c>
      <c r="M13964" s="27" t="s">
        <v>3576</v>
      </c>
      <c r="N13964" s="27" t="s">
        <v>20322</v>
      </c>
      <c r="P13964" s="27" t="s">
        <v>20362</v>
      </c>
      <c r="Q13964" s="26" t="str">
        <f>HYPERLINK("https://ictv.global/taxonomy/taxondetails?taxnode_id=202520699&amp;ictv_id=ICTV202420699","ICTV202420699")</f>
        <v>ICTV202420699</v>
      </c>
      <c r="R13964" t="s">
        <v>580</v>
      </c>
      <c r="S13964" t="s">
        <v>823</v>
      </c>
      <c r="T13964">
        <v>40</v>
      </c>
      <c r="U13964" s="26" t="str">
        <f t="shared" si="520"/>
        <v>2024.015P.Rhabdoviridae_Cytorhabdovirus_splitgen.zip</v>
      </c>
    </row>
    <row r="13965" spans="1:21">
      <c r="A13965">
        <v>13964</v>
      </c>
      <c r="B13965" s="27" t="s">
        <v>1124</v>
      </c>
      <c r="D13965" s="27" t="s">
        <v>1859</v>
      </c>
      <c r="F13965" s="27" t="s">
        <v>938</v>
      </c>
      <c r="G13965" s="27" t="s">
        <v>939</v>
      </c>
      <c r="H13965" s="27" t="s">
        <v>945</v>
      </c>
      <c r="J13965" s="27" t="s">
        <v>238</v>
      </c>
      <c r="L13965" s="27" t="s">
        <v>346</v>
      </c>
      <c r="M13965" s="27" t="s">
        <v>3576</v>
      </c>
      <c r="N13965" s="27" t="s">
        <v>20322</v>
      </c>
      <c r="P13965" s="27" t="s">
        <v>20363</v>
      </c>
      <c r="Q13965" s="26" t="str">
        <f>HYPERLINK("https://ictv.global/taxonomy/taxondetails?taxnode_id=202507667&amp;ictv_id=ICTV201907667","ICTV201907667")</f>
        <v>ICTV201907667</v>
      </c>
      <c r="R13965" t="s">
        <v>580</v>
      </c>
      <c r="S13965" t="s">
        <v>22764</v>
      </c>
      <c r="T13965">
        <v>40</v>
      </c>
      <c r="U13965" s="26" t="str">
        <f t="shared" si="520"/>
        <v>2024.015P.Rhabdoviridae_Cytorhabdovirus_splitgen.zip</v>
      </c>
    </row>
    <row r="13966" spans="1:21">
      <c r="A13966">
        <v>13965</v>
      </c>
      <c r="B13966" s="27" t="s">
        <v>1124</v>
      </c>
      <c r="D13966" s="27" t="s">
        <v>1859</v>
      </c>
      <c r="F13966" s="27" t="s">
        <v>938</v>
      </c>
      <c r="G13966" s="27" t="s">
        <v>939</v>
      </c>
      <c r="H13966" s="27" t="s">
        <v>945</v>
      </c>
      <c r="J13966" s="27" t="s">
        <v>238</v>
      </c>
      <c r="L13966" s="27" t="s">
        <v>346</v>
      </c>
      <c r="M13966" s="27" t="s">
        <v>3576</v>
      </c>
      <c r="N13966" s="27" t="s">
        <v>20322</v>
      </c>
      <c r="P13966" s="27" t="s">
        <v>20364</v>
      </c>
      <c r="Q13966" s="26" t="str">
        <f>HYPERLINK("https://ictv.global/taxonomy/taxondetails?taxnode_id=202507668&amp;ictv_id=ICTV201907668","ICTV201907668")</f>
        <v>ICTV201907668</v>
      </c>
      <c r="R13966" t="s">
        <v>580</v>
      </c>
      <c r="S13966" t="s">
        <v>22764</v>
      </c>
      <c r="T13966">
        <v>40</v>
      </c>
      <c r="U13966" s="26" t="str">
        <f t="shared" si="520"/>
        <v>2024.015P.Rhabdoviridae_Cytorhabdovirus_splitgen.zip</v>
      </c>
    </row>
    <row r="13967" spans="1:21">
      <c r="A13967">
        <v>13966</v>
      </c>
      <c r="B13967" s="27" t="s">
        <v>1124</v>
      </c>
      <c r="D13967" s="27" t="s">
        <v>1859</v>
      </c>
      <c r="F13967" s="27" t="s">
        <v>938</v>
      </c>
      <c r="G13967" s="27" t="s">
        <v>939</v>
      </c>
      <c r="H13967" s="27" t="s">
        <v>945</v>
      </c>
      <c r="J13967" s="27" t="s">
        <v>238</v>
      </c>
      <c r="L13967" s="27" t="s">
        <v>346</v>
      </c>
      <c r="M13967" s="27" t="s">
        <v>3576</v>
      </c>
      <c r="N13967" s="27" t="s">
        <v>20322</v>
      </c>
      <c r="P13967" s="27" t="s">
        <v>20365</v>
      </c>
      <c r="Q13967" s="26" t="str">
        <f>HYPERLINK("https://ictv.global/taxonomy/taxondetails?taxnode_id=202520700&amp;ictv_id=ICTV202420700","ICTV202420700")</f>
        <v>ICTV202420700</v>
      </c>
      <c r="R13967" t="s">
        <v>580</v>
      </c>
      <c r="S13967" t="s">
        <v>823</v>
      </c>
      <c r="T13967">
        <v>40</v>
      </c>
      <c r="U13967" s="26" t="str">
        <f t="shared" si="520"/>
        <v>2024.015P.Rhabdoviridae_Cytorhabdovirus_splitgen.zip</v>
      </c>
    </row>
    <row r="13968" spans="1:21">
      <c r="A13968">
        <v>13967</v>
      </c>
      <c r="B13968" s="27" t="s">
        <v>1124</v>
      </c>
      <c r="D13968" s="27" t="s">
        <v>1859</v>
      </c>
      <c r="F13968" s="27" t="s">
        <v>938</v>
      </c>
      <c r="G13968" s="27" t="s">
        <v>939</v>
      </c>
      <c r="H13968" s="27" t="s">
        <v>945</v>
      </c>
      <c r="J13968" s="27" t="s">
        <v>238</v>
      </c>
      <c r="L13968" s="27" t="s">
        <v>346</v>
      </c>
      <c r="M13968" s="27" t="s">
        <v>3576</v>
      </c>
      <c r="N13968" s="27" t="s">
        <v>20322</v>
      </c>
      <c r="P13968" s="27" t="s">
        <v>20366</v>
      </c>
      <c r="Q13968" s="26" t="str">
        <f>HYPERLINK("https://ictv.global/taxonomy/taxondetails?taxnode_id=202520701&amp;ictv_id=ICTV202420701","ICTV202420701")</f>
        <v>ICTV202420701</v>
      </c>
      <c r="R13968" t="s">
        <v>580</v>
      </c>
      <c r="S13968" t="s">
        <v>823</v>
      </c>
      <c r="T13968">
        <v>40</v>
      </c>
      <c r="U13968" s="26" t="str">
        <f t="shared" si="520"/>
        <v>2024.015P.Rhabdoviridae_Cytorhabdovirus_splitgen.zip</v>
      </c>
    </row>
    <row r="13969" spans="1:21">
      <c r="A13969">
        <v>13968</v>
      </c>
      <c r="B13969" s="27" t="s">
        <v>1124</v>
      </c>
      <c r="D13969" s="27" t="s">
        <v>1859</v>
      </c>
      <c r="F13969" s="27" t="s">
        <v>938</v>
      </c>
      <c r="G13969" s="27" t="s">
        <v>939</v>
      </c>
      <c r="H13969" s="27" t="s">
        <v>945</v>
      </c>
      <c r="J13969" s="27" t="s">
        <v>238</v>
      </c>
      <c r="L13969" s="27" t="s">
        <v>346</v>
      </c>
      <c r="M13969" s="27" t="s">
        <v>3576</v>
      </c>
      <c r="N13969" s="27" t="s">
        <v>20322</v>
      </c>
      <c r="P13969" s="27" t="s">
        <v>20367</v>
      </c>
      <c r="Q13969" s="26" t="str">
        <f>HYPERLINK("https://ictv.global/taxonomy/taxondetails?taxnode_id=202507672&amp;ictv_id=ICTV201907672","ICTV201907672")</f>
        <v>ICTV201907672</v>
      </c>
      <c r="R13969" t="s">
        <v>580</v>
      </c>
      <c r="S13969" t="s">
        <v>22764</v>
      </c>
      <c r="T13969">
        <v>40</v>
      </c>
      <c r="U13969" s="26" t="str">
        <f t="shared" si="520"/>
        <v>2024.015P.Rhabdoviridae_Cytorhabdovirus_splitgen.zip</v>
      </c>
    </row>
    <row r="13970" spans="1:21">
      <c r="A13970">
        <v>13969</v>
      </c>
      <c r="B13970" s="27" t="s">
        <v>1124</v>
      </c>
      <c r="D13970" s="27" t="s">
        <v>1859</v>
      </c>
      <c r="F13970" s="27" t="s">
        <v>938</v>
      </c>
      <c r="G13970" s="27" t="s">
        <v>939</v>
      </c>
      <c r="H13970" s="27" t="s">
        <v>945</v>
      </c>
      <c r="J13970" s="27" t="s">
        <v>238</v>
      </c>
      <c r="L13970" s="27" t="s">
        <v>346</v>
      </c>
      <c r="M13970" s="27" t="s">
        <v>3576</v>
      </c>
      <c r="N13970" s="27" t="s">
        <v>20322</v>
      </c>
      <c r="P13970" s="27" t="s">
        <v>20368</v>
      </c>
      <c r="Q13970" s="26" t="str">
        <f>HYPERLINK("https://ictv.global/taxonomy/taxondetails?taxnode_id=202520702&amp;ictv_id=ICTV202420702","ICTV202420702")</f>
        <v>ICTV202420702</v>
      </c>
      <c r="R13970" t="s">
        <v>580</v>
      </c>
      <c r="S13970" t="s">
        <v>823</v>
      </c>
      <c r="T13970">
        <v>40</v>
      </c>
      <c r="U13970" s="26" t="str">
        <f t="shared" si="520"/>
        <v>2024.015P.Rhabdoviridae_Cytorhabdovirus_splitgen.zip</v>
      </c>
    </row>
    <row r="13971" spans="1:21">
      <c r="A13971">
        <v>13970</v>
      </c>
      <c r="B13971" s="27" t="s">
        <v>1124</v>
      </c>
      <c r="D13971" s="27" t="s">
        <v>1859</v>
      </c>
      <c r="F13971" s="27" t="s">
        <v>938</v>
      </c>
      <c r="G13971" s="27" t="s">
        <v>939</v>
      </c>
      <c r="H13971" s="27" t="s">
        <v>945</v>
      </c>
      <c r="J13971" s="27" t="s">
        <v>238</v>
      </c>
      <c r="L13971" s="27" t="s">
        <v>346</v>
      </c>
      <c r="M13971" s="27" t="s">
        <v>3576</v>
      </c>
      <c r="N13971" s="27" t="s">
        <v>20322</v>
      </c>
      <c r="P13971" s="27" t="s">
        <v>20369</v>
      </c>
      <c r="Q13971" s="26" t="str">
        <f>HYPERLINK("https://ictv.global/taxonomy/taxondetails?taxnode_id=202520703&amp;ictv_id=ICTV202420703","ICTV202420703")</f>
        <v>ICTV202420703</v>
      </c>
      <c r="R13971" t="s">
        <v>580</v>
      </c>
      <c r="S13971" t="s">
        <v>823</v>
      </c>
      <c r="T13971">
        <v>40</v>
      </c>
      <c r="U13971" s="26" t="str">
        <f t="shared" si="520"/>
        <v>2024.015P.Rhabdoviridae_Cytorhabdovirus_splitgen.zip</v>
      </c>
    </row>
    <row r="13972" spans="1:21">
      <c r="A13972">
        <v>13971</v>
      </c>
      <c r="B13972" s="27" t="s">
        <v>1124</v>
      </c>
      <c r="D13972" s="27" t="s">
        <v>1859</v>
      </c>
      <c r="F13972" s="27" t="s">
        <v>938</v>
      </c>
      <c r="G13972" s="27" t="s">
        <v>939</v>
      </c>
      <c r="H13972" s="27" t="s">
        <v>945</v>
      </c>
      <c r="J13972" s="27" t="s">
        <v>238</v>
      </c>
      <c r="L13972" s="27" t="s">
        <v>346</v>
      </c>
      <c r="M13972" s="27" t="s">
        <v>3576</v>
      </c>
      <c r="N13972" s="27" t="s">
        <v>20322</v>
      </c>
      <c r="P13972" s="27" t="s">
        <v>20370</v>
      </c>
      <c r="Q13972" s="26" t="str">
        <f>HYPERLINK("https://ictv.global/taxonomy/taxondetails?taxnode_id=202520704&amp;ictv_id=ICTV202420704","ICTV202420704")</f>
        <v>ICTV202420704</v>
      </c>
      <c r="R13972" t="s">
        <v>580</v>
      </c>
      <c r="S13972" t="s">
        <v>823</v>
      </c>
      <c r="T13972">
        <v>40</v>
      </c>
      <c r="U13972" s="26" t="str">
        <f t="shared" si="520"/>
        <v>2024.015P.Rhabdoviridae_Cytorhabdovirus_splitgen.zip</v>
      </c>
    </row>
    <row r="13973" spans="1:21">
      <c r="A13973">
        <v>13972</v>
      </c>
      <c r="B13973" s="27" t="s">
        <v>1124</v>
      </c>
      <c r="D13973" s="27" t="s">
        <v>1859</v>
      </c>
      <c r="F13973" s="27" t="s">
        <v>938</v>
      </c>
      <c r="G13973" s="27" t="s">
        <v>939</v>
      </c>
      <c r="H13973" s="27" t="s">
        <v>945</v>
      </c>
      <c r="J13973" s="27" t="s">
        <v>238</v>
      </c>
      <c r="L13973" s="27" t="s">
        <v>346</v>
      </c>
      <c r="M13973" s="27" t="s">
        <v>3576</v>
      </c>
      <c r="N13973" s="27" t="s">
        <v>20322</v>
      </c>
      <c r="P13973" s="27" t="s">
        <v>20371</v>
      </c>
      <c r="Q13973" s="26" t="str">
        <f>HYPERLINK("https://ictv.global/taxonomy/taxondetails?taxnode_id=202520705&amp;ictv_id=ICTV202420705","ICTV202420705")</f>
        <v>ICTV202420705</v>
      </c>
      <c r="R13973" t="s">
        <v>580</v>
      </c>
      <c r="S13973" t="s">
        <v>823</v>
      </c>
      <c r="T13973">
        <v>40</v>
      </c>
      <c r="U13973" s="26" t="str">
        <f t="shared" si="520"/>
        <v>2024.015P.Rhabdoviridae_Cytorhabdovirus_splitgen.zip</v>
      </c>
    </row>
    <row r="13974" spans="1:21">
      <c r="A13974">
        <v>13973</v>
      </c>
      <c r="B13974" s="27" t="s">
        <v>1124</v>
      </c>
      <c r="D13974" s="27" t="s">
        <v>1859</v>
      </c>
      <c r="F13974" s="27" t="s">
        <v>938</v>
      </c>
      <c r="G13974" s="27" t="s">
        <v>939</v>
      </c>
      <c r="H13974" s="27" t="s">
        <v>945</v>
      </c>
      <c r="J13974" s="27" t="s">
        <v>238</v>
      </c>
      <c r="L13974" s="27" t="s">
        <v>346</v>
      </c>
      <c r="M13974" s="27" t="s">
        <v>3576</v>
      </c>
      <c r="N13974" s="27" t="s">
        <v>20322</v>
      </c>
      <c r="P13974" s="27" t="s">
        <v>20372</v>
      </c>
      <c r="Q13974" s="26" t="str">
        <f>HYPERLINK("https://ictv.global/taxonomy/taxondetails?taxnode_id=202520706&amp;ictv_id=ICTV202420706","ICTV202420706")</f>
        <v>ICTV202420706</v>
      </c>
      <c r="R13974" t="s">
        <v>580</v>
      </c>
      <c r="S13974" t="s">
        <v>823</v>
      </c>
      <c r="T13974">
        <v>40</v>
      </c>
      <c r="U13974" s="26" t="str">
        <f t="shared" si="520"/>
        <v>2024.015P.Rhabdoviridae_Cytorhabdovirus_splitgen.zip</v>
      </c>
    </row>
    <row r="13975" spans="1:21">
      <c r="A13975">
        <v>13974</v>
      </c>
      <c r="B13975" s="27" t="s">
        <v>1124</v>
      </c>
      <c r="D13975" s="27" t="s">
        <v>1859</v>
      </c>
      <c r="F13975" s="27" t="s">
        <v>938</v>
      </c>
      <c r="G13975" s="27" t="s">
        <v>939</v>
      </c>
      <c r="H13975" s="27" t="s">
        <v>945</v>
      </c>
      <c r="J13975" s="27" t="s">
        <v>238</v>
      </c>
      <c r="L13975" s="27" t="s">
        <v>346</v>
      </c>
      <c r="M13975" s="27" t="s">
        <v>3576</v>
      </c>
      <c r="N13975" s="27" t="s">
        <v>20322</v>
      </c>
      <c r="P13975" s="27" t="s">
        <v>20373</v>
      </c>
      <c r="Q13975" s="26" t="str">
        <f>HYPERLINK("https://ictv.global/taxonomy/taxondetails?taxnode_id=202520707&amp;ictv_id=ICTV202420707","ICTV202420707")</f>
        <v>ICTV202420707</v>
      </c>
      <c r="R13975" t="s">
        <v>580</v>
      </c>
      <c r="S13975" t="s">
        <v>823</v>
      </c>
      <c r="T13975">
        <v>40</v>
      </c>
      <c r="U13975" s="26" t="str">
        <f t="shared" si="520"/>
        <v>2024.015P.Rhabdoviridae_Cytorhabdovirus_splitgen.zip</v>
      </c>
    </row>
    <row r="13976" spans="1:21">
      <c r="A13976">
        <v>13975</v>
      </c>
      <c r="B13976" s="27" t="s">
        <v>1124</v>
      </c>
      <c r="D13976" s="27" t="s">
        <v>1859</v>
      </c>
      <c r="F13976" s="27" t="s">
        <v>938</v>
      </c>
      <c r="G13976" s="27" t="s">
        <v>939</v>
      </c>
      <c r="H13976" s="27" t="s">
        <v>945</v>
      </c>
      <c r="J13976" s="27" t="s">
        <v>238</v>
      </c>
      <c r="L13976" s="27" t="s">
        <v>346</v>
      </c>
      <c r="M13976" s="27" t="s">
        <v>3576</v>
      </c>
      <c r="N13976" s="27" t="s">
        <v>20322</v>
      </c>
      <c r="P13976" s="27" t="s">
        <v>22030</v>
      </c>
      <c r="Q13976" s="26" t="str">
        <f>HYPERLINK("https://ictv.global/taxonomy/taxondetails?taxnode_id=202522834&amp;ictv_id=ICTV202522834","ICTV202522834")</f>
        <v>ICTV202522834</v>
      </c>
      <c r="R13976" t="s">
        <v>580</v>
      </c>
      <c r="S13976" t="s">
        <v>823</v>
      </c>
      <c r="T13976">
        <v>41</v>
      </c>
      <c r="U13976" s="26" t="str">
        <f>HYPERLINK("https://ictv.global/ictv/proposals/2025.025P.Rhabdoviridae_Alpha_and_Betacytorhabdovirus_3nsp.zip","2025.025P.Rhabdoviridae_Alpha_and_Betacytorhabdovirus_3nsp.zip")</f>
        <v>2025.025P.Rhabdoviridae_Alpha_and_Betacytorhabdovirus_3nsp.zip</v>
      </c>
    </row>
    <row r="13977" spans="1:21">
      <c r="A13977">
        <v>13976</v>
      </c>
      <c r="B13977" s="27" t="s">
        <v>1124</v>
      </c>
      <c r="D13977" s="27" t="s">
        <v>1859</v>
      </c>
      <c r="F13977" s="27" t="s">
        <v>938</v>
      </c>
      <c r="G13977" s="27" t="s">
        <v>939</v>
      </c>
      <c r="H13977" s="27" t="s">
        <v>945</v>
      </c>
      <c r="J13977" s="27" t="s">
        <v>238</v>
      </c>
      <c r="L13977" s="27" t="s">
        <v>346</v>
      </c>
      <c r="M13977" s="27" t="s">
        <v>3576</v>
      </c>
      <c r="N13977" s="27" t="s">
        <v>20322</v>
      </c>
      <c r="P13977" s="27" t="s">
        <v>20374</v>
      </c>
      <c r="Q13977" s="26" t="str">
        <f>HYPERLINK("https://ictv.global/taxonomy/taxondetails?taxnode_id=202517920&amp;ictv_id=ICTV202317920","ICTV202317920")</f>
        <v>ICTV202317920</v>
      </c>
      <c r="R13977" t="s">
        <v>580</v>
      </c>
      <c r="S13977" t="s">
        <v>22764</v>
      </c>
      <c r="T13977">
        <v>40</v>
      </c>
      <c r="U13977" s="26" t="str">
        <f t="shared" ref="U13977:U13985" si="521">HYPERLINK("https://ictv.global/ictv/proposals/2024.015P.Rhabdoviridae_Cytorhabdovirus_splitgen.zip","2024.015P.Rhabdoviridae_Cytorhabdovirus_splitgen.zip")</f>
        <v>2024.015P.Rhabdoviridae_Cytorhabdovirus_splitgen.zip</v>
      </c>
    </row>
    <row r="13978" spans="1:21">
      <c r="A13978">
        <v>13977</v>
      </c>
      <c r="B13978" s="27" t="s">
        <v>1124</v>
      </c>
      <c r="D13978" s="27" t="s">
        <v>1859</v>
      </c>
      <c r="F13978" s="27" t="s">
        <v>938</v>
      </c>
      <c r="G13978" s="27" t="s">
        <v>939</v>
      </c>
      <c r="H13978" s="27" t="s">
        <v>945</v>
      </c>
      <c r="J13978" s="27" t="s">
        <v>238</v>
      </c>
      <c r="L13978" s="27" t="s">
        <v>346</v>
      </c>
      <c r="M13978" s="27" t="s">
        <v>3576</v>
      </c>
      <c r="N13978" s="27" t="s">
        <v>20322</v>
      </c>
      <c r="P13978" s="27" t="s">
        <v>20375</v>
      </c>
      <c r="Q13978" s="26" t="str">
        <f>HYPERLINK("https://ictv.global/taxonomy/taxondetails?taxnode_id=202520708&amp;ictv_id=ICTV202420708","ICTV202420708")</f>
        <v>ICTV202420708</v>
      </c>
      <c r="R13978" t="s">
        <v>580</v>
      </c>
      <c r="S13978" t="s">
        <v>823</v>
      </c>
      <c r="T13978">
        <v>40</v>
      </c>
      <c r="U13978" s="26" t="str">
        <f t="shared" si="521"/>
        <v>2024.015P.Rhabdoviridae_Cytorhabdovirus_splitgen.zip</v>
      </c>
    </row>
    <row r="13979" spans="1:21">
      <c r="A13979">
        <v>13978</v>
      </c>
      <c r="B13979" s="27" t="s">
        <v>1124</v>
      </c>
      <c r="D13979" s="27" t="s">
        <v>1859</v>
      </c>
      <c r="F13979" s="27" t="s">
        <v>938</v>
      </c>
      <c r="G13979" s="27" t="s">
        <v>939</v>
      </c>
      <c r="H13979" s="27" t="s">
        <v>945</v>
      </c>
      <c r="J13979" s="27" t="s">
        <v>238</v>
      </c>
      <c r="L13979" s="27" t="s">
        <v>346</v>
      </c>
      <c r="M13979" s="27" t="s">
        <v>3576</v>
      </c>
      <c r="N13979" s="27" t="s">
        <v>20322</v>
      </c>
      <c r="P13979" s="27" t="s">
        <v>20376</v>
      </c>
      <c r="Q13979" s="26" t="str">
        <f>HYPERLINK("https://ictv.global/taxonomy/taxondetails?taxnode_id=202520709&amp;ictv_id=ICTV202420709","ICTV202420709")</f>
        <v>ICTV202420709</v>
      </c>
      <c r="R13979" t="s">
        <v>580</v>
      </c>
      <c r="S13979" t="s">
        <v>823</v>
      </c>
      <c r="T13979">
        <v>40</v>
      </c>
      <c r="U13979" s="26" t="str">
        <f t="shared" si="521"/>
        <v>2024.015P.Rhabdoviridae_Cytorhabdovirus_splitgen.zip</v>
      </c>
    </row>
    <row r="13980" spans="1:21">
      <c r="A13980">
        <v>13979</v>
      </c>
      <c r="B13980" s="27" t="s">
        <v>1124</v>
      </c>
      <c r="D13980" s="27" t="s">
        <v>1859</v>
      </c>
      <c r="F13980" s="27" t="s">
        <v>938</v>
      </c>
      <c r="G13980" s="27" t="s">
        <v>939</v>
      </c>
      <c r="H13980" s="27" t="s">
        <v>945</v>
      </c>
      <c r="J13980" s="27" t="s">
        <v>238</v>
      </c>
      <c r="L13980" s="27" t="s">
        <v>346</v>
      </c>
      <c r="M13980" s="27" t="s">
        <v>3576</v>
      </c>
      <c r="N13980" s="27" t="s">
        <v>20322</v>
      </c>
      <c r="P13980" s="27" t="s">
        <v>20377</v>
      </c>
      <c r="Q13980" s="26" t="str">
        <f>HYPERLINK("https://ictv.global/taxonomy/taxondetails?taxnode_id=202520710&amp;ictv_id=ICTV202420710","ICTV202420710")</f>
        <v>ICTV202420710</v>
      </c>
      <c r="R13980" t="s">
        <v>580</v>
      </c>
      <c r="S13980" t="s">
        <v>823</v>
      </c>
      <c r="T13980">
        <v>40</v>
      </c>
      <c r="U13980" s="26" t="str">
        <f t="shared" si="521"/>
        <v>2024.015P.Rhabdoviridae_Cytorhabdovirus_splitgen.zip</v>
      </c>
    </row>
    <row r="13981" spans="1:21">
      <c r="A13981">
        <v>13980</v>
      </c>
      <c r="B13981" s="27" t="s">
        <v>1124</v>
      </c>
      <c r="D13981" s="27" t="s">
        <v>1859</v>
      </c>
      <c r="F13981" s="27" t="s">
        <v>938</v>
      </c>
      <c r="G13981" s="27" t="s">
        <v>939</v>
      </c>
      <c r="H13981" s="27" t="s">
        <v>945</v>
      </c>
      <c r="J13981" s="27" t="s">
        <v>238</v>
      </c>
      <c r="L13981" s="27" t="s">
        <v>346</v>
      </c>
      <c r="M13981" s="27" t="s">
        <v>3576</v>
      </c>
      <c r="N13981" s="27" t="s">
        <v>20322</v>
      </c>
      <c r="P13981" s="27" t="s">
        <v>20378</v>
      </c>
      <c r="Q13981" s="26" t="str">
        <f>HYPERLINK("https://ictv.global/taxonomy/taxondetails?taxnode_id=202514174&amp;ictv_id=ICTV202214174","ICTV202214174")</f>
        <v>ICTV202214174</v>
      </c>
      <c r="R13981" t="s">
        <v>580</v>
      </c>
      <c r="S13981" t="s">
        <v>22764</v>
      </c>
      <c r="T13981">
        <v>40</v>
      </c>
      <c r="U13981" s="26" t="str">
        <f t="shared" si="521"/>
        <v>2024.015P.Rhabdoviridae_Cytorhabdovirus_splitgen.zip</v>
      </c>
    </row>
    <row r="13982" spans="1:21">
      <c r="A13982">
        <v>13981</v>
      </c>
      <c r="B13982" s="27" t="s">
        <v>1124</v>
      </c>
      <c r="D13982" s="27" t="s">
        <v>1859</v>
      </c>
      <c r="F13982" s="27" t="s">
        <v>938</v>
      </c>
      <c r="G13982" s="27" t="s">
        <v>939</v>
      </c>
      <c r="H13982" s="27" t="s">
        <v>945</v>
      </c>
      <c r="J13982" s="27" t="s">
        <v>238</v>
      </c>
      <c r="L13982" s="27" t="s">
        <v>346</v>
      </c>
      <c r="M13982" s="27" t="s">
        <v>3576</v>
      </c>
      <c r="N13982" s="27" t="s">
        <v>20322</v>
      </c>
      <c r="P13982" s="27" t="s">
        <v>20379</v>
      </c>
      <c r="Q13982" s="26" t="str">
        <f>HYPERLINK("https://ictv.global/taxonomy/taxondetails?taxnode_id=202517925&amp;ictv_id=ICTV202317925","ICTV202317925")</f>
        <v>ICTV202317925</v>
      </c>
      <c r="R13982" t="s">
        <v>580</v>
      </c>
      <c r="S13982" t="s">
        <v>22764</v>
      </c>
      <c r="T13982">
        <v>40</v>
      </c>
      <c r="U13982" s="26" t="str">
        <f t="shared" si="521"/>
        <v>2024.015P.Rhabdoviridae_Cytorhabdovirus_splitgen.zip</v>
      </c>
    </row>
    <row r="13983" spans="1:21">
      <c r="A13983">
        <v>13982</v>
      </c>
      <c r="B13983" s="27" t="s">
        <v>1124</v>
      </c>
      <c r="D13983" s="27" t="s">
        <v>1859</v>
      </c>
      <c r="F13983" s="27" t="s">
        <v>938</v>
      </c>
      <c r="G13983" s="27" t="s">
        <v>939</v>
      </c>
      <c r="H13983" s="27" t="s">
        <v>945</v>
      </c>
      <c r="J13983" s="27" t="s">
        <v>238</v>
      </c>
      <c r="L13983" s="27" t="s">
        <v>346</v>
      </c>
      <c r="M13983" s="27" t="s">
        <v>3576</v>
      </c>
      <c r="N13983" s="27" t="s">
        <v>20322</v>
      </c>
      <c r="P13983" s="27" t="s">
        <v>20380</v>
      </c>
      <c r="Q13983" s="26" t="str">
        <f>HYPERLINK("https://ictv.global/taxonomy/taxondetails?taxnode_id=202520711&amp;ictv_id=ICTV202420711","ICTV202420711")</f>
        <v>ICTV202420711</v>
      </c>
      <c r="R13983" t="s">
        <v>580</v>
      </c>
      <c r="S13983" t="s">
        <v>823</v>
      </c>
      <c r="T13983">
        <v>40</v>
      </c>
      <c r="U13983" s="26" t="str">
        <f t="shared" si="521"/>
        <v>2024.015P.Rhabdoviridae_Cytorhabdovirus_splitgen.zip</v>
      </c>
    </row>
    <row r="13984" spans="1:21">
      <c r="A13984">
        <v>13983</v>
      </c>
      <c r="B13984" s="27" t="s">
        <v>1124</v>
      </c>
      <c r="D13984" s="27" t="s">
        <v>1859</v>
      </c>
      <c r="F13984" s="27" t="s">
        <v>938</v>
      </c>
      <c r="G13984" s="27" t="s">
        <v>939</v>
      </c>
      <c r="H13984" s="27" t="s">
        <v>945</v>
      </c>
      <c r="J13984" s="27" t="s">
        <v>238</v>
      </c>
      <c r="L13984" s="27" t="s">
        <v>346</v>
      </c>
      <c r="M13984" s="27" t="s">
        <v>3576</v>
      </c>
      <c r="N13984" s="27" t="s">
        <v>20322</v>
      </c>
      <c r="P13984" s="27" t="s">
        <v>20381</v>
      </c>
      <c r="Q13984" s="26" t="str">
        <f>HYPERLINK("https://ictv.global/taxonomy/taxondetails?taxnode_id=202520712&amp;ictv_id=ICTV202420712","ICTV202420712")</f>
        <v>ICTV202420712</v>
      </c>
      <c r="R13984" t="s">
        <v>580</v>
      </c>
      <c r="S13984" t="s">
        <v>823</v>
      </c>
      <c r="T13984">
        <v>40</v>
      </c>
      <c r="U13984" s="26" t="str">
        <f t="shared" si="521"/>
        <v>2024.015P.Rhabdoviridae_Cytorhabdovirus_splitgen.zip</v>
      </c>
    </row>
    <row r="13985" spans="1:21">
      <c r="A13985">
        <v>13984</v>
      </c>
      <c r="B13985" s="27" t="s">
        <v>1124</v>
      </c>
      <c r="D13985" s="27" t="s">
        <v>1859</v>
      </c>
      <c r="F13985" s="27" t="s">
        <v>938</v>
      </c>
      <c r="G13985" s="27" t="s">
        <v>939</v>
      </c>
      <c r="H13985" s="27" t="s">
        <v>945</v>
      </c>
      <c r="J13985" s="27" t="s">
        <v>238</v>
      </c>
      <c r="L13985" s="27" t="s">
        <v>346</v>
      </c>
      <c r="M13985" s="27" t="s">
        <v>3576</v>
      </c>
      <c r="N13985" s="27" t="s">
        <v>20322</v>
      </c>
      <c r="P13985" s="27" t="s">
        <v>20382</v>
      </c>
      <c r="Q13985" s="26" t="str">
        <f>HYPERLINK("https://ictv.global/taxonomy/taxondetails?taxnode_id=202509362&amp;ictv_id=ICTV202009362","ICTV202009362")</f>
        <v>ICTV202009362</v>
      </c>
      <c r="R13985" t="s">
        <v>580</v>
      </c>
      <c r="S13985" t="s">
        <v>22764</v>
      </c>
      <c r="T13985">
        <v>40</v>
      </c>
      <c r="U13985" s="26" t="str">
        <f t="shared" si="521"/>
        <v>2024.015P.Rhabdoviridae_Cytorhabdovirus_splitgen.zip</v>
      </c>
    </row>
    <row r="13986" spans="1:21">
      <c r="A13986">
        <v>13985</v>
      </c>
      <c r="B13986" s="27" t="s">
        <v>1124</v>
      </c>
      <c r="D13986" s="27" t="s">
        <v>1859</v>
      </c>
      <c r="F13986" s="27" t="s">
        <v>938</v>
      </c>
      <c r="G13986" s="27" t="s">
        <v>939</v>
      </c>
      <c r="H13986" s="27" t="s">
        <v>945</v>
      </c>
      <c r="J13986" s="27" t="s">
        <v>238</v>
      </c>
      <c r="L13986" s="27" t="s">
        <v>346</v>
      </c>
      <c r="M13986" s="27" t="s">
        <v>3576</v>
      </c>
      <c r="N13986" s="27" t="s">
        <v>16917</v>
      </c>
      <c r="P13986" s="27" t="s">
        <v>16918</v>
      </c>
      <c r="Q13986" s="26" t="str">
        <f>HYPERLINK("https://ictv.global/taxonomy/taxondetails?taxnode_id=202517796&amp;ictv_id=ICTV202317796","ICTV202317796")</f>
        <v>ICTV202317796</v>
      </c>
      <c r="R13986" t="s">
        <v>580</v>
      </c>
      <c r="S13986" t="s">
        <v>823</v>
      </c>
      <c r="T13986">
        <v>39</v>
      </c>
      <c r="U13986" s="26" t="str">
        <f>HYPERLINK("https://ictv.global/ictv/proposals/2023.004M.Betarhabdovirinae_2ngen_9nsp_move1sp.zip","2023.004M.Betarhabdovirinae_2ngen_9nsp_move1sp.zip")</f>
        <v>2023.004M.Betarhabdovirinae_2ngen_9nsp_move1sp.zip</v>
      </c>
    </row>
    <row r="13987" spans="1:21">
      <c r="A13987">
        <v>13986</v>
      </c>
      <c r="B13987" s="27" t="s">
        <v>1124</v>
      </c>
      <c r="D13987" s="27" t="s">
        <v>1859</v>
      </c>
      <c r="F13987" s="27" t="s">
        <v>938</v>
      </c>
      <c r="G13987" s="27" t="s">
        <v>939</v>
      </c>
      <c r="H13987" s="27" t="s">
        <v>945</v>
      </c>
      <c r="J13987" s="27" t="s">
        <v>238</v>
      </c>
      <c r="L13987" s="27" t="s">
        <v>346</v>
      </c>
      <c r="M13987" s="27" t="s">
        <v>3576</v>
      </c>
      <c r="N13987" s="27" t="s">
        <v>1897</v>
      </c>
      <c r="P13987" s="27" t="s">
        <v>16919</v>
      </c>
      <c r="Q13987" s="26" t="str">
        <f>HYPERLINK("https://ictv.global/taxonomy/taxondetails?taxnode_id=202518288&amp;ictv_id=ICTV202318288","ICTV202318288")</f>
        <v>ICTV202318288</v>
      </c>
      <c r="R13987" t="s">
        <v>580</v>
      </c>
      <c r="S13987" t="s">
        <v>823</v>
      </c>
      <c r="T13987">
        <v>39</v>
      </c>
      <c r="U13987" s="26" t="str">
        <f>HYPERLINK("https://ictv.global/ictv/proposals/2023.017M.Betarhabdovirinae_1ng_7nsp.zip","2023.017M.Betarhabdovirinae_1ng_7nsp.zip")</f>
        <v>2023.017M.Betarhabdovirinae_1ng_7nsp.zip</v>
      </c>
    </row>
    <row r="13988" spans="1:21">
      <c r="A13988">
        <v>13987</v>
      </c>
      <c r="B13988" s="27" t="s">
        <v>1124</v>
      </c>
      <c r="D13988" s="27" t="s">
        <v>1859</v>
      </c>
      <c r="F13988" s="27" t="s">
        <v>938</v>
      </c>
      <c r="G13988" s="27" t="s">
        <v>939</v>
      </c>
      <c r="H13988" s="27" t="s">
        <v>945</v>
      </c>
      <c r="J13988" s="27" t="s">
        <v>238</v>
      </c>
      <c r="L13988" s="27" t="s">
        <v>346</v>
      </c>
      <c r="M13988" s="27" t="s">
        <v>3576</v>
      </c>
      <c r="N13988" s="27" t="s">
        <v>1897</v>
      </c>
      <c r="P13988" s="27" t="s">
        <v>22013</v>
      </c>
      <c r="Q13988" s="26" t="str">
        <f>HYPERLINK("https://ictv.global/taxonomy/taxondetails?taxnode_id=202522817&amp;ictv_id=ICTV202522817","ICTV202522817")</f>
        <v>ICTV202522817</v>
      </c>
      <c r="R13988" t="s">
        <v>580</v>
      </c>
      <c r="S13988" t="s">
        <v>823</v>
      </c>
      <c r="T13988">
        <v>41</v>
      </c>
      <c r="U13988" s="26" t="str">
        <f>HYPERLINK("https://ictv.global/ictv/proposals/2025.024P.Rhabdoviridae_Betanucleorhabdovirus_7nsp.zip","2025.024P.Rhabdoviridae_Betanucleorhabdovirus_7nsp.zip")</f>
        <v>2025.024P.Rhabdoviridae_Betanucleorhabdovirus_7nsp.zip</v>
      </c>
    </row>
    <row r="13989" spans="1:21">
      <c r="A13989">
        <v>13988</v>
      </c>
      <c r="B13989" s="27" t="s">
        <v>1124</v>
      </c>
      <c r="D13989" s="27" t="s">
        <v>1859</v>
      </c>
      <c r="F13989" s="27" t="s">
        <v>938</v>
      </c>
      <c r="G13989" s="27" t="s">
        <v>939</v>
      </c>
      <c r="H13989" s="27" t="s">
        <v>945</v>
      </c>
      <c r="J13989" s="27" t="s">
        <v>238</v>
      </c>
      <c r="L13989" s="27" t="s">
        <v>346</v>
      </c>
      <c r="M13989" s="27" t="s">
        <v>3576</v>
      </c>
      <c r="N13989" s="27" t="s">
        <v>1897</v>
      </c>
      <c r="P13989" s="27" t="s">
        <v>22011</v>
      </c>
      <c r="Q13989" s="26" t="str">
        <f>HYPERLINK("https://ictv.global/taxonomy/taxondetails?taxnode_id=202522815&amp;ictv_id=ICTV202522815","ICTV202522815")</f>
        <v>ICTV202522815</v>
      </c>
      <c r="R13989" t="s">
        <v>580</v>
      </c>
      <c r="S13989" t="s">
        <v>823</v>
      </c>
      <c r="T13989">
        <v>41</v>
      </c>
      <c r="U13989" s="26" t="str">
        <f>HYPERLINK("https://ictv.global/ictv/proposals/2025.024P.Rhabdoviridae_Betanucleorhabdovirus_7nsp.zip","2025.024P.Rhabdoviridae_Betanucleorhabdovirus_7nsp.zip")</f>
        <v>2025.024P.Rhabdoviridae_Betanucleorhabdovirus_7nsp.zip</v>
      </c>
    </row>
    <row r="13990" spans="1:21">
      <c r="A13990">
        <v>13989</v>
      </c>
      <c r="B13990" s="27" t="s">
        <v>1124</v>
      </c>
      <c r="D13990" s="27" t="s">
        <v>1859</v>
      </c>
      <c r="F13990" s="27" t="s">
        <v>938</v>
      </c>
      <c r="G13990" s="27" t="s">
        <v>939</v>
      </c>
      <c r="H13990" s="27" t="s">
        <v>945</v>
      </c>
      <c r="J13990" s="27" t="s">
        <v>238</v>
      </c>
      <c r="L13990" s="27" t="s">
        <v>346</v>
      </c>
      <c r="M13990" s="27" t="s">
        <v>3576</v>
      </c>
      <c r="N13990" s="27" t="s">
        <v>1897</v>
      </c>
      <c r="P13990" s="27" t="s">
        <v>9737</v>
      </c>
      <c r="Q13990" s="26" t="str">
        <f>HYPERLINK("https://ictv.global/taxonomy/taxondetails?taxnode_id=202514141&amp;ictv_id=ICTV202214141","ICTV202214141")</f>
        <v>ICTV202214141</v>
      </c>
      <c r="R13990" t="s">
        <v>580</v>
      </c>
      <c r="S13990" t="s">
        <v>823</v>
      </c>
      <c r="T13990">
        <v>38</v>
      </c>
      <c r="U13990" s="26" t="str">
        <f>HYPERLINK("https://ictv.global/ictv/proposals/2022.001M.Alpha_and_betanucleorhabdoviruses_6nsp.zip","2022.001M.Alpha_and_betanucleorhabdoviruses_6nsp.zip")</f>
        <v>2022.001M.Alpha_and_betanucleorhabdoviruses_6nsp.zip</v>
      </c>
    </row>
    <row r="13991" spans="1:21">
      <c r="A13991">
        <v>13990</v>
      </c>
      <c r="B13991" s="27" t="s">
        <v>1124</v>
      </c>
      <c r="D13991" s="27" t="s">
        <v>1859</v>
      </c>
      <c r="F13991" s="27" t="s">
        <v>938</v>
      </c>
      <c r="G13991" s="27" t="s">
        <v>939</v>
      </c>
      <c r="H13991" s="27" t="s">
        <v>945</v>
      </c>
      <c r="J13991" s="27" t="s">
        <v>238</v>
      </c>
      <c r="L13991" s="27" t="s">
        <v>346</v>
      </c>
      <c r="M13991" s="27" t="s">
        <v>3576</v>
      </c>
      <c r="N13991" s="27" t="s">
        <v>1897</v>
      </c>
      <c r="P13991" s="27" t="s">
        <v>9738</v>
      </c>
      <c r="Q13991" s="26" t="str">
        <f>HYPERLINK("https://ictv.global/taxonomy/taxondetails?taxnode_id=202513307&amp;ictv_id=ICTV202113307","ICTV202113307")</f>
        <v>ICTV202113307</v>
      </c>
      <c r="R13991" t="s">
        <v>580</v>
      </c>
      <c r="S13991" t="s">
        <v>823</v>
      </c>
      <c r="T13991">
        <v>37</v>
      </c>
      <c r="U13991" s="26" t="str">
        <f>HYPERLINK("https://ictv.global/ictv/proposals/2021.001M.R.Betarhabdovirinae_7nsp.zip","2021.001M.R.Betarhabdovirinae_7nsp.zip")</f>
        <v>2021.001M.R.Betarhabdovirinae_7nsp.zip</v>
      </c>
    </row>
    <row r="13992" spans="1:21">
      <c r="A13992">
        <v>13991</v>
      </c>
      <c r="B13992" s="27" t="s">
        <v>1124</v>
      </c>
      <c r="D13992" s="27" t="s">
        <v>1859</v>
      </c>
      <c r="F13992" s="27" t="s">
        <v>938</v>
      </c>
      <c r="G13992" s="27" t="s">
        <v>939</v>
      </c>
      <c r="H13992" s="27" t="s">
        <v>945</v>
      </c>
      <c r="J13992" s="27" t="s">
        <v>238</v>
      </c>
      <c r="L13992" s="27" t="s">
        <v>346</v>
      </c>
      <c r="M13992" s="27" t="s">
        <v>3576</v>
      </c>
      <c r="N13992" s="27" t="s">
        <v>1897</v>
      </c>
      <c r="P13992" s="27" t="s">
        <v>22012</v>
      </c>
      <c r="Q13992" s="26" t="str">
        <f>HYPERLINK("https://ictv.global/taxonomy/taxondetails?taxnode_id=202522816&amp;ictv_id=ICTV202522816","ICTV202522816")</f>
        <v>ICTV202522816</v>
      </c>
      <c r="R13992" t="s">
        <v>580</v>
      </c>
      <c r="S13992" t="s">
        <v>823</v>
      </c>
      <c r="T13992">
        <v>41</v>
      </c>
      <c r="U13992" s="26" t="str">
        <f>HYPERLINK("https://ictv.global/ictv/proposals/2025.024P.Rhabdoviridae_Betanucleorhabdovirus_7nsp.zip","2025.024P.Rhabdoviridae_Betanucleorhabdovirus_7nsp.zip")</f>
        <v>2025.024P.Rhabdoviridae_Betanucleorhabdovirus_7nsp.zip</v>
      </c>
    </row>
    <row r="13993" spans="1:21">
      <c r="A13993">
        <v>13992</v>
      </c>
      <c r="B13993" s="27" t="s">
        <v>1124</v>
      </c>
      <c r="D13993" s="27" t="s">
        <v>1859</v>
      </c>
      <c r="F13993" s="27" t="s">
        <v>938</v>
      </c>
      <c r="G13993" s="27" t="s">
        <v>939</v>
      </c>
      <c r="H13993" s="27" t="s">
        <v>945</v>
      </c>
      <c r="J13993" s="27" t="s">
        <v>238</v>
      </c>
      <c r="L13993" s="27" t="s">
        <v>346</v>
      </c>
      <c r="M13993" s="27" t="s">
        <v>3576</v>
      </c>
      <c r="N13993" s="27" t="s">
        <v>1897</v>
      </c>
      <c r="P13993" s="27" t="s">
        <v>16920</v>
      </c>
      <c r="Q13993" s="26" t="str">
        <f>HYPERLINK("https://ictv.global/taxonomy/taxondetails?taxnode_id=202518289&amp;ictv_id=ICTV202318289","ICTV202318289")</f>
        <v>ICTV202318289</v>
      </c>
      <c r="R13993" t="s">
        <v>580</v>
      </c>
      <c r="S13993" t="s">
        <v>823</v>
      </c>
      <c r="T13993">
        <v>39</v>
      </c>
      <c r="U13993" s="26" t="str">
        <f>HYPERLINK("https://ictv.global/ictv/proposals/2023.017M.Betarhabdovirinae_1ng_7nsp.zip","2023.017M.Betarhabdovirinae_1ng_7nsp.zip")</f>
        <v>2023.017M.Betarhabdovirinae_1ng_7nsp.zip</v>
      </c>
    </row>
    <row r="13994" spans="1:21">
      <c r="A13994">
        <v>13993</v>
      </c>
      <c r="B13994" s="27" t="s">
        <v>1124</v>
      </c>
      <c r="D13994" s="27" t="s">
        <v>1859</v>
      </c>
      <c r="F13994" s="27" t="s">
        <v>938</v>
      </c>
      <c r="G13994" s="27" t="s">
        <v>939</v>
      </c>
      <c r="H13994" s="27" t="s">
        <v>945</v>
      </c>
      <c r="J13994" s="27" t="s">
        <v>238</v>
      </c>
      <c r="L13994" s="27" t="s">
        <v>346</v>
      </c>
      <c r="M13994" s="27" t="s">
        <v>3576</v>
      </c>
      <c r="N13994" s="27" t="s">
        <v>1897</v>
      </c>
      <c r="P13994" s="27" t="s">
        <v>22014</v>
      </c>
      <c r="Q13994" s="26" t="str">
        <f>HYPERLINK("https://ictv.global/taxonomy/taxondetails?taxnode_id=202522818&amp;ictv_id=ICTV202522818","ICTV202522818")</f>
        <v>ICTV202522818</v>
      </c>
      <c r="R13994" t="s">
        <v>580</v>
      </c>
      <c r="S13994" t="s">
        <v>823</v>
      </c>
      <c r="T13994">
        <v>41</v>
      </c>
      <c r="U13994" s="26" t="str">
        <f>HYPERLINK("https://ictv.global/ictv/proposals/2025.024P.Rhabdoviridae_Betanucleorhabdovirus_7nsp.zip","2025.024P.Rhabdoviridae_Betanucleorhabdovirus_7nsp.zip")</f>
        <v>2025.024P.Rhabdoviridae_Betanucleorhabdovirus_7nsp.zip</v>
      </c>
    </row>
    <row r="13995" spans="1:21">
      <c r="A13995">
        <v>13994</v>
      </c>
      <c r="B13995" s="27" t="s">
        <v>1124</v>
      </c>
      <c r="D13995" s="27" t="s">
        <v>1859</v>
      </c>
      <c r="F13995" s="27" t="s">
        <v>938</v>
      </c>
      <c r="G13995" s="27" t="s">
        <v>939</v>
      </c>
      <c r="H13995" s="27" t="s">
        <v>945</v>
      </c>
      <c r="J13995" s="27" t="s">
        <v>238</v>
      </c>
      <c r="L13995" s="27" t="s">
        <v>346</v>
      </c>
      <c r="M13995" s="27" t="s">
        <v>3576</v>
      </c>
      <c r="N13995" s="27" t="s">
        <v>1897</v>
      </c>
      <c r="P13995" s="27" t="s">
        <v>9739</v>
      </c>
      <c r="Q13995" s="26" t="str">
        <f>HYPERLINK("https://ictv.global/taxonomy/taxondetails?taxnode_id=202509366&amp;ictv_id=ICTV202009366","ICTV202009366")</f>
        <v>ICTV202009366</v>
      </c>
      <c r="R13995" t="s">
        <v>580</v>
      </c>
      <c r="S13995" t="s">
        <v>824</v>
      </c>
      <c r="T13995">
        <v>37</v>
      </c>
      <c r="U13995" s="26" t="str">
        <f>HYPERLINK("https://ictv.global/ictv/proposals/2021.036M.R.Rhabdoviridae_sprename.zip","2021.036M.R.Rhabdoviridae_sprename.zip")</f>
        <v>2021.036M.R.Rhabdoviridae_sprename.zip</v>
      </c>
    </row>
    <row r="13996" spans="1:21">
      <c r="A13996">
        <v>13995</v>
      </c>
      <c r="B13996" s="27" t="s">
        <v>1124</v>
      </c>
      <c r="D13996" s="27" t="s">
        <v>1859</v>
      </c>
      <c r="F13996" s="27" t="s">
        <v>938</v>
      </c>
      <c r="G13996" s="27" t="s">
        <v>939</v>
      </c>
      <c r="H13996" s="27" t="s">
        <v>945</v>
      </c>
      <c r="J13996" s="27" t="s">
        <v>238</v>
      </c>
      <c r="L13996" s="27" t="s">
        <v>346</v>
      </c>
      <c r="M13996" s="27" t="s">
        <v>3576</v>
      </c>
      <c r="N13996" s="27" t="s">
        <v>1897</v>
      </c>
      <c r="P13996" s="27" t="s">
        <v>9740</v>
      </c>
      <c r="Q13996" s="26" t="str">
        <f>HYPERLINK("https://ictv.global/taxonomy/taxondetails?taxnode_id=202514142&amp;ictv_id=ICTV202214142","ICTV202214142")</f>
        <v>ICTV202214142</v>
      </c>
      <c r="R13996" t="s">
        <v>580</v>
      </c>
      <c r="S13996" t="s">
        <v>823</v>
      </c>
      <c r="T13996">
        <v>38</v>
      </c>
      <c r="U13996" s="26" t="str">
        <f>HYPERLINK("https://ictv.global/ictv/proposals/2022.001M.Alpha_and_betanucleorhabdoviruses_6nsp.zip","2022.001M.Alpha_and_betanucleorhabdoviruses_6nsp.zip")</f>
        <v>2022.001M.Alpha_and_betanucleorhabdoviruses_6nsp.zip</v>
      </c>
    </row>
    <row r="13997" spans="1:21">
      <c r="A13997">
        <v>13996</v>
      </c>
      <c r="B13997" s="27" t="s">
        <v>1124</v>
      </c>
      <c r="D13997" s="27" t="s">
        <v>1859</v>
      </c>
      <c r="F13997" s="27" t="s">
        <v>938</v>
      </c>
      <c r="G13997" s="27" t="s">
        <v>939</v>
      </c>
      <c r="H13997" s="27" t="s">
        <v>945</v>
      </c>
      <c r="J13997" s="27" t="s">
        <v>238</v>
      </c>
      <c r="L13997" s="27" t="s">
        <v>346</v>
      </c>
      <c r="M13997" s="27" t="s">
        <v>3576</v>
      </c>
      <c r="N13997" s="27" t="s">
        <v>1897</v>
      </c>
      <c r="P13997" s="27" t="s">
        <v>9741</v>
      </c>
      <c r="Q13997" s="26" t="str">
        <f>HYPERLINK("https://ictv.global/taxonomy/taxondetails?taxnode_id=202501742&amp;ictv_id=ICTV19910273","ICTV19910273")</f>
        <v>ICTV19910273</v>
      </c>
      <c r="R13997" t="s">
        <v>580</v>
      </c>
      <c r="S13997" t="s">
        <v>824</v>
      </c>
      <c r="T13997">
        <v>37</v>
      </c>
      <c r="U13997" s="26" t="str">
        <f>HYPERLINK("https://ictv.global/ictv/proposals/2021.036M.R.Rhabdoviridae_sprename.zip","2021.036M.R.Rhabdoviridae_sprename.zip")</f>
        <v>2021.036M.R.Rhabdoviridae_sprename.zip</v>
      </c>
    </row>
    <row r="13998" spans="1:21">
      <c r="A13998">
        <v>13997</v>
      </c>
      <c r="B13998" s="27" t="s">
        <v>1124</v>
      </c>
      <c r="D13998" s="27" t="s">
        <v>1859</v>
      </c>
      <c r="F13998" s="27" t="s">
        <v>938</v>
      </c>
      <c r="G13998" s="27" t="s">
        <v>939</v>
      </c>
      <c r="H13998" s="27" t="s">
        <v>945</v>
      </c>
      <c r="J13998" s="27" t="s">
        <v>238</v>
      </c>
      <c r="L13998" s="27" t="s">
        <v>346</v>
      </c>
      <c r="M13998" s="27" t="s">
        <v>3576</v>
      </c>
      <c r="N13998" s="27" t="s">
        <v>1897</v>
      </c>
      <c r="P13998" s="27" t="s">
        <v>22016</v>
      </c>
      <c r="Q13998" s="26" t="str">
        <f>HYPERLINK("https://ictv.global/taxonomy/taxondetails?taxnode_id=202522820&amp;ictv_id=ICTV202522820","ICTV202522820")</f>
        <v>ICTV202522820</v>
      </c>
      <c r="R13998" t="s">
        <v>580</v>
      </c>
      <c r="S13998" t="s">
        <v>823</v>
      </c>
      <c r="T13998">
        <v>41</v>
      </c>
      <c r="U13998" s="26" t="str">
        <f>HYPERLINK("https://ictv.global/ictv/proposals/2025.024P.Rhabdoviridae_Betanucleorhabdovirus_7nsp.zip","2025.024P.Rhabdoviridae_Betanucleorhabdovirus_7nsp.zip")</f>
        <v>2025.024P.Rhabdoviridae_Betanucleorhabdovirus_7nsp.zip</v>
      </c>
    </row>
    <row r="13999" spans="1:21">
      <c r="A13999">
        <v>13998</v>
      </c>
      <c r="B13999" s="27" t="s">
        <v>1124</v>
      </c>
      <c r="D13999" s="27" t="s">
        <v>1859</v>
      </c>
      <c r="F13999" s="27" t="s">
        <v>938</v>
      </c>
      <c r="G13999" s="27" t="s">
        <v>939</v>
      </c>
      <c r="H13999" s="27" t="s">
        <v>945</v>
      </c>
      <c r="J13999" s="27" t="s">
        <v>238</v>
      </c>
      <c r="L13999" s="27" t="s">
        <v>346</v>
      </c>
      <c r="M13999" s="27" t="s">
        <v>3576</v>
      </c>
      <c r="N13999" s="27" t="s">
        <v>1897</v>
      </c>
      <c r="P13999" s="27" t="s">
        <v>22017</v>
      </c>
      <c r="Q13999" s="26" t="str">
        <f>HYPERLINK("https://ictv.global/taxonomy/taxondetails?taxnode_id=202522821&amp;ictv_id=ICTV202522821","ICTV202522821")</f>
        <v>ICTV202522821</v>
      </c>
      <c r="R13999" t="s">
        <v>580</v>
      </c>
      <c r="S13999" t="s">
        <v>823</v>
      </c>
      <c r="T13999">
        <v>41</v>
      </c>
      <c r="U13999" s="26" t="str">
        <f>HYPERLINK("https://ictv.global/ictv/proposals/2025.024P.Rhabdoviridae_Betanucleorhabdovirus_7nsp.zip","2025.024P.Rhabdoviridae_Betanucleorhabdovirus_7nsp.zip")</f>
        <v>2025.024P.Rhabdoviridae_Betanucleorhabdovirus_7nsp.zip</v>
      </c>
    </row>
    <row r="14000" spans="1:21">
      <c r="A14000">
        <v>13999</v>
      </c>
      <c r="B14000" s="27" t="s">
        <v>1124</v>
      </c>
      <c r="D14000" s="27" t="s">
        <v>1859</v>
      </c>
      <c r="F14000" s="27" t="s">
        <v>938</v>
      </c>
      <c r="G14000" s="27" t="s">
        <v>939</v>
      </c>
      <c r="H14000" s="27" t="s">
        <v>945</v>
      </c>
      <c r="J14000" s="27" t="s">
        <v>238</v>
      </c>
      <c r="L14000" s="27" t="s">
        <v>346</v>
      </c>
      <c r="M14000" s="27" t="s">
        <v>3576</v>
      </c>
      <c r="N14000" s="27" t="s">
        <v>1897</v>
      </c>
      <c r="P14000" s="27" t="s">
        <v>22015</v>
      </c>
      <c r="Q14000" s="26" t="str">
        <f>HYPERLINK("https://ictv.global/taxonomy/taxondetails?taxnode_id=202522819&amp;ictv_id=ICTV202522819","ICTV202522819")</f>
        <v>ICTV202522819</v>
      </c>
      <c r="R14000" t="s">
        <v>580</v>
      </c>
      <c r="S14000" t="s">
        <v>823</v>
      </c>
      <c r="T14000">
        <v>41</v>
      </c>
      <c r="U14000" s="26" t="str">
        <f>HYPERLINK("https://ictv.global/ictv/proposals/2025.024P.Rhabdoviridae_Betanucleorhabdovirus_7nsp.zip","2025.024P.Rhabdoviridae_Betanucleorhabdovirus_7nsp.zip")</f>
        <v>2025.024P.Rhabdoviridae_Betanucleorhabdovirus_7nsp.zip</v>
      </c>
    </row>
    <row r="14001" spans="1:21">
      <c r="A14001">
        <v>14000</v>
      </c>
      <c r="B14001" s="27" t="s">
        <v>1124</v>
      </c>
      <c r="D14001" s="27" t="s">
        <v>1859</v>
      </c>
      <c r="F14001" s="27" t="s">
        <v>938</v>
      </c>
      <c r="G14001" s="27" t="s">
        <v>939</v>
      </c>
      <c r="H14001" s="27" t="s">
        <v>945</v>
      </c>
      <c r="J14001" s="27" t="s">
        <v>238</v>
      </c>
      <c r="L14001" s="27" t="s">
        <v>346</v>
      </c>
      <c r="M14001" s="27" t="s">
        <v>3576</v>
      </c>
      <c r="N14001" s="27" t="s">
        <v>1897</v>
      </c>
      <c r="P14001" s="27" t="s">
        <v>9742</v>
      </c>
      <c r="Q14001" s="26" t="str">
        <f>HYPERLINK("https://ictv.global/taxonomy/taxondetails?taxnode_id=202507687&amp;ictv_id=ICTV201907687","ICTV201907687")</f>
        <v>ICTV201907687</v>
      </c>
      <c r="R14001" t="s">
        <v>580</v>
      </c>
      <c r="S14001" t="s">
        <v>824</v>
      </c>
      <c r="T14001">
        <v>37</v>
      </c>
      <c r="U14001" s="26" t="str">
        <f>HYPERLINK("https://ictv.global/ictv/proposals/2021.036M.R.Rhabdoviridae_sprename.zip","2021.036M.R.Rhabdoviridae_sprename.zip")</f>
        <v>2021.036M.R.Rhabdoviridae_sprename.zip</v>
      </c>
    </row>
    <row r="14002" spans="1:21">
      <c r="A14002">
        <v>14001</v>
      </c>
      <c r="B14002" s="27" t="s">
        <v>1124</v>
      </c>
      <c r="D14002" s="27" t="s">
        <v>1859</v>
      </c>
      <c r="F14002" s="27" t="s">
        <v>938</v>
      </c>
      <c r="G14002" s="27" t="s">
        <v>939</v>
      </c>
      <c r="H14002" s="27" t="s">
        <v>945</v>
      </c>
      <c r="J14002" s="27" t="s">
        <v>238</v>
      </c>
      <c r="L14002" s="27" t="s">
        <v>346</v>
      </c>
      <c r="M14002" s="27" t="s">
        <v>3576</v>
      </c>
      <c r="N14002" s="27" t="s">
        <v>1897</v>
      </c>
      <c r="P14002" s="27" t="s">
        <v>9743</v>
      </c>
      <c r="Q14002" s="26" t="str">
        <f>HYPERLINK("https://ictv.global/taxonomy/taxondetails?taxnode_id=202509367&amp;ictv_id=ICTV202009367","ICTV202009367")</f>
        <v>ICTV202009367</v>
      </c>
      <c r="R14002" t="s">
        <v>580</v>
      </c>
      <c r="S14002" t="s">
        <v>824</v>
      </c>
      <c r="T14002">
        <v>37</v>
      </c>
      <c r="U14002" s="26" t="str">
        <f>HYPERLINK("https://ictv.global/ictv/proposals/2021.036M.R.Rhabdoviridae_sprename.zip","2021.036M.R.Rhabdoviridae_sprename.zip")</f>
        <v>2021.036M.R.Rhabdoviridae_sprename.zip</v>
      </c>
    </row>
    <row r="14003" spans="1:21">
      <c r="A14003">
        <v>14002</v>
      </c>
      <c r="B14003" s="27" t="s">
        <v>1124</v>
      </c>
      <c r="D14003" s="27" t="s">
        <v>1859</v>
      </c>
      <c r="F14003" s="27" t="s">
        <v>938</v>
      </c>
      <c r="G14003" s="27" t="s">
        <v>939</v>
      </c>
      <c r="H14003" s="27" t="s">
        <v>945</v>
      </c>
      <c r="J14003" s="27" t="s">
        <v>238</v>
      </c>
      <c r="L14003" s="27" t="s">
        <v>346</v>
      </c>
      <c r="M14003" s="27" t="s">
        <v>3576</v>
      </c>
      <c r="N14003" s="27" t="s">
        <v>1897</v>
      </c>
      <c r="P14003" s="27" t="s">
        <v>9744</v>
      </c>
      <c r="Q14003" s="26" t="str">
        <f>HYPERLINK("https://ictv.global/taxonomy/taxondetails?taxnode_id=202507688&amp;ictv_id=ICTV201907688","ICTV201907688")</f>
        <v>ICTV201907688</v>
      </c>
      <c r="R14003" t="s">
        <v>580</v>
      </c>
      <c r="S14003" t="s">
        <v>824</v>
      </c>
      <c r="T14003">
        <v>37</v>
      </c>
      <c r="U14003" s="26" t="str">
        <f>HYPERLINK("https://ictv.global/ictv/proposals/2021.036M.R.Rhabdoviridae_sprename.zip","2021.036M.R.Rhabdoviridae_sprename.zip")</f>
        <v>2021.036M.R.Rhabdoviridae_sprename.zip</v>
      </c>
    </row>
    <row r="14004" spans="1:21">
      <c r="A14004">
        <v>14003</v>
      </c>
      <c r="B14004" s="27" t="s">
        <v>1124</v>
      </c>
      <c r="D14004" s="27" t="s">
        <v>1859</v>
      </c>
      <c r="F14004" s="27" t="s">
        <v>938</v>
      </c>
      <c r="G14004" s="27" t="s">
        <v>939</v>
      </c>
      <c r="H14004" s="27" t="s">
        <v>945</v>
      </c>
      <c r="J14004" s="27" t="s">
        <v>238</v>
      </c>
      <c r="L14004" s="27" t="s">
        <v>346</v>
      </c>
      <c r="M14004" s="27" t="s">
        <v>3576</v>
      </c>
      <c r="N14004" s="27" t="s">
        <v>1897</v>
      </c>
      <c r="P14004" s="27" t="s">
        <v>20383</v>
      </c>
      <c r="Q14004" s="26" t="str">
        <f>HYPERLINK("https://ictv.global/taxonomy/taxondetails?taxnode_id=202520626&amp;ictv_id=ICTV202420626","ICTV202420626")</f>
        <v>ICTV202420626</v>
      </c>
      <c r="R14004" t="s">
        <v>580</v>
      </c>
      <c r="S14004" t="s">
        <v>823</v>
      </c>
      <c r="T14004">
        <v>40</v>
      </c>
      <c r="U14004" s="26" t="str">
        <f>HYPERLINK("https://ictv.global/ictv/proposals/2024.014P.Rhabdoviridae_2nsp.zip","2024.014P.Rhabdoviridae_2nsp.zip")</f>
        <v>2024.014P.Rhabdoviridae_2nsp.zip</v>
      </c>
    </row>
    <row r="14005" spans="1:21">
      <c r="A14005">
        <v>14004</v>
      </c>
      <c r="B14005" s="27" t="s">
        <v>1124</v>
      </c>
      <c r="D14005" s="27" t="s">
        <v>1859</v>
      </c>
      <c r="F14005" s="27" t="s">
        <v>938</v>
      </c>
      <c r="G14005" s="27" t="s">
        <v>939</v>
      </c>
      <c r="H14005" s="27" t="s">
        <v>945</v>
      </c>
      <c r="J14005" s="27" t="s">
        <v>238</v>
      </c>
      <c r="L14005" s="27" t="s">
        <v>346</v>
      </c>
      <c r="M14005" s="27" t="s">
        <v>3576</v>
      </c>
      <c r="N14005" s="27" t="s">
        <v>1897</v>
      </c>
      <c r="P14005" s="27" t="s">
        <v>16921</v>
      </c>
      <c r="Q14005" s="26" t="str">
        <f>HYPERLINK("https://ictv.global/taxonomy/taxondetails?taxnode_id=202518286&amp;ictv_id=ICTV202318286","ICTV202318286")</f>
        <v>ICTV202318286</v>
      </c>
      <c r="R14005" t="s">
        <v>580</v>
      </c>
      <c r="S14005" t="s">
        <v>823</v>
      </c>
      <c r="T14005">
        <v>39</v>
      </c>
      <c r="U14005" s="26" t="str">
        <f>HYPERLINK("https://ictv.global/ictv/proposals/2023.017M.Betarhabdovirinae_1ng_7nsp.zip","2023.017M.Betarhabdovirinae_1ng_7nsp.zip")</f>
        <v>2023.017M.Betarhabdovirinae_1ng_7nsp.zip</v>
      </c>
    </row>
    <row r="14006" spans="1:21">
      <c r="A14006">
        <v>14005</v>
      </c>
      <c r="B14006" s="27" t="s">
        <v>1124</v>
      </c>
      <c r="D14006" s="27" t="s">
        <v>1859</v>
      </c>
      <c r="F14006" s="27" t="s">
        <v>938</v>
      </c>
      <c r="G14006" s="27" t="s">
        <v>939</v>
      </c>
      <c r="H14006" s="27" t="s">
        <v>945</v>
      </c>
      <c r="J14006" s="27" t="s">
        <v>238</v>
      </c>
      <c r="L14006" s="27" t="s">
        <v>346</v>
      </c>
      <c r="M14006" s="27" t="s">
        <v>3576</v>
      </c>
      <c r="N14006" s="27" t="s">
        <v>1897</v>
      </c>
      <c r="P14006" s="27" t="s">
        <v>9745</v>
      </c>
      <c r="Q14006" s="26" t="str">
        <f>HYPERLINK("https://ictv.global/taxonomy/taxondetails?taxnode_id=202514143&amp;ictv_id=ICTV202214143","ICTV202214143")</f>
        <v>ICTV202214143</v>
      </c>
      <c r="R14006" t="s">
        <v>580</v>
      </c>
      <c r="S14006" t="s">
        <v>823</v>
      </c>
      <c r="T14006">
        <v>38</v>
      </c>
      <c r="U14006" s="26" t="str">
        <f>HYPERLINK("https://ictv.global/ictv/proposals/2022.001M.Alpha_and_betanucleorhabdoviruses_6nsp.zip","2022.001M.Alpha_and_betanucleorhabdoviruses_6nsp.zip")</f>
        <v>2022.001M.Alpha_and_betanucleorhabdoviruses_6nsp.zip</v>
      </c>
    </row>
    <row r="14007" spans="1:21">
      <c r="A14007">
        <v>14006</v>
      </c>
      <c r="B14007" s="27" t="s">
        <v>1124</v>
      </c>
      <c r="D14007" s="27" t="s">
        <v>1859</v>
      </c>
      <c r="F14007" s="27" t="s">
        <v>938</v>
      </c>
      <c r="G14007" s="27" t="s">
        <v>939</v>
      </c>
      <c r="H14007" s="27" t="s">
        <v>945</v>
      </c>
      <c r="J14007" s="27" t="s">
        <v>238</v>
      </c>
      <c r="L14007" s="27" t="s">
        <v>346</v>
      </c>
      <c r="M14007" s="27" t="s">
        <v>3576</v>
      </c>
      <c r="N14007" s="27" t="s">
        <v>1897</v>
      </c>
      <c r="P14007" s="27" t="s">
        <v>9746</v>
      </c>
      <c r="Q14007" s="26" t="str">
        <f>HYPERLINK("https://ictv.global/taxonomy/taxondetails?taxnode_id=202501749&amp;ictv_id=ICTV19790844","ICTV19790844")</f>
        <v>ICTV19790844</v>
      </c>
      <c r="R14007" t="s">
        <v>580</v>
      </c>
      <c r="S14007" t="s">
        <v>824</v>
      </c>
      <c r="T14007">
        <v>37</v>
      </c>
      <c r="U14007" s="26" t="str">
        <f>HYPERLINK("https://ictv.global/ictv/proposals/2021.036M.R.Rhabdoviridae_sprename.zip","2021.036M.R.Rhabdoviridae_sprename.zip")</f>
        <v>2021.036M.R.Rhabdoviridae_sprename.zip</v>
      </c>
    </row>
    <row r="14008" spans="1:21">
      <c r="A14008">
        <v>14007</v>
      </c>
      <c r="B14008" s="27" t="s">
        <v>1124</v>
      </c>
      <c r="D14008" s="27" t="s">
        <v>1859</v>
      </c>
      <c r="F14008" s="27" t="s">
        <v>938</v>
      </c>
      <c r="G14008" s="27" t="s">
        <v>939</v>
      </c>
      <c r="H14008" s="27" t="s">
        <v>945</v>
      </c>
      <c r="J14008" s="27" t="s">
        <v>238</v>
      </c>
      <c r="L14008" s="27" t="s">
        <v>346</v>
      </c>
      <c r="M14008" s="27" t="s">
        <v>3576</v>
      </c>
      <c r="N14008" s="27" t="s">
        <v>1897</v>
      </c>
      <c r="P14008" s="27" t="s">
        <v>9747</v>
      </c>
      <c r="Q14008" s="26" t="str">
        <f>HYPERLINK("https://ictv.global/taxonomy/taxondetails?taxnode_id=202514144&amp;ictv_id=ICTV202214144","ICTV202214144")</f>
        <v>ICTV202214144</v>
      </c>
      <c r="R14008" t="s">
        <v>580</v>
      </c>
      <c r="S14008" t="s">
        <v>823</v>
      </c>
      <c r="T14008">
        <v>38</v>
      </c>
      <c r="U14008" s="26" t="str">
        <f>HYPERLINK("https://ictv.global/ictv/proposals/2022.001M.Alpha_and_betanucleorhabdoviruses_6nsp.zip","2022.001M.Alpha_and_betanucleorhabdoviruses_6nsp.zip")</f>
        <v>2022.001M.Alpha_and_betanucleorhabdoviruses_6nsp.zip</v>
      </c>
    </row>
    <row r="14009" spans="1:21">
      <c r="A14009">
        <v>14008</v>
      </c>
      <c r="B14009" s="27" t="s">
        <v>1124</v>
      </c>
      <c r="D14009" s="27" t="s">
        <v>1859</v>
      </c>
      <c r="F14009" s="27" t="s">
        <v>938</v>
      </c>
      <c r="G14009" s="27" t="s">
        <v>939</v>
      </c>
      <c r="H14009" s="27" t="s">
        <v>945</v>
      </c>
      <c r="J14009" s="27" t="s">
        <v>238</v>
      </c>
      <c r="L14009" s="27" t="s">
        <v>346</v>
      </c>
      <c r="M14009" s="27" t="s">
        <v>3576</v>
      </c>
      <c r="N14009" s="27" t="s">
        <v>1897</v>
      </c>
      <c r="P14009" s="27" t="s">
        <v>9748</v>
      </c>
      <c r="Q14009" s="26" t="str">
        <f>HYPERLINK("https://ictv.global/taxonomy/taxondetails?taxnode_id=202507686&amp;ictv_id=ICTV201907686","ICTV201907686")</f>
        <v>ICTV201907686</v>
      </c>
      <c r="R14009" t="s">
        <v>580</v>
      </c>
      <c r="S14009" t="s">
        <v>824</v>
      </c>
      <c r="T14009">
        <v>37</v>
      </c>
      <c r="U14009" s="26" t="str">
        <f>HYPERLINK("https://ictv.global/ictv/proposals/2021.036M.R.Rhabdoviridae_sprename.zip","2021.036M.R.Rhabdoviridae_sprename.zip")</f>
        <v>2021.036M.R.Rhabdoviridae_sprename.zip</v>
      </c>
    </row>
    <row r="14010" spans="1:21">
      <c r="A14010">
        <v>14009</v>
      </c>
      <c r="B14010" s="27" t="s">
        <v>1124</v>
      </c>
      <c r="D14010" s="27" t="s">
        <v>1859</v>
      </c>
      <c r="F14010" s="27" t="s">
        <v>938</v>
      </c>
      <c r="G14010" s="27" t="s">
        <v>939</v>
      </c>
      <c r="H14010" s="27" t="s">
        <v>945</v>
      </c>
      <c r="J14010" s="27" t="s">
        <v>238</v>
      </c>
      <c r="L14010" s="27" t="s">
        <v>346</v>
      </c>
      <c r="M14010" s="27" t="s">
        <v>3576</v>
      </c>
      <c r="N14010" s="27" t="s">
        <v>1897</v>
      </c>
      <c r="P14010" s="27" t="s">
        <v>16922</v>
      </c>
      <c r="Q14010" s="26" t="str">
        <f>HYPERLINK("https://ictv.global/taxonomy/taxondetails?taxnode_id=202518287&amp;ictv_id=ICTV202318287","ICTV202318287")</f>
        <v>ICTV202318287</v>
      </c>
      <c r="R14010" t="s">
        <v>580</v>
      </c>
      <c r="S14010" t="s">
        <v>823</v>
      </c>
      <c r="T14010">
        <v>39</v>
      </c>
      <c r="U14010" s="26" t="str">
        <f>HYPERLINK("https://ictv.global/ictv/proposals/2023.017M.Betarhabdovirinae_1ng_7nsp.zip","2023.017M.Betarhabdovirinae_1ng_7nsp.zip")</f>
        <v>2023.017M.Betarhabdovirinae_1ng_7nsp.zip</v>
      </c>
    </row>
    <row r="14011" spans="1:21">
      <c r="A14011">
        <v>14010</v>
      </c>
      <c r="B14011" s="27" t="s">
        <v>1124</v>
      </c>
      <c r="D14011" s="27" t="s">
        <v>1859</v>
      </c>
      <c r="F14011" s="27" t="s">
        <v>938</v>
      </c>
      <c r="G14011" s="27" t="s">
        <v>939</v>
      </c>
      <c r="H14011" s="27" t="s">
        <v>945</v>
      </c>
      <c r="J14011" s="27" t="s">
        <v>238</v>
      </c>
      <c r="L14011" s="27" t="s">
        <v>346</v>
      </c>
      <c r="M14011" s="27" t="s">
        <v>3576</v>
      </c>
      <c r="N14011" s="27" t="s">
        <v>1897</v>
      </c>
      <c r="P14011" s="27" t="s">
        <v>9749</v>
      </c>
      <c r="Q14011" s="26" t="str">
        <f>HYPERLINK("https://ictv.global/taxonomy/taxondetails?taxnode_id=202501750&amp;ictv_id=ICTV19790845","ICTV19790845")</f>
        <v>ICTV19790845</v>
      </c>
      <c r="R14011" t="s">
        <v>580</v>
      </c>
      <c r="S14011" t="s">
        <v>824</v>
      </c>
      <c r="T14011">
        <v>37</v>
      </c>
      <c r="U14011" s="26" t="str">
        <f>HYPERLINK("https://ictv.global/ictv/proposals/2021.036M.R.Rhabdoviridae_sprename.zip","2021.036M.R.Rhabdoviridae_sprename.zip")</f>
        <v>2021.036M.R.Rhabdoviridae_sprename.zip</v>
      </c>
    </row>
    <row r="14012" spans="1:21">
      <c r="A14012">
        <v>14011</v>
      </c>
      <c r="B14012" s="27" t="s">
        <v>1124</v>
      </c>
      <c r="D14012" s="27" t="s">
        <v>1859</v>
      </c>
      <c r="F14012" s="27" t="s">
        <v>938</v>
      </c>
      <c r="G14012" s="27" t="s">
        <v>939</v>
      </c>
      <c r="H14012" s="27" t="s">
        <v>945</v>
      </c>
      <c r="J14012" s="27" t="s">
        <v>238</v>
      </c>
      <c r="L14012" s="27" t="s">
        <v>346</v>
      </c>
      <c r="M14012" s="27" t="s">
        <v>3576</v>
      </c>
      <c r="N14012" s="27" t="s">
        <v>1897</v>
      </c>
      <c r="P14012" s="27" t="s">
        <v>9750</v>
      </c>
      <c r="Q14012" s="26" t="str">
        <f>HYPERLINK("https://ictv.global/taxonomy/taxondetails?taxnode_id=202509368&amp;ictv_id=ICTV202009368","ICTV202009368")</f>
        <v>ICTV202009368</v>
      </c>
      <c r="R14012" t="s">
        <v>580</v>
      </c>
      <c r="S14012" t="s">
        <v>824</v>
      </c>
      <c r="T14012">
        <v>37</v>
      </c>
      <c r="U14012" s="26" t="str">
        <f>HYPERLINK("https://ictv.global/ictv/proposals/2021.036M.R.Rhabdoviridae_sprename.zip","2021.036M.R.Rhabdoviridae_sprename.zip")</f>
        <v>2021.036M.R.Rhabdoviridae_sprename.zip</v>
      </c>
    </row>
    <row r="14013" spans="1:21">
      <c r="A14013">
        <v>14012</v>
      </c>
      <c r="B14013" s="27" t="s">
        <v>1124</v>
      </c>
      <c r="D14013" s="27" t="s">
        <v>1859</v>
      </c>
      <c r="F14013" s="27" t="s">
        <v>938</v>
      </c>
      <c r="G14013" s="27" t="s">
        <v>939</v>
      </c>
      <c r="H14013" s="27" t="s">
        <v>945</v>
      </c>
      <c r="J14013" s="27" t="s">
        <v>238</v>
      </c>
      <c r="L14013" s="27" t="s">
        <v>346</v>
      </c>
      <c r="M14013" s="27" t="s">
        <v>3576</v>
      </c>
      <c r="N14013" s="27" t="s">
        <v>16923</v>
      </c>
      <c r="P14013" s="27" t="s">
        <v>16924</v>
      </c>
      <c r="Q14013" s="26" t="str">
        <f>HYPERLINK("https://ictv.global/taxonomy/taxondetails?taxnode_id=202518292&amp;ictv_id=ICTV202318292","ICTV202318292")</f>
        <v>ICTV202318292</v>
      </c>
      <c r="R14013" t="s">
        <v>580</v>
      </c>
      <c r="S14013" t="s">
        <v>823</v>
      </c>
      <c r="T14013">
        <v>39</v>
      </c>
      <c r="U14013" s="26" t="str">
        <f>HYPERLINK("https://ictv.global/ictv/proposals/2023.017M.Betarhabdovirinae_1ng_7nsp.zip","2023.017M.Betarhabdovirinae_1ng_7nsp.zip")</f>
        <v>2023.017M.Betarhabdovirinae_1ng_7nsp.zip</v>
      </c>
    </row>
    <row r="14014" spans="1:21">
      <c r="A14014">
        <v>14013</v>
      </c>
      <c r="B14014" s="27" t="s">
        <v>1124</v>
      </c>
      <c r="D14014" s="27" t="s">
        <v>1859</v>
      </c>
      <c r="F14014" s="27" t="s">
        <v>938</v>
      </c>
      <c r="G14014" s="27" t="s">
        <v>939</v>
      </c>
      <c r="H14014" s="27" t="s">
        <v>945</v>
      </c>
      <c r="J14014" s="27" t="s">
        <v>238</v>
      </c>
      <c r="L14014" s="27" t="s">
        <v>346</v>
      </c>
      <c r="M14014" s="27" t="s">
        <v>3576</v>
      </c>
      <c r="N14014" s="27" t="s">
        <v>16923</v>
      </c>
      <c r="P14014" s="27" t="s">
        <v>16925</v>
      </c>
      <c r="Q14014" s="26" t="str">
        <f>HYPERLINK("https://ictv.global/taxonomy/taxondetails?taxnode_id=202518291&amp;ictv_id=ICTV202318291","ICTV202318291")</f>
        <v>ICTV202318291</v>
      </c>
      <c r="R14014" t="s">
        <v>580</v>
      </c>
      <c r="S14014" t="s">
        <v>823</v>
      </c>
      <c r="T14014">
        <v>39</v>
      </c>
      <c r="U14014" s="26" t="str">
        <f>HYPERLINK("https://ictv.global/ictv/proposals/2023.017M.Betarhabdovirinae_1ng_7nsp.zip","2023.017M.Betarhabdovirinae_1ng_7nsp.zip")</f>
        <v>2023.017M.Betarhabdovirinae_1ng_7nsp.zip</v>
      </c>
    </row>
    <row r="14015" spans="1:21">
      <c r="A14015">
        <v>14014</v>
      </c>
      <c r="B14015" s="27" t="s">
        <v>1124</v>
      </c>
      <c r="D14015" s="27" t="s">
        <v>1859</v>
      </c>
      <c r="F14015" s="27" t="s">
        <v>938</v>
      </c>
      <c r="G14015" s="27" t="s">
        <v>939</v>
      </c>
      <c r="H14015" s="27" t="s">
        <v>945</v>
      </c>
      <c r="J14015" s="27" t="s">
        <v>238</v>
      </c>
      <c r="L14015" s="27" t="s">
        <v>346</v>
      </c>
      <c r="M14015" s="27" t="s">
        <v>3576</v>
      </c>
      <c r="N14015" s="27" t="s">
        <v>640</v>
      </c>
      <c r="P14015" s="27" t="s">
        <v>16926</v>
      </c>
      <c r="Q14015" s="26" t="str">
        <f>HYPERLINK("https://ictv.global/taxonomy/taxondetails?taxnode_id=202517933&amp;ictv_id=ICTV202317933","ICTV202317933")</f>
        <v>ICTV202317933</v>
      </c>
      <c r="R14015" t="s">
        <v>580</v>
      </c>
      <c r="S14015" t="s">
        <v>823</v>
      </c>
      <c r="T14015">
        <v>39</v>
      </c>
      <c r="U14015" s="26" t="str">
        <f>HYPERLINK("https://ictv.global/ictv/proposals/2023.009M.Dichorhavirus_1nsp.zip","2023.009M.Dichorhavirus_1nsp.zip")</f>
        <v>2023.009M.Dichorhavirus_1nsp.zip</v>
      </c>
    </row>
    <row r="14016" spans="1:21">
      <c r="A14016">
        <v>14015</v>
      </c>
      <c r="B14016" s="27" t="s">
        <v>1124</v>
      </c>
      <c r="D14016" s="27" t="s">
        <v>1859</v>
      </c>
      <c r="F14016" s="27" t="s">
        <v>938</v>
      </c>
      <c r="G14016" s="27" t="s">
        <v>939</v>
      </c>
      <c r="H14016" s="27" t="s">
        <v>945</v>
      </c>
      <c r="J14016" s="27" t="s">
        <v>238</v>
      </c>
      <c r="L14016" s="27" t="s">
        <v>346</v>
      </c>
      <c r="M14016" s="27" t="s">
        <v>3576</v>
      </c>
      <c r="N14016" s="27" t="s">
        <v>640</v>
      </c>
      <c r="P14016" s="27" t="s">
        <v>22059</v>
      </c>
      <c r="Q14016" s="26" t="str">
        <f>HYPERLINK("https://ictv.global/taxonomy/taxondetails?taxnode_id=202522860&amp;ictv_id=ICTV202522860","ICTV202522860")</f>
        <v>ICTV202522860</v>
      </c>
      <c r="R14016" t="s">
        <v>580</v>
      </c>
      <c r="S14016" t="s">
        <v>823</v>
      </c>
      <c r="T14016">
        <v>41</v>
      </c>
      <c r="U14016" s="26" t="str">
        <f>HYPERLINK("https://ictv.global/ictv/proposals/2025.027P.Rhabdoviridae_Dichorhavirus_2nsp.zip","2025.027P.Rhabdoviridae_Dichorhavirus_2nsp.zip")</f>
        <v>2025.027P.Rhabdoviridae_Dichorhavirus_2nsp.zip</v>
      </c>
    </row>
    <row r="14017" spans="1:21">
      <c r="A14017">
        <v>14016</v>
      </c>
      <c r="B14017" s="27" t="s">
        <v>1124</v>
      </c>
      <c r="D14017" s="27" t="s">
        <v>1859</v>
      </c>
      <c r="F14017" s="27" t="s">
        <v>938</v>
      </c>
      <c r="G14017" s="27" t="s">
        <v>939</v>
      </c>
      <c r="H14017" s="27" t="s">
        <v>945</v>
      </c>
      <c r="J14017" s="27" t="s">
        <v>238</v>
      </c>
      <c r="L14017" s="27" t="s">
        <v>346</v>
      </c>
      <c r="M14017" s="27" t="s">
        <v>3576</v>
      </c>
      <c r="N14017" s="27" t="s">
        <v>640</v>
      </c>
      <c r="P14017" s="27" t="s">
        <v>9751</v>
      </c>
      <c r="Q14017" s="26" t="str">
        <f>HYPERLINK("https://ictv.global/taxonomy/taxondetails?taxnode_id=202506289&amp;ictv_id=ICTV201856289","ICTV201856289")</f>
        <v>ICTV201856289</v>
      </c>
      <c r="R14017" t="s">
        <v>580</v>
      </c>
      <c r="S14017" t="s">
        <v>824</v>
      </c>
      <c r="T14017">
        <v>37</v>
      </c>
      <c r="U14017" s="26" t="str">
        <f>HYPERLINK("https://ictv.global/ictv/proposals/2021.036M.R.Rhabdoviridae_sprename.zip","2021.036M.R.Rhabdoviridae_sprename.zip")</f>
        <v>2021.036M.R.Rhabdoviridae_sprename.zip</v>
      </c>
    </row>
    <row r="14018" spans="1:21">
      <c r="A14018">
        <v>14017</v>
      </c>
      <c r="B14018" s="27" t="s">
        <v>1124</v>
      </c>
      <c r="D14018" s="27" t="s">
        <v>1859</v>
      </c>
      <c r="F14018" s="27" t="s">
        <v>938</v>
      </c>
      <c r="G14018" s="27" t="s">
        <v>939</v>
      </c>
      <c r="H14018" s="27" t="s">
        <v>945</v>
      </c>
      <c r="J14018" s="27" t="s">
        <v>238</v>
      </c>
      <c r="L14018" s="27" t="s">
        <v>346</v>
      </c>
      <c r="M14018" s="27" t="s">
        <v>3576</v>
      </c>
      <c r="N14018" s="27" t="s">
        <v>640</v>
      </c>
      <c r="P14018" s="27" t="s">
        <v>9752</v>
      </c>
      <c r="Q14018" s="26" t="str">
        <f>HYPERLINK("https://ictv.global/taxonomy/taxondetails?taxnode_id=202506288&amp;ictv_id=ICTV201856288","ICTV201856288")</f>
        <v>ICTV201856288</v>
      </c>
      <c r="R14018" t="s">
        <v>580</v>
      </c>
      <c r="S14018" t="s">
        <v>824</v>
      </c>
      <c r="T14018">
        <v>37</v>
      </c>
      <c r="U14018" s="26" t="str">
        <f>HYPERLINK("https://ictv.global/ictv/proposals/2021.036M.R.Rhabdoviridae_sprename.zip","2021.036M.R.Rhabdoviridae_sprename.zip")</f>
        <v>2021.036M.R.Rhabdoviridae_sprename.zip</v>
      </c>
    </row>
    <row r="14019" spans="1:21">
      <c r="A14019">
        <v>14018</v>
      </c>
      <c r="B14019" s="27" t="s">
        <v>1124</v>
      </c>
      <c r="D14019" s="27" t="s">
        <v>1859</v>
      </c>
      <c r="F14019" s="27" t="s">
        <v>938</v>
      </c>
      <c r="G14019" s="27" t="s">
        <v>939</v>
      </c>
      <c r="H14019" s="27" t="s">
        <v>945</v>
      </c>
      <c r="J14019" s="27" t="s">
        <v>238</v>
      </c>
      <c r="L14019" s="27" t="s">
        <v>346</v>
      </c>
      <c r="M14019" s="27" t="s">
        <v>3576</v>
      </c>
      <c r="N14019" s="27" t="s">
        <v>640</v>
      </c>
      <c r="P14019" s="27" t="s">
        <v>9753</v>
      </c>
      <c r="Q14019" s="26" t="str">
        <f>HYPERLINK("https://ictv.global/taxonomy/taxondetails?taxnode_id=202501679&amp;ictv_id=ICTV20151161","ICTV20151161")</f>
        <v>ICTV20151161</v>
      </c>
      <c r="R14019" t="s">
        <v>580</v>
      </c>
      <c r="S14019" t="s">
        <v>824</v>
      </c>
      <c r="T14019">
        <v>37</v>
      </c>
      <c r="U14019" s="26" t="str">
        <f>HYPERLINK("https://ictv.global/ictv/proposals/2021.036M.R.Rhabdoviridae_sprename.zip","2021.036M.R.Rhabdoviridae_sprename.zip")</f>
        <v>2021.036M.R.Rhabdoviridae_sprename.zip</v>
      </c>
    </row>
    <row r="14020" spans="1:21">
      <c r="A14020">
        <v>14019</v>
      </c>
      <c r="B14020" s="27" t="s">
        <v>1124</v>
      </c>
      <c r="D14020" s="27" t="s">
        <v>1859</v>
      </c>
      <c r="F14020" s="27" t="s">
        <v>938</v>
      </c>
      <c r="G14020" s="27" t="s">
        <v>939</v>
      </c>
      <c r="H14020" s="27" t="s">
        <v>945</v>
      </c>
      <c r="J14020" s="27" t="s">
        <v>238</v>
      </c>
      <c r="L14020" s="27" t="s">
        <v>346</v>
      </c>
      <c r="M14020" s="27" t="s">
        <v>3576</v>
      </c>
      <c r="N14020" s="27" t="s">
        <v>640</v>
      </c>
      <c r="P14020" s="27" t="s">
        <v>9754</v>
      </c>
      <c r="Q14020" s="26" t="str">
        <f>HYPERLINK("https://ictv.global/taxonomy/taxondetails?taxnode_id=202506287&amp;ictv_id=ICTV201856287","ICTV201856287")</f>
        <v>ICTV201856287</v>
      </c>
      <c r="R14020" t="s">
        <v>580</v>
      </c>
      <c r="S14020" t="s">
        <v>824</v>
      </c>
      <c r="T14020">
        <v>37</v>
      </c>
      <c r="U14020" s="26" t="str">
        <f>HYPERLINK("https://ictv.global/ictv/proposals/2021.036M.R.Rhabdoviridae_sprename.zip","2021.036M.R.Rhabdoviridae_sprename.zip")</f>
        <v>2021.036M.R.Rhabdoviridae_sprename.zip</v>
      </c>
    </row>
    <row r="14021" spans="1:21">
      <c r="A14021">
        <v>14020</v>
      </c>
      <c r="B14021" s="27" t="s">
        <v>1124</v>
      </c>
      <c r="D14021" s="27" t="s">
        <v>1859</v>
      </c>
      <c r="F14021" s="27" t="s">
        <v>938</v>
      </c>
      <c r="G14021" s="27" t="s">
        <v>939</v>
      </c>
      <c r="H14021" s="27" t="s">
        <v>945</v>
      </c>
      <c r="J14021" s="27" t="s">
        <v>238</v>
      </c>
      <c r="L14021" s="27" t="s">
        <v>346</v>
      </c>
      <c r="M14021" s="27" t="s">
        <v>3576</v>
      </c>
      <c r="N14021" s="27" t="s">
        <v>640</v>
      </c>
      <c r="P14021" s="27" t="s">
        <v>9755</v>
      </c>
      <c r="Q14021" s="26" t="str">
        <f>HYPERLINK("https://ictv.global/taxonomy/taxondetails?taxnode_id=202501680&amp;ictv_id=ICTV20151160","ICTV20151160")</f>
        <v>ICTV20151160</v>
      </c>
      <c r="R14021" t="s">
        <v>580</v>
      </c>
      <c r="S14021" t="s">
        <v>824</v>
      </c>
      <c r="T14021">
        <v>37</v>
      </c>
      <c r="U14021" s="26" t="str">
        <f>HYPERLINK("https://ictv.global/ictv/proposals/2021.036M.R.Rhabdoviridae_sprename.zip","2021.036M.R.Rhabdoviridae_sprename.zip")</f>
        <v>2021.036M.R.Rhabdoviridae_sprename.zip</v>
      </c>
    </row>
    <row r="14022" spans="1:21">
      <c r="A14022">
        <v>14021</v>
      </c>
      <c r="B14022" s="27" t="s">
        <v>1124</v>
      </c>
      <c r="D14022" s="27" t="s">
        <v>1859</v>
      </c>
      <c r="F14022" s="27" t="s">
        <v>938</v>
      </c>
      <c r="G14022" s="27" t="s">
        <v>939</v>
      </c>
      <c r="H14022" s="27" t="s">
        <v>945</v>
      </c>
      <c r="J14022" s="27" t="s">
        <v>238</v>
      </c>
      <c r="L14022" s="27" t="s">
        <v>346</v>
      </c>
      <c r="M14022" s="27" t="s">
        <v>3576</v>
      </c>
      <c r="N14022" s="27" t="s">
        <v>640</v>
      </c>
      <c r="P14022" s="27" t="s">
        <v>22060</v>
      </c>
      <c r="Q14022" s="26" t="str">
        <f>HYPERLINK("https://ictv.global/taxonomy/taxondetails?taxnode_id=202522861&amp;ictv_id=ICTV202522861","ICTV202522861")</f>
        <v>ICTV202522861</v>
      </c>
      <c r="R14022" t="s">
        <v>580</v>
      </c>
      <c r="S14022" t="s">
        <v>823</v>
      </c>
      <c r="T14022">
        <v>41</v>
      </c>
      <c r="U14022" s="26" t="str">
        <f>HYPERLINK("https://ictv.global/ictv/proposals/2025.027P.Rhabdoviridae_Dichorhavirus_2nsp.zip","2025.027P.Rhabdoviridae_Dichorhavirus_2nsp.zip")</f>
        <v>2025.027P.Rhabdoviridae_Dichorhavirus_2nsp.zip</v>
      </c>
    </row>
    <row r="14023" spans="1:21">
      <c r="A14023">
        <v>14022</v>
      </c>
      <c r="B14023" s="27" t="s">
        <v>1124</v>
      </c>
      <c r="D14023" s="27" t="s">
        <v>1859</v>
      </c>
      <c r="F14023" s="27" t="s">
        <v>938</v>
      </c>
      <c r="G14023" s="27" t="s">
        <v>939</v>
      </c>
      <c r="H14023" s="27" t="s">
        <v>945</v>
      </c>
      <c r="J14023" s="27" t="s">
        <v>238</v>
      </c>
      <c r="L14023" s="27" t="s">
        <v>346</v>
      </c>
      <c r="M14023" s="27" t="s">
        <v>3576</v>
      </c>
      <c r="N14023" s="27" t="s">
        <v>20384</v>
      </c>
      <c r="P14023" s="27" t="s">
        <v>20385</v>
      </c>
      <c r="Q14023" s="26" t="str">
        <f>HYPERLINK("https://ictv.global/taxonomy/taxondetails?taxnode_id=202520717&amp;ictv_id=ICTV202420717","ICTV202420717")</f>
        <v>ICTV202420717</v>
      </c>
      <c r="R14023" t="s">
        <v>580</v>
      </c>
      <c r="S14023" t="s">
        <v>823</v>
      </c>
      <c r="T14023">
        <v>40</v>
      </c>
      <c r="U14023" s="26" t="str">
        <f t="shared" ref="U14023:U14040" si="522">HYPERLINK("https://ictv.global/ictv/proposals/2024.015P.Rhabdoviridae_Cytorhabdovirus_splitgen.zip","2024.015P.Rhabdoviridae_Cytorhabdovirus_splitgen.zip")</f>
        <v>2024.015P.Rhabdoviridae_Cytorhabdovirus_splitgen.zip</v>
      </c>
    </row>
    <row r="14024" spans="1:21">
      <c r="A14024">
        <v>14023</v>
      </c>
      <c r="B14024" s="27" t="s">
        <v>1124</v>
      </c>
      <c r="D14024" s="27" t="s">
        <v>1859</v>
      </c>
      <c r="F14024" s="27" t="s">
        <v>938</v>
      </c>
      <c r="G14024" s="27" t="s">
        <v>939</v>
      </c>
      <c r="H14024" s="27" t="s">
        <v>945</v>
      </c>
      <c r="J14024" s="27" t="s">
        <v>238</v>
      </c>
      <c r="L14024" s="27" t="s">
        <v>346</v>
      </c>
      <c r="M14024" s="27" t="s">
        <v>3576</v>
      </c>
      <c r="N14024" s="27" t="s">
        <v>20384</v>
      </c>
      <c r="P14024" s="27" t="s">
        <v>20386</v>
      </c>
      <c r="Q14024" s="26" t="str">
        <f>HYPERLINK("https://ictv.global/taxonomy/taxondetails?taxnode_id=202520721&amp;ictv_id=ICTV202420721","ICTV202420721")</f>
        <v>ICTV202420721</v>
      </c>
      <c r="R14024" t="s">
        <v>580</v>
      </c>
      <c r="S14024" t="s">
        <v>823</v>
      </c>
      <c r="T14024">
        <v>40</v>
      </c>
      <c r="U14024" s="26" t="str">
        <f t="shared" si="522"/>
        <v>2024.015P.Rhabdoviridae_Cytorhabdovirus_splitgen.zip</v>
      </c>
    </row>
    <row r="14025" spans="1:21">
      <c r="A14025">
        <v>14024</v>
      </c>
      <c r="B14025" s="27" t="s">
        <v>1124</v>
      </c>
      <c r="D14025" s="27" t="s">
        <v>1859</v>
      </c>
      <c r="F14025" s="27" t="s">
        <v>938</v>
      </c>
      <c r="G14025" s="27" t="s">
        <v>939</v>
      </c>
      <c r="H14025" s="27" t="s">
        <v>945</v>
      </c>
      <c r="J14025" s="27" t="s">
        <v>238</v>
      </c>
      <c r="L14025" s="27" t="s">
        <v>346</v>
      </c>
      <c r="M14025" s="27" t="s">
        <v>3576</v>
      </c>
      <c r="N14025" s="27" t="s">
        <v>20384</v>
      </c>
      <c r="P14025" s="27" t="s">
        <v>20387</v>
      </c>
      <c r="Q14025" s="26" t="str">
        <f>HYPERLINK("https://ictv.global/taxonomy/taxondetails?taxnode_id=202520715&amp;ictv_id=ICTV202420715","ICTV202420715")</f>
        <v>ICTV202420715</v>
      </c>
      <c r="R14025" t="s">
        <v>580</v>
      </c>
      <c r="S14025" t="s">
        <v>823</v>
      </c>
      <c r="T14025">
        <v>40</v>
      </c>
      <c r="U14025" s="26" t="str">
        <f t="shared" si="522"/>
        <v>2024.015P.Rhabdoviridae_Cytorhabdovirus_splitgen.zip</v>
      </c>
    </row>
    <row r="14026" spans="1:21">
      <c r="A14026">
        <v>14025</v>
      </c>
      <c r="B14026" s="27" t="s">
        <v>1124</v>
      </c>
      <c r="D14026" s="27" t="s">
        <v>1859</v>
      </c>
      <c r="F14026" s="27" t="s">
        <v>938</v>
      </c>
      <c r="G14026" s="27" t="s">
        <v>939</v>
      </c>
      <c r="H14026" s="27" t="s">
        <v>945</v>
      </c>
      <c r="J14026" s="27" t="s">
        <v>238</v>
      </c>
      <c r="L14026" s="27" t="s">
        <v>346</v>
      </c>
      <c r="M14026" s="27" t="s">
        <v>3576</v>
      </c>
      <c r="N14026" s="27" t="s">
        <v>20384</v>
      </c>
      <c r="P14026" s="27" t="s">
        <v>20388</v>
      </c>
      <c r="Q14026" s="26" t="str">
        <f>HYPERLINK("https://ictv.global/taxonomy/taxondetails?taxnode_id=202520713&amp;ictv_id=ICTV202420713","ICTV202420713")</f>
        <v>ICTV202420713</v>
      </c>
      <c r="R14026" t="s">
        <v>580</v>
      </c>
      <c r="S14026" t="s">
        <v>823</v>
      </c>
      <c r="T14026">
        <v>40</v>
      </c>
      <c r="U14026" s="26" t="str">
        <f t="shared" si="522"/>
        <v>2024.015P.Rhabdoviridae_Cytorhabdovirus_splitgen.zip</v>
      </c>
    </row>
    <row r="14027" spans="1:21">
      <c r="A14027">
        <v>14026</v>
      </c>
      <c r="B14027" s="27" t="s">
        <v>1124</v>
      </c>
      <c r="D14027" s="27" t="s">
        <v>1859</v>
      </c>
      <c r="F14027" s="27" t="s">
        <v>938</v>
      </c>
      <c r="G14027" s="27" t="s">
        <v>939</v>
      </c>
      <c r="H14027" s="27" t="s">
        <v>945</v>
      </c>
      <c r="J14027" s="27" t="s">
        <v>238</v>
      </c>
      <c r="L14027" s="27" t="s">
        <v>346</v>
      </c>
      <c r="M14027" s="27" t="s">
        <v>3576</v>
      </c>
      <c r="N14027" s="27" t="s">
        <v>20384</v>
      </c>
      <c r="P14027" s="27" t="s">
        <v>20389</v>
      </c>
      <c r="Q14027" s="26" t="str">
        <f>HYPERLINK("https://ictv.global/taxonomy/taxondetails?taxnode_id=202520718&amp;ictv_id=ICTV202420718","ICTV202420718")</f>
        <v>ICTV202420718</v>
      </c>
      <c r="R14027" t="s">
        <v>580</v>
      </c>
      <c r="S14027" t="s">
        <v>823</v>
      </c>
      <c r="T14027">
        <v>40</v>
      </c>
      <c r="U14027" s="26" t="str">
        <f t="shared" si="522"/>
        <v>2024.015P.Rhabdoviridae_Cytorhabdovirus_splitgen.zip</v>
      </c>
    </row>
    <row r="14028" spans="1:21">
      <c r="A14028">
        <v>14027</v>
      </c>
      <c r="B14028" s="27" t="s">
        <v>1124</v>
      </c>
      <c r="D14028" s="27" t="s">
        <v>1859</v>
      </c>
      <c r="F14028" s="27" t="s">
        <v>938</v>
      </c>
      <c r="G14028" s="27" t="s">
        <v>939</v>
      </c>
      <c r="H14028" s="27" t="s">
        <v>945</v>
      </c>
      <c r="J14028" s="27" t="s">
        <v>238</v>
      </c>
      <c r="L14028" s="27" t="s">
        <v>346</v>
      </c>
      <c r="M14028" s="27" t="s">
        <v>3576</v>
      </c>
      <c r="N14028" s="27" t="s">
        <v>20384</v>
      </c>
      <c r="P14028" s="27" t="s">
        <v>20390</v>
      </c>
      <c r="Q14028" s="26" t="str">
        <f>HYPERLINK("https://ictv.global/taxonomy/taxondetails?taxnode_id=202520722&amp;ictv_id=ICTV202420722","ICTV202420722")</f>
        <v>ICTV202420722</v>
      </c>
      <c r="R14028" t="s">
        <v>580</v>
      </c>
      <c r="S14028" t="s">
        <v>823</v>
      </c>
      <c r="T14028">
        <v>40</v>
      </c>
      <c r="U14028" s="26" t="str">
        <f t="shared" si="522"/>
        <v>2024.015P.Rhabdoviridae_Cytorhabdovirus_splitgen.zip</v>
      </c>
    </row>
    <row r="14029" spans="1:21">
      <c r="A14029">
        <v>14028</v>
      </c>
      <c r="B14029" s="27" t="s">
        <v>1124</v>
      </c>
      <c r="D14029" s="27" t="s">
        <v>1859</v>
      </c>
      <c r="F14029" s="27" t="s">
        <v>938</v>
      </c>
      <c r="G14029" s="27" t="s">
        <v>939</v>
      </c>
      <c r="H14029" s="27" t="s">
        <v>945</v>
      </c>
      <c r="J14029" s="27" t="s">
        <v>238</v>
      </c>
      <c r="L14029" s="27" t="s">
        <v>346</v>
      </c>
      <c r="M14029" s="27" t="s">
        <v>3576</v>
      </c>
      <c r="N14029" s="27" t="s">
        <v>20384</v>
      </c>
      <c r="P14029" s="27" t="s">
        <v>20391</v>
      </c>
      <c r="Q14029" s="26" t="str">
        <f>HYPERLINK("https://ictv.global/taxonomy/taxondetails?taxnode_id=202520716&amp;ictv_id=ICTV202420716","ICTV202420716")</f>
        <v>ICTV202420716</v>
      </c>
      <c r="R14029" t="s">
        <v>580</v>
      </c>
      <c r="S14029" t="s">
        <v>823</v>
      </c>
      <c r="T14029">
        <v>40</v>
      </c>
      <c r="U14029" s="26" t="str">
        <f t="shared" si="522"/>
        <v>2024.015P.Rhabdoviridae_Cytorhabdovirus_splitgen.zip</v>
      </c>
    </row>
    <row r="14030" spans="1:21">
      <c r="A14030">
        <v>14029</v>
      </c>
      <c r="B14030" s="27" t="s">
        <v>1124</v>
      </c>
      <c r="D14030" s="27" t="s">
        <v>1859</v>
      </c>
      <c r="F14030" s="27" t="s">
        <v>938</v>
      </c>
      <c r="G14030" s="27" t="s">
        <v>939</v>
      </c>
      <c r="H14030" s="27" t="s">
        <v>945</v>
      </c>
      <c r="J14030" s="27" t="s">
        <v>238</v>
      </c>
      <c r="L14030" s="27" t="s">
        <v>346</v>
      </c>
      <c r="M14030" s="27" t="s">
        <v>3576</v>
      </c>
      <c r="N14030" s="27" t="s">
        <v>20384</v>
      </c>
      <c r="P14030" s="27" t="s">
        <v>20392</v>
      </c>
      <c r="Q14030" s="26" t="str">
        <f>HYPERLINK("https://ictv.global/taxonomy/taxondetails?taxnode_id=202520719&amp;ictv_id=ICTV202420719","ICTV202420719")</f>
        <v>ICTV202420719</v>
      </c>
      <c r="R14030" t="s">
        <v>580</v>
      </c>
      <c r="S14030" t="s">
        <v>823</v>
      </c>
      <c r="T14030">
        <v>40</v>
      </c>
      <c r="U14030" s="26" t="str">
        <f t="shared" si="522"/>
        <v>2024.015P.Rhabdoviridae_Cytorhabdovirus_splitgen.zip</v>
      </c>
    </row>
    <row r="14031" spans="1:21">
      <c r="A14031">
        <v>14030</v>
      </c>
      <c r="B14031" s="27" t="s">
        <v>1124</v>
      </c>
      <c r="D14031" s="27" t="s">
        <v>1859</v>
      </c>
      <c r="F14031" s="27" t="s">
        <v>938</v>
      </c>
      <c r="G14031" s="27" t="s">
        <v>939</v>
      </c>
      <c r="H14031" s="27" t="s">
        <v>945</v>
      </c>
      <c r="J14031" s="27" t="s">
        <v>238</v>
      </c>
      <c r="L14031" s="27" t="s">
        <v>346</v>
      </c>
      <c r="M14031" s="27" t="s">
        <v>3576</v>
      </c>
      <c r="N14031" s="27" t="s">
        <v>20384</v>
      </c>
      <c r="P14031" s="27" t="s">
        <v>20393</v>
      </c>
      <c r="Q14031" s="26" t="str">
        <f>HYPERLINK("https://ictv.global/taxonomy/taxondetails?taxnode_id=202520714&amp;ictv_id=ICTV202420714","ICTV202420714")</f>
        <v>ICTV202420714</v>
      </c>
      <c r="R14031" t="s">
        <v>580</v>
      </c>
      <c r="S14031" t="s">
        <v>823</v>
      </c>
      <c r="T14031">
        <v>40</v>
      </c>
      <c r="U14031" s="26" t="str">
        <f t="shared" si="522"/>
        <v>2024.015P.Rhabdoviridae_Cytorhabdovirus_splitgen.zip</v>
      </c>
    </row>
    <row r="14032" spans="1:21">
      <c r="A14032">
        <v>14031</v>
      </c>
      <c r="B14032" s="27" t="s">
        <v>1124</v>
      </c>
      <c r="D14032" s="27" t="s">
        <v>1859</v>
      </c>
      <c r="F14032" s="27" t="s">
        <v>938</v>
      </c>
      <c r="G14032" s="27" t="s">
        <v>939</v>
      </c>
      <c r="H14032" s="27" t="s">
        <v>945</v>
      </c>
      <c r="J14032" s="27" t="s">
        <v>238</v>
      </c>
      <c r="L14032" s="27" t="s">
        <v>346</v>
      </c>
      <c r="M14032" s="27" t="s">
        <v>3576</v>
      </c>
      <c r="N14032" s="27" t="s">
        <v>20384</v>
      </c>
      <c r="P14032" s="27" t="s">
        <v>20394</v>
      </c>
      <c r="Q14032" s="26" t="str">
        <f>HYPERLINK("https://ictv.global/taxonomy/taxondetails?taxnode_id=202520720&amp;ictv_id=ICTV202420720","ICTV202420720")</f>
        <v>ICTV202420720</v>
      </c>
      <c r="R14032" t="s">
        <v>580</v>
      </c>
      <c r="S14032" t="s">
        <v>823</v>
      </c>
      <c r="T14032">
        <v>40</v>
      </c>
      <c r="U14032" s="26" t="str">
        <f t="shared" si="522"/>
        <v>2024.015P.Rhabdoviridae_Cytorhabdovirus_splitgen.zip</v>
      </c>
    </row>
    <row r="14033" spans="1:21">
      <c r="A14033">
        <v>14032</v>
      </c>
      <c r="B14033" s="27" t="s">
        <v>1124</v>
      </c>
      <c r="D14033" s="27" t="s">
        <v>1859</v>
      </c>
      <c r="F14033" s="27" t="s">
        <v>938</v>
      </c>
      <c r="G14033" s="27" t="s">
        <v>939</v>
      </c>
      <c r="H14033" s="27" t="s">
        <v>945</v>
      </c>
      <c r="J14033" s="27" t="s">
        <v>238</v>
      </c>
      <c r="L14033" s="27" t="s">
        <v>346</v>
      </c>
      <c r="M14033" s="27" t="s">
        <v>3576</v>
      </c>
      <c r="N14033" s="27" t="s">
        <v>20384</v>
      </c>
      <c r="P14033" s="27" t="s">
        <v>20395</v>
      </c>
      <c r="Q14033" s="26" t="str">
        <f>HYPERLINK("https://ictv.global/taxonomy/taxondetails?taxnode_id=202514171&amp;ictv_id=ICTV202214171","ICTV202214171")</f>
        <v>ICTV202214171</v>
      </c>
      <c r="R14033" t="s">
        <v>580</v>
      </c>
      <c r="S14033" t="s">
        <v>22764</v>
      </c>
      <c r="T14033">
        <v>40</v>
      </c>
      <c r="U14033" s="26" t="str">
        <f t="shared" si="522"/>
        <v>2024.015P.Rhabdoviridae_Cytorhabdovirus_splitgen.zip</v>
      </c>
    </row>
    <row r="14034" spans="1:21">
      <c r="A14034">
        <v>14033</v>
      </c>
      <c r="B14034" s="27" t="s">
        <v>1124</v>
      </c>
      <c r="D14034" s="27" t="s">
        <v>1859</v>
      </c>
      <c r="F14034" s="27" t="s">
        <v>938</v>
      </c>
      <c r="G14034" s="27" t="s">
        <v>939</v>
      </c>
      <c r="H14034" s="27" t="s">
        <v>945</v>
      </c>
      <c r="J14034" s="27" t="s">
        <v>238</v>
      </c>
      <c r="L14034" s="27" t="s">
        <v>346</v>
      </c>
      <c r="M14034" s="27" t="s">
        <v>3576</v>
      </c>
      <c r="N14034" s="27" t="s">
        <v>20384</v>
      </c>
      <c r="P14034" s="27" t="s">
        <v>20396</v>
      </c>
      <c r="Q14034" s="26" t="str">
        <f>HYPERLINK("https://ictv.global/taxonomy/taxondetails?taxnode_id=202520723&amp;ictv_id=ICTV202420723","ICTV202420723")</f>
        <v>ICTV202420723</v>
      </c>
      <c r="R14034" t="s">
        <v>580</v>
      </c>
      <c r="S14034" t="s">
        <v>823</v>
      </c>
      <c r="T14034">
        <v>40</v>
      </c>
      <c r="U14034" s="26" t="str">
        <f t="shared" si="522"/>
        <v>2024.015P.Rhabdoviridae_Cytorhabdovirus_splitgen.zip</v>
      </c>
    </row>
    <row r="14035" spans="1:21">
      <c r="A14035">
        <v>14034</v>
      </c>
      <c r="B14035" s="27" t="s">
        <v>1124</v>
      </c>
      <c r="D14035" s="27" t="s">
        <v>1859</v>
      </c>
      <c r="F14035" s="27" t="s">
        <v>938</v>
      </c>
      <c r="G14035" s="27" t="s">
        <v>939</v>
      </c>
      <c r="H14035" s="27" t="s">
        <v>945</v>
      </c>
      <c r="J14035" s="27" t="s">
        <v>238</v>
      </c>
      <c r="L14035" s="27" t="s">
        <v>346</v>
      </c>
      <c r="M14035" s="27" t="s">
        <v>3576</v>
      </c>
      <c r="N14035" s="27" t="s">
        <v>20384</v>
      </c>
      <c r="P14035" s="27" t="s">
        <v>20397</v>
      </c>
      <c r="Q14035" s="26" t="str">
        <f>HYPERLINK("https://ictv.global/taxonomy/taxondetails?taxnode_id=202520724&amp;ictv_id=ICTV202420724","ICTV202420724")</f>
        <v>ICTV202420724</v>
      </c>
      <c r="R14035" t="s">
        <v>580</v>
      </c>
      <c r="S14035" t="s">
        <v>823</v>
      </c>
      <c r="T14035">
        <v>40</v>
      </c>
      <c r="U14035" s="26" t="str">
        <f t="shared" si="522"/>
        <v>2024.015P.Rhabdoviridae_Cytorhabdovirus_splitgen.zip</v>
      </c>
    </row>
    <row r="14036" spans="1:21">
      <c r="A14036">
        <v>14035</v>
      </c>
      <c r="B14036" s="27" t="s">
        <v>1124</v>
      </c>
      <c r="D14036" s="27" t="s">
        <v>1859</v>
      </c>
      <c r="F14036" s="27" t="s">
        <v>938</v>
      </c>
      <c r="G14036" s="27" t="s">
        <v>939</v>
      </c>
      <c r="H14036" s="27" t="s">
        <v>945</v>
      </c>
      <c r="J14036" s="27" t="s">
        <v>238</v>
      </c>
      <c r="L14036" s="27" t="s">
        <v>346</v>
      </c>
      <c r="M14036" s="27" t="s">
        <v>3576</v>
      </c>
      <c r="N14036" s="27" t="s">
        <v>20384</v>
      </c>
      <c r="P14036" s="27" t="s">
        <v>20398</v>
      </c>
      <c r="Q14036" s="26" t="str">
        <f>HYPERLINK("https://ictv.global/taxonomy/taxondetails?taxnode_id=202520725&amp;ictv_id=ICTV202420725","ICTV202420725")</f>
        <v>ICTV202420725</v>
      </c>
      <c r="R14036" t="s">
        <v>580</v>
      </c>
      <c r="S14036" t="s">
        <v>823</v>
      </c>
      <c r="T14036">
        <v>40</v>
      </c>
      <c r="U14036" s="26" t="str">
        <f t="shared" si="522"/>
        <v>2024.015P.Rhabdoviridae_Cytorhabdovirus_splitgen.zip</v>
      </c>
    </row>
    <row r="14037" spans="1:21">
      <c r="A14037">
        <v>14036</v>
      </c>
      <c r="B14037" s="27" t="s">
        <v>1124</v>
      </c>
      <c r="D14037" s="27" t="s">
        <v>1859</v>
      </c>
      <c r="F14037" s="27" t="s">
        <v>938</v>
      </c>
      <c r="G14037" s="27" t="s">
        <v>939</v>
      </c>
      <c r="H14037" s="27" t="s">
        <v>945</v>
      </c>
      <c r="J14037" s="27" t="s">
        <v>238</v>
      </c>
      <c r="L14037" s="27" t="s">
        <v>346</v>
      </c>
      <c r="M14037" s="27" t="s">
        <v>3576</v>
      </c>
      <c r="N14037" s="27" t="s">
        <v>20384</v>
      </c>
      <c r="P14037" s="27" t="s">
        <v>20399</v>
      </c>
      <c r="Q14037" s="26" t="str">
        <f>HYPERLINK("https://ictv.global/taxonomy/taxondetails?taxnode_id=202520726&amp;ictv_id=ICTV202420726","ICTV202420726")</f>
        <v>ICTV202420726</v>
      </c>
      <c r="R14037" t="s">
        <v>580</v>
      </c>
      <c r="S14037" t="s">
        <v>823</v>
      </c>
      <c r="T14037">
        <v>40</v>
      </c>
      <c r="U14037" s="26" t="str">
        <f t="shared" si="522"/>
        <v>2024.015P.Rhabdoviridae_Cytorhabdovirus_splitgen.zip</v>
      </c>
    </row>
    <row r="14038" spans="1:21">
      <c r="A14038">
        <v>14037</v>
      </c>
      <c r="B14038" s="27" t="s">
        <v>1124</v>
      </c>
      <c r="D14038" s="27" t="s">
        <v>1859</v>
      </c>
      <c r="F14038" s="27" t="s">
        <v>938</v>
      </c>
      <c r="G14038" s="27" t="s">
        <v>939</v>
      </c>
      <c r="H14038" s="27" t="s">
        <v>945</v>
      </c>
      <c r="J14038" s="27" t="s">
        <v>238</v>
      </c>
      <c r="L14038" s="27" t="s">
        <v>346</v>
      </c>
      <c r="M14038" s="27" t="s">
        <v>3576</v>
      </c>
      <c r="N14038" s="27" t="s">
        <v>20384</v>
      </c>
      <c r="P14038" s="27" t="s">
        <v>20400</v>
      </c>
      <c r="Q14038" s="26" t="str">
        <f>HYPERLINK("https://ictv.global/taxonomy/taxondetails?taxnode_id=202520727&amp;ictv_id=ICTV202420727","ICTV202420727")</f>
        <v>ICTV202420727</v>
      </c>
      <c r="R14038" t="s">
        <v>580</v>
      </c>
      <c r="S14038" t="s">
        <v>823</v>
      </c>
      <c r="T14038">
        <v>40</v>
      </c>
      <c r="U14038" s="26" t="str">
        <f t="shared" si="522"/>
        <v>2024.015P.Rhabdoviridae_Cytorhabdovirus_splitgen.zip</v>
      </c>
    </row>
    <row r="14039" spans="1:21">
      <c r="A14039">
        <v>14038</v>
      </c>
      <c r="B14039" s="27" t="s">
        <v>1124</v>
      </c>
      <c r="D14039" s="27" t="s">
        <v>1859</v>
      </c>
      <c r="F14039" s="27" t="s">
        <v>938</v>
      </c>
      <c r="G14039" s="27" t="s">
        <v>939</v>
      </c>
      <c r="H14039" s="27" t="s">
        <v>945</v>
      </c>
      <c r="J14039" s="27" t="s">
        <v>238</v>
      </c>
      <c r="L14039" s="27" t="s">
        <v>346</v>
      </c>
      <c r="M14039" s="27" t="s">
        <v>3576</v>
      </c>
      <c r="N14039" s="27" t="s">
        <v>20384</v>
      </c>
      <c r="P14039" s="27" t="s">
        <v>20401</v>
      </c>
      <c r="Q14039" s="26" t="str">
        <f>HYPERLINK("https://ictv.global/taxonomy/taxondetails?taxnode_id=202520728&amp;ictv_id=ICTV202420728","ICTV202420728")</f>
        <v>ICTV202420728</v>
      </c>
      <c r="R14039" t="s">
        <v>580</v>
      </c>
      <c r="S14039" t="s">
        <v>823</v>
      </c>
      <c r="T14039">
        <v>40</v>
      </c>
      <c r="U14039" s="26" t="str">
        <f t="shared" si="522"/>
        <v>2024.015P.Rhabdoviridae_Cytorhabdovirus_splitgen.zip</v>
      </c>
    </row>
    <row r="14040" spans="1:21">
      <c r="A14040">
        <v>14039</v>
      </c>
      <c r="B14040" s="27" t="s">
        <v>1124</v>
      </c>
      <c r="D14040" s="27" t="s">
        <v>1859</v>
      </c>
      <c r="F14040" s="27" t="s">
        <v>938</v>
      </c>
      <c r="G14040" s="27" t="s">
        <v>939</v>
      </c>
      <c r="H14040" s="27" t="s">
        <v>945</v>
      </c>
      <c r="J14040" s="27" t="s">
        <v>238</v>
      </c>
      <c r="L14040" s="27" t="s">
        <v>346</v>
      </c>
      <c r="M14040" s="27" t="s">
        <v>3576</v>
      </c>
      <c r="N14040" s="27" t="s">
        <v>20384</v>
      </c>
      <c r="P14040" s="27" t="s">
        <v>20402</v>
      </c>
      <c r="Q14040" s="26" t="str">
        <f>HYPERLINK("https://ictv.global/taxonomy/taxondetails?taxnode_id=202514175&amp;ictv_id=ICTV202214175","ICTV202214175")</f>
        <v>ICTV202214175</v>
      </c>
      <c r="R14040" t="s">
        <v>580</v>
      </c>
      <c r="S14040" t="s">
        <v>22764</v>
      </c>
      <c r="T14040">
        <v>40</v>
      </c>
      <c r="U14040" s="26" t="str">
        <f t="shared" si="522"/>
        <v>2024.015P.Rhabdoviridae_Cytorhabdovirus_splitgen.zip</v>
      </c>
    </row>
    <row r="14041" spans="1:21">
      <c r="A14041">
        <v>14040</v>
      </c>
      <c r="B14041" s="27" t="s">
        <v>1124</v>
      </c>
      <c r="D14041" s="27" t="s">
        <v>1859</v>
      </c>
      <c r="F14041" s="27" t="s">
        <v>938</v>
      </c>
      <c r="G14041" s="27" t="s">
        <v>939</v>
      </c>
      <c r="H14041" s="27" t="s">
        <v>945</v>
      </c>
      <c r="J14041" s="27" t="s">
        <v>238</v>
      </c>
      <c r="L14041" s="27" t="s">
        <v>346</v>
      </c>
      <c r="M14041" s="27" t="s">
        <v>3576</v>
      </c>
      <c r="N14041" s="27" t="s">
        <v>1898</v>
      </c>
      <c r="P14041" s="27" t="s">
        <v>16927</v>
      </c>
      <c r="Q14041" s="26" t="str">
        <f>HYPERLINK("https://ictv.global/taxonomy/taxondetails?taxnode_id=202518290&amp;ictv_id=ICTV202318290","ICTV202318290")</f>
        <v>ICTV202318290</v>
      </c>
      <c r="R14041" t="s">
        <v>580</v>
      </c>
      <c r="S14041" t="s">
        <v>823</v>
      </c>
      <c r="T14041">
        <v>39</v>
      </c>
      <c r="U14041" s="26" t="str">
        <f>HYPERLINK("https://ictv.global/ictv/proposals/2023.017M.Betarhabdovirinae_1ng_7nsp.zip","2023.017M.Betarhabdovirinae_1ng_7nsp.zip")</f>
        <v>2023.017M.Betarhabdovirinae_1ng_7nsp.zip</v>
      </c>
    </row>
    <row r="14042" spans="1:21">
      <c r="A14042">
        <v>14041</v>
      </c>
      <c r="B14042" s="27" t="s">
        <v>1124</v>
      </c>
      <c r="D14042" s="27" t="s">
        <v>1859</v>
      </c>
      <c r="F14042" s="27" t="s">
        <v>938</v>
      </c>
      <c r="G14042" s="27" t="s">
        <v>939</v>
      </c>
      <c r="H14042" s="27" t="s">
        <v>945</v>
      </c>
      <c r="J14042" s="27" t="s">
        <v>238</v>
      </c>
      <c r="L14042" s="27" t="s">
        <v>346</v>
      </c>
      <c r="M14042" s="27" t="s">
        <v>3576</v>
      </c>
      <c r="N14042" s="27" t="s">
        <v>1898</v>
      </c>
      <c r="P14042" s="27" t="s">
        <v>9756</v>
      </c>
      <c r="Q14042" s="26" t="str">
        <f>HYPERLINK("https://ictv.global/taxonomy/taxondetails?taxnode_id=202501744&amp;ictv_id=ICTV20094940","ICTV20094940")</f>
        <v>ICTV20094940</v>
      </c>
      <c r="R14042" t="s">
        <v>580</v>
      </c>
      <c r="S14042" t="s">
        <v>824</v>
      </c>
      <c r="T14042">
        <v>37</v>
      </c>
      <c r="U14042" s="26" t="str">
        <f>HYPERLINK("https://ictv.global/ictv/proposals/2021.036M.R.Rhabdoviridae_sprename.zip","2021.036M.R.Rhabdoviridae_sprename.zip")</f>
        <v>2021.036M.R.Rhabdoviridae_sprename.zip</v>
      </c>
    </row>
    <row r="14043" spans="1:21">
      <c r="A14043">
        <v>14042</v>
      </c>
      <c r="B14043" s="27" t="s">
        <v>1124</v>
      </c>
      <c r="D14043" s="27" t="s">
        <v>1859</v>
      </c>
      <c r="F14043" s="27" t="s">
        <v>938</v>
      </c>
      <c r="G14043" s="27" t="s">
        <v>939</v>
      </c>
      <c r="H14043" s="27" t="s">
        <v>945</v>
      </c>
      <c r="J14043" s="27" t="s">
        <v>238</v>
      </c>
      <c r="L14043" s="27" t="s">
        <v>346</v>
      </c>
      <c r="M14043" s="27" t="s">
        <v>3576</v>
      </c>
      <c r="N14043" s="27" t="s">
        <v>20403</v>
      </c>
      <c r="P14043" s="27" t="s">
        <v>20404</v>
      </c>
      <c r="Q14043" s="26" t="str">
        <f>HYPERLINK("https://ictv.global/taxonomy/taxondetails?taxnode_id=202520737&amp;ictv_id=ICTV202420737","ICTV202420737")</f>
        <v>ICTV202420737</v>
      </c>
      <c r="R14043" t="s">
        <v>580</v>
      </c>
      <c r="S14043" t="s">
        <v>823</v>
      </c>
      <c r="T14043">
        <v>40</v>
      </c>
      <c r="U14043" s="26" t="str">
        <f>HYPERLINK("https://ictv.global/ictv/proposals/2024.016P.Rhabdoviridae_1ngen_5nsp.zip","2024.016P.Rhabdoviridae_1ngen_5nsp.zip")</f>
        <v>2024.016P.Rhabdoviridae_1ngen_5nsp.zip</v>
      </c>
    </row>
    <row r="14044" spans="1:21">
      <c r="A14044">
        <v>14043</v>
      </c>
      <c r="B14044" s="27" t="s">
        <v>1124</v>
      </c>
      <c r="D14044" s="27" t="s">
        <v>1859</v>
      </c>
      <c r="F14044" s="27" t="s">
        <v>938</v>
      </c>
      <c r="G14044" s="27" t="s">
        <v>939</v>
      </c>
      <c r="H14044" s="27" t="s">
        <v>945</v>
      </c>
      <c r="J14044" s="27" t="s">
        <v>238</v>
      </c>
      <c r="L14044" s="27" t="s">
        <v>346</v>
      </c>
      <c r="M14044" s="27" t="s">
        <v>3576</v>
      </c>
      <c r="N14044" s="27" t="s">
        <v>20403</v>
      </c>
      <c r="P14044" s="27" t="s">
        <v>20405</v>
      </c>
      <c r="Q14044" s="26" t="str">
        <f>HYPERLINK("https://ictv.global/taxonomy/taxondetails?taxnode_id=202520738&amp;ictv_id=ICTV202420738","ICTV202420738")</f>
        <v>ICTV202420738</v>
      </c>
      <c r="R14044" t="s">
        <v>580</v>
      </c>
      <c r="S14044" t="s">
        <v>823</v>
      </c>
      <c r="T14044">
        <v>40</v>
      </c>
      <c r="U14044" s="26" t="str">
        <f>HYPERLINK("https://ictv.global/ictv/proposals/2024.016P.Rhabdoviridae_1ngen_5nsp.zip","2024.016P.Rhabdoviridae_1ngen_5nsp.zip")</f>
        <v>2024.016P.Rhabdoviridae_1ngen_5nsp.zip</v>
      </c>
    </row>
    <row r="14045" spans="1:21">
      <c r="A14045">
        <v>14044</v>
      </c>
      <c r="B14045" s="27" t="s">
        <v>1124</v>
      </c>
      <c r="D14045" s="27" t="s">
        <v>1859</v>
      </c>
      <c r="F14045" s="27" t="s">
        <v>938</v>
      </c>
      <c r="G14045" s="27" t="s">
        <v>939</v>
      </c>
      <c r="H14045" s="27" t="s">
        <v>945</v>
      </c>
      <c r="J14045" s="27" t="s">
        <v>238</v>
      </c>
      <c r="L14045" s="27" t="s">
        <v>346</v>
      </c>
      <c r="M14045" s="27" t="s">
        <v>3576</v>
      </c>
      <c r="N14045" s="27" t="s">
        <v>20403</v>
      </c>
      <c r="P14045" s="27" t="s">
        <v>20406</v>
      </c>
      <c r="Q14045" s="26" t="str">
        <f>HYPERLINK("https://ictv.global/taxonomy/taxondetails?taxnode_id=202520739&amp;ictv_id=ICTV202420739","ICTV202420739")</f>
        <v>ICTV202420739</v>
      </c>
      <c r="R14045" t="s">
        <v>580</v>
      </c>
      <c r="S14045" t="s">
        <v>823</v>
      </c>
      <c r="T14045">
        <v>40</v>
      </c>
      <c r="U14045" s="26" t="str">
        <f>HYPERLINK("https://ictv.global/ictv/proposals/2024.016P.Rhabdoviridae_1ngen_5nsp.zip","2024.016P.Rhabdoviridae_1ngen_5nsp.zip")</f>
        <v>2024.016P.Rhabdoviridae_1ngen_5nsp.zip</v>
      </c>
    </row>
    <row r="14046" spans="1:21">
      <c r="A14046">
        <v>14045</v>
      </c>
      <c r="B14046" s="27" t="s">
        <v>1124</v>
      </c>
      <c r="D14046" s="27" t="s">
        <v>1859</v>
      </c>
      <c r="F14046" s="27" t="s">
        <v>938</v>
      </c>
      <c r="G14046" s="27" t="s">
        <v>939</v>
      </c>
      <c r="H14046" s="27" t="s">
        <v>945</v>
      </c>
      <c r="J14046" s="27" t="s">
        <v>238</v>
      </c>
      <c r="L14046" s="27" t="s">
        <v>346</v>
      </c>
      <c r="M14046" s="27" t="s">
        <v>3576</v>
      </c>
      <c r="N14046" s="27" t="s">
        <v>20403</v>
      </c>
      <c r="P14046" s="27" t="s">
        <v>20407</v>
      </c>
      <c r="Q14046" s="26" t="str">
        <f>HYPERLINK("https://ictv.global/taxonomy/taxondetails?taxnode_id=202520740&amp;ictv_id=ICTV202420740","ICTV202420740")</f>
        <v>ICTV202420740</v>
      </c>
      <c r="R14046" t="s">
        <v>580</v>
      </c>
      <c r="S14046" t="s">
        <v>823</v>
      </c>
      <c r="T14046">
        <v>40</v>
      </c>
      <c r="U14046" s="26" t="str">
        <f>HYPERLINK("https://ictv.global/ictv/proposals/2024.016P.Rhabdoviridae_1ngen_5nsp.zip","2024.016P.Rhabdoviridae_1ngen_5nsp.zip")</f>
        <v>2024.016P.Rhabdoviridae_1ngen_5nsp.zip</v>
      </c>
    </row>
    <row r="14047" spans="1:21">
      <c r="A14047">
        <v>14046</v>
      </c>
      <c r="B14047" s="27" t="s">
        <v>1124</v>
      </c>
      <c r="D14047" s="27" t="s">
        <v>1859</v>
      </c>
      <c r="F14047" s="27" t="s">
        <v>938</v>
      </c>
      <c r="G14047" s="27" t="s">
        <v>939</v>
      </c>
      <c r="H14047" s="27" t="s">
        <v>945</v>
      </c>
      <c r="J14047" s="27" t="s">
        <v>238</v>
      </c>
      <c r="L14047" s="27" t="s">
        <v>346</v>
      </c>
      <c r="M14047" s="27" t="s">
        <v>3576</v>
      </c>
      <c r="N14047" s="27" t="s">
        <v>20403</v>
      </c>
      <c r="P14047" s="27" t="s">
        <v>20408</v>
      </c>
      <c r="Q14047" s="26" t="str">
        <f>HYPERLINK("https://ictv.global/taxonomy/taxondetails?taxnode_id=202520741&amp;ictv_id=ICTV202420741","ICTV202420741")</f>
        <v>ICTV202420741</v>
      </c>
      <c r="R14047" t="s">
        <v>580</v>
      </c>
      <c r="S14047" t="s">
        <v>823</v>
      </c>
      <c r="T14047">
        <v>40</v>
      </c>
      <c r="U14047" s="26" t="str">
        <f>HYPERLINK("https://ictv.global/ictv/proposals/2024.016P.Rhabdoviridae_1ngen_5nsp.zip","2024.016P.Rhabdoviridae_1ngen_5nsp.zip")</f>
        <v>2024.016P.Rhabdoviridae_1ngen_5nsp.zip</v>
      </c>
    </row>
    <row r="14048" spans="1:21">
      <c r="A14048">
        <v>14047</v>
      </c>
      <c r="B14048" s="27" t="s">
        <v>1124</v>
      </c>
      <c r="D14048" s="27" t="s">
        <v>1859</v>
      </c>
      <c r="F14048" s="27" t="s">
        <v>938</v>
      </c>
      <c r="G14048" s="27" t="s">
        <v>939</v>
      </c>
      <c r="H14048" s="27" t="s">
        <v>945</v>
      </c>
      <c r="J14048" s="27" t="s">
        <v>238</v>
      </c>
      <c r="L14048" s="27" t="s">
        <v>346</v>
      </c>
      <c r="M14048" s="27" t="s">
        <v>3576</v>
      </c>
      <c r="N14048" s="27" t="s">
        <v>20403</v>
      </c>
      <c r="P14048" s="27" t="s">
        <v>22008</v>
      </c>
      <c r="Q14048" s="26" t="str">
        <f>HYPERLINK("https://ictv.global/taxonomy/taxondetails?taxnode_id=202522813&amp;ictv_id=ICTV202522813","ICTV202522813")</f>
        <v>ICTV202522813</v>
      </c>
      <c r="R14048" t="s">
        <v>580</v>
      </c>
      <c r="S14048" t="s">
        <v>823</v>
      </c>
      <c r="T14048">
        <v>41</v>
      </c>
      <c r="U14048" s="26" t="str">
        <f>HYPERLINK("https://ictv.global/ictv/proposals/2025.023P.Rhabdoviridae_Trirhavirus_1nsp.zip","2025.023P.Rhabdoviridae_Trirhavirus_1nsp.zip")</f>
        <v>2025.023P.Rhabdoviridae_Trirhavirus_1nsp.zip</v>
      </c>
    </row>
    <row r="14049" spans="1:21">
      <c r="A14049">
        <v>14048</v>
      </c>
      <c r="B14049" s="27" t="s">
        <v>1124</v>
      </c>
      <c r="D14049" s="27" t="s">
        <v>1859</v>
      </c>
      <c r="F14049" s="27" t="s">
        <v>938</v>
      </c>
      <c r="G14049" s="27" t="s">
        <v>939</v>
      </c>
      <c r="H14049" s="27" t="s">
        <v>945</v>
      </c>
      <c r="J14049" s="27" t="s">
        <v>238</v>
      </c>
      <c r="L14049" s="27" t="s">
        <v>346</v>
      </c>
      <c r="M14049" s="27" t="s">
        <v>3576</v>
      </c>
      <c r="N14049" s="27" t="s">
        <v>353</v>
      </c>
      <c r="P14049" s="27" t="s">
        <v>16928</v>
      </c>
      <c r="Q14049" s="26" t="str">
        <f>HYPERLINK("https://ictv.global/taxonomy/taxondetails?taxnode_id=202518590&amp;ictv_id=ICTV202318590","ICTV202318590")</f>
        <v>ICTV202318590</v>
      </c>
      <c r="R14049" t="s">
        <v>580</v>
      </c>
      <c r="S14049" t="s">
        <v>823</v>
      </c>
      <c r="T14049">
        <v>39</v>
      </c>
      <c r="U14049" s="26" t="str">
        <f>HYPERLINK("https://ictv.global/ictv/proposals/2023.022M.Varicosavirus_32nsp.zip","2023.022M.Varicosavirus_32nsp.zip")</f>
        <v>2023.022M.Varicosavirus_32nsp.zip</v>
      </c>
    </row>
    <row r="14050" spans="1:21">
      <c r="A14050">
        <v>14049</v>
      </c>
      <c r="B14050" s="27" t="s">
        <v>1124</v>
      </c>
      <c r="D14050" s="27" t="s">
        <v>1859</v>
      </c>
      <c r="F14050" s="27" t="s">
        <v>938</v>
      </c>
      <c r="G14050" s="27" t="s">
        <v>939</v>
      </c>
      <c r="H14050" s="27" t="s">
        <v>945</v>
      </c>
      <c r="J14050" s="27" t="s">
        <v>238</v>
      </c>
      <c r="L14050" s="27" t="s">
        <v>346</v>
      </c>
      <c r="M14050" s="27" t="s">
        <v>3576</v>
      </c>
      <c r="N14050" s="27" t="s">
        <v>353</v>
      </c>
      <c r="P14050" s="27" t="s">
        <v>22031</v>
      </c>
      <c r="Q14050" s="26" t="str">
        <f>HYPERLINK("https://ictv.global/taxonomy/taxondetails?taxnode_id=202522835&amp;ictv_id=ICTV202522835","ICTV202522835")</f>
        <v>ICTV202522835</v>
      </c>
      <c r="R14050" t="s">
        <v>580</v>
      </c>
      <c r="S14050" t="s">
        <v>823</v>
      </c>
      <c r="T14050">
        <v>41</v>
      </c>
      <c r="U14050" s="26" t="str">
        <f>HYPERLINK("https://ictv.global/ictv/proposals/2025.026P.Rhabdoviridae_Varicosavivirus_3nsp.zip","2025.026P.Rhabdoviridae_Varicosavivirus_3nsp.zip")</f>
        <v>2025.026P.Rhabdoviridae_Varicosavivirus_3nsp.zip</v>
      </c>
    </row>
    <row r="14051" spans="1:21">
      <c r="A14051">
        <v>14050</v>
      </c>
      <c r="B14051" s="27" t="s">
        <v>1124</v>
      </c>
      <c r="D14051" s="27" t="s">
        <v>1859</v>
      </c>
      <c r="F14051" s="27" t="s">
        <v>938</v>
      </c>
      <c r="G14051" s="27" t="s">
        <v>939</v>
      </c>
      <c r="H14051" s="27" t="s">
        <v>945</v>
      </c>
      <c r="J14051" s="27" t="s">
        <v>238</v>
      </c>
      <c r="L14051" s="27" t="s">
        <v>346</v>
      </c>
      <c r="M14051" s="27" t="s">
        <v>3576</v>
      </c>
      <c r="N14051" s="27" t="s">
        <v>353</v>
      </c>
      <c r="P14051" s="27" t="s">
        <v>9757</v>
      </c>
      <c r="Q14051" s="26" t="str">
        <f>HYPERLINK("https://ictv.global/taxonomy/taxondetails?taxnode_id=202514266&amp;ictv_id=ICTV202214266","ICTV202214266")</f>
        <v>ICTV202214266</v>
      </c>
      <c r="R14051" t="s">
        <v>580</v>
      </c>
      <c r="S14051" t="s">
        <v>823</v>
      </c>
      <c r="T14051">
        <v>38</v>
      </c>
      <c r="U14051" s="26" t="str">
        <f>HYPERLINK("https://ictv.global/ictv/proposals/2022.021M.Varicosavirus_9nsp.zip","2022.021M.Varicosavirus_9nsp.zip")</f>
        <v>2022.021M.Varicosavirus_9nsp.zip</v>
      </c>
    </row>
    <row r="14052" spans="1:21">
      <c r="A14052">
        <v>14051</v>
      </c>
      <c r="B14052" s="27" t="s">
        <v>1124</v>
      </c>
      <c r="D14052" s="27" t="s">
        <v>1859</v>
      </c>
      <c r="F14052" s="27" t="s">
        <v>938</v>
      </c>
      <c r="G14052" s="27" t="s">
        <v>939</v>
      </c>
      <c r="H14052" s="27" t="s">
        <v>945</v>
      </c>
      <c r="J14052" s="27" t="s">
        <v>238</v>
      </c>
      <c r="L14052" s="27" t="s">
        <v>346</v>
      </c>
      <c r="M14052" s="27" t="s">
        <v>3576</v>
      </c>
      <c r="N14052" s="27" t="s">
        <v>353</v>
      </c>
      <c r="P14052" s="27" t="s">
        <v>9758</v>
      </c>
      <c r="Q14052" s="26" t="str">
        <f>HYPERLINK("https://ictv.global/taxonomy/taxondetails?taxnode_id=202509370&amp;ictv_id=ICTV202009370","ICTV202009370")</f>
        <v>ICTV202009370</v>
      </c>
      <c r="R14052" t="s">
        <v>580</v>
      </c>
      <c r="S14052" t="s">
        <v>824</v>
      </c>
      <c r="T14052">
        <v>37</v>
      </c>
      <c r="U14052" s="26" t="str">
        <f>HYPERLINK("https://ictv.global/ictv/proposals/2021.036M.R.Rhabdoviridae_sprename.zip","2021.036M.R.Rhabdoviridae_sprename.zip")</f>
        <v>2021.036M.R.Rhabdoviridae_sprename.zip</v>
      </c>
    </row>
    <row r="14053" spans="1:21">
      <c r="A14053">
        <v>14052</v>
      </c>
      <c r="B14053" s="27" t="s">
        <v>1124</v>
      </c>
      <c r="D14053" s="27" t="s">
        <v>1859</v>
      </c>
      <c r="F14053" s="27" t="s">
        <v>938</v>
      </c>
      <c r="G14053" s="27" t="s">
        <v>939</v>
      </c>
      <c r="H14053" s="27" t="s">
        <v>945</v>
      </c>
      <c r="J14053" s="27" t="s">
        <v>238</v>
      </c>
      <c r="L14053" s="27" t="s">
        <v>346</v>
      </c>
      <c r="M14053" s="27" t="s">
        <v>3576</v>
      </c>
      <c r="N14053" s="27" t="s">
        <v>353</v>
      </c>
      <c r="P14053" s="27" t="s">
        <v>16929</v>
      </c>
      <c r="Q14053" s="26" t="str">
        <f>HYPERLINK("https://ictv.global/taxonomy/taxondetails?taxnode_id=202514267&amp;ictv_id=ICTV202214267","ICTV202214267")</f>
        <v>ICTV202214267</v>
      </c>
      <c r="R14053" t="s">
        <v>580</v>
      </c>
      <c r="S14053" t="s">
        <v>824</v>
      </c>
      <c r="T14053">
        <v>39</v>
      </c>
      <c r="U14053" s="26" t="str">
        <f t="shared" ref="U14053:U14067" si="523">HYPERLINK("https://ictv.global/ictv/proposals/2023.022M.Varicosavirus_32nsp.zip","2023.022M.Varicosavirus_32nsp.zip")</f>
        <v>2023.022M.Varicosavirus_32nsp.zip</v>
      </c>
    </row>
    <row r="14054" spans="1:21">
      <c r="A14054">
        <v>14053</v>
      </c>
      <c r="B14054" s="27" t="s">
        <v>1124</v>
      </c>
      <c r="D14054" s="27" t="s">
        <v>1859</v>
      </c>
      <c r="F14054" s="27" t="s">
        <v>938</v>
      </c>
      <c r="G14054" s="27" t="s">
        <v>939</v>
      </c>
      <c r="H14054" s="27" t="s">
        <v>945</v>
      </c>
      <c r="J14054" s="27" t="s">
        <v>238</v>
      </c>
      <c r="L14054" s="27" t="s">
        <v>346</v>
      </c>
      <c r="M14054" s="27" t="s">
        <v>3576</v>
      </c>
      <c r="N14054" s="27" t="s">
        <v>353</v>
      </c>
      <c r="P14054" s="27" t="s">
        <v>16930</v>
      </c>
      <c r="Q14054" s="26" t="str">
        <f>HYPERLINK("https://ictv.global/taxonomy/taxondetails?taxnode_id=202518591&amp;ictv_id=ICTV202318591","ICTV202318591")</f>
        <v>ICTV202318591</v>
      </c>
      <c r="R14054" t="s">
        <v>580</v>
      </c>
      <c r="S14054" t="s">
        <v>823</v>
      </c>
      <c r="T14054">
        <v>39</v>
      </c>
      <c r="U14054" s="26" t="str">
        <f t="shared" si="523"/>
        <v>2023.022M.Varicosavirus_32nsp.zip</v>
      </c>
    </row>
    <row r="14055" spans="1:21">
      <c r="A14055">
        <v>14054</v>
      </c>
      <c r="B14055" s="27" t="s">
        <v>1124</v>
      </c>
      <c r="D14055" s="27" t="s">
        <v>1859</v>
      </c>
      <c r="F14055" s="27" t="s">
        <v>938</v>
      </c>
      <c r="G14055" s="27" t="s">
        <v>939</v>
      </c>
      <c r="H14055" s="27" t="s">
        <v>945</v>
      </c>
      <c r="J14055" s="27" t="s">
        <v>238</v>
      </c>
      <c r="L14055" s="27" t="s">
        <v>346</v>
      </c>
      <c r="M14055" s="27" t="s">
        <v>3576</v>
      </c>
      <c r="N14055" s="27" t="s">
        <v>353</v>
      </c>
      <c r="P14055" s="27" t="s">
        <v>16931</v>
      </c>
      <c r="Q14055" s="26" t="str">
        <f>HYPERLINK("https://ictv.global/taxonomy/taxondetails?taxnode_id=202518592&amp;ictv_id=ICTV202318592","ICTV202318592")</f>
        <v>ICTV202318592</v>
      </c>
      <c r="R14055" t="s">
        <v>580</v>
      </c>
      <c r="S14055" t="s">
        <v>823</v>
      </c>
      <c r="T14055">
        <v>39</v>
      </c>
      <c r="U14055" s="26" t="str">
        <f t="shared" si="523"/>
        <v>2023.022M.Varicosavirus_32nsp.zip</v>
      </c>
    </row>
    <row r="14056" spans="1:21">
      <c r="A14056">
        <v>14055</v>
      </c>
      <c r="B14056" s="27" t="s">
        <v>1124</v>
      </c>
      <c r="D14056" s="27" t="s">
        <v>1859</v>
      </c>
      <c r="F14056" s="27" t="s">
        <v>938</v>
      </c>
      <c r="G14056" s="27" t="s">
        <v>939</v>
      </c>
      <c r="H14056" s="27" t="s">
        <v>945</v>
      </c>
      <c r="J14056" s="27" t="s">
        <v>238</v>
      </c>
      <c r="L14056" s="27" t="s">
        <v>346</v>
      </c>
      <c r="M14056" s="27" t="s">
        <v>3576</v>
      </c>
      <c r="N14056" s="27" t="s">
        <v>353</v>
      </c>
      <c r="P14056" s="27" t="s">
        <v>16932</v>
      </c>
      <c r="Q14056" s="26" t="str">
        <f>HYPERLINK("https://ictv.global/taxonomy/taxondetails?taxnode_id=202518593&amp;ictv_id=ICTV202318593","ICTV202318593")</f>
        <v>ICTV202318593</v>
      </c>
      <c r="R14056" t="s">
        <v>580</v>
      </c>
      <c r="S14056" t="s">
        <v>823</v>
      </c>
      <c r="T14056">
        <v>39</v>
      </c>
      <c r="U14056" s="26" t="str">
        <f t="shared" si="523"/>
        <v>2023.022M.Varicosavirus_32nsp.zip</v>
      </c>
    </row>
    <row r="14057" spans="1:21">
      <c r="A14057">
        <v>14056</v>
      </c>
      <c r="B14057" s="27" t="s">
        <v>1124</v>
      </c>
      <c r="D14057" s="27" t="s">
        <v>1859</v>
      </c>
      <c r="F14057" s="27" t="s">
        <v>938</v>
      </c>
      <c r="G14057" s="27" t="s">
        <v>939</v>
      </c>
      <c r="H14057" s="27" t="s">
        <v>945</v>
      </c>
      <c r="J14057" s="27" t="s">
        <v>238</v>
      </c>
      <c r="L14057" s="27" t="s">
        <v>346</v>
      </c>
      <c r="M14057" s="27" t="s">
        <v>3576</v>
      </c>
      <c r="N14057" s="27" t="s">
        <v>353</v>
      </c>
      <c r="P14057" s="27" t="s">
        <v>16933</v>
      </c>
      <c r="Q14057" s="26" t="str">
        <f>HYPERLINK("https://ictv.global/taxonomy/taxondetails?taxnode_id=202518594&amp;ictv_id=ICTV202318594","ICTV202318594")</f>
        <v>ICTV202318594</v>
      </c>
      <c r="R14057" t="s">
        <v>580</v>
      </c>
      <c r="S14057" t="s">
        <v>823</v>
      </c>
      <c r="T14057">
        <v>39</v>
      </c>
      <c r="U14057" s="26" t="str">
        <f t="shared" si="523"/>
        <v>2023.022M.Varicosavirus_32nsp.zip</v>
      </c>
    </row>
    <row r="14058" spans="1:21">
      <c r="A14058">
        <v>14057</v>
      </c>
      <c r="B14058" s="27" t="s">
        <v>1124</v>
      </c>
      <c r="D14058" s="27" t="s">
        <v>1859</v>
      </c>
      <c r="F14058" s="27" t="s">
        <v>938</v>
      </c>
      <c r="G14058" s="27" t="s">
        <v>939</v>
      </c>
      <c r="H14058" s="27" t="s">
        <v>945</v>
      </c>
      <c r="J14058" s="27" t="s">
        <v>238</v>
      </c>
      <c r="L14058" s="27" t="s">
        <v>346</v>
      </c>
      <c r="M14058" s="27" t="s">
        <v>3576</v>
      </c>
      <c r="N14058" s="27" t="s">
        <v>353</v>
      </c>
      <c r="P14058" s="27" t="s">
        <v>16934</v>
      </c>
      <c r="Q14058" s="26" t="str">
        <f>HYPERLINK("https://ictv.global/taxonomy/taxondetails?taxnode_id=202518595&amp;ictv_id=ICTV202318595","ICTV202318595")</f>
        <v>ICTV202318595</v>
      </c>
      <c r="R14058" t="s">
        <v>580</v>
      </c>
      <c r="S14058" t="s">
        <v>823</v>
      </c>
      <c r="T14058">
        <v>39</v>
      </c>
      <c r="U14058" s="26" t="str">
        <f t="shared" si="523"/>
        <v>2023.022M.Varicosavirus_32nsp.zip</v>
      </c>
    </row>
    <row r="14059" spans="1:21">
      <c r="A14059">
        <v>14058</v>
      </c>
      <c r="B14059" s="27" t="s">
        <v>1124</v>
      </c>
      <c r="D14059" s="27" t="s">
        <v>1859</v>
      </c>
      <c r="F14059" s="27" t="s">
        <v>938</v>
      </c>
      <c r="G14059" s="27" t="s">
        <v>939</v>
      </c>
      <c r="H14059" s="27" t="s">
        <v>945</v>
      </c>
      <c r="J14059" s="27" t="s">
        <v>238</v>
      </c>
      <c r="L14059" s="27" t="s">
        <v>346</v>
      </c>
      <c r="M14059" s="27" t="s">
        <v>3576</v>
      </c>
      <c r="N14059" s="27" t="s">
        <v>353</v>
      </c>
      <c r="P14059" s="27" t="s">
        <v>16935</v>
      </c>
      <c r="Q14059" s="26" t="str">
        <f>HYPERLINK("https://ictv.global/taxonomy/taxondetails?taxnode_id=202518596&amp;ictv_id=ICTV202318596","ICTV202318596")</f>
        <v>ICTV202318596</v>
      </c>
      <c r="R14059" t="s">
        <v>580</v>
      </c>
      <c r="S14059" t="s">
        <v>823</v>
      </c>
      <c r="T14059">
        <v>39</v>
      </c>
      <c r="U14059" s="26" t="str">
        <f t="shared" si="523"/>
        <v>2023.022M.Varicosavirus_32nsp.zip</v>
      </c>
    </row>
    <row r="14060" spans="1:21">
      <c r="A14060">
        <v>14059</v>
      </c>
      <c r="B14060" s="27" t="s">
        <v>1124</v>
      </c>
      <c r="D14060" s="27" t="s">
        <v>1859</v>
      </c>
      <c r="F14060" s="27" t="s">
        <v>938</v>
      </c>
      <c r="G14060" s="27" t="s">
        <v>939</v>
      </c>
      <c r="H14060" s="27" t="s">
        <v>945</v>
      </c>
      <c r="J14060" s="27" t="s">
        <v>238</v>
      </c>
      <c r="L14060" s="27" t="s">
        <v>346</v>
      </c>
      <c r="M14060" s="27" t="s">
        <v>3576</v>
      </c>
      <c r="N14060" s="27" t="s">
        <v>353</v>
      </c>
      <c r="P14060" s="27" t="s">
        <v>16936</v>
      </c>
      <c r="Q14060" s="26" t="str">
        <f>HYPERLINK("https://ictv.global/taxonomy/taxondetails?taxnode_id=202518597&amp;ictv_id=ICTV202318597","ICTV202318597")</f>
        <v>ICTV202318597</v>
      </c>
      <c r="R14060" t="s">
        <v>580</v>
      </c>
      <c r="S14060" t="s">
        <v>823</v>
      </c>
      <c r="T14060">
        <v>39</v>
      </c>
      <c r="U14060" s="26" t="str">
        <f t="shared" si="523"/>
        <v>2023.022M.Varicosavirus_32nsp.zip</v>
      </c>
    </row>
    <row r="14061" spans="1:21">
      <c r="A14061">
        <v>14060</v>
      </c>
      <c r="B14061" s="27" t="s">
        <v>1124</v>
      </c>
      <c r="D14061" s="27" t="s">
        <v>1859</v>
      </c>
      <c r="F14061" s="27" t="s">
        <v>938</v>
      </c>
      <c r="G14061" s="27" t="s">
        <v>939</v>
      </c>
      <c r="H14061" s="27" t="s">
        <v>945</v>
      </c>
      <c r="J14061" s="27" t="s">
        <v>238</v>
      </c>
      <c r="L14061" s="27" t="s">
        <v>346</v>
      </c>
      <c r="M14061" s="27" t="s">
        <v>3576</v>
      </c>
      <c r="N14061" s="27" t="s">
        <v>353</v>
      </c>
      <c r="P14061" s="27" t="s">
        <v>16937</v>
      </c>
      <c r="Q14061" s="26" t="str">
        <f>HYPERLINK("https://ictv.global/taxonomy/taxondetails?taxnode_id=202518598&amp;ictv_id=ICTV202318598","ICTV202318598")</f>
        <v>ICTV202318598</v>
      </c>
      <c r="R14061" t="s">
        <v>580</v>
      </c>
      <c r="S14061" t="s">
        <v>823</v>
      </c>
      <c r="T14061">
        <v>39</v>
      </c>
      <c r="U14061" s="26" t="str">
        <f t="shared" si="523"/>
        <v>2023.022M.Varicosavirus_32nsp.zip</v>
      </c>
    </row>
    <row r="14062" spans="1:21">
      <c r="A14062">
        <v>14061</v>
      </c>
      <c r="B14062" s="27" t="s">
        <v>1124</v>
      </c>
      <c r="D14062" s="27" t="s">
        <v>1859</v>
      </c>
      <c r="F14062" s="27" t="s">
        <v>938</v>
      </c>
      <c r="G14062" s="27" t="s">
        <v>939</v>
      </c>
      <c r="H14062" s="27" t="s">
        <v>945</v>
      </c>
      <c r="J14062" s="27" t="s">
        <v>238</v>
      </c>
      <c r="L14062" s="27" t="s">
        <v>346</v>
      </c>
      <c r="M14062" s="27" t="s">
        <v>3576</v>
      </c>
      <c r="N14062" s="27" t="s">
        <v>353</v>
      </c>
      <c r="P14062" s="27" t="s">
        <v>16938</v>
      </c>
      <c r="Q14062" s="26" t="str">
        <f>HYPERLINK("https://ictv.global/taxonomy/taxondetails?taxnode_id=202518599&amp;ictv_id=ICTV202318599","ICTV202318599")</f>
        <v>ICTV202318599</v>
      </c>
      <c r="R14062" t="s">
        <v>580</v>
      </c>
      <c r="S14062" t="s">
        <v>823</v>
      </c>
      <c r="T14062">
        <v>39</v>
      </c>
      <c r="U14062" s="26" t="str">
        <f t="shared" si="523"/>
        <v>2023.022M.Varicosavirus_32nsp.zip</v>
      </c>
    </row>
    <row r="14063" spans="1:21">
      <c r="A14063">
        <v>14062</v>
      </c>
      <c r="B14063" s="27" t="s">
        <v>1124</v>
      </c>
      <c r="D14063" s="27" t="s">
        <v>1859</v>
      </c>
      <c r="F14063" s="27" t="s">
        <v>938</v>
      </c>
      <c r="G14063" s="27" t="s">
        <v>939</v>
      </c>
      <c r="H14063" s="27" t="s">
        <v>945</v>
      </c>
      <c r="J14063" s="27" t="s">
        <v>238</v>
      </c>
      <c r="L14063" s="27" t="s">
        <v>346</v>
      </c>
      <c r="M14063" s="27" t="s">
        <v>3576</v>
      </c>
      <c r="N14063" s="27" t="s">
        <v>353</v>
      </c>
      <c r="P14063" s="27" t="s">
        <v>16939</v>
      </c>
      <c r="Q14063" s="26" t="str">
        <f>HYPERLINK("https://ictv.global/taxonomy/taxondetails?taxnode_id=202518600&amp;ictv_id=ICTV202318600","ICTV202318600")</f>
        <v>ICTV202318600</v>
      </c>
      <c r="R14063" t="s">
        <v>580</v>
      </c>
      <c r="S14063" t="s">
        <v>823</v>
      </c>
      <c r="T14063">
        <v>39</v>
      </c>
      <c r="U14063" s="26" t="str">
        <f t="shared" si="523"/>
        <v>2023.022M.Varicosavirus_32nsp.zip</v>
      </c>
    </row>
    <row r="14064" spans="1:21">
      <c r="A14064">
        <v>14063</v>
      </c>
      <c r="B14064" s="27" t="s">
        <v>1124</v>
      </c>
      <c r="D14064" s="27" t="s">
        <v>1859</v>
      </c>
      <c r="F14064" s="27" t="s">
        <v>938</v>
      </c>
      <c r="G14064" s="27" t="s">
        <v>939</v>
      </c>
      <c r="H14064" s="27" t="s">
        <v>945</v>
      </c>
      <c r="J14064" s="27" t="s">
        <v>238</v>
      </c>
      <c r="L14064" s="27" t="s">
        <v>346</v>
      </c>
      <c r="M14064" s="27" t="s">
        <v>3576</v>
      </c>
      <c r="N14064" s="27" t="s">
        <v>353</v>
      </c>
      <c r="P14064" s="27" t="s">
        <v>16940</v>
      </c>
      <c r="Q14064" s="26" t="str">
        <f>HYPERLINK("https://ictv.global/taxonomy/taxondetails?taxnode_id=202518601&amp;ictv_id=ICTV202318601","ICTV202318601")</f>
        <v>ICTV202318601</v>
      </c>
      <c r="R14064" t="s">
        <v>580</v>
      </c>
      <c r="S14064" t="s">
        <v>823</v>
      </c>
      <c r="T14064">
        <v>39</v>
      </c>
      <c r="U14064" s="26" t="str">
        <f t="shared" si="523"/>
        <v>2023.022M.Varicosavirus_32nsp.zip</v>
      </c>
    </row>
    <row r="14065" spans="1:21">
      <c r="A14065">
        <v>14064</v>
      </c>
      <c r="B14065" s="27" t="s">
        <v>1124</v>
      </c>
      <c r="D14065" s="27" t="s">
        <v>1859</v>
      </c>
      <c r="F14065" s="27" t="s">
        <v>938</v>
      </c>
      <c r="G14065" s="27" t="s">
        <v>939</v>
      </c>
      <c r="H14065" s="27" t="s">
        <v>945</v>
      </c>
      <c r="J14065" s="27" t="s">
        <v>238</v>
      </c>
      <c r="L14065" s="27" t="s">
        <v>346</v>
      </c>
      <c r="M14065" s="27" t="s">
        <v>3576</v>
      </c>
      <c r="N14065" s="27" t="s">
        <v>353</v>
      </c>
      <c r="P14065" s="27" t="s">
        <v>16941</v>
      </c>
      <c r="Q14065" s="26" t="str">
        <f>HYPERLINK("https://ictv.global/taxonomy/taxondetails?taxnode_id=202518602&amp;ictv_id=ICTV202318602","ICTV202318602")</f>
        <v>ICTV202318602</v>
      </c>
      <c r="R14065" t="s">
        <v>580</v>
      </c>
      <c r="S14065" t="s">
        <v>823</v>
      </c>
      <c r="T14065">
        <v>39</v>
      </c>
      <c r="U14065" s="26" t="str">
        <f t="shared" si="523"/>
        <v>2023.022M.Varicosavirus_32nsp.zip</v>
      </c>
    </row>
    <row r="14066" spans="1:21">
      <c r="A14066">
        <v>14065</v>
      </c>
      <c r="B14066" s="27" t="s">
        <v>1124</v>
      </c>
      <c r="D14066" s="27" t="s">
        <v>1859</v>
      </c>
      <c r="F14066" s="27" t="s">
        <v>938</v>
      </c>
      <c r="G14066" s="27" t="s">
        <v>939</v>
      </c>
      <c r="H14066" s="27" t="s">
        <v>945</v>
      </c>
      <c r="J14066" s="27" t="s">
        <v>238</v>
      </c>
      <c r="L14066" s="27" t="s">
        <v>346</v>
      </c>
      <c r="M14066" s="27" t="s">
        <v>3576</v>
      </c>
      <c r="N14066" s="27" t="s">
        <v>353</v>
      </c>
      <c r="P14066" s="27" t="s">
        <v>16942</v>
      </c>
      <c r="Q14066" s="26" t="str">
        <f>HYPERLINK("https://ictv.global/taxonomy/taxondetails?taxnode_id=202518603&amp;ictv_id=ICTV202318603","ICTV202318603")</f>
        <v>ICTV202318603</v>
      </c>
      <c r="R14066" t="s">
        <v>580</v>
      </c>
      <c r="S14066" t="s">
        <v>823</v>
      </c>
      <c r="T14066">
        <v>39</v>
      </c>
      <c r="U14066" s="26" t="str">
        <f t="shared" si="523"/>
        <v>2023.022M.Varicosavirus_32nsp.zip</v>
      </c>
    </row>
    <row r="14067" spans="1:21">
      <c r="A14067">
        <v>14066</v>
      </c>
      <c r="B14067" s="27" t="s">
        <v>1124</v>
      </c>
      <c r="D14067" s="27" t="s">
        <v>1859</v>
      </c>
      <c r="F14067" s="27" t="s">
        <v>938</v>
      </c>
      <c r="G14067" s="27" t="s">
        <v>939</v>
      </c>
      <c r="H14067" s="27" t="s">
        <v>945</v>
      </c>
      <c r="J14067" s="27" t="s">
        <v>238</v>
      </c>
      <c r="L14067" s="27" t="s">
        <v>346</v>
      </c>
      <c r="M14067" s="27" t="s">
        <v>3576</v>
      </c>
      <c r="N14067" s="27" t="s">
        <v>353</v>
      </c>
      <c r="P14067" s="27" t="s">
        <v>16943</v>
      </c>
      <c r="Q14067" s="26" t="str">
        <f>HYPERLINK("https://ictv.global/taxonomy/taxondetails?taxnode_id=202518604&amp;ictv_id=ICTV202318604","ICTV202318604")</f>
        <v>ICTV202318604</v>
      </c>
      <c r="R14067" t="s">
        <v>580</v>
      </c>
      <c r="S14067" t="s">
        <v>823</v>
      </c>
      <c r="T14067">
        <v>39</v>
      </c>
      <c r="U14067" s="26" t="str">
        <f t="shared" si="523"/>
        <v>2023.022M.Varicosavirus_32nsp.zip</v>
      </c>
    </row>
    <row r="14068" spans="1:21">
      <c r="A14068">
        <v>14067</v>
      </c>
      <c r="B14068" s="27" t="s">
        <v>1124</v>
      </c>
      <c r="D14068" s="27" t="s">
        <v>1859</v>
      </c>
      <c r="F14068" s="27" t="s">
        <v>938</v>
      </c>
      <c r="G14068" s="27" t="s">
        <v>939</v>
      </c>
      <c r="H14068" s="27" t="s">
        <v>945</v>
      </c>
      <c r="J14068" s="27" t="s">
        <v>238</v>
      </c>
      <c r="L14068" s="27" t="s">
        <v>346</v>
      </c>
      <c r="M14068" s="27" t="s">
        <v>3576</v>
      </c>
      <c r="N14068" s="27" t="s">
        <v>353</v>
      </c>
      <c r="P14068" s="27" t="s">
        <v>9759</v>
      </c>
      <c r="Q14068" s="26" t="str">
        <f>HYPERLINK("https://ictv.global/taxonomy/taxondetails?taxnode_id=202514270&amp;ictv_id=ICTV202214270","ICTV202214270")</f>
        <v>ICTV202214270</v>
      </c>
      <c r="R14068" t="s">
        <v>580</v>
      </c>
      <c r="S14068" t="s">
        <v>823</v>
      </c>
      <c r="T14068">
        <v>38</v>
      </c>
      <c r="U14068" s="26" t="str">
        <f>HYPERLINK("https://ictv.global/ictv/proposals/2022.021M.Varicosavirus_9nsp.zip","2022.021M.Varicosavirus_9nsp.zip")</f>
        <v>2022.021M.Varicosavirus_9nsp.zip</v>
      </c>
    </row>
    <row r="14069" spans="1:21">
      <c r="A14069">
        <v>14068</v>
      </c>
      <c r="B14069" s="27" t="s">
        <v>1124</v>
      </c>
      <c r="D14069" s="27" t="s">
        <v>1859</v>
      </c>
      <c r="F14069" s="27" t="s">
        <v>938</v>
      </c>
      <c r="G14069" s="27" t="s">
        <v>939</v>
      </c>
      <c r="H14069" s="27" t="s">
        <v>945</v>
      </c>
      <c r="J14069" s="27" t="s">
        <v>238</v>
      </c>
      <c r="L14069" s="27" t="s">
        <v>346</v>
      </c>
      <c r="M14069" s="27" t="s">
        <v>3576</v>
      </c>
      <c r="N14069" s="27" t="s">
        <v>353</v>
      </c>
      <c r="P14069" s="27" t="s">
        <v>9760</v>
      </c>
      <c r="Q14069" s="26" t="str">
        <f>HYPERLINK("https://ictv.global/taxonomy/taxondetails?taxnode_id=202501787&amp;ictv_id=ICTV19982751","ICTV19982751")</f>
        <v>ICTV19982751</v>
      </c>
      <c r="R14069" t="s">
        <v>580</v>
      </c>
      <c r="S14069" t="s">
        <v>824</v>
      </c>
      <c r="T14069">
        <v>37</v>
      </c>
      <c r="U14069" s="26" t="str">
        <f>HYPERLINK("https://ictv.global/ictv/proposals/2021.036M.R.Rhabdoviridae_sprename.zip","2021.036M.R.Rhabdoviridae_sprename.zip")</f>
        <v>2021.036M.R.Rhabdoviridae_sprename.zip</v>
      </c>
    </row>
    <row r="14070" spans="1:21">
      <c r="A14070">
        <v>14069</v>
      </c>
      <c r="B14070" s="27" t="s">
        <v>1124</v>
      </c>
      <c r="D14070" s="27" t="s">
        <v>1859</v>
      </c>
      <c r="F14070" s="27" t="s">
        <v>938</v>
      </c>
      <c r="G14070" s="27" t="s">
        <v>939</v>
      </c>
      <c r="H14070" s="27" t="s">
        <v>945</v>
      </c>
      <c r="J14070" s="27" t="s">
        <v>238</v>
      </c>
      <c r="L14070" s="27" t="s">
        <v>346</v>
      </c>
      <c r="M14070" s="27" t="s">
        <v>3576</v>
      </c>
      <c r="N14070" s="27" t="s">
        <v>353</v>
      </c>
      <c r="P14070" s="27" t="s">
        <v>16944</v>
      </c>
      <c r="Q14070" s="26" t="str">
        <f>HYPERLINK("https://ictv.global/taxonomy/taxondetails?taxnode_id=202518605&amp;ictv_id=ICTV202318605","ICTV202318605")</f>
        <v>ICTV202318605</v>
      </c>
      <c r="R14070" t="s">
        <v>580</v>
      </c>
      <c r="S14070" t="s">
        <v>823</v>
      </c>
      <c r="T14070">
        <v>39</v>
      </c>
      <c r="U14070" s="26" t="str">
        <f>HYPERLINK("https://ictv.global/ictv/proposals/2023.022M.Varicosavirus_32nsp.zip","2023.022M.Varicosavirus_32nsp.zip")</f>
        <v>2023.022M.Varicosavirus_32nsp.zip</v>
      </c>
    </row>
    <row r="14071" spans="1:21">
      <c r="A14071">
        <v>14070</v>
      </c>
      <c r="B14071" s="27" t="s">
        <v>1124</v>
      </c>
      <c r="D14071" s="27" t="s">
        <v>1859</v>
      </c>
      <c r="F14071" s="27" t="s">
        <v>938</v>
      </c>
      <c r="G14071" s="27" t="s">
        <v>939</v>
      </c>
      <c r="H14071" s="27" t="s">
        <v>945</v>
      </c>
      <c r="J14071" s="27" t="s">
        <v>238</v>
      </c>
      <c r="L14071" s="27" t="s">
        <v>346</v>
      </c>
      <c r="M14071" s="27" t="s">
        <v>3576</v>
      </c>
      <c r="N14071" s="27" t="s">
        <v>353</v>
      </c>
      <c r="P14071" s="27" t="s">
        <v>9761</v>
      </c>
      <c r="Q14071" s="26" t="str">
        <f>HYPERLINK("https://ictv.global/taxonomy/taxondetails?taxnode_id=202514268&amp;ictv_id=ICTV202214268","ICTV202214268")</f>
        <v>ICTV202214268</v>
      </c>
      <c r="R14071" t="s">
        <v>580</v>
      </c>
      <c r="S14071" t="s">
        <v>823</v>
      </c>
      <c r="T14071">
        <v>38</v>
      </c>
      <c r="U14071" s="26" t="str">
        <f>HYPERLINK("https://ictv.global/ictv/proposals/2022.021M.Varicosavirus_9nsp.zip","2022.021M.Varicosavirus_9nsp.zip")</f>
        <v>2022.021M.Varicosavirus_9nsp.zip</v>
      </c>
    </row>
    <row r="14072" spans="1:21">
      <c r="A14072">
        <v>14071</v>
      </c>
      <c r="B14072" s="27" t="s">
        <v>1124</v>
      </c>
      <c r="D14072" s="27" t="s">
        <v>1859</v>
      </c>
      <c r="F14072" s="27" t="s">
        <v>938</v>
      </c>
      <c r="G14072" s="27" t="s">
        <v>939</v>
      </c>
      <c r="H14072" s="27" t="s">
        <v>945</v>
      </c>
      <c r="J14072" s="27" t="s">
        <v>238</v>
      </c>
      <c r="L14072" s="27" t="s">
        <v>346</v>
      </c>
      <c r="M14072" s="27" t="s">
        <v>3576</v>
      </c>
      <c r="N14072" s="27" t="s">
        <v>353</v>
      </c>
      <c r="P14072" s="27" t="s">
        <v>16945</v>
      </c>
      <c r="Q14072" s="26" t="str">
        <f>HYPERLINK("https://ictv.global/taxonomy/taxondetails?taxnode_id=202518606&amp;ictv_id=ICTV202318606","ICTV202318606")</f>
        <v>ICTV202318606</v>
      </c>
      <c r="R14072" t="s">
        <v>580</v>
      </c>
      <c r="S14072" t="s">
        <v>823</v>
      </c>
      <c r="T14072">
        <v>39</v>
      </c>
      <c r="U14072" s="26" t="str">
        <f>HYPERLINK("https://ictv.global/ictv/proposals/2023.022M.Varicosavirus_32nsp.zip","2023.022M.Varicosavirus_32nsp.zip")</f>
        <v>2023.022M.Varicosavirus_32nsp.zip</v>
      </c>
    </row>
    <row r="14073" spans="1:21">
      <c r="A14073">
        <v>14072</v>
      </c>
      <c r="B14073" s="27" t="s">
        <v>1124</v>
      </c>
      <c r="D14073" s="27" t="s">
        <v>1859</v>
      </c>
      <c r="F14073" s="27" t="s">
        <v>938</v>
      </c>
      <c r="G14073" s="27" t="s">
        <v>939</v>
      </c>
      <c r="H14073" s="27" t="s">
        <v>945</v>
      </c>
      <c r="J14073" s="27" t="s">
        <v>238</v>
      </c>
      <c r="L14073" s="27" t="s">
        <v>346</v>
      </c>
      <c r="M14073" s="27" t="s">
        <v>3576</v>
      </c>
      <c r="N14073" s="27" t="s">
        <v>353</v>
      </c>
      <c r="P14073" s="27" t="s">
        <v>9762</v>
      </c>
      <c r="Q14073" s="26" t="str">
        <f>HYPERLINK("https://ictv.global/taxonomy/taxondetails?taxnode_id=202514269&amp;ictv_id=ICTV202214269","ICTV202214269")</f>
        <v>ICTV202214269</v>
      </c>
      <c r="R14073" t="s">
        <v>580</v>
      </c>
      <c r="S14073" t="s">
        <v>823</v>
      </c>
      <c r="T14073">
        <v>38</v>
      </c>
      <c r="U14073" s="26" t="str">
        <f>HYPERLINK("https://ictv.global/ictv/proposals/2022.021M.Varicosavirus_9nsp.zip","2022.021M.Varicosavirus_9nsp.zip")</f>
        <v>2022.021M.Varicosavirus_9nsp.zip</v>
      </c>
    </row>
    <row r="14074" spans="1:21">
      <c r="A14074">
        <v>14073</v>
      </c>
      <c r="B14074" s="27" t="s">
        <v>1124</v>
      </c>
      <c r="D14074" s="27" t="s">
        <v>1859</v>
      </c>
      <c r="F14074" s="27" t="s">
        <v>938</v>
      </c>
      <c r="G14074" s="27" t="s">
        <v>939</v>
      </c>
      <c r="H14074" s="27" t="s">
        <v>945</v>
      </c>
      <c r="J14074" s="27" t="s">
        <v>238</v>
      </c>
      <c r="L14074" s="27" t="s">
        <v>346</v>
      </c>
      <c r="M14074" s="27" t="s">
        <v>3576</v>
      </c>
      <c r="N14074" s="27" t="s">
        <v>353</v>
      </c>
      <c r="P14074" s="27" t="s">
        <v>16946</v>
      </c>
      <c r="Q14074" s="26" t="str">
        <f>HYPERLINK("https://ictv.global/taxonomy/taxondetails?taxnode_id=202518607&amp;ictv_id=ICTV202318607","ICTV202318607")</f>
        <v>ICTV202318607</v>
      </c>
      <c r="R14074" t="s">
        <v>580</v>
      </c>
      <c r="S14074" t="s">
        <v>823</v>
      </c>
      <c r="T14074">
        <v>39</v>
      </c>
      <c r="U14074" s="26" t="str">
        <f>HYPERLINK("https://ictv.global/ictv/proposals/2023.022M.Varicosavirus_32nsp.zip","2023.022M.Varicosavirus_32nsp.zip")</f>
        <v>2023.022M.Varicosavirus_32nsp.zip</v>
      </c>
    </row>
    <row r="14075" spans="1:21">
      <c r="A14075">
        <v>14074</v>
      </c>
      <c r="B14075" s="27" t="s">
        <v>1124</v>
      </c>
      <c r="D14075" s="27" t="s">
        <v>1859</v>
      </c>
      <c r="F14075" s="27" t="s">
        <v>938</v>
      </c>
      <c r="G14075" s="27" t="s">
        <v>939</v>
      </c>
      <c r="H14075" s="27" t="s">
        <v>945</v>
      </c>
      <c r="J14075" s="27" t="s">
        <v>238</v>
      </c>
      <c r="L14075" s="27" t="s">
        <v>346</v>
      </c>
      <c r="M14075" s="27" t="s">
        <v>3576</v>
      </c>
      <c r="N14075" s="27" t="s">
        <v>353</v>
      </c>
      <c r="P14075" s="27" t="s">
        <v>16947</v>
      </c>
      <c r="Q14075" s="26" t="str">
        <f>HYPERLINK("https://ictv.global/taxonomy/taxondetails?taxnode_id=202518608&amp;ictv_id=ICTV202318608","ICTV202318608")</f>
        <v>ICTV202318608</v>
      </c>
      <c r="R14075" t="s">
        <v>580</v>
      </c>
      <c r="S14075" t="s">
        <v>823</v>
      </c>
      <c r="T14075">
        <v>39</v>
      </c>
      <c r="U14075" s="26" t="str">
        <f>HYPERLINK("https://ictv.global/ictv/proposals/2023.022M.Varicosavirus_32nsp.zip","2023.022M.Varicosavirus_32nsp.zip")</f>
        <v>2023.022M.Varicosavirus_32nsp.zip</v>
      </c>
    </row>
    <row r="14076" spans="1:21">
      <c r="A14076">
        <v>14075</v>
      </c>
      <c r="B14076" s="27" t="s">
        <v>1124</v>
      </c>
      <c r="D14076" s="27" t="s">
        <v>1859</v>
      </c>
      <c r="F14076" s="27" t="s">
        <v>938</v>
      </c>
      <c r="G14076" s="27" t="s">
        <v>939</v>
      </c>
      <c r="H14076" s="27" t="s">
        <v>945</v>
      </c>
      <c r="J14076" s="27" t="s">
        <v>238</v>
      </c>
      <c r="L14076" s="27" t="s">
        <v>346</v>
      </c>
      <c r="M14076" s="27" t="s">
        <v>3576</v>
      </c>
      <c r="N14076" s="27" t="s">
        <v>353</v>
      </c>
      <c r="P14076" s="27" t="s">
        <v>22032</v>
      </c>
      <c r="Q14076" s="26" t="str">
        <f>HYPERLINK("https://ictv.global/taxonomy/taxondetails?taxnode_id=202522836&amp;ictv_id=ICTV202522836","ICTV202522836")</f>
        <v>ICTV202522836</v>
      </c>
      <c r="R14076" t="s">
        <v>580</v>
      </c>
      <c r="S14076" t="s">
        <v>823</v>
      </c>
      <c r="T14076">
        <v>41</v>
      </c>
      <c r="U14076" s="26" t="str">
        <f>HYPERLINK("https://ictv.global/ictv/proposals/2025.026P.Rhabdoviridae_Varicosavivirus_3nsp.zip","2025.026P.Rhabdoviridae_Varicosavivirus_3nsp.zip")</f>
        <v>2025.026P.Rhabdoviridae_Varicosavivirus_3nsp.zip</v>
      </c>
    </row>
    <row r="14077" spans="1:21">
      <c r="A14077">
        <v>14076</v>
      </c>
      <c r="B14077" s="27" t="s">
        <v>1124</v>
      </c>
      <c r="D14077" s="27" t="s">
        <v>1859</v>
      </c>
      <c r="F14077" s="27" t="s">
        <v>938</v>
      </c>
      <c r="G14077" s="27" t="s">
        <v>939</v>
      </c>
      <c r="H14077" s="27" t="s">
        <v>945</v>
      </c>
      <c r="J14077" s="27" t="s">
        <v>238</v>
      </c>
      <c r="L14077" s="27" t="s">
        <v>346</v>
      </c>
      <c r="M14077" s="27" t="s">
        <v>3576</v>
      </c>
      <c r="N14077" s="27" t="s">
        <v>353</v>
      </c>
      <c r="P14077" s="27" t="s">
        <v>16948</v>
      </c>
      <c r="Q14077" s="26" t="str">
        <f>HYPERLINK("https://ictv.global/taxonomy/taxondetails?taxnode_id=202518609&amp;ictv_id=ICTV202318609","ICTV202318609")</f>
        <v>ICTV202318609</v>
      </c>
      <c r="R14077" t="s">
        <v>580</v>
      </c>
      <c r="S14077" t="s">
        <v>823</v>
      </c>
      <c r="T14077">
        <v>39</v>
      </c>
      <c r="U14077" s="26" t="str">
        <f>HYPERLINK("https://ictv.global/ictv/proposals/2023.022M.Varicosavirus_32nsp.zip","2023.022M.Varicosavirus_32nsp.zip")</f>
        <v>2023.022M.Varicosavirus_32nsp.zip</v>
      </c>
    </row>
    <row r="14078" spans="1:21">
      <c r="A14078">
        <v>14077</v>
      </c>
      <c r="B14078" s="27" t="s">
        <v>1124</v>
      </c>
      <c r="D14078" s="27" t="s">
        <v>1859</v>
      </c>
      <c r="F14078" s="27" t="s">
        <v>938</v>
      </c>
      <c r="G14078" s="27" t="s">
        <v>939</v>
      </c>
      <c r="H14078" s="27" t="s">
        <v>945</v>
      </c>
      <c r="J14078" s="27" t="s">
        <v>238</v>
      </c>
      <c r="L14078" s="27" t="s">
        <v>346</v>
      </c>
      <c r="M14078" s="27" t="s">
        <v>3576</v>
      </c>
      <c r="N14078" s="27" t="s">
        <v>353</v>
      </c>
      <c r="P14078" s="27" t="s">
        <v>16949</v>
      </c>
      <c r="Q14078" s="26" t="str">
        <f>HYPERLINK("https://ictv.global/taxonomy/taxondetails?taxnode_id=202518610&amp;ictv_id=ICTV202318610","ICTV202318610")</f>
        <v>ICTV202318610</v>
      </c>
      <c r="R14078" t="s">
        <v>580</v>
      </c>
      <c r="S14078" t="s">
        <v>823</v>
      </c>
      <c r="T14078">
        <v>39</v>
      </c>
      <c r="U14078" s="26" t="str">
        <f>HYPERLINK("https://ictv.global/ictv/proposals/2023.022M.Varicosavirus_32nsp.zip","2023.022M.Varicosavirus_32nsp.zip")</f>
        <v>2023.022M.Varicosavirus_32nsp.zip</v>
      </c>
    </row>
    <row r="14079" spans="1:21">
      <c r="A14079">
        <v>14078</v>
      </c>
      <c r="B14079" s="27" t="s">
        <v>1124</v>
      </c>
      <c r="D14079" s="27" t="s">
        <v>1859</v>
      </c>
      <c r="F14079" s="27" t="s">
        <v>938</v>
      </c>
      <c r="G14079" s="27" t="s">
        <v>939</v>
      </c>
      <c r="H14079" s="27" t="s">
        <v>945</v>
      </c>
      <c r="J14079" s="27" t="s">
        <v>238</v>
      </c>
      <c r="L14079" s="27" t="s">
        <v>346</v>
      </c>
      <c r="M14079" s="27" t="s">
        <v>3576</v>
      </c>
      <c r="N14079" s="27" t="s">
        <v>353</v>
      </c>
      <c r="P14079" s="27" t="s">
        <v>16950</v>
      </c>
      <c r="Q14079" s="26" t="str">
        <f>HYPERLINK("https://ictv.global/taxonomy/taxondetails?taxnode_id=202518611&amp;ictv_id=ICTV202318611","ICTV202318611")</f>
        <v>ICTV202318611</v>
      </c>
      <c r="R14079" t="s">
        <v>580</v>
      </c>
      <c r="S14079" t="s">
        <v>823</v>
      </c>
      <c r="T14079">
        <v>39</v>
      </c>
      <c r="U14079" s="26" t="str">
        <f>HYPERLINK("https://ictv.global/ictv/proposals/2023.022M.Varicosavirus_32nsp.zip","2023.022M.Varicosavirus_32nsp.zip")</f>
        <v>2023.022M.Varicosavirus_32nsp.zip</v>
      </c>
    </row>
    <row r="14080" spans="1:21">
      <c r="A14080">
        <v>14079</v>
      </c>
      <c r="B14080" s="27" t="s">
        <v>1124</v>
      </c>
      <c r="D14080" s="27" t="s">
        <v>1859</v>
      </c>
      <c r="F14080" s="27" t="s">
        <v>938</v>
      </c>
      <c r="G14080" s="27" t="s">
        <v>939</v>
      </c>
      <c r="H14080" s="27" t="s">
        <v>945</v>
      </c>
      <c r="J14080" s="27" t="s">
        <v>238</v>
      </c>
      <c r="L14080" s="27" t="s">
        <v>346</v>
      </c>
      <c r="M14080" s="27" t="s">
        <v>3576</v>
      </c>
      <c r="N14080" s="27" t="s">
        <v>353</v>
      </c>
      <c r="P14080" s="27" t="s">
        <v>16951</v>
      </c>
      <c r="Q14080" s="26" t="str">
        <f>HYPERLINK("https://ictv.global/taxonomy/taxondetails?taxnode_id=202518612&amp;ictv_id=ICTV202318612","ICTV202318612")</f>
        <v>ICTV202318612</v>
      </c>
      <c r="R14080" t="s">
        <v>580</v>
      </c>
      <c r="S14080" t="s">
        <v>823</v>
      </c>
      <c r="T14080">
        <v>39</v>
      </c>
      <c r="U14080" s="26" t="str">
        <f>HYPERLINK("https://ictv.global/ictv/proposals/2023.022M.Varicosavirus_32nsp.zip","2023.022M.Varicosavirus_32nsp.zip")</f>
        <v>2023.022M.Varicosavirus_32nsp.zip</v>
      </c>
    </row>
    <row r="14081" spans="1:21">
      <c r="A14081">
        <v>14080</v>
      </c>
      <c r="B14081" s="27" t="s">
        <v>1124</v>
      </c>
      <c r="D14081" s="27" t="s">
        <v>1859</v>
      </c>
      <c r="F14081" s="27" t="s">
        <v>938</v>
      </c>
      <c r="G14081" s="27" t="s">
        <v>939</v>
      </c>
      <c r="H14081" s="27" t="s">
        <v>945</v>
      </c>
      <c r="J14081" s="27" t="s">
        <v>238</v>
      </c>
      <c r="L14081" s="27" t="s">
        <v>346</v>
      </c>
      <c r="M14081" s="27" t="s">
        <v>3576</v>
      </c>
      <c r="N14081" s="27" t="s">
        <v>353</v>
      </c>
      <c r="P14081" s="27" t="s">
        <v>16952</v>
      </c>
      <c r="Q14081" s="26" t="str">
        <f>HYPERLINK("https://ictv.global/taxonomy/taxondetails?taxnode_id=202518613&amp;ictv_id=ICTV202318613","ICTV202318613")</f>
        <v>ICTV202318613</v>
      </c>
      <c r="R14081" t="s">
        <v>580</v>
      </c>
      <c r="S14081" t="s">
        <v>823</v>
      </c>
      <c r="T14081">
        <v>39</v>
      </c>
      <c r="U14081" s="26" t="str">
        <f>HYPERLINK("https://ictv.global/ictv/proposals/2023.022M.Varicosavirus_32nsp.zip","2023.022M.Varicosavirus_32nsp.zip")</f>
        <v>2023.022M.Varicosavirus_32nsp.zip</v>
      </c>
    </row>
    <row r="14082" spans="1:21">
      <c r="A14082">
        <v>14081</v>
      </c>
      <c r="B14082" s="27" t="s">
        <v>1124</v>
      </c>
      <c r="D14082" s="27" t="s">
        <v>1859</v>
      </c>
      <c r="F14082" s="27" t="s">
        <v>938</v>
      </c>
      <c r="G14082" s="27" t="s">
        <v>939</v>
      </c>
      <c r="H14082" s="27" t="s">
        <v>945</v>
      </c>
      <c r="J14082" s="27" t="s">
        <v>238</v>
      </c>
      <c r="L14082" s="27" t="s">
        <v>346</v>
      </c>
      <c r="M14082" s="27" t="s">
        <v>3576</v>
      </c>
      <c r="N14082" s="27" t="s">
        <v>353</v>
      </c>
      <c r="P14082" s="27" t="s">
        <v>22033</v>
      </c>
      <c r="Q14082" s="26" t="str">
        <f>HYPERLINK("https://ictv.global/taxonomy/taxondetails?taxnode_id=202522837&amp;ictv_id=ICTV202522837","ICTV202522837")</f>
        <v>ICTV202522837</v>
      </c>
      <c r="R14082" t="s">
        <v>580</v>
      </c>
      <c r="S14082" t="s">
        <v>823</v>
      </c>
      <c r="T14082">
        <v>41</v>
      </c>
      <c r="U14082" s="26" t="str">
        <f>HYPERLINK("https://ictv.global/ictv/proposals/2025.026P.Rhabdoviridae_Varicosavivirus_3nsp.zip","2025.026P.Rhabdoviridae_Varicosavivirus_3nsp.zip")</f>
        <v>2025.026P.Rhabdoviridae_Varicosavivirus_3nsp.zip</v>
      </c>
    </row>
    <row r="14083" spans="1:21">
      <c r="A14083">
        <v>14082</v>
      </c>
      <c r="B14083" s="27" t="s">
        <v>1124</v>
      </c>
      <c r="D14083" s="27" t="s">
        <v>1859</v>
      </c>
      <c r="F14083" s="27" t="s">
        <v>938</v>
      </c>
      <c r="G14083" s="27" t="s">
        <v>939</v>
      </c>
      <c r="H14083" s="27" t="s">
        <v>945</v>
      </c>
      <c r="J14083" s="27" t="s">
        <v>238</v>
      </c>
      <c r="L14083" s="27" t="s">
        <v>346</v>
      </c>
      <c r="M14083" s="27" t="s">
        <v>3576</v>
      </c>
      <c r="N14083" s="27" t="s">
        <v>353</v>
      </c>
      <c r="P14083" s="27" t="s">
        <v>16953</v>
      </c>
      <c r="Q14083" s="26" t="str">
        <f>HYPERLINK("https://ictv.global/taxonomy/taxondetails?taxnode_id=202518614&amp;ictv_id=ICTV202318614","ICTV202318614")</f>
        <v>ICTV202318614</v>
      </c>
      <c r="R14083" t="s">
        <v>580</v>
      </c>
      <c r="S14083" t="s">
        <v>823</v>
      </c>
      <c r="T14083">
        <v>39</v>
      </c>
      <c r="U14083" s="26" t="str">
        <f>HYPERLINK("https://ictv.global/ictv/proposals/2023.022M.Varicosavirus_32nsp.zip","2023.022M.Varicosavirus_32nsp.zip")</f>
        <v>2023.022M.Varicosavirus_32nsp.zip</v>
      </c>
    </row>
    <row r="14084" spans="1:21">
      <c r="A14084">
        <v>14083</v>
      </c>
      <c r="B14084" s="27" t="s">
        <v>1124</v>
      </c>
      <c r="D14084" s="27" t="s">
        <v>1859</v>
      </c>
      <c r="F14084" s="27" t="s">
        <v>938</v>
      </c>
      <c r="G14084" s="27" t="s">
        <v>939</v>
      </c>
      <c r="H14084" s="27" t="s">
        <v>945</v>
      </c>
      <c r="J14084" s="27" t="s">
        <v>238</v>
      </c>
      <c r="L14084" s="27" t="s">
        <v>346</v>
      </c>
      <c r="M14084" s="27" t="s">
        <v>3576</v>
      </c>
      <c r="N14084" s="27" t="s">
        <v>353</v>
      </c>
      <c r="P14084" s="27" t="s">
        <v>16954</v>
      </c>
      <c r="Q14084" s="26" t="str">
        <f>HYPERLINK("https://ictv.global/taxonomy/taxondetails?taxnode_id=202518615&amp;ictv_id=ICTV202318615","ICTV202318615")</f>
        <v>ICTV202318615</v>
      </c>
      <c r="R14084" t="s">
        <v>580</v>
      </c>
      <c r="S14084" t="s">
        <v>823</v>
      </c>
      <c r="T14084">
        <v>39</v>
      </c>
      <c r="U14084" s="26" t="str">
        <f>HYPERLINK("https://ictv.global/ictv/proposals/2023.022M.Varicosavirus_32nsp.zip","2023.022M.Varicosavirus_32nsp.zip")</f>
        <v>2023.022M.Varicosavirus_32nsp.zip</v>
      </c>
    </row>
    <row r="14085" spans="1:21">
      <c r="A14085">
        <v>14084</v>
      </c>
      <c r="B14085" s="27" t="s">
        <v>1124</v>
      </c>
      <c r="D14085" s="27" t="s">
        <v>1859</v>
      </c>
      <c r="F14085" s="27" t="s">
        <v>938</v>
      </c>
      <c r="G14085" s="27" t="s">
        <v>939</v>
      </c>
      <c r="H14085" s="27" t="s">
        <v>945</v>
      </c>
      <c r="J14085" s="27" t="s">
        <v>238</v>
      </c>
      <c r="L14085" s="27" t="s">
        <v>346</v>
      </c>
      <c r="M14085" s="27" t="s">
        <v>3576</v>
      </c>
      <c r="N14085" s="27" t="s">
        <v>353</v>
      </c>
      <c r="P14085" s="27" t="s">
        <v>16955</v>
      </c>
      <c r="Q14085" s="26" t="str">
        <f>HYPERLINK("https://ictv.global/taxonomy/taxondetails?taxnode_id=202518616&amp;ictv_id=ICTV202318616","ICTV202318616")</f>
        <v>ICTV202318616</v>
      </c>
      <c r="R14085" t="s">
        <v>580</v>
      </c>
      <c r="S14085" t="s">
        <v>823</v>
      </c>
      <c r="T14085">
        <v>39</v>
      </c>
      <c r="U14085" s="26" t="str">
        <f>HYPERLINK("https://ictv.global/ictv/proposals/2023.022M.Varicosavirus_32nsp.zip","2023.022M.Varicosavirus_32nsp.zip")</f>
        <v>2023.022M.Varicosavirus_32nsp.zip</v>
      </c>
    </row>
    <row r="14086" spans="1:21">
      <c r="A14086">
        <v>14085</v>
      </c>
      <c r="B14086" s="27" t="s">
        <v>1124</v>
      </c>
      <c r="D14086" s="27" t="s">
        <v>1859</v>
      </c>
      <c r="F14086" s="27" t="s">
        <v>938</v>
      </c>
      <c r="G14086" s="27" t="s">
        <v>939</v>
      </c>
      <c r="H14086" s="27" t="s">
        <v>945</v>
      </c>
      <c r="J14086" s="27" t="s">
        <v>238</v>
      </c>
      <c r="L14086" s="27" t="s">
        <v>346</v>
      </c>
      <c r="M14086" s="27" t="s">
        <v>3576</v>
      </c>
      <c r="N14086" s="27" t="s">
        <v>353</v>
      </c>
      <c r="P14086" s="27" t="s">
        <v>16956</v>
      </c>
      <c r="Q14086" s="26" t="str">
        <f>HYPERLINK("https://ictv.global/taxonomy/taxondetails?taxnode_id=202518617&amp;ictv_id=ICTV202318617","ICTV202318617")</f>
        <v>ICTV202318617</v>
      </c>
      <c r="R14086" t="s">
        <v>580</v>
      </c>
      <c r="S14086" t="s">
        <v>823</v>
      </c>
      <c r="T14086">
        <v>39</v>
      </c>
      <c r="U14086" s="26" t="str">
        <f>HYPERLINK("https://ictv.global/ictv/proposals/2023.022M.Varicosavirus_32nsp.zip","2023.022M.Varicosavirus_32nsp.zip")</f>
        <v>2023.022M.Varicosavirus_32nsp.zip</v>
      </c>
    </row>
    <row r="14087" spans="1:21">
      <c r="A14087">
        <v>14086</v>
      </c>
      <c r="B14087" s="27" t="s">
        <v>1124</v>
      </c>
      <c r="D14087" s="27" t="s">
        <v>1859</v>
      </c>
      <c r="F14087" s="27" t="s">
        <v>938</v>
      </c>
      <c r="G14087" s="27" t="s">
        <v>939</v>
      </c>
      <c r="H14087" s="27" t="s">
        <v>945</v>
      </c>
      <c r="J14087" s="27" t="s">
        <v>238</v>
      </c>
      <c r="L14087" s="27" t="s">
        <v>346</v>
      </c>
      <c r="M14087" s="27" t="s">
        <v>3576</v>
      </c>
      <c r="N14087" s="27" t="s">
        <v>353</v>
      </c>
      <c r="P14087" s="27" t="s">
        <v>16957</v>
      </c>
      <c r="Q14087" s="26" t="str">
        <f>HYPERLINK("https://ictv.global/taxonomy/taxondetails?taxnode_id=202518618&amp;ictv_id=ICTV202318618","ICTV202318618")</f>
        <v>ICTV202318618</v>
      </c>
      <c r="R14087" t="s">
        <v>580</v>
      </c>
      <c r="S14087" t="s">
        <v>823</v>
      </c>
      <c r="T14087">
        <v>39</v>
      </c>
      <c r="U14087" s="26" t="str">
        <f>HYPERLINK("https://ictv.global/ictv/proposals/2023.022M.Varicosavirus_32nsp.zip","2023.022M.Varicosavirus_32nsp.zip")</f>
        <v>2023.022M.Varicosavirus_32nsp.zip</v>
      </c>
    </row>
    <row r="14088" spans="1:21">
      <c r="A14088">
        <v>14087</v>
      </c>
      <c r="B14088" s="27" t="s">
        <v>1124</v>
      </c>
      <c r="D14088" s="27" t="s">
        <v>1859</v>
      </c>
      <c r="F14088" s="27" t="s">
        <v>938</v>
      </c>
      <c r="G14088" s="27" t="s">
        <v>939</v>
      </c>
      <c r="H14088" s="27" t="s">
        <v>945</v>
      </c>
      <c r="J14088" s="27" t="s">
        <v>238</v>
      </c>
      <c r="L14088" s="27" t="s">
        <v>346</v>
      </c>
      <c r="M14088" s="27" t="s">
        <v>3576</v>
      </c>
      <c r="N14088" s="27" t="s">
        <v>353</v>
      </c>
      <c r="P14088" s="27" t="s">
        <v>9763</v>
      </c>
      <c r="Q14088" s="26" t="str">
        <f>HYPERLINK("https://ictv.global/taxonomy/taxondetails?taxnode_id=202509369&amp;ictv_id=ICTV202009369","ICTV202009369")</f>
        <v>ICTV202009369</v>
      </c>
      <c r="R14088" t="s">
        <v>580</v>
      </c>
      <c r="S14088" t="s">
        <v>824</v>
      </c>
      <c r="T14088">
        <v>37</v>
      </c>
      <c r="U14088" s="26" t="str">
        <f>HYPERLINK("https://ictv.global/ictv/proposals/2021.036M.R.Rhabdoviridae_sprename.zip","2021.036M.R.Rhabdoviridae_sprename.zip")</f>
        <v>2021.036M.R.Rhabdoviridae_sprename.zip</v>
      </c>
    </row>
    <row r="14089" spans="1:21">
      <c r="A14089">
        <v>14088</v>
      </c>
      <c r="B14089" s="27" t="s">
        <v>1124</v>
      </c>
      <c r="D14089" s="27" t="s">
        <v>1859</v>
      </c>
      <c r="F14089" s="27" t="s">
        <v>938</v>
      </c>
      <c r="G14089" s="27" t="s">
        <v>939</v>
      </c>
      <c r="H14089" s="27" t="s">
        <v>945</v>
      </c>
      <c r="J14089" s="27" t="s">
        <v>238</v>
      </c>
      <c r="L14089" s="27" t="s">
        <v>346</v>
      </c>
      <c r="M14089" s="27" t="s">
        <v>3576</v>
      </c>
      <c r="N14089" s="27" t="s">
        <v>353</v>
      </c>
      <c r="P14089" s="27" t="s">
        <v>16958</v>
      </c>
      <c r="Q14089" s="26" t="str">
        <f>HYPERLINK("https://ictv.global/taxonomy/taxondetails?taxnode_id=202518619&amp;ictv_id=ICTV202318619","ICTV202318619")</f>
        <v>ICTV202318619</v>
      </c>
      <c r="R14089" t="s">
        <v>580</v>
      </c>
      <c r="S14089" t="s">
        <v>823</v>
      </c>
      <c r="T14089">
        <v>39</v>
      </c>
      <c r="U14089" s="26" t="str">
        <f>HYPERLINK("https://ictv.global/ictv/proposals/2023.022M.Varicosavirus_32nsp.zip","2023.022M.Varicosavirus_32nsp.zip")</f>
        <v>2023.022M.Varicosavirus_32nsp.zip</v>
      </c>
    </row>
    <row r="14090" spans="1:21">
      <c r="A14090">
        <v>14089</v>
      </c>
      <c r="B14090" s="27" t="s">
        <v>1124</v>
      </c>
      <c r="D14090" s="27" t="s">
        <v>1859</v>
      </c>
      <c r="F14090" s="27" t="s">
        <v>938</v>
      </c>
      <c r="G14090" s="27" t="s">
        <v>939</v>
      </c>
      <c r="H14090" s="27" t="s">
        <v>945</v>
      </c>
      <c r="J14090" s="27" t="s">
        <v>238</v>
      </c>
      <c r="L14090" s="27" t="s">
        <v>346</v>
      </c>
      <c r="M14090" s="27" t="s">
        <v>3576</v>
      </c>
      <c r="N14090" s="27" t="s">
        <v>353</v>
      </c>
      <c r="P14090" s="27" t="s">
        <v>16959</v>
      </c>
      <c r="Q14090" s="26" t="str">
        <f>HYPERLINK("https://ictv.global/taxonomy/taxondetails?taxnode_id=202518620&amp;ictv_id=ICTV202318620","ICTV202318620")</f>
        <v>ICTV202318620</v>
      </c>
      <c r="R14090" t="s">
        <v>580</v>
      </c>
      <c r="S14090" t="s">
        <v>823</v>
      </c>
      <c r="T14090">
        <v>39</v>
      </c>
      <c r="U14090" s="26" t="str">
        <f>HYPERLINK("https://ictv.global/ictv/proposals/2023.022M.Varicosavirus_32nsp.zip","2023.022M.Varicosavirus_32nsp.zip")</f>
        <v>2023.022M.Varicosavirus_32nsp.zip</v>
      </c>
    </row>
    <row r="14091" spans="1:21">
      <c r="A14091">
        <v>14090</v>
      </c>
      <c r="B14091" s="27" t="s">
        <v>1124</v>
      </c>
      <c r="D14091" s="27" t="s">
        <v>1859</v>
      </c>
      <c r="F14091" s="27" t="s">
        <v>938</v>
      </c>
      <c r="G14091" s="27" t="s">
        <v>939</v>
      </c>
      <c r="H14091" s="27" t="s">
        <v>945</v>
      </c>
      <c r="J14091" s="27" t="s">
        <v>238</v>
      </c>
      <c r="L14091" s="27" t="s">
        <v>346</v>
      </c>
      <c r="M14091" s="27" t="s">
        <v>3576</v>
      </c>
      <c r="N14091" s="27" t="s">
        <v>353</v>
      </c>
      <c r="P14091" s="27" t="s">
        <v>9764</v>
      </c>
      <c r="Q14091" s="26" t="str">
        <f>HYPERLINK("https://ictv.global/taxonomy/taxondetails?taxnode_id=202514272&amp;ictv_id=ICTV202214272","ICTV202214272")</f>
        <v>ICTV202214272</v>
      </c>
      <c r="R14091" t="s">
        <v>580</v>
      </c>
      <c r="S14091" t="s">
        <v>823</v>
      </c>
      <c r="T14091">
        <v>38</v>
      </c>
      <c r="U14091" s="26" t="str">
        <f>HYPERLINK("https://ictv.global/ictv/proposals/2022.021M.Varicosavirus_9nsp.zip","2022.021M.Varicosavirus_9nsp.zip")</f>
        <v>2022.021M.Varicosavirus_9nsp.zip</v>
      </c>
    </row>
    <row r="14092" spans="1:21">
      <c r="A14092">
        <v>14091</v>
      </c>
      <c r="B14092" s="27" t="s">
        <v>1124</v>
      </c>
      <c r="D14092" s="27" t="s">
        <v>1859</v>
      </c>
      <c r="F14092" s="27" t="s">
        <v>938</v>
      </c>
      <c r="G14092" s="27" t="s">
        <v>939</v>
      </c>
      <c r="H14092" s="27" t="s">
        <v>945</v>
      </c>
      <c r="J14092" s="27" t="s">
        <v>238</v>
      </c>
      <c r="L14092" s="27" t="s">
        <v>346</v>
      </c>
      <c r="M14092" s="27" t="s">
        <v>3576</v>
      </c>
      <c r="N14092" s="27" t="s">
        <v>353</v>
      </c>
      <c r="P14092" s="27" t="s">
        <v>9765</v>
      </c>
      <c r="Q14092" s="26" t="str">
        <f>HYPERLINK("https://ictv.global/taxonomy/taxondetails?taxnode_id=202514273&amp;ictv_id=ICTV202214273","ICTV202214273")</f>
        <v>ICTV202214273</v>
      </c>
      <c r="R14092" t="s">
        <v>580</v>
      </c>
      <c r="S14092" t="s">
        <v>823</v>
      </c>
      <c r="T14092">
        <v>38</v>
      </c>
      <c r="U14092" s="26" t="str">
        <f>HYPERLINK("https://ictv.global/ictv/proposals/2022.021M.Varicosavirus_9nsp.zip","2022.021M.Varicosavirus_9nsp.zip")</f>
        <v>2022.021M.Varicosavirus_9nsp.zip</v>
      </c>
    </row>
    <row r="14093" spans="1:21">
      <c r="A14093">
        <v>14092</v>
      </c>
      <c r="B14093" s="27" t="s">
        <v>1124</v>
      </c>
      <c r="D14093" s="27" t="s">
        <v>1859</v>
      </c>
      <c r="F14093" s="27" t="s">
        <v>938</v>
      </c>
      <c r="G14093" s="27" t="s">
        <v>939</v>
      </c>
      <c r="H14093" s="27" t="s">
        <v>945</v>
      </c>
      <c r="J14093" s="27" t="s">
        <v>238</v>
      </c>
      <c r="L14093" s="27" t="s">
        <v>346</v>
      </c>
      <c r="M14093" s="27" t="s">
        <v>3576</v>
      </c>
      <c r="N14093" s="27" t="s">
        <v>353</v>
      </c>
      <c r="P14093" s="27" t="s">
        <v>16960</v>
      </c>
      <c r="Q14093" s="26" t="str">
        <f>HYPERLINK("https://ictv.global/taxonomy/taxondetails?taxnode_id=202518621&amp;ictv_id=ICTV202318621","ICTV202318621")</f>
        <v>ICTV202318621</v>
      </c>
      <c r="R14093" t="s">
        <v>580</v>
      </c>
      <c r="S14093" t="s">
        <v>823</v>
      </c>
      <c r="T14093">
        <v>39</v>
      </c>
      <c r="U14093" s="26" t="str">
        <f>HYPERLINK("https://ictv.global/ictv/proposals/2023.022M.Varicosavirus_32nsp.zip","2023.022M.Varicosavirus_32nsp.zip")</f>
        <v>2023.022M.Varicosavirus_32nsp.zip</v>
      </c>
    </row>
    <row r="14094" spans="1:21">
      <c r="A14094">
        <v>14093</v>
      </c>
      <c r="B14094" s="27" t="s">
        <v>1124</v>
      </c>
      <c r="D14094" s="27" t="s">
        <v>1859</v>
      </c>
      <c r="F14094" s="27" t="s">
        <v>938</v>
      </c>
      <c r="G14094" s="27" t="s">
        <v>939</v>
      </c>
      <c r="H14094" s="27" t="s">
        <v>945</v>
      </c>
      <c r="J14094" s="27" t="s">
        <v>238</v>
      </c>
      <c r="L14094" s="27" t="s">
        <v>346</v>
      </c>
      <c r="M14094" s="27" t="s">
        <v>3576</v>
      </c>
      <c r="N14094" s="27" t="s">
        <v>353</v>
      </c>
      <c r="P14094" s="27" t="s">
        <v>9766</v>
      </c>
      <c r="Q14094" s="26" t="str">
        <f>HYPERLINK("https://ictv.global/taxonomy/taxondetails?taxnode_id=202514274&amp;ictv_id=ICTV202214274","ICTV202214274")</f>
        <v>ICTV202214274</v>
      </c>
      <c r="R14094" t="s">
        <v>580</v>
      </c>
      <c r="S14094" t="s">
        <v>823</v>
      </c>
      <c r="T14094">
        <v>38</v>
      </c>
      <c r="U14094" s="26" t="str">
        <f>HYPERLINK("https://ictv.global/ictv/proposals/2022.021M.Varicosavirus_9nsp.zip","2022.021M.Varicosavirus_9nsp.zip")</f>
        <v>2022.021M.Varicosavirus_9nsp.zip</v>
      </c>
    </row>
    <row r="14095" spans="1:21">
      <c r="A14095">
        <v>14094</v>
      </c>
      <c r="B14095" s="27" t="s">
        <v>1124</v>
      </c>
      <c r="D14095" s="27" t="s">
        <v>1859</v>
      </c>
      <c r="F14095" s="27" t="s">
        <v>938</v>
      </c>
      <c r="G14095" s="27" t="s">
        <v>939</v>
      </c>
      <c r="H14095" s="27" t="s">
        <v>945</v>
      </c>
      <c r="J14095" s="27" t="s">
        <v>238</v>
      </c>
      <c r="L14095" s="27" t="s">
        <v>346</v>
      </c>
      <c r="M14095" s="27" t="s">
        <v>16961</v>
      </c>
      <c r="N14095" s="27" t="s">
        <v>3578</v>
      </c>
      <c r="P14095" s="27" t="s">
        <v>21581</v>
      </c>
      <c r="Q14095" s="26" t="str">
        <f>HYPERLINK("https://ictv.global/taxonomy/taxondetails?taxnode_id=202522447&amp;ictv_id=ICTV202522447","ICTV202522447")</f>
        <v>ICTV202522447</v>
      </c>
      <c r="R14095" t="s">
        <v>580</v>
      </c>
      <c r="S14095" t="s">
        <v>823</v>
      </c>
      <c r="T14095">
        <v>41</v>
      </c>
      <c r="U14095" s="26" t="str">
        <f>HYPERLINK("https://ictv.global/ictv/proposals/2025.009M.Rhabdoviridae_4nsp.zip","2025.009M.Rhabdoviridae_4nsp.zip")</f>
        <v>2025.009M.Rhabdoviridae_4nsp.zip</v>
      </c>
    </row>
    <row r="14096" spans="1:21">
      <c r="A14096">
        <v>14095</v>
      </c>
      <c r="B14096" s="27" t="s">
        <v>1124</v>
      </c>
      <c r="D14096" s="27" t="s">
        <v>1859</v>
      </c>
      <c r="F14096" s="27" t="s">
        <v>938</v>
      </c>
      <c r="G14096" s="27" t="s">
        <v>939</v>
      </c>
      <c r="H14096" s="27" t="s">
        <v>945</v>
      </c>
      <c r="J14096" s="27" t="s">
        <v>238</v>
      </c>
      <c r="L14096" s="27" t="s">
        <v>346</v>
      </c>
      <c r="M14096" s="27" t="s">
        <v>16961</v>
      </c>
      <c r="N14096" s="27" t="s">
        <v>3578</v>
      </c>
      <c r="P14096" s="27" t="s">
        <v>9771</v>
      </c>
      <c r="Q14096" s="26" t="str">
        <f>HYPERLINK("https://ictv.global/taxonomy/taxondetails?taxnode_id=202509636&amp;ictv_id=ICTV202009636","ICTV202009636")</f>
        <v>ICTV202009636</v>
      </c>
      <c r="R14096" t="s">
        <v>580</v>
      </c>
      <c r="S14096" t="s">
        <v>22763</v>
      </c>
      <c r="T14096">
        <v>39</v>
      </c>
      <c r="U14096" s="26" t="str">
        <f t="shared" ref="U14096:U14101" si="524">HYPERLINK("https://ictv.global/ictv/proposals/2023.021M.Rhabdoviridae_24nsp_5ngen_1nsf.zip","2023.021M.Rhabdoviridae_24nsp_5ngen_1nsf.zip")</f>
        <v>2023.021M.Rhabdoviridae_24nsp_5ngen_1nsf.zip</v>
      </c>
    </row>
    <row r="14097" spans="1:21">
      <c r="A14097">
        <v>14096</v>
      </c>
      <c r="B14097" s="27" t="s">
        <v>1124</v>
      </c>
      <c r="D14097" s="27" t="s">
        <v>1859</v>
      </c>
      <c r="F14097" s="27" t="s">
        <v>938</v>
      </c>
      <c r="G14097" s="27" t="s">
        <v>939</v>
      </c>
      <c r="H14097" s="27" t="s">
        <v>945</v>
      </c>
      <c r="J14097" s="27" t="s">
        <v>238</v>
      </c>
      <c r="L14097" s="27" t="s">
        <v>346</v>
      </c>
      <c r="M14097" s="27" t="s">
        <v>16961</v>
      </c>
      <c r="N14097" s="27" t="s">
        <v>3578</v>
      </c>
      <c r="P14097" s="27" t="s">
        <v>9772</v>
      </c>
      <c r="Q14097" s="26" t="str">
        <f>HYPERLINK("https://ictv.global/taxonomy/taxondetails?taxnode_id=202509637&amp;ictv_id=ICTV202009637","ICTV202009637")</f>
        <v>ICTV202009637</v>
      </c>
      <c r="R14097" t="s">
        <v>580</v>
      </c>
      <c r="S14097" t="s">
        <v>22763</v>
      </c>
      <c r="T14097">
        <v>39</v>
      </c>
      <c r="U14097" s="26" t="str">
        <f t="shared" si="524"/>
        <v>2023.021M.Rhabdoviridae_24nsp_5ngen_1nsf.zip</v>
      </c>
    </row>
    <row r="14098" spans="1:21">
      <c r="A14098">
        <v>14097</v>
      </c>
      <c r="B14098" s="27" t="s">
        <v>1124</v>
      </c>
      <c r="D14098" s="27" t="s">
        <v>1859</v>
      </c>
      <c r="F14098" s="27" t="s">
        <v>938</v>
      </c>
      <c r="G14098" s="27" t="s">
        <v>939</v>
      </c>
      <c r="H14098" s="27" t="s">
        <v>945</v>
      </c>
      <c r="J14098" s="27" t="s">
        <v>238</v>
      </c>
      <c r="L14098" s="27" t="s">
        <v>346</v>
      </c>
      <c r="M14098" s="27" t="s">
        <v>16961</v>
      </c>
      <c r="N14098" s="27" t="s">
        <v>3579</v>
      </c>
      <c r="P14098" s="27" t="s">
        <v>9773</v>
      </c>
      <c r="Q14098" s="26" t="str">
        <f>HYPERLINK("https://ictv.global/taxonomy/taxondetails?taxnode_id=202509640&amp;ictv_id=ICTV202009640","ICTV202009640")</f>
        <v>ICTV202009640</v>
      </c>
      <c r="R14098" t="s">
        <v>580</v>
      </c>
      <c r="S14098" t="s">
        <v>22763</v>
      </c>
      <c r="T14098">
        <v>39</v>
      </c>
      <c r="U14098" s="26" t="str">
        <f t="shared" si="524"/>
        <v>2023.021M.Rhabdoviridae_24nsp_5ngen_1nsf.zip</v>
      </c>
    </row>
    <row r="14099" spans="1:21">
      <c r="A14099">
        <v>14098</v>
      </c>
      <c r="B14099" s="27" t="s">
        <v>1124</v>
      </c>
      <c r="D14099" s="27" t="s">
        <v>1859</v>
      </c>
      <c r="F14099" s="27" t="s">
        <v>938</v>
      </c>
      <c r="G14099" s="27" t="s">
        <v>939</v>
      </c>
      <c r="H14099" s="27" t="s">
        <v>945</v>
      </c>
      <c r="J14099" s="27" t="s">
        <v>238</v>
      </c>
      <c r="L14099" s="27" t="s">
        <v>346</v>
      </c>
      <c r="M14099" s="27" t="s">
        <v>16961</v>
      </c>
      <c r="N14099" s="27" t="s">
        <v>3579</v>
      </c>
      <c r="P14099" s="27" t="s">
        <v>9774</v>
      </c>
      <c r="Q14099" s="26" t="str">
        <f>HYPERLINK("https://ictv.global/taxonomy/taxondetails?taxnode_id=202509639&amp;ictv_id=ICTV202009639","ICTV202009639")</f>
        <v>ICTV202009639</v>
      </c>
      <c r="R14099" t="s">
        <v>580</v>
      </c>
      <c r="S14099" t="s">
        <v>22763</v>
      </c>
      <c r="T14099">
        <v>39</v>
      </c>
      <c r="U14099" s="26" t="str">
        <f t="shared" si="524"/>
        <v>2023.021M.Rhabdoviridae_24nsp_5ngen_1nsf.zip</v>
      </c>
    </row>
    <row r="14100" spans="1:21">
      <c r="A14100">
        <v>14099</v>
      </c>
      <c r="B14100" s="27" t="s">
        <v>1124</v>
      </c>
      <c r="D14100" s="27" t="s">
        <v>1859</v>
      </c>
      <c r="F14100" s="27" t="s">
        <v>938</v>
      </c>
      <c r="G14100" s="27" t="s">
        <v>939</v>
      </c>
      <c r="H14100" s="27" t="s">
        <v>945</v>
      </c>
      <c r="J14100" s="27" t="s">
        <v>238</v>
      </c>
      <c r="L14100" s="27" t="s">
        <v>346</v>
      </c>
      <c r="M14100" s="27" t="s">
        <v>16961</v>
      </c>
      <c r="N14100" s="27" t="s">
        <v>3580</v>
      </c>
      <c r="P14100" s="27" t="s">
        <v>9775</v>
      </c>
      <c r="Q14100" s="26" t="str">
        <f>HYPERLINK("https://ictv.global/taxonomy/taxondetails?taxnode_id=202509643&amp;ictv_id=ICTV202009643","ICTV202009643")</f>
        <v>ICTV202009643</v>
      </c>
      <c r="R14100" t="s">
        <v>580</v>
      </c>
      <c r="S14100" t="s">
        <v>22763</v>
      </c>
      <c r="T14100">
        <v>39</v>
      </c>
      <c r="U14100" s="26" t="str">
        <f t="shared" si="524"/>
        <v>2023.021M.Rhabdoviridae_24nsp_5ngen_1nsf.zip</v>
      </c>
    </row>
    <row r="14101" spans="1:21">
      <c r="A14101">
        <v>14100</v>
      </c>
      <c r="B14101" s="27" t="s">
        <v>1124</v>
      </c>
      <c r="D14101" s="27" t="s">
        <v>1859</v>
      </c>
      <c r="F14101" s="27" t="s">
        <v>938</v>
      </c>
      <c r="G14101" s="27" t="s">
        <v>939</v>
      </c>
      <c r="H14101" s="27" t="s">
        <v>945</v>
      </c>
      <c r="J14101" s="27" t="s">
        <v>238</v>
      </c>
      <c r="L14101" s="27" t="s">
        <v>346</v>
      </c>
      <c r="M14101" s="27" t="s">
        <v>16961</v>
      </c>
      <c r="N14101" s="27" t="s">
        <v>3580</v>
      </c>
      <c r="P14101" s="27" t="s">
        <v>16962</v>
      </c>
      <c r="Q14101" s="26" t="str">
        <f>HYPERLINK("https://ictv.global/taxonomy/taxondetails?taxnode_id=202518549&amp;ictv_id=ICTV202318549","ICTV202318549")</f>
        <v>ICTV202318549</v>
      </c>
      <c r="R14101" t="s">
        <v>580</v>
      </c>
      <c r="S14101" t="s">
        <v>823</v>
      </c>
      <c r="T14101">
        <v>39</v>
      </c>
      <c r="U14101" s="26" t="str">
        <f t="shared" si="524"/>
        <v>2023.021M.Rhabdoviridae_24nsp_5ngen_1nsf.zip</v>
      </c>
    </row>
    <row r="14102" spans="1:21">
      <c r="A14102">
        <v>14101</v>
      </c>
      <c r="B14102" s="27" t="s">
        <v>1124</v>
      </c>
      <c r="D14102" s="27" t="s">
        <v>1859</v>
      </c>
      <c r="F14102" s="27" t="s">
        <v>938</v>
      </c>
      <c r="G14102" s="27" t="s">
        <v>939</v>
      </c>
      <c r="H14102" s="27" t="s">
        <v>945</v>
      </c>
      <c r="J14102" s="27" t="s">
        <v>238</v>
      </c>
      <c r="L14102" s="27" t="s">
        <v>346</v>
      </c>
      <c r="M14102" s="27" t="s">
        <v>16961</v>
      </c>
      <c r="N14102" s="27" t="s">
        <v>3580</v>
      </c>
      <c r="P14102" s="27" t="s">
        <v>20409</v>
      </c>
      <c r="Q14102" s="26" t="str">
        <f>HYPERLINK("https://ictv.global/taxonomy/taxondetails?taxnode_id=202520242&amp;ictv_id=ICTV202420242","ICTV202420242")</f>
        <v>ICTV202420242</v>
      </c>
      <c r="R14102" t="s">
        <v>580</v>
      </c>
      <c r="S14102" t="s">
        <v>823</v>
      </c>
      <c r="T14102">
        <v>40</v>
      </c>
      <c r="U14102" s="26" t="str">
        <f>HYPERLINK("https://ictv.global/ictv/proposals/2024.006M.Deltarhabdovirinae_4nsp.zip","2024.006M.Deltarhabdovirinae_4nsp.zip")</f>
        <v>2024.006M.Deltarhabdovirinae_4nsp.zip</v>
      </c>
    </row>
    <row r="14103" spans="1:21">
      <c r="A14103">
        <v>14102</v>
      </c>
      <c r="B14103" s="27" t="s">
        <v>1124</v>
      </c>
      <c r="D14103" s="27" t="s">
        <v>1859</v>
      </c>
      <c r="F14103" s="27" t="s">
        <v>938</v>
      </c>
      <c r="G14103" s="27" t="s">
        <v>939</v>
      </c>
      <c r="H14103" s="27" t="s">
        <v>945</v>
      </c>
      <c r="J14103" s="27" t="s">
        <v>238</v>
      </c>
      <c r="L14103" s="27" t="s">
        <v>346</v>
      </c>
      <c r="M14103" s="27" t="s">
        <v>16961</v>
      </c>
      <c r="N14103" s="27" t="s">
        <v>3580</v>
      </c>
      <c r="P14103" s="27" t="s">
        <v>20410</v>
      </c>
      <c r="Q14103" s="26" t="str">
        <f>HYPERLINK("https://ictv.global/taxonomy/taxondetails?taxnode_id=202520241&amp;ictv_id=ICTV202420241","ICTV202420241")</f>
        <v>ICTV202420241</v>
      </c>
      <c r="R14103" t="s">
        <v>580</v>
      </c>
      <c r="S14103" t="s">
        <v>823</v>
      </c>
      <c r="T14103">
        <v>40</v>
      </c>
      <c r="U14103" s="26" t="str">
        <f>HYPERLINK("https://ictv.global/ictv/proposals/2024.006M.Deltarhabdovirinae_4nsp.zip","2024.006M.Deltarhabdovirinae_4nsp.zip")</f>
        <v>2024.006M.Deltarhabdovirinae_4nsp.zip</v>
      </c>
    </row>
    <row r="14104" spans="1:21">
      <c r="A14104">
        <v>14103</v>
      </c>
      <c r="B14104" s="27" t="s">
        <v>1124</v>
      </c>
      <c r="D14104" s="27" t="s">
        <v>1859</v>
      </c>
      <c r="F14104" s="27" t="s">
        <v>938</v>
      </c>
      <c r="G14104" s="27" t="s">
        <v>939</v>
      </c>
      <c r="H14104" s="27" t="s">
        <v>945</v>
      </c>
      <c r="J14104" s="27" t="s">
        <v>238</v>
      </c>
      <c r="L14104" s="27" t="s">
        <v>346</v>
      </c>
      <c r="M14104" s="27" t="s">
        <v>16961</v>
      </c>
      <c r="N14104" s="27" t="s">
        <v>3580</v>
      </c>
      <c r="P14104" s="27" t="s">
        <v>9776</v>
      </c>
      <c r="Q14104" s="26" t="str">
        <f>HYPERLINK("https://ictv.global/taxonomy/taxondetails?taxnode_id=202509645&amp;ictv_id=ICTV202009645","ICTV202009645")</f>
        <v>ICTV202009645</v>
      </c>
      <c r="R14104" t="s">
        <v>580</v>
      </c>
      <c r="S14104" t="s">
        <v>22763</v>
      </c>
      <c r="T14104">
        <v>39</v>
      </c>
      <c r="U14104" s="26" t="str">
        <f t="shared" ref="U14104:U14127" si="525">HYPERLINK("https://ictv.global/ictv/proposals/2023.021M.Rhabdoviridae_24nsp_5ngen_1nsf.zip","2023.021M.Rhabdoviridae_24nsp_5ngen_1nsf.zip")</f>
        <v>2023.021M.Rhabdoviridae_24nsp_5ngen_1nsf.zip</v>
      </c>
    </row>
    <row r="14105" spans="1:21">
      <c r="A14105">
        <v>14104</v>
      </c>
      <c r="B14105" s="27" t="s">
        <v>1124</v>
      </c>
      <c r="D14105" s="27" t="s">
        <v>1859</v>
      </c>
      <c r="F14105" s="27" t="s">
        <v>938</v>
      </c>
      <c r="G14105" s="27" t="s">
        <v>939</v>
      </c>
      <c r="H14105" s="27" t="s">
        <v>945</v>
      </c>
      <c r="J14105" s="27" t="s">
        <v>238</v>
      </c>
      <c r="L14105" s="27" t="s">
        <v>346</v>
      </c>
      <c r="M14105" s="27" t="s">
        <v>16961</v>
      </c>
      <c r="N14105" s="27" t="s">
        <v>3580</v>
      </c>
      <c r="P14105" s="27" t="s">
        <v>9777</v>
      </c>
      <c r="Q14105" s="26" t="str">
        <f>HYPERLINK("https://ictv.global/taxonomy/taxondetails?taxnode_id=202509642&amp;ictv_id=ICTV202009642","ICTV202009642")</f>
        <v>ICTV202009642</v>
      </c>
      <c r="R14105" t="s">
        <v>580</v>
      </c>
      <c r="S14105" t="s">
        <v>22763</v>
      </c>
      <c r="T14105">
        <v>39</v>
      </c>
      <c r="U14105" s="26" t="str">
        <f t="shared" si="525"/>
        <v>2023.021M.Rhabdoviridae_24nsp_5ngen_1nsf.zip</v>
      </c>
    </row>
    <row r="14106" spans="1:21">
      <c r="A14106">
        <v>14105</v>
      </c>
      <c r="B14106" s="27" t="s">
        <v>1124</v>
      </c>
      <c r="D14106" s="27" t="s">
        <v>1859</v>
      </c>
      <c r="F14106" s="27" t="s">
        <v>938</v>
      </c>
      <c r="G14106" s="27" t="s">
        <v>939</v>
      </c>
      <c r="H14106" s="27" t="s">
        <v>945</v>
      </c>
      <c r="J14106" s="27" t="s">
        <v>238</v>
      </c>
      <c r="L14106" s="27" t="s">
        <v>346</v>
      </c>
      <c r="M14106" s="27" t="s">
        <v>16961</v>
      </c>
      <c r="N14106" s="27" t="s">
        <v>3580</v>
      </c>
      <c r="P14106" s="27" t="s">
        <v>9778</v>
      </c>
      <c r="Q14106" s="26" t="str">
        <f>HYPERLINK("https://ictv.global/taxonomy/taxondetails?taxnode_id=202509644&amp;ictv_id=ICTV202009644","ICTV202009644")</f>
        <v>ICTV202009644</v>
      </c>
      <c r="R14106" t="s">
        <v>580</v>
      </c>
      <c r="S14106" t="s">
        <v>22763</v>
      </c>
      <c r="T14106">
        <v>39</v>
      </c>
      <c r="U14106" s="26" t="str">
        <f t="shared" si="525"/>
        <v>2023.021M.Rhabdoviridae_24nsp_5ngen_1nsf.zip</v>
      </c>
    </row>
    <row r="14107" spans="1:21">
      <c r="A14107">
        <v>14106</v>
      </c>
      <c r="B14107" s="27" t="s">
        <v>1124</v>
      </c>
      <c r="D14107" s="27" t="s">
        <v>1859</v>
      </c>
      <c r="F14107" s="27" t="s">
        <v>938</v>
      </c>
      <c r="G14107" s="27" t="s">
        <v>939</v>
      </c>
      <c r="H14107" s="27" t="s">
        <v>945</v>
      </c>
      <c r="J14107" s="27" t="s">
        <v>238</v>
      </c>
      <c r="L14107" s="27" t="s">
        <v>346</v>
      </c>
      <c r="M14107" s="27" t="s">
        <v>16961</v>
      </c>
      <c r="N14107" s="27" t="s">
        <v>3580</v>
      </c>
      <c r="P14107" s="27" t="s">
        <v>16963</v>
      </c>
      <c r="Q14107" s="26" t="str">
        <f>HYPERLINK("https://ictv.global/taxonomy/taxondetails?taxnode_id=202518550&amp;ictv_id=ICTV202318550","ICTV202318550")</f>
        <v>ICTV202318550</v>
      </c>
      <c r="R14107" t="s">
        <v>580</v>
      </c>
      <c r="S14107" t="s">
        <v>823</v>
      </c>
      <c r="T14107">
        <v>39</v>
      </c>
      <c r="U14107" s="26" t="str">
        <f t="shared" si="525"/>
        <v>2023.021M.Rhabdoviridae_24nsp_5ngen_1nsf.zip</v>
      </c>
    </row>
    <row r="14108" spans="1:21">
      <c r="A14108">
        <v>14107</v>
      </c>
      <c r="B14108" s="27" t="s">
        <v>1124</v>
      </c>
      <c r="D14108" s="27" t="s">
        <v>1859</v>
      </c>
      <c r="F14108" s="27" t="s">
        <v>938</v>
      </c>
      <c r="G14108" s="27" t="s">
        <v>939</v>
      </c>
      <c r="H14108" s="27" t="s">
        <v>945</v>
      </c>
      <c r="J14108" s="27" t="s">
        <v>238</v>
      </c>
      <c r="L14108" s="27" t="s">
        <v>346</v>
      </c>
      <c r="M14108" s="27" t="s">
        <v>16961</v>
      </c>
      <c r="N14108" s="27" t="s">
        <v>3581</v>
      </c>
      <c r="P14108" s="27" t="s">
        <v>9779</v>
      </c>
      <c r="Q14108" s="26" t="str">
        <f>HYPERLINK("https://ictv.global/taxonomy/taxondetails?taxnode_id=202509647&amp;ictv_id=ICTV202009647","ICTV202009647")</f>
        <v>ICTV202009647</v>
      </c>
      <c r="R14108" t="s">
        <v>580</v>
      </c>
      <c r="S14108" t="s">
        <v>22763</v>
      </c>
      <c r="T14108">
        <v>39</v>
      </c>
      <c r="U14108" s="26" t="str">
        <f t="shared" si="525"/>
        <v>2023.021M.Rhabdoviridae_24nsp_5ngen_1nsf.zip</v>
      </c>
    </row>
    <row r="14109" spans="1:21">
      <c r="A14109">
        <v>14108</v>
      </c>
      <c r="B14109" s="27" t="s">
        <v>1124</v>
      </c>
      <c r="D14109" s="27" t="s">
        <v>1859</v>
      </c>
      <c r="F14109" s="27" t="s">
        <v>938</v>
      </c>
      <c r="G14109" s="27" t="s">
        <v>939</v>
      </c>
      <c r="H14109" s="27" t="s">
        <v>945</v>
      </c>
      <c r="J14109" s="27" t="s">
        <v>238</v>
      </c>
      <c r="L14109" s="27" t="s">
        <v>346</v>
      </c>
      <c r="M14109" s="27" t="s">
        <v>16961</v>
      </c>
      <c r="N14109" s="27" t="s">
        <v>3581</v>
      </c>
      <c r="P14109" s="27" t="s">
        <v>9780</v>
      </c>
      <c r="Q14109" s="26" t="str">
        <f>HYPERLINK("https://ictv.global/taxonomy/taxondetails?taxnode_id=202509648&amp;ictv_id=ICTV202009648","ICTV202009648")</f>
        <v>ICTV202009648</v>
      </c>
      <c r="R14109" t="s">
        <v>580</v>
      </c>
      <c r="S14109" t="s">
        <v>22763</v>
      </c>
      <c r="T14109">
        <v>39</v>
      </c>
      <c r="U14109" s="26" t="str">
        <f t="shared" si="525"/>
        <v>2023.021M.Rhabdoviridae_24nsp_5ngen_1nsf.zip</v>
      </c>
    </row>
    <row r="14110" spans="1:21">
      <c r="A14110">
        <v>14109</v>
      </c>
      <c r="B14110" s="27" t="s">
        <v>1124</v>
      </c>
      <c r="D14110" s="27" t="s">
        <v>1859</v>
      </c>
      <c r="F14110" s="27" t="s">
        <v>938</v>
      </c>
      <c r="G14110" s="27" t="s">
        <v>939</v>
      </c>
      <c r="H14110" s="27" t="s">
        <v>945</v>
      </c>
      <c r="J14110" s="27" t="s">
        <v>238</v>
      </c>
      <c r="L14110" s="27" t="s">
        <v>346</v>
      </c>
      <c r="M14110" s="27" t="s">
        <v>16961</v>
      </c>
      <c r="N14110" s="27" t="s">
        <v>3581</v>
      </c>
      <c r="P14110" s="27" t="s">
        <v>16964</v>
      </c>
      <c r="Q14110" s="26" t="str">
        <f>HYPERLINK("https://ictv.global/taxonomy/taxondetails?taxnode_id=202518551&amp;ictv_id=ICTV202318551","ICTV202318551")</f>
        <v>ICTV202318551</v>
      </c>
      <c r="R14110" t="s">
        <v>580</v>
      </c>
      <c r="S14110" t="s">
        <v>823</v>
      </c>
      <c r="T14110">
        <v>39</v>
      </c>
      <c r="U14110" s="26" t="str">
        <f t="shared" si="525"/>
        <v>2023.021M.Rhabdoviridae_24nsp_5ngen_1nsf.zip</v>
      </c>
    </row>
    <row r="14111" spans="1:21">
      <c r="A14111">
        <v>14110</v>
      </c>
      <c r="B14111" s="27" t="s">
        <v>1124</v>
      </c>
      <c r="D14111" s="27" t="s">
        <v>1859</v>
      </c>
      <c r="F14111" s="27" t="s">
        <v>938</v>
      </c>
      <c r="G14111" s="27" t="s">
        <v>939</v>
      </c>
      <c r="H14111" s="27" t="s">
        <v>945</v>
      </c>
      <c r="J14111" s="27" t="s">
        <v>238</v>
      </c>
      <c r="L14111" s="27" t="s">
        <v>346</v>
      </c>
      <c r="M14111" s="27" t="s">
        <v>16961</v>
      </c>
      <c r="N14111" s="27" t="s">
        <v>3582</v>
      </c>
      <c r="P14111" s="27" t="s">
        <v>9781</v>
      </c>
      <c r="Q14111" s="26" t="str">
        <f>HYPERLINK("https://ictv.global/taxonomy/taxondetails?taxnode_id=202509651&amp;ictv_id=ICTV202009651","ICTV202009651")</f>
        <v>ICTV202009651</v>
      </c>
      <c r="R14111" t="s">
        <v>580</v>
      </c>
      <c r="S14111" t="s">
        <v>22763</v>
      </c>
      <c r="T14111">
        <v>39</v>
      </c>
      <c r="U14111" s="26" t="str">
        <f t="shared" si="525"/>
        <v>2023.021M.Rhabdoviridae_24nsp_5ngen_1nsf.zip</v>
      </c>
    </row>
    <row r="14112" spans="1:21">
      <c r="A14112">
        <v>14111</v>
      </c>
      <c r="B14112" s="27" t="s">
        <v>1124</v>
      </c>
      <c r="D14112" s="27" t="s">
        <v>1859</v>
      </c>
      <c r="F14112" s="27" t="s">
        <v>938</v>
      </c>
      <c r="G14112" s="27" t="s">
        <v>939</v>
      </c>
      <c r="H14112" s="27" t="s">
        <v>945</v>
      </c>
      <c r="J14112" s="27" t="s">
        <v>238</v>
      </c>
      <c r="L14112" s="27" t="s">
        <v>346</v>
      </c>
      <c r="M14112" s="27" t="s">
        <v>16961</v>
      </c>
      <c r="N14112" s="27" t="s">
        <v>3582</v>
      </c>
      <c r="P14112" s="27" t="s">
        <v>9782</v>
      </c>
      <c r="Q14112" s="26" t="str">
        <f>HYPERLINK("https://ictv.global/taxonomy/taxondetails?taxnode_id=202509650&amp;ictv_id=ICTV202009650","ICTV202009650")</f>
        <v>ICTV202009650</v>
      </c>
      <c r="R14112" t="s">
        <v>580</v>
      </c>
      <c r="S14112" t="s">
        <v>22763</v>
      </c>
      <c r="T14112">
        <v>39</v>
      </c>
      <c r="U14112" s="26" t="str">
        <f t="shared" si="525"/>
        <v>2023.021M.Rhabdoviridae_24nsp_5ngen_1nsf.zip</v>
      </c>
    </row>
    <row r="14113" spans="1:21">
      <c r="A14113">
        <v>14112</v>
      </c>
      <c r="B14113" s="27" t="s">
        <v>1124</v>
      </c>
      <c r="D14113" s="27" t="s">
        <v>1859</v>
      </c>
      <c r="F14113" s="27" t="s">
        <v>938</v>
      </c>
      <c r="G14113" s="27" t="s">
        <v>939</v>
      </c>
      <c r="H14113" s="27" t="s">
        <v>945</v>
      </c>
      <c r="J14113" s="27" t="s">
        <v>238</v>
      </c>
      <c r="L14113" s="27" t="s">
        <v>346</v>
      </c>
      <c r="M14113" s="27" t="s">
        <v>16961</v>
      </c>
      <c r="N14113" s="27" t="s">
        <v>3583</v>
      </c>
      <c r="P14113" s="27" t="s">
        <v>9783</v>
      </c>
      <c r="Q14113" s="26" t="str">
        <f>HYPERLINK("https://ictv.global/taxonomy/taxondetails?taxnode_id=202509653&amp;ictv_id=ICTV202009653","ICTV202009653")</f>
        <v>ICTV202009653</v>
      </c>
      <c r="R14113" t="s">
        <v>580</v>
      </c>
      <c r="S14113" t="s">
        <v>22763</v>
      </c>
      <c r="T14113">
        <v>39</v>
      </c>
      <c r="U14113" s="26" t="str">
        <f t="shared" si="525"/>
        <v>2023.021M.Rhabdoviridae_24nsp_5ngen_1nsf.zip</v>
      </c>
    </row>
    <row r="14114" spans="1:21">
      <c r="A14114">
        <v>14113</v>
      </c>
      <c r="B14114" s="27" t="s">
        <v>1124</v>
      </c>
      <c r="D14114" s="27" t="s">
        <v>1859</v>
      </c>
      <c r="F14114" s="27" t="s">
        <v>938</v>
      </c>
      <c r="G14114" s="27" t="s">
        <v>939</v>
      </c>
      <c r="H14114" s="27" t="s">
        <v>945</v>
      </c>
      <c r="J14114" s="27" t="s">
        <v>238</v>
      </c>
      <c r="L14114" s="27" t="s">
        <v>346</v>
      </c>
      <c r="M14114" s="27" t="s">
        <v>16961</v>
      </c>
      <c r="N14114" s="27" t="s">
        <v>3583</v>
      </c>
      <c r="P14114" s="27" t="s">
        <v>9784</v>
      </c>
      <c r="Q14114" s="26" t="str">
        <f>HYPERLINK("https://ictv.global/taxonomy/taxondetails?taxnode_id=202509654&amp;ictv_id=ICTV202009654","ICTV202009654")</f>
        <v>ICTV202009654</v>
      </c>
      <c r="R14114" t="s">
        <v>580</v>
      </c>
      <c r="S14114" t="s">
        <v>22763</v>
      </c>
      <c r="T14114">
        <v>39</v>
      </c>
      <c r="U14114" s="26" t="str">
        <f t="shared" si="525"/>
        <v>2023.021M.Rhabdoviridae_24nsp_5ngen_1nsf.zip</v>
      </c>
    </row>
    <row r="14115" spans="1:21">
      <c r="A14115">
        <v>14114</v>
      </c>
      <c r="B14115" s="27" t="s">
        <v>1124</v>
      </c>
      <c r="D14115" s="27" t="s">
        <v>1859</v>
      </c>
      <c r="F14115" s="27" t="s">
        <v>938</v>
      </c>
      <c r="G14115" s="27" t="s">
        <v>939</v>
      </c>
      <c r="H14115" s="27" t="s">
        <v>945</v>
      </c>
      <c r="J14115" s="27" t="s">
        <v>238</v>
      </c>
      <c r="L14115" s="27" t="s">
        <v>346</v>
      </c>
      <c r="M14115" s="27" t="s">
        <v>16961</v>
      </c>
      <c r="N14115" s="27" t="s">
        <v>3584</v>
      </c>
      <c r="P14115" s="27" t="s">
        <v>9785</v>
      </c>
      <c r="Q14115" s="26" t="str">
        <f>HYPERLINK("https://ictv.global/taxonomy/taxondetails?taxnode_id=202509656&amp;ictv_id=ICTV202009656","ICTV202009656")</f>
        <v>ICTV202009656</v>
      </c>
      <c r="R14115" t="s">
        <v>580</v>
      </c>
      <c r="S14115" t="s">
        <v>22763</v>
      </c>
      <c r="T14115">
        <v>39</v>
      </c>
      <c r="U14115" s="26" t="str">
        <f t="shared" si="525"/>
        <v>2023.021M.Rhabdoviridae_24nsp_5ngen_1nsf.zip</v>
      </c>
    </row>
    <row r="14116" spans="1:21">
      <c r="A14116">
        <v>14115</v>
      </c>
      <c r="B14116" s="27" t="s">
        <v>1124</v>
      </c>
      <c r="D14116" s="27" t="s">
        <v>1859</v>
      </c>
      <c r="F14116" s="27" t="s">
        <v>938</v>
      </c>
      <c r="G14116" s="27" t="s">
        <v>939</v>
      </c>
      <c r="H14116" s="27" t="s">
        <v>945</v>
      </c>
      <c r="J14116" s="27" t="s">
        <v>238</v>
      </c>
      <c r="L14116" s="27" t="s">
        <v>346</v>
      </c>
      <c r="M14116" s="27" t="s">
        <v>16961</v>
      </c>
      <c r="N14116" s="27" t="s">
        <v>3584</v>
      </c>
      <c r="P14116" s="27" t="s">
        <v>16965</v>
      </c>
      <c r="Q14116" s="26" t="str">
        <f>HYPERLINK("https://ictv.global/taxonomy/taxondetails?taxnode_id=202518552&amp;ictv_id=ICTV202318552","ICTV202318552")</f>
        <v>ICTV202318552</v>
      </c>
      <c r="R14116" t="s">
        <v>580</v>
      </c>
      <c r="S14116" t="s">
        <v>823</v>
      </c>
      <c r="T14116">
        <v>39</v>
      </c>
      <c r="U14116" s="26" t="str">
        <f t="shared" si="525"/>
        <v>2023.021M.Rhabdoviridae_24nsp_5ngen_1nsf.zip</v>
      </c>
    </row>
    <row r="14117" spans="1:21">
      <c r="A14117">
        <v>14116</v>
      </c>
      <c r="B14117" s="27" t="s">
        <v>1124</v>
      </c>
      <c r="D14117" s="27" t="s">
        <v>1859</v>
      </c>
      <c r="F14117" s="27" t="s">
        <v>938</v>
      </c>
      <c r="G14117" s="27" t="s">
        <v>939</v>
      </c>
      <c r="H14117" s="27" t="s">
        <v>945</v>
      </c>
      <c r="J14117" s="27" t="s">
        <v>238</v>
      </c>
      <c r="L14117" s="27" t="s">
        <v>346</v>
      </c>
      <c r="M14117" s="27" t="s">
        <v>16961</v>
      </c>
      <c r="N14117" s="27" t="s">
        <v>3584</v>
      </c>
      <c r="P14117" s="27" t="s">
        <v>9786</v>
      </c>
      <c r="Q14117" s="26" t="str">
        <f>HYPERLINK("https://ictv.global/taxonomy/taxondetails?taxnode_id=202509657&amp;ictv_id=ICTV202009657","ICTV202009657")</f>
        <v>ICTV202009657</v>
      </c>
      <c r="R14117" t="s">
        <v>580</v>
      </c>
      <c r="S14117" t="s">
        <v>22763</v>
      </c>
      <c r="T14117">
        <v>39</v>
      </c>
      <c r="U14117" s="26" t="str">
        <f t="shared" si="525"/>
        <v>2023.021M.Rhabdoviridae_24nsp_5ngen_1nsf.zip</v>
      </c>
    </row>
    <row r="14118" spans="1:21">
      <c r="A14118">
        <v>14117</v>
      </c>
      <c r="B14118" s="27" t="s">
        <v>1124</v>
      </c>
      <c r="D14118" s="27" t="s">
        <v>1859</v>
      </c>
      <c r="F14118" s="27" t="s">
        <v>938</v>
      </c>
      <c r="G14118" s="27" t="s">
        <v>939</v>
      </c>
      <c r="H14118" s="27" t="s">
        <v>945</v>
      </c>
      <c r="J14118" s="27" t="s">
        <v>238</v>
      </c>
      <c r="L14118" s="27" t="s">
        <v>346</v>
      </c>
      <c r="M14118" s="27" t="s">
        <v>16961</v>
      </c>
      <c r="N14118" s="27" t="s">
        <v>3584</v>
      </c>
      <c r="P14118" s="27" t="s">
        <v>16966</v>
      </c>
      <c r="Q14118" s="26" t="str">
        <f>HYPERLINK("https://ictv.global/taxonomy/taxondetails?taxnode_id=202518553&amp;ictv_id=ICTV202318553","ICTV202318553")</f>
        <v>ICTV202318553</v>
      </c>
      <c r="R14118" t="s">
        <v>580</v>
      </c>
      <c r="S14118" t="s">
        <v>823</v>
      </c>
      <c r="T14118">
        <v>39</v>
      </c>
      <c r="U14118" s="26" t="str">
        <f t="shared" si="525"/>
        <v>2023.021M.Rhabdoviridae_24nsp_5ngen_1nsf.zip</v>
      </c>
    </row>
    <row r="14119" spans="1:21">
      <c r="A14119">
        <v>14118</v>
      </c>
      <c r="B14119" s="27" t="s">
        <v>1124</v>
      </c>
      <c r="D14119" s="27" t="s">
        <v>1859</v>
      </c>
      <c r="F14119" s="27" t="s">
        <v>938</v>
      </c>
      <c r="G14119" s="27" t="s">
        <v>939</v>
      </c>
      <c r="H14119" s="27" t="s">
        <v>945</v>
      </c>
      <c r="J14119" s="27" t="s">
        <v>238</v>
      </c>
      <c r="L14119" s="27" t="s">
        <v>346</v>
      </c>
      <c r="M14119" s="27" t="s">
        <v>16961</v>
      </c>
      <c r="N14119" s="27" t="s">
        <v>3584</v>
      </c>
      <c r="P14119" s="27" t="s">
        <v>16967</v>
      </c>
      <c r="Q14119" s="26" t="str">
        <f>HYPERLINK("https://ictv.global/taxonomy/taxondetails?taxnode_id=202518554&amp;ictv_id=ICTV202318554","ICTV202318554")</f>
        <v>ICTV202318554</v>
      </c>
      <c r="R14119" t="s">
        <v>580</v>
      </c>
      <c r="S14119" t="s">
        <v>823</v>
      </c>
      <c r="T14119">
        <v>39</v>
      </c>
      <c r="U14119" s="26" t="str">
        <f t="shared" si="525"/>
        <v>2023.021M.Rhabdoviridae_24nsp_5ngen_1nsf.zip</v>
      </c>
    </row>
    <row r="14120" spans="1:21">
      <c r="A14120">
        <v>14119</v>
      </c>
      <c r="B14120" s="27" t="s">
        <v>1124</v>
      </c>
      <c r="D14120" s="27" t="s">
        <v>1859</v>
      </c>
      <c r="F14120" s="27" t="s">
        <v>938</v>
      </c>
      <c r="G14120" s="27" t="s">
        <v>939</v>
      </c>
      <c r="H14120" s="27" t="s">
        <v>945</v>
      </c>
      <c r="J14120" s="27" t="s">
        <v>238</v>
      </c>
      <c r="L14120" s="27" t="s">
        <v>346</v>
      </c>
      <c r="M14120" s="27" t="s">
        <v>16961</v>
      </c>
      <c r="N14120" s="27" t="s">
        <v>16968</v>
      </c>
      <c r="P14120" s="27" t="s">
        <v>16969</v>
      </c>
      <c r="Q14120" s="26" t="str">
        <f>HYPERLINK("https://ictv.global/taxonomy/taxondetails?taxnode_id=202518538&amp;ictv_id=ICTV202318538","ICTV202318538")</f>
        <v>ICTV202318538</v>
      </c>
      <c r="R14120" t="s">
        <v>580</v>
      </c>
      <c r="S14120" t="s">
        <v>823</v>
      </c>
      <c r="T14120">
        <v>39</v>
      </c>
      <c r="U14120" s="26" t="str">
        <f t="shared" si="525"/>
        <v>2023.021M.Rhabdoviridae_24nsp_5ngen_1nsf.zip</v>
      </c>
    </row>
    <row r="14121" spans="1:21">
      <c r="A14121">
        <v>14120</v>
      </c>
      <c r="B14121" s="27" t="s">
        <v>1124</v>
      </c>
      <c r="D14121" s="27" t="s">
        <v>1859</v>
      </c>
      <c r="F14121" s="27" t="s">
        <v>938</v>
      </c>
      <c r="G14121" s="27" t="s">
        <v>939</v>
      </c>
      <c r="H14121" s="27" t="s">
        <v>945</v>
      </c>
      <c r="J14121" s="27" t="s">
        <v>238</v>
      </c>
      <c r="L14121" s="27" t="s">
        <v>346</v>
      </c>
      <c r="M14121" s="27" t="s">
        <v>16961</v>
      </c>
      <c r="N14121" s="27" t="s">
        <v>16968</v>
      </c>
      <c r="P14121" s="27" t="s">
        <v>16970</v>
      </c>
      <c r="Q14121" s="26" t="str">
        <f>HYPERLINK("https://ictv.global/taxonomy/taxondetails?taxnode_id=202518539&amp;ictv_id=ICTV202318539","ICTV202318539")</f>
        <v>ICTV202318539</v>
      </c>
      <c r="R14121" t="s">
        <v>580</v>
      </c>
      <c r="S14121" t="s">
        <v>823</v>
      </c>
      <c r="T14121">
        <v>39</v>
      </c>
      <c r="U14121" s="26" t="str">
        <f t="shared" si="525"/>
        <v>2023.021M.Rhabdoviridae_24nsp_5ngen_1nsf.zip</v>
      </c>
    </row>
    <row r="14122" spans="1:21">
      <c r="A14122">
        <v>14121</v>
      </c>
      <c r="B14122" s="27" t="s">
        <v>1124</v>
      </c>
      <c r="D14122" s="27" t="s">
        <v>1859</v>
      </c>
      <c r="F14122" s="27" t="s">
        <v>938</v>
      </c>
      <c r="G14122" s="27" t="s">
        <v>939</v>
      </c>
      <c r="H14122" s="27" t="s">
        <v>945</v>
      </c>
      <c r="J14122" s="27" t="s">
        <v>238</v>
      </c>
      <c r="L14122" s="27" t="s">
        <v>346</v>
      </c>
      <c r="M14122" s="27" t="s">
        <v>16961</v>
      </c>
      <c r="N14122" s="27" t="s">
        <v>16968</v>
      </c>
      <c r="P14122" s="27" t="s">
        <v>16971</v>
      </c>
      <c r="Q14122" s="26" t="str">
        <f>HYPERLINK("https://ictv.global/taxonomy/taxondetails?taxnode_id=202518537&amp;ictv_id=ICTV202318537","ICTV202318537")</f>
        <v>ICTV202318537</v>
      </c>
      <c r="R14122" t="s">
        <v>580</v>
      </c>
      <c r="S14122" t="s">
        <v>823</v>
      </c>
      <c r="T14122">
        <v>39</v>
      </c>
      <c r="U14122" s="26" t="str">
        <f t="shared" si="525"/>
        <v>2023.021M.Rhabdoviridae_24nsp_5ngen_1nsf.zip</v>
      </c>
    </row>
    <row r="14123" spans="1:21">
      <c r="A14123">
        <v>14122</v>
      </c>
      <c r="B14123" s="27" t="s">
        <v>1124</v>
      </c>
      <c r="D14123" s="27" t="s">
        <v>1859</v>
      </c>
      <c r="F14123" s="27" t="s">
        <v>938</v>
      </c>
      <c r="G14123" s="27" t="s">
        <v>939</v>
      </c>
      <c r="H14123" s="27" t="s">
        <v>945</v>
      </c>
      <c r="J14123" s="27" t="s">
        <v>238</v>
      </c>
      <c r="L14123" s="27" t="s">
        <v>346</v>
      </c>
      <c r="M14123" s="27" t="s">
        <v>16961</v>
      </c>
      <c r="N14123" s="27" t="s">
        <v>16972</v>
      </c>
      <c r="P14123" s="27" t="s">
        <v>16973</v>
      </c>
      <c r="Q14123" s="26" t="str">
        <f>HYPERLINK("https://ictv.global/taxonomy/taxondetails?taxnode_id=202518540&amp;ictv_id=ICTV202318540","ICTV202318540")</f>
        <v>ICTV202318540</v>
      </c>
      <c r="R14123" t="s">
        <v>580</v>
      </c>
      <c r="S14123" t="s">
        <v>823</v>
      </c>
      <c r="T14123">
        <v>39</v>
      </c>
      <c r="U14123" s="26" t="str">
        <f t="shared" si="525"/>
        <v>2023.021M.Rhabdoviridae_24nsp_5ngen_1nsf.zip</v>
      </c>
    </row>
    <row r="14124" spans="1:21">
      <c r="A14124">
        <v>14123</v>
      </c>
      <c r="B14124" s="27" t="s">
        <v>1124</v>
      </c>
      <c r="D14124" s="27" t="s">
        <v>1859</v>
      </c>
      <c r="F14124" s="27" t="s">
        <v>938</v>
      </c>
      <c r="G14124" s="27" t="s">
        <v>939</v>
      </c>
      <c r="H14124" s="27" t="s">
        <v>945</v>
      </c>
      <c r="J14124" s="27" t="s">
        <v>238</v>
      </c>
      <c r="L14124" s="27" t="s">
        <v>346</v>
      </c>
      <c r="M14124" s="27" t="s">
        <v>16961</v>
      </c>
      <c r="N14124" s="27" t="s">
        <v>16972</v>
      </c>
      <c r="P14124" s="27" t="s">
        <v>16974</v>
      </c>
      <c r="Q14124" s="26" t="str">
        <f>HYPERLINK("https://ictv.global/taxonomy/taxondetails?taxnode_id=202518541&amp;ictv_id=ICTV202318541","ICTV202318541")</f>
        <v>ICTV202318541</v>
      </c>
      <c r="R14124" t="s">
        <v>580</v>
      </c>
      <c r="S14124" t="s">
        <v>823</v>
      </c>
      <c r="T14124">
        <v>39</v>
      </c>
      <c r="U14124" s="26" t="str">
        <f t="shared" si="525"/>
        <v>2023.021M.Rhabdoviridae_24nsp_5ngen_1nsf.zip</v>
      </c>
    </row>
    <row r="14125" spans="1:21">
      <c r="A14125">
        <v>14124</v>
      </c>
      <c r="B14125" s="27" t="s">
        <v>1124</v>
      </c>
      <c r="D14125" s="27" t="s">
        <v>1859</v>
      </c>
      <c r="F14125" s="27" t="s">
        <v>938</v>
      </c>
      <c r="G14125" s="27" t="s">
        <v>939</v>
      </c>
      <c r="H14125" s="27" t="s">
        <v>945</v>
      </c>
      <c r="J14125" s="27" t="s">
        <v>238</v>
      </c>
      <c r="L14125" s="27" t="s">
        <v>346</v>
      </c>
      <c r="M14125" s="27" t="s">
        <v>16961</v>
      </c>
      <c r="N14125" s="27" t="s">
        <v>16975</v>
      </c>
      <c r="P14125" s="27" t="s">
        <v>16976</v>
      </c>
      <c r="Q14125" s="26" t="str">
        <f>HYPERLINK("https://ictv.global/taxonomy/taxondetails?taxnode_id=202518548&amp;ictv_id=ICTV202318548","ICTV202318548")</f>
        <v>ICTV202318548</v>
      </c>
      <c r="R14125" t="s">
        <v>580</v>
      </c>
      <c r="S14125" t="s">
        <v>823</v>
      </c>
      <c r="T14125">
        <v>39</v>
      </c>
      <c r="U14125" s="26" t="str">
        <f t="shared" si="525"/>
        <v>2023.021M.Rhabdoviridae_24nsp_5ngen_1nsf.zip</v>
      </c>
    </row>
    <row r="14126" spans="1:21">
      <c r="A14126">
        <v>14125</v>
      </c>
      <c r="B14126" s="27" t="s">
        <v>1124</v>
      </c>
      <c r="D14126" s="27" t="s">
        <v>1859</v>
      </c>
      <c r="F14126" s="27" t="s">
        <v>938</v>
      </c>
      <c r="G14126" s="27" t="s">
        <v>939</v>
      </c>
      <c r="H14126" s="27" t="s">
        <v>945</v>
      </c>
      <c r="J14126" s="27" t="s">
        <v>238</v>
      </c>
      <c r="L14126" s="27" t="s">
        <v>346</v>
      </c>
      <c r="M14126" s="27" t="s">
        <v>16961</v>
      </c>
      <c r="N14126" s="27" t="s">
        <v>16975</v>
      </c>
      <c r="P14126" s="27" t="s">
        <v>16977</v>
      </c>
      <c r="Q14126" s="26" t="str">
        <f>HYPERLINK("https://ictv.global/taxonomy/taxondetails?taxnode_id=202518547&amp;ictv_id=ICTV202318547","ICTV202318547")</f>
        <v>ICTV202318547</v>
      </c>
      <c r="R14126" t="s">
        <v>580</v>
      </c>
      <c r="S14126" t="s">
        <v>823</v>
      </c>
      <c r="T14126">
        <v>39</v>
      </c>
      <c r="U14126" s="26" t="str">
        <f t="shared" si="525"/>
        <v>2023.021M.Rhabdoviridae_24nsp_5ngen_1nsf.zip</v>
      </c>
    </row>
    <row r="14127" spans="1:21">
      <c r="A14127">
        <v>14126</v>
      </c>
      <c r="B14127" s="27" t="s">
        <v>1124</v>
      </c>
      <c r="D14127" s="27" t="s">
        <v>1859</v>
      </c>
      <c r="F14127" s="27" t="s">
        <v>938</v>
      </c>
      <c r="G14127" s="27" t="s">
        <v>939</v>
      </c>
      <c r="H14127" s="27" t="s">
        <v>945</v>
      </c>
      <c r="J14127" s="27" t="s">
        <v>238</v>
      </c>
      <c r="L14127" s="27" t="s">
        <v>346</v>
      </c>
      <c r="M14127" s="27" t="s">
        <v>16961</v>
      </c>
      <c r="N14127" s="27" t="s">
        <v>16975</v>
      </c>
      <c r="P14127" s="27" t="s">
        <v>16978</v>
      </c>
      <c r="Q14127" s="26" t="str">
        <f>HYPERLINK("https://ictv.global/taxonomy/taxondetails?taxnode_id=202518546&amp;ictv_id=ICTV202318546","ICTV202318546")</f>
        <v>ICTV202318546</v>
      </c>
      <c r="R14127" t="s">
        <v>580</v>
      </c>
      <c r="S14127" t="s">
        <v>823</v>
      </c>
      <c r="T14127">
        <v>39</v>
      </c>
      <c r="U14127" s="26" t="str">
        <f t="shared" si="525"/>
        <v>2023.021M.Rhabdoviridae_24nsp_5ngen_1nsf.zip</v>
      </c>
    </row>
    <row r="14128" spans="1:21">
      <c r="A14128">
        <v>14127</v>
      </c>
      <c r="B14128" s="27" t="s">
        <v>1124</v>
      </c>
      <c r="D14128" s="27" t="s">
        <v>1859</v>
      </c>
      <c r="F14128" s="27" t="s">
        <v>938</v>
      </c>
      <c r="G14128" s="27" t="s">
        <v>939</v>
      </c>
      <c r="H14128" s="27" t="s">
        <v>945</v>
      </c>
      <c r="J14128" s="27" t="s">
        <v>238</v>
      </c>
      <c r="L14128" s="27" t="s">
        <v>346</v>
      </c>
      <c r="M14128" s="27" t="s">
        <v>16961</v>
      </c>
      <c r="N14128" s="27" t="s">
        <v>16975</v>
      </c>
      <c r="P14128" s="27" t="s">
        <v>20411</v>
      </c>
      <c r="Q14128" s="26" t="str">
        <f>HYPERLINK("https://ictv.global/taxonomy/taxondetails?taxnode_id=202520240&amp;ictv_id=ICTV202420240","ICTV202420240")</f>
        <v>ICTV202420240</v>
      </c>
      <c r="R14128" t="s">
        <v>580</v>
      </c>
      <c r="S14128" t="s">
        <v>823</v>
      </c>
      <c r="T14128">
        <v>40</v>
      </c>
      <c r="U14128" s="26" t="str">
        <f>HYPERLINK("https://ictv.global/ictv/proposals/2024.006M.Deltarhabdovirinae_4nsp.zip","2024.006M.Deltarhabdovirinae_4nsp.zip")</f>
        <v>2024.006M.Deltarhabdovirinae_4nsp.zip</v>
      </c>
    </row>
    <row r="14129" spans="1:21">
      <c r="A14129">
        <v>14128</v>
      </c>
      <c r="B14129" s="27" t="s">
        <v>1124</v>
      </c>
      <c r="D14129" s="27" t="s">
        <v>1859</v>
      </c>
      <c r="F14129" s="27" t="s">
        <v>938</v>
      </c>
      <c r="G14129" s="27" t="s">
        <v>939</v>
      </c>
      <c r="H14129" s="27" t="s">
        <v>945</v>
      </c>
      <c r="J14129" s="27" t="s">
        <v>238</v>
      </c>
      <c r="L14129" s="27" t="s">
        <v>346</v>
      </c>
      <c r="M14129" s="27" t="s">
        <v>16961</v>
      </c>
      <c r="N14129" s="27" t="s">
        <v>16979</v>
      </c>
      <c r="P14129" s="27" t="s">
        <v>16980</v>
      </c>
      <c r="Q14129" s="26" t="str">
        <f>HYPERLINK("https://ictv.global/taxonomy/taxondetails?taxnode_id=202518543&amp;ictv_id=ICTV202318543","ICTV202318543")</f>
        <v>ICTV202318543</v>
      </c>
      <c r="R14129" t="s">
        <v>580</v>
      </c>
      <c r="S14129" t="s">
        <v>823</v>
      </c>
      <c r="T14129">
        <v>39</v>
      </c>
      <c r="U14129" s="26" t="str">
        <f>HYPERLINK("https://ictv.global/ictv/proposals/2023.021M.Rhabdoviridae_24nsp_5ngen_1nsf.zip","2023.021M.Rhabdoviridae_24nsp_5ngen_1nsf.zip")</f>
        <v>2023.021M.Rhabdoviridae_24nsp_5ngen_1nsf.zip</v>
      </c>
    </row>
    <row r="14130" spans="1:21">
      <c r="A14130">
        <v>14129</v>
      </c>
      <c r="B14130" s="27" t="s">
        <v>1124</v>
      </c>
      <c r="D14130" s="27" t="s">
        <v>1859</v>
      </c>
      <c r="F14130" s="27" t="s">
        <v>938</v>
      </c>
      <c r="G14130" s="27" t="s">
        <v>939</v>
      </c>
      <c r="H14130" s="27" t="s">
        <v>945</v>
      </c>
      <c r="J14130" s="27" t="s">
        <v>238</v>
      </c>
      <c r="L14130" s="27" t="s">
        <v>346</v>
      </c>
      <c r="M14130" s="27" t="s">
        <v>16961</v>
      </c>
      <c r="N14130" s="27" t="s">
        <v>16979</v>
      </c>
      <c r="P14130" s="27" t="s">
        <v>16981</v>
      </c>
      <c r="Q14130" s="26" t="str">
        <f>HYPERLINK("https://ictv.global/taxonomy/taxondetails?taxnode_id=202518545&amp;ictv_id=ICTV202318545","ICTV202318545")</f>
        <v>ICTV202318545</v>
      </c>
      <c r="R14130" t="s">
        <v>580</v>
      </c>
      <c r="S14130" t="s">
        <v>823</v>
      </c>
      <c r="T14130">
        <v>39</v>
      </c>
      <c r="U14130" s="26" t="str">
        <f>HYPERLINK("https://ictv.global/ictv/proposals/2023.021M.Rhabdoviridae_24nsp_5ngen_1nsf.zip","2023.021M.Rhabdoviridae_24nsp_5ngen_1nsf.zip")</f>
        <v>2023.021M.Rhabdoviridae_24nsp_5ngen_1nsf.zip</v>
      </c>
    </row>
    <row r="14131" spans="1:21">
      <c r="A14131">
        <v>14130</v>
      </c>
      <c r="B14131" s="27" t="s">
        <v>1124</v>
      </c>
      <c r="D14131" s="27" t="s">
        <v>1859</v>
      </c>
      <c r="F14131" s="27" t="s">
        <v>938</v>
      </c>
      <c r="G14131" s="27" t="s">
        <v>939</v>
      </c>
      <c r="H14131" s="27" t="s">
        <v>945</v>
      </c>
      <c r="J14131" s="27" t="s">
        <v>238</v>
      </c>
      <c r="L14131" s="27" t="s">
        <v>346</v>
      </c>
      <c r="M14131" s="27" t="s">
        <v>16961</v>
      </c>
      <c r="N14131" s="27" t="s">
        <v>16979</v>
      </c>
      <c r="P14131" s="27" t="s">
        <v>16982</v>
      </c>
      <c r="Q14131" s="26" t="str">
        <f>HYPERLINK("https://ictv.global/taxonomy/taxondetails?taxnode_id=202518542&amp;ictv_id=ICTV202318542","ICTV202318542")</f>
        <v>ICTV202318542</v>
      </c>
      <c r="R14131" t="s">
        <v>580</v>
      </c>
      <c r="S14131" t="s">
        <v>823</v>
      </c>
      <c r="T14131">
        <v>39</v>
      </c>
      <c r="U14131" s="26" t="str">
        <f>HYPERLINK("https://ictv.global/ictv/proposals/2023.021M.Rhabdoviridae_24nsp_5ngen_1nsf.zip","2023.021M.Rhabdoviridae_24nsp_5ngen_1nsf.zip")</f>
        <v>2023.021M.Rhabdoviridae_24nsp_5ngen_1nsf.zip</v>
      </c>
    </row>
    <row r="14132" spans="1:21">
      <c r="A14132">
        <v>14131</v>
      </c>
      <c r="B14132" s="27" t="s">
        <v>1124</v>
      </c>
      <c r="D14132" s="27" t="s">
        <v>1859</v>
      </c>
      <c r="F14132" s="27" t="s">
        <v>938</v>
      </c>
      <c r="G14132" s="27" t="s">
        <v>939</v>
      </c>
      <c r="H14132" s="27" t="s">
        <v>945</v>
      </c>
      <c r="J14132" s="27" t="s">
        <v>238</v>
      </c>
      <c r="L14132" s="27" t="s">
        <v>346</v>
      </c>
      <c r="M14132" s="27" t="s">
        <v>16961</v>
      </c>
      <c r="N14132" s="27" t="s">
        <v>16979</v>
      </c>
      <c r="P14132" s="27" t="s">
        <v>16983</v>
      </c>
      <c r="Q14132" s="26" t="str">
        <f>HYPERLINK("https://ictv.global/taxonomy/taxondetails?taxnode_id=202518544&amp;ictv_id=ICTV202318544","ICTV202318544")</f>
        <v>ICTV202318544</v>
      </c>
      <c r="R14132" t="s">
        <v>580</v>
      </c>
      <c r="S14132" t="s">
        <v>823</v>
      </c>
      <c r="T14132">
        <v>39</v>
      </c>
      <c r="U14132" s="26" t="str">
        <f>HYPERLINK("https://ictv.global/ictv/proposals/2023.021M.Rhabdoviridae_24nsp_5ngen_1nsf.zip","2023.021M.Rhabdoviridae_24nsp_5ngen_1nsf.zip")</f>
        <v>2023.021M.Rhabdoviridae_24nsp_5ngen_1nsf.zip</v>
      </c>
    </row>
    <row r="14133" spans="1:21">
      <c r="A14133">
        <v>14132</v>
      </c>
      <c r="B14133" s="27" t="s">
        <v>1124</v>
      </c>
      <c r="D14133" s="27" t="s">
        <v>1859</v>
      </c>
      <c r="F14133" s="27" t="s">
        <v>938</v>
      </c>
      <c r="G14133" s="27" t="s">
        <v>939</v>
      </c>
      <c r="H14133" s="27" t="s">
        <v>945</v>
      </c>
      <c r="J14133" s="27" t="s">
        <v>238</v>
      </c>
      <c r="L14133" s="27" t="s">
        <v>346</v>
      </c>
      <c r="M14133" s="27" t="s">
        <v>16961</v>
      </c>
      <c r="N14133" s="27" t="s">
        <v>16979</v>
      </c>
      <c r="P14133" s="27" t="s">
        <v>20412</v>
      </c>
      <c r="Q14133" s="26" t="str">
        <f>HYPERLINK("https://ictv.global/taxonomy/taxondetails?taxnode_id=202520239&amp;ictv_id=ICTV202420239","ICTV202420239")</f>
        <v>ICTV202420239</v>
      </c>
      <c r="R14133" t="s">
        <v>580</v>
      </c>
      <c r="S14133" t="s">
        <v>823</v>
      </c>
      <c r="T14133">
        <v>40</v>
      </c>
      <c r="U14133" s="26" t="str">
        <f>HYPERLINK("https://ictv.global/ictv/proposals/2024.006M.Deltarhabdovirinae_4nsp.zip","2024.006M.Deltarhabdovirinae_4nsp.zip")</f>
        <v>2024.006M.Deltarhabdovirinae_4nsp.zip</v>
      </c>
    </row>
    <row r="14134" spans="1:21">
      <c r="A14134">
        <v>14133</v>
      </c>
      <c r="B14134" s="27" t="s">
        <v>1124</v>
      </c>
      <c r="D14134" s="27" t="s">
        <v>1859</v>
      </c>
      <c r="F14134" s="27" t="s">
        <v>938</v>
      </c>
      <c r="G14134" s="27" t="s">
        <v>939</v>
      </c>
      <c r="H14134" s="27" t="s">
        <v>945</v>
      </c>
      <c r="J14134" s="27" t="s">
        <v>238</v>
      </c>
      <c r="L14134" s="27" t="s">
        <v>346</v>
      </c>
      <c r="M14134" s="27" t="s">
        <v>3577</v>
      </c>
      <c r="N14134" s="27" t="s">
        <v>16984</v>
      </c>
      <c r="P14134" s="27" t="s">
        <v>16985</v>
      </c>
      <c r="Q14134" s="26" t="str">
        <f>HYPERLINK("https://ictv.global/taxonomy/taxondetails?taxnode_id=202517751&amp;ictv_id=ICTV202317751","ICTV202317751")</f>
        <v>ICTV202317751</v>
      </c>
      <c r="R14134" t="s">
        <v>580</v>
      </c>
      <c r="S14134" t="s">
        <v>823</v>
      </c>
      <c r="T14134">
        <v>39</v>
      </c>
      <c r="U14134" s="26" t="str">
        <f>HYPERLINK("https://ictv.global/ictv/proposals/2023.002M.Alpharhabdovirinae_2ngen_2nsp.zip","2023.002M.Alpharhabdovirinae_2ngen_2nsp.zip")</f>
        <v>2023.002M.Alpharhabdovirinae_2ngen_2nsp.zip</v>
      </c>
    </row>
    <row r="14135" spans="1:21">
      <c r="A14135">
        <v>14134</v>
      </c>
      <c r="B14135" s="27" t="s">
        <v>1124</v>
      </c>
      <c r="D14135" s="27" t="s">
        <v>1859</v>
      </c>
      <c r="F14135" s="27" t="s">
        <v>938</v>
      </c>
      <c r="G14135" s="27" t="s">
        <v>939</v>
      </c>
      <c r="H14135" s="27" t="s">
        <v>945</v>
      </c>
      <c r="J14135" s="27" t="s">
        <v>238</v>
      </c>
      <c r="L14135" s="27" t="s">
        <v>346</v>
      </c>
      <c r="M14135" s="27" t="s">
        <v>3577</v>
      </c>
      <c r="N14135" s="27" t="s">
        <v>278</v>
      </c>
      <c r="P14135" s="27" t="s">
        <v>21580</v>
      </c>
      <c r="Q14135" s="26" t="str">
        <f>HYPERLINK("https://ictv.global/taxonomy/taxondetails?taxnode_id=202522446&amp;ictv_id=ICTV202522446","ICTV202522446")</f>
        <v>ICTV202522446</v>
      </c>
      <c r="R14135" t="s">
        <v>580</v>
      </c>
      <c r="S14135" t="s">
        <v>823</v>
      </c>
      <c r="T14135">
        <v>41</v>
      </c>
      <c r="U14135" s="26" t="str">
        <f>HYPERLINK("https://ictv.global/ictv/proposals/2025.009M.Rhabdoviridae_4nsp.zip","2025.009M.Rhabdoviridae_4nsp.zip")</f>
        <v>2025.009M.Rhabdoviridae_4nsp.zip</v>
      </c>
    </row>
    <row r="14136" spans="1:21">
      <c r="A14136">
        <v>14135</v>
      </c>
      <c r="B14136" s="27" t="s">
        <v>1124</v>
      </c>
      <c r="D14136" s="27" t="s">
        <v>1859</v>
      </c>
      <c r="F14136" s="27" t="s">
        <v>938</v>
      </c>
      <c r="G14136" s="27" t="s">
        <v>939</v>
      </c>
      <c r="H14136" s="27" t="s">
        <v>945</v>
      </c>
      <c r="J14136" s="27" t="s">
        <v>238</v>
      </c>
      <c r="L14136" s="27" t="s">
        <v>346</v>
      </c>
      <c r="M14136" s="27" t="s">
        <v>3577</v>
      </c>
      <c r="N14136" s="27" t="s">
        <v>278</v>
      </c>
      <c r="P14136" s="27" t="s">
        <v>9767</v>
      </c>
      <c r="Q14136" s="26" t="str">
        <f>HYPERLINK("https://ictv.global/taxonomy/taxondetails?taxnode_id=202501737&amp;ictv_id=ICTV19990463","ICTV19990463")</f>
        <v>ICTV19990463</v>
      </c>
      <c r="R14136" t="s">
        <v>580</v>
      </c>
      <c r="S14136" t="s">
        <v>824</v>
      </c>
      <c r="T14136">
        <v>37</v>
      </c>
      <c r="U14136" s="26" t="str">
        <f>HYPERLINK("https://ictv.global/ictv/proposals/2021.036M.R.Rhabdoviridae_sprename.zip","2021.036M.R.Rhabdoviridae_sprename.zip")</f>
        <v>2021.036M.R.Rhabdoviridae_sprename.zip</v>
      </c>
    </row>
    <row r="14137" spans="1:21">
      <c r="A14137">
        <v>14136</v>
      </c>
      <c r="B14137" s="27" t="s">
        <v>1124</v>
      </c>
      <c r="D14137" s="27" t="s">
        <v>1859</v>
      </c>
      <c r="F14137" s="27" t="s">
        <v>938</v>
      </c>
      <c r="G14137" s="27" t="s">
        <v>939</v>
      </c>
      <c r="H14137" s="27" t="s">
        <v>945</v>
      </c>
      <c r="J14137" s="27" t="s">
        <v>238</v>
      </c>
      <c r="L14137" s="27" t="s">
        <v>346</v>
      </c>
      <c r="M14137" s="27" t="s">
        <v>3577</v>
      </c>
      <c r="N14137" s="27" t="s">
        <v>278</v>
      </c>
      <c r="P14137" s="27" t="s">
        <v>9768</v>
      </c>
      <c r="Q14137" s="26" t="str">
        <f>HYPERLINK("https://ictv.global/taxonomy/taxondetails?taxnode_id=202501738&amp;ictv_id=ICTV19990465","ICTV19990465")</f>
        <v>ICTV19990465</v>
      </c>
      <c r="R14137" t="s">
        <v>580</v>
      </c>
      <c r="S14137" t="s">
        <v>824</v>
      </c>
      <c r="T14137">
        <v>37</v>
      </c>
      <c r="U14137" s="26" t="str">
        <f>HYPERLINK("https://ictv.global/ictv/proposals/2021.036M.R.Rhabdoviridae_sprename.zip","2021.036M.R.Rhabdoviridae_sprename.zip")</f>
        <v>2021.036M.R.Rhabdoviridae_sprename.zip</v>
      </c>
    </row>
    <row r="14138" spans="1:21">
      <c r="A14138">
        <v>14137</v>
      </c>
      <c r="B14138" s="27" t="s">
        <v>1124</v>
      </c>
      <c r="D14138" s="27" t="s">
        <v>1859</v>
      </c>
      <c r="F14138" s="27" t="s">
        <v>938</v>
      </c>
      <c r="G14138" s="27" t="s">
        <v>939</v>
      </c>
      <c r="H14138" s="27" t="s">
        <v>945</v>
      </c>
      <c r="J14138" s="27" t="s">
        <v>238</v>
      </c>
      <c r="L14138" s="27" t="s">
        <v>346</v>
      </c>
      <c r="M14138" s="27" t="s">
        <v>3577</v>
      </c>
      <c r="N14138" s="27" t="s">
        <v>278</v>
      </c>
      <c r="P14138" s="27" t="s">
        <v>9769</v>
      </c>
      <c r="Q14138" s="26" t="str">
        <f>HYPERLINK("https://ictv.global/taxonomy/taxondetails?taxnode_id=202501739&amp;ictv_id=ICTV19980706","ICTV19980706")</f>
        <v>ICTV19980706</v>
      </c>
      <c r="R14138" t="s">
        <v>580</v>
      </c>
      <c r="S14138" t="s">
        <v>824</v>
      </c>
      <c r="T14138">
        <v>37</v>
      </c>
      <c r="U14138" s="26" t="str">
        <f>HYPERLINK("https://ictv.global/ictv/proposals/2021.036M.R.Rhabdoviridae_sprename.zip","2021.036M.R.Rhabdoviridae_sprename.zip")</f>
        <v>2021.036M.R.Rhabdoviridae_sprename.zip</v>
      </c>
    </row>
    <row r="14139" spans="1:21">
      <c r="A14139">
        <v>14138</v>
      </c>
      <c r="B14139" s="27" t="s">
        <v>1124</v>
      </c>
      <c r="D14139" s="27" t="s">
        <v>1859</v>
      </c>
      <c r="F14139" s="27" t="s">
        <v>938</v>
      </c>
      <c r="G14139" s="27" t="s">
        <v>939</v>
      </c>
      <c r="H14139" s="27" t="s">
        <v>945</v>
      </c>
      <c r="J14139" s="27" t="s">
        <v>238</v>
      </c>
      <c r="L14139" s="27" t="s">
        <v>346</v>
      </c>
      <c r="M14139" s="27" t="s">
        <v>3577</v>
      </c>
      <c r="N14139" s="27" t="s">
        <v>278</v>
      </c>
      <c r="P14139" s="27" t="s">
        <v>9770</v>
      </c>
      <c r="Q14139" s="26" t="str">
        <f>HYPERLINK("https://ictv.global/taxonomy/taxondetails?taxnode_id=202501740&amp;ictv_id=ICTV20020492","ICTV20020492")</f>
        <v>ICTV20020492</v>
      </c>
      <c r="R14139" t="s">
        <v>580</v>
      </c>
      <c r="S14139" t="s">
        <v>824</v>
      </c>
      <c r="T14139">
        <v>37</v>
      </c>
      <c r="U14139" s="26" t="str">
        <f>HYPERLINK("https://ictv.global/ictv/proposals/2021.036M.R.Rhabdoviridae_sprename.zip","2021.036M.R.Rhabdoviridae_sprename.zip")</f>
        <v>2021.036M.R.Rhabdoviridae_sprename.zip</v>
      </c>
    </row>
    <row r="14140" spans="1:21">
      <c r="A14140">
        <v>14139</v>
      </c>
      <c r="B14140" s="27" t="s">
        <v>1124</v>
      </c>
      <c r="D14140" s="27" t="s">
        <v>1859</v>
      </c>
      <c r="F14140" s="27" t="s">
        <v>938</v>
      </c>
      <c r="G14140" s="27" t="s">
        <v>939</v>
      </c>
      <c r="H14140" s="27" t="s">
        <v>945</v>
      </c>
      <c r="J14140" s="27" t="s">
        <v>238</v>
      </c>
      <c r="L14140" s="27" t="s">
        <v>346</v>
      </c>
      <c r="N14140" s="27" t="s">
        <v>20413</v>
      </c>
      <c r="P14140" s="27" t="s">
        <v>20414</v>
      </c>
      <c r="Q14140" s="26" t="str">
        <f>HYPERLINK("https://ictv.global/taxonomy/taxondetails?taxnode_id=202520606&amp;ictv_id=ICTV202420606","ICTV202420606")</f>
        <v>ICTV202420606</v>
      </c>
      <c r="R14140" t="s">
        <v>580</v>
      </c>
      <c r="S14140" t="s">
        <v>823</v>
      </c>
      <c r="T14140">
        <v>40</v>
      </c>
      <c r="U14140" s="26" t="str">
        <f t="shared" ref="U14140:U14164" si="526">HYPERLINK("https://ictv.global/ictv/proposals/2024.014M.Platrhavirus_2ng_30nsp.zip","2024.014M.Platrhavirus_2ng_30nsp.zip")</f>
        <v>2024.014M.Platrhavirus_2ng_30nsp.zip</v>
      </c>
    </row>
    <row r="14141" spans="1:21">
      <c r="A14141">
        <v>14140</v>
      </c>
      <c r="B14141" s="27" t="s">
        <v>1124</v>
      </c>
      <c r="D14141" s="27" t="s">
        <v>1859</v>
      </c>
      <c r="F14141" s="27" t="s">
        <v>938</v>
      </c>
      <c r="G14141" s="27" t="s">
        <v>939</v>
      </c>
      <c r="H14141" s="27" t="s">
        <v>945</v>
      </c>
      <c r="J14141" s="27" t="s">
        <v>238</v>
      </c>
      <c r="L14141" s="27" t="s">
        <v>346</v>
      </c>
      <c r="N14141" s="27" t="s">
        <v>20413</v>
      </c>
      <c r="P14141" s="27" t="s">
        <v>20415</v>
      </c>
      <c r="Q14141" s="26" t="str">
        <f>HYPERLINK("https://ictv.global/taxonomy/taxondetails?taxnode_id=202520599&amp;ictv_id=ICTV202420599","ICTV202420599")</f>
        <v>ICTV202420599</v>
      </c>
      <c r="R14141" t="s">
        <v>580</v>
      </c>
      <c r="S14141" t="s">
        <v>823</v>
      </c>
      <c r="T14141">
        <v>40</v>
      </c>
      <c r="U14141" s="26" t="str">
        <f t="shared" si="526"/>
        <v>2024.014M.Platrhavirus_2ng_30nsp.zip</v>
      </c>
    </row>
    <row r="14142" spans="1:21">
      <c r="A14142">
        <v>14141</v>
      </c>
      <c r="B14142" s="27" t="s">
        <v>1124</v>
      </c>
      <c r="D14142" s="27" t="s">
        <v>1859</v>
      </c>
      <c r="F14142" s="27" t="s">
        <v>938</v>
      </c>
      <c r="G14142" s="27" t="s">
        <v>939</v>
      </c>
      <c r="H14142" s="27" t="s">
        <v>945</v>
      </c>
      <c r="J14142" s="27" t="s">
        <v>238</v>
      </c>
      <c r="L14142" s="27" t="s">
        <v>346</v>
      </c>
      <c r="N14142" s="27" t="s">
        <v>20413</v>
      </c>
      <c r="P14142" s="27" t="s">
        <v>20416</v>
      </c>
      <c r="Q14142" s="26" t="str">
        <f>HYPERLINK("https://ictv.global/taxonomy/taxondetails?taxnode_id=202520595&amp;ictv_id=ICTV202420595","ICTV202420595")</f>
        <v>ICTV202420595</v>
      </c>
      <c r="R14142" t="s">
        <v>580</v>
      </c>
      <c r="S14142" t="s">
        <v>823</v>
      </c>
      <c r="T14142">
        <v>40</v>
      </c>
      <c r="U14142" s="26" t="str">
        <f t="shared" si="526"/>
        <v>2024.014M.Platrhavirus_2ng_30nsp.zip</v>
      </c>
    </row>
    <row r="14143" spans="1:21">
      <c r="A14143">
        <v>14142</v>
      </c>
      <c r="B14143" s="27" t="s">
        <v>1124</v>
      </c>
      <c r="D14143" s="27" t="s">
        <v>1859</v>
      </c>
      <c r="F14143" s="27" t="s">
        <v>938</v>
      </c>
      <c r="G14143" s="27" t="s">
        <v>939</v>
      </c>
      <c r="H14143" s="27" t="s">
        <v>945</v>
      </c>
      <c r="J14143" s="27" t="s">
        <v>238</v>
      </c>
      <c r="L14143" s="27" t="s">
        <v>346</v>
      </c>
      <c r="N14143" s="27" t="s">
        <v>20413</v>
      </c>
      <c r="P14143" s="27" t="s">
        <v>20417</v>
      </c>
      <c r="Q14143" s="26" t="str">
        <f>HYPERLINK("https://ictv.global/taxonomy/taxondetails?taxnode_id=202520600&amp;ictv_id=ICTV202420600","ICTV202420600")</f>
        <v>ICTV202420600</v>
      </c>
      <c r="R14143" t="s">
        <v>580</v>
      </c>
      <c r="S14143" t="s">
        <v>823</v>
      </c>
      <c r="T14143">
        <v>40</v>
      </c>
      <c r="U14143" s="26" t="str">
        <f t="shared" si="526"/>
        <v>2024.014M.Platrhavirus_2ng_30nsp.zip</v>
      </c>
    </row>
    <row r="14144" spans="1:21">
      <c r="A14144">
        <v>14143</v>
      </c>
      <c r="B14144" s="27" t="s">
        <v>1124</v>
      </c>
      <c r="D14144" s="27" t="s">
        <v>1859</v>
      </c>
      <c r="F14144" s="27" t="s">
        <v>938</v>
      </c>
      <c r="G14144" s="27" t="s">
        <v>939</v>
      </c>
      <c r="H14144" s="27" t="s">
        <v>945</v>
      </c>
      <c r="J14144" s="27" t="s">
        <v>238</v>
      </c>
      <c r="L14144" s="27" t="s">
        <v>346</v>
      </c>
      <c r="N14144" s="27" t="s">
        <v>20413</v>
      </c>
      <c r="P14144" s="27" t="s">
        <v>20418</v>
      </c>
      <c r="Q14144" s="26" t="str">
        <f>HYPERLINK("https://ictv.global/taxonomy/taxondetails?taxnode_id=202520601&amp;ictv_id=ICTV202420601","ICTV202420601")</f>
        <v>ICTV202420601</v>
      </c>
      <c r="R14144" t="s">
        <v>580</v>
      </c>
      <c r="S14144" t="s">
        <v>823</v>
      </c>
      <c r="T14144">
        <v>40</v>
      </c>
      <c r="U14144" s="26" t="str">
        <f t="shared" si="526"/>
        <v>2024.014M.Platrhavirus_2ng_30nsp.zip</v>
      </c>
    </row>
    <row r="14145" spans="1:21">
      <c r="A14145">
        <v>14144</v>
      </c>
      <c r="B14145" s="27" t="s">
        <v>1124</v>
      </c>
      <c r="D14145" s="27" t="s">
        <v>1859</v>
      </c>
      <c r="F14145" s="27" t="s">
        <v>938</v>
      </c>
      <c r="G14145" s="27" t="s">
        <v>939</v>
      </c>
      <c r="H14145" s="27" t="s">
        <v>945</v>
      </c>
      <c r="J14145" s="27" t="s">
        <v>238</v>
      </c>
      <c r="L14145" s="27" t="s">
        <v>346</v>
      </c>
      <c r="N14145" s="27" t="s">
        <v>20413</v>
      </c>
      <c r="P14145" s="27" t="s">
        <v>20419</v>
      </c>
      <c r="Q14145" s="26" t="str">
        <f>HYPERLINK("https://ictv.global/taxonomy/taxondetails?taxnode_id=202520604&amp;ictv_id=ICTV202420604","ICTV202420604")</f>
        <v>ICTV202420604</v>
      </c>
      <c r="R14145" t="s">
        <v>580</v>
      </c>
      <c r="S14145" t="s">
        <v>823</v>
      </c>
      <c r="T14145">
        <v>40</v>
      </c>
      <c r="U14145" s="26" t="str">
        <f t="shared" si="526"/>
        <v>2024.014M.Platrhavirus_2ng_30nsp.zip</v>
      </c>
    </row>
    <row r="14146" spans="1:21">
      <c r="A14146">
        <v>14145</v>
      </c>
      <c r="B14146" s="27" t="s">
        <v>1124</v>
      </c>
      <c r="D14146" s="27" t="s">
        <v>1859</v>
      </c>
      <c r="F14146" s="27" t="s">
        <v>938</v>
      </c>
      <c r="G14146" s="27" t="s">
        <v>939</v>
      </c>
      <c r="H14146" s="27" t="s">
        <v>945</v>
      </c>
      <c r="J14146" s="27" t="s">
        <v>238</v>
      </c>
      <c r="L14146" s="27" t="s">
        <v>346</v>
      </c>
      <c r="N14146" s="27" t="s">
        <v>20413</v>
      </c>
      <c r="P14146" s="27" t="s">
        <v>20420</v>
      </c>
      <c r="Q14146" s="26" t="str">
        <f>HYPERLINK("https://ictv.global/taxonomy/taxondetails?taxnode_id=202520605&amp;ictv_id=ICTV202420605","ICTV202420605")</f>
        <v>ICTV202420605</v>
      </c>
      <c r="R14146" t="s">
        <v>580</v>
      </c>
      <c r="S14146" t="s">
        <v>823</v>
      </c>
      <c r="T14146">
        <v>40</v>
      </c>
      <c r="U14146" s="26" t="str">
        <f t="shared" si="526"/>
        <v>2024.014M.Platrhavirus_2ng_30nsp.zip</v>
      </c>
    </row>
    <row r="14147" spans="1:21">
      <c r="A14147">
        <v>14146</v>
      </c>
      <c r="B14147" s="27" t="s">
        <v>1124</v>
      </c>
      <c r="D14147" s="27" t="s">
        <v>1859</v>
      </c>
      <c r="F14147" s="27" t="s">
        <v>938</v>
      </c>
      <c r="G14147" s="27" t="s">
        <v>939</v>
      </c>
      <c r="H14147" s="27" t="s">
        <v>945</v>
      </c>
      <c r="J14147" s="27" t="s">
        <v>238</v>
      </c>
      <c r="L14147" s="27" t="s">
        <v>346</v>
      </c>
      <c r="N14147" s="27" t="s">
        <v>20413</v>
      </c>
      <c r="P14147" s="27" t="s">
        <v>20421</v>
      </c>
      <c r="Q14147" s="26" t="str">
        <f>HYPERLINK("https://ictv.global/taxonomy/taxondetails?taxnode_id=202518556&amp;ictv_id=ICTV202318556","ICTV202318556")</f>
        <v>ICTV202318556</v>
      </c>
      <c r="R14147" t="s">
        <v>580</v>
      </c>
      <c r="S14147" t="s">
        <v>824</v>
      </c>
      <c r="T14147">
        <v>40</v>
      </c>
      <c r="U14147" s="26" t="str">
        <f t="shared" si="526"/>
        <v>2024.014M.Platrhavirus_2ng_30nsp.zip</v>
      </c>
    </row>
    <row r="14148" spans="1:21">
      <c r="A14148">
        <v>14147</v>
      </c>
      <c r="B14148" s="27" t="s">
        <v>1124</v>
      </c>
      <c r="D14148" s="27" t="s">
        <v>1859</v>
      </c>
      <c r="F14148" s="27" t="s">
        <v>938</v>
      </c>
      <c r="G14148" s="27" t="s">
        <v>939</v>
      </c>
      <c r="H14148" s="27" t="s">
        <v>945</v>
      </c>
      <c r="J14148" s="27" t="s">
        <v>238</v>
      </c>
      <c r="L14148" s="27" t="s">
        <v>346</v>
      </c>
      <c r="N14148" s="27" t="s">
        <v>20413</v>
      </c>
      <c r="P14148" s="27" t="s">
        <v>20422</v>
      </c>
      <c r="Q14148" s="26" t="str">
        <f>HYPERLINK("https://ictv.global/taxonomy/taxondetails?taxnode_id=202518555&amp;ictv_id=ICTV202318555","ICTV202318555")</f>
        <v>ICTV202318555</v>
      </c>
      <c r="R14148" t="s">
        <v>580</v>
      </c>
      <c r="S14148" t="s">
        <v>824</v>
      </c>
      <c r="T14148">
        <v>40</v>
      </c>
      <c r="U14148" s="26" t="str">
        <f t="shared" si="526"/>
        <v>2024.014M.Platrhavirus_2ng_30nsp.zip</v>
      </c>
    </row>
    <row r="14149" spans="1:21">
      <c r="A14149">
        <v>14148</v>
      </c>
      <c r="B14149" s="27" t="s">
        <v>1124</v>
      </c>
      <c r="D14149" s="27" t="s">
        <v>1859</v>
      </c>
      <c r="F14149" s="27" t="s">
        <v>938</v>
      </c>
      <c r="G14149" s="27" t="s">
        <v>939</v>
      </c>
      <c r="H14149" s="27" t="s">
        <v>945</v>
      </c>
      <c r="J14149" s="27" t="s">
        <v>238</v>
      </c>
      <c r="L14149" s="27" t="s">
        <v>346</v>
      </c>
      <c r="N14149" s="27" t="s">
        <v>20413</v>
      </c>
      <c r="P14149" s="27" t="s">
        <v>20423</v>
      </c>
      <c r="Q14149" s="26" t="str">
        <f>HYPERLINK("https://ictv.global/taxonomy/taxondetails?taxnode_id=202518559&amp;ictv_id=ICTV202318559","ICTV202318559")</f>
        <v>ICTV202318559</v>
      </c>
      <c r="R14149" t="s">
        <v>580</v>
      </c>
      <c r="S14149" t="s">
        <v>824</v>
      </c>
      <c r="T14149">
        <v>40</v>
      </c>
      <c r="U14149" s="26" t="str">
        <f t="shared" si="526"/>
        <v>2024.014M.Platrhavirus_2ng_30nsp.zip</v>
      </c>
    </row>
    <row r="14150" spans="1:21">
      <c r="A14150">
        <v>14149</v>
      </c>
      <c r="B14150" s="27" t="s">
        <v>1124</v>
      </c>
      <c r="D14150" s="27" t="s">
        <v>1859</v>
      </c>
      <c r="F14150" s="27" t="s">
        <v>938</v>
      </c>
      <c r="G14150" s="27" t="s">
        <v>939</v>
      </c>
      <c r="H14150" s="27" t="s">
        <v>945</v>
      </c>
      <c r="J14150" s="27" t="s">
        <v>238</v>
      </c>
      <c r="L14150" s="27" t="s">
        <v>346</v>
      </c>
      <c r="N14150" s="27" t="s">
        <v>20413</v>
      </c>
      <c r="P14150" s="27" t="s">
        <v>20424</v>
      </c>
      <c r="Q14150" s="26" t="str">
        <f>HYPERLINK("https://ictv.global/taxonomy/taxondetails?taxnode_id=202518557&amp;ictv_id=ICTV202318557","ICTV202318557")</f>
        <v>ICTV202318557</v>
      </c>
      <c r="R14150" t="s">
        <v>580</v>
      </c>
      <c r="S14150" t="s">
        <v>824</v>
      </c>
      <c r="T14150">
        <v>40</v>
      </c>
      <c r="U14150" s="26" t="str">
        <f t="shared" si="526"/>
        <v>2024.014M.Platrhavirus_2ng_30nsp.zip</v>
      </c>
    </row>
    <row r="14151" spans="1:21">
      <c r="A14151">
        <v>14150</v>
      </c>
      <c r="B14151" s="27" t="s">
        <v>1124</v>
      </c>
      <c r="D14151" s="27" t="s">
        <v>1859</v>
      </c>
      <c r="F14151" s="27" t="s">
        <v>938</v>
      </c>
      <c r="G14151" s="27" t="s">
        <v>939</v>
      </c>
      <c r="H14151" s="27" t="s">
        <v>945</v>
      </c>
      <c r="J14151" s="27" t="s">
        <v>238</v>
      </c>
      <c r="L14151" s="27" t="s">
        <v>346</v>
      </c>
      <c r="N14151" s="27" t="s">
        <v>20413</v>
      </c>
      <c r="P14151" s="27" t="s">
        <v>20425</v>
      </c>
      <c r="Q14151" s="26" t="str">
        <f>HYPERLINK("https://ictv.global/taxonomy/taxondetails?taxnode_id=202520602&amp;ictv_id=ICTV202420602","ICTV202420602")</f>
        <v>ICTV202420602</v>
      </c>
      <c r="R14151" t="s">
        <v>580</v>
      </c>
      <c r="S14151" t="s">
        <v>823</v>
      </c>
      <c r="T14151">
        <v>40</v>
      </c>
      <c r="U14151" s="26" t="str">
        <f t="shared" si="526"/>
        <v>2024.014M.Platrhavirus_2ng_30nsp.zip</v>
      </c>
    </row>
    <row r="14152" spans="1:21">
      <c r="A14152">
        <v>14151</v>
      </c>
      <c r="B14152" s="27" t="s">
        <v>1124</v>
      </c>
      <c r="D14152" s="27" t="s">
        <v>1859</v>
      </c>
      <c r="F14152" s="27" t="s">
        <v>938</v>
      </c>
      <c r="G14152" s="27" t="s">
        <v>939</v>
      </c>
      <c r="H14152" s="27" t="s">
        <v>945</v>
      </c>
      <c r="J14152" s="27" t="s">
        <v>238</v>
      </c>
      <c r="L14152" s="27" t="s">
        <v>346</v>
      </c>
      <c r="N14152" s="27" t="s">
        <v>20413</v>
      </c>
      <c r="P14152" s="27" t="s">
        <v>20426</v>
      </c>
      <c r="Q14152" s="26" t="str">
        <f>HYPERLINK("https://ictv.global/taxonomy/taxondetails?taxnode_id=202520598&amp;ictv_id=ICTV202420598","ICTV202420598")</f>
        <v>ICTV202420598</v>
      </c>
      <c r="R14152" t="s">
        <v>580</v>
      </c>
      <c r="S14152" t="s">
        <v>823</v>
      </c>
      <c r="T14152">
        <v>40</v>
      </c>
      <c r="U14152" s="26" t="str">
        <f t="shared" si="526"/>
        <v>2024.014M.Platrhavirus_2ng_30nsp.zip</v>
      </c>
    </row>
    <row r="14153" spans="1:21">
      <c r="A14153">
        <v>14152</v>
      </c>
      <c r="B14153" s="27" t="s">
        <v>1124</v>
      </c>
      <c r="D14153" s="27" t="s">
        <v>1859</v>
      </c>
      <c r="F14153" s="27" t="s">
        <v>938</v>
      </c>
      <c r="G14153" s="27" t="s">
        <v>939</v>
      </c>
      <c r="H14153" s="27" t="s">
        <v>945</v>
      </c>
      <c r="J14153" s="27" t="s">
        <v>238</v>
      </c>
      <c r="L14153" s="27" t="s">
        <v>346</v>
      </c>
      <c r="N14153" s="27" t="s">
        <v>20413</v>
      </c>
      <c r="P14153" s="27" t="s">
        <v>20427</v>
      </c>
      <c r="Q14153" s="26" t="str">
        <f>HYPERLINK("https://ictv.global/taxonomy/taxondetails?taxnode_id=202520596&amp;ictv_id=ICTV202420596","ICTV202420596")</f>
        <v>ICTV202420596</v>
      </c>
      <c r="R14153" t="s">
        <v>580</v>
      </c>
      <c r="S14153" t="s">
        <v>823</v>
      </c>
      <c r="T14153">
        <v>40</v>
      </c>
      <c r="U14153" s="26" t="str">
        <f t="shared" si="526"/>
        <v>2024.014M.Platrhavirus_2ng_30nsp.zip</v>
      </c>
    </row>
    <row r="14154" spans="1:21">
      <c r="A14154">
        <v>14153</v>
      </c>
      <c r="B14154" s="27" t="s">
        <v>1124</v>
      </c>
      <c r="D14154" s="27" t="s">
        <v>1859</v>
      </c>
      <c r="F14154" s="27" t="s">
        <v>938</v>
      </c>
      <c r="G14154" s="27" t="s">
        <v>939</v>
      </c>
      <c r="H14154" s="27" t="s">
        <v>945</v>
      </c>
      <c r="J14154" s="27" t="s">
        <v>238</v>
      </c>
      <c r="L14154" s="27" t="s">
        <v>346</v>
      </c>
      <c r="N14154" s="27" t="s">
        <v>20413</v>
      </c>
      <c r="P14154" s="27" t="s">
        <v>20428</v>
      </c>
      <c r="Q14154" s="26" t="str">
        <f>HYPERLINK("https://ictv.global/taxonomy/taxondetails?taxnode_id=202518558&amp;ictv_id=ICTV202318558","ICTV202318558")</f>
        <v>ICTV202318558</v>
      </c>
      <c r="R14154" t="s">
        <v>580</v>
      </c>
      <c r="S14154" t="s">
        <v>824</v>
      </c>
      <c r="T14154">
        <v>40</v>
      </c>
      <c r="U14154" s="26" t="str">
        <f t="shared" si="526"/>
        <v>2024.014M.Platrhavirus_2ng_30nsp.zip</v>
      </c>
    </row>
    <row r="14155" spans="1:21">
      <c r="A14155">
        <v>14154</v>
      </c>
      <c r="B14155" s="27" t="s">
        <v>1124</v>
      </c>
      <c r="D14155" s="27" t="s">
        <v>1859</v>
      </c>
      <c r="F14155" s="27" t="s">
        <v>938</v>
      </c>
      <c r="G14155" s="27" t="s">
        <v>939</v>
      </c>
      <c r="H14155" s="27" t="s">
        <v>945</v>
      </c>
      <c r="J14155" s="27" t="s">
        <v>238</v>
      </c>
      <c r="L14155" s="27" t="s">
        <v>346</v>
      </c>
      <c r="N14155" s="27" t="s">
        <v>20413</v>
      </c>
      <c r="P14155" s="27" t="s">
        <v>20429</v>
      </c>
      <c r="Q14155" s="26" t="str">
        <f>HYPERLINK("https://ictv.global/taxonomy/taxondetails?taxnode_id=202518560&amp;ictv_id=ICTV202318560","ICTV202318560")</f>
        <v>ICTV202318560</v>
      </c>
      <c r="R14155" t="s">
        <v>580</v>
      </c>
      <c r="S14155" t="s">
        <v>824</v>
      </c>
      <c r="T14155">
        <v>40</v>
      </c>
      <c r="U14155" s="26" t="str">
        <f t="shared" si="526"/>
        <v>2024.014M.Platrhavirus_2ng_30nsp.zip</v>
      </c>
    </row>
    <row r="14156" spans="1:21">
      <c r="A14156">
        <v>14155</v>
      </c>
      <c r="B14156" s="27" t="s">
        <v>1124</v>
      </c>
      <c r="D14156" s="27" t="s">
        <v>1859</v>
      </c>
      <c r="F14156" s="27" t="s">
        <v>938</v>
      </c>
      <c r="G14156" s="27" t="s">
        <v>939</v>
      </c>
      <c r="H14156" s="27" t="s">
        <v>945</v>
      </c>
      <c r="J14156" s="27" t="s">
        <v>238</v>
      </c>
      <c r="L14156" s="27" t="s">
        <v>346</v>
      </c>
      <c r="N14156" s="27" t="s">
        <v>20413</v>
      </c>
      <c r="P14156" s="27" t="s">
        <v>20430</v>
      </c>
      <c r="Q14156" s="26" t="str">
        <f>HYPERLINK("https://ictv.global/taxonomy/taxondetails?taxnode_id=202520603&amp;ictv_id=ICTV202420603","ICTV202420603")</f>
        <v>ICTV202420603</v>
      </c>
      <c r="R14156" t="s">
        <v>580</v>
      </c>
      <c r="S14156" t="s">
        <v>823</v>
      </c>
      <c r="T14156">
        <v>40</v>
      </c>
      <c r="U14156" s="26" t="str">
        <f t="shared" si="526"/>
        <v>2024.014M.Platrhavirus_2ng_30nsp.zip</v>
      </c>
    </row>
    <row r="14157" spans="1:21">
      <c r="A14157">
        <v>14156</v>
      </c>
      <c r="B14157" s="27" t="s">
        <v>1124</v>
      </c>
      <c r="D14157" s="27" t="s">
        <v>1859</v>
      </c>
      <c r="F14157" s="27" t="s">
        <v>938</v>
      </c>
      <c r="G14157" s="27" t="s">
        <v>939</v>
      </c>
      <c r="H14157" s="27" t="s">
        <v>945</v>
      </c>
      <c r="J14157" s="27" t="s">
        <v>238</v>
      </c>
      <c r="L14157" s="27" t="s">
        <v>346</v>
      </c>
      <c r="N14157" s="27" t="s">
        <v>20413</v>
      </c>
      <c r="P14157" s="27" t="s">
        <v>20431</v>
      </c>
      <c r="Q14157" s="26" t="str">
        <f>HYPERLINK("https://ictv.global/taxonomy/taxondetails?taxnode_id=202520597&amp;ictv_id=ICTV202420597","ICTV202420597")</f>
        <v>ICTV202420597</v>
      </c>
      <c r="R14157" t="s">
        <v>580</v>
      </c>
      <c r="S14157" t="s">
        <v>823</v>
      </c>
      <c r="T14157">
        <v>40</v>
      </c>
      <c r="U14157" s="26" t="str">
        <f t="shared" si="526"/>
        <v>2024.014M.Platrhavirus_2ng_30nsp.zip</v>
      </c>
    </row>
    <row r="14158" spans="1:21">
      <c r="A14158">
        <v>14157</v>
      </c>
      <c r="B14158" s="27" t="s">
        <v>1124</v>
      </c>
      <c r="D14158" s="27" t="s">
        <v>1859</v>
      </c>
      <c r="F14158" s="27" t="s">
        <v>938</v>
      </c>
      <c r="G14158" s="27" t="s">
        <v>939</v>
      </c>
      <c r="H14158" s="27" t="s">
        <v>945</v>
      </c>
      <c r="J14158" s="27" t="s">
        <v>238</v>
      </c>
      <c r="L14158" s="27" t="s">
        <v>346</v>
      </c>
      <c r="N14158" s="27" t="s">
        <v>20432</v>
      </c>
      <c r="P14158" s="27" t="s">
        <v>20433</v>
      </c>
      <c r="Q14158" s="26" t="str">
        <f>HYPERLINK("https://ictv.global/taxonomy/taxondetails?taxnode_id=202520617&amp;ictv_id=ICTV202420617","ICTV202420617")</f>
        <v>ICTV202420617</v>
      </c>
      <c r="R14158" t="s">
        <v>580</v>
      </c>
      <c r="S14158" t="s">
        <v>823</v>
      </c>
      <c r="T14158">
        <v>40</v>
      </c>
      <c r="U14158" s="26" t="str">
        <f t="shared" si="526"/>
        <v>2024.014M.Platrhavirus_2ng_30nsp.zip</v>
      </c>
    </row>
    <row r="14159" spans="1:21">
      <c r="A14159">
        <v>14158</v>
      </c>
      <c r="B14159" s="27" t="s">
        <v>1124</v>
      </c>
      <c r="D14159" s="27" t="s">
        <v>1859</v>
      </c>
      <c r="F14159" s="27" t="s">
        <v>938</v>
      </c>
      <c r="G14159" s="27" t="s">
        <v>939</v>
      </c>
      <c r="H14159" s="27" t="s">
        <v>945</v>
      </c>
      <c r="J14159" s="27" t="s">
        <v>238</v>
      </c>
      <c r="L14159" s="27" t="s">
        <v>346</v>
      </c>
      <c r="N14159" s="27" t="s">
        <v>20432</v>
      </c>
      <c r="P14159" s="27" t="s">
        <v>20434</v>
      </c>
      <c r="Q14159" s="26" t="str">
        <f>HYPERLINK("https://ictv.global/taxonomy/taxondetails?taxnode_id=202520618&amp;ictv_id=ICTV202420618","ICTV202420618")</f>
        <v>ICTV202420618</v>
      </c>
      <c r="R14159" t="s">
        <v>580</v>
      </c>
      <c r="S14159" t="s">
        <v>823</v>
      </c>
      <c r="T14159">
        <v>40</v>
      </c>
      <c r="U14159" s="26" t="str">
        <f t="shared" si="526"/>
        <v>2024.014M.Platrhavirus_2ng_30nsp.zip</v>
      </c>
    </row>
    <row r="14160" spans="1:21">
      <c r="A14160">
        <v>14159</v>
      </c>
      <c r="B14160" s="27" t="s">
        <v>1124</v>
      </c>
      <c r="D14160" s="27" t="s">
        <v>1859</v>
      </c>
      <c r="F14160" s="27" t="s">
        <v>938</v>
      </c>
      <c r="G14160" s="27" t="s">
        <v>939</v>
      </c>
      <c r="H14160" s="27" t="s">
        <v>945</v>
      </c>
      <c r="J14160" s="27" t="s">
        <v>238</v>
      </c>
      <c r="L14160" s="27" t="s">
        <v>346</v>
      </c>
      <c r="N14160" s="27" t="s">
        <v>20432</v>
      </c>
      <c r="P14160" s="27" t="s">
        <v>20435</v>
      </c>
      <c r="Q14160" s="26" t="str">
        <f>HYPERLINK("https://ictv.global/taxonomy/taxondetails?taxnode_id=202520613&amp;ictv_id=ICTV202420613","ICTV202420613")</f>
        <v>ICTV202420613</v>
      </c>
      <c r="R14160" t="s">
        <v>580</v>
      </c>
      <c r="S14160" t="s">
        <v>823</v>
      </c>
      <c r="T14160">
        <v>40</v>
      </c>
      <c r="U14160" s="26" t="str">
        <f t="shared" si="526"/>
        <v>2024.014M.Platrhavirus_2ng_30nsp.zip</v>
      </c>
    </row>
    <row r="14161" spans="1:21">
      <c r="A14161">
        <v>14160</v>
      </c>
      <c r="B14161" s="27" t="s">
        <v>1124</v>
      </c>
      <c r="D14161" s="27" t="s">
        <v>1859</v>
      </c>
      <c r="F14161" s="27" t="s">
        <v>938</v>
      </c>
      <c r="G14161" s="27" t="s">
        <v>939</v>
      </c>
      <c r="H14161" s="27" t="s">
        <v>945</v>
      </c>
      <c r="J14161" s="27" t="s">
        <v>238</v>
      </c>
      <c r="L14161" s="27" t="s">
        <v>346</v>
      </c>
      <c r="N14161" s="27" t="s">
        <v>20432</v>
      </c>
      <c r="P14161" s="27" t="s">
        <v>20436</v>
      </c>
      <c r="Q14161" s="26" t="str">
        <f>HYPERLINK("https://ictv.global/taxonomy/taxondetails?taxnode_id=202520615&amp;ictv_id=ICTV202420615","ICTV202420615")</f>
        <v>ICTV202420615</v>
      </c>
      <c r="R14161" t="s">
        <v>580</v>
      </c>
      <c r="S14161" t="s">
        <v>823</v>
      </c>
      <c r="T14161">
        <v>40</v>
      </c>
      <c r="U14161" s="26" t="str">
        <f t="shared" si="526"/>
        <v>2024.014M.Platrhavirus_2ng_30nsp.zip</v>
      </c>
    </row>
    <row r="14162" spans="1:21">
      <c r="A14162">
        <v>14161</v>
      </c>
      <c r="B14162" s="27" t="s">
        <v>1124</v>
      </c>
      <c r="D14162" s="27" t="s">
        <v>1859</v>
      </c>
      <c r="F14162" s="27" t="s">
        <v>938</v>
      </c>
      <c r="G14162" s="27" t="s">
        <v>939</v>
      </c>
      <c r="H14162" s="27" t="s">
        <v>945</v>
      </c>
      <c r="J14162" s="27" t="s">
        <v>238</v>
      </c>
      <c r="L14162" s="27" t="s">
        <v>346</v>
      </c>
      <c r="N14162" s="27" t="s">
        <v>20432</v>
      </c>
      <c r="P14162" s="27" t="s">
        <v>20437</v>
      </c>
      <c r="Q14162" s="26" t="str">
        <f>HYPERLINK("https://ictv.global/taxonomy/taxondetails?taxnode_id=202520616&amp;ictv_id=ICTV202420616","ICTV202420616")</f>
        <v>ICTV202420616</v>
      </c>
      <c r="R14162" t="s">
        <v>580</v>
      </c>
      <c r="S14162" t="s">
        <v>823</v>
      </c>
      <c r="T14162">
        <v>40</v>
      </c>
      <c r="U14162" s="26" t="str">
        <f t="shared" si="526"/>
        <v>2024.014M.Platrhavirus_2ng_30nsp.zip</v>
      </c>
    </row>
    <row r="14163" spans="1:21">
      <c r="A14163">
        <v>14162</v>
      </c>
      <c r="B14163" s="27" t="s">
        <v>1124</v>
      </c>
      <c r="D14163" s="27" t="s">
        <v>1859</v>
      </c>
      <c r="F14163" s="27" t="s">
        <v>938</v>
      </c>
      <c r="G14163" s="27" t="s">
        <v>939</v>
      </c>
      <c r="H14163" s="27" t="s">
        <v>945</v>
      </c>
      <c r="J14163" s="27" t="s">
        <v>238</v>
      </c>
      <c r="L14163" s="27" t="s">
        <v>346</v>
      </c>
      <c r="N14163" s="27" t="s">
        <v>20432</v>
      </c>
      <c r="P14163" s="27" t="s">
        <v>20438</v>
      </c>
      <c r="Q14163" s="26" t="str">
        <f>HYPERLINK("https://ictv.global/taxonomy/taxondetails?taxnode_id=202520612&amp;ictv_id=ICTV202420612","ICTV202420612")</f>
        <v>ICTV202420612</v>
      </c>
      <c r="R14163" t="s">
        <v>580</v>
      </c>
      <c r="S14163" t="s">
        <v>823</v>
      </c>
      <c r="T14163">
        <v>40</v>
      </c>
      <c r="U14163" s="26" t="str">
        <f t="shared" si="526"/>
        <v>2024.014M.Platrhavirus_2ng_30nsp.zip</v>
      </c>
    </row>
    <row r="14164" spans="1:21">
      <c r="A14164">
        <v>14163</v>
      </c>
      <c r="B14164" s="27" t="s">
        <v>1124</v>
      </c>
      <c r="D14164" s="27" t="s">
        <v>1859</v>
      </c>
      <c r="F14164" s="27" t="s">
        <v>938</v>
      </c>
      <c r="G14164" s="27" t="s">
        <v>939</v>
      </c>
      <c r="H14164" s="27" t="s">
        <v>945</v>
      </c>
      <c r="J14164" s="27" t="s">
        <v>238</v>
      </c>
      <c r="L14164" s="27" t="s">
        <v>346</v>
      </c>
      <c r="N14164" s="27" t="s">
        <v>20432</v>
      </c>
      <c r="P14164" s="27" t="s">
        <v>20439</v>
      </c>
      <c r="Q14164" s="26" t="str">
        <f>HYPERLINK("https://ictv.global/taxonomy/taxondetails?taxnode_id=202520607&amp;ictv_id=ICTV202420607","ICTV202420607")</f>
        <v>ICTV202420607</v>
      </c>
      <c r="R14164" t="s">
        <v>580</v>
      </c>
      <c r="S14164" t="s">
        <v>823</v>
      </c>
      <c r="T14164">
        <v>40</v>
      </c>
      <c r="U14164" s="26" t="str">
        <f t="shared" si="526"/>
        <v>2024.014M.Platrhavirus_2ng_30nsp.zip</v>
      </c>
    </row>
    <row r="14165" spans="1:21">
      <c r="A14165">
        <v>14164</v>
      </c>
      <c r="B14165" s="27" t="s">
        <v>1124</v>
      </c>
      <c r="D14165" s="27" t="s">
        <v>1859</v>
      </c>
      <c r="F14165" s="27" t="s">
        <v>938</v>
      </c>
      <c r="G14165" s="27" t="s">
        <v>939</v>
      </c>
      <c r="H14165" s="27" t="s">
        <v>945</v>
      </c>
      <c r="J14165" s="27" t="s">
        <v>238</v>
      </c>
      <c r="L14165" s="27" t="s">
        <v>346</v>
      </c>
      <c r="N14165" s="27" t="s">
        <v>20432</v>
      </c>
      <c r="P14165" s="27" t="s">
        <v>21582</v>
      </c>
      <c r="Q14165" s="26" t="str">
        <f>HYPERLINK("https://ictv.global/taxonomy/taxondetails?taxnode_id=202522448&amp;ictv_id=ICTV202522448","ICTV202522448")</f>
        <v>ICTV202522448</v>
      </c>
      <c r="R14165" t="s">
        <v>580</v>
      </c>
      <c r="S14165" t="s">
        <v>823</v>
      </c>
      <c r="T14165">
        <v>41</v>
      </c>
      <c r="U14165" s="26" t="str">
        <f>HYPERLINK("https://ictv.global/ictv/proposals/2025.009M.Rhabdoviridae_4nsp.zip","2025.009M.Rhabdoviridae_4nsp.zip")</f>
        <v>2025.009M.Rhabdoviridae_4nsp.zip</v>
      </c>
    </row>
    <row r="14166" spans="1:21">
      <c r="A14166">
        <v>14165</v>
      </c>
      <c r="B14166" s="27" t="s">
        <v>1124</v>
      </c>
      <c r="D14166" s="27" t="s">
        <v>1859</v>
      </c>
      <c r="F14166" s="27" t="s">
        <v>938</v>
      </c>
      <c r="G14166" s="27" t="s">
        <v>939</v>
      </c>
      <c r="H14166" s="27" t="s">
        <v>945</v>
      </c>
      <c r="J14166" s="27" t="s">
        <v>238</v>
      </c>
      <c r="L14166" s="27" t="s">
        <v>346</v>
      </c>
      <c r="N14166" s="27" t="s">
        <v>20432</v>
      </c>
      <c r="P14166" s="27" t="s">
        <v>20440</v>
      </c>
      <c r="Q14166" s="26" t="str">
        <f>HYPERLINK("https://ictv.global/taxonomy/taxondetails?taxnode_id=202520611&amp;ictv_id=ICTV202420611","ICTV202420611")</f>
        <v>ICTV202420611</v>
      </c>
      <c r="R14166" t="s">
        <v>580</v>
      </c>
      <c r="S14166" t="s">
        <v>823</v>
      </c>
      <c r="T14166">
        <v>40</v>
      </c>
      <c r="U14166" s="26" t="str">
        <f>HYPERLINK("https://ictv.global/ictv/proposals/2024.014M.Platrhavirus_2ng_30nsp.zip","2024.014M.Platrhavirus_2ng_30nsp.zip")</f>
        <v>2024.014M.Platrhavirus_2ng_30nsp.zip</v>
      </c>
    </row>
    <row r="14167" spans="1:21">
      <c r="A14167">
        <v>14166</v>
      </c>
      <c r="B14167" s="27" t="s">
        <v>1124</v>
      </c>
      <c r="D14167" s="27" t="s">
        <v>1859</v>
      </c>
      <c r="F14167" s="27" t="s">
        <v>938</v>
      </c>
      <c r="G14167" s="27" t="s">
        <v>939</v>
      </c>
      <c r="H14167" s="27" t="s">
        <v>945</v>
      </c>
      <c r="J14167" s="27" t="s">
        <v>238</v>
      </c>
      <c r="L14167" s="27" t="s">
        <v>346</v>
      </c>
      <c r="N14167" s="27" t="s">
        <v>20432</v>
      </c>
      <c r="P14167" s="27" t="s">
        <v>20441</v>
      </c>
      <c r="Q14167" s="26" t="str">
        <f>HYPERLINK("https://ictv.global/taxonomy/taxondetails?taxnode_id=202520608&amp;ictv_id=ICTV202420608","ICTV202420608")</f>
        <v>ICTV202420608</v>
      </c>
      <c r="R14167" t="s">
        <v>580</v>
      </c>
      <c r="S14167" t="s">
        <v>823</v>
      </c>
      <c r="T14167">
        <v>40</v>
      </c>
      <c r="U14167" s="26" t="str">
        <f>HYPERLINK("https://ictv.global/ictv/proposals/2024.014M.Platrhavirus_2ng_30nsp.zip","2024.014M.Platrhavirus_2ng_30nsp.zip")</f>
        <v>2024.014M.Platrhavirus_2ng_30nsp.zip</v>
      </c>
    </row>
    <row r="14168" spans="1:21">
      <c r="A14168">
        <v>14167</v>
      </c>
      <c r="B14168" s="27" t="s">
        <v>1124</v>
      </c>
      <c r="D14168" s="27" t="s">
        <v>1859</v>
      </c>
      <c r="F14168" s="27" t="s">
        <v>938</v>
      </c>
      <c r="G14168" s="27" t="s">
        <v>939</v>
      </c>
      <c r="H14168" s="27" t="s">
        <v>945</v>
      </c>
      <c r="J14168" s="27" t="s">
        <v>238</v>
      </c>
      <c r="L14168" s="27" t="s">
        <v>346</v>
      </c>
      <c r="N14168" s="27" t="s">
        <v>20432</v>
      </c>
      <c r="P14168" s="27" t="s">
        <v>21583</v>
      </c>
      <c r="Q14168" s="26" t="str">
        <f>HYPERLINK("https://ictv.global/taxonomy/taxondetails?taxnode_id=202522449&amp;ictv_id=ICTV202522449","ICTV202522449")</f>
        <v>ICTV202522449</v>
      </c>
      <c r="R14168" t="s">
        <v>580</v>
      </c>
      <c r="S14168" t="s">
        <v>823</v>
      </c>
      <c r="T14168">
        <v>41</v>
      </c>
      <c r="U14168" s="26" t="str">
        <f>HYPERLINK("https://ictv.global/ictv/proposals/2025.009M.Rhabdoviridae_4nsp.zip","2025.009M.Rhabdoviridae_4nsp.zip")</f>
        <v>2025.009M.Rhabdoviridae_4nsp.zip</v>
      </c>
    </row>
    <row r="14169" spans="1:21">
      <c r="A14169">
        <v>14168</v>
      </c>
      <c r="B14169" s="27" t="s">
        <v>1124</v>
      </c>
      <c r="D14169" s="27" t="s">
        <v>1859</v>
      </c>
      <c r="F14169" s="27" t="s">
        <v>938</v>
      </c>
      <c r="G14169" s="27" t="s">
        <v>939</v>
      </c>
      <c r="H14169" s="27" t="s">
        <v>945</v>
      </c>
      <c r="J14169" s="27" t="s">
        <v>238</v>
      </c>
      <c r="L14169" s="27" t="s">
        <v>346</v>
      </c>
      <c r="N14169" s="27" t="s">
        <v>20432</v>
      </c>
      <c r="P14169" s="27" t="s">
        <v>20442</v>
      </c>
      <c r="Q14169" s="26" t="str">
        <f>HYPERLINK("https://ictv.global/taxonomy/taxondetails?taxnode_id=202520609&amp;ictv_id=ICTV202420609","ICTV202420609")</f>
        <v>ICTV202420609</v>
      </c>
      <c r="R14169" t="s">
        <v>580</v>
      </c>
      <c r="S14169" t="s">
        <v>823</v>
      </c>
      <c r="T14169">
        <v>40</v>
      </c>
      <c r="U14169" s="26" t="str">
        <f t="shared" ref="U14169:U14177" si="527">HYPERLINK("https://ictv.global/ictv/proposals/2024.014M.Platrhavirus_2ng_30nsp.zip","2024.014M.Platrhavirus_2ng_30nsp.zip")</f>
        <v>2024.014M.Platrhavirus_2ng_30nsp.zip</v>
      </c>
    </row>
    <row r="14170" spans="1:21">
      <c r="A14170">
        <v>14169</v>
      </c>
      <c r="B14170" s="27" t="s">
        <v>1124</v>
      </c>
      <c r="D14170" s="27" t="s">
        <v>1859</v>
      </c>
      <c r="F14170" s="27" t="s">
        <v>938</v>
      </c>
      <c r="G14170" s="27" t="s">
        <v>939</v>
      </c>
      <c r="H14170" s="27" t="s">
        <v>945</v>
      </c>
      <c r="J14170" s="27" t="s">
        <v>238</v>
      </c>
      <c r="L14170" s="27" t="s">
        <v>346</v>
      </c>
      <c r="N14170" s="27" t="s">
        <v>20432</v>
      </c>
      <c r="P14170" s="27" t="s">
        <v>20443</v>
      </c>
      <c r="Q14170" s="26" t="str">
        <f>HYPERLINK("https://ictv.global/taxonomy/taxondetails?taxnode_id=202520610&amp;ictv_id=ICTV202420610","ICTV202420610")</f>
        <v>ICTV202420610</v>
      </c>
      <c r="R14170" t="s">
        <v>580</v>
      </c>
      <c r="S14170" t="s">
        <v>823</v>
      </c>
      <c r="T14170">
        <v>40</v>
      </c>
      <c r="U14170" s="26" t="str">
        <f t="shared" si="527"/>
        <v>2024.014M.Platrhavirus_2ng_30nsp.zip</v>
      </c>
    </row>
    <row r="14171" spans="1:21">
      <c r="A14171">
        <v>14170</v>
      </c>
      <c r="B14171" s="27" t="s">
        <v>1124</v>
      </c>
      <c r="D14171" s="27" t="s">
        <v>1859</v>
      </c>
      <c r="F14171" s="27" t="s">
        <v>938</v>
      </c>
      <c r="G14171" s="27" t="s">
        <v>939</v>
      </c>
      <c r="H14171" s="27" t="s">
        <v>945</v>
      </c>
      <c r="J14171" s="27" t="s">
        <v>238</v>
      </c>
      <c r="L14171" s="27" t="s">
        <v>346</v>
      </c>
      <c r="N14171" s="27" t="s">
        <v>20432</v>
      </c>
      <c r="P14171" s="27" t="s">
        <v>20444</v>
      </c>
      <c r="Q14171" s="26" t="str">
        <f>HYPERLINK("https://ictv.global/taxonomy/taxondetails?taxnode_id=202520614&amp;ictv_id=ICTV202420614","ICTV202420614")</f>
        <v>ICTV202420614</v>
      </c>
      <c r="R14171" t="s">
        <v>580</v>
      </c>
      <c r="S14171" t="s">
        <v>823</v>
      </c>
      <c r="T14171">
        <v>40</v>
      </c>
      <c r="U14171" s="26" t="str">
        <f t="shared" si="527"/>
        <v>2024.014M.Platrhavirus_2ng_30nsp.zip</v>
      </c>
    </row>
    <row r="14172" spans="1:21">
      <c r="A14172">
        <v>14171</v>
      </c>
      <c r="B14172" s="27" t="s">
        <v>1124</v>
      </c>
      <c r="D14172" s="27" t="s">
        <v>1859</v>
      </c>
      <c r="F14172" s="27" t="s">
        <v>938</v>
      </c>
      <c r="G14172" s="27" t="s">
        <v>939</v>
      </c>
      <c r="H14172" s="27" t="s">
        <v>945</v>
      </c>
      <c r="J14172" s="27" t="s">
        <v>238</v>
      </c>
      <c r="L14172" s="27" t="s">
        <v>346</v>
      </c>
      <c r="N14172" s="27" t="s">
        <v>20445</v>
      </c>
      <c r="P14172" s="27" t="s">
        <v>20446</v>
      </c>
      <c r="Q14172" s="26" t="str">
        <f>HYPERLINK("https://ictv.global/taxonomy/taxondetails?taxnode_id=202520622&amp;ictv_id=ICTV202420622","ICTV202420622")</f>
        <v>ICTV202420622</v>
      </c>
      <c r="R14172" t="s">
        <v>580</v>
      </c>
      <c r="S14172" t="s">
        <v>823</v>
      </c>
      <c r="T14172">
        <v>40</v>
      </c>
      <c r="U14172" s="26" t="str">
        <f t="shared" si="527"/>
        <v>2024.014M.Platrhavirus_2ng_30nsp.zip</v>
      </c>
    </row>
    <row r="14173" spans="1:21">
      <c r="A14173">
        <v>14172</v>
      </c>
      <c r="B14173" s="27" t="s">
        <v>1124</v>
      </c>
      <c r="D14173" s="27" t="s">
        <v>1859</v>
      </c>
      <c r="F14173" s="27" t="s">
        <v>938</v>
      </c>
      <c r="G14173" s="27" t="s">
        <v>939</v>
      </c>
      <c r="H14173" s="27" t="s">
        <v>945</v>
      </c>
      <c r="J14173" s="27" t="s">
        <v>238</v>
      </c>
      <c r="L14173" s="27" t="s">
        <v>346</v>
      </c>
      <c r="N14173" s="27" t="s">
        <v>20445</v>
      </c>
      <c r="P14173" s="27" t="s">
        <v>20447</v>
      </c>
      <c r="Q14173" s="26" t="str">
        <f>HYPERLINK("https://ictv.global/taxonomy/taxondetails?taxnode_id=202520619&amp;ictv_id=ICTV202420619","ICTV202420619")</f>
        <v>ICTV202420619</v>
      </c>
      <c r="R14173" t="s">
        <v>580</v>
      </c>
      <c r="S14173" t="s">
        <v>823</v>
      </c>
      <c r="T14173">
        <v>40</v>
      </c>
      <c r="U14173" s="26" t="str">
        <f t="shared" si="527"/>
        <v>2024.014M.Platrhavirus_2ng_30nsp.zip</v>
      </c>
    </row>
    <row r="14174" spans="1:21">
      <c r="A14174">
        <v>14173</v>
      </c>
      <c r="B14174" s="27" t="s">
        <v>1124</v>
      </c>
      <c r="D14174" s="27" t="s">
        <v>1859</v>
      </c>
      <c r="F14174" s="27" t="s">
        <v>938</v>
      </c>
      <c r="G14174" s="27" t="s">
        <v>939</v>
      </c>
      <c r="H14174" s="27" t="s">
        <v>945</v>
      </c>
      <c r="J14174" s="27" t="s">
        <v>238</v>
      </c>
      <c r="L14174" s="27" t="s">
        <v>346</v>
      </c>
      <c r="N14174" s="27" t="s">
        <v>20445</v>
      </c>
      <c r="P14174" s="27" t="s">
        <v>20448</v>
      </c>
      <c r="Q14174" s="26" t="str">
        <f>HYPERLINK("https://ictv.global/taxonomy/taxondetails?taxnode_id=202520623&amp;ictv_id=ICTV202420623","ICTV202420623")</f>
        <v>ICTV202420623</v>
      </c>
      <c r="R14174" t="s">
        <v>580</v>
      </c>
      <c r="S14174" t="s">
        <v>823</v>
      </c>
      <c r="T14174">
        <v>40</v>
      </c>
      <c r="U14174" s="26" t="str">
        <f t="shared" si="527"/>
        <v>2024.014M.Platrhavirus_2ng_30nsp.zip</v>
      </c>
    </row>
    <row r="14175" spans="1:21">
      <c r="A14175">
        <v>14174</v>
      </c>
      <c r="B14175" s="27" t="s">
        <v>1124</v>
      </c>
      <c r="D14175" s="27" t="s">
        <v>1859</v>
      </c>
      <c r="F14175" s="27" t="s">
        <v>938</v>
      </c>
      <c r="G14175" s="27" t="s">
        <v>939</v>
      </c>
      <c r="H14175" s="27" t="s">
        <v>945</v>
      </c>
      <c r="J14175" s="27" t="s">
        <v>238</v>
      </c>
      <c r="L14175" s="27" t="s">
        <v>346</v>
      </c>
      <c r="N14175" s="27" t="s">
        <v>20445</v>
      </c>
      <c r="P14175" s="27" t="s">
        <v>20449</v>
      </c>
      <c r="Q14175" s="26" t="str">
        <f>HYPERLINK("https://ictv.global/taxonomy/taxondetails?taxnode_id=202520620&amp;ictv_id=ICTV202420620","ICTV202420620")</f>
        <v>ICTV202420620</v>
      </c>
      <c r="R14175" t="s">
        <v>580</v>
      </c>
      <c r="S14175" t="s">
        <v>823</v>
      </c>
      <c r="T14175">
        <v>40</v>
      </c>
      <c r="U14175" s="26" t="str">
        <f t="shared" si="527"/>
        <v>2024.014M.Platrhavirus_2ng_30nsp.zip</v>
      </c>
    </row>
    <row r="14176" spans="1:21">
      <c r="A14176">
        <v>14175</v>
      </c>
      <c r="B14176" s="27" t="s">
        <v>1124</v>
      </c>
      <c r="D14176" s="27" t="s">
        <v>1859</v>
      </c>
      <c r="F14176" s="27" t="s">
        <v>938</v>
      </c>
      <c r="G14176" s="27" t="s">
        <v>939</v>
      </c>
      <c r="H14176" s="27" t="s">
        <v>945</v>
      </c>
      <c r="J14176" s="27" t="s">
        <v>238</v>
      </c>
      <c r="L14176" s="27" t="s">
        <v>346</v>
      </c>
      <c r="N14176" s="27" t="s">
        <v>20445</v>
      </c>
      <c r="P14176" s="27" t="s">
        <v>20450</v>
      </c>
      <c r="Q14176" s="26" t="str">
        <f>HYPERLINK("https://ictv.global/taxonomy/taxondetails?taxnode_id=202520621&amp;ictv_id=ICTV202420621","ICTV202420621")</f>
        <v>ICTV202420621</v>
      </c>
      <c r="R14176" t="s">
        <v>580</v>
      </c>
      <c r="S14176" t="s">
        <v>823</v>
      </c>
      <c r="T14176">
        <v>40</v>
      </c>
      <c r="U14176" s="26" t="str">
        <f t="shared" si="527"/>
        <v>2024.014M.Platrhavirus_2ng_30nsp.zip</v>
      </c>
    </row>
    <row r="14177" spans="1:21">
      <c r="A14177">
        <v>14176</v>
      </c>
      <c r="B14177" s="27" t="s">
        <v>1124</v>
      </c>
      <c r="D14177" s="27" t="s">
        <v>1859</v>
      </c>
      <c r="F14177" s="27" t="s">
        <v>938</v>
      </c>
      <c r="G14177" s="27" t="s">
        <v>939</v>
      </c>
      <c r="H14177" s="27" t="s">
        <v>945</v>
      </c>
      <c r="J14177" s="27" t="s">
        <v>238</v>
      </c>
      <c r="L14177" s="27" t="s">
        <v>346</v>
      </c>
      <c r="N14177" s="27" t="s">
        <v>20445</v>
      </c>
      <c r="P14177" s="27" t="s">
        <v>20451</v>
      </c>
      <c r="Q14177" s="26" t="str">
        <f>HYPERLINK("https://ictv.global/taxonomy/taxondetails?taxnode_id=202520624&amp;ictv_id=ICTV202420624","ICTV202420624")</f>
        <v>ICTV202420624</v>
      </c>
      <c r="R14177" t="s">
        <v>580</v>
      </c>
      <c r="S14177" t="s">
        <v>823</v>
      </c>
      <c r="T14177">
        <v>40</v>
      </c>
      <c r="U14177" s="26" t="str">
        <f t="shared" si="527"/>
        <v>2024.014M.Platrhavirus_2ng_30nsp.zip</v>
      </c>
    </row>
    <row r="14178" spans="1:21">
      <c r="A14178">
        <v>14177</v>
      </c>
      <c r="B14178" s="27" t="s">
        <v>1124</v>
      </c>
      <c r="D14178" s="27" t="s">
        <v>1859</v>
      </c>
      <c r="F14178" s="27" t="s">
        <v>938</v>
      </c>
      <c r="G14178" s="27" t="s">
        <v>939</v>
      </c>
      <c r="H14178" s="27" t="s">
        <v>945</v>
      </c>
      <c r="J14178" s="27" t="s">
        <v>238</v>
      </c>
      <c r="L14178" s="27" t="s">
        <v>641</v>
      </c>
      <c r="N14178" s="27" t="s">
        <v>642</v>
      </c>
      <c r="P14178" s="27" t="s">
        <v>9787</v>
      </c>
      <c r="Q14178" s="26" t="str">
        <f>HYPERLINK("https://ictv.global/taxonomy/taxondetails?taxnode_id=202501808&amp;ictv_id=ICTV20151169","ICTV20151169")</f>
        <v>ICTV20151169</v>
      </c>
      <c r="R14178" t="s">
        <v>580</v>
      </c>
      <c r="S14178" t="s">
        <v>824</v>
      </c>
      <c r="T14178">
        <v>37</v>
      </c>
      <c r="U14178" s="26" t="str">
        <f>HYPERLINK("https://ictv.global/ictv/proposals/2021.037M.R.Sunviridae _sprename.zip","2021.037M.R.Sunviridae _sprename.zip")</f>
        <v>2021.037M.R.Sunviridae _sprename.zip</v>
      </c>
    </row>
    <row r="14179" spans="1:21">
      <c r="A14179">
        <v>14178</v>
      </c>
      <c r="B14179" s="27" t="s">
        <v>1124</v>
      </c>
      <c r="D14179" s="27" t="s">
        <v>1859</v>
      </c>
      <c r="F14179" s="27" t="s">
        <v>938</v>
      </c>
      <c r="G14179" s="27" t="s">
        <v>939</v>
      </c>
      <c r="H14179" s="27" t="s">
        <v>945</v>
      </c>
      <c r="J14179" s="27" t="s">
        <v>238</v>
      </c>
      <c r="L14179" s="27" t="s">
        <v>954</v>
      </c>
      <c r="N14179" s="27" t="s">
        <v>9788</v>
      </c>
      <c r="P14179" s="27" t="s">
        <v>9789</v>
      </c>
      <c r="Q14179" s="26" t="str">
        <f>HYPERLINK("https://ictv.global/taxonomy/taxondetails?taxnode_id=202506265&amp;ictv_id=ICTV20186265","ICTV20186265")</f>
        <v>ICTV20186265</v>
      </c>
      <c r="R14179" t="s">
        <v>580</v>
      </c>
      <c r="S14179" t="s">
        <v>22764</v>
      </c>
      <c r="T14179">
        <v>37</v>
      </c>
      <c r="U14179" s="26" t="str">
        <f>HYPERLINK("https://ictv.global/ictv/proposals/2021.039M.R.Xinmoviridae_11ngen_8nsp.zip","2021.039M.R.Xinmoviridae_11ngen_8nsp.zip")</f>
        <v>2021.039M.R.Xinmoviridae_11ngen_8nsp.zip</v>
      </c>
    </row>
    <row r="14180" spans="1:21">
      <c r="A14180">
        <v>14179</v>
      </c>
      <c r="B14180" s="27" t="s">
        <v>1124</v>
      </c>
      <c r="D14180" s="27" t="s">
        <v>1859</v>
      </c>
      <c r="F14180" s="27" t="s">
        <v>938</v>
      </c>
      <c r="G14180" s="27" t="s">
        <v>939</v>
      </c>
      <c r="H14180" s="27" t="s">
        <v>945</v>
      </c>
      <c r="J14180" s="27" t="s">
        <v>238</v>
      </c>
      <c r="L14180" s="27" t="s">
        <v>954</v>
      </c>
      <c r="N14180" s="27" t="s">
        <v>643</v>
      </c>
      <c r="P14180" s="27" t="s">
        <v>9790</v>
      </c>
      <c r="Q14180" s="26" t="str">
        <f>HYPERLINK("https://ictv.global/taxonomy/taxondetails?taxnode_id=202501812&amp;ictv_id=ICTV20151175","ICTV20151175")</f>
        <v>ICTV20151175</v>
      </c>
      <c r="R14180" t="s">
        <v>580</v>
      </c>
      <c r="S14180" t="s">
        <v>824</v>
      </c>
      <c r="T14180">
        <v>37</v>
      </c>
      <c r="U14180" s="26" t="str">
        <f>HYPERLINK("https://ictv.global/ictv/proposals/2021.039M.R.Xinmoviridae_11ngen_8nsp.zip","2021.039M.R.Xinmoviridae_11ngen_8nsp.zip")</f>
        <v>2021.039M.R.Xinmoviridae_11ngen_8nsp.zip</v>
      </c>
    </row>
    <row r="14181" spans="1:21">
      <c r="A14181">
        <v>14180</v>
      </c>
      <c r="B14181" s="27" t="s">
        <v>1124</v>
      </c>
      <c r="D14181" s="27" t="s">
        <v>1859</v>
      </c>
      <c r="F14181" s="27" t="s">
        <v>938</v>
      </c>
      <c r="G14181" s="27" t="s">
        <v>939</v>
      </c>
      <c r="H14181" s="27" t="s">
        <v>945</v>
      </c>
      <c r="J14181" s="27" t="s">
        <v>238</v>
      </c>
      <c r="L14181" s="27" t="s">
        <v>954</v>
      </c>
      <c r="N14181" s="27" t="s">
        <v>16986</v>
      </c>
      <c r="P14181" s="27" t="s">
        <v>16987</v>
      </c>
      <c r="Q14181" s="26" t="str">
        <f>HYPERLINK("https://ictv.global/taxonomy/taxondetails?taxnode_id=202518783&amp;ictv_id=ICTV202318783","ICTV202318783")</f>
        <v>ICTV202318783</v>
      </c>
      <c r="R14181" t="s">
        <v>580</v>
      </c>
      <c r="S14181" t="s">
        <v>823</v>
      </c>
      <c r="T14181">
        <v>39</v>
      </c>
      <c r="U14181" s="26" t="str">
        <f>HYPERLINK("https://ictv.global/ictv/proposals/2023.023M.Xinmoviridae_10ng_11nsp.zip","2023.023M.Xinmoviridae_10ng_11nsp.zip")</f>
        <v>2023.023M.Xinmoviridae_10ng_11nsp.zip</v>
      </c>
    </row>
    <row r="14182" spans="1:21">
      <c r="A14182">
        <v>14181</v>
      </c>
      <c r="B14182" s="27" t="s">
        <v>1124</v>
      </c>
      <c r="D14182" s="27" t="s">
        <v>1859</v>
      </c>
      <c r="F14182" s="27" t="s">
        <v>938</v>
      </c>
      <c r="G14182" s="27" t="s">
        <v>939</v>
      </c>
      <c r="H14182" s="27" t="s">
        <v>945</v>
      </c>
      <c r="J14182" s="27" t="s">
        <v>238</v>
      </c>
      <c r="L14182" s="27" t="s">
        <v>954</v>
      </c>
      <c r="N14182" s="27" t="s">
        <v>16988</v>
      </c>
      <c r="P14182" s="27" t="s">
        <v>16989</v>
      </c>
      <c r="Q14182" s="26" t="str">
        <f>HYPERLINK("https://ictv.global/taxonomy/taxondetails?taxnode_id=202518779&amp;ictv_id=ICTV202318779","ICTV202318779")</f>
        <v>ICTV202318779</v>
      </c>
      <c r="R14182" t="s">
        <v>580</v>
      </c>
      <c r="S14182" t="s">
        <v>823</v>
      </c>
      <c r="T14182">
        <v>39</v>
      </c>
      <c r="U14182" s="26" t="str">
        <f>HYPERLINK("https://ictv.global/ictv/proposals/2023.023M.Xinmoviridae_10ng_11nsp.zip","2023.023M.Xinmoviridae_10ng_11nsp.zip")</f>
        <v>2023.023M.Xinmoviridae_10ng_11nsp.zip</v>
      </c>
    </row>
    <row r="14183" spans="1:21">
      <c r="A14183">
        <v>14182</v>
      </c>
      <c r="B14183" s="27" t="s">
        <v>1124</v>
      </c>
      <c r="D14183" s="27" t="s">
        <v>1859</v>
      </c>
      <c r="F14183" s="27" t="s">
        <v>938</v>
      </c>
      <c r="G14183" s="27" t="s">
        <v>939</v>
      </c>
      <c r="H14183" s="27" t="s">
        <v>945</v>
      </c>
      <c r="J14183" s="27" t="s">
        <v>238</v>
      </c>
      <c r="L14183" s="27" t="s">
        <v>954</v>
      </c>
      <c r="N14183" s="27" t="s">
        <v>16988</v>
      </c>
      <c r="P14183" s="27" t="s">
        <v>16990</v>
      </c>
      <c r="Q14183" s="26" t="str">
        <f>HYPERLINK("https://ictv.global/taxonomy/taxondetails?taxnode_id=202518780&amp;ictv_id=ICTV202318780","ICTV202318780")</f>
        <v>ICTV202318780</v>
      </c>
      <c r="R14183" t="s">
        <v>580</v>
      </c>
      <c r="S14183" t="s">
        <v>823</v>
      </c>
      <c r="T14183">
        <v>39</v>
      </c>
      <c r="U14183" s="26" t="str">
        <f>HYPERLINK("https://ictv.global/ictv/proposals/2023.023M.Xinmoviridae_10ng_11nsp.zip","2023.023M.Xinmoviridae_10ng_11nsp.zip")</f>
        <v>2023.023M.Xinmoviridae_10ng_11nsp.zip</v>
      </c>
    </row>
    <row r="14184" spans="1:21">
      <c r="A14184">
        <v>14183</v>
      </c>
      <c r="B14184" s="27" t="s">
        <v>1124</v>
      </c>
      <c r="D14184" s="27" t="s">
        <v>1859</v>
      </c>
      <c r="F14184" s="27" t="s">
        <v>938</v>
      </c>
      <c r="G14184" s="27" t="s">
        <v>939</v>
      </c>
      <c r="H14184" s="27" t="s">
        <v>945</v>
      </c>
      <c r="J14184" s="27" t="s">
        <v>238</v>
      </c>
      <c r="L14184" s="27" t="s">
        <v>954</v>
      </c>
      <c r="N14184" s="27" t="s">
        <v>21635</v>
      </c>
      <c r="P14184" s="27" t="s">
        <v>21636</v>
      </c>
      <c r="Q14184" s="26" t="str">
        <f>HYPERLINK("https://ictv.global/taxonomy/taxondetails?taxnode_id=202522496&amp;ictv_id=ICTV202522496","ICTV202522496")</f>
        <v>ICTV202522496</v>
      </c>
      <c r="R14184" t="s">
        <v>580</v>
      </c>
      <c r="S14184" t="s">
        <v>823</v>
      </c>
      <c r="T14184">
        <v>41</v>
      </c>
      <c r="U14184" s="26" t="str">
        <f>HYPERLINK("https://ictv.global/ictv/proposals/2025.011M.Xinmoviridae_5ng_5nsp.zip","2025.011M.Xinmoviridae_5ng_5nsp.zip")</f>
        <v>2025.011M.Xinmoviridae_5ng_5nsp.zip</v>
      </c>
    </row>
    <row r="14185" spans="1:21">
      <c r="A14185">
        <v>14184</v>
      </c>
      <c r="B14185" s="27" t="s">
        <v>1124</v>
      </c>
      <c r="D14185" s="27" t="s">
        <v>1859</v>
      </c>
      <c r="F14185" s="27" t="s">
        <v>938</v>
      </c>
      <c r="G14185" s="27" t="s">
        <v>939</v>
      </c>
      <c r="H14185" s="27" t="s">
        <v>945</v>
      </c>
      <c r="J14185" s="27" t="s">
        <v>238</v>
      </c>
      <c r="L14185" s="27" t="s">
        <v>954</v>
      </c>
      <c r="N14185" s="27" t="s">
        <v>9791</v>
      </c>
      <c r="P14185" s="27" t="s">
        <v>9792</v>
      </c>
      <c r="Q14185" s="26" t="str">
        <f>HYPERLINK("https://ictv.global/taxonomy/taxondetails?taxnode_id=202512935&amp;ictv_id=ICTV202112935","ICTV202112935")</f>
        <v>ICTV202112935</v>
      </c>
      <c r="R14185" t="s">
        <v>580</v>
      </c>
      <c r="S14185" t="s">
        <v>823</v>
      </c>
      <c r="T14185">
        <v>37</v>
      </c>
      <c r="U14185" s="26" t="str">
        <f>HYPERLINK("https://ictv.global/ictv/proposals/2021.039M.R.Xinmoviridae_11ngen_8nsp.zip","2021.039M.R.Xinmoviridae_11ngen_8nsp.zip")</f>
        <v>2021.039M.R.Xinmoviridae_11ngen_8nsp.zip</v>
      </c>
    </row>
    <row r="14186" spans="1:21">
      <c r="A14186">
        <v>14185</v>
      </c>
      <c r="B14186" s="27" t="s">
        <v>1124</v>
      </c>
      <c r="D14186" s="27" t="s">
        <v>1859</v>
      </c>
      <c r="F14186" s="27" t="s">
        <v>938</v>
      </c>
      <c r="G14186" s="27" t="s">
        <v>939</v>
      </c>
      <c r="H14186" s="27" t="s">
        <v>945</v>
      </c>
      <c r="J14186" s="27" t="s">
        <v>238</v>
      </c>
      <c r="L14186" s="27" t="s">
        <v>954</v>
      </c>
      <c r="N14186" s="27" t="s">
        <v>9793</v>
      </c>
      <c r="P14186" s="27" t="s">
        <v>9794</v>
      </c>
      <c r="Q14186" s="26" t="str">
        <f>HYPERLINK("https://ictv.global/taxonomy/taxondetails?taxnode_id=202506261&amp;ictv_id=ICTV20186261","ICTV20186261")</f>
        <v>ICTV20186261</v>
      </c>
      <c r="R14186" t="s">
        <v>580</v>
      </c>
      <c r="S14186" t="s">
        <v>22764</v>
      </c>
      <c r="T14186">
        <v>37</v>
      </c>
      <c r="U14186" s="26" t="str">
        <f>HYPERLINK("https://ictv.global/ictv/proposals/2021.039M.R.Xinmoviridae_11ngen_8nsp.zip","2021.039M.R.Xinmoviridae_11ngen_8nsp.zip")</f>
        <v>2021.039M.R.Xinmoviridae_11ngen_8nsp.zip</v>
      </c>
    </row>
    <row r="14187" spans="1:21">
      <c r="A14187">
        <v>14186</v>
      </c>
      <c r="B14187" s="27" t="s">
        <v>1124</v>
      </c>
      <c r="D14187" s="27" t="s">
        <v>1859</v>
      </c>
      <c r="F14187" s="27" t="s">
        <v>938</v>
      </c>
      <c r="G14187" s="27" t="s">
        <v>939</v>
      </c>
      <c r="H14187" s="27" t="s">
        <v>945</v>
      </c>
      <c r="J14187" s="27" t="s">
        <v>238</v>
      </c>
      <c r="L14187" s="27" t="s">
        <v>954</v>
      </c>
      <c r="N14187" s="27" t="s">
        <v>9795</v>
      </c>
      <c r="P14187" s="27" t="s">
        <v>9796</v>
      </c>
      <c r="Q14187" s="26" t="str">
        <f>HYPERLINK("https://ictv.global/taxonomy/taxondetails?taxnode_id=202506263&amp;ictv_id=ICTV20186263","ICTV20186263")</f>
        <v>ICTV20186263</v>
      </c>
      <c r="R14187" t="s">
        <v>580</v>
      </c>
      <c r="S14187" t="s">
        <v>22764</v>
      </c>
      <c r="T14187">
        <v>37</v>
      </c>
      <c r="U14187" s="26" t="str">
        <f>HYPERLINK("https://ictv.global/ictv/proposals/2021.039M.R.Xinmoviridae_11ngen_8nsp.zip","2021.039M.R.Xinmoviridae_11ngen_8nsp.zip")</f>
        <v>2021.039M.R.Xinmoviridae_11ngen_8nsp.zip</v>
      </c>
    </row>
    <row r="14188" spans="1:21">
      <c r="A14188">
        <v>14187</v>
      </c>
      <c r="B14188" s="27" t="s">
        <v>1124</v>
      </c>
      <c r="D14188" s="27" t="s">
        <v>1859</v>
      </c>
      <c r="F14188" s="27" t="s">
        <v>938</v>
      </c>
      <c r="G14188" s="27" t="s">
        <v>939</v>
      </c>
      <c r="H14188" s="27" t="s">
        <v>945</v>
      </c>
      <c r="J14188" s="27" t="s">
        <v>238</v>
      </c>
      <c r="L14188" s="27" t="s">
        <v>954</v>
      </c>
      <c r="N14188" s="27" t="s">
        <v>9797</v>
      </c>
      <c r="P14188" s="27" t="s">
        <v>9798</v>
      </c>
      <c r="Q14188" s="26" t="str">
        <f>HYPERLINK("https://ictv.global/taxonomy/taxondetails?taxnode_id=202506262&amp;ictv_id=ICTV20186262","ICTV20186262")</f>
        <v>ICTV20186262</v>
      </c>
      <c r="R14188" t="s">
        <v>580</v>
      </c>
      <c r="S14188" t="s">
        <v>22764</v>
      </c>
      <c r="T14188">
        <v>37</v>
      </c>
      <c r="U14188" s="26" t="str">
        <f>HYPERLINK("https://ictv.global/ictv/proposals/2021.039M.R.Xinmoviridae_11ngen_8nsp.zip","2021.039M.R.Xinmoviridae_11ngen_8nsp.zip")</f>
        <v>2021.039M.R.Xinmoviridae_11ngen_8nsp.zip</v>
      </c>
    </row>
    <row r="14189" spans="1:21">
      <c r="A14189">
        <v>14188</v>
      </c>
      <c r="B14189" s="27" t="s">
        <v>1124</v>
      </c>
      <c r="D14189" s="27" t="s">
        <v>1859</v>
      </c>
      <c r="F14189" s="27" t="s">
        <v>938</v>
      </c>
      <c r="G14189" s="27" t="s">
        <v>939</v>
      </c>
      <c r="H14189" s="27" t="s">
        <v>945</v>
      </c>
      <c r="J14189" s="27" t="s">
        <v>238</v>
      </c>
      <c r="L14189" s="27" t="s">
        <v>954</v>
      </c>
      <c r="N14189" s="27" t="s">
        <v>9797</v>
      </c>
      <c r="P14189" s="27" t="s">
        <v>9799</v>
      </c>
      <c r="Q14189" s="26" t="str">
        <f>HYPERLINK("https://ictv.global/taxonomy/taxondetails?taxnode_id=202512939&amp;ictv_id=ICTV202112939","ICTV202112939")</f>
        <v>ICTV202112939</v>
      </c>
      <c r="R14189" t="s">
        <v>580</v>
      </c>
      <c r="S14189" t="s">
        <v>823</v>
      </c>
      <c r="T14189">
        <v>37</v>
      </c>
      <c r="U14189" s="26" t="str">
        <f>HYPERLINK("https://ictv.global/ictv/proposals/2021.039M.R.Xinmoviridae_11ngen_8nsp.zip","2021.039M.R.Xinmoviridae_11ngen_8nsp.zip")</f>
        <v>2021.039M.R.Xinmoviridae_11ngen_8nsp.zip</v>
      </c>
    </row>
    <row r="14190" spans="1:21">
      <c r="A14190">
        <v>14189</v>
      </c>
      <c r="B14190" s="27" t="s">
        <v>1124</v>
      </c>
      <c r="D14190" s="27" t="s">
        <v>1859</v>
      </c>
      <c r="F14190" s="27" t="s">
        <v>938</v>
      </c>
      <c r="G14190" s="27" t="s">
        <v>939</v>
      </c>
      <c r="H14190" s="27" t="s">
        <v>945</v>
      </c>
      <c r="J14190" s="27" t="s">
        <v>238</v>
      </c>
      <c r="L14190" s="27" t="s">
        <v>954</v>
      </c>
      <c r="N14190" s="27" t="s">
        <v>16991</v>
      </c>
      <c r="P14190" s="27" t="s">
        <v>16992</v>
      </c>
      <c r="Q14190" s="26" t="str">
        <f>HYPERLINK("https://ictv.global/taxonomy/taxondetails?taxnode_id=202518781&amp;ictv_id=ICTV202318781","ICTV202318781")</f>
        <v>ICTV202318781</v>
      </c>
      <c r="R14190" t="s">
        <v>580</v>
      </c>
      <c r="S14190" t="s">
        <v>823</v>
      </c>
      <c r="T14190">
        <v>39</v>
      </c>
      <c r="U14190" s="26" t="str">
        <f>HYPERLINK("https://ictv.global/ictv/proposals/2023.023M.Xinmoviridae_10ng_11nsp.zip","2023.023M.Xinmoviridae_10ng_11nsp.zip")</f>
        <v>2023.023M.Xinmoviridae_10ng_11nsp.zip</v>
      </c>
    </row>
    <row r="14191" spans="1:21">
      <c r="A14191">
        <v>14190</v>
      </c>
      <c r="B14191" s="27" t="s">
        <v>1124</v>
      </c>
      <c r="D14191" s="27" t="s">
        <v>1859</v>
      </c>
      <c r="F14191" s="27" t="s">
        <v>938</v>
      </c>
      <c r="G14191" s="27" t="s">
        <v>939</v>
      </c>
      <c r="H14191" s="27" t="s">
        <v>945</v>
      </c>
      <c r="J14191" s="27" t="s">
        <v>238</v>
      </c>
      <c r="L14191" s="27" t="s">
        <v>954</v>
      </c>
      <c r="N14191" s="27" t="s">
        <v>16993</v>
      </c>
      <c r="P14191" s="27" t="s">
        <v>16994</v>
      </c>
      <c r="Q14191" s="26" t="str">
        <f>HYPERLINK("https://ictv.global/taxonomy/taxondetails?taxnode_id=202518778&amp;ictv_id=ICTV202318778","ICTV202318778")</f>
        <v>ICTV202318778</v>
      </c>
      <c r="R14191" t="s">
        <v>580</v>
      </c>
      <c r="S14191" t="s">
        <v>823</v>
      </c>
      <c r="T14191">
        <v>39</v>
      </c>
      <c r="U14191" s="26" t="str">
        <f>HYPERLINK("https://ictv.global/ictv/proposals/2023.023M.Xinmoviridae_10ng_11nsp.zip","2023.023M.Xinmoviridae_10ng_11nsp.zip")</f>
        <v>2023.023M.Xinmoviridae_10ng_11nsp.zip</v>
      </c>
    </row>
    <row r="14192" spans="1:21">
      <c r="A14192">
        <v>14191</v>
      </c>
      <c r="B14192" s="27" t="s">
        <v>1124</v>
      </c>
      <c r="D14192" s="27" t="s">
        <v>1859</v>
      </c>
      <c r="F14192" s="27" t="s">
        <v>938</v>
      </c>
      <c r="G14192" s="27" t="s">
        <v>939</v>
      </c>
      <c r="H14192" s="27" t="s">
        <v>945</v>
      </c>
      <c r="J14192" s="27" t="s">
        <v>238</v>
      </c>
      <c r="L14192" s="27" t="s">
        <v>954</v>
      </c>
      <c r="N14192" s="27" t="s">
        <v>9800</v>
      </c>
      <c r="P14192" s="27" t="s">
        <v>9801</v>
      </c>
      <c r="Q14192" s="26" t="str">
        <f>HYPERLINK("https://ictv.global/taxonomy/taxondetails?taxnode_id=202512941&amp;ictv_id=ICTV202112941","ICTV202112941")</f>
        <v>ICTV202112941</v>
      </c>
      <c r="R14192" t="s">
        <v>580</v>
      </c>
      <c r="S14192" t="s">
        <v>823</v>
      </c>
      <c r="T14192">
        <v>37</v>
      </c>
      <c r="U14192" s="26" t="str">
        <f>HYPERLINK("https://ictv.global/ictv/proposals/2021.039M.R.Xinmoviridae_11ngen_8nsp.zip","2021.039M.R.Xinmoviridae_11ngen_8nsp.zip")</f>
        <v>2021.039M.R.Xinmoviridae_11ngen_8nsp.zip</v>
      </c>
    </row>
    <row r="14193" spans="1:21">
      <c r="A14193">
        <v>14192</v>
      </c>
      <c r="B14193" s="27" t="s">
        <v>1124</v>
      </c>
      <c r="D14193" s="27" t="s">
        <v>1859</v>
      </c>
      <c r="F14193" s="27" t="s">
        <v>938</v>
      </c>
      <c r="G14193" s="27" t="s">
        <v>939</v>
      </c>
      <c r="H14193" s="27" t="s">
        <v>945</v>
      </c>
      <c r="J14193" s="27" t="s">
        <v>238</v>
      </c>
      <c r="L14193" s="27" t="s">
        <v>954</v>
      </c>
      <c r="N14193" s="27" t="s">
        <v>9802</v>
      </c>
      <c r="P14193" s="27" t="s">
        <v>9803</v>
      </c>
      <c r="Q14193" s="26" t="str">
        <f>HYPERLINK("https://ictv.global/taxonomy/taxondetails?taxnode_id=202506260&amp;ictv_id=ICTV20186260","ICTV20186260")</f>
        <v>ICTV20186260</v>
      </c>
      <c r="R14193" t="s">
        <v>580</v>
      </c>
      <c r="S14193" t="s">
        <v>22764</v>
      </c>
      <c r="T14193">
        <v>37</v>
      </c>
      <c r="U14193" s="26" t="str">
        <f>HYPERLINK("https://ictv.global/ictv/proposals/2021.039M.R.Xinmoviridae_11ngen_8nsp.zip","2021.039M.R.Xinmoviridae_11ngen_8nsp.zip")</f>
        <v>2021.039M.R.Xinmoviridae_11ngen_8nsp.zip</v>
      </c>
    </row>
    <row r="14194" spans="1:21">
      <c r="A14194">
        <v>14193</v>
      </c>
      <c r="B14194" s="27" t="s">
        <v>1124</v>
      </c>
      <c r="D14194" s="27" t="s">
        <v>1859</v>
      </c>
      <c r="F14194" s="27" t="s">
        <v>938</v>
      </c>
      <c r="G14194" s="27" t="s">
        <v>939</v>
      </c>
      <c r="H14194" s="27" t="s">
        <v>945</v>
      </c>
      <c r="J14194" s="27" t="s">
        <v>238</v>
      </c>
      <c r="L14194" s="27" t="s">
        <v>954</v>
      </c>
      <c r="N14194" s="27" t="s">
        <v>21639</v>
      </c>
      <c r="P14194" s="27" t="s">
        <v>21640</v>
      </c>
      <c r="Q14194" s="26" t="str">
        <f>HYPERLINK("https://ictv.global/taxonomy/taxondetails?taxnode_id=202522498&amp;ictv_id=ICTV202522498","ICTV202522498")</f>
        <v>ICTV202522498</v>
      </c>
      <c r="R14194" t="s">
        <v>580</v>
      </c>
      <c r="S14194" t="s">
        <v>823</v>
      </c>
      <c r="T14194">
        <v>41</v>
      </c>
      <c r="U14194" s="26" t="str">
        <f>HYPERLINK("https://ictv.global/ictv/proposals/2025.011M.Xinmoviridae_5ng_5nsp.zip","2025.011M.Xinmoviridae_5ng_5nsp.zip")</f>
        <v>2025.011M.Xinmoviridae_5ng_5nsp.zip</v>
      </c>
    </row>
    <row r="14195" spans="1:21">
      <c r="A14195">
        <v>14194</v>
      </c>
      <c r="B14195" s="27" t="s">
        <v>1124</v>
      </c>
      <c r="D14195" s="27" t="s">
        <v>1859</v>
      </c>
      <c r="F14195" s="27" t="s">
        <v>938</v>
      </c>
      <c r="G14195" s="27" t="s">
        <v>939</v>
      </c>
      <c r="H14195" s="27" t="s">
        <v>945</v>
      </c>
      <c r="J14195" s="27" t="s">
        <v>238</v>
      </c>
      <c r="L14195" s="27" t="s">
        <v>954</v>
      </c>
      <c r="N14195" s="27" t="s">
        <v>16995</v>
      </c>
      <c r="P14195" s="27" t="s">
        <v>16996</v>
      </c>
      <c r="Q14195" s="26" t="str">
        <f>HYPERLINK("https://ictv.global/taxonomy/taxondetails?taxnode_id=202518786&amp;ictv_id=ICTV202318786","ICTV202318786")</f>
        <v>ICTV202318786</v>
      </c>
      <c r="R14195" t="s">
        <v>580</v>
      </c>
      <c r="S14195" t="s">
        <v>823</v>
      </c>
      <c r="T14195">
        <v>39</v>
      </c>
      <c r="U14195" s="26" t="str">
        <f>HYPERLINK("https://ictv.global/ictv/proposals/2023.023M.Xinmoviridae_10ng_11nsp.zip","2023.023M.Xinmoviridae_10ng_11nsp.zip")</f>
        <v>2023.023M.Xinmoviridae_10ng_11nsp.zip</v>
      </c>
    </row>
    <row r="14196" spans="1:21">
      <c r="A14196">
        <v>14195</v>
      </c>
      <c r="B14196" s="27" t="s">
        <v>1124</v>
      </c>
      <c r="D14196" s="27" t="s">
        <v>1859</v>
      </c>
      <c r="F14196" s="27" t="s">
        <v>938</v>
      </c>
      <c r="G14196" s="27" t="s">
        <v>939</v>
      </c>
      <c r="H14196" s="27" t="s">
        <v>945</v>
      </c>
      <c r="J14196" s="27" t="s">
        <v>238</v>
      </c>
      <c r="L14196" s="27" t="s">
        <v>954</v>
      </c>
      <c r="N14196" s="27" t="s">
        <v>9804</v>
      </c>
      <c r="P14196" s="27" t="s">
        <v>9805</v>
      </c>
      <c r="Q14196" s="26" t="str">
        <f>HYPERLINK("https://ictv.global/taxonomy/taxondetails?taxnode_id=202512944&amp;ictv_id=ICTV202112944","ICTV202112944")</f>
        <v>ICTV202112944</v>
      </c>
      <c r="R14196" t="s">
        <v>580</v>
      </c>
      <c r="S14196" t="s">
        <v>823</v>
      </c>
      <c r="T14196">
        <v>37</v>
      </c>
      <c r="U14196" s="26" t="str">
        <f>HYPERLINK("https://ictv.global/ictv/proposals/2021.039M.R.Xinmoviridae_11ngen_8nsp.zip","2021.039M.R.Xinmoviridae_11ngen_8nsp.zip")</f>
        <v>2021.039M.R.Xinmoviridae_11ngen_8nsp.zip</v>
      </c>
    </row>
    <row r="14197" spans="1:21">
      <c r="A14197">
        <v>14196</v>
      </c>
      <c r="B14197" s="27" t="s">
        <v>1124</v>
      </c>
      <c r="D14197" s="27" t="s">
        <v>1859</v>
      </c>
      <c r="F14197" s="27" t="s">
        <v>938</v>
      </c>
      <c r="G14197" s="27" t="s">
        <v>939</v>
      </c>
      <c r="H14197" s="27" t="s">
        <v>945</v>
      </c>
      <c r="J14197" s="27" t="s">
        <v>238</v>
      </c>
      <c r="L14197" s="27" t="s">
        <v>954</v>
      </c>
      <c r="N14197" s="27" t="s">
        <v>9804</v>
      </c>
      <c r="P14197" s="27" t="s">
        <v>9806</v>
      </c>
      <c r="Q14197" s="26" t="str">
        <f>HYPERLINK("https://ictv.global/taxonomy/taxondetails?taxnode_id=202512945&amp;ictv_id=ICTV202112945","ICTV202112945")</f>
        <v>ICTV202112945</v>
      </c>
      <c r="R14197" t="s">
        <v>580</v>
      </c>
      <c r="S14197" t="s">
        <v>823</v>
      </c>
      <c r="T14197">
        <v>37</v>
      </c>
      <c r="U14197" s="26" t="str">
        <f>HYPERLINK("https://ictv.global/ictv/proposals/2021.039M.R.Xinmoviridae_11ngen_8nsp.zip","2021.039M.R.Xinmoviridae_11ngen_8nsp.zip")</f>
        <v>2021.039M.R.Xinmoviridae_11ngen_8nsp.zip</v>
      </c>
    </row>
    <row r="14198" spans="1:21">
      <c r="A14198">
        <v>14197</v>
      </c>
      <c r="B14198" s="27" t="s">
        <v>1124</v>
      </c>
      <c r="D14198" s="27" t="s">
        <v>1859</v>
      </c>
      <c r="F14198" s="27" t="s">
        <v>938</v>
      </c>
      <c r="G14198" s="27" t="s">
        <v>939</v>
      </c>
      <c r="H14198" s="27" t="s">
        <v>945</v>
      </c>
      <c r="J14198" s="27" t="s">
        <v>238</v>
      </c>
      <c r="L14198" s="27" t="s">
        <v>954</v>
      </c>
      <c r="N14198" s="27" t="s">
        <v>16997</v>
      </c>
      <c r="P14198" s="27" t="s">
        <v>16998</v>
      </c>
      <c r="Q14198" s="26" t="str">
        <f>HYPERLINK("https://ictv.global/taxonomy/taxondetails?taxnode_id=202518785&amp;ictv_id=ICTV202318785","ICTV202318785")</f>
        <v>ICTV202318785</v>
      </c>
      <c r="R14198" t="s">
        <v>580</v>
      </c>
      <c r="S14198" t="s">
        <v>823</v>
      </c>
      <c r="T14198">
        <v>39</v>
      </c>
      <c r="U14198" s="26" t="str">
        <f>HYPERLINK("https://ictv.global/ictv/proposals/2023.023M.Xinmoviridae_10ng_11nsp.zip","2023.023M.Xinmoviridae_10ng_11nsp.zip")</f>
        <v>2023.023M.Xinmoviridae_10ng_11nsp.zip</v>
      </c>
    </row>
    <row r="14199" spans="1:21">
      <c r="A14199">
        <v>14198</v>
      </c>
      <c r="B14199" s="27" t="s">
        <v>1124</v>
      </c>
      <c r="D14199" s="27" t="s">
        <v>1859</v>
      </c>
      <c r="F14199" s="27" t="s">
        <v>938</v>
      </c>
      <c r="G14199" s="27" t="s">
        <v>939</v>
      </c>
      <c r="H14199" s="27" t="s">
        <v>945</v>
      </c>
      <c r="J14199" s="27" t="s">
        <v>238</v>
      </c>
      <c r="L14199" s="27" t="s">
        <v>954</v>
      </c>
      <c r="N14199" s="27" t="s">
        <v>16999</v>
      </c>
      <c r="P14199" s="27" t="s">
        <v>17000</v>
      </c>
      <c r="Q14199" s="26" t="str">
        <f>HYPERLINK("https://ictv.global/taxonomy/taxondetails?taxnode_id=202518784&amp;ictv_id=ICTV202318784","ICTV202318784")</f>
        <v>ICTV202318784</v>
      </c>
      <c r="R14199" t="s">
        <v>580</v>
      </c>
      <c r="S14199" t="s">
        <v>823</v>
      </c>
      <c r="T14199">
        <v>39</v>
      </c>
      <c r="U14199" s="26" t="str">
        <f>HYPERLINK("https://ictv.global/ictv/proposals/2023.023M.Xinmoviridae_10ng_11nsp.zip","2023.023M.Xinmoviridae_10ng_11nsp.zip")</f>
        <v>2023.023M.Xinmoviridae_10ng_11nsp.zip</v>
      </c>
    </row>
    <row r="14200" spans="1:21">
      <c r="A14200">
        <v>14199</v>
      </c>
      <c r="B14200" s="27" t="s">
        <v>1124</v>
      </c>
      <c r="D14200" s="27" t="s">
        <v>1859</v>
      </c>
      <c r="F14200" s="27" t="s">
        <v>938</v>
      </c>
      <c r="G14200" s="27" t="s">
        <v>939</v>
      </c>
      <c r="H14200" s="27" t="s">
        <v>945</v>
      </c>
      <c r="J14200" s="27" t="s">
        <v>238</v>
      </c>
      <c r="L14200" s="27" t="s">
        <v>954</v>
      </c>
      <c r="N14200" s="27" t="s">
        <v>21643</v>
      </c>
      <c r="P14200" s="27" t="s">
        <v>21644</v>
      </c>
      <c r="Q14200" s="26" t="str">
        <f>HYPERLINK("https://ictv.global/taxonomy/taxondetails?taxnode_id=202522500&amp;ictv_id=ICTV202522500","ICTV202522500")</f>
        <v>ICTV202522500</v>
      </c>
      <c r="R14200" t="s">
        <v>580</v>
      </c>
      <c r="S14200" t="s">
        <v>823</v>
      </c>
      <c r="T14200">
        <v>41</v>
      </c>
      <c r="U14200" s="26" t="str">
        <f>HYPERLINK("https://ictv.global/ictv/proposals/2025.011M.Xinmoviridae_5ng_5nsp.zip","2025.011M.Xinmoviridae_5ng_5nsp.zip")</f>
        <v>2025.011M.Xinmoviridae_5ng_5nsp.zip</v>
      </c>
    </row>
    <row r="14201" spans="1:21">
      <c r="A14201">
        <v>14200</v>
      </c>
      <c r="B14201" s="27" t="s">
        <v>1124</v>
      </c>
      <c r="D14201" s="27" t="s">
        <v>1859</v>
      </c>
      <c r="F14201" s="27" t="s">
        <v>938</v>
      </c>
      <c r="G14201" s="27" t="s">
        <v>939</v>
      </c>
      <c r="H14201" s="27" t="s">
        <v>945</v>
      </c>
      <c r="J14201" s="27" t="s">
        <v>238</v>
      </c>
      <c r="L14201" s="27" t="s">
        <v>954</v>
      </c>
      <c r="N14201" s="27" t="s">
        <v>21641</v>
      </c>
      <c r="P14201" s="27" t="s">
        <v>21642</v>
      </c>
      <c r="Q14201" s="26" t="str">
        <f>HYPERLINK("https://ictv.global/taxonomy/taxondetails?taxnode_id=202522499&amp;ictv_id=ICTV202522499","ICTV202522499")</f>
        <v>ICTV202522499</v>
      </c>
      <c r="R14201" t="s">
        <v>580</v>
      </c>
      <c r="S14201" t="s">
        <v>823</v>
      </c>
      <c r="T14201">
        <v>41</v>
      </c>
      <c r="U14201" s="26" t="str">
        <f>HYPERLINK("https://ictv.global/ictv/proposals/2025.011M.Xinmoviridae_5ng_5nsp.zip","2025.011M.Xinmoviridae_5ng_5nsp.zip")</f>
        <v>2025.011M.Xinmoviridae_5ng_5nsp.zip</v>
      </c>
    </row>
    <row r="14202" spans="1:21">
      <c r="A14202">
        <v>14201</v>
      </c>
      <c r="B14202" s="27" t="s">
        <v>1124</v>
      </c>
      <c r="D14202" s="27" t="s">
        <v>1859</v>
      </c>
      <c r="F14202" s="27" t="s">
        <v>938</v>
      </c>
      <c r="G14202" s="27" t="s">
        <v>939</v>
      </c>
      <c r="H14202" s="27" t="s">
        <v>945</v>
      </c>
      <c r="J14202" s="27" t="s">
        <v>238</v>
      </c>
      <c r="L14202" s="27" t="s">
        <v>954</v>
      </c>
      <c r="N14202" s="27" t="s">
        <v>9807</v>
      </c>
      <c r="P14202" s="27" t="s">
        <v>9808</v>
      </c>
      <c r="Q14202" s="26" t="str">
        <f>HYPERLINK("https://ictv.global/taxonomy/taxondetails?taxnode_id=202512947&amp;ictv_id=ICTV202112947","ICTV202112947")</f>
        <v>ICTV202112947</v>
      </c>
      <c r="R14202" t="s">
        <v>580</v>
      </c>
      <c r="S14202" t="s">
        <v>823</v>
      </c>
      <c r="T14202">
        <v>37</v>
      </c>
      <c r="U14202" s="26" t="str">
        <f>HYPERLINK("https://ictv.global/ictv/proposals/2021.039M.R.Xinmoviridae_11ngen_8nsp.zip","2021.039M.R.Xinmoviridae_11ngen_8nsp.zip")</f>
        <v>2021.039M.R.Xinmoviridae_11ngen_8nsp.zip</v>
      </c>
    </row>
    <row r="14203" spans="1:21">
      <c r="A14203">
        <v>14202</v>
      </c>
      <c r="B14203" s="27" t="s">
        <v>1124</v>
      </c>
      <c r="D14203" s="27" t="s">
        <v>1859</v>
      </c>
      <c r="F14203" s="27" t="s">
        <v>938</v>
      </c>
      <c r="G14203" s="27" t="s">
        <v>939</v>
      </c>
      <c r="H14203" s="27" t="s">
        <v>945</v>
      </c>
      <c r="J14203" s="27" t="s">
        <v>238</v>
      </c>
      <c r="L14203" s="27" t="s">
        <v>954</v>
      </c>
      <c r="N14203" s="27" t="s">
        <v>17001</v>
      </c>
      <c r="P14203" s="27" t="s">
        <v>17002</v>
      </c>
      <c r="Q14203" s="26" t="str">
        <f>HYPERLINK("https://ictv.global/taxonomy/taxondetails?taxnode_id=202518782&amp;ictv_id=ICTV202318782","ICTV202318782")</f>
        <v>ICTV202318782</v>
      </c>
      <c r="R14203" t="s">
        <v>580</v>
      </c>
      <c r="S14203" t="s">
        <v>823</v>
      </c>
      <c r="T14203">
        <v>39</v>
      </c>
      <c r="U14203" s="26" t="str">
        <f>HYPERLINK("https://ictv.global/ictv/proposals/2023.023M.Xinmoviridae_10ng_11nsp.zip","2023.023M.Xinmoviridae_10ng_11nsp.zip")</f>
        <v>2023.023M.Xinmoviridae_10ng_11nsp.zip</v>
      </c>
    </row>
    <row r="14204" spans="1:21">
      <c r="A14204">
        <v>14203</v>
      </c>
      <c r="B14204" s="27" t="s">
        <v>1124</v>
      </c>
      <c r="D14204" s="27" t="s">
        <v>1859</v>
      </c>
      <c r="F14204" s="27" t="s">
        <v>938</v>
      </c>
      <c r="G14204" s="27" t="s">
        <v>939</v>
      </c>
      <c r="H14204" s="27" t="s">
        <v>945</v>
      </c>
      <c r="J14204" s="27" t="s">
        <v>238</v>
      </c>
      <c r="L14204" s="27" t="s">
        <v>954</v>
      </c>
      <c r="N14204" s="27" t="s">
        <v>17003</v>
      </c>
      <c r="P14204" s="27" t="s">
        <v>17004</v>
      </c>
      <c r="Q14204" s="26" t="str">
        <f>HYPERLINK("https://ictv.global/taxonomy/taxondetails?taxnode_id=202518787&amp;ictv_id=ICTV202318787","ICTV202318787")</f>
        <v>ICTV202318787</v>
      </c>
      <c r="R14204" t="s">
        <v>580</v>
      </c>
      <c r="S14204" t="s">
        <v>823</v>
      </c>
      <c r="T14204">
        <v>39</v>
      </c>
      <c r="U14204" s="26" t="str">
        <f>HYPERLINK("https://ictv.global/ictv/proposals/2023.023M.Xinmoviridae_10ng_11nsp.zip","2023.023M.Xinmoviridae_10ng_11nsp.zip")</f>
        <v>2023.023M.Xinmoviridae_10ng_11nsp.zip</v>
      </c>
    </row>
    <row r="14205" spans="1:21">
      <c r="A14205">
        <v>14204</v>
      </c>
      <c r="B14205" s="27" t="s">
        <v>1124</v>
      </c>
      <c r="D14205" s="27" t="s">
        <v>1859</v>
      </c>
      <c r="F14205" s="27" t="s">
        <v>938</v>
      </c>
      <c r="G14205" s="27" t="s">
        <v>939</v>
      </c>
      <c r="H14205" s="27" t="s">
        <v>945</v>
      </c>
      <c r="J14205" s="27" t="s">
        <v>238</v>
      </c>
      <c r="L14205" s="27" t="s">
        <v>954</v>
      </c>
      <c r="N14205" s="27" t="s">
        <v>9809</v>
      </c>
      <c r="P14205" s="27" t="s">
        <v>9810</v>
      </c>
      <c r="Q14205" s="26" t="str">
        <f>HYPERLINK("https://ictv.global/taxonomy/taxondetails?taxnode_id=202512949&amp;ictv_id=ICTV202112949","ICTV202112949")</f>
        <v>ICTV202112949</v>
      </c>
      <c r="R14205" t="s">
        <v>580</v>
      </c>
      <c r="S14205" t="s">
        <v>823</v>
      </c>
      <c r="T14205">
        <v>37</v>
      </c>
      <c r="U14205" s="26" t="str">
        <f>HYPERLINK("https://ictv.global/ictv/proposals/2021.039M.R.Xinmoviridae_11ngen_8nsp.zip","2021.039M.R.Xinmoviridae_11ngen_8nsp.zip")</f>
        <v>2021.039M.R.Xinmoviridae_11ngen_8nsp.zip</v>
      </c>
    </row>
    <row r="14206" spans="1:21">
      <c r="A14206">
        <v>14205</v>
      </c>
      <c r="B14206" s="27" t="s">
        <v>1124</v>
      </c>
      <c r="D14206" s="27" t="s">
        <v>1859</v>
      </c>
      <c r="F14206" s="27" t="s">
        <v>938</v>
      </c>
      <c r="G14206" s="27" t="s">
        <v>939</v>
      </c>
      <c r="H14206" s="27" t="s">
        <v>945</v>
      </c>
      <c r="J14206" s="27" t="s">
        <v>238</v>
      </c>
      <c r="L14206" s="27" t="s">
        <v>954</v>
      </c>
      <c r="N14206" s="27" t="s">
        <v>17005</v>
      </c>
      <c r="P14206" s="27" t="s">
        <v>17006</v>
      </c>
      <c r="Q14206" s="26" t="str">
        <f>HYPERLINK("https://ictv.global/taxonomy/taxondetails?taxnode_id=202518777&amp;ictv_id=ICTV202318777","ICTV202318777")</f>
        <v>ICTV202318777</v>
      </c>
      <c r="R14206" t="s">
        <v>580</v>
      </c>
      <c r="S14206" t="s">
        <v>823</v>
      </c>
      <c r="T14206">
        <v>39</v>
      </c>
      <c r="U14206" s="26" t="str">
        <f>HYPERLINK("https://ictv.global/ictv/proposals/2023.023M.Xinmoviridae_10ng_11nsp.zip","2023.023M.Xinmoviridae_10ng_11nsp.zip")</f>
        <v>2023.023M.Xinmoviridae_10ng_11nsp.zip</v>
      </c>
    </row>
    <row r="14207" spans="1:21">
      <c r="A14207">
        <v>14206</v>
      </c>
      <c r="B14207" s="27" t="s">
        <v>1124</v>
      </c>
      <c r="D14207" s="27" t="s">
        <v>1859</v>
      </c>
      <c r="F14207" s="27" t="s">
        <v>938</v>
      </c>
      <c r="G14207" s="27" t="s">
        <v>939</v>
      </c>
      <c r="H14207" s="27" t="s">
        <v>945</v>
      </c>
      <c r="J14207" s="27" t="s">
        <v>238</v>
      </c>
      <c r="L14207" s="27" t="s">
        <v>954</v>
      </c>
      <c r="N14207" s="27" t="s">
        <v>9811</v>
      </c>
      <c r="P14207" s="27" t="s">
        <v>9812</v>
      </c>
      <c r="Q14207" s="26" t="str">
        <f>HYPERLINK("https://ictv.global/taxonomy/taxondetails?taxnode_id=202512951&amp;ictv_id=ICTV202112951","ICTV202112951")</f>
        <v>ICTV202112951</v>
      </c>
      <c r="R14207" t="s">
        <v>580</v>
      </c>
      <c r="S14207" t="s">
        <v>823</v>
      </c>
      <c r="T14207">
        <v>37</v>
      </c>
      <c r="U14207" s="26" t="str">
        <f>HYPERLINK("https://ictv.global/ictv/proposals/2021.039M.R.Xinmoviridae_11ngen_8nsp.zip","2021.039M.R.Xinmoviridae_11ngen_8nsp.zip")</f>
        <v>2021.039M.R.Xinmoviridae_11ngen_8nsp.zip</v>
      </c>
    </row>
    <row r="14208" spans="1:21">
      <c r="A14208">
        <v>14207</v>
      </c>
      <c r="B14208" s="27" t="s">
        <v>1124</v>
      </c>
      <c r="D14208" s="27" t="s">
        <v>1859</v>
      </c>
      <c r="F14208" s="27" t="s">
        <v>938</v>
      </c>
      <c r="G14208" s="27" t="s">
        <v>939</v>
      </c>
      <c r="H14208" s="27" t="s">
        <v>945</v>
      </c>
      <c r="J14208" s="27" t="s">
        <v>238</v>
      </c>
      <c r="L14208" s="27" t="s">
        <v>954</v>
      </c>
      <c r="N14208" s="27" t="s">
        <v>21637</v>
      </c>
      <c r="P14208" s="27" t="s">
        <v>21638</v>
      </c>
      <c r="Q14208" s="26" t="str">
        <f>HYPERLINK("https://ictv.global/taxonomy/taxondetails?taxnode_id=202522497&amp;ictv_id=ICTV202522497","ICTV202522497")</f>
        <v>ICTV202522497</v>
      </c>
      <c r="R14208" t="s">
        <v>580</v>
      </c>
      <c r="S14208" t="s">
        <v>823</v>
      </c>
      <c r="T14208">
        <v>41</v>
      </c>
      <c r="U14208" s="26" t="str">
        <f>HYPERLINK("https://ictv.global/ictv/proposals/2025.011M.Xinmoviridae_5ng_5nsp.zip","2025.011M.Xinmoviridae_5ng_5nsp.zip")</f>
        <v>2025.011M.Xinmoviridae_5ng_5nsp.zip</v>
      </c>
    </row>
    <row r="14209" spans="1:21">
      <c r="A14209">
        <v>14208</v>
      </c>
      <c r="B14209" s="27" t="s">
        <v>1124</v>
      </c>
      <c r="D14209" s="27" t="s">
        <v>1859</v>
      </c>
      <c r="F14209" s="27" t="s">
        <v>938</v>
      </c>
      <c r="G14209" s="27" t="s">
        <v>939</v>
      </c>
      <c r="H14209" s="27" t="s">
        <v>955</v>
      </c>
      <c r="J14209" s="27" t="s">
        <v>956</v>
      </c>
      <c r="L14209" s="27" t="s">
        <v>957</v>
      </c>
      <c r="N14209" s="27" t="s">
        <v>958</v>
      </c>
      <c r="P14209" s="27" t="s">
        <v>9813</v>
      </c>
      <c r="Q14209" s="26" t="str">
        <f>HYPERLINK("https://ictv.global/taxonomy/taxondetails?taxnode_id=202506075&amp;ictv_id=ICTV20186075","ICTV20186075")</f>
        <v>ICTV20186075</v>
      </c>
      <c r="R14209" t="s">
        <v>580</v>
      </c>
      <c r="S14209" t="s">
        <v>824</v>
      </c>
      <c r="T14209">
        <v>37</v>
      </c>
      <c r="U14209" s="26" t="str">
        <f>HYPERLINK("https://ictv.global/ictv/proposals/2021.018M.R.Negarnaviricota_sprename.zip","2021.018M.R.Negarnaviricota_sprename.zip")</f>
        <v>2021.018M.R.Negarnaviricota_sprename.zip</v>
      </c>
    </row>
    <row r="14210" spans="1:21">
      <c r="A14210">
        <v>14209</v>
      </c>
      <c r="B14210" s="27" t="s">
        <v>1124</v>
      </c>
      <c r="D14210" s="27" t="s">
        <v>1859</v>
      </c>
      <c r="F14210" s="27" t="s">
        <v>938</v>
      </c>
      <c r="G14210" s="27" t="s">
        <v>939</v>
      </c>
      <c r="H14210" s="27" t="s">
        <v>955</v>
      </c>
      <c r="J14210" s="27" t="s">
        <v>956</v>
      </c>
      <c r="L14210" s="27" t="s">
        <v>957</v>
      </c>
      <c r="N14210" s="27" t="s">
        <v>958</v>
      </c>
      <c r="P14210" s="27" t="s">
        <v>9814</v>
      </c>
      <c r="Q14210" s="26" t="str">
        <f>HYPERLINK("https://ictv.global/taxonomy/taxondetails?taxnode_id=202506076&amp;ictv_id=ICTV20186076","ICTV20186076")</f>
        <v>ICTV20186076</v>
      </c>
      <c r="R14210" t="s">
        <v>580</v>
      </c>
      <c r="S14210" t="s">
        <v>824</v>
      </c>
      <c r="T14210">
        <v>37</v>
      </c>
      <c r="U14210" s="26" t="str">
        <f>HYPERLINK("https://ictv.global/ictv/proposals/2021.018M.R.Negarnaviricota_sprename.zip","2021.018M.R.Negarnaviricota_sprename.zip")</f>
        <v>2021.018M.R.Negarnaviricota_sprename.zip</v>
      </c>
    </row>
    <row r="14211" spans="1:21">
      <c r="A14211">
        <v>14210</v>
      </c>
      <c r="B14211" s="27" t="s">
        <v>1124</v>
      </c>
      <c r="D14211" s="27" t="s">
        <v>1859</v>
      </c>
      <c r="F14211" s="27" t="s">
        <v>938</v>
      </c>
      <c r="G14211" s="27" t="s">
        <v>959</v>
      </c>
      <c r="H14211" s="27" t="s">
        <v>17007</v>
      </c>
      <c r="J14211" s="27" t="s">
        <v>17008</v>
      </c>
      <c r="L14211" s="27" t="s">
        <v>960</v>
      </c>
      <c r="N14211" s="27" t="s">
        <v>961</v>
      </c>
      <c r="P14211" s="27" t="s">
        <v>17009</v>
      </c>
      <c r="Q14211" s="26" t="str">
        <f>HYPERLINK("https://ictv.global/taxonomy/taxondetails?taxnode_id=202518850&amp;ictv_id=ICTV202318850","ICTV202318850")</f>
        <v>ICTV202318850</v>
      </c>
      <c r="R14211" t="s">
        <v>580</v>
      </c>
      <c r="S14211" t="s">
        <v>823</v>
      </c>
      <c r="T14211">
        <v>39</v>
      </c>
      <c r="U14211" s="26" t="str">
        <f t="shared" ref="U14211:U14216" si="528">HYPERLINK("https://ictv.global/ictv/proposals/2023.024M.Bunyaviricetes.zip","2023.024M.Bunyaviricetes.zip")</f>
        <v>2023.024M.Bunyaviricetes.zip</v>
      </c>
    </row>
    <row r="14212" spans="1:21">
      <c r="A14212">
        <v>14211</v>
      </c>
      <c r="B14212" s="27" t="s">
        <v>1124</v>
      </c>
      <c r="D14212" s="27" t="s">
        <v>1859</v>
      </c>
      <c r="F14212" s="27" t="s">
        <v>938</v>
      </c>
      <c r="G14212" s="27" t="s">
        <v>959</v>
      </c>
      <c r="H14212" s="27" t="s">
        <v>17007</v>
      </c>
      <c r="J14212" s="27" t="s">
        <v>17008</v>
      </c>
      <c r="L14212" s="27" t="s">
        <v>960</v>
      </c>
      <c r="N14212" s="27" t="s">
        <v>961</v>
      </c>
      <c r="P14212" s="27" t="s">
        <v>3585</v>
      </c>
      <c r="Q14212" s="26" t="str">
        <f>HYPERLINK("https://ictv.global/taxonomy/taxondetails?taxnode_id=202508791&amp;ictv_id=ICTV202008791","ICTV202008791")</f>
        <v>ICTV202008791</v>
      </c>
      <c r="R14212" t="s">
        <v>580</v>
      </c>
      <c r="S14212" t="s">
        <v>824</v>
      </c>
      <c r="T14212">
        <v>39</v>
      </c>
      <c r="U14212" s="26" t="str">
        <f t="shared" si="528"/>
        <v>2023.024M.Bunyaviricetes.zip</v>
      </c>
    </row>
    <row r="14213" spans="1:21">
      <c r="A14213">
        <v>14212</v>
      </c>
      <c r="B14213" s="27" t="s">
        <v>1124</v>
      </c>
      <c r="D14213" s="27" t="s">
        <v>1859</v>
      </c>
      <c r="F14213" s="27" t="s">
        <v>938</v>
      </c>
      <c r="G14213" s="27" t="s">
        <v>959</v>
      </c>
      <c r="H14213" s="27" t="s">
        <v>17007</v>
      </c>
      <c r="J14213" s="27" t="s">
        <v>17008</v>
      </c>
      <c r="L14213" s="27" t="s">
        <v>960</v>
      </c>
      <c r="N14213" s="27" t="s">
        <v>961</v>
      </c>
      <c r="P14213" s="27" t="s">
        <v>3586</v>
      </c>
      <c r="Q14213" s="26" t="str">
        <f>HYPERLINK("https://ictv.global/taxonomy/taxondetails?taxnode_id=202508792&amp;ictv_id=ICTV202008792","ICTV202008792")</f>
        <v>ICTV202008792</v>
      </c>
      <c r="R14213" t="s">
        <v>580</v>
      </c>
      <c r="S14213" t="s">
        <v>824</v>
      </c>
      <c r="T14213">
        <v>39</v>
      </c>
      <c r="U14213" s="26" t="str">
        <f t="shared" si="528"/>
        <v>2023.024M.Bunyaviricetes.zip</v>
      </c>
    </row>
    <row r="14214" spans="1:21">
      <c r="A14214">
        <v>14213</v>
      </c>
      <c r="B14214" s="27" t="s">
        <v>1124</v>
      </c>
      <c r="D14214" s="27" t="s">
        <v>1859</v>
      </c>
      <c r="F14214" s="27" t="s">
        <v>938</v>
      </c>
      <c r="G14214" s="27" t="s">
        <v>959</v>
      </c>
      <c r="H14214" s="27" t="s">
        <v>17007</v>
      </c>
      <c r="J14214" s="27" t="s">
        <v>17008</v>
      </c>
      <c r="L14214" s="27" t="s">
        <v>960</v>
      </c>
      <c r="N14214" s="27" t="s">
        <v>961</v>
      </c>
      <c r="P14214" s="27" t="s">
        <v>3587</v>
      </c>
      <c r="Q14214" s="26" t="str">
        <f>HYPERLINK("https://ictv.global/taxonomy/taxondetails?taxnode_id=202506209&amp;ictv_id=ICTV20186209","ICTV20186209")</f>
        <v>ICTV20186209</v>
      </c>
      <c r="R14214" t="s">
        <v>580</v>
      </c>
      <c r="S14214" t="s">
        <v>824</v>
      </c>
      <c r="T14214">
        <v>39</v>
      </c>
      <c r="U14214" s="26" t="str">
        <f t="shared" si="528"/>
        <v>2023.024M.Bunyaviricetes.zip</v>
      </c>
    </row>
    <row r="14215" spans="1:21">
      <c r="A14215">
        <v>14214</v>
      </c>
      <c r="B14215" s="27" t="s">
        <v>1124</v>
      </c>
      <c r="D14215" s="27" t="s">
        <v>1859</v>
      </c>
      <c r="F14215" s="27" t="s">
        <v>938</v>
      </c>
      <c r="G14215" s="27" t="s">
        <v>959</v>
      </c>
      <c r="H14215" s="27" t="s">
        <v>17007</v>
      </c>
      <c r="J14215" s="27" t="s">
        <v>17008</v>
      </c>
      <c r="L14215" s="27" t="s">
        <v>724</v>
      </c>
      <c r="N14215" s="27" t="s">
        <v>154</v>
      </c>
      <c r="P14215" s="27" t="s">
        <v>9883</v>
      </c>
      <c r="Q14215" s="26" t="str">
        <f>HYPERLINK("https://ictv.global/taxonomy/taxondetails?taxnode_id=202513864&amp;ictv_id=ICTV202113864","ICTV202113864")</f>
        <v>ICTV202113864</v>
      </c>
      <c r="R14215" t="s">
        <v>580</v>
      </c>
      <c r="S14215" t="s">
        <v>824</v>
      </c>
      <c r="T14215">
        <v>39</v>
      </c>
      <c r="U14215" s="26" t="str">
        <f t="shared" si="528"/>
        <v>2023.024M.Bunyaviricetes.zip</v>
      </c>
    </row>
    <row r="14216" spans="1:21">
      <c r="A14216">
        <v>14215</v>
      </c>
      <c r="B14216" s="27" t="s">
        <v>1124</v>
      </c>
      <c r="D14216" s="27" t="s">
        <v>1859</v>
      </c>
      <c r="F14216" s="27" t="s">
        <v>938</v>
      </c>
      <c r="G14216" s="27" t="s">
        <v>959</v>
      </c>
      <c r="H14216" s="27" t="s">
        <v>17007</v>
      </c>
      <c r="J14216" s="27" t="s">
        <v>17008</v>
      </c>
      <c r="L14216" s="27" t="s">
        <v>724</v>
      </c>
      <c r="N14216" s="27" t="s">
        <v>154</v>
      </c>
      <c r="P14216" s="27" t="s">
        <v>9884</v>
      </c>
      <c r="Q14216" s="26" t="str">
        <f>HYPERLINK("https://ictv.global/taxonomy/taxondetails?taxnode_id=202500009&amp;ictv_id=ICTV20164770","ICTV20164770")</f>
        <v>ICTV20164770</v>
      </c>
      <c r="R14216" t="s">
        <v>580</v>
      </c>
      <c r="S14216" t="s">
        <v>824</v>
      </c>
      <c r="T14216">
        <v>39</v>
      </c>
      <c r="U14216" s="26" t="str">
        <f t="shared" si="528"/>
        <v>2023.024M.Bunyaviricetes.zip</v>
      </c>
    </row>
    <row r="14217" spans="1:21">
      <c r="A14217">
        <v>14216</v>
      </c>
      <c r="B14217" s="27" t="s">
        <v>1124</v>
      </c>
      <c r="D14217" s="27" t="s">
        <v>1859</v>
      </c>
      <c r="F14217" s="27" t="s">
        <v>938</v>
      </c>
      <c r="G14217" s="27" t="s">
        <v>959</v>
      </c>
      <c r="H14217" s="27" t="s">
        <v>17007</v>
      </c>
      <c r="J14217" s="27" t="s">
        <v>17008</v>
      </c>
      <c r="L14217" s="27" t="s">
        <v>724</v>
      </c>
      <c r="N14217" s="27" t="s">
        <v>154</v>
      </c>
      <c r="P14217" s="27" t="s">
        <v>17010</v>
      </c>
      <c r="Q14217" s="26" t="str">
        <f>HYPERLINK("https://ictv.global/taxonomy/taxondetails?taxnode_id=202518030&amp;ictv_id=ICTV202318030","ICTV202318030")</f>
        <v>ICTV202318030</v>
      </c>
      <c r="R14217" t="s">
        <v>580</v>
      </c>
      <c r="S14217" t="s">
        <v>823</v>
      </c>
      <c r="T14217">
        <v>39</v>
      </c>
      <c r="U14217" s="26" t="str">
        <f>HYPERLINK("https://ictv.global/ictv/proposals/2023.011P.Emaravirus_1nsp.zip","2023.011P.Emaravirus_1nsp.zip")</f>
        <v>2023.011P.Emaravirus_1nsp.zip</v>
      </c>
    </row>
    <row r="14218" spans="1:21">
      <c r="A14218">
        <v>14217</v>
      </c>
      <c r="B14218" s="27" t="s">
        <v>1124</v>
      </c>
      <c r="D14218" s="27" t="s">
        <v>1859</v>
      </c>
      <c r="F14218" s="27" t="s">
        <v>938</v>
      </c>
      <c r="G14218" s="27" t="s">
        <v>959</v>
      </c>
      <c r="H14218" s="27" t="s">
        <v>17007</v>
      </c>
      <c r="J14218" s="27" t="s">
        <v>17008</v>
      </c>
      <c r="L14218" s="27" t="s">
        <v>724</v>
      </c>
      <c r="N14218" s="27" t="s">
        <v>154</v>
      </c>
      <c r="P14218" s="27" t="s">
        <v>17011</v>
      </c>
      <c r="Q14218" s="26" t="str">
        <f>HYPERLINK("https://ictv.global/taxonomy/taxondetails?taxnode_id=202517950&amp;ictv_id=ICTV202317950","ICTV202317950")</f>
        <v>ICTV202317950</v>
      </c>
      <c r="R14218" t="s">
        <v>580</v>
      </c>
      <c r="S14218" t="s">
        <v>823</v>
      </c>
      <c r="T14218">
        <v>39</v>
      </c>
      <c r="U14218" s="26" t="str">
        <f>HYPERLINK("https://ictv.global/ictv/proposals/2023.010P.Emaravirus_1nsp.zip","2023.010P.Emaravirus_1nsp.zip")</f>
        <v>2023.010P.Emaravirus_1nsp.zip</v>
      </c>
    </row>
    <row r="14219" spans="1:21">
      <c r="A14219">
        <v>14218</v>
      </c>
      <c r="B14219" s="27" t="s">
        <v>1124</v>
      </c>
      <c r="D14219" s="27" t="s">
        <v>1859</v>
      </c>
      <c r="F14219" s="27" t="s">
        <v>938</v>
      </c>
      <c r="G14219" s="27" t="s">
        <v>959</v>
      </c>
      <c r="H14219" s="27" t="s">
        <v>17007</v>
      </c>
      <c r="J14219" s="27" t="s">
        <v>17008</v>
      </c>
      <c r="L14219" s="27" t="s">
        <v>724</v>
      </c>
      <c r="N14219" s="27" t="s">
        <v>154</v>
      </c>
      <c r="P14219" s="27" t="s">
        <v>9885</v>
      </c>
      <c r="Q14219" s="26" t="str">
        <f>HYPERLINK("https://ictv.global/taxonomy/taxondetails?taxnode_id=202500013&amp;ictv_id=ICTV20143850","ICTV20143850")</f>
        <v>ICTV20143850</v>
      </c>
      <c r="R14219" t="s">
        <v>580</v>
      </c>
      <c r="S14219" t="s">
        <v>824</v>
      </c>
      <c r="T14219">
        <v>39</v>
      </c>
      <c r="U14219" s="26" t="str">
        <f>HYPERLINK("https://ictv.global/ictv/proposals/2023.024M.Bunyaviricetes.zip","2023.024M.Bunyaviricetes.zip")</f>
        <v>2023.024M.Bunyaviricetes.zip</v>
      </c>
    </row>
    <row r="14220" spans="1:21">
      <c r="A14220">
        <v>14219</v>
      </c>
      <c r="B14220" s="27" t="s">
        <v>1124</v>
      </c>
      <c r="D14220" s="27" t="s">
        <v>1859</v>
      </c>
      <c r="F14220" s="27" t="s">
        <v>938</v>
      </c>
      <c r="G14220" s="27" t="s">
        <v>959</v>
      </c>
      <c r="H14220" s="27" t="s">
        <v>17007</v>
      </c>
      <c r="J14220" s="27" t="s">
        <v>17008</v>
      </c>
      <c r="L14220" s="27" t="s">
        <v>724</v>
      </c>
      <c r="N14220" s="27" t="s">
        <v>154</v>
      </c>
      <c r="P14220" s="27" t="s">
        <v>9886</v>
      </c>
      <c r="Q14220" s="26" t="str">
        <f>HYPERLINK("https://ictv.global/taxonomy/taxondetails?taxnode_id=202509578&amp;ictv_id=ICTV202009578","ICTV202009578")</f>
        <v>ICTV202009578</v>
      </c>
      <c r="R14220" t="s">
        <v>580</v>
      </c>
      <c r="S14220" t="s">
        <v>824</v>
      </c>
      <c r="T14220">
        <v>39</v>
      </c>
      <c r="U14220" s="26" t="str">
        <f>HYPERLINK("https://ictv.global/ictv/proposals/2023.024M.Bunyaviricetes.zip","2023.024M.Bunyaviricetes.zip")</f>
        <v>2023.024M.Bunyaviricetes.zip</v>
      </c>
    </row>
    <row r="14221" spans="1:21">
      <c r="A14221">
        <v>14220</v>
      </c>
      <c r="B14221" s="27" t="s">
        <v>1124</v>
      </c>
      <c r="D14221" s="27" t="s">
        <v>1859</v>
      </c>
      <c r="F14221" s="27" t="s">
        <v>938</v>
      </c>
      <c r="G14221" s="27" t="s">
        <v>959</v>
      </c>
      <c r="H14221" s="27" t="s">
        <v>17007</v>
      </c>
      <c r="J14221" s="27" t="s">
        <v>17008</v>
      </c>
      <c r="L14221" s="27" t="s">
        <v>724</v>
      </c>
      <c r="N14221" s="27" t="s">
        <v>154</v>
      </c>
      <c r="P14221" s="27" t="s">
        <v>9887</v>
      </c>
      <c r="Q14221" s="26" t="str">
        <f>HYPERLINK("https://ictv.global/taxonomy/taxondetails?taxnode_id=202500016&amp;ictv_id=ICTV20164772","ICTV20164772")</f>
        <v>ICTV20164772</v>
      </c>
      <c r="R14221" t="s">
        <v>580</v>
      </c>
      <c r="S14221" t="s">
        <v>824</v>
      </c>
      <c r="T14221">
        <v>39</v>
      </c>
      <c r="U14221" s="26" t="str">
        <f>HYPERLINK("https://ictv.global/ictv/proposals/2023.024M.Bunyaviricetes.zip","2023.024M.Bunyaviricetes.zip")</f>
        <v>2023.024M.Bunyaviricetes.zip</v>
      </c>
    </row>
    <row r="14222" spans="1:21">
      <c r="A14222">
        <v>14221</v>
      </c>
      <c r="B14222" s="27" t="s">
        <v>1124</v>
      </c>
      <c r="D14222" s="27" t="s">
        <v>1859</v>
      </c>
      <c r="F14222" s="27" t="s">
        <v>938</v>
      </c>
      <c r="G14222" s="27" t="s">
        <v>959</v>
      </c>
      <c r="H14222" s="27" t="s">
        <v>17007</v>
      </c>
      <c r="J14222" s="27" t="s">
        <v>17008</v>
      </c>
      <c r="L14222" s="27" t="s">
        <v>724</v>
      </c>
      <c r="N14222" s="27" t="s">
        <v>154</v>
      </c>
      <c r="P14222" s="27" t="s">
        <v>9888</v>
      </c>
      <c r="Q14222" s="26" t="str">
        <f>HYPERLINK("https://ictv.global/taxonomy/taxondetails?taxnode_id=202513865&amp;ictv_id=ICTV202113865","ICTV202113865")</f>
        <v>ICTV202113865</v>
      </c>
      <c r="R14222" t="s">
        <v>580</v>
      </c>
      <c r="S14222" t="s">
        <v>824</v>
      </c>
      <c r="T14222">
        <v>39</v>
      </c>
      <c r="U14222" s="26" t="str">
        <f>HYPERLINK("https://ictv.global/ictv/proposals/2023.024M.Bunyaviricetes.zip","2023.024M.Bunyaviricetes.zip")</f>
        <v>2023.024M.Bunyaviricetes.zip</v>
      </c>
    </row>
    <row r="14223" spans="1:21">
      <c r="A14223">
        <v>14222</v>
      </c>
      <c r="B14223" s="27" t="s">
        <v>1124</v>
      </c>
      <c r="D14223" s="27" t="s">
        <v>1859</v>
      </c>
      <c r="F14223" s="27" t="s">
        <v>938</v>
      </c>
      <c r="G14223" s="27" t="s">
        <v>959</v>
      </c>
      <c r="H14223" s="27" t="s">
        <v>17007</v>
      </c>
      <c r="J14223" s="27" t="s">
        <v>17008</v>
      </c>
      <c r="L14223" s="27" t="s">
        <v>724</v>
      </c>
      <c r="N14223" s="27" t="s">
        <v>154</v>
      </c>
      <c r="P14223" s="27" t="s">
        <v>20452</v>
      </c>
      <c r="Q14223" s="26" t="str">
        <f>HYPERLINK("https://ictv.global/taxonomy/taxondetails?taxnode_id=202519963&amp;ictv_id=ICTV202419963","ICTV202419963")</f>
        <v>ICTV202419963</v>
      </c>
      <c r="R14223" t="s">
        <v>580</v>
      </c>
      <c r="S14223" t="s">
        <v>823</v>
      </c>
      <c r="T14223">
        <v>40</v>
      </c>
      <c r="U14223" s="26" t="str">
        <f>HYPERLINK("https://ictv.global/ictv/proposals/2024.001P.Fimoviridae_1nsp.zip","2024.001P.Fimoviridae_1nsp.zip")</f>
        <v>2024.001P.Fimoviridae_1nsp.zip</v>
      </c>
    </row>
    <row r="14224" spans="1:21">
      <c r="A14224">
        <v>14223</v>
      </c>
      <c r="B14224" s="27" t="s">
        <v>1124</v>
      </c>
      <c r="D14224" s="27" t="s">
        <v>1859</v>
      </c>
      <c r="F14224" s="27" t="s">
        <v>938</v>
      </c>
      <c r="G14224" s="27" t="s">
        <v>959</v>
      </c>
      <c r="H14224" s="27" t="s">
        <v>17007</v>
      </c>
      <c r="J14224" s="27" t="s">
        <v>17008</v>
      </c>
      <c r="L14224" s="27" t="s">
        <v>724</v>
      </c>
      <c r="N14224" s="27" t="s">
        <v>154</v>
      </c>
      <c r="P14224" s="27" t="s">
        <v>9889</v>
      </c>
      <c r="Q14224" s="26" t="str">
        <f>HYPERLINK("https://ictv.global/taxonomy/taxondetails?taxnode_id=202509551&amp;ictv_id=ICTV202009551","ICTV202009551")</f>
        <v>ICTV202009551</v>
      </c>
      <c r="R14224" t="s">
        <v>580</v>
      </c>
      <c r="S14224" t="s">
        <v>824</v>
      </c>
      <c r="T14224">
        <v>39</v>
      </c>
      <c r="U14224" s="26" t="str">
        <f t="shared" ref="U14224:U14230" si="529">HYPERLINK("https://ictv.global/ictv/proposals/2023.024M.Bunyaviricetes.zip","2023.024M.Bunyaviricetes.zip")</f>
        <v>2023.024M.Bunyaviricetes.zip</v>
      </c>
    </row>
    <row r="14225" spans="1:21">
      <c r="A14225">
        <v>14224</v>
      </c>
      <c r="B14225" s="27" t="s">
        <v>1124</v>
      </c>
      <c r="D14225" s="27" t="s">
        <v>1859</v>
      </c>
      <c r="F14225" s="27" t="s">
        <v>938</v>
      </c>
      <c r="G14225" s="27" t="s">
        <v>959</v>
      </c>
      <c r="H14225" s="27" t="s">
        <v>17007</v>
      </c>
      <c r="J14225" s="27" t="s">
        <v>17008</v>
      </c>
      <c r="L14225" s="27" t="s">
        <v>724</v>
      </c>
      <c r="N14225" s="27" t="s">
        <v>154</v>
      </c>
      <c r="P14225" s="27" t="s">
        <v>9890</v>
      </c>
      <c r="Q14225" s="26" t="str">
        <f>HYPERLINK("https://ictv.global/taxonomy/taxondetails?taxnode_id=202515125&amp;ictv_id=ICTV202215125","ICTV202215125")</f>
        <v>ICTV202215125</v>
      </c>
      <c r="R14225" t="s">
        <v>580</v>
      </c>
      <c r="S14225" t="s">
        <v>824</v>
      </c>
      <c r="T14225">
        <v>39</v>
      </c>
      <c r="U14225" s="26" t="str">
        <f t="shared" si="529"/>
        <v>2023.024M.Bunyaviricetes.zip</v>
      </c>
    </row>
    <row r="14226" spans="1:21">
      <c r="A14226">
        <v>14225</v>
      </c>
      <c r="B14226" s="27" t="s">
        <v>1124</v>
      </c>
      <c r="D14226" s="27" t="s">
        <v>1859</v>
      </c>
      <c r="F14226" s="27" t="s">
        <v>938</v>
      </c>
      <c r="G14226" s="27" t="s">
        <v>959</v>
      </c>
      <c r="H14226" s="27" t="s">
        <v>17007</v>
      </c>
      <c r="J14226" s="27" t="s">
        <v>17008</v>
      </c>
      <c r="L14226" s="27" t="s">
        <v>724</v>
      </c>
      <c r="N14226" s="27" t="s">
        <v>154</v>
      </c>
      <c r="P14226" s="27" t="s">
        <v>9891</v>
      </c>
      <c r="Q14226" s="26" t="str">
        <f>HYPERLINK("https://ictv.global/taxonomy/taxondetails?taxnode_id=202500011&amp;ictv_id=ICTV20115424","ICTV20115424")</f>
        <v>ICTV20115424</v>
      </c>
      <c r="R14226" t="s">
        <v>580</v>
      </c>
      <c r="S14226" t="s">
        <v>824</v>
      </c>
      <c r="T14226">
        <v>39</v>
      </c>
      <c r="U14226" s="26" t="str">
        <f t="shared" si="529"/>
        <v>2023.024M.Bunyaviricetes.zip</v>
      </c>
    </row>
    <row r="14227" spans="1:21">
      <c r="A14227">
        <v>14226</v>
      </c>
      <c r="B14227" s="27" t="s">
        <v>1124</v>
      </c>
      <c r="D14227" s="27" t="s">
        <v>1859</v>
      </c>
      <c r="F14227" s="27" t="s">
        <v>938</v>
      </c>
      <c r="G14227" s="27" t="s">
        <v>959</v>
      </c>
      <c r="H14227" s="27" t="s">
        <v>17007</v>
      </c>
      <c r="J14227" s="27" t="s">
        <v>17008</v>
      </c>
      <c r="L14227" s="27" t="s">
        <v>724</v>
      </c>
      <c r="N14227" s="27" t="s">
        <v>154</v>
      </c>
      <c r="P14227" s="27" t="s">
        <v>9892</v>
      </c>
      <c r="Q14227" s="26" t="str">
        <f>HYPERLINK("https://ictv.global/taxonomy/taxondetails?taxnode_id=202515122&amp;ictv_id=ICTV202215122","ICTV202215122")</f>
        <v>ICTV202215122</v>
      </c>
      <c r="R14227" t="s">
        <v>580</v>
      </c>
      <c r="S14227" t="s">
        <v>824</v>
      </c>
      <c r="T14227">
        <v>39</v>
      </c>
      <c r="U14227" s="26" t="str">
        <f t="shared" si="529"/>
        <v>2023.024M.Bunyaviricetes.zip</v>
      </c>
    </row>
    <row r="14228" spans="1:21">
      <c r="A14228">
        <v>14227</v>
      </c>
      <c r="B14228" s="27" t="s">
        <v>1124</v>
      </c>
      <c r="D14228" s="27" t="s">
        <v>1859</v>
      </c>
      <c r="F14228" s="27" t="s">
        <v>938</v>
      </c>
      <c r="G14228" s="27" t="s">
        <v>959</v>
      </c>
      <c r="H14228" s="27" t="s">
        <v>17007</v>
      </c>
      <c r="J14228" s="27" t="s">
        <v>17008</v>
      </c>
      <c r="L14228" s="27" t="s">
        <v>724</v>
      </c>
      <c r="N14228" s="27" t="s">
        <v>154</v>
      </c>
      <c r="P14228" s="27" t="s">
        <v>9893</v>
      </c>
      <c r="Q14228" s="26" t="str">
        <f>HYPERLINK("https://ictv.global/taxonomy/taxondetails?taxnode_id=202500015&amp;ictv_id=ICTV20133464","ICTV20133464")</f>
        <v>ICTV20133464</v>
      </c>
      <c r="R14228" t="s">
        <v>580</v>
      </c>
      <c r="S14228" t="s">
        <v>824</v>
      </c>
      <c r="T14228">
        <v>39</v>
      </c>
      <c r="U14228" s="26" t="str">
        <f t="shared" si="529"/>
        <v>2023.024M.Bunyaviricetes.zip</v>
      </c>
    </row>
    <row r="14229" spans="1:21">
      <c r="A14229">
        <v>14228</v>
      </c>
      <c r="B14229" s="27" t="s">
        <v>1124</v>
      </c>
      <c r="D14229" s="27" t="s">
        <v>1859</v>
      </c>
      <c r="F14229" s="27" t="s">
        <v>938</v>
      </c>
      <c r="G14229" s="27" t="s">
        <v>959</v>
      </c>
      <c r="H14229" s="27" t="s">
        <v>17007</v>
      </c>
      <c r="J14229" s="27" t="s">
        <v>17008</v>
      </c>
      <c r="L14229" s="27" t="s">
        <v>724</v>
      </c>
      <c r="N14229" s="27" t="s">
        <v>154</v>
      </c>
      <c r="P14229" s="27" t="s">
        <v>9894</v>
      </c>
      <c r="Q14229" s="26" t="str">
        <f>HYPERLINK("https://ictv.global/taxonomy/taxondetails?taxnode_id=202515124&amp;ictv_id=ICTV202215124","ICTV202215124")</f>
        <v>ICTV202215124</v>
      </c>
      <c r="R14229" t="s">
        <v>580</v>
      </c>
      <c r="S14229" t="s">
        <v>824</v>
      </c>
      <c r="T14229">
        <v>39</v>
      </c>
      <c r="U14229" s="26" t="str">
        <f t="shared" si="529"/>
        <v>2023.024M.Bunyaviricetes.zip</v>
      </c>
    </row>
    <row r="14230" spans="1:21">
      <c r="A14230">
        <v>14229</v>
      </c>
      <c r="B14230" s="27" t="s">
        <v>1124</v>
      </c>
      <c r="D14230" s="27" t="s">
        <v>1859</v>
      </c>
      <c r="F14230" s="27" t="s">
        <v>938</v>
      </c>
      <c r="G14230" s="27" t="s">
        <v>959</v>
      </c>
      <c r="H14230" s="27" t="s">
        <v>17007</v>
      </c>
      <c r="J14230" s="27" t="s">
        <v>17008</v>
      </c>
      <c r="L14230" s="27" t="s">
        <v>724</v>
      </c>
      <c r="N14230" s="27" t="s">
        <v>154</v>
      </c>
      <c r="P14230" s="27" t="s">
        <v>9895</v>
      </c>
      <c r="Q14230" s="26" t="str">
        <f>HYPERLINK("https://ictv.global/taxonomy/taxondetails?taxnode_id=202509331&amp;ictv_id=ICTV202009331","ICTV202009331")</f>
        <v>ICTV202009331</v>
      </c>
      <c r="R14230" t="s">
        <v>580</v>
      </c>
      <c r="S14230" t="s">
        <v>824</v>
      </c>
      <c r="T14230">
        <v>39</v>
      </c>
      <c r="U14230" s="26" t="str">
        <f t="shared" si="529"/>
        <v>2023.024M.Bunyaviricetes.zip</v>
      </c>
    </row>
    <row r="14231" spans="1:21">
      <c r="A14231">
        <v>14230</v>
      </c>
      <c r="B14231" s="27" t="s">
        <v>1124</v>
      </c>
      <c r="D14231" s="27" t="s">
        <v>1859</v>
      </c>
      <c r="F14231" s="27" t="s">
        <v>938</v>
      </c>
      <c r="G14231" s="27" t="s">
        <v>959</v>
      </c>
      <c r="H14231" s="27" t="s">
        <v>17007</v>
      </c>
      <c r="J14231" s="27" t="s">
        <v>17008</v>
      </c>
      <c r="L14231" s="27" t="s">
        <v>724</v>
      </c>
      <c r="N14231" s="27" t="s">
        <v>154</v>
      </c>
      <c r="P14231" s="27" t="s">
        <v>17012</v>
      </c>
      <c r="Q14231" s="26" t="str">
        <f>HYPERLINK("https://ictv.global/taxonomy/taxondetails?taxnode_id=202517934&amp;ictv_id=ICTV202317934","ICTV202317934")</f>
        <v>ICTV202317934</v>
      </c>
      <c r="R14231" t="s">
        <v>580</v>
      </c>
      <c r="S14231" t="s">
        <v>823</v>
      </c>
      <c r="T14231">
        <v>39</v>
      </c>
      <c r="U14231" s="26" t="str">
        <f>HYPERLINK("https://ictv.global/ictv/proposals/2023.009P.Emaravirus_1nsp.zip","2023.009P.Emaravirus_1nsp.zip")</f>
        <v>2023.009P.Emaravirus_1nsp.zip</v>
      </c>
    </row>
    <row r="14232" spans="1:21">
      <c r="A14232">
        <v>14231</v>
      </c>
      <c r="B14232" s="27" t="s">
        <v>1124</v>
      </c>
      <c r="D14232" s="27" t="s">
        <v>1859</v>
      </c>
      <c r="F14232" s="27" t="s">
        <v>938</v>
      </c>
      <c r="G14232" s="27" t="s">
        <v>959</v>
      </c>
      <c r="H14232" s="27" t="s">
        <v>17007</v>
      </c>
      <c r="J14232" s="27" t="s">
        <v>17008</v>
      </c>
      <c r="L14232" s="27" t="s">
        <v>724</v>
      </c>
      <c r="N14232" s="27" t="s">
        <v>154</v>
      </c>
      <c r="P14232" s="27" t="s">
        <v>9896</v>
      </c>
      <c r="Q14232" s="26" t="str">
        <f>HYPERLINK("https://ictv.global/taxonomy/taxondetails?taxnode_id=202509489&amp;ictv_id=ICTV202009489","ICTV202009489")</f>
        <v>ICTV202009489</v>
      </c>
      <c r="R14232" t="s">
        <v>580</v>
      </c>
      <c r="S14232" t="s">
        <v>824</v>
      </c>
      <c r="T14232">
        <v>39</v>
      </c>
      <c r="U14232" s="26" t="str">
        <f t="shared" ref="U14232:U14250" si="530">HYPERLINK("https://ictv.global/ictv/proposals/2023.024M.Bunyaviricetes.zip","2023.024M.Bunyaviricetes.zip")</f>
        <v>2023.024M.Bunyaviricetes.zip</v>
      </c>
    </row>
    <row r="14233" spans="1:21">
      <c r="A14233">
        <v>14232</v>
      </c>
      <c r="B14233" s="27" t="s">
        <v>1124</v>
      </c>
      <c r="D14233" s="27" t="s">
        <v>1859</v>
      </c>
      <c r="F14233" s="27" t="s">
        <v>938</v>
      </c>
      <c r="G14233" s="27" t="s">
        <v>959</v>
      </c>
      <c r="H14233" s="27" t="s">
        <v>17007</v>
      </c>
      <c r="J14233" s="27" t="s">
        <v>17008</v>
      </c>
      <c r="L14233" s="27" t="s">
        <v>724</v>
      </c>
      <c r="N14233" s="27" t="s">
        <v>154</v>
      </c>
      <c r="P14233" s="27" t="s">
        <v>9897</v>
      </c>
      <c r="Q14233" s="26" t="str">
        <f>HYPERLINK("https://ictv.global/taxonomy/taxondetails?taxnode_id=202509618&amp;ictv_id=ICTV202009618","ICTV202009618")</f>
        <v>ICTV202009618</v>
      </c>
      <c r="R14233" t="s">
        <v>580</v>
      </c>
      <c r="S14233" t="s">
        <v>824</v>
      </c>
      <c r="T14233">
        <v>39</v>
      </c>
      <c r="U14233" s="26" t="str">
        <f t="shared" si="530"/>
        <v>2023.024M.Bunyaviricetes.zip</v>
      </c>
    </row>
    <row r="14234" spans="1:21">
      <c r="A14234">
        <v>14233</v>
      </c>
      <c r="B14234" s="27" t="s">
        <v>1124</v>
      </c>
      <c r="D14234" s="27" t="s">
        <v>1859</v>
      </c>
      <c r="F14234" s="27" t="s">
        <v>938</v>
      </c>
      <c r="G14234" s="27" t="s">
        <v>959</v>
      </c>
      <c r="H14234" s="27" t="s">
        <v>17007</v>
      </c>
      <c r="J14234" s="27" t="s">
        <v>17008</v>
      </c>
      <c r="L14234" s="27" t="s">
        <v>724</v>
      </c>
      <c r="N14234" s="27" t="s">
        <v>154</v>
      </c>
      <c r="P14234" s="27" t="s">
        <v>9898</v>
      </c>
      <c r="Q14234" s="26" t="str">
        <f>HYPERLINK("https://ictv.global/taxonomy/taxondetails?taxnode_id=202507368&amp;ictv_id=ICTV201907368","ICTV201907368")</f>
        <v>ICTV201907368</v>
      </c>
      <c r="R14234" t="s">
        <v>580</v>
      </c>
      <c r="S14234" t="s">
        <v>824</v>
      </c>
      <c r="T14234">
        <v>39</v>
      </c>
      <c r="U14234" s="26" t="str">
        <f t="shared" si="530"/>
        <v>2023.024M.Bunyaviricetes.zip</v>
      </c>
    </row>
    <row r="14235" spans="1:21">
      <c r="A14235">
        <v>14234</v>
      </c>
      <c r="B14235" s="27" t="s">
        <v>1124</v>
      </c>
      <c r="D14235" s="27" t="s">
        <v>1859</v>
      </c>
      <c r="F14235" s="27" t="s">
        <v>938</v>
      </c>
      <c r="G14235" s="27" t="s">
        <v>959</v>
      </c>
      <c r="H14235" s="27" t="s">
        <v>17007</v>
      </c>
      <c r="J14235" s="27" t="s">
        <v>17008</v>
      </c>
      <c r="L14235" s="27" t="s">
        <v>724</v>
      </c>
      <c r="N14235" s="27" t="s">
        <v>154</v>
      </c>
      <c r="P14235" s="27" t="s">
        <v>9899</v>
      </c>
      <c r="Q14235" s="26" t="str">
        <f>HYPERLINK("https://ictv.global/taxonomy/taxondetails?taxnode_id=202509371&amp;ictv_id=ICTV202009371","ICTV202009371")</f>
        <v>ICTV202009371</v>
      </c>
      <c r="R14235" t="s">
        <v>580</v>
      </c>
      <c r="S14235" t="s">
        <v>824</v>
      </c>
      <c r="T14235">
        <v>39</v>
      </c>
      <c r="U14235" s="26" t="str">
        <f t="shared" si="530"/>
        <v>2023.024M.Bunyaviricetes.zip</v>
      </c>
    </row>
    <row r="14236" spans="1:21">
      <c r="A14236">
        <v>14235</v>
      </c>
      <c r="B14236" s="27" t="s">
        <v>1124</v>
      </c>
      <c r="D14236" s="27" t="s">
        <v>1859</v>
      </c>
      <c r="F14236" s="27" t="s">
        <v>938</v>
      </c>
      <c r="G14236" s="27" t="s">
        <v>959</v>
      </c>
      <c r="H14236" s="27" t="s">
        <v>17007</v>
      </c>
      <c r="J14236" s="27" t="s">
        <v>17008</v>
      </c>
      <c r="L14236" s="27" t="s">
        <v>724</v>
      </c>
      <c r="N14236" s="27" t="s">
        <v>154</v>
      </c>
      <c r="P14236" s="27" t="s">
        <v>9900</v>
      </c>
      <c r="Q14236" s="26" t="str">
        <f>HYPERLINK("https://ictv.global/taxonomy/taxondetails?taxnode_id=202509546&amp;ictv_id=ICTV202009546","ICTV202009546")</f>
        <v>ICTV202009546</v>
      </c>
      <c r="R14236" t="s">
        <v>580</v>
      </c>
      <c r="S14236" t="s">
        <v>824</v>
      </c>
      <c r="T14236">
        <v>39</v>
      </c>
      <c r="U14236" s="26" t="str">
        <f t="shared" si="530"/>
        <v>2023.024M.Bunyaviricetes.zip</v>
      </c>
    </row>
    <row r="14237" spans="1:21">
      <c r="A14237">
        <v>14236</v>
      </c>
      <c r="B14237" s="27" t="s">
        <v>1124</v>
      </c>
      <c r="D14237" s="27" t="s">
        <v>1859</v>
      </c>
      <c r="F14237" s="27" t="s">
        <v>938</v>
      </c>
      <c r="G14237" s="27" t="s">
        <v>959</v>
      </c>
      <c r="H14237" s="27" t="s">
        <v>17007</v>
      </c>
      <c r="J14237" s="27" t="s">
        <v>17008</v>
      </c>
      <c r="L14237" s="27" t="s">
        <v>724</v>
      </c>
      <c r="N14237" s="27" t="s">
        <v>154</v>
      </c>
      <c r="P14237" s="27" t="s">
        <v>9901</v>
      </c>
      <c r="Q14237" s="26" t="str">
        <f>HYPERLINK("https://ictv.global/taxonomy/taxondetails?taxnode_id=202513866&amp;ictv_id=ICTV202113866","ICTV202113866")</f>
        <v>ICTV202113866</v>
      </c>
      <c r="R14237" t="s">
        <v>580</v>
      </c>
      <c r="S14237" t="s">
        <v>824</v>
      </c>
      <c r="T14237">
        <v>39</v>
      </c>
      <c r="U14237" s="26" t="str">
        <f t="shared" si="530"/>
        <v>2023.024M.Bunyaviricetes.zip</v>
      </c>
    </row>
    <row r="14238" spans="1:21">
      <c r="A14238">
        <v>14237</v>
      </c>
      <c r="B14238" s="27" t="s">
        <v>1124</v>
      </c>
      <c r="D14238" s="27" t="s">
        <v>1859</v>
      </c>
      <c r="F14238" s="27" t="s">
        <v>938</v>
      </c>
      <c r="G14238" s="27" t="s">
        <v>959</v>
      </c>
      <c r="H14238" s="27" t="s">
        <v>17007</v>
      </c>
      <c r="J14238" s="27" t="s">
        <v>17008</v>
      </c>
      <c r="L14238" s="27" t="s">
        <v>724</v>
      </c>
      <c r="N14238" s="27" t="s">
        <v>154</v>
      </c>
      <c r="P14238" s="27" t="s">
        <v>9902</v>
      </c>
      <c r="Q14238" s="26" t="str">
        <f>HYPERLINK("https://ictv.global/taxonomy/taxondetails?taxnode_id=202500017&amp;ictv_id=ICTV20125745","ICTV20125745")</f>
        <v>ICTV20125745</v>
      </c>
      <c r="R14238" t="s">
        <v>580</v>
      </c>
      <c r="S14238" t="s">
        <v>824</v>
      </c>
      <c r="T14238">
        <v>39</v>
      </c>
      <c r="U14238" s="26" t="str">
        <f t="shared" si="530"/>
        <v>2023.024M.Bunyaviricetes.zip</v>
      </c>
    </row>
    <row r="14239" spans="1:21">
      <c r="A14239">
        <v>14238</v>
      </c>
      <c r="B14239" s="27" t="s">
        <v>1124</v>
      </c>
      <c r="D14239" s="27" t="s">
        <v>1859</v>
      </c>
      <c r="F14239" s="27" t="s">
        <v>938</v>
      </c>
      <c r="G14239" s="27" t="s">
        <v>959</v>
      </c>
      <c r="H14239" s="27" t="s">
        <v>17007</v>
      </c>
      <c r="J14239" s="27" t="s">
        <v>17008</v>
      </c>
      <c r="L14239" s="27" t="s">
        <v>724</v>
      </c>
      <c r="N14239" s="27" t="s">
        <v>154</v>
      </c>
      <c r="P14239" s="27" t="s">
        <v>9903</v>
      </c>
      <c r="Q14239" s="26" t="str">
        <f>HYPERLINK("https://ictv.global/taxonomy/taxondetails?taxnode_id=202507357&amp;ictv_id=ICTV201907357","ICTV201907357")</f>
        <v>ICTV201907357</v>
      </c>
      <c r="R14239" t="s">
        <v>580</v>
      </c>
      <c r="S14239" t="s">
        <v>824</v>
      </c>
      <c r="T14239">
        <v>39</v>
      </c>
      <c r="U14239" s="26" t="str">
        <f t="shared" si="530"/>
        <v>2023.024M.Bunyaviricetes.zip</v>
      </c>
    </row>
    <row r="14240" spans="1:21">
      <c r="A14240">
        <v>14239</v>
      </c>
      <c r="B14240" s="27" t="s">
        <v>1124</v>
      </c>
      <c r="D14240" s="27" t="s">
        <v>1859</v>
      </c>
      <c r="F14240" s="27" t="s">
        <v>938</v>
      </c>
      <c r="G14240" s="27" t="s">
        <v>959</v>
      </c>
      <c r="H14240" s="27" t="s">
        <v>17007</v>
      </c>
      <c r="J14240" s="27" t="s">
        <v>17008</v>
      </c>
      <c r="L14240" s="27" t="s">
        <v>724</v>
      </c>
      <c r="N14240" s="27" t="s">
        <v>154</v>
      </c>
      <c r="P14240" s="27" t="s">
        <v>9904</v>
      </c>
      <c r="Q14240" s="26" t="str">
        <f>HYPERLINK("https://ictv.global/taxonomy/taxondetails?taxnode_id=202500010&amp;ictv_id=ICTV20095208","ICTV20095208")</f>
        <v>ICTV20095208</v>
      </c>
      <c r="R14240" t="s">
        <v>580</v>
      </c>
      <c r="S14240" t="s">
        <v>824</v>
      </c>
      <c r="T14240">
        <v>39</v>
      </c>
      <c r="U14240" s="26" t="str">
        <f t="shared" si="530"/>
        <v>2023.024M.Bunyaviricetes.zip</v>
      </c>
    </row>
    <row r="14241" spans="1:21">
      <c r="A14241">
        <v>14240</v>
      </c>
      <c r="B14241" s="27" t="s">
        <v>1124</v>
      </c>
      <c r="D14241" s="27" t="s">
        <v>1859</v>
      </c>
      <c r="F14241" s="27" t="s">
        <v>938</v>
      </c>
      <c r="G14241" s="27" t="s">
        <v>959</v>
      </c>
      <c r="H14241" s="27" t="s">
        <v>17007</v>
      </c>
      <c r="J14241" s="27" t="s">
        <v>17008</v>
      </c>
      <c r="L14241" s="27" t="s">
        <v>724</v>
      </c>
      <c r="N14241" s="27" t="s">
        <v>154</v>
      </c>
      <c r="P14241" s="27" t="s">
        <v>9905</v>
      </c>
      <c r="Q14241" s="26" t="str">
        <f>HYPERLINK("https://ictv.global/taxonomy/taxondetails?taxnode_id=202509383&amp;ictv_id=ICTV202009383","ICTV202009383")</f>
        <v>ICTV202009383</v>
      </c>
      <c r="R14241" t="s">
        <v>580</v>
      </c>
      <c r="S14241" t="s">
        <v>824</v>
      </c>
      <c r="T14241">
        <v>39</v>
      </c>
      <c r="U14241" s="26" t="str">
        <f t="shared" si="530"/>
        <v>2023.024M.Bunyaviricetes.zip</v>
      </c>
    </row>
    <row r="14242" spans="1:21">
      <c r="A14242">
        <v>14241</v>
      </c>
      <c r="B14242" s="27" t="s">
        <v>1124</v>
      </c>
      <c r="D14242" s="27" t="s">
        <v>1859</v>
      </c>
      <c r="F14242" s="27" t="s">
        <v>938</v>
      </c>
      <c r="G14242" s="27" t="s">
        <v>959</v>
      </c>
      <c r="H14242" s="27" t="s">
        <v>17007</v>
      </c>
      <c r="J14242" s="27" t="s">
        <v>17008</v>
      </c>
      <c r="L14242" s="27" t="s">
        <v>724</v>
      </c>
      <c r="N14242" s="27" t="s">
        <v>154</v>
      </c>
      <c r="P14242" s="27" t="s">
        <v>9906</v>
      </c>
      <c r="Q14242" s="26" t="str">
        <f>HYPERLINK("https://ictv.global/taxonomy/taxondetails?taxnode_id=202500014&amp;ictv_id=ICTV20164771","ICTV20164771")</f>
        <v>ICTV20164771</v>
      </c>
      <c r="R14242" t="s">
        <v>580</v>
      </c>
      <c r="S14242" t="s">
        <v>824</v>
      </c>
      <c r="T14242">
        <v>39</v>
      </c>
      <c r="U14242" s="26" t="str">
        <f t="shared" si="530"/>
        <v>2023.024M.Bunyaviricetes.zip</v>
      </c>
    </row>
    <row r="14243" spans="1:21">
      <c r="A14243">
        <v>14242</v>
      </c>
      <c r="B14243" s="27" t="s">
        <v>1124</v>
      </c>
      <c r="D14243" s="27" t="s">
        <v>1859</v>
      </c>
      <c r="F14243" s="27" t="s">
        <v>938</v>
      </c>
      <c r="G14243" s="27" t="s">
        <v>959</v>
      </c>
      <c r="H14243" s="27" t="s">
        <v>17007</v>
      </c>
      <c r="J14243" s="27" t="s">
        <v>17008</v>
      </c>
      <c r="L14243" s="27" t="s">
        <v>724</v>
      </c>
      <c r="N14243" s="27" t="s">
        <v>154</v>
      </c>
      <c r="P14243" s="27" t="s">
        <v>9907</v>
      </c>
      <c r="Q14243" s="26" t="str">
        <f>HYPERLINK("https://ictv.global/taxonomy/taxondetails?taxnode_id=202500012&amp;ictv_id=ICTV20154501","ICTV20154501")</f>
        <v>ICTV20154501</v>
      </c>
      <c r="R14243" t="s">
        <v>580</v>
      </c>
      <c r="S14243" t="s">
        <v>824</v>
      </c>
      <c r="T14243">
        <v>39</v>
      </c>
      <c r="U14243" s="26" t="str">
        <f t="shared" si="530"/>
        <v>2023.024M.Bunyaviricetes.zip</v>
      </c>
    </row>
    <row r="14244" spans="1:21">
      <c r="A14244">
        <v>14243</v>
      </c>
      <c r="B14244" s="27" t="s">
        <v>1124</v>
      </c>
      <c r="D14244" s="27" t="s">
        <v>1859</v>
      </c>
      <c r="F14244" s="27" t="s">
        <v>938</v>
      </c>
      <c r="G14244" s="27" t="s">
        <v>959</v>
      </c>
      <c r="H14244" s="27" t="s">
        <v>17007</v>
      </c>
      <c r="J14244" s="27" t="s">
        <v>17008</v>
      </c>
      <c r="L14244" s="27" t="s">
        <v>724</v>
      </c>
      <c r="N14244" s="27" t="s">
        <v>154</v>
      </c>
      <c r="P14244" s="27" t="s">
        <v>9908</v>
      </c>
      <c r="Q14244" s="26" t="str">
        <f>HYPERLINK("https://ictv.global/taxonomy/taxondetails?taxnode_id=202509601&amp;ictv_id=ICTV202009601","ICTV202009601")</f>
        <v>ICTV202009601</v>
      </c>
      <c r="R14244" t="s">
        <v>580</v>
      </c>
      <c r="S14244" t="s">
        <v>824</v>
      </c>
      <c r="T14244">
        <v>39</v>
      </c>
      <c r="U14244" s="26" t="str">
        <f t="shared" si="530"/>
        <v>2023.024M.Bunyaviricetes.zip</v>
      </c>
    </row>
    <row r="14245" spans="1:21">
      <c r="A14245">
        <v>14244</v>
      </c>
      <c r="B14245" s="27" t="s">
        <v>1124</v>
      </c>
      <c r="D14245" s="27" t="s">
        <v>1859</v>
      </c>
      <c r="F14245" s="27" t="s">
        <v>938</v>
      </c>
      <c r="G14245" s="27" t="s">
        <v>959</v>
      </c>
      <c r="H14245" s="27" t="s">
        <v>17007</v>
      </c>
      <c r="J14245" s="27" t="s">
        <v>17008</v>
      </c>
      <c r="L14245" s="27" t="s">
        <v>724</v>
      </c>
      <c r="N14245" s="27" t="s">
        <v>154</v>
      </c>
      <c r="P14245" s="27" t="s">
        <v>9909</v>
      </c>
      <c r="Q14245" s="26" t="str">
        <f>HYPERLINK("https://ictv.global/taxonomy/taxondetails?taxnode_id=202515121&amp;ictv_id=ICTV202215121","ICTV202215121")</f>
        <v>ICTV202215121</v>
      </c>
      <c r="R14245" t="s">
        <v>580</v>
      </c>
      <c r="S14245" t="s">
        <v>824</v>
      </c>
      <c r="T14245">
        <v>39</v>
      </c>
      <c r="U14245" s="26" t="str">
        <f t="shared" si="530"/>
        <v>2023.024M.Bunyaviricetes.zip</v>
      </c>
    </row>
    <row r="14246" spans="1:21">
      <c r="A14246">
        <v>14245</v>
      </c>
      <c r="B14246" s="27" t="s">
        <v>1124</v>
      </c>
      <c r="D14246" s="27" t="s">
        <v>1859</v>
      </c>
      <c r="F14246" s="27" t="s">
        <v>938</v>
      </c>
      <c r="G14246" s="27" t="s">
        <v>959</v>
      </c>
      <c r="H14246" s="27" t="s">
        <v>17007</v>
      </c>
      <c r="J14246" s="27" t="s">
        <v>17008</v>
      </c>
      <c r="L14246" s="27" t="s">
        <v>724</v>
      </c>
      <c r="N14246" s="27" t="s">
        <v>154</v>
      </c>
      <c r="P14246" s="27" t="s">
        <v>9910</v>
      </c>
      <c r="Q14246" s="26" t="str">
        <f>HYPERLINK("https://ictv.global/taxonomy/taxondetails?taxnode_id=202515123&amp;ictv_id=ICTV202215123","ICTV202215123")</f>
        <v>ICTV202215123</v>
      </c>
      <c r="R14246" t="s">
        <v>580</v>
      </c>
      <c r="S14246" t="s">
        <v>824</v>
      </c>
      <c r="T14246">
        <v>39</v>
      </c>
      <c r="U14246" s="26" t="str">
        <f t="shared" si="530"/>
        <v>2023.024M.Bunyaviricetes.zip</v>
      </c>
    </row>
    <row r="14247" spans="1:21">
      <c r="A14247">
        <v>14246</v>
      </c>
      <c r="B14247" s="27" t="s">
        <v>1124</v>
      </c>
      <c r="D14247" s="27" t="s">
        <v>1859</v>
      </c>
      <c r="F14247" s="27" t="s">
        <v>938</v>
      </c>
      <c r="G14247" s="27" t="s">
        <v>959</v>
      </c>
      <c r="H14247" s="27" t="s">
        <v>17007</v>
      </c>
      <c r="J14247" s="27" t="s">
        <v>17008</v>
      </c>
      <c r="L14247" s="27" t="s">
        <v>724</v>
      </c>
      <c r="N14247" s="27" t="s">
        <v>154</v>
      </c>
      <c r="P14247" s="27" t="s">
        <v>9911</v>
      </c>
      <c r="Q14247" s="26" t="str">
        <f>HYPERLINK("https://ictv.global/taxonomy/taxondetails?taxnode_id=202509614&amp;ictv_id=ICTV202009614","ICTV202009614")</f>
        <v>ICTV202009614</v>
      </c>
      <c r="R14247" t="s">
        <v>580</v>
      </c>
      <c r="S14247" t="s">
        <v>824</v>
      </c>
      <c r="T14247">
        <v>39</v>
      </c>
      <c r="U14247" s="26" t="str">
        <f t="shared" si="530"/>
        <v>2023.024M.Bunyaviricetes.zip</v>
      </c>
    </row>
    <row r="14248" spans="1:21">
      <c r="A14248">
        <v>14247</v>
      </c>
      <c r="B14248" s="27" t="s">
        <v>1124</v>
      </c>
      <c r="D14248" s="27" t="s">
        <v>1859</v>
      </c>
      <c r="F14248" s="27" t="s">
        <v>938</v>
      </c>
      <c r="G14248" s="27" t="s">
        <v>959</v>
      </c>
      <c r="H14248" s="27" t="s">
        <v>17007</v>
      </c>
      <c r="J14248" s="27" t="s">
        <v>17008</v>
      </c>
      <c r="L14248" s="27" t="s">
        <v>725</v>
      </c>
      <c r="M14248" s="27" t="s">
        <v>1144</v>
      </c>
      <c r="N14248" s="27" t="s">
        <v>1145</v>
      </c>
      <c r="P14248" s="27" t="s">
        <v>9912</v>
      </c>
      <c r="Q14248" s="26" t="str">
        <f>HYPERLINK("https://ictv.global/taxonomy/taxondetails?taxnode_id=202509699&amp;ictv_id=ICTV202009699","ICTV202009699")</f>
        <v>ICTV202009699</v>
      </c>
      <c r="R14248" t="s">
        <v>580</v>
      </c>
      <c r="S14248" t="s">
        <v>824</v>
      </c>
      <c r="T14248">
        <v>39</v>
      </c>
      <c r="U14248" s="26" t="str">
        <f t="shared" si="530"/>
        <v>2023.024M.Bunyaviricetes.zip</v>
      </c>
    </row>
    <row r="14249" spans="1:21">
      <c r="A14249">
        <v>14248</v>
      </c>
      <c r="B14249" s="27" t="s">
        <v>1124</v>
      </c>
      <c r="D14249" s="27" t="s">
        <v>1859</v>
      </c>
      <c r="F14249" s="27" t="s">
        <v>938</v>
      </c>
      <c r="G14249" s="27" t="s">
        <v>959</v>
      </c>
      <c r="H14249" s="27" t="s">
        <v>17007</v>
      </c>
      <c r="J14249" s="27" t="s">
        <v>17008</v>
      </c>
      <c r="L14249" s="27" t="s">
        <v>725</v>
      </c>
      <c r="M14249" s="27" t="s">
        <v>1144</v>
      </c>
      <c r="N14249" s="27" t="s">
        <v>1145</v>
      </c>
      <c r="P14249" s="27" t="s">
        <v>9913</v>
      </c>
      <c r="Q14249" s="26" t="str">
        <f>HYPERLINK("https://ictv.global/taxonomy/taxondetails?taxnode_id=202506428&amp;ictv_id=ICTV201856428","ICTV201856428")</f>
        <v>ICTV201856428</v>
      </c>
      <c r="R14249" t="s">
        <v>580</v>
      </c>
      <c r="S14249" t="s">
        <v>824</v>
      </c>
      <c r="T14249">
        <v>39</v>
      </c>
      <c r="U14249" s="26" t="str">
        <f t="shared" si="530"/>
        <v>2023.024M.Bunyaviricetes.zip</v>
      </c>
    </row>
    <row r="14250" spans="1:21">
      <c r="A14250">
        <v>14249</v>
      </c>
      <c r="B14250" s="27" t="s">
        <v>1124</v>
      </c>
      <c r="D14250" s="27" t="s">
        <v>1859</v>
      </c>
      <c r="F14250" s="27" t="s">
        <v>938</v>
      </c>
      <c r="G14250" s="27" t="s">
        <v>959</v>
      </c>
      <c r="H14250" s="27" t="s">
        <v>17007</v>
      </c>
      <c r="J14250" s="27" t="s">
        <v>17008</v>
      </c>
      <c r="L14250" s="27" t="s">
        <v>725</v>
      </c>
      <c r="M14250" s="27" t="s">
        <v>1144</v>
      </c>
      <c r="N14250" s="27" t="s">
        <v>1145</v>
      </c>
      <c r="P14250" s="27" t="s">
        <v>9914</v>
      </c>
      <c r="Q14250" s="26" t="str">
        <f>HYPERLINK("https://ictv.global/taxonomy/taxondetails?taxnode_id=202506429&amp;ictv_id=ICTV201856429","ICTV201856429")</f>
        <v>ICTV201856429</v>
      </c>
      <c r="R14250" t="s">
        <v>580</v>
      </c>
      <c r="S14250" t="s">
        <v>824</v>
      </c>
      <c r="T14250">
        <v>39</v>
      </c>
      <c r="U14250" s="26" t="str">
        <f t="shared" si="530"/>
        <v>2023.024M.Bunyaviricetes.zip</v>
      </c>
    </row>
    <row r="14251" spans="1:21">
      <c r="A14251">
        <v>14250</v>
      </c>
      <c r="B14251" s="27" t="s">
        <v>1124</v>
      </c>
      <c r="D14251" s="27" t="s">
        <v>1859</v>
      </c>
      <c r="F14251" s="27" t="s">
        <v>938</v>
      </c>
      <c r="G14251" s="27" t="s">
        <v>959</v>
      </c>
      <c r="H14251" s="27" t="s">
        <v>17007</v>
      </c>
      <c r="J14251" s="27" t="s">
        <v>17008</v>
      </c>
      <c r="L14251" s="27" t="s">
        <v>725</v>
      </c>
      <c r="M14251" s="27" t="s">
        <v>1144</v>
      </c>
      <c r="N14251" s="27" t="s">
        <v>17013</v>
      </c>
      <c r="P14251" s="27" t="s">
        <v>17014</v>
      </c>
      <c r="Q14251" s="26" t="str">
        <f>HYPERLINK("https://ictv.global/taxonomy/taxondetails?taxnode_id=202519091&amp;ictv_id=ICTV202319091","ICTV202319091")</f>
        <v>ICTV202319091</v>
      </c>
      <c r="R14251" t="s">
        <v>580</v>
      </c>
      <c r="S14251" t="s">
        <v>823</v>
      </c>
      <c r="T14251">
        <v>39</v>
      </c>
      <c r="U14251" s="26" t="str">
        <f>HYPERLINK("https://ictv.global/ictv/proposals/2023.035M.Hantaviridae_reorg.zip","2023.035M.Hantaviridae_reorg.zip")</f>
        <v>2023.035M.Hantaviridae_reorg.zip</v>
      </c>
    </row>
    <row r="14252" spans="1:21">
      <c r="A14252">
        <v>14251</v>
      </c>
      <c r="B14252" s="27" t="s">
        <v>1124</v>
      </c>
      <c r="D14252" s="27" t="s">
        <v>1859</v>
      </c>
      <c r="F14252" s="27" t="s">
        <v>938</v>
      </c>
      <c r="G14252" s="27" t="s">
        <v>959</v>
      </c>
      <c r="H14252" s="27" t="s">
        <v>17007</v>
      </c>
      <c r="J14252" s="27" t="s">
        <v>17008</v>
      </c>
      <c r="L14252" s="27" t="s">
        <v>725</v>
      </c>
      <c r="M14252" s="27" t="s">
        <v>1144</v>
      </c>
      <c r="N14252" s="27" t="s">
        <v>17013</v>
      </c>
      <c r="P14252" s="27" t="s">
        <v>17015</v>
      </c>
      <c r="Q14252" s="26" t="str">
        <f>HYPERLINK("https://ictv.global/taxonomy/taxondetails?taxnode_id=202506430&amp;ictv_id=ICTV201856430","ICTV201856430")</f>
        <v>ICTV201856430</v>
      </c>
      <c r="R14252" t="s">
        <v>580</v>
      </c>
      <c r="S14252" t="s">
        <v>22764</v>
      </c>
      <c r="T14252">
        <v>39</v>
      </c>
      <c r="U14252" s="26" t="str">
        <f>HYPERLINK("https://ictv.global/ictv/proposals/2023.035M.Hantaviridae_reorg.zip","2023.035M.Hantaviridae_reorg.zip")</f>
        <v>2023.035M.Hantaviridae_reorg.zip</v>
      </c>
    </row>
    <row r="14253" spans="1:21">
      <c r="A14253">
        <v>14252</v>
      </c>
      <c r="B14253" s="27" t="s">
        <v>1124</v>
      </c>
      <c r="D14253" s="27" t="s">
        <v>1859</v>
      </c>
      <c r="F14253" s="27" t="s">
        <v>938</v>
      </c>
      <c r="G14253" s="27" t="s">
        <v>959</v>
      </c>
      <c r="H14253" s="27" t="s">
        <v>17007</v>
      </c>
      <c r="J14253" s="27" t="s">
        <v>17008</v>
      </c>
      <c r="L14253" s="27" t="s">
        <v>725</v>
      </c>
      <c r="M14253" s="27" t="s">
        <v>1146</v>
      </c>
      <c r="N14253" s="27" t="s">
        <v>1147</v>
      </c>
      <c r="P14253" s="27" t="s">
        <v>9915</v>
      </c>
      <c r="Q14253" s="26" t="str">
        <f>HYPERLINK("https://ictv.global/taxonomy/taxondetails?taxnode_id=202506433&amp;ictv_id=ICTV201856433","ICTV201856433")</f>
        <v>ICTV201856433</v>
      </c>
      <c r="R14253" t="s">
        <v>580</v>
      </c>
      <c r="S14253" t="s">
        <v>824</v>
      </c>
      <c r="T14253">
        <v>39</v>
      </c>
      <c r="U14253" s="26" t="str">
        <f>HYPERLINK("https://ictv.global/ictv/proposals/2023.024M.Bunyaviricetes.zip","2023.024M.Bunyaviricetes.zip")</f>
        <v>2023.024M.Bunyaviricetes.zip</v>
      </c>
    </row>
    <row r="14254" spans="1:21">
      <c r="A14254">
        <v>14253</v>
      </c>
      <c r="B14254" s="27" t="s">
        <v>1124</v>
      </c>
      <c r="D14254" s="27" t="s">
        <v>1859</v>
      </c>
      <c r="F14254" s="27" t="s">
        <v>938</v>
      </c>
      <c r="G14254" s="27" t="s">
        <v>959</v>
      </c>
      <c r="H14254" s="27" t="s">
        <v>17007</v>
      </c>
      <c r="J14254" s="27" t="s">
        <v>17008</v>
      </c>
      <c r="L14254" s="27" t="s">
        <v>725</v>
      </c>
      <c r="M14254" s="27" t="s">
        <v>1148</v>
      </c>
      <c r="N14254" s="27" t="s">
        <v>962</v>
      </c>
      <c r="P14254" s="27" t="s">
        <v>9916</v>
      </c>
      <c r="Q14254" s="26" t="str">
        <f>HYPERLINK("https://ictv.global/taxonomy/taxondetails?taxnode_id=202507442&amp;ictv_id=ICTV201907442","ICTV201907442")</f>
        <v>ICTV201907442</v>
      </c>
      <c r="R14254" t="s">
        <v>580</v>
      </c>
      <c r="S14254" t="s">
        <v>824</v>
      </c>
      <c r="T14254">
        <v>39</v>
      </c>
      <c r="U14254" s="26" t="str">
        <f>HYPERLINK("https://ictv.global/ictv/proposals/2023.024M.Bunyaviricetes.zip","2023.024M.Bunyaviricetes.zip")</f>
        <v>2023.024M.Bunyaviricetes.zip</v>
      </c>
    </row>
    <row r="14255" spans="1:21">
      <c r="A14255">
        <v>14254</v>
      </c>
      <c r="B14255" s="27" t="s">
        <v>1124</v>
      </c>
      <c r="D14255" s="27" t="s">
        <v>1859</v>
      </c>
      <c r="F14255" s="27" t="s">
        <v>938</v>
      </c>
      <c r="G14255" s="27" t="s">
        <v>959</v>
      </c>
      <c r="H14255" s="27" t="s">
        <v>17007</v>
      </c>
      <c r="J14255" s="27" t="s">
        <v>17008</v>
      </c>
      <c r="L14255" s="27" t="s">
        <v>725</v>
      </c>
      <c r="M14255" s="27" t="s">
        <v>1148</v>
      </c>
      <c r="N14255" s="27" t="s">
        <v>962</v>
      </c>
      <c r="P14255" s="27" t="s">
        <v>9917</v>
      </c>
      <c r="Q14255" s="26" t="str">
        <f>HYPERLINK("https://ictv.global/taxonomy/taxondetails?taxnode_id=202500044&amp;ictv_id=ICTV20164787","ICTV20164787")</f>
        <v>ICTV20164787</v>
      </c>
      <c r="R14255" t="s">
        <v>580</v>
      </c>
      <c r="S14255" t="s">
        <v>824</v>
      </c>
      <c r="T14255">
        <v>39</v>
      </c>
      <c r="U14255" s="26" t="str">
        <f>HYPERLINK("https://ictv.global/ictv/proposals/2023.024M.Bunyaviricetes.zip","2023.024M.Bunyaviricetes.zip")</f>
        <v>2023.024M.Bunyaviricetes.zip</v>
      </c>
    </row>
    <row r="14256" spans="1:21">
      <c r="A14256">
        <v>14255</v>
      </c>
      <c r="B14256" s="27" t="s">
        <v>1124</v>
      </c>
      <c r="D14256" s="27" t="s">
        <v>1859</v>
      </c>
      <c r="F14256" s="27" t="s">
        <v>938</v>
      </c>
      <c r="G14256" s="27" t="s">
        <v>959</v>
      </c>
      <c r="H14256" s="27" t="s">
        <v>17007</v>
      </c>
      <c r="J14256" s="27" t="s">
        <v>17008</v>
      </c>
      <c r="L14256" s="27" t="s">
        <v>725</v>
      </c>
      <c r="M14256" s="27" t="s">
        <v>1148</v>
      </c>
      <c r="N14256" s="27" t="s">
        <v>963</v>
      </c>
      <c r="P14256" s="27" t="s">
        <v>17016</v>
      </c>
      <c r="Q14256" s="26" t="str">
        <f>HYPERLINK("https://ictv.global/taxonomy/taxondetails?taxnode_id=202519087&amp;ictv_id=ICTV202319087","ICTV202319087")</f>
        <v>ICTV202319087</v>
      </c>
      <c r="R14256" t="s">
        <v>580</v>
      </c>
      <c r="S14256" t="s">
        <v>823</v>
      </c>
      <c r="T14256">
        <v>39</v>
      </c>
      <c r="U14256" s="26" t="str">
        <f>HYPERLINK("https://ictv.global/ictv/proposals/2023.035M.Hantaviridae_reorg.zip","2023.035M.Hantaviridae_reorg.zip")</f>
        <v>2023.035M.Hantaviridae_reorg.zip</v>
      </c>
    </row>
    <row r="14257" spans="1:21">
      <c r="A14257">
        <v>14256</v>
      </c>
      <c r="B14257" s="27" t="s">
        <v>1124</v>
      </c>
      <c r="D14257" s="27" t="s">
        <v>1859</v>
      </c>
      <c r="F14257" s="27" t="s">
        <v>938</v>
      </c>
      <c r="G14257" s="27" t="s">
        <v>959</v>
      </c>
      <c r="H14257" s="27" t="s">
        <v>17007</v>
      </c>
      <c r="J14257" s="27" t="s">
        <v>17008</v>
      </c>
      <c r="L14257" s="27" t="s">
        <v>725</v>
      </c>
      <c r="M14257" s="27" t="s">
        <v>1148</v>
      </c>
      <c r="N14257" s="27" t="s">
        <v>963</v>
      </c>
      <c r="P14257" s="27" t="s">
        <v>9918</v>
      </c>
      <c r="Q14257" s="26" t="str">
        <f>HYPERLINK("https://ictv.global/taxonomy/taxondetails?taxnode_id=202500043&amp;ictv_id=ICTV20164786","ICTV20164786")</f>
        <v>ICTV20164786</v>
      </c>
      <c r="R14257" t="s">
        <v>580</v>
      </c>
      <c r="S14257" t="s">
        <v>824</v>
      </c>
      <c r="T14257">
        <v>39</v>
      </c>
      <c r="U14257" s="26" t="str">
        <f>HYPERLINK("https://ictv.global/ictv/proposals/2023.024M.Bunyaviricetes.zip","2023.024M.Bunyaviricetes.zip")</f>
        <v>2023.024M.Bunyaviricetes.zip</v>
      </c>
    </row>
    <row r="14258" spans="1:21">
      <c r="A14258">
        <v>14257</v>
      </c>
      <c r="B14258" s="27" t="s">
        <v>1124</v>
      </c>
      <c r="D14258" s="27" t="s">
        <v>1859</v>
      </c>
      <c r="F14258" s="27" t="s">
        <v>938</v>
      </c>
      <c r="G14258" s="27" t="s">
        <v>959</v>
      </c>
      <c r="H14258" s="27" t="s">
        <v>17007</v>
      </c>
      <c r="J14258" s="27" t="s">
        <v>17008</v>
      </c>
      <c r="L14258" s="27" t="s">
        <v>725</v>
      </c>
      <c r="M14258" s="27" t="s">
        <v>1148</v>
      </c>
      <c r="N14258" s="27" t="s">
        <v>963</v>
      </c>
      <c r="P14258" s="27" t="s">
        <v>9919</v>
      </c>
      <c r="Q14258" s="26" t="str">
        <f>HYPERLINK("https://ictv.global/taxonomy/taxondetails?taxnode_id=202509700&amp;ictv_id=ICTV202009700","ICTV202009700")</f>
        <v>ICTV202009700</v>
      </c>
      <c r="R14258" t="s">
        <v>580</v>
      </c>
      <c r="S14258" t="s">
        <v>824</v>
      </c>
      <c r="T14258">
        <v>39</v>
      </c>
      <c r="U14258" s="26" t="str">
        <f>HYPERLINK("https://ictv.global/ictv/proposals/2023.024M.Bunyaviricetes.zip","2023.024M.Bunyaviricetes.zip")</f>
        <v>2023.024M.Bunyaviricetes.zip</v>
      </c>
    </row>
    <row r="14259" spans="1:21">
      <c r="A14259">
        <v>14258</v>
      </c>
      <c r="B14259" s="27" t="s">
        <v>1124</v>
      </c>
      <c r="D14259" s="27" t="s">
        <v>1859</v>
      </c>
      <c r="F14259" s="27" t="s">
        <v>938</v>
      </c>
      <c r="G14259" s="27" t="s">
        <v>959</v>
      </c>
      <c r="H14259" s="27" t="s">
        <v>17007</v>
      </c>
      <c r="J14259" s="27" t="s">
        <v>17008</v>
      </c>
      <c r="L14259" s="27" t="s">
        <v>725</v>
      </c>
      <c r="M14259" s="27" t="s">
        <v>1148</v>
      </c>
      <c r="N14259" s="27" t="s">
        <v>963</v>
      </c>
      <c r="P14259" s="27" t="s">
        <v>9920</v>
      </c>
      <c r="Q14259" s="26" t="str">
        <f>HYPERLINK("https://ictv.global/taxonomy/taxondetails?taxnode_id=202500049&amp;ictv_id=ICTV20164792","ICTV20164792")</f>
        <v>ICTV20164792</v>
      </c>
      <c r="R14259" t="s">
        <v>580</v>
      </c>
      <c r="S14259" t="s">
        <v>824</v>
      </c>
      <c r="T14259">
        <v>39</v>
      </c>
      <c r="U14259" s="26" t="str">
        <f>HYPERLINK("https://ictv.global/ictv/proposals/2023.024M.Bunyaviricetes.zip","2023.024M.Bunyaviricetes.zip")</f>
        <v>2023.024M.Bunyaviricetes.zip</v>
      </c>
    </row>
    <row r="14260" spans="1:21">
      <c r="A14260">
        <v>14259</v>
      </c>
      <c r="B14260" s="27" t="s">
        <v>1124</v>
      </c>
      <c r="D14260" s="27" t="s">
        <v>1859</v>
      </c>
      <c r="F14260" s="27" t="s">
        <v>938</v>
      </c>
      <c r="G14260" s="27" t="s">
        <v>959</v>
      </c>
      <c r="H14260" s="27" t="s">
        <v>17007</v>
      </c>
      <c r="J14260" s="27" t="s">
        <v>17008</v>
      </c>
      <c r="L14260" s="27" t="s">
        <v>725</v>
      </c>
      <c r="M14260" s="27" t="s">
        <v>1148</v>
      </c>
      <c r="N14260" s="27" t="s">
        <v>963</v>
      </c>
      <c r="P14260" s="27" t="s">
        <v>9921</v>
      </c>
      <c r="Q14260" s="26" t="str">
        <f>HYPERLINK("https://ictv.global/taxonomy/taxondetails?taxnode_id=202500053&amp;ictv_id=ICTV20164794","ICTV20164794")</f>
        <v>ICTV20164794</v>
      </c>
      <c r="R14260" t="s">
        <v>580</v>
      </c>
      <c r="S14260" t="s">
        <v>824</v>
      </c>
      <c r="T14260">
        <v>39</v>
      </c>
      <c r="U14260" s="26" t="str">
        <f>HYPERLINK("https://ictv.global/ictv/proposals/2023.024M.Bunyaviricetes.zip","2023.024M.Bunyaviricetes.zip")</f>
        <v>2023.024M.Bunyaviricetes.zip</v>
      </c>
    </row>
    <row r="14261" spans="1:21">
      <c r="A14261">
        <v>14260</v>
      </c>
      <c r="B14261" s="27" t="s">
        <v>1124</v>
      </c>
      <c r="D14261" s="27" t="s">
        <v>1859</v>
      </c>
      <c r="F14261" s="27" t="s">
        <v>938</v>
      </c>
      <c r="G14261" s="27" t="s">
        <v>959</v>
      </c>
      <c r="H14261" s="27" t="s">
        <v>17007</v>
      </c>
      <c r="J14261" s="27" t="s">
        <v>17008</v>
      </c>
      <c r="L14261" s="27" t="s">
        <v>725</v>
      </c>
      <c r="M14261" s="27" t="s">
        <v>1148</v>
      </c>
      <c r="N14261" s="27" t="s">
        <v>963</v>
      </c>
      <c r="P14261" s="27" t="s">
        <v>17017</v>
      </c>
      <c r="Q14261" s="26" t="str">
        <f>HYPERLINK("https://ictv.global/taxonomy/taxondetails?taxnode_id=202509702&amp;ictv_id=ICTV202009702","ICTV202009702")</f>
        <v>ICTV202009702</v>
      </c>
      <c r="R14261" t="s">
        <v>580</v>
      </c>
      <c r="S14261" t="s">
        <v>22764</v>
      </c>
      <c r="T14261">
        <v>39</v>
      </c>
      <c r="U14261" s="26" t="str">
        <f>HYPERLINK("https://ictv.global/ictv/proposals/2023.035M.Hantaviridae_reorg.zip","2023.035M.Hantaviridae_reorg.zip")</f>
        <v>2023.035M.Hantaviridae_reorg.zip</v>
      </c>
    </row>
    <row r="14262" spans="1:21">
      <c r="A14262">
        <v>14261</v>
      </c>
      <c r="B14262" s="27" t="s">
        <v>1124</v>
      </c>
      <c r="D14262" s="27" t="s">
        <v>1859</v>
      </c>
      <c r="F14262" s="27" t="s">
        <v>938</v>
      </c>
      <c r="G14262" s="27" t="s">
        <v>959</v>
      </c>
      <c r="H14262" s="27" t="s">
        <v>17007</v>
      </c>
      <c r="J14262" s="27" t="s">
        <v>17008</v>
      </c>
      <c r="L14262" s="27" t="s">
        <v>725</v>
      </c>
      <c r="M14262" s="27" t="s">
        <v>1148</v>
      </c>
      <c r="N14262" s="27" t="s">
        <v>963</v>
      </c>
      <c r="P14262" s="27" t="s">
        <v>9922</v>
      </c>
      <c r="Q14262" s="26" t="str">
        <f>HYPERLINK("https://ictv.global/taxonomy/taxondetails?taxnode_id=202509701&amp;ictv_id=ICTV202009701","ICTV202009701")</f>
        <v>ICTV202009701</v>
      </c>
      <c r="R14262" t="s">
        <v>580</v>
      </c>
      <c r="S14262" t="s">
        <v>824</v>
      </c>
      <c r="T14262">
        <v>39</v>
      </c>
      <c r="U14262" s="26" t="str">
        <f>HYPERLINK("https://ictv.global/ictv/proposals/2023.024M.Bunyaviricetes.zip","2023.024M.Bunyaviricetes.zip")</f>
        <v>2023.024M.Bunyaviricetes.zip</v>
      </c>
    </row>
    <row r="14263" spans="1:21">
      <c r="A14263">
        <v>14262</v>
      </c>
      <c r="B14263" s="27" t="s">
        <v>1124</v>
      </c>
      <c r="D14263" s="27" t="s">
        <v>1859</v>
      </c>
      <c r="F14263" s="27" t="s">
        <v>938</v>
      </c>
      <c r="G14263" s="27" t="s">
        <v>959</v>
      </c>
      <c r="H14263" s="27" t="s">
        <v>17007</v>
      </c>
      <c r="J14263" s="27" t="s">
        <v>17008</v>
      </c>
      <c r="L14263" s="27" t="s">
        <v>725</v>
      </c>
      <c r="M14263" s="27" t="s">
        <v>1148</v>
      </c>
      <c r="N14263" s="27" t="s">
        <v>726</v>
      </c>
      <c r="P14263" s="27" t="s">
        <v>9923</v>
      </c>
      <c r="Q14263" s="26" t="str">
        <f>HYPERLINK("https://ictv.global/taxonomy/taxondetails?taxnode_id=202500022&amp;ictv_id=ICTV19990658","ICTV19990658")</f>
        <v>ICTV19990658</v>
      </c>
      <c r="R14263" t="s">
        <v>580</v>
      </c>
      <c r="S14263" t="s">
        <v>824</v>
      </c>
      <c r="T14263">
        <v>39</v>
      </c>
      <c r="U14263" s="26" t="str">
        <f>HYPERLINK("https://ictv.global/ictv/proposals/2023.024M.Bunyaviricetes.zip","2023.024M.Bunyaviricetes.zip")</f>
        <v>2023.024M.Bunyaviricetes.zip</v>
      </c>
    </row>
    <row r="14264" spans="1:21">
      <c r="A14264">
        <v>14263</v>
      </c>
      <c r="B14264" s="27" t="s">
        <v>1124</v>
      </c>
      <c r="D14264" s="27" t="s">
        <v>1859</v>
      </c>
      <c r="F14264" s="27" t="s">
        <v>938</v>
      </c>
      <c r="G14264" s="27" t="s">
        <v>959</v>
      </c>
      <c r="H14264" s="27" t="s">
        <v>17007</v>
      </c>
      <c r="J14264" s="27" t="s">
        <v>17008</v>
      </c>
      <c r="L14264" s="27" t="s">
        <v>725</v>
      </c>
      <c r="M14264" s="27" t="s">
        <v>1148</v>
      </c>
      <c r="N14264" s="27" t="s">
        <v>726</v>
      </c>
      <c r="P14264" s="27" t="s">
        <v>17018</v>
      </c>
      <c r="Q14264" s="26" t="str">
        <f>HYPERLINK("https://ictv.global/taxonomy/taxondetails?taxnode_id=202519088&amp;ictv_id=ICTV202319088","ICTV202319088")</f>
        <v>ICTV202319088</v>
      </c>
      <c r="R14264" t="s">
        <v>580</v>
      </c>
      <c r="S14264" t="s">
        <v>823</v>
      </c>
      <c r="T14264">
        <v>39</v>
      </c>
      <c r="U14264" s="26" t="str">
        <f>HYPERLINK("https://ictv.global/ictv/proposals/2023.035M.Hantaviridae_reorg.zip","2023.035M.Hantaviridae_reorg.zip")</f>
        <v>2023.035M.Hantaviridae_reorg.zip</v>
      </c>
    </row>
    <row r="14265" spans="1:21">
      <c r="A14265">
        <v>14264</v>
      </c>
      <c r="B14265" s="27" t="s">
        <v>1124</v>
      </c>
      <c r="D14265" s="27" t="s">
        <v>1859</v>
      </c>
      <c r="F14265" s="27" t="s">
        <v>938</v>
      </c>
      <c r="G14265" s="27" t="s">
        <v>959</v>
      </c>
      <c r="H14265" s="27" t="s">
        <v>17007</v>
      </c>
      <c r="J14265" s="27" t="s">
        <v>17008</v>
      </c>
      <c r="L14265" s="27" t="s">
        <v>725</v>
      </c>
      <c r="M14265" s="27" t="s">
        <v>1148</v>
      </c>
      <c r="N14265" s="27" t="s">
        <v>726</v>
      </c>
      <c r="P14265" s="27" t="s">
        <v>9924</v>
      </c>
      <c r="Q14265" s="26" t="str">
        <f>HYPERLINK("https://ictv.global/taxonomy/taxondetails?taxnode_id=202500023&amp;ictv_id=ICTV20164774","ICTV20164774")</f>
        <v>ICTV20164774</v>
      </c>
      <c r="R14265" t="s">
        <v>580</v>
      </c>
      <c r="S14265" t="s">
        <v>824</v>
      </c>
      <c r="T14265">
        <v>39</v>
      </c>
      <c r="U14265" s="26" t="str">
        <f t="shared" ref="U14265:U14270" si="531">HYPERLINK("https://ictv.global/ictv/proposals/2023.024M.Bunyaviricetes.zip","2023.024M.Bunyaviricetes.zip")</f>
        <v>2023.024M.Bunyaviricetes.zip</v>
      </c>
    </row>
    <row r="14266" spans="1:21">
      <c r="A14266">
        <v>14265</v>
      </c>
      <c r="B14266" s="27" t="s">
        <v>1124</v>
      </c>
      <c r="D14266" s="27" t="s">
        <v>1859</v>
      </c>
      <c r="F14266" s="27" t="s">
        <v>938</v>
      </c>
      <c r="G14266" s="27" t="s">
        <v>959</v>
      </c>
      <c r="H14266" s="27" t="s">
        <v>17007</v>
      </c>
      <c r="J14266" s="27" t="s">
        <v>17008</v>
      </c>
      <c r="L14266" s="27" t="s">
        <v>725</v>
      </c>
      <c r="M14266" s="27" t="s">
        <v>1148</v>
      </c>
      <c r="N14266" s="27" t="s">
        <v>726</v>
      </c>
      <c r="P14266" s="27" t="s">
        <v>9925</v>
      </c>
      <c r="Q14266" s="26" t="str">
        <f>HYPERLINK("https://ictv.global/taxonomy/taxondetails?taxnode_id=202500024&amp;ictv_id=ICTV20164775","ICTV20164775")</f>
        <v>ICTV20164775</v>
      </c>
      <c r="R14266" t="s">
        <v>580</v>
      </c>
      <c r="S14266" t="s">
        <v>824</v>
      </c>
      <c r="T14266">
        <v>39</v>
      </c>
      <c r="U14266" s="26" t="str">
        <f t="shared" si="531"/>
        <v>2023.024M.Bunyaviricetes.zip</v>
      </c>
    </row>
    <row r="14267" spans="1:21">
      <c r="A14267">
        <v>14266</v>
      </c>
      <c r="B14267" s="27" t="s">
        <v>1124</v>
      </c>
      <c r="D14267" s="27" t="s">
        <v>1859</v>
      </c>
      <c r="F14267" s="27" t="s">
        <v>938</v>
      </c>
      <c r="G14267" s="27" t="s">
        <v>959</v>
      </c>
      <c r="H14267" s="27" t="s">
        <v>17007</v>
      </c>
      <c r="J14267" s="27" t="s">
        <v>17008</v>
      </c>
      <c r="L14267" s="27" t="s">
        <v>725</v>
      </c>
      <c r="M14267" s="27" t="s">
        <v>1148</v>
      </c>
      <c r="N14267" s="27" t="s">
        <v>726</v>
      </c>
      <c r="P14267" s="27" t="s">
        <v>9926</v>
      </c>
      <c r="Q14267" s="26" t="str">
        <f>HYPERLINK("https://ictv.global/taxonomy/taxondetails?taxnode_id=202500025&amp;ictv_id=ICTV19990659","ICTV19990659")</f>
        <v>ICTV19990659</v>
      </c>
      <c r="R14267" t="s">
        <v>580</v>
      </c>
      <c r="S14267" t="s">
        <v>824</v>
      </c>
      <c r="T14267">
        <v>39</v>
      </c>
      <c r="U14267" s="26" t="str">
        <f t="shared" si="531"/>
        <v>2023.024M.Bunyaviricetes.zip</v>
      </c>
    </row>
    <row r="14268" spans="1:21">
      <c r="A14268">
        <v>14267</v>
      </c>
      <c r="B14268" s="27" t="s">
        <v>1124</v>
      </c>
      <c r="D14268" s="27" t="s">
        <v>1859</v>
      </c>
      <c r="F14268" s="27" t="s">
        <v>938</v>
      </c>
      <c r="G14268" s="27" t="s">
        <v>959</v>
      </c>
      <c r="H14268" s="27" t="s">
        <v>17007</v>
      </c>
      <c r="J14268" s="27" t="s">
        <v>17008</v>
      </c>
      <c r="L14268" s="27" t="s">
        <v>725</v>
      </c>
      <c r="M14268" s="27" t="s">
        <v>1148</v>
      </c>
      <c r="N14268" s="27" t="s">
        <v>726</v>
      </c>
      <c r="P14268" s="27" t="s">
        <v>9927</v>
      </c>
      <c r="Q14268" s="26" t="str">
        <f>HYPERLINK("https://ictv.global/taxonomy/taxondetails?taxnode_id=202500027&amp;ictv_id=ICTV20164776","ICTV20164776")</f>
        <v>ICTV20164776</v>
      </c>
      <c r="R14268" t="s">
        <v>580</v>
      </c>
      <c r="S14268" t="s">
        <v>824</v>
      </c>
      <c r="T14268">
        <v>39</v>
      </c>
      <c r="U14268" s="26" t="str">
        <f t="shared" si="531"/>
        <v>2023.024M.Bunyaviricetes.zip</v>
      </c>
    </row>
    <row r="14269" spans="1:21">
      <c r="A14269">
        <v>14268</v>
      </c>
      <c r="B14269" s="27" t="s">
        <v>1124</v>
      </c>
      <c r="D14269" s="27" t="s">
        <v>1859</v>
      </c>
      <c r="F14269" s="27" t="s">
        <v>938</v>
      </c>
      <c r="G14269" s="27" t="s">
        <v>959</v>
      </c>
      <c r="H14269" s="27" t="s">
        <v>17007</v>
      </c>
      <c r="J14269" s="27" t="s">
        <v>17008</v>
      </c>
      <c r="L14269" s="27" t="s">
        <v>725</v>
      </c>
      <c r="M14269" s="27" t="s">
        <v>1148</v>
      </c>
      <c r="N14269" s="27" t="s">
        <v>726</v>
      </c>
      <c r="P14269" s="27" t="s">
        <v>9928</v>
      </c>
      <c r="Q14269" s="26" t="str">
        <f>HYPERLINK("https://ictv.global/taxonomy/taxondetails?taxnode_id=202500028&amp;ictv_id=ICTV20164777","ICTV20164777")</f>
        <v>ICTV20164777</v>
      </c>
      <c r="R14269" t="s">
        <v>580</v>
      </c>
      <c r="S14269" t="s">
        <v>824</v>
      </c>
      <c r="T14269">
        <v>39</v>
      </c>
      <c r="U14269" s="26" t="str">
        <f t="shared" si="531"/>
        <v>2023.024M.Bunyaviricetes.zip</v>
      </c>
    </row>
    <row r="14270" spans="1:21">
      <c r="A14270">
        <v>14269</v>
      </c>
      <c r="B14270" s="27" t="s">
        <v>1124</v>
      </c>
      <c r="D14270" s="27" t="s">
        <v>1859</v>
      </c>
      <c r="F14270" s="27" t="s">
        <v>938</v>
      </c>
      <c r="G14270" s="27" t="s">
        <v>959</v>
      </c>
      <c r="H14270" s="27" t="s">
        <v>17007</v>
      </c>
      <c r="J14270" s="27" t="s">
        <v>17008</v>
      </c>
      <c r="L14270" s="27" t="s">
        <v>725</v>
      </c>
      <c r="M14270" s="27" t="s">
        <v>1148</v>
      </c>
      <c r="N14270" s="27" t="s">
        <v>726</v>
      </c>
      <c r="P14270" s="27" t="s">
        <v>9929</v>
      </c>
      <c r="Q14270" s="26" t="str">
        <f>HYPERLINK("https://ictv.global/taxonomy/taxondetails?taxnode_id=202500030&amp;ictv_id=ICTV20164778","ICTV20164778")</f>
        <v>ICTV20164778</v>
      </c>
      <c r="R14270" t="s">
        <v>580</v>
      </c>
      <c r="S14270" t="s">
        <v>824</v>
      </c>
      <c r="T14270">
        <v>39</v>
      </c>
      <c r="U14270" s="26" t="str">
        <f t="shared" si="531"/>
        <v>2023.024M.Bunyaviricetes.zip</v>
      </c>
    </row>
    <row r="14271" spans="1:21">
      <c r="A14271">
        <v>14270</v>
      </c>
      <c r="B14271" s="27" t="s">
        <v>1124</v>
      </c>
      <c r="D14271" s="27" t="s">
        <v>1859</v>
      </c>
      <c r="F14271" s="27" t="s">
        <v>938</v>
      </c>
      <c r="G14271" s="27" t="s">
        <v>959</v>
      </c>
      <c r="H14271" s="27" t="s">
        <v>17007</v>
      </c>
      <c r="J14271" s="27" t="s">
        <v>17008</v>
      </c>
      <c r="L14271" s="27" t="s">
        <v>725</v>
      </c>
      <c r="M14271" s="27" t="s">
        <v>1148</v>
      </c>
      <c r="N14271" s="27" t="s">
        <v>726</v>
      </c>
      <c r="P14271" s="27" t="s">
        <v>17019</v>
      </c>
      <c r="Q14271" s="26" t="str">
        <f>HYPERLINK("https://ictv.global/taxonomy/taxondetails?taxnode_id=202500034&amp;ictv_id=ICTV19990663","ICTV19990663")</f>
        <v>ICTV19990663</v>
      </c>
      <c r="R14271" t="s">
        <v>580</v>
      </c>
      <c r="S14271" t="s">
        <v>824</v>
      </c>
      <c r="T14271">
        <v>39</v>
      </c>
      <c r="U14271" s="26" t="str">
        <f>HYPERLINK("https://ictv.global/ictv/proposals/2023.035M.Hantaviridae_reorg.zip","2023.035M.Hantaviridae_reorg.zip")</f>
        <v>2023.035M.Hantaviridae_reorg.zip</v>
      </c>
    </row>
    <row r="14272" spans="1:21">
      <c r="A14272">
        <v>14271</v>
      </c>
      <c r="B14272" s="27" t="s">
        <v>1124</v>
      </c>
      <c r="D14272" s="27" t="s">
        <v>1859</v>
      </c>
      <c r="F14272" s="27" t="s">
        <v>938</v>
      </c>
      <c r="G14272" s="27" t="s">
        <v>959</v>
      </c>
      <c r="H14272" s="27" t="s">
        <v>17007</v>
      </c>
      <c r="J14272" s="27" t="s">
        <v>17008</v>
      </c>
      <c r="L14272" s="27" t="s">
        <v>725</v>
      </c>
      <c r="M14272" s="27" t="s">
        <v>1148</v>
      </c>
      <c r="N14272" s="27" t="s">
        <v>726</v>
      </c>
      <c r="P14272" s="27" t="s">
        <v>9930</v>
      </c>
      <c r="Q14272" s="26" t="str">
        <f>HYPERLINK("https://ictv.global/taxonomy/taxondetails?taxnode_id=202500031&amp;ictv_id=ICTV20164779","ICTV20164779")</f>
        <v>ICTV20164779</v>
      </c>
      <c r="R14272" t="s">
        <v>580</v>
      </c>
      <c r="S14272" t="s">
        <v>824</v>
      </c>
      <c r="T14272">
        <v>39</v>
      </c>
      <c r="U14272" s="26" t="str">
        <f t="shared" ref="U14272:U14280" si="532">HYPERLINK("https://ictv.global/ictv/proposals/2023.024M.Bunyaviricetes.zip","2023.024M.Bunyaviricetes.zip")</f>
        <v>2023.024M.Bunyaviricetes.zip</v>
      </c>
    </row>
    <row r="14273" spans="1:21">
      <c r="A14273">
        <v>14272</v>
      </c>
      <c r="B14273" s="27" t="s">
        <v>1124</v>
      </c>
      <c r="D14273" s="27" t="s">
        <v>1859</v>
      </c>
      <c r="F14273" s="27" t="s">
        <v>938</v>
      </c>
      <c r="G14273" s="27" t="s">
        <v>959</v>
      </c>
      <c r="H14273" s="27" t="s">
        <v>17007</v>
      </c>
      <c r="J14273" s="27" t="s">
        <v>17008</v>
      </c>
      <c r="L14273" s="27" t="s">
        <v>725</v>
      </c>
      <c r="M14273" s="27" t="s">
        <v>1148</v>
      </c>
      <c r="N14273" s="27" t="s">
        <v>726</v>
      </c>
      <c r="P14273" s="27" t="s">
        <v>9931</v>
      </c>
      <c r="Q14273" s="26" t="str">
        <f>HYPERLINK("https://ictv.global/taxonomy/taxondetails?taxnode_id=202500032&amp;ictv_id=ICTV20164780","ICTV20164780")</f>
        <v>ICTV20164780</v>
      </c>
      <c r="R14273" t="s">
        <v>580</v>
      </c>
      <c r="S14273" t="s">
        <v>824</v>
      </c>
      <c r="T14273">
        <v>39</v>
      </c>
      <c r="U14273" s="26" t="str">
        <f t="shared" si="532"/>
        <v>2023.024M.Bunyaviricetes.zip</v>
      </c>
    </row>
    <row r="14274" spans="1:21">
      <c r="A14274">
        <v>14273</v>
      </c>
      <c r="B14274" s="27" t="s">
        <v>1124</v>
      </c>
      <c r="D14274" s="27" t="s">
        <v>1859</v>
      </c>
      <c r="F14274" s="27" t="s">
        <v>938</v>
      </c>
      <c r="G14274" s="27" t="s">
        <v>959</v>
      </c>
      <c r="H14274" s="27" t="s">
        <v>17007</v>
      </c>
      <c r="J14274" s="27" t="s">
        <v>17008</v>
      </c>
      <c r="L14274" s="27" t="s">
        <v>725</v>
      </c>
      <c r="M14274" s="27" t="s">
        <v>1148</v>
      </c>
      <c r="N14274" s="27" t="s">
        <v>726</v>
      </c>
      <c r="P14274" s="27" t="s">
        <v>9932</v>
      </c>
      <c r="Q14274" s="26" t="str">
        <f>HYPERLINK("https://ictv.global/taxonomy/taxondetails?taxnode_id=202500029&amp;ictv_id=ICTV19990661","ICTV19990661")</f>
        <v>ICTV19990661</v>
      </c>
      <c r="R14274" t="s">
        <v>580</v>
      </c>
      <c r="S14274" t="s">
        <v>824</v>
      </c>
      <c r="T14274">
        <v>39</v>
      </c>
      <c r="U14274" s="26" t="str">
        <f t="shared" si="532"/>
        <v>2023.024M.Bunyaviricetes.zip</v>
      </c>
    </row>
    <row r="14275" spans="1:21">
      <c r="A14275">
        <v>14274</v>
      </c>
      <c r="B14275" s="27" t="s">
        <v>1124</v>
      </c>
      <c r="D14275" s="27" t="s">
        <v>1859</v>
      </c>
      <c r="F14275" s="27" t="s">
        <v>938</v>
      </c>
      <c r="G14275" s="27" t="s">
        <v>959</v>
      </c>
      <c r="H14275" s="27" t="s">
        <v>17007</v>
      </c>
      <c r="J14275" s="27" t="s">
        <v>17008</v>
      </c>
      <c r="L14275" s="27" t="s">
        <v>725</v>
      </c>
      <c r="M14275" s="27" t="s">
        <v>1148</v>
      </c>
      <c r="N14275" s="27" t="s">
        <v>726</v>
      </c>
      <c r="P14275" s="27" t="s">
        <v>9933</v>
      </c>
      <c r="Q14275" s="26" t="str">
        <f>HYPERLINK("https://ictv.global/taxonomy/taxondetails?taxnode_id=202500033&amp;ictv_id=ICTV19950720","ICTV19950720")</f>
        <v>ICTV19950720</v>
      </c>
      <c r="R14275" t="s">
        <v>580</v>
      </c>
      <c r="S14275" t="s">
        <v>824</v>
      </c>
      <c r="T14275">
        <v>39</v>
      </c>
      <c r="U14275" s="26" t="str">
        <f t="shared" si="532"/>
        <v>2023.024M.Bunyaviricetes.zip</v>
      </c>
    </row>
    <row r="14276" spans="1:21">
      <c r="A14276">
        <v>14275</v>
      </c>
      <c r="B14276" s="27" t="s">
        <v>1124</v>
      </c>
      <c r="D14276" s="27" t="s">
        <v>1859</v>
      </c>
      <c r="F14276" s="27" t="s">
        <v>938</v>
      </c>
      <c r="G14276" s="27" t="s">
        <v>959</v>
      </c>
      <c r="H14276" s="27" t="s">
        <v>17007</v>
      </c>
      <c r="J14276" s="27" t="s">
        <v>17008</v>
      </c>
      <c r="L14276" s="27" t="s">
        <v>725</v>
      </c>
      <c r="M14276" s="27" t="s">
        <v>1148</v>
      </c>
      <c r="N14276" s="27" t="s">
        <v>726</v>
      </c>
      <c r="P14276" s="27" t="s">
        <v>9934</v>
      </c>
      <c r="Q14276" s="26" t="str">
        <f>HYPERLINK("https://ictv.global/taxonomy/taxondetails?taxnode_id=202500035&amp;ictv_id=ICTV20164781","ICTV20164781")</f>
        <v>ICTV20164781</v>
      </c>
      <c r="R14276" t="s">
        <v>580</v>
      </c>
      <c r="S14276" t="s">
        <v>824</v>
      </c>
      <c r="T14276">
        <v>39</v>
      </c>
      <c r="U14276" s="26" t="str">
        <f t="shared" si="532"/>
        <v>2023.024M.Bunyaviricetes.zip</v>
      </c>
    </row>
    <row r="14277" spans="1:21">
      <c r="A14277">
        <v>14276</v>
      </c>
      <c r="B14277" s="27" t="s">
        <v>1124</v>
      </c>
      <c r="D14277" s="27" t="s">
        <v>1859</v>
      </c>
      <c r="F14277" s="27" t="s">
        <v>938</v>
      </c>
      <c r="G14277" s="27" t="s">
        <v>959</v>
      </c>
      <c r="H14277" s="27" t="s">
        <v>17007</v>
      </c>
      <c r="J14277" s="27" t="s">
        <v>17008</v>
      </c>
      <c r="L14277" s="27" t="s">
        <v>725</v>
      </c>
      <c r="M14277" s="27" t="s">
        <v>1148</v>
      </c>
      <c r="N14277" s="27" t="s">
        <v>726</v>
      </c>
      <c r="P14277" s="27" t="s">
        <v>9935</v>
      </c>
      <c r="Q14277" s="26" t="str">
        <f>HYPERLINK("https://ictv.global/taxonomy/taxondetails?taxnode_id=202500037&amp;ictv_id=ICTV19870409","ICTV19870409")</f>
        <v>ICTV19870409</v>
      </c>
      <c r="R14277" t="s">
        <v>580</v>
      </c>
      <c r="S14277" t="s">
        <v>824</v>
      </c>
      <c r="T14277">
        <v>39</v>
      </c>
      <c r="U14277" s="26" t="str">
        <f t="shared" si="532"/>
        <v>2023.024M.Bunyaviricetes.zip</v>
      </c>
    </row>
    <row r="14278" spans="1:21">
      <c r="A14278">
        <v>14277</v>
      </c>
      <c r="B14278" s="27" t="s">
        <v>1124</v>
      </c>
      <c r="D14278" s="27" t="s">
        <v>1859</v>
      </c>
      <c r="F14278" s="27" t="s">
        <v>938</v>
      </c>
      <c r="G14278" s="27" t="s">
        <v>959</v>
      </c>
      <c r="H14278" s="27" t="s">
        <v>17007</v>
      </c>
      <c r="J14278" s="27" t="s">
        <v>17008</v>
      </c>
      <c r="L14278" s="27" t="s">
        <v>725</v>
      </c>
      <c r="M14278" s="27" t="s">
        <v>1148</v>
      </c>
      <c r="N14278" s="27" t="s">
        <v>726</v>
      </c>
      <c r="P14278" s="27" t="s">
        <v>9936</v>
      </c>
      <c r="Q14278" s="26" t="str">
        <f>HYPERLINK("https://ictv.global/taxonomy/taxondetails?taxnode_id=202500039&amp;ictv_id=ICTV20164784","ICTV20164784")</f>
        <v>ICTV20164784</v>
      </c>
      <c r="R14278" t="s">
        <v>580</v>
      </c>
      <c r="S14278" t="s">
        <v>824</v>
      </c>
      <c r="T14278">
        <v>39</v>
      </c>
      <c r="U14278" s="26" t="str">
        <f t="shared" si="532"/>
        <v>2023.024M.Bunyaviricetes.zip</v>
      </c>
    </row>
    <row r="14279" spans="1:21">
      <c r="A14279">
        <v>14278</v>
      </c>
      <c r="B14279" s="27" t="s">
        <v>1124</v>
      </c>
      <c r="D14279" s="27" t="s">
        <v>1859</v>
      </c>
      <c r="F14279" s="27" t="s">
        <v>938</v>
      </c>
      <c r="G14279" s="27" t="s">
        <v>959</v>
      </c>
      <c r="H14279" s="27" t="s">
        <v>17007</v>
      </c>
      <c r="J14279" s="27" t="s">
        <v>17008</v>
      </c>
      <c r="L14279" s="27" t="s">
        <v>725</v>
      </c>
      <c r="M14279" s="27" t="s">
        <v>1148</v>
      </c>
      <c r="N14279" s="27" t="s">
        <v>726</v>
      </c>
      <c r="P14279" s="27" t="s">
        <v>9937</v>
      </c>
      <c r="Q14279" s="26" t="str">
        <f>HYPERLINK("https://ictv.global/taxonomy/taxondetails?taxnode_id=202500040&amp;ictv_id=ICTV20164785","ICTV20164785")</f>
        <v>ICTV20164785</v>
      </c>
      <c r="R14279" t="s">
        <v>580</v>
      </c>
      <c r="S14279" t="s">
        <v>824</v>
      </c>
      <c r="T14279">
        <v>39</v>
      </c>
      <c r="U14279" s="26" t="str">
        <f t="shared" si="532"/>
        <v>2023.024M.Bunyaviricetes.zip</v>
      </c>
    </row>
    <row r="14280" spans="1:21">
      <c r="A14280">
        <v>14279</v>
      </c>
      <c r="B14280" s="27" t="s">
        <v>1124</v>
      </c>
      <c r="D14280" s="27" t="s">
        <v>1859</v>
      </c>
      <c r="F14280" s="27" t="s">
        <v>938</v>
      </c>
      <c r="G14280" s="27" t="s">
        <v>959</v>
      </c>
      <c r="H14280" s="27" t="s">
        <v>17007</v>
      </c>
      <c r="J14280" s="27" t="s">
        <v>17008</v>
      </c>
      <c r="L14280" s="27" t="s">
        <v>725</v>
      </c>
      <c r="M14280" s="27" t="s">
        <v>1148</v>
      </c>
      <c r="N14280" s="27" t="s">
        <v>726</v>
      </c>
      <c r="P14280" s="27" t="s">
        <v>9938</v>
      </c>
      <c r="Q14280" s="26" t="str">
        <f>HYPERLINK("https://ictv.global/taxonomy/taxondetails?taxnode_id=202500041&amp;ictv_id=ICTV19990666","ICTV19990666")</f>
        <v>ICTV19990666</v>
      </c>
      <c r="R14280" t="s">
        <v>580</v>
      </c>
      <c r="S14280" t="s">
        <v>824</v>
      </c>
      <c r="T14280">
        <v>39</v>
      </c>
      <c r="U14280" s="26" t="str">
        <f t="shared" si="532"/>
        <v>2023.024M.Bunyaviricetes.zip</v>
      </c>
    </row>
    <row r="14281" spans="1:21">
      <c r="A14281">
        <v>14280</v>
      </c>
      <c r="B14281" s="27" t="s">
        <v>1124</v>
      </c>
      <c r="D14281" s="27" t="s">
        <v>1859</v>
      </c>
      <c r="F14281" s="27" t="s">
        <v>938</v>
      </c>
      <c r="G14281" s="27" t="s">
        <v>959</v>
      </c>
      <c r="H14281" s="27" t="s">
        <v>17007</v>
      </c>
      <c r="J14281" s="27" t="s">
        <v>17008</v>
      </c>
      <c r="L14281" s="27" t="s">
        <v>725</v>
      </c>
      <c r="M14281" s="27" t="s">
        <v>1148</v>
      </c>
      <c r="N14281" s="27" t="s">
        <v>726</v>
      </c>
      <c r="P14281" s="27" t="s">
        <v>17020</v>
      </c>
      <c r="Q14281" s="26" t="str">
        <f>HYPERLINK("https://ictv.global/taxonomy/taxondetails?taxnode_id=202519089&amp;ictv_id=ICTV202319089","ICTV202319089")</f>
        <v>ICTV202319089</v>
      </c>
      <c r="R14281" t="s">
        <v>580</v>
      </c>
      <c r="S14281" t="s">
        <v>823</v>
      </c>
      <c r="T14281">
        <v>39</v>
      </c>
      <c r="U14281" s="26" t="str">
        <f>HYPERLINK("https://ictv.global/ictv/proposals/2023.035M.Hantaviridae_reorg.zip","2023.035M.Hantaviridae_reorg.zip")</f>
        <v>2023.035M.Hantaviridae_reorg.zip</v>
      </c>
    </row>
    <row r="14282" spans="1:21">
      <c r="A14282">
        <v>14281</v>
      </c>
      <c r="B14282" s="27" t="s">
        <v>1124</v>
      </c>
      <c r="D14282" s="27" t="s">
        <v>1859</v>
      </c>
      <c r="F14282" s="27" t="s">
        <v>938</v>
      </c>
      <c r="G14282" s="27" t="s">
        <v>959</v>
      </c>
      <c r="H14282" s="27" t="s">
        <v>17007</v>
      </c>
      <c r="J14282" s="27" t="s">
        <v>17008</v>
      </c>
      <c r="L14282" s="27" t="s">
        <v>725</v>
      </c>
      <c r="M14282" s="27" t="s">
        <v>1148</v>
      </c>
      <c r="N14282" s="27" t="s">
        <v>726</v>
      </c>
      <c r="P14282" s="27" t="s">
        <v>9939</v>
      </c>
      <c r="Q14282" s="26" t="str">
        <f>HYPERLINK("https://ictv.global/taxonomy/taxondetails?taxnode_id=202500045&amp;ictv_id=ICTV20164788","ICTV20164788")</f>
        <v>ICTV20164788</v>
      </c>
      <c r="R14282" t="s">
        <v>580</v>
      </c>
      <c r="S14282" t="s">
        <v>824</v>
      </c>
      <c r="T14282">
        <v>39</v>
      </c>
      <c r="U14282" s="26" t="str">
        <f>HYPERLINK("https://ictv.global/ictv/proposals/2023.024M.Bunyaviricetes.zip","2023.024M.Bunyaviricetes.zip")</f>
        <v>2023.024M.Bunyaviricetes.zip</v>
      </c>
    </row>
    <row r="14283" spans="1:21">
      <c r="A14283">
        <v>14282</v>
      </c>
      <c r="B14283" s="27" t="s">
        <v>1124</v>
      </c>
      <c r="D14283" s="27" t="s">
        <v>1859</v>
      </c>
      <c r="F14283" s="27" t="s">
        <v>938</v>
      </c>
      <c r="G14283" s="27" t="s">
        <v>959</v>
      </c>
      <c r="H14283" s="27" t="s">
        <v>17007</v>
      </c>
      <c r="J14283" s="27" t="s">
        <v>17008</v>
      </c>
      <c r="L14283" s="27" t="s">
        <v>725</v>
      </c>
      <c r="M14283" s="27" t="s">
        <v>1148</v>
      </c>
      <c r="N14283" s="27" t="s">
        <v>726</v>
      </c>
      <c r="P14283" s="27" t="s">
        <v>17021</v>
      </c>
      <c r="Q14283" s="26" t="str">
        <f>HYPERLINK("https://ictv.global/taxonomy/taxondetails?taxnode_id=202500042&amp;ictv_id=ICTV19990667","ICTV19990667")</f>
        <v>ICTV19990667</v>
      </c>
      <c r="R14283" t="s">
        <v>580</v>
      </c>
      <c r="S14283" t="s">
        <v>824</v>
      </c>
      <c r="T14283">
        <v>39</v>
      </c>
      <c r="U14283" s="26" t="str">
        <f>HYPERLINK("https://ictv.global/ictv/proposals/2023.035M.Hantaviridae_reorg.zip","2023.035M.Hantaviridae_reorg.zip")</f>
        <v>2023.035M.Hantaviridae_reorg.zip</v>
      </c>
    </row>
    <row r="14284" spans="1:21">
      <c r="A14284">
        <v>14283</v>
      </c>
      <c r="B14284" s="27" t="s">
        <v>1124</v>
      </c>
      <c r="D14284" s="27" t="s">
        <v>1859</v>
      </c>
      <c r="F14284" s="27" t="s">
        <v>938</v>
      </c>
      <c r="G14284" s="27" t="s">
        <v>959</v>
      </c>
      <c r="H14284" s="27" t="s">
        <v>17007</v>
      </c>
      <c r="J14284" s="27" t="s">
        <v>17008</v>
      </c>
      <c r="L14284" s="27" t="s">
        <v>725</v>
      </c>
      <c r="M14284" s="27" t="s">
        <v>1148</v>
      </c>
      <c r="N14284" s="27" t="s">
        <v>726</v>
      </c>
      <c r="P14284" s="27" t="s">
        <v>9940</v>
      </c>
      <c r="Q14284" s="26" t="str">
        <f>HYPERLINK("https://ictv.global/taxonomy/taxondetails?taxnode_id=202500046&amp;ictv_id=ICTV20164789","ICTV20164789")</f>
        <v>ICTV20164789</v>
      </c>
      <c r="R14284" t="s">
        <v>580</v>
      </c>
      <c r="S14284" t="s">
        <v>824</v>
      </c>
      <c r="T14284">
        <v>39</v>
      </c>
      <c r="U14284" s="26" t="str">
        <f>HYPERLINK("https://ictv.global/ictv/proposals/2023.024M.Bunyaviricetes.zip","2023.024M.Bunyaviricetes.zip")</f>
        <v>2023.024M.Bunyaviricetes.zip</v>
      </c>
    </row>
    <row r="14285" spans="1:21">
      <c r="A14285">
        <v>14284</v>
      </c>
      <c r="B14285" s="27" t="s">
        <v>1124</v>
      </c>
      <c r="D14285" s="27" t="s">
        <v>1859</v>
      </c>
      <c r="F14285" s="27" t="s">
        <v>938</v>
      </c>
      <c r="G14285" s="27" t="s">
        <v>959</v>
      </c>
      <c r="H14285" s="27" t="s">
        <v>17007</v>
      </c>
      <c r="J14285" s="27" t="s">
        <v>17008</v>
      </c>
      <c r="L14285" s="27" t="s">
        <v>725</v>
      </c>
      <c r="M14285" s="27" t="s">
        <v>1148</v>
      </c>
      <c r="N14285" s="27" t="s">
        <v>726</v>
      </c>
      <c r="P14285" s="27" t="s">
        <v>9941</v>
      </c>
      <c r="Q14285" s="26" t="str">
        <f>HYPERLINK("https://ictv.global/taxonomy/taxondetails?taxnode_id=202500047&amp;ictv_id=ICTV20164790","ICTV20164790")</f>
        <v>ICTV20164790</v>
      </c>
      <c r="R14285" t="s">
        <v>580</v>
      </c>
      <c r="S14285" t="s">
        <v>824</v>
      </c>
      <c r="T14285">
        <v>39</v>
      </c>
      <c r="U14285" s="26" t="str">
        <f>HYPERLINK("https://ictv.global/ictv/proposals/2023.024M.Bunyaviricetes.zip","2023.024M.Bunyaviricetes.zip")</f>
        <v>2023.024M.Bunyaviricetes.zip</v>
      </c>
    </row>
    <row r="14286" spans="1:21">
      <c r="A14286">
        <v>14285</v>
      </c>
      <c r="B14286" s="27" t="s">
        <v>1124</v>
      </c>
      <c r="D14286" s="27" t="s">
        <v>1859</v>
      </c>
      <c r="F14286" s="27" t="s">
        <v>938</v>
      </c>
      <c r="G14286" s="27" t="s">
        <v>959</v>
      </c>
      <c r="H14286" s="27" t="s">
        <v>17007</v>
      </c>
      <c r="J14286" s="27" t="s">
        <v>17008</v>
      </c>
      <c r="L14286" s="27" t="s">
        <v>725</v>
      </c>
      <c r="M14286" s="27" t="s">
        <v>1148</v>
      </c>
      <c r="N14286" s="27" t="s">
        <v>726</v>
      </c>
      <c r="P14286" s="27" t="s">
        <v>9942</v>
      </c>
      <c r="Q14286" s="26" t="str">
        <f>HYPERLINK("https://ictv.global/taxonomy/taxondetails?taxnode_id=202500026&amp;ictv_id=ICTV19990660","ICTV19990660")</f>
        <v>ICTV19990660</v>
      </c>
      <c r="R14286" t="s">
        <v>580</v>
      </c>
      <c r="S14286" t="s">
        <v>824</v>
      </c>
      <c r="T14286">
        <v>39</v>
      </c>
      <c r="U14286" s="26" t="str">
        <f>HYPERLINK("https://ictv.global/ictv/proposals/2023.024M.Bunyaviricetes.zip","2023.024M.Bunyaviricetes.zip")</f>
        <v>2023.024M.Bunyaviricetes.zip</v>
      </c>
    </row>
    <row r="14287" spans="1:21">
      <c r="A14287">
        <v>14286</v>
      </c>
      <c r="B14287" s="27" t="s">
        <v>1124</v>
      </c>
      <c r="D14287" s="27" t="s">
        <v>1859</v>
      </c>
      <c r="F14287" s="27" t="s">
        <v>938</v>
      </c>
      <c r="G14287" s="27" t="s">
        <v>959</v>
      </c>
      <c r="H14287" s="27" t="s">
        <v>17007</v>
      </c>
      <c r="J14287" s="27" t="s">
        <v>17008</v>
      </c>
      <c r="L14287" s="27" t="s">
        <v>725</v>
      </c>
      <c r="M14287" s="27" t="s">
        <v>1148</v>
      </c>
      <c r="N14287" s="27" t="s">
        <v>726</v>
      </c>
      <c r="P14287" s="27" t="s">
        <v>20453</v>
      </c>
      <c r="Q14287" s="26" t="str">
        <f>HYPERLINK("https://ictv.global/taxonomy/taxondetails?taxnode_id=202520486&amp;ictv_id=ICTV202420486","ICTV202420486")</f>
        <v>ICTV202420486</v>
      </c>
      <c r="R14287" t="s">
        <v>580</v>
      </c>
      <c r="S14287" t="s">
        <v>823</v>
      </c>
      <c r="T14287">
        <v>40</v>
      </c>
      <c r="U14287" s="26" t="str">
        <f>HYPERLINK("https://ictv.global/ictv/proposals/2024.011M.orthohantavirus_1nsp.zip","2024.011M.orthohantavirus_1nsp.zip")</f>
        <v>2024.011M.orthohantavirus_1nsp.zip</v>
      </c>
    </row>
    <row r="14288" spans="1:21">
      <c r="A14288">
        <v>14287</v>
      </c>
      <c r="B14288" s="27" t="s">
        <v>1124</v>
      </c>
      <c r="D14288" s="27" t="s">
        <v>1859</v>
      </c>
      <c r="F14288" s="27" t="s">
        <v>938</v>
      </c>
      <c r="G14288" s="27" t="s">
        <v>959</v>
      </c>
      <c r="H14288" s="27" t="s">
        <v>17007</v>
      </c>
      <c r="J14288" s="27" t="s">
        <v>17008</v>
      </c>
      <c r="L14288" s="27" t="s">
        <v>725</v>
      </c>
      <c r="M14288" s="27" t="s">
        <v>1148</v>
      </c>
      <c r="N14288" s="27" t="s">
        <v>726</v>
      </c>
      <c r="P14288" s="27" t="s">
        <v>9943</v>
      </c>
      <c r="Q14288" s="26" t="str">
        <f>HYPERLINK("https://ictv.global/taxonomy/taxondetails?taxnode_id=202500051&amp;ictv_id=ICTV19870411","ICTV19870411")</f>
        <v>ICTV19870411</v>
      </c>
      <c r="R14288" t="s">
        <v>580</v>
      </c>
      <c r="S14288" t="s">
        <v>824</v>
      </c>
      <c r="T14288">
        <v>39</v>
      </c>
      <c r="U14288" s="26" t="str">
        <f>HYPERLINK("https://ictv.global/ictv/proposals/2023.024M.Bunyaviricetes.zip","2023.024M.Bunyaviricetes.zip")</f>
        <v>2023.024M.Bunyaviricetes.zip</v>
      </c>
    </row>
    <row r="14289" spans="1:21">
      <c r="A14289">
        <v>14288</v>
      </c>
      <c r="B14289" s="27" t="s">
        <v>1124</v>
      </c>
      <c r="D14289" s="27" t="s">
        <v>1859</v>
      </c>
      <c r="F14289" s="27" t="s">
        <v>938</v>
      </c>
      <c r="G14289" s="27" t="s">
        <v>959</v>
      </c>
      <c r="H14289" s="27" t="s">
        <v>17007</v>
      </c>
      <c r="J14289" s="27" t="s">
        <v>17008</v>
      </c>
      <c r="L14289" s="27" t="s">
        <v>725</v>
      </c>
      <c r="M14289" s="27" t="s">
        <v>1148</v>
      </c>
      <c r="N14289" s="27" t="s">
        <v>726</v>
      </c>
      <c r="P14289" s="27" t="s">
        <v>9944</v>
      </c>
      <c r="Q14289" s="26" t="str">
        <f>HYPERLINK("https://ictv.global/taxonomy/taxondetails?taxnode_id=202500052&amp;ictv_id=ICTV19870412","ICTV19870412")</f>
        <v>ICTV19870412</v>
      </c>
      <c r="R14289" t="s">
        <v>580</v>
      </c>
      <c r="S14289" t="s">
        <v>824</v>
      </c>
      <c r="T14289">
        <v>39</v>
      </c>
      <c r="U14289" s="26" t="str">
        <f>HYPERLINK("https://ictv.global/ictv/proposals/2023.024M.Bunyaviricetes.zip","2023.024M.Bunyaviricetes.zip")</f>
        <v>2023.024M.Bunyaviricetes.zip</v>
      </c>
    </row>
    <row r="14290" spans="1:21">
      <c r="A14290">
        <v>14289</v>
      </c>
      <c r="B14290" s="27" t="s">
        <v>1124</v>
      </c>
      <c r="D14290" s="27" t="s">
        <v>1859</v>
      </c>
      <c r="F14290" s="27" t="s">
        <v>938</v>
      </c>
      <c r="G14290" s="27" t="s">
        <v>959</v>
      </c>
      <c r="H14290" s="27" t="s">
        <v>17007</v>
      </c>
      <c r="J14290" s="27" t="s">
        <v>17008</v>
      </c>
      <c r="L14290" s="27" t="s">
        <v>725</v>
      </c>
      <c r="M14290" s="27" t="s">
        <v>1148</v>
      </c>
      <c r="N14290" s="27" t="s">
        <v>726</v>
      </c>
      <c r="P14290" s="27" t="s">
        <v>9945</v>
      </c>
      <c r="Q14290" s="26" t="str">
        <f>HYPERLINK("https://ictv.global/taxonomy/taxondetails?taxnode_id=202500054&amp;ictv_id=ICTV20164795","ICTV20164795")</f>
        <v>ICTV20164795</v>
      </c>
      <c r="R14290" t="s">
        <v>580</v>
      </c>
      <c r="S14290" t="s">
        <v>824</v>
      </c>
      <c r="T14290">
        <v>39</v>
      </c>
      <c r="U14290" s="26" t="str">
        <f>HYPERLINK("https://ictv.global/ictv/proposals/2023.024M.Bunyaviricetes.zip","2023.024M.Bunyaviricetes.zip")</f>
        <v>2023.024M.Bunyaviricetes.zip</v>
      </c>
    </row>
    <row r="14291" spans="1:21">
      <c r="A14291">
        <v>14290</v>
      </c>
      <c r="B14291" s="27" t="s">
        <v>1124</v>
      </c>
      <c r="D14291" s="27" t="s">
        <v>1859</v>
      </c>
      <c r="F14291" s="27" t="s">
        <v>938</v>
      </c>
      <c r="G14291" s="27" t="s">
        <v>959</v>
      </c>
      <c r="H14291" s="27" t="s">
        <v>17007</v>
      </c>
      <c r="J14291" s="27" t="s">
        <v>17008</v>
      </c>
      <c r="L14291" s="27" t="s">
        <v>725</v>
      </c>
      <c r="M14291" s="27" t="s">
        <v>1148</v>
      </c>
      <c r="N14291" s="27" t="s">
        <v>726</v>
      </c>
      <c r="P14291" s="27" t="s">
        <v>20454</v>
      </c>
      <c r="Q14291" s="26" t="str">
        <f>HYPERLINK("https://ictv.global/taxonomy/taxondetails?taxnode_id=202520500&amp;ictv_id=ICTV202420500","ICTV202420500")</f>
        <v>ICTV202420500</v>
      </c>
      <c r="R14291" t="s">
        <v>580</v>
      </c>
      <c r="S14291" t="s">
        <v>823</v>
      </c>
      <c r="T14291">
        <v>40</v>
      </c>
      <c r="U14291" s="26" t="str">
        <f>HYPERLINK("https://ictv.global/ictv/proposals/2024.012M.Orthohanatvirus_1nsp.zip","2024.012M.Orthohanatvirus_1nsp.zip")</f>
        <v>2024.012M.Orthohanatvirus_1nsp.zip</v>
      </c>
    </row>
    <row r="14292" spans="1:21">
      <c r="A14292">
        <v>14291</v>
      </c>
      <c r="B14292" s="27" t="s">
        <v>1124</v>
      </c>
      <c r="D14292" s="27" t="s">
        <v>1859</v>
      </c>
      <c r="F14292" s="27" t="s">
        <v>938</v>
      </c>
      <c r="G14292" s="27" t="s">
        <v>959</v>
      </c>
      <c r="H14292" s="27" t="s">
        <v>17007</v>
      </c>
      <c r="J14292" s="27" t="s">
        <v>17008</v>
      </c>
      <c r="L14292" s="27" t="s">
        <v>725</v>
      </c>
      <c r="M14292" s="27" t="s">
        <v>1148</v>
      </c>
      <c r="N14292" s="27" t="s">
        <v>726</v>
      </c>
      <c r="P14292" s="27" t="s">
        <v>9946</v>
      </c>
      <c r="Q14292" s="26" t="str">
        <f>HYPERLINK("https://ictv.global/taxonomy/taxondetails?taxnode_id=202500055&amp;ictv_id=ICTV20125922","ICTV20125922")</f>
        <v>ICTV20125922</v>
      </c>
      <c r="R14292" t="s">
        <v>580</v>
      </c>
      <c r="S14292" t="s">
        <v>824</v>
      </c>
      <c r="T14292">
        <v>39</v>
      </c>
      <c r="U14292" s="26" t="str">
        <f t="shared" ref="U14292:U14298" si="533">HYPERLINK("https://ictv.global/ictv/proposals/2023.024M.Bunyaviricetes.zip","2023.024M.Bunyaviricetes.zip")</f>
        <v>2023.024M.Bunyaviricetes.zip</v>
      </c>
    </row>
    <row r="14293" spans="1:21">
      <c r="A14293">
        <v>14292</v>
      </c>
      <c r="B14293" s="27" t="s">
        <v>1124</v>
      </c>
      <c r="D14293" s="27" t="s">
        <v>1859</v>
      </c>
      <c r="F14293" s="27" t="s">
        <v>938</v>
      </c>
      <c r="G14293" s="27" t="s">
        <v>959</v>
      </c>
      <c r="H14293" s="27" t="s">
        <v>17007</v>
      </c>
      <c r="J14293" s="27" t="s">
        <v>17008</v>
      </c>
      <c r="L14293" s="27" t="s">
        <v>725</v>
      </c>
      <c r="M14293" s="27" t="s">
        <v>1148</v>
      </c>
      <c r="N14293" s="27" t="s">
        <v>726</v>
      </c>
      <c r="P14293" s="27" t="s">
        <v>9947</v>
      </c>
      <c r="Q14293" s="26" t="str">
        <f>HYPERLINK("https://ictv.global/taxonomy/taxondetails?taxnode_id=202500056&amp;ictv_id=ICTV19870414","ICTV19870414")</f>
        <v>ICTV19870414</v>
      </c>
      <c r="R14293" t="s">
        <v>580</v>
      </c>
      <c r="S14293" t="s">
        <v>824</v>
      </c>
      <c r="T14293">
        <v>39</v>
      </c>
      <c r="U14293" s="26" t="str">
        <f t="shared" si="533"/>
        <v>2023.024M.Bunyaviricetes.zip</v>
      </c>
    </row>
    <row r="14294" spans="1:21">
      <c r="A14294">
        <v>14293</v>
      </c>
      <c r="B14294" s="27" t="s">
        <v>1124</v>
      </c>
      <c r="D14294" s="27" t="s">
        <v>1859</v>
      </c>
      <c r="F14294" s="27" t="s">
        <v>938</v>
      </c>
      <c r="G14294" s="27" t="s">
        <v>959</v>
      </c>
      <c r="H14294" s="27" t="s">
        <v>17007</v>
      </c>
      <c r="J14294" s="27" t="s">
        <v>17008</v>
      </c>
      <c r="L14294" s="27" t="s">
        <v>725</v>
      </c>
      <c r="M14294" s="27" t="s">
        <v>1148</v>
      </c>
      <c r="N14294" s="27" t="s">
        <v>726</v>
      </c>
      <c r="P14294" s="27" t="s">
        <v>9948</v>
      </c>
      <c r="Q14294" s="26" t="str">
        <f>HYPERLINK("https://ictv.global/taxonomy/taxondetails?taxnode_id=202500057&amp;ictv_id=ICTV19990675","ICTV19990675")</f>
        <v>ICTV19990675</v>
      </c>
      <c r="R14294" t="s">
        <v>580</v>
      </c>
      <c r="S14294" t="s">
        <v>824</v>
      </c>
      <c r="T14294">
        <v>39</v>
      </c>
      <c r="U14294" s="26" t="str">
        <f t="shared" si="533"/>
        <v>2023.024M.Bunyaviricetes.zip</v>
      </c>
    </row>
    <row r="14295" spans="1:21">
      <c r="A14295">
        <v>14294</v>
      </c>
      <c r="B14295" s="27" t="s">
        <v>1124</v>
      </c>
      <c r="D14295" s="27" t="s">
        <v>1859</v>
      </c>
      <c r="F14295" s="27" t="s">
        <v>938</v>
      </c>
      <c r="G14295" s="27" t="s">
        <v>959</v>
      </c>
      <c r="H14295" s="27" t="s">
        <v>17007</v>
      </c>
      <c r="J14295" s="27" t="s">
        <v>17008</v>
      </c>
      <c r="L14295" s="27" t="s">
        <v>725</v>
      </c>
      <c r="M14295" s="27" t="s">
        <v>1148</v>
      </c>
      <c r="N14295" s="27" t="s">
        <v>726</v>
      </c>
      <c r="P14295" s="27" t="s">
        <v>9949</v>
      </c>
      <c r="Q14295" s="26" t="str">
        <f>HYPERLINK("https://ictv.global/taxonomy/taxondetails?taxnode_id=202509703&amp;ictv_id=ICTV202009703","ICTV202009703")</f>
        <v>ICTV202009703</v>
      </c>
      <c r="R14295" t="s">
        <v>580</v>
      </c>
      <c r="S14295" t="s">
        <v>824</v>
      </c>
      <c r="T14295">
        <v>39</v>
      </c>
      <c r="U14295" s="26" t="str">
        <f t="shared" si="533"/>
        <v>2023.024M.Bunyaviricetes.zip</v>
      </c>
    </row>
    <row r="14296" spans="1:21">
      <c r="A14296">
        <v>14295</v>
      </c>
      <c r="B14296" s="27" t="s">
        <v>1124</v>
      </c>
      <c r="D14296" s="27" t="s">
        <v>1859</v>
      </c>
      <c r="F14296" s="27" t="s">
        <v>938</v>
      </c>
      <c r="G14296" s="27" t="s">
        <v>959</v>
      </c>
      <c r="H14296" s="27" t="s">
        <v>17007</v>
      </c>
      <c r="J14296" s="27" t="s">
        <v>17008</v>
      </c>
      <c r="L14296" s="27" t="s">
        <v>725</v>
      </c>
      <c r="M14296" s="27" t="s">
        <v>1148</v>
      </c>
      <c r="N14296" s="27" t="s">
        <v>726</v>
      </c>
      <c r="P14296" s="27" t="s">
        <v>9950</v>
      </c>
      <c r="Q14296" s="26" t="str">
        <f>HYPERLINK("https://ictv.global/taxonomy/taxondetails?taxnode_id=202500058&amp;ictv_id=ICTV19950725","ICTV19950725")</f>
        <v>ICTV19950725</v>
      </c>
      <c r="R14296" t="s">
        <v>580</v>
      </c>
      <c r="S14296" t="s">
        <v>824</v>
      </c>
      <c r="T14296">
        <v>39</v>
      </c>
      <c r="U14296" s="26" t="str">
        <f t="shared" si="533"/>
        <v>2023.024M.Bunyaviricetes.zip</v>
      </c>
    </row>
    <row r="14297" spans="1:21">
      <c r="A14297">
        <v>14296</v>
      </c>
      <c r="B14297" s="27" t="s">
        <v>1124</v>
      </c>
      <c r="D14297" s="27" t="s">
        <v>1859</v>
      </c>
      <c r="F14297" s="27" t="s">
        <v>938</v>
      </c>
      <c r="G14297" s="27" t="s">
        <v>959</v>
      </c>
      <c r="H14297" s="27" t="s">
        <v>17007</v>
      </c>
      <c r="J14297" s="27" t="s">
        <v>17008</v>
      </c>
      <c r="L14297" s="27" t="s">
        <v>725</v>
      </c>
      <c r="M14297" s="27" t="s">
        <v>1148</v>
      </c>
      <c r="N14297" s="27" t="s">
        <v>726</v>
      </c>
      <c r="P14297" s="27" t="s">
        <v>9951</v>
      </c>
      <c r="Q14297" s="26" t="str">
        <f>HYPERLINK("https://ictv.global/taxonomy/taxondetails?taxnode_id=202506435&amp;ictv_id=ICTV201856435","ICTV201856435")</f>
        <v>ICTV201856435</v>
      </c>
      <c r="R14297" t="s">
        <v>580</v>
      </c>
      <c r="S14297" t="s">
        <v>824</v>
      </c>
      <c r="T14297">
        <v>39</v>
      </c>
      <c r="U14297" s="26" t="str">
        <f t="shared" si="533"/>
        <v>2023.024M.Bunyaviricetes.zip</v>
      </c>
    </row>
    <row r="14298" spans="1:21">
      <c r="A14298">
        <v>14297</v>
      </c>
      <c r="B14298" s="27" t="s">
        <v>1124</v>
      </c>
      <c r="D14298" s="27" t="s">
        <v>1859</v>
      </c>
      <c r="F14298" s="27" t="s">
        <v>938</v>
      </c>
      <c r="G14298" s="27" t="s">
        <v>959</v>
      </c>
      <c r="H14298" s="27" t="s">
        <v>17007</v>
      </c>
      <c r="J14298" s="27" t="s">
        <v>17008</v>
      </c>
      <c r="L14298" s="27" t="s">
        <v>725</v>
      </c>
      <c r="M14298" s="27" t="s">
        <v>1148</v>
      </c>
      <c r="N14298" s="27" t="s">
        <v>726</v>
      </c>
      <c r="P14298" s="27" t="s">
        <v>9952</v>
      </c>
      <c r="Q14298" s="26" t="str">
        <f>HYPERLINK("https://ictv.global/taxonomy/taxondetails?taxnode_id=202500060&amp;ictv_id=ICTV19990679","ICTV19990679")</f>
        <v>ICTV19990679</v>
      </c>
      <c r="R14298" t="s">
        <v>580</v>
      </c>
      <c r="S14298" t="s">
        <v>824</v>
      </c>
      <c r="T14298">
        <v>39</v>
      </c>
      <c r="U14298" s="26" t="str">
        <f t="shared" si="533"/>
        <v>2023.024M.Bunyaviricetes.zip</v>
      </c>
    </row>
    <row r="14299" spans="1:21">
      <c r="A14299">
        <v>14298</v>
      </c>
      <c r="B14299" s="27" t="s">
        <v>1124</v>
      </c>
      <c r="D14299" s="27" t="s">
        <v>1859</v>
      </c>
      <c r="F14299" s="27" t="s">
        <v>938</v>
      </c>
      <c r="G14299" s="27" t="s">
        <v>959</v>
      </c>
      <c r="H14299" s="27" t="s">
        <v>17007</v>
      </c>
      <c r="J14299" s="27" t="s">
        <v>17008</v>
      </c>
      <c r="L14299" s="27" t="s">
        <v>725</v>
      </c>
      <c r="M14299" s="27" t="s">
        <v>1148</v>
      </c>
      <c r="N14299" s="27" t="s">
        <v>726</v>
      </c>
      <c r="P14299" s="27" t="s">
        <v>17022</v>
      </c>
      <c r="Q14299" s="26" t="str">
        <f>HYPERLINK("https://ictv.global/taxonomy/taxondetails?taxnode_id=202519090&amp;ictv_id=ICTV202319090","ICTV202319090")</f>
        <v>ICTV202319090</v>
      </c>
      <c r="R14299" t="s">
        <v>580</v>
      </c>
      <c r="S14299" t="s">
        <v>823</v>
      </c>
      <c r="T14299">
        <v>39</v>
      </c>
      <c r="U14299" s="26" t="str">
        <f>HYPERLINK("https://ictv.global/ictv/proposals/2023.035M.Hantaviridae_reorg.zip","2023.035M.Hantaviridae_reorg.zip")</f>
        <v>2023.035M.Hantaviridae_reorg.zip</v>
      </c>
    </row>
    <row r="14300" spans="1:21">
      <c r="A14300">
        <v>14299</v>
      </c>
      <c r="B14300" s="27" t="s">
        <v>1124</v>
      </c>
      <c r="D14300" s="27" t="s">
        <v>1859</v>
      </c>
      <c r="F14300" s="27" t="s">
        <v>938</v>
      </c>
      <c r="G14300" s="27" t="s">
        <v>959</v>
      </c>
      <c r="H14300" s="27" t="s">
        <v>17007</v>
      </c>
      <c r="J14300" s="27" t="s">
        <v>17008</v>
      </c>
      <c r="L14300" s="27" t="s">
        <v>725</v>
      </c>
      <c r="M14300" s="27" t="s">
        <v>1148</v>
      </c>
      <c r="N14300" s="27" t="s">
        <v>964</v>
      </c>
      <c r="P14300" s="27" t="s">
        <v>9953</v>
      </c>
      <c r="Q14300" s="26" t="str">
        <f>HYPERLINK("https://ictv.global/taxonomy/taxondetails?taxnode_id=202500038&amp;ictv_id=ICTV20164783","ICTV20164783")</f>
        <v>ICTV20164783</v>
      </c>
      <c r="R14300" t="s">
        <v>580</v>
      </c>
      <c r="S14300" t="s">
        <v>824</v>
      </c>
      <c r="T14300">
        <v>39</v>
      </c>
      <c r="U14300" s="26" t="str">
        <f>HYPERLINK("https://ictv.global/ictv/proposals/2023.024M.Bunyaviricetes.zip","2023.024M.Bunyaviricetes.zip")</f>
        <v>2023.024M.Bunyaviricetes.zip</v>
      </c>
    </row>
    <row r="14301" spans="1:21">
      <c r="A14301">
        <v>14300</v>
      </c>
      <c r="B14301" s="27" t="s">
        <v>1124</v>
      </c>
      <c r="D14301" s="27" t="s">
        <v>1859</v>
      </c>
      <c r="F14301" s="27" t="s">
        <v>938</v>
      </c>
      <c r="G14301" s="27" t="s">
        <v>959</v>
      </c>
      <c r="H14301" s="27" t="s">
        <v>17007</v>
      </c>
      <c r="J14301" s="27" t="s">
        <v>17008</v>
      </c>
      <c r="L14301" s="27" t="s">
        <v>725</v>
      </c>
      <c r="M14301" s="27" t="s">
        <v>1148</v>
      </c>
      <c r="N14301" s="27" t="s">
        <v>964</v>
      </c>
      <c r="P14301" s="27" t="s">
        <v>9954</v>
      </c>
      <c r="Q14301" s="26" t="str">
        <f>HYPERLINK("https://ictv.global/taxonomy/taxondetails?taxnode_id=202500059&amp;ictv_id=ICTV19910608","ICTV19910608")</f>
        <v>ICTV19910608</v>
      </c>
      <c r="R14301" t="s">
        <v>580</v>
      </c>
      <c r="S14301" t="s">
        <v>824</v>
      </c>
      <c r="T14301">
        <v>39</v>
      </c>
      <c r="U14301" s="26" t="str">
        <f>HYPERLINK("https://ictv.global/ictv/proposals/2023.024M.Bunyaviricetes.zip","2023.024M.Bunyaviricetes.zip")</f>
        <v>2023.024M.Bunyaviricetes.zip</v>
      </c>
    </row>
    <row r="14302" spans="1:21">
      <c r="A14302">
        <v>14301</v>
      </c>
      <c r="B14302" s="27" t="s">
        <v>1124</v>
      </c>
      <c r="D14302" s="27" t="s">
        <v>1859</v>
      </c>
      <c r="F14302" s="27" t="s">
        <v>938</v>
      </c>
      <c r="G14302" s="27" t="s">
        <v>959</v>
      </c>
      <c r="H14302" s="27" t="s">
        <v>17007</v>
      </c>
      <c r="J14302" s="27" t="s">
        <v>17008</v>
      </c>
      <c r="L14302" s="27" t="s">
        <v>725</v>
      </c>
      <c r="M14302" s="27" t="s">
        <v>1149</v>
      </c>
      <c r="N14302" s="27" t="s">
        <v>1150</v>
      </c>
      <c r="P14302" s="27" t="s">
        <v>9955</v>
      </c>
      <c r="Q14302" s="26" t="str">
        <f>HYPERLINK("https://ictv.global/taxonomy/taxondetails?taxnode_id=202506438&amp;ictv_id=ICTV201856438","ICTV201856438")</f>
        <v>ICTV201856438</v>
      </c>
      <c r="R14302" t="s">
        <v>580</v>
      </c>
      <c r="S14302" t="s">
        <v>824</v>
      </c>
      <c r="T14302">
        <v>39</v>
      </c>
      <c r="U14302" s="26" t="str">
        <f>HYPERLINK("https://ictv.global/ictv/proposals/2023.024M.Bunyaviricetes.zip","2023.024M.Bunyaviricetes.zip")</f>
        <v>2023.024M.Bunyaviricetes.zip</v>
      </c>
    </row>
    <row r="14303" spans="1:21">
      <c r="A14303">
        <v>14302</v>
      </c>
      <c r="B14303" s="27" t="s">
        <v>1124</v>
      </c>
      <c r="D14303" s="27" t="s">
        <v>1859</v>
      </c>
      <c r="F14303" s="27" t="s">
        <v>938</v>
      </c>
      <c r="G14303" s="27" t="s">
        <v>959</v>
      </c>
      <c r="H14303" s="27" t="s">
        <v>17007</v>
      </c>
      <c r="J14303" s="27" t="s">
        <v>17008</v>
      </c>
      <c r="L14303" s="27" t="s">
        <v>729</v>
      </c>
      <c r="N14303" s="27" t="s">
        <v>17026</v>
      </c>
      <c r="P14303" s="27" t="s">
        <v>17027</v>
      </c>
      <c r="Q14303" s="26" t="str">
        <f>HYPERLINK("https://ictv.global/taxonomy/taxondetails?taxnode_id=202519070&amp;ictv_id=ICTV202319070","ICTV202319070")</f>
        <v>ICTV202319070</v>
      </c>
      <c r="R14303" t="s">
        <v>580</v>
      </c>
      <c r="S14303" t="s">
        <v>823</v>
      </c>
      <c r="T14303">
        <v>39</v>
      </c>
      <c r="U14303" s="26" t="str">
        <f>HYPERLINK("https://ictv.global/ictv/proposals/2023.031M.Peribunyaviridae_1ng_7nsp.zip","2023.031M.Peribunyaviridae_1ng_7nsp.zip")</f>
        <v>2023.031M.Peribunyaviridae_1ng_7nsp.zip</v>
      </c>
    </row>
    <row r="14304" spans="1:21">
      <c r="A14304">
        <v>14303</v>
      </c>
      <c r="B14304" s="27" t="s">
        <v>1124</v>
      </c>
      <c r="D14304" s="27" t="s">
        <v>1859</v>
      </c>
      <c r="F14304" s="27" t="s">
        <v>938</v>
      </c>
      <c r="G14304" s="27" t="s">
        <v>959</v>
      </c>
      <c r="H14304" s="27" t="s">
        <v>17007</v>
      </c>
      <c r="J14304" s="27" t="s">
        <v>17008</v>
      </c>
      <c r="L14304" s="27" t="s">
        <v>729</v>
      </c>
      <c r="N14304" s="27" t="s">
        <v>17026</v>
      </c>
      <c r="P14304" s="27" t="s">
        <v>17028</v>
      </c>
      <c r="Q14304" s="26" t="str">
        <f>HYPERLINK("https://ictv.global/taxonomy/taxondetails?taxnode_id=202519069&amp;ictv_id=ICTV202319069","ICTV202319069")</f>
        <v>ICTV202319069</v>
      </c>
      <c r="R14304" t="s">
        <v>580</v>
      </c>
      <c r="S14304" t="s">
        <v>823</v>
      </c>
      <c r="T14304">
        <v>39</v>
      </c>
      <c r="U14304" s="26" t="str">
        <f>HYPERLINK("https://ictv.global/ictv/proposals/2023.031M.Peribunyaviridae_1ng_7nsp.zip","2023.031M.Peribunyaviridae_1ng_7nsp.zip")</f>
        <v>2023.031M.Peribunyaviridae_1ng_7nsp.zip</v>
      </c>
    </row>
    <row r="14305" spans="1:21">
      <c r="A14305">
        <v>14304</v>
      </c>
      <c r="B14305" s="27" t="s">
        <v>1124</v>
      </c>
      <c r="D14305" s="27" t="s">
        <v>1859</v>
      </c>
      <c r="F14305" s="27" t="s">
        <v>938</v>
      </c>
      <c r="G14305" s="27" t="s">
        <v>959</v>
      </c>
      <c r="H14305" s="27" t="s">
        <v>17007</v>
      </c>
      <c r="J14305" s="27" t="s">
        <v>17008</v>
      </c>
      <c r="L14305" s="27" t="s">
        <v>729</v>
      </c>
      <c r="N14305" s="27" t="s">
        <v>753</v>
      </c>
      <c r="P14305" s="27" t="s">
        <v>10009</v>
      </c>
      <c r="Q14305" s="26" t="str">
        <f>HYPERLINK("https://ictv.global/taxonomy/taxondetails?taxnode_id=202500083&amp;ictv_id=ICTV20164797","ICTV20164797")</f>
        <v>ICTV20164797</v>
      </c>
      <c r="R14305" t="s">
        <v>580</v>
      </c>
      <c r="S14305" t="s">
        <v>824</v>
      </c>
      <c r="T14305">
        <v>39</v>
      </c>
      <c r="U14305" s="26" t="str">
        <f t="shared" ref="U14305:U14323" si="534">HYPERLINK("https://ictv.global/ictv/proposals/2023.024M.Bunyaviricetes.zip","2023.024M.Bunyaviricetes.zip")</f>
        <v>2023.024M.Bunyaviricetes.zip</v>
      </c>
    </row>
    <row r="14306" spans="1:21">
      <c r="A14306">
        <v>14305</v>
      </c>
      <c r="B14306" s="27" t="s">
        <v>1124</v>
      </c>
      <c r="D14306" s="27" t="s">
        <v>1859</v>
      </c>
      <c r="F14306" s="27" t="s">
        <v>938</v>
      </c>
      <c r="G14306" s="27" t="s">
        <v>959</v>
      </c>
      <c r="H14306" s="27" t="s">
        <v>17007</v>
      </c>
      <c r="J14306" s="27" t="s">
        <v>17008</v>
      </c>
      <c r="L14306" s="27" t="s">
        <v>729</v>
      </c>
      <c r="N14306" s="27" t="s">
        <v>753</v>
      </c>
      <c r="P14306" s="27" t="s">
        <v>10010</v>
      </c>
      <c r="Q14306" s="26" t="str">
        <f>HYPERLINK("https://ictv.global/taxonomy/taxondetails?taxnode_id=202500084&amp;ictv_id=ICTV20164798","ICTV20164798")</f>
        <v>ICTV20164798</v>
      </c>
      <c r="R14306" t="s">
        <v>580</v>
      </c>
      <c r="S14306" t="s">
        <v>824</v>
      </c>
      <c r="T14306">
        <v>39</v>
      </c>
      <c r="U14306" s="26" t="str">
        <f t="shared" si="534"/>
        <v>2023.024M.Bunyaviricetes.zip</v>
      </c>
    </row>
    <row r="14307" spans="1:21">
      <c r="A14307">
        <v>14306</v>
      </c>
      <c r="B14307" s="27" t="s">
        <v>1124</v>
      </c>
      <c r="D14307" s="27" t="s">
        <v>1859</v>
      </c>
      <c r="F14307" s="27" t="s">
        <v>938</v>
      </c>
      <c r="G14307" s="27" t="s">
        <v>959</v>
      </c>
      <c r="H14307" s="27" t="s">
        <v>17007</v>
      </c>
      <c r="J14307" s="27" t="s">
        <v>17008</v>
      </c>
      <c r="L14307" s="27" t="s">
        <v>729</v>
      </c>
      <c r="N14307" s="27" t="s">
        <v>753</v>
      </c>
      <c r="P14307" s="27" t="s">
        <v>10011</v>
      </c>
      <c r="Q14307" s="26" t="str">
        <f>HYPERLINK("https://ictv.global/taxonomy/taxondetails?taxnode_id=202500086&amp;ictv_id=ICTV20164800","ICTV20164800")</f>
        <v>ICTV20164800</v>
      </c>
      <c r="R14307" t="s">
        <v>580</v>
      </c>
      <c r="S14307" t="s">
        <v>824</v>
      </c>
      <c r="T14307">
        <v>39</v>
      </c>
      <c r="U14307" s="26" t="str">
        <f t="shared" si="534"/>
        <v>2023.024M.Bunyaviricetes.zip</v>
      </c>
    </row>
    <row r="14308" spans="1:21">
      <c r="A14308">
        <v>14307</v>
      </c>
      <c r="B14308" s="27" t="s">
        <v>1124</v>
      </c>
      <c r="D14308" s="27" t="s">
        <v>1859</v>
      </c>
      <c r="F14308" s="27" t="s">
        <v>938</v>
      </c>
      <c r="G14308" s="27" t="s">
        <v>959</v>
      </c>
      <c r="H14308" s="27" t="s">
        <v>17007</v>
      </c>
      <c r="J14308" s="27" t="s">
        <v>17008</v>
      </c>
      <c r="L14308" s="27" t="s">
        <v>729</v>
      </c>
      <c r="N14308" s="27" t="s">
        <v>10012</v>
      </c>
      <c r="P14308" s="27" t="s">
        <v>10013</v>
      </c>
      <c r="Q14308" s="26" t="str">
        <f>HYPERLINK("https://ictv.global/taxonomy/taxondetails?taxnode_id=202512232&amp;ictv_id=ICTV202112232","ICTV202112232")</f>
        <v>ICTV202112232</v>
      </c>
      <c r="R14308" t="s">
        <v>580</v>
      </c>
      <c r="S14308" t="s">
        <v>824</v>
      </c>
      <c r="T14308">
        <v>39</v>
      </c>
      <c r="U14308" s="26" t="str">
        <f t="shared" si="534"/>
        <v>2023.024M.Bunyaviricetes.zip</v>
      </c>
    </row>
    <row r="14309" spans="1:21">
      <c r="A14309">
        <v>14308</v>
      </c>
      <c r="B14309" s="27" t="s">
        <v>1124</v>
      </c>
      <c r="D14309" s="27" t="s">
        <v>1859</v>
      </c>
      <c r="F14309" s="27" t="s">
        <v>938</v>
      </c>
      <c r="G14309" s="27" t="s">
        <v>959</v>
      </c>
      <c r="H14309" s="27" t="s">
        <v>17007</v>
      </c>
      <c r="J14309" s="27" t="s">
        <v>17008</v>
      </c>
      <c r="L14309" s="27" t="s">
        <v>729</v>
      </c>
      <c r="N14309" s="27" t="s">
        <v>10014</v>
      </c>
      <c r="P14309" s="27" t="s">
        <v>10015</v>
      </c>
      <c r="Q14309" s="26" t="str">
        <f>HYPERLINK("https://ictv.global/taxonomy/taxondetails?taxnode_id=202512234&amp;ictv_id=ICTV202112234","ICTV202112234")</f>
        <v>ICTV202112234</v>
      </c>
      <c r="R14309" t="s">
        <v>580</v>
      </c>
      <c r="S14309" t="s">
        <v>824</v>
      </c>
      <c r="T14309">
        <v>39</v>
      </c>
      <c r="U14309" s="26" t="str">
        <f t="shared" si="534"/>
        <v>2023.024M.Bunyaviricetes.zip</v>
      </c>
    </row>
    <row r="14310" spans="1:21">
      <c r="A14310">
        <v>14309</v>
      </c>
      <c r="B14310" s="27" t="s">
        <v>1124</v>
      </c>
      <c r="D14310" s="27" t="s">
        <v>1859</v>
      </c>
      <c r="F14310" s="27" t="s">
        <v>938</v>
      </c>
      <c r="G14310" s="27" t="s">
        <v>959</v>
      </c>
      <c r="H14310" s="27" t="s">
        <v>17007</v>
      </c>
      <c r="J14310" s="27" t="s">
        <v>17008</v>
      </c>
      <c r="L14310" s="27" t="s">
        <v>729</v>
      </c>
      <c r="N14310" s="27" t="s">
        <v>10016</v>
      </c>
      <c r="P14310" s="27" t="s">
        <v>10017</v>
      </c>
      <c r="Q14310" s="26" t="str">
        <f>HYPERLINK("https://ictv.global/taxonomy/taxondetails?taxnode_id=202512236&amp;ictv_id=ICTV202112236","ICTV202112236")</f>
        <v>ICTV202112236</v>
      </c>
      <c r="R14310" t="s">
        <v>580</v>
      </c>
      <c r="S14310" t="s">
        <v>824</v>
      </c>
      <c r="T14310">
        <v>39</v>
      </c>
      <c r="U14310" s="26" t="str">
        <f t="shared" si="534"/>
        <v>2023.024M.Bunyaviricetes.zip</v>
      </c>
    </row>
    <row r="14311" spans="1:21">
      <c r="A14311">
        <v>14310</v>
      </c>
      <c r="B14311" s="27" t="s">
        <v>1124</v>
      </c>
      <c r="D14311" s="27" t="s">
        <v>1859</v>
      </c>
      <c r="F14311" s="27" t="s">
        <v>938</v>
      </c>
      <c r="G14311" s="27" t="s">
        <v>959</v>
      </c>
      <c r="H14311" s="27" t="s">
        <v>17007</v>
      </c>
      <c r="J14311" s="27" t="s">
        <v>17008</v>
      </c>
      <c r="L14311" s="27" t="s">
        <v>729</v>
      </c>
      <c r="N14311" s="27" t="s">
        <v>431</v>
      </c>
      <c r="P14311" s="27" t="s">
        <v>10018</v>
      </c>
      <c r="Q14311" s="26" t="str">
        <f>HYPERLINK("https://ictv.global/taxonomy/taxondetails?taxnode_id=202509315&amp;ictv_id=ICTV202009315","ICTV202009315")</f>
        <v>ICTV202009315</v>
      </c>
      <c r="R14311" t="s">
        <v>580</v>
      </c>
      <c r="S14311" t="s">
        <v>824</v>
      </c>
      <c r="T14311">
        <v>39</v>
      </c>
      <c r="U14311" s="26" t="str">
        <f t="shared" si="534"/>
        <v>2023.024M.Bunyaviricetes.zip</v>
      </c>
    </row>
    <row r="14312" spans="1:21">
      <c r="A14312">
        <v>14311</v>
      </c>
      <c r="B14312" s="27" t="s">
        <v>1124</v>
      </c>
      <c r="D14312" s="27" t="s">
        <v>1859</v>
      </c>
      <c r="F14312" s="27" t="s">
        <v>938</v>
      </c>
      <c r="G14312" s="27" t="s">
        <v>959</v>
      </c>
      <c r="H14312" s="27" t="s">
        <v>17007</v>
      </c>
      <c r="J14312" s="27" t="s">
        <v>17008</v>
      </c>
      <c r="L14312" s="27" t="s">
        <v>729</v>
      </c>
      <c r="N14312" s="27" t="s">
        <v>431</v>
      </c>
      <c r="P14312" s="27" t="s">
        <v>10019</v>
      </c>
      <c r="Q14312" s="26" t="str">
        <f>HYPERLINK("https://ictv.global/taxonomy/taxondetails?taxnode_id=202500089&amp;ictv_id=ICTV19990611","ICTV19990611")</f>
        <v>ICTV19990611</v>
      </c>
      <c r="R14312" t="s">
        <v>580</v>
      </c>
      <c r="S14312" t="s">
        <v>824</v>
      </c>
      <c r="T14312">
        <v>39</v>
      </c>
      <c r="U14312" s="26" t="str">
        <f t="shared" si="534"/>
        <v>2023.024M.Bunyaviricetes.zip</v>
      </c>
    </row>
    <row r="14313" spans="1:21">
      <c r="A14313">
        <v>14312</v>
      </c>
      <c r="B14313" s="27" t="s">
        <v>1124</v>
      </c>
      <c r="D14313" s="27" t="s">
        <v>1859</v>
      </c>
      <c r="F14313" s="27" t="s">
        <v>938</v>
      </c>
      <c r="G14313" s="27" t="s">
        <v>959</v>
      </c>
      <c r="H14313" s="27" t="s">
        <v>17007</v>
      </c>
      <c r="J14313" s="27" t="s">
        <v>17008</v>
      </c>
      <c r="L14313" s="27" t="s">
        <v>729</v>
      </c>
      <c r="N14313" s="27" t="s">
        <v>431</v>
      </c>
      <c r="P14313" s="27" t="s">
        <v>10020</v>
      </c>
      <c r="Q14313" s="26" t="str">
        <f>HYPERLINK("https://ictv.global/taxonomy/taxondetails?taxnode_id=202506373&amp;ictv_id=ICTV201856373","ICTV201856373")</f>
        <v>ICTV201856373</v>
      </c>
      <c r="R14313" t="s">
        <v>580</v>
      </c>
      <c r="S14313" t="s">
        <v>824</v>
      </c>
      <c r="T14313">
        <v>39</v>
      </c>
      <c r="U14313" s="26" t="str">
        <f t="shared" si="534"/>
        <v>2023.024M.Bunyaviricetes.zip</v>
      </c>
    </row>
    <row r="14314" spans="1:21">
      <c r="A14314">
        <v>14313</v>
      </c>
      <c r="B14314" s="27" t="s">
        <v>1124</v>
      </c>
      <c r="D14314" s="27" t="s">
        <v>1859</v>
      </c>
      <c r="F14314" s="27" t="s">
        <v>938</v>
      </c>
      <c r="G14314" s="27" t="s">
        <v>959</v>
      </c>
      <c r="H14314" s="27" t="s">
        <v>17007</v>
      </c>
      <c r="J14314" s="27" t="s">
        <v>17008</v>
      </c>
      <c r="L14314" s="27" t="s">
        <v>729</v>
      </c>
      <c r="N14314" s="27" t="s">
        <v>431</v>
      </c>
      <c r="P14314" s="27" t="s">
        <v>10021</v>
      </c>
      <c r="Q14314" s="26" t="str">
        <f>HYPERLINK("https://ictv.global/taxonomy/taxondetails?taxnode_id=202506382&amp;ictv_id=ICTV201856382","ICTV201856382")</f>
        <v>ICTV201856382</v>
      </c>
      <c r="R14314" t="s">
        <v>580</v>
      </c>
      <c r="S14314" t="s">
        <v>824</v>
      </c>
      <c r="T14314">
        <v>39</v>
      </c>
      <c r="U14314" s="26" t="str">
        <f t="shared" si="534"/>
        <v>2023.024M.Bunyaviricetes.zip</v>
      </c>
    </row>
    <row r="14315" spans="1:21">
      <c r="A14315">
        <v>14314</v>
      </c>
      <c r="B14315" s="27" t="s">
        <v>1124</v>
      </c>
      <c r="D14315" s="27" t="s">
        <v>1859</v>
      </c>
      <c r="F14315" s="27" t="s">
        <v>938</v>
      </c>
      <c r="G14315" s="27" t="s">
        <v>959</v>
      </c>
      <c r="H14315" s="27" t="s">
        <v>17007</v>
      </c>
      <c r="J14315" s="27" t="s">
        <v>17008</v>
      </c>
      <c r="L14315" s="27" t="s">
        <v>729</v>
      </c>
      <c r="N14315" s="27" t="s">
        <v>431</v>
      </c>
      <c r="P14315" s="27" t="s">
        <v>10022</v>
      </c>
      <c r="Q14315" s="26" t="str">
        <f>HYPERLINK("https://ictv.global/taxonomy/taxondetails?taxnode_id=202500090&amp;ictv_id=ICTV19990612","ICTV19990612")</f>
        <v>ICTV19990612</v>
      </c>
      <c r="R14315" t="s">
        <v>580</v>
      </c>
      <c r="S14315" t="s">
        <v>824</v>
      </c>
      <c r="T14315">
        <v>39</v>
      </c>
      <c r="U14315" s="26" t="str">
        <f t="shared" si="534"/>
        <v>2023.024M.Bunyaviricetes.zip</v>
      </c>
    </row>
    <row r="14316" spans="1:21">
      <c r="A14316">
        <v>14315</v>
      </c>
      <c r="B14316" s="27" t="s">
        <v>1124</v>
      </c>
      <c r="D14316" s="27" t="s">
        <v>1859</v>
      </c>
      <c r="F14316" s="27" t="s">
        <v>938</v>
      </c>
      <c r="G14316" s="27" t="s">
        <v>959</v>
      </c>
      <c r="H14316" s="27" t="s">
        <v>17007</v>
      </c>
      <c r="J14316" s="27" t="s">
        <v>17008</v>
      </c>
      <c r="L14316" s="27" t="s">
        <v>729</v>
      </c>
      <c r="N14316" s="27" t="s">
        <v>431</v>
      </c>
      <c r="P14316" s="27" t="s">
        <v>10023</v>
      </c>
      <c r="Q14316" s="26" t="str">
        <f>HYPERLINK("https://ictv.global/taxonomy/taxondetails?taxnode_id=202506354&amp;ictv_id=ICTV201856354","ICTV201856354")</f>
        <v>ICTV201856354</v>
      </c>
      <c r="R14316" t="s">
        <v>580</v>
      </c>
      <c r="S14316" t="s">
        <v>824</v>
      </c>
      <c r="T14316">
        <v>39</v>
      </c>
      <c r="U14316" s="26" t="str">
        <f t="shared" si="534"/>
        <v>2023.024M.Bunyaviricetes.zip</v>
      </c>
    </row>
    <row r="14317" spans="1:21">
      <c r="A14317">
        <v>14316</v>
      </c>
      <c r="B14317" s="27" t="s">
        <v>1124</v>
      </c>
      <c r="D14317" s="27" t="s">
        <v>1859</v>
      </c>
      <c r="F14317" s="27" t="s">
        <v>938</v>
      </c>
      <c r="G14317" s="27" t="s">
        <v>959</v>
      </c>
      <c r="H14317" s="27" t="s">
        <v>17007</v>
      </c>
      <c r="J14317" s="27" t="s">
        <v>17008</v>
      </c>
      <c r="L14317" s="27" t="s">
        <v>729</v>
      </c>
      <c r="N14317" s="27" t="s">
        <v>431</v>
      </c>
      <c r="P14317" s="27" t="s">
        <v>10024</v>
      </c>
      <c r="Q14317" s="26" t="str">
        <f>HYPERLINK("https://ictv.global/taxonomy/taxondetails?taxnode_id=202509316&amp;ictv_id=ICTV202009316","ICTV202009316")</f>
        <v>ICTV202009316</v>
      </c>
      <c r="R14317" t="s">
        <v>580</v>
      </c>
      <c r="S14317" t="s">
        <v>824</v>
      </c>
      <c r="T14317">
        <v>39</v>
      </c>
      <c r="U14317" s="26" t="str">
        <f t="shared" si="534"/>
        <v>2023.024M.Bunyaviricetes.zip</v>
      </c>
    </row>
    <row r="14318" spans="1:21">
      <c r="A14318">
        <v>14317</v>
      </c>
      <c r="B14318" s="27" t="s">
        <v>1124</v>
      </c>
      <c r="D14318" s="27" t="s">
        <v>1859</v>
      </c>
      <c r="F14318" s="27" t="s">
        <v>938</v>
      </c>
      <c r="G14318" s="27" t="s">
        <v>959</v>
      </c>
      <c r="H14318" s="27" t="s">
        <v>17007</v>
      </c>
      <c r="J14318" s="27" t="s">
        <v>17008</v>
      </c>
      <c r="L14318" s="27" t="s">
        <v>729</v>
      </c>
      <c r="N14318" s="27" t="s">
        <v>431</v>
      </c>
      <c r="P14318" s="27" t="s">
        <v>10025</v>
      </c>
      <c r="Q14318" s="26" t="str">
        <f>HYPERLINK("https://ictv.global/taxonomy/taxondetails?taxnode_id=202506369&amp;ictv_id=ICTV201856369","ICTV201856369")</f>
        <v>ICTV201856369</v>
      </c>
      <c r="R14318" t="s">
        <v>580</v>
      </c>
      <c r="S14318" t="s">
        <v>824</v>
      </c>
      <c r="T14318">
        <v>39</v>
      </c>
      <c r="U14318" s="26" t="str">
        <f t="shared" si="534"/>
        <v>2023.024M.Bunyaviricetes.zip</v>
      </c>
    </row>
    <row r="14319" spans="1:21">
      <c r="A14319">
        <v>14318</v>
      </c>
      <c r="B14319" s="27" t="s">
        <v>1124</v>
      </c>
      <c r="D14319" s="27" t="s">
        <v>1859</v>
      </c>
      <c r="F14319" s="27" t="s">
        <v>938</v>
      </c>
      <c r="G14319" s="27" t="s">
        <v>959</v>
      </c>
      <c r="H14319" s="27" t="s">
        <v>17007</v>
      </c>
      <c r="J14319" s="27" t="s">
        <v>17008</v>
      </c>
      <c r="L14319" s="27" t="s">
        <v>729</v>
      </c>
      <c r="N14319" s="27" t="s">
        <v>431</v>
      </c>
      <c r="P14319" s="27" t="s">
        <v>10026</v>
      </c>
      <c r="Q14319" s="26" t="str">
        <f>HYPERLINK("https://ictv.global/taxonomy/taxondetails?taxnode_id=202506383&amp;ictv_id=ICTV201856383","ICTV201856383")</f>
        <v>ICTV201856383</v>
      </c>
      <c r="R14319" t="s">
        <v>580</v>
      </c>
      <c r="S14319" t="s">
        <v>824</v>
      </c>
      <c r="T14319">
        <v>39</v>
      </c>
      <c r="U14319" s="26" t="str">
        <f t="shared" si="534"/>
        <v>2023.024M.Bunyaviricetes.zip</v>
      </c>
    </row>
    <row r="14320" spans="1:21">
      <c r="A14320">
        <v>14319</v>
      </c>
      <c r="B14320" s="27" t="s">
        <v>1124</v>
      </c>
      <c r="D14320" s="27" t="s">
        <v>1859</v>
      </c>
      <c r="F14320" s="27" t="s">
        <v>938</v>
      </c>
      <c r="G14320" s="27" t="s">
        <v>959</v>
      </c>
      <c r="H14320" s="27" t="s">
        <v>17007</v>
      </c>
      <c r="J14320" s="27" t="s">
        <v>17008</v>
      </c>
      <c r="L14320" s="27" t="s">
        <v>729</v>
      </c>
      <c r="N14320" s="27" t="s">
        <v>431</v>
      </c>
      <c r="P14320" s="27" t="s">
        <v>10027</v>
      </c>
      <c r="Q14320" s="26" t="str">
        <f>HYPERLINK("https://ictv.global/taxonomy/taxondetails?taxnode_id=202509317&amp;ictv_id=ICTV202009317","ICTV202009317")</f>
        <v>ICTV202009317</v>
      </c>
      <c r="R14320" t="s">
        <v>580</v>
      </c>
      <c r="S14320" t="s">
        <v>824</v>
      </c>
      <c r="T14320">
        <v>39</v>
      </c>
      <c r="U14320" s="26" t="str">
        <f t="shared" si="534"/>
        <v>2023.024M.Bunyaviricetes.zip</v>
      </c>
    </row>
    <row r="14321" spans="1:21">
      <c r="A14321">
        <v>14320</v>
      </c>
      <c r="B14321" s="27" t="s">
        <v>1124</v>
      </c>
      <c r="D14321" s="27" t="s">
        <v>1859</v>
      </c>
      <c r="F14321" s="27" t="s">
        <v>938</v>
      </c>
      <c r="G14321" s="27" t="s">
        <v>959</v>
      </c>
      <c r="H14321" s="27" t="s">
        <v>17007</v>
      </c>
      <c r="J14321" s="27" t="s">
        <v>17008</v>
      </c>
      <c r="L14321" s="27" t="s">
        <v>729</v>
      </c>
      <c r="N14321" s="27" t="s">
        <v>431</v>
      </c>
      <c r="P14321" s="27" t="s">
        <v>10028</v>
      </c>
      <c r="Q14321" s="26" t="str">
        <f>HYPERLINK("https://ictv.global/taxonomy/taxondetails?taxnode_id=202514235&amp;ictv_id=ICTV202214235","ICTV202214235")</f>
        <v>ICTV202214235</v>
      </c>
      <c r="R14321" t="s">
        <v>580</v>
      </c>
      <c r="S14321" t="s">
        <v>824</v>
      </c>
      <c r="T14321">
        <v>39</v>
      </c>
      <c r="U14321" s="26" t="str">
        <f t="shared" si="534"/>
        <v>2023.024M.Bunyaviricetes.zip</v>
      </c>
    </row>
    <row r="14322" spans="1:21">
      <c r="A14322">
        <v>14321</v>
      </c>
      <c r="B14322" s="27" t="s">
        <v>1124</v>
      </c>
      <c r="D14322" s="27" t="s">
        <v>1859</v>
      </c>
      <c r="F14322" s="27" t="s">
        <v>938</v>
      </c>
      <c r="G14322" s="27" t="s">
        <v>959</v>
      </c>
      <c r="H14322" s="27" t="s">
        <v>17007</v>
      </c>
      <c r="J14322" s="27" t="s">
        <v>17008</v>
      </c>
      <c r="L14322" s="27" t="s">
        <v>729</v>
      </c>
      <c r="N14322" s="27" t="s">
        <v>431</v>
      </c>
      <c r="P14322" s="27" t="s">
        <v>10029</v>
      </c>
      <c r="Q14322" s="26" t="str">
        <f>HYPERLINK("https://ictv.global/taxonomy/taxondetails?taxnode_id=202500094&amp;ictv_id=ICTV19990616","ICTV19990616")</f>
        <v>ICTV19990616</v>
      </c>
      <c r="R14322" t="s">
        <v>580</v>
      </c>
      <c r="S14322" t="s">
        <v>824</v>
      </c>
      <c r="T14322">
        <v>39</v>
      </c>
      <c r="U14322" s="26" t="str">
        <f t="shared" si="534"/>
        <v>2023.024M.Bunyaviricetes.zip</v>
      </c>
    </row>
    <row r="14323" spans="1:21">
      <c r="A14323">
        <v>14322</v>
      </c>
      <c r="B14323" s="27" t="s">
        <v>1124</v>
      </c>
      <c r="D14323" s="27" t="s">
        <v>1859</v>
      </c>
      <c r="F14323" s="27" t="s">
        <v>938</v>
      </c>
      <c r="G14323" s="27" t="s">
        <v>959</v>
      </c>
      <c r="H14323" s="27" t="s">
        <v>17007</v>
      </c>
      <c r="J14323" s="27" t="s">
        <v>17008</v>
      </c>
      <c r="L14323" s="27" t="s">
        <v>729</v>
      </c>
      <c r="N14323" s="27" t="s">
        <v>431</v>
      </c>
      <c r="P14323" s="27" t="s">
        <v>10030</v>
      </c>
      <c r="Q14323" s="26" t="str">
        <f>HYPERLINK("https://ictv.global/taxonomy/taxondetails?taxnode_id=202514236&amp;ictv_id=ICTV202214236","ICTV202214236")</f>
        <v>ICTV202214236</v>
      </c>
      <c r="R14323" t="s">
        <v>580</v>
      </c>
      <c r="S14323" t="s">
        <v>824</v>
      </c>
      <c r="T14323">
        <v>39</v>
      </c>
      <c r="U14323" s="26" t="str">
        <f t="shared" si="534"/>
        <v>2023.024M.Bunyaviricetes.zip</v>
      </c>
    </row>
    <row r="14324" spans="1:21">
      <c r="A14324">
        <v>14323</v>
      </c>
      <c r="B14324" s="27" t="s">
        <v>1124</v>
      </c>
      <c r="D14324" s="27" t="s">
        <v>1859</v>
      </c>
      <c r="F14324" s="27" t="s">
        <v>938</v>
      </c>
      <c r="G14324" s="27" t="s">
        <v>959</v>
      </c>
      <c r="H14324" s="27" t="s">
        <v>17007</v>
      </c>
      <c r="J14324" s="27" t="s">
        <v>17008</v>
      </c>
      <c r="L14324" s="27" t="s">
        <v>729</v>
      </c>
      <c r="N14324" s="27" t="s">
        <v>431</v>
      </c>
      <c r="P14324" s="27" t="s">
        <v>17029</v>
      </c>
      <c r="Q14324" s="26" t="str">
        <f>HYPERLINK("https://ictv.global/taxonomy/taxondetails?taxnode_id=202519068&amp;ictv_id=ICTV202319068","ICTV202319068")</f>
        <v>ICTV202319068</v>
      </c>
      <c r="R14324" t="s">
        <v>580</v>
      </c>
      <c r="S14324" t="s">
        <v>823</v>
      </c>
      <c r="T14324">
        <v>39</v>
      </c>
      <c r="U14324" s="26" t="str">
        <f>HYPERLINK("https://ictv.global/ictv/proposals/2023.031M.Peribunyaviridae_1ng_7nsp.zip","2023.031M.Peribunyaviridae_1ng_7nsp.zip")</f>
        <v>2023.031M.Peribunyaviridae_1ng_7nsp.zip</v>
      </c>
    </row>
    <row r="14325" spans="1:21">
      <c r="A14325">
        <v>14324</v>
      </c>
      <c r="B14325" s="27" t="s">
        <v>1124</v>
      </c>
      <c r="D14325" s="27" t="s">
        <v>1859</v>
      </c>
      <c r="F14325" s="27" t="s">
        <v>938</v>
      </c>
      <c r="G14325" s="27" t="s">
        <v>959</v>
      </c>
      <c r="H14325" s="27" t="s">
        <v>17007</v>
      </c>
      <c r="J14325" s="27" t="s">
        <v>17008</v>
      </c>
      <c r="L14325" s="27" t="s">
        <v>729</v>
      </c>
      <c r="N14325" s="27" t="s">
        <v>431</v>
      </c>
      <c r="P14325" s="27" t="s">
        <v>10031</v>
      </c>
      <c r="Q14325" s="26" t="str">
        <f>HYPERLINK("https://ictv.global/taxonomy/taxondetails?taxnode_id=202506355&amp;ictv_id=ICTV201856355","ICTV201856355")</f>
        <v>ICTV201856355</v>
      </c>
      <c r="R14325" t="s">
        <v>580</v>
      </c>
      <c r="S14325" t="s">
        <v>824</v>
      </c>
      <c r="T14325">
        <v>39</v>
      </c>
      <c r="U14325" s="26" t="str">
        <f>HYPERLINK("https://ictv.global/ictv/proposals/2023.024M.Bunyaviricetes.zip","2023.024M.Bunyaviricetes.zip")</f>
        <v>2023.024M.Bunyaviricetes.zip</v>
      </c>
    </row>
    <row r="14326" spans="1:21">
      <c r="A14326">
        <v>14325</v>
      </c>
      <c r="B14326" s="27" t="s">
        <v>1124</v>
      </c>
      <c r="D14326" s="27" t="s">
        <v>1859</v>
      </c>
      <c r="F14326" s="27" t="s">
        <v>938</v>
      </c>
      <c r="G14326" s="27" t="s">
        <v>959</v>
      </c>
      <c r="H14326" s="27" t="s">
        <v>17007</v>
      </c>
      <c r="J14326" s="27" t="s">
        <v>17008</v>
      </c>
      <c r="L14326" s="27" t="s">
        <v>729</v>
      </c>
      <c r="N14326" s="27" t="s">
        <v>431</v>
      </c>
      <c r="P14326" s="27" t="s">
        <v>10032</v>
      </c>
      <c r="Q14326" s="26" t="str">
        <f>HYPERLINK("https://ictv.global/taxonomy/taxondetails?taxnode_id=202500095&amp;ictv_id=ICTV19820269","ICTV19820269")</f>
        <v>ICTV19820269</v>
      </c>
      <c r="R14326" t="s">
        <v>580</v>
      </c>
      <c r="S14326" t="s">
        <v>824</v>
      </c>
      <c r="T14326">
        <v>39</v>
      </c>
      <c r="U14326" s="26" t="str">
        <f>HYPERLINK("https://ictv.global/ictv/proposals/2023.024M.Bunyaviricetes.zip","2023.024M.Bunyaviricetes.zip")</f>
        <v>2023.024M.Bunyaviricetes.zip</v>
      </c>
    </row>
    <row r="14327" spans="1:21">
      <c r="A14327">
        <v>14326</v>
      </c>
      <c r="B14327" s="27" t="s">
        <v>1124</v>
      </c>
      <c r="D14327" s="27" t="s">
        <v>1859</v>
      </c>
      <c r="F14327" s="27" t="s">
        <v>938</v>
      </c>
      <c r="G14327" s="27" t="s">
        <v>959</v>
      </c>
      <c r="H14327" s="27" t="s">
        <v>17007</v>
      </c>
      <c r="J14327" s="27" t="s">
        <v>17008</v>
      </c>
      <c r="L14327" s="27" t="s">
        <v>729</v>
      </c>
      <c r="N14327" s="27" t="s">
        <v>431</v>
      </c>
      <c r="P14327" s="27" t="s">
        <v>10033</v>
      </c>
      <c r="Q14327" s="26" t="str">
        <f>HYPERLINK("https://ictv.global/taxonomy/taxondetails?taxnode_id=202514237&amp;ictv_id=ICTV202214237","ICTV202214237")</f>
        <v>ICTV202214237</v>
      </c>
      <c r="R14327" t="s">
        <v>580</v>
      </c>
      <c r="S14327" t="s">
        <v>824</v>
      </c>
      <c r="T14327">
        <v>39</v>
      </c>
      <c r="U14327" s="26" t="str">
        <f>HYPERLINK("https://ictv.global/ictv/proposals/2023.024M.Bunyaviricetes.zip","2023.024M.Bunyaviricetes.zip")</f>
        <v>2023.024M.Bunyaviricetes.zip</v>
      </c>
    </row>
    <row r="14328" spans="1:21">
      <c r="A14328">
        <v>14327</v>
      </c>
      <c r="B14328" s="27" t="s">
        <v>1124</v>
      </c>
      <c r="D14328" s="27" t="s">
        <v>1859</v>
      </c>
      <c r="F14328" s="27" t="s">
        <v>938</v>
      </c>
      <c r="G14328" s="27" t="s">
        <v>959</v>
      </c>
      <c r="H14328" s="27" t="s">
        <v>17007</v>
      </c>
      <c r="J14328" s="27" t="s">
        <v>17008</v>
      </c>
      <c r="L14328" s="27" t="s">
        <v>729</v>
      </c>
      <c r="N14328" s="27" t="s">
        <v>431</v>
      </c>
      <c r="P14328" s="27" t="s">
        <v>10034</v>
      </c>
      <c r="Q14328" s="26" t="str">
        <f>HYPERLINK("https://ictv.global/taxonomy/taxondetails?taxnode_id=202506596&amp;ictv_id=ICTV201856596","ICTV201856596")</f>
        <v>ICTV201856596</v>
      </c>
      <c r="R14328" t="s">
        <v>580</v>
      </c>
      <c r="S14328" t="s">
        <v>824</v>
      </c>
      <c r="T14328">
        <v>39</v>
      </c>
      <c r="U14328" s="26" t="str">
        <f>HYPERLINK("https://ictv.global/ictv/proposals/2023.024M.Bunyaviricetes.zip","2023.024M.Bunyaviricetes.zip")</f>
        <v>2023.024M.Bunyaviricetes.zip</v>
      </c>
    </row>
    <row r="14329" spans="1:21">
      <c r="A14329">
        <v>14328</v>
      </c>
      <c r="B14329" s="27" t="s">
        <v>1124</v>
      </c>
      <c r="D14329" s="27" t="s">
        <v>1859</v>
      </c>
      <c r="F14329" s="27" t="s">
        <v>938</v>
      </c>
      <c r="G14329" s="27" t="s">
        <v>959</v>
      </c>
      <c r="H14329" s="27" t="s">
        <v>17007</v>
      </c>
      <c r="J14329" s="27" t="s">
        <v>17008</v>
      </c>
      <c r="L14329" s="27" t="s">
        <v>729</v>
      </c>
      <c r="N14329" s="27" t="s">
        <v>431</v>
      </c>
      <c r="P14329" s="27" t="s">
        <v>17030</v>
      </c>
      <c r="Q14329" s="26" t="str">
        <f>HYPERLINK("https://ictv.global/taxonomy/taxondetails?taxnode_id=202519064&amp;ictv_id=ICTV202319064","ICTV202319064")</f>
        <v>ICTV202319064</v>
      </c>
      <c r="R14329" t="s">
        <v>580</v>
      </c>
      <c r="S14329" t="s">
        <v>823</v>
      </c>
      <c r="T14329">
        <v>39</v>
      </c>
      <c r="U14329" s="26" t="str">
        <f>HYPERLINK("https://ictv.global/ictv/proposals/2023.031M.Peribunyaviridae_1ng_7nsp.zip","2023.031M.Peribunyaviridae_1ng_7nsp.zip")</f>
        <v>2023.031M.Peribunyaviridae_1ng_7nsp.zip</v>
      </c>
    </row>
    <row r="14330" spans="1:21">
      <c r="A14330">
        <v>14329</v>
      </c>
      <c r="B14330" s="27" t="s">
        <v>1124</v>
      </c>
      <c r="D14330" s="27" t="s">
        <v>1859</v>
      </c>
      <c r="F14330" s="27" t="s">
        <v>938</v>
      </c>
      <c r="G14330" s="27" t="s">
        <v>959</v>
      </c>
      <c r="H14330" s="27" t="s">
        <v>17007</v>
      </c>
      <c r="J14330" s="27" t="s">
        <v>17008</v>
      </c>
      <c r="L14330" s="27" t="s">
        <v>729</v>
      </c>
      <c r="N14330" s="27" t="s">
        <v>431</v>
      </c>
      <c r="P14330" s="27" t="s">
        <v>10035</v>
      </c>
      <c r="Q14330" s="26" t="str">
        <f>HYPERLINK("https://ictv.global/taxonomy/taxondetails?taxnode_id=202514229&amp;ictv_id=ICTV202214229","ICTV202214229")</f>
        <v>ICTV202214229</v>
      </c>
      <c r="R14330" t="s">
        <v>580</v>
      </c>
      <c r="S14330" t="s">
        <v>824</v>
      </c>
      <c r="T14330">
        <v>39</v>
      </c>
      <c r="U14330" s="26" t="str">
        <f t="shared" ref="U14330:U14364" si="535">HYPERLINK("https://ictv.global/ictv/proposals/2023.024M.Bunyaviricetes.zip","2023.024M.Bunyaviricetes.zip")</f>
        <v>2023.024M.Bunyaviricetes.zip</v>
      </c>
    </row>
    <row r="14331" spans="1:21">
      <c r="A14331">
        <v>14330</v>
      </c>
      <c r="B14331" s="27" t="s">
        <v>1124</v>
      </c>
      <c r="D14331" s="27" t="s">
        <v>1859</v>
      </c>
      <c r="F14331" s="27" t="s">
        <v>938</v>
      </c>
      <c r="G14331" s="27" t="s">
        <v>959</v>
      </c>
      <c r="H14331" s="27" t="s">
        <v>17007</v>
      </c>
      <c r="J14331" s="27" t="s">
        <v>17008</v>
      </c>
      <c r="L14331" s="27" t="s">
        <v>729</v>
      </c>
      <c r="N14331" s="27" t="s">
        <v>431</v>
      </c>
      <c r="P14331" s="27" t="s">
        <v>10036</v>
      </c>
      <c r="Q14331" s="26" t="str">
        <f>HYPERLINK("https://ictv.global/taxonomy/taxondetails?taxnode_id=202500097&amp;ictv_id=ICTV19990619","ICTV19990619")</f>
        <v>ICTV19990619</v>
      </c>
      <c r="R14331" t="s">
        <v>580</v>
      </c>
      <c r="S14331" t="s">
        <v>824</v>
      </c>
      <c r="T14331">
        <v>39</v>
      </c>
      <c r="U14331" s="26" t="str">
        <f t="shared" si="535"/>
        <v>2023.024M.Bunyaviricetes.zip</v>
      </c>
    </row>
    <row r="14332" spans="1:21">
      <c r="A14332">
        <v>14331</v>
      </c>
      <c r="B14332" s="27" t="s">
        <v>1124</v>
      </c>
      <c r="D14332" s="27" t="s">
        <v>1859</v>
      </c>
      <c r="F14332" s="27" t="s">
        <v>938</v>
      </c>
      <c r="G14332" s="27" t="s">
        <v>959</v>
      </c>
      <c r="H14332" s="27" t="s">
        <v>17007</v>
      </c>
      <c r="J14332" s="27" t="s">
        <v>17008</v>
      </c>
      <c r="L14332" s="27" t="s">
        <v>729</v>
      </c>
      <c r="N14332" s="27" t="s">
        <v>431</v>
      </c>
      <c r="P14332" s="27" t="s">
        <v>10037</v>
      </c>
      <c r="Q14332" s="26" t="str">
        <f>HYPERLINK("https://ictv.global/taxonomy/taxondetails?taxnode_id=202506356&amp;ictv_id=ICTV201856356","ICTV201856356")</f>
        <v>ICTV201856356</v>
      </c>
      <c r="R14332" t="s">
        <v>580</v>
      </c>
      <c r="S14332" t="s">
        <v>824</v>
      </c>
      <c r="T14332">
        <v>39</v>
      </c>
      <c r="U14332" s="26" t="str">
        <f t="shared" si="535"/>
        <v>2023.024M.Bunyaviricetes.zip</v>
      </c>
    </row>
    <row r="14333" spans="1:21">
      <c r="A14333">
        <v>14332</v>
      </c>
      <c r="B14333" s="27" t="s">
        <v>1124</v>
      </c>
      <c r="D14333" s="27" t="s">
        <v>1859</v>
      </c>
      <c r="F14333" s="27" t="s">
        <v>938</v>
      </c>
      <c r="G14333" s="27" t="s">
        <v>959</v>
      </c>
      <c r="H14333" s="27" t="s">
        <v>17007</v>
      </c>
      <c r="J14333" s="27" t="s">
        <v>17008</v>
      </c>
      <c r="L14333" s="27" t="s">
        <v>729</v>
      </c>
      <c r="N14333" s="27" t="s">
        <v>431</v>
      </c>
      <c r="P14333" s="27" t="s">
        <v>10038</v>
      </c>
      <c r="Q14333" s="26" t="str">
        <f>HYPERLINK("https://ictv.global/taxonomy/taxondetails?taxnode_id=202514238&amp;ictv_id=ICTV202214238","ICTV202214238")</f>
        <v>ICTV202214238</v>
      </c>
      <c r="R14333" t="s">
        <v>580</v>
      </c>
      <c r="S14333" t="s">
        <v>824</v>
      </c>
      <c r="T14333">
        <v>39</v>
      </c>
      <c r="U14333" s="26" t="str">
        <f t="shared" si="535"/>
        <v>2023.024M.Bunyaviricetes.zip</v>
      </c>
    </row>
    <row r="14334" spans="1:21">
      <c r="A14334">
        <v>14333</v>
      </c>
      <c r="B14334" s="27" t="s">
        <v>1124</v>
      </c>
      <c r="D14334" s="27" t="s">
        <v>1859</v>
      </c>
      <c r="F14334" s="27" t="s">
        <v>938</v>
      </c>
      <c r="G14334" s="27" t="s">
        <v>959</v>
      </c>
      <c r="H14334" s="27" t="s">
        <v>17007</v>
      </c>
      <c r="J14334" s="27" t="s">
        <v>17008</v>
      </c>
      <c r="L14334" s="27" t="s">
        <v>729</v>
      </c>
      <c r="N14334" s="27" t="s">
        <v>431</v>
      </c>
      <c r="P14334" s="27" t="s">
        <v>10039</v>
      </c>
      <c r="Q14334" s="26" t="str">
        <f>HYPERLINK("https://ictv.global/taxonomy/taxondetails?taxnode_id=202514250&amp;ictv_id=ICTV202214250","ICTV202214250")</f>
        <v>ICTV202214250</v>
      </c>
      <c r="R14334" t="s">
        <v>580</v>
      </c>
      <c r="S14334" t="s">
        <v>824</v>
      </c>
      <c r="T14334">
        <v>39</v>
      </c>
      <c r="U14334" s="26" t="str">
        <f t="shared" si="535"/>
        <v>2023.024M.Bunyaviricetes.zip</v>
      </c>
    </row>
    <row r="14335" spans="1:21">
      <c r="A14335">
        <v>14334</v>
      </c>
      <c r="B14335" s="27" t="s">
        <v>1124</v>
      </c>
      <c r="D14335" s="27" t="s">
        <v>1859</v>
      </c>
      <c r="F14335" s="27" t="s">
        <v>938</v>
      </c>
      <c r="G14335" s="27" t="s">
        <v>959</v>
      </c>
      <c r="H14335" s="27" t="s">
        <v>17007</v>
      </c>
      <c r="J14335" s="27" t="s">
        <v>17008</v>
      </c>
      <c r="L14335" s="27" t="s">
        <v>729</v>
      </c>
      <c r="N14335" s="27" t="s">
        <v>431</v>
      </c>
      <c r="P14335" s="27" t="s">
        <v>10040</v>
      </c>
      <c r="Q14335" s="26" t="str">
        <f>HYPERLINK("https://ictv.global/taxonomy/taxondetails?taxnode_id=202500099&amp;ictv_id=ICTV19760149","ICTV19760149")</f>
        <v>ICTV19760149</v>
      </c>
      <c r="R14335" t="s">
        <v>580</v>
      </c>
      <c r="S14335" t="s">
        <v>824</v>
      </c>
      <c r="T14335">
        <v>39</v>
      </c>
      <c r="U14335" s="26" t="str">
        <f t="shared" si="535"/>
        <v>2023.024M.Bunyaviricetes.zip</v>
      </c>
    </row>
    <row r="14336" spans="1:21">
      <c r="A14336">
        <v>14335</v>
      </c>
      <c r="B14336" s="27" t="s">
        <v>1124</v>
      </c>
      <c r="D14336" s="27" t="s">
        <v>1859</v>
      </c>
      <c r="F14336" s="27" t="s">
        <v>938</v>
      </c>
      <c r="G14336" s="27" t="s">
        <v>959</v>
      </c>
      <c r="H14336" s="27" t="s">
        <v>17007</v>
      </c>
      <c r="J14336" s="27" t="s">
        <v>17008</v>
      </c>
      <c r="L14336" s="27" t="s">
        <v>729</v>
      </c>
      <c r="N14336" s="27" t="s">
        <v>431</v>
      </c>
      <c r="P14336" s="27" t="s">
        <v>10041</v>
      </c>
      <c r="Q14336" s="26" t="str">
        <f>HYPERLINK("https://ictv.global/taxonomy/taxondetails?taxnode_id=202506357&amp;ictv_id=ICTV201856357","ICTV201856357")</f>
        <v>ICTV201856357</v>
      </c>
      <c r="R14336" t="s">
        <v>580</v>
      </c>
      <c r="S14336" t="s">
        <v>824</v>
      </c>
      <c r="T14336">
        <v>39</v>
      </c>
      <c r="U14336" s="26" t="str">
        <f t="shared" si="535"/>
        <v>2023.024M.Bunyaviricetes.zip</v>
      </c>
    </row>
    <row r="14337" spans="1:21">
      <c r="A14337">
        <v>14336</v>
      </c>
      <c r="B14337" s="27" t="s">
        <v>1124</v>
      </c>
      <c r="D14337" s="27" t="s">
        <v>1859</v>
      </c>
      <c r="F14337" s="27" t="s">
        <v>938</v>
      </c>
      <c r="G14337" s="27" t="s">
        <v>959</v>
      </c>
      <c r="H14337" s="27" t="s">
        <v>17007</v>
      </c>
      <c r="J14337" s="27" t="s">
        <v>17008</v>
      </c>
      <c r="L14337" s="27" t="s">
        <v>729</v>
      </c>
      <c r="N14337" s="27" t="s">
        <v>431</v>
      </c>
      <c r="P14337" s="27" t="s">
        <v>10042</v>
      </c>
      <c r="Q14337" s="26" t="str">
        <f>HYPERLINK("https://ictv.global/taxonomy/taxondetails?taxnode_id=202509318&amp;ictv_id=ICTV202009318","ICTV202009318")</f>
        <v>ICTV202009318</v>
      </c>
      <c r="R14337" t="s">
        <v>580</v>
      </c>
      <c r="S14337" t="s">
        <v>824</v>
      </c>
      <c r="T14337">
        <v>39</v>
      </c>
      <c r="U14337" s="26" t="str">
        <f t="shared" si="535"/>
        <v>2023.024M.Bunyaviricetes.zip</v>
      </c>
    </row>
    <row r="14338" spans="1:21">
      <c r="A14338">
        <v>14337</v>
      </c>
      <c r="B14338" s="27" t="s">
        <v>1124</v>
      </c>
      <c r="D14338" s="27" t="s">
        <v>1859</v>
      </c>
      <c r="F14338" s="27" t="s">
        <v>938</v>
      </c>
      <c r="G14338" s="27" t="s">
        <v>959</v>
      </c>
      <c r="H14338" s="27" t="s">
        <v>17007</v>
      </c>
      <c r="J14338" s="27" t="s">
        <v>17008</v>
      </c>
      <c r="L14338" s="27" t="s">
        <v>729</v>
      </c>
      <c r="N14338" s="27" t="s">
        <v>431</v>
      </c>
      <c r="P14338" s="27" t="s">
        <v>10043</v>
      </c>
      <c r="Q14338" s="26" t="str">
        <f>HYPERLINK("https://ictv.global/taxonomy/taxondetails?taxnode_id=202509319&amp;ictv_id=ICTV202009319","ICTV202009319")</f>
        <v>ICTV202009319</v>
      </c>
      <c r="R14338" t="s">
        <v>580</v>
      </c>
      <c r="S14338" t="s">
        <v>824</v>
      </c>
      <c r="T14338">
        <v>39</v>
      </c>
      <c r="U14338" s="26" t="str">
        <f t="shared" si="535"/>
        <v>2023.024M.Bunyaviricetes.zip</v>
      </c>
    </row>
    <row r="14339" spans="1:21">
      <c r="A14339">
        <v>14338</v>
      </c>
      <c r="B14339" s="27" t="s">
        <v>1124</v>
      </c>
      <c r="D14339" s="27" t="s">
        <v>1859</v>
      </c>
      <c r="F14339" s="27" t="s">
        <v>938</v>
      </c>
      <c r="G14339" s="27" t="s">
        <v>959</v>
      </c>
      <c r="H14339" s="27" t="s">
        <v>17007</v>
      </c>
      <c r="J14339" s="27" t="s">
        <v>17008</v>
      </c>
      <c r="L14339" s="27" t="s">
        <v>729</v>
      </c>
      <c r="N14339" s="27" t="s">
        <v>431</v>
      </c>
      <c r="P14339" s="27" t="s">
        <v>10044</v>
      </c>
      <c r="Q14339" s="26" t="str">
        <f>HYPERLINK("https://ictv.global/taxonomy/taxondetails?taxnode_id=202509320&amp;ictv_id=ICTV202009320","ICTV202009320")</f>
        <v>ICTV202009320</v>
      </c>
      <c r="R14339" t="s">
        <v>580</v>
      </c>
      <c r="S14339" t="s">
        <v>824</v>
      </c>
      <c r="T14339">
        <v>39</v>
      </c>
      <c r="U14339" s="26" t="str">
        <f t="shared" si="535"/>
        <v>2023.024M.Bunyaviricetes.zip</v>
      </c>
    </row>
    <row r="14340" spans="1:21">
      <c r="A14340">
        <v>14339</v>
      </c>
      <c r="B14340" s="27" t="s">
        <v>1124</v>
      </c>
      <c r="D14340" s="27" t="s">
        <v>1859</v>
      </c>
      <c r="F14340" s="27" t="s">
        <v>938</v>
      </c>
      <c r="G14340" s="27" t="s">
        <v>959</v>
      </c>
      <c r="H14340" s="27" t="s">
        <v>17007</v>
      </c>
      <c r="J14340" s="27" t="s">
        <v>17008</v>
      </c>
      <c r="L14340" s="27" t="s">
        <v>729</v>
      </c>
      <c r="N14340" s="27" t="s">
        <v>431</v>
      </c>
      <c r="P14340" s="27" t="s">
        <v>10045</v>
      </c>
      <c r="Q14340" s="26" t="str">
        <f>HYPERLINK("https://ictv.global/taxonomy/taxondetails?taxnode_id=202500100&amp;ictv_id=ICTV19990622","ICTV19990622")</f>
        <v>ICTV19990622</v>
      </c>
      <c r="R14340" t="s">
        <v>580</v>
      </c>
      <c r="S14340" t="s">
        <v>824</v>
      </c>
      <c r="T14340">
        <v>39</v>
      </c>
      <c r="U14340" s="26" t="str">
        <f t="shared" si="535"/>
        <v>2023.024M.Bunyaviricetes.zip</v>
      </c>
    </row>
    <row r="14341" spans="1:21">
      <c r="A14341">
        <v>14340</v>
      </c>
      <c r="B14341" s="27" t="s">
        <v>1124</v>
      </c>
      <c r="D14341" s="27" t="s">
        <v>1859</v>
      </c>
      <c r="F14341" s="27" t="s">
        <v>938</v>
      </c>
      <c r="G14341" s="27" t="s">
        <v>959</v>
      </c>
      <c r="H14341" s="27" t="s">
        <v>17007</v>
      </c>
      <c r="J14341" s="27" t="s">
        <v>17008</v>
      </c>
      <c r="L14341" s="27" t="s">
        <v>729</v>
      </c>
      <c r="N14341" s="27" t="s">
        <v>431</v>
      </c>
      <c r="P14341" s="27" t="s">
        <v>10046</v>
      </c>
      <c r="Q14341" s="26" t="str">
        <f>HYPERLINK("https://ictv.global/taxonomy/taxondetails?taxnode_id=202500101&amp;ictv_id=ICTV19990623","ICTV19990623")</f>
        <v>ICTV19990623</v>
      </c>
      <c r="R14341" t="s">
        <v>580</v>
      </c>
      <c r="S14341" t="s">
        <v>824</v>
      </c>
      <c r="T14341">
        <v>39</v>
      </c>
      <c r="U14341" s="26" t="str">
        <f t="shared" si="535"/>
        <v>2023.024M.Bunyaviricetes.zip</v>
      </c>
    </row>
    <row r="14342" spans="1:21">
      <c r="A14342">
        <v>14341</v>
      </c>
      <c r="B14342" s="27" t="s">
        <v>1124</v>
      </c>
      <c r="D14342" s="27" t="s">
        <v>1859</v>
      </c>
      <c r="F14342" s="27" t="s">
        <v>938</v>
      </c>
      <c r="G14342" s="27" t="s">
        <v>959</v>
      </c>
      <c r="H14342" s="27" t="s">
        <v>17007</v>
      </c>
      <c r="J14342" s="27" t="s">
        <v>17008</v>
      </c>
      <c r="L14342" s="27" t="s">
        <v>729</v>
      </c>
      <c r="N14342" s="27" t="s">
        <v>431</v>
      </c>
      <c r="P14342" s="27" t="s">
        <v>10047</v>
      </c>
      <c r="Q14342" s="26" t="str">
        <f>HYPERLINK("https://ictv.global/taxonomy/taxondetails?taxnode_id=202506374&amp;ictv_id=ICTV201856374","ICTV201856374")</f>
        <v>ICTV201856374</v>
      </c>
      <c r="R14342" t="s">
        <v>580</v>
      </c>
      <c r="S14342" t="s">
        <v>824</v>
      </c>
      <c r="T14342">
        <v>39</v>
      </c>
      <c r="U14342" s="26" t="str">
        <f t="shared" si="535"/>
        <v>2023.024M.Bunyaviricetes.zip</v>
      </c>
    </row>
    <row r="14343" spans="1:21">
      <c r="A14343">
        <v>14342</v>
      </c>
      <c r="B14343" s="27" t="s">
        <v>1124</v>
      </c>
      <c r="D14343" s="27" t="s">
        <v>1859</v>
      </c>
      <c r="F14343" s="27" t="s">
        <v>938</v>
      </c>
      <c r="G14343" s="27" t="s">
        <v>959</v>
      </c>
      <c r="H14343" s="27" t="s">
        <v>17007</v>
      </c>
      <c r="J14343" s="27" t="s">
        <v>17008</v>
      </c>
      <c r="L14343" s="27" t="s">
        <v>729</v>
      </c>
      <c r="N14343" s="27" t="s">
        <v>431</v>
      </c>
      <c r="P14343" s="27" t="s">
        <v>10048</v>
      </c>
      <c r="Q14343" s="26" t="str">
        <f>HYPERLINK("https://ictv.global/taxonomy/taxondetails?taxnode_id=202500102&amp;ictv_id=ICTV19990624","ICTV19990624")</f>
        <v>ICTV19990624</v>
      </c>
      <c r="R14343" t="s">
        <v>580</v>
      </c>
      <c r="S14343" t="s">
        <v>824</v>
      </c>
      <c r="T14343">
        <v>39</v>
      </c>
      <c r="U14343" s="26" t="str">
        <f t="shared" si="535"/>
        <v>2023.024M.Bunyaviricetes.zip</v>
      </c>
    </row>
    <row r="14344" spans="1:21">
      <c r="A14344">
        <v>14343</v>
      </c>
      <c r="B14344" s="27" t="s">
        <v>1124</v>
      </c>
      <c r="D14344" s="27" t="s">
        <v>1859</v>
      </c>
      <c r="F14344" s="27" t="s">
        <v>938</v>
      </c>
      <c r="G14344" s="27" t="s">
        <v>959</v>
      </c>
      <c r="H14344" s="27" t="s">
        <v>17007</v>
      </c>
      <c r="J14344" s="27" t="s">
        <v>17008</v>
      </c>
      <c r="L14344" s="27" t="s">
        <v>729</v>
      </c>
      <c r="N14344" s="27" t="s">
        <v>431</v>
      </c>
      <c r="P14344" s="27" t="s">
        <v>10049</v>
      </c>
      <c r="Q14344" s="26" t="str">
        <f>HYPERLINK("https://ictv.global/taxonomy/taxondetails?taxnode_id=202506358&amp;ictv_id=ICTV201856358","ICTV201856358")</f>
        <v>ICTV201856358</v>
      </c>
      <c r="R14344" t="s">
        <v>580</v>
      </c>
      <c r="S14344" t="s">
        <v>824</v>
      </c>
      <c r="T14344">
        <v>39</v>
      </c>
      <c r="U14344" s="26" t="str">
        <f t="shared" si="535"/>
        <v>2023.024M.Bunyaviricetes.zip</v>
      </c>
    </row>
    <row r="14345" spans="1:21">
      <c r="A14345">
        <v>14344</v>
      </c>
      <c r="B14345" s="27" t="s">
        <v>1124</v>
      </c>
      <c r="D14345" s="27" t="s">
        <v>1859</v>
      </c>
      <c r="F14345" s="27" t="s">
        <v>938</v>
      </c>
      <c r="G14345" s="27" t="s">
        <v>959</v>
      </c>
      <c r="H14345" s="27" t="s">
        <v>17007</v>
      </c>
      <c r="J14345" s="27" t="s">
        <v>17008</v>
      </c>
      <c r="L14345" s="27" t="s">
        <v>729</v>
      </c>
      <c r="N14345" s="27" t="s">
        <v>431</v>
      </c>
      <c r="P14345" s="27" t="s">
        <v>10050</v>
      </c>
      <c r="Q14345" s="26" t="str">
        <f>HYPERLINK("https://ictv.global/taxonomy/taxondetails?taxnode_id=202500104&amp;ictv_id=ICTV19760157","ICTV19760157")</f>
        <v>ICTV19760157</v>
      </c>
      <c r="R14345" t="s">
        <v>580</v>
      </c>
      <c r="S14345" t="s">
        <v>824</v>
      </c>
      <c r="T14345">
        <v>39</v>
      </c>
      <c r="U14345" s="26" t="str">
        <f t="shared" si="535"/>
        <v>2023.024M.Bunyaviricetes.zip</v>
      </c>
    </row>
    <row r="14346" spans="1:21">
      <c r="A14346">
        <v>14345</v>
      </c>
      <c r="B14346" s="27" t="s">
        <v>1124</v>
      </c>
      <c r="D14346" s="27" t="s">
        <v>1859</v>
      </c>
      <c r="F14346" s="27" t="s">
        <v>938</v>
      </c>
      <c r="G14346" s="27" t="s">
        <v>959</v>
      </c>
      <c r="H14346" s="27" t="s">
        <v>17007</v>
      </c>
      <c r="J14346" s="27" t="s">
        <v>17008</v>
      </c>
      <c r="L14346" s="27" t="s">
        <v>729</v>
      </c>
      <c r="N14346" s="27" t="s">
        <v>431</v>
      </c>
      <c r="P14346" s="27" t="s">
        <v>10051</v>
      </c>
      <c r="Q14346" s="26" t="str">
        <f>HYPERLINK("https://ictv.global/taxonomy/taxondetails?taxnode_id=202500105&amp;ictv_id=ICTV19990627","ICTV19990627")</f>
        <v>ICTV19990627</v>
      </c>
      <c r="R14346" t="s">
        <v>580</v>
      </c>
      <c r="S14346" t="s">
        <v>824</v>
      </c>
      <c r="T14346">
        <v>39</v>
      </c>
      <c r="U14346" s="26" t="str">
        <f t="shared" si="535"/>
        <v>2023.024M.Bunyaviricetes.zip</v>
      </c>
    </row>
    <row r="14347" spans="1:21">
      <c r="A14347">
        <v>14346</v>
      </c>
      <c r="B14347" s="27" t="s">
        <v>1124</v>
      </c>
      <c r="D14347" s="27" t="s">
        <v>1859</v>
      </c>
      <c r="F14347" s="27" t="s">
        <v>938</v>
      </c>
      <c r="G14347" s="27" t="s">
        <v>959</v>
      </c>
      <c r="H14347" s="27" t="s">
        <v>17007</v>
      </c>
      <c r="J14347" s="27" t="s">
        <v>17008</v>
      </c>
      <c r="L14347" s="27" t="s">
        <v>729</v>
      </c>
      <c r="N14347" s="27" t="s">
        <v>431</v>
      </c>
      <c r="P14347" s="27" t="s">
        <v>10052</v>
      </c>
      <c r="Q14347" s="26" t="str">
        <f>HYPERLINK("https://ictv.global/taxonomy/taxondetails?taxnode_id=202506375&amp;ictv_id=ICTV201856375","ICTV201856375")</f>
        <v>ICTV201856375</v>
      </c>
      <c r="R14347" t="s">
        <v>580</v>
      </c>
      <c r="S14347" t="s">
        <v>824</v>
      </c>
      <c r="T14347">
        <v>39</v>
      </c>
      <c r="U14347" s="26" t="str">
        <f t="shared" si="535"/>
        <v>2023.024M.Bunyaviricetes.zip</v>
      </c>
    </row>
    <row r="14348" spans="1:21">
      <c r="A14348">
        <v>14347</v>
      </c>
      <c r="B14348" s="27" t="s">
        <v>1124</v>
      </c>
      <c r="D14348" s="27" t="s">
        <v>1859</v>
      </c>
      <c r="F14348" s="27" t="s">
        <v>938</v>
      </c>
      <c r="G14348" s="27" t="s">
        <v>959</v>
      </c>
      <c r="H14348" s="27" t="s">
        <v>17007</v>
      </c>
      <c r="J14348" s="27" t="s">
        <v>17008</v>
      </c>
      <c r="L14348" s="27" t="s">
        <v>729</v>
      </c>
      <c r="N14348" s="27" t="s">
        <v>431</v>
      </c>
      <c r="P14348" s="27" t="s">
        <v>10053</v>
      </c>
      <c r="Q14348" s="26" t="str">
        <f>HYPERLINK("https://ictv.global/taxonomy/taxondetails?taxnode_id=202500106&amp;ictv_id=ICTV19760159","ICTV19760159")</f>
        <v>ICTV19760159</v>
      </c>
      <c r="R14348" t="s">
        <v>580</v>
      </c>
      <c r="S14348" t="s">
        <v>824</v>
      </c>
      <c r="T14348">
        <v>39</v>
      </c>
      <c r="U14348" s="26" t="str">
        <f t="shared" si="535"/>
        <v>2023.024M.Bunyaviricetes.zip</v>
      </c>
    </row>
    <row r="14349" spans="1:21">
      <c r="A14349">
        <v>14348</v>
      </c>
      <c r="B14349" s="27" t="s">
        <v>1124</v>
      </c>
      <c r="D14349" s="27" t="s">
        <v>1859</v>
      </c>
      <c r="F14349" s="27" t="s">
        <v>938</v>
      </c>
      <c r="G14349" s="27" t="s">
        <v>959</v>
      </c>
      <c r="H14349" s="27" t="s">
        <v>17007</v>
      </c>
      <c r="J14349" s="27" t="s">
        <v>17008</v>
      </c>
      <c r="L14349" s="27" t="s">
        <v>729</v>
      </c>
      <c r="N14349" s="27" t="s">
        <v>431</v>
      </c>
      <c r="P14349" s="27" t="s">
        <v>10054</v>
      </c>
      <c r="Q14349" s="26" t="str">
        <f>HYPERLINK("https://ictv.global/taxonomy/taxondetails?taxnode_id=202500093&amp;ictv_id=ICTV19990615","ICTV19990615")</f>
        <v>ICTV19990615</v>
      </c>
      <c r="R14349" t="s">
        <v>580</v>
      </c>
      <c r="S14349" t="s">
        <v>824</v>
      </c>
      <c r="T14349">
        <v>39</v>
      </c>
      <c r="U14349" s="26" t="str">
        <f t="shared" si="535"/>
        <v>2023.024M.Bunyaviricetes.zip</v>
      </c>
    </row>
    <row r="14350" spans="1:21">
      <c r="A14350">
        <v>14349</v>
      </c>
      <c r="B14350" s="27" t="s">
        <v>1124</v>
      </c>
      <c r="D14350" s="27" t="s">
        <v>1859</v>
      </c>
      <c r="F14350" s="27" t="s">
        <v>938</v>
      </c>
      <c r="G14350" s="27" t="s">
        <v>959</v>
      </c>
      <c r="H14350" s="27" t="s">
        <v>17007</v>
      </c>
      <c r="J14350" s="27" t="s">
        <v>17008</v>
      </c>
      <c r="L14350" s="27" t="s">
        <v>729</v>
      </c>
      <c r="N14350" s="27" t="s">
        <v>431</v>
      </c>
      <c r="P14350" s="27" t="s">
        <v>10055</v>
      </c>
      <c r="Q14350" s="26" t="str">
        <f>HYPERLINK("https://ictv.global/taxonomy/taxondetails?taxnode_id=202514221&amp;ictv_id=ICTV202214221","ICTV202214221")</f>
        <v>ICTV202214221</v>
      </c>
      <c r="R14350" t="s">
        <v>580</v>
      </c>
      <c r="S14350" t="s">
        <v>824</v>
      </c>
      <c r="T14350">
        <v>39</v>
      </c>
      <c r="U14350" s="26" t="str">
        <f t="shared" si="535"/>
        <v>2023.024M.Bunyaviricetes.zip</v>
      </c>
    </row>
    <row r="14351" spans="1:21">
      <c r="A14351">
        <v>14350</v>
      </c>
      <c r="B14351" s="27" t="s">
        <v>1124</v>
      </c>
      <c r="D14351" s="27" t="s">
        <v>1859</v>
      </c>
      <c r="F14351" s="27" t="s">
        <v>938</v>
      </c>
      <c r="G14351" s="27" t="s">
        <v>959</v>
      </c>
      <c r="H14351" s="27" t="s">
        <v>17007</v>
      </c>
      <c r="J14351" s="27" t="s">
        <v>17008</v>
      </c>
      <c r="L14351" s="27" t="s">
        <v>729</v>
      </c>
      <c r="N14351" s="27" t="s">
        <v>431</v>
      </c>
      <c r="P14351" s="27" t="s">
        <v>10056</v>
      </c>
      <c r="Q14351" s="26" t="str">
        <f>HYPERLINK("https://ictv.global/taxonomy/taxondetails?taxnode_id=202500103&amp;ictv_id=ICTV19990625","ICTV19990625")</f>
        <v>ICTV19990625</v>
      </c>
      <c r="R14351" t="s">
        <v>580</v>
      </c>
      <c r="S14351" t="s">
        <v>824</v>
      </c>
      <c r="T14351">
        <v>39</v>
      </c>
      <c r="U14351" s="26" t="str">
        <f t="shared" si="535"/>
        <v>2023.024M.Bunyaviricetes.zip</v>
      </c>
    </row>
    <row r="14352" spans="1:21">
      <c r="A14352">
        <v>14351</v>
      </c>
      <c r="B14352" s="27" t="s">
        <v>1124</v>
      </c>
      <c r="D14352" s="27" t="s">
        <v>1859</v>
      </c>
      <c r="F14352" s="27" t="s">
        <v>938</v>
      </c>
      <c r="G14352" s="27" t="s">
        <v>959</v>
      </c>
      <c r="H14352" s="27" t="s">
        <v>17007</v>
      </c>
      <c r="J14352" s="27" t="s">
        <v>17008</v>
      </c>
      <c r="L14352" s="27" t="s">
        <v>729</v>
      </c>
      <c r="N14352" s="27" t="s">
        <v>431</v>
      </c>
      <c r="P14352" s="27" t="s">
        <v>10057</v>
      </c>
      <c r="Q14352" s="26" t="str">
        <f>HYPERLINK("https://ictv.global/taxonomy/taxondetails?taxnode_id=202506597&amp;ictv_id=ICTV201856597","ICTV201856597")</f>
        <v>ICTV201856597</v>
      </c>
      <c r="R14352" t="s">
        <v>580</v>
      </c>
      <c r="S14352" t="s">
        <v>824</v>
      </c>
      <c r="T14352">
        <v>39</v>
      </c>
      <c r="U14352" s="26" t="str">
        <f t="shared" si="535"/>
        <v>2023.024M.Bunyaviricetes.zip</v>
      </c>
    </row>
    <row r="14353" spans="1:21">
      <c r="A14353">
        <v>14352</v>
      </c>
      <c r="B14353" s="27" t="s">
        <v>1124</v>
      </c>
      <c r="D14353" s="27" t="s">
        <v>1859</v>
      </c>
      <c r="F14353" s="27" t="s">
        <v>938</v>
      </c>
      <c r="G14353" s="27" t="s">
        <v>959</v>
      </c>
      <c r="H14353" s="27" t="s">
        <v>17007</v>
      </c>
      <c r="J14353" s="27" t="s">
        <v>17008</v>
      </c>
      <c r="L14353" s="27" t="s">
        <v>729</v>
      </c>
      <c r="N14353" s="27" t="s">
        <v>431</v>
      </c>
      <c r="P14353" s="27" t="s">
        <v>10058</v>
      </c>
      <c r="Q14353" s="26" t="str">
        <f>HYPERLINK("https://ictv.global/taxonomy/taxondetails?taxnode_id=202506378&amp;ictv_id=ICTV201856378","ICTV201856378")</f>
        <v>ICTV201856378</v>
      </c>
      <c r="R14353" t="s">
        <v>580</v>
      </c>
      <c r="S14353" t="s">
        <v>824</v>
      </c>
      <c r="T14353">
        <v>39</v>
      </c>
      <c r="U14353" s="26" t="str">
        <f t="shared" si="535"/>
        <v>2023.024M.Bunyaviricetes.zip</v>
      </c>
    </row>
    <row r="14354" spans="1:21">
      <c r="A14354">
        <v>14353</v>
      </c>
      <c r="B14354" s="27" t="s">
        <v>1124</v>
      </c>
      <c r="D14354" s="27" t="s">
        <v>1859</v>
      </c>
      <c r="F14354" s="27" t="s">
        <v>938</v>
      </c>
      <c r="G14354" s="27" t="s">
        <v>959</v>
      </c>
      <c r="H14354" s="27" t="s">
        <v>17007</v>
      </c>
      <c r="J14354" s="27" t="s">
        <v>17008</v>
      </c>
      <c r="L14354" s="27" t="s">
        <v>729</v>
      </c>
      <c r="N14354" s="27" t="s">
        <v>431</v>
      </c>
      <c r="P14354" s="27" t="s">
        <v>10059</v>
      </c>
      <c r="Q14354" s="26" t="str">
        <f>HYPERLINK("https://ictv.global/taxonomy/taxondetails?taxnode_id=202500108&amp;ictv_id=ICTV19990630","ICTV19990630")</f>
        <v>ICTV19990630</v>
      </c>
      <c r="R14354" t="s">
        <v>580</v>
      </c>
      <c r="S14354" t="s">
        <v>824</v>
      </c>
      <c r="T14354">
        <v>39</v>
      </c>
      <c r="U14354" s="26" t="str">
        <f t="shared" si="535"/>
        <v>2023.024M.Bunyaviricetes.zip</v>
      </c>
    </row>
    <row r="14355" spans="1:21">
      <c r="A14355">
        <v>14354</v>
      </c>
      <c r="B14355" s="27" t="s">
        <v>1124</v>
      </c>
      <c r="D14355" s="27" t="s">
        <v>1859</v>
      </c>
      <c r="F14355" s="27" t="s">
        <v>938</v>
      </c>
      <c r="G14355" s="27" t="s">
        <v>959</v>
      </c>
      <c r="H14355" s="27" t="s">
        <v>17007</v>
      </c>
      <c r="J14355" s="27" t="s">
        <v>17008</v>
      </c>
      <c r="L14355" s="27" t="s">
        <v>729</v>
      </c>
      <c r="N14355" s="27" t="s">
        <v>431</v>
      </c>
      <c r="P14355" s="27" t="s">
        <v>10060</v>
      </c>
      <c r="Q14355" s="26" t="str">
        <f>HYPERLINK("https://ictv.global/taxonomy/taxondetails?taxnode_id=202509321&amp;ictv_id=ICTV202009321","ICTV202009321")</f>
        <v>ICTV202009321</v>
      </c>
      <c r="R14355" t="s">
        <v>580</v>
      </c>
      <c r="S14355" t="s">
        <v>824</v>
      </c>
      <c r="T14355">
        <v>39</v>
      </c>
      <c r="U14355" s="26" t="str">
        <f t="shared" si="535"/>
        <v>2023.024M.Bunyaviricetes.zip</v>
      </c>
    </row>
    <row r="14356" spans="1:21">
      <c r="A14356">
        <v>14355</v>
      </c>
      <c r="B14356" s="27" t="s">
        <v>1124</v>
      </c>
      <c r="D14356" s="27" t="s">
        <v>1859</v>
      </c>
      <c r="F14356" s="27" t="s">
        <v>938</v>
      </c>
      <c r="G14356" s="27" t="s">
        <v>959</v>
      </c>
      <c r="H14356" s="27" t="s">
        <v>17007</v>
      </c>
      <c r="J14356" s="27" t="s">
        <v>17008</v>
      </c>
      <c r="L14356" s="27" t="s">
        <v>729</v>
      </c>
      <c r="N14356" s="27" t="s">
        <v>431</v>
      </c>
      <c r="P14356" s="27" t="s">
        <v>10061</v>
      </c>
      <c r="Q14356" s="26" t="str">
        <f>HYPERLINK("https://ictv.global/taxonomy/taxondetails?taxnode_id=202500109&amp;ictv_id=ICTV19990631","ICTV19990631")</f>
        <v>ICTV19990631</v>
      </c>
      <c r="R14356" t="s">
        <v>580</v>
      </c>
      <c r="S14356" t="s">
        <v>824</v>
      </c>
      <c r="T14356">
        <v>39</v>
      </c>
      <c r="U14356" s="26" t="str">
        <f t="shared" si="535"/>
        <v>2023.024M.Bunyaviricetes.zip</v>
      </c>
    </row>
    <row r="14357" spans="1:21">
      <c r="A14357">
        <v>14356</v>
      </c>
      <c r="B14357" s="27" t="s">
        <v>1124</v>
      </c>
      <c r="D14357" s="27" t="s">
        <v>1859</v>
      </c>
      <c r="F14357" s="27" t="s">
        <v>938</v>
      </c>
      <c r="G14357" s="27" t="s">
        <v>959</v>
      </c>
      <c r="H14357" s="27" t="s">
        <v>17007</v>
      </c>
      <c r="J14357" s="27" t="s">
        <v>17008</v>
      </c>
      <c r="L14357" s="27" t="s">
        <v>729</v>
      </c>
      <c r="N14357" s="27" t="s">
        <v>431</v>
      </c>
      <c r="P14357" s="27" t="s">
        <v>10062</v>
      </c>
      <c r="Q14357" s="26" t="str">
        <f>HYPERLINK("https://ictv.global/taxonomy/taxondetails?taxnode_id=202500110&amp;ictv_id=ICTV19990632","ICTV19990632")</f>
        <v>ICTV19990632</v>
      </c>
      <c r="R14357" t="s">
        <v>580</v>
      </c>
      <c r="S14357" t="s">
        <v>824</v>
      </c>
      <c r="T14357">
        <v>39</v>
      </c>
      <c r="U14357" s="26" t="str">
        <f t="shared" si="535"/>
        <v>2023.024M.Bunyaviricetes.zip</v>
      </c>
    </row>
    <row r="14358" spans="1:21">
      <c r="A14358">
        <v>14357</v>
      </c>
      <c r="B14358" s="27" t="s">
        <v>1124</v>
      </c>
      <c r="D14358" s="27" t="s">
        <v>1859</v>
      </c>
      <c r="F14358" s="27" t="s">
        <v>938</v>
      </c>
      <c r="G14358" s="27" t="s">
        <v>959</v>
      </c>
      <c r="H14358" s="27" t="s">
        <v>17007</v>
      </c>
      <c r="J14358" s="27" t="s">
        <v>17008</v>
      </c>
      <c r="L14358" s="27" t="s">
        <v>729</v>
      </c>
      <c r="N14358" s="27" t="s">
        <v>431</v>
      </c>
      <c r="P14358" s="27" t="s">
        <v>10063</v>
      </c>
      <c r="Q14358" s="26" t="str">
        <f>HYPERLINK("https://ictv.global/taxonomy/taxondetails?taxnode_id=202514225&amp;ictv_id=ICTV202214225","ICTV202214225")</f>
        <v>ICTV202214225</v>
      </c>
      <c r="R14358" t="s">
        <v>580</v>
      </c>
      <c r="S14358" t="s">
        <v>824</v>
      </c>
      <c r="T14358">
        <v>39</v>
      </c>
      <c r="U14358" s="26" t="str">
        <f t="shared" si="535"/>
        <v>2023.024M.Bunyaviricetes.zip</v>
      </c>
    </row>
    <row r="14359" spans="1:21">
      <c r="A14359">
        <v>14358</v>
      </c>
      <c r="B14359" s="27" t="s">
        <v>1124</v>
      </c>
      <c r="D14359" s="27" t="s">
        <v>1859</v>
      </c>
      <c r="F14359" s="27" t="s">
        <v>938</v>
      </c>
      <c r="G14359" s="27" t="s">
        <v>959</v>
      </c>
      <c r="H14359" s="27" t="s">
        <v>17007</v>
      </c>
      <c r="J14359" s="27" t="s">
        <v>17008</v>
      </c>
      <c r="L14359" s="27" t="s">
        <v>729</v>
      </c>
      <c r="N14359" s="27" t="s">
        <v>431</v>
      </c>
      <c r="P14359" s="27" t="s">
        <v>10064</v>
      </c>
      <c r="Q14359" s="26" t="str">
        <f>HYPERLINK("https://ictv.global/taxonomy/taxondetails?taxnode_id=202500111&amp;ictv_id=ICTV19760165","ICTV19760165")</f>
        <v>ICTV19760165</v>
      </c>
      <c r="R14359" t="s">
        <v>580</v>
      </c>
      <c r="S14359" t="s">
        <v>824</v>
      </c>
      <c r="T14359">
        <v>39</v>
      </c>
      <c r="U14359" s="26" t="str">
        <f t="shared" si="535"/>
        <v>2023.024M.Bunyaviricetes.zip</v>
      </c>
    </row>
    <row r="14360" spans="1:21">
      <c r="A14360">
        <v>14359</v>
      </c>
      <c r="B14360" s="27" t="s">
        <v>1124</v>
      </c>
      <c r="D14360" s="27" t="s">
        <v>1859</v>
      </c>
      <c r="F14360" s="27" t="s">
        <v>938</v>
      </c>
      <c r="G14360" s="27" t="s">
        <v>959</v>
      </c>
      <c r="H14360" s="27" t="s">
        <v>17007</v>
      </c>
      <c r="J14360" s="27" t="s">
        <v>17008</v>
      </c>
      <c r="L14360" s="27" t="s">
        <v>729</v>
      </c>
      <c r="N14360" s="27" t="s">
        <v>431</v>
      </c>
      <c r="P14360" s="27" t="s">
        <v>10065</v>
      </c>
      <c r="Q14360" s="26" t="str">
        <f>HYPERLINK("https://ictv.global/taxonomy/taxondetails?taxnode_id=202514231&amp;ictv_id=ICTV202214231","ICTV202214231")</f>
        <v>ICTV202214231</v>
      </c>
      <c r="R14360" t="s">
        <v>580</v>
      </c>
      <c r="S14360" t="s">
        <v>824</v>
      </c>
      <c r="T14360">
        <v>39</v>
      </c>
      <c r="U14360" s="26" t="str">
        <f t="shared" si="535"/>
        <v>2023.024M.Bunyaviricetes.zip</v>
      </c>
    </row>
    <row r="14361" spans="1:21">
      <c r="A14361">
        <v>14360</v>
      </c>
      <c r="B14361" s="27" t="s">
        <v>1124</v>
      </c>
      <c r="D14361" s="27" t="s">
        <v>1859</v>
      </c>
      <c r="F14361" s="27" t="s">
        <v>938</v>
      </c>
      <c r="G14361" s="27" t="s">
        <v>959</v>
      </c>
      <c r="H14361" s="27" t="s">
        <v>17007</v>
      </c>
      <c r="J14361" s="27" t="s">
        <v>17008</v>
      </c>
      <c r="L14361" s="27" t="s">
        <v>729</v>
      </c>
      <c r="N14361" s="27" t="s">
        <v>431</v>
      </c>
      <c r="P14361" s="27" t="s">
        <v>10066</v>
      </c>
      <c r="Q14361" s="26" t="str">
        <f>HYPERLINK("https://ictv.global/taxonomy/taxondetails?taxnode_id=202514246&amp;ictv_id=ICTV202214246","ICTV202214246")</f>
        <v>ICTV202214246</v>
      </c>
      <c r="R14361" t="s">
        <v>580</v>
      </c>
      <c r="S14361" t="s">
        <v>824</v>
      </c>
      <c r="T14361">
        <v>39</v>
      </c>
      <c r="U14361" s="26" t="str">
        <f t="shared" si="535"/>
        <v>2023.024M.Bunyaviricetes.zip</v>
      </c>
    </row>
    <row r="14362" spans="1:21">
      <c r="A14362">
        <v>14361</v>
      </c>
      <c r="B14362" s="27" t="s">
        <v>1124</v>
      </c>
      <c r="D14362" s="27" t="s">
        <v>1859</v>
      </c>
      <c r="F14362" s="27" t="s">
        <v>938</v>
      </c>
      <c r="G14362" s="27" t="s">
        <v>959</v>
      </c>
      <c r="H14362" s="27" t="s">
        <v>17007</v>
      </c>
      <c r="J14362" s="27" t="s">
        <v>17008</v>
      </c>
      <c r="L14362" s="27" t="s">
        <v>729</v>
      </c>
      <c r="N14362" s="27" t="s">
        <v>431</v>
      </c>
      <c r="P14362" s="27" t="s">
        <v>10067</v>
      </c>
      <c r="Q14362" s="26" t="str">
        <f>HYPERLINK("https://ictv.global/taxonomy/taxondetails?taxnode_id=202500092&amp;ictv_id=ICTV19990614","ICTV19990614")</f>
        <v>ICTV19990614</v>
      </c>
      <c r="R14362" t="s">
        <v>580</v>
      </c>
      <c r="S14362" t="s">
        <v>824</v>
      </c>
      <c r="T14362">
        <v>39</v>
      </c>
      <c r="U14362" s="26" t="str">
        <f t="shared" si="535"/>
        <v>2023.024M.Bunyaviricetes.zip</v>
      </c>
    </row>
    <row r="14363" spans="1:21">
      <c r="A14363">
        <v>14362</v>
      </c>
      <c r="B14363" s="27" t="s">
        <v>1124</v>
      </c>
      <c r="D14363" s="27" t="s">
        <v>1859</v>
      </c>
      <c r="F14363" s="27" t="s">
        <v>938</v>
      </c>
      <c r="G14363" s="27" t="s">
        <v>959</v>
      </c>
      <c r="H14363" s="27" t="s">
        <v>17007</v>
      </c>
      <c r="J14363" s="27" t="s">
        <v>17008</v>
      </c>
      <c r="L14363" s="27" t="s">
        <v>729</v>
      </c>
      <c r="N14363" s="27" t="s">
        <v>431</v>
      </c>
      <c r="P14363" s="27" t="s">
        <v>10068</v>
      </c>
      <c r="Q14363" s="26" t="str">
        <f>HYPERLINK("https://ictv.global/taxonomy/taxondetails?taxnode_id=202506385&amp;ictv_id=ICTV201856385","ICTV201856385")</f>
        <v>ICTV201856385</v>
      </c>
      <c r="R14363" t="s">
        <v>580</v>
      </c>
      <c r="S14363" t="s">
        <v>824</v>
      </c>
      <c r="T14363">
        <v>39</v>
      </c>
      <c r="U14363" s="26" t="str">
        <f t="shared" si="535"/>
        <v>2023.024M.Bunyaviricetes.zip</v>
      </c>
    </row>
    <row r="14364" spans="1:21">
      <c r="A14364">
        <v>14363</v>
      </c>
      <c r="B14364" s="27" t="s">
        <v>1124</v>
      </c>
      <c r="D14364" s="27" t="s">
        <v>1859</v>
      </c>
      <c r="F14364" s="27" t="s">
        <v>938</v>
      </c>
      <c r="G14364" s="27" t="s">
        <v>959</v>
      </c>
      <c r="H14364" s="27" t="s">
        <v>17007</v>
      </c>
      <c r="J14364" s="27" t="s">
        <v>17008</v>
      </c>
      <c r="L14364" s="27" t="s">
        <v>729</v>
      </c>
      <c r="N14364" s="27" t="s">
        <v>431</v>
      </c>
      <c r="P14364" s="27" t="s">
        <v>10069</v>
      </c>
      <c r="Q14364" s="26" t="str">
        <f>HYPERLINK("https://ictv.global/taxonomy/taxondetails?taxnode_id=202506360&amp;ictv_id=ICTV201856360","ICTV201856360")</f>
        <v>ICTV201856360</v>
      </c>
      <c r="R14364" t="s">
        <v>580</v>
      </c>
      <c r="S14364" t="s">
        <v>824</v>
      </c>
      <c r="T14364">
        <v>39</v>
      </c>
      <c r="U14364" s="26" t="str">
        <f t="shared" si="535"/>
        <v>2023.024M.Bunyaviricetes.zip</v>
      </c>
    </row>
    <row r="14365" spans="1:21">
      <c r="A14365">
        <v>14364</v>
      </c>
      <c r="B14365" s="27" t="s">
        <v>1124</v>
      </c>
      <c r="D14365" s="27" t="s">
        <v>1859</v>
      </c>
      <c r="F14365" s="27" t="s">
        <v>938</v>
      </c>
      <c r="G14365" s="27" t="s">
        <v>959</v>
      </c>
      <c r="H14365" s="27" t="s">
        <v>17007</v>
      </c>
      <c r="J14365" s="27" t="s">
        <v>17008</v>
      </c>
      <c r="L14365" s="27" t="s">
        <v>729</v>
      </c>
      <c r="N14365" s="27" t="s">
        <v>431</v>
      </c>
      <c r="P14365" s="27" t="s">
        <v>20455</v>
      </c>
      <c r="Q14365" s="26" t="str">
        <f>HYPERLINK("https://ictv.global/taxonomy/taxondetails?taxnode_id=202520464&amp;ictv_id=ICTV202420464","ICTV202420464")</f>
        <v>ICTV202420464</v>
      </c>
      <c r="R14365" t="s">
        <v>580</v>
      </c>
      <c r="S14365" t="s">
        <v>823</v>
      </c>
      <c r="T14365">
        <v>40</v>
      </c>
      <c r="U14365" s="26" t="str">
        <f>HYPERLINK("https://ictv.global/ictv/proposals/2024.010M.orthobunyavirus_4nsp.zip","2024.010M.orthobunyavirus_4nsp.zip")</f>
        <v>2024.010M.orthobunyavirus_4nsp.zip</v>
      </c>
    </row>
    <row r="14366" spans="1:21">
      <c r="A14366">
        <v>14365</v>
      </c>
      <c r="B14366" s="27" t="s">
        <v>1124</v>
      </c>
      <c r="D14366" s="27" t="s">
        <v>1859</v>
      </c>
      <c r="F14366" s="27" t="s">
        <v>938</v>
      </c>
      <c r="G14366" s="27" t="s">
        <v>959</v>
      </c>
      <c r="H14366" s="27" t="s">
        <v>17007</v>
      </c>
      <c r="J14366" s="27" t="s">
        <v>17008</v>
      </c>
      <c r="L14366" s="27" t="s">
        <v>729</v>
      </c>
      <c r="N14366" s="27" t="s">
        <v>431</v>
      </c>
      <c r="P14366" s="27" t="s">
        <v>10070</v>
      </c>
      <c r="Q14366" s="26" t="str">
        <f>HYPERLINK("https://ictv.global/taxonomy/taxondetails?taxnode_id=202514245&amp;ictv_id=ICTV202214245","ICTV202214245")</f>
        <v>ICTV202214245</v>
      </c>
      <c r="R14366" t="s">
        <v>580</v>
      </c>
      <c r="S14366" t="s">
        <v>824</v>
      </c>
      <c r="T14366">
        <v>39</v>
      </c>
      <c r="U14366" s="26" t="str">
        <f t="shared" ref="U14366:U14382" si="536">HYPERLINK("https://ictv.global/ictv/proposals/2023.024M.Bunyaviricetes.zip","2023.024M.Bunyaviricetes.zip")</f>
        <v>2023.024M.Bunyaviricetes.zip</v>
      </c>
    </row>
    <row r="14367" spans="1:21">
      <c r="A14367">
        <v>14366</v>
      </c>
      <c r="B14367" s="27" t="s">
        <v>1124</v>
      </c>
      <c r="D14367" s="27" t="s">
        <v>1859</v>
      </c>
      <c r="F14367" s="27" t="s">
        <v>938</v>
      </c>
      <c r="G14367" s="27" t="s">
        <v>959</v>
      </c>
      <c r="H14367" s="27" t="s">
        <v>17007</v>
      </c>
      <c r="J14367" s="27" t="s">
        <v>17008</v>
      </c>
      <c r="L14367" s="27" t="s">
        <v>729</v>
      </c>
      <c r="N14367" s="27" t="s">
        <v>431</v>
      </c>
      <c r="P14367" s="27" t="s">
        <v>10071</v>
      </c>
      <c r="Q14367" s="26" t="str">
        <f>HYPERLINK("https://ictv.global/taxonomy/taxondetails?taxnode_id=202506376&amp;ictv_id=ICTV201856376","ICTV201856376")</f>
        <v>ICTV201856376</v>
      </c>
      <c r="R14367" t="s">
        <v>580</v>
      </c>
      <c r="S14367" t="s">
        <v>824</v>
      </c>
      <c r="T14367">
        <v>39</v>
      </c>
      <c r="U14367" s="26" t="str">
        <f t="shared" si="536"/>
        <v>2023.024M.Bunyaviricetes.zip</v>
      </c>
    </row>
    <row r="14368" spans="1:21">
      <c r="A14368">
        <v>14367</v>
      </c>
      <c r="B14368" s="27" t="s">
        <v>1124</v>
      </c>
      <c r="D14368" s="27" t="s">
        <v>1859</v>
      </c>
      <c r="F14368" s="27" t="s">
        <v>938</v>
      </c>
      <c r="G14368" s="27" t="s">
        <v>959</v>
      </c>
      <c r="H14368" s="27" t="s">
        <v>17007</v>
      </c>
      <c r="J14368" s="27" t="s">
        <v>17008</v>
      </c>
      <c r="L14368" s="27" t="s">
        <v>729</v>
      </c>
      <c r="N14368" s="27" t="s">
        <v>431</v>
      </c>
      <c r="P14368" s="27" t="s">
        <v>10072</v>
      </c>
      <c r="Q14368" s="26" t="str">
        <f>HYPERLINK("https://ictv.global/taxonomy/taxondetails?taxnode_id=202500113&amp;ictv_id=ICTV19760176","ICTV19760176")</f>
        <v>ICTV19760176</v>
      </c>
      <c r="R14368" t="s">
        <v>580</v>
      </c>
      <c r="S14368" t="s">
        <v>824</v>
      </c>
      <c r="T14368">
        <v>39</v>
      </c>
      <c r="U14368" s="26" t="str">
        <f t="shared" si="536"/>
        <v>2023.024M.Bunyaviricetes.zip</v>
      </c>
    </row>
    <row r="14369" spans="1:21">
      <c r="A14369">
        <v>14368</v>
      </c>
      <c r="B14369" s="27" t="s">
        <v>1124</v>
      </c>
      <c r="D14369" s="27" t="s">
        <v>1859</v>
      </c>
      <c r="F14369" s="27" t="s">
        <v>938</v>
      </c>
      <c r="G14369" s="27" t="s">
        <v>959</v>
      </c>
      <c r="H14369" s="27" t="s">
        <v>17007</v>
      </c>
      <c r="J14369" s="27" t="s">
        <v>17008</v>
      </c>
      <c r="L14369" s="27" t="s">
        <v>729</v>
      </c>
      <c r="N14369" s="27" t="s">
        <v>431</v>
      </c>
      <c r="P14369" s="27" t="s">
        <v>10073</v>
      </c>
      <c r="Q14369" s="26" t="str">
        <f>HYPERLINK("https://ictv.global/taxonomy/taxondetails?taxnode_id=202506364&amp;ictv_id=ICTV201856364","ICTV201856364")</f>
        <v>ICTV201856364</v>
      </c>
      <c r="R14369" t="s">
        <v>580</v>
      </c>
      <c r="S14369" t="s">
        <v>824</v>
      </c>
      <c r="T14369">
        <v>39</v>
      </c>
      <c r="U14369" s="26" t="str">
        <f t="shared" si="536"/>
        <v>2023.024M.Bunyaviricetes.zip</v>
      </c>
    </row>
    <row r="14370" spans="1:21">
      <c r="A14370">
        <v>14369</v>
      </c>
      <c r="B14370" s="27" t="s">
        <v>1124</v>
      </c>
      <c r="D14370" s="27" t="s">
        <v>1859</v>
      </c>
      <c r="F14370" s="27" t="s">
        <v>938</v>
      </c>
      <c r="G14370" s="27" t="s">
        <v>959</v>
      </c>
      <c r="H14370" s="27" t="s">
        <v>17007</v>
      </c>
      <c r="J14370" s="27" t="s">
        <v>17008</v>
      </c>
      <c r="L14370" s="27" t="s">
        <v>729</v>
      </c>
      <c r="N14370" s="27" t="s">
        <v>431</v>
      </c>
      <c r="P14370" s="27" t="s">
        <v>10074</v>
      </c>
      <c r="Q14370" s="26" t="str">
        <f>HYPERLINK("https://ictv.global/taxonomy/taxondetails?taxnode_id=202506388&amp;ictv_id=ICTV201856388","ICTV201856388")</f>
        <v>ICTV201856388</v>
      </c>
      <c r="R14370" t="s">
        <v>580</v>
      </c>
      <c r="S14370" t="s">
        <v>824</v>
      </c>
      <c r="T14370">
        <v>39</v>
      </c>
      <c r="U14370" s="26" t="str">
        <f t="shared" si="536"/>
        <v>2023.024M.Bunyaviricetes.zip</v>
      </c>
    </row>
    <row r="14371" spans="1:21">
      <c r="A14371">
        <v>14370</v>
      </c>
      <c r="B14371" s="27" t="s">
        <v>1124</v>
      </c>
      <c r="D14371" s="27" t="s">
        <v>1859</v>
      </c>
      <c r="F14371" s="27" t="s">
        <v>938</v>
      </c>
      <c r="G14371" s="27" t="s">
        <v>959</v>
      </c>
      <c r="H14371" s="27" t="s">
        <v>17007</v>
      </c>
      <c r="J14371" s="27" t="s">
        <v>17008</v>
      </c>
      <c r="L14371" s="27" t="s">
        <v>729</v>
      </c>
      <c r="N14371" s="27" t="s">
        <v>431</v>
      </c>
      <c r="P14371" s="27" t="s">
        <v>10075</v>
      </c>
      <c r="Q14371" s="26" t="str">
        <f>HYPERLINK("https://ictv.global/taxonomy/taxondetails?taxnode_id=202514230&amp;ictv_id=ICTV202214230","ICTV202214230")</f>
        <v>ICTV202214230</v>
      </c>
      <c r="R14371" t="s">
        <v>580</v>
      </c>
      <c r="S14371" t="s">
        <v>824</v>
      </c>
      <c r="T14371">
        <v>39</v>
      </c>
      <c r="U14371" s="26" t="str">
        <f t="shared" si="536"/>
        <v>2023.024M.Bunyaviricetes.zip</v>
      </c>
    </row>
    <row r="14372" spans="1:21">
      <c r="A14372">
        <v>14371</v>
      </c>
      <c r="B14372" s="27" t="s">
        <v>1124</v>
      </c>
      <c r="D14372" s="27" t="s">
        <v>1859</v>
      </c>
      <c r="F14372" s="27" t="s">
        <v>938</v>
      </c>
      <c r="G14372" s="27" t="s">
        <v>959</v>
      </c>
      <c r="H14372" s="27" t="s">
        <v>17007</v>
      </c>
      <c r="J14372" s="27" t="s">
        <v>17008</v>
      </c>
      <c r="L14372" s="27" t="s">
        <v>729</v>
      </c>
      <c r="N14372" s="27" t="s">
        <v>431</v>
      </c>
      <c r="P14372" s="27" t="s">
        <v>10076</v>
      </c>
      <c r="Q14372" s="26" t="str">
        <f>HYPERLINK("https://ictv.global/taxonomy/taxondetails?taxnode_id=202500112&amp;ictv_id=ICTV20073336","ICTV20073336")</f>
        <v>ICTV20073336</v>
      </c>
      <c r="R14372" t="s">
        <v>580</v>
      </c>
      <c r="S14372" t="s">
        <v>824</v>
      </c>
      <c r="T14372">
        <v>39</v>
      </c>
      <c r="U14372" s="26" t="str">
        <f t="shared" si="536"/>
        <v>2023.024M.Bunyaviricetes.zip</v>
      </c>
    </row>
    <row r="14373" spans="1:21">
      <c r="A14373">
        <v>14372</v>
      </c>
      <c r="B14373" s="27" t="s">
        <v>1124</v>
      </c>
      <c r="D14373" s="27" t="s">
        <v>1859</v>
      </c>
      <c r="F14373" s="27" t="s">
        <v>938</v>
      </c>
      <c r="G14373" s="27" t="s">
        <v>959</v>
      </c>
      <c r="H14373" s="27" t="s">
        <v>17007</v>
      </c>
      <c r="J14373" s="27" t="s">
        <v>17008</v>
      </c>
      <c r="L14373" s="27" t="s">
        <v>729</v>
      </c>
      <c r="N14373" s="27" t="s">
        <v>431</v>
      </c>
      <c r="P14373" s="27" t="s">
        <v>10077</v>
      </c>
      <c r="Q14373" s="26" t="str">
        <f>HYPERLINK("https://ictv.global/taxonomy/taxondetails?taxnode_id=202500116&amp;ictv_id=ICTV19760184","ICTV19760184")</f>
        <v>ICTV19760184</v>
      </c>
      <c r="R14373" t="s">
        <v>580</v>
      </c>
      <c r="S14373" t="s">
        <v>824</v>
      </c>
      <c r="T14373">
        <v>39</v>
      </c>
      <c r="U14373" s="26" t="str">
        <f t="shared" si="536"/>
        <v>2023.024M.Bunyaviricetes.zip</v>
      </c>
    </row>
    <row r="14374" spans="1:21">
      <c r="A14374">
        <v>14373</v>
      </c>
      <c r="B14374" s="27" t="s">
        <v>1124</v>
      </c>
      <c r="D14374" s="27" t="s">
        <v>1859</v>
      </c>
      <c r="F14374" s="27" t="s">
        <v>938</v>
      </c>
      <c r="G14374" s="27" t="s">
        <v>959</v>
      </c>
      <c r="H14374" s="27" t="s">
        <v>17007</v>
      </c>
      <c r="J14374" s="27" t="s">
        <v>17008</v>
      </c>
      <c r="L14374" s="27" t="s">
        <v>729</v>
      </c>
      <c r="N14374" s="27" t="s">
        <v>431</v>
      </c>
      <c r="P14374" s="27" t="s">
        <v>10078</v>
      </c>
      <c r="Q14374" s="26" t="str">
        <f>HYPERLINK("https://ictv.global/taxonomy/taxondetails?taxnode_id=202514222&amp;ictv_id=ICTV202214222","ICTV202214222")</f>
        <v>ICTV202214222</v>
      </c>
      <c r="R14374" t="s">
        <v>580</v>
      </c>
      <c r="S14374" t="s">
        <v>824</v>
      </c>
      <c r="T14374">
        <v>39</v>
      </c>
      <c r="U14374" s="26" t="str">
        <f t="shared" si="536"/>
        <v>2023.024M.Bunyaviricetes.zip</v>
      </c>
    </row>
    <row r="14375" spans="1:21">
      <c r="A14375">
        <v>14374</v>
      </c>
      <c r="B14375" s="27" t="s">
        <v>1124</v>
      </c>
      <c r="D14375" s="27" t="s">
        <v>1859</v>
      </c>
      <c r="F14375" s="27" t="s">
        <v>938</v>
      </c>
      <c r="G14375" s="27" t="s">
        <v>959</v>
      </c>
      <c r="H14375" s="27" t="s">
        <v>17007</v>
      </c>
      <c r="J14375" s="27" t="s">
        <v>17008</v>
      </c>
      <c r="L14375" s="27" t="s">
        <v>729</v>
      </c>
      <c r="N14375" s="27" t="s">
        <v>431</v>
      </c>
      <c r="P14375" s="27" t="s">
        <v>10079</v>
      </c>
      <c r="Q14375" s="26" t="str">
        <f>HYPERLINK("https://ictv.global/taxonomy/taxondetails?taxnode_id=202506365&amp;ictv_id=ICTV201856365","ICTV201856365")</f>
        <v>ICTV201856365</v>
      </c>
      <c r="R14375" t="s">
        <v>580</v>
      </c>
      <c r="S14375" t="s">
        <v>824</v>
      </c>
      <c r="T14375">
        <v>39</v>
      </c>
      <c r="U14375" s="26" t="str">
        <f t="shared" si="536"/>
        <v>2023.024M.Bunyaviricetes.zip</v>
      </c>
    </row>
    <row r="14376" spans="1:21">
      <c r="A14376">
        <v>14375</v>
      </c>
      <c r="B14376" s="27" t="s">
        <v>1124</v>
      </c>
      <c r="D14376" s="27" t="s">
        <v>1859</v>
      </c>
      <c r="F14376" s="27" t="s">
        <v>938</v>
      </c>
      <c r="G14376" s="27" t="s">
        <v>959</v>
      </c>
      <c r="H14376" s="27" t="s">
        <v>17007</v>
      </c>
      <c r="J14376" s="27" t="s">
        <v>17008</v>
      </c>
      <c r="L14376" s="27" t="s">
        <v>729</v>
      </c>
      <c r="N14376" s="27" t="s">
        <v>431</v>
      </c>
      <c r="P14376" s="27" t="s">
        <v>10080</v>
      </c>
      <c r="Q14376" s="26" t="str">
        <f>HYPERLINK("https://ictv.global/taxonomy/taxondetails?taxnode_id=202506371&amp;ictv_id=ICTV201856371","ICTV201856371")</f>
        <v>ICTV201856371</v>
      </c>
      <c r="R14376" t="s">
        <v>580</v>
      </c>
      <c r="S14376" t="s">
        <v>824</v>
      </c>
      <c r="T14376">
        <v>39</v>
      </c>
      <c r="U14376" s="26" t="str">
        <f t="shared" si="536"/>
        <v>2023.024M.Bunyaviricetes.zip</v>
      </c>
    </row>
    <row r="14377" spans="1:21">
      <c r="A14377">
        <v>14376</v>
      </c>
      <c r="B14377" s="27" t="s">
        <v>1124</v>
      </c>
      <c r="D14377" s="27" t="s">
        <v>1859</v>
      </c>
      <c r="F14377" s="27" t="s">
        <v>938</v>
      </c>
      <c r="G14377" s="27" t="s">
        <v>959</v>
      </c>
      <c r="H14377" s="27" t="s">
        <v>17007</v>
      </c>
      <c r="J14377" s="27" t="s">
        <v>17008</v>
      </c>
      <c r="L14377" s="27" t="s">
        <v>729</v>
      </c>
      <c r="N14377" s="27" t="s">
        <v>431</v>
      </c>
      <c r="P14377" s="27" t="s">
        <v>10081</v>
      </c>
      <c r="Q14377" s="26" t="str">
        <f>HYPERLINK("https://ictv.global/taxonomy/taxondetails?taxnode_id=202500114&amp;ictv_id=ICTV19990635","ICTV19990635")</f>
        <v>ICTV19990635</v>
      </c>
      <c r="R14377" t="s">
        <v>580</v>
      </c>
      <c r="S14377" t="s">
        <v>824</v>
      </c>
      <c r="T14377">
        <v>39</v>
      </c>
      <c r="U14377" s="26" t="str">
        <f t="shared" si="536"/>
        <v>2023.024M.Bunyaviricetes.zip</v>
      </c>
    </row>
    <row r="14378" spans="1:21">
      <c r="A14378">
        <v>14377</v>
      </c>
      <c r="B14378" s="27" t="s">
        <v>1124</v>
      </c>
      <c r="D14378" s="27" t="s">
        <v>1859</v>
      </c>
      <c r="F14378" s="27" t="s">
        <v>938</v>
      </c>
      <c r="G14378" s="27" t="s">
        <v>959</v>
      </c>
      <c r="H14378" s="27" t="s">
        <v>17007</v>
      </c>
      <c r="J14378" s="27" t="s">
        <v>17008</v>
      </c>
      <c r="L14378" s="27" t="s">
        <v>729</v>
      </c>
      <c r="N14378" s="27" t="s">
        <v>431</v>
      </c>
      <c r="P14378" s="27" t="s">
        <v>10082</v>
      </c>
      <c r="Q14378" s="26" t="str">
        <f>HYPERLINK("https://ictv.global/taxonomy/taxondetails?taxnode_id=202514239&amp;ictv_id=ICTV202214239","ICTV202214239")</f>
        <v>ICTV202214239</v>
      </c>
      <c r="R14378" t="s">
        <v>580</v>
      </c>
      <c r="S14378" t="s">
        <v>824</v>
      </c>
      <c r="T14378">
        <v>39</v>
      </c>
      <c r="U14378" s="26" t="str">
        <f t="shared" si="536"/>
        <v>2023.024M.Bunyaviricetes.zip</v>
      </c>
    </row>
    <row r="14379" spans="1:21">
      <c r="A14379">
        <v>14378</v>
      </c>
      <c r="B14379" s="27" t="s">
        <v>1124</v>
      </c>
      <c r="D14379" s="27" t="s">
        <v>1859</v>
      </c>
      <c r="F14379" s="27" t="s">
        <v>938</v>
      </c>
      <c r="G14379" s="27" t="s">
        <v>959</v>
      </c>
      <c r="H14379" s="27" t="s">
        <v>17007</v>
      </c>
      <c r="J14379" s="27" t="s">
        <v>17008</v>
      </c>
      <c r="L14379" s="27" t="s">
        <v>729</v>
      </c>
      <c r="N14379" s="27" t="s">
        <v>431</v>
      </c>
      <c r="P14379" s="27" t="s">
        <v>10083</v>
      </c>
      <c r="Q14379" s="26" t="str">
        <f>HYPERLINK("https://ictv.global/taxonomy/taxondetails?taxnode_id=202506366&amp;ictv_id=ICTV201856366","ICTV201856366")</f>
        <v>ICTV201856366</v>
      </c>
      <c r="R14379" t="s">
        <v>580</v>
      </c>
      <c r="S14379" t="s">
        <v>824</v>
      </c>
      <c r="T14379">
        <v>39</v>
      </c>
      <c r="U14379" s="26" t="str">
        <f t="shared" si="536"/>
        <v>2023.024M.Bunyaviricetes.zip</v>
      </c>
    </row>
    <row r="14380" spans="1:21">
      <c r="A14380">
        <v>14379</v>
      </c>
      <c r="B14380" s="27" t="s">
        <v>1124</v>
      </c>
      <c r="D14380" s="27" t="s">
        <v>1859</v>
      </c>
      <c r="F14380" s="27" t="s">
        <v>938</v>
      </c>
      <c r="G14380" s="27" t="s">
        <v>959</v>
      </c>
      <c r="H14380" s="27" t="s">
        <v>17007</v>
      </c>
      <c r="J14380" s="27" t="s">
        <v>17008</v>
      </c>
      <c r="L14380" s="27" t="s">
        <v>729</v>
      </c>
      <c r="N14380" s="27" t="s">
        <v>431</v>
      </c>
      <c r="P14380" s="27" t="s">
        <v>10084</v>
      </c>
      <c r="Q14380" s="26" t="str">
        <f>HYPERLINK("https://ictv.global/taxonomy/taxondetails?taxnode_id=202514248&amp;ictv_id=ICTV202214248","ICTV202214248")</f>
        <v>ICTV202214248</v>
      </c>
      <c r="R14380" t="s">
        <v>580</v>
      </c>
      <c r="S14380" t="s">
        <v>824</v>
      </c>
      <c r="T14380">
        <v>39</v>
      </c>
      <c r="U14380" s="26" t="str">
        <f t="shared" si="536"/>
        <v>2023.024M.Bunyaviricetes.zip</v>
      </c>
    </row>
    <row r="14381" spans="1:21">
      <c r="A14381">
        <v>14380</v>
      </c>
      <c r="B14381" s="27" t="s">
        <v>1124</v>
      </c>
      <c r="D14381" s="27" t="s">
        <v>1859</v>
      </c>
      <c r="F14381" s="27" t="s">
        <v>938</v>
      </c>
      <c r="G14381" s="27" t="s">
        <v>959</v>
      </c>
      <c r="H14381" s="27" t="s">
        <v>17007</v>
      </c>
      <c r="J14381" s="27" t="s">
        <v>17008</v>
      </c>
      <c r="L14381" s="27" t="s">
        <v>729</v>
      </c>
      <c r="N14381" s="27" t="s">
        <v>431</v>
      </c>
      <c r="P14381" s="27" t="s">
        <v>10085</v>
      </c>
      <c r="Q14381" s="26" t="str">
        <f>HYPERLINK("https://ictv.global/taxonomy/taxondetails?taxnode_id=202506389&amp;ictv_id=ICTV201856389","ICTV201856389")</f>
        <v>ICTV201856389</v>
      </c>
      <c r="R14381" t="s">
        <v>580</v>
      </c>
      <c r="S14381" t="s">
        <v>824</v>
      </c>
      <c r="T14381">
        <v>39</v>
      </c>
      <c r="U14381" s="26" t="str">
        <f t="shared" si="536"/>
        <v>2023.024M.Bunyaviricetes.zip</v>
      </c>
    </row>
    <row r="14382" spans="1:21">
      <c r="A14382">
        <v>14381</v>
      </c>
      <c r="B14382" s="27" t="s">
        <v>1124</v>
      </c>
      <c r="D14382" s="27" t="s">
        <v>1859</v>
      </c>
      <c r="F14382" s="27" t="s">
        <v>938</v>
      </c>
      <c r="G14382" s="27" t="s">
        <v>959</v>
      </c>
      <c r="H14382" s="27" t="s">
        <v>17007</v>
      </c>
      <c r="J14382" s="27" t="s">
        <v>17008</v>
      </c>
      <c r="L14382" s="27" t="s">
        <v>729</v>
      </c>
      <c r="N14382" s="27" t="s">
        <v>431</v>
      </c>
      <c r="P14382" s="27" t="s">
        <v>10086</v>
      </c>
      <c r="Q14382" s="26" t="str">
        <f>HYPERLINK("https://ictv.global/taxonomy/taxondetails?taxnode_id=202514233&amp;ictv_id=ICTV202214233","ICTV202214233")</f>
        <v>ICTV202214233</v>
      </c>
      <c r="R14382" t="s">
        <v>580</v>
      </c>
      <c r="S14382" t="s">
        <v>824</v>
      </c>
      <c r="T14382">
        <v>39</v>
      </c>
      <c r="U14382" s="26" t="str">
        <f t="shared" si="536"/>
        <v>2023.024M.Bunyaviricetes.zip</v>
      </c>
    </row>
    <row r="14383" spans="1:21">
      <c r="A14383">
        <v>14382</v>
      </c>
      <c r="B14383" s="27" t="s">
        <v>1124</v>
      </c>
      <c r="D14383" s="27" t="s">
        <v>1859</v>
      </c>
      <c r="F14383" s="27" t="s">
        <v>938</v>
      </c>
      <c r="G14383" s="27" t="s">
        <v>959</v>
      </c>
      <c r="H14383" s="27" t="s">
        <v>17007</v>
      </c>
      <c r="J14383" s="27" t="s">
        <v>17008</v>
      </c>
      <c r="L14383" s="27" t="s">
        <v>729</v>
      </c>
      <c r="N14383" s="27" t="s">
        <v>431</v>
      </c>
      <c r="P14383" s="27" t="s">
        <v>20456</v>
      </c>
      <c r="Q14383" s="26" t="str">
        <f>HYPERLINK("https://ictv.global/taxonomy/taxondetails?taxnode_id=202520463&amp;ictv_id=ICTV202420463","ICTV202420463")</f>
        <v>ICTV202420463</v>
      </c>
      <c r="R14383" t="s">
        <v>580</v>
      </c>
      <c r="S14383" t="s">
        <v>823</v>
      </c>
      <c r="T14383">
        <v>40</v>
      </c>
      <c r="U14383" s="26" t="str">
        <f>HYPERLINK("https://ictv.global/ictv/proposals/2024.010M.orthobunyavirus_4nsp.zip","2024.010M.orthobunyavirus_4nsp.zip")</f>
        <v>2024.010M.orthobunyavirus_4nsp.zip</v>
      </c>
    </row>
    <row r="14384" spans="1:21">
      <c r="A14384">
        <v>14383</v>
      </c>
      <c r="B14384" s="27" t="s">
        <v>1124</v>
      </c>
      <c r="D14384" s="27" t="s">
        <v>1859</v>
      </c>
      <c r="F14384" s="27" t="s">
        <v>938</v>
      </c>
      <c r="G14384" s="27" t="s">
        <v>959</v>
      </c>
      <c r="H14384" s="27" t="s">
        <v>17007</v>
      </c>
      <c r="J14384" s="27" t="s">
        <v>17008</v>
      </c>
      <c r="L14384" s="27" t="s">
        <v>729</v>
      </c>
      <c r="N14384" s="27" t="s">
        <v>431</v>
      </c>
      <c r="P14384" s="27" t="s">
        <v>10087</v>
      </c>
      <c r="Q14384" s="26" t="str">
        <f>HYPERLINK("https://ictv.global/taxonomy/taxondetails?taxnode_id=202514249&amp;ictv_id=ICTV202214249","ICTV202214249")</f>
        <v>ICTV202214249</v>
      </c>
      <c r="R14384" t="s">
        <v>580</v>
      </c>
      <c r="S14384" t="s">
        <v>824</v>
      </c>
      <c r="T14384">
        <v>39</v>
      </c>
      <c r="U14384" s="26" t="str">
        <f t="shared" ref="U14384:U14411" si="537">HYPERLINK("https://ictv.global/ictv/proposals/2023.024M.Bunyaviricetes.zip","2023.024M.Bunyaviricetes.zip")</f>
        <v>2023.024M.Bunyaviricetes.zip</v>
      </c>
    </row>
    <row r="14385" spans="1:21">
      <c r="A14385">
        <v>14384</v>
      </c>
      <c r="B14385" s="27" t="s">
        <v>1124</v>
      </c>
      <c r="D14385" s="27" t="s">
        <v>1859</v>
      </c>
      <c r="F14385" s="27" t="s">
        <v>938</v>
      </c>
      <c r="G14385" s="27" t="s">
        <v>959</v>
      </c>
      <c r="H14385" s="27" t="s">
        <v>17007</v>
      </c>
      <c r="J14385" s="27" t="s">
        <v>17008</v>
      </c>
      <c r="L14385" s="27" t="s">
        <v>729</v>
      </c>
      <c r="N14385" s="27" t="s">
        <v>431</v>
      </c>
      <c r="P14385" s="27" t="s">
        <v>10088</v>
      </c>
      <c r="Q14385" s="26" t="str">
        <f>HYPERLINK("https://ictv.global/taxonomy/taxondetails?taxnode_id=202506367&amp;ictv_id=ICTV201856367","ICTV201856367")</f>
        <v>ICTV201856367</v>
      </c>
      <c r="R14385" t="s">
        <v>580</v>
      </c>
      <c r="S14385" t="s">
        <v>824</v>
      </c>
      <c r="T14385">
        <v>39</v>
      </c>
      <c r="U14385" s="26" t="str">
        <f t="shared" si="537"/>
        <v>2023.024M.Bunyaviricetes.zip</v>
      </c>
    </row>
    <row r="14386" spans="1:21">
      <c r="A14386">
        <v>14385</v>
      </c>
      <c r="B14386" s="27" t="s">
        <v>1124</v>
      </c>
      <c r="D14386" s="27" t="s">
        <v>1859</v>
      </c>
      <c r="F14386" s="27" t="s">
        <v>938</v>
      </c>
      <c r="G14386" s="27" t="s">
        <v>959</v>
      </c>
      <c r="H14386" s="27" t="s">
        <v>17007</v>
      </c>
      <c r="J14386" s="27" t="s">
        <v>17008</v>
      </c>
      <c r="L14386" s="27" t="s">
        <v>729</v>
      </c>
      <c r="N14386" s="27" t="s">
        <v>431</v>
      </c>
      <c r="P14386" s="27" t="s">
        <v>10089</v>
      </c>
      <c r="Q14386" s="26" t="str">
        <f>HYPERLINK("https://ictv.global/taxonomy/taxondetails?taxnode_id=202506386&amp;ictv_id=ICTV201856386","ICTV201856386")</f>
        <v>ICTV201856386</v>
      </c>
      <c r="R14386" t="s">
        <v>580</v>
      </c>
      <c r="S14386" t="s">
        <v>824</v>
      </c>
      <c r="T14386">
        <v>39</v>
      </c>
      <c r="U14386" s="26" t="str">
        <f t="shared" si="537"/>
        <v>2023.024M.Bunyaviricetes.zip</v>
      </c>
    </row>
    <row r="14387" spans="1:21">
      <c r="A14387">
        <v>14386</v>
      </c>
      <c r="B14387" s="27" t="s">
        <v>1124</v>
      </c>
      <c r="D14387" s="27" t="s">
        <v>1859</v>
      </c>
      <c r="F14387" s="27" t="s">
        <v>938</v>
      </c>
      <c r="G14387" s="27" t="s">
        <v>959</v>
      </c>
      <c r="H14387" s="27" t="s">
        <v>17007</v>
      </c>
      <c r="J14387" s="27" t="s">
        <v>17008</v>
      </c>
      <c r="L14387" s="27" t="s">
        <v>729</v>
      </c>
      <c r="N14387" s="27" t="s">
        <v>431</v>
      </c>
      <c r="P14387" s="27" t="s">
        <v>10090</v>
      </c>
      <c r="Q14387" s="26" t="str">
        <f>HYPERLINK("https://ictv.global/taxonomy/taxondetails?taxnode_id=202500115&amp;ictv_id=ICTV19760181","ICTV19760181")</f>
        <v>ICTV19760181</v>
      </c>
      <c r="R14387" t="s">
        <v>580</v>
      </c>
      <c r="S14387" t="s">
        <v>824</v>
      </c>
      <c r="T14387">
        <v>39</v>
      </c>
      <c r="U14387" s="26" t="str">
        <f t="shared" si="537"/>
        <v>2023.024M.Bunyaviricetes.zip</v>
      </c>
    </row>
    <row r="14388" spans="1:21">
      <c r="A14388">
        <v>14387</v>
      </c>
      <c r="B14388" s="27" t="s">
        <v>1124</v>
      </c>
      <c r="D14388" s="27" t="s">
        <v>1859</v>
      </c>
      <c r="F14388" s="27" t="s">
        <v>938</v>
      </c>
      <c r="G14388" s="27" t="s">
        <v>959</v>
      </c>
      <c r="H14388" s="27" t="s">
        <v>17007</v>
      </c>
      <c r="J14388" s="27" t="s">
        <v>17008</v>
      </c>
      <c r="L14388" s="27" t="s">
        <v>729</v>
      </c>
      <c r="N14388" s="27" t="s">
        <v>431</v>
      </c>
      <c r="P14388" s="27" t="s">
        <v>10091</v>
      </c>
      <c r="Q14388" s="26" t="str">
        <f>HYPERLINK("https://ictv.global/taxonomy/taxondetails?taxnode_id=202506361&amp;ictv_id=ICTV201856361","ICTV201856361")</f>
        <v>ICTV201856361</v>
      </c>
      <c r="R14388" t="s">
        <v>580</v>
      </c>
      <c r="S14388" t="s">
        <v>824</v>
      </c>
      <c r="T14388">
        <v>39</v>
      </c>
      <c r="U14388" s="26" t="str">
        <f t="shared" si="537"/>
        <v>2023.024M.Bunyaviricetes.zip</v>
      </c>
    </row>
    <row r="14389" spans="1:21">
      <c r="A14389">
        <v>14388</v>
      </c>
      <c r="B14389" s="27" t="s">
        <v>1124</v>
      </c>
      <c r="D14389" s="27" t="s">
        <v>1859</v>
      </c>
      <c r="F14389" s="27" t="s">
        <v>938</v>
      </c>
      <c r="G14389" s="27" t="s">
        <v>959</v>
      </c>
      <c r="H14389" s="27" t="s">
        <v>17007</v>
      </c>
      <c r="J14389" s="27" t="s">
        <v>17008</v>
      </c>
      <c r="L14389" s="27" t="s">
        <v>729</v>
      </c>
      <c r="N14389" s="27" t="s">
        <v>431</v>
      </c>
      <c r="P14389" s="27" t="s">
        <v>10092</v>
      </c>
      <c r="Q14389" s="26" t="str">
        <f>HYPERLINK("https://ictv.global/taxonomy/taxondetails?taxnode_id=202509322&amp;ictv_id=ICTV202009322","ICTV202009322")</f>
        <v>ICTV202009322</v>
      </c>
      <c r="R14389" t="s">
        <v>580</v>
      </c>
      <c r="S14389" t="s">
        <v>824</v>
      </c>
      <c r="T14389">
        <v>39</v>
      </c>
      <c r="U14389" s="26" t="str">
        <f t="shared" si="537"/>
        <v>2023.024M.Bunyaviricetes.zip</v>
      </c>
    </row>
    <row r="14390" spans="1:21">
      <c r="A14390">
        <v>14389</v>
      </c>
      <c r="B14390" s="27" t="s">
        <v>1124</v>
      </c>
      <c r="D14390" s="27" t="s">
        <v>1859</v>
      </c>
      <c r="F14390" s="27" t="s">
        <v>938</v>
      </c>
      <c r="G14390" s="27" t="s">
        <v>959</v>
      </c>
      <c r="H14390" s="27" t="s">
        <v>17007</v>
      </c>
      <c r="J14390" s="27" t="s">
        <v>17008</v>
      </c>
      <c r="L14390" s="27" t="s">
        <v>729</v>
      </c>
      <c r="N14390" s="27" t="s">
        <v>431</v>
      </c>
      <c r="P14390" s="27" t="s">
        <v>10093</v>
      </c>
      <c r="Q14390" s="26" t="str">
        <f>HYPERLINK("https://ictv.global/taxonomy/taxondetails?taxnode_id=202500117&amp;ictv_id=ICTV19990638","ICTV19990638")</f>
        <v>ICTV19990638</v>
      </c>
      <c r="R14390" t="s">
        <v>580</v>
      </c>
      <c r="S14390" t="s">
        <v>824</v>
      </c>
      <c r="T14390">
        <v>39</v>
      </c>
      <c r="U14390" s="26" t="str">
        <f t="shared" si="537"/>
        <v>2023.024M.Bunyaviricetes.zip</v>
      </c>
    </row>
    <row r="14391" spans="1:21">
      <c r="A14391">
        <v>14390</v>
      </c>
      <c r="B14391" s="27" t="s">
        <v>1124</v>
      </c>
      <c r="D14391" s="27" t="s">
        <v>1859</v>
      </c>
      <c r="F14391" s="27" t="s">
        <v>938</v>
      </c>
      <c r="G14391" s="27" t="s">
        <v>959</v>
      </c>
      <c r="H14391" s="27" t="s">
        <v>17007</v>
      </c>
      <c r="J14391" s="27" t="s">
        <v>17008</v>
      </c>
      <c r="L14391" s="27" t="s">
        <v>729</v>
      </c>
      <c r="N14391" s="27" t="s">
        <v>431</v>
      </c>
      <c r="P14391" s="27" t="s">
        <v>10094</v>
      </c>
      <c r="Q14391" s="26" t="str">
        <f>HYPERLINK("https://ictv.global/taxonomy/taxondetails?taxnode_id=202509324&amp;ictv_id=ICTV202009324","ICTV202009324")</f>
        <v>ICTV202009324</v>
      </c>
      <c r="R14391" t="s">
        <v>580</v>
      </c>
      <c r="S14391" t="s">
        <v>824</v>
      </c>
      <c r="T14391">
        <v>39</v>
      </c>
      <c r="U14391" s="26" t="str">
        <f t="shared" si="537"/>
        <v>2023.024M.Bunyaviricetes.zip</v>
      </c>
    </row>
    <row r="14392" spans="1:21">
      <c r="A14392">
        <v>14391</v>
      </c>
      <c r="B14392" s="27" t="s">
        <v>1124</v>
      </c>
      <c r="D14392" s="27" t="s">
        <v>1859</v>
      </c>
      <c r="F14392" s="27" t="s">
        <v>938</v>
      </c>
      <c r="G14392" s="27" t="s">
        <v>959</v>
      </c>
      <c r="H14392" s="27" t="s">
        <v>17007</v>
      </c>
      <c r="J14392" s="27" t="s">
        <v>17008</v>
      </c>
      <c r="L14392" s="27" t="s">
        <v>729</v>
      </c>
      <c r="N14392" s="27" t="s">
        <v>431</v>
      </c>
      <c r="P14392" s="27" t="s">
        <v>10095</v>
      </c>
      <c r="Q14392" s="26" t="str">
        <f>HYPERLINK("https://ictv.global/taxonomy/taxondetails?taxnode_id=202500118&amp;ictv_id=ICTV19990639","ICTV19990639")</f>
        <v>ICTV19990639</v>
      </c>
      <c r="R14392" t="s">
        <v>580</v>
      </c>
      <c r="S14392" t="s">
        <v>824</v>
      </c>
      <c r="T14392">
        <v>39</v>
      </c>
      <c r="U14392" s="26" t="str">
        <f t="shared" si="537"/>
        <v>2023.024M.Bunyaviricetes.zip</v>
      </c>
    </row>
    <row r="14393" spans="1:21">
      <c r="A14393">
        <v>14392</v>
      </c>
      <c r="B14393" s="27" t="s">
        <v>1124</v>
      </c>
      <c r="D14393" s="27" t="s">
        <v>1859</v>
      </c>
      <c r="F14393" s="27" t="s">
        <v>938</v>
      </c>
      <c r="G14393" s="27" t="s">
        <v>959</v>
      </c>
      <c r="H14393" s="27" t="s">
        <v>17007</v>
      </c>
      <c r="J14393" s="27" t="s">
        <v>17008</v>
      </c>
      <c r="L14393" s="27" t="s">
        <v>729</v>
      </c>
      <c r="N14393" s="27" t="s">
        <v>431</v>
      </c>
      <c r="P14393" s="27" t="s">
        <v>10096</v>
      </c>
      <c r="Q14393" s="26" t="str">
        <f>HYPERLINK("https://ictv.global/taxonomy/taxondetails?taxnode_id=202509325&amp;ictv_id=ICTV202009325","ICTV202009325")</f>
        <v>ICTV202009325</v>
      </c>
      <c r="R14393" t="s">
        <v>580</v>
      </c>
      <c r="S14393" t="s">
        <v>824</v>
      </c>
      <c r="T14393">
        <v>39</v>
      </c>
      <c r="U14393" s="26" t="str">
        <f t="shared" si="537"/>
        <v>2023.024M.Bunyaviricetes.zip</v>
      </c>
    </row>
    <row r="14394" spans="1:21">
      <c r="A14394">
        <v>14393</v>
      </c>
      <c r="B14394" s="27" t="s">
        <v>1124</v>
      </c>
      <c r="D14394" s="27" t="s">
        <v>1859</v>
      </c>
      <c r="F14394" s="27" t="s">
        <v>938</v>
      </c>
      <c r="G14394" s="27" t="s">
        <v>959</v>
      </c>
      <c r="H14394" s="27" t="s">
        <v>17007</v>
      </c>
      <c r="J14394" s="27" t="s">
        <v>17008</v>
      </c>
      <c r="L14394" s="27" t="s">
        <v>729</v>
      </c>
      <c r="N14394" s="27" t="s">
        <v>431</v>
      </c>
      <c r="P14394" s="27" t="s">
        <v>10097</v>
      </c>
      <c r="Q14394" s="26" t="str">
        <f>HYPERLINK("https://ictv.global/taxonomy/taxondetails?taxnode_id=202506368&amp;ictv_id=ICTV201856368","ICTV201856368")</f>
        <v>ICTV201856368</v>
      </c>
      <c r="R14394" t="s">
        <v>580</v>
      </c>
      <c r="S14394" t="s">
        <v>824</v>
      </c>
      <c r="T14394">
        <v>39</v>
      </c>
      <c r="U14394" s="26" t="str">
        <f t="shared" si="537"/>
        <v>2023.024M.Bunyaviricetes.zip</v>
      </c>
    </row>
    <row r="14395" spans="1:21">
      <c r="A14395">
        <v>14394</v>
      </c>
      <c r="B14395" s="27" t="s">
        <v>1124</v>
      </c>
      <c r="D14395" s="27" t="s">
        <v>1859</v>
      </c>
      <c r="F14395" s="27" t="s">
        <v>938</v>
      </c>
      <c r="G14395" s="27" t="s">
        <v>959</v>
      </c>
      <c r="H14395" s="27" t="s">
        <v>17007</v>
      </c>
      <c r="J14395" s="27" t="s">
        <v>17008</v>
      </c>
      <c r="L14395" s="27" t="s">
        <v>729</v>
      </c>
      <c r="N14395" s="27" t="s">
        <v>431</v>
      </c>
      <c r="P14395" s="27" t="s">
        <v>10098</v>
      </c>
      <c r="Q14395" s="26" t="str">
        <f>HYPERLINK("https://ictv.global/taxonomy/taxondetails?taxnode_id=202506377&amp;ictv_id=ICTV201856377","ICTV201856377")</f>
        <v>ICTV201856377</v>
      </c>
      <c r="R14395" t="s">
        <v>580</v>
      </c>
      <c r="S14395" t="s">
        <v>824</v>
      </c>
      <c r="T14395">
        <v>39</v>
      </c>
      <c r="U14395" s="26" t="str">
        <f t="shared" si="537"/>
        <v>2023.024M.Bunyaviricetes.zip</v>
      </c>
    </row>
    <row r="14396" spans="1:21">
      <c r="A14396">
        <v>14395</v>
      </c>
      <c r="B14396" s="27" t="s">
        <v>1124</v>
      </c>
      <c r="D14396" s="27" t="s">
        <v>1859</v>
      </c>
      <c r="F14396" s="27" t="s">
        <v>938</v>
      </c>
      <c r="G14396" s="27" t="s">
        <v>959</v>
      </c>
      <c r="H14396" s="27" t="s">
        <v>17007</v>
      </c>
      <c r="J14396" s="27" t="s">
        <v>17008</v>
      </c>
      <c r="L14396" s="27" t="s">
        <v>729</v>
      </c>
      <c r="N14396" s="27" t="s">
        <v>431</v>
      </c>
      <c r="P14396" s="27" t="s">
        <v>10099</v>
      </c>
      <c r="Q14396" s="26" t="str">
        <f>HYPERLINK("https://ictv.global/taxonomy/taxondetails?taxnode_id=202500119&amp;ictv_id=ICTV19990640","ICTV19990640")</f>
        <v>ICTV19990640</v>
      </c>
      <c r="R14396" t="s">
        <v>580</v>
      </c>
      <c r="S14396" t="s">
        <v>824</v>
      </c>
      <c r="T14396">
        <v>39</v>
      </c>
      <c r="U14396" s="26" t="str">
        <f t="shared" si="537"/>
        <v>2023.024M.Bunyaviricetes.zip</v>
      </c>
    </row>
    <row r="14397" spans="1:21">
      <c r="A14397">
        <v>14396</v>
      </c>
      <c r="B14397" s="27" t="s">
        <v>1124</v>
      </c>
      <c r="D14397" s="27" t="s">
        <v>1859</v>
      </c>
      <c r="F14397" s="27" t="s">
        <v>938</v>
      </c>
      <c r="G14397" s="27" t="s">
        <v>959</v>
      </c>
      <c r="H14397" s="27" t="s">
        <v>17007</v>
      </c>
      <c r="J14397" s="27" t="s">
        <v>17008</v>
      </c>
      <c r="L14397" s="27" t="s">
        <v>729</v>
      </c>
      <c r="N14397" s="27" t="s">
        <v>431</v>
      </c>
      <c r="P14397" s="27" t="s">
        <v>10100</v>
      </c>
      <c r="Q14397" s="26" t="str">
        <f>HYPERLINK("https://ictv.global/taxonomy/taxondetails?taxnode_id=202514226&amp;ictv_id=ICTV202214226","ICTV202214226")</f>
        <v>ICTV202214226</v>
      </c>
      <c r="R14397" t="s">
        <v>580</v>
      </c>
      <c r="S14397" t="s">
        <v>824</v>
      </c>
      <c r="T14397">
        <v>39</v>
      </c>
      <c r="U14397" s="26" t="str">
        <f t="shared" si="537"/>
        <v>2023.024M.Bunyaviricetes.zip</v>
      </c>
    </row>
    <row r="14398" spans="1:21">
      <c r="A14398">
        <v>14397</v>
      </c>
      <c r="B14398" s="27" t="s">
        <v>1124</v>
      </c>
      <c r="D14398" s="27" t="s">
        <v>1859</v>
      </c>
      <c r="F14398" s="27" t="s">
        <v>938</v>
      </c>
      <c r="G14398" s="27" t="s">
        <v>959</v>
      </c>
      <c r="H14398" s="27" t="s">
        <v>17007</v>
      </c>
      <c r="J14398" s="27" t="s">
        <v>17008</v>
      </c>
      <c r="L14398" s="27" t="s">
        <v>729</v>
      </c>
      <c r="N14398" s="27" t="s">
        <v>431</v>
      </c>
      <c r="P14398" s="27" t="s">
        <v>10101</v>
      </c>
      <c r="Q14398" s="26" t="str">
        <f>HYPERLINK("https://ictv.global/taxonomy/taxondetails?taxnode_id=202509323&amp;ictv_id=ICTV202009323","ICTV202009323")</f>
        <v>ICTV202009323</v>
      </c>
      <c r="R14398" t="s">
        <v>580</v>
      </c>
      <c r="S14398" t="s">
        <v>824</v>
      </c>
      <c r="T14398">
        <v>39</v>
      </c>
      <c r="U14398" s="26" t="str">
        <f t="shared" si="537"/>
        <v>2023.024M.Bunyaviricetes.zip</v>
      </c>
    </row>
    <row r="14399" spans="1:21">
      <c r="A14399">
        <v>14398</v>
      </c>
      <c r="B14399" s="27" t="s">
        <v>1124</v>
      </c>
      <c r="D14399" s="27" t="s">
        <v>1859</v>
      </c>
      <c r="F14399" s="27" t="s">
        <v>938</v>
      </c>
      <c r="G14399" s="27" t="s">
        <v>959</v>
      </c>
      <c r="H14399" s="27" t="s">
        <v>17007</v>
      </c>
      <c r="J14399" s="27" t="s">
        <v>17008</v>
      </c>
      <c r="L14399" s="27" t="s">
        <v>729</v>
      </c>
      <c r="N14399" s="27" t="s">
        <v>431</v>
      </c>
      <c r="P14399" s="27" t="s">
        <v>10102</v>
      </c>
      <c r="Q14399" s="26" t="str">
        <f>HYPERLINK("https://ictv.global/taxonomy/taxondetails?taxnode_id=202500120&amp;ictv_id=ICTV19990641","ICTV19990641")</f>
        <v>ICTV19990641</v>
      </c>
      <c r="R14399" t="s">
        <v>580</v>
      </c>
      <c r="S14399" t="s">
        <v>824</v>
      </c>
      <c r="T14399">
        <v>39</v>
      </c>
      <c r="U14399" s="26" t="str">
        <f t="shared" si="537"/>
        <v>2023.024M.Bunyaviricetes.zip</v>
      </c>
    </row>
    <row r="14400" spans="1:21">
      <c r="A14400">
        <v>14399</v>
      </c>
      <c r="B14400" s="27" t="s">
        <v>1124</v>
      </c>
      <c r="D14400" s="27" t="s">
        <v>1859</v>
      </c>
      <c r="F14400" s="27" t="s">
        <v>938</v>
      </c>
      <c r="G14400" s="27" t="s">
        <v>959</v>
      </c>
      <c r="H14400" s="27" t="s">
        <v>17007</v>
      </c>
      <c r="J14400" s="27" t="s">
        <v>17008</v>
      </c>
      <c r="L14400" s="27" t="s">
        <v>729</v>
      </c>
      <c r="N14400" s="27" t="s">
        <v>431</v>
      </c>
      <c r="P14400" s="27" t="s">
        <v>10103</v>
      </c>
      <c r="Q14400" s="26" t="str">
        <f>HYPERLINK("https://ictv.global/taxonomy/taxondetails?taxnode_id=202506370&amp;ictv_id=ICTV201856370","ICTV201856370")</f>
        <v>ICTV201856370</v>
      </c>
      <c r="R14400" t="s">
        <v>580</v>
      </c>
      <c r="S14400" t="s">
        <v>824</v>
      </c>
      <c r="T14400">
        <v>39</v>
      </c>
      <c r="U14400" s="26" t="str">
        <f t="shared" si="537"/>
        <v>2023.024M.Bunyaviricetes.zip</v>
      </c>
    </row>
    <row r="14401" spans="1:21">
      <c r="A14401">
        <v>14400</v>
      </c>
      <c r="B14401" s="27" t="s">
        <v>1124</v>
      </c>
      <c r="D14401" s="27" t="s">
        <v>1859</v>
      </c>
      <c r="F14401" s="27" t="s">
        <v>938</v>
      </c>
      <c r="G14401" s="27" t="s">
        <v>959</v>
      </c>
      <c r="H14401" s="27" t="s">
        <v>17007</v>
      </c>
      <c r="J14401" s="27" t="s">
        <v>17008</v>
      </c>
      <c r="L14401" s="27" t="s">
        <v>729</v>
      </c>
      <c r="N14401" s="27" t="s">
        <v>431</v>
      </c>
      <c r="P14401" s="27" t="s">
        <v>10104</v>
      </c>
      <c r="Q14401" s="26" t="str">
        <f>HYPERLINK("https://ictv.global/taxonomy/taxondetails?taxnode_id=202514232&amp;ictv_id=ICTV202214232","ICTV202214232")</f>
        <v>ICTV202214232</v>
      </c>
      <c r="R14401" t="s">
        <v>580</v>
      </c>
      <c r="S14401" t="s">
        <v>824</v>
      </c>
      <c r="T14401">
        <v>39</v>
      </c>
      <c r="U14401" s="26" t="str">
        <f t="shared" si="537"/>
        <v>2023.024M.Bunyaviricetes.zip</v>
      </c>
    </row>
    <row r="14402" spans="1:21">
      <c r="A14402">
        <v>14401</v>
      </c>
      <c r="B14402" s="27" t="s">
        <v>1124</v>
      </c>
      <c r="D14402" s="27" t="s">
        <v>1859</v>
      </c>
      <c r="F14402" s="27" t="s">
        <v>938</v>
      </c>
      <c r="G14402" s="27" t="s">
        <v>959</v>
      </c>
      <c r="H14402" s="27" t="s">
        <v>17007</v>
      </c>
      <c r="J14402" s="27" t="s">
        <v>17008</v>
      </c>
      <c r="L14402" s="27" t="s">
        <v>729</v>
      </c>
      <c r="N14402" s="27" t="s">
        <v>431</v>
      </c>
      <c r="P14402" s="27" t="s">
        <v>10105</v>
      </c>
      <c r="Q14402" s="26" t="str">
        <f>HYPERLINK("https://ictv.global/taxonomy/taxondetails?taxnode_id=202514240&amp;ictv_id=ICTV202214240","ICTV202214240")</f>
        <v>ICTV202214240</v>
      </c>
      <c r="R14402" t="s">
        <v>580</v>
      </c>
      <c r="S14402" t="s">
        <v>824</v>
      </c>
      <c r="T14402">
        <v>39</v>
      </c>
      <c r="U14402" s="26" t="str">
        <f t="shared" si="537"/>
        <v>2023.024M.Bunyaviricetes.zip</v>
      </c>
    </row>
    <row r="14403" spans="1:21">
      <c r="A14403">
        <v>14402</v>
      </c>
      <c r="B14403" s="27" t="s">
        <v>1124</v>
      </c>
      <c r="D14403" s="27" t="s">
        <v>1859</v>
      </c>
      <c r="F14403" s="27" t="s">
        <v>938</v>
      </c>
      <c r="G14403" s="27" t="s">
        <v>959</v>
      </c>
      <c r="H14403" s="27" t="s">
        <v>17007</v>
      </c>
      <c r="J14403" s="27" t="s">
        <v>17008</v>
      </c>
      <c r="L14403" s="27" t="s">
        <v>729</v>
      </c>
      <c r="N14403" s="27" t="s">
        <v>431</v>
      </c>
      <c r="P14403" s="27" t="s">
        <v>10106</v>
      </c>
      <c r="Q14403" s="26" t="str">
        <f>HYPERLINK("https://ictv.global/taxonomy/taxondetails?taxnode_id=202514223&amp;ictv_id=ICTV202214223","ICTV202214223")</f>
        <v>ICTV202214223</v>
      </c>
      <c r="R14403" t="s">
        <v>580</v>
      </c>
      <c r="S14403" t="s">
        <v>824</v>
      </c>
      <c r="T14403">
        <v>39</v>
      </c>
      <c r="U14403" s="26" t="str">
        <f t="shared" si="537"/>
        <v>2023.024M.Bunyaviricetes.zip</v>
      </c>
    </row>
    <row r="14404" spans="1:21">
      <c r="A14404">
        <v>14403</v>
      </c>
      <c r="B14404" s="27" t="s">
        <v>1124</v>
      </c>
      <c r="D14404" s="27" t="s">
        <v>1859</v>
      </c>
      <c r="F14404" s="27" t="s">
        <v>938</v>
      </c>
      <c r="G14404" s="27" t="s">
        <v>959</v>
      </c>
      <c r="H14404" s="27" t="s">
        <v>17007</v>
      </c>
      <c r="J14404" s="27" t="s">
        <v>17008</v>
      </c>
      <c r="L14404" s="27" t="s">
        <v>729</v>
      </c>
      <c r="N14404" s="27" t="s">
        <v>431</v>
      </c>
      <c r="P14404" s="27" t="s">
        <v>10107</v>
      </c>
      <c r="Q14404" s="26" t="str">
        <f>HYPERLINK("https://ictv.global/taxonomy/taxondetails?taxnode_id=202514227&amp;ictv_id=ICTV202214227","ICTV202214227")</f>
        <v>ICTV202214227</v>
      </c>
      <c r="R14404" t="s">
        <v>580</v>
      </c>
      <c r="S14404" t="s">
        <v>824</v>
      </c>
      <c r="T14404">
        <v>39</v>
      </c>
      <c r="U14404" s="26" t="str">
        <f t="shared" si="537"/>
        <v>2023.024M.Bunyaviricetes.zip</v>
      </c>
    </row>
    <row r="14405" spans="1:21">
      <c r="A14405">
        <v>14404</v>
      </c>
      <c r="B14405" s="27" t="s">
        <v>1124</v>
      </c>
      <c r="D14405" s="27" t="s">
        <v>1859</v>
      </c>
      <c r="F14405" s="27" t="s">
        <v>938</v>
      </c>
      <c r="G14405" s="27" t="s">
        <v>959</v>
      </c>
      <c r="H14405" s="27" t="s">
        <v>17007</v>
      </c>
      <c r="J14405" s="27" t="s">
        <v>17008</v>
      </c>
      <c r="L14405" s="27" t="s">
        <v>729</v>
      </c>
      <c r="N14405" s="27" t="s">
        <v>431</v>
      </c>
      <c r="P14405" s="27" t="s">
        <v>10108</v>
      </c>
      <c r="Q14405" s="26" t="str">
        <f>HYPERLINK("https://ictv.global/taxonomy/taxondetails?taxnode_id=202500121&amp;ictv_id=ICTV19990642","ICTV19990642")</f>
        <v>ICTV19990642</v>
      </c>
      <c r="R14405" t="s">
        <v>580</v>
      </c>
      <c r="S14405" t="s">
        <v>824</v>
      </c>
      <c r="T14405">
        <v>39</v>
      </c>
      <c r="U14405" s="26" t="str">
        <f t="shared" si="537"/>
        <v>2023.024M.Bunyaviricetes.zip</v>
      </c>
    </row>
    <row r="14406" spans="1:21">
      <c r="A14406">
        <v>14405</v>
      </c>
      <c r="B14406" s="27" t="s">
        <v>1124</v>
      </c>
      <c r="D14406" s="27" t="s">
        <v>1859</v>
      </c>
      <c r="F14406" s="27" t="s">
        <v>938</v>
      </c>
      <c r="G14406" s="27" t="s">
        <v>959</v>
      </c>
      <c r="H14406" s="27" t="s">
        <v>17007</v>
      </c>
      <c r="J14406" s="27" t="s">
        <v>17008</v>
      </c>
      <c r="L14406" s="27" t="s">
        <v>729</v>
      </c>
      <c r="N14406" s="27" t="s">
        <v>431</v>
      </c>
      <c r="P14406" s="27" t="s">
        <v>10109</v>
      </c>
      <c r="Q14406" s="26" t="str">
        <f>HYPERLINK("https://ictv.global/taxonomy/taxondetails?taxnode_id=202514241&amp;ictv_id=ICTV202214241","ICTV202214241")</f>
        <v>ICTV202214241</v>
      </c>
      <c r="R14406" t="s">
        <v>580</v>
      </c>
      <c r="S14406" t="s">
        <v>824</v>
      </c>
      <c r="T14406">
        <v>39</v>
      </c>
      <c r="U14406" s="26" t="str">
        <f t="shared" si="537"/>
        <v>2023.024M.Bunyaviricetes.zip</v>
      </c>
    </row>
    <row r="14407" spans="1:21">
      <c r="A14407">
        <v>14406</v>
      </c>
      <c r="B14407" s="27" t="s">
        <v>1124</v>
      </c>
      <c r="D14407" s="27" t="s">
        <v>1859</v>
      </c>
      <c r="F14407" s="27" t="s">
        <v>938</v>
      </c>
      <c r="G14407" s="27" t="s">
        <v>959</v>
      </c>
      <c r="H14407" s="27" t="s">
        <v>17007</v>
      </c>
      <c r="J14407" s="27" t="s">
        <v>17008</v>
      </c>
      <c r="L14407" s="27" t="s">
        <v>729</v>
      </c>
      <c r="N14407" s="27" t="s">
        <v>431</v>
      </c>
      <c r="P14407" s="27" t="s">
        <v>10110</v>
      </c>
      <c r="Q14407" s="26" t="str">
        <f>HYPERLINK("https://ictv.global/taxonomy/taxondetails?taxnode_id=202500122&amp;ictv_id=ICTV19990643","ICTV19990643")</f>
        <v>ICTV19990643</v>
      </c>
      <c r="R14407" t="s">
        <v>580</v>
      </c>
      <c r="S14407" t="s">
        <v>824</v>
      </c>
      <c r="T14407">
        <v>39</v>
      </c>
      <c r="U14407" s="26" t="str">
        <f t="shared" si="537"/>
        <v>2023.024M.Bunyaviricetes.zip</v>
      </c>
    </row>
    <row r="14408" spans="1:21">
      <c r="A14408">
        <v>14407</v>
      </c>
      <c r="B14408" s="27" t="s">
        <v>1124</v>
      </c>
      <c r="D14408" s="27" t="s">
        <v>1859</v>
      </c>
      <c r="F14408" s="27" t="s">
        <v>938</v>
      </c>
      <c r="G14408" s="27" t="s">
        <v>959</v>
      </c>
      <c r="H14408" s="27" t="s">
        <v>17007</v>
      </c>
      <c r="J14408" s="27" t="s">
        <v>17008</v>
      </c>
      <c r="L14408" s="27" t="s">
        <v>729</v>
      </c>
      <c r="N14408" s="27" t="s">
        <v>431</v>
      </c>
      <c r="P14408" s="27" t="s">
        <v>10111</v>
      </c>
      <c r="Q14408" s="26" t="str">
        <f>HYPERLINK("https://ictv.global/taxonomy/taxondetails?taxnode_id=202500123&amp;ictv_id=ICTV19990644","ICTV19990644")</f>
        <v>ICTV19990644</v>
      </c>
      <c r="R14408" t="s">
        <v>580</v>
      </c>
      <c r="S14408" t="s">
        <v>824</v>
      </c>
      <c r="T14408">
        <v>39</v>
      </c>
      <c r="U14408" s="26" t="str">
        <f t="shared" si="537"/>
        <v>2023.024M.Bunyaviricetes.zip</v>
      </c>
    </row>
    <row r="14409" spans="1:21">
      <c r="A14409">
        <v>14408</v>
      </c>
      <c r="B14409" s="27" t="s">
        <v>1124</v>
      </c>
      <c r="D14409" s="27" t="s">
        <v>1859</v>
      </c>
      <c r="F14409" s="27" t="s">
        <v>938</v>
      </c>
      <c r="G14409" s="27" t="s">
        <v>959</v>
      </c>
      <c r="H14409" s="27" t="s">
        <v>17007</v>
      </c>
      <c r="J14409" s="27" t="s">
        <v>17008</v>
      </c>
      <c r="L14409" s="27" t="s">
        <v>729</v>
      </c>
      <c r="N14409" s="27" t="s">
        <v>431</v>
      </c>
      <c r="P14409" s="27" t="s">
        <v>10112</v>
      </c>
      <c r="Q14409" s="26" t="str">
        <f>HYPERLINK("https://ictv.global/taxonomy/taxondetails?taxnode_id=202500124&amp;ictv_id=ICTV19990645","ICTV19990645")</f>
        <v>ICTV19990645</v>
      </c>
      <c r="R14409" t="s">
        <v>580</v>
      </c>
      <c r="S14409" t="s">
        <v>824</v>
      </c>
      <c r="T14409">
        <v>39</v>
      </c>
      <c r="U14409" s="26" t="str">
        <f t="shared" si="537"/>
        <v>2023.024M.Bunyaviricetes.zip</v>
      </c>
    </row>
    <row r="14410" spans="1:21">
      <c r="A14410">
        <v>14409</v>
      </c>
      <c r="B14410" s="27" t="s">
        <v>1124</v>
      </c>
      <c r="D14410" s="27" t="s">
        <v>1859</v>
      </c>
      <c r="F14410" s="27" t="s">
        <v>938</v>
      </c>
      <c r="G14410" s="27" t="s">
        <v>959</v>
      </c>
      <c r="H14410" s="27" t="s">
        <v>17007</v>
      </c>
      <c r="J14410" s="27" t="s">
        <v>17008</v>
      </c>
      <c r="L14410" s="27" t="s">
        <v>729</v>
      </c>
      <c r="N14410" s="27" t="s">
        <v>431</v>
      </c>
      <c r="P14410" s="27" t="s">
        <v>10113</v>
      </c>
      <c r="Q14410" s="26" t="str">
        <f>HYPERLINK("https://ictv.global/taxonomy/taxondetails?taxnode_id=202509327&amp;ictv_id=ICTV202009327","ICTV202009327")</f>
        <v>ICTV202009327</v>
      </c>
      <c r="R14410" t="s">
        <v>580</v>
      </c>
      <c r="S14410" t="s">
        <v>824</v>
      </c>
      <c r="T14410">
        <v>39</v>
      </c>
      <c r="U14410" s="26" t="str">
        <f t="shared" si="537"/>
        <v>2023.024M.Bunyaviricetes.zip</v>
      </c>
    </row>
    <row r="14411" spans="1:21">
      <c r="A14411">
        <v>14410</v>
      </c>
      <c r="B14411" s="27" t="s">
        <v>1124</v>
      </c>
      <c r="D14411" s="27" t="s">
        <v>1859</v>
      </c>
      <c r="F14411" s="27" t="s">
        <v>938</v>
      </c>
      <c r="G14411" s="27" t="s">
        <v>959</v>
      </c>
      <c r="H14411" s="27" t="s">
        <v>17007</v>
      </c>
      <c r="J14411" s="27" t="s">
        <v>17008</v>
      </c>
      <c r="L14411" s="27" t="s">
        <v>729</v>
      </c>
      <c r="N14411" s="27" t="s">
        <v>431</v>
      </c>
      <c r="P14411" s="27" t="s">
        <v>10114</v>
      </c>
      <c r="Q14411" s="26" t="str">
        <f>HYPERLINK("https://ictv.global/taxonomy/taxondetails?taxnode_id=202514242&amp;ictv_id=ICTV202214242","ICTV202214242")</f>
        <v>ICTV202214242</v>
      </c>
      <c r="R14411" t="s">
        <v>580</v>
      </c>
      <c r="S14411" t="s">
        <v>824</v>
      </c>
      <c r="T14411">
        <v>39</v>
      </c>
      <c r="U14411" s="26" t="str">
        <f t="shared" si="537"/>
        <v>2023.024M.Bunyaviricetes.zip</v>
      </c>
    </row>
    <row r="14412" spans="1:21">
      <c r="A14412">
        <v>14411</v>
      </c>
      <c r="B14412" s="27" t="s">
        <v>1124</v>
      </c>
      <c r="D14412" s="27" t="s">
        <v>1859</v>
      </c>
      <c r="F14412" s="27" t="s">
        <v>938</v>
      </c>
      <c r="G14412" s="27" t="s">
        <v>959</v>
      </c>
      <c r="H14412" s="27" t="s">
        <v>17007</v>
      </c>
      <c r="J14412" s="27" t="s">
        <v>17008</v>
      </c>
      <c r="L14412" s="27" t="s">
        <v>729</v>
      </c>
      <c r="N14412" s="27" t="s">
        <v>431</v>
      </c>
      <c r="P14412" s="27" t="s">
        <v>17031</v>
      </c>
      <c r="Q14412" s="26" t="str">
        <f>HYPERLINK("https://ictv.global/taxonomy/taxondetails?taxnode_id=202519065&amp;ictv_id=ICTV202319065","ICTV202319065")</f>
        <v>ICTV202319065</v>
      </c>
      <c r="R14412" t="s">
        <v>580</v>
      </c>
      <c r="S14412" t="s">
        <v>823</v>
      </c>
      <c r="T14412">
        <v>39</v>
      </c>
      <c r="U14412" s="26" t="str">
        <f>HYPERLINK("https://ictv.global/ictv/proposals/2023.031M.Peribunyaviridae_1ng_7nsp.zip","2023.031M.Peribunyaviridae_1ng_7nsp.zip")</f>
        <v>2023.031M.Peribunyaviridae_1ng_7nsp.zip</v>
      </c>
    </row>
    <row r="14413" spans="1:21">
      <c r="A14413">
        <v>14412</v>
      </c>
      <c r="B14413" s="27" t="s">
        <v>1124</v>
      </c>
      <c r="D14413" s="27" t="s">
        <v>1859</v>
      </c>
      <c r="F14413" s="27" t="s">
        <v>938</v>
      </c>
      <c r="G14413" s="27" t="s">
        <v>959</v>
      </c>
      <c r="H14413" s="27" t="s">
        <v>17007</v>
      </c>
      <c r="J14413" s="27" t="s">
        <v>17008</v>
      </c>
      <c r="L14413" s="27" t="s">
        <v>729</v>
      </c>
      <c r="N14413" s="27" t="s">
        <v>431</v>
      </c>
      <c r="P14413" s="27" t="s">
        <v>10115</v>
      </c>
      <c r="Q14413" s="26" t="str">
        <f>HYPERLINK("https://ictv.global/taxonomy/taxondetails?taxnode_id=202500125&amp;ictv_id=ICTV19990646","ICTV19990646")</f>
        <v>ICTV19990646</v>
      </c>
      <c r="R14413" t="s">
        <v>580</v>
      </c>
      <c r="S14413" t="s">
        <v>824</v>
      </c>
      <c r="T14413">
        <v>39</v>
      </c>
      <c r="U14413" s="26" t="str">
        <f t="shared" ref="U14413:U14427" si="538">HYPERLINK("https://ictv.global/ictv/proposals/2023.024M.Bunyaviricetes.zip","2023.024M.Bunyaviricetes.zip")</f>
        <v>2023.024M.Bunyaviricetes.zip</v>
      </c>
    </row>
    <row r="14414" spans="1:21">
      <c r="A14414">
        <v>14413</v>
      </c>
      <c r="B14414" s="27" t="s">
        <v>1124</v>
      </c>
      <c r="D14414" s="27" t="s">
        <v>1859</v>
      </c>
      <c r="F14414" s="27" t="s">
        <v>938</v>
      </c>
      <c r="G14414" s="27" t="s">
        <v>959</v>
      </c>
      <c r="H14414" s="27" t="s">
        <v>17007</v>
      </c>
      <c r="J14414" s="27" t="s">
        <v>17008</v>
      </c>
      <c r="L14414" s="27" t="s">
        <v>729</v>
      </c>
      <c r="N14414" s="27" t="s">
        <v>431</v>
      </c>
      <c r="P14414" s="27" t="s">
        <v>10116</v>
      </c>
      <c r="Q14414" s="26" t="str">
        <f>HYPERLINK("https://ictv.global/taxonomy/taxondetails?taxnode_id=202506380&amp;ictv_id=ICTV201856380","ICTV201856380")</f>
        <v>ICTV201856380</v>
      </c>
      <c r="R14414" t="s">
        <v>580</v>
      </c>
      <c r="S14414" t="s">
        <v>824</v>
      </c>
      <c r="T14414">
        <v>39</v>
      </c>
      <c r="U14414" s="26" t="str">
        <f t="shared" si="538"/>
        <v>2023.024M.Bunyaviricetes.zip</v>
      </c>
    </row>
    <row r="14415" spans="1:21">
      <c r="A14415">
        <v>14414</v>
      </c>
      <c r="B14415" s="27" t="s">
        <v>1124</v>
      </c>
      <c r="D14415" s="27" t="s">
        <v>1859</v>
      </c>
      <c r="F14415" s="27" t="s">
        <v>938</v>
      </c>
      <c r="G14415" s="27" t="s">
        <v>959</v>
      </c>
      <c r="H14415" s="27" t="s">
        <v>17007</v>
      </c>
      <c r="J14415" s="27" t="s">
        <v>17008</v>
      </c>
      <c r="L14415" s="27" t="s">
        <v>729</v>
      </c>
      <c r="N14415" s="27" t="s">
        <v>431</v>
      </c>
      <c r="P14415" s="27" t="s">
        <v>10117</v>
      </c>
      <c r="Q14415" s="26" t="str">
        <f>HYPERLINK("https://ictv.global/taxonomy/taxondetails?taxnode_id=202506384&amp;ictv_id=ICTV201856384","ICTV201856384")</f>
        <v>ICTV201856384</v>
      </c>
      <c r="R14415" t="s">
        <v>580</v>
      </c>
      <c r="S14415" t="s">
        <v>824</v>
      </c>
      <c r="T14415">
        <v>39</v>
      </c>
      <c r="U14415" s="26" t="str">
        <f t="shared" si="538"/>
        <v>2023.024M.Bunyaviricetes.zip</v>
      </c>
    </row>
    <row r="14416" spans="1:21">
      <c r="A14416">
        <v>14415</v>
      </c>
      <c r="B14416" s="27" t="s">
        <v>1124</v>
      </c>
      <c r="D14416" s="27" t="s">
        <v>1859</v>
      </c>
      <c r="F14416" s="27" t="s">
        <v>938</v>
      </c>
      <c r="G14416" s="27" t="s">
        <v>959</v>
      </c>
      <c r="H14416" s="27" t="s">
        <v>17007</v>
      </c>
      <c r="J14416" s="27" t="s">
        <v>17008</v>
      </c>
      <c r="L14416" s="27" t="s">
        <v>729</v>
      </c>
      <c r="N14416" s="27" t="s">
        <v>431</v>
      </c>
      <c r="P14416" s="27" t="s">
        <v>10118</v>
      </c>
      <c r="Q14416" s="26" t="str">
        <f>HYPERLINK("https://ictv.global/taxonomy/taxondetails?taxnode_id=202506362&amp;ictv_id=ICTV201856362","ICTV201856362")</f>
        <v>ICTV201856362</v>
      </c>
      <c r="R14416" t="s">
        <v>580</v>
      </c>
      <c r="S14416" t="s">
        <v>824</v>
      </c>
      <c r="T14416">
        <v>39</v>
      </c>
      <c r="U14416" s="26" t="str">
        <f t="shared" si="538"/>
        <v>2023.024M.Bunyaviricetes.zip</v>
      </c>
    </row>
    <row r="14417" spans="1:21">
      <c r="A14417">
        <v>14416</v>
      </c>
      <c r="B14417" s="27" t="s">
        <v>1124</v>
      </c>
      <c r="D14417" s="27" t="s">
        <v>1859</v>
      </c>
      <c r="F14417" s="27" t="s">
        <v>938</v>
      </c>
      <c r="G14417" s="27" t="s">
        <v>959</v>
      </c>
      <c r="H14417" s="27" t="s">
        <v>17007</v>
      </c>
      <c r="J14417" s="27" t="s">
        <v>17008</v>
      </c>
      <c r="L14417" s="27" t="s">
        <v>729</v>
      </c>
      <c r="N14417" s="27" t="s">
        <v>431</v>
      </c>
      <c r="P14417" s="27" t="s">
        <v>10119</v>
      </c>
      <c r="Q14417" s="26" t="str">
        <f>HYPERLINK("https://ictv.global/taxonomy/taxondetails?taxnode_id=202506353&amp;ictv_id=ICTV201856353","ICTV201856353")</f>
        <v>ICTV201856353</v>
      </c>
      <c r="R14417" t="s">
        <v>580</v>
      </c>
      <c r="S14417" t="s">
        <v>824</v>
      </c>
      <c r="T14417">
        <v>39</v>
      </c>
      <c r="U14417" s="26" t="str">
        <f t="shared" si="538"/>
        <v>2023.024M.Bunyaviricetes.zip</v>
      </c>
    </row>
    <row r="14418" spans="1:21">
      <c r="A14418">
        <v>14417</v>
      </c>
      <c r="B14418" s="27" t="s">
        <v>1124</v>
      </c>
      <c r="D14418" s="27" t="s">
        <v>1859</v>
      </c>
      <c r="F14418" s="27" t="s">
        <v>938</v>
      </c>
      <c r="G14418" s="27" t="s">
        <v>959</v>
      </c>
      <c r="H14418" s="27" t="s">
        <v>17007</v>
      </c>
      <c r="J14418" s="27" t="s">
        <v>17008</v>
      </c>
      <c r="L14418" s="27" t="s">
        <v>729</v>
      </c>
      <c r="N14418" s="27" t="s">
        <v>431</v>
      </c>
      <c r="P14418" s="27" t="s">
        <v>10120</v>
      </c>
      <c r="Q14418" s="26" t="str">
        <f>HYPERLINK("https://ictv.global/taxonomy/taxondetails?taxnode_id=202506381&amp;ictv_id=ICTV201856381","ICTV201856381")</f>
        <v>ICTV201856381</v>
      </c>
      <c r="R14418" t="s">
        <v>580</v>
      </c>
      <c r="S14418" t="s">
        <v>824</v>
      </c>
      <c r="T14418">
        <v>39</v>
      </c>
      <c r="U14418" s="26" t="str">
        <f t="shared" si="538"/>
        <v>2023.024M.Bunyaviricetes.zip</v>
      </c>
    </row>
    <row r="14419" spans="1:21">
      <c r="A14419">
        <v>14418</v>
      </c>
      <c r="B14419" s="27" t="s">
        <v>1124</v>
      </c>
      <c r="D14419" s="27" t="s">
        <v>1859</v>
      </c>
      <c r="F14419" s="27" t="s">
        <v>938</v>
      </c>
      <c r="G14419" s="27" t="s">
        <v>959</v>
      </c>
      <c r="H14419" s="27" t="s">
        <v>17007</v>
      </c>
      <c r="J14419" s="27" t="s">
        <v>17008</v>
      </c>
      <c r="L14419" s="27" t="s">
        <v>729</v>
      </c>
      <c r="N14419" s="27" t="s">
        <v>431</v>
      </c>
      <c r="P14419" s="27" t="s">
        <v>10121</v>
      </c>
      <c r="Q14419" s="26" t="str">
        <f>HYPERLINK("https://ictv.global/taxonomy/taxondetails?taxnode_id=202514247&amp;ictv_id=ICTV202214247","ICTV202214247")</f>
        <v>ICTV202214247</v>
      </c>
      <c r="R14419" t="s">
        <v>580</v>
      </c>
      <c r="S14419" t="s">
        <v>824</v>
      </c>
      <c r="T14419">
        <v>39</v>
      </c>
      <c r="U14419" s="26" t="str">
        <f t="shared" si="538"/>
        <v>2023.024M.Bunyaviricetes.zip</v>
      </c>
    </row>
    <row r="14420" spans="1:21">
      <c r="A14420">
        <v>14419</v>
      </c>
      <c r="B14420" s="27" t="s">
        <v>1124</v>
      </c>
      <c r="D14420" s="27" t="s">
        <v>1859</v>
      </c>
      <c r="F14420" s="27" t="s">
        <v>938</v>
      </c>
      <c r="G14420" s="27" t="s">
        <v>959</v>
      </c>
      <c r="H14420" s="27" t="s">
        <v>17007</v>
      </c>
      <c r="J14420" s="27" t="s">
        <v>17008</v>
      </c>
      <c r="L14420" s="27" t="s">
        <v>729</v>
      </c>
      <c r="N14420" s="27" t="s">
        <v>431</v>
      </c>
      <c r="P14420" s="27" t="s">
        <v>10122</v>
      </c>
      <c r="Q14420" s="26" t="str">
        <f>HYPERLINK("https://ictv.global/taxonomy/taxondetails?taxnode_id=202500126&amp;ictv_id=ICTV19990647","ICTV19990647")</f>
        <v>ICTV19990647</v>
      </c>
      <c r="R14420" t="s">
        <v>580</v>
      </c>
      <c r="S14420" t="s">
        <v>824</v>
      </c>
      <c r="T14420">
        <v>39</v>
      </c>
      <c r="U14420" s="26" t="str">
        <f t="shared" si="538"/>
        <v>2023.024M.Bunyaviricetes.zip</v>
      </c>
    </row>
    <row r="14421" spans="1:21">
      <c r="A14421">
        <v>14420</v>
      </c>
      <c r="B14421" s="27" t="s">
        <v>1124</v>
      </c>
      <c r="D14421" s="27" t="s">
        <v>1859</v>
      </c>
      <c r="F14421" s="27" t="s">
        <v>938</v>
      </c>
      <c r="G14421" s="27" t="s">
        <v>959</v>
      </c>
      <c r="H14421" s="27" t="s">
        <v>17007</v>
      </c>
      <c r="J14421" s="27" t="s">
        <v>17008</v>
      </c>
      <c r="L14421" s="27" t="s">
        <v>729</v>
      </c>
      <c r="N14421" s="27" t="s">
        <v>431</v>
      </c>
      <c r="P14421" s="27" t="s">
        <v>10123</v>
      </c>
      <c r="Q14421" s="26" t="str">
        <f>HYPERLINK("https://ictv.global/taxonomy/taxondetails?taxnode_id=202509328&amp;ictv_id=ICTV202009328","ICTV202009328")</f>
        <v>ICTV202009328</v>
      </c>
      <c r="R14421" t="s">
        <v>580</v>
      </c>
      <c r="S14421" t="s">
        <v>824</v>
      </c>
      <c r="T14421">
        <v>39</v>
      </c>
      <c r="U14421" s="26" t="str">
        <f t="shared" si="538"/>
        <v>2023.024M.Bunyaviricetes.zip</v>
      </c>
    </row>
    <row r="14422" spans="1:21">
      <c r="A14422">
        <v>14421</v>
      </c>
      <c r="B14422" s="27" t="s">
        <v>1124</v>
      </c>
      <c r="D14422" s="27" t="s">
        <v>1859</v>
      </c>
      <c r="F14422" s="27" t="s">
        <v>938</v>
      </c>
      <c r="G14422" s="27" t="s">
        <v>959</v>
      </c>
      <c r="H14422" s="27" t="s">
        <v>17007</v>
      </c>
      <c r="J14422" s="27" t="s">
        <v>17008</v>
      </c>
      <c r="L14422" s="27" t="s">
        <v>729</v>
      </c>
      <c r="N14422" s="27" t="s">
        <v>431</v>
      </c>
      <c r="P14422" s="27" t="s">
        <v>10124</v>
      </c>
      <c r="Q14422" s="26" t="str">
        <f>HYPERLINK("https://ictv.global/taxonomy/taxondetails?taxnode_id=202506359&amp;ictv_id=ICTV201856359","ICTV201856359")</f>
        <v>ICTV201856359</v>
      </c>
      <c r="R14422" t="s">
        <v>580</v>
      </c>
      <c r="S14422" t="s">
        <v>824</v>
      </c>
      <c r="T14422">
        <v>39</v>
      </c>
      <c r="U14422" s="26" t="str">
        <f t="shared" si="538"/>
        <v>2023.024M.Bunyaviricetes.zip</v>
      </c>
    </row>
    <row r="14423" spans="1:21">
      <c r="A14423">
        <v>14422</v>
      </c>
      <c r="B14423" s="27" t="s">
        <v>1124</v>
      </c>
      <c r="D14423" s="27" t="s">
        <v>1859</v>
      </c>
      <c r="F14423" s="27" t="s">
        <v>938</v>
      </c>
      <c r="G14423" s="27" t="s">
        <v>959</v>
      </c>
      <c r="H14423" s="27" t="s">
        <v>17007</v>
      </c>
      <c r="J14423" s="27" t="s">
        <v>17008</v>
      </c>
      <c r="L14423" s="27" t="s">
        <v>729</v>
      </c>
      <c r="N14423" s="27" t="s">
        <v>431</v>
      </c>
      <c r="P14423" s="27" t="s">
        <v>10125</v>
      </c>
      <c r="Q14423" s="26" t="str">
        <f>HYPERLINK("https://ictv.global/taxonomy/taxondetails?taxnode_id=202514228&amp;ictv_id=ICTV202214228","ICTV202214228")</f>
        <v>ICTV202214228</v>
      </c>
      <c r="R14423" t="s">
        <v>580</v>
      </c>
      <c r="S14423" t="s">
        <v>824</v>
      </c>
      <c r="T14423">
        <v>39</v>
      </c>
      <c r="U14423" s="26" t="str">
        <f t="shared" si="538"/>
        <v>2023.024M.Bunyaviricetes.zip</v>
      </c>
    </row>
    <row r="14424" spans="1:21">
      <c r="A14424">
        <v>14423</v>
      </c>
      <c r="B14424" s="27" t="s">
        <v>1124</v>
      </c>
      <c r="D14424" s="27" t="s">
        <v>1859</v>
      </c>
      <c r="F14424" s="27" t="s">
        <v>938</v>
      </c>
      <c r="G14424" s="27" t="s">
        <v>959</v>
      </c>
      <c r="H14424" s="27" t="s">
        <v>17007</v>
      </c>
      <c r="J14424" s="27" t="s">
        <v>17008</v>
      </c>
      <c r="L14424" s="27" t="s">
        <v>729</v>
      </c>
      <c r="N14424" s="27" t="s">
        <v>431</v>
      </c>
      <c r="P14424" s="27" t="s">
        <v>10126</v>
      </c>
      <c r="Q14424" s="26" t="str">
        <f>HYPERLINK("https://ictv.global/taxonomy/taxondetails?taxnode_id=202500128&amp;ictv_id=ICTV19990649","ICTV19990649")</f>
        <v>ICTV19990649</v>
      </c>
      <c r="R14424" t="s">
        <v>580</v>
      </c>
      <c r="S14424" t="s">
        <v>824</v>
      </c>
      <c r="T14424">
        <v>39</v>
      </c>
      <c r="U14424" s="26" t="str">
        <f t="shared" si="538"/>
        <v>2023.024M.Bunyaviricetes.zip</v>
      </c>
    </row>
    <row r="14425" spans="1:21">
      <c r="A14425">
        <v>14424</v>
      </c>
      <c r="B14425" s="27" t="s">
        <v>1124</v>
      </c>
      <c r="D14425" s="27" t="s">
        <v>1859</v>
      </c>
      <c r="F14425" s="27" t="s">
        <v>938</v>
      </c>
      <c r="G14425" s="27" t="s">
        <v>959</v>
      </c>
      <c r="H14425" s="27" t="s">
        <v>17007</v>
      </c>
      <c r="J14425" s="27" t="s">
        <v>17008</v>
      </c>
      <c r="L14425" s="27" t="s">
        <v>729</v>
      </c>
      <c r="N14425" s="27" t="s">
        <v>431</v>
      </c>
      <c r="P14425" s="27" t="s">
        <v>10127</v>
      </c>
      <c r="Q14425" s="26" t="str">
        <f>HYPERLINK("https://ictv.global/taxonomy/taxondetails?taxnode_id=202500129&amp;ictv_id=ICTV19760213","ICTV19760213")</f>
        <v>ICTV19760213</v>
      </c>
      <c r="R14425" t="s">
        <v>580</v>
      </c>
      <c r="S14425" t="s">
        <v>824</v>
      </c>
      <c r="T14425">
        <v>39</v>
      </c>
      <c r="U14425" s="26" t="str">
        <f t="shared" si="538"/>
        <v>2023.024M.Bunyaviricetes.zip</v>
      </c>
    </row>
    <row r="14426" spans="1:21">
      <c r="A14426">
        <v>14425</v>
      </c>
      <c r="B14426" s="27" t="s">
        <v>1124</v>
      </c>
      <c r="D14426" s="27" t="s">
        <v>1859</v>
      </c>
      <c r="F14426" s="27" t="s">
        <v>938</v>
      </c>
      <c r="G14426" s="27" t="s">
        <v>959</v>
      </c>
      <c r="H14426" s="27" t="s">
        <v>17007</v>
      </c>
      <c r="J14426" s="27" t="s">
        <v>17008</v>
      </c>
      <c r="L14426" s="27" t="s">
        <v>729</v>
      </c>
      <c r="N14426" s="27" t="s">
        <v>431</v>
      </c>
      <c r="P14426" s="27" t="s">
        <v>10128</v>
      </c>
      <c r="Q14426" s="26" t="str">
        <f>HYPERLINK("https://ictv.global/taxonomy/taxondetails?taxnode_id=202506387&amp;ictv_id=ICTV201856387","ICTV201856387")</f>
        <v>ICTV201856387</v>
      </c>
      <c r="R14426" t="s">
        <v>580</v>
      </c>
      <c r="S14426" t="s">
        <v>824</v>
      </c>
      <c r="T14426">
        <v>39</v>
      </c>
      <c r="U14426" s="26" t="str">
        <f t="shared" si="538"/>
        <v>2023.024M.Bunyaviricetes.zip</v>
      </c>
    </row>
    <row r="14427" spans="1:21">
      <c r="A14427">
        <v>14426</v>
      </c>
      <c r="B14427" s="27" t="s">
        <v>1124</v>
      </c>
      <c r="D14427" s="27" t="s">
        <v>1859</v>
      </c>
      <c r="F14427" s="27" t="s">
        <v>938</v>
      </c>
      <c r="G14427" s="27" t="s">
        <v>959</v>
      </c>
      <c r="H14427" s="27" t="s">
        <v>17007</v>
      </c>
      <c r="J14427" s="27" t="s">
        <v>17008</v>
      </c>
      <c r="L14427" s="27" t="s">
        <v>729</v>
      </c>
      <c r="N14427" s="27" t="s">
        <v>431</v>
      </c>
      <c r="P14427" s="27" t="s">
        <v>10129</v>
      </c>
      <c r="Q14427" s="26" t="str">
        <f>HYPERLINK("https://ictv.global/taxonomy/taxondetails?taxnode_id=202509329&amp;ictv_id=ICTV202009329","ICTV202009329")</f>
        <v>ICTV202009329</v>
      </c>
      <c r="R14427" t="s">
        <v>580</v>
      </c>
      <c r="S14427" t="s">
        <v>824</v>
      </c>
      <c r="T14427">
        <v>39</v>
      </c>
      <c r="U14427" s="26" t="str">
        <f t="shared" si="538"/>
        <v>2023.024M.Bunyaviricetes.zip</v>
      </c>
    </row>
    <row r="14428" spans="1:21">
      <c r="A14428">
        <v>14427</v>
      </c>
      <c r="B14428" s="27" t="s">
        <v>1124</v>
      </c>
      <c r="D14428" s="27" t="s">
        <v>1859</v>
      </c>
      <c r="F14428" s="27" t="s">
        <v>938</v>
      </c>
      <c r="G14428" s="27" t="s">
        <v>959</v>
      </c>
      <c r="H14428" s="27" t="s">
        <v>17007</v>
      </c>
      <c r="J14428" s="27" t="s">
        <v>17008</v>
      </c>
      <c r="L14428" s="27" t="s">
        <v>729</v>
      </c>
      <c r="N14428" s="27" t="s">
        <v>431</v>
      </c>
      <c r="P14428" s="27" t="s">
        <v>17032</v>
      </c>
      <c r="Q14428" s="26" t="str">
        <f>HYPERLINK("https://ictv.global/taxonomy/taxondetails?taxnode_id=202519066&amp;ictv_id=ICTV202319066","ICTV202319066")</f>
        <v>ICTV202319066</v>
      </c>
      <c r="R14428" t="s">
        <v>580</v>
      </c>
      <c r="S14428" t="s">
        <v>823</v>
      </c>
      <c r="T14428">
        <v>39</v>
      </c>
      <c r="U14428" s="26" t="str">
        <f>HYPERLINK("https://ictv.global/ictv/proposals/2023.031M.Peribunyaviridae_1ng_7nsp.zip","2023.031M.Peribunyaviridae_1ng_7nsp.zip")</f>
        <v>2023.031M.Peribunyaviridae_1ng_7nsp.zip</v>
      </c>
    </row>
    <row r="14429" spans="1:21">
      <c r="A14429">
        <v>14428</v>
      </c>
      <c r="B14429" s="27" t="s">
        <v>1124</v>
      </c>
      <c r="D14429" s="27" t="s">
        <v>1859</v>
      </c>
      <c r="F14429" s="27" t="s">
        <v>938</v>
      </c>
      <c r="G14429" s="27" t="s">
        <v>959</v>
      </c>
      <c r="H14429" s="27" t="s">
        <v>17007</v>
      </c>
      <c r="J14429" s="27" t="s">
        <v>17008</v>
      </c>
      <c r="L14429" s="27" t="s">
        <v>729</v>
      </c>
      <c r="N14429" s="27" t="s">
        <v>431</v>
      </c>
      <c r="P14429" s="27" t="s">
        <v>10130</v>
      </c>
      <c r="Q14429" s="26" t="str">
        <f>HYPERLINK("https://ictv.global/taxonomy/taxondetails?taxnode_id=202500130&amp;ictv_id=ICTV19990651","ICTV19990651")</f>
        <v>ICTV19990651</v>
      </c>
      <c r="R14429" t="s">
        <v>580</v>
      </c>
      <c r="S14429" t="s">
        <v>824</v>
      </c>
      <c r="T14429">
        <v>39</v>
      </c>
      <c r="U14429" s="26" t="str">
        <f>HYPERLINK("https://ictv.global/ictv/proposals/2023.024M.Bunyaviricetes.zip","2023.024M.Bunyaviricetes.zip")</f>
        <v>2023.024M.Bunyaviricetes.zip</v>
      </c>
    </row>
    <row r="14430" spans="1:21">
      <c r="A14430">
        <v>14429</v>
      </c>
      <c r="B14430" s="27" t="s">
        <v>1124</v>
      </c>
      <c r="D14430" s="27" t="s">
        <v>1859</v>
      </c>
      <c r="F14430" s="27" t="s">
        <v>938</v>
      </c>
      <c r="G14430" s="27" t="s">
        <v>959</v>
      </c>
      <c r="H14430" s="27" t="s">
        <v>17007</v>
      </c>
      <c r="J14430" s="27" t="s">
        <v>17008</v>
      </c>
      <c r="L14430" s="27" t="s">
        <v>729</v>
      </c>
      <c r="N14430" s="27" t="s">
        <v>431</v>
      </c>
      <c r="P14430" s="27" t="s">
        <v>10131</v>
      </c>
      <c r="Q14430" s="26" t="str">
        <f>HYPERLINK("https://ictv.global/taxonomy/taxondetails?taxnode_id=202506372&amp;ictv_id=ICTV201856372","ICTV201856372")</f>
        <v>ICTV201856372</v>
      </c>
      <c r="R14430" t="s">
        <v>580</v>
      </c>
      <c r="S14430" t="s">
        <v>824</v>
      </c>
      <c r="T14430">
        <v>39</v>
      </c>
      <c r="U14430" s="26" t="str">
        <f>HYPERLINK("https://ictv.global/ictv/proposals/2023.024M.Bunyaviricetes.zip","2023.024M.Bunyaviricetes.zip")</f>
        <v>2023.024M.Bunyaviricetes.zip</v>
      </c>
    </row>
    <row r="14431" spans="1:21">
      <c r="A14431">
        <v>14430</v>
      </c>
      <c r="B14431" s="27" t="s">
        <v>1124</v>
      </c>
      <c r="D14431" s="27" t="s">
        <v>1859</v>
      </c>
      <c r="F14431" s="27" t="s">
        <v>938</v>
      </c>
      <c r="G14431" s="27" t="s">
        <v>959</v>
      </c>
      <c r="H14431" s="27" t="s">
        <v>17007</v>
      </c>
      <c r="J14431" s="27" t="s">
        <v>17008</v>
      </c>
      <c r="L14431" s="27" t="s">
        <v>729</v>
      </c>
      <c r="N14431" s="27" t="s">
        <v>431</v>
      </c>
      <c r="P14431" s="27" t="s">
        <v>20457</v>
      </c>
      <c r="Q14431" s="26" t="str">
        <f>HYPERLINK("https://ictv.global/taxonomy/taxondetails?taxnode_id=202520465&amp;ictv_id=ICTV202420465","ICTV202420465")</f>
        <v>ICTV202420465</v>
      </c>
      <c r="R14431" t="s">
        <v>580</v>
      </c>
      <c r="S14431" t="s">
        <v>823</v>
      </c>
      <c r="T14431">
        <v>40</v>
      </c>
      <c r="U14431" s="26" t="str">
        <f>HYPERLINK("https://ictv.global/ictv/proposals/2024.010M.orthobunyavirus_4nsp.zip","2024.010M.orthobunyavirus_4nsp.zip")</f>
        <v>2024.010M.orthobunyavirus_4nsp.zip</v>
      </c>
    </row>
    <row r="14432" spans="1:21">
      <c r="A14432">
        <v>14431</v>
      </c>
      <c r="B14432" s="27" t="s">
        <v>1124</v>
      </c>
      <c r="D14432" s="27" t="s">
        <v>1859</v>
      </c>
      <c r="F14432" s="27" t="s">
        <v>938</v>
      </c>
      <c r="G14432" s="27" t="s">
        <v>959</v>
      </c>
      <c r="H14432" s="27" t="s">
        <v>17007</v>
      </c>
      <c r="J14432" s="27" t="s">
        <v>17008</v>
      </c>
      <c r="L14432" s="27" t="s">
        <v>729</v>
      </c>
      <c r="N14432" s="27" t="s">
        <v>431</v>
      </c>
      <c r="P14432" s="27" t="s">
        <v>10132</v>
      </c>
      <c r="Q14432" s="26" t="str">
        <f>HYPERLINK("https://ictv.global/taxonomy/taxondetails?taxnode_id=202514243&amp;ictv_id=ICTV202214243","ICTV202214243")</f>
        <v>ICTV202214243</v>
      </c>
      <c r="R14432" t="s">
        <v>580</v>
      </c>
      <c r="S14432" t="s">
        <v>824</v>
      </c>
      <c r="T14432">
        <v>39</v>
      </c>
      <c r="U14432" s="26" t="str">
        <f>HYPERLINK("https://ictv.global/ictv/proposals/2023.024M.Bunyaviricetes.zip","2023.024M.Bunyaviricetes.zip")</f>
        <v>2023.024M.Bunyaviricetes.zip</v>
      </c>
    </row>
    <row r="14433" spans="1:21">
      <c r="A14433">
        <v>14432</v>
      </c>
      <c r="B14433" s="27" t="s">
        <v>1124</v>
      </c>
      <c r="D14433" s="27" t="s">
        <v>1859</v>
      </c>
      <c r="F14433" s="27" t="s">
        <v>938</v>
      </c>
      <c r="G14433" s="27" t="s">
        <v>959</v>
      </c>
      <c r="H14433" s="27" t="s">
        <v>17007</v>
      </c>
      <c r="J14433" s="27" t="s">
        <v>17008</v>
      </c>
      <c r="L14433" s="27" t="s">
        <v>729</v>
      </c>
      <c r="N14433" s="27" t="s">
        <v>431</v>
      </c>
      <c r="P14433" s="27" t="s">
        <v>20458</v>
      </c>
      <c r="Q14433" s="26" t="str">
        <f>HYPERLINK("https://ictv.global/taxonomy/taxondetails?taxnode_id=202520462&amp;ictv_id=ICTV202420462","ICTV202420462")</f>
        <v>ICTV202420462</v>
      </c>
      <c r="R14433" t="s">
        <v>580</v>
      </c>
      <c r="S14433" t="s">
        <v>823</v>
      </c>
      <c r="T14433">
        <v>40</v>
      </c>
      <c r="U14433" s="26" t="str">
        <f>HYPERLINK("https://ictv.global/ictv/proposals/2024.010M.orthobunyavirus_4nsp.zip","2024.010M.orthobunyavirus_4nsp.zip")</f>
        <v>2024.010M.orthobunyavirus_4nsp.zip</v>
      </c>
    </row>
    <row r="14434" spans="1:21">
      <c r="A14434">
        <v>14433</v>
      </c>
      <c r="B14434" s="27" t="s">
        <v>1124</v>
      </c>
      <c r="D14434" s="27" t="s">
        <v>1859</v>
      </c>
      <c r="F14434" s="27" t="s">
        <v>938</v>
      </c>
      <c r="G14434" s="27" t="s">
        <v>959</v>
      </c>
      <c r="H14434" s="27" t="s">
        <v>17007</v>
      </c>
      <c r="J14434" s="27" t="s">
        <v>17008</v>
      </c>
      <c r="L14434" s="27" t="s">
        <v>729</v>
      </c>
      <c r="N14434" s="27" t="s">
        <v>431</v>
      </c>
      <c r="P14434" s="27" t="s">
        <v>10133</v>
      </c>
      <c r="Q14434" s="26" t="str">
        <f>HYPERLINK("https://ictv.global/taxonomy/taxondetails?taxnode_id=202506598&amp;ictv_id=ICTV201856598","ICTV201856598")</f>
        <v>ICTV201856598</v>
      </c>
      <c r="R14434" t="s">
        <v>580</v>
      </c>
      <c r="S14434" t="s">
        <v>824</v>
      </c>
      <c r="T14434">
        <v>39</v>
      </c>
      <c r="U14434" s="26" t="str">
        <f t="shared" ref="U14434:U14447" si="539">HYPERLINK("https://ictv.global/ictv/proposals/2023.024M.Bunyaviricetes.zip","2023.024M.Bunyaviricetes.zip")</f>
        <v>2023.024M.Bunyaviricetes.zip</v>
      </c>
    </row>
    <row r="14435" spans="1:21">
      <c r="A14435">
        <v>14434</v>
      </c>
      <c r="B14435" s="27" t="s">
        <v>1124</v>
      </c>
      <c r="D14435" s="27" t="s">
        <v>1859</v>
      </c>
      <c r="F14435" s="27" t="s">
        <v>938</v>
      </c>
      <c r="G14435" s="27" t="s">
        <v>959</v>
      </c>
      <c r="H14435" s="27" t="s">
        <v>17007</v>
      </c>
      <c r="J14435" s="27" t="s">
        <v>17008</v>
      </c>
      <c r="L14435" s="27" t="s">
        <v>729</v>
      </c>
      <c r="N14435" s="27" t="s">
        <v>431</v>
      </c>
      <c r="P14435" s="27" t="s">
        <v>10134</v>
      </c>
      <c r="Q14435" s="26" t="str">
        <f>HYPERLINK("https://ictv.global/taxonomy/taxondetails?taxnode_id=202514224&amp;ictv_id=ICTV202214224","ICTV202214224")</f>
        <v>ICTV202214224</v>
      </c>
      <c r="R14435" t="s">
        <v>580</v>
      </c>
      <c r="S14435" t="s">
        <v>824</v>
      </c>
      <c r="T14435">
        <v>39</v>
      </c>
      <c r="U14435" s="26" t="str">
        <f t="shared" si="539"/>
        <v>2023.024M.Bunyaviricetes.zip</v>
      </c>
    </row>
    <row r="14436" spans="1:21">
      <c r="A14436">
        <v>14435</v>
      </c>
      <c r="B14436" s="27" t="s">
        <v>1124</v>
      </c>
      <c r="D14436" s="27" t="s">
        <v>1859</v>
      </c>
      <c r="F14436" s="27" t="s">
        <v>938</v>
      </c>
      <c r="G14436" s="27" t="s">
        <v>959</v>
      </c>
      <c r="H14436" s="27" t="s">
        <v>17007</v>
      </c>
      <c r="J14436" s="27" t="s">
        <v>17008</v>
      </c>
      <c r="L14436" s="27" t="s">
        <v>729</v>
      </c>
      <c r="N14436" s="27" t="s">
        <v>431</v>
      </c>
      <c r="P14436" s="27" t="s">
        <v>10135</v>
      </c>
      <c r="Q14436" s="26" t="str">
        <f>HYPERLINK("https://ictv.global/taxonomy/taxondetails?taxnode_id=202506363&amp;ictv_id=ICTV201856363","ICTV201856363")</f>
        <v>ICTV201856363</v>
      </c>
      <c r="R14436" t="s">
        <v>580</v>
      </c>
      <c r="S14436" t="s">
        <v>824</v>
      </c>
      <c r="T14436">
        <v>39</v>
      </c>
      <c r="U14436" s="26" t="str">
        <f t="shared" si="539"/>
        <v>2023.024M.Bunyaviricetes.zip</v>
      </c>
    </row>
    <row r="14437" spans="1:21">
      <c r="A14437">
        <v>14436</v>
      </c>
      <c r="B14437" s="27" t="s">
        <v>1124</v>
      </c>
      <c r="D14437" s="27" t="s">
        <v>1859</v>
      </c>
      <c r="F14437" s="27" t="s">
        <v>938</v>
      </c>
      <c r="G14437" s="27" t="s">
        <v>959</v>
      </c>
      <c r="H14437" s="27" t="s">
        <v>17007</v>
      </c>
      <c r="J14437" s="27" t="s">
        <v>17008</v>
      </c>
      <c r="L14437" s="27" t="s">
        <v>729</v>
      </c>
      <c r="N14437" s="27" t="s">
        <v>431</v>
      </c>
      <c r="P14437" s="27" t="s">
        <v>10136</v>
      </c>
      <c r="Q14437" s="26" t="str">
        <f>HYPERLINK("https://ictv.global/taxonomy/taxondetails?taxnode_id=202514244&amp;ictv_id=ICTV202214244","ICTV202214244")</f>
        <v>ICTV202214244</v>
      </c>
      <c r="R14437" t="s">
        <v>580</v>
      </c>
      <c r="S14437" t="s">
        <v>824</v>
      </c>
      <c r="T14437">
        <v>39</v>
      </c>
      <c r="U14437" s="26" t="str">
        <f t="shared" si="539"/>
        <v>2023.024M.Bunyaviricetes.zip</v>
      </c>
    </row>
    <row r="14438" spans="1:21">
      <c r="A14438">
        <v>14437</v>
      </c>
      <c r="B14438" s="27" t="s">
        <v>1124</v>
      </c>
      <c r="D14438" s="27" t="s">
        <v>1859</v>
      </c>
      <c r="F14438" s="27" t="s">
        <v>938</v>
      </c>
      <c r="G14438" s="27" t="s">
        <v>959</v>
      </c>
      <c r="H14438" s="27" t="s">
        <v>17007</v>
      </c>
      <c r="J14438" s="27" t="s">
        <v>17008</v>
      </c>
      <c r="L14438" s="27" t="s">
        <v>729</v>
      </c>
      <c r="N14438" s="27" t="s">
        <v>431</v>
      </c>
      <c r="P14438" s="27" t="s">
        <v>10137</v>
      </c>
      <c r="Q14438" s="26" t="str">
        <f>HYPERLINK("https://ictv.global/taxonomy/taxondetails?taxnode_id=202500131&amp;ictv_id=ICTV19990652","ICTV19990652")</f>
        <v>ICTV19990652</v>
      </c>
      <c r="R14438" t="s">
        <v>580</v>
      </c>
      <c r="S14438" t="s">
        <v>824</v>
      </c>
      <c r="T14438">
        <v>39</v>
      </c>
      <c r="U14438" s="26" t="str">
        <f t="shared" si="539"/>
        <v>2023.024M.Bunyaviricetes.zip</v>
      </c>
    </row>
    <row r="14439" spans="1:21">
      <c r="A14439">
        <v>14438</v>
      </c>
      <c r="B14439" s="27" t="s">
        <v>1124</v>
      </c>
      <c r="D14439" s="27" t="s">
        <v>1859</v>
      </c>
      <c r="F14439" s="27" t="s">
        <v>938</v>
      </c>
      <c r="G14439" s="27" t="s">
        <v>959</v>
      </c>
      <c r="H14439" s="27" t="s">
        <v>17007</v>
      </c>
      <c r="J14439" s="27" t="s">
        <v>17008</v>
      </c>
      <c r="L14439" s="27" t="s">
        <v>729</v>
      </c>
      <c r="N14439" s="27" t="s">
        <v>431</v>
      </c>
      <c r="P14439" s="27" t="s">
        <v>10138</v>
      </c>
      <c r="Q14439" s="26" t="str">
        <f>HYPERLINK("https://ictv.global/taxonomy/taxondetails?taxnode_id=202500132&amp;ictv_id=ICTV19760218","ICTV19760218")</f>
        <v>ICTV19760218</v>
      </c>
      <c r="R14439" t="s">
        <v>580</v>
      </c>
      <c r="S14439" t="s">
        <v>824</v>
      </c>
      <c r="T14439">
        <v>39</v>
      </c>
      <c r="U14439" s="26" t="str">
        <f t="shared" si="539"/>
        <v>2023.024M.Bunyaviricetes.zip</v>
      </c>
    </row>
    <row r="14440" spans="1:21">
      <c r="A14440">
        <v>14439</v>
      </c>
      <c r="B14440" s="27" t="s">
        <v>1124</v>
      </c>
      <c r="D14440" s="27" t="s">
        <v>1859</v>
      </c>
      <c r="F14440" s="27" t="s">
        <v>938</v>
      </c>
      <c r="G14440" s="27" t="s">
        <v>959</v>
      </c>
      <c r="H14440" s="27" t="s">
        <v>17007</v>
      </c>
      <c r="J14440" s="27" t="s">
        <v>17008</v>
      </c>
      <c r="L14440" s="27" t="s">
        <v>729</v>
      </c>
      <c r="N14440" s="27" t="s">
        <v>431</v>
      </c>
      <c r="P14440" s="27" t="s">
        <v>10139</v>
      </c>
      <c r="Q14440" s="26" t="str">
        <f>HYPERLINK("https://ictv.global/taxonomy/taxondetails?taxnode_id=202500133&amp;ictv_id=ICTV19820359","ICTV19820359")</f>
        <v>ICTV19820359</v>
      </c>
      <c r="R14440" t="s">
        <v>580</v>
      </c>
      <c r="S14440" t="s">
        <v>824</v>
      </c>
      <c r="T14440">
        <v>39</v>
      </c>
      <c r="U14440" s="26" t="str">
        <f t="shared" si="539"/>
        <v>2023.024M.Bunyaviricetes.zip</v>
      </c>
    </row>
    <row r="14441" spans="1:21">
      <c r="A14441">
        <v>14440</v>
      </c>
      <c r="B14441" s="27" t="s">
        <v>1124</v>
      </c>
      <c r="D14441" s="27" t="s">
        <v>1859</v>
      </c>
      <c r="F14441" s="27" t="s">
        <v>938</v>
      </c>
      <c r="G14441" s="27" t="s">
        <v>959</v>
      </c>
      <c r="H14441" s="27" t="s">
        <v>17007</v>
      </c>
      <c r="J14441" s="27" t="s">
        <v>17008</v>
      </c>
      <c r="L14441" s="27" t="s">
        <v>729</v>
      </c>
      <c r="N14441" s="27" t="s">
        <v>431</v>
      </c>
      <c r="P14441" s="27" t="s">
        <v>10140</v>
      </c>
      <c r="Q14441" s="26" t="str">
        <f>HYPERLINK("https://ictv.global/taxonomy/taxondetails?taxnode_id=202509330&amp;ictv_id=ICTV202009330","ICTV202009330")</f>
        <v>ICTV202009330</v>
      </c>
      <c r="R14441" t="s">
        <v>580</v>
      </c>
      <c r="S14441" t="s">
        <v>824</v>
      </c>
      <c r="T14441">
        <v>39</v>
      </c>
      <c r="U14441" s="26" t="str">
        <f t="shared" si="539"/>
        <v>2023.024M.Bunyaviricetes.zip</v>
      </c>
    </row>
    <row r="14442" spans="1:21">
      <c r="A14442">
        <v>14441</v>
      </c>
      <c r="B14442" s="27" t="s">
        <v>1124</v>
      </c>
      <c r="D14442" s="27" t="s">
        <v>1859</v>
      </c>
      <c r="F14442" s="27" t="s">
        <v>938</v>
      </c>
      <c r="G14442" s="27" t="s">
        <v>959</v>
      </c>
      <c r="H14442" s="27" t="s">
        <v>17007</v>
      </c>
      <c r="J14442" s="27" t="s">
        <v>17008</v>
      </c>
      <c r="L14442" s="27" t="s">
        <v>729</v>
      </c>
      <c r="N14442" s="27" t="s">
        <v>431</v>
      </c>
      <c r="P14442" s="27" t="s">
        <v>10141</v>
      </c>
      <c r="Q14442" s="26" t="str">
        <f>HYPERLINK("https://ictv.global/taxonomy/taxondetails?taxnode_id=202500134&amp;ictv_id=ICTV19990655","ICTV19990655")</f>
        <v>ICTV19990655</v>
      </c>
      <c r="R14442" t="s">
        <v>580</v>
      </c>
      <c r="S14442" t="s">
        <v>824</v>
      </c>
      <c r="T14442">
        <v>39</v>
      </c>
      <c r="U14442" s="26" t="str">
        <f t="shared" si="539"/>
        <v>2023.024M.Bunyaviricetes.zip</v>
      </c>
    </row>
    <row r="14443" spans="1:21">
      <c r="A14443">
        <v>14442</v>
      </c>
      <c r="B14443" s="27" t="s">
        <v>1124</v>
      </c>
      <c r="D14443" s="27" t="s">
        <v>1859</v>
      </c>
      <c r="F14443" s="27" t="s">
        <v>938</v>
      </c>
      <c r="G14443" s="27" t="s">
        <v>959</v>
      </c>
      <c r="H14443" s="27" t="s">
        <v>17007</v>
      </c>
      <c r="J14443" s="27" t="s">
        <v>17008</v>
      </c>
      <c r="L14443" s="27" t="s">
        <v>729</v>
      </c>
      <c r="N14443" s="27" t="s">
        <v>431</v>
      </c>
      <c r="P14443" s="27" t="s">
        <v>10142</v>
      </c>
      <c r="Q14443" s="26" t="str">
        <f>HYPERLINK("https://ictv.global/taxonomy/taxondetails?taxnode_id=202514234&amp;ictv_id=ICTV202214234","ICTV202214234")</f>
        <v>ICTV202214234</v>
      </c>
      <c r="R14443" t="s">
        <v>580</v>
      </c>
      <c r="S14443" t="s">
        <v>824</v>
      </c>
      <c r="T14443">
        <v>39</v>
      </c>
      <c r="U14443" s="26" t="str">
        <f t="shared" si="539"/>
        <v>2023.024M.Bunyaviricetes.zip</v>
      </c>
    </row>
    <row r="14444" spans="1:21">
      <c r="A14444">
        <v>14443</v>
      </c>
      <c r="B14444" s="27" t="s">
        <v>1124</v>
      </c>
      <c r="D14444" s="27" t="s">
        <v>1859</v>
      </c>
      <c r="F14444" s="27" t="s">
        <v>938</v>
      </c>
      <c r="G14444" s="27" t="s">
        <v>959</v>
      </c>
      <c r="H14444" s="27" t="s">
        <v>17007</v>
      </c>
      <c r="J14444" s="27" t="s">
        <v>17008</v>
      </c>
      <c r="L14444" s="27" t="s">
        <v>729</v>
      </c>
      <c r="N14444" s="27" t="s">
        <v>431</v>
      </c>
      <c r="P14444" s="27" t="s">
        <v>10143</v>
      </c>
      <c r="Q14444" s="26" t="str">
        <f>HYPERLINK("https://ictv.global/taxonomy/taxondetails?taxnode_id=202506379&amp;ictv_id=ICTV201856379","ICTV201856379")</f>
        <v>ICTV201856379</v>
      </c>
      <c r="R14444" t="s">
        <v>580</v>
      </c>
      <c r="S14444" t="s">
        <v>824</v>
      </c>
      <c r="T14444">
        <v>39</v>
      </c>
      <c r="U14444" s="26" t="str">
        <f t="shared" si="539"/>
        <v>2023.024M.Bunyaviricetes.zip</v>
      </c>
    </row>
    <row r="14445" spans="1:21">
      <c r="A14445">
        <v>14444</v>
      </c>
      <c r="B14445" s="27" t="s">
        <v>1124</v>
      </c>
      <c r="D14445" s="27" t="s">
        <v>1859</v>
      </c>
      <c r="F14445" s="27" t="s">
        <v>938</v>
      </c>
      <c r="G14445" s="27" t="s">
        <v>959</v>
      </c>
      <c r="H14445" s="27" t="s">
        <v>17007</v>
      </c>
      <c r="J14445" s="27" t="s">
        <v>17008</v>
      </c>
      <c r="L14445" s="27" t="s">
        <v>729</v>
      </c>
      <c r="N14445" s="27" t="s">
        <v>431</v>
      </c>
      <c r="P14445" s="27" t="s">
        <v>10144</v>
      </c>
      <c r="Q14445" s="26" t="str">
        <f>HYPERLINK("https://ictv.global/taxonomy/taxondetails?taxnode_id=202506599&amp;ictv_id=ICTV201856599","ICTV201856599")</f>
        <v>ICTV201856599</v>
      </c>
      <c r="R14445" t="s">
        <v>580</v>
      </c>
      <c r="S14445" t="s">
        <v>824</v>
      </c>
      <c r="T14445">
        <v>39</v>
      </c>
      <c r="U14445" s="26" t="str">
        <f t="shared" si="539"/>
        <v>2023.024M.Bunyaviricetes.zip</v>
      </c>
    </row>
    <row r="14446" spans="1:21">
      <c r="A14446">
        <v>14445</v>
      </c>
      <c r="B14446" s="27" t="s">
        <v>1124</v>
      </c>
      <c r="D14446" s="27" t="s">
        <v>1859</v>
      </c>
      <c r="F14446" s="27" t="s">
        <v>938</v>
      </c>
      <c r="G14446" s="27" t="s">
        <v>959</v>
      </c>
      <c r="H14446" s="27" t="s">
        <v>17007</v>
      </c>
      <c r="J14446" s="27" t="s">
        <v>17008</v>
      </c>
      <c r="L14446" s="27" t="s">
        <v>729</v>
      </c>
      <c r="N14446" s="27" t="s">
        <v>431</v>
      </c>
      <c r="P14446" s="27" t="s">
        <v>10145</v>
      </c>
      <c r="Q14446" s="26" t="str">
        <f>HYPERLINK("https://ictv.global/taxonomy/taxondetails?taxnode_id=202505464&amp;ictv_id=ICTV20175464","ICTV20175464")</f>
        <v>ICTV20175464</v>
      </c>
      <c r="R14446" t="s">
        <v>580</v>
      </c>
      <c r="S14446" t="s">
        <v>824</v>
      </c>
      <c r="T14446">
        <v>39</v>
      </c>
      <c r="U14446" s="26" t="str">
        <f t="shared" si="539"/>
        <v>2023.024M.Bunyaviricetes.zip</v>
      </c>
    </row>
    <row r="14447" spans="1:21">
      <c r="A14447">
        <v>14446</v>
      </c>
      <c r="B14447" s="27" t="s">
        <v>1124</v>
      </c>
      <c r="D14447" s="27" t="s">
        <v>1859</v>
      </c>
      <c r="F14447" s="27" t="s">
        <v>938</v>
      </c>
      <c r="G14447" s="27" t="s">
        <v>959</v>
      </c>
      <c r="H14447" s="27" t="s">
        <v>17007</v>
      </c>
      <c r="J14447" s="27" t="s">
        <v>17008</v>
      </c>
      <c r="L14447" s="27" t="s">
        <v>729</v>
      </c>
      <c r="N14447" s="27" t="s">
        <v>431</v>
      </c>
      <c r="P14447" s="27" t="s">
        <v>10146</v>
      </c>
      <c r="Q14447" s="26" t="str">
        <f>HYPERLINK("https://ictv.global/taxonomy/taxondetails?taxnode_id=202500135&amp;ictv_id=ICTV19990656","ICTV19990656")</f>
        <v>ICTV19990656</v>
      </c>
      <c r="R14447" t="s">
        <v>580</v>
      </c>
      <c r="S14447" t="s">
        <v>824</v>
      </c>
      <c r="T14447">
        <v>39</v>
      </c>
      <c r="U14447" s="26" t="str">
        <f t="shared" si="539"/>
        <v>2023.024M.Bunyaviricetes.zip</v>
      </c>
    </row>
    <row r="14448" spans="1:21">
      <c r="A14448">
        <v>14447</v>
      </c>
      <c r="B14448" s="27" t="s">
        <v>1124</v>
      </c>
      <c r="D14448" s="27" t="s">
        <v>1859</v>
      </c>
      <c r="F14448" s="27" t="s">
        <v>938</v>
      </c>
      <c r="G14448" s="27" t="s">
        <v>959</v>
      </c>
      <c r="H14448" s="27" t="s">
        <v>17007</v>
      </c>
      <c r="J14448" s="27" t="s">
        <v>17008</v>
      </c>
      <c r="L14448" s="27" t="s">
        <v>729</v>
      </c>
      <c r="N14448" s="27" t="s">
        <v>431</v>
      </c>
      <c r="P14448" s="27" t="s">
        <v>17033</v>
      </c>
      <c r="Q14448" s="26" t="str">
        <f>HYPERLINK("https://ictv.global/taxonomy/taxondetails?taxnode_id=202519067&amp;ictv_id=ICTV202319067","ICTV202319067")</f>
        <v>ICTV202319067</v>
      </c>
      <c r="R14448" t="s">
        <v>580</v>
      </c>
      <c r="S14448" t="s">
        <v>823</v>
      </c>
      <c r="T14448">
        <v>39</v>
      </c>
      <c r="U14448" s="26" t="str">
        <f>HYPERLINK("https://ictv.global/ictv/proposals/2023.031M.Peribunyaviridae_1ng_7nsp.zip","2023.031M.Peribunyaviridae_1ng_7nsp.zip")</f>
        <v>2023.031M.Peribunyaviridae_1ng_7nsp.zip</v>
      </c>
    </row>
    <row r="14449" spans="1:21">
      <c r="A14449">
        <v>14448</v>
      </c>
      <c r="B14449" s="27" t="s">
        <v>1124</v>
      </c>
      <c r="D14449" s="27" t="s">
        <v>1859</v>
      </c>
      <c r="F14449" s="27" t="s">
        <v>938</v>
      </c>
      <c r="G14449" s="27" t="s">
        <v>959</v>
      </c>
      <c r="H14449" s="27" t="s">
        <v>17007</v>
      </c>
      <c r="J14449" s="27" t="s">
        <v>17008</v>
      </c>
      <c r="L14449" s="27" t="s">
        <v>729</v>
      </c>
      <c r="N14449" s="27" t="s">
        <v>1153</v>
      </c>
      <c r="P14449" s="27" t="s">
        <v>10147</v>
      </c>
      <c r="Q14449" s="26" t="str">
        <f>HYPERLINK("https://ictv.global/taxonomy/taxondetails?taxnode_id=202507517&amp;ictv_id=ICTV201907517","ICTV201907517")</f>
        <v>ICTV201907517</v>
      </c>
      <c r="R14449" t="s">
        <v>580</v>
      </c>
      <c r="S14449" t="s">
        <v>824</v>
      </c>
      <c r="T14449">
        <v>39</v>
      </c>
      <c r="U14449" s="26" t="str">
        <f t="shared" ref="U14449:U14461" si="540">HYPERLINK("https://ictv.global/ictv/proposals/2023.024M.Bunyaviricetes.zip","2023.024M.Bunyaviricetes.zip")</f>
        <v>2023.024M.Bunyaviricetes.zip</v>
      </c>
    </row>
    <row r="14450" spans="1:21">
      <c r="A14450">
        <v>14449</v>
      </c>
      <c r="B14450" s="27" t="s">
        <v>1124</v>
      </c>
      <c r="D14450" s="27" t="s">
        <v>1859</v>
      </c>
      <c r="F14450" s="27" t="s">
        <v>938</v>
      </c>
      <c r="G14450" s="27" t="s">
        <v>959</v>
      </c>
      <c r="H14450" s="27" t="s">
        <v>17007</v>
      </c>
      <c r="J14450" s="27" t="s">
        <v>17008</v>
      </c>
      <c r="L14450" s="27" t="s">
        <v>729</v>
      </c>
      <c r="N14450" s="27" t="s">
        <v>1153</v>
      </c>
      <c r="P14450" s="27" t="s">
        <v>10148</v>
      </c>
      <c r="Q14450" s="26" t="str">
        <f>HYPERLINK("https://ictv.global/taxonomy/taxondetails?taxnode_id=202500160&amp;ictv_id=ICTV19990690","ICTV19990690")</f>
        <v>ICTV19990690</v>
      </c>
      <c r="R14450" t="s">
        <v>580</v>
      </c>
      <c r="S14450" t="s">
        <v>824</v>
      </c>
      <c r="T14450">
        <v>39</v>
      </c>
      <c r="U14450" s="26" t="str">
        <f t="shared" si="540"/>
        <v>2023.024M.Bunyaviricetes.zip</v>
      </c>
    </row>
    <row r="14451" spans="1:21">
      <c r="A14451">
        <v>14450</v>
      </c>
      <c r="B14451" s="27" t="s">
        <v>1124</v>
      </c>
      <c r="D14451" s="27" t="s">
        <v>1859</v>
      </c>
      <c r="F14451" s="27" t="s">
        <v>938</v>
      </c>
      <c r="G14451" s="27" t="s">
        <v>959</v>
      </c>
      <c r="H14451" s="27" t="s">
        <v>17007</v>
      </c>
      <c r="J14451" s="27" t="s">
        <v>17008</v>
      </c>
      <c r="L14451" s="27" t="s">
        <v>729</v>
      </c>
      <c r="N14451" s="27" t="s">
        <v>1153</v>
      </c>
      <c r="P14451" s="27" t="s">
        <v>10149</v>
      </c>
      <c r="Q14451" s="26" t="str">
        <f>HYPERLINK("https://ictv.global/taxonomy/taxondetails?taxnode_id=202506602&amp;ictv_id=ICTV201856602","ICTV201856602")</f>
        <v>ICTV201856602</v>
      </c>
      <c r="R14451" t="s">
        <v>580</v>
      </c>
      <c r="S14451" t="s">
        <v>824</v>
      </c>
      <c r="T14451">
        <v>39</v>
      </c>
      <c r="U14451" s="26" t="str">
        <f t="shared" si="540"/>
        <v>2023.024M.Bunyaviricetes.zip</v>
      </c>
    </row>
    <row r="14452" spans="1:21">
      <c r="A14452">
        <v>14451</v>
      </c>
      <c r="B14452" s="27" t="s">
        <v>1124</v>
      </c>
      <c r="D14452" s="27" t="s">
        <v>1859</v>
      </c>
      <c r="F14452" s="27" t="s">
        <v>938</v>
      </c>
      <c r="G14452" s="27" t="s">
        <v>959</v>
      </c>
      <c r="H14452" s="27" t="s">
        <v>17007</v>
      </c>
      <c r="J14452" s="27" t="s">
        <v>17008</v>
      </c>
      <c r="L14452" s="27" t="s">
        <v>729</v>
      </c>
      <c r="N14452" s="27" t="s">
        <v>1153</v>
      </c>
      <c r="P14452" s="27" t="s">
        <v>10150</v>
      </c>
      <c r="Q14452" s="26" t="str">
        <f>HYPERLINK("https://ictv.global/taxonomy/taxondetails?taxnode_id=202506601&amp;ictv_id=ICTV201856601","ICTV201856601")</f>
        <v>ICTV201856601</v>
      </c>
      <c r="R14452" t="s">
        <v>580</v>
      </c>
      <c r="S14452" t="s">
        <v>824</v>
      </c>
      <c r="T14452">
        <v>39</v>
      </c>
      <c r="U14452" s="26" t="str">
        <f t="shared" si="540"/>
        <v>2023.024M.Bunyaviricetes.zip</v>
      </c>
    </row>
    <row r="14453" spans="1:21">
      <c r="A14453">
        <v>14452</v>
      </c>
      <c r="B14453" s="27" t="s">
        <v>1124</v>
      </c>
      <c r="D14453" s="27" t="s">
        <v>1859</v>
      </c>
      <c r="F14453" s="27" t="s">
        <v>938</v>
      </c>
      <c r="G14453" s="27" t="s">
        <v>959</v>
      </c>
      <c r="H14453" s="27" t="s">
        <v>17007</v>
      </c>
      <c r="J14453" s="27" t="s">
        <v>17008</v>
      </c>
      <c r="L14453" s="27" t="s">
        <v>729</v>
      </c>
      <c r="N14453" s="27" t="s">
        <v>1153</v>
      </c>
      <c r="P14453" s="27" t="s">
        <v>10151</v>
      </c>
      <c r="Q14453" s="26" t="str">
        <f>HYPERLINK("https://ictv.global/taxonomy/taxondetails?taxnode_id=202506603&amp;ictv_id=ICTV201856603","ICTV201856603")</f>
        <v>ICTV201856603</v>
      </c>
      <c r="R14453" t="s">
        <v>580</v>
      </c>
      <c r="S14453" t="s">
        <v>824</v>
      </c>
      <c r="T14453">
        <v>39</v>
      </c>
      <c r="U14453" s="26" t="str">
        <f t="shared" si="540"/>
        <v>2023.024M.Bunyaviricetes.zip</v>
      </c>
    </row>
    <row r="14454" spans="1:21">
      <c r="A14454">
        <v>14453</v>
      </c>
      <c r="B14454" s="27" t="s">
        <v>1124</v>
      </c>
      <c r="D14454" s="27" t="s">
        <v>1859</v>
      </c>
      <c r="F14454" s="27" t="s">
        <v>938</v>
      </c>
      <c r="G14454" s="27" t="s">
        <v>959</v>
      </c>
      <c r="H14454" s="27" t="s">
        <v>17007</v>
      </c>
      <c r="J14454" s="27" t="s">
        <v>17008</v>
      </c>
      <c r="L14454" s="27" t="s">
        <v>729</v>
      </c>
      <c r="N14454" s="27" t="s">
        <v>969</v>
      </c>
      <c r="P14454" s="27" t="s">
        <v>10152</v>
      </c>
      <c r="Q14454" s="26" t="str">
        <f>HYPERLINK("https://ictv.global/taxonomy/taxondetails?taxnode_id=202500085&amp;ictv_id=ICTV20164799","ICTV20164799")</f>
        <v>ICTV20164799</v>
      </c>
      <c r="R14454" t="s">
        <v>580</v>
      </c>
      <c r="S14454" t="s">
        <v>824</v>
      </c>
      <c r="T14454">
        <v>39</v>
      </c>
      <c r="U14454" s="26" t="str">
        <f t="shared" si="540"/>
        <v>2023.024M.Bunyaviricetes.zip</v>
      </c>
    </row>
    <row r="14455" spans="1:21">
      <c r="A14455">
        <v>14454</v>
      </c>
      <c r="B14455" s="27" t="s">
        <v>1124</v>
      </c>
      <c r="D14455" s="27" t="s">
        <v>1859</v>
      </c>
      <c r="F14455" s="27" t="s">
        <v>938</v>
      </c>
      <c r="G14455" s="27" t="s">
        <v>959</v>
      </c>
      <c r="H14455" s="27" t="s">
        <v>17007</v>
      </c>
      <c r="J14455" s="27" t="s">
        <v>17008</v>
      </c>
      <c r="L14455" s="27" t="s">
        <v>754</v>
      </c>
      <c r="N14455" s="27" t="s">
        <v>10153</v>
      </c>
      <c r="P14455" s="27" t="s">
        <v>10154</v>
      </c>
      <c r="Q14455" s="26" t="str">
        <f>HYPERLINK("https://ictv.global/taxonomy/taxondetails?taxnode_id=202512243&amp;ictv_id=ICTV202112243","ICTV202112243")</f>
        <v>ICTV202112243</v>
      </c>
      <c r="R14455" t="s">
        <v>580</v>
      </c>
      <c r="S14455" t="s">
        <v>824</v>
      </c>
      <c r="T14455">
        <v>39</v>
      </c>
      <c r="U14455" s="26" t="str">
        <f t="shared" si="540"/>
        <v>2023.024M.Bunyaviricetes.zip</v>
      </c>
    </row>
    <row r="14456" spans="1:21">
      <c r="A14456">
        <v>14455</v>
      </c>
      <c r="B14456" s="27" t="s">
        <v>1124</v>
      </c>
      <c r="D14456" s="27" t="s">
        <v>1859</v>
      </c>
      <c r="F14456" s="27" t="s">
        <v>938</v>
      </c>
      <c r="G14456" s="27" t="s">
        <v>959</v>
      </c>
      <c r="H14456" s="27" t="s">
        <v>17007</v>
      </c>
      <c r="J14456" s="27" t="s">
        <v>17008</v>
      </c>
      <c r="L14456" s="27" t="s">
        <v>754</v>
      </c>
      <c r="N14456" s="27" t="s">
        <v>970</v>
      </c>
      <c r="P14456" s="27" t="s">
        <v>10155</v>
      </c>
      <c r="Q14456" s="26" t="str">
        <f>HYPERLINK("https://ictv.global/taxonomy/taxondetails?taxnode_id=202500005&amp;ictv_id=ICTV20164769","ICTV20164769")</f>
        <v>ICTV20164769</v>
      </c>
      <c r="R14456" t="s">
        <v>580</v>
      </c>
      <c r="S14456" t="s">
        <v>824</v>
      </c>
      <c r="T14456">
        <v>39</v>
      </c>
      <c r="U14456" s="26" t="str">
        <f t="shared" si="540"/>
        <v>2023.024M.Bunyaviricetes.zip</v>
      </c>
    </row>
    <row r="14457" spans="1:21">
      <c r="A14457">
        <v>14456</v>
      </c>
      <c r="B14457" s="27" t="s">
        <v>1124</v>
      </c>
      <c r="D14457" s="27" t="s">
        <v>1859</v>
      </c>
      <c r="F14457" s="27" t="s">
        <v>938</v>
      </c>
      <c r="G14457" s="27" t="s">
        <v>959</v>
      </c>
      <c r="H14457" s="27" t="s">
        <v>17007</v>
      </c>
      <c r="J14457" s="27" t="s">
        <v>17008</v>
      </c>
      <c r="L14457" s="27" t="s">
        <v>754</v>
      </c>
      <c r="N14457" s="27" t="s">
        <v>970</v>
      </c>
      <c r="P14457" s="27" t="s">
        <v>10156</v>
      </c>
      <c r="Q14457" s="26" t="str">
        <f>HYPERLINK("https://ictv.global/taxonomy/taxondetails?taxnode_id=202514253&amp;ictv_id=ICTV202214253","ICTV202214253")</f>
        <v>ICTV202214253</v>
      </c>
      <c r="R14457" t="s">
        <v>580</v>
      </c>
      <c r="S14457" t="s">
        <v>824</v>
      </c>
      <c r="T14457">
        <v>39</v>
      </c>
      <c r="U14457" s="26" t="str">
        <f t="shared" si="540"/>
        <v>2023.024M.Bunyaviricetes.zip</v>
      </c>
    </row>
    <row r="14458" spans="1:21">
      <c r="A14458">
        <v>14457</v>
      </c>
      <c r="B14458" s="27" t="s">
        <v>1124</v>
      </c>
      <c r="D14458" s="27" t="s">
        <v>1859</v>
      </c>
      <c r="F14458" s="27" t="s">
        <v>938</v>
      </c>
      <c r="G14458" s="27" t="s">
        <v>959</v>
      </c>
      <c r="H14458" s="27" t="s">
        <v>17007</v>
      </c>
      <c r="J14458" s="27" t="s">
        <v>17008</v>
      </c>
      <c r="L14458" s="27" t="s">
        <v>754</v>
      </c>
      <c r="N14458" s="27" t="s">
        <v>970</v>
      </c>
      <c r="P14458" s="27" t="s">
        <v>10157</v>
      </c>
      <c r="Q14458" s="26" t="str">
        <f>HYPERLINK("https://ictv.global/taxonomy/taxondetails?taxnode_id=202509612&amp;ictv_id=ICTV202009612","ICTV202009612")</f>
        <v>ICTV202009612</v>
      </c>
      <c r="R14458" t="s">
        <v>580</v>
      </c>
      <c r="S14458" t="s">
        <v>824</v>
      </c>
      <c r="T14458">
        <v>39</v>
      </c>
      <c r="U14458" s="26" t="str">
        <f t="shared" si="540"/>
        <v>2023.024M.Bunyaviricetes.zip</v>
      </c>
    </row>
    <row r="14459" spans="1:21">
      <c r="A14459">
        <v>14458</v>
      </c>
      <c r="B14459" s="27" t="s">
        <v>1124</v>
      </c>
      <c r="D14459" s="27" t="s">
        <v>1859</v>
      </c>
      <c r="F14459" s="27" t="s">
        <v>938</v>
      </c>
      <c r="G14459" s="27" t="s">
        <v>959</v>
      </c>
      <c r="H14459" s="27" t="s">
        <v>17007</v>
      </c>
      <c r="J14459" s="27" t="s">
        <v>17008</v>
      </c>
      <c r="L14459" s="27" t="s">
        <v>754</v>
      </c>
      <c r="N14459" s="27" t="s">
        <v>3592</v>
      </c>
      <c r="P14459" s="27" t="s">
        <v>10158</v>
      </c>
      <c r="Q14459" s="26" t="str">
        <f>HYPERLINK("https://ictv.global/taxonomy/taxondetails?taxnode_id=202509611&amp;ictv_id=ICTV202009611","ICTV202009611")</f>
        <v>ICTV202009611</v>
      </c>
      <c r="R14459" t="s">
        <v>580</v>
      </c>
      <c r="S14459" t="s">
        <v>824</v>
      </c>
      <c r="T14459">
        <v>39</v>
      </c>
      <c r="U14459" s="26" t="str">
        <f t="shared" si="540"/>
        <v>2023.024M.Bunyaviricetes.zip</v>
      </c>
    </row>
    <row r="14460" spans="1:21">
      <c r="A14460">
        <v>14459</v>
      </c>
      <c r="B14460" s="27" t="s">
        <v>1124</v>
      </c>
      <c r="D14460" s="27" t="s">
        <v>1859</v>
      </c>
      <c r="F14460" s="27" t="s">
        <v>938</v>
      </c>
      <c r="G14460" s="27" t="s">
        <v>959</v>
      </c>
      <c r="H14460" s="27" t="s">
        <v>17007</v>
      </c>
      <c r="J14460" s="27" t="s">
        <v>17008</v>
      </c>
      <c r="L14460" s="27" t="s">
        <v>754</v>
      </c>
      <c r="N14460" s="27" t="s">
        <v>3592</v>
      </c>
      <c r="P14460" s="27" t="s">
        <v>10159</v>
      </c>
      <c r="Q14460" s="26" t="str">
        <f>HYPERLINK("https://ictv.global/taxonomy/taxondetails?taxnode_id=202509610&amp;ictv_id=ICTV202009610","ICTV202009610")</f>
        <v>ICTV202009610</v>
      </c>
      <c r="R14460" t="s">
        <v>580</v>
      </c>
      <c r="S14460" t="s">
        <v>824</v>
      </c>
      <c r="T14460">
        <v>39</v>
      </c>
      <c r="U14460" s="26" t="str">
        <f t="shared" si="540"/>
        <v>2023.024M.Bunyaviricetes.zip</v>
      </c>
    </row>
    <row r="14461" spans="1:21">
      <c r="A14461">
        <v>14460</v>
      </c>
      <c r="B14461" s="27" t="s">
        <v>1124</v>
      </c>
      <c r="D14461" s="27" t="s">
        <v>1859</v>
      </c>
      <c r="F14461" s="27" t="s">
        <v>938</v>
      </c>
      <c r="G14461" s="27" t="s">
        <v>959</v>
      </c>
      <c r="H14461" s="27" t="s">
        <v>17007</v>
      </c>
      <c r="J14461" s="27" t="s">
        <v>17008</v>
      </c>
      <c r="L14461" s="27" t="s">
        <v>754</v>
      </c>
      <c r="N14461" s="27" t="s">
        <v>971</v>
      </c>
      <c r="P14461" s="27" t="s">
        <v>10160</v>
      </c>
      <c r="Q14461" s="26" t="str">
        <f>HYPERLINK("https://ictv.global/taxonomy/taxondetails?taxnode_id=202500065&amp;ictv_id=ICTV20164801","ICTV20164801")</f>
        <v>ICTV20164801</v>
      </c>
      <c r="R14461" t="s">
        <v>580</v>
      </c>
      <c r="S14461" t="s">
        <v>824</v>
      </c>
      <c r="T14461">
        <v>39</v>
      </c>
      <c r="U14461" s="26" t="str">
        <f t="shared" si="540"/>
        <v>2023.024M.Bunyaviricetes.zip</v>
      </c>
    </row>
    <row r="14462" spans="1:21">
      <c r="A14462">
        <v>14461</v>
      </c>
      <c r="B14462" s="27" t="s">
        <v>1124</v>
      </c>
      <c r="D14462" s="27" t="s">
        <v>1859</v>
      </c>
      <c r="F14462" s="27" t="s">
        <v>938</v>
      </c>
      <c r="G14462" s="27" t="s">
        <v>959</v>
      </c>
      <c r="H14462" s="27" t="s">
        <v>17007</v>
      </c>
      <c r="J14462" s="27" t="s">
        <v>17008</v>
      </c>
      <c r="L14462" s="27" t="s">
        <v>754</v>
      </c>
      <c r="N14462" s="27" t="s">
        <v>971</v>
      </c>
      <c r="P14462" s="27" t="s">
        <v>20459</v>
      </c>
      <c r="Q14462" s="26" t="str">
        <f>HYPERLINK("https://ictv.global/taxonomy/taxondetails?taxnode_id=202520550&amp;ictv_id=ICTV202420550","ICTV202420550")</f>
        <v>ICTV202420550</v>
      </c>
      <c r="R14462" t="s">
        <v>1106</v>
      </c>
      <c r="S14462" t="s">
        <v>823</v>
      </c>
      <c r="T14462">
        <v>40</v>
      </c>
      <c r="U14462" s="26" t="str">
        <f>HYPERLINK("https://ictv.global/ictv/proposals/2024.013M.Phasmaviridae.4nsp_3ab_2rn.zip","2024.013M.Phasmaviridae.4nsp_3ab_2rn.zip")</f>
        <v>2024.013M.Phasmaviridae.4nsp_3ab_2rn.zip</v>
      </c>
    </row>
    <row r="14463" spans="1:21">
      <c r="A14463">
        <v>14462</v>
      </c>
      <c r="B14463" s="27" t="s">
        <v>1124</v>
      </c>
      <c r="D14463" s="27" t="s">
        <v>1859</v>
      </c>
      <c r="F14463" s="27" t="s">
        <v>938</v>
      </c>
      <c r="G14463" s="27" t="s">
        <v>959</v>
      </c>
      <c r="H14463" s="27" t="s">
        <v>17007</v>
      </c>
      <c r="J14463" s="27" t="s">
        <v>17008</v>
      </c>
      <c r="L14463" s="27" t="s">
        <v>754</v>
      </c>
      <c r="N14463" s="27" t="s">
        <v>971</v>
      </c>
      <c r="P14463" s="27" t="s">
        <v>20460</v>
      </c>
      <c r="Q14463" s="26" t="str">
        <f>HYPERLINK("https://ictv.global/taxonomy/taxondetails?taxnode_id=202520549&amp;ictv_id=ICTV202420549","ICTV202420549")</f>
        <v>ICTV202420549</v>
      </c>
      <c r="R14463" t="s">
        <v>1106</v>
      </c>
      <c r="S14463" t="s">
        <v>823</v>
      </c>
      <c r="T14463">
        <v>40</v>
      </c>
      <c r="U14463" s="26" t="str">
        <f>HYPERLINK("https://ictv.global/ictv/proposals/2024.013M.Phasmaviridae.4nsp_3ab_2rn.zip","2024.013M.Phasmaviridae.4nsp_3ab_2rn.zip")</f>
        <v>2024.013M.Phasmaviridae.4nsp_3ab_2rn.zip</v>
      </c>
    </row>
    <row r="14464" spans="1:21">
      <c r="A14464">
        <v>14463</v>
      </c>
      <c r="B14464" s="27" t="s">
        <v>1124</v>
      </c>
      <c r="D14464" s="27" t="s">
        <v>1859</v>
      </c>
      <c r="F14464" s="27" t="s">
        <v>938</v>
      </c>
      <c r="G14464" s="27" t="s">
        <v>959</v>
      </c>
      <c r="H14464" s="27" t="s">
        <v>17007</v>
      </c>
      <c r="J14464" s="27" t="s">
        <v>17008</v>
      </c>
      <c r="L14464" s="27" t="s">
        <v>754</v>
      </c>
      <c r="N14464" s="27" t="s">
        <v>755</v>
      </c>
      <c r="P14464" s="27" t="s">
        <v>10161</v>
      </c>
      <c r="Q14464" s="26" t="str">
        <f>HYPERLINK("https://ictv.global/taxonomy/taxondetails?taxnode_id=202500145&amp;ictv_id=ICTV20164812","ICTV20164812")</f>
        <v>ICTV20164812</v>
      </c>
      <c r="R14464" t="s">
        <v>580</v>
      </c>
      <c r="S14464" t="s">
        <v>824</v>
      </c>
      <c r="T14464">
        <v>39</v>
      </c>
      <c r="U14464" s="26" t="str">
        <f>HYPERLINK("https://ictv.global/ictv/proposals/2023.024M.Bunyaviricetes.zip","2023.024M.Bunyaviricetes.zip")</f>
        <v>2023.024M.Bunyaviricetes.zip</v>
      </c>
    </row>
    <row r="14465" spans="1:21">
      <c r="A14465">
        <v>14464</v>
      </c>
      <c r="B14465" s="27" t="s">
        <v>1124</v>
      </c>
      <c r="D14465" s="27" t="s">
        <v>1859</v>
      </c>
      <c r="F14465" s="27" t="s">
        <v>938</v>
      </c>
      <c r="G14465" s="27" t="s">
        <v>959</v>
      </c>
      <c r="H14465" s="27" t="s">
        <v>17007</v>
      </c>
      <c r="J14465" s="27" t="s">
        <v>17008</v>
      </c>
      <c r="L14465" s="27" t="s">
        <v>754</v>
      </c>
      <c r="N14465" s="27" t="s">
        <v>755</v>
      </c>
      <c r="P14465" s="27" t="s">
        <v>10162</v>
      </c>
      <c r="Q14465" s="26" t="str">
        <f>HYPERLINK("https://ictv.global/taxonomy/taxondetails?taxnode_id=202507659&amp;ictv_id=ICTV201907659","ICTV201907659")</f>
        <v>ICTV201907659</v>
      </c>
      <c r="R14465" t="s">
        <v>580</v>
      </c>
      <c r="S14465" t="s">
        <v>824</v>
      </c>
      <c r="T14465">
        <v>39</v>
      </c>
      <c r="U14465" s="26" t="str">
        <f>HYPERLINK("https://ictv.global/ictv/proposals/2023.024M.Bunyaviricetes.zip","2023.024M.Bunyaviricetes.zip")</f>
        <v>2023.024M.Bunyaviricetes.zip</v>
      </c>
    </row>
    <row r="14466" spans="1:21">
      <c r="A14466">
        <v>14465</v>
      </c>
      <c r="B14466" s="27" t="s">
        <v>1124</v>
      </c>
      <c r="D14466" s="27" t="s">
        <v>1859</v>
      </c>
      <c r="F14466" s="27" t="s">
        <v>938</v>
      </c>
      <c r="G14466" s="27" t="s">
        <v>959</v>
      </c>
      <c r="H14466" s="27" t="s">
        <v>17007</v>
      </c>
      <c r="J14466" s="27" t="s">
        <v>17008</v>
      </c>
      <c r="L14466" s="27" t="s">
        <v>754</v>
      </c>
      <c r="N14466" s="27" t="s">
        <v>755</v>
      </c>
      <c r="P14466" s="27" t="s">
        <v>20461</v>
      </c>
      <c r="Q14466" s="26" t="str">
        <f>HYPERLINK("https://ictv.global/taxonomy/taxondetails?taxnode_id=202512239&amp;ictv_id=ICTV202112239","ICTV202112239")</f>
        <v>ICTV202112239</v>
      </c>
      <c r="R14466" t="s">
        <v>580</v>
      </c>
      <c r="S14466" t="s">
        <v>824</v>
      </c>
      <c r="T14466">
        <v>40</v>
      </c>
      <c r="U14466" s="26" t="str">
        <f>HYPERLINK("https://ictv.global/ictv/proposals/2024.013M.Phasmaviridae.4nsp_3ab_2rn.zip","2024.013M.Phasmaviridae.4nsp_3ab_2rn.zip")</f>
        <v>2024.013M.Phasmaviridae.4nsp_3ab_2rn.zip</v>
      </c>
    </row>
    <row r="14467" spans="1:21">
      <c r="A14467">
        <v>14466</v>
      </c>
      <c r="B14467" s="27" t="s">
        <v>1124</v>
      </c>
      <c r="D14467" s="27" t="s">
        <v>1859</v>
      </c>
      <c r="F14467" s="27" t="s">
        <v>938</v>
      </c>
      <c r="G14467" s="27" t="s">
        <v>959</v>
      </c>
      <c r="H14467" s="27" t="s">
        <v>17007</v>
      </c>
      <c r="J14467" s="27" t="s">
        <v>17008</v>
      </c>
      <c r="L14467" s="27" t="s">
        <v>754</v>
      </c>
      <c r="N14467" s="27" t="s">
        <v>755</v>
      </c>
      <c r="P14467" s="27" t="s">
        <v>10163</v>
      </c>
      <c r="Q14467" s="26" t="str">
        <f>HYPERLINK("https://ictv.global/taxonomy/taxondetails?taxnode_id=202509607&amp;ictv_id=ICTV202009607","ICTV202009607")</f>
        <v>ICTV202009607</v>
      </c>
      <c r="R14467" t="s">
        <v>580</v>
      </c>
      <c r="S14467" t="s">
        <v>824</v>
      </c>
      <c r="T14467">
        <v>39</v>
      </c>
      <c r="U14467" s="26" t="str">
        <f t="shared" ref="U14467:U14473" si="541">HYPERLINK("https://ictv.global/ictv/proposals/2023.024M.Bunyaviricetes.zip","2023.024M.Bunyaviricetes.zip")</f>
        <v>2023.024M.Bunyaviricetes.zip</v>
      </c>
    </row>
    <row r="14468" spans="1:21">
      <c r="A14468">
        <v>14467</v>
      </c>
      <c r="B14468" s="27" t="s">
        <v>1124</v>
      </c>
      <c r="D14468" s="27" t="s">
        <v>1859</v>
      </c>
      <c r="F14468" s="27" t="s">
        <v>938</v>
      </c>
      <c r="G14468" s="27" t="s">
        <v>959</v>
      </c>
      <c r="H14468" s="27" t="s">
        <v>17007</v>
      </c>
      <c r="J14468" s="27" t="s">
        <v>17008</v>
      </c>
      <c r="L14468" s="27" t="s">
        <v>754</v>
      </c>
      <c r="N14468" s="27" t="s">
        <v>755</v>
      </c>
      <c r="P14468" s="27" t="s">
        <v>10164</v>
      </c>
      <c r="Q14468" s="26" t="str">
        <f>HYPERLINK("https://ictv.global/taxonomy/taxondetails?taxnode_id=202512238&amp;ictv_id=ICTV202112238","ICTV202112238")</f>
        <v>ICTV202112238</v>
      </c>
      <c r="R14468" t="s">
        <v>580</v>
      </c>
      <c r="S14468" t="s">
        <v>824</v>
      </c>
      <c r="T14468">
        <v>39</v>
      </c>
      <c r="U14468" s="26" t="str">
        <f t="shared" si="541"/>
        <v>2023.024M.Bunyaviricetes.zip</v>
      </c>
    </row>
    <row r="14469" spans="1:21">
      <c r="A14469">
        <v>14468</v>
      </c>
      <c r="B14469" s="27" t="s">
        <v>1124</v>
      </c>
      <c r="D14469" s="27" t="s">
        <v>1859</v>
      </c>
      <c r="F14469" s="27" t="s">
        <v>938</v>
      </c>
      <c r="G14469" s="27" t="s">
        <v>959</v>
      </c>
      <c r="H14469" s="27" t="s">
        <v>17007</v>
      </c>
      <c r="J14469" s="27" t="s">
        <v>17008</v>
      </c>
      <c r="L14469" s="27" t="s">
        <v>754</v>
      </c>
      <c r="N14469" s="27" t="s">
        <v>755</v>
      </c>
      <c r="P14469" s="27" t="s">
        <v>10165</v>
      </c>
      <c r="Q14469" s="26" t="str">
        <f>HYPERLINK("https://ictv.global/taxonomy/taxondetails?taxnode_id=202506413&amp;ictv_id=ICTV201856413","ICTV201856413")</f>
        <v>ICTV201856413</v>
      </c>
      <c r="R14469" t="s">
        <v>580</v>
      </c>
      <c r="S14469" t="s">
        <v>824</v>
      </c>
      <c r="T14469">
        <v>39</v>
      </c>
      <c r="U14469" s="26" t="str">
        <f t="shared" si="541"/>
        <v>2023.024M.Bunyaviricetes.zip</v>
      </c>
    </row>
    <row r="14470" spans="1:21">
      <c r="A14470">
        <v>14469</v>
      </c>
      <c r="B14470" s="27" t="s">
        <v>1124</v>
      </c>
      <c r="D14470" s="27" t="s">
        <v>1859</v>
      </c>
      <c r="F14470" s="27" t="s">
        <v>938</v>
      </c>
      <c r="G14470" s="27" t="s">
        <v>959</v>
      </c>
      <c r="H14470" s="27" t="s">
        <v>17007</v>
      </c>
      <c r="J14470" s="27" t="s">
        <v>17008</v>
      </c>
      <c r="L14470" s="27" t="s">
        <v>754</v>
      </c>
      <c r="N14470" s="27" t="s">
        <v>755</v>
      </c>
      <c r="P14470" s="27" t="s">
        <v>10166</v>
      </c>
      <c r="Q14470" s="26" t="str">
        <f>HYPERLINK("https://ictv.global/taxonomy/taxondetails?taxnode_id=202514251&amp;ictv_id=ICTV202214251","ICTV202214251")</f>
        <v>ICTV202214251</v>
      </c>
      <c r="R14470" t="s">
        <v>580</v>
      </c>
      <c r="S14470" t="s">
        <v>824</v>
      </c>
      <c r="T14470">
        <v>39</v>
      </c>
      <c r="U14470" s="26" t="str">
        <f t="shared" si="541"/>
        <v>2023.024M.Bunyaviricetes.zip</v>
      </c>
    </row>
    <row r="14471" spans="1:21">
      <c r="A14471">
        <v>14470</v>
      </c>
      <c r="B14471" s="27" t="s">
        <v>1124</v>
      </c>
      <c r="D14471" s="27" t="s">
        <v>1859</v>
      </c>
      <c r="F14471" s="27" t="s">
        <v>938</v>
      </c>
      <c r="G14471" s="27" t="s">
        <v>959</v>
      </c>
      <c r="H14471" s="27" t="s">
        <v>17007</v>
      </c>
      <c r="J14471" s="27" t="s">
        <v>17008</v>
      </c>
      <c r="L14471" s="27" t="s">
        <v>754</v>
      </c>
      <c r="N14471" s="27" t="s">
        <v>755</v>
      </c>
      <c r="P14471" s="27" t="s">
        <v>10167</v>
      </c>
      <c r="Q14471" s="26" t="str">
        <f>HYPERLINK("https://ictv.global/taxonomy/taxondetails?taxnode_id=202506416&amp;ictv_id=ICTV201856416","ICTV201856416")</f>
        <v>ICTV201856416</v>
      </c>
      <c r="R14471" t="s">
        <v>580</v>
      </c>
      <c r="S14471" t="s">
        <v>824</v>
      </c>
      <c r="T14471">
        <v>39</v>
      </c>
      <c r="U14471" s="26" t="str">
        <f t="shared" si="541"/>
        <v>2023.024M.Bunyaviricetes.zip</v>
      </c>
    </row>
    <row r="14472" spans="1:21">
      <c r="A14472">
        <v>14471</v>
      </c>
      <c r="B14472" s="27" t="s">
        <v>1124</v>
      </c>
      <c r="D14472" s="27" t="s">
        <v>1859</v>
      </c>
      <c r="F14472" s="27" t="s">
        <v>938</v>
      </c>
      <c r="G14472" s="27" t="s">
        <v>959</v>
      </c>
      <c r="H14472" s="27" t="s">
        <v>17007</v>
      </c>
      <c r="J14472" s="27" t="s">
        <v>17008</v>
      </c>
      <c r="L14472" s="27" t="s">
        <v>754</v>
      </c>
      <c r="N14472" s="27" t="s">
        <v>755</v>
      </c>
      <c r="P14472" s="27" t="s">
        <v>10168</v>
      </c>
      <c r="Q14472" s="26" t="str">
        <f>HYPERLINK("https://ictv.global/taxonomy/taxondetails?taxnode_id=202506415&amp;ictv_id=ICTV201856415","ICTV201856415")</f>
        <v>ICTV201856415</v>
      </c>
      <c r="R14472" t="s">
        <v>580</v>
      </c>
      <c r="S14472" t="s">
        <v>824</v>
      </c>
      <c r="T14472">
        <v>39</v>
      </c>
      <c r="U14472" s="26" t="str">
        <f t="shared" si="541"/>
        <v>2023.024M.Bunyaviricetes.zip</v>
      </c>
    </row>
    <row r="14473" spans="1:21">
      <c r="A14473">
        <v>14472</v>
      </c>
      <c r="B14473" s="27" t="s">
        <v>1124</v>
      </c>
      <c r="D14473" s="27" t="s">
        <v>1859</v>
      </c>
      <c r="F14473" s="27" t="s">
        <v>938</v>
      </c>
      <c r="G14473" s="27" t="s">
        <v>959</v>
      </c>
      <c r="H14473" s="27" t="s">
        <v>17007</v>
      </c>
      <c r="J14473" s="27" t="s">
        <v>17008</v>
      </c>
      <c r="L14473" s="27" t="s">
        <v>754</v>
      </c>
      <c r="N14473" s="27" t="s">
        <v>755</v>
      </c>
      <c r="P14473" s="27" t="s">
        <v>10169</v>
      </c>
      <c r="Q14473" s="26" t="str">
        <f>HYPERLINK("https://ictv.global/taxonomy/taxondetails?taxnode_id=202500140&amp;ictv_id=ICTV20164807","ICTV20164807")</f>
        <v>ICTV20164807</v>
      </c>
      <c r="R14473" t="s">
        <v>580</v>
      </c>
      <c r="S14473" t="s">
        <v>824</v>
      </c>
      <c r="T14473">
        <v>39</v>
      </c>
      <c r="U14473" s="26" t="str">
        <f t="shared" si="541"/>
        <v>2023.024M.Bunyaviricetes.zip</v>
      </c>
    </row>
    <row r="14474" spans="1:21">
      <c r="A14474">
        <v>14473</v>
      </c>
      <c r="B14474" s="27" t="s">
        <v>1124</v>
      </c>
      <c r="D14474" s="27" t="s">
        <v>1859</v>
      </c>
      <c r="F14474" s="27" t="s">
        <v>938</v>
      </c>
      <c r="G14474" s="27" t="s">
        <v>959</v>
      </c>
      <c r="H14474" s="27" t="s">
        <v>17007</v>
      </c>
      <c r="J14474" s="27" t="s">
        <v>17008</v>
      </c>
      <c r="L14474" s="27" t="s">
        <v>754</v>
      </c>
      <c r="N14474" s="27" t="s">
        <v>755</v>
      </c>
      <c r="P14474" s="27" t="s">
        <v>21407</v>
      </c>
      <c r="Q14474" s="26" t="str">
        <f>HYPERLINK("https://ictv.global/taxonomy/taxondetails?taxnode_id=202522292&amp;ictv_id=ICTV202522292","ICTV202522292")</f>
        <v>ICTV202522292</v>
      </c>
      <c r="R14474" t="s">
        <v>1106</v>
      </c>
      <c r="S14474" t="s">
        <v>823</v>
      </c>
      <c r="T14474">
        <v>41</v>
      </c>
      <c r="U14474" s="26" t="str">
        <f>HYPERLINK("https://ictv.global/ictv/proposals/2025.006M.Phasmaviridae_4nsp.zip","2025.006M.Phasmaviridae_4nsp.zip")</f>
        <v>2025.006M.Phasmaviridae_4nsp.zip</v>
      </c>
    </row>
    <row r="14475" spans="1:21">
      <c r="A14475">
        <v>14474</v>
      </c>
      <c r="B14475" s="27" t="s">
        <v>1124</v>
      </c>
      <c r="D14475" s="27" t="s">
        <v>1859</v>
      </c>
      <c r="F14475" s="27" t="s">
        <v>938</v>
      </c>
      <c r="G14475" s="27" t="s">
        <v>959</v>
      </c>
      <c r="H14475" s="27" t="s">
        <v>17007</v>
      </c>
      <c r="J14475" s="27" t="s">
        <v>17008</v>
      </c>
      <c r="L14475" s="27" t="s">
        <v>754</v>
      </c>
      <c r="N14475" s="27" t="s">
        <v>755</v>
      </c>
      <c r="P14475" s="27" t="s">
        <v>20462</v>
      </c>
      <c r="Q14475" s="26" t="str">
        <f>HYPERLINK("https://ictv.global/taxonomy/taxondetails?taxnode_id=202512240&amp;ictv_id=ICTV202112240","ICTV202112240")</f>
        <v>ICTV202112240</v>
      </c>
      <c r="R14475" t="s">
        <v>580</v>
      </c>
      <c r="S14475" t="s">
        <v>824</v>
      </c>
      <c r="T14475">
        <v>40</v>
      </c>
      <c r="U14475" s="26" t="str">
        <f>HYPERLINK("https://ictv.global/ictv/proposals/2024.013M.Phasmaviridae.4nsp_3ab_2rn.zip","2024.013M.Phasmaviridae.4nsp_3ab_2rn.zip")</f>
        <v>2024.013M.Phasmaviridae.4nsp_3ab_2rn.zip</v>
      </c>
    </row>
    <row r="14476" spans="1:21">
      <c r="A14476">
        <v>14475</v>
      </c>
      <c r="B14476" s="27" t="s">
        <v>1124</v>
      </c>
      <c r="D14476" s="27" t="s">
        <v>1859</v>
      </c>
      <c r="F14476" s="27" t="s">
        <v>938</v>
      </c>
      <c r="G14476" s="27" t="s">
        <v>959</v>
      </c>
      <c r="H14476" s="27" t="s">
        <v>17007</v>
      </c>
      <c r="J14476" s="27" t="s">
        <v>17008</v>
      </c>
      <c r="L14476" s="27" t="s">
        <v>754</v>
      </c>
      <c r="N14476" s="27" t="s">
        <v>755</v>
      </c>
      <c r="P14476" s="27" t="s">
        <v>10170</v>
      </c>
      <c r="Q14476" s="26" t="str">
        <f>HYPERLINK("https://ictv.global/taxonomy/taxondetails?taxnode_id=202509608&amp;ictv_id=ICTV202009608","ICTV202009608")</f>
        <v>ICTV202009608</v>
      </c>
      <c r="R14476" t="s">
        <v>580</v>
      </c>
      <c r="S14476" t="s">
        <v>824</v>
      </c>
      <c r="T14476">
        <v>39</v>
      </c>
      <c r="U14476" s="26" t="str">
        <f>HYPERLINK("https://ictv.global/ictv/proposals/2023.024M.Bunyaviricetes.zip","2023.024M.Bunyaviricetes.zip")</f>
        <v>2023.024M.Bunyaviricetes.zip</v>
      </c>
    </row>
    <row r="14477" spans="1:21">
      <c r="A14477">
        <v>14476</v>
      </c>
      <c r="B14477" s="27" t="s">
        <v>1124</v>
      </c>
      <c r="D14477" s="27" t="s">
        <v>1859</v>
      </c>
      <c r="F14477" s="27" t="s">
        <v>938</v>
      </c>
      <c r="G14477" s="27" t="s">
        <v>959</v>
      </c>
      <c r="H14477" s="27" t="s">
        <v>17007</v>
      </c>
      <c r="J14477" s="27" t="s">
        <v>17008</v>
      </c>
      <c r="L14477" s="27" t="s">
        <v>754</v>
      </c>
      <c r="N14477" s="27" t="s">
        <v>755</v>
      </c>
      <c r="P14477" s="27" t="s">
        <v>20463</v>
      </c>
      <c r="Q14477" s="26" t="str">
        <f>HYPERLINK("https://ictv.global/taxonomy/taxondetails?taxnode_id=202520551&amp;ictv_id=ICTV202420551","ICTV202420551")</f>
        <v>ICTV202420551</v>
      </c>
      <c r="R14477" t="s">
        <v>1106</v>
      </c>
      <c r="S14477" t="s">
        <v>823</v>
      </c>
      <c r="T14477">
        <v>40</v>
      </c>
      <c r="U14477" s="26" t="str">
        <f>HYPERLINK("https://ictv.global/ictv/proposals/2024.013M.Phasmaviridae.4nsp_3ab_2rn.zip","2024.013M.Phasmaviridae.4nsp_3ab_2rn.zip")</f>
        <v>2024.013M.Phasmaviridae.4nsp_3ab_2rn.zip</v>
      </c>
    </row>
    <row r="14478" spans="1:21">
      <c r="A14478">
        <v>14477</v>
      </c>
      <c r="B14478" s="27" t="s">
        <v>1124</v>
      </c>
      <c r="D14478" s="27" t="s">
        <v>1859</v>
      </c>
      <c r="F14478" s="27" t="s">
        <v>938</v>
      </c>
      <c r="G14478" s="27" t="s">
        <v>959</v>
      </c>
      <c r="H14478" s="27" t="s">
        <v>17007</v>
      </c>
      <c r="J14478" s="27" t="s">
        <v>17008</v>
      </c>
      <c r="L14478" s="27" t="s">
        <v>754</v>
      </c>
      <c r="N14478" s="27" t="s">
        <v>755</v>
      </c>
      <c r="P14478" s="27" t="s">
        <v>10171</v>
      </c>
      <c r="Q14478" s="26" t="str">
        <f>HYPERLINK("https://ictv.global/taxonomy/taxondetails?taxnode_id=202506414&amp;ictv_id=ICTV201856414","ICTV201856414")</f>
        <v>ICTV201856414</v>
      </c>
      <c r="R14478" t="s">
        <v>580</v>
      </c>
      <c r="S14478" t="s">
        <v>824</v>
      </c>
      <c r="T14478">
        <v>39</v>
      </c>
      <c r="U14478" s="26" t="str">
        <f>HYPERLINK("https://ictv.global/ictv/proposals/2023.024M.Bunyaviricetes.zip","2023.024M.Bunyaviricetes.zip")</f>
        <v>2023.024M.Bunyaviricetes.zip</v>
      </c>
    </row>
    <row r="14479" spans="1:21">
      <c r="A14479">
        <v>14478</v>
      </c>
      <c r="B14479" s="27" t="s">
        <v>1124</v>
      </c>
      <c r="D14479" s="27" t="s">
        <v>1859</v>
      </c>
      <c r="F14479" s="27" t="s">
        <v>938</v>
      </c>
      <c r="G14479" s="27" t="s">
        <v>959</v>
      </c>
      <c r="H14479" s="27" t="s">
        <v>17007</v>
      </c>
      <c r="J14479" s="27" t="s">
        <v>17008</v>
      </c>
      <c r="L14479" s="27" t="s">
        <v>754</v>
      </c>
      <c r="N14479" s="27" t="s">
        <v>755</v>
      </c>
      <c r="P14479" s="27" t="s">
        <v>10172</v>
      </c>
      <c r="Q14479" s="26" t="str">
        <f>HYPERLINK("https://ictv.global/taxonomy/taxondetails?taxnode_id=202509606&amp;ictv_id=ICTV202009606","ICTV202009606")</f>
        <v>ICTV202009606</v>
      </c>
      <c r="R14479" t="s">
        <v>580</v>
      </c>
      <c r="S14479" t="s">
        <v>824</v>
      </c>
      <c r="T14479">
        <v>39</v>
      </c>
      <c r="U14479" s="26" t="str">
        <f>HYPERLINK("https://ictv.global/ictv/proposals/2023.024M.Bunyaviricetes.zip","2023.024M.Bunyaviricetes.zip")</f>
        <v>2023.024M.Bunyaviricetes.zip</v>
      </c>
    </row>
    <row r="14480" spans="1:21">
      <c r="A14480">
        <v>14479</v>
      </c>
      <c r="B14480" s="27" t="s">
        <v>1124</v>
      </c>
      <c r="D14480" s="27" t="s">
        <v>1859</v>
      </c>
      <c r="F14480" s="27" t="s">
        <v>938</v>
      </c>
      <c r="G14480" s="27" t="s">
        <v>959</v>
      </c>
      <c r="H14480" s="27" t="s">
        <v>17007</v>
      </c>
      <c r="J14480" s="27" t="s">
        <v>17008</v>
      </c>
      <c r="L14480" s="27" t="s">
        <v>754</v>
      </c>
      <c r="N14480" s="27" t="s">
        <v>755</v>
      </c>
      <c r="P14480" s="27" t="s">
        <v>10173</v>
      </c>
      <c r="Q14480" s="26" t="str">
        <f>HYPERLINK("https://ictv.global/taxonomy/taxondetails?taxnode_id=202514252&amp;ictv_id=ICTV202214252","ICTV202214252")</f>
        <v>ICTV202214252</v>
      </c>
      <c r="R14480" t="s">
        <v>580</v>
      </c>
      <c r="S14480" t="s">
        <v>824</v>
      </c>
      <c r="T14480">
        <v>39</v>
      </c>
      <c r="U14480" s="26" t="str">
        <f>HYPERLINK("https://ictv.global/ictv/proposals/2023.024M.Bunyaviricetes.zip","2023.024M.Bunyaviricetes.zip")</f>
        <v>2023.024M.Bunyaviricetes.zip</v>
      </c>
    </row>
    <row r="14481" spans="1:21">
      <c r="A14481">
        <v>14480</v>
      </c>
      <c r="B14481" s="27" t="s">
        <v>1124</v>
      </c>
      <c r="D14481" s="27" t="s">
        <v>1859</v>
      </c>
      <c r="F14481" s="27" t="s">
        <v>938</v>
      </c>
      <c r="G14481" s="27" t="s">
        <v>959</v>
      </c>
      <c r="H14481" s="27" t="s">
        <v>17007</v>
      </c>
      <c r="J14481" s="27" t="s">
        <v>17008</v>
      </c>
      <c r="L14481" s="27" t="s">
        <v>754</v>
      </c>
      <c r="N14481" s="27" t="s">
        <v>755</v>
      </c>
      <c r="P14481" s="27" t="s">
        <v>20464</v>
      </c>
      <c r="Q14481" s="26" t="str">
        <f>HYPERLINK("https://ictv.global/taxonomy/taxondetails?taxnode_id=202520552&amp;ictv_id=ICTV202420552","ICTV202420552")</f>
        <v>ICTV202420552</v>
      </c>
      <c r="R14481" t="s">
        <v>1106</v>
      </c>
      <c r="S14481" t="s">
        <v>823</v>
      </c>
      <c r="T14481">
        <v>40</v>
      </c>
      <c r="U14481" s="26" t="str">
        <f>HYPERLINK("https://ictv.global/ictv/proposals/2024.013M.Phasmaviridae.4nsp_3ab_2rn.zip","2024.013M.Phasmaviridae.4nsp_3ab_2rn.zip")</f>
        <v>2024.013M.Phasmaviridae.4nsp_3ab_2rn.zip</v>
      </c>
    </row>
    <row r="14482" spans="1:21">
      <c r="A14482">
        <v>14481</v>
      </c>
      <c r="B14482" s="27" t="s">
        <v>1124</v>
      </c>
      <c r="D14482" s="27" t="s">
        <v>1859</v>
      </c>
      <c r="F14482" s="27" t="s">
        <v>938</v>
      </c>
      <c r="G14482" s="27" t="s">
        <v>959</v>
      </c>
      <c r="H14482" s="27" t="s">
        <v>17007</v>
      </c>
      <c r="J14482" s="27" t="s">
        <v>17008</v>
      </c>
      <c r="L14482" s="27" t="s">
        <v>754</v>
      </c>
      <c r="N14482" s="27" t="s">
        <v>755</v>
      </c>
      <c r="P14482" s="27" t="s">
        <v>21406</v>
      </c>
      <c r="Q14482" s="26" t="str">
        <f>HYPERLINK("https://ictv.global/taxonomy/taxondetails?taxnode_id=202522291&amp;ictv_id=ICTV202522291","ICTV202522291")</f>
        <v>ICTV202522291</v>
      </c>
      <c r="R14482" t="s">
        <v>1106</v>
      </c>
      <c r="S14482" t="s">
        <v>823</v>
      </c>
      <c r="T14482">
        <v>41</v>
      </c>
      <c r="U14482" s="26" t="str">
        <f>HYPERLINK("https://ictv.global/ictv/proposals/2025.006M.Phasmaviridae_4nsp.zip","2025.006M.Phasmaviridae_4nsp.zip")</f>
        <v>2025.006M.Phasmaviridae_4nsp.zip</v>
      </c>
    </row>
    <row r="14483" spans="1:21">
      <c r="A14483">
        <v>14482</v>
      </c>
      <c r="B14483" s="27" t="s">
        <v>1124</v>
      </c>
      <c r="D14483" s="27" t="s">
        <v>1859</v>
      </c>
      <c r="F14483" s="27" t="s">
        <v>938</v>
      </c>
      <c r="G14483" s="27" t="s">
        <v>959</v>
      </c>
      <c r="H14483" s="27" t="s">
        <v>17007</v>
      </c>
      <c r="J14483" s="27" t="s">
        <v>17008</v>
      </c>
      <c r="L14483" s="27" t="s">
        <v>754</v>
      </c>
      <c r="N14483" s="27" t="s">
        <v>755</v>
      </c>
      <c r="P14483" s="27" t="s">
        <v>21405</v>
      </c>
      <c r="Q14483" s="26" t="str">
        <f>HYPERLINK("https://ictv.global/taxonomy/taxondetails?taxnode_id=202522290&amp;ictv_id=ICTV202522290","ICTV202522290")</f>
        <v>ICTV202522290</v>
      </c>
      <c r="R14483" t="s">
        <v>1106</v>
      </c>
      <c r="S14483" t="s">
        <v>823</v>
      </c>
      <c r="T14483">
        <v>41</v>
      </c>
      <c r="U14483" s="26" t="str">
        <f>HYPERLINK("https://ictv.global/ictv/proposals/2025.006M.Phasmaviridae_4nsp.zip","2025.006M.Phasmaviridae_4nsp.zip")</f>
        <v>2025.006M.Phasmaviridae_4nsp.zip</v>
      </c>
    </row>
    <row r="14484" spans="1:21">
      <c r="A14484">
        <v>14483</v>
      </c>
      <c r="B14484" s="27" t="s">
        <v>1124</v>
      </c>
      <c r="D14484" s="27" t="s">
        <v>1859</v>
      </c>
      <c r="F14484" s="27" t="s">
        <v>938</v>
      </c>
      <c r="G14484" s="27" t="s">
        <v>959</v>
      </c>
      <c r="H14484" s="27" t="s">
        <v>17007</v>
      </c>
      <c r="J14484" s="27" t="s">
        <v>17008</v>
      </c>
      <c r="L14484" s="27" t="s">
        <v>754</v>
      </c>
      <c r="N14484" s="27" t="s">
        <v>755</v>
      </c>
      <c r="P14484" s="27" t="s">
        <v>10174</v>
      </c>
      <c r="Q14484" s="26" t="str">
        <f>HYPERLINK("https://ictv.global/taxonomy/taxondetails?taxnode_id=202500143&amp;ictv_id=ICTV20164810","ICTV20164810")</f>
        <v>ICTV20164810</v>
      </c>
      <c r="R14484" t="s">
        <v>580</v>
      </c>
      <c r="S14484" t="s">
        <v>824</v>
      </c>
      <c r="T14484">
        <v>39</v>
      </c>
      <c r="U14484" s="26" t="str">
        <f>HYPERLINK("https://ictv.global/ictv/proposals/2023.024M.Bunyaviricetes.zip","2023.024M.Bunyaviricetes.zip")</f>
        <v>2023.024M.Bunyaviricetes.zip</v>
      </c>
    </row>
    <row r="14485" spans="1:21">
      <c r="A14485">
        <v>14484</v>
      </c>
      <c r="B14485" s="27" t="s">
        <v>1124</v>
      </c>
      <c r="D14485" s="27" t="s">
        <v>1859</v>
      </c>
      <c r="F14485" s="27" t="s">
        <v>938</v>
      </c>
      <c r="G14485" s="27" t="s">
        <v>959</v>
      </c>
      <c r="H14485" s="27" t="s">
        <v>17007</v>
      </c>
      <c r="J14485" s="27" t="s">
        <v>17008</v>
      </c>
      <c r="L14485" s="27" t="s">
        <v>754</v>
      </c>
      <c r="N14485" s="27" t="s">
        <v>755</v>
      </c>
      <c r="P14485" s="27" t="s">
        <v>10175</v>
      </c>
      <c r="Q14485" s="26" t="str">
        <f>HYPERLINK("https://ictv.global/taxonomy/taxondetails?taxnode_id=202500144&amp;ictv_id=ICTV20164811","ICTV20164811")</f>
        <v>ICTV20164811</v>
      </c>
      <c r="R14485" t="s">
        <v>580</v>
      </c>
      <c r="S14485" t="s">
        <v>824</v>
      </c>
      <c r="T14485">
        <v>39</v>
      </c>
      <c r="U14485" s="26" t="str">
        <f>HYPERLINK("https://ictv.global/ictv/proposals/2023.024M.Bunyaviricetes.zip","2023.024M.Bunyaviricetes.zip")</f>
        <v>2023.024M.Bunyaviricetes.zip</v>
      </c>
    </row>
    <row r="14486" spans="1:21">
      <c r="A14486">
        <v>14485</v>
      </c>
      <c r="B14486" s="27" t="s">
        <v>1124</v>
      </c>
      <c r="D14486" s="27" t="s">
        <v>1859</v>
      </c>
      <c r="F14486" s="27" t="s">
        <v>938</v>
      </c>
      <c r="G14486" s="27" t="s">
        <v>959</v>
      </c>
      <c r="H14486" s="27" t="s">
        <v>17007</v>
      </c>
      <c r="J14486" s="27" t="s">
        <v>17008</v>
      </c>
      <c r="L14486" s="27" t="s">
        <v>754</v>
      </c>
      <c r="N14486" s="27" t="s">
        <v>1154</v>
      </c>
      <c r="P14486" s="27" t="s">
        <v>10176</v>
      </c>
      <c r="Q14486" s="26" t="str">
        <f>HYPERLINK("https://ictv.global/taxonomy/taxondetails?taxnode_id=202506606&amp;ictv_id=ICTV201856606","ICTV201856606")</f>
        <v>ICTV201856606</v>
      </c>
      <c r="R14486" t="s">
        <v>580</v>
      </c>
      <c r="S14486" t="s">
        <v>824</v>
      </c>
      <c r="T14486">
        <v>39</v>
      </c>
      <c r="U14486" s="26" t="str">
        <f>HYPERLINK("https://ictv.global/ictv/proposals/2023.024M.Bunyaviricetes.zip","2023.024M.Bunyaviricetes.zip")</f>
        <v>2023.024M.Bunyaviricetes.zip</v>
      </c>
    </row>
    <row r="14487" spans="1:21">
      <c r="A14487">
        <v>14486</v>
      </c>
      <c r="B14487" s="27" t="s">
        <v>1124</v>
      </c>
      <c r="D14487" s="27" t="s">
        <v>1859</v>
      </c>
      <c r="F14487" s="27" t="s">
        <v>938</v>
      </c>
      <c r="G14487" s="27" t="s">
        <v>959</v>
      </c>
      <c r="H14487" s="27" t="s">
        <v>17007</v>
      </c>
      <c r="J14487" s="27" t="s">
        <v>17008</v>
      </c>
      <c r="L14487" s="27" t="s">
        <v>754</v>
      </c>
      <c r="N14487" s="27" t="s">
        <v>972</v>
      </c>
      <c r="P14487" s="27" t="s">
        <v>21404</v>
      </c>
      <c r="Q14487" s="26" t="str">
        <f>HYPERLINK("https://ictv.global/taxonomy/taxondetails?taxnode_id=202522289&amp;ictv_id=ICTV202522289","ICTV202522289")</f>
        <v>ICTV202522289</v>
      </c>
      <c r="R14487" t="s">
        <v>1106</v>
      </c>
      <c r="S14487" t="s">
        <v>823</v>
      </c>
      <c r="T14487">
        <v>41</v>
      </c>
      <c r="U14487" s="26" t="str">
        <f>HYPERLINK("https://ictv.global/ictv/proposals/2025.006M.Phasmaviridae_4nsp.zip","2025.006M.Phasmaviridae_4nsp.zip")</f>
        <v>2025.006M.Phasmaviridae_4nsp.zip</v>
      </c>
    </row>
    <row r="14488" spans="1:21">
      <c r="A14488">
        <v>14487</v>
      </c>
      <c r="B14488" s="27" t="s">
        <v>1124</v>
      </c>
      <c r="D14488" s="27" t="s">
        <v>1859</v>
      </c>
      <c r="F14488" s="27" t="s">
        <v>938</v>
      </c>
      <c r="G14488" s="27" t="s">
        <v>959</v>
      </c>
      <c r="H14488" s="27" t="s">
        <v>17007</v>
      </c>
      <c r="J14488" s="27" t="s">
        <v>17008</v>
      </c>
      <c r="L14488" s="27" t="s">
        <v>754</v>
      </c>
      <c r="N14488" s="27" t="s">
        <v>972</v>
      </c>
      <c r="P14488" s="27" t="s">
        <v>10177</v>
      </c>
      <c r="Q14488" s="26" t="str">
        <f>HYPERLINK("https://ictv.global/taxonomy/taxondetails?taxnode_id=202506223&amp;ictv_id=ICTV20186223","ICTV20186223")</f>
        <v>ICTV20186223</v>
      </c>
      <c r="R14488" t="s">
        <v>580</v>
      </c>
      <c r="S14488" t="s">
        <v>824</v>
      </c>
      <c r="T14488">
        <v>39</v>
      </c>
      <c r="U14488" s="26" t="str">
        <f t="shared" ref="U14488:U14494" si="542">HYPERLINK("https://ictv.global/ictv/proposals/2023.024M.Bunyaviricetes.zip","2023.024M.Bunyaviricetes.zip")</f>
        <v>2023.024M.Bunyaviricetes.zip</v>
      </c>
    </row>
    <row r="14489" spans="1:21">
      <c r="A14489">
        <v>14488</v>
      </c>
      <c r="B14489" s="27" t="s">
        <v>1124</v>
      </c>
      <c r="D14489" s="27" t="s">
        <v>1859</v>
      </c>
      <c r="F14489" s="27" t="s">
        <v>938</v>
      </c>
      <c r="G14489" s="27" t="s">
        <v>959</v>
      </c>
      <c r="H14489" s="27" t="s">
        <v>17007</v>
      </c>
      <c r="J14489" s="27" t="s">
        <v>17008</v>
      </c>
      <c r="L14489" s="27" t="s">
        <v>1157</v>
      </c>
      <c r="N14489" s="27" t="s">
        <v>1158</v>
      </c>
      <c r="P14489" s="27" t="s">
        <v>10325</v>
      </c>
      <c r="Q14489" s="26" t="str">
        <f>HYPERLINK("https://ictv.global/taxonomy/taxondetails?taxnode_id=202507246&amp;ictv_id=ICTV201907246","ICTV201907246")</f>
        <v>ICTV201907246</v>
      </c>
      <c r="R14489" t="s">
        <v>657</v>
      </c>
      <c r="S14489" t="s">
        <v>824</v>
      </c>
      <c r="T14489">
        <v>39</v>
      </c>
      <c r="U14489" s="26" t="str">
        <f t="shared" si="542"/>
        <v>2023.024M.Bunyaviricetes.zip</v>
      </c>
    </row>
    <row r="14490" spans="1:21">
      <c r="A14490">
        <v>14489</v>
      </c>
      <c r="B14490" s="27" t="s">
        <v>1124</v>
      </c>
      <c r="D14490" s="27" t="s">
        <v>1859</v>
      </c>
      <c r="F14490" s="27" t="s">
        <v>938</v>
      </c>
      <c r="G14490" s="27" t="s">
        <v>959</v>
      </c>
      <c r="H14490" s="27" t="s">
        <v>17007</v>
      </c>
      <c r="J14490" s="27" t="s">
        <v>17008</v>
      </c>
      <c r="L14490" s="27" t="s">
        <v>1157</v>
      </c>
      <c r="N14490" s="27" t="s">
        <v>1158</v>
      </c>
      <c r="P14490" s="27" t="s">
        <v>10326</v>
      </c>
      <c r="Q14490" s="26" t="str">
        <f>HYPERLINK("https://ictv.global/taxonomy/taxondetails?taxnode_id=202507245&amp;ictv_id=ICTV201907245","ICTV201907245")</f>
        <v>ICTV201907245</v>
      </c>
      <c r="R14490" t="s">
        <v>657</v>
      </c>
      <c r="S14490" t="s">
        <v>824</v>
      </c>
      <c r="T14490">
        <v>39</v>
      </c>
      <c r="U14490" s="26" t="str">
        <f t="shared" si="542"/>
        <v>2023.024M.Bunyaviricetes.zip</v>
      </c>
    </row>
    <row r="14491" spans="1:21">
      <c r="A14491">
        <v>14490</v>
      </c>
      <c r="B14491" s="27" t="s">
        <v>1124</v>
      </c>
      <c r="D14491" s="27" t="s">
        <v>1859</v>
      </c>
      <c r="F14491" s="27" t="s">
        <v>938</v>
      </c>
      <c r="G14491" s="27" t="s">
        <v>959</v>
      </c>
      <c r="H14491" s="27" t="s">
        <v>17007</v>
      </c>
      <c r="J14491" s="27" t="s">
        <v>17008</v>
      </c>
      <c r="L14491" s="27" t="s">
        <v>1157</v>
      </c>
      <c r="N14491" s="27" t="s">
        <v>1158</v>
      </c>
      <c r="P14491" s="27" t="s">
        <v>10327</v>
      </c>
      <c r="Q14491" s="26" t="str">
        <f>HYPERLINK("https://ictv.global/taxonomy/taxondetails?taxnode_id=202500180&amp;ictv_id=ICTV19990698","ICTV19990698")</f>
        <v>ICTV19990698</v>
      </c>
      <c r="R14491" t="s">
        <v>657</v>
      </c>
      <c r="S14491" t="s">
        <v>824</v>
      </c>
      <c r="T14491">
        <v>39</v>
      </c>
      <c r="U14491" s="26" t="str">
        <f t="shared" si="542"/>
        <v>2023.024M.Bunyaviricetes.zip</v>
      </c>
    </row>
    <row r="14492" spans="1:21">
      <c r="A14492">
        <v>14491</v>
      </c>
      <c r="B14492" s="27" t="s">
        <v>1124</v>
      </c>
      <c r="D14492" s="27" t="s">
        <v>1859</v>
      </c>
      <c r="F14492" s="27" t="s">
        <v>938</v>
      </c>
      <c r="G14492" s="27" t="s">
        <v>959</v>
      </c>
      <c r="H14492" s="27" t="s">
        <v>17007</v>
      </c>
      <c r="J14492" s="27" t="s">
        <v>17008</v>
      </c>
      <c r="L14492" s="27" t="s">
        <v>1157</v>
      </c>
      <c r="N14492" s="27" t="s">
        <v>1158</v>
      </c>
      <c r="P14492" s="27" t="s">
        <v>10328</v>
      </c>
      <c r="Q14492" s="26" t="str">
        <f>HYPERLINK("https://ictv.global/taxonomy/taxondetails?taxnode_id=202500181&amp;ictv_id=ICTV19990699","ICTV19990699")</f>
        <v>ICTV19990699</v>
      </c>
      <c r="R14492" t="s">
        <v>657</v>
      </c>
      <c r="S14492" t="s">
        <v>824</v>
      </c>
      <c r="T14492">
        <v>39</v>
      </c>
      <c r="U14492" s="26" t="str">
        <f t="shared" si="542"/>
        <v>2023.024M.Bunyaviricetes.zip</v>
      </c>
    </row>
    <row r="14493" spans="1:21">
      <c r="A14493">
        <v>14492</v>
      </c>
      <c r="B14493" s="27" t="s">
        <v>1124</v>
      </c>
      <c r="D14493" s="27" t="s">
        <v>1859</v>
      </c>
      <c r="F14493" s="27" t="s">
        <v>938</v>
      </c>
      <c r="G14493" s="27" t="s">
        <v>959</v>
      </c>
      <c r="H14493" s="27" t="s">
        <v>17007</v>
      </c>
      <c r="J14493" s="27" t="s">
        <v>17008</v>
      </c>
      <c r="L14493" s="27" t="s">
        <v>1157</v>
      </c>
      <c r="N14493" s="27" t="s">
        <v>1158</v>
      </c>
      <c r="P14493" s="27" t="s">
        <v>10329</v>
      </c>
      <c r="Q14493" s="26" t="str">
        <f>HYPERLINK("https://ictv.global/taxonomy/taxondetails?taxnode_id=202507247&amp;ictv_id=ICTV201907247","ICTV201907247")</f>
        <v>ICTV201907247</v>
      </c>
      <c r="R14493" t="s">
        <v>657</v>
      </c>
      <c r="S14493" t="s">
        <v>824</v>
      </c>
      <c r="T14493">
        <v>39</v>
      </c>
      <c r="U14493" s="26" t="str">
        <f t="shared" si="542"/>
        <v>2023.024M.Bunyaviricetes.zip</v>
      </c>
    </row>
    <row r="14494" spans="1:21">
      <c r="A14494">
        <v>14493</v>
      </c>
      <c r="B14494" s="27" t="s">
        <v>1124</v>
      </c>
      <c r="D14494" s="27" t="s">
        <v>1859</v>
      </c>
      <c r="F14494" s="27" t="s">
        <v>938</v>
      </c>
      <c r="G14494" s="27" t="s">
        <v>959</v>
      </c>
      <c r="H14494" s="27" t="s">
        <v>17007</v>
      </c>
      <c r="J14494" s="27" t="s">
        <v>17008</v>
      </c>
      <c r="L14494" s="27" t="s">
        <v>1157</v>
      </c>
      <c r="N14494" s="27" t="s">
        <v>1158</v>
      </c>
      <c r="P14494" s="27" t="s">
        <v>10330</v>
      </c>
      <c r="Q14494" s="26" t="str">
        <f>HYPERLINK("https://ictv.global/taxonomy/taxondetails?taxnode_id=202500179&amp;ictv_id=ICTV19990697","ICTV19990697")</f>
        <v>ICTV19990697</v>
      </c>
      <c r="R14494" t="s">
        <v>657</v>
      </c>
      <c r="S14494" t="s">
        <v>824</v>
      </c>
      <c r="T14494">
        <v>39</v>
      </c>
      <c r="U14494" s="26" t="str">
        <f t="shared" si="542"/>
        <v>2023.024M.Bunyaviricetes.zip</v>
      </c>
    </row>
    <row r="14495" spans="1:21">
      <c r="A14495">
        <v>14494</v>
      </c>
      <c r="B14495" s="27" t="s">
        <v>1124</v>
      </c>
      <c r="D14495" s="27" t="s">
        <v>1859</v>
      </c>
      <c r="F14495" s="27" t="s">
        <v>938</v>
      </c>
      <c r="G14495" s="27" t="s">
        <v>959</v>
      </c>
      <c r="H14495" s="27" t="s">
        <v>17007</v>
      </c>
      <c r="J14495" s="27" t="s">
        <v>17008</v>
      </c>
      <c r="L14495" s="27" t="s">
        <v>1157</v>
      </c>
      <c r="N14495" s="27" t="s">
        <v>1158</v>
      </c>
      <c r="P14495" s="27" t="s">
        <v>21461</v>
      </c>
      <c r="Q14495" s="26" t="str">
        <f>HYPERLINK("https://ictv.global/taxonomy/taxondetails?taxnode_id=202522332&amp;ictv_id=ICTV202522332","ICTV202522332")</f>
        <v>ICTV202522332</v>
      </c>
      <c r="R14495" t="s">
        <v>657</v>
      </c>
      <c r="S14495" t="s">
        <v>823</v>
      </c>
      <c r="T14495">
        <v>41</v>
      </c>
      <c r="U14495" s="26" t="str">
        <f>HYPERLINK("https://ictv.global/ictv/proposals/2025.007P.Tospoviridae_8nsp.zip","2025.007P.Tospoviridae_8nsp.zip")</f>
        <v>2025.007P.Tospoviridae_8nsp.zip</v>
      </c>
    </row>
    <row r="14496" spans="1:21">
      <c r="A14496">
        <v>14495</v>
      </c>
      <c r="B14496" s="27" t="s">
        <v>1124</v>
      </c>
      <c r="D14496" s="27" t="s">
        <v>1859</v>
      </c>
      <c r="F14496" s="27" t="s">
        <v>938</v>
      </c>
      <c r="G14496" s="27" t="s">
        <v>959</v>
      </c>
      <c r="H14496" s="27" t="s">
        <v>17007</v>
      </c>
      <c r="J14496" s="27" t="s">
        <v>17008</v>
      </c>
      <c r="L14496" s="27" t="s">
        <v>1157</v>
      </c>
      <c r="N14496" s="27" t="s">
        <v>1158</v>
      </c>
      <c r="P14496" s="27" t="s">
        <v>10331</v>
      </c>
      <c r="Q14496" s="26" t="str">
        <f>HYPERLINK("https://ictv.global/taxonomy/taxondetails?taxnode_id=202506662&amp;ictv_id=ICTV201856662","ICTV201856662")</f>
        <v>ICTV201856662</v>
      </c>
      <c r="R14496" t="s">
        <v>657</v>
      </c>
      <c r="S14496" t="s">
        <v>824</v>
      </c>
      <c r="T14496">
        <v>39</v>
      </c>
      <c r="U14496" s="26" t="str">
        <f>HYPERLINK("https://ictv.global/ictv/proposals/2023.024M.Bunyaviricetes.zip","2023.024M.Bunyaviricetes.zip")</f>
        <v>2023.024M.Bunyaviricetes.zip</v>
      </c>
    </row>
    <row r="14497" spans="1:21">
      <c r="A14497">
        <v>14496</v>
      </c>
      <c r="B14497" s="27" t="s">
        <v>1124</v>
      </c>
      <c r="D14497" s="27" t="s">
        <v>1859</v>
      </c>
      <c r="F14497" s="27" t="s">
        <v>938</v>
      </c>
      <c r="G14497" s="27" t="s">
        <v>959</v>
      </c>
      <c r="H14497" s="27" t="s">
        <v>17007</v>
      </c>
      <c r="J14497" s="27" t="s">
        <v>17008</v>
      </c>
      <c r="L14497" s="27" t="s">
        <v>1157</v>
      </c>
      <c r="N14497" s="27" t="s">
        <v>1158</v>
      </c>
      <c r="P14497" s="27" t="s">
        <v>10332</v>
      </c>
      <c r="Q14497" s="26" t="str">
        <f>HYPERLINK("https://ictv.global/taxonomy/taxondetails?taxnode_id=202506663&amp;ictv_id=ICTV201856663","ICTV201856663")</f>
        <v>ICTV201856663</v>
      </c>
      <c r="R14497" t="s">
        <v>657</v>
      </c>
      <c r="S14497" t="s">
        <v>824</v>
      </c>
      <c r="T14497">
        <v>39</v>
      </c>
      <c r="U14497" s="26" t="str">
        <f>HYPERLINK("https://ictv.global/ictv/proposals/2023.024M.Bunyaviricetes.zip","2023.024M.Bunyaviricetes.zip")</f>
        <v>2023.024M.Bunyaviricetes.zip</v>
      </c>
    </row>
    <row r="14498" spans="1:21">
      <c r="A14498">
        <v>14497</v>
      </c>
      <c r="B14498" s="27" t="s">
        <v>1124</v>
      </c>
      <c r="D14498" s="27" t="s">
        <v>1859</v>
      </c>
      <c r="F14498" s="27" t="s">
        <v>938</v>
      </c>
      <c r="G14498" s="27" t="s">
        <v>959</v>
      </c>
      <c r="H14498" s="27" t="s">
        <v>17007</v>
      </c>
      <c r="J14498" s="27" t="s">
        <v>17008</v>
      </c>
      <c r="L14498" s="27" t="s">
        <v>1157</v>
      </c>
      <c r="N14498" s="27" t="s">
        <v>1158</v>
      </c>
      <c r="P14498" s="27" t="s">
        <v>21465</v>
      </c>
      <c r="Q14498" s="26" t="str">
        <f>HYPERLINK("https://ictv.global/taxonomy/taxondetails?taxnode_id=202522336&amp;ictv_id=ICTV202522336","ICTV202522336")</f>
        <v>ICTV202522336</v>
      </c>
      <c r="R14498" t="s">
        <v>657</v>
      </c>
      <c r="S14498" t="s">
        <v>823</v>
      </c>
      <c r="T14498">
        <v>41</v>
      </c>
      <c r="U14498" s="26" t="str">
        <f>HYPERLINK("https://ictv.global/ictv/proposals/2025.007P.Tospoviridae_8nsp.zip","2025.007P.Tospoviridae_8nsp.zip")</f>
        <v>2025.007P.Tospoviridae_8nsp.zip</v>
      </c>
    </row>
    <row r="14499" spans="1:21">
      <c r="A14499">
        <v>14498</v>
      </c>
      <c r="B14499" s="27" t="s">
        <v>1124</v>
      </c>
      <c r="D14499" s="27" t="s">
        <v>1859</v>
      </c>
      <c r="F14499" s="27" t="s">
        <v>938</v>
      </c>
      <c r="G14499" s="27" t="s">
        <v>959</v>
      </c>
      <c r="H14499" s="27" t="s">
        <v>17007</v>
      </c>
      <c r="J14499" s="27" t="s">
        <v>17008</v>
      </c>
      <c r="L14499" s="27" t="s">
        <v>1157</v>
      </c>
      <c r="N14499" s="27" t="s">
        <v>1158</v>
      </c>
      <c r="P14499" s="27" t="s">
        <v>10333</v>
      </c>
      <c r="Q14499" s="26" t="str">
        <f>HYPERLINK("https://ictv.global/taxonomy/taxondetails?taxnode_id=202507250&amp;ictv_id=ICTV201907250","ICTV201907250")</f>
        <v>ICTV201907250</v>
      </c>
      <c r="R14499" t="s">
        <v>657</v>
      </c>
      <c r="S14499" t="s">
        <v>824</v>
      </c>
      <c r="T14499">
        <v>39</v>
      </c>
      <c r="U14499" s="26" t="str">
        <f>HYPERLINK("https://ictv.global/ictv/proposals/2023.024M.Bunyaviricetes.zip","2023.024M.Bunyaviricetes.zip")</f>
        <v>2023.024M.Bunyaviricetes.zip</v>
      </c>
    </row>
    <row r="14500" spans="1:21">
      <c r="A14500">
        <v>14499</v>
      </c>
      <c r="B14500" s="27" t="s">
        <v>1124</v>
      </c>
      <c r="D14500" s="27" t="s">
        <v>1859</v>
      </c>
      <c r="F14500" s="27" t="s">
        <v>938</v>
      </c>
      <c r="G14500" s="27" t="s">
        <v>959</v>
      </c>
      <c r="H14500" s="27" t="s">
        <v>17007</v>
      </c>
      <c r="J14500" s="27" t="s">
        <v>17008</v>
      </c>
      <c r="L14500" s="27" t="s">
        <v>1157</v>
      </c>
      <c r="N14500" s="27" t="s">
        <v>1158</v>
      </c>
      <c r="P14500" s="27" t="s">
        <v>10334</v>
      </c>
      <c r="Q14500" s="26" t="str">
        <f>HYPERLINK("https://ictv.global/taxonomy/taxondetails?taxnode_id=202506664&amp;ictv_id=ICTV201856664","ICTV201856664")</f>
        <v>ICTV201856664</v>
      </c>
      <c r="R14500" t="s">
        <v>657</v>
      </c>
      <c r="S14500" t="s">
        <v>824</v>
      </c>
      <c r="T14500">
        <v>39</v>
      </c>
      <c r="U14500" s="26" t="str">
        <f>HYPERLINK("https://ictv.global/ictv/proposals/2023.024M.Bunyaviricetes.zip","2023.024M.Bunyaviricetes.zip")</f>
        <v>2023.024M.Bunyaviricetes.zip</v>
      </c>
    </row>
    <row r="14501" spans="1:21">
      <c r="A14501">
        <v>14500</v>
      </c>
      <c r="B14501" s="27" t="s">
        <v>1124</v>
      </c>
      <c r="D14501" s="27" t="s">
        <v>1859</v>
      </c>
      <c r="F14501" s="27" t="s">
        <v>938</v>
      </c>
      <c r="G14501" s="27" t="s">
        <v>959</v>
      </c>
      <c r="H14501" s="27" t="s">
        <v>17007</v>
      </c>
      <c r="J14501" s="27" t="s">
        <v>17008</v>
      </c>
      <c r="L14501" s="27" t="s">
        <v>1157</v>
      </c>
      <c r="N14501" s="27" t="s">
        <v>1158</v>
      </c>
      <c r="P14501" s="27" t="s">
        <v>10335</v>
      </c>
      <c r="Q14501" s="26" t="str">
        <f>HYPERLINK("https://ictv.global/taxonomy/taxondetails?taxnode_id=202500188&amp;ictv_id=ICTV19990703","ICTV19990703")</f>
        <v>ICTV19990703</v>
      </c>
      <c r="R14501" t="s">
        <v>657</v>
      </c>
      <c r="S14501" t="s">
        <v>824</v>
      </c>
      <c r="T14501">
        <v>39</v>
      </c>
      <c r="U14501" s="26" t="str">
        <f>HYPERLINK("https://ictv.global/ictv/proposals/2023.024M.Bunyaviricetes.zip","2023.024M.Bunyaviricetes.zip")</f>
        <v>2023.024M.Bunyaviricetes.zip</v>
      </c>
    </row>
    <row r="14502" spans="1:21">
      <c r="A14502">
        <v>14501</v>
      </c>
      <c r="B14502" s="27" t="s">
        <v>1124</v>
      </c>
      <c r="D14502" s="27" t="s">
        <v>1859</v>
      </c>
      <c r="F14502" s="27" t="s">
        <v>938</v>
      </c>
      <c r="G14502" s="27" t="s">
        <v>959</v>
      </c>
      <c r="H14502" s="27" t="s">
        <v>17007</v>
      </c>
      <c r="J14502" s="27" t="s">
        <v>17008</v>
      </c>
      <c r="L14502" s="27" t="s">
        <v>1157</v>
      </c>
      <c r="N14502" s="27" t="s">
        <v>1158</v>
      </c>
      <c r="P14502" s="27" t="s">
        <v>10336</v>
      </c>
      <c r="Q14502" s="26" t="str">
        <f>HYPERLINK("https://ictv.global/taxonomy/taxondetails?taxnode_id=202500187&amp;ictv_id=ICTV20141815","ICTV20141815")</f>
        <v>ICTV20141815</v>
      </c>
      <c r="R14502" t="s">
        <v>657</v>
      </c>
      <c r="S14502" t="s">
        <v>824</v>
      </c>
      <c r="T14502">
        <v>39</v>
      </c>
      <c r="U14502" s="26" t="str">
        <f>HYPERLINK("https://ictv.global/ictv/proposals/2023.024M.Bunyaviricetes.zip","2023.024M.Bunyaviricetes.zip")</f>
        <v>2023.024M.Bunyaviricetes.zip</v>
      </c>
    </row>
    <row r="14503" spans="1:21">
      <c r="A14503">
        <v>14502</v>
      </c>
      <c r="B14503" s="27" t="s">
        <v>1124</v>
      </c>
      <c r="D14503" s="27" t="s">
        <v>1859</v>
      </c>
      <c r="F14503" s="27" t="s">
        <v>938</v>
      </c>
      <c r="G14503" s="27" t="s">
        <v>959</v>
      </c>
      <c r="H14503" s="27" t="s">
        <v>17007</v>
      </c>
      <c r="J14503" s="27" t="s">
        <v>17008</v>
      </c>
      <c r="L14503" s="27" t="s">
        <v>1157</v>
      </c>
      <c r="N14503" s="27" t="s">
        <v>1158</v>
      </c>
      <c r="P14503" s="27" t="s">
        <v>10337</v>
      </c>
      <c r="Q14503" s="26" t="str">
        <f>HYPERLINK("https://ictv.global/taxonomy/taxondetails?taxnode_id=202500189&amp;ictv_id=ICTV19990704","ICTV19990704")</f>
        <v>ICTV19990704</v>
      </c>
      <c r="R14503" t="s">
        <v>657</v>
      </c>
      <c r="S14503" t="s">
        <v>824</v>
      </c>
      <c r="T14503">
        <v>39</v>
      </c>
      <c r="U14503" s="26" t="str">
        <f>HYPERLINK("https://ictv.global/ictv/proposals/2023.024M.Bunyaviricetes.zip","2023.024M.Bunyaviricetes.zip")</f>
        <v>2023.024M.Bunyaviricetes.zip</v>
      </c>
    </row>
    <row r="14504" spans="1:21">
      <c r="A14504">
        <v>14503</v>
      </c>
      <c r="B14504" s="27" t="s">
        <v>1124</v>
      </c>
      <c r="D14504" s="27" t="s">
        <v>1859</v>
      </c>
      <c r="F14504" s="27" t="s">
        <v>938</v>
      </c>
      <c r="G14504" s="27" t="s">
        <v>959</v>
      </c>
      <c r="H14504" s="27" t="s">
        <v>17007</v>
      </c>
      <c r="J14504" s="27" t="s">
        <v>17008</v>
      </c>
      <c r="L14504" s="27" t="s">
        <v>1157</v>
      </c>
      <c r="N14504" s="27" t="s">
        <v>1158</v>
      </c>
      <c r="P14504" s="27" t="s">
        <v>20465</v>
      </c>
      <c r="Q14504" s="26" t="str">
        <f>HYPERLINK("https://ictv.global/taxonomy/taxondetails?taxnode_id=202520121&amp;ictv_id=ICTV202420121","ICTV202420121")</f>
        <v>ICTV202420121</v>
      </c>
      <c r="R14504" t="s">
        <v>657</v>
      </c>
      <c r="S14504" t="s">
        <v>823</v>
      </c>
      <c r="T14504">
        <v>40</v>
      </c>
      <c r="U14504" s="26" t="str">
        <f>HYPERLINK("https://ictv.global/ictv/proposals/2024.003P.Tospoviridae_2nsp.zip","2024.003P.Tospoviridae_2nsp.zip")</f>
        <v>2024.003P.Tospoviridae_2nsp.zip</v>
      </c>
    </row>
    <row r="14505" spans="1:21">
      <c r="A14505">
        <v>14504</v>
      </c>
      <c r="B14505" s="27" t="s">
        <v>1124</v>
      </c>
      <c r="D14505" s="27" t="s">
        <v>1859</v>
      </c>
      <c r="F14505" s="27" t="s">
        <v>938</v>
      </c>
      <c r="G14505" s="27" t="s">
        <v>959</v>
      </c>
      <c r="H14505" s="27" t="s">
        <v>17007</v>
      </c>
      <c r="J14505" s="27" t="s">
        <v>17008</v>
      </c>
      <c r="L14505" s="27" t="s">
        <v>1157</v>
      </c>
      <c r="N14505" s="27" t="s">
        <v>1158</v>
      </c>
      <c r="P14505" s="27" t="s">
        <v>20466</v>
      </c>
      <c r="Q14505" s="26" t="str">
        <f>HYPERLINK("https://ictv.global/taxonomy/taxondetails?taxnode_id=202520122&amp;ictv_id=ICTV202420122","ICTV202420122")</f>
        <v>ICTV202420122</v>
      </c>
      <c r="R14505" t="s">
        <v>657</v>
      </c>
      <c r="S14505" t="s">
        <v>823</v>
      </c>
      <c r="T14505">
        <v>40</v>
      </c>
      <c r="U14505" s="26" t="str">
        <f>HYPERLINK("https://ictv.global/ictv/proposals/2024.003P.Tospoviridae_2nsp.zip","2024.003P.Tospoviridae_2nsp.zip")</f>
        <v>2024.003P.Tospoviridae_2nsp.zip</v>
      </c>
    </row>
    <row r="14506" spans="1:21">
      <c r="A14506">
        <v>14505</v>
      </c>
      <c r="B14506" s="27" t="s">
        <v>1124</v>
      </c>
      <c r="D14506" s="27" t="s">
        <v>1859</v>
      </c>
      <c r="F14506" s="27" t="s">
        <v>938</v>
      </c>
      <c r="G14506" s="27" t="s">
        <v>959</v>
      </c>
      <c r="H14506" s="27" t="s">
        <v>17007</v>
      </c>
      <c r="J14506" s="27" t="s">
        <v>17008</v>
      </c>
      <c r="L14506" s="27" t="s">
        <v>1157</v>
      </c>
      <c r="N14506" s="27" t="s">
        <v>1158</v>
      </c>
      <c r="P14506" s="27" t="s">
        <v>10338</v>
      </c>
      <c r="Q14506" s="26" t="str">
        <f>HYPERLINK("https://ictv.global/taxonomy/taxondetails?taxnode_id=202506667&amp;ictv_id=ICTV201856667","ICTV201856667")</f>
        <v>ICTV201856667</v>
      </c>
      <c r="R14506" t="s">
        <v>657</v>
      </c>
      <c r="S14506" t="s">
        <v>824</v>
      </c>
      <c r="T14506">
        <v>39</v>
      </c>
      <c r="U14506" s="26" t="str">
        <f>HYPERLINK("https://ictv.global/ictv/proposals/2023.024M.Bunyaviricetes.zip","2023.024M.Bunyaviricetes.zip")</f>
        <v>2023.024M.Bunyaviricetes.zip</v>
      </c>
    </row>
    <row r="14507" spans="1:21">
      <c r="A14507">
        <v>14506</v>
      </c>
      <c r="B14507" s="27" t="s">
        <v>1124</v>
      </c>
      <c r="D14507" s="27" t="s">
        <v>1859</v>
      </c>
      <c r="F14507" s="27" t="s">
        <v>938</v>
      </c>
      <c r="G14507" s="27" t="s">
        <v>959</v>
      </c>
      <c r="H14507" s="27" t="s">
        <v>17007</v>
      </c>
      <c r="J14507" s="27" t="s">
        <v>17008</v>
      </c>
      <c r="L14507" s="27" t="s">
        <v>1157</v>
      </c>
      <c r="N14507" s="27" t="s">
        <v>1158</v>
      </c>
      <c r="P14507" s="27" t="s">
        <v>10339</v>
      </c>
      <c r="Q14507" s="26" t="str">
        <f>HYPERLINK("https://ictv.global/taxonomy/taxondetails?taxnode_id=202507248&amp;ictv_id=ICTV201907248","ICTV201907248")</f>
        <v>ICTV201907248</v>
      </c>
      <c r="R14507" t="s">
        <v>657</v>
      </c>
      <c r="S14507" t="s">
        <v>824</v>
      </c>
      <c r="T14507">
        <v>39</v>
      </c>
      <c r="U14507" s="26" t="str">
        <f>HYPERLINK("https://ictv.global/ictv/proposals/2023.024M.Bunyaviricetes.zip","2023.024M.Bunyaviricetes.zip")</f>
        <v>2023.024M.Bunyaviricetes.zip</v>
      </c>
    </row>
    <row r="14508" spans="1:21">
      <c r="A14508">
        <v>14507</v>
      </c>
      <c r="B14508" s="27" t="s">
        <v>1124</v>
      </c>
      <c r="D14508" s="27" t="s">
        <v>1859</v>
      </c>
      <c r="F14508" s="27" t="s">
        <v>938</v>
      </c>
      <c r="G14508" s="27" t="s">
        <v>959</v>
      </c>
      <c r="H14508" s="27" t="s">
        <v>17007</v>
      </c>
      <c r="J14508" s="27" t="s">
        <v>17008</v>
      </c>
      <c r="L14508" s="27" t="s">
        <v>1157</v>
      </c>
      <c r="N14508" s="27" t="s">
        <v>1158</v>
      </c>
      <c r="P14508" s="27" t="s">
        <v>10340</v>
      </c>
      <c r="Q14508" s="26" t="str">
        <f>HYPERLINK("https://ictv.global/taxonomy/taxondetails?taxnode_id=202500182&amp;ictv_id=ICTV19950812","ICTV19950812")</f>
        <v>ICTV19950812</v>
      </c>
      <c r="R14508" t="s">
        <v>657</v>
      </c>
      <c r="S14508" t="s">
        <v>824</v>
      </c>
      <c r="T14508">
        <v>39</v>
      </c>
      <c r="U14508" s="26" t="str">
        <f>HYPERLINK("https://ictv.global/ictv/proposals/2023.024M.Bunyaviricetes.zip","2023.024M.Bunyaviricetes.zip")</f>
        <v>2023.024M.Bunyaviricetes.zip</v>
      </c>
    </row>
    <row r="14509" spans="1:21">
      <c r="A14509">
        <v>14508</v>
      </c>
      <c r="B14509" s="27" t="s">
        <v>1124</v>
      </c>
      <c r="D14509" s="27" t="s">
        <v>1859</v>
      </c>
      <c r="F14509" s="27" t="s">
        <v>938</v>
      </c>
      <c r="G14509" s="27" t="s">
        <v>959</v>
      </c>
      <c r="H14509" s="27" t="s">
        <v>17007</v>
      </c>
      <c r="J14509" s="27" t="s">
        <v>17008</v>
      </c>
      <c r="L14509" s="27" t="s">
        <v>1157</v>
      </c>
      <c r="N14509" s="27" t="s">
        <v>1158</v>
      </c>
      <c r="P14509" s="27" t="s">
        <v>10341</v>
      </c>
      <c r="Q14509" s="26" t="str">
        <f>HYPERLINK("https://ictv.global/taxonomy/taxondetails?taxnode_id=202500183&amp;ictv_id=ICTV20141814","ICTV20141814")</f>
        <v>ICTV20141814</v>
      </c>
      <c r="R14509" t="s">
        <v>657</v>
      </c>
      <c r="S14509" t="s">
        <v>824</v>
      </c>
      <c r="T14509">
        <v>39</v>
      </c>
      <c r="U14509" s="26" t="str">
        <f>HYPERLINK("https://ictv.global/ictv/proposals/2023.024M.Bunyaviricetes.zip","2023.024M.Bunyaviricetes.zip")</f>
        <v>2023.024M.Bunyaviricetes.zip</v>
      </c>
    </row>
    <row r="14510" spans="1:21">
      <c r="A14510">
        <v>14509</v>
      </c>
      <c r="B14510" s="27" t="s">
        <v>1124</v>
      </c>
      <c r="D14510" s="27" t="s">
        <v>1859</v>
      </c>
      <c r="F14510" s="27" t="s">
        <v>938</v>
      </c>
      <c r="G14510" s="27" t="s">
        <v>959</v>
      </c>
      <c r="H14510" s="27" t="s">
        <v>17007</v>
      </c>
      <c r="J14510" s="27" t="s">
        <v>17008</v>
      </c>
      <c r="L14510" s="27" t="s">
        <v>1157</v>
      </c>
      <c r="N14510" s="27" t="s">
        <v>1158</v>
      </c>
      <c r="P14510" s="27" t="s">
        <v>21460</v>
      </c>
      <c r="Q14510" s="26" t="str">
        <f>HYPERLINK("https://ictv.global/taxonomy/taxondetails?taxnode_id=202522331&amp;ictv_id=ICTV202522331","ICTV202522331")</f>
        <v>ICTV202522331</v>
      </c>
      <c r="R14510" t="s">
        <v>657</v>
      </c>
      <c r="S14510" t="s">
        <v>823</v>
      </c>
      <c r="T14510">
        <v>41</v>
      </c>
      <c r="U14510" s="26" t="str">
        <f>HYPERLINK("https://ictv.global/ictv/proposals/2025.007P.Tospoviridae_8nsp.zip","2025.007P.Tospoviridae_8nsp.zip")</f>
        <v>2025.007P.Tospoviridae_8nsp.zip</v>
      </c>
    </row>
    <row r="14511" spans="1:21">
      <c r="A14511">
        <v>14510</v>
      </c>
      <c r="B14511" s="27" t="s">
        <v>1124</v>
      </c>
      <c r="D14511" s="27" t="s">
        <v>1859</v>
      </c>
      <c r="F14511" s="27" t="s">
        <v>938</v>
      </c>
      <c r="G14511" s="27" t="s">
        <v>959</v>
      </c>
      <c r="H14511" s="27" t="s">
        <v>17007</v>
      </c>
      <c r="J14511" s="27" t="s">
        <v>17008</v>
      </c>
      <c r="L14511" s="27" t="s">
        <v>1157</v>
      </c>
      <c r="N14511" s="27" t="s">
        <v>1158</v>
      </c>
      <c r="P14511" s="27" t="s">
        <v>21463</v>
      </c>
      <c r="Q14511" s="26" t="str">
        <f>HYPERLINK("https://ictv.global/taxonomy/taxondetails?taxnode_id=202522334&amp;ictv_id=ICTV202522334","ICTV202522334")</f>
        <v>ICTV202522334</v>
      </c>
      <c r="R14511" t="s">
        <v>657</v>
      </c>
      <c r="S14511" t="s">
        <v>823</v>
      </c>
      <c r="T14511">
        <v>41</v>
      </c>
      <c r="U14511" s="26" t="str">
        <f>HYPERLINK("https://ictv.global/ictv/proposals/2025.007P.Tospoviridae_8nsp.zip","2025.007P.Tospoviridae_8nsp.zip")</f>
        <v>2025.007P.Tospoviridae_8nsp.zip</v>
      </c>
    </row>
    <row r="14512" spans="1:21">
      <c r="A14512">
        <v>14511</v>
      </c>
      <c r="B14512" s="27" t="s">
        <v>1124</v>
      </c>
      <c r="D14512" s="27" t="s">
        <v>1859</v>
      </c>
      <c r="F14512" s="27" t="s">
        <v>938</v>
      </c>
      <c r="G14512" s="27" t="s">
        <v>959</v>
      </c>
      <c r="H14512" s="27" t="s">
        <v>17007</v>
      </c>
      <c r="J14512" s="27" t="s">
        <v>17008</v>
      </c>
      <c r="L14512" s="27" t="s">
        <v>1157</v>
      </c>
      <c r="N14512" s="27" t="s">
        <v>1158</v>
      </c>
      <c r="P14512" s="27" t="s">
        <v>10342</v>
      </c>
      <c r="Q14512" s="26" t="str">
        <f>HYPERLINK("https://ictv.global/taxonomy/taxondetails?taxnode_id=202506666&amp;ictv_id=ICTV201856666","ICTV201856666")</f>
        <v>ICTV201856666</v>
      </c>
      <c r="R14512" t="s">
        <v>657</v>
      </c>
      <c r="S14512" t="s">
        <v>824</v>
      </c>
      <c r="T14512">
        <v>39</v>
      </c>
      <c r="U14512" s="26" t="str">
        <f>HYPERLINK("https://ictv.global/ictv/proposals/2023.024M.Bunyaviricetes.zip","2023.024M.Bunyaviricetes.zip")</f>
        <v>2023.024M.Bunyaviricetes.zip</v>
      </c>
    </row>
    <row r="14513" spans="1:21">
      <c r="A14513">
        <v>14512</v>
      </c>
      <c r="B14513" s="27" t="s">
        <v>1124</v>
      </c>
      <c r="D14513" s="27" t="s">
        <v>1859</v>
      </c>
      <c r="F14513" s="27" t="s">
        <v>938</v>
      </c>
      <c r="G14513" s="27" t="s">
        <v>959</v>
      </c>
      <c r="H14513" s="27" t="s">
        <v>17007</v>
      </c>
      <c r="J14513" s="27" t="s">
        <v>17008</v>
      </c>
      <c r="L14513" s="27" t="s">
        <v>1157</v>
      </c>
      <c r="N14513" s="27" t="s">
        <v>1158</v>
      </c>
      <c r="P14513" s="27" t="s">
        <v>10343</v>
      </c>
      <c r="Q14513" s="26" t="str">
        <f>HYPERLINK("https://ictv.global/taxonomy/taxondetails?taxnode_id=202506665&amp;ictv_id=ICTV201856665","ICTV201856665")</f>
        <v>ICTV201856665</v>
      </c>
      <c r="R14513" t="s">
        <v>657</v>
      </c>
      <c r="S14513" t="s">
        <v>824</v>
      </c>
      <c r="T14513">
        <v>39</v>
      </c>
      <c r="U14513" s="26" t="str">
        <f>HYPERLINK("https://ictv.global/ictv/proposals/2023.024M.Bunyaviricetes.zip","2023.024M.Bunyaviricetes.zip")</f>
        <v>2023.024M.Bunyaviricetes.zip</v>
      </c>
    </row>
    <row r="14514" spans="1:21">
      <c r="A14514">
        <v>14513</v>
      </c>
      <c r="B14514" s="27" t="s">
        <v>1124</v>
      </c>
      <c r="D14514" s="27" t="s">
        <v>1859</v>
      </c>
      <c r="F14514" s="27" t="s">
        <v>938</v>
      </c>
      <c r="G14514" s="27" t="s">
        <v>959</v>
      </c>
      <c r="H14514" s="27" t="s">
        <v>17007</v>
      </c>
      <c r="J14514" s="27" t="s">
        <v>17008</v>
      </c>
      <c r="L14514" s="27" t="s">
        <v>1157</v>
      </c>
      <c r="N14514" s="27" t="s">
        <v>1158</v>
      </c>
      <c r="P14514" s="27" t="s">
        <v>21464</v>
      </c>
      <c r="Q14514" s="26" t="str">
        <f>HYPERLINK("https://ictv.global/taxonomy/taxondetails?taxnode_id=202522335&amp;ictv_id=ICTV202522335","ICTV202522335")</f>
        <v>ICTV202522335</v>
      </c>
      <c r="R14514" t="s">
        <v>657</v>
      </c>
      <c r="S14514" t="s">
        <v>823</v>
      </c>
      <c r="T14514">
        <v>41</v>
      </c>
      <c r="U14514" s="26" t="str">
        <f>HYPERLINK("https://ictv.global/ictv/proposals/2025.007P.Tospoviridae_8nsp.zip","2025.007P.Tospoviridae_8nsp.zip")</f>
        <v>2025.007P.Tospoviridae_8nsp.zip</v>
      </c>
    </row>
    <row r="14515" spans="1:21">
      <c r="A14515">
        <v>14514</v>
      </c>
      <c r="B14515" s="27" t="s">
        <v>1124</v>
      </c>
      <c r="D14515" s="27" t="s">
        <v>1859</v>
      </c>
      <c r="F14515" s="27" t="s">
        <v>938</v>
      </c>
      <c r="G14515" s="27" t="s">
        <v>959</v>
      </c>
      <c r="H14515" s="27" t="s">
        <v>17007</v>
      </c>
      <c r="J14515" s="27" t="s">
        <v>17008</v>
      </c>
      <c r="L14515" s="27" t="s">
        <v>1157</v>
      </c>
      <c r="N14515" s="27" t="s">
        <v>1158</v>
      </c>
      <c r="P14515" s="27" t="s">
        <v>10344</v>
      </c>
      <c r="Q14515" s="26" t="str">
        <f>HYPERLINK("https://ictv.global/taxonomy/taxondetails?taxnode_id=202507249&amp;ictv_id=ICTV201907249","ICTV201907249")</f>
        <v>ICTV201907249</v>
      </c>
      <c r="R14515" t="s">
        <v>657</v>
      </c>
      <c r="S14515" t="s">
        <v>824</v>
      </c>
      <c r="T14515">
        <v>39</v>
      </c>
      <c r="U14515" s="26" t="str">
        <f>HYPERLINK("https://ictv.global/ictv/proposals/2023.024M.Bunyaviricetes.zip","2023.024M.Bunyaviricetes.zip")</f>
        <v>2023.024M.Bunyaviricetes.zip</v>
      </c>
    </row>
    <row r="14516" spans="1:21">
      <c r="A14516">
        <v>14515</v>
      </c>
      <c r="B14516" s="27" t="s">
        <v>1124</v>
      </c>
      <c r="D14516" s="27" t="s">
        <v>1859</v>
      </c>
      <c r="F14516" s="27" t="s">
        <v>938</v>
      </c>
      <c r="G14516" s="27" t="s">
        <v>959</v>
      </c>
      <c r="H14516" s="27" t="s">
        <v>17007</v>
      </c>
      <c r="J14516" s="27" t="s">
        <v>17008</v>
      </c>
      <c r="L14516" s="27" t="s">
        <v>1157</v>
      </c>
      <c r="N14516" s="27" t="s">
        <v>1158</v>
      </c>
      <c r="P14516" s="27" t="s">
        <v>10345</v>
      </c>
      <c r="Q14516" s="26" t="str">
        <f>HYPERLINK("https://ictv.global/taxonomy/taxondetails?taxnode_id=202506661&amp;ictv_id=ICTV201856661","ICTV201856661")</f>
        <v>ICTV201856661</v>
      </c>
      <c r="R14516" t="s">
        <v>657</v>
      </c>
      <c r="S14516" t="s">
        <v>824</v>
      </c>
      <c r="T14516">
        <v>39</v>
      </c>
      <c r="U14516" s="26" t="str">
        <f>HYPERLINK("https://ictv.global/ictv/proposals/2023.024M.Bunyaviricetes.zip","2023.024M.Bunyaviricetes.zip")</f>
        <v>2023.024M.Bunyaviricetes.zip</v>
      </c>
    </row>
    <row r="14517" spans="1:21">
      <c r="A14517">
        <v>14516</v>
      </c>
      <c r="B14517" s="27" t="s">
        <v>1124</v>
      </c>
      <c r="D14517" s="27" t="s">
        <v>1859</v>
      </c>
      <c r="F14517" s="27" t="s">
        <v>938</v>
      </c>
      <c r="G14517" s="27" t="s">
        <v>959</v>
      </c>
      <c r="H14517" s="27" t="s">
        <v>17007</v>
      </c>
      <c r="J14517" s="27" t="s">
        <v>17008</v>
      </c>
      <c r="L14517" s="27" t="s">
        <v>1157</v>
      </c>
      <c r="N14517" s="27" t="s">
        <v>1158</v>
      </c>
      <c r="P14517" s="27" t="s">
        <v>10346</v>
      </c>
      <c r="Q14517" s="26" t="str">
        <f>HYPERLINK("https://ictv.global/taxonomy/taxondetails?taxnode_id=202500184&amp;ictv_id=ICTV20131443","ICTV20131443")</f>
        <v>ICTV20131443</v>
      </c>
      <c r="R14517" t="s">
        <v>657</v>
      </c>
      <c r="S14517" t="s">
        <v>824</v>
      </c>
      <c r="T14517">
        <v>39</v>
      </c>
      <c r="U14517" s="26" t="str">
        <f>HYPERLINK("https://ictv.global/ictv/proposals/2023.024M.Bunyaviricetes.zip","2023.024M.Bunyaviricetes.zip")</f>
        <v>2023.024M.Bunyaviricetes.zip</v>
      </c>
    </row>
    <row r="14518" spans="1:21">
      <c r="A14518">
        <v>14517</v>
      </c>
      <c r="B14518" s="27" t="s">
        <v>1124</v>
      </c>
      <c r="D14518" s="27" t="s">
        <v>1859</v>
      </c>
      <c r="F14518" s="27" t="s">
        <v>938</v>
      </c>
      <c r="G14518" s="27" t="s">
        <v>959</v>
      </c>
      <c r="H14518" s="27" t="s">
        <v>17007</v>
      </c>
      <c r="J14518" s="27" t="s">
        <v>17008</v>
      </c>
      <c r="L14518" s="27" t="s">
        <v>1157</v>
      </c>
      <c r="N14518" s="27" t="s">
        <v>1158</v>
      </c>
      <c r="P14518" s="27" t="s">
        <v>21462</v>
      </c>
      <c r="Q14518" s="26" t="str">
        <f>HYPERLINK("https://ictv.global/taxonomy/taxondetails?taxnode_id=202522333&amp;ictv_id=ICTV202522333","ICTV202522333")</f>
        <v>ICTV202522333</v>
      </c>
      <c r="R14518" t="s">
        <v>657</v>
      </c>
      <c r="S14518" t="s">
        <v>823</v>
      </c>
      <c r="T14518">
        <v>41</v>
      </c>
      <c r="U14518" s="26" t="str">
        <f>HYPERLINK("https://ictv.global/ictv/proposals/2025.007P.Tospoviridae_8nsp.zip","2025.007P.Tospoviridae_8nsp.zip")</f>
        <v>2025.007P.Tospoviridae_8nsp.zip</v>
      </c>
    </row>
    <row r="14519" spans="1:21">
      <c r="A14519">
        <v>14518</v>
      </c>
      <c r="B14519" s="27" t="s">
        <v>1124</v>
      </c>
      <c r="D14519" s="27" t="s">
        <v>1859</v>
      </c>
      <c r="F14519" s="27" t="s">
        <v>938</v>
      </c>
      <c r="G14519" s="27" t="s">
        <v>959</v>
      </c>
      <c r="H14519" s="27" t="s">
        <v>17007</v>
      </c>
      <c r="J14519" s="27" t="s">
        <v>17008</v>
      </c>
      <c r="L14519" s="27" t="s">
        <v>1157</v>
      </c>
      <c r="N14519" s="27" t="s">
        <v>1158</v>
      </c>
      <c r="P14519" s="27" t="s">
        <v>10347</v>
      </c>
      <c r="Q14519" s="26" t="str">
        <f>HYPERLINK("https://ictv.global/taxonomy/taxondetails?taxnode_id=202507251&amp;ictv_id=ICTV201907251","ICTV201907251")</f>
        <v>ICTV201907251</v>
      </c>
      <c r="R14519" t="s">
        <v>657</v>
      </c>
      <c r="S14519" t="s">
        <v>824</v>
      </c>
      <c r="T14519">
        <v>39</v>
      </c>
      <c r="U14519" s="26" t="str">
        <f>HYPERLINK("https://ictv.global/ictv/proposals/2023.024M.Bunyaviricetes.zip","2023.024M.Bunyaviricetes.zip")</f>
        <v>2023.024M.Bunyaviricetes.zip</v>
      </c>
    </row>
    <row r="14520" spans="1:21">
      <c r="A14520">
        <v>14519</v>
      </c>
      <c r="B14520" s="27" t="s">
        <v>1124</v>
      </c>
      <c r="D14520" s="27" t="s">
        <v>1859</v>
      </c>
      <c r="F14520" s="27" t="s">
        <v>938</v>
      </c>
      <c r="G14520" s="27" t="s">
        <v>959</v>
      </c>
      <c r="H14520" s="27" t="s">
        <v>17007</v>
      </c>
      <c r="J14520" s="27" t="s">
        <v>17008</v>
      </c>
      <c r="L14520" s="27" t="s">
        <v>1157</v>
      </c>
      <c r="N14520" s="27" t="s">
        <v>1158</v>
      </c>
      <c r="P14520" s="27" t="s">
        <v>10348</v>
      </c>
      <c r="Q14520" s="26" t="str">
        <f>HYPERLINK("https://ictv.global/taxonomy/taxondetails?taxnode_id=202500185&amp;ictv_id=ICTV19990701","ICTV19990701")</f>
        <v>ICTV19990701</v>
      </c>
      <c r="R14520" t="s">
        <v>657</v>
      </c>
      <c r="S14520" t="s">
        <v>824</v>
      </c>
      <c r="T14520">
        <v>39</v>
      </c>
      <c r="U14520" s="26" t="str">
        <f>HYPERLINK("https://ictv.global/ictv/proposals/2023.024M.Bunyaviricetes.zip","2023.024M.Bunyaviricetes.zip")</f>
        <v>2023.024M.Bunyaviricetes.zip</v>
      </c>
    </row>
    <row r="14521" spans="1:21">
      <c r="A14521">
        <v>14520</v>
      </c>
      <c r="B14521" s="27" t="s">
        <v>1124</v>
      </c>
      <c r="D14521" s="27" t="s">
        <v>1859</v>
      </c>
      <c r="F14521" s="27" t="s">
        <v>938</v>
      </c>
      <c r="G14521" s="27" t="s">
        <v>959</v>
      </c>
      <c r="H14521" s="27" t="s">
        <v>17007</v>
      </c>
      <c r="J14521" s="27" t="s">
        <v>17008</v>
      </c>
      <c r="L14521" s="27" t="s">
        <v>1157</v>
      </c>
      <c r="N14521" s="27" t="s">
        <v>1158</v>
      </c>
      <c r="P14521" s="27" t="s">
        <v>10349</v>
      </c>
      <c r="Q14521" s="26" t="str">
        <f>HYPERLINK("https://ictv.global/taxonomy/taxondetails?taxnode_id=202500186&amp;ictv_id=ICTV19710332","ICTV19710332")</f>
        <v>ICTV19710332</v>
      </c>
      <c r="R14521" t="s">
        <v>657</v>
      </c>
      <c r="S14521" t="s">
        <v>824</v>
      </c>
      <c r="T14521">
        <v>39</v>
      </c>
      <c r="U14521" s="26" t="str">
        <f>HYPERLINK("https://ictv.global/ictv/proposals/2023.024M.Bunyaviricetes.zip","2023.024M.Bunyaviricetes.zip")</f>
        <v>2023.024M.Bunyaviricetes.zip</v>
      </c>
    </row>
    <row r="14522" spans="1:21">
      <c r="A14522">
        <v>14521</v>
      </c>
      <c r="B14522" s="27" t="s">
        <v>1124</v>
      </c>
      <c r="D14522" s="27" t="s">
        <v>1859</v>
      </c>
      <c r="F14522" s="27" t="s">
        <v>938</v>
      </c>
      <c r="G14522" s="27" t="s">
        <v>959</v>
      </c>
      <c r="H14522" s="27" t="s">
        <v>17007</v>
      </c>
      <c r="J14522" s="27" t="s">
        <v>17008</v>
      </c>
      <c r="L14522" s="27" t="s">
        <v>1157</v>
      </c>
      <c r="N14522" s="27" t="s">
        <v>1158</v>
      </c>
      <c r="P14522" s="27" t="s">
        <v>21459</v>
      </c>
      <c r="Q14522" s="26" t="str">
        <f>HYPERLINK("https://ictv.global/taxonomy/taxondetails?taxnode_id=202522330&amp;ictv_id=ICTV202522330","ICTV202522330")</f>
        <v>ICTV202522330</v>
      </c>
      <c r="R14522" t="s">
        <v>657</v>
      </c>
      <c r="S14522" t="s">
        <v>823</v>
      </c>
      <c r="T14522">
        <v>41</v>
      </c>
      <c r="U14522" s="26" t="str">
        <f>HYPERLINK("https://ictv.global/ictv/proposals/2025.007P.Tospoviridae_8nsp.zip","2025.007P.Tospoviridae_8nsp.zip")</f>
        <v>2025.007P.Tospoviridae_8nsp.zip</v>
      </c>
    </row>
    <row r="14523" spans="1:21">
      <c r="A14523">
        <v>14522</v>
      </c>
      <c r="B14523" s="27" t="s">
        <v>1124</v>
      </c>
      <c r="D14523" s="27" t="s">
        <v>1859</v>
      </c>
      <c r="F14523" s="27" t="s">
        <v>938</v>
      </c>
      <c r="G14523" s="27" t="s">
        <v>959</v>
      </c>
      <c r="H14523" s="27" t="s">
        <v>17007</v>
      </c>
      <c r="J14523" s="27" t="s">
        <v>17008</v>
      </c>
      <c r="L14523" s="27" t="s">
        <v>1157</v>
      </c>
      <c r="N14523" s="27" t="s">
        <v>1158</v>
      </c>
      <c r="P14523" s="27" t="s">
        <v>21466</v>
      </c>
      <c r="Q14523" s="26" t="str">
        <f>HYPERLINK("https://ictv.global/taxonomy/taxondetails?taxnode_id=202522337&amp;ictv_id=ICTV202522337","ICTV202522337")</f>
        <v>ICTV202522337</v>
      </c>
      <c r="R14523" t="s">
        <v>657</v>
      </c>
      <c r="S14523" t="s">
        <v>823</v>
      </c>
      <c r="T14523">
        <v>41</v>
      </c>
      <c r="U14523" s="26" t="str">
        <f>HYPERLINK("https://ictv.global/ictv/proposals/2025.007P.Tospoviridae_8nsp.zip","2025.007P.Tospoviridae_8nsp.zip")</f>
        <v>2025.007P.Tospoviridae_8nsp.zip</v>
      </c>
    </row>
    <row r="14524" spans="1:21">
      <c r="A14524">
        <v>14523</v>
      </c>
      <c r="B14524" s="27" t="s">
        <v>1124</v>
      </c>
      <c r="D14524" s="27" t="s">
        <v>1859</v>
      </c>
      <c r="F14524" s="27" t="s">
        <v>938</v>
      </c>
      <c r="G14524" s="27" t="s">
        <v>959</v>
      </c>
      <c r="H14524" s="27" t="s">
        <v>17007</v>
      </c>
      <c r="J14524" s="27" t="s">
        <v>17008</v>
      </c>
      <c r="L14524" s="27" t="s">
        <v>1157</v>
      </c>
      <c r="N14524" s="27" t="s">
        <v>1158</v>
      </c>
      <c r="P14524" s="27" t="s">
        <v>10350</v>
      </c>
      <c r="Q14524" s="26" t="str">
        <f>HYPERLINK("https://ictv.global/taxonomy/taxondetails?taxnode_id=202507252&amp;ictv_id=ICTV201907252","ICTV201907252")</f>
        <v>ICTV201907252</v>
      </c>
      <c r="R14524" t="s">
        <v>657</v>
      </c>
      <c r="S14524" t="s">
        <v>824</v>
      </c>
      <c r="T14524">
        <v>39</v>
      </c>
      <c r="U14524" s="26" t="str">
        <f t="shared" ref="U14524:U14529" si="543">HYPERLINK("https://ictv.global/ictv/proposals/2023.024M.Bunyaviricetes.zip","2023.024M.Bunyaviricetes.zip")</f>
        <v>2023.024M.Bunyaviricetes.zip</v>
      </c>
    </row>
    <row r="14525" spans="1:21">
      <c r="A14525">
        <v>14524</v>
      </c>
      <c r="B14525" s="27" t="s">
        <v>1124</v>
      </c>
      <c r="D14525" s="27" t="s">
        <v>1859</v>
      </c>
      <c r="F14525" s="27" t="s">
        <v>938</v>
      </c>
      <c r="G14525" s="27" t="s">
        <v>959</v>
      </c>
      <c r="H14525" s="27" t="s">
        <v>17007</v>
      </c>
      <c r="J14525" s="27" t="s">
        <v>17008</v>
      </c>
      <c r="L14525" s="27" t="s">
        <v>10351</v>
      </c>
      <c r="N14525" s="27" t="s">
        <v>10352</v>
      </c>
      <c r="P14525" s="27" t="s">
        <v>10353</v>
      </c>
      <c r="Q14525" s="26" t="str">
        <f>HYPERLINK("https://ictv.global/taxonomy/taxondetails?taxnode_id=202512961&amp;ictv_id=ICTV202112961","ICTV202112961")</f>
        <v>ICTV202112961</v>
      </c>
      <c r="R14525" t="s">
        <v>657</v>
      </c>
      <c r="S14525" t="s">
        <v>824</v>
      </c>
      <c r="T14525">
        <v>39</v>
      </c>
      <c r="U14525" s="26" t="str">
        <f t="shared" si="543"/>
        <v>2023.024M.Bunyaviricetes.zip</v>
      </c>
    </row>
    <row r="14526" spans="1:21">
      <c r="A14526">
        <v>14525</v>
      </c>
      <c r="B14526" s="27" t="s">
        <v>1124</v>
      </c>
      <c r="D14526" s="27" t="s">
        <v>1859</v>
      </c>
      <c r="F14526" s="27" t="s">
        <v>938</v>
      </c>
      <c r="G14526" s="27" t="s">
        <v>959</v>
      </c>
      <c r="H14526" s="27" t="s">
        <v>17007</v>
      </c>
      <c r="J14526" s="27" t="s">
        <v>17008</v>
      </c>
      <c r="L14526" s="27" t="s">
        <v>10351</v>
      </c>
      <c r="N14526" s="27" t="s">
        <v>17034</v>
      </c>
      <c r="P14526" s="27" t="s">
        <v>17035</v>
      </c>
      <c r="Q14526" s="26" t="str">
        <f>HYPERLINK("https://ictv.global/taxonomy/taxondetails?taxnode_id=202518851&amp;ictv_id=ICTV202318851","ICTV202318851")</f>
        <v>ICTV202318851</v>
      </c>
      <c r="R14526" t="s">
        <v>657</v>
      </c>
      <c r="S14526" t="s">
        <v>823</v>
      </c>
      <c r="T14526">
        <v>39</v>
      </c>
      <c r="U14526" s="26" t="str">
        <f t="shared" si="543"/>
        <v>2023.024M.Bunyaviricetes.zip</v>
      </c>
    </row>
    <row r="14527" spans="1:21">
      <c r="A14527">
        <v>14526</v>
      </c>
      <c r="B14527" s="27" t="s">
        <v>1124</v>
      </c>
      <c r="D14527" s="27" t="s">
        <v>1859</v>
      </c>
      <c r="F14527" s="27" t="s">
        <v>938</v>
      </c>
      <c r="G14527" s="27" t="s">
        <v>959</v>
      </c>
      <c r="H14527" s="27" t="s">
        <v>17007</v>
      </c>
      <c r="J14527" s="27" t="s">
        <v>17036</v>
      </c>
      <c r="L14527" s="27" t="s">
        <v>256</v>
      </c>
      <c r="N14527" s="27" t="s">
        <v>1143</v>
      </c>
      <c r="P14527" s="27" t="s">
        <v>9815</v>
      </c>
      <c r="Q14527" s="26" t="str">
        <f>HYPERLINK("https://ictv.global/taxonomy/taxondetails?taxnode_id=202506321&amp;ictv_id=ICTV201856321","ICTV201856321")</f>
        <v>ICTV201856321</v>
      </c>
      <c r="R14527" t="s">
        <v>657</v>
      </c>
      <c r="S14527" t="s">
        <v>22763</v>
      </c>
      <c r="T14527">
        <v>39</v>
      </c>
      <c r="U14527" s="26" t="str">
        <f t="shared" si="543"/>
        <v>2023.024M.Bunyaviricetes.zip</v>
      </c>
    </row>
    <row r="14528" spans="1:21">
      <c r="A14528">
        <v>14527</v>
      </c>
      <c r="B14528" s="27" t="s">
        <v>1124</v>
      </c>
      <c r="D14528" s="27" t="s">
        <v>1859</v>
      </c>
      <c r="F14528" s="27" t="s">
        <v>938</v>
      </c>
      <c r="G14528" s="27" t="s">
        <v>959</v>
      </c>
      <c r="H14528" s="27" t="s">
        <v>17007</v>
      </c>
      <c r="J14528" s="27" t="s">
        <v>17036</v>
      </c>
      <c r="L14528" s="27" t="s">
        <v>256</v>
      </c>
      <c r="N14528" s="27" t="s">
        <v>1143</v>
      </c>
      <c r="P14528" s="27" t="s">
        <v>9816</v>
      </c>
      <c r="Q14528" s="26" t="str">
        <f>HYPERLINK("https://ictv.global/taxonomy/taxondetails?taxnode_id=202509577&amp;ictv_id=ICTV202009577","ICTV202009577")</f>
        <v>ICTV202009577</v>
      </c>
      <c r="R14528" t="s">
        <v>580</v>
      </c>
      <c r="S14528" t="s">
        <v>22763</v>
      </c>
      <c r="T14528">
        <v>39</v>
      </c>
      <c r="U14528" s="26" t="str">
        <f t="shared" si="543"/>
        <v>2023.024M.Bunyaviricetes.zip</v>
      </c>
    </row>
    <row r="14529" spans="1:21">
      <c r="A14529">
        <v>14528</v>
      </c>
      <c r="B14529" s="27" t="s">
        <v>1124</v>
      </c>
      <c r="D14529" s="27" t="s">
        <v>1859</v>
      </c>
      <c r="F14529" s="27" t="s">
        <v>938</v>
      </c>
      <c r="G14529" s="27" t="s">
        <v>959</v>
      </c>
      <c r="H14529" s="27" t="s">
        <v>17007</v>
      </c>
      <c r="J14529" s="27" t="s">
        <v>17036</v>
      </c>
      <c r="L14529" s="27" t="s">
        <v>256</v>
      </c>
      <c r="N14529" s="27" t="s">
        <v>1143</v>
      </c>
      <c r="P14529" s="27" t="s">
        <v>9817</v>
      </c>
      <c r="Q14529" s="26" t="str">
        <f>HYPERLINK("https://ictv.global/taxonomy/taxondetails?taxnode_id=202506320&amp;ictv_id=ICTV201856320","ICTV201856320")</f>
        <v>ICTV201856320</v>
      </c>
      <c r="R14529" t="s">
        <v>657</v>
      </c>
      <c r="S14529" t="s">
        <v>22763</v>
      </c>
      <c r="T14529">
        <v>39</v>
      </c>
      <c r="U14529" s="26" t="str">
        <f t="shared" si="543"/>
        <v>2023.024M.Bunyaviricetes.zip</v>
      </c>
    </row>
    <row r="14530" spans="1:21">
      <c r="A14530">
        <v>14529</v>
      </c>
      <c r="B14530" s="27" t="s">
        <v>1124</v>
      </c>
      <c r="D14530" s="27" t="s">
        <v>1859</v>
      </c>
      <c r="F14530" s="27" t="s">
        <v>938</v>
      </c>
      <c r="G14530" s="27" t="s">
        <v>959</v>
      </c>
      <c r="H14530" s="27" t="s">
        <v>17007</v>
      </c>
      <c r="J14530" s="27" t="s">
        <v>17036</v>
      </c>
      <c r="L14530" s="27" t="s">
        <v>256</v>
      </c>
      <c r="N14530" s="27" t="s">
        <v>1143</v>
      </c>
      <c r="P14530" s="27" t="s">
        <v>20467</v>
      </c>
      <c r="Q14530" s="26" t="str">
        <f>HYPERLINK("https://ictv.global/taxonomy/taxondetails?taxnode_id=202520068&amp;ictv_id=ICTV202420068","ICTV202420068")</f>
        <v>ICTV202420068</v>
      </c>
      <c r="R14530" t="s">
        <v>657</v>
      </c>
      <c r="S14530" t="s">
        <v>823</v>
      </c>
      <c r="T14530">
        <v>40</v>
      </c>
      <c r="U14530" s="26" t="str">
        <f>HYPERLINK("https://ictv.global/ictv/proposals/2024.002M.Antennavirus_1nsp.zip","2024.002M.Antennavirus_1nsp.zip")</f>
        <v>2024.002M.Antennavirus_1nsp.zip</v>
      </c>
    </row>
    <row r="14531" spans="1:21">
      <c r="A14531">
        <v>14530</v>
      </c>
      <c r="B14531" s="27" t="s">
        <v>1124</v>
      </c>
      <c r="D14531" s="27" t="s">
        <v>1859</v>
      </c>
      <c r="F14531" s="27" t="s">
        <v>938</v>
      </c>
      <c r="G14531" s="27" t="s">
        <v>959</v>
      </c>
      <c r="H14531" s="27" t="s">
        <v>17007</v>
      </c>
      <c r="J14531" s="27" t="s">
        <v>17036</v>
      </c>
      <c r="L14531" s="27" t="s">
        <v>256</v>
      </c>
      <c r="N14531" s="27" t="s">
        <v>881</v>
      </c>
      <c r="P14531" s="27" t="s">
        <v>9818</v>
      </c>
      <c r="Q14531" s="26" t="str">
        <f>HYPERLINK("https://ictv.global/taxonomy/taxondetails?taxnode_id=202509599&amp;ictv_id=ICTV202009599","ICTV202009599")</f>
        <v>ICTV202009599</v>
      </c>
      <c r="R14531" t="s">
        <v>657</v>
      </c>
      <c r="S14531" t="s">
        <v>22763</v>
      </c>
      <c r="T14531">
        <v>39</v>
      </c>
      <c r="U14531" s="26" t="str">
        <f t="shared" ref="U14531:U14539" si="544">HYPERLINK("https://ictv.global/ictv/proposals/2023.024M.Bunyaviricetes.zip","2023.024M.Bunyaviricetes.zip")</f>
        <v>2023.024M.Bunyaviricetes.zip</v>
      </c>
    </row>
    <row r="14532" spans="1:21">
      <c r="A14532">
        <v>14531</v>
      </c>
      <c r="B14532" s="27" t="s">
        <v>1124</v>
      </c>
      <c r="D14532" s="27" t="s">
        <v>1859</v>
      </c>
      <c r="F14532" s="27" t="s">
        <v>938</v>
      </c>
      <c r="G14532" s="27" t="s">
        <v>959</v>
      </c>
      <c r="H14532" s="27" t="s">
        <v>17007</v>
      </c>
      <c r="J14532" s="27" t="s">
        <v>17036</v>
      </c>
      <c r="L14532" s="27" t="s">
        <v>256</v>
      </c>
      <c r="N14532" s="27" t="s">
        <v>881</v>
      </c>
      <c r="P14532" s="27" t="s">
        <v>9819</v>
      </c>
      <c r="Q14532" s="26" t="str">
        <f>HYPERLINK("https://ictv.global/taxonomy/taxondetails?taxnode_id=202505740&amp;ictv_id=ICTV20175740","ICTV20175740")</f>
        <v>ICTV20175740</v>
      </c>
      <c r="R14532" t="s">
        <v>657</v>
      </c>
      <c r="S14532" t="s">
        <v>22763</v>
      </c>
      <c r="T14532">
        <v>39</v>
      </c>
      <c r="U14532" s="26" t="str">
        <f t="shared" si="544"/>
        <v>2023.024M.Bunyaviricetes.zip</v>
      </c>
    </row>
    <row r="14533" spans="1:21">
      <c r="A14533">
        <v>14532</v>
      </c>
      <c r="B14533" s="27" t="s">
        <v>1124</v>
      </c>
      <c r="D14533" s="27" t="s">
        <v>1859</v>
      </c>
      <c r="F14533" s="27" t="s">
        <v>938</v>
      </c>
      <c r="G14533" s="27" t="s">
        <v>959</v>
      </c>
      <c r="H14533" s="27" t="s">
        <v>17007</v>
      </c>
      <c r="J14533" s="27" t="s">
        <v>17036</v>
      </c>
      <c r="L14533" s="27" t="s">
        <v>256</v>
      </c>
      <c r="N14533" s="27" t="s">
        <v>881</v>
      </c>
      <c r="P14533" s="27" t="s">
        <v>9820</v>
      </c>
      <c r="Q14533" s="26" t="str">
        <f>HYPERLINK("https://ictv.global/taxonomy/taxondetails?taxnode_id=202507277&amp;ictv_id=ICTV201907277","ICTV201907277")</f>
        <v>ICTV201907277</v>
      </c>
      <c r="R14533" t="s">
        <v>657</v>
      </c>
      <c r="S14533" t="s">
        <v>22763</v>
      </c>
      <c r="T14533">
        <v>39</v>
      </c>
      <c r="U14533" s="26" t="str">
        <f t="shared" si="544"/>
        <v>2023.024M.Bunyaviricetes.zip</v>
      </c>
    </row>
    <row r="14534" spans="1:21">
      <c r="A14534">
        <v>14533</v>
      </c>
      <c r="B14534" s="27" t="s">
        <v>1124</v>
      </c>
      <c r="D14534" s="27" t="s">
        <v>1859</v>
      </c>
      <c r="F14534" s="27" t="s">
        <v>938</v>
      </c>
      <c r="G14534" s="27" t="s">
        <v>959</v>
      </c>
      <c r="H14534" s="27" t="s">
        <v>17007</v>
      </c>
      <c r="J14534" s="27" t="s">
        <v>17036</v>
      </c>
      <c r="L14534" s="27" t="s">
        <v>256</v>
      </c>
      <c r="N14534" s="27" t="s">
        <v>881</v>
      </c>
      <c r="P14534" s="27" t="s">
        <v>9821</v>
      </c>
      <c r="Q14534" s="26" t="str">
        <f>HYPERLINK("https://ictv.global/taxonomy/taxondetails?taxnode_id=202509600&amp;ictv_id=ICTV202009600","ICTV202009600")</f>
        <v>ICTV202009600</v>
      </c>
      <c r="R14534" t="s">
        <v>657</v>
      </c>
      <c r="S14534" t="s">
        <v>22763</v>
      </c>
      <c r="T14534">
        <v>39</v>
      </c>
      <c r="U14534" s="26" t="str">
        <f t="shared" si="544"/>
        <v>2023.024M.Bunyaviricetes.zip</v>
      </c>
    </row>
    <row r="14535" spans="1:21">
      <c r="A14535">
        <v>14534</v>
      </c>
      <c r="B14535" s="27" t="s">
        <v>1124</v>
      </c>
      <c r="D14535" s="27" t="s">
        <v>1859</v>
      </c>
      <c r="F14535" s="27" t="s">
        <v>938</v>
      </c>
      <c r="G14535" s="27" t="s">
        <v>959</v>
      </c>
      <c r="H14535" s="27" t="s">
        <v>17007</v>
      </c>
      <c r="J14535" s="27" t="s">
        <v>17036</v>
      </c>
      <c r="L14535" s="27" t="s">
        <v>256</v>
      </c>
      <c r="N14535" s="27" t="s">
        <v>881</v>
      </c>
      <c r="P14535" s="27" t="s">
        <v>9822</v>
      </c>
      <c r="Q14535" s="26" t="str">
        <f>HYPERLINK("https://ictv.global/taxonomy/taxondetails?taxnode_id=202514182&amp;ictv_id=ICTV202214182","ICTV202214182")</f>
        <v>ICTV202214182</v>
      </c>
      <c r="R14535" t="s">
        <v>657</v>
      </c>
      <c r="S14535" t="s">
        <v>22763</v>
      </c>
      <c r="T14535">
        <v>39</v>
      </c>
      <c r="U14535" s="26" t="str">
        <f t="shared" si="544"/>
        <v>2023.024M.Bunyaviricetes.zip</v>
      </c>
    </row>
    <row r="14536" spans="1:21">
      <c r="A14536">
        <v>14535</v>
      </c>
      <c r="B14536" s="27" t="s">
        <v>1124</v>
      </c>
      <c r="D14536" s="27" t="s">
        <v>1859</v>
      </c>
      <c r="F14536" s="27" t="s">
        <v>938</v>
      </c>
      <c r="G14536" s="27" t="s">
        <v>959</v>
      </c>
      <c r="H14536" s="27" t="s">
        <v>17007</v>
      </c>
      <c r="J14536" s="27" t="s">
        <v>17036</v>
      </c>
      <c r="L14536" s="27" t="s">
        <v>256</v>
      </c>
      <c r="N14536" s="27" t="s">
        <v>881</v>
      </c>
      <c r="P14536" s="27" t="s">
        <v>9823</v>
      </c>
      <c r="Q14536" s="26" t="str">
        <f>HYPERLINK("https://ictv.global/taxonomy/taxondetails?taxnode_id=202507278&amp;ictv_id=ICTV201907278","ICTV201907278")</f>
        <v>ICTV201907278</v>
      </c>
      <c r="R14536" t="s">
        <v>657</v>
      </c>
      <c r="S14536" t="s">
        <v>22763</v>
      </c>
      <c r="T14536">
        <v>39</v>
      </c>
      <c r="U14536" s="26" t="str">
        <f t="shared" si="544"/>
        <v>2023.024M.Bunyaviricetes.zip</v>
      </c>
    </row>
    <row r="14537" spans="1:21">
      <c r="A14537">
        <v>14536</v>
      </c>
      <c r="B14537" s="27" t="s">
        <v>1124</v>
      </c>
      <c r="D14537" s="27" t="s">
        <v>1859</v>
      </c>
      <c r="F14537" s="27" t="s">
        <v>938</v>
      </c>
      <c r="G14537" s="27" t="s">
        <v>959</v>
      </c>
      <c r="H14537" s="27" t="s">
        <v>17007</v>
      </c>
      <c r="J14537" s="27" t="s">
        <v>17036</v>
      </c>
      <c r="L14537" s="27" t="s">
        <v>256</v>
      </c>
      <c r="N14537" s="27" t="s">
        <v>881</v>
      </c>
      <c r="P14537" s="27" t="s">
        <v>9824</v>
      </c>
      <c r="Q14537" s="26" t="str">
        <f>HYPERLINK("https://ictv.global/taxonomy/taxondetails?taxnode_id=202507279&amp;ictv_id=ICTV201907279","ICTV201907279")</f>
        <v>ICTV201907279</v>
      </c>
      <c r="R14537" t="s">
        <v>657</v>
      </c>
      <c r="S14537" t="s">
        <v>22763</v>
      </c>
      <c r="T14537">
        <v>39</v>
      </c>
      <c r="U14537" s="26" t="str">
        <f t="shared" si="544"/>
        <v>2023.024M.Bunyaviricetes.zip</v>
      </c>
    </row>
    <row r="14538" spans="1:21">
      <c r="A14538">
        <v>14537</v>
      </c>
      <c r="B14538" s="27" t="s">
        <v>1124</v>
      </c>
      <c r="D14538" s="27" t="s">
        <v>1859</v>
      </c>
      <c r="F14538" s="27" t="s">
        <v>938</v>
      </c>
      <c r="G14538" s="27" t="s">
        <v>959</v>
      </c>
      <c r="H14538" s="27" t="s">
        <v>17007</v>
      </c>
      <c r="J14538" s="27" t="s">
        <v>17036</v>
      </c>
      <c r="L14538" s="27" t="s">
        <v>256</v>
      </c>
      <c r="N14538" s="27" t="s">
        <v>881</v>
      </c>
      <c r="P14538" s="27" t="s">
        <v>9825</v>
      </c>
      <c r="Q14538" s="26" t="str">
        <f>HYPERLINK("https://ictv.global/taxonomy/taxondetails?taxnode_id=202514181&amp;ictv_id=ICTV202214181","ICTV202214181")</f>
        <v>ICTV202214181</v>
      </c>
      <c r="R14538" t="s">
        <v>657</v>
      </c>
      <c r="S14538" t="s">
        <v>22763</v>
      </c>
      <c r="T14538">
        <v>39</v>
      </c>
      <c r="U14538" s="26" t="str">
        <f t="shared" si="544"/>
        <v>2023.024M.Bunyaviricetes.zip</v>
      </c>
    </row>
    <row r="14539" spans="1:21">
      <c r="A14539">
        <v>14538</v>
      </c>
      <c r="B14539" s="27" t="s">
        <v>1124</v>
      </c>
      <c r="D14539" s="27" t="s">
        <v>1859</v>
      </c>
      <c r="F14539" s="27" t="s">
        <v>938</v>
      </c>
      <c r="G14539" s="27" t="s">
        <v>959</v>
      </c>
      <c r="H14539" s="27" t="s">
        <v>17007</v>
      </c>
      <c r="J14539" s="27" t="s">
        <v>17036</v>
      </c>
      <c r="L14539" s="27" t="s">
        <v>256</v>
      </c>
      <c r="N14539" s="27" t="s">
        <v>9826</v>
      </c>
      <c r="P14539" s="27" t="s">
        <v>9827</v>
      </c>
      <c r="Q14539" s="26" t="str">
        <f>HYPERLINK("https://ictv.global/taxonomy/taxondetails?taxnode_id=202514161&amp;ictv_id=ICTV202214161","ICTV202214161")</f>
        <v>ICTV202214161</v>
      </c>
      <c r="R14539" t="s">
        <v>657</v>
      </c>
      <c r="S14539" t="s">
        <v>22763</v>
      </c>
      <c r="T14539">
        <v>39</v>
      </c>
      <c r="U14539" s="26" t="str">
        <f t="shared" si="544"/>
        <v>2023.024M.Bunyaviricetes.zip</v>
      </c>
    </row>
    <row r="14540" spans="1:21">
      <c r="A14540">
        <v>14539</v>
      </c>
      <c r="B14540" s="27" t="s">
        <v>1124</v>
      </c>
      <c r="D14540" s="27" t="s">
        <v>1859</v>
      </c>
      <c r="F14540" s="27" t="s">
        <v>938</v>
      </c>
      <c r="G14540" s="27" t="s">
        <v>959</v>
      </c>
      <c r="H14540" s="27" t="s">
        <v>17007</v>
      </c>
      <c r="J14540" s="27" t="s">
        <v>17036</v>
      </c>
      <c r="L14540" s="27" t="s">
        <v>256</v>
      </c>
      <c r="N14540" s="27" t="s">
        <v>573</v>
      </c>
      <c r="P14540" s="27" t="s">
        <v>17037</v>
      </c>
      <c r="Q14540" s="26" t="str">
        <f>HYPERLINK("https://ictv.global/taxonomy/taxondetails?taxnode_id=202519014&amp;ictv_id=ICTV202319014","ICTV202319014")</f>
        <v>ICTV202319014</v>
      </c>
      <c r="R14540" t="s">
        <v>657</v>
      </c>
      <c r="S14540" t="s">
        <v>823</v>
      </c>
      <c r="T14540">
        <v>39</v>
      </c>
      <c r="U14540" s="26" t="str">
        <f>HYPERLINK("https://ictv.global/ictv/proposals/2023.027M.Mammarenavirus_6nsp.zip","2023.027M.Mammarenavirus_6nsp.zip")</f>
        <v>2023.027M.Mammarenavirus_6nsp.zip</v>
      </c>
    </row>
    <row r="14541" spans="1:21">
      <c r="A14541">
        <v>14540</v>
      </c>
      <c r="B14541" s="27" t="s">
        <v>1124</v>
      </c>
      <c r="D14541" s="27" t="s">
        <v>1859</v>
      </c>
      <c r="F14541" s="27" t="s">
        <v>938</v>
      </c>
      <c r="G14541" s="27" t="s">
        <v>959</v>
      </c>
      <c r="H14541" s="27" t="s">
        <v>17007</v>
      </c>
      <c r="J14541" s="27" t="s">
        <v>17036</v>
      </c>
      <c r="L14541" s="27" t="s">
        <v>256</v>
      </c>
      <c r="N14541" s="27" t="s">
        <v>573</v>
      </c>
      <c r="P14541" s="27" t="s">
        <v>9828</v>
      </c>
      <c r="Q14541" s="26" t="str">
        <f>HYPERLINK("https://ictv.global/taxonomy/taxondetails?taxnode_id=202507461&amp;ictv_id=ICTV201907461","ICTV201907461")</f>
        <v>ICTV201907461</v>
      </c>
      <c r="R14541" t="s">
        <v>657</v>
      </c>
      <c r="S14541" t="s">
        <v>22763</v>
      </c>
      <c r="T14541">
        <v>39</v>
      </c>
      <c r="U14541" s="26" t="str">
        <f>HYPERLINK("https://ictv.global/ictv/proposals/2023.024M.Bunyaviricetes.zip","2023.024M.Bunyaviricetes.zip")</f>
        <v>2023.024M.Bunyaviricetes.zip</v>
      </c>
    </row>
    <row r="14542" spans="1:21">
      <c r="A14542">
        <v>14541</v>
      </c>
      <c r="B14542" s="27" t="s">
        <v>1124</v>
      </c>
      <c r="D14542" s="27" t="s">
        <v>1859</v>
      </c>
      <c r="F14542" s="27" t="s">
        <v>938</v>
      </c>
      <c r="G14542" s="27" t="s">
        <v>959</v>
      </c>
      <c r="H14542" s="27" t="s">
        <v>17007</v>
      </c>
      <c r="J14542" s="27" t="s">
        <v>17036</v>
      </c>
      <c r="L14542" s="27" t="s">
        <v>256</v>
      </c>
      <c r="N14542" s="27" t="s">
        <v>573</v>
      </c>
      <c r="P14542" s="27" t="s">
        <v>9829</v>
      </c>
      <c r="Q14542" s="26" t="str">
        <f>HYPERLINK("https://ictv.global/taxonomy/taxondetails?taxnode_id=202502570&amp;ictv_id=ICTV20040627","ICTV20040627")</f>
        <v>ICTV20040627</v>
      </c>
      <c r="R14542" t="s">
        <v>657</v>
      </c>
      <c r="S14542" t="s">
        <v>22763</v>
      </c>
      <c r="T14542">
        <v>39</v>
      </c>
      <c r="U14542" s="26" t="str">
        <f>HYPERLINK("https://ictv.global/ictv/proposals/2023.024M.Bunyaviricetes.zip","2023.024M.Bunyaviricetes.zip")</f>
        <v>2023.024M.Bunyaviricetes.zip</v>
      </c>
    </row>
    <row r="14543" spans="1:21">
      <c r="A14543">
        <v>14542</v>
      </c>
      <c r="B14543" s="27" t="s">
        <v>1124</v>
      </c>
      <c r="D14543" s="27" t="s">
        <v>1859</v>
      </c>
      <c r="F14543" s="27" t="s">
        <v>938</v>
      </c>
      <c r="G14543" s="27" t="s">
        <v>959</v>
      </c>
      <c r="H14543" s="27" t="s">
        <v>17007</v>
      </c>
      <c r="J14543" s="27" t="s">
        <v>17036</v>
      </c>
      <c r="L14543" s="27" t="s">
        <v>256</v>
      </c>
      <c r="N14543" s="27" t="s">
        <v>573</v>
      </c>
      <c r="P14543" s="27" t="s">
        <v>9830</v>
      </c>
      <c r="Q14543" s="26" t="str">
        <f>HYPERLINK("https://ictv.global/taxonomy/taxondetails?taxnode_id=202502571&amp;ictv_id=ICTV19710127","ICTV19710127")</f>
        <v>ICTV19710127</v>
      </c>
      <c r="R14543" t="s">
        <v>657</v>
      </c>
      <c r="S14543" t="s">
        <v>22763</v>
      </c>
      <c r="T14543">
        <v>39</v>
      </c>
      <c r="U14543" s="26" t="str">
        <f>HYPERLINK("https://ictv.global/ictv/proposals/2023.024M.Bunyaviricetes.zip","2023.024M.Bunyaviricetes.zip")</f>
        <v>2023.024M.Bunyaviricetes.zip</v>
      </c>
    </row>
    <row r="14544" spans="1:21">
      <c r="A14544">
        <v>14543</v>
      </c>
      <c r="B14544" s="27" t="s">
        <v>1124</v>
      </c>
      <c r="D14544" s="27" t="s">
        <v>1859</v>
      </c>
      <c r="F14544" s="27" t="s">
        <v>938</v>
      </c>
      <c r="G14544" s="27" t="s">
        <v>959</v>
      </c>
      <c r="H14544" s="27" t="s">
        <v>17007</v>
      </c>
      <c r="J14544" s="27" t="s">
        <v>17036</v>
      </c>
      <c r="L14544" s="27" t="s">
        <v>256</v>
      </c>
      <c r="N14544" s="27" t="s">
        <v>573</v>
      </c>
      <c r="P14544" s="27" t="s">
        <v>9831</v>
      </c>
      <c r="Q14544" s="26" t="str">
        <f>HYPERLINK("https://ictv.global/taxonomy/taxondetails?taxnode_id=202507356&amp;ictv_id=ICTV201907356","ICTV201907356")</f>
        <v>ICTV201907356</v>
      </c>
      <c r="R14544" t="s">
        <v>657</v>
      </c>
      <c r="S14544" t="s">
        <v>22763</v>
      </c>
      <c r="T14544">
        <v>39</v>
      </c>
      <c r="U14544" s="26" t="str">
        <f>HYPERLINK("https://ictv.global/ictv/proposals/2023.024M.Bunyaviricetes.zip","2023.024M.Bunyaviricetes.zip")</f>
        <v>2023.024M.Bunyaviricetes.zip</v>
      </c>
    </row>
    <row r="14545" spans="1:21">
      <c r="A14545">
        <v>14544</v>
      </c>
      <c r="B14545" s="27" t="s">
        <v>1124</v>
      </c>
      <c r="D14545" s="27" t="s">
        <v>1859</v>
      </c>
      <c r="F14545" s="27" t="s">
        <v>938</v>
      </c>
      <c r="G14545" s="27" t="s">
        <v>959</v>
      </c>
      <c r="H14545" s="27" t="s">
        <v>17007</v>
      </c>
      <c r="J14545" s="27" t="s">
        <v>17036</v>
      </c>
      <c r="L14545" s="27" t="s">
        <v>256</v>
      </c>
      <c r="N14545" s="27" t="s">
        <v>573</v>
      </c>
      <c r="P14545" s="27" t="s">
        <v>17038</v>
      </c>
      <c r="Q14545" s="26" t="str">
        <f>HYPERLINK("https://ictv.global/taxonomy/taxondetails?taxnode_id=202519010&amp;ictv_id=ICTV202319010","ICTV202319010")</f>
        <v>ICTV202319010</v>
      </c>
      <c r="R14545" t="s">
        <v>657</v>
      </c>
      <c r="S14545" t="s">
        <v>823</v>
      </c>
      <c r="T14545">
        <v>39</v>
      </c>
      <c r="U14545" s="26" t="str">
        <f>HYPERLINK("https://ictv.global/ictv/proposals/2023.027M.Mammarenavirus_6nsp.zip","2023.027M.Mammarenavirus_6nsp.zip")</f>
        <v>2023.027M.Mammarenavirus_6nsp.zip</v>
      </c>
    </row>
    <row r="14546" spans="1:21">
      <c r="A14546">
        <v>14545</v>
      </c>
      <c r="B14546" s="27" t="s">
        <v>1124</v>
      </c>
      <c r="D14546" s="27" t="s">
        <v>1859</v>
      </c>
      <c r="F14546" s="27" t="s">
        <v>938</v>
      </c>
      <c r="G14546" s="27" t="s">
        <v>959</v>
      </c>
      <c r="H14546" s="27" t="s">
        <v>17007</v>
      </c>
      <c r="J14546" s="27" t="s">
        <v>17036</v>
      </c>
      <c r="L14546" s="27" t="s">
        <v>256</v>
      </c>
      <c r="N14546" s="27" t="s">
        <v>573</v>
      </c>
      <c r="P14546" s="27" t="s">
        <v>9832</v>
      </c>
      <c r="Q14546" s="26" t="str">
        <f>HYPERLINK("https://ictv.global/taxonomy/taxondetails?taxnode_id=202502572&amp;ictv_id=ICTV20040629","ICTV20040629")</f>
        <v>ICTV20040629</v>
      </c>
      <c r="R14546" t="s">
        <v>657</v>
      </c>
      <c r="S14546" t="s">
        <v>22763</v>
      </c>
      <c r="T14546">
        <v>39</v>
      </c>
      <c r="U14546" s="26" t="str">
        <f>HYPERLINK("https://ictv.global/ictv/proposals/2023.024M.Bunyaviricetes.zip","2023.024M.Bunyaviricetes.zip")</f>
        <v>2023.024M.Bunyaviricetes.zip</v>
      </c>
    </row>
    <row r="14547" spans="1:21">
      <c r="A14547">
        <v>14546</v>
      </c>
      <c r="B14547" s="27" t="s">
        <v>1124</v>
      </c>
      <c r="D14547" s="27" t="s">
        <v>1859</v>
      </c>
      <c r="F14547" s="27" t="s">
        <v>938</v>
      </c>
      <c r="G14547" s="27" t="s">
        <v>959</v>
      </c>
      <c r="H14547" s="27" t="s">
        <v>17007</v>
      </c>
      <c r="J14547" s="27" t="s">
        <v>17036</v>
      </c>
      <c r="L14547" s="27" t="s">
        <v>256</v>
      </c>
      <c r="N14547" s="27" t="s">
        <v>573</v>
      </c>
      <c r="P14547" s="27" t="s">
        <v>17039</v>
      </c>
      <c r="Q14547" s="26" t="str">
        <f>HYPERLINK("https://ictv.global/taxonomy/taxondetails?taxnode_id=202518093&amp;ictv_id=ICTV202318093","ICTV202318093")</f>
        <v>ICTV202318093</v>
      </c>
      <c r="R14547" t="s">
        <v>657</v>
      </c>
      <c r="S14547" t="s">
        <v>823</v>
      </c>
      <c r="T14547">
        <v>39</v>
      </c>
      <c r="U14547" s="26" t="str">
        <f>HYPERLINK("https://ictv.global/ictv/proposals/2023.014M.Mammarenavirus_2nsp.zip","2023.014M.Mammarenavirus_2nsp.zip")</f>
        <v>2023.014M.Mammarenavirus_2nsp.zip</v>
      </c>
    </row>
    <row r="14548" spans="1:21">
      <c r="A14548">
        <v>14547</v>
      </c>
      <c r="B14548" s="27" t="s">
        <v>1124</v>
      </c>
      <c r="D14548" s="27" t="s">
        <v>1859</v>
      </c>
      <c r="F14548" s="27" t="s">
        <v>938</v>
      </c>
      <c r="G14548" s="27" t="s">
        <v>959</v>
      </c>
      <c r="H14548" s="27" t="s">
        <v>17007</v>
      </c>
      <c r="J14548" s="27" t="s">
        <v>17036</v>
      </c>
      <c r="L14548" s="27" t="s">
        <v>256</v>
      </c>
      <c r="N14548" s="27" t="s">
        <v>573</v>
      </c>
      <c r="P14548" s="27" t="s">
        <v>9833</v>
      </c>
      <c r="Q14548" s="26" t="str">
        <f>HYPERLINK("https://ictv.global/taxonomy/taxondetails?taxnode_id=202513338&amp;ictv_id=ICTV202113338","ICTV202113338")</f>
        <v>ICTV202113338</v>
      </c>
      <c r="R14548" t="s">
        <v>657</v>
      </c>
      <c r="S14548" t="s">
        <v>22763</v>
      </c>
      <c r="T14548">
        <v>39</v>
      </c>
      <c r="U14548" s="26" t="str">
        <f t="shared" ref="U14548:U14557" si="545">HYPERLINK("https://ictv.global/ictv/proposals/2023.024M.Bunyaviricetes.zip","2023.024M.Bunyaviricetes.zip")</f>
        <v>2023.024M.Bunyaviricetes.zip</v>
      </c>
    </row>
    <row r="14549" spans="1:21">
      <c r="A14549">
        <v>14548</v>
      </c>
      <c r="B14549" s="27" t="s">
        <v>1124</v>
      </c>
      <c r="D14549" s="27" t="s">
        <v>1859</v>
      </c>
      <c r="F14549" s="27" t="s">
        <v>938</v>
      </c>
      <c r="G14549" s="27" t="s">
        <v>959</v>
      </c>
      <c r="H14549" s="27" t="s">
        <v>17007</v>
      </c>
      <c r="J14549" s="27" t="s">
        <v>17036</v>
      </c>
      <c r="L14549" s="27" t="s">
        <v>256</v>
      </c>
      <c r="N14549" s="27" t="s">
        <v>573</v>
      </c>
      <c r="P14549" s="27" t="s">
        <v>9834</v>
      </c>
      <c r="Q14549" s="26" t="str">
        <f>HYPERLINK("https://ictv.global/taxonomy/taxondetails?taxnode_id=202502597&amp;ictv_id=ICTV19950494","ICTV19950494")</f>
        <v>ICTV19950494</v>
      </c>
      <c r="R14549" t="s">
        <v>657</v>
      </c>
      <c r="S14549" t="s">
        <v>22763</v>
      </c>
      <c r="T14549">
        <v>39</v>
      </c>
      <c r="U14549" s="26" t="str">
        <f t="shared" si="545"/>
        <v>2023.024M.Bunyaviricetes.zip</v>
      </c>
    </row>
    <row r="14550" spans="1:21">
      <c r="A14550">
        <v>14549</v>
      </c>
      <c r="B14550" s="27" t="s">
        <v>1124</v>
      </c>
      <c r="D14550" s="27" t="s">
        <v>1859</v>
      </c>
      <c r="F14550" s="27" t="s">
        <v>938</v>
      </c>
      <c r="G14550" s="27" t="s">
        <v>959</v>
      </c>
      <c r="H14550" s="27" t="s">
        <v>17007</v>
      </c>
      <c r="J14550" s="27" t="s">
        <v>17036</v>
      </c>
      <c r="L14550" s="27" t="s">
        <v>256</v>
      </c>
      <c r="N14550" s="27" t="s">
        <v>573</v>
      </c>
      <c r="P14550" s="27" t="s">
        <v>9835</v>
      </c>
      <c r="Q14550" s="26" t="str">
        <f>HYPERLINK("https://ictv.global/taxonomy/taxondetails?taxnode_id=202502595&amp;ictv_id=ICTV19710134","ICTV19710134")</f>
        <v>ICTV19710134</v>
      </c>
      <c r="R14550" t="s">
        <v>657</v>
      </c>
      <c r="S14550" t="s">
        <v>22763</v>
      </c>
      <c r="T14550">
        <v>39</v>
      </c>
      <c r="U14550" s="26" t="str">
        <f t="shared" si="545"/>
        <v>2023.024M.Bunyaviricetes.zip</v>
      </c>
    </row>
    <row r="14551" spans="1:21">
      <c r="A14551">
        <v>14550</v>
      </c>
      <c r="B14551" s="27" t="s">
        <v>1124</v>
      </c>
      <c r="D14551" s="27" t="s">
        <v>1859</v>
      </c>
      <c r="F14551" s="27" t="s">
        <v>938</v>
      </c>
      <c r="G14551" s="27" t="s">
        <v>959</v>
      </c>
      <c r="H14551" s="27" t="s">
        <v>17007</v>
      </c>
      <c r="J14551" s="27" t="s">
        <v>17036</v>
      </c>
      <c r="L14551" s="27" t="s">
        <v>256</v>
      </c>
      <c r="N14551" s="27" t="s">
        <v>573</v>
      </c>
      <c r="P14551" s="27" t="s">
        <v>9836</v>
      </c>
      <c r="Q14551" s="26" t="str">
        <f>HYPERLINK("https://ictv.global/taxonomy/taxondetails?taxnode_id=202505743&amp;ictv_id=ICTV20175743","ICTV20175743")</f>
        <v>ICTV20175743</v>
      </c>
      <c r="R14551" t="s">
        <v>657</v>
      </c>
      <c r="S14551" t="s">
        <v>22763</v>
      </c>
      <c r="T14551">
        <v>39</v>
      </c>
      <c r="U14551" s="26" t="str">
        <f t="shared" si="545"/>
        <v>2023.024M.Bunyaviricetes.zip</v>
      </c>
    </row>
    <row r="14552" spans="1:21">
      <c r="A14552">
        <v>14551</v>
      </c>
      <c r="B14552" s="27" t="s">
        <v>1124</v>
      </c>
      <c r="D14552" s="27" t="s">
        <v>1859</v>
      </c>
      <c r="F14552" s="27" t="s">
        <v>938</v>
      </c>
      <c r="G14552" s="27" t="s">
        <v>959</v>
      </c>
      <c r="H14552" s="27" t="s">
        <v>17007</v>
      </c>
      <c r="J14552" s="27" t="s">
        <v>17036</v>
      </c>
      <c r="L14552" s="27" t="s">
        <v>256</v>
      </c>
      <c r="N14552" s="27" t="s">
        <v>573</v>
      </c>
      <c r="P14552" s="27" t="s">
        <v>9837</v>
      </c>
      <c r="Q14552" s="26" t="str">
        <f>HYPERLINK("https://ictv.global/taxonomy/taxondetails?taxnode_id=202502573&amp;ictv_id=ICTV20093146","ICTV20093146")</f>
        <v>ICTV20093146</v>
      </c>
      <c r="R14552" t="s">
        <v>657</v>
      </c>
      <c r="S14552" t="s">
        <v>22763</v>
      </c>
      <c r="T14552">
        <v>39</v>
      </c>
      <c r="U14552" s="26" t="str">
        <f t="shared" si="545"/>
        <v>2023.024M.Bunyaviricetes.zip</v>
      </c>
    </row>
    <row r="14553" spans="1:21">
      <c r="A14553">
        <v>14552</v>
      </c>
      <c r="B14553" s="27" t="s">
        <v>1124</v>
      </c>
      <c r="D14553" s="27" t="s">
        <v>1859</v>
      </c>
      <c r="F14553" s="27" t="s">
        <v>938</v>
      </c>
      <c r="G14553" s="27" t="s">
        <v>959</v>
      </c>
      <c r="H14553" s="27" t="s">
        <v>17007</v>
      </c>
      <c r="J14553" s="27" t="s">
        <v>17036</v>
      </c>
      <c r="L14553" s="27" t="s">
        <v>256</v>
      </c>
      <c r="N14553" s="27" t="s">
        <v>573</v>
      </c>
      <c r="P14553" s="27" t="s">
        <v>9838</v>
      </c>
      <c r="Q14553" s="26" t="str">
        <f>HYPERLINK("https://ictv.global/taxonomy/taxondetails?taxnode_id=202502586&amp;ictv_id=ICTV19710131","ICTV19710131")</f>
        <v>ICTV19710131</v>
      </c>
      <c r="R14553" t="s">
        <v>657</v>
      </c>
      <c r="S14553" t="s">
        <v>22763</v>
      </c>
      <c r="T14553">
        <v>39</v>
      </c>
      <c r="U14553" s="26" t="str">
        <f t="shared" si="545"/>
        <v>2023.024M.Bunyaviricetes.zip</v>
      </c>
    </row>
    <row r="14554" spans="1:21">
      <c r="A14554">
        <v>14553</v>
      </c>
      <c r="B14554" s="27" t="s">
        <v>1124</v>
      </c>
      <c r="D14554" s="27" t="s">
        <v>1859</v>
      </c>
      <c r="F14554" s="27" t="s">
        <v>938</v>
      </c>
      <c r="G14554" s="27" t="s">
        <v>959</v>
      </c>
      <c r="H14554" s="27" t="s">
        <v>17007</v>
      </c>
      <c r="J14554" s="27" t="s">
        <v>17036</v>
      </c>
      <c r="L14554" s="27" t="s">
        <v>256</v>
      </c>
      <c r="N14554" s="27" t="s">
        <v>573</v>
      </c>
      <c r="P14554" s="27" t="s">
        <v>9839</v>
      </c>
      <c r="Q14554" s="26" t="str">
        <f>HYPERLINK("https://ictv.global/taxonomy/taxondetails?taxnode_id=202502574&amp;ictv_id=ICTV20040630","ICTV20040630")</f>
        <v>ICTV20040630</v>
      </c>
      <c r="R14554" t="s">
        <v>657</v>
      </c>
      <c r="S14554" t="s">
        <v>22763</v>
      </c>
      <c r="T14554">
        <v>39</v>
      </c>
      <c r="U14554" s="26" t="str">
        <f t="shared" si="545"/>
        <v>2023.024M.Bunyaviricetes.zip</v>
      </c>
    </row>
    <row r="14555" spans="1:21">
      <c r="A14555">
        <v>14554</v>
      </c>
      <c r="B14555" s="27" t="s">
        <v>1124</v>
      </c>
      <c r="D14555" s="27" t="s">
        <v>1859</v>
      </c>
      <c r="F14555" s="27" t="s">
        <v>938</v>
      </c>
      <c r="G14555" s="27" t="s">
        <v>959</v>
      </c>
      <c r="H14555" s="27" t="s">
        <v>17007</v>
      </c>
      <c r="J14555" s="27" t="s">
        <v>17036</v>
      </c>
      <c r="L14555" s="27" t="s">
        <v>256</v>
      </c>
      <c r="N14555" s="27" t="s">
        <v>573</v>
      </c>
      <c r="P14555" s="27" t="s">
        <v>9840</v>
      </c>
      <c r="Q14555" s="26" t="str">
        <f>HYPERLINK("https://ictv.global/taxonomy/taxondetails?taxnode_id=202514201&amp;ictv_id=ICTV202214201","ICTV202214201")</f>
        <v>ICTV202214201</v>
      </c>
      <c r="R14555" t="s">
        <v>657</v>
      </c>
      <c r="S14555" t="s">
        <v>22763</v>
      </c>
      <c r="T14555">
        <v>39</v>
      </c>
      <c r="U14555" s="26" t="str">
        <f t="shared" si="545"/>
        <v>2023.024M.Bunyaviricetes.zip</v>
      </c>
    </row>
    <row r="14556" spans="1:21">
      <c r="A14556">
        <v>14555</v>
      </c>
      <c r="B14556" s="27" t="s">
        <v>1124</v>
      </c>
      <c r="D14556" s="27" t="s">
        <v>1859</v>
      </c>
      <c r="F14556" s="27" t="s">
        <v>938</v>
      </c>
      <c r="G14556" s="27" t="s">
        <v>959</v>
      </c>
      <c r="H14556" s="27" t="s">
        <v>17007</v>
      </c>
      <c r="J14556" s="27" t="s">
        <v>17036</v>
      </c>
      <c r="L14556" s="27" t="s">
        <v>256</v>
      </c>
      <c r="N14556" s="27" t="s">
        <v>573</v>
      </c>
      <c r="P14556" s="27" t="s">
        <v>9841</v>
      </c>
      <c r="Q14556" s="26" t="str">
        <f>HYPERLINK("https://ictv.global/taxonomy/taxondetails?taxnode_id=202502575&amp;ictv_id=ICTV19910405","ICTV19910405")</f>
        <v>ICTV19910405</v>
      </c>
      <c r="R14556" t="s">
        <v>657</v>
      </c>
      <c r="S14556" t="s">
        <v>22763</v>
      </c>
      <c r="T14556">
        <v>39</v>
      </c>
      <c r="U14556" s="26" t="str">
        <f t="shared" si="545"/>
        <v>2023.024M.Bunyaviricetes.zip</v>
      </c>
    </row>
    <row r="14557" spans="1:21">
      <c r="A14557">
        <v>14556</v>
      </c>
      <c r="B14557" s="27" t="s">
        <v>1124</v>
      </c>
      <c r="D14557" s="27" t="s">
        <v>1859</v>
      </c>
      <c r="F14557" s="27" t="s">
        <v>938</v>
      </c>
      <c r="G14557" s="27" t="s">
        <v>959</v>
      </c>
      <c r="H14557" s="27" t="s">
        <v>17007</v>
      </c>
      <c r="J14557" s="27" t="s">
        <v>17036</v>
      </c>
      <c r="L14557" s="27" t="s">
        <v>256</v>
      </c>
      <c r="N14557" s="27" t="s">
        <v>573</v>
      </c>
      <c r="P14557" s="27" t="s">
        <v>9842</v>
      </c>
      <c r="Q14557" s="26" t="str">
        <f>HYPERLINK("https://ictv.global/taxonomy/taxondetails?taxnode_id=202502576&amp;ictv_id=ICTV20151911","ICTV20151911")</f>
        <v>ICTV20151911</v>
      </c>
      <c r="R14557" t="s">
        <v>657</v>
      </c>
      <c r="S14557" t="s">
        <v>22763</v>
      </c>
      <c r="T14557">
        <v>39</v>
      </c>
      <c r="U14557" s="26" t="str">
        <f t="shared" si="545"/>
        <v>2023.024M.Bunyaviricetes.zip</v>
      </c>
    </row>
    <row r="14558" spans="1:21">
      <c r="A14558">
        <v>14557</v>
      </c>
      <c r="B14558" s="27" t="s">
        <v>1124</v>
      </c>
      <c r="D14558" s="27" t="s">
        <v>1859</v>
      </c>
      <c r="F14558" s="27" t="s">
        <v>938</v>
      </c>
      <c r="G14558" s="27" t="s">
        <v>959</v>
      </c>
      <c r="H14558" s="27" t="s">
        <v>17007</v>
      </c>
      <c r="J14558" s="27" t="s">
        <v>17036</v>
      </c>
      <c r="L14558" s="27" t="s">
        <v>256</v>
      </c>
      <c r="N14558" s="27" t="s">
        <v>573</v>
      </c>
      <c r="P14558" s="27" t="s">
        <v>17040</v>
      </c>
      <c r="Q14558" s="26" t="str">
        <f>HYPERLINK("https://ictv.global/taxonomy/taxondetails?taxnode_id=202519013&amp;ictv_id=ICTV202319013","ICTV202319013")</f>
        <v>ICTV202319013</v>
      </c>
      <c r="R14558" t="s">
        <v>657</v>
      </c>
      <c r="S14558" t="s">
        <v>823</v>
      </c>
      <c r="T14558">
        <v>39</v>
      </c>
      <c r="U14558" s="26" t="str">
        <f>HYPERLINK("https://ictv.global/ictv/proposals/2023.027M.Mammarenavirus_6nsp.zip","2023.027M.Mammarenavirus_6nsp.zip")</f>
        <v>2023.027M.Mammarenavirus_6nsp.zip</v>
      </c>
    </row>
    <row r="14559" spans="1:21">
      <c r="A14559">
        <v>14558</v>
      </c>
      <c r="B14559" s="27" t="s">
        <v>1124</v>
      </c>
      <c r="D14559" s="27" t="s">
        <v>1859</v>
      </c>
      <c r="F14559" s="27" t="s">
        <v>938</v>
      </c>
      <c r="G14559" s="27" t="s">
        <v>959</v>
      </c>
      <c r="H14559" s="27" t="s">
        <v>17007</v>
      </c>
      <c r="J14559" s="27" t="s">
        <v>17036</v>
      </c>
      <c r="L14559" s="27" t="s">
        <v>256</v>
      </c>
      <c r="N14559" s="27" t="s">
        <v>573</v>
      </c>
      <c r="P14559" s="27" t="s">
        <v>9843</v>
      </c>
      <c r="Q14559" s="26" t="str">
        <f>HYPERLINK("https://ictv.global/taxonomy/taxondetails?taxnode_id=202502577&amp;ictv_id=ICTV19950483","ICTV19950483")</f>
        <v>ICTV19950483</v>
      </c>
      <c r="R14559" t="s">
        <v>657</v>
      </c>
      <c r="S14559" t="s">
        <v>22763</v>
      </c>
      <c r="T14559">
        <v>39</v>
      </c>
      <c r="U14559" s="26" t="str">
        <f t="shared" ref="U14559:U14571" si="546">HYPERLINK("https://ictv.global/ictv/proposals/2023.024M.Bunyaviricetes.zip","2023.024M.Bunyaviricetes.zip")</f>
        <v>2023.024M.Bunyaviricetes.zip</v>
      </c>
    </row>
    <row r="14560" spans="1:21">
      <c r="A14560">
        <v>14559</v>
      </c>
      <c r="B14560" s="27" t="s">
        <v>1124</v>
      </c>
      <c r="D14560" s="27" t="s">
        <v>1859</v>
      </c>
      <c r="F14560" s="27" t="s">
        <v>938</v>
      </c>
      <c r="G14560" s="27" t="s">
        <v>959</v>
      </c>
      <c r="H14560" s="27" t="s">
        <v>17007</v>
      </c>
      <c r="J14560" s="27" t="s">
        <v>17036</v>
      </c>
      <c r="L14560" s="27" t="s">
        <v>256</v>
      </c>
      <c r="N14560" s="27" t="s">
        <v>573</v>
      </c>
      <c r="P14560" s="27" t="s">
        <v>9844</v>
      </c>
      <c r="Q14560" s="26" t="str">
        <f>HYPERLINK("https://ictv.global/taxonomy/taxondetails?taxnode_id=202502578&amp;ictv_id=ICTV19910406","ICTV19910406")</f>
        <v>ICTV19910406</v>
      </c>
      <c r="R14560" t="s">
        <v>657</v>
      </c>
      <c r="S14560" t="s">
        <v>22763</v>
      </c>
      <c r="T14560">
        <v>39</v>
      </c>
      <c r="U14560" s="26" t="str">
        <f t="shared" si="546"/>
        <v>2023.024M.Bunyaviricetes.zip</v>
      </c>
    </row>
    <row r="14561" spans="1:21">
      <c r="A14561">
        <v>14560</v>
      </c>
      <c r="B14561" s="27" t="s">
        <v>1124</v>
      </c>
      <c r="D14561" s="27" t="s">
        <v>1859</v>
      </c>
      <c r="F14561" s="27" t="s">
        <v>938</v>
      </c>
      <c r="G14561" s="27" t="s">
        <v>959</v>
      </c>
      <c r="H14561" s="27" t="s">
        <v>17007</v>
      </c>
      <c r="J14561" s="27" t="s">
        <v>17036</v>
      </c>
      <c r="L14561" s="27" t="s">
        <v>256</v>
      </c>
      <c r="N14561" s="27" t="s">
        <v>573</v>
      </c>
      <c r="P14561" s="27" t="s">
        <v>9845</v>
      </c>
      <c r="Q14561" s="26" t="str">
        <f>HYPERLINK("https://ictv.global/taxonomy/taxondetails?taxnode_id=202502579&amp;ictv_id=ICTV19710128","ICTV19710128")</f>
        <v>ICTV19710128</v>
      </c>
      <c r="R14561" t="s">
        <v>657</v>
      </c>
      <c r="S14561" t="s">
        <v>22763</v>
      </c>
      <c r="T14561">
        <v>39</v>
      </c>
      <c r="U14561" s="26" t="str">
        <f t="shared" si="546"/>
        <v>2023.024M.Bunyaviricetes.zip</v>
      </c>
    </row>
    <row r="14562" spans="1:21">
      <c r="A14562">
        <v>14561</v>
      </c>
      <c r="B14562" s="27" t="s">
        <v>1124</v>
      </c>
      <c r="D14562" s="27" t="s">
        <v>1859</v>
      </c>
      <c r="F14562" s="27" t="s">
        <v>938</v>
      </c>
      <c r="G14562" s="27" t="s">
        <v>959</v>
      </c>
      <c r="H14562" s="27" t="s">
        <v>17007</v>
      </c>
      <c r="J14562" s="27" t="s">
        <v>17036</v>
      </c>
      <c r="L14562" s="27" t="s">
        <v>256</v>
      </c>
      <c r="N14562" s="27" t="s">
        <v>573</v>
      </c>
      <c r="P14562" s="27" t="s">
        <v>9846</v>
      </c>
      <c r="Q14562" s="26" t="str">
        <f>HYPERLINK("https://ictv.global/taxonomy/taxondetails?taxnode_id=202509550&amp;ictv_id=ICTV202009550","ICTV202009550")</f>
        <v>ICTV202009550</v>
      </c>
      <c r="R14562" t="s">
        <v>657</v>
      </c>
      <c r="S14562" t="s">
        <v>22763</v>
      </c>
      <c r="T14562">
        <v>39</v>
      </c>
      <c r="U14562" s="26" t="str">
        <f t="shared" si="546"/>
        <v>2023.024M.Bunyaviricetes.zip</v>
      </c>
    </row>
    <row r="14563" spans="1:21">
      <c r="A14563">
        <v>14562</v>
      </c>
      <c r="B14563" s="27" t="s">
        <v>1124</v>
      </c>
      <c r="D14563" s="27" t="s">
        <v>1859</v>
      </c>
      <c r="F14563" s="27" t="s">
        <v>938</v>
      </c>
      <c r="G14563" s="27" t="s">
        <v>959</v>
      </c>
      <c r="H14563" s="27" t="s">
        <v>17007</v>
      </c>
      <c r="J14563" s="27" t="s">
        <v>17036</v>
      </c>
      <c r="L14563" s="27" t="s">
        <v>256</v>
      </c>
      <c r="N14563" s="27" t="s">
        <v>573</v>
      </c>
      <c r="P14563" s="27" t="s">
        <v>9847</v>
      </c>
      <c r="Q14563" s="26" t="str">
        <f>HYPERLINK("https://ictv.global/taxonomy/taxondetails?taxnode_id=202513339&amp;ictv_id=ICTV202113339","ICTV202113339")</f>
        <v>ICTV202113339</v>
      </c>
      <c r="R14563" t="s">
        <v>657</v>
      </c>
      <c r="S14563" t="s">
        <v>22763</v>
      </c>
      <c r="T14563">
        <v>39</v>
      </c>
      <c r="U14563" s="26" t="str">
        <f t="shared" si="546"/>
        <v>2023.024M.Bunyaviricetes.zip</v>
      </c>
    </row>
    <row r="14564" spans="1:21">
      <c r="A14564">
        <v>14563</v>
      </c>
      <c r="B14564" s="27" t="s">
        <v>1124</v>
      </c>
      <c r="D14564" s="27" t="s">
        <v>1859</v>
      </c>
      <c r="F14564" s="27" t="s">
        <v>938</v>
      </c>
      <c r="G14564" s="27" t="s">
        <v>959</v>
      </c>
      <c r="H14564" s="27" t="s">
        <v>17007</v>
      </c>
      <c r="J14564" s="27" t="s">
        <v>17036</v>
      </c>
      <c r="L14564" s="27" t="s">
        <v>256</v>
      </c>
      <c r="N14564" s="27" t="s">
        <v>573</v>
      </c>
      <c r="P14564" s="27" t="s">
        <v>9848</v>
      </c>
      <c r="Q14564" s="26" t="str">
        <f>HYPERLINK("https://ictv.global/taxonomy/taxondetails?taxnode_id=202502580&amp;ictv_id=ICTV19790162","ICTV19790162")</f>
        <v>ICTV19790162</v>
      </c>
      <c r="R14564" t="s">
        <v>657</v>
      </c>
      <c r="S14564" t="s">
        <v>22763</v>
      </c>
      <c r="T14564">
        <v>39</v>
      </c>
      <c r="U14564" s="26" t="str">
        <f t="shared" si="546"/>
        <v>2023.024M.Bunyaviricetes.zip</v>
      </c>
    </row>
    <row r="14565" spans="1:21">
      <c r="A14565">
        <v>14564</v>
      </c>
      <c r="B14565" s="27" t="s">
        <v>1124</v>
      </c>
      <c r="D14565" s="27" t="s">
        <v>1859</v>
      </c>
      <c r="F14565" s="27" t="s">
        <v>938</v>
      </c>
      <c r="G14565" s="27" t="s">
        <v>959</v>
      </c>
      <c r="H14565" s="27" t="s">
        <v>17007</v>
      </c>
      <c r="J14565" s="27" t="s">
        <v>17036</v>
      </c>
      <c r="L14565" s="27" t="s">
        <v>256</v>
      </c>
      <c r="N14565" s="27" t="s">
        <v>573</v>
      </c>
      <c r="P14565" s="27" t="s">
        <v>9849</v>
      </c>
      <c r="Q14565" s="26" t="str">
        <f>HYPERLINK("https://ictv.global/taxonomy/taxondetails?taxnode_id=202502581&amp;ictv_id=ICTV19710130","ICTV19710130")</f>
        <v>ICTV19710130</v>
      </c>
      <c r="R14565" t="s">
        <v>657</v>
      </c>
      <c r="S14565" t="s">
        <v>22763</v>
      </c>
      <c r="T14565">
        <v>39</v>
      </c>
      <c r="U14565" s="26" t="str">
        <f t="shared" si="546"/>
        <v>2023.024M.Bunyaviricetes.zip</v>
      </c>
    </row>
    <row r="14566" spans="1:21">
      <c r="A14566">
        <v>14565</v>
      </c>
      <c r="B14566" s="27" t="s">
        <v>1124</v>
      </c>
      <c r="D14566" s="27" t="s">
        <v>1859</v>
      </c>
      <c r="F14566" s="27" t="s">
        <v>938</v>
      </c>
      <c r="G14566" s="27" t="s">
        <v>959</v>
      </c>
      <c r="H14566" s="27" t="s">
        <v>17007</v>
      </c>
      <c r="J14566" s="27" t="s">
        <v>17036</v>
      </c>
      <c r="L14566" s="27" t="s">
        <v>256</v>
      </c>
      <c r="N14566" s="27" t="s">
        <v>573</v>
      </c>
      <c r="P14566" s="27" t="s">
        <v>9850</v>
      </c>
      <c r="Q14566" s="26" t="str">
        <f>HYPERLINK("https://ictv.global/taxonomy/taxondetails?taxnode_id=202507288&amp;ictv_id=ICTV201907288","ICTV201907288")</f>
        <v>ICTV201907288</v>
      </c>
      <c r="R14566" t="s">
        <v>657</v>
      </c>
      <c r="S14566" t="s">
        <v>22763</v>
      </c>
      <c r="T14566">
        <v>39</v>
      </c>
      <c r="U14566" s="26" t="str">
        <f t="shared" si="546"/>
        <v>2023.024M.Bunyaviricetes.zip</v>
      </c>
    </row>
    <row r="14567" spans="1:21">
      <c r="A14567">
        <v>14566</v>
      </c>
      <c r="B14567" s="27" t="s">
        <v>1124</v>
      </c>
      <c r="D14567" s="27" t="s">
        <v>1859</v>
      </c>
      <c r="F14567" s="27" t="s">
        <v>938</v>
      </c>
      <c r="G14567" s="27" t="s">
        <v>959</v>
      </c>
      <c r="H14567" s="27" t="s">
        <v>17007</v>
      </c>
      <c r="J14567" s="27" t="s">
        <v>17036</v>
      </c>
      <c r="L14567" s="27" t="s">
        <v>256</v>
      </c>
      <c r="N14567" s="27" t="s">
        <v>573</v>
      </c>
      <c r="P14567" s="27" t="s">
        <v>9851</v>
      </c>
      <c r="Q14567" s="26" t="str">
        <f>HYPERLINK("https://ictv.global/taxonomy/taxondetails?taxnode_id=202502582&amp;ictv_id=ICTV20165231","ICTV20165231")</f>
        <v>ICTV20165231</v>
      </c>
      <c r="R14567" t="s">
        <v>657</v>
      </c>
      <c r="S14567" t="s">
        <v>22763</v>
      </c>
      <c r="T14567">
        <v>39</v>
      </c>
      <c r="U14567" s="26" t="str">
        <f t="shared" si="546"/>
        <v>2023.024M.Bunyaviricetes.zip</v>
      </c>
    </row>
    <row r="14568" spans="1:21">
      <c r="A14568">
        <v>14567</v>
      </c>
      <c r="B14568" s="27" t="s">
        <v>1124</v>
      </c>
      <c r="D14568" s="27" t="s">
        <v>1859</v>
      </c>
      <c r="F14568" s="27" t="s">
        <v>938</v>
      </c>
      <c r="G14568" s="27" t="s">
        <v>959</v>
      </c>
      <c r="H14568" s="27" t="s">
        <v>17007</v>
      </c>
      <c r="J14568" s="27" t="s">
        <v>17036</v>
      </c>
      <c r="L14568" s="27" t="s">
        <v>256</v>
      </c>
      <c r="N14568" s="27" t="s">
        <v>573</v>
      </c>
      <c r="P14568" s="27" t="s">
        <v>9852</v>
      </c>
      <c r="Q14568" s="26" t="str">
        <f>HYPERLINK("https://ictv.global/taxonomy/taxondetails?taxnode_id=202502583&amp;ictv_id=ICTV20115680","ICTV20115680")</f>
        <v>ICTV20115680</v>
      </c>
      <c r="R14568" t="s">
        <v>657</v>
      </c>
      <c r="S14568" t="s">
        <v>22763</v>
      </c>
      <c r="T14568">
        <v>39</v>
      </c>
      <c r="U14568" s="26" t="str">
        <f t="shared" si="546"/>
        <v>2023.024M.Bunyaviricetes.zip</v>
      </c>
    </row>
    <row r="14569" spans="1:21">
      <c r="A14569">
        <v>14568</v>
      </c>
      <c r="B14569" s="27" t="s">
        <v>1124</v>
      </c>
      <c r="D14569" s="27" t="s">
        <v>1859</v>
      </c>
      <c r="F14569" s="27" t="s">
        <v>938</v>
      </c>
      <c r="G14569" s="27" t="s">
        <v>959</v>
      </c>
      <c r="H14569" s="27" t="s">
        <v>17007</v>
      </c>
      <c r="J14569" s="27" t="s">
        <v>17036</v>
      </c>
      <c r="L14569" s="27" t="s">
        <v>256</v>
      </c>
      <c r="N14569" s="27" t="s">
        <v>573</v>
      </c>
      <c r="P14569" s="27" t="s">
        <v>9853</v>
      </c>
      <c r="Q14569" s="26" t="str">
        <f>HYPERLINK("https://ictv.global/taxonomy/taxondetails?taxnode_id=202502584&amp;ictv_id=ICTV20125916","ICTV20125916")</f>
        <v>ICTV20125916</v>
      </c>
      <c r="R14569" t="s">
        <v>657</v>
      </c>
      <c r="S14569" t="s">
        <v>22763</v>
      </c>
      <c r="T14569">
        <v>39</v>
      </c>
      <c r="U14569" s="26" t="str">
        <f t="shared" si="546"/>
        <v>2023.024M.Bunyaviricetes.zip</v>
      </c>
    </row>
    <row r="14570" spans="1:21">
      <c r="A14570">
        <v>14569</v>
      </c>
      <c r="B14570" s="27" t="s">
        <v>1124</v>
      </c>
      <c r="D14570" s="27" t="s">
        <v>1859</v>
      </c>
      <c r="F14570" s="27" t="s">
        <v>938</v>
      </c>
      <c r="G14570" s="27" t="s">
        <v>959</v>
      </c>
      <c r="H14570" s="27" t="s">
        <v>17007</v>
      </c>
      <c r="J14570" s="27" t="s">
        <v>17036</v>
      </c>
      <c r="L14570" s="27" t="s">
        <v>256</v>
      </c>
      <c r="N14570" s="27" t="s">
        <v>573</v>
      </c>
      <c r="P14570" s="27" t="s">
        <v>9854</v>
      </c>
      <c r="Q14570" s="26" t="str">
        <f>HYPERLINK("https://ictv.global/taxonomy/taxondetails?taxnode_id=202502585&amp;ictv_id=ICTV20141529","ICTV20141529")</f>
        <v>ICTV20141529</v>
      </c>
      <c r="R14570" t="s">
        <v>657</v>
      </c>
      <c r="S14570" t="s">
        <v>22763</v>
      </c>
      <c r="T14570">
        <v>39</v>
      </c>
      <c r="U14570" s="26" t="str">
        <f t="shared" si="546"/>
        <v>2023.024M.Bunyaviricetes.zip</v>
      </c>
    </row>
    <row r="14571" spans="1:21">
      <c r="A14571">
        <v>14570</v>
      </c>
      <c r="B14571" s="27" t="s">
        <v>1124</v>
      </c>
      <c r="D14571" s="27" t="s">
        <v>1859</v>
      </c>
      <c r="F14571" s="27" t="s">
        <v>938</v>
      </c>
      <c r="G14571" s="27" t="s">
        <v>959</v>
      </c>
      <c r="H14571" s="27" t="s">
        <v>17007</v>
      </c>
      <c r="J14571" s="27" t="s">
        <v>17036</v>
      </c>
      <c r="L14571" s="27" t="s">
        <v>256</v>
      </c>
      <c r="N14571" s="27" t="s">
        <v>573</v>
      </c>
      <c r="P14571" s="27" t="s">
        <v>9855</v>
      </c>
      <c r="Q14571" s="26" t="str">
        <f>HYPERLINK("https://ictv.global/taxonomy/taxondetails?taxnode_id=202502587&amp;ictv_id=ICTV19710132","ICTV19710132")</f>
        <v>ICTV19710132</v>
      </c>
      <c r="R14571" t="s">
        <v>657</v>
      </c>
      <c r="S14571" t="s">
        <v>22763</v>
      </c>
      <c r="T14571">
        <v>39</v>
      </c>
      <c r="U14571" s="26" t="str">
        <f t="shared" si="546"/>
        <v>2023.024M.Bunyaviricetes.zip</v>
      </c>
    </row>
    <row r="14572" spans="1:21">
      <c r="A14572">
        <v>14571</v>
      </c>
      <c r="B14572" s="27" t="s">
        <v>1124</v>
      </c>
      <c r="D14572" s="27" t="s">
        <v>1859</v>
      </c>
      <c r="F14572" s="27" t="s">
        <v>938</v>
      </c>
      <c r="G14572" s="27" t="s">
        <v>959</v>
      </c>
      <c r="H14572" s="27" t="s">
        <v>17007</v>
      </c>
      <c r="J14572" s="27" t="s">
        <v>17036</v>
      </c>
      <c r="L14572" s="27" t="s">
        <v>256</v>
      </c>
      <c r="N14572" s="27" t="s">
        <v>573</v>
      </c>
      <c r="P14572" s="27" t="s">
        <v>17041</v>
      </c>
      <c r="Q14572" s="26" t="str">
        <f>HYPERLINK("https://ictv.global/taxonomy/taxondetails?taxnode_id=202518068&amp;ictv_id=ICTV202318068","ICTV202318068")</f>
        <v>ICTV202318068</v>
      </c>
      <c r="R14572" t="s">
        <v>657</v>
      </c>
      <c r="S14572" t="s">
        <v>823</v>
      </c>
      <c r="T14572">
        <v>39</v>
      </c>
      <c r="U14572" s="26" t="str">
        <f>HYPERLINK("https://ictv.global/ictv/proposals/2023.013M.Mammarenavirus_1nsp.zip","2023.013M.Mammarenavirus_1nsp.zip")</f>
        <v>2023.013M.Mammarenavirus_1nsp.zip</v>
      </c>
    </row>
    <row r="14573" spans="1:21">
      <c r="A14573">
        <v>14572</v>
      </c>
      <c r="B14573" s="27" t="s">
        <v>1124</v>
      </c>
      <c r="D14573" s="27" t="s">
        <v>1859</v>
      </c>
      <c r="F14573" s="27" t="s">
        <v>938</v>
      </c>
      <c r="G14573" s="27" t="s">
        <v>959</v>
      </c>
      <c r="H14573" s="27" t="s">
        <v>17007</v>
      </c>
      <c r="J14573" s="27" t="s">
        <v>17036</v>
      </c>
      <c r="L14573" s="27" t="s">
        <v>256</v>
      </c>
      <c r="N14573" s="27" t="s">
        <v>573</v>
      </c>
      <c r="P14573" s="27" t="s">
        <v>9856</v>
      </c>
      <c r="Q14573" s="26" t="str">
        <f>HYPERLINK("https://ictv.global/taxonomy/taxondetails?taxnode_id=202502588&amp;ictv_id=ICTV20151912","ICTV20151912")</f>
        <v>ICTV20151912</v>
      </c>
      <c r="R14573" t="s">
        <v>657</v>
      </c>
      <c r="S14573" t="s">
        <v>22763</v>
      </c>
      <c r="T14573">
        <v>39</v>
      </c>
      <c r="U14573" s="26" t="str">
        <f>HYPERLINK("https://ictv.global/ictv/proposals/2023.024M.Bunyaviricetes.zip","2023.024M.Bunyaviricetes.zip")</f>
        <v>2023.024M.Bunyaviricetes.zip</v>
      </c>
    </row>
    <row r="14574" spans="1:21">
      <c r="A14574">
        <v>14573</v>
      </c>
      <c r="B14574" s="27" t="s">
        <v>1124</v>
      </c>
      <c r="D14574" s="27" t="s">
        <v>1859</v>
      </c>
      <c r="F14574" s="27" t="s">
        <v>938</v>
      </c>
      <c r="G14574" s="27" t="s">
        <v>959</v>
      </c>
      <c r="H14574" s="27" t="s">
        <v>17007</v>
      </c>
      <c r="J14574" s="27" t="s">
        <v>17036</v>
      </c>
      <c r="L14574" s="27" t="s">
        <v>256</v>
      </c>
      <c r="N14574" s="27" t="s">
        <v>573</v>
      </c>
      <c r="P14574" s="27" t="s">
        <v>17042</v>
      </c>
      <c r="Q14574" s="26" t="str">
        <f>HYPERLINK("https://ictv.global/taxonomy/taxondetails?taxnode_id=202519011&amp;ictv_id=ICTV202319011","ICTV202319011")</f>
        <v>ICTV202319011</v>
      </c>
      <c r="R14574" t="s">
        <v>657</v>
      </c>
      <c r="S14574" t="s">
        <v>823</v>
      </c>
      <c r="T14574">
        <v>39</v>
      </c>
      <c r="U14574" s="26" t="str">
        <f>HYPERLINK("https://ictv.global/ictv/proposals/2023.027M.Mammarenavirus_6nsp.zip","2023.027M.Mammarenavirus_6nsp.zip")</f>
        <v>2023.027M.Mammarenavirus_6nsp.zip</v>
      </c>
    </row>
    <row r="14575" spans="1:21">
      <c r="A14575">
        <v>14574</v>
      </c>
      <c r="B14575" s="27" t="s">
        <v>1124</v>
      </c>
      <c r="D14575" s="27" t="s">
        <v>1859</v>
      </c>
      <c r="F14575" s="27" t="s">
        <v>938</v>
      </c>
      <c r="G14575" s="27" t="s">
        <v>959</v>
      </c>
      <c r="H14575" s="27" t="s">
        <v>17007</v>
      </c>
      <c r="J14575" s="27" t="s">
        <v>17036</v>
      </c>
      <c r="L14575" s="27" t="s">
        <v>256</v>
      </c>
      <c r="N14575" s="27" t="s">
        <v>573</v>
      </c>
      <c r="P14575" s="27" t="s">
        <v>9857</v>
      </c>
      <c r="Q14575" s="26" t="str">
        <f>HYPERLINK("https://ictv.global/taxonomy/taxondetails?taxnode_id=202502589&amp;ictv_id=ICTV20141530","ICTV20141530")</f>
        <v>ICTV20141530</v>
      </c>
      <c r="R14575" t="s">
        <v>657</v>
      </c>
      <c r="S14575" t="s">
        <v>22763</v>
      </c>
      <c r="T14575">
        <v>39</v>
      </c>
      <c r="U14575" s="26" t="str">
        <f>HYPERLINK("https://ictv.global/ictv/proposals/2023.024M.Bunyaviricetes.zip","2023.024M.Bunyaviricetes.zip")</f>
        <v>2023.024M.Bunyaviricetes.zip</v>
      </c>
    </row>
    <row r="14576" spans="1:21">
      <c r="A14576">
        <v>14575</v>
      </c>
      <c r="B14576" s="27" t="s">
        <v>1124</v>
      </c>
      <c r="D14576" s="27" t="s">
        <v>1859</v>
      </c>
      <c r="F14576" s="27" t="s">
        <v>938</v>
      </c>
      <c r="G14576" s="27" t="s">
        <v>959</v>
      </c>
      <c r="H14576" s="27" t="s">
        <v>17007</v>
      </c>
      <c r="J14576" s="27" t="s">
        <v>17036</v>
      </c>
      <c r="L14576" s="27" t="s">
        <v>256</v>
      </c>
      <c r="N14576" s="27" t="s">
        <v>573</v>
      </c>
      <c r="P14576" s="27" t="s">
        <v>9858</v>
      </c>
      <c r="Q14576" s="26" t="str">
        <f>HYPERLINK("https://ictv.global/taxonomy/taxondetails?taxnode_id=202502591&amp;ictv_id=ICTV19910413","ICTV19910413")</f>
        <v>ICTV19910413</v>
      </c>
      <c r="R14576" t="s">
        <v>657</v>
      </c>
      <c r="S14576" t="s">
        <v>22763</v>
      </c>
      <c r="T14576">
        <v>39</v>
      </c>
      <c r="U14576" s="26" t="str">
        <f>HYPERLINK("https://ictv.global/ictv/proposals/2023.024M.Bunyaviricetes.zip","2023.024M.Bunyaviricetes.zip")</f>
        <v>2023.024M.Bunyaviricetes.zip</v>
      </c>
    </row>
    <row r="14577" spans="1:21">
      <c r="A14577">
        <v>14576</v>
      </c>
      <c r="B14577" s="27" t="s">
        <v>1124</v>
      </c>
      <c r="D14577" s="27" t="s">
        <v>1859</v>
      </c>
      <c r="F14577" s="27" t="s">
        <v>938</v>
      </c>
      <c r="G14577" s="27" t="s">
        <v>959</v>
      </c>
      <c r="H14577" s="27" t="s">
        <v>17007</v>
      </c>
      <c r="J14577" s="27" t="s">
        <v>17036</v>
      </c>
      <c r="L14577" s="27" t="s">
        <v>256</v>
      </c>
      <c r="N14577" s="27" t="s">
        <v>573</v>
      </c>
      <c r="P14577" s="27" t="s">
        <v>17043</v>
      </c>
      <c r="Q14577" s="26" t="str">
        <f>HYPERLINK("https://ictv.global/taxonomy/taxondetails?taxnode_id=202519012&amp;ictv_id=ICTV202319012","ICTV202319012")</f>
        <v>ICTV202319012</v>
      </c>
      <c r="R14577" t="s">
        <v>657</v>
      </c>
      <c r="S14577" t="s">
        <v>823</v>
      </c>
      <c r="T14577">
        <v>39</v>
      </c>
      <c r="U14577" s="26" t="str">
        <f>HYPERLINK("https://ictv.global/ictv/proposals/2023.027M.Mammarenavirus_6nsp.zip","2023.027M.Mammarenavirus_6nsp.zip")</f>
        <v>2023.027M.Mammarenavirus_6nsp.zip</v>
      </c>
    </row>
    <row r="14578" spans="1:21">
      <c r="A14578">
        <v>14577</v>
      </c>
      <c r="B14578" s="27" t="s">
        <v>1124</v>
      </c>
      <c r="D14578" s="27" t="s">
        <v>1859</v>
      </c>
      <c r="F14578" s="27" t="s">
        <v>938</v>
      </c>
      <c r="G14578" s="27" t="s">
        <v>959</v>
      </c>
      <c r="H14578" s="27" t="s">
        <v>17007</v>
      </c>
      <c r="J14578" s="27" t="s">
        <v>17036</v>
      </c>
      <c r="L14578" s="27" t="s">
        <v>256</v>
      </c>
      <c r="N14578" s="27" t="s">
        <v>573</v>
      </c>
      <c r="P14578" s="27" t="s">
        <v>9859</v>
      </c>
      <c r="Q14578" s="26" t="str">
        <f>HYPERLINK("https://ictv.global/taxonomy/taxondetails?taxnode_id=202502592&amp;ictv_id=ICTV20151913","ICTV20151913")</f>
        <v>ICTV20151913</v>
      </c>
      <c r="R14578" t="s">
        <v>657</v>
      </c>
      <c r="S14578" t="s">
        <v>22763</v>
      </c>
      <c r="T14578">
        <v>39</v>
      </c>
      <c r="U14578" s="26" t="str">
        <f t="shared" ref="U14578:U14584" si="547">HYPERLINK("https://ictv.global/ictv/proposals/2023.024M.Bunyaviricetes.zip","2023.024M.Bunyaviricetes.zip")</f>
        <v>2023.024M.Bunyaviricetes.zip</v>
      </c>
    </row>
    <row r="14579" spans="1:21">
      <c r="A14579">
        <v>14578</v>
      </c>
      <c r="B14579" s="27" t="s">
        <v>1124</v>
      </c>
      <c r="D14579" s="27" t="s">
        <v>1859</v>
      </c>
      <c r="F14579" s="27" t="s">
        <v>938</v>
      </c>
      <c r="G14579" s="27" t="s">
        <v>959</v>
      </c>
      <c r="H14579" s="27" t="s">
        <v>17007</v>
      </c>
      <c r="J14579" s="27" t="s">
        <v>17036</v>
      </c>
      <c r="L14579" s="27" t="s">
        <v>256</v>
      </c>
      <c r="N14579" s="27" t="s">
        <v>573</v>
      </c>
      <c r="P14579" s="27" t="s">
        <v>9860</v>
      </c>
      <c r="Q14579" s="26" t="str">
        <f>HYPERLINK("https://ictv.global/taxonomy/taxondetails?taxnode_id=202502593&amp;ictv_id=ICTV19990538","ICTV19990538")</f>
        <v>ICTV19990538</v>
      </c>
      <c r="R14579" t="s">
        <v>657</v>
      </c>
      <c r="S14579" t="s">
        <v>22763</v>
      </c>
      <c r="T14579">
        <v>39</v>
      </c>
      <c r="U14579" s="26" t="str">
        <f t="shared" si="547"/>
        <v>2023.024M.Bunyaviricetes.zip</v>
      </c>
    </row>
    <row r="14580" spans="1:21">
      <c r="A14580">
        <v>14579</v>
      </c>
      <c r="B14580" s="27" t="s">
        <v>1124</v>
      </c>
      <c r="D14580" s="27" t="s">
        <v>1859</v>
      </c>
      <c r="F14580" s="27" t="s">
        <v>938</v>
      </c>
      <c r="G14580" s="27" t="s">
        <v>959</v>
      </c>
      <c r="H14580" s="27" t="s">
        <v>17007</v>
      </c>
      <c r="J14580" s="27" t="s">
        <v>17036</v>
      </c>
      <c r="L14580" s="27" t="s">
        <v>256</v>
      </c>
      <c r="N14580" s="27" t="s">
        <v>573</v>
      </c>
      <c r="P14580" s="27" t="s">
        <v>9861</v>
      </c>
      <c r="Q14580" s="26" t="str">
        <f>HYPERLINK("https://ictv.global/taxonomy/taxondetails?taxnode_id=202502594&amp;ictv_id=ICTV19710133","ICTV19710133")</f>
        <v>ICTV19710133</v>
      </c>
      <c r="R14580" t="s">
        <v>657</v>
      </c>
      <c r="S14580" t="s">
        <v>22763</v>
      </c>
      <c r="T14580">
        <v>39</v>
      </c>
      <c r="U14580" s="26" t="str">
        <f t="shared" si="547"/>
        <v>2023.024M.Bunyaviricetes.zip</v>
      </c>
    </row>
    <row r="14581" spans="1:21">
      <c r="A14581">
        <v>14580</v>
      </c>
      <c r="B14581" s="27" t="s">
        <v>1124</v>
      </c>
      <c r="D14581" s="27" t="s">
        <v>1859</v>
      </c>
      <c r="F14581" s="27" t="s">
        <v>938</v>
      </c>
      <c r="G14581" s="27" t="s">
        <v>959</v>
      </c>
      <c r="H14581" s="27" t="s">
        <v>17007</v>
      </c>
      <c r="J14581" s="27" t="s">
        <v>17036</v>
      </c>
      <c r="L14581" s="27" t="s">
        <v>256</v>
      </c>
      <c r="N14581" s="27" t="s">
        <v>573</v>
      </c>
      <c r="P14581" s="27" t="s">
        <v>9862</v>
      </c>
      <c r="Q14581" s="26" t="str">
        <f>HYPERLINK("https://ictv.global/taxonomy/taxondetails?taxnode_id=202502596&amp;ictv_id=ICTV19990541","ICTV19990541")</f>
        <v>ICTV19990541</v>
      </c>
      <c r="R14581" t="s">
        <v>657</v>
      </c>
      <c r="S14581" t="s">
        <v>22763</v>
      </c>
      <c r="T14581">
        <v>39</v>
      </c>
      <c r="U14581" s="26" t="str">
        <f t="shared" si="547"/>
        <v>2023.024M.Bunyaviricetes.zip</v>
      </c>
    </row>
    <row r="14582" spans="1:21">
      <c r="A14582">
        <v>14581</v>
      </c>
      <c r="B14582" s="27" t="s">
        <v>1124</v>
      </c>
      <c r="D14582" s="27" t="s">
        <v>1859</v>
      </c>
      <c r="F14582" s="27" t="s">
        <v>938</v>
      </c>
      <c r="G14582" s="27" t="s">
        <v>959</v>
      </c>
      <c r="H14582" s="27" t="s">
        <v>17007</v>
      </c>
      <c r="J14582" s="27" t="s">
        <v>17036</v>
      </c>
      <c r="L14582" s="27" t="s">
        <v>256</v>
      </c>
      <c r="N14582" s="27" t="s">
        <v>573</v>
      </c>
      <c r="P14582" s="27" t="s">
        <v>9863</v>
      </c>
      <c r="Q14582" s="26" t="str">
        <f>HYPERLINK("https://ictv.global/taxonomy/taxondetails?taxnode_id=202502590&amp;ictv_id=ICTV19910412","ICTV19910412")</f>
        <v>ICTV19910412</v>
      </c>
      <c r="R14582" t="s">
        <v>657</v>
      </c>
      <c r="S14582" t="s">
        <v>22763</v>
      </c>
      <c r="T14582">
        <v>39</v>
      </c>
      <c r="U14582" s="26" t="str">
        <f t="shared" si="547"/>
        <v>2023.024M.Bunyaviricetes.zip</v>
      </c>
    </row>
    <row r="14583" spans="1:21">
      <c r="A14583">
        <v>14582</v>
      </c>
      <c r="B14583" s="27" t="s">
        <v>1124</v>
      </c>
      <c r="D14583" s="27" t="s">
        <v>1859</v>
      </c>
      <c r="F14583" s="27" t="s">
        <v>938</v>
      </c>
      <c r="G14583" s="27" t="s">
        <v>959</v>
      </c>
      <c r="H14583" s="27" t="s">
        <v>17007</v>
      </c>
      <c r="J14583" s="27" t="s">
        <v>17036</v>
      </c>
      <c r="L14583" s="27" t="s">
        <v>256</v>
      </c>
      <c r="N14583" s="27" t="s">
        <v>573</v>
      </c>
      <c r="P14583" s="27" t="s">
        <v>9864</v>
      </c>
      <c r="Q14583" s="26" t="str">
        <f>HYPERLINK("https://ictv.global/taxonomy/taxondetails?taxnode_id=202505742&amp;ictv_id=ICTV20175742","ICTV20175742")</f>
        <v>ICTV20175742</v>
      </c>
      <c r="R14583" t="s">
        <v>657</v>
      </c>
      <c r="S14583" t="s">
        <v>22763</v>
      </c>
      <c r="T14583">
        <v>39</v>
      </c>
      <c r="U14583" s="26" t="str">
        <f t="shared" si="547"/>
        <v>2023.024M.Bunyaviricetes.zip</v>
      </c>
    </row>
    <row r="14584" spans="1:21">
      <c r="A14584">
        <v>14583</v>
      </c>
      <c r="B14584" s="27" t="s">
        <v>1124</v>
      </c>
      <c r="D14584" s="27" t="s">
        <v>1859</v>
      </c>
      <c r="F14584" s="27" t="s">
        <v>938</v>
      </c>
      <c r="G14584" s="27" t="s">
        <v>959</v>
      </c>
      <c r="H14584" s="27" t="s">
        <v>17007</v>
      </c>
      <c r="J14584" s="27" t="s">
        <v>17036</v>
      </c>
      <c r="L14584" s="27" t="s">
        <v>256</v>
      </c>
      <c r="N14584" s="27" t="s">
        <v>573</v>
      </c>
      <c r="P14584" s="27" t="s">
        <v>9865</v>
      </c>
      <c r="Q14584" s="26" t="str">
        <f>HYPERLINK("https://ictv.global/taxonomy/taxondetails?taxnode_id=202502598&amp;ictv_id=ICTV20165232","ICTV20165232")</f>
        <v>ICTV20165232</v>
      </c>
      <c r="R14584" t="s">
        <v>657</v>
      </c>
      <c r="S14584" t="s">
        <v>22763</v>
      </c>
      <c r="T14584">
        <v>39</v>
      </c>
      <c r="U14584" s="26" t="str">
        <f t="shared" si="547"/>
        <v>2023.024M.Bunyaviricetes.zip</v>
      </c>
    </row>
    <row r="14585" spans="1:21">
      <c r="A14585">
        <v>14584</v>
      </c>
      <c r="B14585" s="27" t="s">
        <v>1124</v>
      </c>
      <c r="D14585" s="27" t="s">
        <v>1859</v>
      </c>
      <c r="F14585" s="27" t="s">
        <v>938</v>
      </c>
      <c r="G14585" s="27" t="s">
        <v>959</v>
      </c>
      <c r="H14585" s="27" t="s">
        <v>17007</v>
      </c>
      <c r="J14585" s="27" t="s">
        <v>17036</v>
      </c>
      <c r="L14585" s="27" t="s">
        <v>256</v>
      </c>
      <c r="N14585" s="27" t="s">
        <v>573</v>
      </c>
      <c r="P14585" s="27" t="s">
        <v>17044</v>
      </c>
      <c r="Q14585" s="26" t="str">
        <f>HYPERLINK("https://ictv.global/taxonomy/taxondetails?taxnode_id=202518094&amp;ictv_id=ICTV202318094","ICTV202318094")</f>
        <v>ICTV202318094</v>
      </c>
      <c r="R14585" t="s">
        <v>657</v>
      </c>
      <c r="S14585" t="s">
        <v>823</v>
      </c>
      <c r="T14585">
        <v>39</v>
      </c>
      <c r="U14585" s="26" t="str">
        <f>HYPERLINK("https://ictv.global/ictv/proposals/2023.014M.Mammarenavirus_2nsp.zip","2023.014M.Mammarenavirus_2nsp.zip")</f>
        <v>2023.014M.Mammarenavirus_2nsp.zip</v>
      </c>
    </row>
    <row r="14586" spans="1:21">
      <c r="A14586">
        <v>14585</v>
      </c>
      <c r="B14586" s="27" t="s">
        <v>1124</v>
      </c>
      <c r="D14586" s="27" t="s">
        <v>1859</v>
      </c>
      <c r="F14586" s="27" t="s">
        <v>938</v>
      </c>
      <c r="G14586" s="27" t="s">
        <v>959</v>
      </c>
      <c r="H14586" s="27" t="s">
        <v>17007</v>
      </c>
      <c r="J14586" s="27" t="s">
        <v>17036</v>
      </c>
      <c r="L14586" s="27" t="s">
        <v>256</v>
      </c>
      <c r="N14586" s="27" t="s">
        <v>573</v>
      </c>
      <c r="P14586" s="27" t="s">
        <v>9866</v>
      </c>
      <c r="Q14586" s="26" t="str">
        <f>HYPERLINK("https://ictv.global/taxonomy/taxondetails?taxnode_id=202502599&amp;ictv_id=ICTV19710136","ICTV19710136")</f>
        <v>ICTV19710136</v>
      </c>
      <c r="R14586" t="s">
        <v>657</v>
      </c>
      <c r="S14586" t="s">
        <v>22763</v>
      </c>
      <c r="T14586">
        <v>39</v>
      </c>
      <c r="U14586" s="26" t="str">
        <f>HYPERLINK("https://ictv.global/ictv/proposals/2023.024M.Bunyaviricetes.zip","2023.024M.Bunyaviricetes.zip")</f>
        <v>2023.024M.Bunyaviricetes.zip</v>
      </c>
    </row>
    <row r="14587" spans="1:21">
      <c r="A14587">
        <v>14586</v>
      </c>
      <c r="B14587" s="27" t="s">
        <v>1124</v>
      </c>
      <c r="D14587" s="27" t="s">
        <v>1859</v>
      </c>
      <c r="F14587" s="27" t="s">
        <v>938</v>
      </c>
      <c r="G14587" s="27" t="s">
        <v>959</v>
      </c>
      <c r="H14587" s="27" t="s">
        <v>17007</v>
      </c>
      <c r="J14587" s="27" t="s">
        <v>17036</v>
      </c>
      <c r="L14587" s="27" t="s">
        <v>256</v>
      </c>
      <c r="N14587" s="27" t="s">
        <v>573</v>
      </c>
      <c r="P14587" s="27" t="s">
        <v>9867</v>
      </c>
      <c r="Q14587" s="26" t="str">
        <f>HYPERLINK("https://ictv.global/taxonomy/taxondetails?taxnode_id=202502600&amp;ictv_id=ICTV19710137","ICTV19710137")</f>
        <v>ICTV19710137</v>
      </c>
      <c r="R14587" t="s">
        <v>657</v>
      </c>
      <c r="S14587" t="s">
        <v>22763</v>
      </c>
      <c r="T14587">
        <v>39</v>
      </c>
      <c r="U14587" s="26" t="str">
        <f>HYPERLINK("https://ictv.global/ictv/proposals/2023.024M.Bunyaviricetes.zip","2023.024M.Bunyaviricetes.zip")</f>
        <v>2023.024M.Bunyaviricetes.zip</v>
      </c>
    </row>
    <row r="14588" spans="1:21">
      <c r="A14588">
        <v>14587</v>
      </c>
      <c r="B14588" s="27" t="s">
        <v>1124</v>
      </c>
      <c r="D14588" s="27" t="s">
        <v>1859</v>
      </c>
      <c r="F14588" s="27" t="s">
        <v>938</v>
      </c>
      <c r="G14588" s="27" t="s">
        <v>959</v>
      </c>
      <c r="H14588" s="27" t="s">
        <v>17007</v>
      </c>
      <c r="J14588" s="27" t="s">
        <v>17036</v>
      </c>
      <c r="L14588" s="27" t="s">
        <v>256</v>
      </c>
      <c r="N14588" s="27" t="s">
        <v>573</v>
      </c>
      <c r="P14588" s="27" t="s">
        <v>17045</v>
      </c>
      <c r="Q14588" s="26" t="str">
        <f>HYPERLINK("https://ictv.global/taxonomy/taxondetails?taxnode_id=202519015&amp;ictv_id=ICTV202319015","ICTV202319015")</f>
        <v>ICTV202319015</v>
      </c>
      <c r="R14588" t="s">
        <v>657</v>
      </c>
      <c r="S14588" t="s">
        <v>823</v>
      </c>
      <c r="T14588">
        <v>39</v>
      </c>
      <c r="U14588" s="26" t="str">
        <f>HYPERLINK("https://ictv.global/ictv/proposals/2023.027M.Mammarenavirus_6nsp.zip","2023.027M.Mammarenavirus_6nsp.zip")</f>
        <v>2023.027M.Mammarenavirus_6nsp.zip</v>
      </c>
    </row>
    <row r="14589" spans="1:21">
      <c r="A14589">
        <v>14588</v>
      </c>
      <c r="B14589" s="27" t="s">
        <v>1124</v>
      </c>
      <c r="D14589" s="27" t="s">
        <v>1859</v>
      </c>
      <c r="F14589" s="27" t="s">
        <v>938</v>
      </c>
      <c r="G14589" s="27" t="s">
        <v>959</v>
      </c>
      <c r="H14589" s="27" t="s">
        <v>17007</v>
      </c>
      <c r="J14589" s="27" t="s">
        <v>17036</v>
      </c>
      <c r="L14589" s="27" t="s">
        <v>256</v>
      </c>
      <c r="N14589" s="27" t="s">
        <v>573</v>
      </c>
      <c r="P14589" s="27" t="s">
        <v>20468</v>
      </c>
      <c r="Q14589" s="26" t="str">
        <f>HYPERLINK("https://ictv.global/taxonomy/taxondetails?taxnode_id=202520443&amp;ictv_id=ICTV202420443","ICTV202420443")</f>
        <v>ICTV202420443</v>
      </c>
      <c r="R14589" t="s">
        <v>580</v>
      </c>
      <c r="S14589" t="s">
        <v>823</v>
      </c>
      <c r="T14589">
        <v>40</v>
      </c>
      <c r="U14589" s="26" t="str">
        <f>HYPERLINK("https://ictv.global/ictv/proposals/2024.009M.Mammarenavirus_1nsp.zip","2024.009M.Mammarenavirus_1nsp.zip")</f>
        <v>2024.009M.Mammarenavirus_1nsp.zip</v>
      </c>
    </row>
    <row r="14590" spans="1:21">
      <c r="A14590">
        <v>14589</v>
      </c>
      <c r="B14590" s="27" t="s">
        <v>1124</v>
      </c>
      <c r="D14590" s="27" t="s">
        <v>1859</v>
      </c>
      <c r="F14590" s="27" t="s">
        <v>938</v>
      </c>
      <c r="G14590" s="27" t="s">
        <v>959</v>
      </c>
      <c r="H14590" s="27" t="s">
        <v>17007</v>
      </c>
      <c r="J14590" s="27" t="s">
        <v>17036</v>
      </c>
      <c r="L14590" s="27" t="s">
        <v>256</v>
      </c>
      <c r="N14590" s="27" t="s">
        <v>573</v>
      </c>
      <c r="P14590" s="27" t="s">
        <v>9868</v>
      </c>
      <c r="Q14590" s="26" t="str">
        <f>HYPERLINK("https://ictv.global/taxonomy/taxondetails?taxnode_id=202502601&amp;ictv_id=ICTV20151914","ICTV20151914")</f>
        <v>ICTV20151914</v>
      </c>
      <c r="R14590" t="s">
        <v>657</v>
      </c>
      <c r="S14590" t="s">
        <v>22763</v>
      </c>
      <c r="T14590">
        <v>39</v>
      </c>
      <c r="U14590" s="26" t="str">
        <f t="shared" ref="U14590:U14603" si="548">HYPERLINK("https://ictv.global/ictv/proposals/2023.024M.Bunyaviricetes.zip","2023.024M.Bunyaviricetes.zip")</f>
        <v>2023.024M.Bunyaviricetes.zip</v>
      </c>
    </row>
    <row r="14591" spans="1:21">
      <c r="A14591">
        <v>14590</v>
      </c>
      <c r="B14591" s="27" t="s">
        <v>1124</v>
      </c>
      <c r="D14591" s="27" t="s">
        <v>1859</v>
      </c>
      <c r="F14591" s="27" t="s">
        <v>938</v>
      </c>
      <c r="G14591" s="27" t="s">
        <v>959</v>
      </c>
      <c r="H14591" s="27" t="s">
        <v>17007</v>
      </c>
      <c r="J14591" s="27" t="s">
        <v>17036</v>
      </c>
      <c r="L14591" s="27" t="s">
        <v>256</v>
      </c>
      <c r="N14591" s="27" t="s">
        <v>573</v>
      </c>
      <c r="P14591" s="27" t="s">
        <v>9869</v>
      </c>
      <c r="Q14591" s="26" t="str">
        <f>HYPERLINK("https://ictv.global/taxonomy/taxondetails?taxnode_id=202502602&amp;ictv_id=ICTV19990545","ICTV19990545")</f>
        <v>ICTV19990545</v>
      </c>
      <c r="R14591" t="s">
        <v>657</v>
      </c>
      <c r="S14591" t="s">
        <v>22763</v>
      </c>
      <c r="T14591">
        <v>39</v>
      </c>
      <c r="U14591" s="26" t="str">
        <f t="shared" si="548"/>
        <v>2023.024M.Bunyaviricetes.zip</v>
      </c>
    </row>
    <row r="14592" spans="1:21">
      <c r="A14592">
        <v>14591</v>
      </c>
      <c r="B14592" s="27" t="s">
        <v>1124</v>
      </c>
      <c r="D14592" s="27" t="s">
        <v>1859</v>
      </c>
      <c r="F14592" s="27" t="s">
        <v>938</v>
      </c>
      <c r="G14592" s="27" t="s">
        <v>959</v>
      </c>
      <c r="H14592" s="27" t="s">
        <v>17007</v>
      </c>
      <c r="J14592" s="27" t="s">
        <v>17036</v>
      </c>
      <c r="L14592" s="27" t="s">
        <v>256</v>
      </c>
      <c r="N14592" s="27" t="s">
        <v>573</v>
      </c>
      <c r="P14592" s="27" t="s">
        <v>9870</v>
      </c>
      <c r="Q14592" s="26" t="str">
        <f>HYPERLINK("https://ictv.global/taxonomy/taxondetails?taxnode_id=202507185&amp;ictv_id=ICTV201907185","ICTV201907185")</f>
        <v>ICTV201907185</v>
      </c>
      <c r="R14592" t="s">
        <v>657</v>
      </c>
      <c r="S14592" t="s">
        <v>22763</v>
      </c>
      <c r="T14592">
        <v>39</v>
      </c>
      <c r="U14592" s="26" t="str">
        <f t="shared" si="548"/>
        <v>2023.024M.Bunyaviricetes.zip</v>
      </c>
    </row>
    <row r="14593" spans="1:21">
      <c r="A14593">
        <v>14592</v>
      </c>
      <c r="B14593" s="27" t="s">
        <v>1124</v>
      </c>
      <c r="D14593" s="27" t="s">
        <v>1859</v>
      </c>
      <c r="F14593" s="27" t="s">
        <v>938</v>
      </c>
      <c r="G14593" s="27" t="s">
        <v>959</v>
      </c>
      <c r="H14593" s="27" t="s">
        <v>17007</v>
      </c>
      <c r="J14593" s="27" t="s">
        <v>17036</v>
      </c>
      <c r="L14593" s="27" t="s">
        <v>256</v>
      </c>
      <c r="N14593" s="27" t="s">
        <v>574</v>
      </c>
      <c r="P14593" s="27" t="s">
        <v>9871</v>
      </c>
      <c r="Q14593" s="26" t="str">
        <f>HYPERLINK("https://ictv.global/taxonomy/taxondetails?taxnode_id=202502604&amp;ictv_id=ICTV20141532","ICTV20141532")</f>
        <v>ICTV20141532</v>
      </c>
      <c r="R14593" t="s">
        <v>657</v>
      </c>
      <c r="S14593" t="s">
        <v>22763</v>
      </c>
      <c r="T14593">
        <v>39</v>
      </c>
      <c r="U14593" s="26" t="str">
        <f t="shared" si="548"/>
        <v>2023.024M.Bunyaviricetes.zip</v>
      </c>
    </row>
    <row r="14594" spans="1:21">
      <c r="A14594">
        <v>14593</v>
      </c>
      <c r="B14594" s="27" t="s">
        <v>1124</v>
      </c>
      <c r="D14594" s="27" t="s">
        <v>1859</v>
      </c>
      <c r="F14594" s="27" t="s">
        <v>938</v>
      </c>
      <c r="G14594" s="27" t="s">
        <v>959</v>
      </c>
      <c r="H14594" s="27" t="s">
        <v>17007</v>
      </c>
      <c r="J14594" s="27" t="s">
        <v>17036</v>
      </c>
      <c r="L14594" s="27" t="s">
        <v>256</v>
      </c>
      <c r="N14594" s="27" t="s">
        <v>574</v>
      </c>
      <c r="P14594" s="27" t="s">
        <v>9872</v>
      </c>
      <c r="Q14594" s="26" t="str">
        <f>HYPERLINK("https://ictv.global/taxonomy/taxondetails?taxnode_id=202502605&amp;ictv_id=ICTV20141533","ICTV20141533")</f>
        <v>ICTV20141533</v>
      </c>
      <c r="R14594" t="s">
        <v>657</v>
      </c>
      <c r="S14594" t="s">
        <v>22763</v>
      </c>
      <c r="T14594">
        <v>39</v>
      </c>
      <c r="U14594" s="26" t="str">
        <f t="shared" si="548"/>
        <v>2023.024M.Bunyaviricetes.zip</v>
      </c>
    </row>
    <row r="14595" spans="1:21">
      <c r="A14595">
        <v>14594</v>
      </c>
      <c r="B14595" s="27" t="s">
        <v>1124</v>
      </c>
      <c r="D14595" s="27" t="s">
        <v>1859</v>
      </c>
      <c r="F14595" s="27" t="s">
        <v>938</v>
      </c>
      <c r="G14595" s="27" t="s">
        <v>959</v>
      </c>
      <c r="H14595" s="27" t="s">
        <v>17007</v>
      </c>
      <c r="J14595" s="27" t="s">
        <v>17036</v>
      </c>
      <c r="L14595" s="27" t="s">
        <v>256</v>
      </c>
      <c r="N14595" s="27" t="s">
        <v>574</v>
      </c>
      <c r="P14595" s="27" t="s">
        <v>9873</v>
      </c>
      <c r="Q14595" s="26" t="str">
        <f>HYPERLINK("https://ictv.global/taxonomy/taxondetails?taxnode_id=202505745&amp;ictv_id=ICTV20175745","ICTV20175745")</f>
        <v>ICTV20175745</v>
      </c>
      <c r="R14595" t="s">
        <v>657</v>
      </c>
      <c r="S14595" t="s">
        <v>22763</v>
      </c>
      <c r="T14595">
        <v>39</v>
      </c>
      <c r="U14595" s="26" t="str">
        <f t="shared" si="548"/>
        <v>2023.024M.Bunyaviricetes.zip</v>
      </c>
    </row>
    <row r="14596" spans="1:21">
      <c r="A14596">
        <v>14595</v>
      </c>
      <c r="B14596" s="27" t="s">
        <v>1124</v>
      </c>
      <c r="D14596" s="27" t="s">
        <v>1859</v>
      </c>
      <c r="F14596" s="27" t="s">
        <v>938</v>
      </c>
      <c r="G14596" s="27" t="s">
        <v>959</v>
      </c>
      <c r="H14596" s="27" t="s">
        <v>17007</v>
      </c>
      <c r="J14596" s="27" t="s">
        <v>17036</v>
      </c>
      <c r="L14596" s="27" t="s">
        <v>256</v>
      </c>
      <c r="N14596" s="27" t="s">
        <v>574</v>
      </c>
      <c r="P14596" s="27" t="s">
        <v>9874</v>
      </c>
      <c r="Q14596" s="26" t="str">
        <f>HYPERLINK("https://ictv.global/taxonomy/taxondetails?taxnode_id=202505744&amp;ictv_id=ICTV20175744","ICTV20175744")</f>
        <v>ICTV20175744</v>
      </c>
      <c r="R14596" t="s">
        <v>657</v>
      </c>
      <c r="S14596" t="s">
        <v>22763</v>
      </c>
      <c r="T14596">
        <v>39</v>
      </c>
      <c r="U14596" s="26" t="str">
        <f t="shared" si="548"/>
        <v>2023.024M.Bunyaviricetes.zip</v>
      </c>
    </row>
    <row r="14597" spans="1:21">
      <c r="A14597">
        <v>14596</v>
      </c>
      <c r="B14597" s="27" t="s">
        <v>1124</v>
      </c>
      <c r="D14597" s="27" t="s">
        <v>1859</v>
      </c>
      <c r="F14597" s="27" t="s">
        <v>938</v>
      </c>
      <c r="G14597" s="27" t="s">
        <v>959</v>
      </c>
      <c r="H14597" s="27" t="s">
        <v>17007</v>
      </c>
      <c r="J14597" s="27" t="s">
        <v>17036</v>
      </c>
      <c r="L14597" s="27" t="s">
        <v>256</v>
      </c>
      <c r="N14597" s="27" t="s">
        <v>574</v>
      </c>
      <c r="P14597" s="27" t="s">
        <v>9875</v>
      </c>
      <c r="Q14597" s="26" t="str">
        <f>HYPERLINK("https://ictv.global/taxonomy/taxondetails?taxnode_id=202502606&amp;ictv_id=ICTV20141534","ICTV20141534")</f>
        <v>ICTV20141534</v>
      </c>
      <c r="R14597" t="s">
        <v>657</v>
      </c>
      <c r="S14597" t="s">
        <v>22763</v>
      </c>
      <c r="T14597">
        <v>39</v>
      </c>
      <c r="U14597" s="26" t="str">
        <f t="shared" si="548"/>
        <v>2023.024M.Bunyaviricetes.zip</v>
      </c>
    </row>
    <row r="14598" spans="1:21">
      <c r="A14598">
        <v>14597</v>
      </c>
      <c r="B14598" s="27" t="s">
        <v>1124</v>
      </c>
      <c r="D14598" s="27" t="s">
        <v>1859</v>
      </c>
      <c r="F14598" s="27" t="s">
        <v>938</v>
      </c>
      <c r="G14598" s="27" t="s">
        <v>959</v>
      </c>
      <c r="H14598" s="27" t="s">
        <v>17007</v>
      </c>
      <c r="J14598" s="27" t="s">
        <v>17036</v>
      </c>
      <c r="L14598" s="27" t="s">
        <v>9876</v>
      </c>
      <c r="N14598" s="27" t="s">
        <v>9877</v>
      </c>
      <c r="P14598" s="27" t="s">
        <v>9878</v>
      </c>
      <c r="Q14598" s="26" t="str">
        <f>HYPERLINK("https://ictv.global/taxonomy/taxondetails?taxnode_id=202512956&amp;ictv_id=ICTV202112956","ICTV202112956")</f>
        <v>ICTV202112956</v>
      </c>
      <c r="R14598" t="s">
        <v>580</v>
      </c>
      <c r="S14598" t="s">
        <v>22763</v>
      </c>
      <c r="T14598">
        <v>39</v>
      </c>
      <c r="U14598" s="26" t="str">
        <f t="shared" si="548"/>
        <v>2023.024M.Bunyaviricetes.zip</v>
      </c>
    </row>
    <row r="14599" spans="1:21">
      <c r="A14599">
        <v>14598</v>
      </c>
      <c r="B14599" s="27" t="s">
        <v>1124</v>
      </c>
      <c r="D14599" s="27" t="s">
        <v>1859</v>
      </c>
      <c r="F14599" s="27" t="s">
        <v>938</v>
      </c>
      <c r="G14599" s="27" t="s">
        <v>959</v>
      </c>
      <c r="H14599" s="27" t="s">
        <v>17007</v>
      </c>
      <c r="J14599" s="27" t="s">
        <v>17036</v>
      </c>
      <c r="L14599" s="27" t="s">
        <v>9876</v>
      </c>
      <c r="N14599" s="27" t="s">
        <v>9877</v>
      </c>
      <c r="P14599" s="27" t="s">
        <v>9879</v>
      </c>
      <c r="Q14599" s="26" t="str">
        <f>HYPERLINK("https://ictv.global/taxonomy/taxondetails?taxnode_id=202512957&amp;ictv_id=ICTV202112957","ICTV202112957")</f>
        <v>ICTV202112957</v>
      </c>
      <c r="R14599" t="s">
        <v>580</v>
      </c>
      <c r="S14599" t="s">
        <v>22763</v>
      </c>
      <c r="T14599">
        <v>39</v>
      </c>
      <c r="U14599" s="26" t="str">
        <f t="shared" si="548"/>
        <v>2023.024M.Bunyaviricetes.zip</v>
      </c>
    </row>
    <row r="14600" spans="1:21">
      <c r="A14600">
        <v>14599</v>
      </c>
      <c r="B14600" s="27" t="s">
        <v>1124</v>
      </c>
      <c r="D14600" s="27" t="s">
        <v>1859</v>
      </c>
      <c r="F14600" s="27" t="s">
        <v>938</v>
      </c>
      <c r="G14600" s="27" t="s">
        <v>959</v>
      </c>
      <c r="H14600" s="27" t="s">
        <v>17007</v>
      </c>
      <c r="J14600" s="27" t="s">
        <v>17036</v>
      </c>
      <c r="L14600" s="27" t="s">
        <v>9876</v>
      </c>
      <c r="N14600" s="27" t="s">
        <v>9877</v>
      </c>
      <c r="P14600" s="27" t="s">
        <v>9880</v>
      </c>
      <c r="Q14600" s="26" t="str">
        <f>HYPERLINK("https://ictv.global/taxonomy/taxondetails?taxnode_id=202512958&amp;ictv_id=ICTV202112958","ICTV202112958")</f>
        <v>ICTV202112958</v>
      </c>
      <c r="R14600" t="s">
        <v>580</v>
      </c>
      <c r="S14600" t="s">
        <v>22763</v>
      </c>
      <c r="T14600">
        <v>39</v>
      </c>
      <c r="U14600" s="26" t="str">
        <f t="shared" si="548"/>
        <v>2023.024M.Bunyaviricetes.zip</v>
      </c>
    </row>
    <row r="14601" spans="1:21">
      <c r="A14601">
        <v>14600</v>
      </c>
      <c r="B14601" s="27" t="s">
        <v>1124</v>
      </c>
      <c r="D14601" s="27" t="s">
        <v>1859</v>
      </c>
      <c r="F14601" s="27" t="s">
        <v>938</v>
      </c>
      <c r="G14601" s="27" t="s">
        <v>959</v>
      </c>
      <c r="H14601" s="27" t="s">
        <v>17007</v>
      </c>
      <c r="J14601" s="27" t="s">
        <v>17036</v>
      </c>
      <c r="L14601" s="27" t="s">
        <v>9876</v>
      </c>
      <c r="N14601" s="27" t="s">
        <v>9877</v>
      </c>
      <c r="P14601" s="27" t="s">
        <v>9881</v>
      </c>
      <c r="Q14601" s="26" t="str">
        <f>HYPERLINK("https://ictv.global/taxonomy/taxondetails?taxnode_id=202512955&amp;ictv_id=ICTV202112955","ICTV202112955")</f>
        <v>ICTV202112955</v>
      </c>
      <c r="R14601" t="s">
        <v>580</v>
      </c>
      <c r="S14601" t="s">
        <v>22763</v>
      </c>
      <c r="T14601">
        <v>39</v>
      </c>
      <c r="U14601" s="26" t="str">
        <f t="shared" si="548"/>
        <v>2023.024M.Bunyaviricetes.zip</v>
      </c>
    </row>
    <row r="14602" spans="1:21">
      <c r="A14602">
        <v>14601</v>
      </c>
      <c r="B14602" s="27" t="s">
        <v>1124</v>
      </c>
      <c r="D14602" s="27" t="s">
        <v>1859</v>
      </c>
      <c r="F14602" s="27" t="s">
        <v>938</v>
      </c>
      <c r="G14602" s="27" t="s">
        <v>959</v>
      </c>
      <c r="H14602" s="27" t="s">
        <v>17007</v>
      </c>
      <c r="J14602" s="27" t="s">
        <v>17036</v>
      </c>
      <c r="L14602" s="27" t="s">
        <v>9876</v>
      </c>
      <c r="N14602" s="27" t="s">
        <v>9877</v>
      </c>
      <c r="P14602" s="27" t="s">
        <v>17046</v>
      </c>
      <c r="Q14602" s="26" t="str">
        <f>HYPERLINK("https://ictv.global/taxonomy/taxondetails?taxnode_id=202518847&amp;ictv_id=ICTV202318847","ICTV202318847")</f>
        <v>ICTV202318847</v>
      </c>
      <c r="R14602" t="s">
        <v>580</v>
      </c>
      <c r="S14602" t="s">
        <v>823</v>
      </c>
      <c r="T14602">
        <v>39</v>
      </c>
      <c r="U14602" s="26" t="str">
        <f t="shared" si="548"/>
        <v>2023.024M.Bunyaviricetes.zip</v>
      </c>
    </row>
    <row r="14603" spans="1:21">
      <c r="A14603">
        <v>14602</v>
      </c>
      <c r="B14603" s="27" t="s">
        <v>1124</v>
      </c>
      <c r="D14603" s="27" t="s">
        <v>1859</v>
      </c>
      <c r="F14603" s="27" t="s">
        <v>938</v>
      </c>
      <c r="G14603" s="27" t="s">
        <v>959</v>
      </c>
      <c r="H14603" s="27" t="s">
        <v>17007</v>
      </c>
      <c r="J14603" s="27" t="s">
        <v>17036</v>
      </c>
      <c r="L14603" s="27" t="s">
        <v>9876</v>
      </c>
      <c r="N14603" s="27" t="s">
        <v>9877</v>
      </c>
      <c r="P14603" s="27" t="s">
        <v>9882</v>
      </c>
      <c r="Q14603" s="26" t="str">
        <f>HYPERLINK("https://ictv.global/taxonomy/taxondetails?taxnode_id=202512954&amp;ictv_id=ICTV202112954","ICTV202112954")</f>
        <v>ICTV202112954</v>
      </c>
      <c r="R14603" t="s">
        <v>580</v>
      </c>
      <c r="S14603" t="s">
        <v>22763</v>
      </c>
      <c r="T14603">
        <v>39</v>
      </c>
      <c r="U14603" s="26" t="str">
        <f t="shared" si="548"/>
        <v>2023.024M.Bunyaviricetes.zip</v>
      </c>
    </row>
    <row r="14604" spans="1:21">
      <c r="A14604">
        <v>14603</v>
      </c>
      <c r="B14604" s="27" t="s">
        <v>1124</v>
      </c>
      <c r="D14604" s="27" t="s">
        <v>1859</v>
      </c>
      <c r="F14604" s="27" t="s">
        <v>938</v>
      </c>
      <c r="G14604" s="27" t="s">
        <v>959</v>
      </c>
      <c r="H14604" s="27" t="s">
        <v>17007</v>
      </c>
      <c r="J14604" s="27" t="s">
        <v>17036</v>
      </c>
      <c r="L14604" s="27" t="s">
        <v>17023</v>
      </c>
      <c r="N14604" s="27" t="s">
        <v>17024</v>
      </c>
      <c r="P14604" s="27" t="s">
        <v>21408</v>
      </c>
      <c r="Q14604" s="26" t="str">
        <f>HYPERLINK("https://ictv.global/taxonomy/taxondetails?taxnode_id=202522293&amp;ictv_id=ICTV202522293","ICTV202522293")</f>
        <v>ICTV202522293</v>
      </c>
      <c r="R14604" t="s">
        <v>580</v>
      </c>
      <c r="S14604" t="s">
        <v>823</v>
      </c>
      <c r="T14604">
        <v>41</v>
      </c>
      <c r="U14604" s="26" t="str">
        <f>HYPERLINK("https://ictv.global/ictv/proposals/2025.006P.Konkoviridae_5nsp.zip","2025.006P.Konkoviridae_5nsp.zip")</f>
        <v>2025.006P.Konkoviridae_5nsp.zip</v>
      </c>
    </row>
    <row r="14605" spans="1:21">
      <c r="A14605">
        <v>14604</v>
      </c>
      <c r="B14605" s="27" t="s">
        <v>1124</v>
      </c>
      <c r="D14605" s="27" t="s">
        <v>1859</v>
      </c>
      <c r="F14605" s="27" t="s">
        <v>938</v>
      </c>
      <c r="G14605" s="27" t="s">
        <v>959</v>
      </c>
      <c r="H14605" s="27" t="s">
        <v>17007</v>
      </c>
      <c r="J14605" s="27" t="s">
        <v>17036</v>
      </c>
      <c r="L14605" s="27" t="s">
        <v>17023</v>
      </c>
      <c r="N14605" s="27" t="s">
        <v>17024</v>
      </c>
      <c r="P14605" s="27" t="s">
        <v>21409</v>
      </c>
      <c r="Q14605" s="26" t="str">
        <f>HYPERLINK("https://ictv.global/taxonomy/taxondetails?taxnode_id=202522294&amp;ictv_id=ICTV202522294","ICTV202522294")</f>
        <v>ICTV202522294</v>
      </c>
      <c r="R14605" t="s">
        <v>580</v>
      </c>
      <c r="S14605" t="s">
        <v>823</v>
      </c>
      <c r="T14605">
        <v>41</v>
      </c>
      <c r="U14605" s="26" t="str">
        <f>HYPERLINK("https://ictv.global/ictv/proposals/2025.006P.Konkoviridae_5nsp.zip","2025.006P.Konkoviridae_5nsp.zip")</f>
        <v>2025.006P.Konkoviridae_5nsp.zip</v>
      </c>
    </row>
    <row r="14606" spans="1:21">
      <c r="A14606">
        <v>14605</v>
      </c>
      <c r="B14606" s="27" t="s">
        <v>1124</v>
      </c>
      <c r="D14606" s="27" t="s">
        <v>1859</v>
      </c>
      <c r="F14606" s="27" t="s">
        <v>938</v>
      </c>
      <c r="G14606" s="27" t="s">
        <v>959</v>
      </c>
      <c r="H14606" s="27" t="s">
        <v>17007</v>
      </c>
      <c r="J14606" s="27" t="s">
        <v>17036</v>
      </c>
      <c r="L14606" s="27" t="s">
        <v>17023</v>
      </c>
      <c r="N14606" s="27" t="s">
        <v>17024</v>
      </c>
      <c r="P14606" s="27" t="s">
        <v>20469</v>
      </c>
      <c r="Q14606" s="26" t="str">
        <f>HYPERLINK("https://ictv.global/taxonomy/taxondetails?taxnode_id=202520185&amp;ictv_id=ICTV202420185","ICTV202420185")</f>
        <v>ICTV202420185</v>
      </c>
      <c r="R14606" t="s">
        <v>580</v>
      </c>
      <c r="S14606" t="s">
        <v>823</v>
      </c>
      <c r="T14606">
        <v>40</v>
      </c>
      <c r="U14606" s="26" t="str">
        <f>HYPERLINK("https://ictv.global/ictv/proposals/2024.004P.Konkoviridae_1nsp.zip","2024.004P.Konkoviridae_1nsp.zip")</f>
        <v>2024.004P.Konkoviridae_1nsp.zip</v>
      </c>
    </row>
    <row r="14607" spans="1:21">
      <c r="A14607">
        <v>14606</v>
      </c>
      <c r="B14607" s="27" t="s">
        <v>1124</v>
      </c>
      <c r="D14607" s="27" t="s">
        <v>1859</v>
      </c>
      <c r="F14607" s="27" t="s">
        <v>938</v>
      </c>
      <c r="G14607" s="27" t="s">
        <v>959</v>
      </c>
      <c r="H14607" s="27" t="s">
        <v>17007</v>
      </c>
      <c r="J14607" s="27" t="s">
        <v>17036</v>
      </c>
      <c r="L14607" s="27" t="s">
        <v>17023</v>
      </c>
      <c r="N14607" s="27" t="s">
        <v>17024</v>
      </c>
      <c r="P14607" s="27" t="s">
        <v>21410</v>
      </c>
      <c r="Q14607" s="26" t="str">
        <f>HYPERLINK("https://ictv.global/taxonomy/taxondetails?taxnode_id=202522295&amp;ictv_id=ICTV202522295","ICTV202522295")</f>
        <v>ICTV202522295</v>
      </c>
      <c r="R14607" t="s">
        <v>580</v>
      </c>
      <c r="S14607" t="s">
        <v>823</v>
      </c>
      <c r="T14607">
        <v>41</v>
      </c>
      <c r="U14607" s="26" t="str">
        <f>HYPERLINK("https://ictv.global/ictv/proposals/2025.006P.Konkoviridae_5nsp.zip","2025.006P.Konkoviridae_5nsp.zip")</f>
        <v>2025.006P.Konkoviridae_5nsp.zip</v>
      </c>
    </row>
    <row r="14608" spans="1:21">
      <c r="A14608">
        <v>14607</v>
      </c>
      <c r="B14608" s="27" t="s">
        <v>1124</v>
      </c>
      <c r="D14608" s="27" t="s">
        <v>1859</v>
      </c>
      <c r="F14608" s="27" t="s">
        <v>938</v>
      </c>
      <c r="G14608" s="27" t="s">
        <v>959</v>
      </c>
      <c r="H14608" s="27" t="s">
        <v>17007</v>
      </c>
      <c r="J14608" s="27" t="s">
        <v>17036</v>
      </c>
      <c r="L14608" s="27" t="s">
        <v>17023</v>
      </c>
      <c r="N14608" s="27" t="s">
        <v>17024</v>
      </c>
      <c r="P14608" s="27" t="s">
        <v>21411</v>
      </c>
      <c r="Q14608" s="26" t="str">
        <f>HYPERLINK("https://ictv.global/taxonomy/taxondetails?taxnode_id=202522296&amp;ictv_id=ICTV202522296","ICTV202522296")</f>
        <v>ICTV202522296</v>
      </c>
      <c r="R14608" t="s">
        <v>580</v>
      </c>
      <c r="S14608" t="s">
        <v>823</v>
      </c>
      <c r="T14608">
        <v>41</v>
      </c>
      <c r="U14608" s="26" t="str">
        <f>HYPERLINK("https://ictv.global/ictv/proposals/2025.006P.Konkoviridae_5nsp.zip","2025.006P.Konkoviridae_5nsp.zip")</f>
        <v>2025.006P.Konkoviridae_5nsp.zip</v>
      </c>
    </row>
    <row r="14609" spans="1:21">
      <c r="A14609">
        <v>14608</v>
      </c>
      <c r="B14609" s="27" t="s">
        <v>1124</v>
      </c>
      <c r="D14609" s="27" t="s">
        <v>1859</v>
      </c>
      <c r="F14609" s="27" t="s">
        <v>938</v>
      </c>
      <c r="G14609" s="27" t="s">
        <v>959</v>
      </c>
      <c r="H14609" s="27" t="s">
        <v>17007</v>
      </c>
      <c r="J14609" s="27" t="s">
        <v>17036</v>
      </c>
      <c r="L14609" s="27" t="s">
        <v>17023</v>
      </c>
      <c r="N14609" s="27" t="s">
        <v>17024</v>
      </c>
      <c r="P14609" s="27" t="s">
        <v>17025</v>
      </c>
      <c r="Q14609" s="26" t="str">
        <f>HYPERLINK("https://ictv.global/taxonomy/taxondetails?taxnode_id=202517829&amp;ictv_id=ICTV202317829","ICTV202317829")</f>
        <v>ICTV202317829</v>
      </c>
      <c r="R14609" t="s">
        <v>657</v>
      </c>
      <c r="S14609" t="s">
        <v>823</v>
      </c>
      <c r="T14609">
        <v>39</v>
      </c>
      <c r="U14609" s="26" t="str">
        <f>HYPERLINK("https://ictv.global/ictv/proposals/2023.006M.Bunyavirales_1nfam_1ngen_1nsp.zip","2023.006M.Bunyavirales_1nfam_1ngen_1nsp.zip")</f>
        <v>2023.006M.Bunyavirales_1nfam_1ngen_1nsp.zip</v>
      </c>
    </row>
    <row r="14610" spans="1:21">
      <c r="A14610">
        <v>14609</v>
      </c>
      <c r="B14610" s="27" t="s">
        <v>1124</v>
      </c>
      <c r="D14610" s="27" t="s">
        <v>1859</v>
      </c>
      <c r="F14610" s="27" t="s">
        <v>938</v>
      </c>
      <c r="G14610" s="27" t="s">
        <v>959</v>
      </c>
      <c r="H14610" s="27" t="s">
        <v>17007</v>
      </c>
      <c r="J14610" s="27" t="s">
        <v>17036</v>
      </c>
      <c r="L14610" s="27" t="s">
        <v>17023</v>
      </c>
      <c r="N14610" s="27" t="s">
        <v>17024</v>
      </c>
      <c r="P14610" s="27" t="s">
        <v>21412</v>
      </c>
      <c r="Q14610" s="26" t="str">
        <f>HYPERLINK("https://ictv.global/taxonomy/taxondetails?taxnode_id=202522297&amp;ictv_id=ICTV202522297","ICTV202522297")</f>
        <v>ICTV202522297</v>
      </c>
      <c r="R14610" t="s">
        <v>580</v>
      </c>
      <c r="S14610" t="s">
        <v>823</v>
      </c>
      <c r="T14610">
        <v>41</v>
      </c>
      <c r="U14610" s="26" t="str">
        <f>HYPERLINK("https://ictv.global/ictv/proposals/2025.006P.Konkoviridae_5nsp.zip","2025.006P.Konkoviridae_5nsp.zip")</f>
        <v>2025.006P.Konkoviridae_5nsp.zip</v>
      </c>
    </row>
    <row r="14611" spans="1:21">
      <c r="A14611">
        <v>14610</v>
      </c>
      <c r="B14611" s="27" t="s">
        <v>1124</v>
      </c>
      <c r="D14611" s="27" t="s">
        <v>1859</v>
      </c>
      <c r="F14611" s="27" t="s">
        <v>938</v>
      </c>
      <c r="G14611" s="27" t="s">
        <v>959</v>
      </c>
      <c r="H14611" s="27" t="s">
        <v>17007</v>
      </c>
      <c r="J14611" s="27" t="s">
        <v>17036</v>
      </c>
      <c r="L14611" s="27" t="s">
        <v>1151</v>
      </c>
      <c r="N14611" s="27" t="s">
        <v>1152</v>
      </c>
      <c r="P14611" s="27" t="s">
        <v>20470</v>
      </c>
      <c r="Q14611" s="26" t="str">
        <f>HYPERLINK("https://ictv.global/taxonomy/taxondetails?taxnode_id=202520748&amp;ictv_id=ICTV202420748","ICTV202420748")</f>
        <v>ICTV202420748</v>
      </c>
      <c r="R14611" t="s">
        <v>580</v>
      </c>
      <c r="S14611" t="s">
        <v>823</v>
      </c>
      <c r="T14611">
        <v>40</v>
      </c>
      <c r="U14611" s="26" t="str">
        <f t="shared" ref="U14611:U14616" si="549">HYPERLINK("https://ictv.global/ictv/proposals/2024.017M.Shilevirus_10nsp.zip","2024.017M.Shilevirus_10nsp.zip")</f>
        <v>2024.017M.Shilevirus_10nsp.zip</v>
      </c>
    </row>
    <row r="14612" spans="1:21">
      <c r="A14612">
        <v>14611</v>
      </c>
      <c r="B14612" s="27" t="s">
        <v>1124</v>
      </c>
      <c r="D14612" s="27" t="s">
        <v>1859</v>
      </c>
      <c r="F14612" s="27" t="s">
        <v>938</v>
      </c>
      <c r="G14612" s="27" t="s">
        <v>959</v>
      </c>
      <c r="H14612" s="27" t="s">
        <v>17007</v>
      </c>
      <c r="J14612" s="27" t="s">
        <v>17036</v>
      </c>
      <c r="L14612" s="27" t="s">
        <v>1151</v>
      </c>
      <c r="N14612" s="27" t="s">
        <v>1152</v>
      </c>
      <c r="P14612" s="27" t="s">
        <v>20471</v>
      </c>
      <c r="Q14612" s="26" t="str">
        <f>HYPERLINK("https://ictv.global/taxonomy/taxondetails?taxnode_id=202520753&amp;ictv_id=ICTV202420753","ICTV202420753")</f>
        <v>ICTV202420753</v>
      </c>
      <c r="R14612" t="s">
        <v>580</v>
      </c>
      <c r="S14612" t="s">
        <v>823</v>
      </c>
      <c r="T14612">
        <v>40</v>
      </c>
      <c r="U14612" s="26" t="str">
        <f t="shared" si="549"/>
        <v>2024.017M.Shilevirus_10nsp.zip</v>
      </c>
    </row>
    <row r="14613" spans="1:21">
      <c r="A14613">
        <v>14612</v>
      </c>
      <c r="B14613" s="27" t="s">
        <v>1124</v>
      </c>
      <c r="D14613" s="27" t="s">
        <v>1859</v>
      </c>
      <c r="F14613" s="27" t="s">
        <v>938</v>
      </c>
      <c r="G14613" s="27" t="s">
        <v>959</v>
      </c>
      <c r="H14613" s="27" t="s">
        <v>17007</v>
      </c>
      <c r="J14613" s="27" t="s">
        <v>17036</v>
      </c>
      <c r="L14613" s="27" t="s">
        <v>1151</v>
      </c>
      <c r="N14613" s="27" t="s">
        <v>1152</v>
      </c>
      <c r="P14613" s="27" t="s">
        <v>20472</v>
      </c>
      <c r="Q14613" s="26" t="str">
        <f>HYPERLINK("https://ictv.global/taxonomy/taxondetails?taxnode_id=202520749&amp;ictv_id=ICTV202420749","ICTV202420749")</f>
        <v>ICTV202420749</v>
      </c>
      <c r="R14613" t="s">
        <v>580</v>
      </c>
      <c r="S14613" t="s">
        <v>823</v>
      </c>
      <c r="T14613">
        <v>40</v>
      </c>
      <c r="U14613" s="26" t="str">
        <f t="shared" si="549"/>
        <v>2024.017M.Shilevirus_10nsp.zip</v>
      </c>
    </row>
    <row r="14614" spans="1:21">
      <c r="A14614">
        <v>14613</v>
      </c>
      <c r="B14614" s="27" t="s">
        <v>1124</v>
      </c>
      <c r="D14614" s="27" t="s">
        <v>1859</v>
      </c>
      <c r="F14614" s="27" t="s">
        <v>938</v>
      </c>
      <c r="G14614" s="27" t="s">
        <v>959</v>
      </c>
      <c r="H14614" s="27" t="s">
        <v>17007</v>
      </c>
      <c r="J14614" s="27" t="s">
        <v>17036</v>
      </c>
      <c r="L14614" s="27" t="s">
        <v>1151</v>
      </c>
      <c r="N14614" s="27" t="s">
        <v>1152</v>
      </c>
      <c r="P14614" s="27" t="s">
        <v>20473</v>
      </c>
      <c r="Q14614" s="26" t="str">
        <f>HYPERLINK("https://ictv.global/taxonomy/taxondetails?taxnode_id=202520754&amp;ictv_id=ICTV202420754","ICTV202420754")</f>
        <v>ICTV202420754</v>
      </c>
      <c r="R14614" t="s">
        <v>580</v>
      </c>
      <c r="S14614" t="s">
        <v>823</v>
      </c>
      <c r="T14614">
        <v>40</v>
      </c>
      <c r="U14614" s="26" t="str">
        <f t="shared" si="549"/>
        <v>2024.017M.Shilevirus_10nsp.zip</v>
      </c>
    </row>
    <row r="14615" spans="1:21">
      <c r="A14615">
        <v>14614</v>
      </c>
      <c r="B14615" s="27" t="s">
        <v>1124</v>
      </c>
      <c r="D14615" s="27" t="s">
        <v>1859</v>
      </c>
      <c r="F14615" s="27" t="s">
        <v>938</v>
      </c>
      <c r="G14615" s="27" t="s">
        <v>959</v>
      </c>
      <c r="H14615" s="27" t="s">
        <v>17007</v>
      </c>
      <c r="J14615" s="27" t="s">
        <v>17036</v>
      </c>
      <c r="L14615" s="27" t="s">
        <v>1151</v>
      </c>
      <c r="N14615" s="27" t="s">
        <v>1152</v>
      </c>
      <c r="P14615" s="27" t="s">
        <v>20474</v>
      </c>
      <c r="Q14615" s="26" t="str">
        <f>HYPERLINK("https://ictv.global/taxonomy/taxondetails?taxnode_id=202520751&amp;ictv_id=ICTV202420751","ICTV202420751")</f>
        <v>ICTV202420751</v>
      </c>
      <c r="R14615" t="s">
        <v>580</v>
      </c>
      <c r="S14615" t="s">
        <v>823</v>
      </c>
      <c r="T14615">
        <v>40</v>
      </c>
      <c r="U14615" s="26" t="str">
        <f t="shared" si="549"/>
        <v>2024.017M.Shilevirus_10nsp.zip</v>
      </c>
    </row>
    <row r="14616" spans="1:21">
      <c r="A14616">
        <v>14615</v>
      </c>
      <c r="B14616" s="27" t="s">
        <v>1124</v>
      </c>
      <c r="D14616" s="27" t="s">
        <v>1859</v>
      </c>
      <c r="F14616" s="27" t="s">
        <v>938</v>
      </c>
      <c r="G14616" s="27" t="s">
        <v>959</v>
      </c>
      <c r="H14616" s="27" t="s">
        <v>17007</v>
      </c>
      <c r="J14616" s="27" t="s">
        <v>17036</v>
      </c>
      <c r="L14616" s="27" t="s">
        <v>1151</v>
      </c>
      <c r="N14616" s="27" t="s">
        <v>1152</v>
      </c>
      <c r="P14616" s="27" t="s">
        <v>20475</v>
      </c>
      <c r="Q14616" s="26" t="str">
        <f>HYPERLINK("https://ictv.global/taxonomy/taxondetails?taxnode_id=202520757&amp;ictv_id=ICTV202420757","ICTV202420757")</f>
        <v>ICTV202420757</v>
      </c>
      <c r="R14616" t="s">
        <v>580</v>
      </c>
      <c r="S14616" t="s">
        <v>823</v>
      </c>
      <c r="T14616">
        <v>40</v>
      </c>
      <c r="U14616" s="26" t="str">
        <f t="shared" si="549"/>
        <v>2024.017M.Shilevirus_10nsp.zip</v>
      </c>
    </row>
    <row r="14617" spans="1:21">
      <c r="A14617">
        <v>14616</v>
      </c>
      <c r="B14617" s="27" t="s">
        <v>1124</v>
      </c>
      <c r="D14617" s="27" t="s">
        <v>1859</v>
      </c>
      <c r="F14617" s="27" t="s">
        <v>938</v>
      </c>
      <c r="G14617" s="27" t="s">
        <v>959</v>
      </c>
      <c r="H14617" s="27" t="s">
        <v>17007</v>
      </c>
      <c r="J14617" s="27" t="s">
        <v>17036</v>
      </c>
      <c r="L14617" s="27" t="s">
        <v>1151</v>
      </c>
      <c r="N14617" s="27" t="s">
        <v>1152</v>
      </c>
      <c r="P14617" s="27" t="s">
        <v>9956</v>
      </c>
      <c r="Q14617" s="26" t="str">
        <f>HYPERLINK("https://ictv.global/taxonomy/taxondetails?taxnode_id=202506595&amp;ictv_id=ICTV201856595","ICTV201856595")</f>
        <v>ICTV201856595</v>
      </c>
      <c r="R14617" t="s">
        <v>580</v>
      </c>
      <c r="S14617" t="s">
        <v>22763</v>
      </c>
      <c r="T14617">
        <v>39</v>
      </c>
      <c r="U14617" s="26" t="str">
        <f>HYPERLINK("https://ictv.global/ictv/proposals/2023.024M.Bunyaviricetes.zip","2023.024M.Bunyaviricetes.zip")</f>
        <v>2023.024M.Bunyaviricetes.zip</v>
      </c>
    </row>
    <row r="14618" spans="1:21">
      <c r="A14618">
        <v>14617</v>
      </c>
      <c r="B14618" s="27" t="s">
        <v>1124</v>
      </c>
      <c r="D14618" s="27" t="s">
        <v>1859</v>
      </c>
      <c r="F14618" s="27" t="s">
        <v>938</v>
      </c>
      <c r="G14618" s="27" t="s">
        <v>959</v>
      </c>
      <c r="H14618" s="27" t="s">
        <v>17007</v>
      </c>
      <c r="J14618" s="27" t="s">
        <v>17036</v>
      </c>
      <c r="L14618" s="27" t="s">
        <v>1151</v>
      </c>
      <c r="N14618" s="27" t="s">
        <v>1152</v>
      </c>
      <c r="P14618" s="27" t="s">
        <v>20476</v>
      </c>
      <c r="Q14618" s="26" t="str">
        <f>HYPERLINK("https://ictv.global/taxonomy/taxondetails?taxnode_id=202520755&amp;ictv_id=ICTV202420755","ICTV202420755")</f>
        <v>ICTV202420755</v>
      </c>
      <c r="R14618" t="s">
        <v>580</v>
      </c>
      <c r="S14618" t="s">
        <v>823</v>
      </c>
      <c r="T14618">
        <v>40</v>
      </c>
      <c r="U14618" s="26" t="str">
        <f>HYPERLINK("https://ictv.global/ictv/proposals/2024.017M.Shilevirus_10nsp.zip","2024.017M.Shilevirus_10nsp.zip")</f>
        <v>2024.017M.Shilevirus_10nsp.zip</v>
      </c>
    </row>
    <row r="14619" spans="1:21">
      <c r="A14619">
        <v>14618</v>
      </c>
      <c r="B14619" s="27" t="s">
        <v>1124</v>
      </c>
      <c r="D14619" s="27" t="s">
        <v>1859</v>
      </c>
      <c r="F14619" s="27" t="s">
        <v>938</v>
      </c>
      <c r="G14619" s="27" t="s">
        <v>959</v>
      </c>
      <c r="H14619" s="27" t="s">
        <v>17007</v>
      </c>
      <c r="J14619" s="27" t="s">
        <v>17036</v>
      </c>
      <c r="L14619" s="27" t="s">
        <v>1151</v>
      </c>
      <c r="N14619" s="27" t="s">
        <v>1152</v>
      </c>
      <c r="P14619" s="27" t="s">
        <v>20477</v>
      </c>
      <c r="Q14619" s="26" t="str">
        <f>HYPERLINK("https://ictv.global/taxonomy/taxondetails?taxnode_id=202520756&amp;ictv_id=ICTV202420756","ICTV202420756")</f>
        <v>ICTV202420756</v>
      </c>
      <c r="R14619" t="s">
        <v>580</v>
      </c>
      <c r="S14619" t="s">
        <v>823</v>
      </c>
      <c r="T14619">
        <v>40</v>
      </c>
      <c r="U14619" s="26" t="str">
        <f>HYPERLINK("https://ictv.global/ictv/proposals/2024.017M.Shilevirus_10nsp.zip","2024.017M.Shilevirus_10nsp.zip")</f>
        <v>2024.017M.Shilevirus_10nsp.zip</v>
      </c>
    </row>
    <row r="14620" spans="1:21">
      <c r="A14620">
        <v>14619</v>
      </c>
      <c r="B14620" s="27" t="s">
        <v>1124</v>
      </c>
      <c r="D14620" s="27" t="s">
        <v>1859</v>
      </c>
      <c r="F14620" s="27" t="s">
        <v>938</v>
      </c>
      <c r="G14620" s="27" t="s">
        <v>959</v>
      </c>
      <c r="H14620" s="27" t="s">
        <v>17007</v>
      </c>
      <c r="J14620" s="27" t="s">
        <v>17036</v>
      </c>
      <c r="L14620" s="27" t="s">
        <v>1151</v>
      </c>
      <c r="N14620" s="27" t="s">
        <v>1152</v>
      </c>
      <c r="P14620" s="27" t="s">
        <v>20478</v>
      </c>
      <c r="Q14620" s="26" t="str">
        <f>HYPERLINK("https://ictv.global/taxonomy/taxondetails?taxnode_id=202520752&amp;ictv_id=ICTV202420752","ICTV202420752")</f>
        <v>ICTV202420752</v>
      </c>
      <c r="R14620" t="s">
        <v>580</v>
      </c>
      <c r="S14620" t="s">
        <v>823</v>
      </c>
      <c r="T14620">
        <v>40</v>
      </c>
      <c r="U14620" s="26" t="str">
        <f>HYPERLINK("https://ictv.global/ictv/proposals/2024.017M.Shilevirus_10nsp.zip","2024.017M.Shilevirus_10nsp.zip")</f>
        <v>2024.017M.Shilevirus_10nsp.zip</v>
      </c>
    </row>
    <row r="14621" spans="1:21">
      <c r="A14621">
        <v>14620</v>
      </c>
      <c r="B14621" s="27" t="s">
        <v>1124</v>
      </c>
      <c r="D14621" s="27" t="s">
        <v>1859</v>
      </c>
      <c r="F14621" s="27" t="s">
        <v>938</v>
      </c>
      <c r="G14621" s="27" t="s">
        <v>959</v>
      </c>
      <c r="H14621" s="27" t="s">
        <v>17007</v>
      </c>
      <c r="J14621" s="27" t="s">
        <v>17036</v>
      </c>
      <c r="L14621" s="27" t="s">
        <v>1151</v>
      </c>
      <c r="N14621" s="27" t="s">
        <v>1152</v>
      </c>
      <c r="P14621" s="27" t="s">
        <v>20479</v>
      </c>
      <c r="Q14621" s="26" t="str">
        <f>HYPERLINK("https://ictv.global/taxonomy/taxondetails?taxnode_id=202520750&amp;ictv_id=ICTV202420750","ICTV202420750")</f>
        <v>ICTV202420750</v>
      </c>
      <c r="R14621" t="s">
        <v>580</v>
      </c>
      <c r="S14621" t="s">
        <v>823</v>
      </c>
      <c r="T14621">
        <v>40</v>
      </c>
      <c r="U14621" s="26" t="str">
        <f>HYPERLINK("https://ictv.global/ictv/proposals/2024.017M.Shilevirus_10nsp.zip","2024.017M.Shilevirus_10nsp.zip")</f>
        <v>2024.017M.Shilevirus_10nsp.zip</v>
      </c>
    </row>
    <row r="14622" spans="1:21">
      <c r="A14622">
        <v>14621</v>
      </c>
      <c r="B14622" s="27" t="s">
        <v>1124</v>
      </c>
      <c r="D14622" s="27" t="s">
        <v>1859</v>
      </c>
      <c r="F14622" s="27" t="s">
        <v>938</v>
      </c>
      <c r="G14622" s="27" t="s">
        <v>959</v>
      </c>
      <c r="H14622" s="27" t="s">
        <v>17007</v>
      </c>
      <c r="J14622" s="27" t="s">
        <v>17036</v>
      </c>
      <c r="L14622" s="27" t="s">
        <v>965</v>
      </c>
      <c r="N14622" s="27" t="s">
        <v>966</v>
      </c>
      <c r="P14622" s="27" t="s">
        <v>9957</v>
      </c>
      <c r="Q14622" s="26" t="str">
        <f>HYPERLINK("https://ictv.global/taxonomy/taxondetails?taxnode_id=202506215&amp;ictv_id=ICTV20186215","ICTV20186215")</f>
        <v>ICTV20186215</v>
      </c>
      <c r="R14622" t="s">
        <v>580</v>
      </c>
      <c r="S14622" t="s">
        <v>22763</v>
      </c>
      <c r="T14622">
        <v>39</v>
      </c>
      <c r="U14622" s="26" t="str">
        <f t="shared" ref="U14622:U14628" si="550">HYPERLINK("https://ictv.global/ictv/proposals/2023.024M.Bunyaviricetes.zip","2023.024M.Bunyaviricetes.zip")</f>
        <v>2023.024M.Bunyaviricetes.zip</v>
      </c>
    </row>
    <row r="14623" spans="1:21">
      <c r="A14623">
        <v>14622</v>
      </c>
      <c r="B14623" s="27" t="s">
        <v>1124</v>
      </c>
      <c r="D14623" s="27" t="s">
        <v>1859</v>
      </c>
      <c r="F14623" s="27" t="s">
        <v>938</v>
      </c>
      <c r="G14623" s="27" t="s">
        <v>959</v>
      </c>
      <c r="H14623" s="27" t="s">
        <v>17007</v>
      </c>
      <c r="J14623" s="27" t="s">
        <v>17036</v>
      </c>
      <c r="L14623" s="27" t="s">
        <v>727</v>
      </c>
      <c r="N14623" s="27" t="s">
        <v>3588</v>
      </c>
      <c r="P14623" s="27" t="s">
        <v>9958</v>
      </c>
      <c r="Q14623" s="26" t="str">
        <f>HYPERLINK("https://ictv.global/taxonomy/taxondetails?taxnode_id=202514218&amp;ictv_id=ICTV202214218","ICTV202214218")</f>
        <v>ICTV202214218</v>
      </c>
      <c r="R14623" t="s">
        <v>580</v>
      </c>
      <c r="S14623" t="s">
        <v>22763</v>
      </c>
      <c r="T14623">
        <v>39</v>
      </c>
      <c r="U14623" s="26" t="str">
        <f t="shared" si="550"/>
        <v>2023.024M.Bunyaviricetes.zip</v>
      </c>
    </row>
    <row r="14624" spans="1:21">
      <c r="A14624">
        <v>14623</v>
      </c>
      <c r="B14624" s="27" t="s">
        <v>1124</v>
      </c>
      <c r="D14624" s="27" t="s">
        <v>1859</v>
      </c>
      <c r="F14624" s="27" t="s">
        <v>938</v>
      </c>
      <c r="G14624" s="27" t="s">
        <v>959</v>
      </c>
      <c r="H14624" s="27" t="s">
        <v>17007</v>
      </c>
      <c r="J14624" s="27" t="s">
        <v>17036</v>
      </c>
      <c r="L14624" s="27" t="s">
        <v>727</v>
      </c>
      <c r="N14624" s="27" t="s">
        <v>3588</v>
      </c>
      <c r="P14624" s="27" t="s">
        <v>9959</v>
      </c>
      <c r="Q14624" s="26" t="str">
        <f>HYPERLINK("https://ictv.global/taxonomy/taxondetails?taxnode_id=202509788&amp;ictv_id=ICTV202009788","ICTV202009788")</f>
        <v>ICTV202009788</v>
      </c>
      <c r="R14624" t="s">
        <v>580</v>
      </c>
      <c r="S14624" t="s">
        <v>22763</v>
      </c>
      <c r="T14624">
        <v>39</v>
      </c>
      <c r="U14624" s="26" t="str">
        <f t="shared" si="550"/>
        <v>2023.024M.Bunyaviricetes.zip</v>
      </c>
    </row>
    <row r="14625" spans="1:21">
      <c r="A14625">
        <v>14624</v>
      </c>
      <c r="B14625" s="27" t="s">
        <v>1124</v>
      </c>
      <c r="D14625" s="27" t="s">
        <v>1859</v>
      </c>
      <c r="F14625" s="27" t="s">
        <v>938</v>
      </c>
      <c r="G14625" s="27" t="s">
        <v>959</v>
      </c>
      <c r="H14625" s="27" t="s">
        <v>17007</v>
      </c>
      <c r="J14625" s="27" t="s">
        <v>17036</v>
      </c>
      <c r="L14625" s="27" t="s">
        <v>727</v>
      </c>
      <c r="N14625" s="27" t="s">
        <v>3589</v>
      </c>
      <c r="P14625" s="27" t="s">
        <v>9960</v>
      </c>
      <c r="Q14625" s="26" t="str">
        <f>HYPERLINK("https://ictv.global/taxonomy/taxondetails?taxnode_id=202509790&amp;ictv_id=ICTV202009790","ICTV202009790")</f>
        <v>ICTV202009790</v>
      </c>
      <c r="R14625" t="s">
        <v>580</v>
      </c>
      <c r="S14625" t="s">
        <v>22763</v>
      </c>
      <c r="T14625">
        <v>39</v>
      </c>
      <c r="U14625" s="26" t="str">
        <f t="shared" si="550"/>
        <v>2023.024M.Bunyaviricetes.zip</v>
      </c>
    </row>
    <row r="14626" spans="1:21">
      <c r="A14626">
        <v>14625</v>
      </c>
      <c r="B14626" s="27" t="s">
        <v>1124</v>
      </c>
      <c r="D14626" s="27" t="s">
        <v>1859</v>
      </c>
      <c r="F14626" s="27" t="s">
        <v>938</v>
      </c>
      <c r="G14626" s="27" t="s">
        <v>959</v>
      </c>
      <c r="H14626" s="27" t="s">
        <v>17007</v>
      </c>
      <c r="J14626" s="27" t="s">
        <v>17036</v>
      </c>
      <c r="L14626" s="27" t="s">
        <v>727</v>
      </c>
      <c r="N14626" s="27" t="s">
        <v>728</v>
      </c>
      <c r="P14626" s="27" t="s">
        <v>9961</v>
      </c>
      <c r="Q14626" s="26" t="str">
        <f>HYPERLINK("https://ictv.global/taxonomy/taxondetails?taxnode_id=202509757&amp;ictv_id=ICTV202009757","ICTV202009757")</f>
        <v>ICTV202009757</v>
      </c>
      <c r="R14626" t="s">
        <v>580</v>
      </c>
      <c r="S14626" t="s">
        <v>22763</v>
      </c>
      <c r="T14626">
        <v>39</v>
      </c>
      <c r="U14626" s="26" t="str">
        <f t="shared" si="550"/>
        <v>2023.024M.Bunyaviricetes.zip</v>
      </c>
    </row>
    <row r="14627" spans="1:21">
      <c r="A14627">
        <v>14626</v>
      </c>
      <c r="B14627" s="27" t="s">
        <v>1124</v>
      </c>
      <c r="D14627" s="27" t="s">
        <v>1859</v>
      </c>
      <c r="F14627" s="27" t="s">
        <v>938</v>
      </c>
      <c r="G14627" s="27" t="s">
        <v>959</v>
      </c>
      <c r="H14627" s="27" t="s">
        <v>17007</v>
      </c>
      <c r="J14627" s="27" t="s">
        <v>17036</v>
      </c>
      <c r="L14627" s="27" t="s">
        <v>727</v>
      </c>
      <c r="N14627" s="27" t="s">
        <v>728</v>
      </c>
      <c r="P14627" s="27" t="s">
        <v>9962</v>
      </c>
      <c r="Q14627" s="26" t="str">
        <f>HYPERLINK("https://ictv.global/taxonomy/taxondetails?taxnode_id=202509758&amp;ictv_id=ICTV202009758","ICTV202009758")</f>
        <v>ICTV202009758</v>
      </c>
      <c r="R14627" t="s">
        <v>580</v>
      </c>
      <c r="S14627" t="s">
        <v>22763</v>
      </c>
      <c r="T14627">
        <v>39</v>
      </c>
      <c r="U14627" s="26" t="str">
        <f t="shared" si="550"/>
        <v>2023.024M.Bunyaviricetes.zip</v>
      </c>
    </row>
    <row r="14628" spans="1:21">
      <c r="A14628">
        <v>14627</v>
      </c>
      <c r="B14628" s="27" t="s">
        <v>1124</v>
      </c>
      <c r="D14628" s="27" t="s">
        <v>1859</v>
      </c>
      <c r="F14628" s="27" t="s">
        <v>938</v>
      </c>
      <c r="G14628" s="27" t="s">
        <v>959</v>
      </c>
      <c r="H14628" s="27" t="s">
        <v>17007</v>
      </c>
      <c r="J14628" s="27" t="s">
        <v>17036</v>
      </c>
      <c r="L14628" s="27" t="s">
        <v>727</v>
      </c>
      <c r="N14628" s="27" t="s">
        <v>728</v>
      </c>
      <c r="P14628" s="27" t="s">
        <v>9963</v>
      </c>
      <c r="Q14628" s="26" t="str">
        <f>HYPERLINK("https://ictv.global/taxonomy/taxondetails?taxnode_id=202509767&amp;ictv_id=ICTV202009767","ICTV202009767")</f>
        <v>ICTV202009767</v>
      </c>
      <c r="R14628" t="s">
        <v>580</v>
      </c>
      <c r="S14628" t="s">
        <v>22763</v>
      </c>
      <c r="T14628">
        <v>39</v>
      </c>
      <c r="U14628" s="26" t="str">
        <f t="shared" si="550"/>
        <v>2023.024M.Bunyaviricetes.zip</v>
      </c>
    </row>
    <row r="14629" spans="1:21">
      <c r="A14629">
        <v>14628</v>
      </c>
      <c r="B14629" s="27" t="s">
        <v>1124</v>
      </c>
      <c r="D14629" s="27" t="s">
        <v>1859</v>
      </c>
      <c r="F14629" s="27" t="s">
        <v>938</v>
      </c>
      <c r="G14629" s="27" t="s">
        <v>959</v>
      </c>
      <c r="H14629" s="27" t="s">
        <v>17007</v>
      </c>
      <c r="J14629" s="27" t="s">
        <v>17036</v>
      </c>
      <c r="L14629" s="27" t="s">
        <v>727</v>
      </c>
      <c r="N14629" s="27" t="s">
        <v>728</v>
      </c>
      <c r="P14629" s="27" t="s">
        <v>17047</v>
      </c>
      <c r="Q14629" s="26" t="str">
        <f>HYPERLINK("https://ictv.global/taxonomy/taxondetails?taxnode_id=202519017&amp;ictv_id=ICTV202319017","ICTV202319017")</f>
        <v>ICTV202319017</v>
      </c>
      <c r="R14629" t="s">
        <v>580</v>
      </c>
      <c r="S14629" t="s">
        <v>823</v>
      </c>
      <c r="T14629">
        <v>39</v>
      </c>
      <c r="U14629" s="26" t="str">
        <f>HYPERLINK("https://ictv.global/ictv/proposals/2023.028M.Nairoviridae_1ng_9nsp.zip","2023.028M.Nairoviridae_1ng_9nsp.zip")</f>
        <v>2023.028M.Nairoviridae_1ng_9nsp.zip</v>
      </c>
    </row>
    <row r="14630" spans="1:21">
      <c r="A14630">
        <v>14629</v>
      </c>
      <c r="B14630" s="27" t="s">
        <v>1124</v>
      </c>
      <c r="D14630" s="27" t="s">
        <v>1859</v>
      </c>
      <c r="F14630" s="27" t="s">
        <v>938</v>
      </c>
      <c r="G14630" s="27" t="s">
        <v>959</v>
      </c>
      <c r="H14630" s="27" t="s">
        <v>17007</v>
      </c>
      <c r="J14630" s="27" t="s">
        <v>17036</v>
      </c>
      <c r="L14630" s="27" t="s">
        <v>727</v>
      </c>
      <c r="N14630" s="27" t="s">
        <v>728</v>
      </c>
      <c r="P14630" s="27" t="s">
        <v>9964</v>
      </c>
      <c r="Q14630" s="26" t="str">
        <f>HYPERLINK("https://ictv.global/taxonomy/taxondetails?taxnode_id=202505462&amp;ictv_id=ICTV20175462","ICTV20175462")</f>
        <v>ICTV20175462</v>
      </c>
      <c r="R14630" t="s">
        <v>580</v>
      </c>
      <c r="S14630" t="s">
        <v>22763</v>
      </c>
      <c r="T14630">
        <v>39</v>
      </c>
      <c r="U14630" s="26" t="str">
        <f t="shared" ref="U14630:U14637" si="551">HYPERLINK("https://ictv.global/ictv/proposals/2023.024M.Bunyaviricetes.zip","2023.024M.Bunyaviricetes.zip")</f>
        <v>2023.024M.Bunyaviricetes.zip</v>
      </c>
    </row>
    <row r="14631" spans="1:21">
      <c r="A14631">
        <v>14630</v>
      </c>
      <c r="B14631" s="27" t="s">
        <v>1124</v>
      </c>
      <c r="D14631" s="27" t="s">
        <v>1859</v>
      </c>
      <c r="F14631" s="27" t="s">
        <v>938</v>
      </c>
      <c r="G14631" s="27" t="s">
        <v>959</v>
      </c>
      <c r="H14631" s="27" t="s">
        <v>17007</v>
      </c>
      <c r="J14631" s="27" t="s">
        <v>17036</v>
      </c>
      <c r="L14631" s="27" t="s">
        <v>727</v>
      </c>
      <c r="N14631" s="27" t="s">
        <v>728</v>
      </c>
      <c r="P14631" s="27" t="s">
        <v>9965</v>
      </c>
      <c r="Q14631" s="26" t="str">
        <f>HYPERLINK("https://ictv.global/taxonomy/taxondetails?taxnode_id=202509779&amp;ictv_id=ICTV202009779","ICTV202009779")</f>
        <v>ICTV202009779</v>
      </c>
      <c r="R14631" t="s">
        <v>580</v>
      </c>
      <c r="S14631" t="s">
        <v>22763</v>
      </c>
      <c r="T14631">
        <v>39</v>
      </c>
      <c r="U14631" s="26" t="str">
        <f t="shared" si="551"/>
        <v>2023.024M.Bunyaviricetes.zip</v>
      </c>
    </row>
    <row r="14632" spans="1:21">
      <c r="A14632">
        <v>14631</v>
      </c>
      <c r="B14632" s="27" t="s">
        <v>1124</v>
      </c>
      <c r="D14632" s="27" t="s">
        <v>1859</v>
      </c>
      <c r="F14632" s="27" t="s">
        <v>938</v>
      </c>
      <c r="G14632" s="27" t="s">
        <v>959</v>
      </c>
      <c r="H14632" s="27" t="s">
        <v>17007</v>
      </c>
      <c r="J14632" s="27" t="s">
        <v>17036</v>
      </c>
      <c r="L14632" s="27" t="s">
        <v>727</v>
      </c>
      <c r="N14632" s="27" t="s">
        <v>728</v>
      </c>
      <c r="P14632" s="27" t="s">
        <v>9966</v>
      </c>
      <c r="Q14632" s="26" t="str">
        <f>HYPERLINK("https://ictv.global/taxonomy/taxondetails?taxnode_id=202509759&amp;ictv_id=ICTV202009759","ICTV202009759")</f>
        <v>ICTV202009759</v>
      </c>
      <c r="R14632" t="s">
        <v>580</v>
      </c>
      <c r="S14632" t="s">
        <v>22763</v>
      </c>
      <c r="T14632">
        <v>39</v>
      </c>
      <c r="U14632" s="26" t="str">
        <f t="shared" si="551"/>
        <v>2023.024M.Bunyaviricetes.zip</v>
      </c>
    </row>
    <row r="14633" spans="1:21">
      <c r="A14633">
        <v>14632</v>
      </c>
      <c r="B14633" s="27" t="s">
        <v>1124</v>
      </c>
      <c r="D14633" s="27" t="s">
        <v>1859</v>
      </c>
      <c r="F14633" s="27" t="s">
        <v>938</v>
      </c>
      <c r="G14633" s="27" t="s">
        <v>959</v>
      </c>
      <c r="H14633" s="27" t="s">
        <v>17007</v>
      </c>
      <c r="J14633" s="27" t="s">
        <v>17036</v>
      </c>
      <c r="L14633" s="27" t="s">
        <v>727</v>
      </c>
      <c r="N14633" s="27" t="s">
        <v>728</v>
      </c>
      <c r="P14633" s="27" t="s">
        <v>9967</v>
      </c>
      <c r="Q14633" s="26" t="str">
        <f>HYPERLINK("https://ictv.global/taxonomy/taxondetails?taxnode_id=202509760&amp;ictv_id=ICTV202009760","ICTV202009760")</f>
        <v>ICTV202009760</v>
      </c>
      <c r="R14633" t="s">
        <v>580</v>
      </c>
      <c r="S14633" t="s">
        <v>22763</v>
      </c>
      <c r="T14633">
        <v>39</v>
      </c>
      <c r="U14633" s="26" t="str">
        <f t="shared" si="551"/>
        <v>2023.024M.Bunyaviricetes.zip</v>
      </c>
    </row>
    <row r="14634" spans="1:21">
      <c r="A14634">
        <v>14633</v>
      </c>
      <c r="B14634" s="27" t="s">
        <v>1124</v>
      </c>
      <c r="D14634" s="27" t="s">
        <v>1859</v>
      </c>
      <c r="F14634" s="27" t="s">
        <v>938</v>
      </c>
      <c r="G14634" s="27" t="s">
        <v>959</v>
      </c>
      <c r="H14634" s="27" t="s">
        <v>17007</v>
      </c>
      <c r="J14634" s="27" t="s">
        <v>17036</v>
      </c>
      <c r="L14634" s="27" t="s">
        <v>727</v>
      </c>
      <c r="N14634" s="27" t="s">
        <v>728</v>
      </c>
      <c r="P14634" s="27" t="s">
        <v>9968</v>
      </c>
      <c r="Q14634" s="26" t="str">
        <f>HYPERLINK("https://ictv.global/taxonomy/taxondetails?taxnode_id=202509761&amp;ictv_id=ICTV202009761","ICTV202009761")</f>
        <v>ICTV202009761</v>
      </c>
      <c r="R14634" t="s">
        <v>580</v>
      </c>
      <c r="S14634" t="s">
        <v>22763</v>
      </c>
      <c r="T14634">
        <v>39</v>
      </c>
      <c r="U14634" s="26" t="str">
        <f t="shared" si="551"/>
        <v>2023.024M.Bunyaviricetes.zip</v>
      </c>
    </row>
    <row r="14635" spans="1:21">
      <c r="A14635">
        <v>14634</v>
      </c>
      <c r="B14635" s="27" t="s">
        <v>1124</v>
      </c>
      <c r="D14635" s="27" t="s">
        <v>1859</v>
      </c>
      <c r="F14635" s="27" t="s">
        <v>938</v>
      </c>
      <c r="G14635" s="27" t="s">
        <v>959</v>
      </c>
      <c r="H14635" s="27" t="s">
        <v>17007</v>
      </c>
      <c r="J14635" s="27" t="s">
        <v>17036</v>
      </c>
      <c r="L14635" s="27" t="s">
        <v>727</v>
      </c>
      <c r="N14635" s="27" t="s">
        <v>728</v>
      </c>
      <c r="P14635" s="27" t="s">
        <v>9969</v>
      </c>
      <c r="Q14635" s="26" t="str">
        <f>HYPERLINK("https://ictv.global/taxonomy/taxondetails?taxnode_id=202500074&amp;ictv_id=ICTV19990683","ICTV19990683")</f>
        <v>ICTV19990683</v>
      </c>
      <c r="R14635" t="s">
        <v>580</v>
      </c>
      <c r="S14635" t="s">
        <v>22763</v>
      </c>
      <c r="T14635">
        <v>39</v>
      </c>
      <c r="U14635" s="26" t="str">
        <f t="shared" si="551"/>
        <v>2023.024M.Bunyaviricetes.zip</v>
      </c>
    </row>
    <row r="14636" spans="1:21">
      <c r="A14636">
        <v>14635</v>
      </c>
      <c r="B14636" s="27" t="s">
        <v>1124</v>
      </c>
      <c r="D14636" s="27" t="s">
        <v>1859</v>
      </c>
      <c r="F14636" s="27" t="s">
        <v>938</v>
      </c>
      <c r="G14636" s="27" t="s">
        <v>959</v>
      </c>
      <c r="H14636" s="27" t="s">
        <v>17007</v>
      </c>
      <c r="J14636" s="27" t="s">
        <v>17036</v>
      </c>
      <c r="L14636" s="27" t="s">
        <v>727</v>
      </c>
      <c r="N14636" s="27" t="s">
        <v>728</v>
      </c>
      <c r="P14636" s="27" t="s">
        <v>9970</v>
      </c>
      <c r="Q14636" s="26" t="str">
        <f>HYPERLINK("https://ictv.global/taxonomy/taxondetails?taxnode_id=202505463&amp;ictv_id=ICTV20175463","ICTV20175463")</f>
        <v>ICTV20175463</v>
      </c>
      <c r="R14636" t="s">
        <v>580</v>
      </c>
      <c r="S14636" t="s">
        <v>22763</v>
      </c>
      <c r="T14636">
        <v>39</v>
      </c>
      <c r="U14636" s="26" t="str">
        <f t="shared" si="551"/>
        <v>2023.024M.Bunyaviricetes.zip</v>
      </c>
    </row>
    <row r="14637" spans="1:21">
      <c r="A14637">
        <v>14636</v>
      </c>
      <c r="B14637" s="27" t="s">
        <v>1124</v>
      </c>
      <c r="D14637" s="27" t="s">
        <v>1859</v>
      </c>
      <c r="F14637" s="27" t="s">
        <v>938</v>
      </c>
      <c r="G14637" s="27" t="s">
        <v>959</v>
      </c>
      <c r="H14637" s="27" t="s">
        <v>17007</v>
      </c>
      <c r="J14637" s="27" t="s">
        <v>17036</v>
      </c>
      <c r="L14637" s="27" t="s">
        <v>727</v>
      </c>
      <c r="N14637" s="27" t="s">
        <v>728</v>
      </c>
      <c r="P14637" s="27" t="s">
        <v>9971</v>
      </c>
      <c r="Q14637" s="26" t="str">
        <f>HYPERLINK("https://ictv.global/taxonomy/taxondetails?taxnode_id=202509773&amp;ictv_id=ICTV202009773","ICTV202009773")</f>
        <v>ICTV202009773</v>
      </c>
      <c r="R14637" t="s">
        <v>580</v>
      </c>
      <c r="S14637" t="s">
        <v>22763</v>
      </c>
      <c r="T14637">
        <v>39</v>
      </c>
      <c r="U14637" s="26" t="str">
        <f t="shared" si="551"/>
        <v>2023.024M.Bunyaviricetes.zip</v>
      </c>
    </row>
    <row r="14638" spans="1:21">
      <c r="A14638">
        <v>14637</v>
      </c>
      <c r="B14638" s="27" t="s">
        <v>1124</v>
      </c>
      <c r="D14638" s="27" t="s">
        <v>1859</v>
      </c>
      <c r="F14638" s="27" t="s">
        <v>938</v>
      </c>
      <c r="G14638" s="27" t="s">
        <v>959</v>
      </c>
      <c r="H14638" s="27" t="s">
        <v>17007</v>
      </c>
      <c r="J14638" s="27" t="s">
        <v>17036</v>
      </c>
      <c r="L14638" s="27" t="s">
        <v>727</v>
      </c>
      <c r="N14638" s="27" t="s">
        <v>728</v>
      </c>
      <c r="P14638" s="27" t="s">
        <v>17048</v>
      </c>
      <c r="Q14638" s="26" t="str">
        <f>HYPERLINK("https://ictv.global/taxonomy/taxondetails?taxnode_id=202519019&amp;ictv_id=ICTV202319019","ICTV202319019")</f>
        <v>ICTV202319019</v>
      </c>
      <c r="R14638" t="s">
        <v>580</v>
      </c>
      <c r="S14638" t="s">
        <v>823</v>
      </c>
      <c r="T14638">
        <v>39</v>
      </c>
      <c r="U14638" s="26" t="str">
        <f>HYPERLINK("https://ictv.global/ictv/proposals/2023.028M.Nairoviridae_1ng_9nsp.zip","2023.028M.Nairoviridae_1ng_9nsp.zip")</f>
        <v>2023.028M.Nairoviridae_1ng_9nsp.zip</v>
      </c>
    </row>
    <row r="14639" spans="1:21">
      <c r="A14639">
        <v>14638</v>
      </c>
      <c r="B14639" s="27" t="s">
        <v>1124</v>
      </c>
      <c r="D14639" s="27" t="s">
        <v>1859</v>
      </c>
      <c r="F14639" s="27" t="s">
        <v>938</v>
      </c>
      <c r="G14639" s="27" t="s">
        <v>959</v>
      </c>
      <c r="H14639" s="27" t="s">
        <v>17007</v>
      </c>
      <c r="J14639" s="27" t="s">
        <v>17036</v>
      </c>
      <c r="L14639" s="27" t="s">
        <v>727</v>
      </c>
      <c r="N14639" s="27" t="s">
        <v>728</v>
      </c>
      <c r="P14639" s="27" t="s">
        <v>9972</v>
      </c>
      <c r="Q14639" s="26" t="str">
        <f>HYPERLINK("https://ictv.global/taxonomy/taxondetails?taxnode_id=202509770&amp;ictv_id=ICTV202009770","ICTV202009770")</f>
        <v>ICTV202009770</v>
      </c>
      <c r="R14639" t="s">
        <v>580</v>
      </c>
      <c r="S14639" t="s">
        <v>22763</v>
      </c>
      <c r="T14639">
        <v>39</v>
      </c>
      <c r="U14639" s="26" t="str">
        <f>HYPERLINK("https://ictv.global/ictv/proposals/2023.024M.Bunyaviricetes.zip","2023.024M.Bunyaviricetes.zip")</f>
        <v>2023.024M.Bunyaviricetes.zip</v>
      </c>
    </row>
    <row r="14640" spans="1:21">
      <c r="A14640">
        <v>14639</v>
      </c>
      <c r="B14640" s="27" t="s">
        <v>1124</v>
      </c>
      <c r="D14640" s="27" t="s">
        <v>1859</v>
      </c>
      <c r="F14640" s="27" t="s">
        <v>938</v>
      </c>
      <c r="G14640" s="27" t="s">
        <v>959</v>
      </c>
      <c r="H14640" s="27" t="s">
        <v>17007</v>
      </c>
      <c r="J14640" s="27" t="s">
        <v>17036</v>
      </c>
      <c r="L14640" s="27" t="s">
        <v>727</v>
      </c>
      <c r="N14640" s="27" t="s">
        <v>728</v>
      </c>
      <c r="P14640" s="27" t="s">
        <v>9973</v>
      </c>
      <c r="Q14640" s="26" t="str">
        <f>HYPERLINK("https://ictv.global/taxonomy/taxondetails?taxnode_id=202500072&amp;ictv_id=ICTV20073308","ICTV20073308")</f>
        <v>ICTV20073308</v>
      </c>
      <c r="R14640" t="s">
        <v>580</v>
      </c>
      <c r="S14640" t="s">
        <v>22763</v>
      </c>
      <c r="T14640">
        <v>39</v>
      </c>
      <c r="U14640" s="26" t="str">
        <f>HYPERLINK("https://ictv.global/ictv/proposals/2023.024M.Bunyaviricetes.zip","2023.024M.Bunyaviricetes.zip")</f>
        <v>2023.024M.Bunyaviricetes.zip</v>
      </c>
    </row>
    <row r="14641" spans="1:21">
      <c r="A14641">
        <v>14640</v>
      </c>
      <c r="B14641" s="27" t="s">
        <v>1124</v>
      </c>
      <c r="D14641" s="27" t="s">
        <v>1859</v>
      </c>
      <c r="F14641" s="27" t="s">
        <v>938</v>
      </c>
      <c r="G14641" s="27" t="s">
        <v>959</v>
      </c>
      <c r="H14641" s="27" t="s">
        <v>17007</v>
      </c>
      <c r="J14641" s="27" t="s">
        <v>17036</v>
      </c>
      <c r="L14641" s="27" t="s">
        <v>727</v>
      </c>
      <c r="N14641" s="27" t="s">
        <v>728</v>
      </c>
      <c r="P14641" s="27" t="s">
        <v>9974</v>
      </c>
      <c r="Q14641" s="26" t="str">
        <f>HYPERLINK("https://ictv.global/taxonomy/taxondetails?taxnode_id=202509763&amp;ictv_id=ICTV202009763","ICTV202009763")</f>
        <v>ICTV202009763</v>
      </c>
      <c r="R14641" t="s">
        <v>580</v>
      </c>
      <c r="S14641" t="s">
        <v>22763</v>
      </c>
      <c r="T14641">
        <v>39</v>
      </c>
      <c r="U14641" s="26" t="str">
        <f>HYPERLINK("https://ictv.global/ictv/proposals/2023.024M.Bunyaviricetes.zip","2023.024M.Bunyaviricetes.zip")</f>
        <v>2023.024M.Bunyaviricetes.zip</v>
      </c>
    </row>
    <row r="14642" spans="1:21">
      <c r="A14642">
        <v>14641</v>
      </c>
      <c r="B14642" s="27" t="s">
        <v>1124</v>
      </c>
      <c r="D14642" s="27" t="s">
        <v>1859</v>
      </c>
      <c r="F14642" s="27" t="s">
        <v>938</v>
      </c>
      <c r="G14642" s="27" t="s">
        <v>959</v>
      </c>
      <c r="H14642" s="27" t="s">
        <v>17007</v>
      </c>
      <c r="J14642" s="27" t="s">
        <v>17036</v>
      </c>
      <c r="L14642" s="27" t="s">
        <v>727</v>
      </c>
      <c r="N14642" s="27" t="s">
        <v>728</v>
      </c>
      <c r="P14642" s="27" t="s">
        <v>9975</v>
      </c>
      <c r="Q14642" s="26" t="str">
        <f>HYPERLINK("https://ictv.global/taxonomy/taxondetails?taxnode_id=202500107&amp;ictv_id=ICTV19910488","ICTV19910488")</f>
        <v>ICTV19910488</v>
      </c>
      <c r="R14642" t="s">
        <v>580</v>
      </c>
      <c r="S14642" t="s">
        <v>22763</v>
      </c>
      <c r="T14642">
        <v>39</v>
      </c>
      <c r="U14642" s="26" t="str">
        <f>HYPERLINK("https://ictv.global/ictv/proposals/2023.024M.Bunyaviricetes.zip","2023.024M.Bunyaviricetes.zip")</f>
        <v>2023.024M.Bunyaviricetes.zip</v>
      </c>
    </row>
    <row r="14643" spans="1:21">
      <c r="A14643">
        <v>14642</v>
      </c>
      <c r="B14643" s="27" t="s">
        <v>1124</v>
      </c>
      <c r="D14643" s="27" t="s">
        <v>1859</v>
      </c>
      <c r="F14643" s="27" t="s">
        <v>938</v>
      </c>
      <c r="G14643" s="27" t="s">
        <v>959</v>
      </c>
      <c r="H14643" s="27" t="s">
        <v>17007</v>
      </c>
      <c r="J14643" s="27" t="s">
        <v>17036</v>
      </c>
      <c r="L14643" s="27" t="s">
        <v>727</v>
      </c>
      <c r="N14643" s="27" t="s">
        <v>728</v>
      </c>
      <c r="P14643" s="27" t="s">
        <v>9976</v>
      </c>
      <c r="Q14643" s="26" t="str">
        <f>HYPERLINK("https://ictv.global/taxonomy/taxondetails?taxnode_id=202509764&amp;ictv_id=ICTV202009764","ICTV202009764")</f>
        <v>ICTV202009764</v>
      </c>
      <c r="R14643" t="s">
        <v>580</v>
      </c>
      <c r="S14643" t="s">
        <v>22763</v>
      </c>
      <c r="T14643">
        <v>39</v>
      </c>
      <c r="U14643" s="26" t="str">
        <f>HYPERLINK("https://ictv.global/ictv/proposals/2023.024M.Bunyaviricetes.zip","2023.024M.Bunyaviricetes.zip")</f>
        <v>2023.024M.Bunyaviricetes.zip</v>
      </c>
    </row>
    <row r="14644" spans="1:21">
      <c r="A14644">
        <v>14643</v>
      </c>
      <c r="B14644" s="27" t="s">
        <v>1124</v>
      </c>
      <c r="D14644" s="27" t="s">
        <v>1859</v>
      </c>
      <c r="F14644" s="27" t="s">
        <v>938</v>
      </c>
      <c r="G14644" s="27" t="s">
        <v>959</v>
      </c>
      <c r="H14644" s="27" t="s">
        <v>17007</v>
      </c>
      <c r="J14644" s="27" t="s">
        <v>17036</v>
      </c>
      <c r="L14644" s="27" t="s">
        <v>727</v>
      </c>
      <c r="N14644" s="27" t="s">
        <v>728</v>
      </c>
      <c r="P14644" s="27" t="s">
        <v>17049</v>
      </c>
      <c r="Q14644" s="26" t="str">
        <f>HYPERLINK("https://ictv.global/taxonomy/taxondetails?taxnode_id=202519024&amp;ictv_id=ICTV202319024","ICTV202319024")</f>
        <v>ICTV202319024</v>
      </c>
      <c r="R14644" t="s">
        <v>580</v>
      </c>
      <c r="S14644" t="s">
        <v>823</v>
      </c>
      <c r="T14644">
        <v>39</v>
      </c>
      <c r="U14644" s="26" t="str">
        <f>HYPERLINK("https://ictv.global/ictv/proposals/2023.028M.Nairoviridae_1ng_9nsp.zip","2023.028M.Nairoviridae_1ng_9nsp.zip")</f>
        <v>2023.028M.Nairoviridae_1ng_9nsp.zip</v>
      </c>
    </row>
    <row r="14645" spans="1:21">
      <c r="A14645">
        <v>14644</v>
      </c>
      <c r="B14645" s="27" t="s">
        <v>1124</v>
      </c>
      <c r="D14645" s="27" t="s">
        <v>1859</v>
      </c>
      <c r="F14645" s="27" t="s">
        <v>938</v>
      </c>
      <c r="G14645" s="27" t="s">
        <v>959</v>
      </c>
      <c r="H14645" s="27" t="s">
        <v>17007</v>
      </c>
      <c r="J14645" s="27" t="s">
        <v>17036</v>
      </c>
      <c r="L14645" s="27" t="s">
        <v>727</v>
      </c>
      <c r="N14645" s="27" t="s">
        <v>728</v>
      </c>
      <c r="P14645" s="27" t="s">
        <v>9977</v>
      </c>
      <c r="Q14645" s="26" t="str">
        <f>HYPERLINK("https://ictv.global/taxonomy/taxondetails?taxnode_id=202500070&amp;ictv_id=ICTV19990680","ICTV19990680")</f>
        <v>ICTV19990680</v>
      </c>
      <c r="R14645" t="s">
        <v>580</v>
      </c>
      <c r="S14645" t="s">
        <v>22763</v>
      </c>
      <c r="T14645">
        <v>39</v>
      </c>
      <c r="U14645" s="26" t="str">
        <f t="shared" ref="U14645:U14652" si="552">HYPERLINK("https://ictv.global/ictv/proposals/2023.024M.Bunyaviricetes.zip","2023.024M.Bunyaviricetes.zip")</f>
        <v>2023.024M.Bunyaviricetes.zip</v>
      </c>
    </row>
    <row r="14646" spans="1:21">
      <c r="A14646">
        <v>14645</v>
      </c>
      <c r="B14646" s="27" t="s">
        <v>1124</v>
      </c>
      <c r="D14646" s="27" t="s">
        <v>1859</v>
      </c>
      <c r="F14646" s="27" t="s">
        <v>938</v>
      </c>
      <c r="G14646" s="27" t="s">
        <v>959</v>
      </c>
      <c r="H14646" s="27" t="s">
        <v>17007</v>
      </c>
      <c r="J14646" s="27" t="s">
        <v>17036</v>
      </c>
      <c r="L14646" s="27" t="s">
        <v>727</v>
      </c>
      <c r="N14646" s="27" t="s">
        <v>728</v>
      </c>
      <c r="P14646" s="27" t="s">
        <v>9978</v>
      </c>
      <c r="Q14646" s="26" t="str">
        <f>HYPERLINK("https://ictv.global/taxonomy/taxondetails?taxnode_id=202500073&amp;ictv_id=ICTV20164803","ICTV20164803")</f>
        <v>ICTV20164803</v>
      </c>
      <c r="R14646" t="s">
        <v>580</v>
      </c>
      <c r="S14646" t="s">
        <v>22763</v>
      </c>
      <c r="T14646">
        <v>39</v>
      </c>
      <c r="U14646" s="26" t="str">
        <f t="shared" si="552"/>
        <v>2023.024M.Bunyaviricetes.zip</v>
      </c>
    </row>
    <row r="14647" spans="1:21">
      <c r="A14647">
        <v>14646</v>
      </c>
      <c r="B14647" s="27" t="s">
        <v>1124</v>
      </c>
      <c r="D14647" s="27" t="s">
        <v>1859</v>
      </c>
      <c r="F14647" s="27" t="s">
        <v>938</v>
      </c>
      <c r="G14647" s="27" t="s">
        <v>959</v>
      </c>
      <c r="H14647" s="27" t="s">
        <v>17007</v>
      </c>
      <c r="J14647" s="27" t="s">
        <v>17036</v>
      </c>
      <c r="L14647" s="27" t="s">
        <v>727</v>
      </c>
      <c r="N14647" s="27" t="s">
        <v>728</v>
      </c>
      <c r="P14647" s="27" t="s">
        <v>9979</v>
      </c>
      <c r="Q14647" s="26" t="str">
        <f>HYPERLINK("https://ictv.global/taxonomy/taxondetails?taxnode_id=202509765&amp;ictv_id=ICTV202009765","ICTV202009765")</f>
        <v>ICTV202009765</v>
      </c>
      <c r="R14647" t="s">
        <v>580</v>
      </c>
      <c r="S14647" t="s">
        <v>22763</v>
      </c>
      <c r="T14647">
        <v>39</v>
      </c>
      <c r="U14647" s="26" t="str">
        <f t="shared" si="552"/>
        <v>2023.024M.Bunyaviricetes.zip</v>
      </c>
    </row>
    <row r="14648" spans="1:21">
      <c r="A14648">
        <v>14647</v>
      </c>
      <c r="B14648" s="27" t="s">
        <v>1124</v>
      </c>
      <c r="D14648" s="27" t="s">
        <v>1859</v>
      </c>
      <c r="F14648" s="27" t="s">
        <v>938</v>
      </c>
      <c r="G14648" s="27" t="s">
        <v>959</v>
      </c>
      <c r="H14648" s="27" t="s">
        <v>17007</v>
      </c>
      <c r="J14648" s="27" t="s">
        <v>17036</v>
      </c>
      <c r="L14648" s="27" t="s">
        <v>727</v>
      </c>
      <c r="N14648" s="27" t="s">
        <v>728</v>
      </c>
      <c r="P14648" s="27" t="s">
        <v>9980</v>
      </c>
      <c r="Q14648" s="26" t="str">
        <f>HYPERLINK("https://ictv.global/taxonomy/taxondetails?taxnode_id=202509766&amp;ictv_id=ICTV202009766","ICTV202009766")</f>
        <v>ICTV202009766</v>
      </c>
      <c r="R14648" t="s">
        <v>580</v>
      </c>
      <c r="S14648" t="s">
        <v>22763</v>
      </c>
      <c r="T14648">
        <v>39</v>
      </c>
      <c r="U14648" s="26" t="str">
        <f t="shared" si="552"/>
        <v>2023.024M.Bunyaviricetes.zip</v>
      </c>
    </row>
    <row r="14649" spans="1:21">
      <c r="A14649">
        <v>14648</v>
      </c>
      <c r="B14649" s="27" t="s">
        <v>1124</v>
      </c>
      <c r="D14649" s="27" t="s">
        <v>1859</v>
      </c>
      <c r="F14649" s="27" t="s">
        <v>938</v>
      </c>
      <c r="G14649" s="27" t="s">
        <v>959</v>
      </c>
      <c r="H14649" s="27" t="s">
        <v>17007</v>
      </c>
      <c r="J14649" s="27" t="s">
        <v>17036</v>
      </c>
      <c r="L14649" s="27" t="s">
        <v>727</v>
      </c>
      <c r="N14649" s="27" t="s">
        <v>728</v>
      </c>
      <c r="P14649" s="27" t="s">
        <v>9981</v>
      </c>
      <c r="Q14649" s="26" t="str">
        <f>HYPERLINK("https://ictv.global/taxonomy/taxondetails?taxnode_id=202509777&amp;ictv_id=ICTV202009777","ICTV202009777")</f>
        <v>ICTV202009777</v>
      </c>
      <c r="R14649" t="s">
        <v>580</v>
      </c>
      <c r="S14649" t="s">
        <v>22763</v>
      </c>
      <c r="T14649">
        <v>39</v>
      </c>
      <c r="U14649" s="26" t="str">
        <f t="shared" si="552"/>
        <v>2023.024M.Bunyaviricetes.zip</v>
      </c>
    </row>
    <row r="14650" spans="1:21">
      <c r="A14650">
        <v>14649</v>
      </c>
      <c r="B14650" s="27" t="s">
        <v>1124</v>
      </c>
      <c r="D14650" s="27" t="s">
        <v>1859</v>
      </c>
      <c r="F14650" s="27" t="s">
        <v>938</v>
      </c>
      <c r="G14650" s="27" t="s">
        <v>959</v>
      </c>
      <c r="H14650" s="27" t="s">
        <v>17007</v>
      </c>
      <c r="J14650" s="27" t="s">
        <v>17036</v>
      </c>
      <c r="L14650" s="27" t="s">
        <v>727</v>
      </c>
      <c r="N14650" s="27" t="s">
        <v>728</v>
      </c>
      <c r="P14650" s="27" t="s">
        <v>9982</v>
      </c>
      <c r="Q14650" s="26" t="str">
        <f>HYPERLINK("https://ictv.global/taxonomy/taxondetails?taxnode_id=202500075&amp;ictv_id=ICTV20164804","ICTV20164804")</f>
        <v>ICTV20164804</v>
      </c>
      <c r="R14650" t="s">
        <v>580</v>
      </c>
      <c r="S14650" t="s">
        <v>22763</v>
      </c>
      <c r="T14650">
        <v>39</v>
      </c>
      <c r="U14650" s="26" t="str">
        <f t="shared" si="552"/>
        <v>2023.024M.Bunyaviricetes.zip</v>
      </c>
    </row>
    <row r="14651" spans="1:21">
      <c r="A14651">
        <v>14650</v>
      </c>
      <c r="B14651" s="27" t="s">
        <v>1124</v>
      </c>
      <c r="D14651" s="27" t="s">
        <v>1859</v>
      </c>
      <c r="F14651" s="27" t="s">
        <v>938</v>
      </c>
      <c r="G14651" s="27" t="s">
        <v>959</v>
      </c>
      <c r="H14651" s="27" t="s">
        <v>17007</v>
      </c>
      <c r="J14651" s="27" t="s">
        <v>17036</v>
      </c>
      <c r="L14651" s="27" t="s">
        <v>727</v>
      </c>
      <c r="N14651" s="27" t="s">
        <v>728</v>
      </c>
      <c r="P14651" s="27" t="s">
        <v>9983</v>
      </c>
      <c r="Q14651" s="26" t="str">
        <f>HYPERLINK("https://ictv.global/taxonomy/taxondetails?taxnode_id=202500076&amp;ictv_id=ICTV20164805","ICTV20164805")</f>
        <v>ICTV20164805</v>
      </c>
      <c r="R14651" t="s">
        <v>580</v>
      </c>
      <c r="S14651" t="s">
        <v>22763</v>
      </c>
      <c r="T14651">
        <v>39</v>
      </c>
      <c r="U14651" s="26" t="str">
        <f t="shared" si="552"/>
        <v>2023.024M.Bunyaviricetes.zip</v>
      </c>
    </row>
    <row r="14652" spans="1:21">
      <c r="A14652">
        <v>14651</v>
      </c>
      <c r="B14652" s="27" t="s">
        <v>1124</v>
      </c>
      <c r="D14652" s="27" t="s">
        <v>1859</v>
      </c>
      <c r="F14652" s="27" t="s">
        <v>938</v>
      </c>
      <c r="G14652" s="27" t="s">
        <v>959</v>
      </c>
      <c r="H14652" s="27" t="s">
        <v>17007</v>
      </c>
      <c r="J14652" s="27" t="s">
        <v>17036</v>
      </c>
      <c r="L14652" s="27" t="s">
        <v>727</v>
      </c>
      <c r="N14652" s="27" t="s">
        <v>728</v>
      </c>
      <c r="P14652" s="27" t="s">
        <v>9984</v>
      </c>
      <c r="Q14652" s="26" t="str">
        <f>HYPERLINK("https://ictv.global/taxonomy/taxondetails?taxnode_id=202500071&amp;ictv_id=ICTV19990681","ICTV19990681")</f>
        <v>ICTV19990681</v>
      </c>
      <c r="R14652" t="s">
        <v>580</v>
      </c>
      <c r="S14652" t="s">
        <v>22763</v>
      </c>
      <c r="T14652">
        <v>39</v>
      </c>
      <c r="U14652" s="26" t="str">
        <f t="shared" si="552"/>
        <v>2023.024M.Bunyaviricetes.zip</v>
      </c>
    </row>
    <row r="14653" spans="1:21">
      <c r="A14653">
        <v>14652</v>
      </c>
      <c r="B14653" s="27" t="s">
        <v>1124</v>
      </c>
      <c r="D14653" s="27" t="s">
        <v>1859</v>
      </c>
      <c r="F14653" s="27" t="s">
        <v>938</v>
      </c>
      <c r="G14653" s="27" t="s">
        <v>959</v>
      </c>
      <c r="H14653" s="27" t="s">
        <v>17007</v>
      </c>
      <c r="J14653" s="27" t="s">
        <v>17036</v>
      </c>
      <c r="L14653" s="27" t="s">
        <v>727</v>
      </c>
      <c r="N14653" s="27" t="s">
        <v>728</v>
      </c>
      <c r="P14653" s="27" t="s">
        <v>17050</v>
      </c>
      <c r="Q14653" s="26" t="str">
        <f>HYPERLINK("https://ictv.global/taxonomy/taxondetails?taxnode_id=202519023&amp;ictv_id=ICTV202319023","ICTV202319023")</f>
        <v>ICTV202319023</v>
      </c>
      <c r="R14653" t="s">
        <v>580</v>
      </c>
      <c r="S14653" t="s">
        <v>823</v>
      </c>
      <c r="T14653">
        <v>39</v>
      </c>
      <c r="U14653" s="26" t="str">
        <f>HYPERLINK("https://ictv.global/ictv/proposals/2023.028M.Nairoviridae_1ng_9nsp.zip","2023.028M.Nairoviridae_1ng_9nsp.zip")</f>
        <v>2023.028M.Nairoviridae_1ng_9nsp.zip</v>
      </c>
    </row>
    <row r="14654" spans="1:21">
      <c r="A14654">
        <v>14653</v>
      </c>
      <c r="B14654" s="27" t="s">
        <v>1124</v>
      </c>
      <c r="D14654" s="27" t="s">
        <v>1859</v>
      </c>
      <c r="F14654" s="27" t="s">
        <v>938</v>
      </c>
      <c r="G14654" s="27" t="s">
        <v>959</v>
      </c>
      <c r="H14654" s="27" t="s">
        <v>17007</v>
      </c>
      <c r="J14654" s="27" t="s">
        <v>17036</v>
      </c>
      <c r="L14654" s="27" t="s">
        <v>727</v>
      </c>
      <c r="N14654" s="27" t="s">
        <v>728</v>
      </c>
      <c r="P14654" s="27" t="s">
        <v>9985</v>
      </c>
      <c r="Q14654" s="26" t="str">
        <f>HYPERLINK("https://ictv.global/taxonomy/taxondetails?taxnode_id=202509768&amp;ictv_id=ICTV202009768","ICTV202009768")</f>
        <v>ICTV202009768</v>
      </c>
      <c r="R14654" t="s">
        <v>580</v>
      </c>
      <c r="S14654" t="s">
        <v>22763</v>
      </c>
      <c r="T14654">
        <v>39</v>
      </c>
      <c r="U14654" s="26" t="str">
        <f>HYPERLINK("https://ictv.global/ictv/proposals/2023.024M.Bunyaviricetes.zip","2023.024M.Bunyaviricetes.zip")</f>
        <v>2023.024M.Bunyaviricetes.zip</v>
      </c>
    </row>
    <row r="14655" spans="1:21">
      <c r="A14655">
        <v>14654</v>
      </c>
      <c r="B14655" s="27" t="s">
        <v>1124</v>
      </c>
      <c r="D14655" s="27" t="s">
        <v>1859</v>
      </c>
      <c r="F14655" s="27" t="s">
        <v>938</v>
      </c>
      <c r="G14655" s="27" t="s">
        <v>959</v>
      </c>
      <c r="H14655" s="27" t="s">
        <v>17007</v>
      </c>
      <c r="J14655" s="27" t="s">
        <v>17036</v>
      </c>
      <c r="L14655" s="27" t="s">
        <v>727</v>
      </c>
      <c r="N14655" s="27" t="s">
        <v>728</v>
      </c>
      <c r="P14655" s="27" t="s">
        <v>9986</v>
      </c>
      <c r="Q14655" s="26" t="str">
        <f>HYPERLINK("https://ictv.global/taxonomy/taxondetails?taxnode_id=202509776&amp;ictv_id=ICTV202009776","ICTV202009776")</f>
        <v>ICTV202009776</v>
      </c>
      <c r="R14655" t="s">
        <v>580</v>
      </c>
      <c r="S14655" t="s">
        <v>22763</v>
      </c>
      <c r="T14655">
        <v>39</v>
      </c>
      <c r="U14655" s="26" t="str">
        <f>HYPERLINK("https://ictv.global/ictv/proposals/2023.024M.Bunyaviricetes.zip","2023.024M.Bunyaviricetes.zip")</f>
        <v>2023.024M.Bunyaviricetes.zip</v>
      </c>
    </row>
    <row r="14656" spans="1:21">
      <c r="A14656">
        <v>14655</v>
      </c>
      <c r="B14656" s="27" t="s">
        <v>1124</v>
      </c>
      <c r="D14656" s="27" t="s">
        <v>1859</v>
      </c>
      <c r="F14656" s="27" t="s">
        <v>938</v>
      </c>
      <c r="G14656" s="27" t="s">
        <v>959</v>
      </c>
      <c r="H14656" s="27" t="s">
        <v>17007</v>
      </c>
      <c r="J14656" s="27" t="s">
        <v>17036</v>
      </c>
      <c r="L14656" s="27" t="s">
        <v>727</v>
      </c>
      <c r="N14656" s="27" t="s">
        <v>728</v>
      </c>
      <c r="P14656" s="27" t="s">
        <v>17051</v>
      </c>
      <c r="Q14656" s="26" t="str">
        <f>HYPERLINK("https://ictv.global/taxonomy/taxondetails?taxnode_id=202519020&amp;ictv_id=ICTV202319020","ICTV202319020")</f>
        <v>ICTV202319020</v>
      </c>
      <c r="R14656" t="s">
        <v>580</v>
      </c>
      <c r="S14656" t="s">
        <v>823</v>
      </c>
      <c r="T14656">
        <v>39</v>
      </c>
      <c r="U14656" s="26" t="str">
        <f>HYPERLINK("https://ictv.global/ictv/proposals/2023.028M.Nairoviridae_1ng_9nsp.zip","2023.028M.Nairoviridae_1ng_9nsp.zip")</f>
        <v>2023.028M.Nairoviridae_1ng_9nsp.zip</v>
      </c>
    </row>
    <row r="14657" spans="1:21">
      <c r="A14657">
        <v>14656</v>
      </c>
      <c r="B14657" s="27" t="s">
        <v>1124</v>
      </c>
      <c r="D14657" s="27" t="s">
        <v>1859</v>
      </c>
      <c r="F14657" s="27" t="s">
        <v>938</v>
      </c>
      <c r="G14657" s="27" t="s">
        <v>959</v>
      </c>
      <c r="H14657" s="27" t="s">
        <v>17007</v>
      </c>
      <c r="J14657" s="27" t="s">
        <v>17036</v>
      </c>
      <c r="L14657" s="27" t="s">
        <v>727</v>
      </c>
      <c r="N14657" s="27" t="s">
        <v>728</v>
      </c>
      <c r="P14657" s="27" t="s">
        <v>17052</v>
      </c>
      <c r="Q14657" s="26" t="str">
        <f>HYPERLINK("https://ictv.global/taxonomy/taxondetails?taxnode_id=202519022&amp;ictv_id=ICTV202319022","ICTV202319022")</f>
        <v>ICTV202319022</v>
      </c>
      <c r="R14657" t="s">
        <v>580</v>
      </c>
      <c r="S14657" t="s">
        <v>823</v>
      </c>
      <c r="T14657">
        <v>39</v>
      </c>
      <c r="U14657" s="26" t="str">
        <f>HYPERLINK("https://ictv.global/ictv/proposals/2023.028M.Nairoviridae_1ng_9nsp.zip","2023.028M.Nairoviridae_1ng_9nsp.zip")</f>
        <v>2023.028M.Nairoviridae_1ng_9nsp.zip</v>
      </c>
    </row>
    <row r="14658" spans="1:21">
      <c r="A14658">
        <v>14657</v>
      </c>
      <c r="B14658" s="27" t="s">
        <v>1124</v>
      </c>
      <c r="D14658" s="27" t="s">
        <v>1859</v>
      </c>
      <c r="F14658" s="27" t="s">
        <v>938</v>
      </c>
      <c r="G14658" s="27" t="s">
        <v>959</v>
      </c>
      <c r="H14658" s="27" t="s">
        <v>17007</v>
      </c>
      <c r="J14658" s="27" t="s">
        <v>17036</v>
      </c>
      <c r="L14658" s="27" t="s">
        <v>727</v>
      </c>
      <c r="N14658" s="27" t="s">
        <v>728</v>
      </c>
      <c r="P14658" s="27" t="s">
        <v>9987</v>
      </c>
      <c r="Q14658" s="26" t="str">
        <f>HYPERLINK("https://ictv.global/taxonomy/taxondetails?taxnode_id=202509769&amp;ictv_id=ICTV202009769","ICTV202009769")</f>
        <v>ICTV202009769</v>
      </c>
      <c r="R14658" t="s">
        <v>580</v>
      </c>
      <c r="S14658" t="s">
        <v>22763</v>
      </c>
      <c r="T14658">
        <v>39</v>
      </c>
      <c r="U14658" s="26" t="str">
        <f t="shared" ref="U14658:U14664" si="553">HYPERLINK("https://ictv.global/ictv/proposals/2023.024M.Bunyaviricetes.zip","2023.024M.Bunyaviricetes.zip")</f>
        <v>2023.024M.Bunyaviricetes.zip</v>
      </c>
    </row>
    <row r="14659" spans="1:21">
      <c r="A14659">
        <v>14658</v>
      </c>
      <c r="B14659" s="27" t="s">
        <v>1124</v>
      </c>
      <c r="D14659" s="27" t="s">
        <v>1859</v>
      </c>
      <c r="F14659" s="27" t="s">
        <v>938</v>
      </c>
      <c r="G14659" s="27" t="s">
        <v>959</v>
      </c>
      <c r="H14659" s="27" t="s">
        <v>17007</v>
      </c>
      <c r="J14659" s="27" t="s">
        <v>17036</v>
      </c>
      <c r="L14659" s="27" t="s">
        <v>727</v>
      </c>
      <c r="N14659" s="27" t="s">
        <v>728</v>
      </c>
      <c r="P14659" s="27" t="s">
        <v>9988</v>
      </c>
      <c r="Q14659" s="26" t="str">
        <f>HYPERLINK("https://ictv.global/taxonomy/taxondetails?taxnode_id=202500077&amp;ictv_id=ICTV20164806","ICTV20164806")</f>
        <v>ICTV20164806</v>
      </c>
      <c r="R14659" t="s">
        <v>580</v>
      </c>
      <c r="S14659" t="s">
        <v>22763</v>
      </c>
      <c r="T14659">
        <v>39</v>
      </c>
      <c r="U14659" s="26" t="str">
        <f t="shared" si="553"/>
        <v>2023.024M.Bunyaviricetes.zip</v>
      </c>
    </row>
    <row r="14660" spans="1:21">
      <c r="A14660">
        <v>14659</v>
      </c>
      <c r="B14660" s="27" t="s">
        <v>1124</v>
      </c>
      <c r="D14660" s="27" t="s">
        <v>1859</v>
      </c>
      <c r="F14660" s="27" t="s">
        <v>938</v>
      </c>
      <c r="G14660" s="27" t="s">
        <v>959</v>
      </c>
      <c r="H14660" s="27" t="s">
        <v>17007</v>
      </c>
      <c r="J14660" s="27" t="s">
        <v>17036</v>
      </c>
      <c r="L14660" s="27" t="s">
        <v>727</v>
      </c>
      <c r="N14660" s="27" t="s">
        <v>728</v>
      </c>
      <c r="P14660" s="27" t="s">
        <v>9989</v>
      </c>
      <c r="Q14660" s="26" t="str">
        <f>HYPERLINK("https://ictv.global/taxonomy/taxondetails?taxnode_id=202509762&amp;ictv_id=ICTV202009762","ICTV202009762")</f>
        <v>ICTV202009762</v>
      </c>
      <c r="R14660" t="s">
        <v>580</v>
      </c>
      <c r="S14660" t="s">
        <v>22763</v>
      </c>
      <c r="T14660">
        <v>39</v>
      </c>
      <c r="U14660" s="26" t="str">
        <f t="shared" si="553"/>
        <v>2023.024M.Bunyaviricetes.zip</v>
      </c>
    </row>
    <row r="14661" spans="1:21">
      <c r="A14661">
        <v>14660</v>
      </c>
      <c r="B14661" s="27" t="s">
        <v>1124</v>
      </c>
      <c r="D14661" s="27" t="s">
        <v>1859</v>
      </c>
      <c r="F14661" s="27" t="s">
        <v>938</v>
      </c>
      <c r="G14661" s="27" t="s">
        <v>959</v>
      </c>
      <c r="H14661" s="27" t="s">
        <v>17007</v>
      </c>
      <c r="J14661" s="27" t="s">
        <v>17036</v>
      </c>
      <c r="L14661" s="27" t="s">
        <v>727</v>
      </c>
      <c r="N14661" s="27" t="s">
        <v>728</v>
      </c>
      <c r="P14661" s="27" t="s">
        <v>9990</v>
      </c>
      <c r="Q14661" s="26" t="str">
        <f>HYPERLINK("https://ictv.global/taxonomy/taxondetails?taxnode_id=202509771&amp;ictv_id=ICTV202009771","ICTV202009771")</f>
        <v>ICTV202009771</v>
      </c>
      <c r="R14661" t="s">
        <v>580</v>
      </c>
      <c r="S14661" t="s">
        <v>22763</v>
      </c>
      <c r="T14661">
        <v>39</v>
      </c>
      <c r="U14661" s="26" t="str">
        <f t="shared" si="553"/>
        <v>2023.024M.Bunyaviricetes.zip</v>
      </c>
    </row>
    <row r="14662" spans="1:21">
      <c r="A14662">
        <v>14661</v>
      </c>
      <c r="B14662" s="27" t="s">
        <v>1124</v>
      </c>
      <c r="D14662" s="27" t="s">
        <v>1859</v>
      </c>
      <c r="F14662" s="27" t="s">
        <v>938</v>
      </c>
      <c r="G14662" s="27" t="s">
        <v>959</v>
      </c>
      <c r="H14662" s="27" t="s">
        <v>17007</v>
      </c>
      <c r="J14662" s="27" t="s">
        <v>17036</v>
      </c>
      <c r="L14662" s="27" t="s">
        <v>727</v>
      </c>
      <c r="N14662" s="27" t="s">
        <v>728</v>
      </c>
      <c r="P14662" s="27" t="s">
        <v>9991</v>
      </c>
      <c r="Q14662" s="26" t="str">
        <f>HYPERLINK("https://ictv.global/taxonomy/taxondetails?taxnode_id=202500078&amp;ictv_id=ICTV19990685","ICTV19990685")</f>
        <v>ICTV19990685</v>
      </c>
      <c r="R14662" t="s">
        <v>580</v>
      </c>
      <c r="S14662" t="s">
        <v>22763</v>
      </c>
      <c r="T14662">
        <v>39</v>
      </c>
      <c r="U14662" s="26" t="str">
        <f t="shared" si="553"/>
        <v>2023.024M.Bunyaviricetes.zip</v>
      </c>
    </row>
    <row r="14663" spans="1:21">
      <c r="A14663">
        <v>14662</v>
      </c>
      <c r="B14663" s="27" t="s">
        <v>1124</v>
      </c>
      <c r="D14663" s="27" t="s">
        <v>1859</v>
      </c>
      <c r="F14663" s="27" t="s">
        <v>938</v>
      </c>
      <c r="G14663" s="27" t="s">
        <v>959</v>
      </c>
      <c r="H14663" s="27" t="s">
        <v>17007</v>
      </c>
      <c r="J14663" s="27" t="s">
        <v>17036</v>
      </c>
      <c r="L14663" s="27" t="s">
        <v>727</v>
      </c>
      <c r="N14663" s="27" t="s">
        <v>728</v>
      </c>
      <c r="P14663" s="27" t="s">
        <v>9992</v>
      </c>
      <c r="Q14663" s="26" t="str">
        <f>HYPERLINK("https://ictv.global/taxonomy/taxondetails?taxnode_id=202509772&amp;ictv_id=ICTV202009772","ICTV202009772")</f>
        <v>ICTV202009772</v>
      </c>
      <c r="R14663" t="s">
        <v>580</v>
      </c>
      <c r="S14663" t="s">
        <v>22763</v>
      </c>
      <c r="T14663">
        <v>39</v>
      </c>
      <c r="U14663" s="26" t="str">
        <f t="shared" si="553"/>
        <v>2023.024M.Bunyaviricetes.zip</v>
      </c>
    </row>
    <row r="14664" spans="1:21">
      <c r="A14664">
        <v>14663</v>
      </c>
      <c r="B14664" s="27" t="s">
        <v>1124</v>
      </c>
      <c r="D14664" s="27" t="s">
        <v>1859</v>
      </c>
      <c r="F14664" s="27" t="s">
        <v>938</v>
      </c>
      <c r="G14664" s="27" t="s">
        <v>959</v>
      </c>
      <c r="H14664" s="27" t="s">
        <v>17007</v>
      </c>
      <c r="J14664" s="27" t="s">
        <v>17036</v>
      </c>
      <c r="L14664" s="27" t="s">
        <v>727</v>
      </c>
      <c r="N14664" s="27" t="s">
        <v>728</v>
      </c>
      <c r="P14664" s="27" t="s">
        <v>9993</v>
      </c>
      <c r="Q14664" s="26" t="str">
        <f>HYPERLINK("https://ictv.global/taxonomy/taxondetails?taxnode_id=202500079&amp;ictv_id=ICTV19990686","ICTV19990686")</f>
        <v>ICTV19990686</v>
      </c>
      <c r="R14664" t="s">
        <v>580</v>
      </c>
      <c r="S14664" t="s">
        <v>22763</v>
      </c>
      <c r="T14664">
        <v>39</v>
      </c>
      <c r="U14664" s="26" t="str">
        <f t="shared" si="553"/>
        <v>2023.024M.Bunyaviricetes.zip</v>
      </c>
    </row>
    <row r="14665" spans="1:21">
      <c r="A14665">
        <v>14664</v>
      </c>
      <c r="B14665" s="27" t="s">
        <v>1124</v>
      </c>
      <c r="D14665" s="27" t="s">
        <v>1859</v>
      </c>
      <c r="F14665" s="27" t="s">
        <v>938</v>
      </c>
      <c r="G14665" s="27" t="s">
        <v>959</v>
      </c>
      <c r="H14665" s="27" t="s">
        <v>17007</v>
      </c>
      <c r="J14665" s="27" t="s">
        <v>17036</v>
      </c>
      <c r="L14665" s="27" t="s">
        <v>727</v>
      </c>
      <c r="N14665" s="27" t="s">
        <v>728</v>
      </c>
      <c r="P14665" s="27" t="s">
        <v>17053</v>
      </c>
      <c r="Q14665" s="26" t="str">
        <f>HYPERLINK("https://ictv.global/taxonomy/taxondetails?taxnode_id=202519021&amp;ictv_id=ICTV202319021","ICTV202319021")</f>
        <v>ICTV202319021</v>
      </c>
      <c r="R14665" t="s">
        <v>580</v>
      </c>
      <c r="S14665" t="s">
        <v>823</v>
      </c>
      <c r="T14665">
        <v>39</v>
      </c>
      <c r="U14665" s="26" t="str">
        <f>HYPERLINK("https://ictv.global/ictv/proposals/2023.028M.Nairoviridae_1ng_9nsp.zip","2023.028M.Nairoviridae_1ng_9nsp.zip")</f>
        <v>2023.028M.Nairoviridae_1ng_9nsp.zip</v>
      </c>
    </row>
    <row r="14666" spans="1:21">
      <c r="A14666">
        <v>14665</v>
      </c>
      <c r="B14666" s="27" t="s">
        <v>1124</v>
      </c>
      <c r="D14666" s="27" t="s">
        <v>1859</v>
      </c>
      <c r="F14666" s="27" t="s">
        <v>938</v>
      </c>
      <c r="G14666" s="27" t="s">
        <v>959</v>
      </c>
      <c r="H14666" s="27" t="s">
        <v>17007</v>
      </c>
      <c r="J14666" s="27" t="s">
        <v>17036</v>
      </c>
      <c r="L14666" s="27" t="s">
        <v>727</v>
      </c>
      <c r="N14666" s="27" t="s">
        <v>728</v>
      </c>
      <c r="P14666" s="27" t="s">
        <v>9994</v>
      </c>
      <c r="Q14666" s="26" t="str">
        <f>HYPERLINK("https://ictv.global/taxonomy/taxondetails?taxnode_id=202509774&amp;ictv_id=ICTV202009774","ICTV202009774")</f>
        <v>ICTV202009774</v>
      </c>
      <c r="R14666" t="s">
        <v>580</v>
      </c>
      <c r="S14666" t="s">
        <v>22763</v>
      </c>
      <c r="T14666">
        <v>39</v>
      </c>
      <c r="U14666" s="26" t="str">
        <f>HYPERLINK("https://ictv.global/ictv/proposals/2023.024M.Bunyaviricetes.zip","2023.024M.Bunyaviricetes.zip")</f>
        <v>2023.024M.Bunyaviricetes.zip</v>
      </c>
    </row>
    <row r="14667" spans="1:21">
      <c r="A14667">
        <v>14666</v>
      </c>
      <c r="B14667" s="27" t="s">
        <v>1124</v>
      </c>
      <c r="D14667" s="27" t="s">
        <v>1859</v>
      </c>
      <c r="F14667" s="27" t="s">
        <v>938</v>
      </c>
      <c r="G14667" s="27" t="s">
        <v>959</v>
      </c>
      <c r="H14667" s="27" t="s">
        <v>17007</v>
      </c>
      <c r="J14667" s="27" t="s">
        <v>17036</v>
      </c>
      <c r="L14667" s="27" t="s">
        <v>727</v>
      </c>
      <c r="N14667" s="27" t="s">
        <v>728</v>
      </c>
      <c r="P14667" s="27" t="s">
        <v>9995</v>
      </c>
      <c r="Q14667" s="26" t="str">
        <f>HYPERLINK("https://ictv.global/taxonomy/taxondetails?taxnode_id=202514217&amp;ictv_id=ICTV202214217","ICTV202214217")</f>
        <v>ICTV202214217</v>
      </c>
      <c r="R14667" t="s">
        <v>580</v>
      </c>
      <c r="S14667" t="s">
        <v>22763</v>
      </c>
      <c r="T14667">
        <v>39</v>
      </c>
      <c r="U14667" s="26" t="str">
        <f>HYPERLINK("https://ictv.global/ictv/proposals/2023.024M.Bunyaviricetes.zip","2023.024M.Bunyaviricetes.zip")</f>
        <v>2023.024M.Bunyaviricetes.zip</v>
      </c>
    </row>
    <row r="14668" spans="1:21">
      <c r="A14668">
        <v>14667</v>
      </c>
      <c r="B14668" s="27" t="s">
        <v>1124</v>
      </c>
      <c r="D14668" s="27" t="s">
        <v>1859</v>
      </c>
      <c r="F14668" s="27" t="s">
        <v>938</v>
      </c>
      <c r="G14668" s="27" t="s">
        <v>959</v>
      </c>
      <c r="H14668" s="27" t="s">
        <v>17007</v>
      </c>
      <c r="J14668" s="27" t="s">
        <v>17036</v>
      </c>
      <c r="L14668" s="27" t="s">
        <v>727</v>
      </c>
      <c r="N14668" s="27" t="s">
        <v>728</v>
      </c>
      <c r="P14668" s="27" t="s">
        <v>9996</v>
      </c>
      <c r="Q14668" s="26" t="str">
        <f>HYPERLINK("https://ictv.global/taxonomy/taxondetails?taxnode_id=202514216&amp;ictv_id=ICTV202214216","ICTV202214216")</f>
        <v>ICTV202214216</v>
      </c>
      <c r="R14668" t="s">
        <v>580</v>
      </c>
      <c r="S14668" t="s">
        <v>22763</v>
      </c>
      <c r="T14668">
        <v>39</v>
      </c>
      <c r="U14668" s="26" t="str">
        <f>HYPERLINK("https://ictv.global/ictv/proposals/2023.024M.Bunyaviricetes.zip","2023.024M.Bunyaviricetes.zip")</f>
        <v>2023.024M.Bunyaviricetes.zip</v>
      </c>
    </row>
    <row r="14669" spans="1:21">
      <c r="A14669">
        <v>14668</v>
      </c>
      <c r="B14669" s="27" t="s">
        <v>1124</v>
      </c>
      <c r="D14669" s="27" t="s">
        <v>1859</v>
      </c>
      <c r="F14669" s="27" t="s">
        <v>938</v>
      </c>
      <c r="G14669" s="27" t="s">
        <v>959</v>
      </c>
      <c r="H14669" s="27" t="s">
        <v>17007</v>
      </c>
      <c r="J14669" s="27" t="s">
        <v>17036</v>
      </c>
      <c r="L14669" s="27" t="s">
        <v>727</v>
      </c>
      <c r="N14669" s="27" t="s">
        <v>728</v>
      </c>
      <c r="P14669" s="27" t="s">
        <v>17054</v>
      </c>
      <c r="Q14669" s="26" t="str">
        <f>HYPERLINK("https://ictv.global/taxonomy/taxondetails?taxnode_id=202519018&amp;ictv_id=ICTV202319018","ICTV202319018")</f>
        <v>ICTV202319018</v>
      </c>
      <c r="R14669" t="s">
        <v>580</v>
      </c>
      <c r="S14669" t="s">
        <v>823</v>
      </c>
      <c r="T14669">
        <v>39</v>
      </c>
      <c r="U14669" s="26" t="str">
        <f>HYPERLINK("https://ictv.global/ictv/proposals/2023.028M.Nairoviridae_1ng_9nsp.zip","2023.028M.Nairoviridae_1ng_9nsp.zip")</f>
        <v>2023.028M.Nairoviridae_1ng_9nsp.zip</v>
      </c>
    </row>
    <row r="14670" spans="1:21">
      <c r="A14670">
        <v>14669</v>
      </c>
      <c r="B14670" s="27" t="s">
        <v>1124</v>
      </c>
      <c r="D14670" s="27" t="s">
        <v>1859</v>
      </c>
      <c r="F14670" s="27" t="s">
        <v>938</v>
      </c>
      <c r="G14670" s="27" t="s">
        <v>959</v>
      </c>
      <c r="H14670" s="27" t="s">
        <v>17007</v>
      </c>
      <c r="J14670" s="27" t="s">
        <v>17036</v>
      </c>
      <c r="L14670" s="27" t="s">
        <v>727</v>
      </c>
      <c r="N14670" s="27" t="s">
        <v>728</v>
      </c>
      <c r="P14670" s="27" t="s">
        <v>9997</v>
      </c>
      <c r="Q14670" s="26" t="str">
        <f>HYPERLINK("https://ictv.global/taxonomy/taxondetails?taxnode_id=202509775&amp;ictv_id=ICTV202009775","ICTV202009775")</f>
        <v>ICTV202009775</v>
      </c>
      <c r="R14670" t="s">
        <v>580</v>
      </c>
      <c r="S14670" t="s">
        <v>22763</v>
      </c>
      <c r="T14670">
        <v>39</v>
      </c>
      <c r="U14670" s="26" t="str">
        <f t="shared" ref="U14670:U14679" si="554">HYPERLINK("https://ictv.global/ictv/proposals/2023.024M.Bunyaviricetes.zip","2023.024M.Bunyaviricetes.zip")</f>
        <v>2023.024M.Bunyaviricetes.zip</v>
      </c>
    </row>
    <row r="14671" spans="1:21">
      <c r="A14671">
        <v>14670</v>
      </c>
      <c r="B14671" s="27" t="s">
        <v>1124</v>
      </c>
      <c r="D14671" s="27" t="s">
        <v>1859</v>
      </c>
      <c r="F14671" s="27" t="s">
        <v>938</v>
      </c>
      <c r="G14671" s="27" t="s">
        <v>959</v>
      </c>
      <c r="H14671" s="27" t="s">
        <v>17007</v>
      </c>
      <c r="J14671" s="27" t="s">
        <v>17036</v>
      </c>
      <c r="L14671" s="27" t="s">
        <v>727</v>
      </c>
      <c r="N14671" s="27" t="s">
        <v>728</v>
      </c>
      <c r="P14671" s="27" t="s">
        <v>9998</v>
      </c>
      <c r="Q14671" s="26" t="str">
        <f>HYPERLINK("https://ictv.global/taxonomy/taxondetails?taxnode_id=202500080&amp;ictv_id=ICTV19990687","ICTV19990687")</f>
        <v>ICTV19990687</v>
      </c>
      <c r="R14671" t="s">
        <v>580</v>
      </c>
      <c r="S14671" t="s">
        <v>22763</v>
      </c>
      <c r="T14671">
        <v>39</v>
      </c>
      <c r="U14671" s="26" t="str">
        <f t="shared" si="554"/>
        <v>2023.024M.Bunyaviricetes.zip</v>
      </c>
    </row>
    <row r="14672" spans="1:21">
      <c r="A14672">
        <v>14671</v>
      </c>
      <c r="B14672" s="27" t="s">
        <v>1124</v>
      </c>
      <c r="D14672" s="27" t="s">
        <v>1859</v>
      </c>
      <c r="F14672" s="27" t="s">
        <v>938</v>
      </c>
      <c r="G14672" s="27" t="s">
        <v>959</v>
      </c>
      <c r="H14672" s="27" t="s">
        <v>17007</v>
      </c>
      <c r="J14672" s="27" t="s">
        <v>17036</v>
      </c>
      <c r="L14672" s="27" t="s">
        <v>727</v>
      </c>
      <c r="N14672" s="27" t="s">
        <v>728</v>
      </c>
      <c r="P14672" s="27" t="s">
        <v>9999</v>
      </c>
      <c r="Q14672" s="26" t="str">
        <f>HYPERLINK("https://ictv.global/taxonomy/taxondetails?taxnode_id=202500069&amp;ictv_id=ICTV20164802","ICTV20164802")</f>
        <v>ICTV20164802</v>
      </c>
      <c r="R14672" t="s">
        <v>580</v>
      </c>
      <c r="S14672" t="s">
        <v>22763</v>
      </c>
      <c r="T14672">
        <v>39</v>
      </c>
      <c r="U14672" s="26" t="str">
        <f t="shared" si="554"/>
        <v>2023.024M.Bunyaviricetes.zip</v>
      </c>
    </row>
    <row r="14673" spans="1:21">
      <c r="A14673">
        <v>14672</v>
      </c>
      <c r="B14673" s="27" t="s">
        <v>1124</v>
      </c>
      <c r="D14673" s="27" t="s">
        <v>1859</v>
      </c>
      <c r="F14673" s="27" t="s">
        <v>938</v>
      </c>
      <c r="G14673" s="27" t="s">
        <v>959</v>
      </c>
      <c r="H14673" s="27" t="s">
        <v>17007</v>
      </c>
      <c r="J14673" s="27" t="s">
        <v>17036</v>
      </c>
      <c r="L14673" s="27" t="s">
        <v>727</v>
      </c>
      <c r="N14673" s="27" t="s">
        <v>728</v>
      </c>
      <c r="P14673" s="27" t="s">
        <v>10000</v>
      </c>
      <c r="Q14673" s="26" t="str">
        <f>HYPERLINK("https://ictv.global/taxonomy/taxondetails?taxnode_id=202509778&amp;ictv_id=ICTV202009778","ICTV202009778")</f>
        <v>ICTV202009778</v>
      </c>
      <c r="R14673" t="s">
        <v>580</v>
      </c>
      <c r="S14673" t="s">
        <v>22763</v>
      </c>
      <c r="T14673">
        <v>39</v>
      </c>
      <c r="U14673" s="26" t="str">
        <f t="shared" si="554"/>
        <v>2023.024M.Bunyaviricetes.zip</v>
      </c>
    </row>
    <row r="14674" spans="1:21">
      <c r="A14674">
        <v>14673</v>
      </c>
      <c r="B14674" s="27" t="s">
        <v>1124</v>
      </c>
      <c r="D14674" s="27" t="s">
        <v>1859</v>
      </c>
      <c r="F14674" s="27" t="s">
        <v>938</v>
      </c>
      <c r="G14674" s="27" t="s">
        <v>959</v>
      </c>
      <c r="H14674" s="27" t="s">
        <v>17007</v>
      </c>
      <c r="J14674" s="27" t="s">
        <v>17036</v>
      </c>
      <c r="L14674" s="27" t="s">
        <v>727</v>
      </c>
      <c r="N14674" s="27" t="s">
        <v>728</v>
      </c>
      <c r="P14674" s="27" t="s">
        <v>10001</v>
      </c>
      <c r="Q14674" s="26" t="str">
        <f>HYPERLINK("https://ictv.global/taxonomy/taxondetails?taxnode_id=202509780&amp;ictv_id=ICTV202009780","ICTV202009780")</f>
        <v>ICTV202009780</v>
      </c>
      <c r="R14674" t="s">
        <v>580</v>
      </c>
      <c r="S14674" t="s">
        <v>22763</v>
      </c>
      <c r="T14674">
        <v>39</v>
      </c>
      <c r="U14674" s="26" t="str">
        <f t="shared" si="554"/>
        <v>2023.024M.Bunyaviricetes.zip</v>
      </c>
    </row>
    <row r="14675" spans="1:21">
      <c r="A14675">
        <v>14674</v>
      </c>
      <c r="B14675" s="27" t="s">
        <v>1124</v>
      </c>
      <c r="D14675" s="27" t="s">
        <v>1859</v>
      </c>
      <c r="F14675" s="27" t="s">
        <v>938</v>
      </c>
      <c r="G14675" s="27" t="s">
        <v>959</v>
      </c>
      <c r="H14675" s="27" t="s">
        <v>17007</v>
      </c>
      <c r="J14675" s="27" t="s">
        <v>17036</v>
      </c>
      <c r="L14675" s="27" t="s">
        <v>727</v>
      </c>
      <c r="N14675" s="27" t="s">
        <v>728</v>
      </c>
      <c r="P14675" s="27" t="s">
        <v>10002</v>
      </c>
      <c r="Q14675" s="26" t="str">
        <f>HYPERLINK("https://ictv.global/taxonomy/taxondetails?taxnode_id=202514215&amp;ictv_id=ICTV202214215","ICTV202214215")</f>
        <v>ICTV202214215</v>
      </c>
      <c r="R14675" t="s">
        <v>580</v>
      </c>
      <c r="S14675" t="s">
        <v>22763</v>
      </c>
      <c r="T14675">
        <v>39</v>
      </c>
      <c r="U14675" s="26" t="str">
        <f t="shared" si="554"/>
        <v>2023.024M.Bunyaviricetes.zip</v>
      </c>
    </row>
    <row r="14676" spans="1:21">
      <c r="A14676">
        <v>14675</v>
      </c>
      <c r="B14676" s="27" t="s">
        <v>1124</v>
      </c>
      <c r="D14676" s="27" t="s">
        <v>1859</v>
      </c>
      <c r="F14676" s="27" t="s">
        <v>938</v>
      </c>
      <c r="G14676" s="27" t="s">
        <v>959</v>
      </c>
      <c r="H14676" s="27" t="s">
        <v>17007</v>
      </c>
      <c r="J14676" s="27" t="s">
        <v>17036</v>
      </c>
      <c r="L14676" s="27" t="s">
        <v>727</v>
      </c>
      <c r="N14676" s="27" t="s">
        <v>728</v>
      </c>
      <c r="P14676" s="27" t="s">
        <v>10003</v>
      </c>
      <c r="Q14676" s="26" t="str">
        <f>HYPERLINK("https://ictv.global/taxonomy/taxondetails?taxnode_id=202509781&amp;ictv_id=ICTV202009781","ICTV202009781")</f>
        <v>ICTV202009781</v>
      </c>
      <c r="R14676" t="s">
        <v>580</v>
      </c>
      <c r="S14676" t="s">
        <v>22763</v>
      </c>
      <c r="T14676">
        <v>39</v>
      </c>
      <c r="U14676" s="26" t="str">
        <f t="shared" si="554"/>
        <v>2023.024M.Bunyaviricetes.zip</v>
      </c>
    </row>
    <row r="14677" spans="1:21">
      <c r="A14677">
        <v>14676</v>
      </c>
      <c r="B14677" s="27" t="s">
        <v>1124</v>
      </c>
      <c r="D14677" s="27" t="s">
        <v>1859</v>
      </c>
      <c r="F14677" s="27" t="s">
        <v>938</v>
      </c>
      <c r="G14677" s="27" t="s">
        <v>959</v>
      </c>
      <c r="H14677" s="27" t="s">
        <v>17007</v>
      </c>
      <c r="J14677" s="27" t="s">
        <v>17036</v>
      </c>
      <c r="L14677" s="27" t="s">
        <v>727</v>
      </c>
      <c r="N14677" s="27" t="s">
        <v>728</v>
      </c>
      <c r="P14677" s="27" t="s">
        <v>10004</v>
      </c>
      <c r="Q14677" s="26" t="str">
        <f>HYPERLINK("https://ictv.global/taxonomy/taxondetails?taxnode_id=202509782&amp;ictv_id=ICTV202009782","ICTV202009782")</f>
        <v>ICTV202009782</v>
      </c>
      <c r="R14677" t="s">
        <v>580</v>
      </c>
      <c r="S14677" t="s">
        <v>22763</v>
      </c>
      <c r="T14677">
        <v>39</v>
      </c>
      <c r="U14677" s="26" t="str">
        <f t="shared" si="554"/>
        <v>2023.024M.Bunyaviricetes.zip</v>
      </c>
    </row>
    <row r="14678" spans="1:21">
      <c r="A14678">
        <v>14677</v>
      </c>
      <c r="B14678" s="27" t="s">
        <v>1124</v>
      </c>
      <c r="D14678" s="27" t="s">
        <v>1859</v>
      </c>
      <c r="F14678" s="27" t="s">
        <v>938</v>
      </c>
      <c r="G14678" s="27" t="s">
        <v>959</v>
      </c>
      <c r="H14678" s="27" t="s">
        <v>17007</v>
      </c>
      <c r="J14678" s="27" t="s">
        <v>17036</v>
      </c>
      <c r="L14678" s="27" t="s">
        <v>727</v>
      </c>
      <c r="N14678" s="27" t="s">
        <v>3590</v>
      </c>
      <c r="P14678" s="27" t="s">
        <v>10005</v>
      </c>
      <c r="Q14678" s="26" t="str">
        <f>HYPERLINK("https://ictv.global/taxonomy/taxondetails?taxnode_id=202509786&amp;ictv_id=ICTV202009786","ICTV202009786")</f>
        <v>ICTV202009786</v>
      </c>
      <c r="R14678" t="s">
        <v>580</v>
      </c>
      <c r="S14678" t="s">
        <v>22763</v>
      </c>
      <c r="T14678">
        <v>39</v>
      </c>
      <c r="U14678" s="26" t="str">
        <f t="shared" si="554"/>
        <v>2023.024M.Bunyaviricetes.zip</v>
      </c>
    </row>
    <row r="14679" spans="1:21">
      <c r="A14679">
        <v>14678</v>
      </c>
      <c r="B14679" s="27" t="s">
        <v>1124</v>
      </c>
      <c r="D14679" s="27" t="s">
        <v>1859</v>
      </c>
      <c r="F14679" s="27" t="s">
        <v>938</v>
      </c>
      <c r="G14679" s="27" t="s">
        <v>959</v>
      </c>
      <c r="H14679" s="27" t="s">
        <v>17007</v>
      </c>
      <c r="J14679" s="27" t="s">
        <v>17036</v>
      </c>
      <c r="L14679" s="27" t="s">
        <v>727</v>
      </c>
      <c r="N14679" s="27" t="s">
        <v>967</v>
      </c>
      <c r="P14679" s="27" t="s">
        <v>10006</v>
      </c>
      <c r="Q14679" s="26" t="str">
        <f>HYPERLINK("https://ictv.global/taxonomy/taxondetails?taxnode_id=202506217&amp;ictv_id=ICTV20186217","ICTV20186217")</f>
        <v>ICTV20186217</v>
      </c>
      <c r="R14679" t="s">
        <v>580</v>
      </c>
      <c r="S14679" t="s">
        <v>22763</v>
      </c>
      <c r="T14679">
        <v>39</v>
      </c>
      <c r="U14679" s="26" t="str">
        <f t="shared" si="554"/>
        <v>2023.024M.Bunyaviricetes.zip</v>
      </c>
    </row>
    <row r="14680" spans="1:21">
      <c r="A14680">
        <v>14679</v>
      </c>
      <c r="B14680" s="27" t="s">
        <v>1124</v>
      </c>
      <c r="D14680" s="27" t="s">
        <v>1859</v>
      </c>
      <c r="F14680" s="27" t="s">
        <v>938</v>
      </c>
      <c r="G14680" s="27" t="s">
        <v>959</v>
      </c>
      <c r="H14680" s="27" t="s">
        <v>17007</v>
      </c>
      <c r="J14680" s="27" t="s">
        <v>17036</v>
      </c>
      <c r="L14680" s="27" t="s">
        <v>727</v>
      </c>
      <c r="N14680" s="27" t="s">
        <v>17055</v>
      </c>
      <c r="P14680" s="27" t="s">
        <v>17056</v>
      </c>
      <c r="Q14680" s="26" t="str">
        <f>HYPERLINK("https://ictv.global/taxonomy/taxondetails?taxnode_id=202519016&amp;ictv_id=ICTV202319016","ICTV202319016")</f>
        <v>ICTV202319016</v>
      </c>
      <c r="R14680" t="s">
        <v>580</v>
      </c>
      <c r="S14680" t="s">
        <v>823</v>
      </c>
      <c r="T14680">
        <v>39</v>
      </c>
      <c r="U14680" s="26" t="str">
        <f>HYPERLINK("https://ictv.global/ictv/proposals/2023.028M.Nairoviridae_1ng_9nsp.zip","2023.028M.Nairoviridae_1ng_9nsp.zip")</f>
        <v>2023.028M.Nairoviridae_1ng_9nsp.zip</v>
      </c>
    </row>
    <row r="14681" spans="1:21">
      <c r="A14681">
        <v>14680</v>
      </c>
      <c r="B14681" s="27" t="s">
        <v>1124</v>
      </c>
      <c r="D14681" s="27" t="s">
        <v>1859</v>
      </c>
      <c r="F14681" s="27" t="s">
        <v>938</v>
      </c>
      <c r="G14681" s="27" t="s">
        <v>959</v>
      </c>
      <c r="H14681" s="27" t="s">
        <v>17007</v>
      </c>
      <c r="J14681" s="27" t="s">
        <v>17036</v>
      </c>
      <c r="L14681" s="27" t="s">
        <v>727</v>
      </c>
      <c r="N14681" s="27" t="s">
        <v>968</v>
      </c>
      <c r="P14681" s="27" t="s">
        <v>10007</v>
      </c>
      <c r="Q14681" s="26" t="str">
        <f>HYPERLINK("https://ictv.global/taxonomy/taxondetails?taxnode_id=202506219&amp;ictv_id=ICTV20186219","ICTV20186219")</f>
        <v>ICTV20186219</v>
      </c>
      <c r="R14681" t="s">
        <v>580</v>
      </c>
      <c r="S14681" t="s">
        <v>22763</v>
      </c>
      <c r="T14681">
        <v>39</v>
      </c>
      <c r="U14681" s="26" t="str">
        <f t="shared" ref="U14681:U14691" si="555">HYPERLINK("https://ictv.global/ictv/proposals/2023.024M.Bunyaviricetes.zip","2023.024M.Bunyaviricetes.zip")</f>
        <v>2023.024M.Bunyaviricetes.zip</v>
      </c>
    </row>
    <row r="14682" spans="1:21">
      <c r="A14682">
        <v>14681</v>
      </c>
      <c r="B14682" s="27" t="s">
        <v>1124</v>
      </c>
      <c r="D14682" s="27" t="s">
        <v>1859</v>
      </c>
      <c r="F14682" s="27" t="s">
        <v>938</v>
      </c>
      <c r="G14682" s="27" t="s">
        <v>959</v>
      </c>
      <c r="H14682" s="27" t="s">
        <v>17007</v>
      </c>
      <c r="J14682" s="27" t="s">
        <v>17036</v>
      </c>
      <c r="L14682" s="27" t="s">
        <v>727</v>
      </c>
      <c r="N14682" s="27" t="s">
        <v>3591</v>
      </c>
      <c r="P14682" s="27" t="s">
        <v>10008</v>
      </c>
      <c r="Q14682" s="26" t="str">
        <f>HYPERLINK("https://ictv.global/taxonomy/taxondetails?taxnode_id=202509784&amp;ictv_id=ICTV202009784","ICTV202009784")</f>
        <v>ICTV202009784</v>
      </c>
      <c r="R14682" t="s">
        <v>580</v>
      </c>
      <c r="S14682" t="s">
        <v>22763</v>
      </c>
      <c r="T14682">
        <v>39</v>
      </c>
      <c r="U14682" s="26" t="str">
        <f t="shared" si="555"/>
        <v>2023.024M.Bunyaviricetes.zip</v>
      </c>
    </row>
    <row r="14683" spans="1:21">
      <c r="A14683">
        <v>14682</v>
      </c>
      <c r="B14683" s="27" t="s">
        <v>1124</v>
      </c>
      <c r="D14683" s="27" t="s">
        <v>1859</v>
      </c>
      <c r="F14683" s="27" t="s">
        <v>938</v>
      </c>
      <c r="G14683" s="27" t="s">
        <v>959</v>
      </c>
      <c r="H14683" s="27" t="s">
        <v>17007</v>
      </c>
      <c r="J14683" s="27" t="s">
        <v>17036</v>
      </c>
      <c r="L14683" s="27" t="s">
        <v>730</v>
      </c>
      <c r="N14683" s="27" t="s">
        <v>1902</v>
      </c>
      <c r="P14683" s="27" t="s">
        <v>10178</v>
      </c>
      <c r="Q14683" s="26" t="str">
        <f>HYPERLINK("https://ictv.global/taxonomy/taxondetails?taxnode_id=202507636&amp;ictv_id=ICTV201907636","ICTV201907636")</f>
        <v>ICTV201907636</v>
      </c>
      <c r="R14683" t="s">
        <v>657</v>
      </c>
      <c r="S14683" t="s">
        <v>22763</v>
      </c>
      <c r="T14683">
        <v>39</v>
      </c>
      <c r="U14683" s="26" t="str">
        <f t="shared" si="555"/>
        <v>2023.024M.Bunyaviricetes.zip</v>
      </c>
    </row>
    <row r="14684" spans="1:21">
      <c r="A14684">
        <v>14683</v>
      </c>
      <c r="B14684" s="27" t="s">
        <v>1124</v>
      </c>
      <c r="D14684" s="27" t="s">
        <v>1859</v>
      </c>
      <c r="F14684" s="27" t="s">
        <v>938</v>
      </c>
      <c r="G14684" s="27" t="s">
        <v>959</v>
      </c>
      <c r="H14684" s="27" t="s">
        <v>17007</v>
      </c>
      <c r="J14684" s="27" t="s">
        <v>17036</v>
      </c>
      <c r="L14684" s="27" t="s">
        <v>730</v>
      </c>
      <c r="N14684" s="27" t="s">
        <v>1902</v>
      </c>
      <c r="P14684" s="27" t="s">
        <v>10179</v>
      </c>
      <c r="Q14684" s="26" t="str">
        <f>HYPERLINK("https://ictv.global/taxonomy/taxondetails?taxnode_id=202507638&amp;ictv_id=ICTV201907638","ICTV201907638")</f>
        <v>ICTV201907638</v>
      </c>
      <c r="R14684" t="s">
        <v>657</v>
      </c>
      <c r="S14684" t="s">
        <v>22763</v>
      </c>
      <c r="T14684">
        <v>39</v>
      </c>
      <c r="U14684" s="26" t="str">
        <f t="shared" si="555"/>
        <v>2023.024M.Bunyaviricetes.zip</v>
      </c>
    </row>
    <row r="14685" spans="1:21">
      <c r="A14685">
        <v>14684</v>
      </c>
      <c r="B14685" s="27" t="s">
        <v>1124</v>
      </c>
      <c r="D14685" s="27" t="s">
        <v>1859</v>
      </c>
      <c r="F14685" s="27" t="s">
        <v>938</v>
      </c>
      <c r="G14685" s="27" t="s">
        <v>959</v>
      </c>
      <c r="H14685" s="27" t="s">
        <v>17007</v>
      </c>
      <c r="J14685" s="27" t="s">
        <v>17036</v>
      </c>
      <c r="L14685" s="27" t="s">
        <v>730</v>
      </c>
      <c r="N14685" s="27" t="s">
        <v>1902</v>
      </c>
      <c r="P14685" s="27" t="s">
        <v>10180</v>
      </c>
      <c r="Q14685" s="26" t="str">
        <f>HYPERLINK("https://ictv.global/taxonomy/taxondetails?taxnode_id=202507635&amp;ictv_id=ICTV201907635","ICTV201907635")</f>
        <v>ICTV201907635</v>
      </c>
      <c r="R14685" t="s">
        <v>657</v>
      </c>
      <c r="S14685" t="s">
        <v>22763</v>
      </c>
      <c r="T14685">
        <v>39</v>
      </c>
      <c r="U14685" s="26" t="str">
        <f t="shared" si="555"/>
        <v>2023.024M.Bunyaviricetes.zip</v>
      </c>
    </row>
    <row r="14686" spans="1:21">
      <c r="A14686">
        <v>14685</v>
      </c>
      <c r="B14686" s="27" t="s">
        <v>1124</v>
      </c>
      <c r="D14686" s="27" t="s">
        <v>1859</v>
      </c>
      <c r="F14686" s="27" t="s">
        <v>938</v>
      </c>
      <c r="G14686" s="27" t="s">
        <v>959</v>
      </c>
      <c r="H14686" s="27" t="s">
        <v>17007</v>
      </c>
      <c r="J14686" s="27" t="s">
        <v>17036</v>
      </c>
      <c r="L14686" s="27" t="s">
        <v>730</v>
      </c>
      <c r="N14686" s="27" t="s">
        <v>1902</v>
      </c>
      <c r="P14686" s="27" t="s">
        <v>10181</v>
      </c>
      <c r="Q14686" s="26" t="str">
        <f>HYPERLINK("https://ictv.global/taxonomy/taxondetails?taxnode_id=202500166&amp;ictv_id=ICTV20141803","ICTV20141803")</f>
        <v>ICTV20141803</v>
      </c>
      <c r="R14686" t="s">
        <v>657</v>
      </c>
      <c r="S14686" t="s">
        <v>22763</v>
      </c>
      <c r="T14686">
        <v>39</v>
      </c>
      <c r="U14686" s="26" t="str">
        <f t="shared" si="555"/>
        <v>2023.024M.Bunyaviricetes.zip</v>
      </c>
    </row>
    <row r="14687" spans="1:21">
      <c r="A14687">
        <v>14686</v>
      </c>
      <c r="B14687" s="27" t="s">
        <v>1124</v>
      </c>
      <c r="D14687" s="27" t="s">
        <v>1859</v>
      </c>
      <c r="F14687" s="27" t="s">
        <v>938</v>
      </c>
      <c r="G14687" s="27" t="s">
        <v>959</v>
      </c>
      <c r="H14687" s="27" t="s">
        <v>17007</v>
      </c>
      <c r="J14687" s="27" t="s">
        <v>17036</v>
      </c>
      <c r="L14687" s="27" t="s">
        <v>730</v>
      </c>
      <c r="N14687" s="27" t="s">
        <v>1902</v>
      </c>
      <c r="P14687" s="27" t="s">
        <v>10182</v>
      </c>
      <c r="Q14687" s="26" t="str">
        <f>HYPERLINK("https://ictv.global/taxonomy/taxondetails?taxnode_id=202506486&amp;ictv_id=ICTV201856486","ICTV201856486")</f>
        <v>ICTV201856486</v>
      </c>
      <c r="R14687" t="s">
        <v>657</v>
      </c>
      <c r="S14687" t="s">
        <v>22763</v>
      </c>
      <c r="T14687">
        <v>39</v>
      </c>
      <c r="U14687" s="26" t="str">
        <f t="shared" si="555"/>
        <v>2023.024M.Bunyaviricetes.zip</v>
      </c>
    </row>
    <row r="14688" spans="1:21">
      <c r="A14688">
        <v>14687</v>
      </c>
      <c r="B14688" s="27" t="s">
        <v>1124</v>
      </c>
      <c r="D14688" s="27" t="s">
        <v>1859</v>
      </c>
      <c r="F14688" s="27" t="s">
        <v>938</v>
      </c>
      <c r="G14688" s="27" t="s">
        <v>959</v>
      </c>
      <c r="H14688" s="27" t="s">
        <v>17007</v>
      </c>
      <c r="J14688" s="27" t="s">
        <v>17036</v>
      </c>
      <c r="L14688" s="27" t="s">
        <v>730</v>
      </c>
      <c r="N14688" s="27" t="s">
        <v>1902</v>
      </c>
      <c r="P14688" s="27" t="s">
        <v>10183</v>
      </c>
      <c r="Q14688" s="26" t="str">
        <f>HYPERLINK("https://ictv.global/taxonomy/taxondetails?taxnode_id=202506607&amp;ictv_id=ICTV201856607","ICTV201856607")</f>
        <v>ICTV201856607</v>
      </c>
      <c r="R14688" t="s">
        <v>657</v>
      </c>
      <c r="S14688" t="s">
        <v>22763</v>
      </c>
      <c r="T14688">
        <v>39</v>
      </c>
      <c r="U14688" s="26" t="str">
        <f t="shared" si="555"/>
        <v>2023.024M.Bunyaviricetes.zip</v>
      </c>
    </row>
    <row r="14689" spans="1:21">
      <c r="A14689">
        <v>14688</v>
      </c>
      <c r="B14689" s="27" t="s">
        <v>1124</v>
      </c>
      <c r="D14689" s="27" t="s">
        <v>1859</v>
      </c>
      <c r="F14689" s="27" t="s">
        <v>938</v>
      </c>
      <c r="G14689" s="27" t="s">
        <v>959</v>
      </c>
      <c r="H14689" s="27" t="s">
        <v>17007</v>
      </c>
      <c r="J14689" s="27" t="s">
        <v>17036</v>
      </c>
      <c r="L14689" s="27" t="s">
        <v>730</v>
      </c>
      <c r="N14689" s="27" t="s">
        <v>1902</v>
      </c>
      <c r="P14689" s="27" t="s">
        <v>10184</v>
      </c>
      <c r="Q14689" s="26" t="str">
        <f>HYPERLINK("https://ictv.global/taxonomy/taxondetails?taxnode_id=202507637&amp;ictv_id=ICTV201907637","ICTV201907637")</f>
        <v>ICTV201907637</v>
      </c>
      <c r="R14689" t="s">
        <v>657</v>
      </c>
      <c r="S14689" t="s">
        <v>22763</v>
      </c>
      <c r="T14689">
        <v>39</v>
      </c>
      <c r="U14689" s="26" t="str">
        <f t="shared" si="555"/>
        <v>2023.024M.Bunyaviricetes.zip</v>
      </c>
    </row>
    <row r="14690" spans="1:21">
      <c r="A14690">
        <v>14689</v>
      </c>
      <c r="B14690" s="27" t="s">
        <v>1124</v>
      </c>
      <c r="D14690" s="27" t="s">
        <v>1859</v>
      </c>
      <c r="F14690" s="27" t="s">
        <v>938</v>
      </c>
      <c r="G14690" s="27" t="s">
        <v>959</v>
      </c>
      <c r="H14690" s="27" t="s">
        <v>17007</v>
      </c>
      <c r="J14690" s="27" t="s">
        <v>17036</v>
      </c>
      <c r="L14690" s="27" t="s">
        <v>730</v>
      </c>
      <c r="N14690" s="27" t="s">
        <v>1902</v>
      </c>
      <c r="P14690" s="27" t="s">
        <v>10185</v>
      </c>
      <c r="Q14690" s="26" t="str">
        <f>HYPERLINK("https://ictv.global/taxonomy/taxondetails?taxnode_id=202509828&amp;ictv_id=ICTV202009828","ICTV202009828")</f>
        <v>ICTV202009828</v>
      </c>
      <c r="R14690" t="s">
        <v>657</v>
      </c>
      <c r="S14690" t="s">
        <v>22763</v>
      </c>
      <c r="T14690">
        <v>39</v>
      </c>
      <c r="U14690" s="26" t="str">
        <f t="shared" si="555"/>
        <v>2023.024M.Bunyaviricetes.zip</v>
      </c>
    </row>
    <row r="14691" spans="1:21">
      <c r="A14691">
        <v>14690</v>
      </c>
      <c r="B14691" s="27" t="s">
        <v>1124</v>
      </c>
      <c r="D14691" s="27" t="s">
        <v>1859</v>
      </c>
      <c r="F14691" s="27" t="s">
        <v>938</v>
      </c>
      <c r="G14691" s="27" t="s">
        <v>959</v>
      </c>
      <c r="H14691" s="27" t="s">
        <v>17007</v>
      </c>
      <c r="J14691" s="27" t="s">
        <v>17036</v>
      </c>
      <c r="L14691" s="27" t="s">
        <v>730</v>
      </c>
      <c r="N14691" s="27" t="s">
        <v>1902</v>
      </c>
      <c r="P14691" s="27" t="s">
        <v>10186</v>
      </c>
      <c r="Q14691" s="26" t="str">
        <f>HYPERLINK("https://ictv.global/taxonomy/taxondetails?taxnode_id=202514258&amp;ictv_id=ICTV202214258","ICTV202214258")</f>
        <v>ICTV202214258</v>
      </c>
      <c r="R14691" t="s">
        <v>657</v>
      </c>
      <c r="S14691" t="s">
        <v>22763</v>
      </c>
      <c r="T14691">
        <v>39</v>
      </c>
      <c r="U14691" s="26" t="str">
        <f t="shared" si="555"/>
        <v>2023.024M.Bunyaviricetes.zip</v>
      </c>
    </row>
    <row r="14692" spans="1:21">
      <c r="A14692">
        <v>14691</v>
      </c>
      <c r="B14692" s="27" t="s">
        <v>1124</v>
      </c>
      <c r="D14692" s="27" t="s">
        <v>1859</v>
      </c>
      <c r="F14692" s="27" t="s">
        <v>938</v>
      </c>
      <c r="G14692" s="27" t="s">
        <v>959</v>
      </c>
      <c r="H14692" s="27" t="s">
        <v>17007</v>
      </c>
      <c r="J14692" s="27" t="s">
        <v>17036</v>
      </c>
      <c r="L14692" s="27" t="s">
        <v>730</v>
      </c>
      <c r="N14692" s="27" t="s">
        <v>973</v>
      </c>
      <c r="P14692" s="27" t="s">
        <v>21489</v>
      </c>
      <c r="Q14692" s="26" t="str">
        <f>HYPERLINK("https://ictv.global/taxonomy/taxondetails?taxnode_id=202522358&amp;ictv_id=ICTV202522358","ICTV202522358")</f>
        <v>ICTV202522358</v>
      </c>
      <c r="R14692" t="s">
        <v>580</v>
      </c>
      <c r="S14692" t="s">
        <v>823</v>
      </c>
      <c r="T14692">
        <v>41</v>
      </c>
      <c r="U14692" s="26" t="str">
        <f>HYPERLINK("https://ictv.global/ictv/proposals/2025.008M.Phenuiviridae_62nsp+1asp.zip","2025.008M.Phenuiviridae_62nsp+1asp.zip")</f>
        <v>2025.008M.Phenuiviridae_62nsp+1asp.zip</v>
      </c>
    </row>
    <row r="14693" spans="1:21">
      <c r="A14693">
        <v>14692</v>
      </c>
      <c r="B14693" s="27" t="s">
        <v>1124</v>
      </c>
      <c r="D14693" s="27" t="s">
        <v>1859</v>
      </c>
      <c r="F14693" s="27" t="s">
        <v>938</v>
      </c>
      <c r="G14693" s="27" t="s">
        <v>959</v>
      </c>
      <c r="H14693" s="27" t="s">
        <v>17007</v>
      </c>
      <c r="J14693" s="27" t="s">
        <v>17036</v>
      </c>
      <c r="L14693" s="27" t="s">
        <v>730</v>
      </c>
      <c r="N14693" s="27" t="s">
        <v>973</v>
      </c>
      <c r="P14693" s="27" t="s">
        <v>21490</v>
      </c>
      <c r="Q14693" s="26" t="str">
        <f>HYPERLINK("https://ictv.global/taxonomy/taxondetails?taxnode_id=202522359&amp;ictv_id=ICTV202522359","ICTV202522359")</f>
        <v>ICTV202522359</v>
      </c>
      <c r="R14693" t="s">
        <v>580</v>
      </c>
      <c r="S14693" t="s">
        <v>823</v>
      </c>
      <c r="T14693">
        <v>41</v>
      </c>
      <c r="U14693" s="26" t="str">
        <f>HYPERLINK("https://ictv.global/ictv/proposals/2025.008M.Phenuiviridae_62nsp+1asp.zip","2025.008M.Phenuiviridae_62nsp+1asp.zip")</f>
        <v>2025.008M.Phenuiviridae_62nsp+1asp.zip</v>
      </c>
    </row>
    <row r="14694" spans="1:21">
      <c r="A14694">
        <v>14693</v>
      </c>
      <c r="B14694" s="27" t="s">
        <v>1124</v>
      </c>
      <c r="D14694" s="27" t="s">
        <v>1859</v>
      </c>
      <c r="F14694" s="27" t="s">
        <v>938</v>
      </c>
      <c r="G14694" s="27" t="s">
        <v>959</v>
      </c>
      <c r="H14694" s="27" t="s">
        <v>17007</v>
      </c>
      <c r="J14694" s="27" t="s">
        <v>17036</v>
      </c>
      <c r="L14694" s="27" t="s">
        <v>730</v>
      </c>
      <c r="N14694" s="27" t="s">
        <v>973</v>
      </c>
      <c r="P14694" s="27" t="s">
        <v>21491</v>
      </c>
      <c r="Q14694" s="26" t="str">
        <f>HYPERLINK("https://ictv.global/taxonomy/taxondetails?taxnode_id=202522360&amp;ictv_id=ICTV202522360","ICTV202522360")</f>
        <v>ICTV202522360</v>
      </c>
      <c r="R14694" t="s">
        <v>580</v>
      </c>
      <c r="S14694" t="s">
        <v>823</v>
      </c>
      <c r="T14694">
        <v>41</v>
      </c>
      <c r="U14694" s="26" t="str">
        <f>HYPERLINK("https://ictv.global/ictv/proposals/2025.008M.Phenuiviridae_62nsp+1asp.zip","2025.008M.Phenuiviridae_62nsp+1asp.zip")</f>
        <v>2025.008M.Phenuiviridae_62nsp+1asp.zip</v>
      </c>
    </row>
    <row r="14695" spans="1:21">
      <c r="A14695">
        <v>14694</v>
      </c>
      <c r="B14695" s="27" t="s">
        <v>1124</v>
      </c>
      <c r="D14695" s="27" t="s">
        <v>1859</v>
      </c>
      <c r="F14695" s="27" t="s">
        <v>938</v>
      </c>
      <c r="G14695" s="27" t="s">
        <v>959</v>
      </c>
      <c r="H14695" s="27" t="s">
        <v>17007</v>
      </c>
      <c r="J14695" s="27" t="s">
        <v>17036</v>
      </c>
      <c r="L14695" s="27" t="s">
        <v>730</v>
      </c>
      <c r="N14695" s="27" t="s">
        <v>973</v>
      </c>
      <c r="P14695" s="27" t="s">
        <v>10187</v>
      </c>
      <c r="Q14695" s="26" t="str">
        <f>HYPERLINK("https://ictv.global/taxonomy/taxondetails?taxnode_id=202506226&amp;ictv_id=ICTV20186226","ICTV20186226")</f>
        <v>ICTV20186226</v>
      </c>
      <c r="R14695" t="s">
        <v>580</v>
      </c>
      <c r="S14695" t="s">
        <v>22763</v>
      </c>
      <c r="T14695">
        <v>39</v>
      </c>
      <c r="U14695" s="26" t="str">
        <f>HYPERLINK("https://ictv.global/ictv/proposals/2023.024M.Bunyaviricetes.zip","2023.024M.Bunyaviricetes.zip")</f>
        <v>2023.024M.Bunyaviricetes.zip</v>
      </c>
    </row>
    <row r="14696" spans="1:21">
      <c r="A14696">
        <v>14695</v>
      </c>
      <c r="B14696" s="27" t="s">
        <v>1124</v>
      </c>
      <c r="D14696" s="27" t="s">
        <v>1859</v>
      </c>
      <c r="F14696" s="27" t="s">
        <v>938</v>
      </c>
      <c r="G14696" s="27" t="s">
        <v>959</v>
      </c>
      <c r="H14696" s="27" t="s">
        <v>17007</v>
      </c>
      <c r="J14696" s="27" t="s">
        <v>17036</v>
      </c>
      <c r="L14696" s="27" t="s">
        <v>730</v>
      </c>
      <c r="N14696" s="27" t="s">
        <v>17057</v>
      </c>
      <c r="P14696" s="27" t="s">
        <v>17058</v>
      </c>
      <c r="Q14696" s="26" t="str">
        <f>HYPERLINK("https://ictv.global/taxonomy/taxondetails?taxnode_id=202518414&amp;ictv_id=ICTV202318414","ICTV202318414")</f>
        <v>ICTV202318414</v>
      </c>
      <c r="R14696" t="s">
        <v>580</v>
      </c>
      <c r="S14696" t="s">
        <v>823</v>
      </c>
      <c r="T14696">
        <v>39</v>
      </c>
      <c r="U14696" s="26" t="str">
        <f>HYPERLINK("https://ictv.global/ictv/proposals/2023.019M.Phenuiviridae_1ng_1nsp_1spmr.zip","2023.019M.Phenuiviridae_1ng_1nsp_1spmr.zip")</f>
        <v>2023.019M.Phenuiviridae_1ng_1nsp_1spmr.zip</v>
      </c>
    </row>
    <row r="14697" spans="1:21">
      <c r="A14697">
        <v>14696</v>
      </c>
      <c r="B14697" s="27" t="s">
        <v>1124</v>
      </c>
      <c r="D14697" s="27" t="s">
        <v>1859</v>
      </c>
      <c r="F14697" s="27" t="s">
        <v>938</v>
      </c>
      <c r="G14697" s="27" t="s">
        <v>959</v>
      </c>
      <c r="H14697" s="27" t="s">
        <v>17007</v>
      </c>
      <c r="J14697" s="27" t="s">
        <v>17036</v>
      </c>
      <c r="L14697" s="27" t="s">
        <v>730</v>
      </c>
      <c r="N14697" s="27" t="s">
        <v>17057</v>
      </c>
      <c r="P14697" s="27" t="s">
        <v>21492</v>
      </c>
      <c r="Q14697" s="26" t="str">
        <f>HYPERLINK("https://ictv.global/taxonomy/taxondetails?taxnode_id=202522361&amp;ictv_id=ICTV202522361","ICTV202522361")</f>
        <v>ICTV202522361</v>
      </c>
      <c r="R14697" t="s">
        <v>580</v>
      </c>
      <c r="S14697" t="s">
        <v>823</v>
      </c>
      <c r="T14697">
        <v>41</v>
      </c>
      <c r="U14697" s="26" t="str">
        <f>HYPERLINK("https://ictv.global/ictv/proposals/2025.008M.Phenuiviridae_62nsp+1asp.zip","2025.008M.Phenuiviridae_62nsp+1asp.zip")</f>
        <v>2025.008M.Phenuiviridae_62nsp+1asp.zip</v>
      </c>
    </row>
    <row r="14698" spans="1:21">
      <c r="A14698">
        <v>14697</v>
      </c>
      <c r="B14698" s="27" t="s">
        <v>1124</v>
      </c>
      <c r="D14698" s="27" t="s">
        <v>1859</v>
      </c>
      <c r="F14698" s="27" t="s">
        <v>938</v>
      </c>
      <c r="G14698" s="27" t="s">
        <v>959</v>
      </c>
      <c r="H14698" s="27" t="s">
        <v>17007</v>
      </c>
      <c r="J14698" s="27" t="s">
        <v>17036</v>
      </c>
      <c r="L14698" s="27" t="s">
        <v>730</v>
      </c>
      <c r="N14698" s="27" t="s">
        <v>17057</v>
      </c>
      <c r="P14698" s="27" t="s">
        <v>17059</v>
      </c>
      <c r="Q14698" s="26" t="str">
        <f>HYPERLINK("https://ictv.global/taxonomy/taxondetails?taxnode_id=202518848&amp;ictv_id=ICTV202318848","ICTV202318848")</f>
        <v>ICTV202318848</v>
      </c>
      <c r="R14698" t="s">
        <v>657</v>
      </c>
      <c r="S14698" t="s">
        <v>823</v>
      </c>
      <c r="T14698">
        <v>39</v>
      </c>
      <c r="U14698" s="26" t="str">
        <f>HYPERLINK("https://ictv.global/ictv/proposals/2023.024M.Bunyaviricetes.zip","2023.024M.Bunyaviricetes.zip")</f>
        <v>2023.024M.Bunyaviricetes.zip</v>
      </c>
    </row>
    <row r="14699" spans="1:21">
      <c r="A14699">
        <v>14698</v>
      </c>
      <c r="B14699" s="27" t="s">
        <v>1124</v>
      </c>
      <c r="D14699" s="27" t="s">
        <v>1859</v>
      </c>
      <c r="F14699" s="27" t="s">
        <v>938</v>
      </c>
      <c r="G14699" s="27" t="s">
        <v>959</v>
      </c>
      <c r="H14699" s="27" t="s">
        <v>17007</v>
      </c>
      <c r="J14699" s="27" t="s">
        <v>17036</v>
      </c>
      <c r="L14699" s="27" t="s">
        <v>730</v>
      </c>
      <c r="N14699" s="27" t="s">
        <v>17057</v>
      </c>
      <c r="P14699" s="27" t="s">
        <v>21493</v>
      </c>
      <c r="Q14699" s="26" t="str">
        <f>HYPERLINK("https://ictv.global/taxonomy/taxondetails?taxnode_id=202522362&amp;ictv_id=ICTV202522362","ICTV202522362")</f>
        <v>ICTV202522362</v>
      </c>
      <c r="R14699" t="s">
        <v>580</v>
      </c>
      <c r="S14699" t="s">
        <v>823</v>
      </c>
      <c r="T14699">
        <v>41</v>
      </c>
      <c r="U14699" s="26" t="str">
        <f>HYPERLINK("https://ictv.global/ictv/proposals/2025.008M.Phenuiviridae_62nsp+1asp.zip","2025.008M.Phenuiviridae_62nsp+1asp.zip")</f>
        <v>2025.008M.Phenuiviridae_62nsp+1asp.zip</v>
      </c>
    </row>
    <row r="14700" spans="1:21">
      <c r="A14700">
        <v>14699</v>
      </c>
      <c r="B14700" s="27" t="s">
        <v>1124</v>
      </c>
      <c r="D14700" s="27" t="s">
        <v>1859</v>
      </c>
      <c r="F14700" s="27" t="s">
        <v>938</v>
      </c>
      <c r="G14700" s="27" t="s">
        <v>959</v>
      </c>
      <c r="H14700" s="27" t="s">
        <v>17007</v>
      </c>
      <c r="J14700" s="27" t="s">
        <v>17036</v>
      </c>
      <c r="L14700" s="27" t="s">
        <v>730</v>
      </c>
      <c r="N14700" s="27" t="s">
        <v>17057</v>
      </c>
      <c r="P14700" s="27" t="s">
        <v>21494</v>
      </c>
      <c r="Q14700" s="26" t="str">
        <f>HYPERLINK("https://ictv.global/taxonomy/taxondetails?taxnode_id=202522363&amp;ictv_id=ICTV202522363","ICTV202522363")</f>
        <v>ICTV202522363</v>
      </c>
      <c r="R14700" t="s">
        <v>580</v>
      </c>
      <c r="S14700" t="s">
        <v>823</v>
      </c>
      <c r="T14700">
        <v>41</v>
      </c>
      <c r="U14700" s="26" t="str">
        <f>HYPERLINK("https://ictv.global/ictv/proposals/2025.008M.Phenuiviridae_62nsp+1asp.zip","2025.008M.Phenuiviridae_62nsp+1asp.zip")</f>
        <v>2025.008M.Phenuiviridae_62nsp+1asp.zip</v>
      </c>
    </row>
    <row r="14701" spans="1:21">
      <c r="A14701">
        <v>14700</v>
      </c>
      <c r="B14701" s="27" t="s">
        <v>1124</v>
      </c>
      <c r="D14701" s="27" t="s">
        <v>1859</v>
      </c>
      <c r="F14701" s="27" t="s">
        <v>938</v>
      </c>
      <c r="G14701" s="27" t="s">
        <v>959</v>
      </c>
      <c r="H14701" s="27" t="s">
        <v>17007</v>
      </c>
      <c r="J14701" s="27" t="s">
        <v>17036</v>
      </c>
      <c r="L14701" s="27" t="s">
        <v>730</v>
      </c>
      <c r="N14701" s="27" t="s">
        <v>17057</v>
      </c>
      <c r="P14701" s="27" t="s">
        <v>17060</v>
      </c>
      <c r="Q14701" s="26" t="str">
        <f>HYPERLINK("https://ictv.global/taxonomy/taxondetails?taxnode_id=202518849&amp;ictv_id=ICTV202318849","ICTV202318849")</f>
        <v>ICTV202318849</v>
      </c>
      <c r="R14701" t="s">
        <v>580</v>
      </c>
      <c r="S14701" t="s">
        <v>823</v>
      </c>
      <c r="T14701">
        <v>39</v>
      </c>
      <c r="U14701" s="26" t="str">
        <f>HYPERLINK("https://ictv.global/ictv/proposals/2023.024M.Bunyaviricetes.zip","2023.024M.Bunyaviricetes.zip")</f>
        <v>2023.024M.Bunyaviricetes.zip</v>
      </c>
    </row>
    <row r="14702" spans="1:21">
      <c r="A14702">
        <v>14701</v>
      </c>
      <c r="B14702" s="27" t="s">
        <v>1124</v>
      </c>
      <c r="D14702" s="27" t="s">
        <v>1859</v>
      </c>
      <c r="F14702" s="27" t="s">
        <v>938</v>
      </c>
      <c r="G14702" s="27" t="s">
        <v>959</v>
      </c>
      <c r="H14702" s="27" t="s">
        <v>17007</v>
      </c>
      <c r="J14702" s="27" t="s">
        <v>17036</v>
      </c>
      <c r="L14702" s="27" t="s">
        <v>730</v>
      </c>
      <c r="N14702" s="27" t="s">
        <v>17057</v>
      </c>
      <c r="P14702" s="27" t="s">
        <v>17061</v>
      </c>
      <c r="Q14702" s="26" t="str">
        <f>HYPERLINK("https://ictv.global/taxonomy/taxondetails?taxnode_id=202509832&amp;ictv_id=ICTV202009832","ICTV202009832")</f>
        <v>ICTV202009832</v>
      </c>
      <c r="R14702" t="s">
        <v>657</v>
      </c>
      <c r="S14702" t="s">
        <v>22764</v>
      </c>
      <c r="T14702">
        <v>39</v>
      </c>
      <c r="U14702" s="26" t="str">
        <f>HYPERLINK("https://ictv.global/ictv/proposals/2023.019M.Phenuiviridae_1ng_1nsp_1spmr.zip","2023.019M.Phenuiviridae_1ng_1nsp_1spmr.zip")</f>
        <v>2023.019M.Phenuiviridae_1ng_1nsp_1spmr.zip</v>
      </c>
    </row>
    <row r="14703" spans="1:21">
      <c r="A14703">
        <v>14702</v>
      </c>
      <c r="B14703" s="27" t="s">
        <v>1124</v>
      </c>
      <c r="D14703" s="27" t="s">
        <v>1859</v>
      </c>
      <c r="F14703" s="27" t="s">
        <v>938</v>
      </c>
      <c r="G14703" s="27" t="s">
        <v>959</v>
      </c>
      <c r="H14703" s="27" t="s">
        <v>17007</v>
      </c>
      <c r="J14703" s="27" t="s">
        <v>17036</v>
      </c>
      <c r="L14703" s="27" t="s">
        <v>730</v>
      </c>
      <c r="N14703" s="27" t="s">
        <v>10188</v>
      </c>
      <c r="P14703" s="27" t="s">
        <v>10189</v>
      </c>
      <c r="Q14703" s="26" t="str">
        <f>HYPERLINK("https://ictv.global/taxonomy/taxondetails?taxnode_id=202514265&amp;ictv_id=ICTV202214265","ICTV202214265")</f>
        <v>ICTV202214265</v>
      </c>
      <c r="R14703" t="s">
        <v>580</v>
      </c>
      <c r="S14703" t="s">
        <v>22763</v>
      </c>
      <c r="T14703">
        <v>39</v>
      </c>
      <c r="U14703" s="26" t="str">
        <f>HYPERLINK("https://ictv.global/ictv/proposals/2023.024M.Bunyaviricetes.zip","2023.024M.Bunyaviricetes.zip")</f>
        <v>2023.024M.Bunyaviricetes.zip</v>
      </c>
    </row>
    <row r="14704" spans="1:21">
      <c r="A14704">
        <v>14703</v>
      </c>
      <c r="B14704" s="27" t="s">
        <v>1124</v>
      </c>
      <c r="D14704" s="27" t="s">
        <v>1859</v>
      </c>
      <c r="F14704" s="27" t="s">
        <v>938</v>
      </c>
      <c r="G14704" s="27" t="s">
        <v>959</v>
      </c>
      <c r="H14704" s="27" t="s">
        <v>17007</v>
      </c>
      <c r="J14704" s="27" t="s">
        <v>17036</v>
      </c>
      <c r="L14704" s="27" t="s">
        <v>730</v>
      </c>
      <c r="N14704" s="27" t="s">
        <v>1159</v>
      </c>
      <c r="P14704" s="27" t="s">
        <v>10190</v>
      </c>
      <c r="Q14704" s="26" t="str">
        <f>HYPERLINK("https://ictv.global/taxonomy/taxondetails?taxnode_id=202514164&amp;ictv_id=ICTV202214164","ICTV202214164")</f>
        <v>ICTV202214164</v>
      </c>
      <c r="R14704" t="s">
        <v>657</v>
      </c>
      <c r="S14704" t="s">
        <v>22763</v>
      </c>
      <c r="T14704">
        <v>39</v>
      </c>
      <c r="U14704" s="26" t="str">
        <f>HYPERLINK("https://ictv.global/ictv/proposals/2023.024M.Bunyaviricetes.zip","2023.024M.Bunyaviricetes.zip")</f>
        <v>2023.024M.Bunyaviricetes.zip</v>
      </c>
    </row>
    <row r="14705" spans="1:21">
      <c r="A14705">
        <v>14704</v>
      </c>
      <c r="B14705" s="27" t="s">
        <v>1124</v>
      </c>
      <c r="D14705" s="27" t="s">
        <v>1859</v>
      </c>
      <c r="F14705" s="27" t="s">
        <v>938</v>
      </c>
      <c r="G14705" s="27" t="s">
        <v>959</v>
      </c>
      <c r="H14705" s="27" t="s">
        <v>17007</v>
      </c>
      <c r="J14705" s="27" t="s">
        <v>17036</v>
      </c>
      <c r="L14705" s="27" t="s">
        <v>730</v>
      </c>
      <c r="N14705" s="27" t="s">
        <v>1159</v>
      </c>
      <c r="P14705" s="27" t="s">
        <v>17062</v>
      </c>
      <c r="Q14705" s="26" t="str">
        <f>HYPERLINK("https://ictv.global/taxonomy/taxondetails?taxnode_id=202517870&amp;ictv_id=ICTV202317870","ICTV202317870")</f>
        <v>ICTV202317870</v>
      </c>
      <c r="R14705" t="s">
        <v>657</v>
      </c>
      <c r="S14705" t="s">
        <v>823</v>
      </c>
      <c r="T14705">
        <v>39</v>
      </c>
      <c r="U14705" s="26" t="str">
        <f>HYPERLINK("https://ictv.global/ictv/proposals/2023.007M.Coguvirus_1nsp.zip","2023.007M.Coguvirus_1nsp.zip")</f>
        <v>2023.007M.Coguvirus_1nsp.zip</v>
      </c>
    </row>
    <row r="14706" spans="1:21">
      <c r="A14706">
        <v>14705</v>
      </c>
      <c r="B14706" s="27" t="s">
        <v>1124</v>
      </c>
      <c r="D14706" s="27" t="s">
        <v>1859</v>
      </c>
      <c r="F14706" s="27" t="s">
        <v>938</v>
      </c>
      <c r="G14706" s="27" t="s">
        <v>959</v>
      </c>
      <c r="H14706" s="27" t="s">
        <v>17007</v>
      </c>
      <c r="J14706" s="27" t="s">
        <v>17036</v>
      </c>
      <c r="L14706" s="27" t="s">
        <v>730</v>
      </c>
      <c r="N14706" s="27" t="s">
        <v>1159</v>
      </c>
      <c r="P14706" s="27" t="s">
        <v>10191</v>
      </c>
      <c r="Q14706" s="26" t="str">
        <f>HYPERLINK("https://ictv.global/taxonomy/taxondetails?taxnode_id=202506630&amp;ictv_id=ICTV201856630","ICTV201856630")</f>
        <v>ICTV201856630</v>
      </c>
      <c r="R14706" t="s">
        <v>657</v>
      </c>
      <c r="S14706" t="s">
        <v>22763</v>
      </c>
      <c r="T14706">
        <v>39</v>
      </c>
      <c r="U14706" s="26" t="str">
        <f>HYPERLINK("https://ictv.global/ictv/proposals/2023.024M.Bunyaviricetes.zip","2023.024M.Bunyaviricetes.zip")</f>
        <v>2023.024M.Bunyaviricetes.zip</v>
      </c>
    </row>
    <row r="14707" spans="1:21">
      <c r="A14707">
        <v>14706</v>
      </c>
      <c r="B14707" s="27" t="s">
        <v>1124</v>
      </c>
      <c r="D14707" s="27" t="s">
        <v>1859</v>
      </c>
      <c r="F14707" s="27" t="s">
        <v>938</v>
      </c>
      <c r="G14707" s="27" t="s">
        <v>959</v>
      </c>
      <c r="H14707" s="27" t="s">
        <v>17007</v>
      </c>
      <c r="J14707" s="27" t="s">
        <v>17036</v>
      </c>
      <c r="L14707" s="27" t="s">
        <v>730</v>
      </c>
      <c r="N14707" s="27" t="s">
        <v>1159</v>
      </c>
      <c r="P14707" s="27" t="s">
        <v>10192</v>
      </c>
      <c r="Q14707" s="26" t="str">
        <f>HYPERLINK("https://ictv.global/taxonomy/taxondetails?taxnode_id=202514162&amp;ictv_id=ICTV202214162","ICTV202214162")</f>
        <v>ICTV202214162</v>
      </c>
      <c r="R14707" t="s">
        <v>657</v>
      </c>
      <c r="S14707" t="s">
        <v>22763</v>
      </c>
      <c r="T14707">
        <v>39</v>
      </c>
      <c r="U14707" s="26" t="str">
        <f>HYPERLINK("https://ictv.global/ictv/proposals/2023.024M.Bunyaviricetes.zip","2023.024M.Bunyaviricetes.zip")</f>
        <v>2023.024M.Bunyaviricetes.zip</v>
      </c>
    </row>
    <row r="14708" spans="1:21">
      <c r="A14708">
        <v>14707</v>
      </c>
      <c r="B14708" s="27" t="s">
        <v>1124</v>
      </c>
      <c r="D14708" s="27" t="s">
        <v>1859</v>
      </c>
      <c r="F14708" s="27" t="s">
        <v>938</v>
      </c>
      <c r="G14708" s="27" t="s">
        <v>959</v>
      </c>
      <c r="H14708" s="27" t="s">
        <v>17007</v>
      </c>
      <c r="J14708" s="27" t="s">
        <v>17036</v>
      </c>
      <c r="L14708" s="27" t="s">
        <v>730</v>
      </c>
      <c r="N14708" s="27" t="s">
        <v>1159</v>
      </c>
      <c r="P14708" s="27" t="s">
        <v>1903</v>
      </c>
      <c r="Q14708" s="26" t="str">
        <f>HYPERLINK("https://ictv.global/taxonomy/taxondetails?taxnode_id=202507130&amp;ictv_id=ICTV201907130","ICTV201907130")</f>
        <v>ICTV201907130</v>
      </c>
      <c r="R14708" t="s">
        <v>657</v>
      </c>
      <c r="S14708" t="s">
        <v>22763</v>
      </c>
      <c r="T14708">
        <v>39</v>
      </c>
      <c r="U14708" s="26" t="str">
        <f>HYPERLINK("https://ictv.global/ictv/proposals/2023.024M.Bunyaviricetes.zip","2023.024M.Bunyaviricetes.zip")</f>
        <v>2023.024M.Bunyaviricetes.zip</v>
      </c>
    </row>
    <row r="14709" spans="1:21">
      <c r="A14709">
        <v>14708</v>
      </c>
      <c r="B14709" s="27" t="s">
        <v>1124</v>
      </c>
      <c r="D14709" s="27" t="s">
        <v>1859</v>
      </c>
      <c r="F14709" s="27" t="s">
        <v>938</v>
      </c>
      <c r="G14709" s="27" t="s">
        <v>959</v>
      </c>
      <c r="H14709" s="27" t="s">
        <v>17007</v>
      </c>
      <c r="J14709" s="27" t="s">
        <v>17036</v>
      </c>
      <c r="L14709" s="27" t="s">
        <v>730</v>
      </c>
      <c r="N14709" s="27" t="s">
        <v>1159</v>
      </c>
      <c r="P14709" s="27" t="s">
        <v>10193</v>
      </c>
      <c r="Q14709" s="26" t="str">
        <f>HYPERLINK("https://ictv.global/taxonomy/taxondetails?taxnode_id=202514163&amp;ictv_id=ICTV202214163","ICTV202214163")</f>
        <v>ICTV202214163</v>
      </c>
      <c r="R14709" t="s">
        <v>657</v>
      </c>
      <c r="S14709" t="s">
        <v>22763</v>
      </c>
      <c r="T14709">
        <v>39</v>
      </c>
      <c r="U14709" s="26" t="str">
        <f>HYPERLINK("https://ictv.global/ictv/proposals/2023.024M.Bunyaviricetes.zip","2023.024M.Bunyaviricetes.zip")</f>
        <v>2023.024M.Bunyaviricetes.zip</v>
      </c>
    </row>
    <row r="14710" spans="1:21">
      <c r="A14710">
        <v>14709</v>
      </c>
      <c r="B14710" s="27" t="s">
        <v>1124</v>
      </c>
      <c r="D14710" s="27" t="s">
        <v>1859</v>
      </c>
      <c r="F14710" s="27" t="s">
        <v>938</v>
      </c>
      <c r="G14710" s="27" t="s">
        <v>959</v>
      </c>
      <c r="H14710" s="27" t="s">
        <v>17007</v>
      </c>
      <c r="J14710" s="27" t="s">
        <v>17036</v>
      </c>
      <c r="L14710" s="27" t="s">
        <v>730</v>
      </c>
      <c r="N14710" s="27" t="s">
        <v>1159</v>
      </c>
      <c r="P14710" s="27" t="s">
        <v>21495</v>
      </c>
      <c r="Q14710" s="26" t="str">
        <f>HYPERLINK("https://ictv.global/taxonomy/taxondetails?taxnode_id=202522364&amp;ictv_id=ICTV202522364","ICTV202522364")</f>
        <v>ICTV202522364</v>
      </c>
      <c r="R14710" t="s">
        <v>657</v>
      </c>
      <c r="S14710" t="s">
        <v>823</v>
      </c>
      <c r="T14710">
        <v>41</v>
      </c>
      <c r="U14710" s="26" t="str">
        <f>HYPERLINK("https://ictv.global/ictv/proposals/2025.008M.Phenuiviridae_62nsp+1asp.zip","2025.008M.Phenuiviridae_62nsp+1asp.zip")</f>
        <v>2025.008M.Phenuiviridae_62nsp+1asp.zip</v>
      </c>
    </row>
    <row r="14711" spans="1:21">
      <c r="A14711">
        <v>14710</v>
      </c>
      <c r="B14711" s="27" t="s">
        <v>1124</v>
      </c>
      <c r="D14711" s="27" t="s">
        <v>1859</v>
      </c>
      <c r="F14711" s="27" t="s">
        <v>938</v>
      </c>
      <c r="G14711" s="27" t="s">
        <v>959</v>
      </c>
      <c r="H14711" s="27" t="s">
        <v>17007</v>
      </c>
      <c r="J14711" s="27" t="s">
        <v>17036</v>
      </c>
      <c r="L14711" s="27" t="s">
        <v>730</v>
      </c>
      <c r="N14711" s="27" t="s">
        <v>1159</v>
      </c>
      <c r="P14711" s="27" t="s">
        <v>10194</v>
      </c>
      <c r="Q14711" s="26" t="str">
        <f>HYPERLINK("https://ictv.global/taxonomy/taxondetails?taxnode_id=202514165&amp;ictv_id=ICTV202214165","ICTV202214165")</f>
        <v>ICTV202214165</v>
      </c>
      <c r="R14711" t="s">
        <v>657</v>
      </c>
      <c r="S14711" t="s">
        <v>22763</v>
      </c>
      <c r="T14711">
        <v>39</v>
      </c>
      <c r="U14711" s="26" t="str">
        <f>HYPERLINK("https://ictv.global/ictv/proposals/2023.024M.Bunyaviricetes.zip","2023.024M.Bunyaviricetes.zip")</f>
        <v>2023.024M.Bunyaviricetes.zip</v>
      </c>
    </row>
    <row r="14712" spans="1:21">
      <c r="A14712">
        <v>14711</v>
      </c>
      <c r="B14712" s="27" t="s">
        <v>1124</v>
      </c>
      <c r="D14712" s="27" t="s">
        <v>1859</v>
      </c>
      <c r="F14712" s="27" t="s">
        <v>938</v>
      </c>
      <c r="G14712" s="27" t="s">
        <v>959</v>
      </c>
      <c r="H14712" s="27" t="s">
        <v>17007</v>
      </c>
      <c r="J14712" s="27" t="s">
        <v>17036</v>
      </c>
      <c r="L14712" s="27" t="s">
        <v>730</v>
      </c>
      <c r="N14712" s="27" t="s">
        <v>1904</v>
      </c>
      <c r="P14712" s="27" t="s">
        <v>10195</v>
      </c>
      <c r="Q14712" s="26" t="str">
        <f>HYPERLINK("https://ictv.global/taxonomy/taxondetails?taxnode_id=202507644&amp;ictv_id=ICTV201907644","ICTV201907644")</f>
        <v>ICTV201907644</v>
      </c>
      <c r="R14712" t="s">
        <v>657</v>
      </c>
      <c r="S14712" t="s">
        <v>22763</v>
      </c>
      <c r="T14712">
        <v>39</v>
      </c>
      <c r="U14712" s="26" t="str">
        <f>HYPERLINK("https://ictv.global/ictv/proposals/2023.024M.Bunyaviricetes.zip","2023.024M.Bunyaviricetes.zip")</f>
        <v>2023.024M.Bunyaviricetes.zip</v>
      </c>
    </row>
    <row r="14713" spans="1:21">
      <c r="A14713">
        <v>14712</v>
      </c>
      <c r="B14713" s="27" t="s">
        <v>1124</v>
      </c>
      <c r="D14713" s="27" t="s">
        <v>1859</v>
      </c>
      <c r="F14713" s="27" t="s">
        <v>938</v>
      </c>
      <c r="G14713" s="27" t="s">
        <v>959</v>
      </c>
      <c r="H14713" s="27" t="s">
        <v>17007</v>
      </c>
      <c r="J14713" s="27" t="s">
        <v>17036</v>
      </c>
      <c r="L14713" s="27" t="s">
        <v>730</v>
      </c>
      <c r="N14713" s="27" t="s">
        <v>1904</v>
      </c>
      <c r="P14713" s="27" t="s">
        <v>21496</v>
      </c>
      <c r="Q14713" s="26" t="str">
        <f>HYPERLINK("https://ictv.global/taxonomy/taxondetails?taxnode_id=202522365&amp;ictv_id=ICTV202522365","ICTV202522365")</f>
        <v>ICTV202522365</v>
      </c>
      <c r="R14713" t="s">
        <v>657</v>
      </c>
      <c r="S14713" t="s">
        <v>823</v>
      </c>
      <c r="T14713">
        <v>41</v>
      </c>
      <c r="U14713" s="26" t="str">
        <f>HYPERLINK("https://ictv.global/ictv/proposals/2025.008M.Phenuiviridae_62nsp+1asp.zip","2025.008M.Phenuiviridae_62nsp+1asp.zip")</f>
        <v>2025.008M.Phenuiviridae_62nsp+1asp.zip</v>
      </c>
    </row>
    <row r="14714" spans="1:21">
      <c r="A14714">
        <v>14713</v>
      </c>
      <c r="B14714" s="27" t="s">
        <v>1124</v>
      </c>
      <c r="D14714" s="27" t="s">
        <v>1859</v>
      </c>
      <c r="F14714" s="27" t="s">
        <v>938</v>
      </c>
      <c r="G14714" s="27" t="s">
        <v>959</v>
      </c>
      <c r="H14714" s="27" t="s">
        <v>17007</v>
      </c>
      <c r="J14714" s="27" t="s">
        <v>17036</v>
      </c>
      <c r="L14714" s="27" t="s">
        <v>730</v>
      </c>
      <c r="N14714" s="27" t="s">
        <v>1904</v>
      </c>
      <c r="P14714" s="27" t="s">
        <v>21498</v>
      </c>
      <c r="Q14714" s="26" t="str">
        <f>HYPERLINK("https://ictv.global/taxonomy/taxondetails?taxnode_id=202522367&amp;ictv_id=ICTV202522367","ICTV202522367")</f>
        <v>ICTV202522367</v>
      </c>
      <c r="R14714" t="s">
        <v>657</v>
      </c>
      <c r="S14714" t="s">
        <v>823</v>
      </c>
      <c r="T14714">
        <v>41</v>
      </c>
      <c r="U14714" s="26" t="str">
        <f>HYPERLINK("https://ictv.global/ictv/proposals/2025.008M.Phenuiviridae_62nsp+1asp.zip","2025.008M.Phenuiviridae_62nsp+1asp.zip")</f>
        <v>2025.008M.Phenuiviridae_62nsp+1asp.zip</v>
      </c>
    </row>
    <row r="14715" spans="1:21">
      <c r="A14715">
        <v>14714</v>
      </c>
      <c r="B14715" s="27" t="s">
        <v>1124</v>
      </c>
      <c r="D14715" s="27" t="s">
        <v>1859</v>
      </c>
      <c r="F14715" s="27" t="s">
        <v>938</v>
      </c>
      <c r="G14715" s="27" t="s">
        <v>959</v>
      </c>
      <c r="H14715" s="27" t="s">
        <v>17007</v>
      </c>
      <c r="J14715" s="27" t="s">
        <v>17036</v>
      </c>
      <c r="L14715" s="27" t="s">
        <v>730</v>
      </c>
      <c r="N14715" s="27" t="s">
        <v>1904</v>
      </c>
      <c r="P14715" s="27" t="s">
        <v>21497</v>
      </c>
      <c r="Q14715" s="26" t="str">
        <f>HYPERLINK("https://ictv.global/taxonomy/taxondetails?taxnode_id=202522366&amp;ictv_id=ICTV202522366","ICTV202522366")</f>
        <v>ICTV202522366</v>
      </c>
      <c r="R14715" t="s">
        <v>657</v>
      </c>
      <c r="S14715" t="s">
        <v>823</v>
      </c>
      <c r="T14715">
        <v>41</v>
      </c>
      <c r="U14715" s="26" t="str">
        <f>HYPERLINK("https://ictv.global/ictv/proposals/2025.008M.Phenuiviridae_62nsp+1asp.zip","2025.008M.Phenuiviridae_62nsp+1asp.zip")</f>
        <v>2025.008M.Phenuiviridae_62nsp+1asp.zip</v>
      </c>
    </row>
    <row r="14716" spans="1:21">
      <c r="A14716">
        <v>14715</v>
      </c>
      <c r="B14716" s="27" t="s">
        <v>1124</v>
      </c>
      <c r="D14716" s="27" t="s">
        <v>1859</v>
      </c>
      <c r="F14716" s="27" t="s">
        <v>938</v>
      </c>
      <c r="G14716" s="27" t="s">
        <v>959</v>
      </c>
      <c r="H14716" s="27" t="s">
        <v>17007</v>
      </c>
      <c r="J14716" s="27" t="s">
        <v>17036</v>
      </c>
      <c r="L14716" s="27" t="s">
        <v>730</v>
      </c>
      <c r="N14716" s="27" t="s">
        <v>1904</v>
      </c>
      <c r="P14716" s="27" t="s">
        <v>21499</v>
      </c>
      <c r="Q14716" s="26" t="str">
        <f>HYPERLINK("https://ictv.global/taxonomy/taxondetails?taxnode_id=202522368&amp;ictv_id=ICTV202522368","ICTV202522368")</f>
        <v>ICTV202522368</v>
      </c>
      <c r="R14716" t="s">
        <v>657</v>
      </c>
      <c r="S14716" t="s">
        <v>823</v>
      </c>
      <c r="T14716">
        <v>41</v>
      </c>
      <c r="U14716" s="26" t="str">
        <f>HYPERLINK("https://ictv.global/ictv/proposals/2025.008M.Phenuiviridae_62nsp+1asp.zip","2025.008M.Phenuiviridae_62nsp+1asp.zip")</f>
        <v>2025.008M.Phenuiviridae_62nsp+1asp.zip</v>
      </c>
    </row>
    <row r="14717" spans="1:21">
      <c r="A14717">
        <v>14716</v>
      </c>
      <c r="B14717" s="27" t="s">
        <v>1124</v>
      </c>
      <c r="D14717" s="27" t="s">
        <v>1859</v>
      </c>
      <c r="F14717" s="27" t="s">
        <v>938</v>
      </c>
      <c r="G14717" s="27" t="s">
        <v>959</v>
      </c>
      <c r="H14717" s="27" t="s">
        <v>17007</v>
      </c>
      <c r="J14717" s="27" t="s">
        <v>17036</v>
      </c>
      <c r="L14717" s="27" t="s">
        <v>730</v>
      </c>
      <c r="N14717" s="27" t="s">
        <v>21455</v>
      </c>
      <c r="P14717" s="27" t="s">
        <v>21456</v>
      </c>
      <c r="Q14717" s="26" t="str">
        <f>HYPERLINK("https://ictv.global/taxonomy/taxondetails?taxnode_id=202522327&amp;ictv_id=ICTV202522327","ICTV202522327")</f>
        <v>ICTV202522327</v>
      </c>
      <c r="R14717" t="s">
        <v>580</v>
      </c>
      <c r="S14717" t="s">
        <v>823</v>
      </c>
      <c r="T14717">
        <v>41</v>
      </c>
      <c r="U14717" s="26" t="str">
        <f>HYPERLINK("https://ictv.global/ictv/proposals/2025.007M.Phenuiviridae_1ng_3nsp.zip","2025.007M.Phenuiviridae_1ng_3nsp.zip")</f>
        <v>2025.007M.Phenuiviridae_1ng_3nsp.zip</v>
      </c>
    </row>
    <row r="14718" spans="1:21">
      <c r="A14718">
        <v>14717</v>
      </c>
      <c r="B14718" s="27" t="s">
        <v>1124</v>
      </c>
      <c r="D14718" s="27" t="s">
        <v>1859</v>
      </c>
      <c r="F14718" s="27" t="s">
        <v>938</v>
      </c>
      <c r="G14718" s="27" t="s">
        <v>959</v>
      </c>
      <c r="H14718" s="27" t="s">
        <v>17007</v>
      </c>
      <c r="J14718" s="27" t="s">
        <v>17036</v>
      </c>
      <c r="L14718" s="27" t="s">
        <v>730</v>
      </c>
      <c r="N14718" s="27" t="s">
        <v>21455</v>
      </c>
      <c r="P14718" s="27" t="s">
        <v>21458</v>
      </c>
      <c r="Q14718" s="26" t="str">
        <f>HYPERLINK("https://ictv.global/taxonomy/taxondetails?taxnode_id=202522329&amp;ictv_id=ICTV202522329","ICTV202522329")</f>
        <v>ICTV202522329</v>
      </c>
      <c r="R14718" t="s">
        <v>580</v>
      </c>
      <c r="S14718" t="s">
        <v>823</v>
      </c>
      <c r="T14718">
        <v>41</v>
      </c>
      <c r="U14718" s="26" t="str">
        <f>HYPERLINK("https://ictv.global/ictv/proposals/2025.007M.Phenuiviridae_1ng_3nsp.zip","2025.007M.Phenuiviridae_1ng_3nsp.zip")</f>
        <v>2025.007M.Phenuiviridae_1ng_3nsp.zip</v>
      </c>
    </row>
    <row r="14719" spans="1:21">
      <c r="A14719">
        <v>14718</v>
      </c>
      <c r="B14719" s="27" t="s">
        <v>1124</v>
      </c>
      <c r="D14719" s="27" t="s">
        <v>1859</v>
      </c>
      <c r="F14719" s="27" t="s">
        <v>938</v>
      </c>
      <c r="G14719" s="27" t="s">
        <v>959</v>
      </c>
      <c r="H14719" s="27" t="s">
        <v>17007</v>
      </c>
      <c r="J14719" s="27" t="s">
        <v>17036</v>
      </c>
      <c r="L14719" s="27" t="s">
        <v>730</v>
      </c>
      <c r="N14719" s="27" t="s">
        <v>21455</v>
      </c>
      <c r="P14719" s="27" t="s">
        <v>21457</v>
      </c>
      <c r="Q14719" s="26" t="str">
        <f>HYPERLINK("https://ictv.global/taxonomy/taxondetails?taxnode_id=202522328&amp;ictv_id=ICTV202522328","ICTV202522328")</f>
        <v>ICTV202522328</v>
      </c>
      <c r="R14719" t="s">
        <v>580</v>
      </c>
      <c r="S14719" t="s">
        <v>823</v>
      </c>
      <c r="T14719">
        <v>41</v>
      </c>
      <c r="U14719" s="26" t="str">
        <f>HYPERLINK("https://ictv.global/ictv/proposals/2025.007M.Phenuiviridae_1ng_3nsp.zip","2025.007M.Phenuiviridae_1ng_3nsp.zip")</f>
        <v>2025.007M.Phenuiviridae_1ng_3nsp.zip</v>
      </c>
    </row>
    <row r="14720" spans="1:21">
      <c r="A14720">
        <v>14719</v>
      </c>
      <c r="B14720" s="27" t="s">
        <v>1124</v>
      </c>
      <c r="D14720" s="27" t="s">
        <v>1859</v>
      </c>
      <c r="F14720" s="27" t="s">
        <v>938</v>
      </c>
      <c r="G14720" s="27" t="s">
        <v>959</v>
      </c>
      <c r="H14720" s="27" t="s">
        <v>17007</v>
      </c>
      <c r="J14720" s="27" t="s">
        <v>17036</v>
      </c>
      <c r="L14720" s="27" t="s">
        <v>730</v>
      </c>
      <c r="N14720" s="27" t="s">
        <v>756</v>
      </c>
      <c r="P14720" s="27" t="s">
        <v>10196</v>
      </c>
      <c r="Q14720" s="26" t="str">
        <f>HYPERLINK("https://ictv.global/taxonomy/taxondetails?taxnode_id=202514261&amp;ictv_id=ICTV202214261","ICTV202214261")</f>
        <v>ICTV202214261</v>
      </c>
      <c r="R14720" t="s">
        <v>580</v>
      </c>
      <c r="S14720" t="s">
        <v>22763</v>
      </c>
      <c r="T14720">
        <v>39</v>
      </c>
      <c r="U14720" s="26" t="str">
        <f>HYPERLINK("https://ictv.global/ictv/proposals/2023.024M.Bunyaviricetes.zip","2023.024M.Bunyaviricetes.zip")</f>
        <v>2023.024M.Bunyaviricetes.zip</v>
      </c>
    </row>
    <row r="14721" spans="1:21">
      <c r="A14721">
        <v>14720</v>
      </c>
      <c r="B14721" s="27" t="s">
        <v>1124</v>
      </c>
      <c r="D14721" s="27" t="s">
        <v>1859</v>
      </c>
      <c r="F14721" s="27" t="s">
        <v>938</v>
      </c>
      <c r="G14721" s="27" t="s">
        <v>959</v>
      </c>
      <c r="H14721" s="27" t="s">
        <v>17007</v>
      </c>
      <c r="J14721" s="27" t="s">
        <v>17036</v>
      </c>
      <c r="L14721" s="27" t="s">
        <v>730</v>
      </c>
      <c r="N14721" s="27" t="s">
        <v>756</v>
      </c>
      <c r="P14721" s="27" t="s">
        <v>21500</v>
      </c>
      <c r="Q14721" s="26" t="str">
        <f>HYPERLINK("https://ictv.global/taxonomy/taxondetails?taxnode_id=202522369&amp;ictv_id=ICTV202522369","ICTV202522369")</f>
        <v>ICTV202522369</v>
      </c>
      <c r="R14721" t="s">
        <v>580</v>
      </c>
      <c r="S14721" t="s">
        <v>823</v>
      </c>
      <c r="T14721">
        <v>41</v>
      </c>
      <c r="U14721" s="26" t="str">
        <f>HYPERLINK("https://ictv.global/ictv/proposals/2025.008M.Phenuiviridae_62nsp+1asp.zip","2025.008M.Phenuiviridae_62nsp+1asp.zip")</f>
        <v>2025.008M.Phenuiviridae_62nsp+1asp.zip</v>
      </c>
    </row>
    <row r="14722" spans="1:21">
      <c r="A14722">
        <v>14721</v>
      </c>
      <c r="B14722" s="27" t="s">
        <v>1124</v>
      </c>
      <c r="D14722" s="27" t="s">
        <v>1859</v>
      </c>
      <c r="F14722" s="27" t="s">
        <v>938</v>
      </c>
      <c r="G14722" s="27" t="s">
        <v>959</v>
      </c>
      <c r="H14722" s="27" t="s">
        <v>17007</v>
      </c>
      <c r="J14722" s="27" t="s">
        <v>17036</v>
      </c>
      <c r="L14722" s="27" t="s">
        <v>730</v>
      </c>
      <c r="N14722" s="27" t="s">
        <v>756</v>
      </c>
      <c r="P14722" s="27" t="s">
        <v>10197</v>
      </c>
      <c r="Q14722" s="26" t="str">
        <f>HYPERLINK("https://ictv.global/taxonomy/taxondetails?taxnode_id=202514260&amp;ictv_id=ICTV202214260","ICTV202214260")</f>
        <v>ICTV202214260</v>
      </c>
      <c r="R14722" t="s">
        <v>580</v>
      </c>
      <c r="S14722" t="s">
        <v>22763</v>
      </c>
      <c r="T14722">
        <v>39</v>
      </c>
      <c r="U14722" s="26" t="str">
        <f>HYPERLINK("https://ictv.global/ictv/proposals/2023.024M.Bunyaviricetes.zip","2023.024M.Bunyaviricetes.zip")</f>
        <v>2023.024M.Bunyaviricetes.zip</v>
      </c>
    </row>
    <row r="14723" spans="1:21">
      <c r="A14723">
        <v>14722</v>
      </c>
      <c r="B14723" s="27" t="s">
        <v>1124</v>
      </c>
      <c r="D14723" s="27" t="s">
        <v>1859</v>
      </c>
      <c r="F14723" s="27" t="s">
        <v>938</v>
      </c>
      <c r="G14723" s="27" t="s">
        <v>959</v>
      </c>
      <c r="H14723" s="27" t="s">
        <v>17007</v>
      </c>
      <c r="J14723" s="27" t="s">
        <v>17036</v>
      </c>
      <c r="L14723" s="27" t="s">
        <v>730</v>
      </c>
      <c r="N14723" s="27" t="s">
        <v>756</v>
      </c>
      <c r="P14723" s="27" t="s">
        <v>21501</v>
      </c>
      <c r="Q14723" s="26" t="str">
        <f>HYPERLINK("https://ictv.global/taxonomy/taxondetails?taxnode_id=202522370&amp;ictv_id=ICTV202522370","ICTV202522370")</f>
        <v>ICTV202522370</v>
      </c>
      <c r="R14723" t="s">
        <v>580</v>
      </c>
      <c r="S14723" t="s">
        <v>823</v>
      </c>
      <c r="T14723">
        <v>41</v>
      </c>
      <c r="U14723" s="26" t="str">
        <f>HYPERLINK("https://ictv.global/ictv/proposals/2025.008M.Phenuiviridae_62nsp+1asp.zip","2025.008M.Phenuiviridae_62nsp+1asp.zip")</f>
        <v>2025.008M.Phenuiviridae_62nsp+1asp.zip</v>
      </c>
    </row>
    <row r="14724" spans="1:21">
      <c r="A14724">
        <v>14723</v>
      </c>
      <c r="B14724" s="27" t="s">
        <v>1124</v>
      </c>
      <c r="D14724" s="27" t="s">
        <v>1859</v>
      </c>
      <c r="F14724" s="27" t="s">
        <v>938</v>
      </c>
      <c r="G14724" s="27" t="s">
        <v>959</v>
      </c>
      <c r="H14724" s="27" t="s">
        <v>17007</v>
      </c>
      <c r="J14724" s="27" t="s">
        <v>17036</v>
      </c>
      <c r="L14724" s="27" t="s">
        <v>730</v>
      </c>
      <c r="N14724" s="27" t="s">
        <v>756</v>
      </c>
      <c r="P14724" s="27" t="s">
        <v>10198</v>
      </c>
      <c r="Q14724" s="26" t="str">
        <f>HYPERLINK("https://ictv.global/taxonomy/taxondetails?taxnode_id=202500149&amp;ictv_id=ICTV20164813","ICTV20164813")</f>
        <v>ICTV20164813</v>
      </c>
      <c r="R14724" t="s">
        <v>580</v>
      </c>
      <c r="S14724" t="s">
        <v>22763</v>
      </c>
      <c r="T14724">
        <v>39</v>
      </c>
      <c r="U14724" s="26" t="str">
        <f>HYPERLINK("https://ictv.global/ictv/proposals/2023.024M.Bunyaviricetes.zip","2023.024M.Bunyaviricetes.zip")</f>
        <v>2023.024M.Bunyaviricetes.zip</v>
      </c>
    </row>
    <row r="14725" spans="1:21">
      <c r="A14725">
        <v>14724</v>
      </c>
      <c r="B14725" s="27" t="s">
        <v>1124</v>
      </c>
      <c r="D14725" s="27" t="s">
        <v>1859</v>
      </c>
      <c r="F14725" s="27" t="s">
        <v>938</v>
      </c>
      <c r="G14725" s="27" t="s">
        <v>959</v>
      </c>
      <c r="H14725" s="27" t="s">
        <v>17007</v>
      </c>
      <c r="J14725" s="27" t="s">
        <v>17036</v>
      </c>
      <c r="L14725" s="27" t="s">
        <v>730</v>
      </c>
      <c r="N14725" s="27" t="s">
        <v>756</v>
      </c>
      <c r="P14725" s="27" t="s">
        <v>10199</v>
      </c>
      <c r="Q14725" s="26" t="str">
        <f>HYPERLINK("https://ictv.global/taxonomy/taxondetails?taxnode_id=202500150&amp;ictv_id=ICTV20164814","ICTV20164814")</f>
        <v>ICTV20164814</v>
      </c>
      <c r="R14725" t="s">
        <v>580</v>
      </c>
      <c r="S14725" t="s">
        <v>22763</v>
      </c>
      <c r="T14725">
        <v>39</v>
      </c>
      <c r="U14725" s="26" t="str">
        <f>HYPERLINK("https://ictv.global/ictv/proposals/2023.024M.Bunyaviricetes.zip","2023.024M.Bunyaviricetes.zip")</f>
        <v>2023.024M.Bunyaviricetes.zip</v>
      </c>
    </row>
    <row r="14726" spans="1:21">
      <c r="A14726">
        <v>14725</v>
      </c>
      <c r="B14726" s="27" t="s">
        <v>1124</v>
      </c>
      <c r="D14726" s="27" t="s">
        <v>1859</v>
      </c>
      <c r="F14726" s="27" t="s">
        <v>938</v>
      </c>
      <c r="G14726" s="27" t="s">
        <v>959</v>
      </c>
      <c r="H14726" s="27" t="s">
        <v>17007</v>
      </c>
      <c r="J14726" s="27" t="s">
        <v>17036</v>
      </c>
      <c r="L14726" s="27" t="s">
        <v>730</v>
      </c>
      <c r="N14726" s="27" t="s">
        <v>756</v>
      </c>
      <c r="P14726" s="27" t="s">
        <v>21502</v>
      </c>
      <c r="Q14726" s="26" t="str">
        <f>HYPERLINK("https://ictv.global/taxonomy/taxondetails?taxnode_id=202522371&amp;ictv_id=ICTV202522371","ICTV202522371")</f>
        <v>ICTV202522371</v>
      </c>
      <c r="R14726" t="s">
        <v>580</v>
      </c>
      <c r="S14726" t="s">
        <v>823</v>
      </c>
      <c r="T14726">
        <v>41</v>
      </c>
      <c r="U14726" s="26" t="str">
        <f>HYPERLINK("https://ictv.global/ictv/proposals/2025.008M.Phenuiviridae_62nsp+1asp.zip","2025.008M.Phenuiviridae_62nsp+1asp.zip")</f>
        <v>2025.008M.Phenuiviridae_62nsp+1asp.zip</v>
      </c>
    </row>
    <row r="14727" spans="1:21">
      <c r="A14727">
        <v>14726</v>
      </c>
      <c r="B14727" s="27" t="s">
        <v>1124</v>
      </c>
      <c r="D14727" s="27" t="s">
        <v>1859</v>
      </c>
      <c r="F14727" s="27" t="s">
        <v>938</v>
      </c>
      <c r="G14727" s="27" t="s">
        <v>959</v>
      </c>
      <c r="H14727" s="27" t="s">
        <v>17007</v>
      </c>
      <c r="J14727" s="27" t="s">
        <v>17036</v>
      </c>
      <c r="L14727" s="27" t="s">
        <v>730</v>
      </c>
      <c r="N14727" s="27" t="s">
        <v>756</v>
      </c>
      <c r="P14727" s="27" t="s">
        <v>21505</v>
      </c>
      <c r="Q14727" s="26" t="str">
        <f>HYPERLINK("https://ictv.global/taxonomy/taxondetails?taxnode_id=202522374&amp;ictv_id=ICTV202522374","ICTV202522374")</f>
        <v>ICTV202522374</v>
      </c>
      <c r="R14727" t="s">
        <v>580</v>
      </c>
      <c r="S14727" t="s">
        <v>823</v>
      </c>
      <c r="T14727">
        <v>41</v>
      </c>
      <c r="U14727" s="26" t="str">
        <f>HYPERLINK("https://ictv.global/ictv/proposals/2025.008M.Phenuiviridae_62nsp+1asp.zip","2025.008M.Phenuiviridae_62nsp+1asp.zip")</f>
        <v>2025.008M.Phenuiviridae_62nsp+1asp.zip</v>
      </c>
    </row>
    <row r="14728" spans="1:21">
      <c r="A14728">
        <v>14727</v>
      </c>
      <c r="B14728" s="27" t="s">
        <v>1124</v>
      </c>
      <c r="D14728" s="27" t="s">
        <v>1859</v>
      </c>
      <c r="F14728" s="27" t="s">
        <v>938</v>
      </c>
      <c r="G14728" s="27" t="s">
        <v>959</v>
      </c>
      <c r="H14728" s="27" t="s">
        <v>17007</v>
      </c>
      <c r="J14728" s="27" t="s">
        <v>17036</v>
      </c>
      <c r="L14728" s="27" t="s">
        <v>730</v>
      </c>
      <c r="N14728" s="27" t="s">
        <v>756</v>
      </c>
      <c r="P14728" s="27" t="s">
        <v>21504</v>
      </c>
      <c r="Q14728" s="26" t="str">
        <f>HYPERLINK("https://ictv.global/taxonomy/taxondetails?taxnode_id=202522373&amp;ictv_id=ICTV202522373","ICTV202522373")</f>
        <v>ICTV202522373</v>
      </c>
      <c r="R14728" t="s">
        <v>580</v>
      </c>
      <c r="S14728" t="s">
        <v>823</v>
      </c>
      <c r="T14728">
        <v>41</v>
      </c>
      <c r="U14728" s="26" t="str">
        <f>HYPERLINK("https://ictv.global/ictv/proposals/2025.008M.Phenuiviridae_62nsp+1asp.zip","2025.008M.Phenuiviridae_62nsp+1asp.zip")</f>
        <v>2025.008M.Phenuiviridae_62nsp+1asp.zip</v>
      </c>
    </row>
    <row r="14729" spans="1:21">
      <c r="A14729">
        <v>14728</v>
      </c>
      <c r="B14729" s="27" t="s">
        <v>1124</v>
      </c>
      <c r="D14729" s="27" t="s">
        <v>1859</v>
      </c>
      <c r="F14729" s="27" t="s">
        <v>938</v>
      </c>
      <c r="G14729" s="27" t="s">
        <v>959</v>
      </c>
      <c r="H14729" s="27" t="s">
        <v>17007</v>
      </c>
      <c r="J14729" s="27" t="s">
        <v>17036</v>
      </c>
      <c r="L14729" s="27" t="s">
        <v>730</v>
      </c>
      <c r="N14729" s="27" t="s">
        <v>756</v>
      </c>
      <c r="P14729" s="27" t="s">
        <v>21503</v>
      </c>
      <c r="Q14729" s="26" t="str">
        <f>HYPERLINK("https://ictv.global/taxonomy/taxondetails?taxnode_id=202522372&amp;ictv_id=ICTV202522372","ICTV202522372")</f>
        <v>ICTV202522372</v>
      </c>
      <c r="R14729" t="s">
        <v>580</v>
      </c>
      <c r="S14729" t="s">
        <v>823</v>
      </c>
      <c r="T14729">
        <v>41</v>
      </c>
      <c r="U14729" s="26" t="str">
        <f>HYPERLINK("https://ictv.global/ictv/proposals/2025.008M.Phenuiviridae_62nsp+1asp.zip","2025.008M.Phenuiviridae_62nsp+1asp.zip")</f>
        <v>2025.008M.Phenuiviridae_62nsp+1asp.zip</v>
      </c>
    </row>
    <row r="14730" spans="1:21">
      <c r="A14730">
        <v>14729</v>
      </c>
      <c r="B14730" s="27" t="s">
        <v>1124</v>
      </c>
      <c r="D14730" s="27" t="s">
        <v>1859</v>
      </c>
      <c r="F14730" s="27" t="s">
        <v>938</v>
      </c>
      <c r="G14730" s="27" t="s">
        <v>959</v>
      </c>
      <c r="H14730" s="27" t="s">
        <v>17007</v>
      </c>
      <c r="J14730" s="27" t="s">
        <v>17036</v>
      </c>
      <c r="L14730" s="27" t="s">
        <v>730</v>
      </c>
      <c r="N14730" s="27" t="s">
        <v>756</v>
      </c>
      <c r="P14730" s="27" t="s">
        <v>10200</v>
      </c>
      <c r="Q14730" s="26" t="str">
        <f>HYPERLINK("https://ictv.global/taxonomy/taxondetails?taxnode_id=202500151&amp;ictv_id=ICTV20164815","ICTV20164815")</f>
        <v>ICTV20164815</v>
      </c>
      <c r="R14730" t="s">
        <v>580</v>
      </c>
      <c r="S14730" t="s">
        <v>22763</v>
      </c>
      <c r="T14730">
        <v>39</v>
      </c>
      <c r="U14730" s="26" t="str">
        <f>HYPERLINK("https://ictv.global/ictv/proposals/2023.024M.Bunyaviricetes.zip","2023.024M.Bunyaviricetes.zip")</f>
        <v>2023.024M.Bunyaviricetes.zip</v>
      </c>
    </row>
    <row r="14731" spans="1:21">
      <c r="A14731">
        <v>14730</v>
      </c>
      <c r="B14731" s="27" t="s">
        <v>1124</v>
      </c>
      <c r="D14731" s="27" t="s">
        <v>1859</v>
      </c>
      <c r="F14731" s="27" t="s">
        <v>938</v>
      </c>
      <c r="G14731" s="27" t="s">
        <v>959</v>
      </c>
      <c r="H14731" s="27" t="s">
        <v>17007</v>
      </c>
      <c r="J14731" s="27" t="s">
        <v>17036</v>
      </c>
      <c r="L14731" s="27" t="s">
        <v>730</v>
      </c>
      <c r="N14731" s="27" t="s">
        <v>974</v>
      </c>
      <c r="P14731" s="27" t="s">
        <v>10201</v>
      </c>
      <c r="Q14731" s="26" t="str">
        <f>HYPERLINK("https://ictv.global/taxonomy/taxondetails?taxnode_id=202509831&amp;ictv_id=ICTV202009831","ICTV202009831")</f>
        <v>ICTV202009831</v>
      </c>
      <c r="R14731" t="s">
        <v>580</v>
      </c>
      <c r="S14731" t="s">
        <v>22763</v>
      </c>
      <c r="T14731">
        <v>39</v>
      </c>
      <c r="U14731" s="26" t="str">
        <f>HYPERLINK("https://ictv.global/ictv/proposals/2023.024M.Bunyaviricetes.zip","2023.024M.Bunyaviricetes.zip")</f>
        <v>2023.024M.Bunyaviricetes.zip</v>
      </c>
    </row>
    <row r="14732" spans="1:21">
      <c r="A14732">
        <v>14731</v>
      </c>
      <c r="B14732" s="27" t="s">
        <v>1124</v>
      </c>
      <c r="D14732" s="27" t="s">
        <v>1859</v>
      </c>
      <c r="F14732" s="27" t="s">
        <v>938</v>
      </c>
      <c r="G14732" s="27" t="s">
        <v>959</v>
      </c>
      <c r="H14732" s="27" t="s">
        <v>17007</v>
      </c>
      <c r="J14732" s="27" t="s">
        <v>17036</v>
      </c>
      <c r="L14732" s="27" t="s">
        <v>730</v>
      </c>
      <c r="N14732" s="27" t="s">
        <v>974</v>
      </c>
      <c r="P14732" s="27" t="s">
        <v>10202</v>
      </c>
      <c r="Q14732" s="26" t="str">
        <f>HYPERLINK("https://ictv.global/taxonomy/taxondetails?taxnode_id=202514259&amp;ictv_id=ICTV202214259","ICTV202214259")</f>
        <v>ICTV202214259</v>
      </c>
      <c r="R14732" t="s">
        <v>580</v>
      </c>
      <c r="S14732" t="s">
        <v>22763</v>
      </c>
      <c r="T14732">
        <v>39</v>
      </c>
      <c r="U14732" s="26" t="str">
        <f>HYPERLINK("https://ictv.global/ictv/proposals/2023.024M.Bunyaviricetes.zip","2023.024M.Bunyaviricetes.zip")</f>
        <v>2023.024M.Bunyaviricetes.zip</v>
      </c>
    </row>
    <row r="14733" spans="1:21">
      <c r="A14733">
        <v>14732</v>
      </c>
      <c r="B14733" s="27" t="s">
        <v>1124</v>
      </c>
      <c r="D14733" s="27" t="s">
        <v>1859</v>
      </c>
      <c r="F14733" s="27" t="s">
        <v>938</v>
      </c>
      <c r="G14733" s="27" t="s">
        <v>959</v>
      </c>
      <c r="H14733" s="27" t="s">
        <v>17007</v>
      </c>
      <c r="J14733" s="27" t="s">
        <v>17036</v>
      </c>
      <c r="L14733" s="27" t="s">
        <v>730</v>
      </c>
      <c r="N14733" s="27" t="s">
        <v>974</v>
      </c>
      <c r="P14733" s="27" t="s">
        <v>10203</v>
      </c>
      <c r="Q14733" s="26" t="str">
        <f>HYPERLINK("https://ictv.global/taxonomy/taxondetails?taxnode_id=202506228&amp;ictv_id=ICTV20186228","ICTV20186228")</f>
        <v>ICTV20186228</v>
      </c>
      <c r="R14733" t="s">
        <v>580</v>
      </c>
      <c r="S14733" t="s">
        <v>22763</v>
      </c>
      <c r="T14733">
        <v>39</v>
      </c>
      <c r="U14733" s="26" t="str">
        <f>HYPERLINK("https://ictv.global/ictv/proposals/2023.024M.Bunyaviricetes.zip","2023.024M.Bunyaviricetes.zip")</f>
        <v>2023.024M.Bunyaviricetes.zip</v>
      </c>
    </row>
    <row r="14734" spans="1:21">
      <c r="A14734">
        <v>14733</v>
      </c>
      <c r="B14734" s="27" t="s">
        <v>1124</v>
      </c>
      <c r="D14734" s="27" t="s">
        <v>1859</v>
      </c>
      <c r="F14734" s="27" t="s">
        <v>938</v>
      </c>
      <c r="G14734" s="27" t="s">
        <v>959</v>
      </c>
      <c r="H14734" s="27" t="s">
        <v>17007</v>
      </c>
      <c r="J14734" s="27" t="s">
        <v>17036</v>
      </c>
      <c r="L14734" s="27" t="s">
        <v>730</v>
      </c>
      <c r="N14734" s="27" t="s">
        <v>975</v>
      </c>
      <c r="P14734" s="27" t="s">
        <v>10204</v>
      </c>
      <c r="Q14734" s="26" t="str">
        <f>HYPERLINK("https://ictv.global/taxonomy/taxondetails?taxnode_id=202506230&amp;ictv_id=ICTV20186230","ICTV20186230")</f>
        <v>ICTV20186230</v>
      </c>
      <c r="R14734" t="s">
        <v>580</v>
      </c>
      <c r="S14734" t="s">
        <v>22763</v>
      </c>
      <c r="T14734">
        <v>39</v>
      </c>
      <c r="U14734" s="26" t="str">
        <f>HYPERLINK("https://ictv.global/ictv/proposals/2023.024M.Bunyaviricetes.zip","2023.024M.Bunyaviricetes.zip")</f>
        <v>2023.024M.Bunyaviricetes.zip</v>
      </c>
    </row>
    <row r="14735" spans="1:21">
      <c r="A14735">
        <v>14734</v>
      </c>
      <c r="B14735" s="27" t="s">
        <v>1124</v>
      </c>
      <c r="D14735" s="27" t="s">
        <v>1859</v>
      </c>
      <c r="F14735" s="27" t="s">
        <v>938</v>
      </c>
      <c r="G14735" s="27" t="s">
        <v>959</v>
      </c>
      <c r="H14735" s="27" t="s">
        <v>17007</v>
      </c>
      <c r="J14735" s="27" t="s">
        <v>17036</v>
      </c>
      <c r="L14735" s="27" t="s">
        <v>730</v>
      </c>
      <c r="N14735" s="27" t="s">
        <v>976</v>
      </c>
      <c r="P14735" s="27" t="s">
        <v>21506</v>
      </c>
      <c r="Q14735" s="26" t="str">
        <f>HYPERLINK("https://ictv.global/taxonomy/taxondetails?taxnode_id=202522375&amp;ictv_id=ICTV202522375","ICTV202522375")</f>
        <v>ICTV202522375</v>
      </c>
      <c r="R14735" t="s">
        <v>580</v>
      </c>
      <c r="S14735" t="s">
        <v>823</v>
      </c>
      <c r="T14735">
        <v>41</v>
      </c>
      <c r="U14735" s="26" t="str">
        <f>HYPERLINK("https://ictv.global/ictv/proposals/2025.008M.Phenuiviridae_62nsp+1asp.zip","2025.008M.Phenuiviridae_62nsp+1asp.zip")</f>
        <v>2025.008M.Phenuiviridae_62nsp+1asp.zip</v>
      </c>
    </row>
    <row r="14736" spans="1:21">
      <c r="A14736">
        <v>14735</v>
      </c>
      <c r="B14736" s="27" t="s">
        <v>1124</v>
      </c>
      <c r="D14736" s="27" t="s">
        <v>1859</v>
      </c>
      <c r="F14736" s="27" t="s">
        <v>938</v>
      </c>
      <c r="G14736" s="27" t="s">
        <v>959</v>
      </c>
      <c r="H14736" s="27" t="s">
        <v>17007</v>
      </c>
      <c r="J14736" s="27" t="s">
        <v>17036</v>
      </c>
      <c r="L14736" s="27" t="s">
        <v>730</v>
      </c>
      <c r="N14736" s="27" t="s">
        <v>976</v>
      </c>
      <c r="P14736" s="27" t="s">
        <v>10205</v>
      </c>
      <c r="Q14736" s="26" t="str">
        <f>HYPERLINK("https://ictv.global/taxonomy/taxondetails?taxnode_id=202506232&amp;ictv_id=ICTV20186232","ICTV20186232")</f>
        <v>ICTV20186232</v>
      </c>
      <c r="R14736" t="s">
        <v>580</v>
      </c>
      <c r="S14736" t="s">
        <v>22763</v>
      </c>
      <c r="T14736">
        <v>39</v>
      </c>
      <c r="U14736" s="26" t="str">
        <f>HYPERLINK("https://ictv.global/ictv/proposals/2023.024M.Bunyaviricetes.zip","2023.024M.Bunyaviricetes.zip")</f>
        <v>2023.024M.Bunyaviricetes.zip</v>
      </c>
    </row>
    <row r="14737" spans="1:21">
      <c r="A14737">
        <v>14736</v>
      </c>
      <c r="B14737" s="27" t="s">
        <v>1124</v>
      </c>
      <c r="D14737" s="27" t="s">
        <v>1859</v>
      </c>
      <c r="F14737" s="27" t="s">
        <v>938</v>
      </c>
      <c r="G14737" s="27" t="s">
        <v>959</v>
      </c>
      <c r="H14737" s="27" t="s">
        <v>17007</v>
      </c>
      <c r="J14737" s="27" t="s">
        <v>17036</v>
      </c>
      <c r="L14737" s="27" t="s">
        <v>730</v>
      </c>
      <c r="N14737" s="27" t="s">
        <v>976</v>
      </c>
      <c r="P14737" s="27" t="s">
        <v>21507</v>
      </c>
      <c r="Q14737" s="26" t="str">
        <f>HYPERLINK("https://ictv.global/taxonomy/taxondetails?taxnode_id=202522376&amp;ictv_id=ICTV202522376","ICTV202522376")</f>
        <v>ICTV202522376</v>
      </c>
      <c r="R14737" t="s">
        <v>580</v>
      </c>
      <c r="S14737" t="s">
        <v>823</v>
      </c>
      <c r="T14737">
        <v>41</v>
      </c>
      <c r="U14737" s="26" t="str">
        <f>HYPERLINK("https://ictv.global/ictv/proposals/2025.008M.Phenuiviridae_62nsp+1asp.zip","2025.008M.Phenuiviridae_62nsp+1asp.zip")</f>
        <v>2025.008M.Phenuiviridae_62nsp+1asp.zip</v>
      </c>
    </row>
    <row r="14738" spans="1:21">
      <c r="A14738">
        <v>14737</v>
      </c>
      <c r="B14738" s="27" t="s">
        <v>1124</v>
      </c>
      <c r="D14738" s="27" t="s">
        <v>1859</v>
      </c>
      <c r="F14738" s="27" t="s">
        <v>938</v>
      </c>
      <c r="G14738" s="27" t="s">
        <v>959</v>
      </c>
      <c r="H14738" s="27" t="s">
        <v>17007</v>
      </c>
      <c r="J14738" s="27" t="s">
        <v>17036</v>
      </c>
      <c r="L14738" s="27" t="s">
        <v>730</v>
      </c>
      <c r="N14738" s="27" t="s">
        <v>1905</v>
      </c>
      <c r="P14738" s="27" t="s">
        <v>21509</v>
      </c>
      <c r="Q14738" s="26" t="str">
        <f>HYPERLINK("https://ictv.global/taxonomy/taxondetails?taxnode_id=202522378&amp;ictv_id=ICTV202522378","ICTV202522378")</f>
        <v>ICTV202522378</v>
      </c>
      <c r="R14738" t="s">
        <v>580</v>
      </c>
      <c r="S14738" t="s">
        <v>823</v>
      </c>
      <c r="T14738">
        <v>41</v>
      </c>
      <c r="U14738" s="26" t="str">
        <f>HYPERLINK("https://ictv.global/ictv/proposals/2025.008M.Phenuiviridae_62nsp+1asp.zip","2025.008M.Phenuiviridae_62nsp+1asp.zip")</f>
        <v>2025.008M.Phenuiviridae_62nsp+1asp.zip</v>
      </c>
    </row>
    <row r="14739" spans="1:21">
      <c r="A14739">
        <v>14738</v>
      </c>
      <c r="B14739" s="27" t="s">
        <v>1124</v>
      </c>
      <c r="D14739" s="27" t="s">
        <v>1859</v>
      </c>
      <c r="F14739" s="27" t="s">
        <v>938</v>
      </c>
      <c r="G14739" s="27" t="s">
        <v>959</v>
      </c>
      <c r="H14739" s="27" t="s">
        <v>17007</v>
      </c>
      <c r="J14739" s="27" t="s">
        <v>17036</v>
      </c>
      <c r="L14739" s="27" t="s">
        <v>730</v>
      </c>
      <c r="N14739" s="27" t="s">
        <v>1905</v>
      </c>
      <c r="P14739" s="27" t="s">
        <v>21508</v>
      </c>
      <c r="Q14739" s="26" t="str">
        <f>HYPERLINK("https://ictv.global/taxonomy/taxondetails?taxnode_id=202522377&amp;ictv_id=ICTV202522377","ICTV202522377")</f>
        <v>ICTV202522377</v>
      </c>
      <c r="R14739" t="s">
        <v>580</v>
      </c>
      <c r="S14739" t="s">
        <v>823</v>
      </c>
      <c r="T14739">
        <v>41</v>
      </c>
      <c r="U14739" s="26" t="str">
        <f>HYPERLINK("https://ictv.global/ictv/proposals/2025.008M.Phenuiviridae_62nsp+1asp.zip","2025.008M.Phenuiviridae_62nsp+1asp.zip")</f>
        <v>2025.008M.Phenuiviridae_62nsp+1asp.zip</v>
      </c>
    </row>
    <row r="14740" spans="1:21">
      <c r="A14740">
        <v>14739</v>
      </c>
      <c r="B14740" s="27" t="s">
        <v>1124</v>
      </c>
      <c r="D14740" s="27" t="s">
        <v>1859</v>
      </c>
      <c r="F14740" s="27" t="s">
        <v>938</v>
      </c>
      <c r="G14740" s="27" t="s">
        <v>959</v>
      </c>
      <c r="H14740" s="27" t="s">
        <v>17007</v>
      </c>
      <c r="J14740" s="27" t="s">
        <v>17036</v>
      </c>
      <c r="L14740" s="27" t="s">
        <v>730</v>
      </c>
      <c r="N14740" s="27" t="s">
        <v>1905</v>
      </c>
      <c r="P14740" s="27" t="s">
        <v>21512</v>
      </c>
      <c r="Q14740" s="26" t="str">
        <f>HYPERLINK("https://ictv.global/taxonomy/taxondetails?taxnode_id=202522381&amp;ictv_id=ICTV202522381","ICTV202522381")</f>
        <v>ICTV202522381</v>
      </c>
      <c r="R14740" t="s">
        <v>580</v>
      </c>
      <c r="S14740" t="s">
        <v>823</v>
      </c>
      <c r="T14740">
        <v>41</v>
      </c>
      <c r="U14740" s="26" t="str">
        <f>HYPERLINK("https://ictv.global/ictv/proposals/2025.008M.Phenuiviridae_62nsp+1asp.zip","2025.008M.Phenuiviridae_62nsp+1asp.zip")</f>
        <v>2025.008M.Phenuiviridae_62nsp+1asp.zip</v>
      </c>
    </row>
    <row r="14741" spans="1:21">
      <c r="A14741">
        <v>14740</v>
      </c>
      <c r="B14741" s="27" t="s">
        <v>1124</v>
      </c>
      <c r="D14741" s="27" t="s">
        <v>1859</v>
      </c>
      <c r="F14741" s="27" t="s">
        <v>938</v>
      </c>
      <c r="G14741" s="27" t="s">
        <v>959</v>
      </c>
      <c r="H14741" s="27" t="s">
        <v>17007</v>
      </c>
      <c r="J14741" s="27" t="s">
        <v>17036</v>
      </c>
      <c r="L14741" s="27" t="s">
        <v>730</v>
      </c>
      <c r="N14741" s="27" t="s">
        <v>1905</v>
      </c>
      <c r="P14741" s="27" t="s">
        <v>10206</v>
      </c>
      <c r="Q14741" s="26" t="str">
        <f>HYPERLINK("https://ictv.global/taxonomy/taxondetails?taxnode_id=202507640&amp;ictv_id=ICTV201907640","ICTV201907640")</f>
        <v>ICTV201907640</v>
      </c>
      <c r="R14741" t="s">
        <v>580</v>
      </c>
      <c r="S14741" t="s">
        <v>22763</v>
      </c>
      <c r="T14741">
        <v>39</v>
      </c>
      <c r="U14741" s="26" t="str">
        <f>HYPERLINK("https://ictv.global/ictv/proposals/2023.024M.Bunyaviricetes.zip","2023.024M.Bunyaviricetes.zip")</f>
        <v>2023.024M.Bunyaviricetes.zip</v>
      </c>
    </row>
    <row r="14742" spans="1:21">
      <c r="A14742">
        <v>14741</v>
      </c>
      <c r="B14742" s="27" t="s">
        <v>1124</v>
      </c>
      <c r="D14742" s="27" t="s">
        <v>1859</v>
      </c>
      <c r="F14742" s="27" t="s">
        <v>938</v>
      </c>
      <c r="G14742" s="27" t="s">
        <v>959</v>
      </c>
      <c r="H14742" s="27" t="s">
        <v>17007</v>
      </c>
      <c r="J14742" s="27" t="s">
        <v>17036</v>
      </c>
      <c r="L14742" s="27" t="s">
        <v>730</v>
      </c>
      <c r="N14742" s="27" t="s">
        <v>1905</v>
      </c>
      <c r="P14742" s="27" t="s">
        <v>10207</v>
      </c>
      <c r="Q14742" s="26" t="str">
        <f>HYPERLINK("https://ictv.global/taxonomy/taxondetails?taxnode_id=202507642&amp;ictv_id=ICTV201907642","ICTV201907642")</f>
        <v>ICTV201907642</v>
      </c>
      <c r="R14742" t="s">
        <v>580</v>
      </c>
      <c r="S14742" t="s">
        <v>22763</v>
      </c>
      <c r="T14742">
        <v>39</v>
      </c>
      <c r="U14742" s="26" t="str">
        <f>HYPERLINK("https://ictv.global/ictv/proposals/2023.024M.Bunyaviricetes.zip","2023.024M.Bunyaviricetes.zip")</f>
        <v>2023.024M.Bunyaviricetes.zip</v>
      </c>
    </row>
    <row r="14743" spans="1:21">
      <c r="A14743">
        <v>14742</v>
      </c>
      <c r="B14743" s="27" t="s">
        <v>1124</v>
      </c>
      <c r="D14743" s="27" t="s">
        <v>1859</v>
      </c>
      <c r="F14743" s="27" t="s">
        <v>938</v>
      </c>
      <c r="G14743" s="27" t="s">
        <v>959</v>
      </c>
      <c r="H14743" s="27" t="s">
        <v>17007</v>
      </c>
      <c r="J14743" s="27" t="s">
        <v>17036</v>
      </c>
      <c r="L14743" s="27" t="s">
        <v>730</v>
      </c>
      <c r="N14743" s="27" t="s">
        <v>1905</v>
      </c>
      <c r="P14743" s="27" t="s">
        <v>10208</v>
      </c>
      <c r="Q14743" s="26" t="str">
        <f>HYPERLINK("https://ictv.global/taxonomy/taxondetails?taxnode_id=202507641&amp;ictv_id=ICTV201907641","ICTV201907641")</f>
        <v>ICTV201907641</v>
      </c>
      <c r="R14743" t="s">
        <v>580</v>
      </c>
      <c r="S14743" t="s">
        <v>22763</v>
      </c>
      <c r="T14743">
        <v>39</v>
      </c>
      <c r="U14743" s="26" t="str">
        <f>HYPERLINK("https://ictv.global/ictv/proposals/2023.024M.Bunyaviricetes.zip","2023.024M.Bunyaviricetes.zip")</f>
        <v>2023.024M.Bunyaviricetes.zip</v>
      </c>
    </row>
    <row r="14744" spans="1:21">
      <c r="A14744">
        <v>14743</v>
      </c>
      <c r="B14744" s="27" t="s">
        <v>1124</v>
      </c>
      <c r="D14744" s="27" t="s">
        <v>1859</v>
      </c>
      <c r="F14744" s="27" t="s">
        <v>938</v>
      </c>
      <c r="G14744" s="27" t="s">
        <v>959</v>
      </c>
      <c r="H14744" s="27" t="s">
        <v>17007</v>
      </c>
      <c r="J14744" s="27" t="s">
        <v>17036</v>
      </c>
      <c r="L14744" s="27" t="s">
        <v>730</v>
      </c>
      <c r="N14744" s="27" t="s">
        <v>1905</v>
      </c>
      <c r="P14744" s="27" t="s">
        <v>21510</v>
      </c>
      <c r="Q14744" s="26" t="str">
        <f>HYPERLINK("https://ictv.global/taxonomy/taxondetails?taxnode_id=202522379&amp;ictv_id=ICTV202522379","ICTV202522379")</f>
        <v>ICTV202522379</v>
      </c>
      <c r="R14744" t="s">
        <v>580</v>
      </c>
      <c r="S14744" t="s">
        <v>823</v>
      </c>
      <c r="T14744">
        <v>41</v>
      </c>
      <c r="U14744" s="26" t="str">
        <f>HYPERLINK("https://ictv.global/ictv/proposals/2025.008M.Phenuiviridae_62nsp+1asp.zip","2025.008M.Phenuiviridae_62nsp+1asp.zip")</f>
        <v>2025.008M.Phenuiviridae_62nsp+1asp.zip</v>
      </c>
    </row>
    <row r="14745" spans="1:21">
      <c r="A14745">
        <v>14744</v>
      </c>
      <c r="B14745" s="27" t="s">
        <v>1124</v>
      </c>
      <c r="D14745" s="27" t="s">
        <v>1859</v>
      </c>
      <c r="F14745" s="27" t="s">
        <v>938</v>
      </c>
      <c r="G14745" s="27" t="s">
        <v>959</v>
      </c>
      <c r="H14745" s="27" t="s">
        <v>17007</v>
      </c>
      <c r="J14745" s="27" t="s">
        <v>17036</v>
      </c>
      <c r="L14745" s="27" t="s">
        <v>730</v>
      </c>
      <c r="N14745" s="27" t="s">
        <v>1905</v>
      </c>
      <c r="P14745" s="27" t="s">
        <v>21511</v>
      </c>
      <c r="Q14745" s="26" t="str">
        <f>HYPERLINK("https://ictv.global/taxonomy/taxondetails?taxnode_id=202522380&amp;ictv_id=ICTV202522380","ICTV202522380")</f>
        <v>ICTV202522380</v>
      </c>
      <c r="R14745" t="s">
        <v>580</v>
      </c>
      <c r="S14745" t="s">
        <v>823</v>
      </c>
      <c r="T14745">
        <v>41</v>
      </c>
      <c r="U14745" s="26" t="str">
        <f>HYPERLINK("https://ictv.global/ictv/proposals/2025.008M.Phenuiviridae_62nsp+1asp.zip","2025.008M.Phenuiviridae_62nsp+1asp.zip")</f>
        <v>2025.008M.Phenuiviridae_62nsp+1asp.zip</v>
      </c>
    </row>
    <row r="14746" spans="1:21">
      <c r="A14746">
        <v>14745</v>
      </c>
      <c r="B14746" s="27" t="s">
        <v>1124</v>
      </c>
      <c r="D14746" s="27" t="s">
        <v>1859</v>
      </c>
      <c r="F14746" s="27" t="s">
        <v>938</v>
      </c>
      <c r="G14746" s="27" t="s">
        <v>959</v>
      </c>
      <c r="H14746" s="27" t="s">
        <v>17007</v>
      </c>
      <c r="J14746" s="27" t="s">
        <v>17036</v>
      </c>
      <c r="L14746" s="27" t="s">
        <v>730</v>
      </c>
      <c r="N14746" s="27" t="s">
        <v>1155</v>
      </c>
      <c r="P14746" s="27" t="s">
        <v>10209</v>
      </c>
      <c r="Q14746" s="26" t="str">
        <f>HYPERLINK("https://ictv.global/taxonomy/taxondetails?taxnode_id=202509833&amp;ictv_id=ICTV202009833","ICTV202009833")</f>
        <v>ICTV202009833</v>
      </c>
      <c r="R14746" t="s">
        <v>580</v>
      </c>
      <c r="S14746" t="s">
        <v>22763</v>
      </c>
      <c r="T14746">
        <v>39</v>
      </c>
      <c r="U14746" s="26" t="str">
        <f>HYPERLINK("https://ictv.global/ictv/proposals/2023.024M.Bunyaviricetes.zip","2023.024M.Bunyaviricetes.zip")</f>
        <v>2023.024M.Bunyaviricetes.zip</v>
      </c>
    </row>
    <row r="14747" spans="1:21">
      <c r="A14747">
        <v>14746</v>
      </c>
      <c r="B14747" s="27" t="s">
        <v>1124</v>
      </c>
      <c r="D14747" s="27" t="s">
        <v>1859</v>
      </c>
      <c r="F14747" s="27" t="s">
        <v>938</v>
      </c>
      <c r="G14747" s="27" t="s">
        <v>959</v>
      </c>
      <c r="H14747" s="27" t="s">
        <v>17007</v>
      </c>
      <c r="J14747" s="27" t="s">
        <v>17036</v>
      </c>
      <c r="L14747" s="27" t="s">
        <v>730</v>
      </c>
      <c r="N14747" s="27" t="s">
        <v>1155</v>
      </c>
      <c r="P14747" s="27" t="s">
        <v>10210</v>
      </c>
      <c r="Q14747" s="26" t="str">
        <f>HYPERLINK("https://ictv.global/taxonomy/taxondetails?taxnode_id=202509834&amp;ictv_id=ICTV202009834","ICTV202009834")</f>
        <v>ICTV202009834</v>
      </c>
      <c r="R14747" t="s">
        <v>580</v>
      </c>
      <c r="S14747" t="s">
        <v>22763</v>
      </c>
      <c r="T14747">
        <v>39</v>
      </c>
      <c r="U14747" s="26" t="str">
        <f>HYPERLINK("https://ictv.global/ictv/proposals/2023.024M.Bunyaviricetes.zip","2023.024M.Bunyaviricetes.zip")</f>
        <v>2023.024M.Bunyaviricetes.zip</v>
      </c>
    </row>
    <row r="14748" spans="1:21">
      <c r="A14748">
        <v>14747</v>
      </c>
      <c r="B14748" s="27" t="s">
        <v>1124</v>
      </c>
      <c r="D14748" s="27" t="s">
        <v>1859</v>
      </c>
      <c r="F14748" s="27" t="s">
        <v>938</v>
      </c>
      <c r="G14748" s="27" t="s">
        <v>959</v>
      </c>
      <c r="H14748" s="27" t="s">
        <v>17007</v>
      </c>
      <c r="J14748" s="27" t="s">
        <v>17036</v>
      </c>
      <c r="L14748" s="27" t="s">
        <v>730</v>
      </c>
      <c r="N14748" s="27" t="s">
        <v>1155</v>
      </c>
      <c r="P14748" s="27" t="s">
        <v>21513</v>
      </c>
      <c r="Q14748" s="26" t="str">
        <f>HYPERLINK("https://ictv.global/taxonomy/taxondetails?taxnode_id=202522382&amp;ictv_id=ICTV202522382","ICTV202522382")</f>
        <v>ICTV202522382</v>
      </c>
      <c r="R14748" t="s">
        <v>580</v>
      </c>
      <c r="S14748" t="s">
        <v>823</v>
      </c>
      <c r="T14748">
        <v>41</v>
      </c>
      <c r="U14748" s="26" t="str">
        <f>HYPERLINK("https://ictv.global/ictv/proposals/2025.008M.Phenuiviridae_62nsp+1asp.zip","2025.008M.Phenuiviridae_62nsp+1asp.zip")</f>
        <v>2025.008M.Phenuiviridae_62nsp+1asp.zip</v>
      </c>
    </row>
    <row r="14749" spans="1:21">
      <c r="A14749">
        <v>14748</v>
      </c>
      <c r="B14749" s="27" t="s">
        <v>1124</v>
      </c>
      <c r="D14749" s="27" t="s">
        <v>1859</v>
      </c>
      <c r="F14749" s="27" t="s">
        <v>938</v>
      </c>
      <c r="G14749" s="27" t="s">
        <v>959</v>
      </c>
      <c r="H14749" s="27" t="s">
        <v>17007</v>
      </c>
      <c r="J14749" s="27" t="s">
        <v>17036</v>
      </c>
      <c r="L14749" s="27" t="s">
        <v>730</v>
      </c>
      <c r="N14749" s="27" t="s">
        <v>1155</v>
      </c>
      <c r="P14749" s="27" t="s">
        <v>10211</v>
      </c>
      <c r="Q14749" s="26" t="str">
        <f>HYPERLINK("https://ictv.global/taxonomy/taxondetails?taxnode_id=202509835&amp;ictv_id=ICTV202009835","ICTV202009835")</f>
        <v>ICTV202009835</v>
      </c>
      <c r="R14749" t="s">
        <v>657</v>
      </c>
      <c r="S14749" t="s">
        <v>22763</v>
      </c>
      <c r="T14749">
        <v>39</v>
      </c>
      <c r="U14749" s="26" t="str">
        <f>HYPERLINK("https://ictv.global/ictv/proposals/2023.024M.Bunyaviricetes.zip","2023.024M.Bunyaviricetes.zip")</f>
        <v>2023.024M.Bunyaviricetes.zip</v>
      </c>
    </row>
    <row r="14750" spans="1:21">
      <c r="A14750">
        <v>14749</v>
      </c>
      <c r="B14750" s="27" t="s">
        <v>1124</v>
      </c>
      <c r="D14750" s="27" t="s">
        <v>1859</v>
      </c>
      <c r="F14750" s="27" t="s">
        <v>938</v>
      </c>
      <c r="G14750" s="27" t="s">
        <v>959</v>
      </c>
      <c r="H14750" s="27" t="s">
        <v>17007</v>
      </c>
      <c r="J14750" s="27" t="s">
        <v>17036</v>
      </c>
      <c r="L14750" s="27" t="s">
        <v>730</v>
      </c>
      <c r="N14750" s="27" t="s">
        <v>1155</v>
      </c>
      <c r="P14750" s="27" t="s">
        <v>10212</v>
      </c>
      <c r="Q14750" s="26" t="str">
        <f>HYPERLINK("https://ictv.global/taxonomy/taxondetails?taxnode_id=202506609&amp;ictv_id=ICTV201856609","ICTV201856609")</f>
        <v>ICTV201856609</v>
      </c>
      <c r="R14750" t="s">
        <v>580</v>
      </c>
      <c r="S14750" t="s">
        <v>22763</v>
      </c>
      <c r="T14750">
        <v>39</v>
      </c>
      <c r="U14750" s="26" t="str">
        <f>HYPERLINK("https://ictv.global/ictv/proposals/2023.024M.Bunyaviricetes.zip","2023.024M.Bunyaviricetes.zip")</f>
        <v>2023.024M.Bunyaviricetes.zip</v>
      </c>
    </row>
    <row r="14751" spans="1:21">
      <c r="A14751">
        <v>14750</v>
      </c>
      <c r="B14751" s="27" t="s">
        <v>1124</v>
      </c>
      <c r="D14751" s="27" t="s">
        <v>1859</v>
      </c>
      <c r="F14751" s="27" t="s">
        <v>938</v>
      </c>
      <c r="G14751" s="27" t="s">
        <v>959</v>
      </c>
      <c r="H14751" s="27" t="s">
        <v>17007</v>
      </c>
      <c r="J14751" s="27" t="s">
        <v>17036</v>
      </c>
      <c r="L14751" s="27" t="s">
        <v>730</v>
      </c>
      <c r="N14751" s="27" t="s">
        <v>1155</v>
      </c>
      <c r="P14751" s="27" t="s">
        <v>21514</v>
      </c>
      <c r="Q14751" s="26" t="str">
        <f>HYPERLINK("https://ictv.global/taxonomy/taxondetails?taxnode_id=202522383&amp;ictv_id=ICTV202522383","ICTV202522383")</f>
        <v>ICTV202522383</v>
      </c>
      <c r="R14751" t="s">
        <v>580</v>
      </c>
      <c r="S14751" t="s">
        <v>823</v>
      </c>
      <c r="T14751">
        <v>41</v>
      </c>
      <c r="U14751" s="26" t="str">
        <f>HYPERLINK("https://ictv.global/ictv/proposals/2025.008M.Phenuiviridae_62nsp+1asp.zip","2025.008M.Phenuiviridae_62nsp+1asp.zip")</f>
        <v>2025.008M.Phenuiviridae_62nsp+1asp.zip</v>
      </c>
    </row>
    <row r="14752" spans="1:21">
      <c r="A14752">
        <v>14751</v>
      </c>
      <c r="B14752" s="27" t="s">
        <v>1124</v>
      </c>
      <c r="D14752" s="27" t="s">
        <v>1859</v>
      </c>
      <c r="F14752" s="27" t="s">
        <v>938</v>
      </c>
      <c r="G14752" s="27" t="s">
        <v>959</v>
      </c>
      <c r="H14752" s="27" t="s">
        <v>17007</v>
      </c>
      <c r="J14752" s="27" t="s">
        <v>17036</v>
      </c>
      <c r="L14752" s="27" t="s">
        <v>730</v>
      </c>
      <c r="N14752" s="27" t="s">
        <v>1155</v>
      </c>
      <c r="P14752" s="27" t="s">
        <v>21515</v>
      </c>
      <c r="Q14752" s="26" t="str">
        <f>HYPERLINK("https://ictv.global/taxonomy/taxondetails?taxnode_id=202522384&amp;ictv_id=ICTV202522384","ICTV202522384")</f>
        <v>ICTV202522384</v>
      </c>
      <c r="R14752" t="s">
        <v>580</v>
      </c>
      <c r="S14752" t="s">
        <v>823</v>
      </c>
      <c r="T14752">
        <v>41</v>
      </c>
      <c r="U14752" s="26" t="str">
        <f>HYPERLINK("https://ictv.global/ictv/proposals/2025.008M.Phenuiviridae_62nsp+1asp.zip","2025.008M.Phenuiviridae_62nsp+1asp.zip")</f>
        <v>2025.008M.Phenuiviridae_62nsp+1asp.zip</v>
      </c>
    </row>
    <row r="14753" spans="1:21">
      <c r="A14753">
        <v>14752</v>
      </c>
      <c r="B14753" s="27" t="s">
        <v>1124</v>
      </c>
      <c r="D14753" s="27" t="s">
        <v>1859</v>
      </c>
      <c r="F14753" s="27" t="s">
        <v>938</v>
      </c>
      <c r="G14753" s="27" t="s">
        <v>959</v>
      </c>
      <c r="H14753" s="27" t="s">
        <v>17007</v>
      </c>
      <c r="J14753" s="27" t="s">
        <v>17036</v>
      </c>
      <c r="L14753" s="27" t="s">
        <v>730</v>
      </c>
      <c r="N14753" s="27" t="s">
        <v>1906</v>
      </c>
      <c r="P14753" s="27" t="s">
        <v>21518</v>
      </c>
      <c r="Q14753" s="26" t="str">
        <f>HYPERLINK("https://ictv.global/taxonomy/taxondetails?taxnode_id=202522387&amp;ictv_id=ICTV202522387","ICTV202522387")</f>
        <v>ICTV202522387</v>
      </c>
      <c r="R14753" t="s">
        <v>657</v>
      </c>
      <c r="S14753" t="s">
        <v>823</v>
      </c>
      <c r="T14753">
        <v>41</v>
      </c>
      <c r="U14753" s="26" t="str">
        <f>HYPERLINK("https://ictv.global/ictv/proposals/2025.008M.Phenuiviridae_62nsp+1asp.zip","2025.008M.Phenuiviridae_62nsp+1asp.zip")</f>
        <v>2025.008M.Phenuiviridae_62nsp+1asp.zip</v>
      </c>
    </row>
    <row r="14754" spans="1:21">
      <c r="A14754">
        <v>14753</v>
      </c>
      <c r="B14754" s="27" t="s">
        <v>1124</v>
      </c>
      <c r="D14754" s="27" t="s">
        <v>1859</v>
      </c>
      <c r="F14754" s="27" t="s">
        <v>938</v>
      </c>
      <c r="G14754" s="27" t="s">
        <v>959</v>
      </c>
      <c r="H14754" s="27" t="s">
        <v>17007</v>
      </c>
      <c r="J14754" s="27" t="s">
        <v>17036</v>
      </c>
      <c r="L14754" s="27" t="s">
        <v>730</v>
      </c>
      <c r="N14754" s="27" t="s">
        <v>1906</v>
      </c>
      <c r="P14754" s="27" t="s">
        <v>21516</v>
      </c>
      <c r="Q14754" s="26" t="str">
        <f>HYPERLINK("https://ictv.global/taxonomy/taxondetails?taxnode_id=202522385&amp;ictv_id=ICTV202522385","ICTV202522385")</f>
        <v>ICTV202522385</v>
      </c>
      <c r="R14754" t="s">
        <v>657</v>
      </c>
      <c r="S14754" t="s">
        <v>823</v>
      </c>
      <c r="T14754">
        <v>41</v>
      </c>
      <c r="U14754" s="26" t="str">
        <f>HYPERLINK("https://ictv.global/ictv/proposals/2025.008M.Phenuiviridae_62nsp+1asp.zip","2025.008M.Phenuiviridae_62nsp+1asp.zip")</f>
        <v>2025.008M.Phenuiviridae_62nsp+1asp.zip</v>
      </c>
    </row>
    <row r="14755" spans="1:21">
      <c r="A14755">
        <v>14754</v>
      </c>
      <c r="B14755" s="27" t="s">
        <v>1124</v>
      </c>
      <c r="D14755" s="27" t="s">
        <v>1859</v>
      </c>
      <c r="F14755" s="27" t="s">
        <v>938</v>
      </c>
      <c r="G14755" s="27" t="s">
        <v>959</v>
      </c>
      <c r="H14755" s="27" t="s">
        <v>17007</v>
      </c>
      <c r="J14755" s="27" t="s">
        <v>17036</v>
      </c>
      <c r="L14755" s="27" t="s">
        <v>730</v>
      </c>
      <c r="N14755" s="27" t="s">
        <v>1906</v>
      </c>
      <c r="P14755" s="27" t="s">
        <v>21517</v>
      </c>
      <c r="Q14755" s="26" t="str">
        <f>HYPERLINK("https://ictv.global/taxonomy/taxondetails?taxnode_id=202522386&amp;ictv_id=ICTV202522386","ICTV202522386")</f>
        <v>ICTV202522386</v>
      </c>
      <c r="R14755" t="s">
        <v>657</v>
      </c>
      <c r="S14755" t="s">
        <v>823</v>
      </c>
      <c r="T14755">
        <v>41</v>
      </c>
      <c r="U14755" s="26" t="str">
        <f>HYPERLINK("https://ictv.global/ictv/proposals/2025.008M.Phenuiviridae_62nsp+1asp.zip","2025.008M.Phenuiviridae_62nsp+1asp.zip")</f>
        <v>2025.008M.Phenuiviridae_62nsp+1asp.zip</v>
      </c>
    </row>
    <row r="14756" spans="1:21">
      <c r="A14756">
        <v>14755</v>
      </c>
      <c r="B14756" s="27" t="s">
        <v>1124</v>
      </c>
      <c r="D14756" s="27" t="s">
        <v>1859</v>
      </c>
      <c r="F14756" s="27" t="s">
        <v>938</v>
      </c>
      <c r="G14756" s="27" t="s">
        <v>959</v>
      </c>
      <c r="H14756" s="27" t="s">
        <v>17007</v>
      </c>
      <c r="J14756" s="27" t="s">
        <v>17036</v>
      </c>
      <c r="L14756" s="27" t="s">
        <v>730</v>
      </c>
      <c r="N14756" s="27" t="s">
        <v>1906</v>
      </c>
      <c r="P14756" s="27" t="s">
        <v>10213</v>
      </c>
      <c r="Q14756" s="26" t="str">
        <f>HYPERLINK("https://ictv.global/taxonomy/taxondetails?taxnode_id=202507646&amp;ictv_id=ICTV201907646","ICTV201907646")</f>
        <v>ICTV201907646</v>
      </c>
      <c r="R14756" t="s">
        <v>657</v>
      </c>
      <c r="S14756" t="s">
        <v>22763</v>
      </c>
      <c r="T14756">
        <v>39</v>
      </c>
      <c r="U14756" s="26" t="str">
        <f>HYPERLINK("https://ictv.global/ictv/proposals/2023.024M.Bunyaviricetes.zip","2023.024M.Bunyaviricetes.zip")</f>
        <v>2023.024M.Bunyaviricetes.zip</v>
      </c>
    </row>
    <row r="14757" spans="1:21">
      <c r="A14757">
        <v>14756</v>
      </c>
      <c r="B14757" s="27" t="s">
        <v>1124</v>
      </c>
      <c r="D14757" s="27" t="s">
        <v>1859</v>
      </c>
      <c r="F14757" s="27" t="s">
        <v>938</v>
      </c>
      <c r="G14757" s="27" t="s">
        <v>959</v>
      </c>
      <c r="H14757" s="27" t="s">
        <v>17007</v>
      </c>
      <c r="J14757" s="27" t="s">
        <v>17036</v>
      </c>
      <c r="L14757" s="27" t="s">
        <v>730</v>
      </c>
      <c r="N14757" s="27" t="s">
        <v>11204</v>
      </c>
      <c r="P14757" s="27" t="s">
        <v>11205</v>
      </c>
      <c r="Q14757" s="26" t="str">
        <f>HYPERLINK("https://ictv.global/taxonomy/taxondetails?taxnode_id=202507650&amp;ictv_id=ICTV201907650","ICTV201907650")</f>
        <v>ICTV201907650</v>
      </c>
      <c r="R14757" t="s">
        <v>657</v>
      </c>
      <c r="S14757" t="s">
        <v>22763</v>
      </c>
      <c r="T14757">
        <v>39</v>
      </c>
      <c r="U14757" s="26" t="str">
        <f>HYPERLINK("https://ictv.global/ictv/proposals/2023.024M.Bunyaviricetes.zip","2023.024M.Bunyaviricetes.zip")</f>
        <v>2023.024M.Bunyaviricetes.zip</v>
      </c>
    </row>
    <row r="14758" spans="1:21">
      <c r="A14758">
        <v>14757</v>
      </c>
      <c r="B14758" s="27" t="s">
        <v>1124</v>
      </c>
      <c r="D14758" s="27" t="s">
        <v>1859</v>
      </c>
      <c r="F14758" s="27" t="s">
        <v>938</v>
      </c>
      <c r="G14758" s="27" t="s">
        <v>959</v>
      </c>
      <c r="H14758" s="27" t="s">
        <v>17007</v>
      </c>
      <c r="J14758" s="27" t="s">
        <v>17036</v>
      </c>
      <c r="L14758" s="27" t="s">
        <v>730</v>
      </c>
      <c r="N14758" s="27" t="s">
        <v>11204</v>
      </c>
      <c r="P14758" s="27" t="s">
        <v>17063</v>
      </c>
      <c r="Q14758" s="26" t="str">
        <f>HYPERLINK("https://ictv.global/taxonomy/taxondetails?taxnode_id=202518487&amp;ictv_id=ICTV202318487","ICTV202318487")</f>
        <v>ICTV202318487</v>
      </c>
      <c r="R14758" t="s">
        <v>657</v>
      </c>
      <c r="S14758" t="s">
        <v>823</v>
      </c>
      <c r="T14758">
        <v>39</v>
      </c>
      <c r="U14758" s="26" t="str">
        <f>HYPERLINK("https://ictv.global/ictv/proposals/2023.020M.Phenuiviridae_4nsp.zip","2023.020M.Phenuiviridae_4nsp.zip")</f>
        <v>2023.020M.Phenuiviridae_4nsp.zip</v>
      </c>
    </row>
    <row r="14759" spans="1:21">
      <c r="A14759">
        <v>14758</v>
      </c>
      <c r="B14759" s="27" t="s">
        <v>1124</v>
      </c>
      <c r="D14759" s="27" t="s">
        <v>1859</v>
      </c>
      <c r="F14759" s="27" t="s">
        <v>938</v>
      </c>
      <c r="G14759" s="27" t="s">
        <v>959</v>
      </c>
      <c r="H14759" s="27" t="s">
        <v>17007</v>
      </c>
      <c r="J14759" s="27" t="s">
        <v>17036</v>
      </c>
      <c r="L14759" s="27" t="s">
        <v>730</v>
      </c>
      <c r="N14759" s="27" t="s">
        <v>977</v>
      </c>
      <c r="P14759" s="27" t="s">
        <v>21524</v>
      </c>
      <c r="Q14759" s="26" t="str">
        <f>HYPERLINK("https://ictv.global/taxonomy/taxondetails?taxnode_id=202522393&amp;ictv_id=ICTV202522393","ICTV202522393")</f>
        <v>ICTV202522393</v>
      </c>
      <c r="R14759" t="s">
        <v>580</v>
      </c>
      <c r="S14759" t="s">
        <v>823</v>
      </c>
      <c r="T14759">
        <v>41</v>
      </c>
      <c r="U14759" s="26" t="str">
        <f>HYPERLINK("https://ictv.global/ictv/proposals/2025.008M.Phenuiviridae_62nsp+1asp.zip","2025.008M.Phenuiviridae_62nsp+1asp.zip")</f>
        <v>2025.008M.Phenuiviridae_62nsp+1asp.zip</v>
      </c>
    </row>
    <row r="14760" spans="1:21">
      <c r="A14760">
        <v>14759</v>
      </c>
      <c r="B14760" s="27" t="s">
        <v>1124</v>
      </c>
      <c r="D14760" s="27" t="s">
        <v>1859</v>
      </c>
      <c r="F14760" s="27" t="s">
        <v>938</v>
      </c>
      <c r="G14760" s="27" t="s">
        <v>959</v>
      </c>
      <c r="H14760" s="27" t="s">
        <v>17007</v>
      </c>
      <c r="J14760" s="27" t="s">
        <v>17036</v>
      </c>
      <c r="L14760" s="27" t="s">
        <v>730</v>
      </c>
      <c r="N14760" s="27" t="s">
        <v>977</v>
      </c>
      <c r="P14760" s="27" t="s">
        <v>21520</v>
      </c>
      <c r="Q14760" s="26" t="str">
        <f>HYPERLINK("https://ictv.global/taxonomy/taxondetails?taxnode_id=202522389&amp;ictv_id=ICTV202522389","ICTV202522389")</f>
        <v>ICTV202522389</v>
      </c>
      <c r="R14760" t="s">
        <v>580</v>
      </c>
      <c r="S14760" t="s">
        <v>823</v>
      </c>
      <c r="T14760">
        <v>41</v>
      </c>
      <c r="U14760" s="26" t="str">
        <f>HYPERLINK("https://ictv.global/ictv/proposals/2025.008M.Phenuiviridae_62nsp+1asp.zip","2025.008M.Phenuiviridae_62nsp+1asp.zip")</f>
        <v>2025.008M.Phenuiviridae_62nsp+1asp.zip</v>
      </c>
    </row>
    <row r="14761" spans="1:21">
      <c r="A14761">
        <v>14760</v>
      </c>
      <c r="B14761" s="27" t="s">
        <v>1124</v>
      </c>
      <c r="D14761" s="27" t="s">
        <v>1859</v>
      </c>
      <c r="F14761" s="27" t="s">
        <v>938</v>
      </c>
      <c r="G14761" s="27" t="s">
        <v>959</v>
      </c>
      <c r="H14761" s="27" t="s">
        <v>17007</v>
      </c>
      <c r="J14761" s="27" t="s">
        <v>17036</v>
      </c>
      <c r="L14761" s="27" t="s">
        <v>730</v>
      </c>
      <c r="N14761" s="27" t="s">
        <v>977</v>
      </c>
      <c r="P14761" s="27" t="s">
        <v>21519</v>
      </c>
      <c r="Q14761" s="26" t="str">
        <f>HYPERLINK("https://ictv.global/taxonomy/taxondetails?taxnode_id=202522388&amp;ictv_id=ICTV202522388","ICTV202522388")</f>
        <v>ICTV202522388</v>
      </c>
      <c r="R14761" t="s">
        <v>580</v>
      </c>
      <c r="S14761" t="s">
        <v>823</v>
      </c>
      <c r="T14761">
        <v>41</v>
      </c>
      <c r="U14761" s="26" t="str">
        <f>HYPERLINK("https://ictv.global/ictv/proposals/2025.008M.Phenuiviridae_62nsp+1asp.zip","2025.008M.Phenuiviridae_62nsp+1asp.zip")</f>
        <v>2025.008M.Phenuiviridae_62nsp+1asp.zip</v>
      </c>
    </row>
    <row r="14762" spans="1:21">
      <c r="A14762">
        <v>14761</v>
      </c>
      <c r="B14762" s="27" t="s">
        <v>1124</v>
      </c>
      <c r="D14762" s="27" t="s">
        <v>1859</v>
      </c>
      <c r="F14762" s="27" t="s">
        <v>938</v>
      </c>
      <c r="G14762" s="27" t="s">
        <v>959</v>
      </c>
      <c r="H14762" s="27" t="s">
        <v>17007</v>
      </c>
      <c r="J14762" s="27" t="s">
        <v>17036</v>
      </c>
      <c r="L14762" s="27" t="s">
        <v>730</v>
      </c>
      <c r="N14762" s="27" t="s">
        <v>977</v>
      </c>
      <c r="P14762" s="27" t="s">
        <v>10214</v>
      </c>
      <c r="Q14762" s="26" t="str">
        <f>HYPERLINK("https://ictv.global/taxonomy/taxondetails?taxnode_id=202514263&amp;ictv_id=ICTV202214263","ICTV202214263")</f>
        <v>ICTV202214263</v>
      </c>
      <c r="R14762" t="s">
        <v>580</v>
      </c>
      <c r="S14762" t="s">
        <v>22763</v>
      </c>
      <c r="T14762">
        <v>39</v>
      </c>
      <c r="U14762" s="26" t="str">
        <f>HYPERLINK("https://ictv.global/ictv/proposals/2023.024M.Bunyaviricetes.zip","2023.024M.Bunyaviricetes.zip")</f>
        <v>2023.024M.Bunyaviricetes.zip</v>
      </c>
    </row>
    <row r="14763" spans="1:21">
      <c r="A14763">
        <v>14762</v>
      </c>
      <c r="B14763" s="27" t="s">
        <v>1124</v>
      </c>
      <c r="D14763" s="27" t="s">
        <v>1859</v>
      </c>
      <c r="F14763" s="27" t="s">
        <v>938</v>
      </c>
      <c r="G14763" s="27" t="s">
        <v>959</v>
      </c>
      <c r="H14763" s="27" t="s">
        <v>17007</v>
      </c>
      <c r="J14763" s="27" t="s">
        <v>17036</v>
      </c>
      <c r="L14763" s="27" t="s">
        <v>730</v>
      </c>
      <c r="N14763" s="27" t="s">
        <v>977</v>
      </c>
      <c r="P14763" s="27" t="s">
        <v>21521</v>
      </c>
      <c r="Q14763" s="26" t="str">
        <f>HYPERLINK("https://ictv.global/taxonomy/taxondetails?taxnode_id=202522390&amp;ictv_id=ICTV202522390","ICTV202522390")</f>
        <v>ICTV202522390</v>
      </c>
      <c r="R14763" t="s">
        <v>580</v>
      </c>
      <c r="S14763" t="s">
        <v>823</v>
      </c>
      <c r="T14763">
        <v>41</v>
      </c>
      <c r="U14763" s="26" t="str">
        <f>HYPERLINK("https://ictv.global/ictv/proposals/2025.008M.Phenuiviridae_62nsp+1asp.zip","2025.008M.Phenuiviridae_62nsp+1asp.zip")</f>
        <v>2025.008M.Phenuiviridae_62nsp+1asp.zip</v>
      </c>
    </row>
    <row r="14764" spans="1:21">
      <c r="A14764">
        <v>14763</v>
      </c>
      <c r="B14764" s="27" t="s">
        <v>1124</v>
      </c>
      <c r="D14764" s="27" t="s">
        <v>1859</v>
      </c>
      <c r="F14764" s="27" t="s">
        <v>938</v>
      </c>
      <c r="G14764" s="27" t="s">
        <v>959</v>
      </c>
      <c r="H14764" s="27" t="s">
        <v>17007</v>
      </c>
      <c r="J14764" s="27" t="s">
        <v>17036</v>
      </c>
      <c r="L14764" s="27" t="s">
        <v>730</v>
      </c>
      <c r="N14764" s="27" t="s">
        <v>977</v>
      </c>
      <c r="P14764" s="27" t="s">
        <v>21522</v>
      </c>
      <c r="Q14764" s="26" t="str">
        <f>HYPERLINK("https://ictv.global/taxonomy/taxondetails?taxnode_id=202522391&amp;ictv_id=ICTV202522391","ICTV202522391")</f>
        <v>ICTV202522391</v>
      </c>
      <c r="R14764" t="s">
        <v>580</v>
      </c>
      <c r="S14764" t="s">
        <v>823</v>
      </c>
      <c r="T14764">
        <v>41</v>
      </c>
      <c r="U14764" s="26" t="str">
        <f>HYPERLINK("https://ictv.global/ictv/proposals/2025.008M.Phenuiviridae_62nsp+1asp.zip","2025.008M.Phenuiviridae_62nsp+1asp.zip")</f>
        <v>2025.008M.Phenuiviridae_62nsp+1asp.zip</v>
      </c>
    </row>
    <row r="14765" spans="1:21">
      <c r="A14765">
        <v>14764</v>
      </c>
      <c r="B14765" s="27" t="s">
        <v>1124</v>
      </c>
      <c r="D14765" s="27" t="s">
        <v>1859</v>
      </c>
      <c r="F14765" s="27" t="s">
        <v>938</v>
      </c>
      <c r="G14765" s="27" t="s">
        <v>959</v>
      </c>
      <c r="H14765" s="27" t="s">
        <v>17007</v>
      </c>
      <c r="J14765" s="27" t="s">
        <v>17036</v>
      </c>
      <c r="L14765" s="27" t="s">
        <v>730</v>
      </c>
      <c r="N14765" s="27" t="s">
        <v>977</v>
      </c>
      <c r="P14765" s="27" t="s">
        <v>21523</v>
      </c>
      <c r="Q14765" s="26" t="str">
        <f>HYPERLINK("https://ictv.global/taxonomy/taxondetails?taxnode_id=202522392&amp;ictv_id=ICTV202522392","ICTV202522392")</f>
        <v>ICTV202522392</v>
      </c>
      <c r="R14765" t="s">
        <v>580</v>
      </c>
      <c r="S14765" t="s">
        <v>823</v>
      </c>
      <c r="T14765">
        <v>41</v>
      </c>
      <c r="U14765" s="26" t="str">
        <f>HYPERLINK("https://ictv.global/ictv/proposals/2025.008M.Phenuiviridae_62nsp+1asp.zip","2025.008M.Phenuiviridae_62nsp+1asp.zip")</f>
        <v>2025.008M.Phenuiviridae_62nsp+1asp.zip</v>
      </c>
    </row>
    <row r="14766" spans="1:21">
      <c r="A14766">
        <v>14765</v>
      </c>
      <c r="B14766" s="27" t="s">
        <v>1124</v>
      </c>
      <c r="D14766" s="27" t="s">
        <v>1859</v>
      </c>
      <c r="F14766" s="27" t="s">
        <v>938</v>
      </c>
      <c r="G14766" s="27" t="s">
        <v>959</v>
      </c>
      <c r="H14766" s="27" t="s">
        <v>17007</v>
      </c>
      <c r="J14766" s="27" t="s">
        <v>17036</v>
      </c>
      <c r="L14766" s="27" t="s">
        <v>730</v>
      </c>
      <c r="N14766" s="27" t="s">
        <v>977</v>
      </c>
      <c r="P14766" s="27" t="s">
        <v>21526</v>
      </c>
      <c r="Q14766" s="26" t="str">
        <f>HYPERLINK("https://ictv.global/taxonomy/taxondetails?taxnode_id=202522395&amp;ictv_id=ICTV202522395","ICTV202522395")</f>
        <v>ICTV202522395</v>
      </c>
      <c r="R14766" t="s">
        <v>580</v>
      </c>
      <c r="S14766" t="s">
        <v>823</v>
      </c>
      <c r="T14766">
        <v>41</v>
      </c>
      <c r="U14766" s="26" t="str">
        <f>HYPERLINK("https://ictv.global/ictv/proposals/2025.008M.Phenuiviridae_62nsp+1asp.zip","2025.008M.Phenuiviridae_62nsp+1asp.zip")</f>
        <v>2025.008M.Phenuiviridae_62nsp+1asp.zip</v>
      </c>
    </row>
    <row r="14767" spans="1:21">
      <c r="A14767">
        <v>14766</v>
      </c>
      <c r="B14767" s="27" t="s">
        <v>1124</v>
      </c>
      <c r="D14767" s="27" t="s">
        <v>1859</v>
      </c>
      <c r="F14767" s="27" t="s">
        <v>938</v>
      </c>
      <c r="G14767" s="27" t="s">
        <v>959</v>
      </c>
      <c r="H14767" s="27" t="s">
        <v>17007</v>
      </c>
      <c r="J14767" s="27" t="s">
        <v>17036</v>
      </c>
      <c r="L14767" s="27" t="s">
        <v>730</v>
      </c>
      <c r="N14767" s="27" t="s">
        <v>977</v>
      </c>
      <c r="P14767" s="27" t="s">
        <v>21525</v>
      </c>
      <c r="Q14767" s="26" t="str">
        <f>HYPERLINK("https://ictv.global/taxonomy/taxondetails?taxnode_id=202522394&amp;ictv_id=ICTV202522394","ICTV202522394")</f>
        <v>ICTV202522394</v>
      </c>
      <c r="R14767" t="s">
        <v>580</v>
      </c>
      <c r="S14767" t="s">
        <v>823</v>
      </c>
      <c r="T14767">
        <v>41</v>
      </c>
      <c r="U14767" s="26" t="str">
        <f>HYPERLINK("https://ictv.global/ictv/proposals/2025.008M.Phenuiviridae_62nsp+1asp.zip","2025.008M.Phenuiviridae_62nsp+1asp.zip")</f>
        <v>2025.008M.Phenuiviridae_62nsp+1asp.zip</v>
      </c>
    </row>
    <row r="14768" spans="1:21">
      <c r="A14768">
        <v>14767</v>
      </c>
      <c r="B14768" s="27" t="s">
        <v>1124</v>
      </c>
      <c r="D14768" s="27" t="s">
        <v>1859</v>
      </c>
      <c r="F14768" s="27" t="s">
        <v>938</v>
      </c>
      <c r="G14768" s="27" t="s">
        <v>959</v>
      </c>
      <c r="H14768" s="27" t="s">
        <v>17007</v>
      </c>
      <c r="J14768" s="27" t="s">
        <v>17036</v>
      </c>
      <c r="L14768" s="27" t="s">
        <v>730</v>
      </c>
      <c r="N14768" s="27" t="s">
        <v>977</v>
      </c>
      <c r="P14768" s="27" t="s">
        <v>10215</v>
      </c>
      <c r="Q14768" s="26" t="str">
        <f>HYPERLINK("https://ictv.global/taxonomy/taxondetails?taxnode_id=202506234&amp;ictv_id=ICTV20186234","ICTV20186234")</f>
        <v>ICTV20186234</v>
      </c>
      <c r="R14768" t="s">
        <v>580</v>
      </c>
      <c r="S14768" t="s">
        <v>22763</v>
      </c>
      <c r="T14768">
        <v>39</v>
      </c>
      <c r="U14768" s="26" t="str">
        <f>HYPERLINK("https://ictv.global/ictv/proposals/2023.024M.Bunyaviricetes.zip","2023.024M.Bunyaviricetes.zip")</f>
        <v>2023.024M.Bunyaviricetes.zip</v>
      </c>
    </row>
    <row r="14769" spans="1:21">
      <c r="A14769">
        <v>14768</v>
      </c>
      <c r="B14769" s="27" t="s">
        <v>1124</v>
      </c>
      <c r="D14769" s="27" t="s">
        <v>1859</v>
      </c>
      <c r="F14769" s="27" t="s">
        <v>938</v>
      </c>
      <c r="G14769" s="27" t="s">
        <v>959</v>
      </c>
      <c r="H14769" s="27" t="s">
        <v>17007</v>
      </c>
      <c r="J14769" s="27" t="s">
        <v>17036</v>
      </c>
      <c r="L14769" s="27" t="s">
        <v>730</v>
      </c>
      <c r="N14769" s="27" t="s">
        <v>977</v>
      </c>
      <c r="P14769" s="27" t="s">
        <v>10216</v>
      </c>
      <c r="Q14769" s="26" t="str">
        <f>HYPERLINK("https://ictv.global/taxonomy/taxondetails?taxnode_id=202509838&amp;ictv_id=ICTV202009838","ICTV202009838")</f>
        <v>ICTV202009838</v>
      </c>
      <c r="R14769" t="s">
        <v>580</v>
      </c>
      <c r="S14769" t="s">
        <v>22763</v>
      </c>
      <c r="T14769">
        <v>39</v>
      </c>
      <c r="U14769" s="26" t="str">
        <f>HYPERLINK("https://ictv.global/ictv/proposals/2023.024M.Bunyaviricetes.zip","2023.024M.Bunyaviricetes.zip")</f>
        <v>2023.024M.Bunyaviricetes.zip</v>
      </c>
    </row>
    <row r="14770" spans="1:21">
      <c r="A14770">
        <v>14769</v>
      </c>
      <c r="B14770" s="27" t="s">
        <v>1124</v>
      </c>
      <c r="D14770" s="27" t="s">
        <v>1859</v>
      </c>
      <c r="F14770" s="27" t="s">
        <v>938</v>
      </c>
      <c r="G14770" s="27" t="s">
        <v>959</v>
      </c>
      <c r="H14770" s="27" t="s">
        <v>17007</v>
      </c>
      <c r="J14770" s="27" t="s">
        <v>17036</v>
      </c>
      <c r="L14770" s="27" t="s">
        <v>730</v>
      </c>
      <c r="N14770" s="27" t="s">
        <v>977</v>
      </c>
      <c r="P14770" s="27" t="s">
        <v>21527</v>
      </c>
      <c r="Q14770" s="26" t="str">
        <f>HYPERLINK("https://ictv.global/taxonomy/taxondetails?taxnode_id=202522396&amp;ictv_id=ICTV202522396","ICTV202522396")</f>
        <v>ICTV202522396</v>
      </c>
      <c r="R14770" t="s">
        <v>580</v>
      </c>
      <c r="S14770" t="s">
        <v>823</v>
      </c>
      <c r="T14770">
        <v>41</v>
      </c>
      <c r="U14770" s="26" t="str">
        <f>HYPERLINK("https://ictv.global/ictv/proposals/2025.008M.Phenuiviridae_62nsp+1asp.zip","2025.008M.Phenuiviridae_62nsp+1asp.zip")</f>
        <v>2025.008M.Phenuiviridae_62nsp+1asp.zip</v>
      </c>
    </row>
    <row r="14771" spans="1:21">
      <c r="A14771">
        <v>14770</v>
      </c>
      <c r="B14771" s="27" t="s">
        <v>1124</v>
      </c>
      <c r="D14771" s="27" t="s">
        <v>1859</v>
      </c>
      <c r="F14771" s="27" t="s">
        <v>938</v>
      </c>
      <c r="G14771" s="27" t="s">
        <v>959</v>
      </c>
      <c r="H14771" s="27" t="s">
        <v>17007</v>
      </c>
      <c r="J14771" s="27" t="s">
        <v>17036</v>
      </c>
      <c r="L14771" s="27" t="s">
        <v>730</v>
      </c>
      <c r="N14771" s="27" t="s">
        <v>977</v>
      </c>
      <c r="P14771" s="27" t="s">
        <v>21528</v>
      </c>
      <c r="Q14771" s="26" t="str">
        <f>HYPERLINK("https://ictv.global/taxonomy/taxondetails?taxnode_id=202522397&amp;ictv_id=ICTV202522397","ICTV202522397")</f>
        <v>ICTV202522397</v>
      </c>
      <c r="R14771" t="s">
        <v>580</v>
      </c>
      <c r="S14771" t="s">
        <v>823</v>
      </c>
      <c r="T14771">
        <v>41</v>
      </c>
      <c r="U14771" s="26" t="str">
        <f>HYPERLINK("https://ictv.global/ictv/proposals/2025.008M.Phenuiviridae_62nsp+1asp.zip","2025.008M.Phenuiviridae_62nsp+1asp.zip")</f>
        <v>2025.008M.Phenuiviridae_62nsp+1asp.zip</v>
      </c>
    </row>
    <row r="14772" spans="1:21">
      <c r="A14772">
        <v>14771</v>
      </c>
      <c r="B14772" s="27" t="s">
        <v>1124</v>
      </c>
      <c r="D14772" s="27" t="s">
        <v>1859</v>
      </c>
      <c r="F14772" s="27" t="s">
        <v>938</v>
      </c>
      <c r="G14772" s="27" t="s">
        <v>959</v>
      </c>
      <c r="H14772" s="27" t="s">
        <v>17007</v>
      </c>
      <c r="J14772" s="27" t="s">
        <v>17036</v>
      </c>
      <c r="L14772" s="27" t="s">
        <v>730</v>
      </c>
      <c r="N14772" s="27" t="s">
        <v>977</v>
      </c>
      <c r="P14772" s="27" t="s">
        <v>10217</v>
      </c>
      <c r="Q14772" s="26" t="str">
        <f>HYPERLINK("https://ictv.global/taxonomy/taxondetails?taxnode_id=202514262&amp;ictv_id=ICTV202214262","ICTV202214262")</f>
        <v>ICTV202214262</v>
      </c>
      <c r="R14772" t="s">
        <v>580</v>
      </c>
      <c r="S14772" t="s">
        <v>22763</v>
      </c>
      <c r="T14772">
        <v>39</v>
      </c>
      <c r="U14772" s="26" t="str">
        <f>HYPERLINK("https://ictv.global/ictv/proposals/2023.024M.Bunyaviricetes.zip","2023.024M.Bunyaviricetes.zip")</f>
        <v>2023.024M.Bunyaviricetes.zip</v>
      </c>
    </row>
    <row r="14773" spans="1:21">
      <c r="A14773">
        <v>14772</v>
      </c>
      <c r="B14773" s="27" t="s">
        <v>1124</v>
      </c>
      <c r="D14773" s="27" t="s">
        <v>1859</v>
      </c>
      <c r="F14773" s="27" t="s">
        <v>938</v>
      </c>
      <c r="G14773" s="27" t="s">
        <v>959</v>
      </c>
      <c r="H14773" s="27" t="s">
        <v>17007</v>
      </c>
      <c r="J14773" s="27" t="s">
        <v>17036</v>
      </c>
      <c r="L14773" s="27" t="s">
        <v>730</v>
      </c>
      <c r="N14773" s="27" t="s">
        <v>757</v>
      </c>
      <c r="P14773" s="27" t="s">
        <v>21531</v>
      </c>
      <c r="Q14773" s="26" t="str">
        <f>HYPERLINK("https://ictv.global/taxonomy/taxondetails?taxnode_id=202522400&amp;ictv_id=ICTV202522400","ICTV202522400")</f>
        <v>ICTV202522400</v>
      </c>
      <c r="R14773" t="s">
        <v>580</v>
      </c>
      <c r="S14773" t="s">
        <v>823</v>
      </c>
      <c r="T14773">
        <v>41</v>
      </c>
      <c r="U14773" s="26" t="str">
        <f>HYPERLINK("https://ictv.global/ictv/proposals/2025.008M.Phenuiviridae_62nsp+1asp.zip","2025.008M.Phenuiviridae_62nsp+1asp.zip")</f>
        <v>2025.008M.Phenuiviridae_62nsp+1asp.zip</v>
      </c>
    </row>
    <row r="14774" spans="1:21">
      <c r="A14774">
        <v>14773</v>
      </c>
      <c r="B14774" s="27" t="s">
        <v>1124</v>
      </c>
      <c r="D14774" s="27" t="s">
        <v>1859</v>
      </c>
      <c r="F14774" s="27" t="s">
        <v>938</v>
      </c>
      <c r="G14774" s="27" t="s">
        <v>959</v>
      </c>
      <c r="H14774" s="27" t="s">
        <v>17007</v>
      </c>
      <c r="J14774" s="27" t="s">
        <v>17036</v>
      </c>
      <c r="L14774" s="27" t="s">
        <v>730</v>
      </c>
      <c r="N14774" s="27" t="s">
        <v>757</v>
      </c>
      <c r="P14774" s="27" t="s">
        <v>10218</v>
      </c>
      <c r="Q14774" s="26" t="str">
        <f>HYPERLINK("https://ictv.global/taxonomy/taxondetails?taxnode_id=202500153&amp;ictv_id=ICTV20164816","ICTV20164816")</f>
        <v>ICTV20164816</v>
      </c>
      <c r="R14774" t="s">
        <v>580</v>
      </c>
      <c r="S14774" t="s">
        <v>22763</v>
      </c>
      <c r="T14774">
        <v>39</v>
      </c>
      <c r="U14774" s="26" t="str">
        <f>HYPERLINK("https://ictv.global/ictv/proposals/2023.024M.Bunyaviricetes.zip","2023.024M.Bunyaviricetes.zip")</f>
        <v>2023.024M.Bunyaviricetes.zip</v>
      </c>
    </row>
    <row r="14775" spans="1:21">
      <c r="A14775">
        <v>14774</v>
      </c>
      <c r="B14775" s="27" t="s">
        <v>1124</v>
      </c>
      <c r="D14775" s="27" t="s">
        <v>1859</v>
      </c>
      <c r="F14775" s="27" t="s">
        <v>938</v>
      </c>
      <c r="G14775" s="27" t="s">
        <v>959</v>
      </c>
      <c r="H14775" s="27" t="s">
        <v>17007</v>
      </c>
      <c r="J14775" s="27" t="s">
        <v>17036</v>
      </c>
      <c r="L14775" s="27" t="s">
        <v>730</v>
      </c>
      <c r="N14775" s="27" t="s">
        <v>757</v>
      </c>
      <c r="P14775" s="27" t="s">
        <v>10219</v>
      </c>
      <c r="Q14775" s="26" t="str">
        <f>HYPERLINK("https://ictv.global/taxonomy/taxondetails?taxnode_id=202509840&amp;ictv_id=ICTV202009840","ICTV202009840")</f>
        <v>ICTV202009840</v>
      </c>
      <c r="R14775" t="s">
        <v>580</v>
      </c>
      <c r="S14775" t="s">
        <v>22763</v>
      </c>
      <c r="T14775">
        <v>39</v>
      </c>
      <c r="U14775" s="26" t="str">
        <f>HYPERLINK("https://ictv.global/ictv/proposals/2023.024M.Bunyaviricetes.zip","2023.024M.Bunyaviricetes.zip")</f>
        <v>2023.024M.Bunyaviricetes.zip</v>
      </c>
    </row>
    <row r="14776" spans="1:21">
      <c r="A14776">
        <v>14775</v>
      </c>
      <c r="B14776" s="27" t="s">
        <v>1124</v>
      </c>
      <c r="D14776" s="27" t="s">
        <v>1859</v>
      </c>
      <c r="F14776" s="27" t="s">
        <v>938</v>
      </c>
      <c r="G14776" s="27" t="s">
        <v>959</v>
      </c>
      <c r="H14776" s="27" t="s">
        <v>17007</v>
      </c>
      <c r="J14776" s="27" t="s">
        <v>17036</v>
      </c>
      <c r="L14776" s="27" t="s">
        <v>730</v>
      </c>
      <c r="N14776" s="27" t="s">
        <v>757</v>
      </c>
      <c r="P14776" s="27" t="s">
        <v>10220</v>
      </c>
      <c r="Q14776" s="26" t="str">
        <f>HYPERLINK("https://ictv.global/taxonomy/taxondetails?taxnode_id=202506238&amp;ictv_id=ICTV20186238","ICTV20186238")</f>
        <v>ICTV20186238</v>
      </c>
      <c r="R14776" t="s">
        <v>580</v>
      </c>
      <c r="S14776" t="s">
        <v>22763</v>
      </c>
      <c r="T14776">
        <v>39</v>
      </c>
      <c r="U14776" s="26" t="str">
        <f>HYPERLINK("https://ictv.global/ictv/proposals/2023.024M.Bunyaviricetes.zip","2023.024M.Bunyaviricetes.zip")</f>
        <v>2023.024M.Bunyaviricetes.zip</v>
      </c>
    </row>
    <row r="14777" spans="1:21">
      <c r="A14777">
        <v>14776</v>
      </c>
      <c r="B14777" s="27" t="s">
        <v>1124</v>
      </c>
      <c r="D14777" s="27" t="s">
        <v>1859</v>
      </c>
      <c r="F14777" s="27" t="s">
        <v>938</v>
      </c>
      <c r="G14777" s="27" t="s">
        <v>959</v>
      </c>
      <c r="H14777" s="27" t="s">
        <v>17007</v>
      </c>
      <c r="J14777" s="27" t="s">
        <v>17036</v>
      </c>
      <c r="L14777" s="27" t="s">
        <v>730</v>
      </c>
      <c r="N14777" s="27" t="s">
        <v>757</v>
      </c>
      <c r="P14777" s="27" t="s">
        <v>10221</v>
      </c>
      <c r="Q14777" s="26" t="str">
        <f>HYPERLINK("https://ictv.global/taxonomy/taxondetails?taxnode_id=202509839&amp;ictv_id=ICTV202009839","ICTV202009839")</f>
        <v>ICTV202009839</v>
      </c>
      <c r="R14777" t="s">
        <v>580</v>
      </c>
      <c r="S14777" t="s">
        <v>22763</v>
      </c>
      <c r="T14777">
        <v>39</v>
      </c>
      <c r="U14777" s="26" t="str">
        <f>HYPERLINK("https://ictv.global/ictv/proposals/2023.024M.Bunyaviricetes.zip","2023.024M.Bunyaviricetes.zip")</f>
        <v>2023.024M.Bunyaviricetes.zip</v>
      </c>
    </row>
    <row r="14778" spans="1:21">
      <c r="A14778">
        <v>14777</v>
      </c>
      <c r="B14778" s="27" t="s">
        <v>1124</v>
      </c>
      <c r="D14778" s="27" t="s">
        <v>1859</v>
      </c>
      <c r="F14778" s="27" t="s">
        <v>938</v>
      </c>
      <c r="G14778" s="27" t="s">
        <v>959</v>
      </c>
      <c r="H14778" s="27" t="s">
        <v>17007</v>
      </c>
      <c r="J14778" s="27" t="s">
        <v>17036</v>
      </c>
      <c r="L14778" s="27" t="s">
        <v>730</v>
      </c>
      <c r="N14778" s="27" t="s">
        <v>757</v>
      </c>
      <c r="P14778" s="27" t="s">
        <v>10222</v>
      </c>
      <c r="Q14778" s="26" t="str">
        <f>HYPERLINK("https://ictv.global/taxonomy/taxondetails?taxnode_id=202500154&amp;ictv_id=ICTV20164817","ICTV20164817")</f>
        <v>ICTV20164817</v>
      </c>
      <c r="R14778" t="s">
        <v>580</v>
      </c>
      <c r="S14778" t="s">
        <v>22763</v>
      </c>
      <c r="T14778">
        <v>39</v>
      </c>
      <c r="U14778" s="26" t="str">
        <f>HYPERLINK("https://ictv.global/ictv/proposals/2023.024M.Bunyaviricetes.zip","2023.024M.Bunyaviricetes.zip")</f>
        <v>2023.024M.Bunyaviricetes.zip</v>
      </c>
    </row>
    <row r="14779" spans="1:21">
      <c r="A14779">
        <v>14778</v>
      </c>
      <c r="B14779" s="27" t="s">
        <v>1124</v>
      </c>
      <c r="D14779" s="27" t="s">
        <v>1859</v>
      </c>
      <c r="F14779" s="27" t="s">
        <v>938</v>
      </c>
      <c r="G14779" s="27" t="s">
        <v>959</v>
      </c>
      <c r="H14779" s="27" t="s">
        <v>17007</v>
      </c>
      <c r="J14779" s="27" t="s">
        <v>17036</v>
      </c>
      <c r="L14779" s="27" t="s">
        <v>730</v>
      </c>
      <c r="N14779" s="27" t="s">
        <v>757</v>
      </c>
      <c r="P14779" s="27" t="s">
        <v>21529</v>
      </c>
      <c r="Q14779" s="26" t="str">
        <f>HYPERLINK("https://ictv.global/taxonomy/taxondetails?taxnode_id=202522398&amp;ictv_id=ICTV202522398","ICTV202522398")</f>
        <v>ICTV202522398</v>
      </c>
      <c r="R14779" t="s">
        <v>580</v>
      </c>
      <c r="S14779" t="s">
        <v>823</v>
      </c>
      <c r="T14779">
        <v>41</v>
      </c>
      <c r="U14779" s="26" t="str">
        <f>HYPERLINK("https://ictv.global/ictv/proposals/2025.008M.Phenuiviridae_62nsp+1asp.zip","2025.008M.Phenuiviridae_62nsp+1asp.zip")</f>
        <v>2025.008M.Phenuiviridae_62nsp+1asp.zip</v>
      </c>
    </row>
    <row r="14780" spans="1:21">
      <c r="A14780">
        <v>14779</v>
      </c>
      <c r="B14780" s="27" t="s">
        <v>1124</v>
      </c>
      <c r="D14780" s="27" t="s">
        <v>1859</v>
      </c>
      <c r="F14780" s="27" t="s">
        <v>938</v>
      </c>
      <c r="G14780" s="27" t="s">
        <v>959</v>
      </c>
      <c r="H14780" s="27" t="s">
        <v>17007</v>
      </c>
      <c r="J14780" s="27" t="s">
        <v>17036</v>
      </c>
      <c r="L14780" s="27" t="s">
        <v>730</v>
      </c>
      <c r="N14780" s="27" t="s">
        <v>757</v>
      </c>
      <c r="P14780" s="27" t="s">
        <v>10223</v>
      </c>
      <c r="Q14780" s="26" t="str">
        <f>HYPERLINK("https://ictv.global/taxonomy/taxondetails?taxnode_id=202506239&amp;ictv_id=ICTV20186239","ICTV20186239")</f>
        <v>ICTV20186239</v>
      </c>
      <c r="R14780" t="s">
        <v>580</v>
      </c>
      <c r="S14780" t="s">
        <v>22763</v>
      </c>
      <c r="T14780">
        <v>39</v>
      </c>
      <c r="U14780" s="26" t="str">
        <f>HYPERLINK("https://ictv.global/ictv/proposals/2023.024M.Bunyaviricetes.zip","2023.024M.Bunyaviricetes.zip")</f>
        <v>2023.024M.Bunyaviricetes.zip</v>
      </c>
    </row>
    <row r="14781" spans="1:21">
      <c r="A14781">
        <v>14780</v>
      </c>
      <c r="B14781" s="27" t="s">
        <v>1124</v>
      </c>
      <c r="D14781" s="27" t="s">
        <v>1859</v>
      </c>
      <c r="F14781" s="27" t="s">
        <v>938</v>
      </c>
      <c r="G14781" s="27" t="s">
        <v>959</v>
      </c>
      <c r="H14781" s="27" t="s">
        <v>17007</v>
      </c>
      <c r="J14781" s="27" t="s">
        <v>17036</v>
      </c>
      <c r="L14781" s="27" t="s">
        <v>730</v>
      </c>
      <c r="N14781" s="27" t="s">
        <v>757</v>
      </c>
      <c r="P14781" s="27" t="s">
        <v>10224</v>
      </c>
      <c r="Q14781" s="26" t="str">
        <f>HYPERLINK("https://ictv.global/taxonomy/taxondetails?taxnode_id=202500156&amp;ictv_id=ICTV20164819","ICTV20164819")</f>
        <v>ICTV20164819</v>
      </c>
      <c r="R14781" t="s">
        <v>580</v>
      </c>
      <c r="S14781" t="s">
        <v>22763</v>
      </c>
      <c r="T14781">
        <v>39</v>
      </c>
      <c r="U14781" s="26" t="str">
        <f>HYPERLINK("https://ictv.global/ictv/proposals/2023.024M.Bunyaviricetes.zip","2023.024M.Bunyaviricetes.zip")</f>
        <v>2023.024M.Bunyaviricetes.zip</v>
      </c>
    </row>
    <row r="14782" spans="1:21">
      <c r="A14782">
        <v>14781</v>
      </c>
      <c r="B14782" s="27" t="s">
        <v>1124</v>
      </c>
      <c r="D14782" s="27" t="s">
        <v>1859</v>
      </c>
      <c r="F14782" s="27" t="s">
        <v>938</v>
      </c>
      <c r="G14782" s="27" t="s">
        <v>959</v>
      </c>
      <c r="H14782" s="27" t="s">
        <v>17007</v>
      </c>
      <c r="J14782" s="27" t="s">
        <v>17036</v>
      </c>
      <c r="L14782" s="27" t="s">
        <v>730</v>
      </c>
      <c r="N14782" s="27" t="s">
        <v>757</v>
      </c>
      <c r="P14782" s="27" t="s">
        <v>21530</v>
      </c>
      <c r="Q14782" s="26" t="str">
        <f>HYPERLINK("https://ictv.global/taxonomy/taxondetails?taxnode_id=202522399&amp;ictv_id=ICTV202522399","ICTV202522399")</f>
        <v>ICTV202522399</v>
      </c>
      <c r="R14782" t="s">
        <v>580</v>
      </c>
      <c r="S14782" t="s">
        <v>823</v>
      </c>
      <c r="T14782">
        <v>41</v>
      </c>
      <c r="U14782" s="26" t="str">
        <f>HYPERLINK("https://ictv.global/ictv/proposals/2025.008M.Phenuiviridae_62nsp+1asp.zip","2025.008M.Phenuiviridae_62nsp+1asp.zip")</f>
        <v>2025.008M.Phenuiviridae_62nsp+1asp.zip</v>
      </c>
    </row>
    <row r="14783" spans="1:21">
      <c r="A14783">
        <v>14782</v>
      </c>
      <c r="B14783" s="27" t="s">
        <v>1124</v>
      </c>
      <c r="D14783" s="27" t="s">
        <v>1859</v>
      </c>
      <c r="F14783" s="27" t="s">
        <v>938</v>
      </c>
      <c r="G14783" s="27" t="s">
        <v>959</v>
      </c>
      <c r="H14783" s="27" t="s">
        <v>17007</v>
      </c>
      <c r="J14783" s="27" t="s">
        <v>17036</v>
      </c>
      <c r="L14783" s="27" t="s">
        <v>730</v>
      </c>
      <c r="N14783" s="27" t="s">
        <v>183</v>
      </c>
      <c r="P14783" s="27" t="s">
        <v>10225</v>
      </c>
      <c r="Q14783" s="26" t="str">
        <f>HYPERLINK("https://ictv.global/taxonomy/taxondetails?taxnode_id=202507619&amp;ictv_id=ICTV201907619","ICTV201907619")</f>
        <v>ICTV201907619</v>
      </c>
      <c r="R14783" t="s">
        <v>657</v>
      </c>
      <c r="S14783" t="s">
        <v>22763</v>
      </c>
      <c r="T14783">
        <v>39</v>
      </c>
      <c r="U14783" s="26" t="str">
        <f>HYPERLINK("https://ictv.global/ictv/proposals/2023.024M.Bunyaviricetes.zip","2023.024M.Bunyaviricetes.zip")</f>
        <v>2023.024M.Bunyaviricetes.zip</v>
      </c>
    </row>
    <row r="14784" spans="1:21">
      <c r="A14784">
        <v>14783</v>
      </c>
      <c r="B14784" s="27" t="s">
        <v>1124</v>
      </c>
      <c r="D14784" s="27" t="s">
        <v>1859</v>
      </c>
      <c r="F14784" s="27" t="s">
        <v>938</v>
      </c>
      <c r="G14784" s="27" t="s">
        <v>959</v>
      </c>
      <c r="H14784" s="27" t="s">
        <v>17007</v>
      </c>
      <c r="J14784" s="27" t="s">
        <v>17036</v>
      </c>
      <c r="L14784" s="27" t="s">
        <v>730</v>
      </c>
      <c r="N14784" s="27" t="s">
        <v>183</v>
      </c>
      <c r="P14784" s="27" t="s">
        <v>10226</v>
      </c>
      <c r="Q14784" s="26" t="str">
        <f>HYPERLINK("https://ictv.global/taxonomy/taxondetails?taxnode_id=202507584&amp;ictv_id=ICTV201907584","ICTV201907584")</f>
        <v>ICTV201907584</v>
      </c>
      <c r="R14784" t="s">
        <v>657</v>
      </c>
      <c r="S14784" t="s">
        <v>22763</v>
      </c>
      <c r="T14784">
        <v>39</v>
      </c>
      <c r="U14784" s="26" t="str">
        <f>HYPERLINK("https://ictv.global/ictv/proposals/2023.024M.Bunyaviricetes.zip","2023.024M.Bunyaviricetes.zip")</f>
        <v>2023.024M.Bunyaviricetes.zip</v>
      </c>
    </row>
    <row r="14785" spans="1:21">
      <c r="A14785">
        <v>14784</v>
      </c>
      <c r="B14785" s="27" t="s">
        <v>1124</v>
      </c>
      <c r="D14785" s="27" t="s">
        <v>1859</v>
      </c>
      <c r="F14785" s="27" t="s">
        <v>938</v>
      </c>
      <c r="G14785" s="27" t="s">
        <v>959</v>
      </c>
      <c r="H14785" s="27" t="s">
        <v>17007</v>
      </c>
      <c r="J14785" s="27" t="s">
        <v>17036</v>
      </c>
      <c r="L14785" s="27" t="s">
        <v>730</v>
      </c>
      <c r="N14785" s="27" t="s">
        <v>183</v>
      </c>
      <c r="P14785" s="27" t="s">
        <v>10227</v>
      </c>
      <c r="Q14785" s="26" t="str">
        <f>HYPERLINK("https://ictv.global/taxonomy/taxondetails?taxnode_id=202507620&amp;ictv_id=ICTV201907620","ICTV201907620")</f>
        <v>ICTV201907620</v>
      </c>
      <c r="R14785" t="s">
        <v>657</v>
      </c>
      <c r="S14785" t="s">
        <v>22763</v>
      </c>
      <c r="T14785">
        <v>39</v>
      </c>
      <c r="U14785" s="26" t="str">
        <f>HYPERLINK("https://ictv.global/ictv/proposals/2023.024M.Bunyaviricetes.zip","2023.024M.Bunyaviricetes.zip")</f>
        <v>2023.024M.Bunyaviricetes.zip</v>
      </c>
    </row>
    <row r="14786" spans="1:21">
      <c r="A14786">
        <v>14785</v>
      </c>
      <c r="B14786" s="27" t="s">
        <v>1124</v>
      </c>
      <c r="D14786" s="27" t="s">
        <v>1859</v>
      </c>
      <c r="F14786" s="27" t="s">
        <v>938</v>
      </c>
      <c r="G14786" s="27" t="s">
        <v>959</v>
      </c>
      <c r="H14786" s="27" t="s">
        <v>17007</v>
      </c>
      <c r="J14786" s="27" t="s">
        <v>17036</v>
      </c>
      <c r="L14786" s="27" t="s">
        <v>730</v>
      </c>
      <c r="N14786" s="27" t="s">
        <v>183</v>
      </c>
      <c r="P14786" s="27" t="s">
        <v>10228</v>
      </c>
      <c r="Q14786" s="26" t="str">
        <f>HYPERLINK("https://ictv.global/taxonomy/taxondetails?taxnode_id=202507609&amp;ictv_id=ICTV201907609","ICTV201907609")</f>
        <v>ICTV201907609</v>
      </c>
      <c r="R14786" t="s">
        <v>657</v>
      </c>
      <c r="S14786" t="s">
        <v>22763</v>
      </c>
      <c r="T14786">
        <v>39</v>
      </c>
      <c r="U14786" s="26" t="str">
        <f>HYPERLINK("https://ictv.global/ictv/proposals/2023.024M.Bunyaviricetes.zip","2023.024M.Bunyaviricetes.zip")</f>
        <v>2023.024M.Bunyaviricetes.zip</v>
      </c>
    </row>
    <row r="14787" spans="1:21">
      <c r="A14787">
        <v>14786</v>
      </c>
      <c r="B14787" s="27" t="s">
        <v>1124</v>
      </c>
      <c r="D14787" s="27" t="s">
        <v>1859</v>
      </c>
      <c r="F14787" s="27" t="s">
        <v>938</v>
      </c>
      <c r="G14787" s="27" t="s">
        <v>959</v>
      </c>
      <c r="H14787" s="27" t="s">
        <v>17007</v>
      </c>
      <c r="J14787" s="27" t="s">
        <v>17036</v>
      </c>
      <c r="L14787" s="27" t="s">
        <v>730</v>
      </c>
      <c r="N14787" s="27" t="s">
        <v>183</v>
      </c>
      <c r="P14787" s="27" t="s">
        <v>10229</v>
      </c>
      <c r="Q14787" s="26" t="str">
        <f>HYPERLINK("https://ictv.global/taxonomy/taxondetails?taxnode_id=202507590&amp;ictv_id=ICTV201907590","ICTV201907590")</f>
        <v>ICTV201907590</v>
      </c>
      <c r="R14787" t="s">
        <v>657</v>
      </c>
      <c r="S14787" t="s">
        <v>22763</v>
      </c>
      <c r="T14787">
        <v>39</v>
      </c>
      <c r="U14787" s="26" t="str">
        <f>HYPERLINK("https://ictv.global/ictv/proposals/2023.024M.Bunyaviricetes.zip","2023.024M.Bunyaviricetes.zip")</f>
        <v>2023.024M.Bunyaviricetes.zip</v>
      </c>
    </row>
    <row r="14788" spans="1:21">
      <c r="A14788">
        <v>14787</v>
      </c>
      <c r="B14788" s="27" t="s">
        <v>1124</v>
      </c>
      <c r="D14788" s="27" t="s">
        <v>1859</v>
      </c>
      <c r="F14788" s="27" t="s">
        <v>938</v>
      </c>
      <c r="G14788" s="27" t="s">
        <v>959</v>
      </c>
      <c r="H14788" s="27" t="s">
        <v>17007</v>
      </c>
      <c r="J14788" s="27" t="s">
        <v>17036</v>
      </c>
      <c r="L14788" s="27" t="s">
        <v>730</v>
      </c>
      <c r="N14788" s="27" t="s">
        <v>183</v>
      </c>
      <c r="P14788" s="27" t="s">
        <v>21532</v>
      </c>
      <c r="Q14788" s="26" t="str">
        <f>HYPERLINK("https://ictv.global/taxonomy/taxondetails?taxnode_id=202522401&amp;ictv_id=ICTV202522401","ICTV202522401")</f>
        <v>ICTV202522401</v>
      </c>
      <c r="R14788" t="s">
        <v>657</v>
      </c>
      <c r="S14788" t="s">
        <v>823</v>
      </c>
      <c r="T14788">
        <v>41</v>
      </c>
      <c r="U14788" s="26" t="str">
        <f>HYPERLINK("https://ictv.global/ictv/proposals/2025.008M.Phenuiviridae_62nsp+1asp.zip","2025.008M.Phenuiviridae_62nsp+1asp.zip")</f>
        <v>2025.008M.Phenuiviridae_62nsp+1asp.zip</v>
      </c>
    </row>
    <row r="14789" spans="1:21">
      <c r="A14789">
        <v>14788</v>
      </c>
      <c r="B14789" s="27" t="s">
        <v>1124</v>
      </c>
      <c r="D14789" s="27" t="s">
        <v>1859</v>
      </c>
      <c r="F14789" s="27" t="s">
        <v>938</v>
      </c>
      <c r="G14789" s="27" t="s">
        <v>959</v>
      </c>
      <c r="H14789" s="27" t="s">
        <v>17007</v>
      </c>
      <c r="J14789" s="27" t="s">
        <v>17036</v>
      </c>
      <c r="L14789" s="27" t="s">
        <v>730</v>
      </c>
      <c r="N14789" s="27" t="s">
        <v>183</v>
      </c>
      <c r="P14789" s="27" t="s">
        <v>10230</v>
      </c>
      <c r="Q14789" s="26" t="str">
        <f>HYPERLINK("https://ictv.global/taxonomy/taxondetails?taxnode_id=202507587&amp;ictv_id=ICTV201907587","ICTV201907587")</f>
        <v>ICTV201907587</v>
      </c>
      <c r="R14789" t="s">
        <v>657</v>
      </c>
      <c r="S14789" t="s">
        <v>22763</v>
      </c>
      <c r="T14789">
        <v>39</v>
      </c>
      <c r="U14789" s="26" t="str">
        <f>HYPERLINK("https://ictv.global/ictv/proposals/2023.024M.Bunyaviricetes.zip","2023.024M.Bunyaviricetes.zip")</f>
        <v>2023.024M.Bunyaviricetes.zip</v>
      </c>
    </row>
    <row r="14790" spans="1:21">
      <c r="A14790">
        <v>14789</v>
      </c>
      <c r="B14790" s="27" t="s">
        <v>1124</v>
      </c>
      <c r="D14790" s="27" t="s">
        <v>1859</v>
      </c>
      <c r="F14790" s="27" t="s">
        <v>938</v>
      </c>
      <c r="G14790" s="27" t="s">
        <v>959</v>
      </c>
      <c r="H14790" s="27" t="s">
        <v>17007</v>
      </c>
      <c r="J14790" s="27" t="s">
        <v>17036</v>
      </c>
      <c r="L14790" s="27" t="s">
        <v>730</v>
      </c>
      <c r="N14790" s="27" t="s">
        <v>183</v>
      </c>
      <c r="P14790" s="27" t="s">
        <v>10231</v>
      </c>
      <c r="Q14790" s="26" t="str">
        <f>HYPERLINK("https://ictv.global/taxonomy/taxondetails?taxnode_id=202507599&amp;ictv_id=ICTV201907599","ICTV201907599")</f>
        <v>ICTV201907599</v>
      </c>
      <c r="R14790" t="s">
        <v>657</v>
      </c>
      <c r="S14790" t="s">
        <v>22763</v>
      </c>
      <c r="T14790">
        <v>39</v>
      </c>
      <c r="U14790" s="26" t="str">
        <f>HYPERLINK("https://ictv.global/ictv/proposals/2023.024M.Bunyaviricetes.zip","2023.024M.Bunyaviricetes.zip")</f>
        <v>2023.024M.Bunyaviricetes.zip</v>
      </c>
    </row>
    <row r="14791" spans="1:21">
      <c r="A14791">
        <v>14790</v>
      </c>
      <c r="B14791" s="27" t="s">
        <v>1124</v>
      </c>
      <c r="D14791" s="27" t="s">
        <v>1859</v>
      </c>
      <c r="F14791" s="27" t="s">
        <v>938</v>
      </c>
      <c r="G14791" s="27" t="s">
        <v>959</v>
      </c>
      <c r="H14791" s="27" t="s">
        <v>17007</v>
      </c>
      <c r="J14791" s="27" t="s">
        <v>17036</v>
      </c>
      <c r="L14791" s="27" t="s">
        <v>730</v>
      </c>
      <c r="N14791" s="27" t="s">
        <v>183</v>
      </c>
      <c r="P14791" s="27" t="s">
        <v>10232</v>
      </c>
      <c r="Q14791" s="26" t="str">
        <f>HYPERLINK("https://ictv.global/taxonomy/taxondetails?taxnode_id=202507622&amp;ictv_id=ICTV201907622","ICTV201907622")</f>
        <v>ICTV201907622</v>
      </c>
      <c r="R14791" t="s">
        <v>657</v>
      </c>
      <c r="S14791" t="s">
        <v>22763</v>
      </c>
      <c r="T14791">
        <v>39</v>
      </c>
      <c r="U14791" s="26" t="str">
        <f>HYPERLINK("https://ictv.global/ictv/proposals/2023.024M.Bunyaviricetes.zip","2023.024M.Bunyaviricetes.zip")</f>
        <v>2023.024M.Bunyaviricetes.zip</v>
      </c>
    </row>
    <row r="14792" spans="1:21">
      <c r="A14792">
        <v>14791</v>
      </c>
      <c r="B14792" s="27" t="s">
        <v>1124</v>
      </c>
      <c r="D14792" s="27" t="s">
        <v>1859</v>
      </c>
      <c r="F14792" s="27" t="s">
        <v>938</v>
      </c>
      <c r="G14792" s="27" t="s">
        <v>959</v>
      </c>
      <c r="H14792" s="27" t="s">
        <v>17007</v>
      </c>
      <c r="J14792" s="27" t="s">
        <v>17036</v>
      </c>
      <c r="L14792" s="27" t="s">
        <v>730</v>
      </c>
      <c r="N14792" s="27" t="s">
        <v>183</v>
      </c>
      <c r="P14792" s="27" t="s">
        <v>21533</v>
      </c>
      <c r="Q14792" s="26" t="str">
        <f>HYPERLINK("https://ictv.global/taxonomy/taxondetails?taxnode_id=202522402&amp;ictv_id=ICTV202522402","ICTV202522402")</f>
        <v>ICTV202522402</v>
      </c>
      <c r="R14792" t="s">
        <v>657</v>
      </c>
      <c r="S14792" t="s">
        <v>823</v>
      </c>
      <c r="T14792">
        <v>41</v>
      </c>
      <c r="U14792" s="26" t="str">
        <f>HYPERLINK("https://ictv.global/ictv/proposals/2025.008M.Phenuiviridae_62nsp+1asp.zip","2025.008M.Phenuiviridae_62nsp+1asp.zip")</f>
        <v>2025.008M.Phenuiviridae_62nsp+1asp.zip</v>
      </c>
    </row>
    <row r="14793" spans="1:21">
      <c r="A14793">
        <v>14792</v>
      </c>
      <c r="B14793" s="27" t="s">
        <v>1124</v>
      </c>
      <c r="D14793" s="27" t="s">
        <v>1859</v>
      </c>
      <c r="F14793" s="27" t="s">
        <v>938</v>
      </c>
      <c r="G14793" s="27" t="s">
        <v>959</v>
      </c>
      <c r="H14793" s="27" t="s">
        <v>17007</v>
      </c>
      <c r="J14793" s="27" t="s">
        <v>17036</v>
      </c>
      <c r="L14793" s="27" t="s">
        <v>730</v>
      </c>
      <c r="N14793" s="27" t="s">
        <v>183</v>
      </c>
      <c r="P14793" s="27" t="s">
        <v>10233</v>
      </c>
      <c r="Q14793" s="26" t="str">
        <f>HYPERLINK("https://ictv.global/taxonomy/taxondetails?taxnode_id=202509623&amp;ictv_id=ICTV202009623","ICTV202009623")</f>
        <v>ICTV202009623</v>
      </c>
      <c r="R14793" t="s">
        <v>657</v>
      </c>
      <c r="S14793" t="s">
        <v>22763</v>
      </c>
      <c r="T14793">
        <v>39</v>
      </c>
      <c r="U14793" s="26" t="str">
        <f t="shared" ref="U14793:U14818" si="556">HYPERLINK("https://ictv.global/ictv/proposals/2023.024M.Bunyaviricetes.zip","2023.024M.Bunyaviricetes.zip")</f>
        <v>2023.024M.Bunyaviricetes.zip</v>
      </c>
    </row>
    <row r="14794" spans="1:21">
      <c r="A14794">
        <v>14793</v>
      </c>
      <c r="B14794" s="27" t="s">
        <v>1124</v>
      </c>
      <c r="D14794" s="27" t="s">
        <v>1859</v>
      </c>
      <c r="F14794" s="27" t="s">
        <v>938</v>
      </c>
      <c r="G14794" s="27" t="s">
        <v>959</v>
      </c>
      <c r="H14794" s="27" t="s">
        <v>17007</v>
      </c>
      <c r="J14794" s="27" t="s">
        <v>17036</v>
      </c>
      <c r="L14794" s="27" t="s">
        <v>730</v>
      </c>
      <c r="N14794" s="27" t="s">
        <v>183</v>
      </c>
      <c r="P14794" s="27" t="s">
        <v>10234</v>
      </c>
      <c r="Q14794" s="26" t="str">
        <f>HYPERLINK("https://ictv.global/taxonomy/taxondetails?taxnode_id=202507592&amp;ictv_id=ICTV201907592","ICTV201907592")</f>
        <v>ICTV201907592</v>
      </c>
      <c r="R14794" t="s">
        <v>657</v>
      </c>
      <c r="S14794" t="s">
        <v>22763</v>
      </c>
      <c r="T14794">
        <v>39</v>
      </c>
      <c r="U14794" s="26" t="str">
        <f t="shared" si="556"/>
        <v>2023.024M.Bunyaviricetes.zip</v>
      </c>
    </row>
    <row r="14795" spans="1:21">
      <c r="A14795">
        <v>14794</v>
      </c>
      <c r="B14795" s="27" t="s">
        <v>1124</v>
      </c>
      <c r="D14795" s="27" t="s">
        <v>1859</v>
      </c>
      <c r="F14795" s="27" t="s">
        <v>938</v>
      </c>
      <c r="G14795" s="27" t="s">
        <v>959</v>
      </c>
      <c r="H14795" s="27" t="s">
        <v>17007</v>
      </c>
      <c r="J14795" s="27" t="s">
        <v>17036</v>
      </c>
      <c r="L14795" s="27" t="s">
        <v>730</v>
      </c>
      <c r="N14795" s="27" t="s">
        <v>183</v>
      </c>
      <c r="P14795" s="27" t="s">
        <v>10235</v>
      </c>
      <c r="Q14795" s="26" t="str">
        <f>HYPERLINK("https://ictv.global/taxonomy/taxondetails?taxnode_id=202500158&amp;ictv_id=ICTV19990688","ICTV19990688")</f>
        <v>ICTV19990688</v>
      </c>
      <c r="R14795" t="s">
        <v>657</v>
      </c>
      <c r="S14795" t="s">
        <v>22763</v>
      </c>
      <c r="T14795">
        <v>39</v>
      </c>
      <c r="U14795" s="26" t="str">
        <f t="shared" si="556"/>
        <v>2023.024M.Bunyaviricetes.zip</v>
      </c>
    </row>
    <row r="14796" spans="1:21">
      <c r="A14796">
        <v>14795</v>
      </c>
      <c r="B14796" s="27" t="s">
        <v>1124</v>
      </c>
      <c r="D14796" s="27" t="s">
        <v>1859</v>
      </c>
      <c r="F14796" s="27" t="s">
        <v>938</v>
      </c>
      <c r="G14796" s="27" t="s">
        <v>959</v>
      </c>
      <c r="H14796" s="27" t="s">
        <v>17007</v>
      </c>
      <c r="J14796" s="27" t="s">
        <v>17036</v>
      </c>
      <c r="L14796" s="27" t="s">
        <v>730</v>
      </c>
      <c r="N14796" s="27" t="s">
        <v>183</v>
      </c>
      <c r="P14796" s="27" t="s">
        <v>10236</v>
      </c>
      <c r="Q14796" s="26" t="str">
        <f>HYPERLINK("https://ictv.global/taxonomy/taxondetails?taxnode_id=202507634&amp;ictv_id=ICTV201907634","ICTV201907634")</f>
        <v>ICTV201907634</v>
      </c>
      <c r="R14796" t="s">
        <v>657</v>
      </c>
      <c r="S14796" t="s">
        <v>22763</v>
      </c>
      <c r="T14796">
        <v>39</v>
      </c>
      <c r="U14796" s="26" t="str">
        <f t="shared" si="556"/>
        <v>2023.024M.Bunyaviricetes.zip</v>
      </c>
    </row>
    <row r="14797" spans="1:21">
      <c r="A14797">
        <v>14796</v>
      </c>
      <c r="B14797" s="27" t="s">
        <v>1124</v>
      </c>
      <c r="D14797" s="27" t="s">
        <v>1859</v>
      </c>
      <c r="F14797" s="27" t="s">
        <v>938</v>
      </c>
      <c r="G14797" s="27" t="s">
        <v>959</v>
      </c>
      <c r="H14797" s="27" t="s">
        <v>17007</v>
      </c>
      <c r="J14797" s="27" t="s">
        <v>17036</v>
      </c>
      <c r="L14797" s="27" t="s">
        <v>730</v>
      </c>
      <c r="N14797" s="27" t="s">
        <v>183</v>
      </c>
      <c r="P14797" s="27" t="s">
        <v>10237</v>
      </c>
      <c r="Q14797" s="26" t="str">
        <f>HYPERLINK("https://ictv.global/taxonomy/taxondetails?taxnode_id=202507629&amp;ictv_id=ICTV201907629","ICTV201907629")</f>
        <v>ICTV201907629</v>
      </c>
      <c r="R14797" t="s">
        <v>657</v>
      </c>
      <c r="S14797" t="s">
        <v>22763</v>
      </c>
      <c r="T14797">
        <v>39</v>
      </c>
      <c r="U14797" s="26" t="str">
        <f t="shared" si="556"/>
        <v>2023.024M.Bunyaviricetes.zip</v>
      </c>
    </row>
    <row r="14798" spans="1:21">
      <c r="A14798">
        <v>14797</v>
      </c>
      <c r="B14798" s="27" t="s">
        <v>1124</v>
      </c>
      <c r="D14798" s="27" t="s">
        <v>1859</v>
      </c>
      <c r="F14798" s="27" t="s">
        <v>938</v>
      </c>
      <c r="G14798" s="27" t="s">
        <v>959</v>
      </c>
      <c r="H14798" s="27" t="s">
        <v>17007</v>
      </c>
      <c r="J14798" s="27" t="s">
        <v>17036</v>
      </c>
      <c r="L14798" s="27" t="s">
        <v>730</v>
      </c>
      <c r="N14798" s="27" t="s">
        <v>183</v>
      </c>
      <c r="P14798" s="27" t="s">
        <v>10238</v>
      </c>
      <c r="Q14798" s="26" t="str">
        <f>HYPERLINK("https://ictv.global/taxonomy/taxondetails?taxnode_id=202500159&amp;ictv_id=ICTV19990689","ICTV19990689")</f>
        <v>ICTV19990689</v>
      </c>
      <c r="R14798" t="s">
        <v>657</v>
      </c>
      <c r="S14798" t="s">
        <v>22763</v>
      </c>
      <c r="T14798">
        <v>39</v>
      </c>
      <c r="U14798" s="26" t="str">
        <f t="shared" si="556"/>
        <v>2023.024M.Bunyaviricetes.zip</v>
      </c>
    </row>
    <row r="14799" spans="1:21">
      <c r="A14799">
        <v>14798</v>
      </c>
      <c r="B14799" s="27" t="s">
        <v>1124</v>
      </c>
      <c r="D14799" s="27" t="s">
        <v>1859</v>
      </c>
      <c r="F14799" s="27" t="s">
        <v>938</v>
      </c>
      <c r="G14799" s="27" t="s">
        <v>959</v>
      </c>
      <c r="H14799" s="27" t="s">
        <v>17007</v>
      </c>
      <c r="J14799" s="27" t="s">
        <v>17036</v>
      </c>
      <c r="L14799" s="27" t="s">
        <v>730</v>
      </c>
      <c r="N14799" s="27" t="s">
        <v>183</v>
      </c>
      <c r="P14799" s="27" t="s">
        <v>10239</v>
      </c>
      <c r="Q14799" s="26" t="str">
        <f>HYPERLINK("https://ictv.global/taxonomy/taxondetails?taxnode_id=202507600&amp;ictv_id=ICTV201907600","ICTV201907600")</f>
        <v>ICTV201907600</v>
      </c>
      <c r="R14799" t="s">
        <v>657</v>
      </c>
      <c r="S14799" t="s">
        <v>22763</v>
      </c>
      <c r="T14799">
        <v>39</v>
      </c>
      <c r="U14799" s="26" t="str">
        <f t="shared" si="556"/>
        <v>2023.024M.Bunyaviricetes.zip</v>
      </c>
    </row>
    <row r="14800" spans="1:21">
      <c r="A14800">
        <v>14799</v>
      </c>
      <c r="B14800" s="27" t="s">
        <v>1124</v>
      </c>
      <c r="D14800" s="27" t="s">
        <v>1859</v>
      </c>
      <c r="F14800" s="27" t="s">
        <v>938</v>
      </c>
      <c r="G14800" s="27" t="s">
        <v>959</v>
      </c>
      <c r="H14800" s="27" t="s">
        <v>17007</v>
      </c>
      <c r="J14800" s="27" t="s">
        <v>17036</v>
      </c>
      <c r="L14800" s="27" t="s">
        <v>730</v>
      </c>
      <c r="N14800" s="27" t="s">
        <v>183</v>
      </c>
      <c r="P14800" s="27" t="s">
        <v>10240</v>
      </c>
      <c r="Q14800" s="26" t="str">
        <f>HYPERLINK("https://ictv.global/taxonomy/taxondetails?taxnode_id=202507602&amp;ictv_id=ICTV201907602","ICTV201907602")</f>
        <v>ICTV201907602</v>
      </c>
      <c r="R14800" t="s">
        <v>657</v>
      </c>
      <c r="S14800" t="s">
        <v>22763</v>
      </c>
      <c r="T14800">
        <v>39</v>
      </c>
      <c r="U14800" s="26" t="str">
        <f t="shared" si="556"/>
        <v>2023.024M.Bunyaviricetes.zip</v>
      </c>
    </row>
    <row r="14801" spans="1:21">
      <c r="A14801">
        <v>14800</v>
      </c>
      <c r="B14801" s="27" t="s">
        <v>1124</v>
      </c>
      <c r="D14801" s="27" t="s">
        <v>1859</v>
      </c>
      <c r="F14801" s="27" t="s">
        <v>938</v>
      </c>
      <c r="G14801" s="27" t="s">
        <v>959</v>
      </c>
      <c r="H14801" s="27" t="s">
        <v>17007</v>
      </c>
      <c r="J14801" s="27" t="s">
        <v>17036</v>
      </c>
      <c r="L14801" s="27" t="s">
        <v>730</v>
      </c>
      <c r="N14801" s="27" t="s">
        <v>183</v>
      </c>
      <c r="P14801" s="27" t="s">
        <v>10241</v>
      </c>
      <c r="Q14801" s="26" t="str">
        <f>HYPERLINK("https://ictv.global/taxonomy/taxondetails?taxnode_id=202507630&amp;ictv_id=ICTV201907630","ICTV201907630")</f>
        <v>ICTV201907630</v>
      </c>
      <c r="R14801" t="s">
        <v>657</v>
      </c>
      <c r="S14801" t="s">
        <v>22763</v>
      </c>
      <c r="T14801">
        <v>39</v>
      </c>
      <c r="U14801" s="26" t="str">
        <f t="shared" si="556"/>
        <v>2023.024M.Bunyaviricetes.zip</v>
      </c>
    </row>
    <row r="14802" spans="1:21">
      <c r="A14802">
        <v>14801</v>
      </c>
      <c r="B14802" s="27" t="s">
        <v>1124</v>
      </c>
      <c r="D14802" s="27" t="s">
        <v>1859</v>
      </c>
      <c r="F14802" s="27" t="s">
        <v>938</v>
      </c>
      <c r="G14802" s="27" t="s">
        <v>959</v>
      </c>
      <c r="H14802" s="27" t="s">
        <v>17007</v>
      </c>
      <c r="J14802" s="27" t="s">
        <v>17036</v>
      </c>
      <c r="L14802" s="27" t="s">
        <v>730</v>
      </c>
      <c r="N14802" s="27" t="s">
        <v>183</v>
      </c>
      <c r="P14802" s="27" t="s">
        <v>10242</v>
      </c>
      <c r="Q14802" s="26" t="str">
        <f>HYPERLINK("https://ictv.global/taxonomy/taxondetails?taxnode_id=202509826&amp;ictv_id=ICTV202009826","ICTV202009826")</f>
        <v>ICTV202009826</v>
      </c>
      <c r="R14802" t="s">
        <v>657</v>
      </c>
      <c r="S14802" t="s">
        <v>22763</v>
      </c>
      <c r="T14802">
        <v>39</v>
      </c>
      <c r="U14802" s="26" t="str">
        <f t="shared" si="556"/>
        <v>2023.024M.Bunyaviricetes.zip</v>
      </c>
    </row>
    <row r="14803" spans="1:21">
      <c r="A14803">
        <v>14802</v>
      </c>
      <c r="B14803" s="27" t="s">
        <v>1124</v>
      </c>
      <c r="D14803" s="27" t="s">
        <v>1859</v>
      </c>
      <c r="F14803" s="27" t="s">
        <v>938</v>
      </c>
      <c r="G14803" s="27" t="s">
        <v>959</v>
      </c>
      <c r="H14803" s="27" t="s">
        <v>17007</v>
      </c>
      <c r="J14803" s="27" t="s">
        <v>17036</v>
      </c>
      <c r="L14803" s="27" t="s">
        <v>730</v>
      </c>
      <c r="N14803" s="27" t="s">
        <v>183</v>
      </c>
      <c r="P14803" s="27" t="s">
        <v>10243</v>
      </c>
      <c r="Q14803" s="26" t="str">
        <f>HYPERLINK("https://ictv.global/taxonomy/taxondetails?taxnode_id=202507611&amp;ictv_id=ICTV201907611","ICTV201907611")</f>
        <v>ICTV201907611</v>
      </c>
      <c r="R14803" t="s">
        <v>657</v>
      </c>
      <c r="S14803" t="s">
        <v>22763</v>
      </c>
      <c r="T14803">
        <v>39</v>
      </c>
      <c r="U14803" s="26" t="str">
        <f t="shared" si="556"/>
        <v>2023.024M.Bunyaviricetes.zip</v>
      </c>
    </row>
    <row r="14804" spans="1:21">
      <c r="A14804">
        <v>14803</v>
      </c>
      <c r="B14804" s="27" t="s">
        <v>1124</v>
      </c>
      <c r="D14804" s="27" t="s">
        <v>1859</v>
      </c>
      <c r="F14804" s="27" t="s">
        <v>938</v>
      </c>
      <c r="G14804" s="27" t="s">
        <v>959</v>
      </c>
      <c r="H14804" s="27" t="s">
        <v>17007</v>
      </c>
      <c r="J14804" s="27" t="s">
        <v>17036</v>
      </c>
      <c r="L14804" s="27" t="s">
        <v>730</v>
      </c>
      <c r="N14804" s="27" t="s">
        <v>183</v>
      </c>
      <c r="P14804" s="27" t="s">
        <v>10244</v>
      </c>
      <c r="Q14804" s="26" t="str">
        <f>HYPERLINK("https://ictv.global/taxonomy/taxondetails?taxnode_id=202507586&amp;ictv_id=ICTV201907586","ICTV201907586")</f>
        <v>ICTV201907586</v>
      </c>
      <c r="R14804" t="s">
        <v>657</v>
      </c>
      <c r="S14804" t="s">
        <v>22763</v>
      </c>
      <c r="T14804">
        <v>39</v>
      </c>
      <c r="U14804" s="26" t="str">
        <f t="shared" si="556"/>
        <v>2023.024M.Bunyaviricetes.zip</v>
      </c>
    </row>
    <row r="14805" spans="1:21">
      <c r="A14805">
        <v>14804</v>
      </c>
      <c r="B14805" s="27" t="s">
        <v>1124</v>
      </c>
      <c r="D14805" s="27" t="s">
        <v>1859</v>
      </c>
      <c r="F14805" s="27" t="s">
        <v>938</v>
      </c>
      <c r="G14805" s="27" t="s">
        <v>959</v>
      </c>
      <c r="H14805" s="27" t="s">
        <v>17007</v>
      </c>
      <c r="J14805" s="27" t="s">
        <v>17036</v>
      </c>
      <c r="L14805" s="27" t="s">
        <v>730</v>
      </c>
      <c r="N14805" s="27" t="s">
        <v>183</v>
      </c>
      <c r="P14805" s="27" t="s">
        <v>10245</v>
      </c>
      <c r="Q14805" s="26" t="str">
        <f>HYPERLINK("https://ictv.global/taxonomy/taxondetails?taxnode_id=202507591&amp;ictv_id=ICTV201907591","ICTV201907591")</f>
        <v>ICTV201907591</v>
      </c>
      <c r="R14805" t="s">
        <v>657</v>
      </c>
      <c r="S14805" t="s">
        <v>22763</v>
      </c>
      <c r="T14805">
        <v>39</v>
      </c>
      <c r="U14805" s="26" t="str">
        <f t="shared" si="556"/>
        <v>2023.024M.Bunyaviricetes.zip</v>
      </c>
    </row>
    <row r="14806" spans="1:21">
      <c r="A14806">
        <v>14805</v>
      </c>
      <c r="B14806" s="27" t="s">
        <v>1124</v>
      </c>
      <c r="D14806" s="27" t="s">
        <v>1859</v>
      </c>
      <c r="F14806" s="27" t="s">
        <v>938</v>
      </c>
      <c r="G14806" s="27" t="s">
        <v>959</v>
      </c>
      <c r="H14806" s="27" t="s">
        <v>17007</v>
      </c>
      <c r="J14806" s="27" t="s">
        <v>17036</v>
      </c>
      <c r="L14806" s="27" t="s">
        <v>730</v>
      </c>
      <c r="N14806" s="27" t="s">
        <v>183</v>
      </c>
      <c r="P14806" s="27" t="s">
        <v>10246</v>
      </c>
      <c r="Q14806" s="26" t="str">
        <f>HYPERLINK("https://ictv.global/taxonomy/taxondetails?taxnode_id=202509622&amp;ictv_id=ICTV202009622","ICTV202009622")</f>
        <v>ICTV202009622</v>
      </c>
      <c r="R14806" t="s">
        <v>657</v>
      </c>
      <c r="S14806" t="s">
        <v>22763</v>
      </c>
      <c r="T14806">
        <v>39</v>
      </c>
      <c r="U14806" s="26" t="str">
        <f t="shared" si="556"/>
        <v>2023.024M.Bunyaviricetes.zip</v>
      </c>
    </row>
    <row r="14807" spans="1:21">
      <c r="A14807">
        <v>14806</v>
      </c>
      <c r="B14807" s="27" t="s">
        <v>1124</v>
      </c>
      <c r="D14807" s="27" t="s">
        <v>1859</v>
      </c>
      <c r="F14807" s="27" t="s">
        <v>938</v>
      </c>
      <c r="G14807" s="27" t="s">
        <v>959</v>
      </c>
      <c r="H14807" s="27" t="s">
        <v>17007</v>
      </c>
      <c r="J14807" s="27" t="s">
        <v>17036</v>
      </c>
      <c r="L14807" s="27" t="s">
        <v>730</v>
      </c>
      <c r="N14807" s="27" t="s">
        <v>183</v>
      </c>
      <c r="P14807" s="27" t="s">
        <v>10247</v>
      </c>
      <c r="Q14807" s="26" t="str">
        <f>HYPERLINK("https://ictv.global/taxonomy/taxondetails?taxnode_id=202507632&amp;ictv_id=ICTV201907632","ICTV201907632")</f>
        <v>ICTV201907632</v>
      </c>
      <c r="R14807" t="s">
        <v>657</v>
      </c>
      <c r="S14807" t="s">
        <v>22763</v>
      </c>
      <c r="T14807">
        <v>39</v>
      </c>
      <c r="U14807" s="26" t="str">
        <f t="shared" si="556"/>
        <v>2023.024M.Bunyaviricetes.zip</v>
      </c>
    </row>
    <row r="14808" spans="1:21">
      <c r="A14808">
        <v>14807</v>
      </c>
      <c r="B14808" s="27" t="s">
        <v>1124</v>
      </c>
      <c r="D14808" s="27" t="s">
        <v>1859</v>
      </c>
      <c r="F14808" s="27" t="s">
        <v>938</v>
      </c>
      <c r="G14808" s="27" t="s">
        <v>959</v>
      </c>
      <c r="H14808" s="27" t="s">
        <v>17007</v>
      </c>
      <c r="J14808" s="27" t="s">
        <v>17036</v>
      </c>
      <c r="L14808" s="27" t="s">
        <v>730</v>
      </c>
      <c r="N14808" s="27" t="s">
        <v>183</v>
      </c>
      <c r="P14808" s="27" t="s">
        <v>10248</v>
      </c>
      <c r="Q14808" s="26" t="str">
        <f>HYPERLINK("https://ictv.global/taxonomy/taxondetails?taxnode_id=202507605&amp;ictv_id=ICTV201907605","ICTV201907605")</f>
        <v>ICTV201907605</v>
      </c>
      <c r="R14808" t="s">
        <v>657</v>
      </c>
      <c r="S14808" t="s">
        <v>22763</v>
      </c>
      <c r="T14808">
        <v>39</v>
      </c>
      <c r="U14808" s="26" t="str">
        <f t="shared" si="556"/>
        <v>2023.024M.Bunyaviricetes.zip</v>
      </c>
    </row>
    <row r="14809" spans="1:21">
      <c r="A14809">
        <v>14808</v>
      </c>
      <c r="B14809" s="27" t="s">
        <v>1124</v>
      </c>
      <c r="D14809" s="27" t="s">
        <v>1859</v>
      </c>
      <c r="F14809" s="27" t="s">
        <v>938</v>
      </c>
      <c r="G14809" s="27" t="s">
        <v>959</v>
      </c>
      <c r="H14809" s="27" t="s">
        <v>17007</v>
      </c>
      <c r="J14809" s="27" t="s">
        <v>17036</v>
      </c>
      <c r="L14809" s="27" t="s">
        <v>730</v>
      </c>
      <c r="N14809" s="27" t="s">
        <v>183</v>
      </c>
      <c r="P14809" s="27" t="s">
        <v>10249</v>
      </c>
      <c r="Q14809" s="26" t="str">
        <f>HYPERLINK("https://ictv.global/taxonomy/taxondetails?taxnode_id=202507597&amp;ictv_id=ICTV201907597","ICTV201907597")</f>
        <v>ICTV201907597</v>
      </c>
      <c r="R14809" t="s">
        <v>657</v>
      </c>
      <c r="S14809" t="s">
        <v>22763</v>
      </c>
      <c r="T14809">
        <v>39</v>
      </c>
      <c r="U14809" s="26" t="str">
        <f t="shared" si="556"/>
        <v>2023.024M.Bunyaviricetes.zip</v>
      </c>
    </row>
    <row r="14810" spans="1:21">
      <c r="A14810">
        <v>14809</v>
      </c>
      <c r="B14810" s="27" t="s">
        <v>1124</v>
      </c>
      <c r="D14810" s="27" t="s">
        <v>1859</v>
      </c>
      <c r="F14810" s="27" t="s">
        <v>938</v>
      </c>
      <c r="G14810" s="27" t="s">
        <v>959</v>
      </c>
      <c r="H14810" s="27" t="s">
        <v>17007</v>
      </c>
      <c r="J14810" s="27" t="s">
        <v>17036</v>
      </c>
      <c r="L14810" s="27" t="s">
        <v>730</v>
      </c>
      <c r="N14810" s="27" t="s">
        <v>183</v>
      </c>
      <c r="P14810" s="27" t="s">
        <v>10250</v>
      </c>
      <c r="Q14810" s="26" t="str">
        <f>HYPERLINK("https://ictv.global/taxonomy/taxondetails?taxnode_id=202507631&amp;ictv_id=ICTV201907631","ICTV201907631")</f>
        <v>ICTV201907631</v>
      </c>
      <c r="R14810" t="s">
        <v>657</v>
      </c>
      <c r="S14810" t="s">
        <v>22763</v>
      </c>
      <c r="T14810">
        <v>39</v>
      </c>
      <c r="U14810" s="26" t="str">
        <f t="shared" si="556"/>
        <v>2023.024M.Bunyaviricetes.zip</v>
      </c>
    </row>
    <row r="14811" spans="1:21">
      <c r="A14811">
        <v>14810</v>
      </c>
      <c r="B14811" s="27" t="s">
        <v>1124</v>
      </c>
      <c r="D14811" s="27" t="s">
        <v>1859</v>
      </c>
      <c r="F14811" s="27" t="s">
        <v>938</v>
      </c>
      <c r="G14811" s="27" t="s">
        <v>959</v>
      </c>
      <c r="H14811" s="27" t="s">
        <v>17007</v>
      </c>
      <c r="J14811" s="27" t="s">
        <v>17036</v>
      </c>
      <c r="L14811" s="27" t="s">
        <v>730</v>
      </c>
      <c r="N14811" s="27" t="s">
        <v>183</v>
      </c>
      <c r="P14811" s="27" t="s">
        <v>10251</v>
      </c>
      <c r="Q14811" s="26" t="str">
        <f>HYPERLINK("https://ictv.global/taxonomy/taxondetails?taxnode_id=202514256&amp;ictv_id=ICTV202214256","ICTV202214256")</f>
        <v>ICTV202214256</v>
      </c>
      <c r="R14811" t="s">
        <v>657</v>
      </c>
      <c r="S14811" t="s">
        <v>22763</v>
      </c>
      <c r="T14811">
        <v>39</v>
      </c>
      <c r="U14811" s="26" t="str">
        <f t="shared" si="556"/>
        <v>2023.024M.Bunyaviricetes.zip</v>
      </c>
    </row>
    <row r="14812" spans="1:21">
      <c r="A14812">
        <v>14811</v>
      </c>
      <c r="B14812" s="27" t="s">
        <v>1124</v>
      </c>
      <c r="D14812" s="27" t="s">
        <v>1859</v>
      </c>
      <c r="F14812" s="27" t="s">
        <v>938</v>
      </c>
      <c r="G14812" s="27" t="s">
        <v>959</v>
      </c>
      <c r="H14812" s="27" t="s">
        <v>17007</v>
      </c>
      <c r="J14812" s="27" t="s">
        <v>17036</v>
      </c>
      <c r="L14812" s="27" t="s">
        <v>730</v>
      </c>
      <c r="N14812" s="27" t="s">
        <v>183</v>
      </c>
      <c r="P14812" s="27" t="s">
        <v>10252</v>
      </c>
      <c r="Q14812" s="26" t="str">
        <f>HYPERLINK("https://ictv.global/taxonomy/taxondetails?taxnode_id=202507593&amp;ictv_id=ICTV201907593","ICTV201907593")</f>
        <v>ICTV201907593</v>
      </c>
      <c r="R14812" t="s">
        <v>657</v>
      </c>
      <c r="S14812" t="s">
        <v>22763</v>
      </c>
      <c r="T14812">
        <v>39</v>
      </c>
      <c r="U14812" s="26" t="str">
        <f t="shared" si="556"/>
        <v>2023.024M.Bunyaviricetes.zip</v>
      </c>
    </row>
    <row r="14813" spans="1:21">
      <c r="A14813">
        <v>14812</v>
      </c>
      <c r="B14813" s="27" t="s">
        <v>1124</v>
      </c>
      <c r="D14813" s="27" t="s">
        <v>1859</v>
      </c>
      <c r="F14813" s="27" t="s">
        <v>938</v>
      </c>
      <c r="G14813" s="27" t="s">
        <v>959</v>
      </c>
      <c r="H14813" s="27" t="s">
        <v>17007</v>
      </c>
      <c r="J14813" s="27" t="s">
        <v>17036</v>
      </c>
      <c r="L14813" s="27" t="s">
        <v>730</v>
      </c>
      <c r="N14813" s="27" t="s">
        <v>183</v>
      </c>
      <c r="P14813" s="27" t="s">
        <v>10253</v>
      </c>
      <c r="Q14813" s="26" t="str">
        <f>HYPERLINK("https://ictv.global/taxonomy/taxondetails?taxnode_id=202507626&amp;ictv_id=ICTV201907626","ICTV201907626")</f>
        <v>ICTV201907626</v>
      </c>
      <c r="R14813" t="s">
        <v>657</v>
      </c>
      <c r="S14813" t="s">
        <v>22763</v>
      </c>
      <c r="T14813">
        <v>39</v>
      </c>
      <c r="U14813" s="26" t="str">
        <f t="shared" si="556"/>
        <v>2023.024M.Bunyaviricetes.zip</v>
      </c>
    </row>
    <row r="14814" spans="1:21">
      <c r="A14814">
        <v>14813</v>
      </c>
      <c r="B14814" s="27" t="s">
        <v>1124</v>
      </c>
      <c r="D14814" s="27" t="s">
        <v>1859</v>
      </c>
      <c r="F14814" s="27" t="s">
        <v>938</v>
      </c>
      <c r="G14814" s="27" t="s">
        <v>959</v>
      </c>
      <c r="H14814" s="27" t="s">
        <v>17007</v>
      </c>
      <c r="J14814" s="27" t="s">
        <v>17036</v>
      </c>
      <c r="L14814" s="27" t="s">
        <v>730</v>
      </c>
      <c r="N14814" s="27" t="s">
        <v>183</v>
      </c>
      <c r="P14814" s="27" t="s">
        <v>10254</v>
      </c>
      <c r="Q14814" s="26" t="str">
        <f>HYPERLINK("https://ictv.global/taxonomy/taxondetails?taxnode_id=202507613&amp;ictv_id=ICTV201907613","ICTV201907613")</f>
        <v>ICTV201907613</v>
      </c>
      <c r="R14814" t="s">
        <v>657</v>
      </c>
      <c r="S14814" t="s">
        <v>22763</v>
      </c>
      <c r="T14814">
        <v>39</v>
      </c>
      <c r="U14814" s="26" t="str">
        <f t="shared" si="556"/>
        <v>2023.024M.Bunyaviricetes.zip</v>
      </c>
    </row>
    <row r="14815" spans="1:21">
      <c r="A14815">
        <v>14814</v>
      </c>
      <c r="B14815" s="27" t="s">
        <v>1124</v>
      </c>
      <c r="D14815" s="27" t="s">
        <v>1859</v>
      </c>
      <c r="F14815" s="27" t="s">
        <v>938</v>
      </c>
      <c r="G14815" s="27" t="s">
        <v>959</v>
      </c>
      <c r="H14815" s="27" t="s">
        <v>17007</v>
      </c>
      <c r="J14815" s="27" t="s">
        <v>17036</v>
      </c>
      <c r="L14815" s="27" t="s">
        <v>730</v>
      </c>
      <c r="N14815" s="27" t="s">
        <v>183</v>
      </c>
      <c r="P14815" s="27" t="s">
        <v>10255</v>
      </c>
      <c r="Q14815" s="26" t="str">
        <f>HYPERLINK("https://ictv.global/taxonomy/taxondetails?taxnode_id=202507585&amp;ictv_id=ICTV201907585","ICTV201907585")</f>
        <v>ICTV201907585</v>
      </c>
      <c r="R14815" t="s">
        <v>657</v>
      </c>
      <c r="S14815" t="s">
        <v>22763</v>
      </c>
      <c r="T14815">
        <v>39</v>
      </c>
      <c r="U14815" s="26" t="str">
        <f t="shared" si="556"/>
        <v>2023.024M.Bunyaviricetes.zip</v>
      </c>
    </row>
    <row r="14816" spans="1:21">
      <c r="A14816">
        <v>14815</v>
      </c>
      <c r="B14816" s="27" t="s">
        <v>1124</v>
      </c>
      <c r="D14816" s="27" t="s">
        <v>1859</v>
      </c>
      <c r="F14816" s="27" t="s">
        <v>938</v>
      </c>
      <c r="G14816" s="27" t="s">
        <v>959</v>
      </c>
      <c r="H14816" s="27" t="s">
        <v>17007</v>
      </c>
      <c r="J14816" s="27" t="s">
        <v>17036</v>
      </c>
      <c r="L14816" s="27" t="s">
        <v>730</v>
      </c>
      <c r="N14816" s="27" t="s">
        <v>183</v>
      </c>
      <c r="P14816" s="27" t="s">
        <v>10256</v>
      </c>
      <c r="Q14816" s="26" t="str">
        <f>HYPERLINK("https://ictv.global/taxonomy/taxondetails?taxnode_id=202507607&amp;ictv_id=ICTV201907607","ICTV201907607")</f>
        <v>ICTV201907607</v>
      </c>
      <c r="R14816" t="s">
        <v>657</v>
      </c>
      <c r="S14816" t="s">
        <v>22763</v>
      </c>
      <c r="T14816">
        <v>39</v>
      </c>
      <c r="U14816" s="26" t="str">
        <f t="shared" si="556"/>
        <v>2023.024M.Bunyaviricetes.zip</v>
      </c>
    </row>
    <row r="14817" spans="1:21">
      <c r="A14817">
        <v>14816</v>
      </c>
      <c r="B14817" s="27" t="s">
        <v>1124</v>
      </c>
      <c r="D14817" s="27" t="s">
        <v>1859</v>
      </c>
      <c r="F14817" s="27" t="s">
        <v>938</v>
      </c>
      <c r="G14817" s="27" t="s">
        <v>959</v>
      </c>
      <c r="H14817" s="27" t="s">
        <v>17007</v>
      </c>
      <c r="J14817" s="27" t="s">
        <v>17036</v>
      </c>
      <c r="L14817" s="27" t="s">
        <v>730</v>
      </c>
      <c r="N14817" s="27" t="s">
        <v>183</v>
      </c>
      <c r="P14817" s="27" t="s">
        <v>10257</v>
      </c>
      <c r="Q14817" s="26" t="str">
        <f>HYPERLINK("https://ictv.global/taxonomy/taxondetails?taxnode_id=202509621&amp;ictv_id=ICTV202009621","ICTV202009621")</f>
        <v>ICTV202009621</v>
      </c>
      <c r="R14817" t="s">
        <v>657</v>
      </c>
      <c r="S14817" t="s">
        <v>22763</v>
      </c>
      <c r="T14817">
        <v>39</v>
      </c>
      <c r="U14817" s="26" t="str">
        <f t="shared" si="556"/>
        <v>2023.024M.Bunyaviricetes.zip</v>
      </c>
    </row>
    <row r="14818" spans="1:21">
      <c r="A14818">
        <v>14817</v>
      </c>
      <c r="B14818" s="27" t="s">
        <v>1124</v>
      </c>
      <c r="D14818" s="27" t="s">
        <v>1859</v>
      </c>
      <c r="F14818" s="27" t="s">
        <v>938</v>
      </c>
      <c r="G14818" s="27" t="s">
        <v>959</v>
      </c>
      <c r="H14818" s="27" t="s">
        <v>17007</v>
      </c>
      <c r="J14818" s="27" t="s">
        <v>17036</v>
      </c>
      <c r="L14818" s="27" t="s">
        <v>730</v>
      </c>
      <c r="N14818" s="27" t="s">
        <v>183</v>
      </c>
      <c r="P14818" s="27" t="s">
        <v>10258</v>
      </c>
      <c r="Q14818" s="26" t="str">
        <f>HYPERLINK("https://ictv.global/taxonomy/taxondetails?taxnode_id=202507594&amp;ictv_id=ICTV201907594","ICTV201907594")</f>
        <v>ICTV201907594</v>
      </c>
      <c r="R14818" t="s">
        <v>657</v>
      </c>
      <c r="S14818" t="s">
        <v>22763</v>
      </c>
      <c r="T14818">
        <v>39</v>
      </c>
      <c r="U14818" s="26" t="str">
        <f t="shared" si="556"/>
        <v>2023.024M.Bunyaviricetes.zip</v>
      </c>
    </row>
    <row r="14819" spans="1:21">
      <c r="A14819">
        <v>14818</v>
      </c>
      <c r="B14819" s="27" t="s">
        <v>1124</v>
      </c>
      <c r="D14819" s="27" t="s">
        <v>1859</v>
      </c>
      <c r="F14819" s="27" t="s">
        <v>938</v>
      </c>
      <c r="G14819" s="27" t="s">
        <v>959</v>
      </c>
      <c r="H14819" s="27" t="s">
        <v>17007</v>
      </c>
      <c r="J14819" s="27" t="s">
        <v>17036</v>
      </c>
      <c r="L14819" s="27" t="s">
        <v>730</v>
      </c>
      <c r="N14819" s="27" t="s">
        <v>183</v>
      </c>
      <c r="P14819" s="27" t="s">
        <v>17064</v>
      </c>
      <c r="Q14819" s="26" t="str">
        <f>HYPERLINK("https://ictv.global/taxonomy/taxondetails?taxnode_id=202500161&amp;ictv_id=ICTV19990691","ICTV19990691")</f>
        <v>ICTV19990691</v>
      </c>
      <c r="R14819" t="s">
        <v>657</v>
      </c>
      <c r="S14819" t="s">
        <v>824</v>
      </c>
      <c r="T14819">
        <v>39</v>
      </c>
      <c r="U14819" s="26" t="str">
        <f>HYPERLINK("https://ictv.global/ictv/proposals/2023.032M.Phlebovirus_1nsp_rename.zip","2023.032M.Phlebovirus_1nsp_rename.zip")</f>
        <v>2023.032M.Phlebovirus_1nsp_rename.zip</v>
      </c>
    </row>
    <row r="14820" spans="1:21">
      <c r="A14820">
        <v>14819</v>
      </c>
      <c r="B14820" s="27" t="s">
        <v>1124</v>
      </c>
      <c r="D14820" s="27" t="s">
        <v>1859</v>
      </c>
      <c r="F14820" s="27" t="s">
        <v>938</v>
      </c>
      <c r="G14820" s="27" t="s">
        <v>959</v>
      </c>
      <c r="H14820" s="27" t="s">
        <v>17007</v>
      </c>
      <c r="J14820" s="27" t="s">
        <v>17036</v>
      </c>
      <c r="L14820" s="27" t="s">
        <v>730</v>
      </c>
      <c r="N14820" s="27" t="s">
        <v>183</v>
      </c>
      <c r="P14820" s="27" t="s">
        <v>10259</v>
      </c>
      <c r="Q14820" s="26" t="str">
        <f>HYPERLINK("https://ictv.global/taxonomy/taxondetails?taxnode_id=202507625&amp;ictv_id=ICTV201907625","ICTV201907625")</f>
        <v>ICTV201907625</v>
      </c>
      <c r="R14820" t="s">
        <v>657</v>
      </c>
      <c r="S14820" t="s">
        <v>22763</v>
      </c>
      <c r="T14820">
        <v>39</v>
      </c>
      <c r="U14820" s="26" t="str">
        <f>HYPERLINK("https://ictv.global/ictv/proposals/2023.024M.Bunyaviricetes.zip","2023.024M.Bunyaviricetes.zip")</f>
        <v>2023.024M.Bunyaviricetes.zip</v>
      </c>
    </row>
    <row r="14821" spans="1:21">
      <c r="A14821">
        <v>14820</v>
      </c>
      <c r="B14821" s="27" t="s">
        <v>1124</v>
      </c>
      <c r="D14821" s="27" t="s">
        <v>1859</v>
      </c>
      <c r="F14821" s="27" t="s">
        <v>938</v>
      </c>
      <c r="G14821" s="27" t="s">
        <v>959</v>
      </c>
      <c r="H14821" s="27" t="s">
        <v>17007</v>
      </c>
      <c r="J14821" s="27" t="s">
        <v>17036</v>
      </c>
      <c r="L14821" s="27" t="s">
        <v>730</v>
      </c>
      <c r="N14821" s="27" t="s">
        <v>183</v>
      </c>
      <c r="P14821" s="27" t="s">
        <v>21534</v>
      </c>
      <c r="Q14821" s="26" t="str">
        <f>HYPERLINK("https://ictv.global/taxonomy/taxondetails?taxnode_id=202522403&amp;ictv_id=ICTV202522403","ICTV202522403")</f>
        <v>ICTV202522403</v>
      </c>
      <c r="R14821" t="s">
        <v>657</v>
      </c>
      <c r="S14821" t="s">
        <v>823</v>
      </c>
      <c r="T14821">
        <v>41</v>
      </c>
      <c r="U14821" s="26" t="str">
        <f>HYPERLINK("https://ictv.global/ictv/proposals/2025.008M.Phenuiviridae_62nsp+1asp.zip","2025.008M.Phenuiviridae_62nsp+1asp.zip")</f>
        <v>2025.008M.Phenuiviridae_62nsp+1asp.zip</v>
      </c>
    </row>
    <row r="14822" spans="1:21">
      <c r="A14822">
        <v>14821</v>
      </c>
      <c r="B14822" s="27" t="s">
        <v>1124</v>
      </c>
      <c r="D14822" s="27" t="s">
        <v>1859</v>
      </c>
      <c r="F14822" s="27" t="s">
        <v>938</v>
      </c>
      <c r="G14822" s="27" t="s">
        <v>959</v>
      </c>
      <c r="H14822" s="27" t="s">
        <v>17007</v>
      </c>
      <c r="J14822" s="27" t="s">
        <v>17036</v>
      </c>
      <c r="L14822" s="27" t="s">
        <v>730</v>
      </c>
      <c r="N14822" s="27" t="s">
        <v>183</v>
      </c>
      <c r="P14822" s="27" t="s">
        <v>10260</v>
      </c>
      <c r="Q14822" s="26" t="str">
        <f>HYPERLINK("https://ictv.global/taxonomy/taxondetails?taxnode_id=202507614&amp;ictv_id=ICTV201907614","ICTV201907614")</f>
        <v>ICTV201907614</v>
      </c>
      <c r="R14822" t="s">
        <v>657</v>
      </c>
      <c r="S14822" t="s">
        <v>22763</v>
      </c>
      <c r="T14822">
        <v>39</v>
      </c>
      <c r="U14822" s="26" t="str">
        <f t="shared" ref="U14822:U14851" si="557">HYPERLINK("https://ictv.global/ictv/proposals/2023.024M.Bunyaviricetes.zip","2023.024M.Bunyaviricetes.zip")</f>
        <v>2023.024M.Bunyaviricetes.zip</v>
      </c>
    </row>
    <row r="14823" spans="1:21">
      <c r="A14823">
        <v>14822</v>
      </c>
      <c r="B14823" s="27" t="s">
        <v>1124</v>
      </c>
      <c r="D14823" s="27" t="s">
        <v>1859</v>
      </c>
      <c r="F14823" s="27" t="s">
        <v>938</v>
      </c>
      <c r="G14823" s="27" t="s">
        <v>959</v>
      </c>
      <c r="H14823" s="27" t="s">
        <v>17007</v>
      </c>
      <c r="J14823" s="27" t="s">
        <v>17036</v>
      </c>
      <c r="L14823" s="27" t="s">
        <v>730</v>
      </c>
      <c r="N14823" s="27" t="s">
        <v>183</v>
      </c>
      <c r="P14823" s="27" t="s">
        <v>10261</v>
      </c>
      <c r="Q14823" s="26" t="str">
        <f>HYPERLINK("https://ictv.global/taxonomy/taxondetails?taxnode_id=202507621&amp;ictv_id=ICTV201907621","ICTV201907621")</f>
        <v>ICTV201907621</v>
      </c>
      <c r="R14823" t="s">
        <v>657</v>
      </c>
      <c r="S14823" t="s">
        <v>22763</v>
      </c>
      <c r="T14823">
        <v>39</v>
      </c>
      <c r="U14823" s="26" t="str">
        <f t="shared" si="557"/>
        <v>2023.024M.Bunyaviricetes.zip</v>
      </c>
    </row>
    <row r="14824" spans="1:21">
      <c r="A14824">
        <v>14823</v>
      </c>
      <c r="B14824" s="27" t="s">
        <v>1124</v>
      </c>
      <c r="D14824" s="27" t="s">
        <v>1859</v>
      </c>
      <c r="F14824" s="27" t="s">
        <v>938</v>
      </c>
      <c r="G14824" s="27" t="s">
        <v>959</v>
      </c>
      <c r="H14824" s="27" t="s">
        <v>17007</v>
      </c>
      <c r="J14824" s="27" t="s">
        <v>17036</v>
      </c>
      <c r="L14824" s="27" t="s">
        <v>730</v>
      </c>
      <c r="N14824" s="27" t="s">
        <v>183</v>
      </c>
      <c r="P14824" s="27" t="s">
        <v>10262</v>
      </c>
      <c r="Q14824" s="26" t="str">
        <f>HYPERLINK("https://ictv.global/taxonomy/taxondetails?taxnode_id=202507588&amp;ictv_id=ICTV201907588","ICTV201907588")</f>
        <v>ICTV201907588</v>
      </c>
      <c r="R14824" t="s">
        <v>657</v>
      </c>
      <c r="S14824" t="s">
        <v>22763</v>
      </c>
      <c r="T14824">
        <v>39</v>
      </c>
      <c r="U14824" s="26" t="str">
        <f t="shared" si="557"/>
        <v>2023.024M.Bunyaviricetes.zip</v>
      </c>
    </row>
    <row r="14825" spans="1:21">
      <c r="A14825">
        <v>14824</v>
      </c>
      <c r="B14825" s="27" t="s">
        <v>1124</v>
      </c>
      <c r="D14825" s="27" t="s">
        <v>1859</v>
      </c>
      <c r="F14825" s="27" t="s">
        <v>938</v>
      </c>
      <c r="G14825" s="27" t="s">
        <v>959</v>
      </c>
      <c r="H14825" s="27" t="s">
        <v>17007</v>
      </c>
      <c r="J14825" s="27" t="s">
        <v>17036</v>
      </c>
      <c r="L14825" s="27" t="s">
        <v>730</v>
      </c>
      <c r="N14825" s="27" t="s">
        <v>183</v>
      </c>
      <c r="P14825" s="27" t="s">
        <v>10263</v>
      </c>
      <c r="Q14825" s="26" t="str">
        <f>HYPERLINK("https://ictv.global/taxonomy/taxondetails?taxnode_id=202506492&amp;ictv_id=ICTV201856492","ICTV201856492")</f>
        <v>ICTV201856492</v>
      </c>
      <c r="R14825" t="s">
        <v>657</v>
      </c>
      <c r="S14825" t="s">
        <v>22763</v>
      </c>
      <c r="T14825">
        <v>39</v>
      </c>
      <c r="U14825" s="26" t="str">
        <f t="shared" si="557"/>
        <v>2023.024M.Bunyaviricetes.zip</v>
      </c>
    </row>
    <row r="14826" spans="1:21">
      <c r="A14826">
        <v>14825</v>
      </c>
      <c r="B14826" s="27" t="s">
        <v>1124</v>
      </c>
      <c r="D14826" s="27" t="s">
        <v>1859</v>
      </c>
      <c r="F14826" s="27" t="s">
        <v>938</v>
      </c>
      <c r="G14826" s="27" t="s">
        <v>959</v>
      </c>
      <c r="H14826" s="27" t="s">
        <v>17007</v>
      </c>
      <c r="J14826" s="27" t="s">
        <v>17036</v>
      </c>
      <c r="L14826" s="27" t="s">
        <v>730</v>
      </c>
      <c r="N14826" s="27" t="s">
        <v>183</v>
      </c>
      <c r="P14826" s="27" t="s">
        <v>10264</v>
      </c>
      <c r="Q14826" s="26" t="str">
        <f>HYPERLINK("https://ictv.global/taxonomy/taxondetails?taxnode_id=202507595&amp;ictv_id=ICTV201907595","ICTV201907595")</f>
        <v>ICTV201907595</v>
      </c>
      <c r="R14826" t="s">
        <v>657</v>
      </c>
      <c r="S14826" t="s">
        <v>22763</v>
      </c>
      <c r="T14826">
        <v>39</v>
      </c>
      <c r="U14826" s="26" t="str">
        <f t="shared" si="557"/>
        <v>2023.024M.Bunyaviricetes.zip</v>
      </c>
    </row>
    <row r="14827" spans="1:21">
      <c r="A14827">
        <v>14826</v>
      </c>
      <c r="B14827" s="27" t="s">
        <v>1124</v>
      </c>
      <c r="D14827" s="27" t="s">
        <v>1859</v>
      </c>
      <c r="F14827" s="27" t="s">
        <v>938</v>
      </c>
      <c r="G14827" s="27" t="s">
        <v>959</v>
      </c>
      <c r="H14827" s="27" t="s">
        <v>17007</v>
      </c>
      <c r="J14827" s="27" t="s">
        <v>17036</v>
      </c>
      <c r="L14827" s="27" t="s">
        <v>730</v>
      </c>
      <c r="N14827" s="27" t="s">
        <v>183</v>
      </c>
      <c r="P14827" s="27" t="s">
        <v>10265</v>
      </c>
      <c r="Q14827" s="26" t="str">
        <f>HYPERLINK("https://ictv.global/taxonomy/taxondetails?taxnode_id=202500165&amp;ictv_id=ICTV19990695","ICTV19990695")</f>
        <v>ICTV19990695</v>
      </c>
      <c r="R14827" t="s">
        <v>657</v>
      </c>
      <c r="S14827" t="s">
        <v>22763</v>
      </c>
      <c r="T14827">
        <v>39</v>
      </c>
      <c r="U14827" s="26" t="str">
        <f t="shared" si="557"/>
        <v>2023.024M.Bunyaviricetes.zip</v>
      </c>
    </row>
    <row r="14828" spans="1:21">
      <c r="A14828">
        <v>14827</v>
      </c>
      <c r="B14828" s="27" t="s">
        <v>1124</v>
      </c>
      <c r="D14828" s="27" t="s">
        <v>1859</v>
      </c>
      <c r="F14828" s="27" t="s">
        <v>938</v>
      </c>
      <c r="G14828" s="27" t="s">
        <v>959</v>
      </c>
      <c r="H14828" s="27" t="s">
        <v>17007</v>
      </c>
      <c r="J14828" s="27" t="s">
        <v>17036</v>
      </c>
      <c r="L14828" s="27" t="s">
        <v>730</v>
      </c>
      <c r="N14828" s="27" t="s">
        <v>183</v>
      </c>
      <c r="P14828" s="27" t="s">
        <v>10266</v>
      </c>
      <c r="Q14828" s="26" t="str">
        <f>HYPERLINK("https://ictv.global/taxonomy/taxondetails?taxnode_id=202507624&amp;ictv_id=ICTV201907624","ICTV201907624")</f>
        <v>ICTV201907624</v>
      </c>
      <c r="R14828" t="s">
        <v>657</v>
      </c>
      <c r="S14828" t="s">
        <v>22763</v>
      </c>
      <c r="T14828">
        <v>39</v>
      </c>
      <c r="U14828" s="26" t="str">
        <f t="shared" si="557"/>
        <v>2023.024M.Bunyaviricetes.zip</v>
      </c>
    </row>
    <row r="14829" spans="1:21">
      <c r="A14829">
        <v>14828</v>
      </c>
      <c r="B14829" s="27" t="s">
        <v>1124</v>
      </c>
      <c r="D14829" s="27" t="s">
        <v>1859</v>
      </c>
      <c r="F14829" s="27" t="s">
        <v>938</v>
      </c>
      <c r="G14829" s="27" t="s">
        <v>959</v>
      </c>
      <c r="H14829" s="27" t="s">
        <v>17007</v>
      </c>
      <c r="J14829" s="27" t="s">
        <v>17036</v>
      </c>
      <c r="L14829" s="27" t="s">
        <v>730</v>
      </c>
      <c r="N14829" s="27" t="s">
        <v>183</v>
      </c>
      <c r="P14829" s="27" t="s">
        <v>10267</v>
      </c>
      <c r="Q14829" s="26" t="str">
        <f>HYPERLINK("https://ictv.global/taxonomy/taxondetails?taxnode_id=202507606&amp;ictv_id=ICTV201907606","ICTV201907606")</f>
        <v>ICTV201907606</v>
      </c>
      <c r="R14829" t="s">
        <v>657</v>
      </c>
      <c r="S14829" t="s">
        <v>22763</v>
      </c>
      <c r="T14829">
        <v>39</v>
      </c>
      <c r="U14829" s="26" t="str">
        <f t="shared" si="557"/>
        <v>2023.024M.Bunyaviricetes.zip</v>
      </c>
    </row>
    <row r="14830" spans="1:21">
      <c r="A14830">
        <v>14829</v>
      </c>
      <c r="B14830" s="27" t="s">
        <v>1124</v>
      </c>
      <c r="D14830" s="27" t="s">
        <v>1859</v>
      </c>
      <c r="F14830" s="27" t="s">
        <v>938</v>
      </c>
      <c r="G14830" s="27" t="s">
        <v>959</v>
      </c>
      <c r="H14830" s="27" t="s">
        <v>17007</v>
      </c>
      <c r="J14830" s="27" t="s">
        <v>17036</v>
      </c>
      <c r="L14830" s="27" t="s">
        <v>730</v>
      </c>
      <c r="N14830" s="27" t="s">
        <v>183</v>
      </c>
      <c r="P14830" s="27" t="s">
        <v>10268</v>
      </c>
      <c r="Q14830" s="26" t="str">
        <f>HYPERLINK("https://ictv.global/taxonomy/taxondetails?taxnode_id=202507623&amp;ictv_id=ICTV201907623","ICTV201907623")</f>
        <v>ICTV201907623</v>
      </c>
      <c r="R14830" t="s">
        <v>657</v>
      </c>
      <c r="S14830" t="s">
        <v>22763</v>
      </c>
      <c r="T14830">
        <v>39</v>
      </c>
      <c r="U14830" s="26" t="str">
        <f t="shared" si="557"/>
        <v>2023.024M.Bunyaviricetes.zip</v>
      </c>
    </row>
    <row r="14831" spans="1:21">
      <c r="A14831">
        <v>14830</v>
      </c>
      <c r="B14831" s="27" t="s">
        <v>1124</v>
      </c>
      <c r="D14831" s="27" t="s">
        <v>1859</v>
      </c>
      <c r="F14831" s="27" t="s">
        <v>938</v>
      </c>
      <c r="G14831" s="27" t="s">
        <v>959</v>
      </c>
      <c r="H14831" s="27" t="s">
        <v>17007</v>
      </c>
      <c r="J14831" s="27" t="s">
        <v>17036</v>
      </c>
      <c r="L14831" s="27" t="s">
        <v>730</v>
      </c>
      <c r="N14831" s="27" t="s">
        <v>183</v>
      </c>
      <c r="P14831" s="27" t="s">
        <v>10269</v>
      </c>
      <c r="Q14831" s="26" t="str">
        <f>HYPERLINK("https://ictv.global/taxonomy/taxondetails?taxnode_id=202507627&amp;ictv_id=ICTV201907627","ICTV201907627")</f>
        <v>ICTV201907627</v>
      </c>
      <c r="R14831" t="s">
        <v>657</v>
      </c>
      <c r="S14831" t="s">
        <v>22763</v>
      </c>
      <c r="T14831">
        <v>39</v>
      </c>
      <c r="U14831" s="26" t="str">
        <f t="shared" si="557"/>
        <v>2023.024M.Bunyaviricetes.zip</v>
      </c>
    </row>
    <row r="14832" spans="1:21">
      <c r="A14832">
        <v>14831</v>
      </c>
      <c r="B14832" s="27" t="s">
        <v>1124</v>
      </c>
      <c r="D14832" s="27" t="s">
        <v>1859</v>
      </c>
      <c r="F14832" s="27" t="s">
        <v>938</v>
      </c>
      <c r="G14832" s="27" t="s">
        <v>959</v>
      </c>
      <c r="H14832" s="27" t="s">
        <v>17007</v>
      </c>
      <c r="J14832" s="27" t="s">
        <v>17036</v>
      </c>
      <c r="L14832" s="27" t="s">
        <v>730</v>
      </c>
      <c r="N14832" s="27" t="s">
        <v>183</v>
      </c>
      <c r="P14832" s="27" t="s">
        <v>10270</v>
      </c>
      <c r="Q14832" s="26" t="str">
        <f>HYPERLINK("https://ictv.global/taxonomy/taxondetails?taxnode_id=202507604&amp;ictv_id=ICTV201907604","ICTV201907604")</f>
        <v>ICTV201907604</v>
      </c>
      <c r="R14832" t="s">
        <v>657</v>
      </c>
      <c r="S14832" t="s">
        <v>22763</v>
      </c>
      <c r="T14832">
        <v>39</v>
      </c>
      <c r="U14832" s="26" t="str">
        <f t="shared" si="557"/>
        <v>2023.024M.Bunyaviricetes.zip</v>
      </c>
    </row>
    <row r="14833" spans="1:21">
      <c r="A14833">
        <v>14832</v>
      </c>
      <c r="B14833" s="27" t="s">
        <v>1124</v>
      </c>
      <c r="D14833" s="27" t="s">
        <v>1859</v>
      </c>
      <c r="F14833" s="27" t="s">
        <v>938</v>
      </c>
      <c r="G14833" s="27" t="s">
        <v>959</v>
      </c>
      <c r="H14833" s="27" t="s">
        <v>17007</v>
      </c>
      <c r="J14833" s="27" t="s">
        <v>17036</v>
      </c>
      <c r="L14833" s="27" t="s">
        <v>730</v>
      </c>
      <c r="N14833" s="27" t="s">
        <v>183</v>
      </c>
      <c r="P14833" s="27" t="s">
        <v>10271</v>
      </c>
      <c r="Q14833" s="26" t="str">
        <f>HYPERLINK("https://ictv.global/taxonomy/taxondetails?taxnode_id=202507596&amp;ictv_id=ICTV201907596","ICTV201907596")</f>
        <v>ICTV201907596</v>
      </c>
      <c r="R14833" t="s">
        <v>657</v>
      </c>
      <c r="S14833" t="s">
        <v>22763</v>
      </c>
      <c r="T14833">
        <v>39</v>
      </c>
      <c r="U14833" s="26" t="str">
        <f t="shared" si="557"/>
        <v>2023.024M.Bunyaviricetes.zip</v>
      </c>
    </row>
    <row r="14834" spans="1:21">
      <c r="A14834">
        <v>14833</v>
      </c>
      <c r="B14834" s="27" t="s">
        <v>1124</v>
      </c>
      <c r="D14834" s="27" t="s">
        <v>1859</v>
      </c>
      <c r="F14834" s="27" t="s">
        <v>938</v>
      </c>
      <c r="G14834" s="27" t="s">
        <v>959</v>
      </c>
      <c r="H14834" s="27" t="s">
        <v>17007</v>
      </c>
      <c r="J14834" s="27" t="s">
        <v>17036</v>
      </c>
      <c r="L14834" s="27" t="s">
        <v>730</v>
      </c>
      <c r="N14834" s="27" t="s">
        <v>183</v>
      </c>
      <c r="P14834" s="27" t="s">
        <v>10272</v>
      </c>
      <c r="Q14834" s="26" t="str">
        <f>HYPERLINK("https://ictv.global/taxonomy/taxondetails?taxnode_id=202509827&amp;ictv_id=ICTV202009827","ICTV202009827")</f>
        <v>ICTV202009827</v>
      </c>
      <c r="R14834" t="s">
        <v>657</v>
      </c>
      <c r="S14834" t="s">
        <v>22763</v>
      </c>
      <c r="T14834">
        <v>39</v>
      </c>
      <c r="U14834" s="26" t="str">
        <f t="shared" si="557"/>
        <v>2023.024M.Bunyaviricetes.zip</v>
      </c>
    </row>
    <row r="14835" spans="1:21">
      <c r="A14835">
        <v>14834</v>
      </c>
      <c r="B14835" s="27" t="s">
        <v>1124</v>
      </c>
      <c r="D14835" s="27" t="s">
        <v>1859</v>
      </c>
      <c r="F14835" s="27" t="s">
        <v>938</v>
      </c>
      <c r="G14835" s="27" t="s">
        <v>959</v>
      </c>
      <c r="H14835" s="27" t="s">
        <v>17007</v>
      </c>
      <c r="J14835" s="27" t="s">
        <v>17036</v>
      </c>
      <c r="L14835" s="27" t="s">
        <v>730</v>
      </c>
      <c r="N14835" s="27" t="s">
        <v>183</v>
      </c>
      <c r="P14835" s="27" t="s">
        <v>10273</v>
      </c>
      <c r="Q14835" s="26" t="str">
        <f>HYPERLINK("https://ictv.global/taxonomy/taxondetails?taxnode_id=202509624&amp;ictv_id=ICTV202009624","ICTV202009624")</f>
        <v>ICTV202009624</v>
      </c>
      <c r="R14835" t="s">
        <v>657</v>
      </c>
      <c r="S14835" t="s">
        <v>22763</v>
      </c>
      <c r="T14835">
        <v>39</v>
      </c>
      <c r="U14835" s="26" t="str">
        <f t="shared" si="557"/>
        <v>2023.024M.Bunyaviricetes.zip</v>
      </c>
    </row>
    <row r="14836" spans="1:21">
      <c r="A14836">
        <v>14835</v>
      </c>
      <c r="B14836" s="27" t="s">
        <v>1124</v>
      </c>
      <c r="D14836" s="27" t="s">
        <v>1859</v>
      </c>
      <c r="F14836" s="27" t="s">
        <v>938</v>
      </c>
      <c r="G14836" s="27" t="s">
        <v>959</v>
      </c>
      <c r="H14836" s="27" t="s">
        <v>17007</v>
      </c>
      <c r="J14836" s="27" t="s">
        <v>17036</v>
      </c>
      <c r="L14836" s="27" t="s">
        <v>730</v>
      </c>
      <c r="N14836" s="27" t="s">
        <v>183</v>
      </c>
      <c r="P14836" s="27" t="s">
        <v>10274</v>
      </c>
      <c r="Q14836" s="26" t="str">
        <f>HYPERLINK("https://ictv.global/taxonomy/taxondetails?taxnode_id=202507615&amp;ictv_id=ICTV201907615","ICTV201907615")</f>
        <v>ICTV201907615</v>
      </c>
      <c r="R14836" t="s">
        <v>657</v>
      </c>
      <c r="S14836" t="s">
        <v>22763</v>
      </c>
      <c r="T14836">
        <v>39</v>
      </c>
      <c r="U14836" s="26" t="str">
        <f t="shared" si="557"/>
        <v>2023.024M.Bunyaviricetes.zip</v>
      </c>
    </row>
    <row r="14837" spans="1:21">
      <c r="A14837">
        <v>14836</v>
      </c>
      <c r="B14837" s="27" t="s">
        <v>1124</v>
      </c>
      <c r="D14837" s="27" t="s">
        <v>1859</v>
      </c>
      <c r="F14837" s="27" t="s">
        <v>938</v>
      </c>
      <c r="G14837" s="27" t="s">
        <v>959</v>
      </c>
      <c r="H14837" s="27" t="s">
        <v>17007</v>
      </c>
      <c r="J14837" s="27" t="s">
        <v>17036</v>
      </c>
      <c r="L14837" s="27" t="s">
        <v>730</v>
      </c>
      <c r="N14837" s="27" t="s">
        <v>183</v>
      </c>
      <c r="P14837" s="27" t="s">
        <v>10275</v>
      </c>
      <c r="Q14837" s="26" t="str">
        <f>HYPERLINK("https://ictv.global/taxonomy/taxondetails?taxnode_id=202500163&amp;ictv_id=ICTV19990693","ICTV19990693")</f>
        <v>ICTV19990693</v>
      </c>
      <c r="R14837" t="s">
        <v>657</v>
      </c>
      <c r="S14837" t="s">
        <v>22763</v>
      </c>
      <c r="T14837">
        <v>39</v>
      </c>
      <c r="U14837" s="26" t="str">
        <f t="shared" si="557"/>
        <v>2023.024M.Bunyaviricetes.zip</v>
      </c>
    </row>
    <row r="14838" spans="1:21">
      <c r="A14838">
        <v>14837</v>
      </c>
      <c r="B14838" s="27" t="s">
        <v>1124</v>
      </c>
      <c r="D14838" s="27" t="s">
        <v>1859</v>
      </c>
      <c r="F14838" s="27" t="s">
        <v>938</v>
      </c>
      <c r="G14838" s="27" t="s">
        <v>959</v>
      </c>
      <c r="H14838" s="27" t="s">
        <v>17007</v>
      </c>
      <c r="J14838" s="27" t="s">
        <v>17036</v>
      </c>
      <c r="L14838" s="27" t="s">
        <v>730</v>
      </c>
      <c r="N14838" s="27" t="s">
        <v>183</v>
      </c>
      <c r="P14838" s="27" t="s">
        <v>10276</v>
      </c>
      <c r="Q14838" s="26" t="str">
        <f>HYPERLINK("https://ictv.global/taxonomy/taxondetails?taxnode_id=202507633&amp;ictv_id=ICTV201907633","ICTV201907633")</f>
        <v>ICTV201907633</v>
      </c>
      <c r="R14838" t="s">
        <v>657</v>
      </c>
      <c r="S14838" t="s">
        <v>22763</v>
      </c>
      <c r="T14838">
        <v>39</v>
      </c>
      <c r="U14838" s="26" t="str">
        <f t="shared" si="557"/>
        <v>2023.024M.Bunyaviricetes.zip</v>
      </c>
    </row>
    <row r="14839" spans="1:21">
      <c r="A14839">
        <v>14838</v>
      </c>
      <c r="B14839" s="27" t="s">
        <v>1124</v>
      </c>
      <c r="D14839" s="27" t="s">
        <v>1859</v>
      </c>
      <c r="F14839" s="27" t="s">
        <v>938</v>
      </c>
      <c r="G14839" s="27" t="s">
        <v>959</v>
      </c>
      <c r="H14839" s="27" t="s">
        <v>17007</v>
      </c>
      <c r="J14839" s="27" t="s">
        <v>17036</v>
      </c>
      <c r="L14839" s="27" t="s">
        <v>730</v>
      </c>
      <c r="N14839" s="27" t="s">
        <v>183</v>
      </c>
      <c r="P14839" s="27" t="s">
        <v>10277</v>
      </c>
      <c r="Q14839" s="26" t="str">
        <f>HYPERLINK("https://ictv.global/taxonomy/taxondetails?taxnode_id=202507583&amp;ictv_id=ICTV201907583","ICTV201907583")</f>
        <v>ICTV201907583</v>
      </c>
      <c r="R14839" t="s">
        <v>657</v>
      </c>
      <c r="S14839" t="s">
        <v>22763</v>
      </c>
      <c r="T14839">
        <v>39</v>
      </c>
      <c r="U14839" s="26" t="str">
        <f t="shared" si="557"/>
        <v>2023.024M.Bunyaviricetes.zip</v>
      </c>
    </row>
    <row r="14840" spans="1:21">
      <c r="A14840">
        <v>14839</v>
      </c>
      <c r="B14840" s="27" t="s">
        <v>1124</v>
      </c>
      <c r="D14840" s="27" t="s">
        <v>1859</v>
      </c>
      <c r="F14840" s="27" t="s">
        <v>938</v>
      </c>
      <c r="G14840" s="27" t="s">
        <v>959</v>
      </c>
      <c r="H14840" s="27" t="s">
        <v>17007</v>
      </c>
      <c r="J14840" s="27" t="s">
        <v>17036</v>
      </c>
      <c r="L14840" s="27" t="s">
        <v>730</v>
      </c>
      <c r="N14840" s="27" t="s">
        <v>183</v>
      </c>
      <c r="P14840" s="27" t="s">
        <v>10278</v>
      </c>
      <c r="Q14840" s="26" t="str">
        <f>HYPERLINK("https://ictv.global/taxonomy/taxondetails?taxnode_id=202500164&amp;ictv_id=ICTV19990694","ICTV19990694")</f>
        <v>ICTV19990694</v>
      </c>
      <c r="R14840" t="s">
        <v>657</v>
      </c>
      <c r="S14840" t="s">
        <v>22763</v>
      </c>
      <c r="T14840">
        <v>39</v>
      </c>
      <c r="U14840" s="26" t="str">
        <f t="shared" si="557"/>
        <v>2023.024M.Bunyaviricetes.zip</v>
      </c>
    </row>
    <row r="14841" spans="1:21">
      <c r="A14841">
        <v>14840</v>
      </c>
      <c r="B14841" s="27" t="s">
        <v>1124</v>
      </c>
      <c r="D14841" s="27" t="s">
        <v>1859</v>
      </c>
      <c r="F14841" s="27" t="s">
        <v>938</v>
      </c>
      <c r="G14841" s="27" t="s">
        <v>959</v>
      </c>
      <c r="H14841" s="27" t="s">
        <v>17007</v>
      </c>
      <c r="J14841" s="27" t="s">
        <v>17036</v>
      </c>
      <c r="L14841" s="27" t="s">
        <v>730</v>
      </c>
      <c r="N14841" s="27" t="s">
        <v>183</v>
      </c>
      <c r="P14841" s="27" t="s">
        <v>10279</v>
      </c>
      <c r="Q14841" s="26" t="str">
        <f>HYPERLINK("https://ictv.global/taxonomy/taxondetails?taxnode_id=202507589&amp;ictv_id=ICTV201907589","ICTV201907589")</f>
        <v>ICTV201907589</v>
      </c>
      <c r="R14841" t="s">
        <v>657</v>
      </c>
      <c r="S14841" t="s">
        <v>22763</v>
      </c>
      <c r="T14841">
        <v>39</v>
      </c>
      <c r="U14841" s="26" t="str">
        <f t="shared" si="557"/>
        <v>2023.024M.Bunyaviricetes.zip</v>
      </c>
    </row>
    <row r="14842" spans="1:21">
      <c r="A14842">
        <v>14841</v>
      </c>
      <c r="B14842" s="27" t="s">
        <v>1124</v>
      </c>
      <c r="D14842" s="27" t="s">
        <v>1859</v>
      </c>
      <c r="F14842" s="27" t="s">
        <v>938</v>
      </c>
      <c r="G14842" s="27" t="s">
        <v>959</v>
      </c>
      <c r="H14842" s="27" t="s">
        <v>17007</v>
      </c>
      <c r="J14842" s="27" t="s">
        <v>17036</v>
      </c>
      <c r="L14842" s="27" t="s">
        <v>730</v>
      </c>
      <c r="N14842" s="27" t="s">
        <v>183</v>
      </c>
      <c r="P14842" s="27" t="s">
        <v>10280</v>
      </c>
      <c r="Q14842" s="26" t="str">
        <f>HYPERLINK("https://ictv.global/taxonomy/taxondetails?taxnode_id=202507612&amp;ictv_id=ICTV201907612","ICTV201907612")</f>
        <v>ICTV201907612</v>
      </c>
      <c r="R14842" t="s">
        <v>657</v>
      </c>
      <c r="S14842" t="s">
        <v>22763</v>
      </c>
      <c r="T14842">
        <v>39</v>
      </c>
      <c r="U14842" s="26" t="str">
        <f t="shared" si="557"/>
        <v>2023.024M.Bunyaviricetes.zip</v>
      </c>
    </row>
    <row r="14843" spans="1:21">
      <c r="A14843">
        <v>14842</v>
      </c>
      <c r="B14843" s="27" t="s">
        <v>1124</v>
      </c>
      <c r="D14843" s="27" t="s">
        <v>1859</v>
      </c>
      <c r="F14843" s="27" t="s">
        <v>938</v>
      </c>
      <c r="G14843" s="27" t="s">
        <v>959</v>
      </c>
      <c r="H14843" s="27" t="s">
        <v>17007</v>
      </c>
      <c r="J14843" s="27" t="s">
        <v>17036</v>
      </c>
      <c r="L14843" s="27" t="s">
        <v>730</v>
      </c>
      <c r="N14843" s="27" t="s">
        <v>183</v>
      </c>
      <c r="P14843" s="27" t="s">
        <v>10281</v>
      </c>
      <c r="Q14843" s="26" t="str">
        <f>HYPERLINK("https://ictv.global/taxonomy/taxondetails?taxnode_id=202507608&amp;ictv_id=ICTV201907608","ICTV201907608")</f>
        <v>ICTV201907608</v>
      </c>
      <c r="R14843" t="s">
        <v>657</v>
      </c>
      <c r="S14843" t="s">
        <v>22763</v>
      </c>
      <c r="T14843">
        <v>39</v>
      </c>
      <c r="U14843" s="26" t="str">
        <f t="shared" si="557"/>
        <v>2023.024M.Bunyaviricetes.zip</v>
      </c>
    </row>
    <row r="14844" spans="1:21">
      <c r="A14844">
        <v>14843</v>
      </c>
      <c r="B14844" s="27" t="s">
        <v>1124</v>
      </c>
      <c r="D14844" s="27" t="s">
        <v>1859</v>
      </c>
      <c r="F14844" s="27" t="s">
        <v>938</v>
      </c>
      <c r="G14844" s="27" t="s">
        <v>959</v>
      </c>
      <c r="H14844" s="27" t="s">
        <v>17007</v>
      </c>
      <c r="J14844" s="27" t="s">
        <v>17036</v>
      </c>
      <c r="L14844" s="27" t="s">
        <v>730</v>
      </c>
      <c r="N14844" s="27" t="s">
        <v>183</v>
      </c>
      <c r="P14844" s="27" t="s">
        <v>10282</v>
      </c>
      <c r="Q14844" s="26" t="str">
        <f>HYPERLINK("https://ictv.global/taxonomy/taxondetails?taxnode_id=202507616&amp;ictv_id=ICTV201907616","ICTV201907616")</f>
        <v>ICTV201907616</v>
      </c>
      <c r="R14844" t="s">
        <v>657</v>
      </c>
      <c r="S14844" t="s">
        <v>22763</v>
      </c>
      <c r="T14844">
        <v>39</v>
      </c>
      <c r="U14844" s="26" t="str">
        <f t="shared" si="557"/>
        <v>2023.024M.Bunyaviricetes.zip</v>
      </c>
    </row>
    <row r="14845" spans="1:21">
      <c r="A14845">
        <v>14844</v>
      </c>
      <c r="B14845" s="27" t="s">
        <v>1124</v>
      </c>
      <c r="D14845" s="27" t="s">
        <v>1859</v>
      </c>
      <c r="F14845" s="27" t="s">
        <v>938</v>
      </c>
      <c r="G14845" s="27" t="s">
        <v>959</v>
      </c>
      <c r="H14845" s="27" t="s">
        <v>17007</v>
      </c>
      <c r="J14845" s="27" t="s">
        <v>17036</v>
      </c>
      <c r="L14845" s="27" t="s">
        <v>730</v>
      </c>
      <c r="N14845" s="27" t="s">
        <v>183</v>
      </c>
      <c r="P14845" s="27" t="s">
        <v>10283</v>
      </c>
      <c r="Q14845" s="26" t="str">
        <f>HYPERLINK("https://ictv.global/taxonomy/taxondetails?taxnode_id=202507598&amp;ictv_id=ICTV201907598","ICTV201907598")</f>
        <v>ICTV201907598</v>
      </c>
      <c r="R14845" t="s">
        <v>657</v>
      </c>
      <c r="S14845" t="s">
        <v>22763</v>
      </c>
      <c r="T14845">
        <v>39</v>
      </c>
      <c r="U14845" s="26" t="str">
        <f t="shared" si="557"/>
        <v>2023.024M.Bunyaviricetes.zip</v>
      </c>
    </row>
    <row r="14846" spans="1:21">
      <c r="A14846">
        <v>14845</v>
      </c>
      <c r="B14846" s="27" t="s">
        <v>1124</v>
      </c>
      <c r="D14846" s="27" t="s">
        <v>1859</v>
      </c>
      <c r="F14846" s="27" t="s">
        <v>938</v>
      </c>
      <c r="G14846" s="27" t="s">
        <v>959</v>
      </c>
      <c r="H14846" s="27" t="s">
        <v>17007</v>
      </c>
      <c r="J14846" s="27" t="s">
        <v>17036</v>
      </c>
      <c r="L14846" s="27" t="s">
        <v>730</v>
      </c>
      <c r="N14846" s="27" t="s">
        <v>183</v>
      </c>
      <c r="P14846" s="27" t="s">
        <v>10284</v>
      </c>
      <c r="Q14846" s="26" t="str">
        <f>HYPERLINK("https://ictv.global/taxonomy/taxondetails?taxnode_id=202500162&amp;ictv_id=ICTV19990692","ICTV19990692")</f>
        <v>ICTV19990692</v>
      </c>
      <c r="R14846" t="s">
        <v>657</v>
      </c>
      <c r="S14846" t="s">
        <v>22763</v>
      </c>
      <c r="T14846">
        <v>39</v>
      </c>
      <c r="U14846" s="26" t="str">
        <f t="shared" si="557"/>
        <v>2023.024M.Bunyaviricetes.zip</v>
      </c>
    </row>
    <row r="14847" spans="1:21">
      <c r="A14847">
        <v>14846</v>
      </c>
      <c r="B14847" s="27" t="s">
        <v>1124</v>
      </c>
      <c r="D14847" s="27" t="s">
        <v>1859</v>
      </c>
      <c r="F14847" s="27" t="s">
        <v>938</v>
      </c>
      <c r="G14847" s="27" t="s">
        <v>959</v>
      </c>
      <c r="H14847" s="27" t="s">
        <v>17007</v>
      </c>
      <c r="J14847" s="27" t="s">
        <v>17036</v>
      </c>
      <c r="L14847" s="27" t="s">
        <v>730</v>
      </c>
      <c r="N14847" s="27" t="s">
        <v>183</v>
      </c>
      <c r="P14847" s="27" t="s">
        <v>10285</v>
      </c>
      <c r="Q14847" s="26" t="str">
        <f>HYPERLINK("https://ictv.global/taxonomy/taxondetails?taxnode_id=202507610&amp;ictv_id=ICTV201907610","ICTV201907610")</f>
        <v>ICTV201907610</v>
      </c>
      <c r="R14847" t="s">
        <v>657</v>
      </c>
      <c r="S14847" t="s">
        <v>22763</v>
      </c>
      <c r="T14847">
        <v>39</v>
      </c>
      <c r="U14847" s="26" t="str">
        <f t="shared" si="557"/>
        <v>2023.024M.Bunyaviricetes.zip</v>
      </c>
    </row>
    <row r="14848" spans="1:21">
      <c r="A14848">
        <v>14847</v>
      </c>
      <c r="B14848" s="27" t="s">
        <v>1124</v>
      </c>
      <c r="D14848" s="27" t="s">
        <v>1859</v>
      </c>
      <c r="F14848" s="27" t="s">
        <v>938</v>
      </c>
      <c r="G14848" s="27" t="s">
        <v>959</v>
      </c>
      <c r="H14848" s="27" t="s">
        <v>17007</v>
      </c>
      <c r="J14848" s="27" t="s">
        <v>17036</v>
      </c>
      <c r="L14848" s="27" t="s">
        <v>730</v>
      </c>
      <c r="N14848" s="27" t="s">
        <v>183</v>
      </c>
      <c r="P14848" s="27" t="s">
        <v>10286</v>
      </c>
      <c r="Q14848" s="26" t="str">
        <f>HYPERLINK("https://ictv.global/taxonomy/taxondetails?taxnode_id=202507618&amp;ictv_id=ICTV201907618","ICTV201907618")</f>
        <v>ICTV201907618</v>
      </c>
      <c r="R14848" t="s">
        <v>657</v>
      </c>
      <c r="S14848" t="s">
        <v>22763</v>
      </c>
      <c r="T14848">
        <v>39</v>
      </c>
      <c r="U14848" s="26" t="str">
        <f t="shared" si="557"/>
        <v>2023.024M.Bunyaviricetes.zip</v>
      </c>
    </row>
    <row r="14849" spans="1:21">
      <c r="A14849">
        <v>14848</v>
      </c>
      <c r="B14849" s="27" t="s">
        <v>1124</v>
      </c>
      <c r="D14849" s="27" t="s">
        <v>1859</v>
      </c>
      <c r="F14849" s="27" t="s">
        <v>938</v>
      </c>
      <c r="G14849" s="27" t="s">
        <v>959</v>
      </c>
      <c r="H14849" s="27" t="s">
        <v>17007</v>
      </c>
      <c r="J14849" s="27" t="s">
        <v>17036</v>
      </c>
      <c r="L14849" s="27" t="s">
        <v>730</v>
      </c>
      <c r="N14849" s="27" t="s">
        <v>183</v>
      </c>
      <c r="P14849" s="27" t="s">
        <v>10287</v>
      </c>
      <c r="Q14849" s="26" t="str">
        <f>HYPERLINK("https://ictv.global/taxonomy/taxondetails?taxnode_id=202507628&amp;ictv_id=ICTV201907628","ICTV201907628")</f>
        <v>ICTV201907628</v>
      </c>
      <c r="R14849" t="s">
        <v>657</v>
      </c>
      <c r="S14849" t="s">
        <v>22763</v>
      </c>
      <c r="T14849">
        <v>39</v>
      </c>
      <c r="U14849" s="26" t="str">
        <f t="shared" si="557"/>
        <v>2023.024M.Bunyaviricetes.zip</v>
      </c>
    </row>
    <row r="14850" spans="1:21">
      <c r="A14850">
        <v>14849</v>
      </c>
      <c r="B14850" s="27" t="s">
        <v>1124</v>
      </c>
      <c r="D14850" s="27" t="s">
        <v>1859</v>
      </c>
      <c r="F14850" s="27" t="s">
        <v>938</v>
      </c>
      <c r="G14850" s="27" t="s">
        <v>959</v>
      </c>
      <c r="H14850" s="27" t="s">
        <v>17007</v>
      </c>
      <c r="J14850" s="27" t="s">
        <v>17036</v>
      </c>
      <c r="L14850" s="27" t="s">
        <v>730</v>
      </c>
      <c r="N14850" s="27" t="s">
        <v>183</v>
      </c>
      <c r="P14850" s="27" t="s">
        <v>10288</v>
      </c>
      <c r="Q14850" s="26" t="str">
        <f>HYPERLINK("https://ictv.global/taxonomy/taxondetails?taxnode_id=202507601&amp;ictv_id=ICTV201907601","ICTV201907601")</f>
        <v>ICTV201907601</v>
      </c>
      <c r="R14850" t="s">
        <v>657</v>
      </c>
      <c r="S14850" t="s">
        <v>22763</v>
      </c>
      <c r="T14850">
        <v>39</v>
      </c>
      <c r="U14850" s="26" t="str">
        <f t="shared" si="557"/>
        <v>2023.024M.Bunyaviricetes.zip</v>
      </c>
    </row>
    <row r="14851" spans="1:21">
      <c r="A14851">
        <v>14850</v>
      </c>
      <c r="B14851" s="27" t="s">
        <v>1124</v>
      </c>
      <c r="D14851" s="27" t="s">
        <v>1859</v>
      </c>
      <c r="F14851" s="27" t="s">
        <v>938</v>
      </c>
      <c r="G14851" s="27" t="s">
        <v>959</v>
      </c>
      <c r="H14851" s="27" t="s">
        <v>17007</v>
      </c>
      <c r="J14851" s="27" t="s">
        <v>17036</v>
      </c>
      <c r="L14851" s="27" t="s">
        <v>730</v>
      </c>
      <c r="N14851" s="27" t="s">
        <v>183</v>
      </c>
      <c r="P14851" s="27" t="s">
        <v>10289</v>
      </c>
      <c r="Q14851" s="26" t="str">
        <f>HYPERLINK("https://ictv.global/taxonomy/taxondetails?taxnode_id=202507603&amp;ictv_id=ICTV201907603","ICTV201907603")</f>
        <v>ICTV201907603</v>
      </c>
      <c r="R14851" t="s">
        <v>657</v>
      </c>
      <c r="S14851" t="s">
        <v>22763</v>
      </c>
      <c r="T14851">
        <v>39</v>
      </c>
      <c r="U14851" s="26" t="str">
        <f t="shared" si="557"/>
        <v>2023.024M.Bunyaviricetes.zip</v>
      </c>
    </row>
    <row r="14852" spans="1:21">
      <c r="A14852">
        <v>14851</v>
      </c>
      <c r="B14852" s="27" t="s">
        <v>1124</v>
      </c>
      <c r="D14852" s="27" t="s">
        <v>1859</v>
      </c>
      <c r="F14852" s="27" t="s">
        <v>938</v>
      </c>
      <c r="G14852" s="27" t="s">
        <v>959</v>
      </c>
      <c r="H14852" s="27" t="s">
        <v>17007</v>
      </c>
      <c r="J14852" s="27" t="s">
        <v>17036</v>
      </c>
      <c r="L14852" s="27" t="s">
        <v>730</v>
      </c>
      <c r="N14852" s="27" t="s">
        <v>183</v>
      </c>
      <c r="P14852" s="27" t="s">
        <v>21535</v>
      </c>
      <c r="Q14852" s="26" t="str">
        <f>HYPERLINK("https://ictv.global/taxonomy/taxondetails?taxnode_id=202522404&amp;ictv_id=ICTV202522404","ICTV202522404")</f>
        <v>ICTV202522404</v>
      </c>
      <c r="R14852" t="s">
        <v>657</v>
      </c>
      <c r="S14852" t="s">
        <v>823</v>
      </c>
      <c r="T14852">
        <v>41</v>
      </c>
      <c r="U14852" s="26" t="str">
        <f>HYPERLINK("https://ictv.global/ictv/proposals/2025.008M.Phenuiviridae_62nsp+1asp.zip","2025.008M.Phenuiviridae_62nsp+1asp.zip")</f>
        <v>2025.008M.Phenuiviridae_62nsp+1asp.zip</v>
      </c>
    </row>
    <row r="14853" spans="1:21">
      <c r="A14853">
        <v>14852</v>
      </c>
      <c r="B14853" s="27" t="s">
        <v>1124</v>
      </c>
      <c r="D14853" s="27" t="s">
        <v>1859</v>
      </c>
      <c r="F14853" s="27" t="s">
        <v>938</v>
      </c>
      <c r="G14853" s="27" t="s">
        <v>959</v>
      </c>
      <c r="H14853" s="27" t="s">
        <v>17007</v>
      </c>
      <c r="J14853" s="27" t="s">
        <v>17036</v>
      </c>
      <c r="L14853" s="27" t="s">
        <v>730</v>
      </c>
      <c r="N14853" s="27" t="s">
        <v>183</v>
      </c>
      <c r="P14853" s="27" t="s">
        <v>10290</v>
      </c>
      <c r="Q14853" s="26" t="str">
        <f>HYPERLINK("https://ictv.global/taxonomy/taxondetails?taxnode_id=202507617&amp;ictv_id=ICTV201907617","ICTV201907617")</f>
        <v>ICTV201907617</v>
      </c>
      <c r="R14853" t="s">
        <v>657</v>
      </c>
      <c r="S14853" t="s">
        <v>22763</v>
      </c>
      <c r="T14853">
        <v>39</v>
      </c>
      <c r="U14853" s="26" t="str">
        <f t="shared" ref="U14853:U14862" si="558">HYPERLINK("https://ictv.global/ictv/proposals/2023.024M.Bunyaviricetes.zip","2023.024M.Bunyaviricetes.zip")</f>
        <v>2023.024M.Bunyaviricetes.zip</v>
      </c>
    </row>
    <row r="14854" spans="1:21">
      <c r="A14854">
        <v>14853</v>
      </c>
      <c r="B14854" s="27" t="s">
        <v>1124</v>
      </c>
      <c r="D14854" s="27" t="s">
        <v>1859</v>
      </c>
      <c r="F14854" s="27" t="s">
        <v>938</v>
      </c>
      <c r="G14854" s="27" t="s">
        <v>959</v>
      </c>
      <c r="H14854" s="27" t="s">
        <v>17007</v>
      </c>
      <c r="J14854" s="27" t="s">
        <v>17036</v>
      </c>
      <c r="L14854" s="27" t="s">
        <v>730</v>
      </c>
      <c r="N14854" s="27" t="s">
        <v>978</v>
      </c>
      <c r="P14854" s="27" t="s">
        <v>10291</v>
      </c>
      <c r="Q14854" s="26" t="str">
        <f>HYPERLINK("https://ictv.global/taxonomy/taxondetails?taxnode_id=202506236&amp;ictv_id=ICTV20186236","ICTV20186236")</f>
        <v>ICTV20186236</v>
      </c>
      <c r="R14854" t="s">
        <v>580</v>
      </c>
      <c r="S14854" t="s">
        <v>22763</v>
      </c>
      <c r="T14854">
        <v>39</v>
      </c>
      <c r="U14854" s="26" t="str">
        <f t="shared" si="558"/>
        <v>2023.024M.Bunyaviricetes.zip</v>
      </c>
    </row>
    <row r="14855" spans="1:21">
      <c r="A14855">
        <v>14854</v>
      </c>
      <c r="B14855" s="27" t="s">
        <v>1124</v>
      </c>
      <c r="D14855" s="27" t="s">
        <v>1859</v>
      </c>
      <c r="F14855" s="27" t="s">
        <v>938</v>
      </c>
      <c r="G14855" s="27" t="s">
        <v>959</v>
      </c>
      <c r="H14855" s="27" t="s">
        <v>17007</v>
      </c>
      <c r="J14855" s="27" t="s">
        <v>17036</v>
      </c>
      <c r="L14855" s="27" t="s">
        <v>730</v>
      </c>
      <c r="N14855" s="27" t="s">
        <v>978</v>
      </c>
      <c r="P14855" s="27" t="s">
        <v>10292</v>
      </c>
      <c r="Q14855" s="26" t="str">
        <f>HYPERLINK("https://ictv.global/taxonomy/taxondetails?taxnode_id=202509829&amp;ictv_id=ICTV202009829","ICTV202009829")</f>
        <v>ICTV202009829</v>
      </c>
      <c r="R14855" t="s">
        <v>580</v>
      </c>
      <c r="S14855" t="s">
        <v>22763</v>
      </c>
      <c r="T14855">
        <v>39</v>
      </c>
      <c r="U14855" s="26" t="str">
        <f t="shared" si="558"/>
        <v>2023.024M.Bunyaviricetes.zip</v>
      </c>
    </row>
    <row r="14856" spans="1:21">
      <c r="A14856">
        <v>14855</v>
      </c>
      <c r="B14856" s="27" t="s">
        <v>1124</v>
      </c>
      <c r="D14856" s="27" t="s">
        <v>1859</v>
      </c>
      <c r="F14856" s="27" t="s">
        <v>938</v>
      </c>
      <c r="G14856" s="27" t="s">
        <v>959</v>
      </c>
      <c r="H14856" s="27" t="s">
        <v>17007</v>
      </c>
      <c r="J14856" s="27" t="s">
        <v>17036</v>
      </c>
      <c r="L14856" s="27" t="s">
        <v>730</v>
      </c>
      <c r="N14856" s="27" t="s">
        <v>1907</v>
      </c>
      <c r="P14856" s="27" t="s">
        <v>10293</v>
      </c>
      <c r="Q14856" s="26" t="str">
        <f>HYPERLINK("https://ictv.global/taxonomy/taxondetails?taxnode_id=202509837&amp;ictv_id=ICTV202009837","ICTV202009837")</f>
        <v>ICTV202009837</v>
      </c>
      <c r="R14856" t="s">
        <v>580</v>
      </c>
      <c r="S14856" t="s">
        <v>22763</v>
      </c>
      <c r="T14856">
        <v>39</v>
      </c>
      <c r="U14856" s="26" t="str">
        <f t="shared" si="558"/>
        <v>2023.024M.Bunyaviricetes.zip</v>
      </c>
    </row>
    <row r="14857" spans="1:21">
      <c r="A14857">
        <v>14856</v>
      </c>
      <c r="B14857" s="27" t="s">
        <v>1124</v>
      </c>
      <c r="D14857" s="27" t="s">
        <v>1859</v>
      </c>
      <c r="F14857" s="27" t="s">
        <v>938</v>
      </c>
      <c r="G14857" s="27" t="s">
        <v>959</v>
      </c>
      <c r="H14857" s="27" t="s">
        <v>17007</v>
      </c>
      <c r="J14857" s="27" t="s">
        <v>17036</v>
      </c>
      <c r="L14857" s="27" t="s">
        <v>730</v>
      </c>
      <c r="N14857" s="27" t="s">
        <v>1907</v>
      </c>
      <c r="P14857" s="27" t="s">
        <v>10294</v>
      </c>
      <c r="Q14857" s="26" t="str">
        <f>HYPERLINK("https://ictv.global/taxonomy/taxondetails?taxnode_id=202509836&amp;ictv_id=ICTV202009836","ICTV202009836")</f>
        <v>ICTV202009836</v>
      </c>
      <c r="R14857" t="s">
        <v>580</v>
      </c>
      <c r="S14857" t="s">
        <v>22763</v>
      </c>
      <c r="T14857">
        <v>39</v>
      </c>
      <c r="U14857" s="26" t="str">
        <f t="shared" si="558"/>
        <v>2023.024M.Bunyaviricetes.zip</v>
      </c>
    </row>
    <row r="14858" spans="1:21">
      <c r="A14858">
        <v>14857</v>
      </c>
      <c r="B14858" s="27" t="s">
        <v>1124</v>
      </c>
      <c r="D14858" s="27" t="s">
        <v>1859</v>
      </c>
      <c r="F14858" s="27" t="s">
        <v>938</v>
      </c>
      <c r="G14858" s="27" t="s">
        <v>959</v>
      </c>
      <c r="H14858" s="27" t="s">
        <v>17007</v>
      </c>
      <c r="J14858" s="27" t="s">
        <v>17036</v>
      </c>
      <c r="L14858" s="27" t="s">
        <v>730</v>
      </c>
      <c r="N14858" s="27" t="s">
        <v>1907</v>
      </c>
      <c r="P14858" s="27" t="s">
        <v>10295</v>
      </c>
      <c r="Q14858" s="26" t="str">
        <f>HYPERLINK("https://ictv.global/taxonomy/taxondetails?taxnode_id=202507648&amp;ictv_id=ICTV201907648","ICTV201907648")</f>
        <v>ICTV201907648</v>
      </c>
      <c r="R14858" t="s">
        <v>580</v>
      </c>
      <c r="S14858" t="s">
        <v>22763</v>
      </c>
      <c r="T14858">
        <v>39</v>
      </c>
      <c r="U14858" s="26" t="str">
        <f t="shared" si="558"/>
        <v>2023.024M.Bunyaviricetes.zip</v>
      </c>
    </row>
    <row r="14859" spans="1:21">
      <c r="A14859">
        <v>14858</v>
      </c>
      <c r="B14859" s="27" t="s">
        <v>1124</v>
      </c>
      <c r="D14859" s="27" t="s">
        <v>1859</v>
      </c>
      <c r="F14859" s="27" t="s">
        <v>938</v>
      </c>
      <c r="G14859" s="27" t="s">
        <v>959</v>
      </c>
      <c r="H14859" s="27" t="s">
        <v>17007</v>
      </c>
      <c r="J14859" s="27" t="s">
        <v>17036</v>
      </c>
      <c r="L14859" s="27" t="s">
        <v>730</v>
      </c>
      <c r="N14859" s="27" t="s">
        <v>1907</v>
      </c>
      <c r="P14859" s="27" t="s">
        <v>10296</v>
      </c>
      <c r="Q14859" s="26" t="str">
        <f>HYPERLINK("https://ictv.global/taxonomy/taxondetails?taxnode_id=202507649&amp;ictv_id=ICTV201907649","ICTV201907649")</f>
        <v>ICTV201907649</v>
      </c>
      <c r="R14859" t="s">
        <v>580</v>
      </c>
      <c r="S14859" t="s">
        <v>22763</v>
      </c>
      <c r="T14859">
        <v>39</v>
      </c>
      <c r="U14859" s="26" t="str">
        <f t="shared" si="558"/>
        <v>2023.024M.Bunyaviricetes.zip</v>
      </c>
    </row>
    <row r="14860" spans="1:21">
      <c r="A14860">
        <v>14859</v>
      </c>
      <c r="B14860" s="27" t="s">
        <v>1124</v>
      </c>
      <c r="D14860" s="27" t="s">
        <v>1859</v>
      </c>
      <c r="F14860" s="27" t="s">
        <v>938</v>
      </c>
      <c r="G14860" s="27" t="s">
        <v>959</v>
      </c>
      <c r="H14860" s="27" t="s">
        <v>17007</v>
      </c>
      <c r="J14860" s="27" t="s">
        <v>17036</v>
      </c>
      <c r="L14860" s="27" t="s">
        <v>730</v>
      </c>
      <c r="N14860" s="27" t="s">
        <v>3593</v>
      </c>
      <c r="P14860" s="27" t="s">
        <v>10297</v>
      </c>
      <c r="Q14860" s="26" t="str">
        <f>HYPERLINK("https://ictv.global/taxonomy/taxondetails?taxnode_id=202509842&amp;ictv_id=ICTV202009842","ICTV202009842")</f>
        <v>ICTV202009842</v>
      </c>
      <c r="R14860" t="s">
        <v>580</v>
      </c>
      <c r="S14860" t="s">
        <v>22763</v>
      </c>
      <c r="T14860">
        <v>39</v>
      </c>
      <c r="U14860" s="26" t="str">
        <f t="shared" si="558"/>
        <v>2023.024M.Bunyaviricetes.zip</v>
      </c>
    </row>
    <row r="14861" spans="1:21">
      <c r="A14861">
        <v>14860</v>
      </c>
      <c r="B14861" s="27" t="s">
        <v>1124</v>
      </c>
      <c r="D14861" s="27" t="s">
        <v>1859</v>
      </c>
      <c r="F14861" s="27" t="s">
        <v>938</v>
      </c>
      <c r="G14861" s="27" t="s">
        <v>959</v>
      </c>
      <c r="H14861" s="27" t="s">
        <v>17007</v>
      </c>
      <c r="J14861" s="27" t="s">
        <v>17036</v>
      </c>
      <c r="L14861" s="27" t="s">
        <v>730</v>
      </c>
      <c r="N14861" s="27" t="s">
        <v>265</v>
      </c>
      <c r="P14861" s="27" t="s">
        <v>10298</v>
      </c>
      <c r="Q14861" s="26" t="str">
        <f>HYPERLINK("https://ictv.global/taxonomy/taxondetails?taxnode_id=202500169&amp;ictv_id=ICTV19982698","ICTV19982698")</f>
        <v>ICTV19982698</v>
      </c>
      <c r="R14861" t="s">
        <v>657</v>
      </c>
      <c r="S14861" t="s">
        <v>22763</v>
      </c>
      <c r="T14861">
        <v>39</v>
      </c>
      <c r="U14861" s="26" t="str">
        <f t="shared" si="558"/>
        <v>2023.024M.Bunyaviricetes.zip</v>
      </c>
    </row>
    <row r="14862" spans="1:21">
      <c r="A14862">
        <v>14861</v>
      </c>
      <c r="B14862" s="27" t="s">
        <v>1124</v>
      </c>
      <c r="D14862" s="27" t="s">
        <v>1859</v>
      </c>
      <c r="F14862" s="27" t="s">
        <v>938</v>
      </c>
      <c r="G14862" s="27" t="s">
        <v>959</v>
      </c>
      <c r="H14862" s="27" t="s">
        <v>17007</v>
      </c>
      <c r="J14862" s="27" t="s">
        <v>17036</v>
      </c>
      <c r="L14862" s="27" t="s">
        <v>730</v>
      </c>
      <c r="N14862" s="27" t="s">
        <v>265</v>
      </c>
      <c r="P14862" s="27" t="s">
        <v>10299</v>
      </c>
      <c r="Q14862" s="26" t="str">
        <f>HYPERLINK("https://ictv.global/taxonomy/taxondetails?taxnode_id=202509830&amp;ictv_id=ICTV202009830","ICTV202009830")</f>
        <v>ICTV202009830</v>
      </c>
      <c r="R14862" t="s">
        <v>657</v>
      </c>
      <c r="S14862" t="s">
        <v>22763</v>
      </c>
      <c r="T14862">
        <v>39</v>
      </c>
      <c r="U14862" s="26" t="str">
        <f t="shared" si="558"/>
        <v>2023.024M.Bunyaviricetes.zip</v>
      </c>
    </row>
    <row r="14863" spans="1:21">
      <c r="A14863">
        <v>14862</v>
      </c>
      <c r="B14863" s="27" t="s">
        <v>1124</v>
      </c>
      <c r="D14863" s="27" t="s">
        <v>1859</v>
      </c>
      <c r="F14863" s="27" t="s">
        <v>938</v>
      </c>
      <c r="G14863" s="27" t="s">
        <v>959</v>
      </c>
      <c r="H14863" s="27" t="s">
        <v>17007</v>
      </c>
      <c r="J14863" s="27" t="s">
        <v>17036</v>
      </c>
      <c r="L14863" s="27" t="s">
        <v>730</v>
      </c>
      <c r="N14863" s="27" t="s">
        <v>265</v>
      </c>
      <c r="P14863" s="27" t="s">
        <v>17065</v>
      </c>
      <c r="Q14863" s="26" t="str">
        <f>HYPERLINK("https://ictv.global/taxonomy/taxondetails?taxnode_id=202518488&amp;ictv_id=ICTV202318488","ICTV202318488")</f>
        <v>ICTV202318488</v>
      </c>
      <c r="R14863" t="s">
        <v>580</v>
      </c>
      <c r="S14863" t="s">
        <v>823</v>
      </c>
      <c r="T14863">
        <v>39</v>
      </c>
      <c r="U14863" s="26" t="str">
        <f>HYPERLINK("https://ictv.global/ictv/proposals/2023.020M.Phenuiviridae_4nsp.zip","2023.020M.Phenuiviridae_4nsp.zip")</f>
        <v>2023.020M.Phenuiviridae_4nsp.zip</v>
      </c>
    </row>
    <row r="14864" spans="1:21">
      <c r="A14864">
        <v>14863</v>
      </c>
      <c r="B14864" s="27" t="s">
        <v>1124</v>
      </c>
      <c r="D14864" s="27" t="s">
        <v>1859</v>
      </c>
      <c r="F14864" s="27" t="s">
        <v>938</v>
      </c>
      <c r="G14864" s="27" t="s">
        <v>959</v>
      </c>
      <c r="H14864" s="27" t="s">
        <v>17007</v>
      </c>
      <c r="J14864" s="27" t="s">
        <v>17036</v>
      </c>
      <c r="L14864" s="27" t="s">
        <v>730</v>
      </c>
      <c r="N14864" s="27" t="s">
        <v>265</v>
      </c>
      <c r="P14864" s="27" t="s">
        <v>17066</v>
      </c>
      <c r="Q14864" s="26" t="str">
        <f>HYPERLINK("https://ictv.global/taxonomy/taxondetails?taxnode_id=202518489&amp;ictv_id=ICTV202318489","ICTV202318489")</f>
        <v>ICTV202318489</v>
      </c>
      <c r="R14864" t="s">
        <v>580</v>
      </c>
      <c r="S14864" t="s">
        <v>823</v>
      </c>
      <c r="T14864">
        <v>39</v>
      </c>
      <c r="U14864" s="26" t="str">
        <f>HYPERLINK("https://ictv.global/ictv/proposals/2023.020M.Phenuiviridae_4nsp.zip","2023.020M.Phenuiviridae_4nsp.zip")</f>
        <v>2023.020M.Phenuiviridae_4nsp.zip</v>
      </c>
    </row>
    <row r="14865" spans="1:21">
      <c r="A14865">
        <v>14864</v>
      </c>
      <c r="B14865" s="27" t="s">
        <v>1124</v>
      </c>
      <c r="D14865" s="27" t="s">
        <v>1859</v>
      </c>
      <c r="F14865" s="27" t="s">
        <v>938</v>
      </c>
      <c r="G14865" s="27" t="s">
        <v>959</v>
      </c>
      <c r="H14865" s="27" t="s">
        <v>17007</v>
      </c>
      <c r="J14865" s="27" t="s">
        <v>17036</v>
      </c>
      <c r="L14865" s="27" t="s">
        <v>730</v>
      </c>
      <c r="N14865" s="27" t="s">
        <v>265</v>
      </c>
      <c r="P14865" s="27" t="s">
        <v>10300</v>
      </c>
      <c r="Q14865" s="26" t="str">
        <f>HYPERLINK("https://ictv.global/taxonomy/taxondetails?taxnode_id=202500172&amp;ictv_id=ICTV19911839","ICTV19911839")</f>
        <v>ICTV19911839</v>
      </c>
      <c r="R14865" t="s">
        <v>657</v>
      </c>
      <c r="S14865" t="s">
        <v>22763</v>
      </c>
      <c r="T14865">
        <v>39</v>
      </c>
      <c r="U14865" s="26" t="str">
        <f>HYPERLINK("https://ictv.global/ictv/proposals/2023.024M.Bunyaviricetes.zip","2023.024M.Bunyaviricetes.zip")</f>
        <v>2023.024M.Bunyaviricetes.zip</v>
      </c>
    </row>
    <row r="14866" spans="1:21">
      <c r="A14866">
        <v>14865</v>
      </c>
      <c r="B14866" s="27" t="s">
        <v>1124</v>
      </c>
      <c r="D14866" s="27" t="s">
        <v>1859</v>
      </c>
      <c r="F14866" s="27" t="s">
        <v>938</v>
      </c>
      <c r="G14866" s="27" t="s">
        <v>959</v>
      </c>
      <c r="H14866" s="27" t="s">
        <v>17007</v>
      </c>
      <c r="J14866" s="27" t="s">
        <v>17036</v>
      </c>
      <c r="L14866" s="27" t="s">
        <v>730</v>
      </c>
      <c r="N14866" s="27" t="s">
        <v>265</v>
      </c>
      <c r="P14866" s="27" t="s">
        <v>10301</v>
      </c>
      <c r="Q14866" s="26" t="str">
        <f>HYPERLINK("https://ictv.global/taxonomy/taxondetails?taxnode_id=202500174&amp;ictv_id=ICTV19841371","ICTV19841371")</f>
        <v>ICTV19841371</v>
      </c>
      <c r="R14866" t="s">
        <v>657</v>
      </c>
      <c r="S14866" t="s">
        <v>22763</v>
      </c>
      <c r="T14866">
        <v>39</v>
      </c>
      <c r="U14866" s="26" t="str">
        <f>HYPERLINK("https://ictv.global/ictv/proposals/2023.024M.Bunyaviricetes.zip","2023.024M.Bunyaviricetes.zip")</f>
        <v>2023.024M.Bunyaviricetes.zip</v>
      </c>
    </row>
    <row r="14867" spans="1:21">
      <c r="A14867">
        <v>14866</v>
      </c>
      <c r="B14867" s="27" t="s">
        <v>1124</v>
      </c>
      <c r="D14867" s="27" t="s">
        <v>1859</v>
      </c>
      <c r="F14867" s="27" t="s">
        <v>938</v>
      </c>
      <c r="G14867" s="27" t="s">
        <v>959</v>
      </c>
      <c r="H14867" s="27" t="s">
        <v>17007</v>
      </c>
      <c r="J14867" s="27" t="s">
        <v>17036</v>
      </c>
      <c r="L14867" s="27" t="s">
        <v>730</v>
      </c>
      <c r="N14867" s="27" t="s">
        <v>265</v>
      </c>
      <c r="P14867" s="27" t="s">
        <v>10302</v>
      </c>
      <c r="Q14867" s="26" t="str">
        <f>HYPERLINK("https://ictv.global/taxonomy/taxondetails?taxnode_id=202500173&amp;ictv_id=ICTV19952443","ICTV19952443")</f>
        <v>ICTV19952443</v>
      </c>
      <c r="R14867" t="s">
        <v>657</v>
      </c>
      <c r="S14867" t="s">
        <v>22763</v>
      </c>
      <c r="T14867">
        <v>39</v>
      </c>
      <c r="U14867" s="26" t="str">
        <f>HYPERLINK("https://ictv.global/ictv/proposals/2023.024M.Bunyaviricetes.zip","2023.024M.Bunyaviricetes.zip")</f>
        <v>2023.024M.Bunyaviricetes.zip</v>
      </c>
    </row>
    <row r="14868" spans="1:21">
      <c r="A14868">
        <v>14867</v>
      </c>
      <c r="B14868" s="27" t="s">
        <v>1124</v>
      </c>
      <c r="D14868" s="27" t="s">
        <v>1859</v>
      </c>
      <c r="F14868" s="27" t="s">
        <v>938</v>
      </c>
      <c r="G14868" s="27" t="s">
        <v>959</v>
      </c>
      <c r="H14868" s="27" t="s">
        <v>17007</v>
      </c>
      <c r="J14868" s="27" t="s">
        <v>17036</v>
      </c>
      <c r="L14868" s="27" t="s">
        <v>730</v>
      </c>
      <c r="N14868" s="27" t="s">
        <v>265</v>
      </c>
      <c r="P14868" s="27" t="s">
        <v>10303</v>
      </c>
      <c r="Q14868" s="26" t="str">
        <f>HYPERLINK("https://ictv.global/taxonomy/taxondetails?taxnode_id=202500170&amp;ictv_id=ICTV20125749","ICTV20125749")</f>
        <v>ICTV20125749</v>
      </c>
      <c r="R14868" t="s">
        <v>657</v>
      </c>
      <c r="S14868" t="s">
        <v>22763</v>
      </c>
      <c r="T14868">
        <v>39</v>
      </c>
      <c r="U14868" s="26" t="str">
        <f>HYPERLINK("https://ictv.global/ictv/proposals/2023.024M.Bunyaviricetes.zip","2023.024M.Bunyaviricetes.zip")</f>
        <v>2023.024M.Bunyaviricetes.zip</v>
      </c>
    </row>
    <row r="14869" spans="1:21">
      <c r="A14869">
        <v>14868</v>
      </c>
      <c r="B14869" s="27" t="s">
        <v>1124</v>
      </c>
      <c r="D14869" s="27" t="s">
        <v>1859</v>
      </c>
      <c r="F14869" s="27" t="s">
        <v>938</v>
      </c>
      <c r="G14869" s="27" t="s">
        <v>959</v>
      </c>
      <c r="H14869" s="27" t="s">
        <v>17007</v>
      </c>
      <c r="J14869" s="27" t="s">
        <v>17036</v>
      </c>
      <c r="L14869" s="27" t="s">
        <v>730</v>
      </c>
      <c r="N14869" s="27" t="s">
        <v>265</v>
      </c>
      <c r="P14869" s="27" t="s">
        <v>17067</v>
      </c>
      <c r="Q14869" s="26" t="str">
        <f>HYPERLINK("https://ictv.global/taxonomy/taxondetails?taxnode_id=202518490&amp;ictv_id=ICTV202318490","ICTV202318490")</f>
        <v>ICTV202318490</v>
      </c>
      <c r="R14869" t="s">
        <v>580</v>
      </c>
      <c r="S14869" t="s">
        <v>823</v>
      </c>
      <c r="T14869">
        <v>39</v>
      </c>
      <c r="U14869" s="26" t="str">
        <f>HYPERLINK("https://ictv.global/ictv/proposals/2023.020M.Phenuiviridae_4nsp.zip","2023.020M.Phenuiviridae_4nsp.zip")</f>
        <v>2023.020M.Phenuiviridae_4nsp.zip</v>
      </c>
    </row>
    <row r="14870" spans="1:21">
      <c r="A14870">
        <v>14869</v>
      </c>
      <c r="B14870" s="27" t="s">
        <v>1124</v>
      </c>
      <c r="D14870" s="27" t="s">
        <v>1859</v>
      </c>
      <c r="F14870" s="27" t="s">
        <v>938</v>
      </c>
      <c r="G14870" s="27" t="s">
        <v>959</v>
      </c>
      <c r="H14870" s="27" t="s">
        <v>17007</v>
      </c>
      <c r="J14870" s="27" t="s">
        <v>17036</v>
      </c>
      <c r="L14870" s="27" t="s">
        <v>730</v>
      </c>
      <c r="N14870" s="27" t="s">
        <v>265</v>
      </c>
      <c r="P14870" s="27" t="s">
        <v>10304</v>
      </c>
      <c r="Q14870" s="26" t="str">
        <f>HYPERLINK("https://ictv.global/taxonomy/taxondetails?taxnode_id=202500175&amp;ictv_id=ICTV19991874","ICTV19991874")</f>
        <v>ICTV19991874</v>
      </c>
      <c r="R14870" t="s">
        <v>657</v>
      </c>
      <c r="S14870" t="s">
        <v>22763</v>
      </c>
      <c r="T14870">
        <v>39</v>
      </c>
      <c r="U14870" s="26" t="str">
        <f>HYPERLINK("https://ictv.global/ictv/proposals/2023.024M.Bunyaviricetes.zip","2023.024M.Bunyaviricetes.zip")</f>
        <v>2023.024M.Bunyaviricetes.zip</v>
      </c>
    </row>
    <row r="14871" spans="1:21">
      <c r="A14871">
        <v>14870</v>
      </c>
      <c r="B14871" s="27" t="s">
        <v>1124</v>
      </c>
      <c r="D14871" s="27" t="s">
        <v>1859</v>
      </c>
      <c r="F14871" s="27" t="s">
        <v>938</v>
      </c>
      <c r="G14871" s="27" t="s">
        <v>959</v>
      </c>
      <c r="H14871" s="27" t="s">
        <v>17007</v>
      </c>
      <c r="J14871" s="27" t="s">
        <v>17036</v>
      </c>
      <c r="L14871" s="27" t="s">
        <v>730</v>
      </c>
      <c r="N14871" s="27" t="s">
        <v>265</v>
      </c>
      <c r="P14871" s="27" t="s">
        <v>10305</v>
      </c>
      <c r="Q14871" s="26" t="str">
        <f>HYPERLINK("https://ictv.global/taxonomy/taxondetails?taxnode_id=202500171&amp;ictv_id=ICTV19911838","ICTV19911838")</f>
        <v>ICTV19911838</v>
      </c>
      <c r="R14871" t="s">
        <v>657</v>
      </c>
      <c r="S14871" t="s">
        <v>22763</v>
      </c>
      <c r="T14871">
        <v>39</v>
      </c>
      <c r="U14871" s="26" t="str">
        <f>HYPERLINK("https://ictv.global/ictv/proposals/2023.024M.Bunyaviricetes.zip","2023.024M.Bunyaviricetes.zip")</f>
        <v>2023.024M.Bunyaviricetes.zip</v>
      </c>
    </row>
    <row r="14872" spans="1:21">
      <c r="A14872">
        <v>14871</v>
      </c>
      <c r="B14872" s="27" t="s">
        <v>1124</v>
      </c>
      <c r="D14872" s="27" t="s">
        <v>1859</v>
      </c>
      <c r="F14872" s="27" t="s">
        <v>938</v>
      </c>
      <c r="G14872" s="27" t="s">
        <v>959</v>
      </c>
      <c r="H14872" s="27" t="s">
        <v>17007</v>
      </c>
      <c r="J14872" s="27" t="s">
        <v>17036</v>
      </c>
      <c r="L14872" s="27" t="s">
        <v>730</v>
      </c>
      <c r="N14872" s="27" t="s">
        <v>1908</v>
      </c>
      <c r="P14872" s="27" t="s">
        <v>21542</v>
      </c>
      <c r="Q14872" s="26" t="str">
        <f>HYPERLINK("https://ictv.global/taxonomy/taxondetails?taxnode_id=202522411&amp;ictv_id=ICTV202522411","ICTV202522411")</f>
        <v>ICTV202522411</v>
      </c>
      <c r="R14872" t="s">
        <v>580</v>
      </c>
      <c r="S14872" t="s">
        <v>823</v>
      </c>
      <c r="T14872">
        <v>41</v>
      </c>
      <c r="U14872" s="26" t="str">
        <f t="shared" ref="U14872:U14877" si="559">HYPERLINK("https://ictv.global/ictv/proposals/2025.008M.Phenuiviridae_62nsp+1asp.zip","2025.008M.Phenuiviridae_62nsp+1asp.zip")</f>
        <v>2025.008M.Phenuiviridae_62nsp+1asp.zip</v>
      </c>
    </row>
    <row r="14873" spans="1:21">
      <c r="A14873">
        <v>14872</v>
      </c>
      <c r="B14873" s="27" t="s">
        <v>1124</v>
      </c>
      <c r="D14873" s="27" t="s">
        <v>1859</v>
      </c>
      <c r="F14873" s="27" t="s">
        <v>938</v>
      </c>
      <c r="G14873" s="27" t="s">
        <v>959</v>
      </c>
      <c r="H14873" s="27" t="s">
        <v>17007</v>
      </c>
      <c r="J14873" s="27" t="s">
        <v>17036</v>
      </c>
      <c r="L14873" s="27" t="s">
        <v>730</v>
      </c>
      <c r="N14873" s="27" t="s">
        <v>1908</v>
      </c>
      <c r="P14873" s="27" t="s">
        <v>21545</v>
      </c>
      <c r="Q14873" s="26" t="str">
        <f>HYPERLINK("https://ictv.global/taxonomy/taxondetails?taxnode_id=202522414&amp;ictv_id=ICTV202522414","ICTV202522414")</f>
        <v>ICTV202522414</v>
      </c>
      <c r="R14873" t="s">
        <v>580</v>
      </c>
      <c r="S14873" t="s">
        <v>823</v>
      </c>
      <c r="T14873">
        <v>41</v>
      </c>
      <c r="U14873" s="26" t="str">
        <f t="shared" si="559"/>
        <v>2025.008M.Phenuiviridae_62nsp+1asp.zip</v>
      </c>
    </row>
    <row r="14874" spans="1:21">
      <c r="A14874">
        <v>14873</v>
      </c>
      <c r="B14874" s="27" t="s">
        <v>1124</v>
      </c>
      <c r="D14874" s="27" t="s">
        <v>1859</v>
      </c>
      <c r="F14874" s="27" t="s">
        <v>938</v>
      </c>
      <c r="G14874" s="27" t="s">
        <v>959</v>
      </c>
      <c r="H14874" s="27" t="s">
        <v>17007</v>
      </c>
      <c r="J14874" s="27" t="s">
        <v>17036</v>
      </c>
      <c r="L14874" s="27" t="s">
        <v>730</v>
      </c>
      <c r="N14874" s="27" t="s">
        <v>1908</v>
      </c>
      <c r="P14874" s="27" t="s">
        <v>21548</v>
      </c>
      <c r="Q14874" s="26" t="str">
        <f>HYPERLINK("https://ictv.global/taxonomy/taxondetails?taxnode_id=202522417&amp;ictv_id=ICTV202522417","ICTV202522417")</f>
        <v>ICTV202522417</v>
      </c>
      <c r="R14874" t="s">
        <v>580</v>
      </c>
      <c r="S14874" t="s">
        <v>823</v>
      </c>
      <c r="T14874">
        <v>41</v>
      </c>
      <c r="U14874" s="26" t="str">
        <f t="shared" si="559"/>
        <v>2025.008M.Phenuiviridae_62nsp+1asp.zip</v>
      </c>
    </row>
    <row r="14875" spans="1:21">
      <c r="A14875">
        <v>14874</v>
      </c>
      <c r="B14875" s="27" t="s">
        <v>1124</v>
      </c>
      <c r="D14875" s="27" t="s">
        <v>1859</v>
      </c>
      <c r="F14875" s="27" t="s">
        <v>938</v>
      </c>
      <c r="G14875" s="27" t="s">
        <v>959</v>
      </c>
      <c r="H14875" s="27" t="s">
        <v>17007</v>
      </c>
      <c r="J14875" s="27" t="s">
        <v>17036</v>
      </c>
      <c r="L14875" s="27" t="s">
        <v>730</v>
      </c>
      <c r="N14875" s="27" t="s">
        <v>1908</v>
      </c>
      <c r="P14875" s="27" t="s">
        <v>21536</v>
      </c>
      <c r="Q14875" s="26" t="str">
        <f>HYPERLINK("https://ictv.global/taxonomy/taxondetails?taxnode_id=202522405&amp;ictv_id=ICTV202522405","ICTV202522405")</f>
        <v>ICTV202522405</v>
      </c>
      <c r="R14875" t="s">
        <v>580</v>
      </c>
      <c r="S14875" t="s">
        <v>823</v>
      </c>
      <c r="T14875">
        <v>41</v>
      </c>
      <c r="U14875" s="26" t="str">
        <f t="shared" si="559"/>
        <v>2025.008M.Phenuiviridae_62nsp+1asp.zip</v>
      </c>
    </row>
    <row r="14876" spans="1:21">
      <c r="A14876">
        <v>14875</v>
      </c>
      <c r="B14876" s="27" t="s">
        <v>1124</v>
      </c>
      <c r="D14876" s="27" t="s">
        <v>1859</v>
      </c>
      <c r="F14876" s="27" t="s">
        <v>938</v>
      </c>
      <c r="G14876" s="27" t="s">
        <v>959</v>
      </c>
      <c r="H14876" s="27" t="s">
        <v>17007</v>
      </c>
      <c r="J14876" s="27" t="s">
        <v>17036</v>
      </c>
      <c r="L14876" s="27" t="s">
        <v>730</v>
      </c>
      <c r="N14876" s="27" t="s">
        <v>1908</v>
      </c>
      <c r="P14876" s="27" t="s">
        <v>21539</v>
      </c>
      <c r="Q14876" s="26" t="str">
        <f>HYPERLINK("https://ictv.global/taxonomy/taxondetails?taxnode_id=202522408&amp;ictv_id=ICTV202522408","ICTV202522408")</f>
        <v>ICTV202522408</v>
      </c>
      <c r="R14876" t="s">
        <v>580</v>
      </c>
      <c r="S14876" t="s">
        <v>823</v>
      </c>
      <c r="T14876">
        <v>41</v>
      </c>
      <c r="U14876" s="26" t="str">
        <f t="shared" si="559"/>
        <v>2025.008M.Phenuiviridae_62nsp+1asp.zip</v>
      </c>
    </row>
    <row r="14877" spans="1:21">
      <c r="A14877">
        <v>14876</v>
      </c>
      <c r="B14877" s="27" t="s">
        <v>1124</v>
      </c>
      <c r="D14877" s="27" t="s">
        <v>1859</v>
      </c>
      <c r="F14877" s="27" t="s">
        <v>938</v>
      </c>
      <c r="G14877" s="27" t="s">
        <v>959</v>
      </c>
      <c r="H14877" s="27" t="s">
        <v>17007</v>
      </c>
      <c r="J14877" s="27" t="s">
        <v>17036</v>
      </c>
      <c r="L14877" s="27" t="s">
        <v>730</v>
      </c>
      <c r="N14877" s="27" t="s">
        <v>1908</v>
      </c>
      <c r="P14877" s="27" t="s">
        <v>21541</v>
      </c>
      <c r="Q14877" s="26" t="str">
        <f>HYPERLINK("https://ictv.global/taxonomy/taxondetails?taxnode_id=202522410&amp;ictv_id=ICTV202522410","ICTV202522410")</f>
        <v>ICTV202522410</v>
      </c>
      <c r="R14877" t="s">
        <v>580</v>
      </c>
      <c r="S14877" t="s">
        <v>823</v>
      </c>
      <c r="T14877">
        <v>41</v>
      </c>
      <c r="U14877" s="26" t="str">
        <f t="shared" si="559"/>
        <v>2025.008M.Phenuiviridae_62nsp+1asp.zip</v>
      </c>
    </row>
    <row r="14878" spans="1:21">
      <c r="A14878">
        <v>14877</v>
      </c>
      <c r="B14878" s="27" t="s">
        <v>1124</v>
      </c>
      <c r="D14878" s="27" t="s">
        <v>1859</v>
      </c>
      <c r="F14878" s="27" t="s">
        <v>938</v>
      </c>
      <c r="G14878" s="27" t="s">
        <v>959</v>
      </c>
      <c r="H14878" s="27" t="s">
        <v>17007</v>
      </c>
      <c r="J14878" s="27" t="s">
        <v>17036</v>
      </c>
      <c r="L14878" s="27" t="s">
        <v>730</v>
      </c>
      <c r="N14878" s="27" t="s">
        <v>1908</v>
      </c>
      <c r="P14878" s="27" t="s">
        <v>10306</v>
      </c>
      <c r="Q14878" s="26" t="str">
        <f>HYPERLINK("https://ictv.global/taxonomy/taxondetails?taxnode_id=202507581&amp;ictv_id=ICTV201907581","ICTV201907581")</f>
        <v>ICTV201907581</v>
      </c>
      <c r="R14878" t="s">
        <v>657</v>
      </c>
      <c r="S14878" t="s">
        <v>22763</v>
      </c>
      <c r="T14878">
        <v>39</v>
      </c>
      <c r="U14878" s="26" t="str">
        <f>HYPERLINK("https://ictv.global/ictv/proposals/2023.024M.Bunyaviricetes.zip","2023.024M.Bunyaviricetes.zip")</f>
        <v>2023.024M.Bunyaviricetes.zip</v>
      </c>
    </row>
    <row r="14879" spans="1:21">
      <c r="A14879">
        <v>14878</v>
      </c>
      <c r="B14879" s="27" t="s">
        <v>1124</v>
      </c>
      <c r="D14879" s="27" t="s">
        <v>1859</v>
      </c>
      <c r="F14879" s="27" t="s">
        <v>938</v>
      </c>
      <c r="G14879" s="27" t="s">
        <v>959</v>
      </c>
      <c r="H14879" s="27" t="s">
        <v>17007</v>
      </c>
      <c r="J14879" s="27" t="s">
        <v>17036</v>
      </c>
      <c r="L14879" s="27" t="s">
        <v>730</v>
      </c>
      <c r="N14879" s="27" t="s">
        <v>1908</v>
      </c>
      <c r="P14879" s="27" t="s">
        <v>10307</v>
      </c>
      <c r="Q14879" s="26" t="str">
        <f>HYPERLINK("https://ictv.global/taxonomy/taxondetails?taxnode_id=202507569&amp;ictv_id=ICTV201907569","ICTV201907569")</f>
        <v>ICTV201907569</v>
      </c>
      <c r="R14879" t="s">
        <v>580</v>
      </c>
      <c r="S14879" t="s">
        <v>22763</v>
      </c>
      <c r="T14879">
        <v>39</v>
      </c>
      <c r="U14879" s="26" t="str">
        <f>HYPERLINK("https://ictv.global/ictv/proposals/2023.024M.Bunyaviricetes.zip","2023.024M.Bunyaviricetes.zip")</f>
        <v>2023.024M.Bunyaviricetes.zip</v>
      </c>
    </row>
    <row r="14880" spans="1:21">
      <c r="A14880">
        <v>14879</v>
      </c>
      <c r="B14880" s="27" t="s">
        <v>1124</v>
      </c>
      <c r="D14880" s="27" t="s">
        <v>1859</v>
      </c>
      <c r="F14880" s="27" t="s">
        <v>938</v>
      </c>
      <c r="G14880" s="27" t="s">
        <v>959</v>
      </c>
      <c r="H14880" s="27" t="s">
        <v>17007</v>
      </c>
      <c r="J14880" s="27" t="s">
        <v>17036</v>
      </c>
      <c r="L14880" s="27" t="s">
        <v>730</v>
      </c>
      <c r="N14880" s="27" t="s">
        <v>1908</v>
      </c>
      <c r="P14880" s="27" t="s">
        <v>10308</v>
      </c>
      <c r="Q14880" s="26" t="str">
        <f>HYPERLINK("https://ictv.global/taxonomy/taxondetails?taxnode_id=202507575&amp;ictv_id=ICTV201907575","ICTV201907575")</f>
        <v>ICTV201907575</v>
      </c>
      <c r="R14880" t="s">
        <v>657</v>
      </c>
      <c r="S14880" t="s">
        <v>22763</v>
      </c>
      <c r="T14880">
        <v>39</v>
      </c>
      <c r="U14880" s="26" t="str">
        <f>HYPERLINK("https://ictv.global/ictv/proposals/2023.024M.Bunyaviricetes.zip","2023.024M.Bunyaviricetes.zip")</f>
        <v>2023.024M.Bunyaviricetes.zip</v>
      </c>
    </row>
    <row r="14881" spans="1:21">
      <c r="A14881">
        <v>14880</v>
      </c>
      <c r="B14881" s="27" t="s">
        <v>1124</v>
      </c>
      <c r="D14881" s="27" t="s">
        <v>1859</v>
      </c>
      <c r="F14881" s="27" t="s">
        <v>938</v>
      </c>
      <c r="G14881" s="27" t="s">
        <v>959</v>
      </c>
      <c r="H14881" s="27" t="s">
        <v>17007</v>
      </c>
      <c r="J14881" s="27" t="s">
        <v>17036</v>
      </c>
      <c r="L14881" s="27" t="s">
        <v>730</v>
      </c>
      <c r="N14881" s="27" t="s">
        <v>1908</v>
      </c>
      <c r="P14881" s="27" t="s">
        <v>10309</v>
      </c>
      <c r="Q14881" s="26" t="str">
        <f>HYPERLINK("https://ictv.global/taxonomy/taxondetails?taxnode_id=202507570&amp;ictv_id=ICTV201907570","ICTV201907570")</f>
        <v>ICTV201907570</v>
      </c>
      <c r="R14881" t="s">
        <v>580</v>
      </c>
      <c r="S14881" t="s">
        <v>22763</v>
      </c>
      <c r="T14881">
        <v>39</v>
      </c>
      <c r="U14881" s="26" t="str">
        <f>HYPERLINK("https://ictv.global/ictv/proposals/2023.024M.Bunyaviricetes.zip","2023.024M.Bunyaviricetes.zip")</f>
        <v>2023.024M.Bunyaviricetes.zip</v>
      </c>
    </row>
    <row r="14882" spans="1:21">
      <c r="A14882">
        <v>14881</v>
      </c>
      <c r="B14882" s="27" t="s">
        <v>1124</v>
      </c>
      <c r="D14882" s="27" t="s">
        <v>1859</v>
      </c>
      <c r="F14882" s="27" t="s">
        <v>938</v>
      </c>
      <c r="G14882" s="27" t="s">
        <v>959</v>
      </c>
      <c r="H14882" s="27" t="s">
        <v>17007</v>
      </c>
      <c r="J14882" s="27" t="s">
        <v>17036</v>
      </c>
      <c r="L14882" s="27" t="s">
        <v>730</v>
      </c>
      <c r="N14882" s="27" t="s">
        <v>1908</v>
      </c>
      <c r="P14882" s="27" t="s">
        <v>10310</v>
      </c>
      <c r="Q14882" s="26" t="str">
        <f>HYPERLINK("https://ictv.global/taxonomy/taxondetails?taxnode_id=202506613&amp;ictv_id=ICTV201856613","ICTV201856613")</f>
        <v>ICTV201856613</v>
      </c>
      <c r="R14882" t="s">
        <v>657</v>
      </c>
      <c r="S14882" t="s">
        <v>22763</v>
      </c>
      <c r="T14882">
        <v>39</v>
      </c>
      <c r="U14882" s="26" t="str">
        <f>HYPERLINK("https://ictv.global/ictv/proposals/2023.024M.Bunyaviricetes.zip","2023.024M.Bunyaviricetes.zip")</f>
        <v>2023.024M.Bunyaviricetes.zip</v>
      </c>
    </row>
    <row r="14883" spans="1:21">
      <c r="A14883">
        <v>14882</v>
      </c>
      <c r="B14883" s="27" t="s">
        <v>1124</v>
      </c>
      <c r="D14883" s="27" t="s">
        <v>1859</v>
      </c>
      <c r="F14883" s="27" t="s">
        <v>938</v>
      </c>
      <c r="G14883" s="27" t="s">
        <v>959</v>
      </c>
      <c r="H14883" s="27" t="s">
        <v>17007</v>
      </c>
      <c r="J14883" s="27" t="s">
        <v>17036</v>
      </c>
      <c r="L14883" s="27" t="s">
        <v>730</v>
      </c>
      <c r="N14883" s="27" t="s">
        <v>1908</v>
      </c>
      <c r="P14883" s="27" t="s">
        <v>21543</v>
      </c>
      <c r="Q14883" s="26" t="str">
        <f>HYPERLINK("https://ictv.global/taxonomy/taxondetails?taxnode_id=202522412&amp;ictv_id=ICTV202522412","ICTV202522412")</f>
        <v>ICTV202522412</v>
      </c>
      <c r="R14883" t="s">
        <v>580</v>
      </c>
      <c r="S14883" t="s">
        <v>823</v>
      </c>
      <c r="T14883">
        <v>41</v>
      </c>
      <c r="U14883" s="26" t="str">
        <f>HYPERLINK("https://ictv.global/ictv/proposals/2025.008M.Phenuiviridae_62nsp+1asp.zip","2025.008M.Phenuiviridae_62nsp+1asp.zip")</f>
        <v>2025.008M.Phenuiviridae_62nsp+1asp.zip</v>
      </c>
    </row>
    <row r="14884" spans="1:21">
      <c r="A14884">
        <v>14883</v>
      </c>
      <c r="B14884" s="27" t="s">
        <v>1124</v>
      </c>
      <c r="D14884" s="27" t="s">
        <v>1859</v>
      </c>
      <c r="F14884" s="27" t="s">
        <v>938</v>
      </c>
      <c r="G14884" s="27" t="s">
        <v>959</v>
      </c>
      <c r="H14884" s="27" t="s">
        <v>17007</v>
      </c>
      <c r="J14884" s="27" t="s">
        <v>17036</v>
      </c>
      <c r="L14884" s="27" t="s">
        <v>730</v>
      </c>
      <c r="N14884" s="27" t="s">
        <v>1908</v>
      </c>
      <c r="P14884" s="27" t="s">
        <v>10311</v>
      </c>
      <c r="Q14884" s="26" t="str">
        <f>HYPERLINK("https://ictv.global/taxonomy/taxondetails?taxnode_id=202506614&amp;ictv_id=ICTV201856614","ICTV201856614")</f>
        <v>ICTV201856614</v>
      </c>
      <c r="R14884" t="s">
        <v>657</v>
      </c>
      <c r="S14884" t="s">
        <v>22763</v>
      </c>
      <c r="T14884">
        <v>39</v>
      </c>
      <c r="U14884" s="26" t="str">
        <f>HYPERLINK("https://ictv.global/ictv/proposals/2023.024M.Bunyaviricetes.zip","2023.024M.Bunyaviricetes.zip")</f>
        <v>2023.024M.Bunyaviricetes.zip</v>
      </c>
    </row>
    <row r="14885" spans="1:21">
      <c r="A14885">
        <v>14884</v>
      </c>
      <c r="B14885" s="27" t="s">
        <v>1124</v>
      </c>
      <c r="D14885" s="27" t="s">
        <v>1859</v>
      </c>
      <c r="F14885" s="27" t="s">
        <v>938</v>
      </c>
      <c r="G14885" s="27" t="s">
        <v>959</v>
      </c>
      <c r="H14885" s="27" t="s">
        <v>17007</v>
      </c>
      <c r="J14885" s="27" t="s">
        <v>17036</v>
      </c>
      <c r="L14885" s="27" t="s">
        <v>730</v>
      </c>
      <c r="N14885" s="27" t="s">
        <v>1908</v>
      </c>
      <c r="P14885" s="27" t="s">
        <v>10312</v>
      </c>
      <c r="Q14885" s="26" t="str">
        <f>HYPERLINK("https://ictv.global/taxonomy/taxondetails?taxnode_id=202507579&amp;ictv_id=ICTV201907579","ICTV201907579")</f>
        <v>ICTV201907579</v>
      </c>
      <c r="R14885" t="s">
        <v>657</v>
      </c>
      <c r="S14885" t="s">
        <v>22763</v>
      </c>
      <c r="T14885">
        <v>39</v>
      </c>
      <c r="U14885" s="26" t="str">
        <f>HYPERLINK("https://ictv.global/ictv/proposals/2023.024M.Bunyaviricetes.zip","2023.024M.Bunyaviricetes.zip")</f>
        <v>2023.024M.Bunyaviricetes.zip</v>
      </c>
    </row>
    <row r="14886" spans="1:21">
      <c r="A14886">
        <v>14885</v>
      </c>
      <c r="B14886" s="27" t="s">
        <v>1124</v>
      </c>
      <c r="D14886" s="27" t="s">
        <v>1859</v>
      </c>
      <c r="F14886" s="27" t="s">
        <v>938</v>
      </c>
      <c r="G14886" s="27" t="s">
        <v>959</v>
      </c>
      <c r="H14886" s="27" t="s">
        <v>17007</v>
      </c>
      <c r="J14886" s="27" t="s">
        <v>17036</v>
      </c>
      <c r="L14886" s="27" t="s">
        <v>730</v>
      </c>
      <c r="N14886" s="27" t="s">
        <v>1908</v>
      </c>
      <c r="P14886" s="27" t="s">
        <v>10313</v>
      </c>
      <c r="Q14886" s="26" t="str">
        <f>HYPERLINK("https://ictv.global/taxonomy/taxondetails?taxnode_id=202507572&amp;ictv_id=ICTV201907572","ICTV201907572")</f>
        <v>ICTV201907572</v>
      </c>
      <c r="R14886" t="s">
        <v>580</v>
      </c>
      <c r="S14886" t="s">
        <v>22763</v>
      </c>
      <c r="T14886">
        <v>39</v>
      </c>
      <c r="U14886" s="26" t="str">
        <f>HYPERLINK("https://ictv.global/ictv/proposals/2023.024M.Bunyaviricetes.zip","2023.024M.Bunyaviricetes.zip")</f>
        <v>2023.024M.Bunyaviricetes.zip</v>
      </c>
    </row>
    <row r="14887" spans="1:21">
      <c r="A14887">
        <v>14886</v>
      </c>
      <c r="B14887" s="27" t="s">
        <v>1124</v>
      </c>
      <c r="D14887" s="27" t="s">
        <v>1859</v>
      </c>
      <c r="F14887" s="27" t="s">
        <v>938</v>
      </c>
      <c r="G14887" s="27" t="s">
        <v>959</v>
      </c>
      <c r="H14887" s="27" t="s">
        <v>17007</v>
      </c>
      <c r="J14887" s="27" t="s">
        <v>17036</v>
      </c>
      <c r="L14887" s="27" t="s">
        <v>730</v>
      </c>
      <c r="N14887" s="27" t="s">
        <v>1908</v>
      </c>
      <c r="P14887" s="27" t="s">
        <v>10314</v>
      </c>
      <c r="Q14887" s="26" t="str">
        <f>HYPERLINK("https://ictv.global/taxonomy/taxondetails?taxnode_id=202507577&amp;ictv_id=ICTV201907577","ICTV201907577")</f>
        <v>ICTV201907577</v>
      </c>
      <c r="R14887" t="s">
        <v>657</v>
      </c>
      <c r="S14887" t="s">
        <v>22763</v>
      </c>
      <c r="T14887">
        <v>39</v>
      </c>
      <c r="U14887" s="26" t="str">
        <f>HYPERLINK("https://ictv.global/ictv/proposals/2023.024M.Bunyaviricetes.zip","2023.024M.Bunyaviricetes.zip")</f>
        <v>2023.024M.Bunyaviricetes.zip</v>
      </c>
    </row>
    <row r="14888" spans="1:21">
      <c r="A14888">
        <v>14887</v>
      </c>
      <c r="B14888" s="27" t="s">
        <v>1124</v>
      </c>
      <c r="D14888" s="27" t="s">
        <v>1859</v>
      </c>
      <c r="F14888" s="27" t="s">
        <v>938</v>
      </c>
      <c r="G14888" s="27" t="s">
        <v>959</v>
      </c>
      <c r="H14888" s="27" t="s">
        <v>17007</v>
      </c>
      <c r="J14888" s="27" t="s">
        <v>17036</v>
      </c>
      <c r="L14888" s="27" t="s">
        <v>730</v>
      </c>
      <c r="N14888" s="27" t="s">
        <v>1908</v>
      </c>
      <c r="P14888" s="27" t="s">
        <v>21544</v>
      </c>
      <c r="Q14888" s="26" t="str">
        <f>HYPERLINK("https://ictv.global/taxonomy/taxondetails?taxnode_id=202522413&amp;ictv_id=ICTV202522413","ICTV202522413")</f>
        <v>ICTV202522413</v>
      </c>
      <c r="R14888" t="s">
        <v>580</v>
      </c>
      <c r="S14888" t="s">
        <v>823</v>
      </c>
      <c r="T14888">
        <v>41</v>
      </c>
      <c r="U14888" s="26" t="str">
        <f>HYPERLINK("https://ictv.global/ictv/proposals/2025.008M.Phenuiviridae_62nsp+1asp.zip","2025.008M.Phenuiviridae_62nsp+1asp.zip")</f>
        <v>2025.008M.Phenuiviridae_62nsp+1asp.zip</v>
      </c>
    </row>
    <row r="14889" spans="1:21">
      <c r="A14889">
        <v>14888</v>
      </c>
      <c r="B14889" s="27" t="s">
        <v>1124</v>
      </c>
      <c r="D14889" s="27" t="s">
        <v>1859</v>
      </c>
      <c r="F14889" s="27" t="s">
        <v>938</v>
      </c>
      <c r="G14889" s="27" t="s">
        <v>959</v>
      </c>
      <c r="H14889" s="27" t="s">
        <v>17007</v>
      </c>
      <c r="J14889" s="27" t="s">
        <v>17036</v>
      </c>
      <c r="L14889" s="27" t="s">
        <v>730</v>
      </c>
      <c r="N14889" s="27" t="s">
        <v>1908</v>
      </c>
      <c r="P14889" s="27" t="s">
        <v>21546</v>
      </c>
      <c r="Q14889" s="26" t="str">
        <f>HYPERLINK("https://ictv.global/taxonomy/taxondetails?taxnode_id=202522415&amp;ictv_id=ICTV202522415","ICTV202522415")</f>
        <v>ICTV202522415</v>
      </c>
      <c r="R14889" t="s">
        <v>580</v>
      </c>
      <c r="S14889" t="s">
        <v>823</v>
      </c>
      <c r="T14889">
        <v>41</v>
      </c>
      <c r="U14889" s="26" t="str">
        <f>HYPERLINK("https://ictv.global/ictv/proposals/2025.008M.Phenuiviridae_62nsp+1asp.zip","2025.008M.Phenuiviridae_62nsp+1asp.zip")</f>
        <v>2025.008M.Phenuiviridae_62nsp+1asp.zip</v>
      </c>
    </row>
    <row r="14890" spans="1:21">
      <c r="A14890">
        <v>14889</v>
      </c>
      <c r="B14890" s="27" t="s">
        <v>1124</v>
      </c>
      <c r="D14890" s="27" t="s">
        <v>1859</v>
      </c>
      <c r="F14890" s="27" t="s">
        <v>938</v>
      </c>
      <c r="G14890" s="27" t="s">
        <v>959</v>
      </c>
      <c r="H14890" s="27" t="s">
        <v>17007</v>
      </c>
      <c r="J14890" s="27" t="s">
        <v>17036</v>
      </c>
      <c r="L14890" s="27" t="s">
        <v>730</v>
      </c>
      <c r="N14890" s="27" t="s">
        <v>1908</v>
      </c>
      <c r="P14890" s="27" t="s">
        <v>21547</v>
      </c>
      <c r="Q14890" s="26" t="str">
        <f>HYPERLINK("https://ictv.global/taxonomy/taxondetails?taxnode_id=202522416&amp;ictv_id=ICTV202522416","ICTV202522416")</f>
        <v>ICTV202522416</v>
      </c>
      <c r="R14890" t="s">
        <v>580</v>
      </c>
      <c r="S14890" t="s">
        <v>823</v>
      </c>
      <c r="T14890">
        <v>41</v>
      </c>
      <c r="U14890" s="26" t="str">
        <f>HYPERLINK("https://ictv.global/ictv/proposals/2025.008M.Phenuiviridae_62nsp+1asp.zip","2025.008M.Phenuiviridae_62nsp+1asp.zip")</f>
        <v>2025.008M.Phenuiviridae_62nsp+1asp.zip</v>
      </c>
    </row>
    <row r="14891" spans="1:21">
      <c r="A14891">
        <v>14890</v>
      </c>
      <c r="B14891" s="27" t="s">
        <v>1124</v>
      </c>
      <c r="D14891" s="27" t="s">
        <v>1859</v>
      </c>
      <c r="F14891" s="27" t="s">
        <v>938</v>
      </c>
      <c r="G14891" s="27" t="s">
        <v>959</v>
      </c>
      <c r="H14891" s="27" t="s">
        <v>17007</v>
      </c>
      <c r="J14891" s="27" t="s">
        <v>17036</v>
      </c>
      <c r="L14891" s="27" t="s">
        <v>730</v>
      </c>
      <c r="N14891" s="27" t="s">
        <v>1908</v>
      </c>
      <c r="P14891" s="27" t="s">
        <v>10315</v>
      </c>
      <c r="Q14891" s="26" t="str">
        <f>HYPERLINK("https://ictv.global/taxonomy/taxondetails?taxnode_id=202507578&amp;ictv_id=ICTV201907578","ICTV201907578")</f>
        <v>ICTV201907578</v>
      </c>
      <c r="R14891" t="s">
        <v>657</v>
      </c>
      <c r="S14891" t="s">
        <v>22763</v>
      </c>
      <c r="T14891">
        <v>39</v>
      </c>
      <c r="U14891" s="26" t="str">
        <f>HYPERLINK("https://ictv.global/ictv/proposals/2023.024M.Bunyaviricetes.zip","2023.024M.Bunyaviricetes.zip")</f>
        <v>2023.024M.Bunyaviricetes.zip</v>
      </c>
    </row>
    <row r="14892" spans="1:21">
      <c r="A14892">
        <v>14891</v>
      </c>
      <c r="B14892" s="27" t="s">
        <v>1124</v>
      </c>
      <c r="D14892" s="27" t="s">
        <v>1859</v>
      </c>
      <c r="F14892" s="27" t="s">
        <v>938</v>
      </c>
      <c r="G14892" s="27" t="s">
        <v>959</v>
      </c>
      <c r="H14892" s="27" t="s">
        <v>17007</v>
      </c>
      <c r="J14892" s="27" t="s">
        <v>17036</v>
      </c>
      <c r="L14892" s="27" t="s">
        <v>730</v>
      </c>
      <c r="N14892" s="27" t="s">
        <v>1908</v>
      </c>
      <c r="P14892" s="27" t="s">
        <v>10316</v>
      </c>
      <c r="Q14892" s="26" t="str">
        <f>HYPERLINK("https://ictv.global/taxonomy/taxondetails?taxnode_id=202507573&amp;ictv_id=ICTV201907573","ICTV201907573")</f>
        <v>ICTV201907573</v>
      </c>
      <c r="R14892" t="s">
        <v>657</v>
      </c>
      <c r="S14892" t="s">
        <v>22763</v>
      </c>
      <c r="T14892">
        <v>39</v>
      </c>
      <c r="U14892" s="26" t="str">
        <f>HYPERLINK("https://ictv.global/ictv/proposals/2023.024M.Bunyaviricetes.zip","2023.024M.Bunyaviricetes.zip")</f>
        <v>2023.024M.Bunyaviricetes.zip</v>
      </c>
    </row>
    <row r="14893" spans="1:21">
      <c r="A14893">
        <v>14892</v>
      </c>
      <c r="B14893" s="27" t="s">
        <v>1124</v>
      </c>
      <c r="D14893" s="27" t="s">
        <v>1859</v>
      </c>
      <c r="F14893" s="27" t="s">
        <v>938</v>
      </c>
      <c r="G14893" s="27" t="s">
        <v>959</v>
      </c>
      <c r="H14893" s="27" t="s">
        <v>17007</v>
      </c>
      <c r="J14893" s="27" t="s">
        <v>17036</v>
      </c>
      <c r="L14893" s="27" t="s">
        <v>730</v>
      </c>
      <c r="N14893" s="27" t="s">
        <v>1908</v>
      </c>
      <c r="P14893" s="27" t="s">
        <v>21540</v>
      </c>
      <c r="Q14893" s="26" t="str">
        <f>HYPERLINK("https://ictv.global/taxonomy/taxondetails?taxnode_id=202522409&amp;ictv_id=ICTV202522409","ICTV202522409")</f>
        <v>ICTV202522409</v>
      </c>
      <c r="R14893" t="s">
        <v>580</v>
      </c>
      <c r="S14893" t="s">
        <v>823</v>
      </c>
      <c r="T14893">
        <v>41</v>
      </c>
      <c r="U14893" s="26" t="str">
        <f>HYPERLINK("https://ictv.global/ictv/proposals/2025.008M.Phenuiviridae_62nsp+1asp.zip","2025.008M.Phenuiviridae_62nsp+1asp.zip")</f>
        <v>2025.008M.Phenuiviridae_62nsp+1asp.zip</v>
      </c>
    </row>
    <row r="14894" spans="1:21">
      <c r="A14894">
        <v>14893</v>
      </c>
      <c r="B14894" s="27" t="s">
        <v>1124</v>
      </c>
      <c r="D14894" s="27" t="s">
        <v>1859</v>
      </c>
      <c r="F14894" s="27" t="s">
        <v>938</v>
      </c>
      <c r="G14894" s="27" t="s">
        <v>959</v>
      </c>
      <c r="H14894" s="27" t="s">
        <v>17007</v>
      </c>
      <c r="J14894" s="27" t="s">
        <v>17036</v>
      </c>
      <c r="L14894" s="27" t="s">
        <v>730</v>
      </c>
      <c r="N14894" s="27" t="s">
        <v>1908</v>
      </c>
      <c r="P14894" s="27" t="s">
        <v>10317</v>
      </c>
      <c r="Q14894" s="26" t="str">
        <f>HYPERLINK("https://ictv.global/taxonomy/taxondetails?taxnode_id=202507580&amp;ictv_id=ICTV201907580","ICTV201907580")</f>
        <v>ICTV201907580</v>
      </c>
      <c r="R14894" t="s">
        <v>657</v>
      </c>
      <c r="S14894" t="s">
        <v>22763</v>
      </c>
      <c r="T14894">
        <v>39</v>
      </c>
      <c r="U14894" s="26" t="str">
        <f>HYPERLINK("https://ictv.global/ictv/proposals/2023.024M.Bunyaviricetes.zip","2023.024M.Bunyaviricetes.zip")</f>
        <v>2023.024M.Bunyaviricetes.zip</v>
      </c>
    </row>
    <row r="14895" spans="1:21">
      <c r="A14895">
        <v>14894</v>
      </c>
      <c r="B14895" s="27" t="s">
        <v>1124</v>
      </c>
      <c r="D14895" s="27" t="s">
        <v>1859</v>
      </c>
      <c r="F14895" s="27" t="s">
        <v>938</v>
      </c>
      <c r="G14895" s="27" t="s">
        <v>959</v>
      </c>
      <c r="H14895" s="27" t="s">
        <v>17007</v>
      </c>
      <c r="J14895" s="27" t="s">
        <v>17036</v>
      </c>
      <c r="L14895" s="27" t="s">
        <v>730</v>
      </c>
      <c r="N14895" s="27" t="s">
        <v>1908</v>
      </c>
      <c r="P14895" s="27" t="s">
        <v>10318</v>
      </c>
      <c r="Q14895" s="26" t="str">
        <f>HYPERLINK("https://ictv.global/taxonomy/taxondetails?taxnode_id=202507571&amp;ictv_id=ICTV201907571","ICTV201907571")</f>
        <v>ICTV201907571</v>
      </c>
      <c r="R14895" t="s">
        <v>580</v>
      </c>
      <c r="S14895" t="s">
        <v>22763</v>
      </c>
      <c r="T14895">
        <v>39</v>
      </c>
      <c r="U14895" s="26" t="str">
        <f>HYPERLINK("https://ictv.global/ictv/proposals/2023.024M.Bunyaviricetes.zip","2023.024M.Bunyaviricetes.zip")</f>
        <v>2023.024M.Bunyaviricetes.zip</v>
      </c>
    </row>
    <row r="14896" spans="1:21">
      <c r="A14896">
        <v>14895</v>
      </c>
      <c r="B14896" s="27" t="s">
        <v>1124</v>
      </c>
      <c r="D14896" s="27" t="s">
        <v>1859</v>
      </c>
      <c r="F14896" s="27" t="s">
        <v>938</v>
      </c>
      <c r="G14896" s="27" t="s">
        <v>959</v>
      </c>
      <c r="H14896" s="27" t="s">
        <v>17007</v>
      </c>
      <c r="J14896" s="27" t="s">
        <v>17036</v>
      </c>
      <c r="L14896" s="27" t="s">
        <v>730</v>
      </c>
      <c r="N14896" s="27" t="s">
        <v>1908</v>
      </c>
      <c r="P14896" s="27" t="s">
        <v>21538</v>
      </c>
      <c r="Q14896" s="26" t="str">
        <f>HYPERLINK("https://ictv.global/taxonomy/taxondetails?taxnode_id=202522407&amp;ictv_id=ICTV202522407","ICTV202522407")</f>
        <v>ICTV202522407</v>
      </c>
      <c r="R14896" t="s">
        <v>580</v>
      </c>
      <c r="S14896" t="s">
        <v>823</v>
      </c>
      <c r="T14896">
        <v>41</v>
      </c>
      <c r="U14896" s="26" t="str">
        <f>HYPERLINK("https://ictv.global/ictv/proposals/2025.008M.Phenuiviridae_62nsp+1asp.zip","2025.008M.Phenuiviridae_62nsp+1asp.zip")</f>
        <v>2025.008M.Phenuiviridae_62nsp+1asp.zip</v>
      </c>
    </row>
    <row r="14897" spans="1:21">
      <c r="A14897">
        <v>14896</v>
      </c>
      <c r="B14897" s="27" t="s">
        <v>1124</v>
      </c>
      <c r="D14897" s="27" t="s">
        <v>1859</v>
      </c>
      <c r="F14897" s="27" t="s">
        <v>938</v>
      </c>
      <c r="G14897" s="27" t="s">
        <v>959</v>
      </c>
      <c r="H14897" s="27" t="s">
        <v>17007</v>
      </c>
      <c r="J14897" s="27" t="s">
        <v>17036</v>
      </c>
      <c r="L14897" s="27" t="s">
        <v>730</v>
      </c>
      <c r="N14897" s="27" t="s">
        <v>1908</v>
      </c>
      <c r="P14897" s="27" t="s">
        <v>10319</v>
      </c>
      <c r="Q14897" s="26" t="str">
        <f>HYPERLINK("https://ictv.global/taxonomy/taxondetails?taxnode_id=202514257&amp;ictv_id=ICTV202214257","ICTV202214257")</f>
        <v>ICTV202214257</v>
      </c>
      <c r="R14897" t="s">
        <v>657</v>
      </c>
      <c r="S14897" t="s">
        <v>22763</v>
      </c>
      <c r="T14897">
        <v>39</v>
      </c>
      <c r="U14897" s="26" t="str">
        <f>HYPERLINK("https://ictv.global/ictv/proposals/2023.024M.Bunyaviricetes.zip","2023.024M.Bunyaviricetes.zip")</f>
        <v>2023.024M.Bunyaviricetes.zip</v>
      </c>
    </row>
    <row r="14898" spans="1:21">
      <c r="A14898">
        <v>14897</v>
      </c>
      <c r="B14898" s="27" t="s">
        <v>1124</v>
      </c>
      <c r="D14898" s="27" t="s">
        <v>1859</v>
      </c>
      <c r="F14898" s="27" t="s">
        <v>938</v>
      </c>
      <c r="G14898" s="27" t="s">
        <v>959</v>
      </c>
      <c r="H14898" s="27" t="s">
        <v>17007</v>
      </c>
      <c r="J14898" s="27" t="s">
        <v>17036</v>
      </c>
      <c r="L14898" s="27" t="s">
        <v>730</v>
      </c>
      <c r="N14898" s="27" t="s">
        <v>1908</v>
      </c>
      <c r="P14898" s="27" t="s">
        <v>21537</v>
      </c>
      <c r="Q14898" s="26" t="str">
        <f>HYPERLINK("https://ictv.global/taxonomy/taxondetails?taxnode_id=202522406&amp;ictv_id=ICTV202522406","ICTV202522406")</f>
        <v>ICTV202522406</v>
      </c>
      <c r="R14898" t="s">
        <v>580</v>
      </c>
      <c r="S14898" t="s">
        <v>823</v>
      </c>
      <c r="T14898">
        <v>41</v>
      </c>
      <c r="U14898" s="26" t="str">
        <f>HYPERLINK("https://ictv.global/ictv/proposals/2025.008M.Phenuiviridae_62nsp+1asp.zip","2025.008M.Phenuiviridae_62nsp+1asp.zip")</f>
        <v>2025.008M.Phenuiviridae_62nsp+1asp.zip</v>
      </c>
    </row>
    <row r="14899" spans="1:21">
      <c r="A14899">
        <v>14898</v>
      </c>
      <c r="B14899" s="27" t="s">
        <v>1124</v>
      </c>
      <c r="D14899" s="27" t="s">
        <v>1859</v>
      </c>
      <c r="F14899" s="27" t="s">
        <v>938</v>
      </c>
      <c r="G14899" s="27" t="s">
        <v>959</v>
      </c>
      <c r="H14899" s="27" t="s">
        <v>17007</v>
      </c>
      <c r="J14899" s="27" t="s">
        <v>17036</v>
      </c>
      <c r="L14899" s="27" t="s">
        <v>730</v>
      </c>
      <c r="N14899" s="27" t="s">
        <v>1908</v>
      </c>
      <c r="P14899" s="27" t="s">
        <v>10320</v>
      </c>
      <c r="Q14899" s="26" t="str">
        <f>HYPERLINK("https://ictv.global/taxonomy/taxondetails?taxnode_id=202507574&amp;ictv_id=ICTV201907574","ICTV201907574")</f>
        <v>ICTV201907574</v>
      </c>
      <c r="R14899" t="s">
        <v>657</v>
      </c>
      <c r="S14899" t="s">
        <v>22763</v>
      </c>
      <c r="T14899">
        <v>39</v>
      </c>
      <c r="U14899" s="26" t="str">
        <f>HYPERLINK("https://ictv.global/ictv/proposals/2023.024M.Bunyaviricetes.zip","2023.024M.Bunyaviricetes.zip")</f>
        <v>2023.024M.Bunyaviricetes.zip</v>
      </c>
    </row>
    <row r="14900" spans="1:21">
      <c r="A14900">
        <v>14899</v>
      </c>
      <c r="B14900" s="27" t="s">
        <v>1124</v>
      </c>
      <c r="D14900" s="27" t="s">
        <v>1859</v>
      </c>
      <c r="F14900" s="27" t="s">
        <v>938</v>
      </c>
      <c r="G14900" s="27" t="s">
        <v>959</v>
      </c>
      <c r="H14900" s="27" t="s">
        <v>17007</v>
      </c>
      <c r="J14900" s="27" t="s">
        <v>17036</v>
      </c>
      <c r="L14900" s="27" t="s">
        <v>730</v>
      </c>
      <c r="N14900" s="27" t="s">
        <v>1908</v>
      </c>
      <c r="P14900" s="27" t="s">
        <v>10321</v>
      </c>
      <c r="Q14900" s="26" t="str">
        <f>HYPERLINK("https://ictv.global/taxonomy/taxondetails?taxnode_id=202507576&amp;ictv_id=ICTV201907576","ICTV201907576")</f>
        <v>ICTV201907576</v>
      </c>
      <c r="R14900" t="s">
        <v>657</v>
      </c>
      <c r="S14900" t="s">
        <v>22763</v>
      </c>
      <c r="T14900">
        <v>39</v>
      </c>
      <c r="U14900" s="26" t="str">
        <f>HYPERLINK("https://ictv.global/ictv/proposals/2023.024M.Bunyaviricetes.zip","2023.024M.Bunyaviricetes.zip")</f>
        <v>2023.024M.Bunyaviricetes.zip</v>
      </c>
    </row>
    <row r="14901" spans="1:21">
      <c r="A14901">
        <v>14900</v>
      </c>
      <c r="B14901" s="27" t="s">
        <v>1124</v>
      </c>
      <c r="D14901" s="27" t="s">
        <v>1859</v>
      </c>
      <c r="F14901" s="27" t="s">
        <v>938</v>
      </c>
      <c r="G14901" s="27" t="s">
        <v>959</v>
      </c>
      <c r="H14901" s="27" t="s">
        <v>17007</v>
      </c>
      <c r="J14901" s="27" t="s">
        <v>17036</v>
      </c>
      <c r="L14901" s="27" t="s">
        <v>730</v>
      </c>
      <c r="N14901" s="27" t="s">
        <v>1908</v>
      </c>
      <c r="P14901" s="27" t="s">
        <v>10322</v>
      </c>
      <c r="Q14901" s="26" t="str">
        <f>HYPERLINK("https://ictv.global/taxonomy/taxondetails?taxnode_id=202500167&amp;ictv_id=ICTV19990696","ICTV19990696")</f>
        <v>ICTV19990696</v>
      </c>
      <c r="R14901" t="s">
        <v>657</v>
      </c>
      <c r="S14901" t="s">
        <v>22763</v>
      </c>
      <c r="T14901">
        <v>39</v>
      </c>
      <c r="U14901" s="26" t="str">
        <f>HYPERLINK("https://ictv.global/ictv/proposals/2023.024M.Bunyaviricetes.zip","2023.024M.Bunyaviricetes.zip")</f>
        <v>2023.024M.Bunyaviricetes.zip</v>
      </c>
    </row>
    <row r="14902" spans="1:21">
      <c r="A14902">
        <v>14901</v>
      </c>
      <c r="B14902" s="27" t="s">
        <v>1124</v>
      </c>
      <c r="D14902" s="27" t="s">
        <v>1859</v>
      </c>
      <c r="F14902" s="27" t="s">
        <v>938</v>
      </c>
      <c r="G14902" s="27" t="s">
        <v>959</v>
      </c>
      <c r="H14902" s="27" t="s">
        <v>17007</v>
      </c>
      <c r="J14902" s="27" t="s">
        <v>17036</v>
      </c>
      <c r="L14902" s="27" t="s">
        <v>730</v>
      </c>
      <c r="N14902" s="27" t="s">
        <v>1908</v>
      </c>
      <c r="P14902" s="27" t="s">
        <v>21549</v>
      </c>
      <c r="Q14902" s="26" t="str">
        <f>HYPERLINK("https://ictv.global/taxonomy/taxondetails?taxnode_id=202522418&amp;ictv_id=ICTV202522418","ICTV202522418")</f>
        <v>ICTV202522418</v>
      </c>
      <c r="R14902" t="s">
        <v>580</v>
      </c>
      <c r="S14902" t="s">
        <v>823</v>
      </c>
      <c r="T14902">
        <v>41</v>
      </c>
      <c r="U14902" s="26" t="str">
        <f>HYPERLINK("https://ictv.global/ictv/proposals/2025.008M.Phenuiviridae_62nsp+1asp.zip","2025.008M.Phenuiviridae_62nsp+1asp.zip")</f>
        <v>2025.008M.Phenuiviridae_62nsp+1asp.zip</v>
      </c>
    </row>
    <row r="14903" spans="1:21">
      <c r="A14903">
        <v>14902</v>
      </c>
      <c r="B14903" s="27" t="s">
        <v>1124</v>
      </c>
      <c r="D14903" s="27" t="s">
        <v>1859</v>
      </c>
      <c r="F14903" s="27" t="s">
        <v>938</v>
      </c>
      <c r="G14903" s="27" t="s">
        <v>959</v>
      </c>
      <c r="H14903" s="27" t="s">
        <v>17007</v>
      </c>
      <c r="J14903" s="27" t="s">
        <v>17036</v>
      </c>
      <c r="L14903" s="27" t="s">
        <v>730</v>
      </c>
      <c r="N14903" s="27" t="s">
        <v>1908</v>
      </c>
      <c r="P14903" s="27" t="s">
        <v>10323</v>
      </c>
      <c r="Q14903" s="26" t="str">
        <f>HYPERLINK("https://ictv.global/taxonomy/taxondetails?taxnode_id=202507582&amp;ictv_id=ICTV201907582","ICTV201907582")</f>
        <v>ICTV201907582</v>
      </c>
      <c r="R14903" t="s">
        <v>657</v>
      </c>
      <c r="S14903" t="s">
        <v>22763</v>
      </c>
      <c r="T14903">
        <v>39</v>
      </c>
      <c r="U14903" s="26" t="str">
        <f>HYPERLINK("https://ictv.global/ictv/proposals/2023.024M.Bunyaviricetes.zip","2023.024M.Bunyaviricetes.zip")</f>
        <v>2023.024M.Bunyaviricetes.zip</v>
      </c>
    </row>
    <row r="14904" spans="1:21">
      <c r="A14904">
        <v>14903</v>
      </c>
      <c r="B14904" s="27" t="s">
        <v>1124</v>
      </c>
      <c r="D14904" s="27" t="s">
        <v>1859</v>
      </c>
      <c r="F14904" s="27" t="s">
        <v>938</v>
      </c>
      <c r="G14904" s="27" t="s">
        <v>959</v>
      </c>
      <c r="H14904" s="27" t="s">
        <v>17007</v>
      </c>
      <c r="J14904" s="27" t="s">
        <v>17036</v>
      </c>
      <c r="L14904" s="27" t="s">
        <v>730</v>
      </c>
      <c r="N14904" s="27" t="s">
        <v>1156</v>
      </c>
      <c r="P14904" s="27" t="s">
        <v>21550</v>
      </c>
      <c r="Q14904" s="26" t="str">
        <f>HYPERLINK("https://ictv.global/taxonomy/taxondetails?taxnode_id=202522419&amp;ictv_id=ICTV202522419","ICTV202522419")</f>
        <v>ICTV202522419</v>
      </c>
      <c r="R14904" t="s">
        <v>580</v>
      </c>
      <c r="S14904" t="s">
        <v>823</v>
      </c>
      <c r="T14904">
        <v>41</v>
      </c>
      <c r="U14904" s="26" t="str">
        <f>HYPERLINK("https://ictv.global/ictv/proposals/2025.008M.Phenuiviridae_62nsp+1asp.zip","2025.008M.Phenuiviridae_62nsp+1asp.zip")</f>
        <v>2025.008M.Phenuiviridae_62nsp+1asp.zip</v>
      </c>
    </row>
    <row r="14905" spans="1:21">
      <c r="A14905">
        <v>14904</v>
      </c>
      <c r="B14905" s="27" t="s">
        <v>1124</v>
      </c>
      <c r="D14905" s="27" t="s">
        <v>1859</v>
      </c>
      <c r="F14905" s="27" t="s">
        <v>938</v>
      </c>
      <c r="G14905" s="27" t="s">
        <v>959</v>
      </c>
      <c r="H14905" s="27" t="s">
        <v>17007</v>
      </c>
      <c r="J14905" s="27" t="s">
        <v>17036</v>
      </c>
      <c r="L14905" s="27" t="s">
        <v>730</v>
      </c>
      <c r="N14905" s="27" t="s">
        <v>1156</v>
      </c>
      <c r="P14905" s="27" t="s">
        <v>10324</v>
      </c>
      <c r="Q14905" s="26" t="str">
        <f>HYPERLINK("https://ictv.global/taxonomy/taxondetails?taxnode_id=202506611&amp;ictv_id=ICTV201856611","ICTV201856611")</f>
        <v>ICTV201856611</v>
      </c>
      <c r="R14905" t="s">
        <v>580</v>
      </c>
      <c r="S14905" t="s">
        <v>22763</v>
      </c>
      <c r="T14905">
        <v>39</v>
      </c>
      <c r="U14905" s="26" t="str">
        <f>HYPERLINK("https://ictv.global/ictv/proposals/2023.024M.Bunyaviricetes.zip","2023.024M.Bunyaviricetes.zip")</f>
        <v>2023.024M.Bunyaviricetes.zip</v>
      </c>
    </row>
    <row r="14906" spans="1:21">
      <c r="A14906">
        <v>14905</v>
      </c>
      <c r="B14906" s="27" t="s">
        <v>1124</v>
      </c>
      <c r="D14906" s="27" t="s">
        <v>1859</v>
      </c>
      <c r="F14906" s="27" t="s">
        <v>938</v>
      </c>
      <c r="G14906" s="27" t="s">
        <v>959</v>
      </c>
      <c r="H14906" s="27" t="s">
        <v>17007</v>
      </c>
      <c r="J14906" s="27" t="s">
        <v>17036</v>
      </c>
      <c r="L14906" s="27" t="s">
        <v>10379</v>
      </c>
      <c r="N14906" s="27" t="s">
        <v>10380</v>
      </c>
      <c r="P14906" s="27" t="s">
        <v>10381</v>
      </c>
      <c r="Q14906" s="26" t="str">
        <f>HYPERLINK("https://ictv.global/taxonomy/taxondetails?taxnode_id=202514180&amp;ictv_id=ICTV202214180","ICTV202214180")</f>
        <v>ICTV202214180</v>
      </c>
      <c r="R14906" t="s">
        <v>657</v>
      </c>
      <c r="S14906" t="s">
        <v>22763</v>
      </c>
      <c r="T14906">
        <v>40</v>
      </c>
      <c r="U14906" s="26" t="str">
        <f>HYPERLINK("https://ictv.global/ictv/proposals/2024.018M.Tosoviridae_move.zip","2024.018M.Tosoviridae_move.zip")</f>
        <v>2024.018M.Tosoviridae_move.zip</v>
      </c>
    </row>
    <row r="14907" spans="1:21">
      <c r="A14907">
        <v>14906</v>
      </c>
      <c r="B14907" s="27" t="s">
        <v>1124</v>
      </c>
      <c r="D14907" s="27" t="s">
        <v>1859</v>
      </c>
      <c r="F14907" s="27" t="s">
        <v>938</v>
      </c>
      <c r="G14907" s="27" t="s">
        <v>959</v>
      </c>
      <c r="H14907" s="27" t="s">
        <v>17007</v>
      </c>
      <c r="J14907" s="27" t="s">
        <v>17036</v>
      </c>
      <c r="L14907" s="27" t="s">
        <v>979</v>
      </c>
      <c r="N14907" s="27" t="s">
        <v>980</v>
      </c>
      <c r="P14907" s="27" t="s">
        <v>10354</v>
      </c>
      <c r="Q14907" s="26" t="str">
        <f>HYPERLINK("https://ictv.global/taxonomy/taxondetails?taxnode_id=202506242&amp;ictv_id=ICTV20186242","ICTV20186242")</f>
        <v>ICTV20186242</v>
      </c>
      <c r="R14907" t="s">
        <v>580</v>
      </c>
      <c r="S14907" t="s">
        <v>22763</v>
      </c>
      <c r="T14907">
        <v>39</v>
      </c>
      <c r="U14907" s="26" t="str">
        <f>HYPERLINK("https://ictv.global/ictv/proposals/2023.024M.Bunyaviricetes.zip","2023.024M.Bunyaviricetes.zip")</f>
        <v>2023.024M.Bunyaviricetes.zip</v>
      </c>
    </row>
    <row r="14908" spans="1:21">
      <c r="A14908">
        <v>14907</v>
      </c>
      <c r="B14908" s="27" t="s">
        <v>1124</v>
      </c>
      <c r="D14908" s="27" t="s">
        <v>1859</v>
      </c>
      <c r="F14908" s="27" t="s">
        <v>938</v>
      </c>
      <c r="G14908" s="27" t="s">
        <v>959</v>
      </c>
      <c r="H14908" s="27" t="s">
        <v>981</v>
      </c>
      <c r="J14908" s="27" t="s">
        <v>982</v>
      </c>
      <c r="L14908" s="27" t="s">
        <v>983</v>
      </c>
      <c r="N14908" s="27" t="s">
        <v>822</v>
      </c>
      <c r="P14908" s="27" t="s">
        <v>10355</v>
      </c>
      <c r="Q14908" s="26" t="str">
        <f>HYPERLINK("https://ictv.global/taxonomy/taxondetails?taxnode_id=202505391&amp;ictv_id=ICTV20165507","ICTV20165507")</f>
        <v>ICTV20165507</v>
      </c>
      <c r="R14908" t="s">
        <v>580</v>
      </c>
      <c r="S14908" t="s">
        <v>824</v>
      </c>
      <c r="T14908">
        <v>37</v>
      </c>
      <c r="U14908" s="26" t="str">
        <f>HYPERLINK("https://ictv.global/ictv/proposals/2021.018M.R.Negarnaviricota_sprename.zip","2021.018M.R.Negarnaviricota_sprename.zip")</f>
        <v>2021.018M.R.Negarnaviricota_sprename.zip</v>
      </c>
    </row>
    <row r="14909" spans="1:21">
      <c r="A14909">
        <v>14908</v>
      </c>
      <c r="B14909" s="27" t="s">
        <v>1124</v>
      </c>
      <c r="D14909" s="27" t="s">
        <v>1859</v>
      </c>
      <c r="F14909" s="27" t="s">
        <v>938</v>
      </c>
      <c r="G14909" s="27" t="s">
        <v>959</v>
      </c>
      <c r="H14909" s="27" t="s">
        <v>981</v>
      </c>
      <c r="J14909" s="27" t="s">
        <v>982</v>
      </c>
      <c r="L14909" s="27" t="s">
        <v>363</v>
      </c>
      <c r="N14909" s="27" t="s">
        <v>887</v>
      </c>
      <c r="P14909" s="27" t="s">
        <v>10356</v>
      </c>
      <c r="Q14909" s="26" t="str">
        <f>HYPERLINK("https://ictv.global/taxonomy/taxondetails?taxnode_id=202503956&amp;ictv_id=ICTV19710226","ICTV19710226")</f>
        <v>ICTV19710226</v>
      </c>
      <c r="R14909" t="s">
        <v>580</v>
      </c>
      <c r="S14909" t="s">
        <v>824</v>
      </c>
      <c r="T14909">
        <v>37</v>
      </c>
      <c r="U14909" s="26" t="str">
        <f>HYPERLINK("https://ictv.global/ictv/proposals/2021.024M.R.Orthomyxoviridae_sprename.zip","2021.024M.R.Orthomyxoviridae_sprename.zip")</f>
        <v>2021.024M.R.Orthomyxoviridae_sprename.zip</v>
      </c>
    </row>
    <row r="14910" spans="1:21">
      <c r="A14910">
        <v>14909</v>
      </c>
      <c r="B14910" s="27" t="s">
        <v>1124</v>
      </c>
      <c r="D14910" s="27" t="s">
        <v>1859</v>
      </c>
      <c r="F14910" s="27" t="s">
        <v>938</v>
      </c>
      <c r="G14910" s="27" t="s">
        <v>959</v>
      </c>
      <c r="H14910" s="27" t="s">
        <v>981</v>
      </c>
      <c r="J14910" s="27" t="s">
        <v>982</v>
      </c>
      <c r="L14910" s="27" t="s">
        <v>363</v>
      </c>
      <c r="N14910" s="27" t="s">
        <v>888</v>
      </c>
      <c r="P14910" s="27" t="s">
        <v>10357</v>
      </c>
      <c r="Q14910" s="26" t="str">
        <f>HYPERLINK("https://ictv.global/taxonomy/taxondetails?taxnode_id=202503958&amp;ictv_id=ICTV19710224","ICTV19710224")</f>
        <v>ICTV19710224</v>
      </c>
      <c r="R14910" t="s">
        <v>580</v>
      </c>
      <c r="S14910" t="s">
        <v>824</v>
      </c>
      <c r="T14910">
        <v>37</v>
      </c>
      <c r="U14910" s="26" t="str">
        <f>HYPERLINK("https://ictv.global/ictv/proposals/2021.024M.R.Orthomyxoviridae_sprename.zip","2021.024M.R.Orthomyxoviridae_sprename.zip")</f>
        <v>2021.024M.R.Orthomyxoviridae_sprename.zip</v>
      </c>
    </row>
    <row r="14911" spans="1:21">
      <c r="A14911">
        <v>14910</v>
      </c>
      <c r="B14911" s="27" t="s">
        <v>1124</v>
      </c>
      <c r="D14911" s="27" t="s">
        <v>1859</v>
      </c>
      <c r="F14911" s="27" t="s">
        <v>938</v>
      </c>
      <c r="G14911" s="27" t="s">
        <v>959</v>
      </c>
      <c r="H14911" s="27" t="s">
        <v>981</v>
      </c>
      <c r="J14911" s="27" t="s">
        <v>982</v>
      </c>
      <c r="L14911" s="27" t="s">
        <v>363</v>
      </c>
      <c r="N14911" s="27" t="s">
        <v>889</v>
      </c>
      <c r="P14911" s="27" t="s">
        <v>10358</v>
      </c>
      <c r="Q14911" s="26" t="str">
        <f>HYPERLINK("https://ictv.global/taxonomy/taxondetails?taxnode_id=202503962&amp;ictv_id=ICTV20165406","ICTV20165406")</f>
        <v>ICTV20165406</v>
      </c>
      <c r="R14911" t="s">
        <v>580</v>
      </c>
      <c r="S14911" t="s">
        <v>824</v>
      </c>
      <c r="T14911">
        <v>37</v>
      </c>
      <c r="U14911" s="26" t="str">
        <f>HYPERLINK("https://ictv.global/ictv/proposals/2021.024M.R.Orthomyxoviridae_sprename.zip","2021.024M.R.Orthomyxoviridae_sprename.zip")</f>
        <v>2021.024M.R.Orthomyxoviridae_sprename.zip</v>
      </c>
    </row>
    <row r="14912" spans="1:21">
      <c r="A14912">
        <v>14911</v>
      </c>
      <c r="B14912" s="27" t="s">
        <v>1124</v>
      </c>
      <c r="D14912" s="27" t="s">
        <v>1859</v>
      </c>
      <c r="F14912" s="27" t="s">
        <v>938</v>
      </c>
      <c r="G14912" s="27" t="s">
        <v>959</v>
      </c>
      <c r="H14912" s="27" t="s">
        <v>981</v>
      </c>
      <c r="J14912" s="27" t="s">
        <v>982</v>
      </c>
      <c r="L14912" s="27" t="s">
        <v>363</v>
      </c>
      <c r="N14912" s="27" t="s">
        <v>890</v>
      </c>
      <c r="P14912" s="27" t="s">
        <v>10359</v>
      </c>
      <c r="Q14912" s="26" t="str">
        <f>HYPERLINK("https://ictv.global/taxonomy/taxondetails?taxnode_id=202503960&amp;ictv_id=ICTV19870699","ICTV19870699")</f>
        <v>ICTV19870699</v>
      </c>
      <c r="R14912" t="s">
        <v>580</v>
      </c>
      <c r="S14912" t="s">
        <v>824</v>
      </c>
      <c r="T14912">
        <v>37</v>
      </c>
      <c r="U14912" s="26" t="str">
        <f>HYPERLINK("https://ictv.global/ictv/proposals/2021.024M.R.Orthomyxoviridae_sprename.zip","2021.024M.R.Orthomyxoviridae_sprename.zip")</f>
        <v>2021.024M.R.Orthomyxoviridae_sprename.zip</v>
      </c>
    </row>
    <row r="14913" spans="1:21">
      <c r="A14913">
        <v>14912</v>
      </c>
      <c r="B14913" s="27" t="s">
        <v>1124</v>
      </c>
      <c r="D14913" s="27" t="s">
        <v>1859</v>
      </c>
      <c r="F14913" s="27" t="s">
        <v>938</v>
      </c>
      <c r="G14913" s="27" t="s">
        <v>959</v>
      </c>
      <c r="H14913" s="27" t="s">
        <v>981</v>
      </c>
      <c r="J14913" s="27" t="s">
        <v>982</v>
      </c>
      <c r="L14913" s="27" t="s">
        <v>363</v>
      </c>
      <c r="N14913" s="27" t="s">
        <v>207</v>
      </c>
      <c r="P14913" s="27" t="s">
        <v>10360</v>
      </c>
      <c r="Q14913" s="26" t="str">
        <f>HYPERLINK("https://ictv.global/taxonomy/taxondetails?taxnode_id=202503964&amp;ictv_id=ICTV20021214","ICTV20021214")</f>
        <v>ICTV20021214</v>
      </c>
      <c r="R14913" t="s">
        <v>580</v>
      </c>
      <c r="S14913" t="s">
        <v>824</v>
      </c>
      <c r="T14913">
        <v>37</v>
      </c>
      <c r="U14913" s="26" t="str">
        <f>HYPERLINK("https://ictv.global/ictv/proposals/2021.024M.R.Orthomyxoviridae_sprename.zip","2021.024M.R.Orthomyxoviridae_sprename.zip")</f>
        <v>2021.024M.R.Orthomyxoviridae_sprename.zip</v>
      </c>
    </row>
    <row r="14914" spans="1:21">
      <c r="A14914">
        <v>14913</v>
      </c>
      <c r="B14914" s="27" t="s">
        <v>1124</v>
      </c>
      <c r="D14914" s="27" t="s">
        <v>1859</v>
      </c>
      <c r="F14914" s="27" t="s">
        <v>938</v>
      </c>
      <c r="G14914" s="27" t="s">
        <v>959</v>
      </c>
      <c r="H14914" s="27" t="s">
        <v>981</v>
      </c>
      <c r="J14914" s="27" t="s">
        <v>982</v>
      </c>
      <c r="L14914" s="27" t="s">
        <v>363</v>
      </c>
      <c r="N14914" s="27" t="s">
        <v>10361</v>
      </c>
      <c r="P14914" s="27" t="s">
        <v>10362</v>
      </c>
      <c r="Q14914" s="26" t="str">
        <f>HYPERLINK("https://ictv.global/taxonomy/taxondetails?taxnode_id=202512228&amp;ictv_id=ICTV202112228","ICTV202112228")</f>
        <v>ICTV202112228</v>
      </c>
      <c r="R14914" t="s">
        <v>580</v>
      </c>
      <c r="S14914" t="s">
        <v>823</v>
      </c>
      <c r="T14914">
        <v>37</v>
      </c>
      <c r="U14914" s="26" t="str">
        <f>HYPERLINK("https://ictv.global/ictv/proposals/2021.022M.R.Orthomyxoviridae_1ngen_1nsp_Mykiss.zip","2021.022M.R.Orthomyxoviridae_1ngen_1nsp_Mykiss.zip")</f>
        <v>2021.022M.R.Orthomyxoviridae_1ngen_1nsp_Mykiss.zip</v>
      </c>
    </row>
    <row r="14915" spans="1:21">
      <c r="A14915">
        <v>14914</v>
      </c>
      <c r="B14915" s="27" t="s">
        <v>1124</v>
      </c>
      <c r="D14915" s="27" t="s">
        <v>1859</v>
      </c>
      <c r="F14915" s="27" t="s">
        <v>938</v>
      </c>
      <c r="G14915" s="27" t="s">
        <v>959</v>
      </c>
      <c r="H14915" s="27" t="s">
        <v>981</v>
      </c>
      <c r="J14915" s="27" t="s">
        <v>982</v>
      </c>
      <c r="L14915" s="27" t="s">
        <v>363</v>
      </c>
      <c r="N14915" s="27" t="s">
        <v>486</v>
      </c>
      <c r="P14915" s="27" t="s">
        <v>10363</v>
      </c>
      <c r="Q14915" s="26" t="str">
        <f>HYPERLINK("https://ictv.global/taxonomy/taxondetails?taxnode_id=202512244&amp;ictv_id=ICTV202112244","ICTV202112244")</f>
        <v>ICTV202112244</v>
      </c>
      <c r="R14915" t="s">
        <v>580</v>
      </c>
      <c r="S14915" t="s">
        <v>823</v>
      </c>
      <c r="T14915">
        <v>37</v>
      </c>
      <c r="U14915" s="26" t="str">
        <f>HYPERLINK("https://ictv.global/ictv/proposals/2021.034M.R.Quaranjavirus_4nsp.zip","2021.034M.R.Quaranjavirus_4nsp.zip")</f>
        <v>2021.034M.R.Quaranjavirus_4nsp.zip</v>
      </c>
    </row>
    <row r="14916" spans="1:21">
      <c r="A14916">
        <v>14915</v>
      </c>
      <c r="B14916" s="27" t="s">
        <v>1124</v>
      </c>
      <c r="D14916" s="27" t="s">
        <v>1859</v>
      </c>
      <c r="F14916" s="27" t="s">
        <v>938</v>
      </c>
      <c r="G14916" s="27" t="s">
        <v>959</v>
      </c>
      <c r="H14916" s="27" t="s">
        <v>981</v>
      </c>
      <c r="J14916" s="27" t="s">
        <v>982</v>
      </c>
      <c r="L14916" s="27" t="s">
        <v>363</v>
      </c>
      <c r="N14916" s="27" t="s">
        <v>486</v>
      </c>
      <c r="P14916" s="27" t="s">
        <v>10364</v>
      </c>
      <c r="Q14916" s="26" t="str">
        <f>HYPERLINK("https://ictv.global/taxonomy/taxondetails?taxnode_id=202512245&amp;ictv_id=ICTV202112245","ICTV202112245")</f>
        <v>ICTV202112245</v>
      </c>
      <c r="R14916" t="s">
        <v>580</v>
      </c>
      <c r="S14916" t="s">
        <v>823</v>
      </c>
      <c r="T14916">
        <v>37</v>
      </c>
      <c r="U14916" s="26" t="str">
        <f>HYPERLINK("https://ictv.global/ictv/proposals/2021.034M.R.Quaranjavirus_4nsp.zip","2021.034M.R.Quaranjavirus_4nsp.zip")</f>
        <v>2021.034M.R.Quaranjavirus_4nsp.zip</v>
      </c>
    </row>
    <row r="14917" spans="1:21">
      <c r="A14917">
        <v>14916</v>
      </c>
      <c r="B14917" s="27" t="s">
        <v>1124</v>
      </c>
      <c r="D14917" s="27" t="s">
        <v>1859</v>
      </c>
      <c r="F14917" s="27" t="s">
        <v>938</v>
      </c>
      <c r="G14917" s="27" t="s">
        <v>959</v>
      </c>
      <c r="H14917" s="27" t="s">
        <v>981</v>
      </c>
      <c r="J14917" s="27" t="s">
        <v>982</v>
      </c>
      <c r="L14917" s="27" t="s">
        <v>363</v>
      </c>
      <c r="N14917" s="27" t="s">
        <v>486</v>
      </c>
      <c r="P14917" s="27" t="s">
        <v>10365</v>
      </c>
      <c r="Q14917" s="26" t="str">
        <f>HYPERLINK("https://ictv.global/taxonomy/taxondetails?taxnode_id=202503966&amp;ictv_id=ICTV20125888","ICTV20125888")</f>
        <v>ICTV20125888</v>
      </c>
      <c r="R14917" t="s">
        <v>580</v>
      </c>
      <c r="S14917" t="s">
        <v>824</v>
      </c>
      <c r="T14917">
        <v>37</v>
      </c>
      <c r="U14917" s="26" t="str">
        <f>HYPERLINK("https://ictv.global/ictv/proposals/2021.024M.R.Orthomyxoviridae_sprename.zip","2021.024M.R.Orthomyxoviridae_sprename.zip")</f>
        <v>2021.024M.R.Orthomyxoviridae_sprename.zip</v>
      </c>
    </row>
    <row r="14918" spans="1:21">
      <c r="A14918">
        <v>14917</v>
      </c>
      <c r="B14918" s="27" t="s">
        <v>1124</v>
      </c>
      <c r="D14918" s="27" t="s">
        <v>1859</v>
      </c>
      <c r="F14918" s="27" t="s">
        <v>938</v>
      </c>
      <c r="G14918" s="27" t="s">
        <v>959</v>
      </c>
      <c r="H14918" s="27" t="s">
        <v>981</v>
      </c>
      <c r="J14918" s="27" t="s">
        <v>982</v>
      </c>
      <c r="L14918" s="27" t="s">
        <v>363</v>
      </c>
      <c r="N14918" s="27" t="s">
        <v>486</v>
      </c>
      <c r="P14918" s="27" t="s">
        <v>10366</v>
      </c>
      <c r="Q14918" s="26" t="str">
        <f>HYPERLINK("https://ictv.global/taxonomy/taxondetails?taxnode_id=202503967&amp;ictv_id=ICTV20125887","ICTV20125887")</f>
        <v>ICTV20125887</v>
      </c>
      <c r="R14918" t="s">
        <v>580</v>
      </c>
      <c r="S14918" t="s">
        <v>824</v>
      </c>
      <c r="T14918">
        <v>37</v>
      </c>
      <c r="U14918" s="26" t="str">
        <f>HYPERLINK("https://ictv.global/ictv/proposals/2021.024M.R.Orthomyxoviridae_sprename.zip","2021.024M.R.Orthomyxoviridae_sprename.zip")</f>
        <v>2021.024M.R.Orthomyxoviridae_sprename.zip</v>
      </c>
    </row>
    <row r="14919" spans="1:21">
      <c r="A14919">
        <v>14918</v>
      </c>
      <c r="B14919" s="27" t="s">
        <v>1124</v>
      </c>
      <c r="D14919" s="27" t="s">
        <v>1859</v>
      </c>
      <c r="F14919" s="27" t="s">
        <v>938</v>
      </c>
      <c r="G14919" s="27" t="s">
        <v>959</v>
      </c>
      <c r="H14919" s="27" t="s">
        <v>981</v>
      </c>
      <c r="J14919" s="27" t="s">
        <v>982</v>
      </c>
      <c r="L14919" s="27" t="s">
        <v>363</v>
      </c>
      <c r="N14919" s="27" t="s">
        <v>486</v>
      </c>
      <c r="P14919" s="27" t="s">
        <v>10367</v>
      </c>
      <c r="Q14919" s="26" t="str">
        <f>HYPERLINK("https://ictv.global/taxonomy/taxondetails?taxnode_id=202512246&amp;ictv_id=ICTV202112246","ICTV202112246")</f>
        <v>ICTV202112246</v>
      </c>
      <c r="R14919" t="s">
        <v>580</v>
      </c>
      <c r="S14919" t="s">
        <v>823</v>
      </c>
      <c r="T14919">
        <v>37</v>
      </c>
      <c r="U14919" s="26" t="str">
        <f>HYPERLINK("https://ictv.global/ictv/proposals/2021.034M.R.Quaranjavirus_4nsp.zip","2021.034M.R.Quaranjavirus_4nsp.zip")</f>
        <v>2021.034M.R.Quaranjavirus_4nsp.zip</v>
      </c>
    </row>
    <row r="14920" spans="1:21">
      <c r="A14920">
        <v>14919</v>
      </c>
      <c r="B14920" s="27" t="s">
        <v>1124</v>
      </c>
      <c r="D14920" s="27" t="s">
        <v>1859</v>
      </c>
      <c r="F14920" s="27" t="s">
        <v>938</v>
      </c>
      <c r="G14920" s="27" t="s">
        <v>959</v>
      </c>
      <c r="H14920" s="27" t="s">
        <v>981</v>
      </c>
      <c r="J14920" s="27" t="s">
        <v>982</v>
      </c>
      <c r="L14920" s="27" t="s">
        <v>363</v>
      </c>
      <c r="N14920" s="27" t="s">
        <v>486</v>
      </c>
      <c r="P14920" s="27" t="s">
        <v>10368</v>
      </c>
      <c r="Q14920" s="26" t="str">
        <f>HYPERLINK("https://ictv.global/taxonomy/taxondetails?taxnode_id=202512247&amp;ictv_id=ICTV202112247","ICTV202112247")</f>
        <v>ICTV202112247</v>
      </c>
      <c r="R14920" t="s">
        <v>580</v>
      </c>
      <c r="S14920" t="s">
        <v>823</v>
      </c>
      <c r="T14920">
        <v>37</v>
      </c>
      <c r="U14920" s="26" t="str">
        <f>HYPERLINK("https://ictv.global/ictv/proposals/2021.034M.R.Quaranjavirus_4nsp.zip","2021.034M.R.Quaranjavirus_4nsp.zip")</f>
        <v>2021.034M.R.Quaranjavirus_4nsp.zip</v>
      </c>
    </row>
    <row r="14921" spans="1:21">
      <c r="A14921">
        <v>14920</v>
      </c>
      <c r="B14921" s="27" t="s">
        <v>1124</v>
      </c>
      <c r="D14921" s="27" t="s">
        <v>1859</v>
      </c>
      <c r="F14921" s="27" t="s">
        <v>938</v>
      </c>
      <c r="G14921" s="27" t="s">
        <v>959</v>
      </c>
      <c r="H14921" s="27" t="s">
        <v>981</v>
      </c>
      <c r="J14921" s="27" t="s">
        <v>982</v>
      </c>
      <c r="L14921" s="27" t="s">
        <v>363</v>
      </c>
      <c r="N14921" s="27" t="s">
        <v>10369</v>
      </c>
      <c r="P14921" s="27" t="s">
        <v>10370</v>
      </c>
      <c r="Q14921" s="26" t="str">
        <f>HYPERLINK("https://ictv.global/taxonomy/taxondetails?taxnode_id=202512230&amp;ictv_id=ICTV202112230","ICTV202112230")</f>
        <v>ICTV202112230</v>
      </c>
      <c r="R14921" t="s">
        <v>580</v>
      </c>
      <c r="S14921" t="s">
        <v>823</v>
      </c>
      <c r="T14921">
        <v>37</v>
      </c>
      <c r="U14921" s="26" t="str">
        <f>HYPERLINK("https://ictv.global/ictv/proposals/2021.023M.R.Orthomyxoviridae_1ngen_1nsp_Sardino.zip","2021.023M.R.Orthomyxoviridae_1ngen_1nsp_Sardino.zip")</f>
        <v>2021.023M.R.Orthomyxoviridae_1ngen_1nsp_Sardino.zip</v>
      </c>
    </row>
    <row r="14922" spans="1:21">
      <c r="A14922">
        <v>14921</v>
      </c>
      <c r="B14922" s="27" t="s">
        <v>1124</v>
      </c>
      <c r="D14922" s="27" t="s">
        <v>1859</v>
      </c>
      <c r="F14922" s="27" t="s">
        <v>938</v>
      </c>
      <c r="G14922" s="27" t="s">
        <v>959</v>
      </c>
      <c r="H14922" s="27" t="s">
        <v>981</v>
      </c>
      <c r="J14922" s="27" t="s">
        <v>982</v>
      </c>
      <c r="L14922" s="27" t="s">
        <v>363</v>
      </c>
      <c r="N14922" s="27" t="s">
        <v>208</v>
      </c>
      <c r="P14922" s="27" t="s">
        <v>10371</v>
      </c>
      <c r="Q14922" s="26" t="str">
        <f>HYPERLINK("https://ictv.global/taxonomy/taxondetails?taxnode_id=202512930&amp;ictv_id=ICTV202112930","ICTV202112930")</f>
        <v>ICTV202112930</v>
      </c>
      <c r="R14922" t="s">
        <v>580</v>
      </c>
      <c r="S14922" t="s">
        <v>823</v>
      </c>
      <c r="T14922">
        <v>37</v>
      </c>
      <c r="U14922" s="26" t="str">
        <f>HYPERLINK("https://ictv.global/ictv/proposals/2021.038M.R.Thogotovirus_6nsp.zip","2021.038M.R.Thogotovirus_6nsp.zip")</f>
        <v>2021.038M.R.Thogotovirus_6nsp.zip</v>
      </c>
    </row>
    <row r="14923" spans="1:21">
      <c r="A14923">
        <v>14922</v>
      </c>
      <c r="B14923" s="27" t="s">
        <v>1124</v>
      </c>
      <c r="D14923" s="27" t="s">
        <v>1859</v>
      </c>
      <c r="F14923" s="27" t="s">
        <v>938</v>
      </c>
      <c r="G14923" s="27" t="s">
        <v>959</v>
      </c>
      <c r="H14923" s="27" t="s">
        <v>981</v>
      </c>
      <c r="J14923" s="27" t="s">
        <v>982</v>
      </c>
      <c r="L14923" s="27" t="s">
        <v>363</v>
      </c>
      <c r="N14923" s="27" t="s">
        <v>208</v>
      </c>
      <c r="P14923" s="27" t="s">
        <v>10372</v>
      </c>
      <c r="Q14923" s="26" t="str">
        <f>HYPERLINK("https://ictv.global/taxonomy/taxondetails?taxnode_id=202503969&amp;ictv_id=ICTV19951379","ICTV19951379")</f>
        <v>ICTV19951379</v>
      </c>
      <c r="R14923" t="s">
        <v>580</v>
      </c>
      <c r="S14923" t="s">
        <v>824</v>
      </c>
      <c r="T14923">
        <v>37</v>
      </c>
      <c r="U14923" s="26" t="str">
        <f>HYPERLINK("https://ictv.global/ictv/proposals/2021.024M.R.Orthomyxoviridae_sprename.zip","2021.024M.R.Orthomyxoviridae_sprename.zip")</f>
        <v>2021.024M.R.Orthomyxoviridae_sprename.zip</v>
      </c>
    </row>
    <row r="14924" spans="1:21">
      <c r="A14924">
        <v>14923</v>
      </c>
      <c r="B14924" s="27" t="s">
        <v>1124</v>
      </c>
      <c r="D14924" s="27" t="s">
        <v>1859</v>
      </c>
      <c r="F14924" s="27" t="s">
        <v>938</v>
      </c>
      <c r="G14924" s="27" t="s">
        <v>959</v>
      </c>
      <c r="H14924" s="27" t="s">
        <v>981</v>
      </c>
      <c r="J14924" s="27" t="s">
        <v>982</v>
      </c>
      <c r="L14924" s="27" t="s">
        <v>363</v>
      </c>
      <c r="N14924" s="27" t="s">
        <v>208</v>
      </c>
      <c r="P14924" s="27" t="s">
        <v>10373</v>
      </c>
      <c r="Q14924" s="26" t="str">
        <f>HYPERLINK("https://ictv.global/taxonomy/taxondetails?taxnode_id=202512928&amp;ictv_id=ICTV202112928","ICTV202112928")</f>
        <v>ICTV202112928</v>
      </c>
      <c r="R14924" t="s">
        <v>580</v>
      </c>
      <c r="S14924" t="s">
        <v>823</v>
      </c>
      <c r="T14924">
        <v>37</v>
      </c>
      <c r="U14924" s="26" t="str">
        <f>HYPERLINK("https://ictv.global/ictv/proposals/2021.038M.R.Thogotovirus_6nsp.zip","2021.038M.R.Thogotovirus_6nsp.zip")</f>
        <v>2021.038M.R.Thogotovirus_6nsp.zip</v>
      </c>
    </row>
    <row r="14925" spans="1:21">
      <c r="A14925">
        <v>14924</v>
      </c>
      <c r="B14925" s="27" t="s">
        <v>1124</v>
      </c>
      <c r="D14925" s="27" t="s">
        <v>1859</v>
      </c>
      <c r="F14925" s="27" t="s">
        <v>938</v>
      </c>
      <c r="G14925" s="27" t="s">
        <v>959</v>
      </c>
      <c r="H14925" s="27" t="s">
        <v>981</v>
      </c>
      <c r="J14925" s="27" t="s">
        <v>982</v>
      </c>
      <c r="L14925" s="27" t="s">
        <v>363</v>
      </c>
      <c r="N14925" s="27" t="s">
        <v>208</v>
      </c>
      <c r="P14925" s="27" t="s">
        <v>10374</v>
      </c>
      <c r="Q14925" s="26" t="str">
        <f>HYPERLINK("https://ictv.global/taxonomy/taxondetails?taxnode_id=202512931&amp;ictv_id=ICTV202112931","ICTV202112931")</f>
        <v>ICTV202112931</v>
      </c>
      <c r="R14925" t="s">
        <v>580</v>
      </c>
      <c r="S14925" t="s">
        <v>823</v>
      </c>
      <c r="T14925">
        <v>37</v>
      </c>
      <c r="U14925" s="26" t="str">
        <f>HYPERLINK("https://ictv.global/ictv/proposals/2021.038M.R.Thogotovirus_6nsp.zip","2021.038M.R.Thogotovirus_6nsp.zip")</f>
        <v>2021.038M.R.Thogotovirus_6nsp.zip</v>
      </c>
    </row>
    <row r="14926" spans="1:21">
      <c r="A14926">
        <v>14925</v>
      </c>
      <c r="B14926" s="27" t="s">
        <v>1124</v>
      </c>
      <c r="D14926" s="27" t="s">
        <v>1859</v>
      </c>
      <c r="F14926" s="27" t="s">
        <v>938</v>
      </c>
      <c r="G14926" s="27" t="s">
        <v>959</v>
      </c>
      <c r="H14926" s="27" t="s">
        <v>981</v>
      </c>
      <c r="J14926" s="27" t="s">
        <v>982</v>
      </c>
      <c r="L14926" s="27" t="s">
        <v>363</v>
      </c>
      <c r="N14926" s="27" t="s">
        <v>208</v>
      </c>
      <c r="P14926" s="27" t="s">
        <v>10375</v>
      </c>
      <c r="Q14926" s="26" t="str">
        <f>HYPERLINK("https://ictv.global/taxonomy/taxondetails?taxnode_id=202512933&amp;ictv_id=ICTV202112933","ICTV202112933")</f>
        <v>ICTV202112933</v>
      </c>
      <c r="R14926" t="s">
        <v>580</v>
      </c>
      <c r="S14926" t="s">
        <v>823</v>
      </c>
      <c r="T14926">
        <v>37</v>
      </c>
      <c r="U14926" s="26" t="str">
        <f>HYPERLINK("https://ictv.global/ictv/proposals/2021.038M.R.Thogotovirus_6nsp.zip","2021.038M.R.Thogotovirus_6nsp.zip")</f>
        <v>2021.038M.R.Thogotovirus_6nsp.zip</v>
      </c>
    </row>
    <row r="14927" spans="1:21">
      <c r="A14927">
        <v>14926</v>
      </c>
      <c r="B14927" s="27" t="s">
        <v>1124</v>
      </c>
      <c r="D14927" s="27" t="s">
        <v>1859</v>
      </c>
      <c r="F14927" s="27" t="s">
        <v>938</v>
      </c>
      <c r="G14927" s="27" t="s">
        <v>959</v>
      </c>
      <c r="H14927" s="27" t="s">
        <v>981</v>
      </c>
      <c r="J14927" s="27" t="s">
        <v>982</v>
      </c>
      <c r="L14927" s="27" t="s">
        <v>363</v>
      </c>
      <c r="N14927" s="27" t="s">
        <v>208</v>
      </c>
      <c r="P14927" s="27" t="s">
        <v>10376</v>
      </c>
      <c r="Q14927" s="26" t="str">
        <f>HYPERLINK("https://ictv.global/taxonomy/taxondetails?taxnode_id=202512932&amp;ictv_id=ICTV202112932","ICTV202112932")</f>
        <v>ICTV202112932</v>
      </c>
      <c r="R14927" t="s">
        <v>580</v>
      </c>
      <c r="S14927" t="s">
        <v>823</v>
      </c>
      <c r="T14927">
        <v>37</v>
      </c>
      <c r="U14927" s="26" t="str">
        <f>HYPERLINK("https://ictv.global/ictv/proposals/2021.038M.R.Thogotovirus_6nsp.zip","2021.038M.R.Thogotovirus_6nsp.zip")</f>
        <v>2021.038M.R.Thogotovirus_6nsp.zip</v>
      </c>
    </row>
    <row r="14928" spans="1:21">
      <c r="A14928">
        <v>14927</v>
      </c>
      <c r="B14928" s="27" t="s">
        <v>1124</v>
      </c>
      <c r="D14928" s="27" t="s">
        <v>1859</v>
      </c>
      <c r="F14928" s="27" t="s">
        <v>938</v>
      </c>
      <c r="G14928" s="27" t="s">
        <v>959</v>
      </c>
      <c r="H14928" s="27" t="s">
        <v>981</v>
      </c>
      <c r="J14928" s="27" t="s">
        <v>982</v>
      </c>
      <c r="L14928" s="27" t="s">
        <v>363</v>
      </c>
      <c r="N14928" s="27" t="s">
        <v>208</v>
      </c>
      <c r="P14928" s="27" t="s">
        <v>10377</v>
      </c>
      <c r="Q14928" s="26" t="str">
        <f>HYPERLINK("https://ictv.global/taxonomy/taxondetails?taxnode_id=202503970&amp;ictv_id=ICTV19951380","ICTV19951380")</f>
        <v>ICTV19951380</v>
      </c>
      <c r="R14928" t="s">
        <v>580</v>
      </c>
      <c r="S14928" t="s">
        <v>824</v>
      </c>
      <c r="T14928">
        <v>37</v>
      </c>
      <c r="U14928" s="26" t="str">
        <f>HYPERLINK("https://ictv.global/ictv/proposals/2021.024M.R.Orthomyxoviridae_sprename.zip","2021.024M.R.Orthomyxoviridae_sprename.zip")</f>
        <v>2021.024M.R.Orthomyxoviridae_sprename.zip</v>
      </c>
    </row>
    <row r="14929" spans="1:21">
      <c r="A14929">
        <v>14928</v>
      </c>
      <c r="B14929" s="27" t="s">
        <v>1124</v>
      </c>
      <c r="D14929" s="27" t="s">
        <v>1859</v>
      </c>
      <c r="F14929" s="27" t="s">
        <v>938</v>
      </c>
      <c r="G14929" s="27" t="s">
        <v>959</v>
      </c>
      <c r="H14929" s="27" t="s">
        <v>981</v>
      </c>
      <c r="J14929" s="27" t="s">
        <v>982</v>
      </c>
      <c r="L14929" s="27" t="s">
        <v>363</v>
      </c>
      <c r="N14929" s="27" t="s">
        <v>208</v>
      </c>
      <c r="P14929" s="27" t="s">
        <v>10378</v>
      </c>
      <c r="Q14929" s="26" t="str">
        <f>HYPERLINK("https://ictv.global/taxonomy/taxondetails?taxnode_id=202512929&amp;ictv_id=ICTV202112929","ICTV202112929")</f>
        <v>ICTV202112929</v>
      </c>
      <c r="R14929" t="s">
        <v>580</v>
      </c>
      <c r="S14929" t="s">
        <v>823</v>
      </c>
      <c r="T14929">
        <v>37</v>
      </c>
      <c r="U14929" s="26" t="str">
        <f>HYPERLINK("https://ictv.global/ictv/proposals/2021.038M.R.Thogotovirus_6nsp.zip","2021.038M.R.Thogotovirus_6nsp.zip")</f>
        <v>2021.038M.R.Thogotovirus_6nsp.zip</v>
      </c>
    </row>
    <row r="14930" spans="1:21">
      <c r="A14930">
        <v>14929</v>
      </c>
      <c r="B14930" s="27" t="s">
        <v>1124</v>
      </c>
      <c r="D14930" s="27" t="s">
        <v>1859</v>
      </c>
      <c r="F14930" s="27" t="s">
        <v>1909</v>
      </c>
      <c r="H14930" s="27" t="s">
        <v>1910</v>
      </c>
      <c r="J14930" s="27" t="s">
        <v>1911</v>
      </c>
      <c r="L14930" s="27" t="s">
        <v>508</v>
      </c>
      <c r="N14930" s="27" t="s">
        <v>509</v>
      </c>
      <c r="P14930" s="27" t="s">
        <v>10382</v>
      </c>
      <c r="Q14930" s="26" t="str">
        <f>HYPERLINK("https://ictv.global/taxonomy/taxondetails?taxnode_id=202506725&amp;ictv_id=ICTV201856725","ICTV201856725")</f>
        <v>ICTV201856725</v>
      </c>
      <c r="R14930" t="s">
        <v>583</v>
      </c>
      <c r="S14930" t="s">
        <v>824</v>
      </c>
      <c r="T14930">
        <v>38</v>
      </c>
      <c r="U14930" s="26" t="str">
        <f t="shared" ref="U14930:U14938" si="560">HYPERLINK("https://ictv.global/ictv/proposals/2022.006P.Amalgaviridae_rename.zip","2022.006P.Amalgaviridae_rename.zip")</f>
        <v>2022.006P.Amalgaviridae_rename.zip</v>
      </c>
    </row>
    <row r="14931" spans="1:21">
      <c r="A14931">
        <v>14930</v>
      </c>
      <c r="B14931" s="27" t="s">
        <v>1124</v>
      </c>
      <c r="D14931" s="27" t="s">
        <v>1859</v>
      </c>
      <c r="F14931" s="27" t="s">
        <v>1909</v>
      </c>
      <c r="H14931" s="27" t="s">
        <v>1910</v>
      </c>
      <c r="J14931" s="27" t="s">
        <v>1911</v>
      </c>
      <c r="L14931" s="27" t="s">
        <v>508</v>
      </c>
      <c r="N14931" s="27" t="s">
        <v>509</v>
      </c>
      <c r="P14931" s="27" t="s">
        <v>10383</v>
      </c>
      <c r="Q14931" s="26" t="str">
        <f>HYPERLINK("https://ictv.global/taxonomy/taxondetails?taxnode_id=202506726&amp;ictv_id=ICTV201856726","ICTV201856726")</f>
        <v>ICTV201856726</v>
      </c>
      <c r="R14931" t="s">
        <v>583</v>
      </c>
      <c r="S14931" t="s">
        <v>824</v>
      </c>
      <c r="T14931">
        <v>38</v>
      </c>
      <c r="U14931" s="26" t="str">
        <f t="shared" si="560"/>
        <v>2022.006P.Amalgaviridae_rename.zip</v>
      </c>
    </row>
    <row r="14932" spans="1:21">
      <c r="A14932">
        <v>14931</v>
      </c>
      <c r="B14932" s="27" t="s">
        <v>1124</v>
      </c>
      <c r="D14932" s="27" t="s">
        <v>1859</v>
      </c>
      <c r="F14932" s="27" t="s">
        <v>1909</v>
      </c>
      <c r="H14932" s="27" t="s">
        <v>1910</v>
      </c>
      <c r="J14932" s="27" t="s">
        <v>1911</v>
      </c>
      <c r="L14932" s="27" t="s">
        <v>508</v>
      </c>
      <c r="N14932" s="27" t="s">
        <v>509</v>
      </c>
      <c r="P14932" s="27" t="s">
        <v>10384</v>
      </c>
      <c r="Q14932" s="26" t="str">
        <f>HYPERLINK("https://ictv.global/taxonomy/taxondetails?taxnode_id=202502479&amp;ictv_id=ICTV20133599","ICTV20133599")</f>
        <v>ICTV20133599</v>
      </c>
      <c r="R14932" t="s">
        <v>583</v>
      </c>
      <c r="S14932" t="s">
        <v>824</v>
      </c>
      <c r="T14932">
        <v>38</v>
      </c>
      <c r="U14932" s="26" t="str">
        <f t="shared" si="560"/>
        <v>2022.006P.Amalgaviridae_rename.zip</v>
      </c>
    </row>
    <row r="14933" spans="1:21">
      <c r="A14933">
        <v>14932</v>
      </c>
      <c r="B14933" s="27" t="s">
        <v>1124</v>
      </c>
      <c r="D14933" s="27" t="s">
        <v>1859</v>
      </c>
      <c r="F14933" s="27" t="s">
        <v>1909</v>
      </c>
      <c r="H14933" s="27" t="s">
        <v>1910</v>
      </c>
      <c r="J14933" s="27" t="s">
        <v>1911</v>
      </c>
      <c r="L14933" s="27" t="s">
        <v>508</v>
      </c>
      <c r="N14933" s="27" t="s">
        <v>509</v>
      </c>
      <c r="P14933" s="27" t="s">
        <v>10385</v>
      </c>
      <c r="Q14933" s="26" t="str">
        <f>HYPERLINK("https://ictv.global/taxonomy/taxondetails?taxnode_id=202506729&amp;ictv_id=ICTV201856729","ICTV201856729")</f>
        <v>ICTV201856729</v>
      </c>
      <c r="R14933" t="s">
        <v>583</v>
      </c>
      <c r="S14933" t="s">
        <v>824</v>
      </c>
      <c r="T14933">
        <v>38</v>
      </c>
      <c r="U14933" s="26" t="str">
        <f t="shared" si="560"/>
        <v>2022.006P.Amalgaviridae_rename.zip</v>
      </c>
    </row>
    <row r="14934" spans="1:21">
      <c r="A14934">
        <v>14933</v>
      </c>
      <c r="B14934" s="27" t="s">
        <v>1124</v>
      </c>
      <c r="D14934" s="27" t="s">
        <v>1859</v>
      </c>
      <c r="F14934" s="27" t="s">
        <v>1909</v>
      </c>
      <c r="H14934" s="27" t="s">
        <v>1910</v>
      </c>
      <c r="J14934" s="27" t="s">
        <v>1911</v>
      </c>
      <c r="L14934" s="27" t="s">
        <v>508</v>
      </c>
      <c r="N14934" s="27" t="s">
        <v>509</v>
      </c>
      <c r="P14934" s="27" t="s">
        <v>10386</v>
      </c>
      <c r="Q14934" s="26" t="str">
        <f>HYPERLINK("https://ictv.global/taxonomy/taxondetails?taxnode_id=202502478&amp;ictv_id=ICTV20133601","ICTV20133601")</f>
        <v>ICTV20133601</v>
      </c>
      <c r="R14934" t="s">
        <v>583</v>
      </c>
      <c r="S14934" t="s">
        <v>824</v>
      </c>
      <c r="T14934">
        <v>38</v>
      </c>
      <c r="U14934" s="26" t="str">
        <f t="shared" si="560"/>
        <v>2022.006P.Amalgaviridae_rename.zip</v>
      </c>
    </row>
    <row r="14935" spans="1:21">
      <c r="A14935">
        <v>14934</v>
      </c>
      <c r="B14935" s="27" t="s">
        <v>1124</v>
      </c>
      <c r="D14935" s="27" t="s">
        <v>1859</v>
      </c>
      <c r="F14935" s="27" t="s">
        <v>1909</v>
      </c>
      <c r="H14935" s="27" t="s">
        <v>1910</v>
      </c>
      <c r="J14935" s="27" t="s">
        <v>1911</v>
      </c>
      <c r="L14935" s="27" t="s">
        <v>508</v>
      </c>
      <c r="N14935" s="27" t="s">
        <v>509</v>
      </c>
      <c r="P14935" s="27" t="s">
        <v>10387</v>
      </c>
      <c r="Q14935" s="26" t="str">
        <f>HYPERLINK("https://ictv.global/taxonomy/taxondetails?taxnode_id=202506727&amp;ictv_id=ICTV201856727","ICTV201856727")</f>
        <v>ICTV201856727</v>
      </c>
      <c r="R14935" t="s">
        <v>583</v>
      </c>
      <c r="S14935" t="s">
        <v>824</v>
      </c>
      <c r="T14935">
        <v>38</v>
      </c>
      <c r="U14935" s="26" t="str">
        <f t="shared" si="560"/>
        <v>2022.006P.Amalgaviridae_rename.zip</v>
      </c>
    </row>
    <row r="14936" spans="1:21">
      <c r="A14936">
        <v>14935</v>
      </c>
      <c r="B14936" s="27" t="s">
        <v>1124</v>
      </c>
      <c r="D14936" s="27" t="s">
        <v>1859</v>
      </c>
      <c r="F14936" s="27" t="s">
        <v>1909</v>
      </c>
      <c r="H14936" s="27" t="s">
        <v>1910</v>
      </c>
      <c r="J14936" s="27" t="s">
        <v>1911</v>
      </c>
      <c r="L14936" s="27" t="s">
        <v>508</v>
      </c>
      <c r="N14936" s="27" t="s">
        <v>509</v>
      </c>
      <c r="P14936" s="27" t="s">
        <v>10388</v>
      </c>
      <c r="Q14936" s="26" t="str">
        <f>HYPERLINK("https://ictv.global/taxonomy/taxondetails?taxnode_id=202502477&amp;ictv_id=ICTV20133600","ICTV20133600")</f>
        <v>ICTV20133600</v>
      </c>
      <c r="R14936" t="s">
        <v>583</v>
      </c>
      <c r="S14936" t="s">
        <v>824</v>
      </c>
      <c r="T14936">
        <v>38</v>
      </c>
      <c r="U14936" s="26" t="str">
        <f t="shared" si="560"/>
        <v>2022.006P.Amalgaviridae_rename.zip</v>
      </c>
    </row>
    <row r="14937" spans="1:21">
      <c r="A14937">
        <v>14936</v>
      </c>
      <c r="B14937" s="27" t="s">
        <v>1124</v>
      </c>
      <c r="D14937" s="27" t="s">
        <v>1859</v>
      </c>
      <c r="F14937" s="27" t="s">
        <v>1909</v>
      </c>
      <c r="H14937" s="27" t="s">
        <v>1910</v>
      </c>
      <c r="J14937" s="27" t="s">
        <v>1911</v>
      </c>
      <c r="L14937" s="27" t="s">
        <v>508</v>
      </c>
      <c r="N14937" s="27" t="s">
        <v>509</v>
      </c>
      <c r="P14937" s="27" t="s">
        <v>10389</v>
      </c>
      <c r="Q14937" s="26" t="str">
        <f>HYPERLINK("https://ictv.global/taxonomy/taxondetails?taxnode_id=202502480&amp;ictv_id=ICTV20133602","ICTV20133602")</f>
        <v>ICTV20133602</v>
      </c>
      <c r="R14937" t="s">
        <v>583</v>
      </c>
      <c r="S14937" t="s">
        <v>824</v>
      </c>
      <c r="T14937">
        <v>38</v>
      </c>
      <c r="U14937" s="26" t="str">
        <f t="shared" si="560"/>
        <v>2022.006P.Amalgaviridae_rename.zip</v>
      </c>
    </row>
    <row r="14938" spans="1:21">
      <c r="A14938">
        <v>14937</v>
      </c>
      <c r="B14938" s="27" t="s">
        <v>1124</v>
      </c>
      <c r="D14938" s="27" t="s">
        <v>1859</v>
      </c>
      <c r="F14938" s="27" t="s">
        <v>1909</v>
      </c>
      <c r="H14938" s="27" t="s">
        <v>1910</v>
      </c>
      <c r="J14938" s="27" t="s">
        <v>1911</v>
      </c>
      <c r="L14938" s="27" t="s">
        <v>508</v>
      </c>
      <c r="N14938" s="27" t="s">
        <v>509</v>
      </c>
      <c r="P14938" s="27" t="s">
        <v>10390</v>
      </c>
      <c r="Q14938" s="26" t="str">
        <f>HYPERLINK("https://ictv.global/taxonomy/taxondetails?taxnode_id=202506728&amp;ictv_id=ICTV201856728","ICTV201856728")</f>
        <v>ICTV201856728</v>
      </c>
      <c r="R14938" t="s">
        <v>583</v>
      </c>
      <c r="S14938" t="s">
        <v>824</v>
      </c>
      <c r="T14938">
        <v>38</v>
      </c>
      <c r="U14938" s="26" t="str">
        <f t="shared" si="560"/>
        <v>2022.006P.Amalgaviridae_rename.zip</v>
      </c>
    </row>
    <row r="14939" spans="1:21">
      <c r="A14939">
        <v>14938</v>
      </c>
      <c r="B14939" s="27" t="s">
        <v>1124</v>
      </c>
      <c r="D14939" s="27" t="s">
        <v>1859</v>
      </c>
      <c r="F14939" s="27" t="s">
        <v>1909</v>
      </c>
      <c r="H14939" s="27" t="s">
        <v>1910</v>
      </c>
      <c r="J14939" s="27" t="s">
        <v>1911</v>
      </c>
      <c r="L14939" s="27" t="s">
        <v>508</v>
      </c>
      <c r="N14939" s="27" t="s">
        <v>20480</v>
      </c>
      <c r="P14939" s="27" t="s">
        <v>20481</v>
      </c>
      <c r="Q14939" s="26" t="str">
        <f>HYPERLINK("https://ictv.global/taxonomy/taxondetails?taxnode_id=202520226&amp;ictv_id=ICTV202420226","ICTV202420226")</f>
        <v>ICTV202420226</v>
      </c>
      <c r="R14939" t="s">
        <v>583</v>
      </c>
      <c r="S14939" t="s">
        <v>823</v>
      </c>
      <c r="T14939">
        <v>40</v>
      </c>
      <c r="U14939" s="26" t="str">
        <f t="shared" ref="U14939:U14951" si="561">HYPERLINK("https://ictv.global/ictv/proposals/2024.006F.Amalgaviridae_newgen.zip","2024.006F.Amalgaviridae_newgen.zip")</f>
        <v>2024.006F.Amalgaviridae_newgen.zip</v>
      </c>
    </row>
    <row r="14940" spans="1:21">
      <c r="A14940">
        <v>14939</v>
      </c>
      <c r="B14940" s="27" t="s">
        <v>1124</v>
      </c>
      <c r="D14940" s="27" t="s">
        <v>1859</v>
      </c>
      <c r="F14940" s="27" t="s">
        <v>1909</v>
      </c>
      <c r="H14940" s="27" t="s">
        <v>1910</v>
      </c>
      <c r="J14940" s="27" t="s">
        <v>1911</v>
      </c>
      <c r="L14940" s="27" t="s">
        <v>508</v>
      </c>
      <c r="N14940" s="27" t="s">
        <v>20480</v>
      </c>
      <c r="P14940" s="27" t="s">
        <v>20482</v>
      </c>
      <c r="Q14940" s="26" t="str">
        <f>HYPERLINK("https://ictv.global/taxonomy/taxondetails?taxnode_id=202520227&amp;ictv_id=ICTV202420227","ICTV202420227")</f>
        <v>ICTV202420227</v>
      </c>
      <c r="R14940" t="s">
        <v>583</v>
      </c>
      <c r="S14940" t="s">
        <v>823</v>
      </c>
      <c r="T14940">
        <v>40</v>
      </c>
      <c r="U14940" s="26" t="str">
        <f t="shared" si="561"/>
        <v>2024.006F.Amalgaviridae_newgen.zip</v>
      </c>
    </row>
    <row r="14941" spans="1:21">
      <c r="A14941">
        <v>14940</v>
      </c>
      <c r="B14941" s="27" t="s">
        <v>1124</v>
      </c>
      <c r="D14941" s="27" t="s">
        <v>1859</v>
      </c>
      <c r="F14941" s="27" t="s">
        <v>1909</v>
      </c>
      <c r="H14941" s="27" t="s">
        <v>1910</v>
      </c>
      <c r="J14941" s="27" t="s">
        <v>1911</v>
      </c>
      <c r="L14941" s="27" t="s">
        <v>508</v>
      </c>
      <c r="N14941" s="27" t="s">
        <v>20480</v>
      </c>
      <c r="P14941" s="27" t="s">
        <v>20483</v>
      </c>
      <c r="Q14941" s="26" t="str">
        <f>HYPERLINK("https://ictv.global/taxonomy/taxondetails?taxnode_id=202520228&amp;ictv_id=ICTV202420228","ICTV202420228")</f>
        <v>ICTV202420228</v>
      </c>
      <c r="R14941" t="s">
        <v>583</v>
      </c>
      <c r="S14941" t="s">
        <v>823</v>
      </c>
      <c r="T14941">
        <v>40</v>
      </c>
      <c r="U14941" s="26" t="str">
        <f t="shared" si="561"/>
        <v>2024.006F.Amalgaviridae_newgen.zip</v>
      </c>
    </row>
    <row r="14942" spans="1:21">
      <c r="A14942">
        <v>14941</v>
      </c>
      <c r="B14942" s="27" t="s">
        <v>1124</v>
      </c>
      <c r="D14942" s="27" t="s">
        <v>1859</v>
      </c>
      <c r="F14942" s="27" t="s">
        <v>1909</v>
      </c>
      <c r="H14942" s="27" t="s">
        <v>1910</v>
      </c>
      <c r="J14942" s="27" t="s">
        <v>1911</v>
      </c>
      <c r="L14942" s="27" t="s">
        <v>508</v>
      </c>
      <c r="N14942" s="27" t="s">
        <v>20480</v>
      </c>
      <c r="P14942" s="27" t="s">
        <v>20484</v>
      </c>
      <c r="Q14942" s="26" t="str">
        <f>HYPERLINK("https://ictv.global/taxonomy/taxondetails?taxnode_id=202520229&amp;ictv_id=ICTV202420229","ICTV202420229")</f>
        <v>ICTV202420229</v>
      </c>
      <c r="R14942" t="s">
        <v>583</v>
      </c>
      <c r="S14942" t="s">
        <v>823</v>
      </c>
      <c r="T14942">
        <v>40</v>
      </c>
      <c r="U14942" s="26" t="str">
        <f t="shared" si="561"/>
        <v>2024.006F.Amalgaviridae_newgen.zip</v>
      </c>
    </row>
    <row r="14943" spans="1:21">
      <c r="A14943">
        <v>14942</v>
      </c>
      <c r="B14943" s="27" t="s">
        <v>1124</v>
      </c>
      <c r="D14943" s="27" t="s">
        <v>1859</v>
      </c>
      <c r="F14943" s="27" t="s">
        <v>1909</v>
      </c>
      <c r="H14943" s="27" t="s">
        <v>1910</v>
      </c>
      <c r="J14943" s="27" t="s">
        <v>1911</v>
      </c>
      <c r="L14943" s="27" t="s">
        <v>508</v>
      </c>
      <c r="N14943" s="27" t="s">
        <v>20480</v>
      </c>
      <c r="P14943" s="27" t="s">
        <v>20485</v>
      </c>
      <c r="Q14943" s="26" t="str">
        <f>HYPERLINK("https://ictv.global/taxonomy/taxondetails?taxnode_id=202520230&amp;ictv_id=ICTV202420230","ICTV202420230")</f>
        <v>ICTV202420230</v>
      </c>
      <c r="R14943" t="s">
        <v>583</v>
      </c>
      <c r="S14943" t="s">
        <v>823</v>
      </c>
      <c r="T14943">
        <v>40</v>
      </c>
      <c r="U14943" s="26" t="str">
        <f t="shared" si="561"/>
        <v>2024.006F.Amalgaviridae_newgen.zip</v>
      </c>
    </row>
    <row r="14944" spans="1:21">
      <c r="A14944">
        <v>14943</v>
      </c>
      <c r="B14944" s="27" t="s">
        <v>1124</v>
      </c>
      <c r="D14944" s="27" t="s">
        <v>1859</v>
      </c>
      <c r="F14944" s="27" t="s">
        <v>1909</v>
      </c>
      <c r="H14944" s="27" t="s">
        <v>1910</v>
      </c>
      <c r="J14944" s="27" t="s">
        <v>1911</v>
      </c>
      <c r="L14944" s="27" t="s">
        <v>508</v>
      </c>
      <c r="N14944" s="27" t="s">
        <v>20480</v>
      </c>
      <c r="P14944" s="27" t="s">
        <v>20486</v>
      </c>
      <c r="Q14944" s="26" t="str">
        <f>HYPERLINK("https://ictv.global/taxonomy/taxondetails?taxnode_id=202520231&amp;ictv_id=ICTV202420231","ICTV202420231")</f>
        <v>ICTV202420231</v>
      </c>
      <c r="R14944" t="s">
        <v>583</v>
      </c>
      <c r="S14944" t="s">
        <v>823</v>
      </c>
      <c r="T14944">
        <v>40</v>
      </c>
      <c r="U14944" s="26" t="str">
        <f t="shared" si="561"/>
        <v>2024.006F.Amalgaviridae_newgen.zip</v>
      </c>
    </row>
    <row r="14945" spans="1:21">
      <c r="A14945">
        <v>14944</v>
      </c>
      <c r="B14945" s="27" t="s">
        <v>1124</v>
      </c>
      <c r="D14945" s="27" t="s">
        <v>1859</v>
      </c>
      <c r="F14945" s="27" t="s">
        <v>1909</v>
      </c>
      <c r="H14945" s="27" t="s">
        <v>1910</v>
      </c>
      <c r="J14945" s="27" t="s">
        <v>1911</v>
      </c>
      <c r="L14945" s="27" t="s">
        <v>508</v>
      </c>
      <c r="N14945" s="27" t="s">
        <v>20480</v>
      </c>
      <c r="P14945" s="27" t="s">
        <v>20487</v>
      </c>
      <c r="Q14945" s="26" t="str">
        <f>HYPERLINK("https://ictv.global/taxonomy/taxondetails?taxnode_id=202520232&amp;ictv_id=ICTV202420232","ICTV202420232")</f>
        <v>ICTV202420232</v>
      </c>
      <c r="R14945" t="s">
        <v>583</v>
      </c>
      <c r="S14945" t="s">
        <v>823</v>
      </c>
      <c r="T14945">
        <v>40</v>
      </c>
      <c r="U14945" s="26" t="str">
        <f t="shared" si="561"/>
        <v>2024.006F.Amalgaviridae_newgen.zip</v>
      </c>
    </row>
    <row r="14946" spans="1:21">
      <c r="A14946">
        <v>14945</v>
      </c>
      <c r="B14946" s="27" t="s">
        <v>1124</v>
      </c>
      <c r="D14946" s="27" t="s">
        <v>1859</v>
      </c>
      <c r="F14946" s="27" t="s">
        <v>1909</v>
      </c>
      <c r="H14946" s="27" t="s">
        <v>1910</v>
      </c>
      <c r="J14946" s="27" t="s">
        <v>1911</v>
      </c>
      <c r="L14946" s="27" t="s">
        <v>508</v>
      </c>
      <c r="N14946" s="27" t="s">
        <v>20480</v>
      </c>
      <c r="P14946" s="27" t="s">
        <v>20488</v>
      </c>
      <c r="Q14946" s="26" t="str">
        <f>HYPERLINK("https://ictv.global/taxonomy/taxondetails?taxnode_id=202520233&amp;ictv_id=ICTV202420233","ICTV202420233")</f>
        <v>ICTV202420233</v>
      </c>
      <c r="R14946" t="s">
        <v>583</v>
      </c>
      <c r="S14946" t="s">
        <v>823</v>
      </c>
      <c r="T14946">
        <v>40</v>
      </c>
      <c r="U14946" s="26" t="str">
        <f t="shared" si="561"/>
        <v>2024.006F.Amalgaviridae_newgen.zip</v>
      </c>
    </row>
    <row r="14947" spans="1:21">
      <c r="A14947">
        <v>14946</v>
      </c>
      <c r="B14947" s="27" t="s">
        <v>1124</v>
      </c>
      <c r="D14947" s="27" t="s">
        <v>1859</v>
      </c>
      <c r="F14947" s="27" t="s">
        <v>1909</v>
      </c>
      <c r="H14947" s="27" t="s">
        <v>1910</v>
      </c>
      <c r="J14947" s="27" t="s">
        <v>1911</v>
      </c>
      <c r="L14947" s="27" t="s">
        <v>508</v>
      </c>
      <c r="N14947" s="27" t="s">
        <v>20480</v>
      </c>
      <c r="P14947" s="27" t="s">
        <v>20489</v>
      </c>
      <c r="Q14947" s="26" t="str">
        <f>HYPERLINK("https://ictv.global/taxonomy/taxondetails?taxnode_id=202520234&amp;ictv_id=ICTV202420234","ICTV202420234")</f>
        <v>ICTV202420234</v>
      </c>
      <c r="R14947" t="s">
        <v>583</v>
      </c>
      <c r="S14947" t="s">
        <v>823</v>
      </c>
      <c r="T14947">
        <v>40</v>
      </c>
      <c r="U14947" s="26" t="str">
        <f t="shared" si="561"/>
        <v>2024.006F.Amalgaviridae_newgen.zip</v>
      </c>
    </row>
    <row r="14948" spans="1:21">
      <c r="A14948">
        <v>14947</v>
      </c>
      <c r="B14948" s="27" t="s">
        <v>1124</v>
      </c>
      <c r="D14948" s="27" t="s">
        <v>1859</v>
      </c>
      <c r="F14948" s="27" t="s">
        <v>1909</v>
      </c>
      <c r="H14948" s="27" t="s">
        <v>1910</v>
      </c>
      <c r="J14948" s="27" t="s">
        <v>1911</v>
      </c>
      <c r="L14948" s="27" t="s">
        <v>508</v>
      </c>
      <c r="N14948" s="27" t="s">
        <v>20480</v>
      </c>
      <c r="P14948" s="27" t="s">
        <v>20490</v>
      </c>
      <c r="Q14948" s="26" t="str">
        <f>HYPERLINK("https://ictv.global/taxonomy/taxondetails?taxnode_id=202520235&amp;ictv_id=ICTV202420235","ICTV202420235")</f>
        <v>ICTV202420235</v>
      </c>
      <c r="R14948" t="s">
        <v>583</v>
      </c>
      <c r="S14948" t="s">
        <v>823</v>
      </c>
      <c r="T14948">
        <v>40</v>
      </c>
      <c r="U14948" s="26" t="str">
        <f t="shared" si="561"/>
        <v>2024.006F.Amalgaviridae_newgen.zip</v>
      </c>
    </row>
    <row r="14949" spans="1:21">
      <c r="A14949">
        <v>14948</v>
      </c>
      <c r="B14949" s="27" t="s">
        <v>1124</v>
      </c>
      <c r="D14949" s="27" t="s">
        <v>1859</v>
      </c>
      <c r="F14949" s="27" t="s">
        <v>1909</v>
      </c>
      <c r="H14949" s="27" t="s">
        <v>1910</v>
      </c>
      <c r="J14949" s="27" t="s">
        <v>1911</v>
      </c>
      <c r="L14949" s="27" t="s">
        <v>508</v>
      </c>
      <c r="N14949" s="27" t="s">
        <v>20480</v>
      </c>
      <c r="P14949" s="27" t="s">
        <v>20491</v>
      </c>
      <c r="Q14949" s="26" t="str">
        <f>HYPERLINK("https://ictv.global/taxonomy/taxondetails?taxnode_id=202520236&amp;ictv_id=ICTV202420236","ICTV202420236")</f>
        <v>ICTV202420236</v>
      </c>
      <c r="R14949" t="s">
        <v>583</v>
      </c>
      <c r="S14949" t="s">
        <v>823</v>
      </c>
      <c r="T14949">
        <v>40</v>
      </c>
      <c r="U14949" s="26" t="str">
        <f t="shared" si="561"/>
        <v>2024.006F.Amalgaviridae_newgen.zip</v>
      </c>
    </row>
    <row r="14950" spans="1:21">
      <c r="A14950">
        <v>14949</v>
      </c>
      <c r="B14950" s="27" t="s">
        <v>1124</v>
      </c>
      <c r="D14950" s="27" t="s">
        <v>1859</v>
      </c>
      <c r="F14950" s="27" t="s">
        <v>1909</v>
      </c>
      <c r="H14950" s="27" t="s">
        <v>1910</v>
      </c>
      <c r="J14950" s="27" t="s">
        <v>1911</v>
      </c>
      <c r="L14950" s="27" t="s">
        <v>508</v>
      </c>
      <c r="N14950" s="27" t="s">
        <v>20480</v>
      </c>
      <c r="P14950" s="27" t="s">
        <v>20492</v>
      </c>
      <c r="Q14950" s="26" t="str">
        <f>HYPERLINK("https://ictv.global/taxonomy/taxondetails?taxnode_id=202520237&amp;ictv_id=ICTV202420237","ICTV202420237")</f>
        <v>ICTV202420237</v>
      </c>
      <c r="R14950" t="s">
        <v>583</v>
      </c>
      <c r="S14950" t="s">
        <v>823</v>
      </c>
      <c r="T14950">
        <v>40</v>
      </c>
      <c r="U14950" s="26" t="str">
        <f t="shared" si="561"/>
        <v>2024.006F.Amalgaviridae_newgen.zip</v>
      </c>
    </row>
    <row r="14951" spans="1:21">
      <c r="A14951">
        <v>14950</v>
      </c>
      <c r="B14951" s="27" t="s">
        <v>1124</v>
      </c>
      <c r="D14951" s="27" t="s">
        <v>1859</v>
      </c>
      <c r="F14951" s="27" t="s">
        <v>1909</v>
      </c>
      <c r="H14951" s="27" t="s">
        <v>1910</v>
      </c>
      <c r="J14951" s="27" t="s">
        <v>1911</v>
      </c>
      <c r="L14951" s="27" t="s">
        <v>508</v>
      </c>
      <c r="N14951" s="27" t="s">
        <v>20480</v>
      </c>
      <c r="P14951" s="27" t="s">
        <v>20493</v>
      </c>
      <c r="Q14951" s="26" t="str">
        <f>HYPERLINK("https://ictv.global/taxonomy/taxondetails?taxnode_id=202520238&amp;ictv_id=ICTV202420238","ICTV202420238")</f>
        <v>ICTV202420238</v>
      </c>
      <c r="R14951" t="s">
        <v>583</v>
      </c>
      <c r="S14951" t="s">
        <v>823</v>
      </c>
      <c r="T14951">
        <v>40</v>
      </c>
      <c r="U14951" s="26" t="str">
        <f t="shared" si="561"/>
        <v>2024.006F.Amalgaviridae_newgen.zip</v>
      </c>
    </row>
    <row r="14952" spans="1:21">
      <c r="A14952">
        <v>14951</v>
      </c>
      <c r="B14952" s="27" t="s">
        <v>1124</v>
      </c>
      <c r="D14952" s="27" t="s">
        <v>1859</v>
      </c>
      <c r="F14952" s="27" t="s">
        <v>1909</v>
      </c>
      <c r="H14952" s="27" t="s">
        <v>1910</v>
      </c>
      <c r="J14952" s="27" t="s">
        <v>1911</v>
      </c>
      <c r="L14952" s="27" t="s">
        <v>508</v>
      </c>
      <c r="N14952" s="27" t="s">
        <v>1172</v>
      </c>
      <c r="P14952" s="27" t="s">
        <v>10391</v>
      </c>
      <c r="Q14952" s="26" t="str">
        <f>HYPERLINK("https://ictv.global/taxonomy/taxondetails?taxnode_id=202506731&amp;ictv_id=ICTV201856731","ICTV201856731")</f>
        <v>ICTV201856731</v>
      </c>
      <c r="R14952" t="s">
        <v>583</v>
      </c>
      <c r="S14952" t="s">
        <v>824</v>
      </c>
      <c r="T14952">
        <v>38</v>
      </c>
      <c r="U14952" s="26" t="str">
        <f>HYPERLINK("https://ictv.global/ictv/proposals/2022.006P.Amalgaviridae_rename.zip","2022.006P.Amalgaviridae_rename.zip")</f>
        <v>2022.006P.Amalgaviridae_rename.zip</v>
      </c>
    </row>
    <row r="14953" spans="1:21">
      <c r="A14953">
        <v>14952</v>
      </c>
      <c r="B14953" s="27" t="s">
        <v>1124</v>
      </c>
      <c r="D14953" s="27" t="s">
        <v>1859</v>
      </c>
      <c r="F14953" s="27" t="s">
        <v>1909</v>
      </c>
      <c r="H14953" s="27" t="s">
        <v>1910</v>
      </c>
      <c r="J14953" s="27" t="s">
        <v>1911</v>
      </c>
      <c r="L14953" s="27" t="s">
        <v>3594</v>
      </c>
      <c r="N14953" s="27" t="s">
        <v>3595</v>
      </c>
      <c r="P14953" s="27" t="s">
        <v>17068</v>
      </c>
      <c r="Q14953" s="26" t="str">
        <f>HYPERLINK("https://ictv.global/taxonomy/taxondetails?taxnode_id=202508785&amp;ictv_id=ICTV202008785","ICTV202008785")</f>
        <v>ICTV202008785</v>
      </c>
      <c r="R14953" t="s">
        <v>583</v>
      </c>
      <c r="S14953" t="s">
        <v>824</v>
      </c>
      <c r="T14953">
        <v>39</v>
      </c>
      <c r="U14953" s="26" t="str">
        <f t="shared" ref="U14953:U14960" si="562">HYPERLINK("https://ictv.global/ictv/proposals/2023.006F.Curvulaviridae_spren.zip","2023.006F.Curvulaviridae_spren.zip")</f>
        <v>2023.006F.Curvulaviridae_spren.zip</v>
      </c>
    </row>
    <row r="14954" spans="1:21">
      <c r="A14954">
        <v>14953</v>
      </c>
      <c r="B14954" s="27" t="s">
        <v>1124</v>
      </c>
      <c r="D14954" s="27" t="s">
        <v>1859</v>
      </c>
      <c r="F14954" s="27" t="s">
        <v>1909</v>
      </c>
      <c r="H14954" s="27" t="s">
        <v>1910</v>
      </c>
      <c r="J14954" s="27" t="s">
        <v>1911</v>
      </c>
      <c r="L14954" s="27" t="s">
        <v>3594</v>
      </c>
      <c r="N14954" s="27" t="s">
        <v>3595</v>
      </c>
      <c r="P14954" s="27" t="s">
        <v>17069</v>
      </c>
      <c r="Q14954" s="26" t="str">
        <f>HYPERLINK("https://ictv.global/taxonomy/taxondetails?taxnode_id=202508783&amp;ictv_id=ICTV202008783","ICTV202008783")</f>
        <v>ICTV202008783</v>
      </c>
      <c r="R14954" t="s">
        <v>583</v>
      </c>
      <c r="S14954" t="s">
        <v>824</v>
      </c>
      <c r="T14954">
        <v>39</v>
      </c>
      <c r="U14954" s="26" t="str">
        <f t="shared" si="562"/>
        <v>2023.006F.Curvulaviridae_spren.zip</v>
      </c>
    </row>
    <row r="14955" spans="1:21">
      <c r="A14955">
        <v>14954</v>
      </c>
      <c r="B14955" s="27" t="s">
        <v>1124</v>
      </c>
      <c r="D14955" s="27" t="s">
        <v>1859</v>
      </c>
      <c r="F14955" s="27" t="s">
        <v>1909</v>
      </c>
      <c r="H14955" s="27" t="s">
        <v>1910</v>
      </c>
      <c r="J14955" s="27" t="s">
        <v>1911</v>
      </c>
      <c r="L14955" s="27" t="s">
        <v>3594</v>
      </c>
      <c r="N14955" s="27" t="s">
        <v>3595</v>
      </c>
      <c r="P14955" s="27" t="s">
        <v>17070</v>
      </c>
      <c r="Q14955" s="26" t="str">
        <f>HYPERLINK("https://ictv.global/taxonomy/taxondetails?taxnode_id=202508784&amp;ictv_id=ICTV202008784","ICTV202008784")</f>
        <v>ICTV202008784</v>
      </c>
      <c r="R14955" t="s">
        <v>583</v>
      </c>
      <c r="S14955" t="s">
        <v>824</v>
      </c>
      <c r="T14955">
        <v>39</v>
      </c>
      <c r="U14955" s="26" t="str">
        <f t="shared" si="562"/>
        <v>2023.006F.Curvulaviridae_spren.zip</v>
      </c>
    </row>
    <row r="14956" spans="1:21">
      <c r="A14956">
        <v>14955</v>
      </c>
      <c r="B14956" s="27" t="s">
        <v>1124</v>
      </c>
      <c r="D14956" s="27" t="s">
        <v>1859</v>
      </c>
      <c r="F14956" s="27" t="s">
        <v>1909</v>
      </c>
      <c r="H14956" s="27" t="s">
        <v>1910</v>
      </c>
      <c r="J14956" s="27" t="s">
        <v>1911</v>
      </c>
      <c r="L14956" s="27" t="s">
        <v>3594</v>
      </c>
      <c r="N14956" s="27" t="s">
        <v>3595</v>
      </c>
      <c r="P14956" s="27" t="s">
        <v>17071</v>
      </c>
      <c r="Q14956" s="26" t="str">
        <f>HYPERLINK("https://ictv.global/taxonomy/taxondetails?taxnode_id=202508788&amp;ictv_id=ICTV202008788","ICTV202008788")</f>
        <v>ICTV202008788</v>
      </c>
      <c r="R14956" t="s">
        <v>583</v>
      </c>
      <c r="S14956" t="s">
        <v>824</v>
      </c>
      <c r="T14956">
        <v>39</v>
      </c>
      <c r="U14956" s="26" t="str">
        <f t="shared" si="562"/>
        <v>2023.006F.Curvulaviridae_spren.zip</v>
      </c>
    </row>
    <row r="14957" spans="1:21">
      <c r="A14957">
        <v>14956</v>
      </c>
      <c r="B14957" s="27" t="s">
        <v>1124</v>
      </c>
      <c r="D14957" s="27" t="s">
        <v>1859</v>
      </c>
      <c r="F14957" s="27" t="s">
        <v>1909</v>
      </c>
      <c r="H14957" s="27" t="s">
        <v>1910</v>
      </c>
      <c r="J14957" s="27" t="s">
        <v>1911</v>
      </c>
      <c r="L14957" s="27" t="s">
        <v>3594</v>
      </c>
      <c r="N14957" s="27" t="s">
        <v>3595</v>
      </c>
      <c r="P14957" s="27" t="s">
        <v>17072</v>
      </c>
      <c r="Q14957" s="26" t="str">
        <f>HYPERLINK("https://ictv.global/taxonomy/taxondetails?taxnode_id=202508786&amp;ictv_id=ICTV202008786","ICTV202008786")</f>
        <v>ICTV202008786</v>
      </c>
      <c r="R14957" t="s">
        <v>583</v>
      </c>
      <c r="S14957" t="s">
        <v>824</v>
      </c>
      <c r="T14957">
        <v>39</v>
      </c>
      <c r="U14957" s="26" t="str">
        <f t="shared" si="562"/>
        <v>2023.006F.Curvulaviridae_spren.zip</v>
      </c>
    </row>
    <row r="14958" spans="1:21">
      <c r="A14958">
        <v>14957</v>
      </c>
      <c r="B14958" s="27" t="s">
        <v>1124</v>
      </c>
      <c r="D14958" s="27" t="s">
        <v>1859</v>
      </c>
      <c r="F14958" s="27" t="s">
        <v>1909</v>
      </c>
      <c r="H14958" s="27" t="s">
        <v>1910</v>
      </c>
      <c r="J14958" s="27" t="s">
        <v>1911</v>
      </c>
      <c r="L14958" s="27" t="s">
        <v>3594</v>
      </c>
      <c r="N14958" s="27" t="s">
        <v>3595</v>
      </c>
      <c r="P14958" s="27" t="s">
        <v>17073</v>
      </c>
      <c r="Q14958" s="26" t="str">
        <f>HYPERLINK("https://ictv.global/taxonomy/taxondetails?taxnode_id=202508789&amp;ictv_id=ICTV202008789","ICTV202008789")</f>
        <v>ICTV202008789</v>
      </c>
      <c r="R14958" t="s">
        <v>583</v>
      </c>
      <c r="S14958" t="s">
        <v>824</v>
      </c>
      <c r="T14958">
        <v>39</v>
      </c>
      <c r="U14958" s="26" t="str">
        <f t="shared" si="562"/>
        <v>2023.006F.Curvulaviridae_spren.zip</v>
      </c>
    </row>
    <row r="14959" spans="1:21">
      <c r="A14959">
        <v>14958</v>
      </c>
      <c r="B14959" s="27" t="s">
        <v>1124</v>
      </c>
      <c r="D14959" s="27" t="s">
        <v>1859</v>
      </c>
      <c r="F14959" s="27" t="s">
        <v>1909</v>
      </c>
      <c r="H14959" s="27" t="s">
        <v>1910</v>
      </c>
      <c r="J14959" s="27" t="s">
        <v>1911</v>
      </c>
      <c r="L14959" s="27" t="s">
        <v>3594</v>
      </c>
      <c r="N14959" s="27" t="s">
        <v>3595</v>
      </c>
      <c r="P14959" s="27" t="s">
        <v>17074</v>
      </c>
      <c r="Q14959" s="26" t="str">
        <f>HYPERLINK("https://ictv.global/taxonomy/taxondetails?taxnode_id=202508787&amp;ictv_id=ICTV202008787","ICTV202008787")</f>
        <v>ICTV202008787</v>
      </c>
      <c r="R14959" t="s">
        <v>583</v>
      </c>
      <c r="S14959" t="s">
        <v>824</v>
      </c>
      <c r="T14959">
        <v>39</v>
      </c>
      <c r="U14959" s="26" t="str">
        <f t="shared" si="562"/>
        <v>2023.006F.Curvulaviridae_spren.zip</v>
      </c>
    </row>
    <row r="14960" spans="1:21">
      <c r="A14960">
        <v>14959</v>
      </c>
      <c r="B14960" s="27" t="s">
        <v>1124</v>
      </c>
      <c r="D14960" s="27" t="s">
        <v>1859</v>
      </c>
      <c r="F14960" s="27" t="s">
        <v>1909</v>
      </c>
      <c r="H14960" s="27" t="s">
        <v>1910</v>
      </c>
      <c r="J14960" s="27" t="s">
        <v>1911</v>
      </c>
      <c r="L14960" s="27" t="s">
        <v>3594</v>
      </c>
      <c r="N14960" s="27" t="s">
        <v>3595</v>
      </c>
      <c r="P14960" s="27" t="s">
        <v>17075</v>
      </c>
      <c r="Q14960" s="26" t="str">
        <f>HYPERLINK("https://ictv.global/taxonomy/taxondetails?taxnode_id=202508790&amp;ictv_id=ICTV202008790","ICTV202008790")</f>
        <v>ICTV202008790</v>
      </c>
      <c r="R14960" t="s">
        <v>583</v>
      </c>
      <c r="S14960" t="s">
        <v>824</v>
      </c>
      <c r="T14960">
        <v>39</v>
      </c>
      <c r="U14960" s="26" t="str">
        <f t="shared" si="562"/>
        <v>2023.006F.Curvulaviridae_spren.zip</v>
      </c>
    </row>
    <row r="14961" spans="1:21">
      <c r="A14961">
        <v>14960</v>
      </c>
      <c r="B14961" s="27" t="s">
        <v>1124</v>
      </c>
      <c r="D14961" s="27" t="s">
        <v>1859</v>
      </c>
      <c r="F14961" s="27" t="s">
        <v>1909</v>
      </c>
      <c r="H14961" s="27" t="s">
        <v>1910</v>
      </c>
      <c r="J14961" s="27" t="s">
        <v>1911</v>
      </c>
      <c r="L14961" s="27" t="s">
        <v>372</v>
      </c>
      <c r="N14961" s="27" t="s">
        <v>552</v>
      </c>
      <c r="P14961" s="27" t="s">
        <v>17076</v>
      </c>
      <c r="Q14961" s="26" t="str">
        <f>HYPERLINK("https://ictv.global/taxonomy/taxondetails?taxnode_id=202504141&amp;ictv_id=ICTV19871274","ICTV19871274")</f>
        <v>ICTV19871274</v>
      </c>
      <c r="R14961" t="s">
        <v>583</v>
      </c>
      <c r="S14961" t="s">
        <v>824</v>
      </c>
      <c r="T14961">
        <v>39</v>
      </c>
      <c r="U14961" s="26" t="str">
        <f t="shared" ref="U14961:U15005" si="563">HYPERLINK("https://ictv.global/ictv/proposals/2023.012F.Partitiviridae_abolish15sp_spren.zip","2023.012F.Partitiviridae_abolish15sp_spren.zip")</f>
        <v>2023.012F.Partitiviridae_abolish15sp_spren.zip</v>
      </c>
    </row>
    <row r="14962" spans="1:21">
      <c r="A14962">
        <v>14961</v>
      </c>
      <c r="B14962" s="27" t="s">
        <v>1124</v>
      </c>
      <c r="D14962" s="27" t="s">
        <v>1859</v>
      </c>
      <c r="F14962" s="27" t="s">
        <v>1909</v>
      </c>
      <c r="H14962" s="27" t="s">
        <v>1910</v>
      </c>
      <c r="J14962" s="27" t="s">
        <v>1911</v>
      </c>
      <c r="L14962" s="27" t="s">
        <v>372</v>
      </c>
      <c r="N14962" s="27" t="s">
        <v>552</v>
      </c>
      <c r="P14962" s="27" t="s">
        <v>17077</v>
      </c>
      <c r="Q14962" s="26" t="str">
        <f>HYPERLINK("https://ictv.global/taxonomy/taxondetails?taxnode_id=202504142&amp;ictv_id=ICTV20132506","ICTV20132506")</f>
        <v>ICTV20132506</v>
      </c>
      <c r="R14962" t="s">
        <v>583</v>
      </c>
      <c r="S14962" t="s">
        <v>824</v>
      </c>
      <c r="T14962">
        <v>39</v>
      </c>
      <c r="U14962" s="26" t="str">
        <f t="shared" si="563"/>
        <v>2023.012F.Partitiviridae_abolish15sp_spren.zip</v>
      </c>
    </row>
    <row r="14963" spans="1:21">
      <c r="A14963">
        <v>14962</v>
      </c>
      <c r="B14963" s="27" t="s">
        <v>1124</v>
      </c>
      <c r="D14963" s="27" t="s">
        <v>1859</v>
      </c>
      <c r="F14963" s="27" t="s">
        <v>1909</v>
      </c>
      <c r="H14963" s="27" t="s">
        <v>1910</v>
      </c>
      <c r="J14963" s="27" t="s">
        <v>1911</v>
      </c>
      <c r="L14963" s="27" t="s">
        <v>372</v>
      </c>
      <c r="N14963" s="27" t="s">
        <v>552</v>
      </c>
      <c r="P14963" s="27" t="s">
        <v>17078</v>
      </c>
      <c r="Q14963" s="26" t="str">
        <f>HYPERLINK("https://ictv.global/taxonomy/taxondetails?taxnode_id=202504143&amp;ictv_id=ICTV20132507","ICTV20132507")</f>
        <v>ICTV20132507</v>
      </c>
      <c r="R14963" t="s">
        <v>583</v>
      </c>
      <c r="S14963" t="s">
        <v>824</v>
      </c>
      <c r="T14963">
        <v>39</v>
      </c>
      <c r="U14963" s="26" t="str">
        <f t="shared" si="563"/>
        <v>2023.012F.Partitiviridae_abolish15sp_spren.zip</v>
      </c>
    </row>
    <row r="14964" spans="1:21">
      <c r="A14964">
        <v>14963</v>
      </c>
      <c r="B14964" s="27" t="s">
        <v>1124</v>
      </c>
      <c r="D14964" s="27" t="s">
        <v>1859</v>
      </c>
      <c r="F14964" s="27" t="s">
        <v>1909</v>
      </c>
      <c r="H14964" s="27" t="s">
        <v>1910</v>
      </c>
      <c r="J14964" s="27" t="s">
        <v>1911</v>
      </c>
      <c r="L14964" s="27" t="s">
        <v>372</v>
      </c>
      <c r="N14964" s="27" t="s">
        <v>552</v>
      </c>
      <c r="P14964" s="27" t="s">
        <v>17079</v>
      </c>
      <c r="Q14964" s="26" t="str">
        <f>HYPERLINK("https://ictv.global/taxonomy/taxondetails?taxnode_id=202504144&amp;ictv_id=ICTV20132508","ICTV20132508")</f>
        <v>ICTV20132508</v>
      </c>
      <c r="R14964" t="s">
        <v>583</v>
      </c>
      <c r="S14964" t="s">
        <v>824</v>
      </c>
      <c r="T14964">
        <v>39</v>
      </c>
      <c r="U14964" s="26" t="str">
        <f t="shared" si="563"/>
        <v>2023.012F.Partitiviridae_abolish15sp_spren.zip</v>
      </c>
    </row>
    <row r="14965" spans="1:21">
      <c r="A14965">
        <v>14964</v>
      </c>
      <c r="B14965" s="27" t="s">
        <v>1124</v>
      </c>
      <c r="D14965" s="27" t="s">
        <v>1859</v>
      </c>
      <c r="F14965" s="27" t="s">
        <v>1909</v>
      </c>
      <c r="H14965" s="27" t="s">
        <v>1910</v>
      </c>
      <c r="J14965" s="27" t="s">
        <v>1911</v>
      </c>
      <c r="L14965" s="27" t="s">
        <v>372</v>
      </c>
      <c r="N14965" s="27" t="s">
        <v>552</v>
      </c>
      <c r="P14965" s="27" t="s">
        <v>17080</v>
      </c>
      <c r="Q14965" s="26" t="str">
        <f>HYPERLINK("https://ictv.global/taxonomy/taxondetails?taxnode_id=202504149&amp;ictv_id=ICTV20153421","ICTV20153421")</f>
        <v>ICTV20153421</v>
      </c>
      <c r="R14965" t="s">
        <v>583</v>
      </c>
      <c r="S14965" t="s">
        <v>824</v>
      </c>
      <c r="T14965">
        <v>39</v>
      </c>
      <c r="U14965" s="26" t="str">
        <f t="shared" si="563"/>
        <v>2023.012F.Partitiviridae_abolish15sp_spren.zip</v>
      </c>
    </row>
    <row r="14966" spans="1:21">
      <c r="A14966">
        <v>14965</v>
      </c>
      <c r="B14966" s="27" t="s">
        <v>1124</v>
      </c>
      <c r="D14966" s="27" t="s">
        <v>1859</v>
      </c>
      <c r="F14966" s="27" t="s">
        <v>1909</v>
      </c>
      <c r="H14966" s="27" t="s">
        <v>1910</v>
      </c>
      <c r="J14966" s="27" t="s">
        <v>1911</v>
      </c>
      <c r="L14966" s="27" t="s">
        <v>372</v>
      </c>
      <c r="N14966" s="27" t="s">
        <v>552</v>
      </c>
      <c r="P14966" s="27" t="s">
        <v>17081</v>
      </c>
      <c r="Q14966" s="26" t="str">
        <f>HYPERLINK("https://ictv.global/taxonomy/taxondetails?taxnode_id=202504145&amp;ictv_id=ICTV20132509","ICTV20132509")</f>
        <v>ICTV20132509</v>
      </c>
      <c r="R14966" t="s">
        <v>583</v>
      </c>
      <c r="S14966" t="s">
        <v>824</v>
      </c>
      <c r="T14966">
        <v>39</v>
      </c>
      <c r="U14966" s="26" t="str">
        <f t="shared" si="563"/>
        <v>2023.012F.Partitiviridae_abolish15sp_spren.zip</v>
      </c>
    </row>
    <row r="14967" spans="1:21">
      <c r="A14967">
        <v>14966</v>
      </c>
      <c r="B14967" s="27" t="s">
        <v>1124</v>
      </c>
      <c r="D14967" s="27" t="s">
        <v>1859</v>
      </c>
      <c r="F14967" s="27" t="s">
        <v>1909</v>
      </c>
      <c r="H14967" s="27" t="s">
        <v>1910</v>
      </c>
      <c r="J14967" s="27" t="s">
        <v>1911</v>
      </c>
      <c r="L14967" s="27" t="s">
        <v>372</v>
      </c>
      <c r="N14967" s="27" t="s">
        <v>552</v>
      </c>
      <c r="P14967" s="27" t="s">
        <v>17082</v>
      </c>
      <c r="Q14967" s="26" t="str">
        <f>HYPERLINK("https://ictv.global/taxonomy/taxondetails?taxnode_id=202504146&amp;ictv_id=ICTV20074115","ICTV20074115")</f>
        <v>ICTV20074115</v>
      </c>
      <c r="R14967" t="s">
        <v>583</v>
      </c>
      <c r="S14967" t="s">
        <v>824</v>
      </c>
      <c r="T14967">
        <v>39</v>
      </c>
      <c r="U14967" s="26" t="str">
        <f t="shared" si="563"/>
        <v>2023.012F.Partitiviridae_abolish15sp_spren.zip</v>
      </c>
    </row>
    <row r="14968" spans="1:21">
      <c r="A14968">
        <v>14967</v>
      </c>
      <c r="B14968" s="27" t="s">
        <v>1124</v>
      </c>
      <c r="D14968" s="27" t="s">
        <v>1859</v>
      </c>
      <c r="F14968" s="27" t="s">
        <v>1909</v>
      </c>
      <c r="H14968" s="27" t="s">
        <v>1910</v>
      </c>
      <c r="J14968" s="27" t="s">
        <v>1911</v>
      </c>
      <c r="L14968" s="27" t="s">
        <v>372</v>
      </c>
      <c r="N14968" s="27" t="s">
        <v>552</v>
      </c>
      <c r="P14968" s="27" t="s">
        <v>17083</v>
      </c>
      <c r="Q14968" s="26" t="str">
        <f>HYPERLINK("https://ictv.global/taxonomy/taxondetails?taxnode_id=202504151&amp;ictv_id=ICTV20153423","ICTV20153423")</f>
        <v>ICTV20153423</v>
      </c>
      <c r="R14968" t="s">
        <v>583</v>
      </c>
      <c r="S14968" t="s">
        <v>824</v>
      </c>
      <c r="T14968">
        <v>39</v>
      </c>
      <c r="U14968" s="26" t="str">
        <f t="shared" si="563"/>
        <v>2023.012F.Partitiviridae_abolish15sp_spren.zip</v>
      </c>
    </row>
    <row r="14969" spans="1:21">
      <c r="A14969">
        <v>14968</v>
      </c>
      <c r="B14969" s="27" t="s">
        <v>1124</v>
      </c>
      <c r="D14969" s="27" t="s">
        <v>1859</v>
      </c>
      <c r="F14969" s="27" t="s">
        <v>1909</v>
      </c>
      <c r="H14969" s="27" t="s">
        <v>1910</v>
      </c>
      <c r="J14969" s="27" t="s">
        <v>1911</v>
      </c>
      <c r="L14969" s="27" t="s">
        <v>372</v>
      </c>
      <c r="N14969" s="27" t="s">
        <v>552</v>
      </c>
      <c r="P14969" s="27" t="s">
        <v>17084</v>
      </c>
      <c r="Q14969" s="26" t="str">
        <f>HYPERLINK("https://ictv.global/taxonomy/taxondetails?taxnode_id=202504152&amp;ictv_id=ICTV20132512","ICTV20132512")</f>
        <v>ICTV20132512</v>
      </c>
      <c r="R14969" t="s">
        <v>583</v>
      </c>
      <c r="S14969" t="s">
        <v>824</v>
      </c>
      <c r="T14969">
        <v>39</v>
      </c>
      <c r="U14969" s="26" t="str">
        <f t="shared" si="563"/>
        <v>2023.012F.Partitiviridae_abolish15sp_spren.zip</v>
      </c>
    </row>
    <row r="14970" spans="1:21">
      <c r="A14970">
        <v>14969</v>
      </c>
      <c r="B14970" s="27" t="s">
        <v>1124</v>
      </c>
      <c r="D14970" s="27" t="s">
        <v>1859</v>
      </c>
      <c r="F14970" s="27" t="s">
        <v>1909</v>
      </c>
      <c r="H14970" s="27" t="s">
        <v>1910</v>
      </c>
      <c r="J14970" s="27" t="s">
        <v>1911</v>
      </c>
      <c r="L14970" s="27" t="s">
        <v>372</v>
      </c>
      <c r="N14970" s="27" t="s">
        <v>552</v>
      </c>
      <c r="P14970" s="27" t="s">
        <v>17085</v>
      </c>
      <c r="Q14970" s="26" t="str">
        <f>HYPERLINK("https://ictv.global/taxonomy/taxondetails?taxnode_id=202504150&amp;ictv_id=ICTV20153422","ICTV20153422")</f>
        <v>ICTV20153422</v>
      </c>
      <c r="R14970" t="s">
        <v>583</v>
      </c>
      <c r="S14970" t="s">
        <v>824</v>
      </c>
      <c r="T14970">
        <v>39</v>
      </c>
      <c r="U14970" s="26" t="str">
        <f t="shared" si="563"/>
        <v>2023.012F.Partitiviridae_abolish15sp_spren.zip</v>
      </c>
    </row>
    <row r="14971" spans="1:21">
      <c r="A14971">
        <v>14970</v>
      </c>
      <c r="B14971" s="27" t="s">
        <v>1124</v>
      </c>
      <c r="D14971" s="27" t="s">
        <v>1859</v>
      </c>
      <c r="F14971" s="27" t="s">
        <v>1909</v>
      </c>
      <c r="H14971" s="27" t="s">
        <v>1910</v>
      </c>
      <c r="J14971" s="27" t="s">
        <v>1911</v>
      </c>
      <c r="L14971" s="27" t="s">
        <v>372</v>
      </c>
      <c r="N14971" s="27" t="s">
        <v>552</v>
      </c>
      <c r="P14971" s="27" t="s">
        <v>17086</v>
      </c>
      <c r="Q14971" s="26" t="str">
        <f>HYPERLINK("https://ictv.global/taxonomy/taxondetails?taxnode_id=202504154&amp;ictv_id=ICTV19871282","ICTV19871282")</f>
        <v>ICTV19871282</v>
      </c>
      <c r="R14971" t="s">
        <v>583</v>
      </c>
      <c r="S14971" t="s">
        <v>824</v>
      </c>
      <c r="T14971">
        <v>39</v>
      </c>
      <c r="U14971" s="26" t="str">
        <f t="shared" si="563"/>
        <v>2023.012F.Partitiviridae_abolish15sp_spren.zip</v>
      </c>
    </row>
    <row r="14972" spans="1:21">
      <c r="A14972">
        <v>14971</v>
      </c>
      <c r="B14972" s="27" t="s">
        <v>1124</v>
      </c>
      <c r="D14972" s="27" t="s">
        <v>1859</v>
      </c>
      <c r="F14972" s="27" t="s">
        <v>1909</v>
      </c>
      <c r="H14972" s="27" t="s">
        <v>1910</v>
      </c>
      <c r="J14972" s="27" t="s">
        <v>1911</v>
      </c>
      <c r="L14972" s="27" t="s">
        <v>372</v>
      </c>
      <c r="N14972" s="27" t="s">
        <v>552</v>
      </c>
      <c r="P14972" s="27" t="s">
        <v>17087</v>
      </c>
      <c r="Q14972" s="26" t="str">
        <f>HYPERLINK("https://ictv.global/taxonomy/taxondetails?taxnode_id=202504148&amp;ictv_id=ICTV20133605","ICTV20133605")</f>
        <v>ICTV20133605</v>
      </c>
      <c r="R14972" t="s">
        <v>583</v>
      </c>
      <c r="S14972" t="s">
        <v>824</v>
      </c>
      <c r="T14972">
        <v>39</v>
      </c>
      <c r="U14972" s="26" t="str">
        <f t="shared" si="563"/>
        <v>2023.012F.Partitiviridae_abolish15sp_spren.zip</v>
      </c>
    </row>
    <row r="14973" spans="1:21">
      <c r="A14973">
        <v>14972</v>
      </c>
      <c r="B14973" s="27" t="s">
        <v>1124</v>
      </c>
      <c r="D14973" s="27" t="s">
        <v>1859</v>
      </c>
      <c r="F14973" s="27" t="s">
        <v>1909</v>
      </c>
      <c r="H14973" s="27" t="s">
        <v>1910</v>
      </c>
      <c r="J14973" s="27" t="s">
        <v>1911</v>
      </c>
      <c r="L14973" s="27" t="s">
        <v>372</v>
      </c>
      <c r="N14973" s="27" t="s">
        <v>552</v>
      </c>
      <c r="P14973" s="27" t="s">
        <v>17088</v>
      </c>
      <c r="Q14973" s="26" t="str">
        <f>HYPERLINK("https://ictv.global/taxonomy/taxondetails?taxnode_id=202504147&amp;ictv_id=ICTV20133604","ICTV20133604")</f>
        <v>ICTV20133604</v>
      </c>
      <c r="R14973" t="s">
        <v>583</v>
      </c>
      <c r="S14973" t="s">
        <v>824</v>
      </c>
      <c r="T14973">
        <v>39</v>
      </c>
      <c r="U14973" s="26" t="str">
        <f t="shared" si="563"/>
        <v>2023.012F.Partitiviridae_abolish15sp_spren.zip</v>
      </c>
    </row>
    <row r="14974" spans="1:21">
      <c r="A14974">
        <v>14973</v>
      </c>
      <c r="B14974" s="27" t="s">
        <v>1124</v>
      </c>
      <c r="D14974" s="27" t="s">
        <v>1859</v>
      </c>
      <c r="F14974" s="27" t="s">
        <v>1909</v>
      </c>
      <c r="H14974" s="27" t="s">
        <v>1910</v>
      </c>
      <c r="J14974" s="27" t="s">
        <v>1911</v>
      </c>
      <c r="L14974" s="27" t="s">
        <v>372</v>
      </c>
      <c r="N14974" s="27" t="s">
        <v>552</v>
      </c>
      <c r="P14974" s="27" t="s">
        <v>17089</v>
      </c>
      <c r="Q14974" s="26" t="str">
        <f>HYPERLINK("https://ictv.global/taxonomy/taxondetails?taxnode_id=202504153&amp;ictv_id=ICTV19871281","ICTV19871281")</f>
        <v>ICTV19871281</v>
      </c>
      <c r="R14974" t="s">
        <v>583</v>
      </c>
      <c r="S14974" t="s">
        <v>824</v>
      </c>
      <c r="T14974">
        <v>39</v>
      </c>
      <c r="U14974" s="26" t="str">
        <f t="shared" si="563"/>
        <v>2023.012F.Partitiviridae_abolish15sp_spren.zip</v>
      </c>
    </row>
    <row r="14975" spans="1:21">
      <c r="A14975">
        <v>14974</v>
      </c>
      <c r="B14975" s="27" t="s">
        <v>1124</v>
      </c>
      <c r="D14975" s="27" t="s">
        <v>1859</v>
      </c>
      <c r="F14975" s="27" t="s">
        <v>1909</v>
      </c>
      <c r="H14975" s="27" t="s">
        <v>1910</v>
      </c>
      <c r="J14975" s="27" t="s">
        <v>1911</v>
      </c>
      <c r="L14975" s="27" t="s">
        <v>372</v>
      </c>
      <c r="N14975" s="27" t="s">
        <v>553</v>
      </c>
      <c r="P14975" s="27" t="s">
        <v>17090</v>
      </c>
      <c r="Q14975" s="26" t="str">
        <f>HYPERLINK("https://ictv.global/taxonomy/taxondetails?taxnode_id=202504160&amp;ictv_id=ICTV20132516","ICTV20132516")</f>
        <v>ICTV20132516</v>
      </c>
      <c r="R14975" t="s">
        <v>583</v>
      </c>
      <c r="S14975" t="s">
        <v>824</v>
      </c>
      <c r="T14975">
        <v>39</v>
      </c>
      <c r="U14975" s="26" t="str">
        <f t="shared" si="563"/>
        <v>2023.012F.Partitiviridae_abolish15sp_spren.zip</v>
      </c>
    </row>
    <row r="14976" spans="1:21">
      <c r="A14976">
        <v>14975</v>
      </c>
      <c r="B14976" s="27" t="s">
        <v>1124</v>
      </c>
      <c r="D14976" s="27" t="s">
        <v>1859</v>
      </c>
      <c r="F14976" s="27" t="s">
        <v>1909</v>
      </c>
      <c r="H14976" s="27" t="s">
        <v>1910</v>
      </c>
      <c r="J14976" s="27" t="s">
        <v>1911</v>
      </c>
      <c r="L14976" s="27" t="s">
        <v>372</v>
      </c>
      <c r="N14976" s="27" t="s">
        <v>553</v>
      </c>
      <c r="P14976" s="27" t="s">
        <v>17091</v>
      </c>
      <c r="Q14976" s="26" t="str">
        <f>HYPERLINK("https://ictv.global/taxonomy/taxondetails?taxnode_id=202504156&amp;ictv_id=ICTV19991171","ICTV19991171")</f>
        <v>ICTV19991171</v>
      </c>
      <c r="R14976" t="s">
        <v>583</v>
      </c>
      <c r="S14976" t="s">
        <v>824</v>
      </c>
      <c r="T14976">
        <v>39</v>
      </c>
      <c r="U14976" s="26" t="str">
        <f t="shared" si="563"/>
        <v>2023.012F.Partitiviridae_abolish15sp_spren.zip</v>
      </c>
    </row>
    <row r="14977" spans="1:21">
      <c r="A14977">
        <v>14976</v>
      </c>
      <c r="B14977" s="27" t="s">
        <v>1124</v>
      </c>
      <c r="D14977" s="27" t="s">
        <v>1859</v>
      </c>
      <c r="F14977" s="27" t="s">
        <v>1909</v>
      </c>
      <c r="H14977" s="27" t="s">
        <v>1910</v>
      </c>
      <c r="J14977" s="27" t="s">
        <v>1911</v>
      </c>
      <c r="L14977" s="27" t="s">
        <v>372</v>
      </c>
      <c r="N14977" s="27" t="s">
        <v>553</v>
      </c>
      <c r="P14977" s="27" t="s">
        <v>17092</v>
      </c>
      <c r="Q14977" s="26" t="str">
        <f>HYPERLINK("https://ictv.global/taxonomy/taxondetails?taxnode_id=202504157&amp;ictv_id=ICTV20132514","ICTV20132514")</f>
        <v>ICTV20132514</v>
      </c>
      <c r="R14977" t="s">
        <v>583</v>
      </c>
      <c r="S14977" t="s">
        <v>824</v>
      </c>
      <c r="T14977">
        <v>39</v>
      </c>
      <c r="U14977" s="26" t="str">
        <f t="shared" si="563"/>
        <v>2023.012F.Partitiviridae_abolish15sp_spren.zip</v>
      </c>
    </row>
    <row r="14978" spans="1:21">
      <c r="A14978">
        <v>14977</v>
      </c>
      <c r="B14978" s="27" t="s">
        <v>1124</v>
      </c>
      <c r="D14978" s="27" t="s">
        <v>1859</v>
      </c>
      <c r="F14978" s="27" t="s">
        <v>1909</v>
      </c>
      <c r="H14978" s="27" t="s">
        <v>1910</v>
      </c>
      <c r="J14978" s="27" t="s">
        <v>1911</v>
      </c>
      <c r="L14978" s="27" t="s">
        <v>372</v>
      </c>
      <c r="N14978" s="27" t="s">
        <v>553</v>
      </c>
      <c r="P14978" s="27" t="s">
        <v>17093</v>
      </c>
      <c r="Q14978" s="26" t="str">
        <f>HYPERLINK("https://ictv.global/taxonomy/taxondetails?taxnode_id=202504158&amp;ictv_id=ICTV20094250","ICTV20094250")</f>
        <v>ICTV20094250</v>
      </c>
      <c r="R14978" t="s">
        <v>583</v>
      </c>
      <c r="S14978" t="s">
        <v>824</v>
      </c>
      <c r="T14978">
        <v>39</v>
      </c>
      <c r="U14978" s="26" t="str">
        <f t="shared" si="563"/>
        <v>2023.012F.Partitiviridae_abolish15sp_spren.zip</v>
      </c>
    </row>
    <row r="14979" spans="1:21">
      <c r="A14979">
        <v>14978</v>
      </c>
      <c r="B14979" s="27" t="s">
        <v>1124</v>
      </c>
      <c r="D14979" s="27" t="s">
        <v>1859</v>
      </c>
      <c r="F14979" s="27" t="s">
        <v>1909</v>
      </c>
      <c r="H14979" s="27" t="s">
        <v>1910</v>
      </c>
      <c r="J14979" s="27" t="s">
        <v>1911</v>
      </c>
      <c r="L14979" s="27" t="s">
        <v>372</v>
      </c>
      <c r="N14979" s="27" t="s">
        <v>553</v>
      </c>
      <c r="P14979" s="27" t="s">
        <v>17094</v>
      </c>
      <c r="Q14979" s="26" t="str">
        <f>HYPERLINK("https://ictv.global/taxonomy/taxondetails?taxnode_id=202504162&amp;ictv_id=ICTV20133606","ICTV20133606")</f>
        <v>ICTV20133606</v>
      </c>
      <c r="R14979" t="s">
        <v>583</v>
      </c>
      <c r="S14979" t="s">
        <v>824</v>
      </c>
      <c r="T14979">
        <v>39</v>
      </c>
      <c r="U14979" s="26" t="str">
        <f t="shared" si="563"/>
        <v>2023.012F.Partitiviridae_abolish15sp_spren.zip</v>
      </c>
    </row>
    <row r="14980" spans="1:21">
      <c r="A14980">
        <v>14979</v>
      </c>
      <c r="B14980" s="27" t="s">
        <v>1124</v>
      </c>
      <c r="D14980" s="27" t="s">
        <v>1859</v>
      </c>
      <c r="F14980" s="27" t="s">
        <v>1909</v>
      </c>
      <c r="H14980" s="27" t="s">
        <v>1910</v>
      </c>
      <c r="J14980" s="27" t="s">
        <v>1911</v>
      </c>
      <c r="L14980" s="27" t="s">
        <v>372</v>
      </c>
      <c r="N14980" s="27" t="s">
        <v>553</v>
      </c>
      <c r="P14980" s="27" t="s">
        <v>17095</v>
      </c>
      <c r="Q14980" s="26" t="str">
        <f>HYPERLINK("https://ictv.global/taxonomy/taxondetails?taxnode_id=202504161&amp;ictv_id=ICTV20021247","ICTV20021247")</f>
        <v>ICTV20021247</v>
      </c>
      <c r="R14980" t="s">
        <v>583</v>
      </c>
      <c r="S14980" t="s">
        <v>824</v>
      </c>
      <c r="T14980">
        <v>39</v>
      </c>
      <c r="U14980" s="26" t="str">
        <f t="shared" si="563"/>
        <v>2023.012F.Partitiviridae_abolish15sp_spren.zip</v>
      </c>
    </row>
    <row r="14981" spans="1:21">
      <c r="A14981">
        <v>14980</v>
      </c>
      <c r="B14981" s="27" t="s">
        <v>1124</v>
      </c>
      <c r="D14981" s="27" t="s">
        <v>1859</v>
      </c>
      <c r="F14981" s="27" t="s">
        <v>1909</v>
      </c>
      <c r="H14981" s="27" t="s">
        <v>1910</v>
      </c>
      <c r="J14981" s="27" t="s">
        <v>1911</v>
      </c>
      <c r="L14981" s="27" t="s">
        <v>372</v>
      </c>
      <c r="N14981" s="27" t="s">
        <v>553</v>
      </c>
      <c r="P14981" s="27" t="s">
        <v>17096</v>
      </c>
      <c r="Q14981" s="26" t="str">
        <f>HYPERLINK("https://ictv.global/taxonomy/taxondetails?taxnode_id=202504166&amp;ictv_id=ICTV19871284","ICTV19871284")</f>
        <v>ICTV19871284</v>
      </c>
      <c r="R14981" t="s">
        <v>583</v>
      </c>
      <c r="S14981" t="s">
        <v>824</v>
      </c>
      <c r="T14981">
        <v>39</v>
      </c>
      <c r="U14981" s="26" t="str">
        <f t="shared" si="563"/>
        <v>2023.012F.Partitiviridae_abolish15sp_spren.zip</v>
      </c>
    </row>
    <row r="14982" spans="1:21">
      <c r="A14982">
        <v>14981</v>
      </c>
      <c r="B14982" s="27" t="s">
        <v>1124</v>
      </c>
      <c r="D14982" s="27" t="s">
        <v>1859</v>
      </c>
      <c r="F14982" s="27" t="s">
        <v>1909</v>
      </c>
      <c r="H14982" s="27" t="s">
        <v>1910</v>
      </c>
      <c r="J14982" s="27" t="s">
        <v>1911</v>
      </c>
      <c r="L14982" s="27" t="s">
        <v>372</v>
      </c>
      <c r="N14982" s="27" t="s">
        <v>553</v>
      </c>
      <c r="P14982" s="27" t="s">
        <v>17097</v>
      </c>
      <c r="Q14982" s="26" t="str">
        <f>HYPERLINK("https://ictv.global/taxonomy/taxondetails?taxnode_id=202504164&amp;ictv_id=ICTV20133607","ICTV20133607")</f>
        <v>ICTV20133607</v>
      </c>
      <c r="R14982" t="s">
        <v>583</v>
      </c>
      <c r="S14982" t="s">
        <v>824</v>
      </c>
      <c r="T14982">
        <v>39</v>
      </c>
      <c r="U14982" s="26" t="str">
        <f t="shared" si="563"/>
        <v>2023.012F.Partitiviridae_abolish15sp_spren.zip</v>
      </c>
    </row>
    <row r="14983" spans="1:21">
      <c r="A14983">
        <v>14982</v>
      </c>
      <c r="B14983" s="27" t="s">
        <v>1124</v>
      </c>
      <c r="D14983" s="27" t="s">
        <v>1859</v>
      </c>
      <c r="F14983" s="27" t="s">
        <v>1909</v>
      </c>
      <c r="H14983" s="27" t="s">
        <v>1910</v>
      </c>
      <c r="J14983" s="27" t="s">
        <v>1911</v>
      </c>
      <c r="L14983" s="27" t="s">
        <v>372</v>
      </c>
      <c r="N14983" s="27" t="s">
        <v>553</v>
      </c>
      <c r="P14983" s="27" t="s">
        <v>17098</v>
      </c>
      <c r="Q14983" s="26" t="str">
        <f>HYPERLINK("https://ictv.global/taxonomy/taxondetails?taxnode_id=202504165&amp;ictv_id=ICTV20074116","ICTV20074116")</f>
        <v>ICTV20074116</v>
      </c>
      <c r="R14983" t="s">
        <v>583</v>
      </c>
      <c r="S14983" t="s">
        <v>824</v>
      </c>
      <c r="T14983">
        <v>39</v>
      </c>
      <c r="U14983" s="26" t="str">
        <f t="shared" si="563"/>
        <v>2023.012F.Partitiviridae_abolish15sp_spren.zip</v>
      </c>
    </row>
    <row r="14984" spans="1:21">
      <c r="A14984">
        <v>14983</v>
      </c>
      <c r="B14984" s="27" t="s">
        <v>1124</v>
      </c>
      <c r="D14984" s="27" t="s">
        <v>1859</v>
      </c>
      <c r="F14984" s="27" t="s">
        <v>1909</v>
      </c>
      <c r="H14984" s="27" t="s">
        <v>1910</v>
      </c>
      <c r="J14984" s="27" t="s">
        <v>1911</v>
      </c>
      <c r="L14984" s="27" t="s">
        <v>372</v>
      </c>
      <c r="N14984" s="27" t="s">
        <v>553</v>
      </c>
      <c r="P14984" s="27" t="s">
        <v>17099</v>
      </c>
      <c r="Q14984" s="26" t="str">
        <f>HYPERLINK("https://ictv.global/taxonomy/taxondetails?taxnode_id=202504167&amp;ictv_id=ICTV20094263","ICTV20094263")</f>
        <v>ICTV20094263</v>
      </c>
      <c r="R14984" t="s">
        <v>583</v>
      </c>
      <c r="S14984" t="s">
        <v>824</v>
      </c>
      <c r="T14984">
        <v>39</v>
      </c>
      <c r="U14984" s="26" t="str">
        <f t="shared" si="563"/>
        <v>2023.012F.Partitiviridae_abolish15sp_spren.zip</v>
      </c>
    </row>
    <row r="14985" spans="1:21">
      <c r="A14985">
        <v>14984</v>
      </c>
      <c r="B14985" s="27" t="s">
        <v>1124</v>
      </c>
      <c r="D14985" s="27" t="s">
        <v>1859</v>
      </c>
      <c r="F14985" s="27" t="s">
        <v>1909</v>
      </c>
      <c r="H14985" s="27" t="s">
        <v>1910</v>
      </c>
      <c r="J14985" s="27" t="s">
        <v>1911</v>
      </c>
      <c r="L14985" s="27" t="s">
        <v>372</v>
      </c>
      <c r="N14985" s="27" t="s">
        <v>553</v>
      </c>
      <c r="P14985" s="27" t="s">
        <v>17100</v>
      </c>
      <c r="Q14985" s="26" t="str">
        <f>HYPERLINK("https://ictv.global/taxonomy/taxondetails?taxnode_id=202504169&amp;ictv_id=ICTV19871285","ICTV19871285")</f>
        <v>ICTV19871285</v>
      </c>
      <c r="R14985" t="s">
        <v>583</v>
      </c>
      <c r="S14985" t="s">
        <v>824</v>
      </c>
      <c r="T14985">
        <v>39</v>
      </c>
      <c r="U14985" s="26" t="str">
        <f t="shared" si="563"/>
        <v>2023.012F.Partitiviridae_abolish15sp_spren.zip</v>
      </c>
    </row>
    <row r="14986" spans="1:21">
      <c r="A14986">
        <v>14985</v>
      </c>
      <c r="B14986" s="27" t="s">
        <v>1124</v>
      </c>
      <c r="D14986" s="27" t="s">
        <v>1859</v>
      </c>
      <c r="F14986" s="27" t="s">
        <v>1909</v>
      </c>
      <c r="H14986" s="27" t="s">
        <v>1910</v>
      </c>
      <c r="J14986" s="27" t="s">
        <v>1911</v>
      </c>
      <c r="L14986" s="27" t="s">
        <v>372</v>
      </c>
      <c r="N14986" s="27" t="s">
        <v>553</v>
      </c>
      <c r="P14986" s="27" t="s">
        <v>17101</v>
      </c>
      <c r="Q14986" s="26" t="str">
        <f>HYPERLINK("https://ictv.global/taxonomy/taxondetails?taxnode_id=202504168&amp;ictv_id=ICTV20132517","ICTV20132517")</f>
        <v>ICTV20132517</v>
      </c>
      <c r="R14986" t="s">
        <v>583</v>
      </c>
      <c r="S14986" t="s">
        <v>824</v>
      </c>
      <c r="T14986">
        <v>39</v>
      </c>
      <c r="U14986" s="26" t="str">
        <f t="shared" si="563"/>
        <v>2023.012F.Partitiviridae_abolish15sp_spren.zip</v>
      </c>
    </row>
    <row r="14987" spans="1:21">
      <c r="A14987">
        <v>14986</v>
      </c>
      <c r="B14987" s="27" t="s">
        <v>1124</v>
      </c>
      <c r="D14987" s="27" t="s">
        <v>1859</v>
      </c>
      <c r="F14987" s="27" t="s">
        <v>1909</v>
      </c>
      <c r="H14987" s="27" t="s">
        <v>1910</v>
      </c>
      <c r="J14987" s="27" t="s">
        <v>1911</v>
      </c>
      <c r="L14987" s="27" t="s">
        <v>372</v>
      </c>
      <c r="N14987" s="27" t="s">
        <v>553</v>
      </c>
      <c r="P14987" s="27" t="s">
        <v>17102</v>
      </c>
      <c r="Q14987" s="26" t="str">
        <f>HYPERLINK("https://ictv.global/taxonomy/taxondetails?taxnode_id=202504159&amp;ictv_id=ICTV20132515","ICTV20132515")</f>
        <v>ICTV20132515</v>
      </c>
      <c r="R14987" t="s">
        <v>583</v>
      </c>
      <c r="S14987" t="s">
        <v>824</v>
      </c>
      <c r="T14987">
        <v>39</v>
      </c>
      <c r="U14987" s="26" t="str">
        <f t="shared" si="563"/>
        <v>2023.012F.Partitiviridae_abolish15sp_spren.zip</v>
      </c>
    </row>
    <row r="14988" spans="1:21">
      <c r="A14988">
        <v>14987</v>
      </c>
      <c r="B14988" s="27" t="s">
        <v>1124</v>
      </c>
      <c r="D14988" s="27" t="s">
        <v>1859</v>
      </c>
      <c r="F14988" s="27" t="s">
        <v>1909</v>
      </c>
      <c r="H14988" s="27" t="s">
        <v>1910</v>
      </c>
      <c r="J14988" s="27" t="s">
        <v>1911</v>
      </c>
      <c r="L14988" s="27" t="s">
        <v>372</v>
      </c>
      <c r="N14988" s="27" t="s">
        <v>553</v>
      </c>
      <c r="P14988" s="27" t="s">
        <v>17103</v>
      </c>
      <c r="Q14988" s="26" t="str">
        <f>HYPERLINK("https://ictv.global/taxonomy/taxondetails?taxnode_id=202504170&amp;ictv_id=ICTV19911018","ICTV19911018")</f>
        <v>ICTV19911018</v>
      </c>
      <c r="R14988" t="s">
        <v>583</v>
      </c>
      <c r="S14988" t="s">
        <v>824</v>
      </c>
      <c r="T14988">
        <v>39</v>
      </c>
      <c r="U14988" s="26" t="str">
        <f t="shared" si="563"/>
        <v>2023.012F.Partitiviridae_abolish15sp_spren.zip</v>
      </c>
    </row>
    <row r="14989" spans="1:21">
      <c r="A14989">
        <v>14988</v>
      </c>
      <c r="B14989" s="27" t="s">
        <v>1124</v>
      </c>
      <c r="D14989" s="27" t="s">
        <v>1859</v>
      </c>
      <c r="F14989" s="27" t="s">
        <v>1909</v>
      </c>
      <c r="H14989" s="27" t="s">
        <v>1910</v>
      </c>
      <c r="J14989" s="27" t="s">
        <v>1911</v>
      </c>
      <c r="L14989" s="27" t="s">
        <v>372</v>
      </c>
      <c r="N14989" s="27" t="s">
        <v>553</v>
      </c>
      <c r="P14989" s="27" t="s">
        <v>17104</v>
      </c>
      <c r="Q14989" s="26" t="str">
        <f>HYPERLINK("https://ictv.global/taxonomy/taxondetails?taxnode_id=202504171&amp;ictv_id=ICTV20094265","ICTV20094265")</f>
        <v>ICTV20094265</v>
      </c>
      <c r="R14989" t="s">
        <v>583</v>
      </c>
      <c r="S14989" t="s">
        <v>824</v>
      </c>
      <c r="T14989">
        <v>39</v>
      </c>
      <c r="U14989" s="26" t="str">
        <f t="shared" si="563"/>
        <v>2023.012F.Partitiviridae_abolish15sp_spren.zip</v>
      </c>
    </row>
    <row r="14990" spans="1:21">
      <c r="A14990">
        <v>14989</v>
      </c>
      <c r="B14990" s="27" t="s">
        <v>1124</v>
      </c>
      <c r="D14990" s="27" t="s">
        <v>1859</v>
      </c>
      <c r="F14990" s="27" t="s">
        <v>1909</v>
      </c>
      <c r="H14990" s="27" t="s">
        <v>1910</v>
      </c>
      <c r="J14990" s="27" t="s">
        <v>1911</v>
      </c>
      <c r="L14990" s="27" t="s">
        <v>372</v>
      </c>
      <c r="N14990" s="27" t="s">
        <v>553</v>
      </c>
      <c r="P14990" s="27" t="s">
        <v>17105</v>
      </c>
      <c r="Q14990" s="26" t="str">
        <f>HYPERLINK("https://ictv.global/taxonomy/taxondetails?taxnode_id=202504163&amp;ictv_id=ICTV20153441","ICTV20153441")</f>
        <v>ICTV20153441</v>
      </c>
      <c r="R14990" t="s">
        <v>583</v>
      </c>
      <c r="S14990" t="s">
        <v>824</v>
      </c>
      <c r="T14990">
        <v>39</v>
      </c>
      <c r="U14990" s="26" t="str">
        <f t="shared" si="563"/>
        <v>2023.012F.Partitiviridae_abolish15sp_spren.zip</v>
      </c>
    </row>
    <row r="14991" spans="1:21">
      <c r="A14991">
        <v>14990</v>
      </c>
      <c r="B14991" s="27" t="s">
        <v>1124</v>
      </c>
      <c r="D14991" s="27" t="s">
        <v>1859</v>
      </c>
      <c r="F14991" s="27" t="s">
        <v>1909</v>
      </c>
      <c r="H14991" s="27" t="s">
        <v>1910</v>
      </c>
      <c r="J14991" s="27" t="s">
        <v>1911</v>
      </c>
      <c r="L14991" s="27" t="s">
        <v>372</v>
      </c>
      <c r="N14991" s="27" t="s">
        <v>553</v>
      </c>
      <c r="P14991" s="27" t="s">
        <v>17106</v>
      </c>
      <c r="Q14991" s="26" t="str">
        <f>HYPERLINK("https://ictv.global/taxonomy/taxondetails?taxnode_id=202504172&amp;ictv_id=ICTV19871286","ICTV19871286")</f>
        <v>ICTV19871286</v>
      </c>
      <c r="R14991" t="s">
        <v>583</v>
      </c>
      <c r="S14991" t="s">
        <v>824</v>
      </c>
      <c r="T14991">
        <v>39</v>
      </c>
      <c r="U14991" s="26" t="str">
        <f t="shared" si="563"/>
        <v>2023.012F.Partitiviridae_abolish15sp_spren.zip</v>
      </c>
    </row>
    <row r="14992" spans="1:21">
      <c r="A14992">
        <v>14991</v>
      </c>
      <c r="B14992" s="27" t="s">
        <v>1124</v>
      </c>
      <c r="D14992" s="27" t="s">
        <v>1859</v>
      </c>
      <c r="F14992" s="27" t="s">
        <v>1909</v>
      </c>
      <c r="H14992" s="27" t="s">
        <v>1910</v>
      </c>
      <c r="J14992" s="27" t="s">
        <v>1911</v>
      </c>
      <c r="L14992" s="27" t="s">
        <v>372</v>
      </c>
      <c r="N14992" s="27" t="s">
        <v>301</v>
      </c>
      <c r="P14992" s="27" t="s">
        <v>17107</v>
      </c>
      <c r="Q14992" s="26" t="str">
        <f>HYPERLINK("https://ictv.global/taxonomy/taxondetails?taxnode_id=202504174&amp;ictv_id=ICTV20094246","ICTV20094246")</f>
        <v>ICTV20094246</v>
      </c>
      <c r="R14992" t="s">
        <v>583</v>
      </c>
      <c r="S14992" t="s">
        <v>824</v>
      </c>
      <c r="T14992">
        <v>39</v>
      </c>
      <c r="U14992" s="26" t="str">
        <f t="shared" si="563"/>
        <v>2023.012F.Partitiviridae_abolish15sp_spren.zip</v>
      </c>
    </row>
    <row r="14993" spans="1:21">
      <c r="A14993">
        <v>14992</v>
      </c>
      <c r="B14993" s="27" t="s">
        <v>1124</v>
      </c>
      <c r="D14993" s="27" t="s">
        <v>1859</v>
      </c>
      <c r="F14993" s="27" t="s">
        <v>1909</v>
      </c>
      <c r="H14993" s="27" t="s">
        <v>1910</v>
      </c>
      <c r="J14993" s="27" t="s">
        <v>1911</v>
      </c>
      <c r="L14993" s="27" t="s">
        <v>372</v>
      </c>
      <c r="N14993" s="27" t="s">
        <v>554</v>
      </c>
      <c r="P14993" s="27" t="s">
        <v>17108</v>
      </c>
      <c r="Q14993" s="26" t="str">
        <f>HYPERLINK("https://ictv.global/taxonomy/taxondetails?taxnode_id=202504176&amp;ictv_id=ICTV19871275","ICTV19871275")</f>
        <v>ICTV19871275</v>
      </c>
      <c r="R14993" t="s">
        <v>583</v>
      </c>
      <c r="S14993" t="s">
        <v>824</v>
      </c>
      <c r="T14993">
        <v>39</v>
      </c>
      <c r="U14993" s="26" t="str">
        <f t="shared" si="563"/>
        <v>2023.012F.Partitiviridae_abolish15sp_spren.zip</v>
      </c>
    </row>
    <row r="14994" spans="1:21">
      <c r="A14994">
        <v>14993</v>
      </c>
      <c r="B14994" s="27" t="s">
        <v>1124</v>
      </c>
      <c r="D14994" s="27" t="s">
        <v>1859</v>
      </c>
      <c r="F14994" s="27" t="s">
        <v>1909</v>
      </c>
      <c r="H14994" s="27" t="s">
        <v>1910</v>
      </c>
      <c r="J14994" s="27" t="s">
        <v>1911</v>
      </c>
      <c r="L14994" s="27" t="s">
        <v>372</v>
      </c>
      <c r="N14994" s="27" t="s">
        <v>554</v>
      </c>
      <c r="P14994" s="27" t="s">
        <v>17109</v>
      </c>
      <c r="Q14994" s="26" t="str">
        <f>HYPERLINK("https://ictv.global/taxonomy/taxondetails?taxnode_id=202504180&amp;ictv_id=ICTV20132523","ICTV20132523")</f>
        <v>ICTV20132523</v>
      </c>
      <c r="R14994" t="s">
        <v>583</v>
      </c>
      <c r="S14994" t="s">
        <v>824</v>
      </c>
      <c r="T14994">
        <v>39</v>
      </c>
      <c r="U14994" s="26" t="str">
        <f t="shared" si="563"/>
        <v>2023.012F.Partitiviridae_abolish15sp_spren.zip</v>
      </c>
    </row>
    <row r="14995" spans="1:21">
      <c r="A14995">
        <v>14994</v>
      </c>
      <c r="B14995" s="27" t="s">
        <v>1124</v>
      </c>
      <c r="D14995" s="27" t="s">
        <v>1859</v>
      </c>
      <c r="F14995" s="27" t="s">
        <v>1909</v>
      </c>
      <c r="H14995" s="27" t="s">
        <v>1910</v>
      </c>
      <c r="J14995" s="27" t="s">
        <v>1911</v>
      </c>
      <c r="L14995" s="27" t="s">
        <v>372</v>
      </c>
      <c r="N14995" s="27" t="s">
        <v>554</v>
      </c>
      <c r="P14995" s="27" t="s">
        <v>17110</v>
      </c>
      <c r="Q14995" s="26" t="str">
        <f>HYPERLINK("https://ictv.global/taxonomy/taxondetails?taxnode_id=202504178&amp;ictv_id=ICTV20132521","ICTV20132521")</f>
        <v>ICTV20132521</v>
      </c>
      <c r="R14995" t="s">
        <v>583</v>
      </c>
      <c r="S14995" t="s">
        <v>824</v>
      </c>
      <c r="T14995">
        <v>39</v>
      </c>
      <c r="U14995" s="26" t="str">
        <f t="shared" si="563"/>
        <v>2023.012F.Partitiviridae_abolish15sp_spren.zip</v>
      </c>
    </row>
    <row r="14996" spans="1:21">
      <c r="A14996">
        <v>14995</v>
      </c>
      <c r="B14996" s="27" t="s">
        <v>1124</v>
      </c>
      <c r="D14996" s="27" t="s">
        <v>1859</v>
      </c>
      <c r="F14996" s="27" t="s">
        <v>1909</v>
      </c>
      <c r="H14996" s="27" t="s">
        <v>1910</v>
      </c>
      <c r="J14996" s="27" t="s">
        <v>1911</v>
      </c>
      <c r="L14996" s="27" t="s">
        <v>372</v>
      </c>
      <c r="N14996" s="27" t="s">
        <v>554</v>
      </c>
      <c r="P14996" s="27" t="s">
        <v>17111</v>
      </c>
      <c r="Q14996" s="26" t="str">
        <f>HYPERLINK("https://ictv.global/taxonomy/taxondetails?taxnode_id=202504177&amp;ictv_id=ICTV19911598","ICTV19911598")</f>
        <v>ICTV19911598</v>
      </c>
      <c r="R14996" t="s">
        <v>583</v>
      </c>
      <c r="S14996" t="s">
        <v>824</v>
      </c>
      <c r="T14996">
        <v>39</v>
      </c>
      <c r="U14996" s="26" t="str">
        <f t="shared" si="563"/>
        <v>2023.012F.Partitiviridae_abolish15sp_spren.zip</v>
      </c>
    </row>
    <row r="14997" spans="1:21">
      <c r="A14997">
        <v>14996</v>
      </c>
      <c r="B14997" s="27" t="s">
        <v>1124</v>
      </c>
      <c r="D14997" s="27" t="s">
        <v>1859</v>
      </c>
      <c r="F14997" s="27" t="s">
        <v>1909</v>
      </c>
      <c r="H14997" s="27" t="s">
        <v>1910</v>
      </c>
      <c r="J14997" s="27" t="s">
        <v>1911</v>
      </c>
      <c r="L14997" s="27" t="s">
        <v>372</v>
      </c>
      <c r="N14997" s="27" t="s">
        <v>554</v>
      </c>
      <c r="P14997" s="27" t="s">
        <v>17112</v>
      </c>
      <c r="Q14997" s="26" t="str">
        <f>HYPERLINK("https://ictv.global/taxonomy/taxondetails?taxnode_id=202504179&amp;ictv_id=ICTV20132522","ICTV20132522")</f>
        <v>ICTV20132522</v>
      </c>
      <c r="R14997" t="s">
        <v>583</v>
      </c>
      <c r="S14997" t="s">
        <v>824</v>
      </c>
      <c r="T14997">
        <v>39</v>
      </c>
      <c r="U14997" s="26" t="str">
        <f t="shared" si="563"/>
        <v>2023.012F.Partitiviridae_abolish15sp_spren.zip</v>
      </c>
    </row>
    <row r="14998" spans="1:21">
      <c r="A14998">
        <v>14997</v>
      </c>
      <c r="B14998" s="27" t="s">
        <v>1124</v>
      </c>
      <c r="D14998" s="27" t="s">
        <v>1859</v>
      </c>
      <c r="F14998" s="27" t="s">
        <v>1909</v>
      </c>
      <c r="H14998" s="27" t="s">
        <v>1910</v>
      </c>
      <c r="J14998" s="27" t="s">
        <v>1911</v>
      </c>
      <c r="L14998" s="27" t="s">
        <v>372</v>
      </c>
      <c r="N14998" s="27" t="s">
        <v>555</v>
      </c>
      <c r="P14998" s="27" t="s">
        <v>17113</v>
      </c>
      <c r="Q14998" s="26" t="str">
        <f>HYPERLINK("https://ictv.global/taxonomy/taxondetails?taxnode_id=202504182&amp;ictv_id=ICTV19911014","ICTV19911014")</f>
        <v>ICTV19911014</v>
      </c>
      <c r="R14998" t="s">
        <v>583</v>
      </c>
      <c r="S14998" t="s">
        <v>824</v>
      </c>
      <c r="T14998">
        <v>39</v>
      </c>
      <c r="U14998" s="26" t="str">
        <f t="shared" si="563"/>
        <v>2023.012F.Partitiviridae_abolish15sp_spren.zip</v>
      </c>
    </row>
    <row r="14999" spans="1:21">
      <c r="A14999">
        <v>14998</v>
      </c>
      <c r="B14999" s="27" t="s">
        <v>1124</v>
      </c>
      <c r="D14999" s="27" t="s">
        <v>1859</v>
      </c>
      <c r="F14999" s="27" t="s">
        <v>1909</v>
      </c>
      <c r="H14999" s="27" t="s">
        <v>1910</v>
      </c>
      <c r="J14999" s="27" t="s">
        <v>1911</v>
      </c>
      <c r="L14999" s="27" t="s">
        <v>372</v>
      </c>
      <c r="N14999" s="27" t="s">
        <v>555</v>
      </c>
      <c r="P14999" s="27" t="s">
        <v>17114</v>
      </c>
      <c r="Q14999" s="26" t="str">
        <f>HYPERLINK("https://ictv.global/taxonomy/taxondetails?taxnode_id=202504184&amp;ictv_id=ICTV20074109","ICTV20074109")</f>
        <v>ICTV20074109</v>
      </c>
      <c r="R14999" t="s">
        <v>583</v>
      </c>
      <c r="S14999" t="s">
        <v>824</v>
      </c>
      <c r="T14999">
        <v>39</v>
      </c>
      <c r="U14999" s="26" t="str">
        <f t="shared" si="563"/>
        <v>2023.012F.Partitiviridae_abolish15sp_spren.zip</v>
      </c>
    </row>
    <row r="15000" spans="1:21">
      <c r="A15000">
        <v>14999</v>
      </c>
      <c r="B15000" s="27" t="s">
        <v>1124</v>
      </c>
      <c r="D15000" s="27" t="s">
        <v>1859</v>
      </c>
      <c r="F15000" s="27" t="s">
        <v>1909</v>
      </c>
      <c r="H15000" s="27" t="s">
        <v>1910</v>
      </c>
      <c r="J15000" s="27" t="s">
        <v>1911</v>
      </c>
      <c r="L15000" s="27" t="s">
        <v>372</v>
      </c>
      <c r="N15000" s="27" t="s">
        <v>555</v>
      </c>
      <c r="P15000" s="27" t="s">
        <v>17115</v>
      </c>
      <c r="Q15000" s="26" t="str">
        <f>HYPERLINK("https://ictv.global/taxonomy/taxondetails?taxnode_id=202504188&amp;ictv_id=ICTV20094261","ICTV20094261")</f>
        <v>ICTV20094261</v>
      </c>
      <c r="R15000" t="s">
        <v>583</v>
      </c>
      <c r="S15000" t="s">
        <v>824</v>
      </c>
      <c r="T15000">
        <v>39</v>
      </c>
      <c r="U15000" s="26" t="str">
        <f t="shared" si="563"/>
        <v>2023.012F.Partitiviridae_abolish15sp_spren.zip</v>
      </c>
    </row>
    <row r="15001" spans="1:21">
      <c r="A15001">
        <v>15000</v>
      </c>
      <c r="B15001" s="27" t="s">
        <v>1124</v>
      </c>
      <c r="D15001" s="27" t="s">
        <v>1859</v>
      </c>
      <c r="F15001" s="27" t="s">
        <v>1909</v>
      </c>
      <c r="H15001" s="27" t="s">
        <v>1910</v>
      </c>
      <c r="J15001" s="27" t="s">
        <v>1911</v>
      </c>
      <c r="L15001" s="27" t="s">
        <v>372</v>
      </c>
      <c r="N15001" s="27" t="s">
        <v>555</v>
      </c>
      <c r="P15001" s="27" t="s">
        <v>17116</v>
      </c>
      <c r="Q15001" s="26" t="str">
        <f>HYPERLINK("https://ictv.global/taxonomy/taxondetails?taxnode_id=202504189&amp;ictv_id=ICTV19791047","ICTV19791047")</f>
        <v>ICTV19791047</v>
      </c>
      <c r="R15001" t="s">
        <v>583</v>
      </c>
      <c r="S15001" t="s">
        <v>824</v>
      </c>
      <c r="T15001">
        <v>39</v>
      </c>
      <c r="U15001" s="26" t="str">
        <f t="shared" si="563"/>
        <v>2023.012F.Partitiviridae_abolish15sp_spren.zip</v>
      </c>
    </row>
    <row r="15002" spans="1:21">
      <c r="A15002">
        <v>15001</v>
      </c>
      <c r="B15002" s="27" t="s">
        <v>1124</v>
      </c>
      <c r="D15002" s="27" t="s">
        <v>1859</v>
      </c>
      <c r="F15002" s="27" t="s">
        <v>1909</v>
      </c>
      <c r="H15002" s="27" t="s">
        <v>1910</v>
      </c>
      <c r="J15002" s="27" t="s">
        <v>1911</v>
      </c>
      <c r="L15002" s="27" t="s">
        <v>372</v>
      </c>
      <c r="N15002" s="27" t="s">
        <v>555</v>
      </c>
      <c r="P15002" s="27" t="s">
        <v>17117</v>
      </c>
      <c r="Q15002" s="26" t="str">
        <f>HYPERLINK("https://ictv.global/taxonomy/taxondetails?taxnode_id=202504185&amp;ictv_id=ICTV20021248","ICTV20021248")</f>
        <v>ICTV20021248</v>
      </c>
      <c r="R15002" t="s">
        <v>583</v>
      </c>
      <c r="S15002" t="s">
        <v>824</v>
      </c>
      <c r="T15002">
        <v>39</v>
      </c>
      <c r="U15002" s="26" t="str">
        <f t="shared" si="563"/>
        <v>2023.012F.Partitiviridae_abolish15sp_spren.zip</v>
      </c>
    </row>
    <row r="15003" spans="1:21">
      <c r="A15003">
        <v>15002</v>
      </c>
      <c r="B15003" s="27" t="s">
        <v>1124</v>
      </c>
      <c r="D15003" s="27" t="s">
        <v>1859</v>
      </c>
      <c r="F15003" s="27" t="s">
        <v>1909</v>
      </c>
      <c r="H15003" s="27" t="s">
        <v>1910</v>
      </c>
      <c r="J15003" s="27" t="s">
        <v>1911</v>
      </c>
      <c r="L15003" s="27" t="s">
        <v>372</v>
      </c>
      <c r="N15003" s="27" t="s">
        <v>555</v>
      </c>
      <c r="P15003" s="27" t="s">
        <v>17118</v>
      </c>
      <c r="Q15003" s="26" t="str">
        <f>HYPERLINK("https://ictv.global/taxonomy/taxondetails?taxnode_id=202504186&amp;ictv_id=ICTV20074114","ICTV20074114")</f>
        <v>ICTV20074114</v>
      </c>
      <c r="R15003" t="s">
        <v>583</v>
      </c>
      <c r="S15003" t="s">
        <v>824</v>
      </c>
      <c r="T15003">
        <v>39</v>
      </c>
      <c r="U15003" s="26" t="str">
        <f t="shared" si="563"/>
        <v>2023.012F.Partitiviridae_abolish15sp_spren.zip</v>
      </c>
    </row>
    <row r="15004" spans="1:21">
      <c r="A15004">
        <v>15003</v>
      </c>
      <c r="B15004" s="27" t="s">
        <v>1124</v>
      </c>
      <c r="D15004" s="27" t="s">
        <v>1859</v>
      </c>
      <c r="F15004" s="27" t="s">
        <v>1909</v>
      </c>
      <c r="H15004" s="27" t="s">
        <v>1910</v>
      </c>
      <c r="J15004" s="27" t="s">
        <v>1911</v>
      </c>
      <c r="L15004" s="27" t="s">
        <v>372</v>
      </c>
      <c r="N15004" s="27" t="s">
        <v>555</v>
      </c>
      <c r="P15004" s="27" t="s">
        <v>17119</v>
      </c>
      <c r="Q15004" s="26" t="str">
        <f>HYPERLINK("https://ictv.global/taxonomy/taxondetails?taxnode_id=202504187&amp;ictv_id=ICTV20094260","ICTV20094260")</f>
        <v>ICTV20094260</v>
      </c>
      <c r="R15004" t="s">
        <v>583</v>
      </c>
      <c r="S15004" t="s">
        <v>824</v>
      </c>
      <c r="T15004">
        <v>39</v>
      </c>
      <c r="U15004" s="26" t="str">
        <f t="shared" si="563"/>
        <v>2023.012F.Partitiviridae_abolish15sp_spren.zip</v>
      </c>
    </row>
    <row r="15005" spans="1:21">
      <c r="A15005">
        <v>15004</v>
      </c>
      <c r="B15005" s="27" t="s">
        <v>1124</v>
      </c>
      <c r="D15005" s="27" t="s">
        <v>1859</v>
      </c>
      <c r="F15005" s="27" t="s">
        <v>1909</v>
      </c>
      <c r="H15005" s="27" t="s">
        <v>1910</v>
      </c>
      <c r="J15005" s="27" t="s">
        <v>1911</v>
      </c>
      <c r="L15005" s="27" t="s">
        <v>372</v>
      </c>
      <c r="N15005" s="27" t="s">
        <v>555</v>
      </c>
      <c r="P15005" s="27" t="s">
        <v>17120</v>
      </c>
      <c r="Q15005" s="26" t="str">
        <f>HYPERLINK("https://ictv.global/taxonomy/taxondetails?taxnode_id=202504183&amp;ictv_id=ICTV20074108","ICTV20074108")</f>
        <v>ICTV20074108</v>
      </c>
      <c r="R15005" t="s">
        <v>583</v>
      </c>
      <c r="S15005" t="s">
        <v>824</v>
      </c>
      <c r="T15005">
        <v>39</v>
      </c>
      <c r="U15005" s="26" t="str">
        <f t="shared" si="563"/>
        <v>2023.012F.Partitiviridae_abolish15sp_spren.zip</v>
      </c>
    </row>
    <row r="15006" spans="1:21">
      <c r="A15006">
        <v>15005</v>
      </c>
      <c r="B15006" s="27" t="s">
        <v>1124</v>
      </c>
      <c r="D15006" s="27" t="s">
        <v>1859</v>
      </c>
      <c r="F15006" s="27" t="s">
        <v>1909</v>
      </c>
      <c r="H15006" s="27" t="s">
        <v>1910</v>
      </c>
      <c r="J15006" s="27" t="s">
        <v>1911</v>
      </c>
      <c r="L15006" s="27" t="s">
        <v>218</v>
      </c>
      <c r="N15006" s="27" t="s">
        <v>10477</v>
      </c>
      <c r="P15006" s="27" t="s">
        <v>10478</v>
      </c>
      <c r="Q15006" s="26" t="str">
        <f>HYPERLINK("https://ictv.global/taxonomy/taxondetails?taxnode_id=202508648&amp;ictv_id=ICTV201908648","ICTV201908648")</f>
        <v>ICTV201908648</v>
      </c>
      <c r="R15006" t="s">
        <v>583</v>
      </c>
      <c r="S15006" t="s">
        <v>824</v>
      </c>
      <c r="T15006">
        <v>37</v>
      </c>
      <c r="U15006" s="26" t="str">
        <f>HYPERLINK("https://ictv.global/ictv/proposals/2021.032M.R.Picobirnaviridae_sprename_genrename.zip","2021.032M.R.Picobirnaviridae_sprename_genrename.zip")</f>
        <v>2021.032M.R.Picobirnaviridae_sprename_genrename.zip</v>
      </c>
    </row>
    <row r="15007" spans="1:21">
      <c r="A15007">
        <v>15006</v>
      </c>
      <c r="B15007" s="27" t="s">
        <v>1124</v>
      </c>
      <c r="D15007" s="27" t="s">
        <v>1859</v>
      </c>
      <c r="F15007" s="27" t="s">
        <v>1909</v>
      </c>
      <c r="H15007" s="27" t="s">
        <v>1910</v>
      </c>
      <c r="J15007" s="27" t="s">
        <v>1911</v>
      </c>
      <c r="L15007" s="27" t="s">
        <v>218</v>
      </c>
      <c r="N15007" s="27" t="s">
        <v>10477</v>
      </c>
      <c r="P15007" s="27" t="s">
        <v>10479</v>
      </c>
      <c r="Q15007" s="26" t="str">
        <f>HYPERLINK("https://ictv.global/taxonomy/taxondetails?taxnode_id=202508647&amp;ictv_id=ICTV201908647","ICTV201908647")</f>
        <v>ICTV201908647</v>
      </c>
      <c r="R15007" t="s">
        <v>583</v>
      </c>
      <c r="S15007" t="s">
        <v>824</v>
      </c>
      <c r="T15007">
        <v>37</v>
      </c>
      <c r="U15007" s="26" t="str">
        <f>HYPERLINK("https://ictv.global/ictv/proposals/2021.032M.R.Picobirnaviridae_sprename_genrename.zip","2021.032M.R.Picobirnaviridae_sprename_genrename.zip")</f>
        <v>2021.032M.R.Picobirnaviridae_sprename_genrename.zip</v>
      </c>
    </row>
    <row r="15008" spans="1:21">
      <c r="A15008">
        <v>15007</v>
      </c>
      <c r="B15008" s="27" t="s">
        <v>1124</v>
      </c>
      <c r="D15008" s="27" t="s">
        <v>1859</v>
      </c>
      <c r="F15008" s="27" t="s">
        <v>1909</v>
      </c>
      <c r="H15008" s="27" t="s">
        <v>1910</v>
      </c>
      <c r="J15008" s="27" t="s">
        <v>1911</v>
      </c>
      <c r="L15008" s="27" t="s">
        <v>218</v>
      </c>
      <c r="N15008" s="27" t="s">
        <v>10477</v>
      </c>
      <c r="P15008" s="27" t="s">
        <v>10480</v>
      </c>
      <c r="Q15008" s="26" t="str">
        <f>HYPERLINK("https://ictv.global/taxonomy/taxondetails?taxnode_id=202504334&amp;ictv_id=ICTV20084373","ICTV20084373")</f>
        <v>ICTV20084373</v>
      </c>
      <c r="R15008" t="s">
        <v>583</v>
      </c>
      <c r="S15008" t="s">
        <v>824</v>
      </c>
      <c r="T15008">
        <v>37</v>
      </c>
      <c r="U15008" s="26" t="str">
        <f>HYPERLINK("https://ictv.global/ictv/proposals/2021.032M.R.Picobirnaviridae_sprename_genrename.zip","2021.032M.R.Picobirnaviridae_sprename_genrename.zip")</f>
        <v>2021.032M.R.Picobirnaviridae_sprename_genrename.zip</v>
      </c>
    </row>
    <row r="15009" spans="1:21">
      <c r="A15009">
        <v>15008</v>
      </c>
      <c r="B15009" s="27" t="s">
        <v>1124</v>
      </c>
      <c r="D15009" s="27" t="s">
        <v>1859</v>
      </c>
      <c r="F15009" s="27" t="s">
        <v>1909</v>
      </c>
      <c r="H15009" s="27" t="s">
        <v>1910</v>
      </c>
      <c r="J15009" s="27" t="s">
        <v>1911</v>
      </c>
      <c r="L15009" s="27" t="s">
        <v>20494</v>
      </c>
      <c r="N15009" s="27" t="s">
        <v>20495</v>
      </c>
      <c r="P15009" s="27" t="s">
        <v>20496</v>
      </c>
      <c r="Q15009" s="26" t="str">
        <f>HYPERLINK("https://ictv.global/taxonomy/taxondetails?taxnode_id=202520485&amp;ictv_id=ICTV202420485","ICTV202420485")</f>
        <v>ICTV202420485</v>
      </c>
      <c r="R15009" t="s">
        <v>583</v>
      </c>
      <c r="S15009" t="s">
        <v>823</v>
      </c>
      <c r="T15009">
        <v>40</v>
      </c>
      <c r="U15009" s="26" t="str">
        <f>HYPERLINK("https://ictv.global/ictv/proposals/2024.011B.Durnavirales_1nf_1ng_1ns.zip","2024.011B.Durnavirales_1nf_1ng_1ns.zip")</f>
        <v>2024.011B.Durnavirales_1nf_1ng_1ns.zip</v>
      </c>
    </row>
    <row r="15010" spans="1:21">
      <c r="A15010">
        <v>15009</v>
      </c>
      <c r="B15010" s="27" t="s">
        <v>1124</v>
      </c>
      <c r="D15010" s="27" t="s">
        <v>1859</v>
      </c>
      <c r="F15010" s="27" t="s">
        <v>1909</v>
      </c>
      <c r="H15010" s="27" t="s">
        <v>20885</v>
      </c>
      <c r="J15010" s="27" t="s">
        <v>20886</v>
      </c>
      <c r="L15010" s="27" t="s">
        <v>10701</v>
      </c>
      <c r="N15010" s="27" t="s">
        <v>10702</v>
      </c>
      <c r="P15010" s="27" t="s">
        <v>10703</v>
      </c>
      <c r="Q15010" s="26" t="str">
        <f>HYPERLINK("https://ictv.global/taxonomy/taxondetails?taxnode_id=202512465&amp;ictv_id=ICTV202112465","ICTV202112465")</f>
        <v>ICTV202112465</v>
      </c>
      <c r="R15010" t="s">
        <v>581</v>
      </c>
      <c r="S15010" t="s">
        <v>22763</v>
      </c>
      <c r="T15010">
        <v>41</v>
      </c>
      <c r="U15010" s="26" t="str">
        <f>HYPERLINK("https://ictv.global/ictv/proposals/2025.007F.Mycopleornaviricetes_nclass_Xenadelphovirales_nord.zip","2025.007F.Mycopleornaviricetes_nclass_Xenadelphovirales_nord.zip")</f>
        <v>2025.007F.Mycopleornaviricetes_nclass_Xenadelphovirales_nord.zip</v>
      </c>
    </row>
    <row r="15011" spans="1:21">
      <c r="A15011">
        <v>15010</v>
      </c>
      <c r="B15011" s="27" t="s">
        <v>1124</v>
      </c>
      <c r="D15011" s="27" t="s">
        <v>1859</v>
      </c>
      <c r="F15011" s="27" t="s">
        <v>1909</v>
      </c>
      <c r="H15011" s="27" t="s">
        <v>20885</v>
      </c>
      <c r="J15011" s="27" t="s">
        <v>20886</v>
      </c>
      <c r="L15011" s="27" t="s">
        <v>1978</v>
      </c>
      <c r="N15011" s="27" t="s">
        <v>20887</v>
      </c>
      <c r="P15011" s="27" t="s">
        <v>21401</v>
      </c>
      <c r="Q15011" s="26" t="str">
        <f>HYPERLINK("https://ictv.global/taxonomy/taxondetails?taxnode_id=202522286&amp;ictv_id=ICTV202522286","ICTV202522286")</f>
        <v>ICTV202522286</v>
      </c>
      <c r="R15011" t="s">
        <v>583</v>
      </c>
      <c r="S15011" t="s">
        <v>823</v>
      </c>
      <c r="T15011">
        <v>41</v>
      </c>
      <c r="U15011" s="26" t="str">
        <f t="shared" ref="U15011:U15038" si="564">HYPERLINK("https://ictv.global/ictv/proposals/2025.006F.Polymycoviridae_3ngen_18nsp.zip","2025.006F.Polymycoviridae_3ngen_18nsp.zip")</f>
        <v>2025.006F.Polymycoviridae_3ngen_18nsp.zip</v>
      </c>
    </row>
    <row r="15012" spans="1:21">
      <c r="A15012">
        <v>15011</v>
      </c>
      <c r="B15012" s="27" t="s">
        <v>1124</v>
      </c>
      <c r="D15012" s="27" t="s">
        <v>1859</v>
      </c>
      <c r="F15012" s="27" t="s">
        <v>1909</v>
      </c>
      <c r="H15012" s="27" t="s">
        <v>20885</v>
      </c>
      <c r="J15012" s="27" t="s">
        <v>20886</v>
      </c>
      <c r="L15012" s="27" t="s">
        <v>1978</v>
      </c>
      <c r="N15012" s="27" t="s">
        <v>20887</v>
      </c>
      <c r="P15012" s="27" t="s">
        <v>20889</v>
      </c>
      <c r="Q15012" s="26" t="str">
        <f>HYPERLINK("https://ictv.global/taxonomy/taxondetails?taxnode_id=202508686&amp;ictv_id=ICTV201908686","ICTV201908686")</f>
        <v>ICTV201908686</v>
      </c>
      <c r="R15012" t="s">
        <v>583</v>
      </c>
      <c r="S15012" t="s">
        <v>22764</v>
      </c>
      <c r="T15012">
        <v>41</v>
      </c>
      <c r="U15012" s="26" t="str">
        <f t="shared" si="564"/>
        <v>2025.006F.Polymycoviridae_3ngen_18nsp.zip</v>
      </c>
    </row>
    <row r="15013" spans="1:21">
      <c r="A15013">
        <v>15012</v>
      </c>
      <c r="B15013" s="27" t="s">
        <v>1124</v>
      </c>
      <c r="D15013" s="27" t="s">
        <v>1859</v>
      </c>
      <c r="F15013" s="27" t="s">
        <v>1909</v>
      </c>
      <c r="H15013" s="27" t="s">
        <v>20885</v>
      </c>
      <c r="J15013" s="27" t="s">
        <v>20886</v>
      </c>
      <c r="L15013" s="27" t="s">
        <v>1978</v>
      </c>
      <c r="N15013" s="27" t="s">
        <v>20887</v>
      </c>
      <c r="P15013" s="27" t="s">
        <v>20888</v>
      </c>
      <c r="Q15013" s="26" t="str">
        <f>HYPERLINK("https://ictv.global/taxonomy/taxondetails?taxnode_id=202508685&amp;ictv_id=ICTV201908685","ICTV201908685")</f>
        <v>ICTV201908685</v>
      </c>
      <c r="R15013" t="s">
        <v>583</v>
      </c>
      <c r="S15013" t="s">
        <v>22764</v>
      </c>
      <c r="T15013">
        <v>41</v>
      </c>
      <c r="U15013" s="26" t="str">
        <f t="shared" si="564"/>
        <v>2025.006F.Polymycoviridae_3ngen_18nsp.zip</v>
      </c>
    </row>
    <row r="15014" spans="1:21">
      <c r="A15014">
        <v>15013</v>
      </c>
      <c r="B15014" s="27" t="s">
        <v>1124</v>
      </c>
      <c r="D15014" s="27" t="s">
        <v>1859</v>
      </c>
      <c r="F15014" s="27" t="s">
        <v>1909</v>
      </c>
      <c r="H15014" s="27" t="s">
        <v>20885</v>
      </c>
      <c r="J15014" s="27" t="s">
        <v>20886</v>
      </c>
      <c r="L15014" s="27" t="s">
        <v>1978</v>
      </c>
      <c r="N15014" s="27" t="s">
        <v>20887</v>
      </c>
      <c r="P15014" s="27" t="s">
        <v>21398</v>
      </c>
      <c r="Q15014" s="26" t="str">
        <f>HYPERLINK("https://ictv.global/taxonomy/taxondetails?taxnode_id=202522283&amp;ictv_id=ICTV202522283","ICTV202522283")</f>
        <v>ICTV202522283</v>
      </c>
      <c r="R15014" t="s">
        <v>583</v>
      </c>
      <c r="S15014" t="s">
        <v>823</v>
      </c>
      <c r="T15014">
        <v>41</v>
      </c>
      <c r="U15014" s="26" t="str">
        <f t="shared" si="564"/>
        <v>2025.006F.Polymycoviridae_3ngen_18nsp.zip</v>
      </c>
    </row>
    <row r="15015" spans="1:21">
      <c r="A15015">
        <v>15014</v>
      </c>
      <c r="B15015" s="27" t="s">
        <v>1124</v>
      </c>
      <c r="D15015" s="27" t="s">
        <v>1859</v>
      </c>
      <c r="F15015" s="27" t="s">
        <v>1909</v>
      </c>
      <c r="H15015" s="27" t="s">
        <v>20885</v>
      </c>
      <c r="J15015" s="27" t="s">
        <v>20886</v>
      </c>
      <c r="L15015" s="27" t="s">
        <v>1978</v>
      </c>
      <c r="N15015" s="27" t="s">
        <v>20887</v>
      </c>
      <c r="P15015" s="27" t="s">
        <v>20890</v>
      </c>
      <c r="Q15015" s="26" t="str">
        <f>HYPERLINK("https://ictv.global/taxonomy/taxondetails?taxnode_id=202508688&amp;ictv_id=ICTV201908688","ICTV201908688")</f>
        <v>ICTV201908688</v>
      </c>
      <c r="R15015" t="s">
        <v>583</v>
      </c>
      <c r="S15015" t="s">
        <v>22764</v>
      </c>
      <c r="T15015">
        <v>41</v>
      </c>
      <c r="U15015" s="26" t="str">
        <f t="shared" si="564"/>
        <v>2025.006F.Polymycoviridae_3ngen_18nsp.zip</v>
      </c>
    </row>
    <row r="15016" spans="1:21">
      <c r="A15016">
        <v>15015</v>
      </c>
      <c r="B15016" s="27" t="s">
        <v>1124</v>
      </c>
      <c r="D15016" s="27" t="s">
        <v>1859</v>
      </c>
      <c r="F15016" s="27" t="s">
        <v>1909</v>
      </c>
      <c r="H15016" s="27" t="s">
        <v>20885</v>
      </c>
      <c r="J15016" s="27" t="s">
        <v>20886</v>
      </c>
      <c r="L15016" s="27" t="s">
        <v>1978</v>
      </c>
      <c r="N15016" s="27" t="s">
        <v>20887</v>
      </c>
      <c r="P15016" s="27" t="s">
        <v>21402</v>
      </c>
      <c r="Q15016" s="26" t="str">
        <f>HYPERLINK("https://ictv.global/taxonomy/taxondetails?taxnode_id=202522287&amp;ictv_id=ICTV202522287","ICTV202522287")</f>
        <v>ICTV202522287</v>
      </c>
      <c r="R15016" t="s">
        <v>583</v>
      </c>
      <c r="S15016" t="s">
        <v>823</v>
      </c>
      <c r="T15016">
        <v>41</v>
      </c>
      <c r="U15016" s="26" t="str">
        <f t="shared" si="564"/>
        <v>2025.006F.Polymycoviridae_3ngen_18nsp.zip</v>
      </c>
    </row>
    <row r="15017" spans="1:21">
      <c r="A15017">
        <v>15016</v>
      </c>
      <c r="B15017" s="27" t="s">
        <v>1124</v>
      </c>
      <c r="D15017" s="27" t="s">
        <v>1859</v>
      </c>
      <c r="F15017" s="27" t="s">
        <v>1909</v>
      </c>
      <c r="H15017" s="27" t="s">
        <v>20885</v>
      </c>
      <c r="J15017" s="27" t="s">
        <v>20886</v>
      </c>
      <c r="L15017" s="27" t="s">
        <v>1978</v>
      </c>
      <c r="N15017" s="27" t="s">
        <v>20887</v>
      </c>
      <c r="P15017" s="27" t="s">
        <v>21396</v>
      </c>
      <c r="Q15017" s="26" t="str">
        <f>HYPERLINK("https://ictv.global/taxonomy/taxondetails?taxnode_id=202522281&amp;ictv_id=ICTV202522281","ICTV202522281")</f>
        <v>ICTV202522281</v>
      </c>
      <c r="R15017" t="s">
        <v>583</v>
      </c>
      <c r="S15017" t="s">
        <v>823</v>
      </c>
      <c r="T15017">
        <v>41</v>
      </c>
      <c r="U15017" s="26" t="str">
        <f t="shared" si="564"/>
        <v>2025.006F.Polymycoviridae_3ngen_18nsp.zip</v>
      </c>
    </row>
    <row r="15018" spans="1:21">
      <c r="A15018">
        <v>15017</v>
      </c>
      <c r="B15018" s="27" t="s">
        <v>1124</v>
      </c>
      <c r="D15018" s="27" t="s">
        <v>1859</v>
      </c>
      <c r="F15018" s="27" t="s">
        <v>1909</v>
      </c>
      <c r="H15018" s="27" t="s">
        <v>20885</v>
      </c>
      <c r="J15018" s="27" t="s">
        <v>20886</v>
      </c>
      <c r="L15018" s="27" t="s">
        <v>1978</v>
      </c>
      <c r="N15018" s="27" t="s">
        <v>20887</v>
      </c>
      <c r="P15018" s="27" t="s">
        <v>21397</v>
      </c>
      <c r="Q15018" s="26" t="str">
        <f>HYPERLINK("https://ictv.global/taxonomy/taxondetails?taxnode_id=202522282&amp;ictv_id=ICTV202522282","ICTV202522282")</f>
        <v>ICTV202522282</v>
      </c>
      <c r="R15018" t="s">
        <v>583</v>
      </c>
      <c r="S15018" t="s">
        <v>823</v>
      </c>
      <c r="T15018">
        <v>41</v>
      </c>
      <c r="U15018" s="26" t="str">
        <f t="shared" si="564"/>
        <v>2025.006F.Polymycoviridae_3ngen_18nsp.zip</v>
      </c>
    </row>
    <row r="15019" spans="1:21">
      <c r="A15019">
        <v>15018</v>
      </c>
      <c r="B15019" s="27" t="s">
        <v>1124</v>
      </c>
      <c r="D15019" s="27" t="s">
        <v>1859</v>
      </c>
      <c r="F15019" s="27" t="s">
        <v>1909</v>
      </c>
      <c r="H15019" s="27" t="s">
        <v>20885</v>
      </c>
      <c r="J15019" s="27" t="s">
        <v>20886</v>
      </c>
      <c r="L15019" s="27" t="s">
        <v>1978</v>
      </c>
      <c r="N15019" s="27" t="s">
        <v>20887</v>
      </c>
      <c r="P15019" s="27" t="s">
        <v>20891</v>
      </c>
      <c r="Q15019" s="26" t="str">
        <f>HYPERLINK("https://ictv.global/taxonomy/taxondetails?taxnode_id=202508692&amp;ictv_id=ICTV201908692","ICTV201908692")</f>
        <v>ICTV201908692</v>
      </c>
      <c r="R15019" t="s">
        <v>583</v>
      </c>
      <c r="S15019" t="s">
        <v>22764</v>
      </c>
      <c r="T15019">
        <v>41</v>
      </c>
      <c r="U15019" s="26" t="str">
        <f t="shared" si="564"/>
        <v>2025.006F.Polymycoviridae_3ngen_18nsp.zip</v>
      </c>
    </row>
    <row r="15020" spans="1:21">
      <c r="A15020">
        <v>15019</v>
      </c>
      <c r="B15020" s="27" t="s">
        <v>1124</v>
      </c>
      <c r="D15020" s="27" t="s">
        <v>1859</v>
      </c>
      <c r="F15020" s="27" t="s">
        <v>1909</v>
      </c>
      <c r="H15020" s="27" t="s">
        <v>20885</v>
      </c>
      <c r="J15020" s="27" t="s">
        <v>20886</v>
      </c>
      <c r="L15020" s="27" t="s">
        <v>1978</v>
      </c>
      <c r="N15020" s="27" t="s">
        <v>20887</v>
      </c>
      <c r="P15020" s="27" t="s">
        <v>21395</v>
      </c>
      <c r="Q15020" s="26" t="str">
        <f>HYPERLINK("https://ictv.global/taxonomy/taxondetails?taxnode_id=202522280&amp;ictv_id=ICTV202522280","ICTV202522280")</f>
        <v>ICTV202522280</v>
      </c>
      <c r="R15020" t="s">
        <v>583</v>
      </c>
      <c r="S15020" t="s">
        <v>823</v>
      </c>
      <c r="T15020">
        <v>41</v>
      </c>
      <c r="U15020" s="26" t="str">
        <f t="shared" si="564"/>
        <v>2025.006F.Polymycoviridae_3ngen_18nsp.zip</v>
      </c>
    </row>
    <row r="15021" spans="1:21">
      <c r="A15021">
        <v>15020</v>
      </c>
      <c r="B15021" s="27" t="s">
        <v>1124</v>
      </c>
      <c r="D15021" s="27" t="s">
        <v>1859</v>
      </c>
      <c r="F15021" s="27" t="s">
        <v>1909</v>
      </c>
      <c r="H15021" s="27" t="s">
        <v>20885</v>
      </c>
      <c r="J15021" s="27" t="s">
        <v>20886</v>
      </c>
      <c r="L15021" s="27" t="s">
        <v>1978</v>
      </c>
      <c r="N15021" s="27" t="s">
        <v>20887</v>
      </c>
      <c r="P15021" s="27" t="s">
        <v>21392</v>
      </c>
      <c r="Q15021" s="26" t="str">
        <f>HYPERLINK("https://ictv.global/taxonomy/taxondetails?taxnode_id=202522277&amp;ictv_id=ICTV202522277","ICTV202522277")</f>
        <v>ICTV202522277</v>
      </c>
      <c r="R15021" t="s">
        <v>583</v>
      </c>
      <c r="S15021" t="s">
        <v>823</v>
      </c>
      <c r="T15021">
        <v>41</v>
      </c>
      <c r="U15021" s="26" t="str">
        <f t="shared" si="564"/>
        <v>2025.006F.Polymycoviridae_3ngen_18nsp.zip</v>
      </c>
    </row>
    <row r="15022" spans="1:21">
      <c r="A15022">
        <v>15021</v>
      </c>
      <c r="B15022" s="27" t="s">
        <v>1124</v>
      </c>
      <c r="D15022" s="27" t="s">
        <v>1859</v>
      </c>
      <c r="F15022" s="27" t="s">
        <v>1909</v>
      </c>
      <c r="H15022" s="27" t="s">
        <v>20885</v>
      </c>
      <c r="J15022" s="27" t="s">
        <v>20886</v>
      </c>
      <c r="L15022" s="27" t="s">
        <v>1978</v>
      </c>
      <c r="N15022" s="27" t="s">
        <v>20887</v>
      </c>
      <c r="P15022" s="27" t="s">
        <v>21394</v>
      </c>
      <c r="Q15022" s="26" t="str">
        <f>HYPERLINK("https://ictv.global/taxonomy/taxondetails?taxnode_id=202522279&amp;ictv_id=ICTV202522279","ICTV202522279")</f>
        <v>ICTV202522279</v>
      </c>
      <c r="R15022" t="s">
        <v>583</v>
      </c>
      <c r="S15022" t="s">
        <v>823</v>
      </c>
      <c r="T15022">
        <v>41</v>
      </c>
      <c r="U15022" s="26" t="str">
        <f t="shared" si="564"/>
        <v>2025.006F.Polymycoviridae_3ngen_18nsp.zip</v>
      </c>
    </row>
    <row r="15023" spans="1:21">
      <c r="A15023">
        <v>15022</v>
      </c>
      <c r="B15023" s="27" t="s">
        <v>1124</v>
      </c>
      <c r="D15023" s="27" t="s">
        <v>1859</v>
      </c>
      <c r="F15023" s="27" t="s">
        <v>1909</v>
      </c>
      <c r="H15023" s="27" t="s">
        <v>20885</v>
      </c>
      <c r="J15023" s="27" t="s">
        <v>20886</v>
      </c>
      <c r="L15023" s="27" t="s">
        <v>1978</v>
      </c>
      <c r="N15023" s="27" t="s">
        <v>20887</v>
      </c>
      <c r="P15023" s="27" t="s">
        <v>21391</v>
      </c>
      <c r="Q15023" s="26" t="str">
        <f>HYPERLINK("https://ictv.global/taxonomy/taxondetails?taxnode_id=202522276&amp;ictv_id=ICTV202522276","ICTV202522276")</f>
        <v>ICTV202522276</v>
      </c>
      <c r="R15023" t="s">
        <v>583</v>
      </c>
      <c r="S15023" t="s">
        <v>823</v>
      </c>
      <c r="T15023">
        <v>41</v>
      </c>
      <c r="U15023" s="26" t="str">
        <f t="shared" si="564"/>
        <v>2025.006F.Polymycoviridae_3ngen_18nsp.zip</v>
      </c>
    </row>
    <row r="15024" spans="1:21">
      <c r="A15024">
        <v>15023</v>
      </c>
      <c r="B15024" s="27" t="s">
        <v>1124</v>
      </c>
      <c r="D15024" s="27" t="s">
        <v>1859</v>
      </c>
      <c r="F15024" s="27" t="s">
        <v>1909</v>
      </c>
      <c r="H15024" s="27" t="s">
        <v>20885</v>
      </c>
      <c r="J15024" s="27" t="s">
        <v>20886</v>
      </c>
      <c r="L15024" s="27" t="s">
        <v>1978</v>
      </c>
      <c r="N15024" s="27" t="s">
        <v>20887</v>
      </c>
      <c r="P15024" s="27" t="s">
        <v>21390</v>
      </c>
      <c r="Q15024" s="26" t="str">
        <f>HYPERLINK("https://ictv.global/taxonomy/taxondetails?taxnode_id=202522275&amp;ictv_id=ICTV202522275","ICTV202522275")</f>
        <v>ICTV202522275</v>
      </c>
      <c r="R15024" t="s">
        <v>583</v>
      </c>
      <c r="S15024" t="s">
        <v>823</v>
      </c>
      <c r="T15024">
        <v>41</v>
      </c>
      <c r="U15024" s="26" t="str">
        <f t="shared" si="564"/>
        <v>2025.006F.Polymycoviridae_3ngen_18nsp.zip</v>
      </c>
    </row>
    <row r="15025" spans="1:21">
      <c r="A15025">
        <v>15024</v>
      </c>
      <c r="B15025" s="27" t="s">
        <v>1124</v>
      </c>
      <c r="D15025" s="27" t="s">
        <v>1859</v>
      </c>
      <c r="F15025" s="27" t="s">
        <v>1909</v>
      </c>
      <c r="H15025" s="27" t="s">
        <v>20885</v>
      </c>
      <c r="J15025" s="27" t="s">
        <v>20886</v>
      </c>
      <c r="L15025" s="27" t="s">
        <v>1978</v>
      </c>
      <c r="N15025" s="27" t="s">
        <v>20887</v>
      </c>
      <c r="P15025" s="27" t="s">
        <v>21393</v>
      </c>
      <c r="Q15025" s="26" t="str">
        <f>HYPERLINK("https://ictv.global/taxonomy/taxondetails?taxnode_id=202522278&amp;ictv_id=ICTV202522278","ICTV202522278")</f>
        <v>ICTV202522278</v>
      </c>
      <c r="R15025" t="s">
        <v>583</v>
      </c>
      <c r="S15025" t="s">
        <v>823</v>
      </c>
      <c r="T15025">
        <v>41</v>
      </c>
      <c r="U15025" s="26" t="str">
        <f t="shared" si="564"/>
        <v>2025.006F.Polymycoviridae_3ngen_18nsp.zip</v>
      </c>
    </row>
    <row r="15026" spans="1:21">
      <c r="A15026">
        <v>15025</v>
      </c>
      <c r="B15026" s="27" t="s">
        <v>1124</v>
      </c>
      <c r="D15026" s="27" t="s">
        <v>1859</v>
      </c>
      <c r="F15026" s="27" t="s">
        <v>1909</v>
      </c>
      <c r="H15026" s="27" t="s">
        <v>20885</v>
      </c>
      <c r="J15026" s="27" t="s">
        <v>20886</v>
      </c>
      <c r="L15026" s="27" t="s">
        <v>1978</v>
      </c>
      <c r="N15026" s="27" t="s">
        <v>20887</v>
      </c>
      <c r="P15026" s="27" t="s">
        <v>21399</v>
      </c>
      <c r="Q15026" s="26" t="str">
        <f>HYPERLINK("https://ictv.global/taxonomy/taxondetails?taxnode_id=202522284&amp;ictv_id=ICTV202522284","ICTV202522284")</f>
        <v>ICTV202522284</v>
      </c>
      <c r="R15026" t="s">
        <v>583</v>
      </c>
      <c r="S15026" t="s">
        <v>823</v>
      </c>
      <c r="T15026">
        <v>41</v>
      </c>
      <c r="U15026" s="26" t="str">
        <f t="shared" si="564"/>
        <v>2025.006F.Polymycoviridae_3ngen_18nsp.zip</v>
      </c>
    </row>
    <row r="15027" spans="1:21">
      <c r="A15027">
        <v>15026</v>
      </c>
      <c r="B15027" s="27" t="s">
        <v>1124</v>
      </c>
      <c r="D15027" s="27" t="s">
        <v>1859</v>
      </c>
      <c r="F15027" s="27" t="s">
        <v>1909</v>
      </c>
      <c r="H15027" s="27" t="s">
        <v>20885</v>
      </c>
      <c r="J15027" s="27" t="s">
        <v>20886</v>
      </c>
      <c r="L15027" s="27" t="s">
        <v>1978</v>
      </c>
      <c r="N15027" s="27" t="s">
        <v>20887</v>
      </c>
      <c r="P15027" s="27" t="s">
        <v>21400</v>
      </c>
      <c r="Q15027" s="26" t="str">
        <f>HYPERLINK("https://ictv.global/taxonomy/taxondetails?taxnode_id=202522285&amp;ictv_id=ICTV202522285","ICTV202522285")</f>
        <v>ICTV202522285</v>
      </c>
      <c r="R15027" t="s">
        <v>583</v>
      </c>
      <c r="S15027" t="s">
        <v>823</v>
      </c>
      <c r="T15027">
        <v>41</v>
      </c>
      <c r="U15027" s="26" t="str">
        <f t="shared" si="564"/>
        <v>2025.006F.Polymycoviridae_3ngen_18nsp.zip</v>
      </c>
    </row>
    <row r="15028" spans="1:21">
      <c r="A15028">
        <v>15027</v>
      </c>
      <c r="B15028" s="27" t="s">
        <v>1124</v>
      </c>
      <c r="D15028" s="27" t="s">
        <v>1859</v>
      </c>
      <c r="F15028" s="27" t="s">
        <v>1909</v>
      </c>
      <c r="H15028" s="27" t="s">
        <v>20885</v>
      </c>
      <c r="J15028" s="27" t="s">
        <v>20886</v>
      </c>
      <c r="L15028" s="27" t="s">
        <v>1978</v>
      </c>
      <c r="N15028" s="27" t="s">
        <v>20892</v>
      </c>
      <c r="P15028" s="27" t="s">
        <v>21403</v>
      </c>
      <c r="Q15028" s="26" t="str">
        <f>HYPERLINK("https://ictv.global/taxonomy/taxondetails?taxnode_id=202522288&amp;ictv_id=ICTV202522288","ICTV202522288")</f>
        <v>ICTV202522288</v>
      </c>
      <c r="R15028" t="s">
        <v>583</v>
      </c>
      <c r="S15028" t="s">
        <v>823</v>
      </c>
      <c r="T15028">
        <v>41</v>
      </c>
      <c r="U15028" s="26" t="str">
        <f t="shared" si="564"/>
        <v>2025.006F.Polymycoviridae_3ngen_18nsp.zip</v>
      </c>
    </row>
    <row r="15029" spans="1:21">
      <c r="A15029">
        <v>15028</v>
      </c>
      <c r="B15029" s="27" t="s">
        <v>1124</v>
      </c>
      <c r="D15029" s="27" t="s">
        <v>1859</v>
      </c>
      <c r="F15029" s="27" t="s">
        <v>1909</v>
      </c>
      <c r="H15029" s="27" t="s">
        <v>20885</v>
      </c>
      <c r="J15029" s="27" t="s">
        <v>20886</v>
      </c>
      <c r="L15029" s="27" t="s">
        <v>1978</v>
      </c>
      <c r="N15029" s="27" t="s">
        <v>20892</v>
      </c>
      <c r="P15029" s="27" t="s">
        <v>20893</v>
      </c>
      <c r="Q15029" s="26" t="str">
        <f>HYPERLINK("https://ictv.global/taxonomy/taxondetails?taxnode_id=202508694&amp;ictv_id=ICTV201908694","ICTV201908694")</f>
        <v>ICTV201908694</v>
      </c>
      <c r="R15029" t="s">
        <v>583</v>
      </c>
      <c r="S15029" t="s">
        <v>22764</v>
      </c>
      <c r="T15029">
        <v>41</v>
      </c>
      <c r="U15029" s="26" t="str">
        <f t="shared" si="564"/>
        <v>2025.006F.Polymycoviridae_3ngen_18nsp.zip</v>
      </c>
    </row>
    <row r="15030" spans="1:21">
      <c r="A15030">
        <v>15029</v>
      </c>
      <c r="B15030" s="27" t="s">
        <v>1124</v>
      </c>
      <c r="D15030" s="27" t="s">
        <v>1859</v>
      </c>
      <c r="F15030" s="27" t="s">
        <v>1909</v>
      </c>
      <c r="H15030" s="27" t="s">
        <v>20885</v>
      </c>
      <c r="J15030" s="27" t="s">
        <v>20886</v>
      </c>
      <c r="L15030" s="27" t="s">
        <v>1978</v>
      </c>
      <c r="N15030" s="27" t="s">
        <v>1979</v>
      </c>
      <c r="P15030" s="27" t="s">
        <v>21386</v>
      </c>
      <c r="Q15030" s="26" t="str">
        <f>HYPERLINK("https://ictv.global/taxonomy/taxondetails?taxnode_id=202522271&amp;ictv_id=ICTV202522271","ICTV202522271")</f>
        <v>ICTV202522271</v>
      </c>
      <c r="R15030" t="s">
        <v>583</v>
      </c>
      <c r="S15030" t="s">
        <v>823</v>
      </c>
      <c r="T15030">
        <v>41</v>
      </c>
      <c r="U15030" s="26" t="str">
        <f t="shared" si="564"/>
        <v>2025.006F.Polymycoviridae_3ngen_18nsp.zip</v>
      </c>
    </row>
    <row r="15031" spans="1:21">
      <c r="A15031">
        <v>15030</v>
      </c>
      <c r="B15031" s="27" t="s">
        <v>1124</v>
      </c>
      <c r="D15031" s="27" t="s">
        <v>1859</v>
      </c>
      <c r="F15031" s="27" t="s">
        <v>1909</v>
      </c>
      <c r="H15031" s="27" t="s">
        <v>20885</v>
      </c>
      <c r="J15031" s="27" t="s">
        <v>20886</v>
      </c>
      <c r="L15031" s="27" t="s">
        <v>1978</v>
      </c>
      <c r="N15031" s="27" t="s">
        <v>1979</v>
      </c>
      <c r="P15031" s="27" t="s">
        <v>17946</v>
      </c>
      <c r="Q15031" s="26" t="str">
        <f>HYPERLINK("https://ictv.global/taxonomy/taxondetails?taxnode_id=202508687&amp;ictv_id=ICTV201908687","ICTV201908687")</f>
        <v>ICTV201908687</v>
      </c>
      <c r="R15031" t="s">
        <v>583</v>
      </c>
      <c r="S15031" t="s">
        <v>22768</v>
      </c>
      <c r="T15031">
        <v>41</v>
      </c>
      <c r="U15031" s="26" t="str">
        <f t="shared" si="564"/>
        <v>2025.006F.Polymycoviridae_3ngen_18nsp.zip</v>
      </c>
    </row>
    <row r="15032" spans="1:21">
      <c r="A15032">
        <v>15031</v>
      </c>
      <c r="B15032" s="27" t="s">
        <v>1124</v>
      </c>
      <c r="D15032" s="27" t="s">
        <v>1859</v>
      </c>
      <c r="F15032" s="27" t="s">
        <v>1909</v>
      </c>
      <c r="H15032" s="27" t="s">
        <v>20885</v>
      </c>
      <c r="J15032" s="27" t="s">
        <v>20886</v>
      </c>
      <c r="L15032" s="27" t="s">
        <v>1978</v>
      </c>
      <c r="N15032" s="27" t="s">
        <v>1979</v>
      </c>
      <c r="P15032" s="27" t="s">
        <v>17947</v>
      </c>
      <c r="Q15032" s="26" t="str">
        <f>HYPERLINK("https://ictv.global/taxonomy/taxondetails?taxnode_id=202508689&amp;ictv_id=ICTV201908689","ICTV201908689")</f>
        <v>ICTV201908689</v>
      </c>
      <c r="R15032" t="s">
        <v>583</v>
      </c>
      <c r="S15032" t="s">
        <v>22768</v>
      </c>
      <c r="T15032">
        <v>41</v>
      </c>
      <c r="U15032" s="26" t="str">
        <f t="shared" si="564"/>
        <v>2025.006F.Polymycoviridae_3ngen_18nsp.zip</v>
      </c>
    </row>
    <row r="15033" spans="1:21">
      <c r="A15033">
        <v>15032</v>
      </c>
      <c r="B15033" s="27" t="s">
        <v>1124</v>
      </c>
      <c r="D15033" s="27" t="s">
        <v>1859</v>
      </c>
      <c r="F15033" s="27" t="s">
        <v>1909</v>
      </c>
      <c r="H15033" s="27" t="s">
        <v>20885</v>
      </c>
      <c r="J15033" s="27" t="s">
        <v>20886</v>
      </c>
      <c r="L15033" s="27" t="s">
        <v>1978</v>
      </c>
      <c r="N15033" s="27" t="s">
        <v>1979</v>
      </c>
      <c r="P15033" s="27" t="s">
        <v>17948</v>
      </c>
      <c r="Q15033" s="26" t="str">
        <f>HYPERLINK("https://ictv.global/taxonomy/taxondetails?taxnode_id=202508690&amp;ictv_id=ICTV201908690","ICTV201908690")</f>
        <v>ICTV201908690</v>
      </c>
      <c r="R15033" t="s">
        <v>583</v>
      </c>
      <c r="S15033" t="s">
        <v>22768</v>
      </c>
      <c r="T15033">
        <v>41</v>
      </c>
      <c r="U15033" s="26" t="str">
        <f t="shared" si="564"/>
        <v>2025.006F.Polymycoviridae_3ngen_18nsp.zip</v>
      </c>
    </row>
    <row r="15034" spans="1:21">
      <c r="A15034">
        <v>15033</v>
      </c>
      <c r="B15034" s="27" t="s">
        <v>1124</v>
      </c>
      <c r="D15034" s="27" t="s">
        <v>1859</v>
      </c>
      <c r="F15034" s="27" t="s">
        <v>1909</v>
      </c>
      <c r="H15034" s="27" t="s">
        <v>20885</v>
      </c>
      <c r="J15034" s="27" t="s">
        <v>20886</v>
      </c>
      <c r="L15034" s="27" t="s">
        <v>1978</v>
      </c>
      <c r="N15034" s="27" t="s">
        <v>1979</v>
      </c>
      <c r="P15034" s="27" t="s">
        <v>21389</v>
      </c>
      <c r="Q15034" s="26" t="str">
        <f>HYPERLINK("https://ictv.global/taxonomy/taxondetails?taxnode_id=202522274&amp;ictv_id=ICTV202522274","ICTV202522274")</f>
        <v>ICTV202522274</v>
      </c>
      <c r="R15034" t="s">
        <v>583</v>
      </c>
      <c r="S15034" t="s">
        <v>823</v>
      </c>
      <c r="T15034">
        <v>41</v>
      </c>
      <c r="U15034" s="26" t="str">
        <f t="shared" si="564"/>
        <v>2025.006F.Polymycoviridae_3ngen_18nsp.zip</v>
      </c>
    </row>
    <row r="15035" spans="1:21">
      <c r="A15035">
        <v>15034</v>
      </c>
      <c r="B15035" s="27" t="s">
        <v>1124</v>
      </c>
      <c r="D15035" s="27" t="s">
        <v>1859</v>
      </c>
      <c r="F15035" s="27" t="s">
        <v>1909</v>
      </c>
      <c r="H15035" s="27" t="s">
        <v>20885</v>
      </c>
      <c r="J15035" s="27" t="s">
        <v>20886</v>
      </c>
      <c r="L15035" s="27" t="s">
        <v>1978</v>
      </c>
      <c r="N15035" s="27" t="s">
        <v>1979</v>
      </c>
      <c r="P15035" s="27" t="s">
        <v>17949</v>
      </c>
      <c r="Q15035" s="26" t="str">
        <f>HYPERLINK("https://ictv.global/taxonomy/taxondetails?taxnode_id=202508691&amp;ictv_id=ICTV201908691","ICTV201908691")</f>
        <v>ICTV201908691</v>
      </c>
      <c r="R15035" t="s">
        <v>583</v>
      </c>
      <c r="S15035" t="s">
        <v>22768</v>
      </c>
      <c r="T15035">
        <v>41</v>
      </c>
      <c r="U15035" s="26" t="str">
        <f t="shared" si="564"/>
        <v>2025.006F.Polymycoviridae_3ngen_18nsp.zip</v>
      </c>
    </row>
    <row r="15036" spans="1:21">
      <c r="A15036">
        <v>15035</v>
      </c>
      <c r="B15036" s="27" t="s">
        <v>1124</v>
      </c>
      <c r="D15036" s="27" t="s">
        <v>1859</v>
      </c>
      <c r="F15036" s="27" t="s">
        <v>1909</v>
      </c>
      <c r="H15036" s="27" t="s">
        <v>20885</v>
      </c>
      <c r="J15036" s="27" t="s">
        <v>20886</v>
      </c>
      <c r="L15036" s="27" t="s">
        <v>1978</v>
      </c>
      <c r="N15036" s="27" t="s">
        <v>1979</v>
      </c>
      <c r="P15036" s="27" t="s">
        <v>21387</v>
      </c>
      <c r="Q15036" s="26" t="str">
        <f>HYPERLINK("https://ictv.global/taxonomy/taxondetails?taxnode_id=202522272&amp;ictv_id=ICTV202522272","ICTV202522272")</f>
        <v>ICTV202522272</v>
      </c>
      <c r="R15036" t="s">
        <v>583</v>
      </c>
      <c r="S15036" t="s">
        <v>823</v>
      </c>
      <c r="T15036">
        <v>41</v>
      </c>
      <c r="U15036" s="26" t="str">
        <f t="shared" si="564"/>
        <v>2025.006F.Polymycoviridae_3ngen_18nsp.zip</v>
      </c>
    </row>
    <row r="15037" spans="1:21">
      <c r="A15037">
        <v>15036</v>
      </c>
      <c r="B15037" s="27" t="s">
        <v>1124</v>
      </c>
      <c r="D15037" s="27" t="s">
        <v>1859</v>
      </c>
      <c r="F15037" s="27" t="s">
        <v>1909</v>
      </c>
      <c r="H15037" s="27" t="s">
        <v>20885</v>
      </c>
      <c r="J15037" s="27" t="s">
        <v>20886</v>
      </c>
      <c r="L15037" s="27" t="s">
        <v>1978</v>
      </c>
      <c r="N15037" s="27" t="s">
        <v>1979</v>
      </c>
      <c r="P15037" s="27" t="s">
        <v>17950</v>
      </c>
      <c r="Q15037" s="26" t="str">
        <f>HYPERLINK("https://ictv.global/taxonomy/taxondetails?taxnode_id=202508693&amp;ictv_id=ICTV201908693","ICTV201908693")</f>
        <v>ICTV201908693</v>
      </c>
      <c r="R15037" t="s">
        <v>583</v>
      </c>
      <c r="S15037" t="s">
        <v>22768</v>
      </c>
      <c r="T15037">
        <v>41</v>
      </c>
      <c r="U15037" s="26" t="str">
        <f t="shared" si="564"/>
        <v>2025.006F.Polymycoviridae_3ngen_18nsp.zip</v>
      </c>
    </row>
    <row r="15038" spans="1:21">
      <c r="A15038">
        <v>15037</v>
      </c>
      <c r="B15038" s="27" t="s">
        <v>1124</v>
      </c>
      <c r="D15038" s="27" t="s">
        <v>1859</v>
      </c>
      <c r="F15038" s="27" t="s">
        <v>1909</v>
      </c>
      <c r="H15038" s="27" t="s">
        <v>20885</v>
      </c>
      <c r="J15038" s="27" t="s">
        <v>20886</v>
      </c>
      <c r="L15038" s="27" t="s">
        <v>1978</v>
      </c>
      <c r="N15038" s="27" t="s">
        <v>1979</v>
      </c>
      <c r="P15038" s="27" t="s">
        <v>21388</v>
      </c>
      <c r="Q15038" s="26" t="str">
        <f>HYPERLINK("https://ictv.global/taxonomy/taxondetails?taxnode_id=202522273&amp;ictv_id=ICTV202522273","ICTV202522273")</f>
        <v>ICTV202522273</v>
      </c>
      <c r="R15038" t="s">
        <v>583</v>
      </c>
      <c r="S15038" t="s">
        <v>823</v>
      </c>
      <c r="T15038">
        <v>41</v>
      </c>
      <c r="U15038" s="26" t="str">
        <f t="shared" si="564"/>
        <v>2025.006F.Polymycoviridae_3ngen_18nsp.zip</v>
      </c>
    </row>
    <row r="15039" spans="1:21">
      <c r="A15039">
        <v>15038</v>
      </c>
      <c r="B15039" s="27" t="s">
        <v>1124</v>
      </c>
      <c r="D15039" s="27" t="s">
        <v>1859</v>
      </c>
      <c r="F15039" s="27" t="s">
        <v>1909</v>
      </c>
      <c r="H15039" s="27" t="s">
        <v>1912</v>
      </c>
      <c r="J15039" s="27" t="s">
        <v>348</v>
      </c>
      <c r="K15039" s="27" t="s">
        <v>984</v>
      </c>
      <c r="L15039" s="27" t="s">
        <v>985</v>
      </c>
      <c r="M15039" s="27" t="s">
        <v>986</v>
      </c>
      <c r="N15039" s="27" t="s">
        <v>987</v>
      </c>
      <c r="O15039" s="27" t="s">
        <v>988</v>
      </c>
      <c r="P15039" s="27" t="s">
        <v>17121</v>
      </c>
      <c r="Q15039" s="26" t="str">
        <f>HYPERLINK("https://ictv.global/taxonomy/taxondetails?taxnode_id=202506200&amp;ictv_id=ICTV20186200","ICTV20186200")</f>
        <v>ICTV20186200</v>
      </c>
      <c r="R15039" t="s">
        <v>581</v>
      </c>
      <c r="S15039" t="s">
        <v>824</v>
      </c>
      <c r="T15039">
        <v>39</v>
      </c>
      <c r="U15039" s="26" t="str">
        <f>HYPERLINK("https://ictv.global/ictv/proposals/2023.013S.Nidovirales_27sprenamed.zip","2023.013S.Nidovirales_27sprenamed.zip")</f>
        <v>2023.013S.Nidovirales_27sprenamed.zip</v>
      </c>
    </row>
    <row r="15040" spans="1:21">
      <c r="A15040">
        <v>15039</v>
      </c>
      <c r="B15040" s="27" t="s">
        <v>1124</v>
      </c>
      <c r="D15040" s="27" t="s">
        <v>1859</v>
      </c>
      <c r="F15040" s="27" t="s">
        <v>1909</v>
      </c>
      <c r="H15040" s="27" t="s">
        <v>1912</v>
      </c>
      <c r="J15040" s="27" t="s">
        <v>348</v>
      </c>
      <c r="K15040" s="27" t="s">
        <v>989</v>
      </c>
      <c r="L15040" s="27" t="s">
        <v>349</v>
      </c>
      <c r="M15040" s="27" t="s">
        <v>990</v>
      </c>
      <c r="N15040" s="27" t="s">
        <v>991</v>
      </c>
      <c r="P15040" s="27" t="s">
        <v>992</v>
      </c>
      <c r="Q15040" s="26" t="str">
        <f>HYPERLINK("https://ictv.global/taxonomy/taxondetails?taxnode_id=202506015&amp;ictv_id=ICTV20186015","ICTV20186015")</f>
        <v>ICTV20186015</v>
      </c>
      <c r="R15040" t="s">
        <v>581</v>
      </c>
      <c r="S15040" t="s">
        <v>22769</v>
      </c>
      <c r="T15040">
        <v>36</v>
      </c>
      <c r="U15040" s="26" t="str">
        <f>HYPERLINK("https://ictv.global/ictv/proposals/2020.001G.R.Abolish_type_species.pdf","2020.001G.R.Abolish_type_species.pdf")</f>
        <v>2020.001G.R.Abolish_type_species.pdf</v>
      </c>
    </row>
    <row r="15041" spans="1:21">
      <c r="A15041">
        <v>15040</v>
      </c>
      <c r="B15041" s="27" t="s">
        <v>1124</v>
      </c>
      <c r="D15041" s="27" t="s">
        <v>1859</v>
      </c>
      <c r="F15041" s="27" t="s">
        <v>1909</v>
      </c>
      <c r="H15041" s="27" t="s">
        <v>1912</v>
      </c>
      <c r="J15041" s="27" t="s">
        <v>348</v>
      </c>
      <c r="K15041" s="27" t="s">
        <v>989</v>
      </c>
      <c r="L15041" s="27" t="s">
        <v>349</v>
      </c>
      <c r="M15041" s="27" t="s">
        <v>993</v>
      </c>
      <c r="N15041" s="27" t="s">
        <v>994</v>
      </c>
      <c r="P15041" s="27" t="s">
        <v>995</v>
      </c>
      <c r="Q15041" s="26" t="str">
        <f>HYPERLINK("https://ictv.global/taxonomy/taxondetails?taxnode_id=202501827&amp;ictv_id=ICTV19841172","ICTV19841172")</f>
        <v>ICTV19841172</v>
      </c>
      <c r="R15041" t="s">
        <v>581</v>
      </c>
      <c r="S15041" t="s">
        <v>22769</v>
      </c>
      <c r="T15041">
        <v>36</v>
      </c>
      <c r="U15041" s="26" t="str">
        <f>HYPERLINK("https://ictv.global/ictv/proposals/2020.001G.R.Abolish_type_species.pdf","2020.001G.R.Abolish_type_species.pdf")</f>
        <v>2020.001G.R.Abolish_type_species.pdf</v>
      </c>
    </row>
    <row r="15042" spans="1:21">
      <c r="A15042">
        <v>15041</v>
      </c>
      <c r="B15042" s="27" t="s">
        <v>1124</v>
      </c>
      <c r="D15042" s="27" t="s">
        <v>1859</v>
      </c>
      <c r="F15042" s="27" t="s">
        <v>1909</v>
      </c>
      <c r="H15042" s="27" t="s">
        <v>1912</v>
      </c>
      <c r="J15042" s="27" t="s">
        <v>348</v>
      </c>
      <c r="K15042" s="27" t="s">
        <v>989</v>
      </c>
      <c r="L15042" s="27" t="s">
        <v>349</v>
      </c>
      <c r="M15042" s="27" t="s">
        <v>996</v>
      </c>
      <c r="N15042" s="27" t="s">
        <v>997</v>
      </c>
      <c r="P15042" s="27" t="s">
        <v>998</v>
      </c>
      <c r="Q15042" s="26" t="str">
        <f>HYPERLINK("https://ictv.global/taxonomy/taxondetails?taxnode_id=202501829&amp;ictv_id=ICTV20151197","ICTV20151197")</f>
        <v>ICTV20151197</v>
      </c>
      <c r="R15042" t="s">
        <v>581</v>
      </c>
      <c r="S15042" t="s">
        <v>22769</v>
      </c>
      <c r="T15042">
        <v>36</v>
      </c>
      <c r="U15042" s="26" t="str">
        <f>HYPERLINK("https://ictv.global/ictv/proposals/2020.001G.R.Abolish_type_species.pdf","2020.001G.R.Abolish_type_species.pdf")</f>
        <v>2020.001G.R.Abolish_type_species.pdf</v>
      </c>
    </row>
    <row r="15043" spans="1:21">
      <c r="A15043">
        <v>15042</v>
      </c>
      <c r="B15043" s="27" t="s">
        <v>1124</v>
      </c>
      <c r="D15043" s="27" t="s">
        <v>1859</v>
      </c>
      <c r="F15043" s="27" t="s">
        <v>1909</v>
      </c>
      <c r="H15043" s="27" t="s">
        <v>1912</v>
      </c>
      <c r="J15043" s="27" t="s">
        <v>348</v>
      </c>
      <c r="K15043" s="27" t="s">
        <v>989</v>
      </c>
      <c r="L15043" s="27" t="s">
        <v>349</v>
      </c>
      <c r="M15043" s="27" t="s">
        <v>999</v>
      </c>
      <c r="N15043" s="27" t="s">
        <v>1000</v>
      </c>
      <c r="O15043" s="27" t="s">
        <v>1001</v>
      </c>
      <c r="P15043" s="27" t="s">
        <v>1002</v>
      </c>
      <c r="Q15043" s="26" t="str">
        <f>HYPERLINK("https://ictv.global/taxonomy/taxondetails?taxnode_id=202501845&amp;ictv_id=ICTV19952310","ICTV19952310")</f>
        <v>ICTV19952310</v>
      </c>
      <c r="R15043" t="s">
        <v>581</v>
      </c>
      <c r="S15043" t="s">
        <v>22769</v>
      </c>
      <c r="T15043">
        <v>36</v>
      </c>
      <c r="U15043" s="26" t="str">
        <f>HYPERLINK("https://ictv.global/ictv/proposals/2020.001G.R.Abolish_type_species.pdf","2020.001G.R.Abolish_type_species.pdf")</f>
        <v>2020.001G.R.Abolish_type_species.pdf</v>
      </c>
    </row>
    <row r="15044" spans="1:21">
      <c r="A15044">
        <v>15043</v>
      </c>
      <c r="B15044" s="27" t="s">
        <v>1124</v>
      </c>
      <c r="D15044" s="27" t="s">
        <v>1859</v>
      </c>
      <c r="F15044" s="27" t="s">
        <v>1909</v>
      </c>
      <c r="H15044" s="27" t="s">
        <v>1912</v>
      </c>
      <c r="J15044" s="27" t="s">
        <v>348</v>
      </c>
      <c r="K15044" s="27" t="s">
        <v>989</v>
      </c>
      <c r="L15044" s="27" t="s">
        <v>349</v>
      </c>
      <c r="M15044" s="27" t="s">
        <v>999</v>
      </c>
      <c r="N15044" s="27" t="s">
        <v>1003</v>
      </c>
      <c r="O15044" s="27" t="s">
        <v>1004</v>
      </c>
      <c r="P15044" s="27" t="s">
        <v>1005</v>
      </c>
      <c r="Q15044" s="26" t="str">
        <f>HYPERLINK("https://ictv.global/taxonomy/taxondetails?taxnode_id=202501844&amp;ictv_id=ICTV20151195","ICTV20151195")</f>
        <v>ICTV20151195</v>
      </c>
      <c r="R15044" t="s">
        <v>581</v>
      </c>
      <c r="S15044" t="s">
        <v>22769</v>
      </c>
      <c r="T15044">
        <v>36</v>
      </c>
      <c r="U15044" s="26" t="str">
        <f>HYPERLINK("https://ictv.global/ictv/proposals/2020.001G.R.Abolish_type_species.pdf","2020.001G.R.Abolish_type_species.pdf")</f>
        <v>2020.001G.R.Abolish_type_species.pdf</v>
      </c>
    </row>
    <row r="15045" spans="1:21">
      <c r="A15045">
        <v>15044</v>
      </c>
      <c r="B15045" s="27" t="s">
        <v>1124</v>
      </c>
      <c r="D15045" s="27" t="s">
        <v>1859</v>
      </c>
      <c r="F15045" s="27" t="s">
        <v>1909</v>
      </c>
      <c r="H15045" s="27" t="s">
        <v>1912</v>
      </c>
      <c r="J15045" s="27" t="s">
        <v>348</v>
      </c>
      <c r="K15045" s="27" t="s">
        <v>989</v>
      </c>
      <c r="L15045" s="27" t="s">
        <v>349</v>
      </c>
      <c r="M15045" s="27" t="s">
        <v>999</v>
      </c>
      <c r="N15045" s="27" t="s">
        <v>1003</v>
      </c>
      <c r="O15045" s="27" t="s">
        <v>1004</v>
      </c>
      <c r="P15045" s="27" t="s">
        <v>1006</v>
      </c>
      <c r="Q15045" s="26" t="str">
        <f>HYPERLINK("https://ictv.global/taxonomy/taxondetails?taxnode_id=202501837&amp;ictv_id=ICTV20165182","ICTV20165182")</f>
        <v>ICTV20165182</v>
      </c>
      <c r="R15045" t="s">
        <v>581</v>
      </c>
      <c r="S15045" t="s">
        <v>22763</v>
      </c>
      <c r="T15045">
        <v>35</v>
      </c>
      <c r="U15045" s="26" t="str">
        <f>HYPERLINK("https://ictv.global/ictv/proposals/2019.006G.zip","2019.006G.zip")</f>
        <v>2019.006G.zip</v>
      </c>
    </row>
    <row r="15046" spans="1:21">
      <c r="A15046">
        <v>15045</v>
      </c>
      <c r="B15046" s="27" t="s">
        <v>1124</v>
      </c>
      <c r="D15046" s="27" t="s">
        <v>1859</v>
      </c>
      <c r="F15046" s="27" t="s">
        <v>1909</v>
      </c>
      <c r="H15046" s="27" t="s">
        <v>1912</v>
      </c>
      <c r="J15046" s="27" t="s">
        <v>348</v>
      </c>
      <c r="K15046" s="27" t="s">
        <v>989</v>
      </c>
      <c r="L15046" s="27" t="s">
        <v>349</v>
      </c>
      <c r="M15046" s="27" t="s">
        <v>999</v>
      </c>
      <c r="N15046" s="27" t="s">
        <v>1003</v>
      </c>
      <c r="O15046" s="27" t="s">
        <v>1004</v>
      </c>
      <c r="P15046" s="27" t="s">
        <v>1007</v>
      </c>
      <c r="Q15046" s="26" t="str">
        <f>HYPERLINK("https://ictv.global/taxonomy/taxondetails?taxnode_id=202506098&amp;ictv_id=ICTV20186098","ICTV20186098")</f>
        <v>ICTV20186098</v>
      </c>
      <c r="R15046" t="s">
        <v>581</v>
      </c>
      <c r="S15046" t="s">
        <v>22763</v>
      </c>
      <c r="T15046">
        <v>35</v>
      </c>
      <c r="U15046" s="26" t="str">
        <f>HYPERLINK("https://ictv.global/ictv/proposals/2019.006G.zip","2019.006G.zip")</f>
        <v>2019.006G.zip</v>
      </c>
    </row>
    <row r="15047" spans="1:21">
      <c r="A15047">
        <v>15046</v>
      </c>
      <c r="B15047" s="27" t="s">
        <v>1124</v>
      </c>
      <c r="D15047" s="27" t="s">
        <v>1859</v>
      </c>
      <c r="F15047" s="27" t="s">
        <v>1909</v>
      </c>
      <c r="H15047" s="27" t="s">
        <v>1912</v>
      </c>
      <c r="J15047" s="27" t="s">
        <v>348</v>
      </c>
      <c r="K15047" s="27" t="s">
        <v>989</v>
      </c>
      <c r="L15047" s="27" t="s">
        <v>349</v>
      </c>
      <c r="M15047" s="27" t="s">
        <v>999</v>
      </c>
      <c r="N15047" s="27" t="s">
        <v>1008</v>
      </c>
      <c r="P15047" s="27" t="s">
        <v>17122</v>
      </c>
      <c r="Q15047" s="26" t="str">
        <f>HYPERLINK("https://ictv.global/taxonomy/taxondetails?taxnode_id=202501840&amp;ictv_id=ICTV20151193","ICTV20151193")</f>
        <v>ICTV20151193</v>
      </c>
      <c r="R15047" t="s">
        <v>581</v>
      </c>
      <c r="S15047" t="s">
        <v>824</v>
      </c>
      <c r="T15047">
        <v>39</v>
      </c>
      <c r="U15047" s="26" t="str">
        <f>HYPERLINK("https://ictv.global/ictv/proposals/2023.002S.Arteriviridae_7sprenamed.zip","2023.002S.Arteriviridae_7sprenamed.zip")</f>
        <v>2023.002S.Arteriviridae_7sprenamed.zip</v>
      </c>
    </row>
    <row r="15048" spans="1:21">
      <c r="A15048">
        <v>15047</v>
      </c>
      <c r="B15048" s="27" t="s">
        <v>1124</v>
      </c>
      <c r="D15048" s="27" t="s">
        <v>1859</v>
      </c>
      <c r="F15048" s="27" t="s">
        <v>1909</v>
      </c>
      <c r="H15048" s="27" t="s">
        <v>1912</v>
      </c>
      <c r="J15048" s="27" t="s">
        <v>348</v>
      </c>
      <c r="K15048" s="27" t="s">
        <v>989</v>
      </c>
      <c r="L15048" s="27" t="s">
        <v>349</v>
      </c>
      <c r="M15048" s="27" t="s">
        <v>999</v>
      </c>
      <c r="N15048" s="27" t="s">
        <v>1009</v>
      </c>
      <c r="O15048" s="27" t="s">
        <v>1016</v>
      </c>
      <c r="P15048" s="27" t="s">
        <v>1017</v>
      </c>
      <c r="Q15048" s="26" t="str">
        <f>HYPERLINK("https://ictv.global/taxonomy/taxondetails?taxnode_id=202501836&amp;ictv_id=ICTV20151196","ICTV20151196")</f>
        <v>ICTV20151196</v>
      </c>
      <c r="R15048" t="s">
        <v>581</v>
      </c>
      <c r="S15048" t="s">
        <v>22763</v>
      </c>
      <c r="T15048">
        <v>35</v>
      </c>
      <c r="U15048" s="26" t="str">
        <f>HYPERLINK("https://ictv.global/ictv/proposals/2019.006G.zip","2019.006G.zip")</f>
        <v>2019.006G.zip</v>
      </c>
    </row>
    <row r="15049" spans="1:21">
      <c r="A15049">
        <v>15048</v>
      </c>
      <c r="B15049" s="27" t="s">
        <v>1124</v>
      </c>
      <c r="D15049" s="27" t="s">
        <v>1859</v>
      </c>
      <c r="F15049" s="27" t="s">
        <v>1909</v>
      </c>
      <c r="H15049" s="27" t="s">
        <v>1912</v>
      </c>
      <c r="J15049" s="27" t="s">
        <v>348</v>
      </c>
      <c r="K15049" s="27" t="s">
        <v>989</v>
      </c>
      <c r="L15049" s="27" t="s">
        <v>349</v>
      </c>
      <c r="M15049" s="27" t="s">
        <v>999</v>
      </c>
      <c r="N15049" s="27" t="s">
        <v>1009</v>
      </c>
      <c r="O15049" s="27" t="s">
        <v>1010</v>
      </c>
      <c r="P15049" s="27" t="s">
        <v>17123</v>
      </c>
      <c r="Q15049" s="26" t="str">
        <f>HYPERLINK("https://ictv.global/taxonomy/taxondetails?taxnode_id=202501841&amp;ictv_id=ICTV20151191","ICTV20151191")</f>
        <v>ICTV20151191</v>
      </c>
      <c r="R15049" t="s">
        <v>581</v>
      </c>
      <c r="S15049" t="s">
        <v>824</v>
      </c>
      <c r="T15049">
        <v>39</v>
      </c>
      <c r="U15049" s="26" t="str">
        <f>HYPERLINK("https://ictv.global/ictv/proposals/2023.002S.Arteriviridae_7sprenamed.zip","2023.002S.Arteriviridae_7sprenamed.zip")</f>
        <v>2023.002S.Arteriviridae_7sprenamed.zip</v>
      </c>
    </row>
    <row r="15050" spans="1:21">
      <c r="A15050">
        <v>15049</v>
      </c>
      <c r="B15050" s="27" t="s">
        <v>1124</v>
      </c>
      <c r="D15050" s="27" t="s">
        <v>1859</v>
      </c>
      <c r="F15050" s="27" t="s">
        <v>1909</v>
      </c>
      <c r="H15050" s="27" t="s">
        <v>1912</v>
      </c>
      <c r="J15050" s="27" t="s">
        <v>348</v>
      </c>
      <c r="K15050" s="27" t="s">
        <v>989</v>
      </c>
      <c r="L15050" s="27" t="s">
        <v>349</v>
      </c>
      <c r="M15050" s="27" t="s">
        <v>999</v>
      </c>
      <c r="N15050" s="27" t="s">
        <v>1009</v>
      </c>
      <c r="O15050" s="27" t="s">
        <v>3596</v>
      </c>
      <c r="P15050" s="27" t="s">
        <v>1913</v>
      </c>
      <c r="Q15050" s="26" t="str">
        <f>HYPERLINK("https://ictv.global/taxonomy/taxondetails?taxnode_id=202501843&amp;ictv_id=ICTV20151198","ICTV20151198")</f>
        <v>ICTV20151198</v>
      </c>
      <c r="R15050" t="s">
        <v>581</v>
      </c>
      <c r="S15050" t="s">
        <v>824</v>
      </c>
      <c r="T15050">
        <v>36</v>
      </c>
      <c r="U15050" s="26" t="str">
        <f>HYPERLINK("https://ictv.global/ictv/proposals/2020.014S.R.Arteriviridae_corr.zip","2020.014S.R.Arteriviridae_corr.zip")</f>
        <v>2020.014S.R.Arteriviridae_corr.zip</v>
      </c>
    </row>
    <row r="15051" spans="1:21">
      <c r="A15051">
        <v>15050</v>
      </c>
      <c r="B15051" s="27" t="s">
        <v>1124</v>
      </c>
      <c r="D15051" s="27" t="s">
        <v>1859</v>
      </c>
      <c r="F15051" s="27" t="s">
        <v>1909</v>
      </c>
      <c r="H15051" s="27" t="s">
        <v>1912</v>
      </c>
      <c r="J15051" s="27" t="s">
        <v>348</v>
      </c>
      <c r="K15051" s="27" t="s">
        <v>989</v>
      </c>
      <c r="L15051" s="27" t="s">
        <v>349</v>
      </c>
      <c r="M15051" s="27" t="s">
        <v>999</v>
      </c>
      <c r="N15051" s="27" t="s">
        <v>1011</v>
      </c>
      <c r="O15051" s="27" t="s">
        <v>1018</v>
      </c>
      <c r="P15051" s="27" t="s">
        <v>1019</v>
      </c>
      <c r="Q15051" s="26" t="str">
        <f>HYPERLINK("https://ictv.global/taxonomy/taxondetails?taxnode_id=202501838&amp;ictv_id=ICTV20165183","ICTV20165183")</f>
        <v>ICTV20165183</v>
      </c>
      <c r="R15051" t="s">
        <v>581</v>
      </c>
      <c r="S15051" t="s">
        <v>22763</v>
      </c>
      <c r="T15051">
        <v>35</v>
      </c>
      <c r="U15051" s="26" t="str">
        <f>HYPERLINK("https://ictv.global/ictv/proposals/2019.006G.zip","2019.006G.zip")</f>
        <v>2019.006G.zip</v>
      </c>
    </row>
    <row r="15052" spans="1:21">
      <c r="A15052">
        <v>15051</v>
      </c>
      <c r="B15052" s="27" t="s">
        <v>1124</v>
      </c>
      <c r="D15052" s="27" t="s">
        <v>1859</v>
      </c>
      <c r="F15052" s="27" t="s">
        <v>1909</v>
      </c>
      <c r="H15052" s="27" t="s">
        <v>1912</v>
      </c>
      <c r="J15052" s="27" t="s">
        <v>348</v>
      </c>
      <c r="K15052" s="27" t="s">
        <v>989</v>
      </c>
      <c r="L15052" s="27" t="s">
        <v>349</v>
      </c>
      <c r="M15052" s="27" t="s">
        <v>999</v>
      </c>
      <c r="N15052" s="27" t="s">
        <v>1011</v>
      </c>
      <c r="O15052" s="27" t="s">
        <v>1012</v>
      </c>
      <c r="P15052" s="27" t="s">
        <v>17124</v>
      </c>
      <c r="Q15052" s="26" t="str">
        <f>HYPERLINK("https://ictv.global/taxonomy/taxondetails?taxnode_id=202501842&amp;ictv_id=ICTV20151194","ICTV20151194")</f>
        <v>ICTV20151194</v>
      </c>
      <c r="R15052" t="s">
        <v>581</v>
      </c>
      <c r="S15052" t="s">
        <v>824</v>
      </c>
      <c r="T15052">
        <v>39</v>
      </c>
      <c r="U15052" s="26" t="str">
        <f>HYPERLINK("https://ictv.global/ictv/proposals/2023.002S.Arteriviridae_7sprenamed.zip","2023.002S.Arteriviridae_7sprenamed.zip")</f>
        <v>2023.002S.Arteriviridae_7sprenamed.zip</v>
      </c>
    </row>
    <row r="15053" spans="1:21">
      <c r="A15053">
        <v>15052</v>
      </c>
      <c r="B15053" s="27" t="s">
        <v>1124</v>
      </c>
      <c r="D15053" s="27" t="s">
        <v>1859</v>
      </c>
      <c r="F15053" s="27" t="s">
        <v>1909</v>
      </c>
      <c r="H15053" s="27" t="s">
        <v>1912</v>
      </c>
      <c r="J15053" s="27" t="s">
        <v>348</v>
      </c>
      <c r="K15053" s="27" t="s">
        <v>989</v>
      </c>
      <c r="L15053" s="27" t="s">
        <v>349</v>
      </c>
      <c r="M15053" s="27" t="s">
        <v>999</v>
      </c>
      <c r="N15053" s="27" t="s">
        <v>1025</v>
      </c>
      <c r="P15053" s="27" t="s">
        <v>17125</v>
      </c>
      <c r="Q15053" s="26" t="str">
        <f>HYPERLINK("https://ictv.global/taxonomy/taxondetails?taxnode_id=202501839&amp;ictv_id=ICTV20151192","ICTV20151192")</f>
        <v>ICTV20151192</v>
      </c>
      <c r="R15053" t="s">
        <v>581</v>
      </c>
      <c r="S15053" t="s">
        <v>824</v>
      </c>
      <c r="T15053">
        <v>39</v>
      </c>
      <c r="U15053" s="26" t="str">
        <f>HYPERLINK("https://ictv.global/ictv/proposals/2023.002S.Arteriviridae_7sprenamed.zip","2023.002S.Arteriviridae_7sprenamed.zip")</f>
        <v>2023.002S.Arteriviridae_7sprenamed.zip</v>
      </c>
    </row>
    <row r="15054" spans="1:21">
      <c r="A15054">
        <v>15053</v>
      </c>
      <c r="B15054" s="27" t="s">
        <v>1124</v>
      </c>
      <c r="D15054" s="27" t="s">
        <v>1859</v>
      </c>
      <c r="F15054" s="27" t="s">
        <v>1909</v>
      </c>
      <c r="H15054" s="27" t="s">
        <v>1912</v>
      </c>
      <c r="J15054" s="27" t="s">
        <v>348</v>
      </c>
      <c r="K15054" s="27" t="s">
        <v>989</v>
      </c>
      <c r="L15054" s="27" t="s">
        <v>349</v>
      </c>
      <c r="M15054" s="27" t="s">
        <v>1013</v>
      </c>
      <c r="N15054" s="27" t="s">
        <v>1014</v>
      </c>
      <c r="O15054" s="27" t="s">
        <v>1015</v>
      </c>
      <c r="P15054" s="27" t="s">
        <v>17126</v>
      </c>
      <c r="Q15054" s="26" t="str">
        <f>HYPERLINK("https://ictv.global/taxonomy/taxondetails?taxnode_id=202501833&amp;ictv_id=ICTV20151190","ICTV20151190")</f>
        <v>ICTV20151190</v>
      </c>
      <c r="R15054" t="s">
        <v>581</v>
      </c>
      <c r="S15054" t="s">
        <v>824</v>
      </c>
      <c r="T15054">
        <v>39</v>
      </c>
      <c r="U15054" s="26" t="str">
        <f>HYPERLINK("https://ictv.global/ictv/proposals/2023.002S.Arteriviridae_7sprenamed.zip","2023.002S.Arteriviridae_7sprenamed.zip")</f>
        <v>2023.002S.Arteriviridae_7sprenamed.zip</v>
      </c>
    </row>
    <row r="15055" spans="1:21">
      <c r="A15055">
        <v>15054</v>
      </c>
      <c r="B15055" s="27" t="s">
        <v>1124</v>
      </c>
      <c r="D15055" s="27" t="s">
        <v>1859</v>
      </c>
      <c r="F15055" s="27" t="s">
        <v>1909</v>
      </c>
      <c r="H15055" s="27" t="s">
        <v>1912</v>
      </c>
      <c r="J15055" s="27" t="s">
        <v>348</v>
      </c>
      <c r="K15055" s="27" t="s">
        <v>989</v>
      </c>
      <c r="L15055" s="27" t="s">
        <v>349</v>
      </c>
      <c r="M15055" s="27" t="s">
        <v>1013</v>
      </c>
      <c r="N15055" s="27" t="s">
        <v>1014</v>
      </c>
      <c r="O15055" s="27" t="s">
        <v>1030</v>
      </c>
      <c r="P15055" s="27" t="s">
        <v>17127</v>
      </c>
      <c r="Q15055" s="26" t="str">
        <f>HYPERLINK("https://ictv.global/taxonomy/taxondetails?taxnode_id=202501834&amp;ictv_id=ICTV20165181","ICTV20165181")</f>
        <v>ICTV20165181</v>
      </c>
      <c r="R15055" t="s">
        <v>581</v>
      </c>
      <c r="S15055" t="s">
        <v>824</v>
      </c>
      <c r="T15055">
        <v>39</v>
      </c>
      <c r="U15055" s="26" t="str">
        <f>HYPERLINK("https://ictv.global/ictv/proposals/2023.002S.Arteriviridae_7sprenamed.zip","2023.002S.Arteriviridae_7sprenamed.zip")</f>
        <v>2023.002S.Arteriviridae_7sprenamed.zip</v>
      </c>
    </row>
    <row r="15056" spans="1:21">
      <c r="A15056">
        <v>15055</v>
      </c>
      <c r="B15056" s="27" t="s">
        <v>1124</v>
      </c>
      <c r="D15056" s="27" t="s">
        <v>1859</v>
      </c>
      <c r="F15056" s="27" t="s">
        <v>1909</v>
      </c>
      <c r="H15056" s="27" t="s">
        <v>1912</v>
      </c>
      <c r="J15056" s="27" t="s">
        <v>348</v>
      </c>
      <c r="K15056" s="27" t="s">
        <v>989</v>
      </c>
      <c r="L15056" s="27" t="s">
        <v>349</v>
      </c>
      <c r="M15056" s="27" t="s">
        <v>1013</v>
      </c>
      <c r="N15056" s="27" t="s">
        <v>1014</v>
      </c>
      <c r="O15056" s="27" t="s">
        <v>1030</v>
      </c>
      <c r="P15056" s="27" t="s">
        <v>1031</v>
      </c>
      <c r="Q15056" s="26" t="str">
        <f>HYPERLINK("https://ictv.global/taxonomy/taxondetails?taxnode_id=202506090&amp;ictv_id=ICTV20186090","ICTV20186090")</f>
        <v>ICTV20186090</v>
      </c>
      <c r="R15056" t="s">
        <v>581</v>
      </c>
      <c r="S15056" t="s">
        <v>22763</v>
      </c>
      <c r="T15056">
        <v>35</v>
      </c>
      <c r="U15056" s="26" t="str">
        <f>HYPERLINK("https://ictv.global/ictv/proposals/2019.006G.zip","2019.006G.zip")</f>
        <v>2019.006G.zip</v>
      </c>
    </row>
    <row r="15057" spans="1:21">
      <c r="A15057">
        <v>15056</v>
      </c>
      <c r="B15057" s="27" t="s">
        <v>1124</v>
      </c>
      <c r="D15057" s="27" t="s">
        <v>1859</v>
      </c>
      <c r="F15057" s="27" t="s">
        <v>1909</v>
      </c>
      <c r="H15057" s="27" t="s">
        <v>1912</v>
      </c>
      <c r="J15057" s="27" t="s">
        <v>348</v>
      </c>
      <c r="K15057" s="27" t="s">
        <v>989</v>
      </c>
      <c r="L15057" s="27" t="s">
        <v>349</v>
      </c>
      <c r="M15057" s="27" t="s">
        <v>1013</v>
      </c>
      <c r="N15057" s="27" t="s">
        <v>1014</v>
      </c>
      <c r="O15057" s="27" t="s">
        <v>1030</v>
      </c>
      <c r="P15057" s="27" t="s">
        <v>1914</v>
      </c>
      <c r="Q15057" s="26" t="str">
        <f>HYPERLINK("https://ictv.global/taxonomy/taxondetails?taxnode_id=202507464&amp;ictv_id=ICTV201907464","ICTV201907464")</f>
        <v>ICTV201907464</v>
      </c>
      <c r="R15057" t="s">
        <v>581</v>
      </c>
      <c r="S15057" t="s">
        <v>823</v>
      </c>
      <c r="T15057">
        <v>35</v>
      </c>
      <c r="U15057" s="26" t="str">
        <f>HYPERLINK("https://ictv.global/ictv/proposals/2019.020S-023S.zip","2019.020S-023S.zip")</f>
        <v>2019.020S-023S.zip</v>
      </c>
    </row>
    <row r="15058" spans="1:21">
      <c r="A15058">
        <v>15057</v>
      </c>
      <c r="B15058" s="27" t="s">
        <v>1124</v>
      </c>
      <c r="D15058" s="27" t="s">
        <v>1859</v>
      </c>
      <c r="F15058" s="27" t="s">
        <v>1909</v>
      </c>
      <c r="H15058" s="27" t="s">
        <v>1912</v>
      </c>
      <c r="J15058" s="27" t="s">
        <v>348</v>
      </c>
      <c r="K15058" s="27" t="s">
        <v>989</v>
      </c>
      <c r="L15058" s="27" t="s">
        <v>349</v>
      </c>
      <c r="M15058" s="27" t="s">
        <v>1013</v>
      </c>
      <c r="N15058" s="27" t="s">
        <v>1014</v>
      </c>
      <c r="O15058" s="27" t="s">
        <v>1032</v>
      </c>
      <c r="P15058" s="27" t="s">
        <v>17128</v>
      </c>
      <c r="Q15058" s="26" t="str">
        <f>HYPERLINK("https://ictv.global/taxonomy/taxondetails?taxnode_id=202501832&amp;ictv_id=ICTV19952311","ICTV19952311")</f>
        <v>ICTV19952311</v>
      </c>
      <c r="R15058" t="s">
        <v>581</v>
      </c>
      <c r="S15058" t="s">
        <v>824</v>
      </c>
      <c r="T15058">
        <v>39</v>
      </c>
      <c r="U15058" s="26" t="str">
        <f>HYPERLINK("https://ictv.global/ictv/proposals/2023.002S.Arteriviridae_7sprenamed.zip","2023.002S.Arteriviridae_7sprenamed.zip")</f>
        <v>2023.002S.Arteriviridae_7sprenamed.zip</v>
      </c>
    </row>
    <row r="15059" spans="1:21">
      <c r="A15059">
        <v>15058</v>
      </c>
      <c r="B15059" s="27" t="s">
        <v>1124</v>
      </c>
      <c r="D15059" s="27" t="s">
        <v>1859</v>
      </c>
      <c r="F15059" s="27" t="s">
        <v>1909</v>
      </c>
      <c r="H15059" s="27" t="s">
        <v>1912</v>
      </c>
      <c r="J15059" s="27" t="s">
        <v>348</v>
      </c>
      <c r="K15059" s="27" t="s">
        <v>989</v>
      </c>
      <c r="L15059" s="27" t="s">
        <v>349</v>
      </c>
      <c r="M15059" s="27" t="s">
        <v>1013</v>
      </c>
      <c r="N15059" s="27" t="s">
        <v>1014</v>
      </c>
      <c r="O15059" s="27" t="s">
        <v>3597</v>
      </c>
      <c r="P15059" s="27" t="s">
        <v>1915</v>
      </c>
      <c r="Q15059" s="26" t="str">
        <f>HYPERLINK("https://ictv.global/taxonomy/taxondetails?taxnode_id=202507466&amp;ictv_id=ICTV201907466","ICTV201907466")</f>
        <v>ICTV201907466</v>
      </c>
      <c r="R15059" t="s">
        <v>581</v>
      </c>
      <c r="S15059" t="s">
        <v>824</v>
      </c>
      <c r="T15059">
        <v>36</v>
      </c>
      <c r="U15059" s="26" t="str">
        <f>HYPERLINK("https://ictv.global/ictv/proposals/2020.014S.R.Arteriviridae_corr.zip","2020.014S.R.Arteriviridae_corr.zip")</f>
        <v>2020.014S.R.Arteriviridae_corr.zip</v>
      </c>
    </row>
    <row r="15060" spans="1:21">
      <c r="A15060">
        <v>15059</v>
      </c>
      <c r="B15060" s="27" t="s">
        <v>1124</v>
      </c>
      <c r="D15060" s="27" t="s">
        <v>1859</v>
      </c>
      <c r="F15060" s="27" t="s">
        <v>1909</v>
      </c>
      <c r="H15060" s="27" t="s">
        <v>1912</v>
      </c>
      <c r="J15060" s="27" t="s">
        <v>348</v>
      </c>
      <c r="K15060" s="27" t="s">
        <v>989</v>
      </c>
      <c r="L15060" s="27" t="s">
        <v>349</v>
      </c>
      <c r="M15060" s="27" t="s">
        <v>1013</v>
      </c>
      <c r="N15060" s="27" t="s">
        <v>1020</v>
      </c>
      <c r="P15060" s="27" t="s">
        <v>1021</v>
      </c>
      <c r="Q15060" s="26" t="str">
        <f>HYPERLINK("https://ictv.global/taxonomy/taxondetails?taxnode_id=202501831&amp;ictv_id=ICTV19952309","ICTV19952309")</f>
        <v>ICTV19952309</v>
      </c>
      <c r="R15060" t="s">
        <v>581</v>
      </c>
      <c r="S15060" t="s">
        <v>22769</v>
      </c>
      <c r="T15060">
        <v>36</v>
      </c>
      <c r="U15060" s="26" t="str">
        <f>HYPERLINK("https://ictv.global/ictv/proposals/2020.001G.R.Abolish_type_species.pdf","2020.001G.R.Abolish_type_species.pdf")</f>
        <v>2020.001G.R.Abolish_type_species.pdf</v>
      </c>
    </row>
    <row r="15061" spans="1:21">
      <c r="A15061">
        <v>15060</v>
      </c>
      <c r="B15061" s="27" t="s">
        <v>1124</v>
      </c>
      <c r="D15061" s="27" t="s">
        <v>1859</v>
      </c>
      <c r="F15061" s="27" t="s">
        <v>1909</v>
      </c>
      <c r="H15061" s="27" t="s">
        <v>1912</v>
      </c>
      <c r="J15061" s="27" t="s">
        <v>348</v>
      </c>
      <c r="K15061" s="27" t="s">
        <v>989</v>
      </c>
      <c r="L15061" s="27" t="s">
        <v>349</v>
      </c>
      <c r="M15061" s="27" t="s">
        <v>1013</v>
      </c>
      <c r="N15061" s="27" t="s">
        <v>1916</v>
      </c>
      <c r="P15061" s="27" t="s">
        <v>1917</v>
      </c>
      <c r="Q15061" s="26" t="str">
        <f>HYPERLINK("https://ictv.global/taxonomy/taxondetails?taxnode_id=202507468&amp;ictv_id=ICTV201907468","ICTV201907468")</f>
        <v>ICTV201907468</v>
      </c>
      <c r="R15061" t="s">
        <v>581</v>
      </c>
      <c r="S15061" t="s">
        <v>22769</v>
      </c>
      <c r="T15061">
        <v>36</v>
      </c>
      <c r="U15061" s="26" t="str">
        <f>HYPERLINK("https://ictv.global/ictv/proposals/2020.001G.R.Abolish_type_species.pdf","2020.001G.R.Abolish_type_species.pdf")</f>
        <v>2020.001G.R.Abolish_type_species.pdf</v>
      </c>
    </row>
    <row r="15062" spans="1:21">
      <c r="A15062">
        <v>15061</v>
      </c>
      <c r="B15062" s="27" t="s">
        <v>1124</v>
      </c>
      <c r="D15062" s="27" t="s">
        <v>1859</v>
      </c>
      <c r="F15062" s="27" t="s">
        <v>1909</v>
      </c>
      <c r="H15062" s="27" t="s">
        <v>1912</v>
      </c>
      <c r="J15062" s="27" t="s">
        <v>348</v>
      </c>
      <c r="K15062" s="27" t="s">
        <v>989</v>
      </c>
      <c r="L15062" s="27" t="s">
        <v>349</v>
      </c>
      <c r="M15062" s="27" t="s">
        <v>1022</v>
      </c>
      <c r="N15062" s="27" t="s">
        <v>1023</v>
      </c>
      <c r="P15062" s="27" t="s">
        <v>1024</v>
      </c>
      <c r="Q15062" s="26" t="str">
        <f>HYPERLINK("https://ictv.global/taxonomy/taxondetails?taxnode_id=202501825&amp;ictv_id=ICTV20151200","ICTV20151200")</f>
        <v>ICTV20151200</v>
      </c>
      <c r="R15062" t="s">
        <v>581</v>
      </c>
      <c r="S15062" t="s">
        <v>22769</v>
      </c>
      <c r="T15062">
        <v>36</v>
      </c>
      <c r="U15062" s="26" t="str">
        <f>HYPERLINK("https://ictv.global/ictv/proposals/2020.001G.R.Abolish_type_species.pdf","2020.001G.R.Abolish_type_species.pdf")</f>
        <v>2020.001G.R.Abolish_type_species.pdf</v>
      </c>
    </row>
    <row r="15063" spans="1:21">
      <c r="A15063">
        <v>15062</v>
      </c>
      <c r="B15063" s="27" t="s">
        <v>1124</v>
      </c>
      <c r="D15063" s="27" t="s">
        <v>1859</v>
      </c>
      <c r="F15063" s="27" t="s">
        <v>1909</v>
      </c>
      <c r="H15063" s="27" t="s">
        <v>1912</v>
      </c>
      <c r="J15063" s="27" t="s">
        <v>348</v>
      </c>
      <c r="K15063" s="27" t="s">
        <v>989</v>
      </c>
      <c r="L15063" s="27" t="s">
        <v>1918</v>
      </c>
      <c r="M15063" s="27" t="s">
        <v>10481</v>
      </c>
      <c r="N15063" s="27" t="s">
        <v>10482</v>
      </c>
      <c r="O15063" s="27" t="s">
        <v>10483</v>
      </c>
      <c r="P15063" s="27" t="s">
        <v>10484</v>
      </c>
      <c r="Q15063" s="26" t="str">
        <f>HYPERLINK("https://ictv.global/taxonomy/taxondetails?taxnode_id=202513927&amp;ictv_id=ICTV202113927","ICTV202113927")</f>
        <v>ICTV202113927</v>
      </c>
      <c r="R15063" t="s">
        <v>581</v>
      </c>
      <c r="S15063" t="s">
        <v>823</v>
      </c>
      <c r="T15063">
        <v>37</v>
      </c>
      <c r="U15063" s="26" t="str">
        <f>HYPERLINK("https://ictv.global/ictv/proposals/2021.005S.R.Nidovirales.zip","2021.005S.R.Nidovirales.zip")</f>
        <v>2021.005S.R.Nidovirales.zip</v>
      </c>
    </row>
    <row r="15064" spans="1:21">
      <c r="A15064">
        <v>15063</v>
      </c>
      <c r="B15064" s="27" t="s">
        <v>1124</v>
      </c>
      <c r="D15064" s="27" t="s">
        <v>1859</v>
      </c>
      <c r="F15064" s="27" t="s">
        <v>1909</v>
      </c>
      <c r="H15064" s="27" t="s">
        <v>1912</v>
      </c>
      <c r="J15064" s="27" t="s">
        <v>348</v>
      </c>
      <c r="K15064" s="27" t="s">
        <v>989</v>
      </c>
      <c r="L15064" s="27" t="s">
        <v>1918</v>
      </c>
      <c r="M15064" s="27" t="s">
        <v>1919</v>
      </c>
      <c r="N15064" s="27" t="s">
        <v>1920</v>
      </c>
      <c r="P15064" s="27" t="s">
        <v>17129</v>
      </c>
      <c r="Q15064" s="26" t="str">
        <f>HYPERLINK("https://ictv.global/taxonomy/taxondetails?taxnode_id=202507480&amp;ictv_id=ICTV201907480","ICTV201907480")</f>
        <v>ICTV201907480</v>
      </c>
      <c r="R15064" t="s">
        <v>581</v>
      </c>
      <c r="S15064" t="s">
        <v>824</v>
      </c>
      <c r="T15064">
        <v>39</v>
      </c>
      <c r="U15064" s="26" t="str">
        <f>HYPERLINK("https://ictv.global/ictv/proposals/2023.013S.Nidovirales_27sprenamed.zip","2023.013S.Nidovirales_27sprenamed.zip")</f>
        <v>2023.013S.Nidovirales_27sprenamed.zip</v>
      </c>
    </row>
    <row r="15065" spans="1:21">
      <c r="A15065">
        <v>15064</v>
      </c>
      <c r="B15065" s="27" t="s">
        <v>1124</v>
      </c>
      <c r="D15065" s="27" t="s">
        <v>1859</v>
      </c>
      <c r="F15065" s="27" t="s">
        <v>1909</v>
      </c>
      <c r="H15065" s="27" t="s">
        <v>1912</v>
      </c>
      <c r="J15065" s="27" t="s">
        <v>348</v>
      </c>
      <c r="K15065" s="27" t="s">
        <v>989</v>
      </c>
      <c r="L15065" s="27" t="s">
        <v>1921</v>
      </c>
      <c r="M15065" s="27" t="s">
        <v>1922</v>
      </c>
      <c r="N15065" s="27" t="s">
        <v>1923</v>
      </c>
      <c r="P15065" s="27" t="s">
        <v>17130</v>
      </c>
      <c r="Q15065" s="26" t="str">
        <f>HYPERLINK("https://ictv.global/taxonomy/taxondetails?taxnode_id=202507476&amp;ictv_id=ICTV201907476","ICTV201907476")</f>
        <v>ICTV201907476</v>
      </c>
      <c r="R15065" t="s">
        <v>581</v>
      </c>
      <c r="S15065" t="s">
        <v>824</v>
      </c>
      <c r="T15065">
        <v>39</v>
      </c>
      <c r="U15065" s="26" t="str">
        <f>HYPERLINK("https://ictv.global/ictv/proposals/2023.013S.Nidovirales_27sprenamed.zip","2023.013S.Nidovirales_27sprenamed.zip")</f>
        <v>2023.013S.Nidovirales_27sprenamed.zip</v>
      </c>
    </row>
    <row r="15066" spans="1:21">
      <c r="A15066">
        <v>15065</v>
      </c>
      <c r="B15066" s="27" t="s">
        <v>1124</v>
      </c>
      <c r="D15066" s="27" t="s">
        <v>1859</v>
      </c>
      <c r="F15066" s="27" t="s">
        <v>1909</v>
      </c>
      <c r="H15066" s="27" t="s">
        <v>1912</v>
      </c>
      <c r="J15066" s="27" t="s">
        <v>348</v>
      </c>
      <c r="K15066" s="27" t="s">
        <v>989</v>
      </c>
      <c r="L15066" s="27" t="s">
        <v>1924</v>
      </c>
      <c r="M15066" s="27" t="s">
        <v>1925</v>
      </c>
      <c r="N15066" s="27" t="s">
        <v>1926</v>
      </c>
      <c r="P15066" s="27" t="s">
        <v>17131</v>
      </c>
      <c r="Q15066" s="26" t="str">
        <f>HYPERLINK("https://ictv.global/taxonomy/taxondetails?taxnode_id=202507472&amp;ictv_id=ICTV201907472","ICTV201907472")</f>
        <v>ICTV201907472</v>
      </c>
      <c r="R15066" t="s">
        <v>581</v>
      </c>
      <c r="S15066" t="s">
        <v>824</v>
      </c>
      <c r="T15066">
        <v>39</v>
      </c>
      <c r="U15066" s="26" t="str">
        <f>HYPERLINK("https://ictv.global/ictv/proposals/2023.013S.Nidovirales_27sprenamed.zip","2023.013S.Nidovirales_27sprenamed.zip")</f>
        <v>2023.013S.Nidovirales_27sprenamed.zip</v>
      </c>
    </row>
    <row r="15067" spans="1:21">
      <c r="A15067">
        <v>15066</v>
      </c>
      <c r="B15067" s="27" t="s">
        <v>1124</v>
      </c>
      <c r="D15067" s="27" t="s">
        <v>1859</v>
      </c>
      <c r="F15067" s="27" t="s">
        <v>1909</v>
      </c>
      <c r="H15067" s="27" t="s">
        <v>1912</v>
      </c>
      <c r="J15067" s="27" t="s">
        <v>348</v>
      </c>
      <c r="K15067" s="27" t="s">
        <v>1026</v>
      </c>
      <c r="L15067" s="27" t="s">
        <v>334</v>
      </c>
      <c r="M15067" s="27" t="s">
        <v>1027</v>
      </c>
      <c r="N15067" s="27" t="s">
        <v>1028</v>
      </c>
      <c r="O15067" s="27" t="s">
        <v>1029</v>
      </c>
      <c r="P15067" s="27" t="s">
        <v>17132</v>
      </c>
      <c r="Q15067" s="26" t="str">
        <f>HYPERLINK("https://ictv.global/taxonomy/taxondetails?taxnode_id=202506140&amp;ictv_id=ICTV20186140","ICTV20186140")</f>
        <v>ICTV20186140</v>
      </c>
      <c r="R15067" t="s">
        <v>581</v>
      </c>
      <c r="S15067" t="s">
        <v>824</v>
      </c>
      <c r="T15067">
        <v>39</v>
      </c>
      <c r="U15067" s="26" t="str">
        <f t="shared" ref="U15067:U15098" si="565">HYPERLINK("https://ictv.global/ictv/proposals/2023.012S.Coronaviridae_54sprenamed-.zip","2023.012S.Coronaviridae_54sprenamed-.zip")</f>
        <v>2023.012S.Coronaviridae_54sprenamed-.zip</v>
      </c>
    </row>
    <row r="15068" spans="1:21">
      <c r="A15068">
        <v>15067</v>
      </c>
      <c r="B15068" s="27" t="s">
        <v>1124</v>
      </c>
      <c r="D15068" s="27" t="s">
        <v>1859</v>
      </c>
      <c r="F15068" s="27" t="s">
        <v>1909</v>
      </c>
      <c r="H15068" s="27" t="s">
        <v>1912</v>
      </c>
      <c r="J15068" s="27" t="s">
        <v>348</v>
      </c>
      <c r="K15068" s="27" t="s">
        <v>1026</v>
      </c>
      <c r="L15068" s="27" t="s">
        <v>334</v>
      </c>
      <c r="M15068" s="27" t="s">
        <v>1033</v>
      </c>
      <c r="N15068" s="27" t="s">
        <v>409</v>
      </c>
      <c r="O15068" s="27" t="s">
        <v>10485</v>
      </c>
      <c r="P15068" s="27" t="s">
        <v>17133</v>
      </c>
      <c r="Q15068" s="26" t="str">
        <f>HYPERLINK("https://ictv.global/taxonomy/taxondetails?taxnode_id=202513903&amp;ictv_id=ICTV202113903","ICTV202113903")</f>
        <v>ICTV202113903</v>
      </c>
      <c r="R15068" t="s">
        <v>581</v>
      </c>
      <c r="S15068" t="s">
        <v>824</v>
      </c>
      <c r="T15068">
        <v>39</v>
      </c>
      <c r="U15068" s="26" t="str">
        <f t="shared" si="565"/>
        <v>2023.012S.Coronaviridae_54sprenamed-.zip</v>
      </c>
    </row>
    <row r="15069" spans="1:21">
      <c r="A15069">
        <v>15068</v>
      </c>
      <c r="B15069" s="27" t="s">
        <v>1124</v>
      </c>
      <c r="D15069" s="27" t="s">
        <v>1859</v>
      </c>
      <c r="F15069" s="27" t="s">
        <v>1909</v>
      </c>
      <c r="H15069" s="27" t="s">
        <v>1912</v>
      </c>
      <c r="J15069" s="27" t="s">
        <v>348</v>
      </c>
      <c r="K15069" s="27" t="s">
        <v>1026</v>
      </c>
      <c r="L15069" s="27" t="s">
        <v>334</v>
      </c>
      <c r="M15069" s="27" t="s">
        <v>1033</v>
      </c>
      <c r="N15069" s="27" t="s">
        <v>409</v>
      </c>
      <c r="O15069" s="27" t="s">
        <v>1034</v>
      </c>
      <c r="P15069" s="27" t="s">
        <v>17134</v>
      </c>
      <c r="Q15069" s="26" t="str">
        <f>HYPERLINK("https://ictv.global/taxonomy/taxondetails?taxnode_id=202501850&amp;ictv_id=ICTV20151213","ICTV20151213")</f>
        <v>ICTV20151213</v>
      </c>
      <c r="R15069" t="s">
        <v>581</v>
      </c>
      <c r="S15069" t="s">
        <v>824</v>
      </c>
      <c r="T15069">
        <v>39</v>
      </c>
      <c r="U15069" s="26" t="str">
        <f t="shared" si="565"/>
        <v>2023.012S.Coronaviridae_54sprenamed-.zip</v>
      </c>
    </row>
    <row r="15070" spans="1:21">
      <c r="A15070">
        <v>15069</v>
      </c>
      <c r="B15070" s="27" t="s">
        <v>1124</v>
      </c>
      <c r="D15070" s="27" t="s">
        <v>1859</v>
      </c>
      <c r="F15070" s="27" t="s">
        <v>1909</v>
      </c>
      <c r="H15070" s="27" t="s">
        <v>1912</v>
      </c>
      <c r="J15070" s="27" t="s">
        <v>348</v>
      </c>
      <c r="K15070" s="27" t="s">
        <v>1026</v>
      </c>
      <c r="L15070" s="27" t="s">
        <v>334</v>
      </c>
      <c r="M15070" s="27" t="s">
        <v>1033</v>
      </c>
      <c r="N15070" s="27" t="s">
        <v>409</v>
      </c>
      <c r="O15070" s="27" t="s">
        <v>1039</v>
      </c>
      <c r="P15070" s="27" t="s">
        <v>17135</v>
      </c>
      <c r="Q15070" s="26" t="str">
        <f>HYPERLINK("https://ictv.global/taxonomy/taxondetails?taxnode_id=202513899&amp;ictv_id=ICTV202113899","ICTV202113899")</f>
        <v>ICTV202113899</v>
      </c>
      <c r="R15070" t="s">
        <v>581</v>
      </c>
      <c r="S15070" t="s">
        <v>824</v>
      </c>
      <c r="T15070">
        <v>39</v>
      </c>
      <c r="U15070" s="26" t="str">
        <f t="shared" si="565"/>
        <v>2023.012S.Coronaviridae_54sprenamed-.zip</v>
      </c>
    </row>
    <row r="15071" spans="1:21">
      <c r="A15071">
        <v>15070</v>
      </c>
      <c r="B15071" s="27" t="s">
        <v>1124</v>
      </c>
      <c r="D15071" s="27" t="s">
        <v>1859</v>
      </c>
      <c r="F15071" s="27" t="s">
        <v>1909</v>
      </c>
      <c r="H15071" s="27" t="s">
        <v>1912</v>
      </c>
      <c r="J15071" s="27" t="s">
        <v>348</v>
      </c>
      <c r="K15071" s="27" t="s">
        <v>1026</v>
      </c>
      <c r="L15071" s="27" t="s">
        <v>334</v>
      </c>
      <c r="M15071" s="27" t="s">
        <v>1033</v>
      </c>
      <c r="N15071" s="27" t="s">
        <v>409</v>
      </c>
      <c r="O15071" s="27" t="s">
        <v>1039</v>
      </c>
      <c r="P15071" s="27" t="s">
        <v>17136</v>
      </c>
      <c r="Q15071" s="26" t="str">
        <f>HYPERLINK("https://ictv.global/taxonomy/taxondetails?taxnode_id=202506109&amp;ictv_id=ICTV20186109","ICTV20186109")</f>
        <v>ICTV20186109</v>
      </c>
      <c r="R15071" t="s">
        <v>581</v>
      </c>
      <c r="S15071" t="s">
        <v>824</v>
      </c>
      <c r="T15071">
        <v>39</v>
      </c>
      <c r="U15071" s="26" t="str">
        <f t="shared" si="565"/>
        <v>2023.012S.Coronaviridae_54sprenamed-.zip</v>
      </c>
    </row>
    <row r="15072" spans="1:21">
      <c r="A15072">
        <v>15071</v>
      </c>
      <c r="B15072" s="27" t="s">
        <v>1124</v>
      </c>
      <c r="D15072" s="27" t="s">
        <v>1859</v>
      </c>
      <c r="F15072" s="27" t="s">
        <v>1909</v>
      </c>
      <c r="H15072" s="27" t="s">
        <v>1912</v>
      </c>
      <c r="J15072" s="27" t="s">
        <v>348</v>
      </c>
      <c r="K15072" s="27" t="s">
        <v>1026</v>
      </c>
      <c r="L15072" s="27" t="s">
        <v>334</v>
      </c>
      <c r="M15072" s="27" t="s">
        <v>1033</v>
      </c>
      <c r="N15072" s="27" t="s">
        <v>409</v>
      </c>
      <c r="O15072" s="27" t="s">
        <v>1039</v>
      </c>
      <c r="P15072" s="27" t="s">
        <v>17137</v>
      </c>
      <c r="Q15072" s="26" t="str">
        <f>HYPERLINK("https://ictv.global/taxonomy/taxondetails?taxnode_id=202513898&amp;ictv_id=ICTV202113898","ICTV202113898")</f>
        <v>ICTV202113898</v>
      </c>
      <c r="R15072" t="s">
        <v>581</v>
      </c>
      <c r="S15072" t="s">
        <v>824</v>
      </c>
      <c r="T15072">
        <v>39</v>
      </c>
      <c r="U15072" s="26" t="str">
        <f t="shared" si="565"/>
        <v>2023.012S.Coronaviridae_54sprenamed-.zip</v>
      </c>
    </row>
    <row r="15073" spans="1:21">
      <c r="A15073">
        <v>15072</v>
      </c>
      <c r="B15073" s="27" t="s">
        <v>1124</v>
      </c>
      <c r="D15073" s="27" t="s">
        <v>1859</v>
      </c>
      <c r="F15073" s="27" t="s">
        <v>1909</v>
      </c>
      <c r="H15073" s="27" t="s">
        <v>1912</v>
      </c>
      <c r="J15073" s="27" t="s">
        <v>348</v>
      </c>
      <c r="K15073" s="27" t="s">
        <v>1026</v>
      </c>
      <c r="L15073" s="27" t="s">
        <v>334</v>
      </c>
      <c r="M15073" s="27" t="s">
        <v>1033</v>
      </c>
      <c r="N15073" s="27" t="s">
        <v>409</v>
      </c>
      <c r="O15073" s="27" t="s">
        <v>1039</v>
      </c>
      <c r="P15073" s="27" t="s">
        <v>17138</v>
      </c>
      <c r="Q15073" s="26" t="str">
        <f>HYPERLINK("https://ictv.global/taxonomy/taxondetails?taxnode_id=202501851&amp;ictv_id=ICTV20151212","ICTV20151212")</f>
        <v>ICTV20151212</v>
      </c>
      <c r="R15073" t="s">
        <v>581</v>
      </c>
      <c r="S15073" t="s">
        <v>824</v>
      </c>
      <c r="T15073">
        <v>39</v>
      </c>
      <c r="U15073" s="26" t="str">
        <f t="shared" si="565"/>
        <v>2023.012S.Coronaviridae_54sprenamed-.zip</v>
      </c>
    </row>
    <row r="15074" spans="1:21">
      <c r="A15074">
        <v>15073</v>
      </c>
      <c r="B15074" s="27" t="s">
        <v>1124</v>
      </c>
      <c r="D15074" s="27" t="s">
        <v>1859</v>
      </c>
      <c r="F15074" s="27" t="s">
        <v>1909</v>
      </c>
      <c r="H15074" s="27" t="s">
        <v>1912</v>
      </c>
      <c r="J15074" s="27" t="s">
        <v>348</v>
      </c>
      <c r="K15074" s="27" t="s">
        <v>1026</v>
      </c>
      <c r="L15074" s="27" t="s">
        <v>334</v>
      </c>
      <c r="M15074" s="27" t="s">
        <v>1033</v>
      </c>
      <c r="N15074" s="27" t="s">
        <v>409</v>
      </c>
      <c r="O15074" s="27" t="s">
        <v>1041</v>
      </c>
      <c r="P15074" s="27" t="s">
        <v>17139</v>
      </c>
      <c r="Q15074" s="26" t="str">
        <f>HYPERLINK("https://ictv.global/taxonomy/taxondetails?taxnode_id=202501852&amp;ictv_id=ICTV19950874","ICTV19950874")</f>
        <v>ICTV19950874</v>
      </c>
      <c r="R15074" t="s">
        <v>581</v>
      </c>
      <c r="S15074" t="s">
        <v>824</v>
      </c>
      <c r="T15074">
        <v>39</v>
      </c>
      <c r="U15074" s="26" t="str">
        <f t="shared" si="565"/>
        <v>2023.012S.Coronaviridae_54sprenamed-.zip</v>
      </c>
    </row>
    <row r="15075" spans="1:21">
      <c r="A15075">
        <v>15074</v>
      </c>
      <c r="B15075" s="27" t="s">
        <v>1124</v>
      </c>
      <c r="D15075" s="27" t="s">
        <v>1859</v>
      </c>
      <c r="F15075" s="27" t="s">
        <v>1909</v>
      </c>
      <c r="H15075" s="27" t="s">
        <v>1912</v>
      </c>
      <c r="J15075" s="27" t="s">
        <v>348</v>
      </c>
      <c r="K15075" s="27" t="s">
        <v>1026</v>
      </c>
      <c r="L15075" s="27" t="s">
        <v>334</v>
      </c>
      <c r="M15075" s="27" t="s">
        <v>1033</v>
      </c>
      <c r="N15075" s="27" t="s">
        <v>409</v>
      </c>
      <c r="O15075" s="27" t="s">
        <v>1035</v>
      </c>
      <c r="P15075" s="27" t="s">
        <v>17140</v>
      </c>
      <c r="Q15075" s="26" t="str">
        <f>HYPERLINK("https://ictv.global/taxonomy/taxondetails?taxnode_id=202506122&amp;ictv_id=ICTV20186122","ICTV20186122")</f>
        <v>ICTV20186122</v>
      </c>
      <c r="R15075" t="s">
        <v>581</v>
      </c>
      <c r="S15075" t="s">
        <v>824</v>
      </c>
      <c r="T15075">
        <v>39</v>
      </c>
      <c r="U15075" s="26" t="str">
        <f t="shared" si="565"/>
        <v>2023.012S.Coronaviridae_54sprenamed-.zip</v>
      </c>
    </row>
    <row r="15076" spans="1:21">
      <c r="A15076">
        <v>15075</v>
      </c>
      <c r="B15076" s="27" t="s">
        <v>1124</v>
      </c>
      <c r="D15076" s="27" t="s">
        <v>1859</v>
      </c>
      <c r="F15076" s="27" t="s">
        <v>1909</v>
      </c>
      <c r="H15076" s="27" t="s">
        <v>1912</v>
      </c>
      <c r="J15076" s="27" t="s">
        <v>348</v>
      </c>
      <c r="K15076" s="27" t="s">
        <v>1026</v>
      </c>
      <c r="L15076" s="27" t="s">
        <v>334</v>
      </c>
      <c r="M15076" s="27" t="s">
        <v>1033</v>
      </c>
      <c r="N15076" s="27" t="s">
        <v>409</v>
      </c>
      <c r="O15076" s="27" t="s">
        <v>1036</v>
      </c>
      <c r="P15076" s="27" t="s">
        <v>17141</v>
      </c>
      <c r="Q15076" s="26" t="str">
        <f>HYPERLINK("https://ictv.global/taxonomy/taxondetails?taxnode_id=202501856&amp;ictv_id=ICTV20151214","ICTV20151214")</f>
        <v>ICTV20151214</v>
      </c>
      <c r="R15076" t="s">
        <v>581</v>
      </c>
      <c r="S15076" t="s">
        <v>824</v>
      </c>
      <c r="T15076">
        <v>39</v>
      </c>
      <c r="U15076" s="26" t="str">
        <f t="shared" si="565"/>
        <v>2023.012S.Coronaviridae_54sprenamed-.zip</v>
      </c>
    </row>
    <row r="15077" spans="1:21">
      <c r="A15077">
        <v>15076</v>
      </c>
      <c r="B15077" s="27" t="s">
        <v>1124</v>
      </c>
      <c r="D15077" s="27" t="s">
        <v>1859</v>
      </c>
      <c r="F15077" s="27" t="s">
        <v>1909</v>
      </c>
      <c r="H15077" s="27" t="s">
        <v>1912</v>
      </c>
      <c r="J15077" s="27" t="s">
        <v>348</v>
      </c>
      <c r="K15077" s="27" t="s">
        <v>1026</v>
      </c>
      <c r="L15077" s="27" t="s">
        <v>334</v>
      </c>
      <c r="M15077" s="27" t="s">
        <v>1033</v>
      </c>
      <c r="N15077" s="27" t="s">
        <v>409</v>
      </c>
      <c r="O15077" s="27" t="s">
        <v>1044</v>
      </c>
      <c r="P15077" s="27" t="s">
        <v>17142</v>
      </c>
      <c r="Q15077" s="26" t="str">
        <f>HYPERLINK("https://ictv.global/taxonomy/taxondetails?taxnode_id=202501855&amp;ictv_id=ICTV20095327","ICTV20095327")</f>
        <v>ICTV20095327</v>
      </c>
      <c r="R15077" t="s">
        <v>581</v>
      </c>
      <c r="S15077" t="s">
        <v>824</v>
      </c>
      <c r="T15077">
        <v>39</v>
      </c>
      <c r="U15077" s="26" t="str">
        <f t="shared" si="565"/>
        <v>2023.012S.Coronaviridae_54sprenamed-.zip</v>
      </c>
    </row>
    <row r="15078" spans="1:21">
      <c r="A15078">
        <v>15077</v>
      </c>
      <c r="B15078" s="27" t="s">
        <v>1124</v>
      </c>
      <c r="D15078" s="27" t="s">
        <v>1859</v>
      </c>
      <c r="F15078" s="27" t="s">
        <v>1909</v>
      </c>
      <c r="H15078" s="27" t="s">
        <v>1912</v>
      </c>
      <c r="J15078" s="27" t="s">
        <v>348</v>
      </c>
      <c r="K15078" s="27" t="s">
        <v>1026</v>
      </c>
      <c r="L15078" s="27" t="s">
        <v>334</v>
      </c>
      <c r="M15078" s="27" t="s">
        <v>1033</v>
      </c>
      <c r="N15078" s="27" t="s">
        <v>409</v>
      </c>
      <c r="O15078" s="27" t="s">
        <v>1044</v>
      </c>
      <c r="P15078" s="27" t="s">
        <v>17143</v>
      </c>
      <c r="Q15078" s="26" t="str">
        <f>HYPERLINK("https://ictv.global/taxonomy/taxondetails?taxnode_id=202501854&amp;ictv_id=ICTV20095326","ICTV20095326")</f>
        <v>ICTV20095326</v>
      </c>
      <c r="R15078" t="s">
        <v>581</v>
      </c>
      <c r="S15078" t="s">
        <v>824</v>
      </c>
      <c r="T15078">
        <v>39</v>
      </c>
      <c r="U15078" s="26" t="str">
        <f t="shared" si="565"/>
        <v>2023.012S.Coronaviridae_54sprenamed-.zip</v>
      </c>
    </row>
    <row r="15079" spans="1:21">
      <c r="A15079">
        <v>15078</v>
      </c>
      <c r="B15079" s="27" t="s">
        <v>1124</v>
      </c>
      <c r="D15079" s="27" t="s">
        <v>1859</v>
      </c>
      <c r="F15079" s="27" t="s">
        <v>1909</v>
      </c>
      <c r="H15079" s="27" t="s">
        <v>1912</v>
      </c>
      <c r="J15079" s="27" t="s">
        <v>348</v>
      </c>
      <c r="K15079" s="27" t="s">
        <v>1026</v>
      </c>
      <c r="L15079" s="27" t="s">
        <v>334</v>
      </c>
      <c r="M15079" s="27" t="s">
        <v>1033</v>
      </c>
      <c r="N15079" s="27" t="s">
        <v>409</v>
      </c>
      <c r="O15079" s="27" t="s">
        <v>1037</v>
      </c>
      <c r="P15079" s="27" t="s">
        <v>17144</v>
      </c>
      <c r="Q15079" s="26" t="str">
        <f>HYPERLINK("https://ictv.global/taxonomy/taxondetails?taxnode_id=202506119&amp;ictv_id=ICTV20186119","ICTV20186119")</f>
        <v>ICTV20186119</v>
      </c>
      <c r="R15079" t="s">
        <v>581</v>
      </c>
      <c r="S15079" t="s">
        <v>824</v>
      </c>
      <c r="T15079">
        <v>39</v>
      </c>
      <c r="U15079" s="26" t="str">
        <f t="shared" si="565"/>
        <v>2023.012S.Coronaviridae_54sprenamed-.zip</v>
      </c>
    </row>
    <row r="15080" spans="1:21">
      <c r="A15080">
        <v>15079</v>
      </c>
      <c r="B15080" s="27" t="s">
        <v>1124</v>
      </c>
      <c r="D15080" s="27" t="s">
        <v>1859</v>
      </c>
      <c r="F15080" s="27" t="s">
        <v>1909</v>
      </c>
      <c r="H15080" s="27" t="s">
        <v>1912</v>
      </c>
      <c r="J15080" s="27" t="s">
        <v>348</v>
      </c>
      <c r="K15080" s="27" t="s">
        <v>1026</v>
      </c>
      <c r="L15080" s="27" t="s">
        <v>334</v>
      </c>
      <c r="M15080" s="27" t="s">
        <v>1033</v>
      </c>
      <c r="N15080" s="27" t="s">
        <v>409</v>
      </c>
      <c r="O15080" s="27" t="s">
        <v>1038</v>
      </c>
      <c r="P15080" s="27" t="s">
        <v>17145</v>
      </c>
      <c r="Q15080" s="26" t="str">
        <f>HYPERLINK("https://ictv.global/taxonomy/taxondetails?taxnode_id=202513900&amp;ictv_id=ICTV202113900","ICTV202113900")</f>
        <v>ICTV202113900</v>
      </c>
      <c r="R15080" t="s">
        <v>581</v>
      </c>
      <c r="S15080" t="s">
        <v>824</v>
      </c>
      <c r="T15080">
        <v>39</v>
      </c>
      <c r="U15080" s="26" t="str">
        <f t="shared" si="565"/>
        <v>2023.012S.Coronaviridae_54sprenamed-.zip</v>
      </c>
    </row>
    <row r="15081" spans="1:21">
      <c r="A15081">
        <v>15080</v>
      </c>
      <c r="B15081" s="27" t="s">
        <v>1124</v>
      </c>
      <c r="D15081" s="27" t="s">
        <v>1859</v>
      </c>
      <c r="F15081" s="27" t="s">
        <v>1909</v>
      </c>
      <c r="H15081" s="27" t="s">
        <v>1912</v>
      </c>
      <c r="J15081" s="27" t="s">
        <v>348</v>
      </c>
      <c r="K15081" s="27" t="s">
        <v>1026</v>
      </c>
      <c r="L15081" s="27" t="s">
        <v>334</v>
      </c>
      <c r="M15081" s="27" t="s">
        <v>1033</v>
      </c>
      <c r="N15081" s="27" t="s">
        <v>409</v>
      </c>
      <c r="O15081" s="27" t="s">
        <v>1038</v>
      </c>
      <c r="P15081" s="27" t="s">
        <v>17146</v>
      </c>
      <c r="Q15081" s="26" t="str">
        <f>HYPERLINK("https://ictv.global/taxonomy/taxondetails?taxnode_id=202506120&amp;ictv_id=ICTV20186120","ICTV20186120")</f>
        <v>ICTV20186120</v>
      </c>
      <c r="R15081" t="s">
        <v>581</v>
      </c>
      <c r="S15081" t="s">
        <v>824</v>
      </c>
      <c r="T15081">
        <v>39</v>
      </c>
      <c r="U15081" s="26" t="str">
        <f t="shared" si="565"/>
        <v>2023.012S.Coronaviridae_54sprenamed-.zip</v>
      </c>
    </row>
    <row r="15082" spans="1:21">
      <c r="A15082">
        <v>15081</v>
      </c>
      <c r="B15082" s="27" t="s">
        <v>1124</v>
      </c>
      <c r="D15082" s="27" t="s">
        <v>1859</v>
      </c>
      <c r="F15082" s="27" t="s">
        <v>1909</v>
      </c>
      <c r="H15082" s="27" t="s">
        <v>1912</v>
      </c>
      <c r="J15082" s="27" t="s">
        <v>348</v>
      </c>
      <c r="K15082" s="27" t="s">
        <v>1026</v>
      </c>
      <c r="L15082" s="27" t="s">
        <v>334</v>
      </c>
      <c r="M15082" s="27" t="s">
        <v>1033</v>
      </c>
      <c r="N15082" s="27" t="s">
        <v>409</v>
      </c>
      <c r="O15082" s="27" t="s">
        <v>1038</v>
      </c>
      <c r="P15082" s="27" t="s">
        <v>17147</v>
      </c>
      <c r="Q15082" s="26" t="str">
        <f>HYPERLINK("https://ictv.global/taxonomy/taxondetails?taxnode_id=202507490&amp;ictv_id=ICTV201907490","ICTV201907490")</f>
        <v>ICTV201907490</v>
      </c>
      <c r="R15082" t="s">
        <v>581</v>
      </c>
      <c r="S15082" t="s">
        <v>824</v>
      </c>
      <c r="T15082">
        <v>39</v>
      </c>
      <c r="U15082" s="26" t="str">
        <f t="shared" si="565"/>
        <v>2023.012S.Coronaviridae_54sprenamed-.zip</v>
      </c>
    </row>
    <row r="15083" spans="1:21">
      <c r="A15083">
        <v>15082</v>
      </c>
      <c r="B15083" s="27" t="s">
        <v>1124</v>
      </c>
      <c r="D15083" s="27" t="s">
        <v>1859</v>
      </c>
      <c r="F15083" s="27" t="s">
        <v>1909</v>
      </c>
      <c r="H15083" s="27" t="s">
        <v>1912</v>
      </c>
      <c r="J15083" s="27" t="s">
        <v>348</v>
      </c>
      <c r="K15083" s="27" t="s">
        <v>1026</v>
      </c>
      <c r="L15083" s="27" t="s">
        <v>334</v>
      </c>
      <c r="M15083" s="27" t="s">
        <v>1033</v>
      </c>
      <c r="N15083" s="27" t="s">
        <v>409</v>
      </c>
      <c r="O15083" s="27" t="s">
        <v>1038</v>
      </c>
      <c r="P15083" s="27" t="s">
        <v>17148</v>
      </c>
      <c r="Q15083" s="26" t="str">
        <f>HYPERLINK("https://ictv.global/taxonomy/taxondetails?taxnode_id=202513901&amp;ictv_id=ICTV202113901","ICTV202113901")</f>
        <v>ICTV202113901</v>
      </c>
      <c r="R15083" t="s">
        <v>581</v>
      </c>
      <c r="S15083" t="s">
        <v>824</v>
      </c>
      <c r="T15083">
        <v>39</v>
      </c>
      <c r="U15083" s="26" t="str">
        <f t="shared" si="565"/>
        <v>2023.012S.Coronaviridae_54sprenamed-.zip</v>
      </c>
    </row>
    <row r="15084" spans="1:21">
      <c r="A15084">
        <v>15083</v>
      </c>
      <c r="B15084" s="27" t="s">
        <v>1124</v>
      </c>
      <c r="D15084" s="27" t="s">
        <v>1859</v>
      </c>
      <c r="F15084" s="27" t="s">
        <v>1909</v>
      </c>
      <c r="H15084" s="27" t="s">
        <v>1912</v>
      </c>
      <c r="J15084" s="27" t="s">
        <v>348</v>
      </c>
      <c r="K15084" s="27" t="s">
        <v>1026</v>
      </c>
      <c r="L15084" s="27" t="s">
        <v>334</v>
      </c>
      <c r="M15084" s="27" t="s">
        <v>1033</v>
      </c>
      <c r="N15084" s="27" t="s">
        <v>409</v>
      </c>
      <c r="O15084" s="27" t="s">
        <v>1040</v>
      </c>
      <c r="P15084" s="27" t="s">
        <v>17149</v>
      </c>
      <c r="Q15084" s="26" t="str">
        <f>HYPERLINK("https://ictv.global/taxonomy/taxondetails?taxnode_id=202513897&amp;ictv_id=ICTV202113897","ICTV202113897")</f>
        <v>ICTV202113897</v>
      </c>
      <c r="R15084" t="s">
        <v>581</v>
      </c>
      <c r="S15084" t="s">
        <v>824</v>
      </c>
      <c r="T15084">
        <v>39</v>
      </c>
      <c r="U15084" s="26" t="str">
        <f t="shared" si="565"/>
        <v>2023.012S.Coronaviridae_54sprenamed-.zip</v>
      </c>
    </row>
    <row r="15085" spans="1:21">
      <c r="A15085">
        <v>15084</v>
      </c>
      <c r="B15085" s="27" t="s">
        <v>1124</v>
      </c>
      <c r="D15085" s="27" t="s">
        <v>1859</v>
      </c>
      <c r="F15085" s="27" t="s">
        <v>1909</v>
      </c>
      <c r="H15085" s="27" t="s">
        <v>1912</v>
      </c>
      <c r="J15085" s="27" t="s">
        <v>348</v>
      </c>
      <c r="K15085" s="27" t="s">
        <v>1026</v>
      </c>
      <c r="L15085" s="27" t="s">
        <v>334</v>
      </c>
      <c r="M15085" s="27" t="s">
        <v>1033</v>
      </c>
      <c r="N15085" s="27" t="s">
        <v>409</v>
      </c>
      <c r="O15085" s="27" t="s">
        <v>1040</v>
      </c>
      <c r="P15085" s="27" t="s">
        <v>17150</v>
      </c>
      <c r="Q15085" s="26" t="str">
        <f>HYPERLINK("https://ictv.global/taxonomy/taxondetails?taxnode_id=202513896&amp;ictv_id=ICTV202113896","ICTV202113896")</f>
        <v>ICTV202113896</v>
      </c>
      <c r="R15085" t="s">
        <v>581</v>
      </c>
      <c r="S15085" t="s">
        <v>824</v>
      </c>
      <c r="T15085">
        <v>39</v>
      </c>
      <c r="U15085" s="26" t="str">
        <f t="shared" si="565"/>
        <v>2023.012S.Coronaviridae_54sprenamed-.zip</v>
      </c>
    </row>
    <row r="15086" spans="1:21">
      <c r="A15086">
        <v>15085</v>
      </c>
      <c r="B15086" s="27" t="s">
        <v>1124</v>
      </c>
      <c r="D15086" s="27" t="s">
        <v>1859</v>
      </c>
      <c r="F15086" s="27" t="s">
        <v>1909</v>
      </c>
      <c r="H15086" s="27" t="s">
        <v>1912</v>
      </c>
      <c r="J15086" s="27" t="s">
        <v>348</v>
      </c>
      <c r="K15086" s="27" t="s">
        <v>1026</v>
      </c>
      <c r="L15086" s="27" t="s">
        <v>334</v>
      </c>
      <c r="M15086" s="27" t="s">
        <v>1033</v>
      </c>
      <c r="N15086" s="27" t="s">
        <v>409</v>
      </c>
      <c r="O15086" s="27" t="s">
        <v>1040</v>
      </c>
      <c r="P15086" s="27" t="s">
        <v>17151</v>
      </c>
      <c r="Q15086" s="26" t="str">
        <f>HYPERLINK("https://ictv.global/taxonomy/taxondetails?taxnode_id=202501857&amp;ictv_id=ICTV19950877","ICTV19950877")</f>
        <v>ICTV19950877</v>
      </c>
      <c r="R15086" t="s">
        <v>581</v>
      </c>
      <c r="S15086" t="s">
        <v>824</v>
      </c>
      <c r="T15086">
        <v>39</v>
      </c>
      <c r="U15086" s="26" t="str">
        <f t="shared" si="565"/>
        <v>2023.012S.Coronaviridae_54sprenamed-.zip</v>
      </c>
    </row>
    <row r="15087" spans="1:21">
      <c r="A15087">
        <v>15086</v>
      </c>
      <c r="B15087" s="27" t="s">
        <v>1124</v>
      </c>
      <c r="D15087" s="27" t="s">
        <v>1859</v>
      </c>
      <c r="F15087" s="27" t="s">
        <v>1909</v>
      </c>
      <c r="H15087" s="27" t="s">
        <v>1912</v>
      </c>
      <c r="J15087" s="27" t="s">
        <v>348</v>
      </c>
      <c r="K15087" s="27" t="s">
        <v>1026</v>
      </c>
      <c r="L15087" s="27" t="s">
        <v>334</v>
      </c>
      <c r="M15087" s="27" t="s">
        <v>1033</v>
      </c>
      <c r="N15087" s="27" t="s">
        <v>409</v>
      </c>
      <c r="O15087" s="27" t="s">
        <v>1040</v>
      </c>
      <c r="P15087" s="27" t="s">
        <v>17152</v>
      </c>
      <c r="Q15087" s="26" t="str">
        <f>HYPERLINK("https://ictv.global/taxonomy/taxondetails?taxnode_id=202501859&amp;ictv_id=ICTV20095329","ICTV20095329")</f>
        <v>ICTV20095329</v>
      </c>
      <c r="R15087" t="s">
        <v>581</v>
      </c>
      <c r="S15087" t="s">
        <v>824</v>
      </c>
      <c r="T15087">
        <v>39</v>
      </c>
      <c r="U15087" s="26" t="str">
        <f t="shared" si="565"/>
        <v>2023.012S.Coronaviridae_54sprenamed-.zip</v>
      </c>
    </row>
    <row r="15088" spans="1:21">
      <c r="A15088">
        <v>15087</v>
      </c>
      <c r="B15088" s="27" t="s">
        <v>1124</v>
      </c>
      <c r="D15088" s="27" t="s">
        <v>1859</v>
      </c>
      <c r="F15088" s="27" t="s">
        <v>1909</v>
      </c>
      <c r="H15088" s="27" t="s">
        <v>1912</v>
      </c>
      <c r="J15088" s="27" t="s">
        <v>348</v>
      </c>
      <c r="K15088" s="27" t="s">
        <v>1026</v>
      </c>
      <c r="L15088" s="27" t="s">
        <v>334</v>
      </c>
      <c r="M15088" s="27" t="s">
        <v>1033</v>
      </c>
      <c r="N15088" s="27" t="s">
        <v>409</v>
      </c>
      <c r="O15088" s="27" t="s">
        <v>1042</v>
      </c>
      <c r="P15088" s="27" t="s">
        <v>17153</v>
      </c>
      <c r="Q15088" s="26" t="str">
        <f>HYPERLINK("https://ictv.global/taxonomy/taxondetails?taxnode_id=202501858&amp;ictv_id=ICTV20095328","ICTV20095328")</f>
        <v>ICTV20095328</v>
      </c>
      <c r="R15088" t="s">
        <v>581</v>
      </c>
      <c r="S15088" t="s">
        <v>824</v>
      </c>
      <c r="T15088">
        <v>39</v>
      </c>
      <c r="U15088" s="26" t="str">
        <f t="shared" si="565"/>
        <v>2023.012S.Coronaviridae_54sprenamed-.zip</v>
      </c>
    </row>
    <row r="15089" spans="1:21">
      <c r="A15089">
        <v>15088</v>
      </c>
      <c r="B15089" s="27" t="s">
        <v>1124</v>
      </c>
      <c r="D15089" s="27" t="s">
        <v>1859</v>
      </c>
      <c r="F15089" s="27" t="s">
        <v>1909</v>
      </c>
      <c r="H15089" s="27" t="s">
        <v>1912</v>
      </c>
      <c r="J15089" s="27" t="s">
        <v>348</v>
      </c>
      <c r="K15089" s="27" t="s">
        <v>1026</v>
      </c>
      <c r="L15089" s="27" t="s">
        <v>334</v>
      </c>
      <c r="M15089" s="27" t="s">
        <v>1033</v>
      </c>
      <c r="N15089" s="27" t="s">
        <v>409</v>
      </c>
      <c r="O15089" s="27" t="s">
        <v>1043</v>
      </c>
      <c r="P15089" s="27" t="s">
        <v>17154</v>
      </c>
      <c r="Q15089" s="26" t="str">
        <f>HYPERLINK("https://ictv.global/taxonomy/taxondetails?taxnode_id=202501853&amp;ictv_id=ICTV20083207","ICTV20083207")</f>
        <v>ICTV20083207</v>
      </c>
      <c r="R15089" t="s">
        <v>581</v>
      </c>
      <c r="S15089" t="s">
        <v>824</v>
      </c>
      <c r="T15089">
        <v>39</v>
      </c>
      <c r="U15089" s="26" t="str">
        <f t="shared" si="565"/>
        <v>2023.012S.Coronaviridae_54sprenamed-.zip</v>
      </c>
    </row>
    <row r="15090" spans="1:21">
      <c r="A15090">
        <v>15089</v>
      </c>
      <c r="B15090" s="27" t="s">
        <v>1124</v>
      </c>
      <c r="D15090" s="27" t="s">
        <v>1859</v>
      </c>
      <c r="F15090" s="27" t="s">
        <v>1909</v>
      </c>
      <c r="H15090" s="27" t="s">
        <v>1912</v>
      </c>
      <c r="J15090" s="27" t="s">
        <v>348</v>
      </c>
      <c r="K15090" s="27" t="s">
        <v>1026</v>
      </c>
      <c r="L15090" s="27" t="s">
        <v>334</v>
      </c>
      <c r="M15090" s="27" t="s">
        <v>1033</v>
      </c>
      <c r="N15090" s="27" t="s">
        <v>409</v>
      </c>
      <c r="O15090" s="27" t="s">
        <v>1043</v>
      </c>
      <c r="P15090" s="27" t="s">
        <v>17155</v>
      </c>
      <c r="Q15090" s="26" t="str">
        <f>HYPERLINK("https://ictv.global/taxonomy/taxondetails?taxnode_id=202506112&amp;ictv_id=ICTV20186112","ICTV20186112")</f>
        <v>ICTV20186112</v>
      </c>
      <c r="R15090" t="s">
        <v>581</v>
      </c>
      <c r="S15090" t="s">
        <v>824</v>
      </c>
      <c r="T15090">
        <v>39</v>
      </c>
      <c r="U15090" s="26" t="str">
        <f t="shared" si="565"/>
        <v>2023.012S.Coronaviridae_54sprenamed-.zip</v>
      </c>
    </row>
    <row r="15091" spans="1:21">
      <c r="A15091">
        <v>15090</v>
      </c>
      <c r="B15091" s="27" t="s">
        <v>1124</v>
      </c>
      <c r="D15091" s="27" t="s">
        <v>1859</v>
      </c>
      <c r="F15091" s="27" t="s">
        <v>1909</v>
      </c>
      <c r="H15091" s="27" t="s">
        <v>1912</v>
      </c>
      <c r="J15091" s="27" t="s">
        <v>348</v>
      </c>
      <c r="K15091" s="27" t="s">
        <v>1026</v>
      </c>
      <c r="L15091" s="27" t="s">
        <v>334</v>
      </c>
      <c r="M15091" s="27" t="s">
        <v>1033</v>
      </c>
      <c r="N15091" s="27" t="s">
        <v>409</v>
      </c>
      <c r="O15091" s="27" t="s">
        <v>1927</v>
      </c>
      <c r="P15091" s="27" t="s">
        <v>17156</v>
      </c>
      <c r="Q15091" s="26" t="str">
        <f>HYPERLINK("https://ictv.global/taxonomy/taxondetails?taxnode_id=202507494&amp;ictv_id=ICTV201907494","ICTV201907494")</f>
        <v>ICTV201907494</v>
      </c>
      <c r="R15091" t="s">
        <v>581</v>
      </c>
      <c r="S15091" t="s">
        <v>824</v>
      </c>
      <c r="T15091">
        <v>39</v>
      </c>
      <c r="U15091" s="26" t="str">
        <f t="shared" si="565"/>
        <v>2023.012S.Coronaviridae_54sprenamed-.zip</v>
      </c>
    </row>
    <row r="15092" spans="1:21">
      <c r="A15092">
        <v>15091</v>
      </c>
      <c r="B15092" s="27" t="s">
        <v>1124</v>
      </c>
      <c r="D15092" s="27" t="s">
        <v>1859</v>
      </c>
      <c r="F15092" s="27" t="s">
        <v>1909</v>
      </c>
      <c r="H15092" s="27" t="s">
        <v>1912</v>
      </c>
      <c r="J15092" s="27" t="s">
        <v>348</v>
      </c>
      <c r="K15092" s="27" t="s">
        <v>1026</v>
      </c>
      <c r="L15092" s="27" t="s">
        <v>334</v>
      </c>
      <c r="M15092" s="27" t="s">
        <v>1033</v>
      </c>
      <c r="N15092" s="27" t="s">
        <v>409</v>
      </c>
      <c r="O15092" s="27" t="s">
        <v>1928</v>
      </c>
      <c r="P15092" s="27" t="s">
        <v>17157</v>
      </c>
      <c r="Q15092" s="26" t="str">
        <f>HYPERLINK("https://ictv.global/taxonomy/taxondetails?taxnode_id=202507492&amp;ictv_id=ICTV201907492","ICTV201907492")</f>
        <v>ICTV201907492</v>
      </c>
      <c r="R15092" t="s">
        <v>581</v>
      </c>
      <c r="S15092" t="s">
        <v>824</v>
      </c>
      <c r="T15092">
        <v>39</v>
      </c>
      <c r="U15092" s="26" t="str">
        <f t="shared" si="565"/>
        <v>2023.012S.Coronaviridae_54sprenamed-.zip</v>
      </c>
    </row>
    <row r="15093" spans="1:21">
      <c r="A15093">
        <v>15092</v>
      </c>
      <c r="B15093" s="27" t="s">
        <v>1124</v>
      </c>
      <c r="D15093" s="27" t="s">
        <v>1859</v>
      </c>
      <c r="F15093" s="27" t="s">
        <v>1909</v>
      </c>
      <c r="H15093" s="27" t="s">
        <v>1912</v>
      </c>
      <c r="J15093" s="27" t="s">
        <v>348</v>
      </c>
      <c r="K15093" s="27" t="s">
        <v>1026</v>
      </c>
      <c r="L15093" s="27" t="s">
        <v>334</v>
      </c>
      <c r="M15093" s="27" t="s">
        <v>1033</v>
      </c>
      <c r="N15093" s="27" t="s">
        <v>409</v>
      </c>
      <c r="O15093" s="27" t="s">
        <v>1045</v>
      </c>
      <c r="P15093" s="27" t="s">
        <v>17158</v>
      </c>
      <c r="Q15093" s="26" t="str">
        <f>HYPERLINK("https://ictv.global/taxonomy/taxondetails?taxnode_id=202501849&amp;ictv_id=ICTV20093515","ICTV20093515")</f>
        <v>ICTV20093515</v>
      </c>
      <c r="R15093" t="s">
        <v>581</v>
      </c>
      <c r="S15093" t="s">
        <v>824</v>
      </c>
      <c r="T15093">
        <v>39</v>
      </c>
      <c r="U15093" s="26" t="str">
        <f t="shared" si="565"/>
        <v>2023.012S.Coronaviridae_54sprenamed-.zip</v>
      </c>
    </row>
    <row r="15094" spans="1:21">
      <c r="A15094">
        <v>15093</v>
      </c>
      <c r="B15094" s="27" t="s">
        <v>1124</v>
      </c>
      <c r="D15094" s="27" t="s">
        <v>1859</v>
      </c>
      <c r="F15094" s="27" t="s">
        <v>1909</v>
      </c>
      <c r="H15094" s="27" t="s">
        <v>1912</v>
      </c>
      <c r="J15094" s="27" t="s">
        <v>348</v>
      </c>
      <c r="K15094" s="27" t="s">
        <v>1026</v>
      </c>
      <c r="L15094" s="27" t="s">
        <v>334</v>
      </c>
      <c r="M15094" s="27" t="s">
        <v>1033</v>
      </c>
      <c r="N15094" s="27" t="s">
        <v>144</v>
      </c>
      <c r="O15094" s="27" t="s">
        <v>1049</v>
      </c>
      <c r="P15094" s="27" t="s">
        <v>17159</v>
      </c>
      <c r="Q15094" s="26" t="str">
        <f>HYPERLINK("https://ictv.global/taxonomy/taxondetails?taxnode_id=202501861&amp;ictv_id=ICTV20093523","ICTV20093523")</f>
        <v>ICTV20093523</v>
      </c>
      <c r="R15094" t="s">
        <v>581</v>
      </c>
      <c r="S15094" t="s">
        <v>824</v>
      </c>
      <c r="T15094">
        <v>39</v>
      </c>
      <c r="U15094" s="26" t="str">
        <f t="shared" si="565"/>
        <v>2023.012S.Coronaviridae_54sprenamed-.zip</v>
      </c>
    </row>
    <row r="15095" spans="1:21">
      <c r="A15095">
        <v>15094</v>
      </c>
      <c r="B15095" s="27" t="s">
        <v>1124</v>
      </c>
      <c r="D15095" s="27" t="s">
        <v>1859</v>
      </c>
      <c r="F15095" s="27" t="s">
        <v>1909</v>
      </c>
      <c r="H15095" s="27" t="s">
        <v>1912</v>
      </c>
      <c r="J15095" s="27" t="s">
        <v>348</v>
      </c>
      <c r="K15095" s="27" t="s">
        <v>1026</v>
      </c>
      <c r="L15095" s="27" t="s">
        <v>334</v>
      </c>
      <c r="M15095" s="27" t="s">
        <v>1033</v>
      </c>
      <c r="N15095" s="27" t="s">
        <v>144</v>
      </c>
      <c r="O15095" s="27" t="s">
        <v>1049</v>
      </c>
      <c r="P15095" s="27" t="s">
        <v>17160</v>
      </c>
      <c r="Q15095" s="26" t="str">
        <f>HYPERLINK("https://ictv.global/taxonomy/taxondetails?taxnode_id=202501863&amp;ictv_id=ICTV20083206","ICTV20083206")</f>
        <v>ICTV20083206</v>
      </c>
      <c r="R15095" t="s">
        <v>581</v>
      </c>
      <c r="S15095" t="s">
        <v>824</v>
      </c>
      <c r="T15095">
        <v>39</v>
      </c>
      <c r="U15095" s="26" t="str">
        <f t="shared" si="565"/>
        <v>2023.012S.Coronaviridae_54sprenamed-.zip</v>
      </c>
    </row>
    <row r="15096" spans="1:21">
      <c r="A15096">
        <v>15095</v>
      </c>
      <c r="B15096" s="27" t="s">
        <v>1124</v>
      </c>
      <c r="D15096" s="27" t="s">
        <v>1859</v>
      </c>
      <c r="F15096" s="27" t="s">
        <v>1909</v>
      </c>
      <c r="H15096" s="27" t="s">
        <v>1912</v>
      </c>
      <c r="J15096" s="27" t="s">
        <v>348</v>
      </c>
      <c r="K15096" s="27" t="s">
        <v>1026</v>
      </c>
      <c r="L15096" s="27" t="s">
        <v>334</v>
      </c>
      <c r="M15096" s="27" t="s">
        <v>1033</v>
      </c>
      <c r="N15096" s="27" t="s">
        <v>144</v>
      </c>
      <c r="O15096" s="27" t="s">
        <v>1049</v>
      </c>
      <c r="P15096" s="27" t="s">
        <v>17161</v>
      </c>
      <c r="Q15096" s="26" t="str">
        <f>HYPERLINK("https://ictv.global/taxonomy/taxondetails?taxnode_id=202501865&amp;ictv_id=ICTV20093525","ICTV20093525")</f>
        <v>ICTV20093525</v>
      </c>
      <c r="R15096" t="s">
        <v>581</v>
      </c>
      <c r="S15096" t="s">
        <v>824</v>
      </c>
      <c r="T15096">
        <v>39</v>
      </c>
      <c r="U15096" s="26" t="str">
        <f t="shared" si="565"/>
        <v>2023.012S.Coronaviridae_54sprenamed-.zip</v>
      </c>
    </row>
    <row r="15097" spans="1:21">
      <c r="A15097">
        <v>15096</v>
      </c>
      <c r="B15097" s="27" t="s">
        <v>1124</v>
      </c>
      <c r="D15097" s="27" t="s">
        <v>1859</v>
      </c>
      <c r="F15097" s="27" t="s">
        <v>1909</v>
      </c>
      <c r="H15097" s="27" t="s">
        <v>1912</v>
      </c>
      <c r="J15097" s="27" t="s">
        <v>348</v>
      </c>
      <c r="K15097" s="27" t="s">
        <v>1026</v>
      </c>
      <c r="L15097" s="27" t="s">
        <v>334</v>
      </c>
      <c r="M15097" s="27" t="s">
        <v>1033</v>
      </c>
      <c r="N15097" s="27" t="s">
        <v>144</v>
      </c>
      <c r="O15097" s="27" t="s">
        <v>1049</v>
      </c>
      <c r="P15097" s="27" t="s">
        <v>17162</v>
      </c>
      <c r="Q15097" s="26" t="str">
        <f>HYPERLINK("https://ictv.global/taxonomy/taxondetails?taxnode_id=202507496&amp;ictv_id=ICTV201907496","ICTV201907496")</f>
        <v>ICTV201907496</v>
      </c>
      <c r="R15097" t="s">
        <v>581</v>
      </c>
      <c r="S15097" t="s">
        <v>824</v>
      </c>
      <c r="T15097">
        <v>39</v>
      </c>
      <c r="U15097" s="26" t="str">
        <f t="shared" si="565"/>
        <v>2023.012S.Coronaviridae_54sprenamed-.zip</v>
      </c>
    </row>
    <row r="15098" spans="1:21">
      <c r="A15098">
        <v>15097</v>
      </c>
      <c r="B15098" s="27" t="s">
        <v>1124</v>
      </c>
      <c r="D15098" s="27" t="s">
        <v>1859</v>
      </c>
      <c r="F15098" s="27" t="s">
        <v>1909</v>
      </c>
      <c r="H15098" s="27" t="s">
        <v>1912</v>
      </c>
      <c r="J15098" s="27" t="s">
        <v>348</v>
      </c>
      <c r="K15098" s="27" t="s">
        <v>1026</v>
      </c>
      <c r="L15098" s="27" t="s">
        <v>334</v>
      </c>
      <c r="M15098" s="27" t="s">
        <v>1033</v>
      </c>
      <c r="N15098" s="27" t="s">
        <v>144</v>
      </c>
      <c r="O15098" s="27" t="s">
        <v>1049</v>
      </c>
      <c r="P15098" s="27" t="s">
        <v>17163</v>
      </c>
      <c r="Q15098" s="26" t="str">
        <f>HYPERLINK("https://ictv.global/taxonomy/taxondetails?taxnode_id=202506124&amp;ictv_id=ICTV20186124","ICTV20186124")</f>
        <v>ICTV20186124</v>
      </c>
      <c r="R15098" t="s">
        <v>581</v>
      </c>
      <c r="S15098" t="s">
        <v>824</v>
      </c>
      <c r="T15098">
        <v>39</v>
      </c>
      <c r="U15098" s="26" t="str">
        <f t="shared" si="565"/>
        <v>2023.012S.Coronaviridae_54sprenamed-.zip</v>
      </c>
    </row>
    <row r="15099" spans="1:21">
      <c r="A15099">
        <v>15098</v>
      </c>
      <c r="B15099" s="27" t="s">
        <v>1124</v>
      </c>
      <c r="D15099" s="27" t="s">
        <v>1859</v>
      </c>
      <c r="F15099" s="27" t="s">
        <v>1909</v>
      </c>
      <c r="H15099" s="27" t="s">
        <v>1912</v>
      </c>
      <c r="J15099" s="27" t="s">
        <v>348</v>
      </c>
      <c r="K15099" s="27" t="s">
        <v>1026</v>
      </c>
      <c r="L15099" s="27" t="s">
        <v>334</v>
      </c>
      <c r="M15099" s="27" t="s">
        <v>1033</v>
      </c>
      <c r="N15099" s="27" t="s">
        <v>144</v>
      </c>
      <c r="O15099" s="27" t="s">
        <v>1046</v>
      </c>
      <c r="P15099" s="27" t="s">
        <v>17164</v>
      </c>
      <c r="Q15099" s="26" t="str">
        <f>HYPERLINK("https://ictv.global/taxonomy/taxondetails?taxnode_id=202506131&amp;ictv_id=ICTV20186131","ICTV20186131")</f>
        <v>ICTV20186131</v>
      </c>
      <c r="R15099" t="s">
        <v>581</v>
      </c>
      <c r="S15099" t="s">
        <v>824</v>
      </c>
      <c r="T15099">
        <v>39</v>
      </c>
      <c r="U15099" s="26" t="str">
        <f t="shared" ref="U15099:U15120" si="566">HYPERLINK("https://ictv.global/ictv/proposals/2023.012S.Coronaviridae_54sprenamed-.zip","2023.012S.Coronaviridae_54sprenamed-.zip")</f>
        <v>2023.012S.Coronaviridae_54sprenamed-.zip</v>
      </c>
    </row>
    <row r="15100" spans="1:21">
      <c r="A15100">
        <v>15099</v>
      </c>
      <c r="B15100" s="27" t="s">
        <v>1124</v>
      </c>
      <c r="D15100" s="27" t="s">
        <v>1859</v>
      </c>
      <c r="F15100" s="27" t="s">
        <v>1909</v>
      </c>
      <c r="H15100" s="27" t="s">
        <v>1912</v>
      </c>
      <c r="J15100" s="27" t="s">
        <v>348</v>
      </c>
      <c r="K15100" s="27" t="s">
        <v>1026</v>
      </c>
      <c r="L15100" s="27" t="s">
        <v>334</v>
      </c>
      <c r="M15100" s="27" t="s">
        <v>1033</v>
      </c>
      <c r="N15100" s="27" t="s">
        <v>144</v>
      </c>
      <c r="O15100" s="27" t="s">
        <v>1051</v>
      </c>
      <c r="P15100" s="27" t="s">
        <v>17165</v>
      </c>
      <c r="Q15100" s="26" t="str">
        <f>HYPERLINK("https://ictv.global/taxonomy/taxondetails?taxnode_id=202501864&amp;ictv_id=ICTV20151223","ICTV20151223")</f>
        <v>ICTV20151223</v>
      </c>
      <c r="R15100" t="s">
        <v>581</v>
      </c>
      <c r="S15100" t="s">
        <v>824</v>
      </c>
      <c r="T15100">
        <v>39</v>
      </c>
      <c r="U15100" s="26" t="str">
        <f t="shared" si="566"/>
        <v>2023.012S.Coronaviridae_54sprenamed-.zip</v>
      </c>
    </row>
    <row r="15101" spans="1:21">
      <c r="A15101">
        <v>15100</v>
      </c>
      <c r="B15101" s="27" t="s">
        <v>1124</v>
      </c>
      <c r="D15101" s="27" t="s">
        <v>1859</v>
      </c>
      <c r="F15101" s="27" t="s">
        <v>1909</v>
      </c>
      <c r="H15101" s="27" t="s">
        <v>1912</v>
      </c>
      <c r="J15101" s="27" t="s">
        <v>348</v>
      </c>
      <c r="K15101" s="27" t="s">
        <v>1026</v>
      </c>
      <c r="L15101" s="27" t="s">
        <v>334</v>
      </c>
      <c r="M15101" s="27" t="s">
        <v>1033</v>
      </c>
      <c r="N15101" s="27" t="s">
        <v>144</v>
      </c>
      <c r="O15101" s="27" t="s">
        <v>1051</v>
      </c>
      <c r="P15101" s="27" t="s">
        <v>17166</v>
      </c>
      <c r="Q15101" s="26" t="str">
        <f>HYPERLINK("https://ictv.global/taxonomy/taxondetails?taxnode_id=202501862&amp;ictv_id=ICTV20151224","ICTV20151224")</f>
        <v>ICTV20151224</v>
      </c>
      <c r="R15101" t="s">
        <v>581</v>
      </c>
      <c r="S15101" t="s">
        <v>824</v>
      </c>
      <c r="T15101">
        <v>39</v>
      </c>
      <c r="U15101" s="26" t="str">
        <f t="shared" si="566"/>
        <v>2023.012S.Coronaviridae_54sprenamed-.zip</v>
      </c>
    </row>
    <row r="15102" spans="1:21">
      <c r="A15102">
        <v>15101</v>
      </c>
      <c r="B15102" s="27" t="s">
        <v>1124</v>
      </c>
      <c r="D15102" s="27" t="s">
        <v>1859</v>
      </c>
      <c r="F15102" s="27" t="s">
        <v>1909</v>
      </c>
      <c r="H15102" s="27" t="s">
        <v>1912</v>
      </c>
      <c r="J15102" s="27" t="s">
        <v>348</v>
      </c>
      <c r="K15102" s="27" t="s">
        <v>1026</v>
      </c>
      <c r="L15102" s="27" t="s">
        <v>334</v>
      </c>
      <c r="M15102" s="27" t="s">
        <v>1033</v>
      </c>
      <c r="N15102" s="27" t="s">
        <v>144</v>
      </c>
      <c r="O15102" s="27" t="s">
        <v>1051</v>
      </c>
      <c r="P15102" s="27" t="s">
        <v>17167</v>
      </c>
      <c r="Q15102" s="26" t="str">
        <f>HYPERLINK("https://ictv.global/taxonomy/taxondetails?taxnode_id=202501866&amp;ictv_id=ICTV20095330","ICTV20095330")</f>
        <v>ICTV20095330</v>
      </c>
      <c r="R15102" t="s">
        <v>581</v>
      </c>
      <c r="S15102" t="s">
        <v>824</v>
      </c>
      <c r="T15102">
        <v>39</v>
      </c>
      <c r="U15102" s="26" t="str">
        <f t="shared" si="566"/>
        <v>2023.012S.Coronaviridae_54sprenamed-.zip</v>
      </c>
    </row>
    <row r="15103" spans="1:21">
      <c r="A15103">
        <v>15102</v>
      </c>
      <c r="B15103" s="27" t="s">
        <v>1124</v>
      </c>
      <c r="D15103" s="27" t="s">
        <v>1859</v>
      </c>
      <c r="F15103" s="27" t="s">
        <v>1909</v>
      </c>
      <c r="H15103" s="27" t="s">
        <v>1912</v>
      </c>
      <c r="J15103" s="27" t="s">
        <v>348</v>
      </c>
      <c r="K15103" s="27" t="s">
        <v>1026</v>
      </c>
      <c r="L15103" s="27" t="s">
        <v>334</v>
      </c>
      <c r="M15103" s="27" t="s">
        <v>1033</v>
      </c>
      <c r="N15103" s="27" t="s">
        <v>144</v>
      </c>
      <c r="O15103" s="27" t="s">
        <v>1051</v>
      </c>
      <c r="P15103" s="27" t="s">
        <v>17168</v>
      </c>
      <c r="Q15103" s="26" t="str">
        <f>HYPERLINK("https://ictv.global/taxonomy/taxondetails?taxnode_id=202501869&amp;ictv_id=ICTV20095332","ICTV20095332")</f>
        <v>ICTV20095332</v>
      </c>
      <c r="R15103" t="s">
        <v>581</v>
      </c>
      <c r="S15103" t="s">
        <v>824</v>
      </c>
      <c r="T15103">
        <v>39</v>
      </c>
      <c r="U15103" s="26" t="str">
        <f t="shared" si="566"/>
        <v>2023.012S.Coronaviridae_54sprenamed-.zip</v>
      </c>
    </row>
    <row r="15104" spans="1:21">
      <c r="A15104">
        <v>15103</v>
      </c>
      <c r="B15104" s="27" t="s">
        <v>1124</v>
      </c>
      <c r="D15104" s="27" t="s">
        <v>1859</v>
      </c>
      <c r="F15104" s="27" t="s">
        <v>1909</v>
      </c>
      <c r="H15104" s="27" t="s">
        <v>1912</v>
      </c>
      <c r="J15104" s="27" t="s">
        <v>348</v>
      </c>
      <c r="K15104" s="27" t="s">
        <v>1026</v>
      </c>
      <c r="L15104" s="27" t="s">
        <v>334</v>
      </c>
      <c r="M15104" s="27" t="s">
        <v>1033</v>
      </c>
      <c r="N15104" s="27" t="s">
        <v>144</v>
      </c>
      <c r="O15104" s="27" t="s">
        <v>1047</v>
      </c>
      <c r="P15104" s="27" t="s">
        <v>17169</v>
      </c>
      <c r="Q15104" s="26" t="str">
        <f>HYPERLINK("https://ictv.global/taxonomy/taxondetails?taxnode_id=202506128&amp;ictv_id=ICTV20186128","ICTV20186128")</f>
        <v>ICTV20186128</v>
      </c>
      <c r="R15104" t="s">
        <v>581</v>
      </c>
      <c r="S15104" t="s">
        <v>824</v>
      </c>
      <c r="T15104">
        <v>39</v>
      </c>
      <c r="U15104" s="26" t="str">
        <f t="shared" si="566"/>
        <v>2023.012S.Coronaviridae_54sprenamed-.zip</v>
      </c>
    </row>
    <row r="15105" spans="1:21">
      <c r="A15105">
        <v>15104</v>
      </c>
      <c r="B15105" s="27" t="s">
        <v>1124</v>
      </c>
      <c r="D15105" s="27" t="s">
        <v>1859</v>
      </c>
      <c r="F15105" s="27" t="s">
        <v>1909</v>
      </c>
      <c r="H15105" s="27" t="s">
        <v>1912</v>
      </c>
      <c r="J15105" s="27" t="s">
        <v>348</v>
      </c>
      <c r="K15105" s="27" t="s">
        <v>1026</v>
      </c>
      <c r="L15105" s="27" t="s">
        <v>334</v>
      </c>
      <c r="M15105" s="27" t="s">
        <v>1033</v>
      </c>
      <c r="N15105" s="27" t="s">
        <v>144</v>
      </c>
      <c r="O15105" s="27" t="s">
        <v>1047</v>
      </c>
      <c r="P15105" s="27" t="s">
        <v>17170</v>
      </c>
      <c r="Q15105" s="26" t="str">
        <f>HYPERLINK("https://ictv.global/taxonomy/taxondetails?taxnode_id=202507495&amp;ictv_id=ICTV201907495","ICTV201907495")</f>
        <v>ICTV201907495</v>
      </c>
      <c r="R15105" t="s">
        <v>581</v>
      </c>
      <c r="S15105" t="s">
        <v>824</v>
      </c>
      <c r="T15105">
        <v>39</v>
      </c>
      <c r="U15105" s="26" t="str">
        <f t="shared" si="566"/>
        <v>2023.012S.Coronaviridae_54sprenamed-.zip</v>
      </c>
    </row>
    <row r="15106" spans="1:21">
      <c r="A15106">
        <v>15105</v>
      </c>
      <c r="B15106" s="27" t="s">
        <v>1124</v>
      </c>
      <c r="D15106" s="27" t="s">
        <v>1859</v>
      </c>
      <c r="F15106" s="27" t="s">
        <v>1909</v>
      </c>
      <c r="H15106" s="27" t="s">
        <v>1912</v>
      </c>
      <c r="J15106" s="27" t="s">
        <v>348</v>
      </c>
      <c r="K15106" s="27" t="s">
        <v>1026</v>
      </c>
      <c r="L15106" s="27" t="s">
        <v>334</v>
      </c>
      <c r="M15106" s="27" t="s">
        <v>1033</v>
      </c>
      <c r="N15106" s="27" t="s">
        <v>144</v>
      </c>
      <c r="O15106" s="27" t="s">
        <v>1047</v>
      </c>
      <c r="P15106" s="27" t="s">
        <v>17171</v>
      </c>
      <c r="Q15106" s="26" t="str">
        <f>HYPERLINK("https://ictv.global/taxonomy/taxondetails?taxnode_id=202501867&amp;ictv_id=ICTV20095331","ICTV20095331")</f>
        <v>ICTV20095331</v>
      </c>
      <c r="R15106" t="s">
        <v>581</v>
      </c>
      <c r="S15106" t="s">
        <v>824</v>
      </c>
      <c r="T15106">
        <v>39</v>
      </c>
      <c r="U15106" s="26" t="str">
        <f t="shared" si="566"/>
        <v>2023.012S.Coronaviridae_54sprenamed-.zip</v>
      </c>
    </row>
    <row r="15107" spans="1:21">
      <c r="A15107">
        <v>15106</v>
      </c>
      <c r="B15107" s="27" t="s">
        <v>1124</v>
      </c>
      <c r="D15107" s="27" t="s">
        <v>1859</v>
      </c>
      <c r="F15107" s="27" t="s">
        <v>1909</v>
      </c>
      <c r="H15107" s="27" t="s">
        <v>1912</v>
      </c>
      <c r="J15107" s="27" t="s">
        <v>348</v>
      </c>
      <c r="K15107" s="27" t="s">
        <v>1026</v>
      </c>
      <c r="L15107" s="27" t="s">
        <v>334</v>
      </c>
      <c r="M15107" s="27" t="s">
        <v>1033</v>
      </c>
      <c r="N15107" s="27" t="s">
        <v>144</v>
      </c>
      <c r="O15107" s="27" t="s">
        <v>1048</v>
      </c>
      <c r="P15107" s="27" t="s">
        <v>17172</v>
      </c>
      <c r="Q15107" s="26" t="str">
        <f>HYPERLINK("https://ictv.global/taxonomy/taxondetails?taxnode_id=202501868&amp;ictv_id=ICTV20040588","ICTV20040588")</f>
        <v>ICTV20040588</v>
      </c>
      <c r="R15107" t="s">
        <v>581</v>
      </c>
      <c r="S15107" t="s">
        <v>824</v>
      </c>
      <c r="T15107">
        <v>39</v>
      </c>
      <c r="U15107" s="26" t="str">
        <f t="shared" si="566"/>
        <v>2023.012S.Coronaviridae_54sprenamed-.zip</v>
      </c>
    </row>
    <row r="15108" spans="1:21">
      <c r="A15108">
        <v>15107</v>
      </c>
      <c r="B15108" s="27" t="s">
        <v>1124</v>
      </c>
      <c r="D15108" s="27" t="s">
        <v>1859</v>
      </c>
      <c r="F15108" s="27" t="s">
        <v>1909</v>
      </c>
      <c r="H15108" s="27" t="s">
        <v>1912</v>
      </c>
      <c r="J15108" s="27" t="s">
        <v>348</v>
      </c>
      <c r="K15108" s="27" t="s">
        <v>1026</v>
      </c>
      <c r="L15108" s="27" t="s">
        <v>334</v>
      </c>
      <c r="M15108" s="27" t="s">
        <v>1033</v>
      </c>
      <c r="N15108" s="27" t="s">
        <v>0</v>
      </c>
      <c r="O15108" s="27" t="s">
        <v>1054</v>
      </c>
      <c r="P15108" s="27" t="s">
        <v>17173</v>
      </c>
      <c r="Q15108" s="26" t="str">
        <f>HYPERLINK("https://ictv.global/taxonomy/taxondetails?taxnode_id=202501878&amp;ictv_id=ICTV20151232","ICTV20151232")</f>
        <v>ICTV20151232</v>
      </c>
      <c r="R15108" t="s">
        <v>581</v>
      </c>
      <c r="S15108" t="s">
        <v>824</v>
      </c>
      <c r="T15108">
        <v>39</v>
      </c>
      <c r="U15108" s="26" t="str">
        <f t="shared" si="566"/>
        <v>2023.012S.Coronaviridae_54sprenamed-.zip</v>
      </c>
    </row>
    <row r="15109" spans="1:21">
      <c r="A15109">
        <v>15108</v>
      </c>
      <c r="B15109" s="27" t="s">
        <v>1124</v>
      </c>
      <c r="D15109" s="27" t="s">
        <v>1859</v>
      </c>
      <c r="F15109" s="27" t="s">
        <v>1909</v>
      </c>
      <c r="H15109" s="27" t="s">
        <v>1912</v>
      </c>
      <c r="J15109" s="27" t="s">
        <v>348</v>
      </c>
      <c r="K15109" s="27" t="s">
        <v>1026</v>
      </c>
      <c r="L15109" s="27" t="s">
        <v>334</v>
      </c>
      <c r="M15109" s="27" t="s">
        <v>1033</v>
      </c>
      <c r="N15109" s="27" t="s">
        <v>0</v>
      </c>
      <c r="O15109" s="27" t="s">
        <v>1050</v>
      </c>
      <c r="P15109" s="27" t="s">
        <v>17174</v>
      </c>
      <c r="Q15109" s="26" t="str">
        <f>HYPERLINK("https://ictv.global/taxonomy/taxondetails?taxnode_id=202501872&amp;ictv_id=ICTV20151233","ICTV20151233")</f>
        <v>ICTV20151233</v>
      </c>
      <c r="R15109" t="s">
        <v>581</v>
      </c>
      <c r="S15109" t="s">
        <v>824</v>
      </c>
      <c r="T15109">
        <v>39</v>
      </c>
      <c r="U15109" s="26" t="str">
        <f t="shared" si="566"/>
        <v>2023.012S.Coronaviridae_54sprenamed-.zip</v>
      </c>
    </row>
    <row r="15110" spans="1:21">
      <c r="A15110">
        <v>15109</v>
      </c>
      <c r="B15110" s="27" t="s">
        <v>1124</v>
      </c>
      <c r="D15110" s="27" t="s">
        <v>1859</v>
      </c>
      <c r="F15110" s="27" t="s">
        <v>1909</v>
      </c>
      <c r="H15110" s="27" t="s">
        <v>1912</v>
      </c>
      <c r="J15110" s="27" t="s">
        <v>348</v>
      </c>
      <c r="K15110" s="27" t="s">
        <v>1026</v>
      </c>
      <c r="L15110" s="27" t="s">
        <v>334</v>
      </c>
      <c r="M15110" s="27" t="s">
        <v>1033</v>
      </c>
      <c r="N15110" s="27" t="s">
        <v>0</v>
      </c>
      <c r="O15110" s="27" t="s">
        <v>1050</v>
      </c>
      <c r="P15110" s="27" t="s">
        <v>17175</v>
      </c>
      <c r="Q15110" s="26" t="str">
        <f>HYPERLINK("https://ictv.global/taxonomy/taxondetails?taxnode_id=202501874&amp;ictv_id=ICTV20115698","ICTV20115698")</f>
        <v>ICTV20115698</v>
      </c>
      <c r="R15110" t="s">
        <v>581</v>
      </c>
      <c r="S15110" t="s">
        <v>824</v>
      </c>
      <c r="T15110">
        <v>39</v>
      </c>
      <c r="U15110" s="26" t="str">
        <f t="shared" si="566"/>
        <v>2023.012S.Coronaviridae_54sprenamed-.zip</v>
      </c>
    </row>
    <row r="15111" spans="1:21">
      <c r="A15111">
        <v>15110</v>
      </c>
      <c r="B15111" s="27" t="s">
        <v>1124</v>
      </c>
      <c r="D15111" s="27" t="s">
        <v>1859</v>
      </c>
      <c r="F15111" s="27" t="s">
        <v>1909</v>
      </c>
      <c r="H15111" s="27" t="s">
        <v>1912</v>
      </c>
      <c r="J15111" s="27" t="s">
        <v>348</v>
      </c>
      <c r="K15111" s="27" t="s">
        <v>1026</v>
      </c>
      <c r="L15111" s="27" t="s">
        <v>334</v>
      </c>
      <c r="M15111" s="27" t="s">
        <v>1033</v>
      </c>
      <c r="N15111" s="27" t="s">
        <v>0</v>
      </c>
      <c r="O15111" s="27" t="s">
        <v>1050</v>
      </c>
      <c r="P15111" s="27" t="s">
        <v>17176</v>
      </c>
      <c r="Q15111" s="26" t="str">
        <f>HYPERLINK("https://ictv.global/taxonomy/taxondetails?taxnode_id=202501871&amp;ictv_id=ICTV20115671","ICTV20115671")</f>
        <v>ICTV20115671</v>
      </c>
      <c r="R15111" t="s">
        <v>581</v>
      </c>
      <c r="S15111" t="s">
        <v>824</v>
      </c>
      <c r="T15111">
        <v>39</v>
      </c>
      <c r="U15111" s="26" t="str">
        <f t="shared" si="566"/>
        <v>2023.012S.Coronaviridae_54sprenamed-.zip</v>
      </c>
    </row>
    <row r="15112" spans="1:21">
      <c r="A15112">
        <v>15111</v>
      </c>
      <c r="B15112" s="27" t="s">
        <v>1124</v>
      </c>
      <c r="D15112" s="27" t="s">
        <v>1859</v>
      </c>
      <c r="F15112" s="27" t="s">
        <v>1909</v>
      </c>
      <c r="H15112" s="27" t="s">
        <v>1912</v>
      </c>
      <c r="J15112" s="27" t="s">
        <v>348</v>
      </c>
      <c r="K15112" s="27" t="s">
        <v>1026</v>
      </c>
      <c r="L15112" s="27" t="s">
        <v>334</v>
      </c>
      <c r="M15112" s="27" t="s">
        <v>1033</v>
      </c>
      <c r="N15112" s="27" t="s">
        <v>0</v>
      </c>
      <c r="O15112" s="27" t="s">
        <v>1050</v>
      </c>
      <c r="P15112" s="27" t="s">
        <v>17177</v>
      </c>
      <c r="Q15112" s="26" t="str">
        <f>HYPERLINK("https://ictv.global/taxonomy/taxondetails?taxnode_id=202501873&amp;ictv_id=ICTV20151229","ICTV20151229")</f>
        <v>ICTV20151229</v>
      </c>
      <c r="R15112" t="s">
        <v>581</v>
      </c>
      <c r="S15112" t="s">
        <v>824</v>
      </c>
      <c r="T15112">
        <v>39</v>
      </c>
      <c r="U15112" s="26" t="str">
        <f t="shared" si="566"/>
        <v>2023.012S.Coronaviridae_54sprenamed-.zip</v>
      </c>
    </row>
    <row r="15113" spans="1:21">
      <c r="A15113">
        <v>15112</v>
      </c>
      <c r="B15113" s="27" t="s">
        <v>1124</v>
      </c>
      <c r="D15113" s="27" t="s">
        <v>1859</v>
      </c>
      <c r="F15113" s="27" t="s">
        <v>1909</v>
      </c>
      <c r="H15113" s="27" t="s">
        <v>1912</v>
      </c>
      <c r="J15113" s="27" t="s">
        <v>348</v>
      </c>
      <c r="K15113" s="27" t="s">
        <v>1026</v>
      </c>
      <c r="L15113" s="27" t="s">
        <v>334</v>
      </c>
      <c r="M15113" s="27" t="s">
        <v>1033</v>
      </c>
      <c r="N15113" s="27" t="s">
        <v>0</v>
      </c>
      <c r="O15113" s="27" t="s">
        <v>1050</v>
      </c>
      <c r="P15113" s="27" t="s">
        <v>17178</v>
      </c>
      <c r="Q15113" s="26" t="str">
        <f>HYPERLINK("https://ictv.global/taxonomy/taxondetails?taxnode_id=202501877&amp;ictv_id=ICTV20151230","ICTV20151230")</f>
        <v>ICTV20151230</v>
      </c>
      <c r="R15113" t="s">
        <v>581</v>
      </c>
      <c r="S15113" t="s">
        <v>824</v>
      </c>
      <c r="T15113">
        <v>39</v>
      </c>
      <c r="U15113" s="26" t="str">
        <f t="shared" si="566"/>
        <v>2023.012S.Coronaviridae_54sprenamed-.zip</v>
      </c>
    </row>
    <row r="15114" spans="1:21">
      <c r="A15114">
        <v>15113</v>
      </c>
      <c r="B15114" s="27" t="s">
        <v>1124</v>
      </c>
      <c r="D15114" s="27" t="s">
        <v>1859</v>
      </c>
      <c r="F15114" s="27" t="s">
        <v>1909</v>
      </c>
      <c r="H15114" s="27" t="s">
        <v>1912</v>
      </c>
      <c r="J15114" s="27" t="s">
        <v>348</v>
      </c>
      <c r="K15114" s="27" t="s">
        <v>1026</v>
      </c>
      <c r="L15114" s="27" t="s">
        <v>334</v>
      </c>
      <c r="M15114" s="27" t="s">
        <v>1033</v>
      </c>
      <c r="N15114" s="27" t="s">
        <v>0</v>
      </c>
      <c r="O15114" s="27" t="s">
        <v>1052</v>
      </c>
      <c r="P15114" s="27" t="s">
        <v>17179</v>
      </c>
      <c r="Q15114" s="26" t="str">
        <f>HYPERLINK("https://ictv.global/taxonomy/taxondetails?taxnode_id=202501875&amp;ictv_id=ICTV20151231","ICTV20151231")</f>
        <v>ICTV20151231</v>
      </c>
      <c r="R15114" t="s">
        <v>581</v>
      </c>
      <c r="S15114" t="s">
        <v>824</v>
      </c>
      <c r="T15114">
        <v>39</v>
      </c>
      <c r="U15114" s="26" t="str">
        <f t="shared" si="566"/>
        <v>2023.012S.Coronaviridae_54sprenamed-.zip</v>
      </c>
    </row>
    <row r="15115" spans="1:21">
      <c r="A15115">
        <v>15114</v>
      </c>
      <c r="B15115" s="27" t="s">
        <v>1124</v>
      </c>
      <c r="D15115" s="27" t="s">
        <v>1859</v>
      </c>
      <c r="F15115" s="27" t="s">
        <v>1909</v>
      </c>
      <c r="H15115" s="27" t="s">
        <v>1912</v>
      </c>
      <c r="J15115" s="27" t="s">
        <v>348</v>
      </c>
      <c r="K15115" s="27" t="s">
        <v>1026</v>
      </c>
      <c r="L15115" s="27" t="s">
        <v>334</v>
      </c>
      <c r="M15115" s="27" t="s">
        <v>1033</v>
      </c>
      <c r="N15115" s="27" t="s">
        <v>141</v>
      </c>
      <c r="O15115" s="27" t="s">
        <v>1929</v>
      </c>
      <c r="P15115" s="27" t="s">
        <v>17180</v>
      </c>
      <c r="Q15115" s="26" t="str">
        <f>HYPERLINK("https://ictv.global/taxonomy/taxondetails?taxnode_id=202507498&amp;ictv_id=ICTV201907498","ICTV201907498")</f>
        <v>ICTV201907498</v>
      </c>
      <c r="R15115" t="s">
        <v>581</v>
      </c>
      <c r="S15115" t="s">
        <v>824</v>
      </c>
      <c r="T15115">
        <v>39</v>
      </c>
      <c r="U15115" s="26" t="str">
        <f t="shared" si="566"/>
        <v>2023.012S.Coronaviridae_54sprenamed-.zip</v>
      </c>
    </row>
    <row r="15116" spans="1:21">
      <c r="A15116">
        <v>15115</v>
      </c>
      <c r="B15116" s="27" t="s">
        <v>1124</v>
      </c>
      <c r="D15116" s="27" t="s">
        <v>1859</v>
      </c>
      <c r="F15116" s="27" t="s">
        <v>1909</v>
      </c>
      <c r="H15116" s="27" t="s">
        <v>1912</v>
      </c>
      <c r="J15116" s="27" t="s">
        <v>348</v>
      </c>
      <c r="K15116" s="27" t="s">
        <v>1026</v>
      </c>
      <c r="L15116" s="27" t="s">
        <v>334</v>
      </c>
      <c r="M15116" s="27" t="s">
        <v>1033</v>
      </c>
      <c r="N15116" s="27" t="s">
        <v>141</v>
      </c>
      <c r="O15116" s="27" t="s">
        <v>1062</v>
      </c>
      <c r="P15116" s="27" t="s">
        <v>17181</v>
      </c>
      <c r="Q15116" s="26" t="str">
        <f>HYPERLINK("https://ictv.global/taxonomy/taxondetails?taxnode_id=202501881&amp;ictv_id=ICTV20093531","ICTV20093531")</f>
        <v>ICTV20093531</v>
      </c>
      <c r="R15116" t="s">
        <v>581</v>
      </c>
      <c r="S15116" t="s">
        <v>824</v>
      </c>
      <c r="T15116">
        <v>39</v>
      </c>
      <c r="U15116" s="26" t="str">
        <f t="shared" si="566"/>
        <v>2023.012S.Coronaviridae_54sprenamed-.zip</v>
      </c>
    </row>
    <row r="15117" spans="1:21">
      <c r="A15117">
        <v>15116</v>
      </c>
      <c r="B15117" s="27" t="s">
        <v>1124</v>
      </c>
      <c r="D15117" s="27" t="s">
        <v>1859</v>
      </c>
      <c r="F15117" s="27" t="s">
        <v>1909</v>
      </c>
      <c r="H15117" s="27" t="s">
        <v>1912</v>
      </c>
      <c r="J15117" s="27" t="s">
        <v>348</v>
      </c>
      <c r="K15117" s="27" t="s">
        <v>1026</v>
      </c>
      <c r="L15117" s="27" t="s">
        <v>334</v>
      </c>
      <c r="M15117" s="27" t="s">
        <v>1033</v>
      </c>
      <c r="N15117" s="27" t="s">
        <v>141</v>
      </c>
      <c r="O15117" s="27" t="s">
        <v>1053</v>
      </c>
      <c r="P15117" s="27" t="s">
        <v>17182</v>
      </c>
      <c r="Q15117" s="26" t="str">
        <f>HYPERLINK("https://ictv.global/taxonomy/taxondetails?taxnode_id=202507499&amp;ictv_id=ICTV201907499","ICTV201907499")</f>
        <v>ICTV201907499</v>
      </c>
      <c r="R15117" t="s">
        <v>581</v>
      </c>
      <c r="S15117" t="s">
        <v>824</v>
      </c>
      <c r="T15117">
        <v>39</v>
      </c>
      <c r="U15117" s="26" t="str">
        <f t="shared" si="566"/>
        <v>2023.012S.Coronaviridae_54sprenamed-.zip</v>
      </c>
    </row>
    <row r="15118" spans="1:21">
      <c r="A15118">
        <v>15117</v>
      </c>
      <c r="B15118" s="27" t="s">
        <v>1124</v>
      </c>
      <c r="D15118" s="27" t="s">
        <v>1859</v>
      </c>
      <c r="F15118" s="27" t="s">
        <v>1909</v>
      </c>
      <c r="H15118" s="27" t="s">
        <v>1912</v>
      </c>
      <c r="J15118" s="27" t="s">
        <v>348</v>
      </c>
      <c r="K15118" s="27" t="s">
        <v>1026</v>
      </c>
      <c r="L15118" s="27" t="s">
        <v>334</v>
      </c>
      <c r="M15118" s="27" t="s">
        <v>1033</v>
      </c>
      <c r="N15118" s="27" t="s">
        <v>141</v>
      </c>
      <c r="O15118" s="27" t="s">
        <v>1053</v>
      </c>
      <c r="P15118" s="27" t="s">
        <v>17183</v>
      </c>
      <c r="Q15118" s="26" t="str">
        <f>HYPERLINK("https://ictv.global/taxonomy/taxondetails?taxnode_id=202501880&amp;ictv_id=ICTV20093530","ICTV20093530")</f>
        <v>ICTV20093530</v>
      </c>
      <c r="R15118" t="s">
        <v>581</v>
      </c>
      <c r="S15118" t="s">
        <v>824</v>
      </c>
      <c r="T15118">
        <v>39</v>
      </c>
      <c r="U15118" s="26" t="str">
        <f t="shared" si="566"/>
        <v>2023.012S.Coronaviridae_54sprenamed-.zip</v>
      </c>
    </row>
    <row r="15119" spans="1:21">
      <c r="A15119">
        <v>15118</v>
      </c>
      <c r="B15119" s="27" t="s">
        <v>1124</v>
      </c>
      <c r="D15119" s="27" t="s">
        <v>1859</v>
      </c>
      <c r="F15119" s="27" t="s">
        <v>1909</v>
      </c>
      <c r="H15119" s="27" t="s">
        <v>1912</v>
      </c>
      <c r="J15119" s="27" t="s">
        <v>348</v>
      </c>
      <c r="K15119" s="27" t="s">
        <v>1026</v>
      </c>
      <c r="L15119" s="27" t="s">
        <v>334</v>
      </c>
      <c r="M15119" s="27" t="s">
        <v>1033</v>
      </c>
      <c r="N15119" s="27" t="s">
        <v>141</v>
      </c>
      <c r="O15119" s="27" t="s">
        <v>1053</v>
      </c>
      <c r="P15119" s="27" t="s">
        <v>17184</v>
      </c>
      <c r="Q15119" s="26" t="str">
        <f>HYPERLINK("https://ictv.global/taxonomy/taxondetails?taxnode_id=202507500&amp;ictv_id=ICTV201907500","ICTV201907500")</f>
        <v>ICTV201907500</v>
      </c>
      <c r="R15119" t="s">
        <v>581</v>
      </c>
      <c r="S15119" t="s">
        <v>824</v>
      </c>
      <c r="T15119">
        <v>39</v>
      </c>
      <c r="U15119" s="26" t="str">
        <f t="shared" si="566"/>
        <v>2023.012S.Coronaviridae_54sprenamed-.zip</v>
      </c>
    </row>
    <row r="15120" spans="1:21">
      <c r="A15120">
        <v>15119</v>
      </c>
      <c r="B15120" s="27" t="s">
        <v>1124</v>
      </c>
      <c r="D15120" s="27" t="s">
        <v>1859</v>
      </c>
      <c r="F15120" s="27" t="s">
        <v>1909</v>
      </c>
      <c r="H15120" s="27" t="s">
        <v>1912</v>
      </c>
      <c r="J15120" s="27" t="s">
        <v>348</v>
      </c>
      <c r="K15120" s="27" t="s">
        <v>1026</v>
      </c>
      <c r="L15120" s="27" t="s">
        <v>334</v>
      </c>
      <c r="M15120" s="27" t="s">
        <v>10486</v>
      </c>
      <c r="N15120" s="27" t="s">
        <v>10487</v>
      </c>
      <c r="O15120" s="27" t="s">
        <v>10488</v>
      </c>
      <c r="P15120" s="27" t="s">
        <v>17185</v>
      </c>
      <c r="Q15120" s="26" t="str">
        <f>HYPERLINK("https://ictv.global/taxonomy/taxondetails?taxnode_id=202513907&amp;ictv_id=ICTV202113907","ICTV202113907")</f>
        <v>ICTV202113907</v>
      </c>
      <c r="R15120" t="s">
        <v>581</v>
      </c>
      <c r="S15120" t="s">
        <v>824</v>
      </c>
      <c r="T15120">
        <v>39</v>
      </c>
      <c r="U15120" s="26" t="str">
        <f t="shared" si="566"/>
        <v>2023.012S.Coronaviridae_54sprenamed-.zip</v>
      </c>
    </row>
    <row r="15121" spans="1:21">
      <c r="A15121">
        <v>15120</v>
      </c>
      <c r="B15121" s="27" t="s">
        <v>1124</v>
      </c>
      <c r="D15121" s="27" t="s">
        <v>1859</v>
      </c>
      <c r="F15121" s="27" t="s">
        <v>1909</v>
      </c>
      <c r="H15121" s="27" t="s">
        <v>1912</v>
      </c>
      <c r="J15121" s="27" t="s">
        <v>348</v>
      </c>
      <c r="K15121" s="27" t="s">
        <v>1055</v>
      </c>
      <c r="L15121" s="27" t="s">
        <v>1056</v>
      </c>
      <c r="M15121" s="27" t="s">
        <v>1057</v>
      </c>
      <c r="N15121" s="27" t="s">
        <v>1060</v>
      </c>
      <c r="O15121" s="27" t="s">
        <v>1061</v>
      </c>
      <c r="P15121" s="27" t="s">
        <v>17186</v>
      </c>
      <c r="Q15121" s="26" t="str">
        <f>HYPERLINK("https://ictv.global/taxonomy/taxondetails?taxnode_id=202506179&amp;ictv_id=ICTV20186179","ICTV20186179")</f>
        <v>ICTV20186179</v>
      </c>
      <c r="R15121" t="s">
        <v>581</v>
      </c>
      <c r="S15121" t="s">
        <v>824</v>
      </c>
      <c r="T15121">
        <v>39</v>
      </c>
      <c r="U15121" s="26" t="str">
        <f>HYPERLINK("https://ictv.global/ictv/proposals/2023.013S.Nidovirales_27sprenamed.zip","2023.013S.Nidovirales_27sprenamed.zip")</f>
        <v>2023.013S.Nidovirales_27sprenamed.zip</v>
      </c>
    </row>
    <row r="15122" spans="1:21">
      <c r="A15122">
        <v>15121</v>
      </c>
      <c r="B15122" s="27" t="s">
        <v>1124</v>
      </c>
      <c r="D15122" s="27" t="s">
        <v>1859</v>
      </c>
      <c r="F15122" s="27" t="s">
        <v>1909</v>
      </c>
      <c r="H15122" s="27" t="s">
        <v>1912</v>
      </c>
      <c r="J15122" s="27" t="s">
        <v>348</v>
      </c>
      <c r="K15122" s="27" t="s">
        <v>1055</v>
      </c>
      <c r="L15122" s="27" t="s">
        <v>1056</v>
      </c>
      <c r="M15122" s="27" t="s">
        <v>1057</v>
      </c>
      <c r="N15122" s="27" t="s">
        <v>1058</v>
      </c>
      <c r="O15122" s="27" t="s">
        <v>1059</v>
      </c>
      <c r="P15122" s="27" t="s">
        <v>17187</v>
      </c>
      <c r="Q15122" s="26" t="str">
        <f>HYPERLINK("https://ictv.global/taxonomy/taxondetails?taxnode_id=202506175&amp;ictv_id=ICTV20186175","ICTV20186175")</f>
        <v>ICTV20186175</v>
      </c>
      <c r="R15122" t="s">
        <v>581</v>
      </c>
      <c r="S15122" t="s">
        <v>824</v>
      </c>
      <c r="T15122">
        <v>39</v>
      </c>
      <c r="U15122" s="26" t="str">
        <f>HYPERLINK("https://ictv.global/ictv/proposals/2023.013S.Nidovirales_27sprenamed.zip","2023.013S.Nidovirales_27sprenamed.zip")</f>
        <v>2023.013S.Nidovirales_27sprenamed.zip</v>
      </c>
    </row>
    <row r="15123" spans="1:21">
      <c r="A15123">
        <v>15122</v>
      </c>
      <c r="B15123" s="27" t="s">
        <v>1124</v>
      </c>
      <c r="D15123" s="27" t="s">
        <v>1859</v>
      </c>
      <c r="F15123" s="27" t="s">
        <v>1909</v>
      </c>
      <c r="H15123" s="27" t="s">
        <v>1912</v>
      </c>
      <c r="J15123" s="27" t="s">
        <v>348</v>
      </c>
      <c r="K15123" s="27" t="s">
        <v>1055</v>
      </c>
      <c r="L15123" s="27" t="s">
        <v>472</v>
      </c>
      <c r="M15123" s="27" t="s">
        <v>1063</v>
      </c>
      <c r="N15123" s="27" t="s">
        <v>473</v>
      </c>
      <c r="O15123" s="27" t="s">
        <v>1064</v>
      </c>
      <c r="P15123" s="27" t="s">
        <v>17188</v>
      </c>
      <c r="Q15123" s="26" t="str">
        <f>HYPERLINK("https://ictv.global/taxonomy/taxondetails?taxnode_id=202501901&amp;ictv_id=ICTV20151254","ICTV20151254")</f>
        <v>ICTV20151254</v>
      </c>
      <c r="R15123" t="s">
        <v>581</v>
      </c>
      <c r="S15123" t="s">
        <v>824</v>
      </c>
      <c r="T15123">
        <v>39</v>
      </c>
      <c r="U15123" s="26" t="str">
        <f t="shared" ref="U15123:U15134" si="567">HYPERLINK("https://ictv.global/ictv/proposals/2023.009S.Mesoniviridae_12sprenamed-.zip","2023.009S.Mesoniviridae_12sprenamed-.zip")</f>
        <v>2023.009S.Mesoniviridae_12sprenamed-.zip</v>
      </c>
    </row>
    <row r="15124" spans="1:21">
      <c r="A15124">
        <v>15123</v>
      </c>
      <c r="B15124" s="27" t="s">
        <v>1124</v>
      </c>
      <c r="D15124" s="27" t="s">
        <v>1859</v>
      </c>
      <c r="F15124" s="27" t="s">
        <v>1909</v>
      </c>
      <c r="H15124" s="27" t="s">
        <v>1912</v>
      </c>
      <c r="J15124" s="27" t="s">
        <v>348</v>
      </c>
      <c r="K15124" s="27" t="s">
        <v>1055</v>
      </c>
      <c r="L15124" s="27" t="s">
        <v>472</v>
      </c>
      <c r="M15124" s="27" t="s">
        <v>1063</v>
      </c>
      <c r="N15124" s="27" t="s">
        <v>473</v>
      </c>
      <c r="O15124" s="27" t="s">
        <v>1068</v>
      </c>
      <c r="P15124" s="27" t="s">
        <v>17189</v>
      </c>
      <c r="Q15124" s="26" t="str">
        <f>HYPERLINK("https://ictv.global/taxonomy/taxondetails?taxnode_id=202501904&amp;ictv_id=ICTV20151257","ICTV20151257")</f>
        <v>ICTV20151257</v>
      </c>
      <c r="R15124" t="s">
        <v>581</v>
      </c>
      <c r="S15124" t="s">
        <v>824</v>
      </c>
      <c r="T15124">
        <v>39</v>
      </c>
      <c r="U15124" s="26" t="str">
        <f t="shared" si="567"/>
        <v>2023.009S.Mesoniviridae_12sprenamed-.zip</v>
      </c>
    </row>
    <row r="15125" spans="1:21">
      <c r="A15125">
        <v>15124</v>
      </c>
      <c r="B15125" s="27" t="s">
        <v>1124</v>
      </c>
      <c r="D15125" s="27" t="s">
        <v>1859</v>
      </c>
      <c r="F15125" s="27" t="s">
        <v>1909</v>
      </c>
      <c r="H15125" s="27" t="s">
        <v>1912</v>
      </c>
      <c r="J15125" s="27" t="s">
        <v>348</v>
      </c>
      <c r="K15125" s="27" t="s">
        <v>1055</v>
      </c>
      <c r="L15125" s="27" t="s">
        <v>472</v>
      </c>
      <c r="M15125" s="27" t="s">
        <v>1063</v>
      </c>
      <c r="N15125" s="27" t="s">
        <v>473</v>
      </c>
      <c r="O15125" s="27" t="s">
        <v>1069</v>
      </c>
      <c r="P15125" s="27" t="s">
        <v>17190</v>
      </c>
      <c r="Q15125" s="26" t="str">
        <f>HYPERLINK("https://ictv.global/taxonomy/taxondetails?taxnode_id=202501902&amp;ictv_id=ICTV20151255","ICTV20151255")</f>
        <v>ICTV20151255</v>
      </c>
      <c r="R15125" t="s">
        <v>581</v>
      </c>
      <c r="S15125" t="s">
        <v>824</v>
      </c>
      <c r="T15125">
        <v>39</v>
      </c>
      <c r="U15125" s="26" t="str">
        <f t="shared" si="567"/>
        <v>2023.009S.Mesoniviridae_12sprenamed-.zip</v>
      </c>
    </row>
    <row r="15126" spans="1:21">
      <c r="A15126">
        <v>15125</v>
      </c>
      <c r="B15126" s="27" t="s">
        <v>1124</v>
      </c>
      <c r="D15126" s="27" t="s">
        <v>1859</v>
      </c>
      <c r="F15126" s="27" t="s">
        <v>1909</v>
      </c>
      <c r="H15126" s="27" t="s">
        <v>1912</v>
      </c>
      <c r="J15126" s="27" t="s">
        <v>348</v>
      </c>
      <c r="K15126" s="27" t="s">
        <v>1055</v>
      </c>
      <c r="L15126" s="27" t="s">
        <v>472</v>
      </c>
      <c r="M15126" s="27" t="s">
        <v>1063</v>
      </c>
      <c r="N15126" s="27" t="s">
        <v>473</v>
      </c>
      <c r="O15126" s="27" t="s">
        <v>1065</v>
      </c>
      <c r="P15126" s="27" t="s">
        <v>17191</v>
      </c>
      <c r="Q15126" s="26" t="str">
        <f>HYPERLINK("https://ictv.global/taxonomy/taxondetails?taxnode_id=202506168&amp;ictv_id=ICTV20186168","ICTV20186168")</f>
        <v>ICTV20186168</v>
      </c>
      <c r="R15126" t="s">
        <v>581</v>
      </c>
      <c r="S15126" t="s">
        <v>824</v>
      </c>
      <c r="T15126">
        <v>39</v>
      </c>
      <c r="U15126" s="26" t="str">
        <f t="shared" si="567"/>
        <v>2023.009S.Mesoniviridae_12sprenamed-.zip</v>
      </c>
    </row>
    <row r="15127" spans="1:21">
      <c r="A15127">
        <v>15126</v>
      </c>
      <c r="B15127" s="27" t="s">
        <v>1124</v>
      </c>
      <c r="D15127" s="27" t="s">
        <v>1859</v>
      </c>
      <c r="F15127" s="27" t="s">
        <v>1909</v>
      </c>
      <c r="H15127" s="27" t="s">
        <v>1912</v>
      </c>
      <c r="J15127" s="27" t="s">
        <v>348</v>
      </c>
      <c r="K15127" s="27" t="s">
        <v>1055</v>
      </c>
      <c r="L15127" s="27" t="s">
        <v>472</v>
      </c>
      <c r="M15127" s="27" t="s">
        <v>1063</v>
      </c>
      <c r="N15127" s="27" t="s">
        <v>473</v>
      </c>
      <c r="O15127" s="27" t="s">
        <v>1066</v>
      </c>
      <c r="P15127" s="27" t="s">
        <v>17192</v>
      </c>
      <c r="Q15127" s="26" t="str">
        <f>HYPERLINK("https://ictv.global/taxonomy/taxondetails?taxnode_id=202501900&amp;ictv_id=ICTV20151253","ICTV20151253")</f>
        <v>ICTV20151253</v>
      </c>
      <c r="R15127" t="s">
        <v>581</v>
      </c>
      <c r="S15127" t="s">
        <v>824</v>
      </c>
      <c r="T15127">
        <v>39</v>
      </c>
      <c r="U15127" s="26" t="str">
        <f t="shared" si="567"/>
        <v>2023.009S.Mesoniviridae_12sprenamed-.zip</v>
      </c>
    </row>
    <row r="15128" spans="1:21">
      <c r="A15128">
        <v>15127</v>
      </c>
      <c r="B15128" s="27" t="s">
        <v>1124</v>
      </c>
      <c r="D15128" s="27" t="s">
        <v>1859</v>
      </c>
      <c r="F15128" s="27" t="s">
        <v>1909</v>
      </c>
      <c r="H15128" s="27" t="s">
        <v>1912</v>
      </c>
      <c r="J15128" s="27" t="s">
        <v>348</v>
      </c>
      <c r="K15128" s="27" t="s">
        <v>1055</v>
      </c>
      <c r="L15128" s="27" t="s">
        <v>472</v>
      </c>
      <c r="M15128" s="27" t="s">
        <v>1063</v>
      </c>
      <c r="N15128" s="27" t="s">
        <v>473</v>
      </c>
      <c r="O15128" s="27" t="s">
        <v>1066</v>
      </c>
      <c r="P15128" s="27" t="s">
        <v>17193</v>
      </c>
      <c r="Q15128" s="26" t="str">
        <f>HYPERLINK("https://ictv.global/taxonomy/taxondetails?taxnode_id=202501899&amp;ictv_id=ICTV20151252","ICTV20151252")</f>
        <v>ICTV20151252</v>
      </c>
      <c r="R15128" t="s">
        <v>581</v>
      </c>
      <c r="S15128" t="s">
        <v>824</v>
      </c>
      <c r="T15128">
        <v>39</v>
      </c>
      <c r="U15128" s="26" t="str">
        <f t="shared" si="567"/>
        <v>2023.009S.Mesoniviridae_12sprenamed-.zip</v>
      </c>
    </row>
    <row r="15129" spans="1:21">
      <c r="A15129">
        <v>15128</v>
      </c>
      <c r="B15129" s="27" t="s">
        <v>1124</v>
      </c>
      <c r="D15129" s="27" t="s">
        <v>1859</v>
      </c>
      <c r="F15129" s="27" t="s">
        <v>1909</v>
      </c>
      <c r="H15129" s="27" t="s">
        <v>1912</v>
      </c>
      <c r="J15129" s="27" t="s">
        <v>348</v>
      </c>
      <c r="K15129" s="27" t="s">
        <v>1055</v>
      </c>
      <c r="L15129" s="27" t="s">
        <v>472</v>
      </c>
      <c r="M15129" s="27" t="s">
        <v>1063</v>
      </c>
      <c r="N15129" s="27" t="s">
        <v>473</v>
      </c>
      <c r="O15129" s="27" t="s">
        <v>1075</v>
      </c>
      <c r="P15129" s="27" t="s">
        <v>17194</v>
      </c>
      <c r="Q15129" s="26" t="str">
        <f>HYPERLINK("https://ictv.global/taxonomy/taxondetails?taxnode_id=202501905&amp;ictv_id=ICTV20151258","ICTV20151258")</f>
        <v>ICTV20151258</v>
      </c>
      <c r="R15129" t="s">
        <v>581</v>
      </c>
      <c r="S15129" t="s">
        <v>824</v>
      </c>
      <c r="T15129">
        <v>39</v>
      </c>
      <c r="U15129" s="26" t="str">
        <f t="shared" si="567"/>
        <v>2023.009S.Mesoniviridae_12sprenamed-.zip</v>
      </c>
    </row>
    <row r="15130" spans="1:21">
      <c r="A15130">
        <v>15129</v>
      </c>
      <c r="B15130" s="27" t="s">
        <v>1124</v>
      </c>
      <c r="D15130" s="27" t="s">
        <v>1859</v>
      </c>
      <c r="F15130" s="27" t="s">
        <v>1909</v>
      </c>
      <c r="H15130" s="27" t="s">
        <v>1912</v>
      </c>
      <c r="J15130" s="27" t="s">
        <v>348</v>
      </c>
      <c r="K15130" s="27" t="s">
        <v>1055</v>
      </c>
      <c r="L15130" s="27" t="s">
        <v>472</v>
      </c>
      <c r="M15130" s="27" t="s">
        <v>1063</v>
      </c>
      <c r="N15130" s="27" t="s">
        <v>473</v>
      </c>
      <c r="O15130" s="27" t="s">
        <v>1081</v>
      </c>
      <c r="P15130" s="27" t="s">
        <v>17195</v>
      </c>
      <c r="Q15130" s="26" t="str">
        <f>HYPERLINK("https://ictv.global/taxonomy/taxondetails?taxnode_id=202501898&amp;ictv_id=ICTV20125718","ICTV20125718")</f>
        <v>ICTV20125718</v>
      </c>
      <c r="R15130" t="s">
        <v>581</v>
      </c>
      <c r="S15130" t="s">
        <v>824</v>
      </c>
      <c r="T15130">
        <v>39</v>
      </c>
      <c r="U15130" s="26" t="str">
        <f t="shared" si="567"/>
        <v>2023.009S.Mesoniviridae_12sprenamed-.zip</v>
      </c>
    </row>
    <row r="15131" spans="1:21">
      <c r="A15131">
        <v>15130</v>
      </c>
      <c r="B15131" s="27" t="s">
        <v>1124</v>
      </c>
      <c r="D15131" s="27" t="s">
        <v>1859</v>
      </c>
      <c r="F15131" s="27" t="s">
        <v>1909</v>
      </c>
      <c r="H15131" s="27" t="s">
        <v>1912</v>
      </c>
      <c r="J15131" s="27" t="s">
        <v>348</v>
      </c>
      <c r="K15131" s="27" t="s">
        <v>1055</v>
      </c>
      <c r="L15131" s="27" t="s">
        <v>472</v>
      </c>
      <c r="M15131" s="27" t="s">
        <v>1063</v>
      </c>
      <c r="N15131" s="27" t="s">
        <v>473</v>
      </c>
      <c r="O15131" s="27" t="s">
        <v>1081</v>
      </c>
      <c r="P15131" s="27" t="s">
        <v>17196</v>
      </c>
      <c r="Q15131" s="26" t="str">
        <f>HYPERLINK("https://ictv.global/taxonomy/taxondetails?taxnode_id=202507509&amp;ictv_id=ICTV201907509","ICTV201907509")</f>
        <v>ICTV201907509</v>
      </c>
      <c r="R15131" t="s">
        <v>581</v>
      </c>
      <c r="S15131" t="s">
        <v>824</v>
      </c>
      <c r="T15131">
        <v>39</v>
      </c>
      <c r="U15131" s="26" t="str">
        <f t="shared" si="567"/>
        <v>2023.009S.Mesoniviridae_12sprenamed-.zip</v>
      </c>
    </row>
    <row r="15132" spans="1:21">
      <c r="A15132">
        <v>15131</v>
      </c>
      <c r="B15132" s="27" t="s">
        <v>1124</v>
      </c>
      <c r="D15132" s="27" t="s">
        <v>1859</v>
      </c>
      <c r="F15132" s="27" t="s">
        <v>1909</v>
      </c>
      <c r="H15132" s="27" t="s">
        <v>1912</v>
      </c>
      <c r="J15132" s="27" t="s">
        <v>348</v>
      </c>
      <c r="K15132" s="27" t="s">
        <v>1055</v>
      </c>
      <c r="L15132" s="27" t="s">
        <v>472</v>
      </c>
      <c r="M15132" s="27" t="s">
        <v>1063</v>
      </c>
      <c r="N15132" s="27" t="s">
        <v>473</v>
      </c>
      <c r="O15132" s="27" t="s">
        <v>1067</v>
      </c>
      <c r="P15132" s="27" t="s">
        <v>17197</v>
      </c>
      <c r="Q15132" s="26" t="str">
        <f>HYPERLINK("https://ictv.global/taxonomy/taxondetails?taxnode_id=202506127&amp;ictv_id=ICTV20186127","ICTV20186127")</f>
        <v>ICTV20186127</v>
      </c>
      <c r="R15132" t="s">
        <v>581</v>
      </c>
      <c r="S15132" t="s">
        <v>824</v>
      </c>
      <c r="T15132">
        <v>39</v>
      </c>
      <c r="U15132" s="26" t="str">
        <f t="shared" si="567"/>
        <v>2023.009S.Mesoniviridae_12sprenamed-.zip</v>
      </c>
    </row>
    <row r="15133" spans="1:21">
      <c r="A15133">
        <v>15132</v>
      </c>
      <c r="B15133" s="27" t="s">
        <v>1124</v>
      </c>
      <c r="D15133" s="27" t="s">
        <v>1859</v>
      </c>
      <c r="F15133" s="27" t="s">
        <v>1909</v>
      </c>
      <c r="H15133" s="27" t="s">
        <v>1912</v>
      </c>
      <c r="J15133" s="27" t="s">
        <v>348</v>
      </c>
      <c r="K15133" s="27" t="s">
        <v>1055</v>
      </c>
      <c r="L15133" s="27" t="s">
        <v>472</v>
      </c>
      <c r="M15133" s="27" t="s">
        <v>1063</v>
      </c>
      <c r="N15133" s="27" t="s">
        <v>473</v>
      </c>
      <c r="O15133" s="27" t="s">
        <v>10489</v>
      </c>
      <c r="P15133" s="27" t="s">
        <v>17198</v>
      </c>
      <c r="Q15133" s="26" t="str">
        <f>HYPERLINK("https://ictv.global/taxonomy/taxondetails?taxnode_id=202513940&amp;ictv_id=ICTV202113940","ICTV202113940")</f>
        <v>ICTV202113940</v>
      </c>
      <c r="R15133" t="s">
        <v>581</v>
      </c>
      <c r="S15133" t="s">
        <v>824</v>
      </c>
      <c r="T15133">
        <v>39</v>
      </c>
      <c r="U15133" s="26" t="str">
        <f t="shared" si="567"/>
        <v>2023.009S.Mesoniviridae_12sprenamed-.zip</v>
      </c>
    </row>
    <row r="15134" spans="1:21">
      <c r="A15134">
        <v>15133</v>
      </c>
      <c r="B15134" s="27" t="s">
        <v>1124</v>
      </c>
      <c r="D15134" s="27" t="s">
        <v>1859</v>
      </c>
      <c r="F15134" s="27" t="s">
        <v>1909</v>
      </c>
      <c r="H15134" s="27" t="s">
        <v>1912</v>
      </c>
      <c r="J15134" s="27" t="s">
        <v>348</v>
      </c>
      <c r="K15134" s="27" t="s">
        <v>1055</v>
      </c>
      <c r="L15134" s="27" t="s">
        <v>472</v>
      </c>
      <c r="M15134" s="27" t="s">
        <v>10490</v>
      </c>
      <c r="N15134" s="27" t="s">
        <v>10491</v>
      </c>
      <c r="O15134" s="27" t="s">
        <v>10492</v>
      </c>
      <c r="P15134" s="27" t="s">
        <v>17199</v>
      </c>
      <c r="Q15134" s="26" t="str">
        <f>HYPERLINK("https://ictv.global/taxonomy/taxondetails?taxnode_id=202513938&amp;ictv_id=ICTV202113938","ICTV202113938")</f>
        <v>ICTV202113938</v>
      </c>
      <c r="R15134" t="s">
        <v>581</v>
      </c>
      <c r="S15134" t="s">
        <v>824</v>
      </c>
      <c r="T15134">
        <v>39</v>
      </c>
      <c r="U15134" s="26" t="str">
        <f t="shared" si="567"/>
        <v>2023.009S.Mesoniviridae_12sprenamed-.zip</v>
      </c>
    </row>
    <row r="15135" spans="1:21">
      <c r="A15135">
        <v>15134</v>
      </c>
      <c r="B15135" s="27" t="s">
        <v>1124</v>
      </c>
      <c r="D15135" s="27" t="s">
        <v>1859</v>
      </c>
      <c r="F15135" s="27" t="s">
        <v>1909</v>
      </c>
      <c r="H15135" s="27" t="s">
        <v>1912</v>
      </c>
      <c r="J15135" s="27" t="s">
        <v>348</v>
      </c>
      <c r="K15135" s="27" t="s">
        <v>1055</v>
      </c>
      <c r="L15135" s="27" t="s">
        <v>472</v>
      </c>
      <c r="M15135" s="27" t="s">
        <v>10493</v>
      </c>
      <c r="N15135" s="27" t="s">
        <v>10494</v>
      </c>
      <c r="O15135" s="27" t="s">
        <v>10495</v>
      </c>
      <c r="P15135" s="27" t="s">
        <v>10496</v>
      </c>
      <c r="Q15135" s="26" t="str">
        <f>HYPERLINK("https://ictv.global/taxonomy/taxondetails?taxnode_id=202513934&amp;ictv_id=ICTV202113934","ICTV202113934")</f>
        <v>ICTV202113934</v>
      </c>
      <c r="R15135" t="s">
        <v>581</v>
      </c>
      <c r="S15135" t="s">
        <v>823</v>
      </c>
      <c r="T15135">
        <v>37</v>
      </c>
      <c r="U15135" s="26" t="str">
        <f>HYPERLINK("https://ictv.global/ictv/proposals/2021.005S.R.Nidovirales.zip","2021.005S.R.Nidovirales.zip")</f>
        <v>2021.005S.R.Nidovirales.zip</v>
      </c>
    </row>
    <row r="15136" spans="1:21">
      <c r="A15136">
        <v>15135</v>
      </c>
      <c r="B15136" s="27" t="s">
        <v>1124</v>
      </c>
      <c r="D15136" s="27" t="s">
        <v>1859</v>
      </c>
      <c r="F15136" s="27" t="s">
        <v>1909</v>
      </c>
      <c r="H15136" s="27" t="s">
        <v>1912</v>
      </c>
      <c r="J15136" s="27" t="s">
        <v>348</v>
      </c>
      <c r="K15136" s="27" t="s">
        <v>1055</v>
      </c>
      <c r="L15136" s="27" t="s">
        <v>472</v>
      </c>
      <c r="M15136" s="27" t="s">
        <v>10493</v>
      </c>
      <c r="N15136" s="27" t="s">
        <v>10497</v>
      </c>
      <c r="O15136" s="27" t="s">
        <v>10498</v>
      </c>
      <c r="P15136" s="27" t="s">
        <v>10499</v>
      </c>
      <c r="Q15136" s="26" t="str">
        <f>HYPERLINK("https://ictv.global/taxonomy/taxondetails?taxnode_id=202513931&amp;ictv_id=ICTV202113931","ICTV202113931")</f>
        <v>ICTV202113931</v>
      </c>
      <c r="R15136" t="s">
        <v>581</v>
      </c>
      <c r="S15136" t="s">
        <v>823</v>
      </c>
      <c r="T15136">
        <v>37</v>
      </c>
      <c r="U15136" s="26" t="str">
        <f>HYPERLINK("https://ictv.global/ictv/proposals/2021.005S.R.Nidovirales.zip","2021.005S.R.Nidovirales.zip")</f>
        <v>2021.005S.R.Nidovirales.zip</v>
      </c>
    </row>
    <row r="15137" spans="1:21">
      <c r="A15137">
        <v>15136</v>
      </c>
      <c r="B15137" s="27" t="s">
        <v>1124</v>
      </c>
      <c r="D15137" s="27" t="s">
        <v>1859</v>
      </c>
      <c r="F15137" s="27" t="s">
        <v>1909</v>
      </c>
      <c r="H15137" s="27" t="s">
        <v>1912</v>
      </c>
      <c r="J15137" s="27" t="s">
        <v>348</v>
      </c>
      <c r="K15137" s="27" t="s">
        <v>1070</v>
      </c>
      <c r="L15137" s="27" t="s">
        <v>1071</v>
      </c>
      <c r="M15137" s="27" t="s">
        <v>1072</v>
      </c>
      <c r="N15137" s="27" t="s">
        <v>1073</v>
      </c>
      <c r="O15137" s="27" t="s">
        <v>1074</v>
      </c>
      <c r="P15137" s="27" t="s">
        <v>17200</v>
      </c>
      <c r="Q15137" s="26" t="str">
        <f>HYPERLINK("https://ictv.global/taxonomy/taxondetails?taxnode_id=202506206&amp;ictv_id=ICTV20186206","ICTV20186206")</f>
        <v>ICTV20186206</v>
      </c>
      <c r="R15137" t="s">
        <v>581</v>
      </c>
      <c r="S15137" t="s">
        <v>824</v>
      </c>
      <c r="T15137">
        <v>39</v>
      </c>
      <c r="U15137" s="26" t="str">
        <f t="shared" ref="U15137:U15142" si="568">HYPERLINK("https://ictv.global/ictv/proposals/2023.013S.Nidovirales_27sprenamed.zip","2023.013S.Nidovirales_27sprenamed.zip")</f>
        <v>2023.013S.Nidovirales_27sprenamed.zip</v>
      </c>
    </row>
    <row r="15138" spans="1:21">
      <c r="A15138">
        <v>15137</v>
      </c>
      <c r="B15138" s="27" t="s">
        <v>1124</v>
      </c>
      <c r="D15138" s="27" t="s">
        <v>1859</v>
      </c>
      <c r="F15138" s="27" t="s">
        <v>1909</v>
      </c>
      <c r="H15138" s="27" t="s">
        <v>1912</v>
      </c>
      <c r="J15138" s="27" t="s">
        <v>348</v>
      </c>
      <c r="K15138" s="27" t="s">
        <v>1930</v>
      </c>
      <c r="L15138" s="27" t="s">
        <v>1931</v>
      </c>
      <c r="M15138" s="27" t="s">
        <v>1932</v>
      </c>
      <c r="N15138" s="27" t="s">
        <v>1933</v>
      </c>
      <c r="P15138" s="27" t="s">
        <v>17201</v>
      </c>
      <c r="Q15138" s="26" t="str">
        <f>HYPERLINK("https://ictv.global/taxonomy/taxondetails?taxnode_id=202507489&amp;ictv_id=ICTV201907489","ICTV201907489")</f>
        <v>ICTV201907489</v>
      </c>
      <c r="R15138" t="s">
        <v>581</v>
      </c>
      <c r="S15138" t="s">
        <v>824</v>
      </c>
      <c r="T15138">
        <v>39</v>
      </c>
      <c r="U15138" s="26" t="str">
        <f t="shared" si="568"/>
        <v>2023.013S.Nidovirales_27sprenamed.zip</v>
      </c>
    </row>
    <row r="15139" spans="1:21">
      <c r="A15139">
        <v>15138</v>
      </c>
      <c r="B15139" s="27" t="s">
        <v>1124</v>
      </c>
      <c r="D15139" s="27" t="s">
        <v>1859</v>
      </c>
      <c r="F15139" s="27" t="s">
        <v>1909</v>
      </c>
      <c r="H15139" s="27" t="s">
        <v>1912</v>
      </c>
      <c r="J15139" s="27" t="s">
        <v>348</v>
      </c>
      <c r="K15139" s="27" t="s">
        <v>1930</v>
      </c>
      <c r="L15139" s="27" t="s">
        <v>1934</v>
      </c>
      <c r="M15139" s="27" t="s">
        <v>1935</v>
      </c>
      <c r="N15139" s="27" t="s">
        <v>1936</v>
      </c>
      <c r="P15139" s="27" t="s">
        <v>17202</v>
      </c>
      <c r="Q15139" s="26" t="str">
        <f>HYPERLINK("https://ictv.global/taxonomy/taxondetails?taxnode_id=202507485&amp;ictv_id=ICTV201907485","ICTV201907485")</f>
        <v>ICTV201907485</v>
      </c>
      <c r="R15139" t="s">
        <v>581</v>
      </c>
      <c r="S15139" t="s">
        <v>824</v>
      </c>
      <c r="T15139">
        <v>39</v>
      </c>
      <c r="U15139" s="26" t="str">
        <f t="shared" si="568"/>
        <v>2023.013S.Nidovirales_27sprenamed.zip</v>
      </c>
    </row>
    <row r="15140" spans="1:21">
      <c r="A15140">
        <v>15139</v>
      </c>
      <c r="B15140" s="27" t="s">
        <v>1124</v>
      </c>
      <c r="D15140" s="27" t="s">
        <v>1859</v>
      </c>
      <c r="F15140" s="27" t="s">
        <v>1909</v>
      </c>
      <c r="H15140" s="27" t="s">
        <v>1912</v>
      </c>
      <c r="J15140" s="27" t="s">
        <v>348</v>
      </c>
      <c r="K15140" s="27" t="s">
        <v>1076</v>
      </c>
      <c r="L15140" s="27" t="s">
        <v>1077</v>
      </c>
      <c r="M15140" s="27" t="s">
        <v>1078</v>
      </c>
      <c r="N15140" s="27" t="s">
        <v>1079</v>
      </c>
      <c r="O15140" s="27" t="s">
        <v>1080</v>
      </c>
      <c r="P15140" s="27" t="s">
        <v>17203</v>
      </c>
      <c r="Q15140" s="26" t="str">
        <f>HYPERLINK("https://ictv.global/taxonomy/taxondetails?taxnode_id=202506188&amp;ictv_id=ICTV20186188","ICTV20186188")</f>
        <v>ICTV20186188</v>
      </c>
      <c r="R15140" t="s">
        <v>581</v>
      </c>
      <c r="S15140" t="s">
        <v>824</v>
      </c>
      <c r="T15140">
        <v>39</v>
      </c>
      <c r="U15140" s="26" t="str">
        <f t="shared" si="568"/>
        <v>2023.013S.Nidovirales_27sprenamed.zip</v>
      </c>
    </row>
    <row r="15141" spans="1:21">
      <c r="A15141">
        <v>15140</v>
      </c>
      <c r="B15141" s="27" t="s">
        <v>1124</v>
      </c>
      <c r="D15141" s="27" t="s">
        <v>1859</v>
      </c>
      <c r="F15141" s="27" t="s">
        <v>1909</v>
      </c>
      <c r="H15141" s="27" t="s">
        <v>1912</v>
      </c>
      <c r="J15141" s="27" t="s">
        <v>348</v>
      </c>
      <c r="K15141" s="27" t="s">
        <v>1076</v>
      </c>
      <c r="L15141" s="27" t="s">
        <v>1077</v>
      </c>
      <c r="M15141" s="27" t="s">
        <v>1078</v>
      </c>
      <c r="N15141" s="27" t="s">
        <v>1079</v>
      </c>
      <c r="O15141" s="27" t="s">
        <v>1082</v>
      </c>
      <c r="P15141" s="27" t="s">
        <v>17204</v>
      </c>
      <c r="Q15141" s="26" t="str">
        <f>HYPERLINK("https://ictv.global/taxonomy/taxondetails?taxnode_id=202506190&amp;ictv_id=ICTV20186190","ICTV20186190")</f>
        <v>ICTV20186190</v>
      </c>
      <c r="R15141" t="s">
        <v>581</v>
      </c>
      <c r="S15141" t="s">
        <v>824</v>
      </c>
      <c r="T15141">
        <v>39</v>
      </c>
      <c r="U15141" s="26" t="str">
        <f t="shared" si="568"/>
        <v>2023.013S.Nidovirales_27sprenamed.zip</v>
      </c>
    </row>
    <row r="15142" spans="1:21">
      <c r="A15142">
        <v>15141</v>
      </c>
      <c r="B15142" s="27" t="s">
        <v>1124</v>
      </c>
      <c r="D15142" s="27" t="s">
        <v>1859</v>
      </c>
      <c r="F15142" s="27" t="s">
        <v>1909</v>
      </c>
      <c r="H15142" s="27" t="s">
        <v>1912</v>
      </c>
      <c r="J15142" s="27" t="s">
        <v>348</v>
      </c>
      <c r="K15142" s="27" t="s">
        <v>1076</v>
      </c>
      <c r="L15142" s="27" t="s">
        <v>1077</v>
      </c>
      <c r="M15142" s="27" t="s">
        <v>1078</v>
      </c>
      <c r="N15142" s="27" t="s">
        <v>1083</v>
      </c>
      <c r="O15142" s="27" t="s">
        <v>1084</v>
      </c>
      <c r="P15142" s="27" t="s">
        <v>17205</v>
      </c>
      <c r="Q15142" s="26" t="str">
        <f>HYPERLINK("https://ictv.global/taxonomy/taxondetails?taxnode_id=202506194&amp;ictv_id=ICTV20186194","ICTV20186194")</f>
        <v>ICTV20186194</v>
      </c>
      <c r="R15142" t="s">
        <v>581</v>
      </c>
      <c r="S15142" t="s">
        <v>824</v>
      </c>
      <c r="T15142">
        <v>39</v>
      </c>
      <c r="U15142" s="26" t="str">
        <f t="shared" si="568"/>
        <v>2023.013S.Nidovirales_27sprenamed.zip</v>
      </c>
    </row>
    <row r="15143" spans="1:21">
      <c r="A15143">
        <v>15142</v>
      </c>
      <c r="B15143" s="27" t="s">
        <v>1124</v>
      </c>
      <c r="D15143" s="27" t="s">
        <v>1859</v>
      </c>
      <c r="F15143" s="27" t="s">
        <v>1909</v>
      </c>
      <c r="H15143" s="27" t="s">
        <v>1912</v>
      </c>
      <c r="J15143" s="27" t="s">
        <v>348</v>
      </c>
      <c r="K15143" s="27" t="s">
        <v>1076</v>
      </c>
      <c r="L15143" s="27" t="s">
        <v>258</v>
      </c>
      <c r="M15143" s="27" t="s">
        <v>1085</v>
      </c>
      <c r="N15143" s="27" t="s">
        <v>10500</v>
      </c>
      <c r="O15143" s="27" t="s">
        <v>10501</v>
      </c>
      <c r="P15143" s="27" t="s">
        <v>10502</v>
      </c>
      <c r="Q15143" s="26" t="str">
        <f>HYPERLINK("https://ictv.global/taxonomy/taxondetails?taxnode_id=202513943&amp;ictv_id=ICTV202113943","ICTV202113943")</f>
        <v>ICTV202113943</v>
      </c>
      <c r="R15143" t="s">
        <v>581</v>
      </c>
      <c r="S15143" t="s">
        <v>823</v>
      </c>
      <c r="T15143">
        <v>37</v>
      </c>
      <c r="U15143" s="26" t="str">
        <f>HYPERLINK("https://ictv.global/ictv/proposals/2021.005S.R.Nidovirales.zip","2021.005S.R.Nidovirales.zip")</f>
        <v>2021.005S.R.Nidovirales.zip</v>
      </c>
    </row>
    <row r="15144" spans="1:21">
      <c r="A15144">
        <v>15143</v>
      </c>
      <c r="B15144" s="27" t="s">
        <v>1124</v>
      </c>
      <c r="D15144" s="27" t="s">
        <v>1859</v>
      </c>
      <c r="F15144" s="27" t="s">
        <v>1909</v>
      </c>
      <c r="H15144" s="27" t="s">
        <v>1912</v>
      </c>
      <c r="J15144" s="27" t="s">
        <v>348</v>
      </c>
      <c r="K15144" s="27" t="s">
        <v>1076</v>
      </c>
      <c r="L15144" s="27" t="s">
        <v>258</v>
      </c>
      <c r="M15144" s="27" t="s">
        <v>1085</v>
      </c>
      <c r="N15144" s="27" t="s">
        <v>259</v>
      </c>
      <c r="O15144" s="27" t="s">
        <v>1086</v>
      </c>
      <c r="P15144" s="27" t="s">
        <v>10503</v>
      </c>
      <c r="Q15144" s="26" t="str">
        <f>HYPERLINK("https://ictv.global/taxonomy/taxondetails?taxnode_id=202501909&amp;ictv_id=ICTV20020530","ICTV20020530")</f>
        <v>ICTV20020530</v>
      </c>
      <c r="R15144" t="s">
        <v>581</v>
      </c>
      <c r="S15144" t="s">
        <v>824</v>
      </c>
      <c r="T15144">
        <v>38</v>
      </c>
      <c r="U15144" s="26" t="str">
        <f>HYPERLINK("https://ictv.global/ictv/proposals/2022.005S.Roniviridae_rename.zip","2022.005S.Roniviridae_rename.zip")</f>
        <v>2022.005S.Roniviridae_rename.zip</v>
      </c>
    </row>
    <row r="15145" spans="1:21">
      <c r="A15145">
        <v>15144</v>
      </c>
      <c r="B15145" s="27" t="s">
        <v>1124</v>
      </c>
      <c r="D15145" s="27" t="s">
        <v>1859</v>
      </c>
      <c r="F15145" s="27" t="s">
        <v>1909</v>
      </c>
      <c r="H15145" s="27" t="s">
        <v>1912</v>
      </c>
      <c r="J15145" s="27" t="s">
        <v>348</v>
      </c>
      <c r="K15145" s="27" t="s">
        <v>1076</v>
      </c>
      <c r="L15145" s="27" t="s">
        <v>258</v>
      </c>
      <c r="M15145" s="27" t="s">
        <v>1085</v>
      </c>
      <c r="N15145" s="27" t="s">
        <v>259</v>
      </c>
      <c r="O15145" s="27" t="s">
        <v>1086</v>
      </c>
      <c r="P15145" s="27" t="s">
        <v>10504</v>
      </c>
      <c r="Q15145" s="26" t="str">
        <f>HYPERLINK("https://ictv.global/taxonomy/taxondetails?taxnode_id=202506183&amp;ictv_id=ICTV20186183","ICTV20186183")</f>
        <v>ICTV20186183</v>
      </c>
      <c r="R15145" t="s">
        <v>581</v>
      </c>
      <c r="S15145" t="s">
        <v>824</v>
      </c>
      <c r="T15145">
        <v>38</v>
      </c>
      <c r="U15145" s="26" t="str">
        <f>HYPERLINK("https://ictv.global/ictv/proposals/2022.005S.Roniviridae_rename.zip","2022.005S.Roniviridae_rename.zip")</f>
        <v>2022.005S.Roniviridae_rename.zip</v>
      </c>
    </row>
    <row r="15146" spans="1:21">
      <c r="A15146">
        <v>15145</v>
      </c>
      <c r="B15146" s="27" t="s">
        <v>1124</v>
      </c>
      <c r="D15146" s="27" t="s">
        <v>1859</v>
      </c>
      <c r="F15146" s="27" t="s">
        <v>1909</v>
      </c>
      <c r="H15146" s="27" t="s">
        <v>1912</v>
      </c>
      <c r="J15146" s="27" t="s">
        <v>348</v>
      </c>
      <c r="K15146" s="27" t="s">
        <v>1076</v>
      </c>
      <c r="L15146" s="27" t="s">
        <v>258</v>
      </c>
      <c r="M15146" s="27" t="s">
        <v>1085</v>
      </c>
      <c r="N15146" s="27" t="s">
        <v>259</v>
      </c>
      <c r="O15146" s="27" t="s">
        <v>1086</v>
      </c>
      <c r="P15146" s="27" t="s">
        <v>10505</v>
      </c>
      <c r="Q15146" s="26" t="str">
        <f>HYPERLINK("https://ictv.global/taxonomy/taxondetails?taxnode_id=202507510&amp;ictv_id=ICTV201907510","ICTV201907510")</f>
        <v>ICTV201907510</v>
      </c>
      <c r="R15146" t="s">
        <v>581</v>
      </c>
      <c r="S15146" t="s">
        <v>824</v>
      </c>
      <c r="T15146">
        <v>38</v>
      </c>
      <c r="U15146" s="26" t="str">
        <f>HYPERLINK("https://ictv.global/ictv/proposals/2022.005S.Roniviridae_rename.zip","2022.005S.Roniviridae_rename.zip")</f>
        <v>2022.005S.Roniviridae_rename.zip</v>
      </c>
    </row>
    <row r="15147" spans="1:21">
      <c r="A15147">
        <v>15146</v>
      </c>
      <c r="B15147" s="27" t="s">
        <v>1124</v>
      </c>
      <c r="D15147" s="27" t="s">
        <v>1859</v>
      </c>
      <c r="F15147" s="27" t="s">
        <v>1909</v>
      </c>
      <c r="H15147" s="27" t="s">
        <v>1912</v>
      </c>
      <c r="J15147" s="27" t="s">
        <v>348</v>
      </c>
      <c r="K15147" s="27" t="s">
        <v>1087</v>
      </c>
      <c r="L15147" s="27" t="s">
        <v>1088</v>
      </c>
      <c r="M15147" s="27" t="s">
        <v>1089</v>
      </c>
      <c r="N15147" s="27" t="s">
        <v>123</v>
      </c>
      <c r="O15147" s="27" t="s">
        <v>1101</v>
      </c>
      <c r="P15147" s="27" t="s">
        <v>17206</v>
      </c>
      <c r="Q15147" s="26" t="str">
        <f>HYPERLINK("https://ictv.global/taxonomy/taxondetails?taxnode_id=202501885&amp;ictv_id=ICTV20093532","ICTV20093532")</f>
        <v>ICTV20093532</v>
      </c>
      <c r="R15147" t="s">
        <v>581</v>
      </c>
      <c r="S15147" t="s">
        <v>824</v>
      </c>
      <c r="T15147">
        <v>39</v>
      </c>
      <c r="U15147" s="26" t="str">
        <f>HYPERLINK("https://ictv.global/ictv/proposals/2023.013S.Nidovirales_27sprenamed.zip","2023.013S.Nidovirales_27sprenamed.zip")</f>
        <v>2023.013S.Nidovirales_27sprenamed.zip</v>
      </c>
    </row>
    <row r="15148" spans="1:21">
      <c r="A15148">
        <v>15147</v>
      </c>
      <c r="B15148" s="27" t="s">
        <v>1124</v>
      </c>
      <c r="D15148" s="27" t="s">
        <v>1859</v>
      </c>
      <c r="F15148" s="27" t="s">
        <v>1909</v>
      </c>
      <c r="H15148" s="27" t="s">
        <v>1912</v>
      </c>
      <c r="J15148" s="27" t="s">
        <v>348</v>
      </c>
      <c r="K15148" s="27" t="s">
        <v>1087</v>
      </c>
      <c r="L15148" s="27" t="s">
        <v>1088</v>
      </c>
      <c r="M15148" s="27" t="s">
        <v>1089</v>
      </c>
      <c r="N15148" s="27" t="s">
        <v>123</v>
      </c>
      <c r="O15148" s="27" t="s">
        <v>1090</v>
      </c>
      <c r="P15148" s="27" t="s">
        <v>17207</v>
      </c>
      <c r="Q15148" s="26" t="str">
        <f>HYPERLINK("https://ictv.global/taxonomy/taxondetails?taxnode_id=202501884&amp;ictv_id=ICTV20151240","ICTV20151240")</f>
        <v>ICTV20151240</v>
      </c>
      <c r="R15148" t="s">
        <v>581</v>
      </c>
      <c r="S15148" t="s">
        <v>824</v>
      </c>
      <c r="T15148">
        <v>39</v>
      </c>
      <c r="U15148" s="26" t="str">
        <f>HYPERLINK("https://ictv.global/ictv/proposals/2023.013S.Nidovirales_27sprenamed.zip","2023.013S.Nidovirales_27sprenamed.zip")</f>
        <v>2023.013S.Nidovirales_27sprenamed.zip</v>
      </c>
    </row>
    <row r="15149" spans="1:21">
      <c r="A15149">
        <v>15148</v>
      </c>
      <c r="B15149" s="27" t="s">
        <v>1124</v>
      </c>
      <c r="D15149" s="27" t="s">
        <v>1859</v>
      </c>
      <c r="F15149" s="27" t="s">
        <v>1909</v>
      </c>
      <c r="H15149" s="27" t="s">
        <v>1912</v>
      </c>
      <c r="J15149" s="27" t="s">
        <v>348</v>
      </c>
      <c r="K15149" s="27" t="s">
        <v>1087</v>
      </c>
      <c r="L15149" s="27" t="s">
        <v>1088</v>
      </c>
      <c r="M15149" s="27" t="s">
        <v>1089</v>
      </c>
      <c r="N15149" s="27" t="s">
        <v>1091</v>
      </c>
      <c r="O15149" s="27" t="s">
        <v>1092</v>
      </c>
      <c r="P15149" s="27" t="s">
        <v>17208</v>
      </c>
      <c r="Q15149" s="26" t="str">
        <f>HYPERLINK("https://ictv.global/taxonomy/taxondetails?taxnode_id=202501894&amp;ictv_id=ICTV20165185","ICTV20165185")</f>
        <v>ICTV20165185</v>
      </c>
      <c r="R15149" t="s">
        <v>581</v>
      </c>
      <c r="S15149" t="s">
        <v>824</v>
      </c>
      <c r="T15149">
        <v>39</v>
      </c>
      <c r="U15149" s="26" t="str">
        <f>HYPERLINK("https://ictv.global/ictv/proposals/2023.013S.Nidovirales_27sprenamed.zip","2023.013S.Nidovirales_27sprenamed.zip")</f>
        <v>2023.013S.Nidovirales_27sprenamed.zip</v>
      </c>
    </row>
    <row r="15150" spans="1:21">
      <c r="A15150">
        <v>15149</v>
      </c>
      <c r="B15150" s="27" t="s">
        <v>1124</v>
      </c>
      <c r="D15150" s="27" t="s">
        <v>1859</v>
      </c>
      <c r="F15150" s="27" t="s">
        <v>1909</v>
      </c>
      <c r="H15150" s="27" t="s">
        <v>1912</v>
      </c>
      <c r="J15150" s="27" t="s">
        <v>348</v>
      </c>
      <c r="K15150" s="27" t="s">
        <v>1087</v>
      </c>
      <c r="L15150" s="27" t="s">
        <v>1088</v>
      </c>
      <c r="M15150" s="27" t="s">
        <v>1093</v>
      </c>
      <c r="N15150" s="27" t="s">
        <v>1094</v>
      </c>
      <c r="O15150" s="27" t="s">
        <v>1095</v>
      </c>
      <c r="P15150" s="27" t="s">
        <v>17209</v>
      </c>
      <c r="Q15150" s="26" t="str">
        <f>HYPERLINK("https://ictv.global/taxonomy/taxondetails?taxnode_id=202501893&amp;ictv_id=ICTV20165184","ICTV20165184")</f>
        <v>ICTV20165184</v>
      </c>
      <c r="R15150" t="s">
        <v>581</v>
      </c>
      <c r="S15150" t="s">
        <v>824</v>
      </c>
      <c r="T15150">
        <v>39</v>
      </c>
      <c r="U15150" s="26" t="str">
        <f>HYPERLINK("https://ictv.global/ictv/proposals/2023.013S.Nidovirales_27sprenamed.zip","2023.013S.Nidovirales_27sprenamed.zip")</f>
        <v>2023.013S.Nidovirales_27sprenamed.zip</v>
      </c>
    </row>
    <row r="15151" spans="1:21">
      <c r="A15151">
        <v>15150</v>
      </c>
      <c r="B15151" s="27" t="s">
        <v>1124</v>
      </c>
      <c r="D15151" s="27" t="s">
        <v>1859</v>
      </c>
      <c r="F15151" s="27" t="s">
        <v>1909</v>
      </c>
      <c r="H15151" s="27" t="s">
        <v>1912</v>
      </c>
      <c r="J15151" s="27" t="s">
        <v>348</v>
      </c>
      <c r="K15151" s="27" t="s">
        <v>1087</v>
      </c>
      <c r="L15151" s="27" t="s">
        <v>1088</v>
      </c>
      <c r="M15151" s="27" t="s">
        <v>1096</v>
      </c>
      <c r="N15151" s="27" t="s">
        <v>1097</v>
      </c>
      <c r="O15151" s="27" t="s">
        <v>1937</v>
      </c>
      <c r="P15151" s="27" t="s">
        <v>17210</v>
      </c>
      <c r="Q15151" s="26" t="str">
        <f>HYPERLINK("https://ictv.global/taxonomy/taxondetails?taxnode_id=202507502&amp;ictv_id=ICTV201907502","ICTV201907502")</f>
        <v>ICTV201907502</v>
      </c>
      <c r="R15151" t="s">
        <v>581</v>
      </c>
      <c r="S15151" t="s">
        <v>824</v>
      </c>
      <c r="T15151">
        <v>39</v>
      </c>
      <c r="U15151" s="26" t="str">
        <f>HYPERLINK("https://ictv.global/ictv/proposals/2023.013S.Nidovirales_27sprenamed.zip","2023.013S.Nidovirales_27sprenamed.zip")</f>
        <v>2023.013S.Nidovirales_27sprenamed.zip</v>
      </c>
    </row>
    <row r="15152" spans="1:21">
      <c r="A15152">
        <v>15151</v>
      </c>
      <c r="B15152" s="27" t="s">
        <v>1124</v>
      </c>
      <c r="D15152" s="27" t="s">
        <v>1859</v>
      </c>
      <c r="F15152" s="27" t="s">
        <v>1909</v>
      </c>
      <c r="H15152" s="27" t="s">
        <v>1912</v>
      </c>
      <c r="J15152" s="27" t="s">
        <v>348</v>
      </c>
      <c r="K15152" s="27" t="s">
        <v>1087</v>
      </c>
      <c r="L15152" s="27" t="s">
        <v>1088</v>
      </c>
      <c r="M15152" s="27" t="s">
        <v>1096</v>
      </c>
      <c r="N15152" s="27" t="s">
        <v>1097</v>
      </c>
      <c r="O15152" s="27" t="s">
        <v>10506</v>
      </c>
      <c r="P15152" s="27" t="s">
        <v>10507</v>
      </c>
      <c r="Q15152" s="26" t="str">
        <f>HYPERLINK("https://ictv.global/taxonomy/taxondetails?taxnode_id=202513911&amp;ictv_id=ICTV202113911","ICTV202113911")</f>
        <v>ICTV202113911</v>
      </c>
      <c r="R15152" t="s">
        <v>581</v>
      </c>
      <c r="S15152" t="s">
        <v>823</v>
      </c>
      <c r="T15152">
        <v>37</v>
      </c>
      <c r="U15152" s="26" t="str">
        <f>HYPERLINK("https://ictv.global/ictv/proposals/2021.005S.R.Nidovirales.zip","2021.005S.R.Nidovirales.zip")</f>
        <v>2021.005S.R.Nidovirales.zip</v>
      </c>
    </row>
    <row r="15153" spans="1:21">
      <c r="A15153">
        <v>15152</v>
      </c>
      <c r="B15153" s="27" t="s">
        <v>1124</v>
      </c>
      <c r="D15153" s="27" t="s">
        <v>1859</v>
      </c>
      <c r="F15153" s="27" t="s">
        <v>1909</v>
      </c>
      <c r="H15153" s="27" t="s">
        <v>1912</v>
      </c>
      <c r="J15153" s="27" t="s">
        <v>348</v>
      </c>
      <c r="K15153" s="27" t="s">
        <v>1087</v>
      </c>
      <c r="L15153" s="27" t="s">
        <v>1088</v>
      </c>
      <c r="M15153" s="27" t="s">
        <v>1096</v>
      </c>
      <c r="N15153" s="27" t="s">
        <v>1097</v>
      </c>
      <c r="O15153" s="27" t="s">
        <v>1098</v>
      </c>
      <c r="P15153" s="27" t="s">
        <v>17211</v>
      </c>
      <c r="Q15153" s="26" t="str">
        <f>HYPERLINK("https://ictv.global/taxonomy/taxondetails?taxnode_id=202506154&amp;ictv_id=ICTV20186154","ICTV20186154")</f>
        <v>ICTV20186154</v>
      </c>
      <c r="R15153" t="s">
        <v>581</v>
      </c>
      <c r="S15153" t="s">
        <v>824</v>
      </c>
      <c r="T15153">
        <v>39</v>
      </c>
      <c r="U15153" s="26" t="str">
        <f>HYPERLINK("https://ictv.global/ictv/proposals/2023.013S.Nidovirales_27sprenamed.zip","2023.013S.Nidovirales_27sprenamed.zip")</f>
        <v>2023.013S.Nidovirales_27sprenamed.zip</v>
      </c>
    </row>
    <row r="15154" spans="1:21">
      <c r="A15154">
        <v>15153</v>
      </c>
      <c r="B15154" s="27" t="s">
        <v>1124</v>
      </c>
      <c r="D15154" s="27" t="s">
        <v>1859</v>
      </c>
      <c r="F15154" s="27" t="s">
        <v>1909</v>
      </c>
      <c r="H15154" s="27" t="s">
        <v>1912</v>
      </c>
      <c r="J15154" s="27" t="s">
        <v>348</v>
      </c>
      <c r="K15154" s="27" t="s">
        <v>1087</v>
      </c>
      <c r="L15154" s="27" t="s">
        <v>1088</v>
      </c>
      <c r="M15154" s="27" t="s">
        <v>1096</v>
      </c>
      <c r="N15154" s="27" t="s">
        <v>1938</v>
      </c>
      <c r="O15154" s="27" t="s">
        <v>10508</v>
      </c>
      <c r="P15154" s="27" t="s">
        <v>10509</v>
      </c>
      <c r="Q15154" s="26" t="str">
        <f>HYPERLINK("https://ictv.global/taxonomy/taxondetails?taxnode_id=202513913&amp;ictv_id=ICTV202113913","ICTV202113913")</f>
        <v>ICTV202113913</v>
      </c>
      <c r="R15154" t="s">
        <v>581</v>
      </c>
      <c r="S15154" t="s">
        <v>823</v>
      </c>
      <c r="T15154">
        <v>37</v>
      </c>
      <c r="U15154" s="26" t="str">
        <f>HYPERLINK("https://ictv.global/ictv/proposals/2021.005S.R.Nidovirales.zip","2021.005S.R.Nidovirales.zip")</f>
        <v>2021.005S.R.Nidovirales.zip</v>
      </c>
    </row>
    <row r="15155" spans="1:21">
      <c r="A15155">
        <v>15154</v>
      </c>
      <c r="B15155" s="27" t="s">
        <v>1124</v>
      </c>
      <c r="D15155" s="27" t="s">
        <v>1859</v>
      </c>
      <c r="F15155" s="27" t="s">
        <v>1909</v>
      </c>
      <c r="H15155" s="27" t="s">
        <v>1912</v>
      </c>
      <c r="J15155" s="27" t="s">
        <v>348</v>
      </c>
      <c r="K15155" s="27" t="s">
        <v>1087</v>
      </c>
      <c r="L15155" s="27" t="s">
        <v>1088</v>
      </c>
      <c r="M15155" s="27" t="s">
        <v>1096</v>
      </c>
      <c r="N15155" s="27" t="s">
        <v>1938</v>
      </c>
      <c r="O15155" s="27" t="s">
        <v>1939</v>
      </c>
      <c r="P15155" s="27" t="s">
        <v>17212</v>
      </c>
      <c r="Q15155" s="26" t="str">
        <f>HYPERLINK("https://ictv.global/taxonomy/taxondetails?taxnode_id=202507505&amp;ictv_id=ICTV201907505","ICTV201907505")</f>
        <v>ICTV201907505</v>
      </c>
      <c r="R15155" t="s">
        <v>581</v>
      </c>
      <c r="S15155" t="s">
        <v>824</v>
      </c>
      <c r="T15155">
        <v>39</v>
      </c>
      <c r="U15155" s="26" t="str">
        <f>HYPERLINK("https://ictv.global/ictv/proposals/2023.013S.Nidovirales_27sprenamed.zip","2023.013S.Nidovirales_27sprenamed.zip")</f>
        <v>2023.013S.Nidovirales_27sprenamed.zip</v>
      </c>
    </row>
    <row r="15156" spans="1:21">
      <c r="A15156">
        <v>15155</v>
      </c>
      <c r="B15156" s="27" t="s">
        <v>1124</v>
      </c>
      <c r="D15156" s="27" t="s">
        <v>1859</v>
      </c>
      <c r="F15156" s="27" t="s">
        <v>1909</v>
      </c>
      <c r="H15156" s="27" t="s">
        <v>1912</v>
      </c>
      <c r="J15156" s="27" t="s">
        <v>348</v>
      </c>
      <c r="K15156" s="27" t="s">
        <v>1087</v>
      </c>
      <c r="L15156" s="27" t="s">
        <v>1088</v>
      </c>
      <c r="M15156" s="27" t="s">
        <v>1096</v>
      </c>
      <c r="N15156" s="27" t="s">
        <v>1099</v>
      </c>
      <c r="O15156" s="27" t="s">
        <v>1100</v>
      </c>
      <c r="P15156" s="27" t="s">
        <v>10510</v>
      </c>
      <c r="Q15156" s="26" t="str">
        <f>HYPERLINK("https://ictv.global/taxonomy/taxondetails?taxnode_id=202513917&amp;ictv_id=ICTV202113917","ICTV202113917")</f>
        <v>ICTV202113917</v>
      </c>
      <c r="R15156" t="s">
        <v>581</v>
      </c>
      <c r="S15156" t="s">
        <v>823</v>
      </c>
      <c r="T15156">
        <v>37</v>
      </c>
      <c r="U15156" s="26" t="str">
        <f>HYPERLINK("https://ictv.global/ictv/proposals/2021.005S.R.Nidovirales.zip","2021.005S.R.Nidovirales.zip")</f>
        <v>2021.005S.R.Nidovirales.zip</v>
      </c>
    </row>
    <row r="15157" spans="1:21">
      <c r="A15157">
        <v>15156</v>
      </c>
      <c r="B15157" s="27" t="s">
        <v>1124</v>
      </c>
      <c r="D15157" s="27" t="s">
        <v>1859</v>
      </c>
      <c r="F15157" s="27" t="s">
        <v>1909</v>
      </c>
      <c r="H15157" s="27" t="s">
        <v>1912</v>
      </c>
      <c r="J15157" s="27" t="s">
        <v>348</v>
      </c>
      <c r="K15157" s="27" t="s">
        <v>1087</v>
      </c>
      <c r="L15157" s="27" t="s">
        <v>1088</v>
      </c>
      <c r="M15157" s="27" t="s">
        <v>1096</v>
      </c>
      <c r="N15157" s="27" t="s">
        <v>1099</v>
      </c>
      <c r="O15157" s="27" t="s">
        <v>1100</v>
      </c>
      <c r="P15157" s="27" t="s">
        <v>17213</v>
      </c>
      <c r="Q15157" s="26" t="str">
        <f>HYPERLINK("https://ictv.global/taxonomy/taxondetails?taxnode_id=202507508&amp;ictv_id=ICTV201907508","ICTV201907508")</f>
        <v>ICTV201907508</v>
      </c>
      <c r="R15157" t="s">
        <v>581</v>
      </c>
      <c r="S15157" t="s">
        <v>824</v>
      </c>
      <c r="T15157">
        <v>39</v>
      </c>
      <c r="U15157" s="26" t="str">
        <f>HYPERLINK("https://ictv.global/ictv/proposals/2023.013S.Nidovirales_27sprenamed.zip","2023.013S.Nidovirales_27sprenamed.zip")</f>
        <v>2023.013S.Nidovirales_27sprenamed.zip</v>
      </c>
    </row>
    <row r="15158" spans="1:21">
      <c r="A15158">
        <v>15157</v>
      </c>
      <c r="B15158" s="27" t="s">
        <v>1124</v>
      </c>
      <c r="D15158" s="27" t="s">
        <v>1859</v>
      </c>
      <c r="F15158" s="27" t="s">
        <v>1909</v>
      </c>
      <c r="H15158" s="27" t="s">
        <v>1912</v>
      </c>
      <c r="J15158" s="27" t="s">
        <v>348</v>
      </c>
      <c r="K15158" s="27" t="s">
        <v>1087</v>
      </c>
      <c r="L15158" s="27" t="s">
        <v>1088</v>
      </c>
      <c r="M15158" s="27" t="s">
        <v>1096</v>
      </c>
      <c r="N15158" s="27" t="s">
        <v>1099</v>
      </c>
      <c r="O15158" s="27" t="s">
        <v>1100</v>
      </c>
      <c r="P15158" s="27" t="s">
        <v>17214</v>
      </c>
      <c r="Q15158" s="26" t="str">
        <f>HYPERLINK("https://ictv.global/taxonomy/taxondetails?taxnode_id=202501892&amp;ictv_id=ICTV20151247","ICTV20151247")</f>
        <v>ICTV20151247</v>
      </c>
      <c r="R15158" t="s">
        <v>581</v>
      </c>
      <c r="S15158" t="s">
        <v>824</v>
      </c>
      <c r="T15158">
        <v>39</v>
      </c>
      <c r="U15158" s="26" t="str">
        <f>HYPERLINK("https://ictv.global/ictv/proposals/2023.013S.Nidovirales_27sprenamed.zip","2023.013S.Nidovirales_27sprenamed.zip")</f>
        <v>2023.013S.Nidovirales_27sprenamed.zip</v>
      </c>
    </row>
    <row r="15159" spans="1:21">
      <c r="A15159">
        <v>15158</v>
      </c>
      <c r="B15159" s="27" t="s">
        <v>1124</v>
      </c>
      <c r="D15159" s="27" t="s">
        <v>1859</v>
      </c>
      <c r="F15159" s="27" t="s">
        <v>1909</v>
      </c>
      <c r="H15159" s="27" t="s">
        <v>1912</v>
      </c>
      <c r="J15159" s="27" t="s">
        <v>348</v>
      </c>
      <c r="K15159" s="27" t="s">
        <v>1087</v>
      </c>
      <c r="L15159" s="27" t="s">
        <v>1088</v>
      </c>
      <c r="M15159" s="27" t="s">
        <v>1096</v>
      </c>
      <c r="N15159" s="27" t="s">
        <v>1099</v>
      </c>
      <c r="O15159" s="27" t="s">
        <v>1940</v>
      </c>
      <c r="P15159" s="27" t="s">
        <v>17215</v>
      </c>
      <c r="Q15159" s="26" t="str">
        <f>HYPERLINK("https://ictv.global/taxonomy/taxondetails?taxnode_id=202507507&amp;ictv_id=ICTV201907507","ICTV201907507")</f>
        <v>ICTV201907507</v>
      </c>
      <c r="R15159" t="s">
        <v>581</v>
      </c>
      <c r="S15159" t="s">
        <v>824</v>
      </c>
      <c r="T15159">
        <v>39</v>
      </c>
      <c r="U15159" s="26" t="str">
        <f>HYPERLINK("https://ictv.global/ictv/proposals/2023.013S.Nidovirales_27sprenamed.zip","2023.013S.Nidovirales_27sprenamed.zip")</f>
        <v>2023.013S.Nidovirales_27sprenamed.zip</v>
      </c>
    </row>
    <row r="15160" spans="1:21">
      <c r="A15160">
        <v>15159</v>
      </c>
      <c r="B15160" s="27" t="s">
        <v>1124</v>
      </c>
      <c r="D15160" s="27" t="s">
        <v>1859</v>
      </c>
      <c r="F15160" s="27" t="s">
        <v>1909</v>
      </c>
      <c r="H15160" s="27" t="s">
        <v>1912</v>
      </c>
      <c r="J15160" s="27" t="s">
        <v>348</v>
      </c>
      <c r="K15160" s="27" t="s">
        <v>1087</v>
      </c>
      <c r="L15160" s="27" t="s">
        <v>1088</v>
      </c>
      <c r="M15160" s="27" t="s">
        <v>1096</v>
      </c>
      <c r="N15160" s="27" t="s">
        <v>1099</v>
      </c>
      <c r="O15160" s="27" t="s">
        <v>1104</v>
      </c>
      <c r="P15160" s="27" t="s">
        <v>17216</v>
      </c>
      <c r="Q15160" s="26" t="str">
        <f>HYPERLINK("https://ictv.global/taxonomy/taxondetails?taxnode_id=202506156&amp;ictv_id=ICTV20186156","ICTV20186156")</f>
        <v>ICTV20186156</v>
      </c>
      <c r="R15160" t="s">
        <v>581</v>
      </c>
      <c r="S15160" t="s">
        <v>824</v>
      </c>
      <c r="T15160">
        <v>39</v>
      </c>
      <c r="U15160" s="26" t="str">
        <f>HYPERLINK("https://ictv.global/ictv/proposals/2023.013S.Nidovirales_27sprenamed.zip","2023.013S.Nidovirales_27sprenamed.zip")</f>
        <v>2023.013S.Nidovirales_27sprenamed.zip</v>
      </c>
    </row>
    <row r="15161" spans="1:21">
      <c r="A15161">
        <v>15160</v>
      </c>
      <c r="B15161" s="27" t="s">
        <v>1124</v>
      </c>
      <c r="D15161" s="27" t="s">
        <v>1859</v>
      </c>
      <c r="F15161" s="27" t="s">
        <v>1909</v>
      </c>
      <c r="H15161" s="27" t="s">
        <v>1912</v>
      </c>
      <c r="J15161" s="27" t="s">
        <v>348</v>
      </c>
      <c r="K15161" s="27" t="s">
        <v>1087</v>
      </c>
      <c r="L15161" s="27" t="s">
        <v>1088</v>
      </c>
      <c r="M15161" s="27" t="s">
        <v>1096</v>
      </c>
      <c r="N15161" s="27" t="s">
        <v>1102</v>
      </c>
      <c r="O15161" s="27" t="s">
        <v>1103</v>
      </c>
      <c r="P15161" s="27" t="s">
        <v>17217</v>
      </c>
      <c r="Q15161" s="26" t="str">
        <f>HYPERLINK("https://ictv.global/taxonomy/taxondetails?taxnode_id=202506155&amp;ictv_id=ICTV20186155","ICTV20186155")</f>
        <v>ICTV20186155</v>
      </c>
      <c r="R15161" t="s">
        <v>581</v>
      </c>
      <c r="S15161" t="s">
        <v>824</v>
      </c>
      <c r="T15161">
        <v>39</v>
      </c>
      <c r="U15161" s="26" t="str">
        <f>HYPERLINK("https://ictv.global/ictv/proposals/2023.013S.Nidovirales_27sprenamed.zip","2023.013S.Nidovirales_27sprenamed.zip")</f>
        <v>2023.013S.Nidovirales_27sprenamed.zip</v>
      </c>
    </row>
    <row r="15162" spans="1:21">
      <c r="A15162">
        <v>15161</v>
      </c>
      <c r="B15162" s="27" t="s">
        <v>1124</v>
      </c>
      <c r="D15162" s="27" t="s">
        <v>1859</v>
      </c>
      <c r="F15162" s="27" t="s">
        <v>1909</v>
      </c>
      <c r="H15162" s="27" t="s">
        <v>1912</v>
      </c>
      <c r="J15162" s="27" t="s">
        <v>348</v>
      </c>
      <c r="K15162" s="27" t="s">
        <v>1087</v>
      </c>
      <c r="L15162" s="27" t="s">
        <v>1088</v>
      </c>
      <c r="M15162" s="27" t="s">
        <v>1096</v>
      </c>
      <c r="N15162" s="27" t="s">
        <v>10511</v>
      </c>
      <c r="O15162" s="27" t="s">
        <v>10512</v>
      </c>
      <c r="P15162" s="27" t="s">
        <v>10513</v>
      </c>
      <c r="Q15162" s="26" t="str">
        <f>HYPERLINK("https://ictv.global/taxonomy/taxondetails?taxnode_id=202513920&amp;ictv_id=ICTV202113920","ICTV202113920")</f>
        <v>ICTV202113920</v>
      </c>
      <c r="R15162" t="s">
        <v>581</v>
      </c>
      <c r="S15162" t="s">
        <v>823</v>
      </c>
      <c r="T15162">
        <v>37</v>
      </c>
      <c r="U15162" s="26" t="str">
        <f>HYPERLINK("https://ictv.global/ictv/proposals/2021.005S.R.Nidovirales.zip","2021.005S.R.Nidovirales.zip")</f>
        <v>2021.005S.R.Nidovirales.zip</v>
      </c>
    </row>
    <row r="15163" spans="1:21">
      <c r="A15163">
        <v>15162</v>
      </c>
      <c r="B15163" s="27" t="s">
        <v>1124</v>
      </c>
      <c r="D15163" s="27" t="s">
        <v>1859</v>
      </c>
      <c r="F15163" s="27" t="s">
        <v>1909</v>
      </c>
      <c r="H15163" s="27" t="s">
        <v>1912</v>
      </c>
      <c r="J15163" s="27" t="s">
        <v>348</v>
      </c>
      <c r="K15163" s="27" t="s">
        <v>1087</v>
      </c>
      <c r="L15163" s="27" t="s">
        <v>1088</v>
      </c>
      <c r="M15163" s="27" t="s">
        <v>1096</v>
      </c>
      <c r="N15163" s="27" t="s">
        <v>10514</v>
      </c>
      <c r="O15163" s="27" t="s">
        <v>10515</v>
      </c>
      <c r="P15163" s="27" t="s">
        <v>10516</v>
      </c>
      <c r="Q15163" s="26" t="str">
        <f>HYPERLINK("https://ictv.global/taxonomy/taxondetails?taxnode_id=202513923&amp;ictv_id=ICTV202113923","ICTV202113923")</f>
        <v>ICTV202113923</v>
      </c>
      <c r="R15163" t="s">
        <v>581</v>
      </c>
      <c r="S15163" t="s">
        <v>823</v>
      </c>
      <c r="T15163">
        <v>37</v>
      </c>
      <c r="U15163" s="26" t="str">
        <f>HYPERLINK("https://ictv.global/ictv/proposals/2021.005S.R.Nidovirales.zip","2021.005S.R.Nidovirales.zip")</f>
        <v>2021.005S.R.Nidovirales.zip</v>
      </c>
    </row>
    <row r="15164" spans="1:21">
      <c r="A15164">
        <v>15163</v>
      </c>
      <c r="B15164" s="27" t="s">
        <v>1124</v>
      </c>
      <c r="D15164" s="27" t="s">
        <v>1859</v>
      </c>
      <c r="F15164" s="27" t="s">
        <v>1909</v>
      </c>
      <c r="H15164" s="27" t="s">
        <v>1912</v>
      </c>
      <c r="J15164" s="27" t="s">
        <v>348</v>
      </c>
      <c r="K15164" s="27" t="s">
        <v>1087</v>
      </c>
      <c r="L15164" s="27" t="s">
        <v>1088</v>
      </c>
      <c r="M15164" s="27" t="s">
        <v>1096</v>
      </c>
      <c r="N15164" s="27" t="s">
        <v>10517</v>
      </c>
      <c r="O15164" s="27" t="s">
        <v>10518</v>
      </c>
      <c r="P15164" s="27" t="s">
        <v>10519</v>
      </c>
      <c r="Q15164" s="26" t="str">
        <f>HYPERLINK("https://ictv.global/taxonomy/taxondetails?taxnode_id=202513916&amp;ictv_id=ICTV202113916","ICTV202113916")</f>
        <v>ICTV202113916</v>
      </c>
      <c r="R15164" t="s">
        <v>581</v>
      </c>
      <c r="S15164" t="s">
        <v>823</v>
      </c>
      <c r="T15164">
        <v>37</v>
      </c>
      <c r="U15164" s="26" t="str">
        <f>HYPERLINK("https://ictv.global/ictv/proposals/2021.005S.R.Nidovirales.zip","2021.005S.R.Nidovirales.zip")</f>
        <v>2021.005S.R.Nidovirales.zip</v>
      </c>
    </row>
    <row r="15165" spans="1:21">
      <c r="A15165">
        <v>15164</v>
      </c>
      <c r="B15165" s="27" t="s">
        <v>1124</v>
      </c>
      <c r="D15165" s="27" t="s">
        <v>1859</v>
      </c>
      <c r="F15165" s="27" t="s">
        <v>1909</v>
      </c>
      <c r="H15165" s="27" t="s">
        <v>1912</v>
      </c>
      <c r="J15165" s="27" t="s">
        <v>348</v>
      </c>
      <c r="K15165" s="27" t="s">
        <v>1087</v>
      </c>
      <c r="L15165" s="27" t="s">
        <v>1088</v>
      </c>
      <c r="M15165" s="27" t="s">
        <v>142</v>
      </c>
      <c r="N15165" s="27" t="s">
        <v>257</v>
      </c>
      <c r="O15165" s="27" t="s">
        <v>10520</v>
      </c>
      <c r="P15165" s="27" t="s">
        <v>10521</v>
      </c>
      <c r="Q15165" s="26" t="str">
        <f>HYPERLINK("https://ictv.global/taxonomy/taxondetails?taxnode_id=202513909&amp;ictv_id=ICTV202113909","ICTV202113909")</f>
        <v>ICTV202113909</v>
      </c>
      <c r="R15165" t="s">
        <v>581</v>
      </c>
      <c r="S15165" t="s">
        <v>823</v>
      </c>
      <c r="T15165">
        <v>37</v>
      </c>
      <c r="U15165" s="26" t="str">
        <f>HYPERLINK("https://ictv.global/ictv/proposals/2021.005S.R.Nidovirales.zip","2021.005S.R.Nidovirales.zip")</f>
        <v>2021.005S.R.Nidovirales.zip</v>
      </c>
    </row>
    <row r="15166" spans="1:21">
      <c r="A15166">
        <v>15165</v>
      </c>
      <c r="B15166" s="27" t="s">
        <v>1124</v>
      </c>
      <c r="D15166" s="27" t="s">
        <v>1859</v>
      </c>
      <c r="F15166" s="27" t="s">
        <v>1909</v>
      </c>
      <c r="H15166" s="27" t="s">
        <v>1912</v>
      </c>
      <c r="J15166" s="27" t="s">
        <v>348</v>
      </c>
      <c r="K15166" s="27" t="s">
        <v>1087</v>
      </c>
      <c r="L15166" s="27" t="s">
        <v>1088</v>
      </c>
      <c r="M15166" s="27" t="s">
        <v>142</v>
      </c>
      <c r="N15166" s="27" t="s">
        <v>257</v>
      </c>
      <c r="O15166" s="27" t="s">
        <v>1105</v>
      </c>
      <c r="P15166" s="27" t="s">
        <v>17218</v>
      </c>
      <c r="Q15166" s="26" t="str">
        <f>HYPERLINK("https://ictv.global/taxonomy/taxondetails?taxnode_id=202501887&amp;ictv_id=ICTV19911869","ICTV19911869")</f>
        <v>ICTV19911869</v>
      </c>
      <c r="R15166" t="s">
        <v>581</v>
      </c>
      <c r="S15166" t="s">
        <v>824</v>
      </c>
      <c r="T15166">
        <v>39</v>
      </c>
      <c r="U15166" s="26" t="str">
        <f>HYPERLINK("https://ictv.global/ictv/proposals/2023.013S.Nidovirales_27sprenamed.zip","2023.013S.Nidovirales_27sprenamed.zip")</f>
        <v>2023.013S.Nidovirales_27sprenamed.zip</v>
      </c>
    </row>
    <row r="15167" spans="1:21">
      <c r="A15167">
        <v>15166</v>
      </c>
      <c r="B15167" s="27" t="s">
        <v>1124</v>
      </c>
      <c r="D15167" s="27" t="s">
        <v>1859</v>
      </c>
      <c r="F15167" s="27" t="s">
        <v>1909</v>
      </c>
      <c r="H15167" s="27" t="s">
        <v>1912</v>
      </c>
      <c r="J15167" s="27" t="s">
        <v>348</v>
      </c>
      <c r="K15167" s="27" t="s">
        <v>1087</v>
      </c>
      <c r="L15167" s="27" t="s">
        <v>1088</v>
      </c>
      <c r="M15167" s="27" t="s">
        <v>142</v>
      </c>
      <c r="N15167" s="27" t="s">
        <v>257</v>
      </c>
      <c r="O15167" s="27" t="s">
        <v>1105</v>
      </c>
      <c r="P15167" s="27" t="s">
        <v>17219</v>
      </c>
      <c r="Q15167" s="26" t="str">
        <f>HYPERLINK("https://ictv.global/taxonomy/taxondetails?taxnode_id=202501888&amp;ictv_id=ICTV19901501","ICTV19901501")</f>
        <v>ICTV19901501</v>
      </c>
      <c r="R15167" t="s">
        <v>581</v>
      </c>
      <c r="S15167" t="s">
        <v>824</v>
      </c>
      <c r="T15167">
        <v>39</v>
      </c>
      <c r="U15167" s="26" t="str">
        <f>HYPERLINK("https://ictv.global/ictv/proposals/2023.013S.Nidovirales_27sprenamed.zip","2023.013S.Nidovirales_27sprenamed.zip")</f>
        <v>2023.013S.Nidovirales_27sprenamed.zip</v>
      </c>
    </row>
    <row r="15168" spans="1:21">
      <c r="A15168">
        <v>15167</v>
      </c>
      <c r="B15168" s="27" t="s">
        <v>1124</v>
      </c>
      <c r="D15168" s="27" t="s">
        <v>1859</v>
      </c>
      <c r="F15168" s="27" t="s">
        <v>1909</v>
      </c>
      <c r="H15168" s="27" t="s">
        <v>1912</v>
      </c>
      <c r="J15168" s="27" t="s">
        <v>348</v>
      </c>
      <c r="K15168" s="27" t="s">
        <v>1087</v>
      </c>
      <c r="L15168" s="27" t="s">
        <v>1088</v>
      </c>
      <c r="M15168" s="27" t="s">
        <v>142</v>
      </c>
      <c r="N15168" s="27" t="s">
        <v>257</v>
      </c>
      <c r="O15168" s="27" t="s">
        <v>1105</v>
      </c>
      <c r="P15168" s="27" t="s">
        <v>17220</v>
      </c>
      <c r="Q15168" s="26" t="str">
        <f>HYPERLINK("https://ictv.global/taxonomy/taxondetails?taxnode_id=202501890&amp;ictv_id=ICTV19990501","ICTV19990501")</f>
        <v>ICTV19990501</v>
      </c>
      <c r="R15168" t="s">
        <v>581</v>
      </c>
      <c r="S15168" t="s">
        <v>824</v>
      </c>
      <c r="T15168">
        <v>39</v>
      </c>
      <c r="U15168" s="26" t="str">
        <f>HYPERLINK("https://ictv.global/ictv/proposals/2023.013S.Nidovirales_27sprenamed.zip","2023.013S.Nidovirales_27sprenamed.zip")</f>
        <v>2023.013S.Nidovirales_27sprenamed.zip</v>
      </c>
    </row>
    <row r="15169" spans="1:21">
      <c r="A15169">
        <v>15168</v>
      </c>
      <c r="B15169" s="27" t="s">
        <v>1124</v>
      </c>
      <c r="D15169" s="27" t="s">
        <v>1859</v>
      </c>
      <c r="F15169" s="27" t="s">
        <v>1909</v>
      </c>
      <c r="H15169" s="27" t="s">
        <v>1912</v>
      </c>
      <c r="J15169" s="27" t="s">
        <v>260</v>
      </c>
      <c r="L15169" s="27" t="s">
        <v>436</v>
      </c>
      <c r="N15169" s="27" t="s">
        <v>1177</v>
      </c>
      <c r="P15169" s="27" t="s">
        <v>17221</v>
      </c>
      <c r="Q15169" s="26" t="str">
        <f>HYPERLINK("https://ictv.global/taxonomy/taxondetails?taxnode_id=202506495&amp;ictv_id=ICTV201856495","ICTV201856495")</f>
        <v>ICTV201856495</v>
      </c>
      <c r="R15169" t="s">
        <v>581</v>
      </c>
      <c r="S15169" t="s">
        <v>824</v>
      </c>
      <c r="T15169">
        <v>39</v>
      </c>
      <c r="U15169" s="26" t="str">
        <f t="shared" ref="U15169:U15180" si="569">HYPERLINK("https://ictv.global/ictv/proposals/2023.001S.Caliciviridae_12sprenamed.zip","2023.001S.Caliciviridae_12sprenamed.zip")</f>
        <v>2023.001S.Caliciviridae_12sprenamed.zip</v>
      </c>
    </row>
    <row r="15170" spans="1:21">
      <c r="A15170">
        <v>15169</v>
      </c>
      <c r="B15170" s="27" t="s">
        <v>1124</v>
      </c>
      <c r="D15170" s="27" t="s">
        <v>1859</v>
      </c>
      <c r="F15170" s="27" t="s">
        <v>1909</v>
      </c>
      <c r="H15170" s="27" t="s">
        <v>1912</v>
      </c>
      <c r="J15170" s="27" t="s">
        <v>260</v>
      </c>
      <c r="L15170" s="27" t="s">
        <v>436</v>
      </c>
      <c r="N15170" s="27" t="s">
        <v>437</v>
      </c>
      <c r="P15170" s="27" t="s">
        <v>17222</v>
      </c>
      <c r="Q15170" s="26" t="str">
        <f>HYPERLINK("https://ictv.global/taxonomy/taxondetails?taxnode_id=202502802&amp;ictv_id=ICTV19950818","ICTV19950818")</f>
        <v>ICTV19950818</v>
      </c>
      <c r="R15170" t="s">
        <v>581</v>
      </c>
      <c r="S15170" t="s">
        <v>22770</v>
      </c>
      <c r="T15170">
        <v>39</v>
      </c>
      <c r="U15170" s="26" t="str">
        <f t="shared" si="569"/>
        <v>2023.001S.Caliciviridae_12sprenamed.zip</v>
      </c>
    </row>
    <row r="15171" spans="1:21">
      <c r="A15171">
        <v>15170</v>
      </c>
      <c r="B15171" s="27" t="s">
        <v>1124</v>
      </c>
      <c r="D15171" s="27" t="s">
        <v>1859</v>
      </c>
      <c r="F15171" s="27" t="s">
        <v>1909</v>
      </c>
      <c r="H15171" s="27" t="s">
        <v>1912</v>
      </c>
      <c r="J15171" s="27" t="s">
        <v>260</v>
      </c>
      <c r="L15171" s="27" t="s">
        <v>436</v>
      </c>
      <c r="N15171" s="27" t="s">
        <v>1178</v>
      </c>
      <c r="P15171" s="27" t="s">
        <v>17223</v>
      </c>
      <c r="Q15171" s="26" t="str">
        <f>HYPERLINK("https://ictv.global/taxonomy/taxondetails?taxnode_id=202506497&amp;ictv_id=ICTV201856497","ICTV201856497")</f>
        <v>ICTV201856497</v>
      </c>
      <c r="R15171" t="s">
        <v>581</v>
      </c>
      <c r="S15171" t="s">
        <v>824</v>
      </c>
      <c r="T15171">
        <v>39</v>
      </c>
      <c r="U15171" s="26" t="str">
        <f t="shared" si="569"/>
        <v>2023.001S.Caliciviridae_12sprenamed.zip</v>
      </c>
    </row>
    <row r="15172" spans="1:21">
      <c r="A15172">
        <v>15171</v>
      </c>
      <c r="B15172" s="27" t="s">
        <v>1124</v>
      </c>
      <c r="D15172" s="27" t="s">
        <v>1859</v>
      </c>
      <c r="F15172" s="27" t="s">
        <v>1909</v>
      </c>
      <c r="H15172" s="27" t="s">
        <v>1912</v>
      </c>
      <c r="J15172" s="27" t="s">
        <v>260</v>
      </c>
      <c r="L15172" s="27" t="s">
        <v>436</v>
      </c>
      <c r="N15172" s="27" t="s">
        <v>1179</v>
      </c>
      <c r="P15172" s="27" t="s">
        <v>17224</v>
      </c>
      <c r="Q15172" s="26" t="str">
        <f>HYPERLINK("https://ictv.global/taxonomy/taxondetails?taxnode_id=202506499&amp;ictv_id=ICTV201856499","ICTV201856499")</f>
        <v>ICTV201856499</v>
      </c>
      <c r="R15172" t="s">
        <v>581</v>
      </c>
      <c r="S15172" t="s">
        <v>824</v>
      </c>
      <c r="T15172">
        <v>39</v>
      </c>
      <c r="U15172" s="26" t="str">
        <f t="shared" si="569"/>
        <v>2023.001S.Caliciviridae_12sprenamed.zip</v>
      </c>
    </row>
    <row r="15173" spans="1:21">
      <c r="A15173">
        <v>15172</v>
      </c>
      <c r="B15173" s="27" t="s">
        <v>1124</v>
      </c>
      <c r="D15173" s="27" t="s">
        <v>1859</v>
      </c>
      <c r="F15173" s="27" t="s">
        <v>1909</v>
      </c>
      <c r="H15173" s="27" t="s">
        <v>1912</v>
      </c>
      <c r="J15173" s="27" t="s">
        <v>260</v>
      </c>
      <c r="L15173" s="27" t="s">
        <v>436</v>
      </c>
      <c r="N15173" s="27" t="s">
        <v>408</v>
      </c>
      <c r="P15173" s="27" t="s">
        <v>17225</v>
      </c>
      <c r="Q15173" s="26" t="str">
        <f>HYPERLINK("https://ictv.global/taxonomy/taxondetails?taxnode_id=202502804&amp;ictv_id=ICTV20093431","ICTV20093431")</f>
        <v>ICTV20093431</v>
      </c>
      <c r="R15173" t="s">
        <v>581</v>
      </c>
      <c r="S15173" t="s">
        <v>824</v>
      </c>
      <c r="T15173">
        <v>39</v>
      </c>
      <c r="U15173" s="26" t="str">
        <f t="shared" si="569"/>
        <v>2023.001S.Caliciviridae_12sprenamed.zip</v>
      </c>
    </row>
    <row r="15174" spans="1:21">
      <c r="A15174">
        <v>15173</v>
      </c>
      <c r="B15174" s="27" t="s">
        <v>1124</v>
      </c>
      <c r="D15174" s="27" t="s">
        <v>1859</v>
      </c>
      <c r="F15174" s="27" t="s">
        <v>1909</v>
      </c>
      <c r="H15174" s="27" t="s">
        <v>1912</v>
      </c>
      <c r="J15174" s="27" t="s">
        <v>260</v>
      </c>
      <c r="L15174" s="27" t="s">
        <v>436</v>
      </c>
      <c r="N15174" s="27" t="s">
        <v>438</v>
      </c>
      <c r="P15174" s="27" t="s">
        <v>17226</v>
      </c>
      <c r="Q15174" s="26" t="str">
        <f>HYPERLINK("https://ictv.global/taxonomy/taxondetails?taxnode_id=202502806&amp;ictv_id=ICTV19950817","ICTV19950817")</f>
        <v>ICTV19950817</v>
      </c>
      <c r="R15174" t="s">
        <v>581</v>
      </c>
      <c r="S15174" t="s">
        <v>824</v>
      </c>
      <c r="T15174">
        <v>39</v>
      </c>
      <c r="U15174" s="26" t="str">
        <f t="shared" si="569"/>
        <v>2023.001S.Caliciviridae_12sprenamed.zip</v>
      </c>
    </row>
    <row r="15175" spans="1:21">
      <c r="A15175">
        <v>15174</v>
      </c>
      <c r="B15175" s="27" t="s">
        <v>1124</v>
      </c>
      <c r="D15175" s="27" t="s">
        <v>1859</v>
      </c>
      <c r="F15175" s="27" t="s">
        <v>1909</v>
      </c>
      <c r="H15175" s="27" t="s">
        <v>1912</v>
      </c>
      <c r="J15175" s="27" t="s">
        <v>260</v>
      </c>
      <c r="L15175" s="27" t="s">
        <v>436</v>
      </c>
      <c r="N15175" s="27" t="s">
        <v>1180</v>
      </c>
      <c r="P15175" s="27" t="s">
        <v>17227</v>
      </c>
      <c r="Q15175" s="26" t="str">
        <f>HYPERLINK("https://ictv.global/taxonomy/taxondetails?taxnode_id=202506501&amp;ictv_id=ICTV201856501","ICTV201856501")</f>
        <v>ICTV201856501</v>
      </c>
      <c r="R15175" t="s">
        <v>581</v>
      </c>
      <c r="S15175" t="s">
        <v>824</v>
      </c>
      <c r="T15175">
        <v>39</v>
      </c>
      <c r="U15175" s="26" t="str">
        <f t="shared" si="569"/>
        <v>2023.001S.Caliciviridae_12sprenamed.zip</v>
      </c>
    </row>
    <row r="15176" spans="1:21">
      <c r="A15176">
        <v>15175</v>
      </c>
      <c r="B15176" s="27" t="s">
        <v>1124</v>
      </c>
      <c r="D15176" s="27" t="s">
        <v>1859</v>
      </c>
      <c r="F15176" s="27" t="s">
        <v>1909</v>
      </c>
      <c r="H15176" s="27" t="s">
        <v>1912</v>
      </c>
      <c r="J15176" s="27" t="s">
        <v>260</v>
      </c>
      <c r="L15176" s="27" t="s">
        <v>436</v>
      </c>
      <c r="N15176" s="27" t="s">
        <v>1181</v>
      </c>
      <c r="P15176" s="27" t="s">
        <v>17228</v>
      </c>
      <c r="Q15176" s="26" t="str">
        <f>HYPERLINK("https://ictv.global/taxonomy/taxondetails?taxnode_id=202506503&amp;ictv_id=ICTV201856503","ICTV201856503")</f>
        <v>ICTV201856503</v>
      </c>
      <c r="R15176" t="s">
        <v>581</v>
      </c>
      <c r="S15176" t="s">
        <v>824</v>
      </c>
      <c r="T15176">
        <v>39</v>
      </c>
      <c r="U15176" s="26" t="str">
        <f t="shared" si="569"/>
        <v>2023.001S.Caliciviridae_12sprenamed.zip</v>
      </c>
    </row>
    <row r="15177" spans="1:21">
      <c r="A15177">
        <v>15176</v>
      </c>
      <c r="B15177" s="27" t="s">
        <v>1124</v>
      </c>
      <c r="D15177" s="27" t="s">
        <v>1859</v>
      </c>
      <c r="F15177" s="27" t="s">
        <v>1909</v>
      </c>
      <c r="H15177" s="27" t="s">
        <v>1912</v>
      </c>
      <c r="J15177" s="27" t="s">
        <v>260</v>
      </c>
      <c r="L15177" s="27" t="s">
        <v>436</v>
      </c>
      <c r="N15177" s="27" t="s">
        <v>439</v>
      </c>
      <c r="P15177" s="27" t="s">
        <v>17229</v>
      </c>
      <c r="Q15177" s="26" t="str">
        <f>HYPERLINK("https://ictv.global/taxonomy/taxondetails?taxnode_id=202502808&amp;ictv_id=ICTV19981213","ICTV19981213")</f>
        <v>ICTV19981213</v>
      </c>
      <c r="R15177" t="s">
        <v>581</v>
      </c>
      <c r="S15177" t="s">
        <v>824</v>
      </c>
      <c r="T15177">
        <v>39</v>
      </c>
      <c r="U15177" s="26" t="str">
        <f t="shared" si="569"/>
        <v>2023.001S.Caliciviridae_12sprenamed.zip</v>
      </c>
    </row>
    <row r="15178" spans="1:21">
      <c r="A15178">
        <v>15177</v>
      </c>
      <c r="B15178" s="27" t="s">
        <v>1124</v>
      </c>
      <c r="D15178" s="27" t="s">
        <v>1859</v>
      </c>
      <c r="F15178" s="27" t="s">
        <v>1909</v>
      </c>
      <c r="H15178" s="27" t="s">
        <v>1912</v>
      </c>
      <c r="J15178" s="27" t="s">
        <v>260</v>
      </c>
      <c r="L15178" s="27" t="s">
        <v>436</v>
      </c>
      <c r="N15178" s="27" t="s">
        <v>1182</v>
      </c>
      <c r="P15178" s="27" t="s">
        <v>17230</v>
      </c>
      <c r="Q15178" s="26" t="str">
        <f>HYPERLINK("https://ictv.global/taxonomy/taxondetails?taxnode_id=202506505&amp;ictv_id=ICTV201856505","ICTV201856505")</f>
        <v>ICTV201856505</v>
      </c>
      <c r="R15178" t="s">
        <v>581</v>
      </c>
      <c r="S15178" t="s">
        <v>824</v>
      </c>
      <c r="T15178">
        <v>39</v>
      </c>
      <c r="U15178" s="26" t="str">
        <f t="shared" si="569"/>
        <v>2023.001S.Caliciviridae_12sprenamed.zip</v>
      </c>
    </row>
    <row r="15179" spans="1:21">
      <c r="A15179">
        <v>15178</v>
      </c>
      <c r="B15179" s="27" t="s">
        <v>1124</v>
      </c>
      <c r="D15179" s="27" t="s">
        <v>1859</v>
      </c>
      <c r="F15179" s="27" t="s">
        <v>1909</v>
      </c>
      <c r="H15179" s="27" t="s">
        <v>1912</v>
      </c>
      <c r="J15179" s="27" t="s">
        <v>260</v>
      </c>
      <c r="L15179" s="27" t="s">
        <v>436</v>
      </c>
      <c r="N15179" s="27" t="s">
        <v>440</v>
      </c>
      <c r="P15179" s="27" t="s">
        <v>17231</v>
      </c>
      <c r="Q15179" s="26" t="str">
        <f>HYPERLINK("https://ictv.global/taxonomy/taxondetails?taxnode_id=202502811&amp;ictv_id=ICTV19990710","ICTV19990710")</f>
        <v>ICTV19990710</v>
      </c>
      <c r="R15179" t="s">
        <v>581</v>
      </c>
      <c r="S15179" t="s">
        <v>824</v>
      </c>
      <c r="T15179">
        <v>39</v>
      </c>
      <c r="U15179" s="26" t="str">
        <f t="shared" si="569"/>
        <v>2023.001S.Caliciviridae_12sprenamed.zip</v>
      </c>
    </row>
    <row r="15180" spans="1:21">
      <c r="A15180">
        <v>15179</v>
      </c>
      <c r="B15180" s="27" t="s">
        <v>1124</v>
      </c>
      <c r="D15180" s="27" t="s">
        <v>1859</v>
      </c>
      <c r="F15180" s="27" t="s">
        <v>1909</v>
      </c>
      <c r="H15180" s="27" t="s">
        <v>1912</v>
      </c>
      <c r="J15180" s="27" t="s">
        <v>260</v>
      </c>
      <c r="L15180" s="27" t="s">
        <v>436</v>
      </c>
      <c r="N15180" s="27" t="s">
        <v>440</v>
      </c>
      <c r="P15180" s="27" t="s">
        <v>17232</v>
      </c>
      <c r="Q15180" s="26" t="str">
        <f>HYPERLINK("https://ictv.global/taxonomy/taxondetails?taxnode_id=202502810&amp;ictv_id=ICTV19710061","ICTV19710061")</f>
        <v>ICTV19710061</v>
      </c>
      <c r="R15180" t="s">
        <v>581</v>
      </c>
      <c r="S15180" t="s">
        <v>824</v>
      </c>
      <c r="T15180">
        <v>39</v>
      </c>
      <c r="U15180" s="26" t="str">
        <f t="shared" si="569"/>
        <v>2023.001S.Caliciviridae_12sprenamed.zip</v>
      </c>
    </row>
    <row r="15181" spans="1:21">
      <c r="A15181">
        <v>15180</v>
      </c>
      <c r="B15181" s="27" t="s">
        <v>1124</v>
      </c>
      <c r="D15181" s="27" t="s">
        <v>1859</v>
      </c>
      <c r="F15181" s="27" t="s">
        <v>1909</v>
      </c>
      <c r="H15181" s="27" t="s">
        <v>1912</v>
      </c>
      <c r="J15181" s="27" t="s">
        <v>260</v>
      </c>
      <c r="L15181" s="27" t="s">
        <v>248</v>
      </c>
      <c r="N15181" s="27" t="s">
        <v>330</v>
      </c>
      <c r="P15181" s="27" t="s">
        <v>10522</v>
      </c>
      <c r="Q15181" s="26" t="str">
        <f>HYPERLINK("https://ictv.global/taxonomy/taxondetails?taxnode_id=202501914&amp;ictv_id=ICTV20040961","ICTV20040961")</f>
        <v>ICTV20040961</v>
      </c>
      <c r="R15181" t="s">
        <v>581</v>
      </c>
      <c r="S15181" t="s">
        <v>824</v>
      </c>
      <c r="T15181">
        <v>38</v>
      </c>
      <c r="U15181" s="26" t="str">
        <f t="shared" ref="U15181:U15189" si="570">HYPERLINK("https://ictv.global/ictv/proposals/2022.003S.Dicistroviridae_rename.zip","2022.003S.Dicistroviridae_rename.zip")</f>
        <v>2022.003S.Dicistroviridae_rename.zip</v>
      </c>
    </row>
    <row r="15182" spans="1:21">
      <c r="A15182">
        <v>15181</v>
      </c>
      <c r="B15182" s="27" t="s">
        <v>1124</v>
      </c>
      <c r="D15182" s="27" t="s">
        <v>1859</v>
      </c>
      <c r="F15182" s="27" t="s">
        <v>1909</v>
      </c>
      <c r="H15182" s="27" t="s">
        <v>1912</v>
      </c>
      <c r="J15182" s="27" t="s">
        <v>260</v>
      </c>
      <c r="L15182" s="27" t="s">
        <v>248</v>
      </c>
      <c r="N15182" s="27" t="s">
        <v>330</v>
      </c>
      <c r="P15182" s="27" t="s">
        <v>10523</v>
      </c>
      <c r="Q15182" s="26" t="str">
        <f>HYPERLINK("https://ictv.global/taxonomy/taxondetails?taxnode_id=202501917&amp;ictv_id=ICTV20115374","ICTV20115374")</f>
        <v>ICTV20115374</v>
      </c>
      <c r="R15182" t="s">
        <v>581</v>
      </c>
      <c r="S15182" t="s">
        <v>824</v>
      </c>
      <c r="T15182">
        <v>38</v>
      </c>
      <c r="U15182" s="26" t="str">
        <f t="shared" si="570"/>
        <v>2022.003S.Dicistroviridae_rename.zip</v>
      </c>
    </row>
    <row r="15183" spans="1:21">
      <c r="A15183">
        <v>15182</v>
      </c>
      <c r="B15183" s="27" t="s">
        <v>1124</v>
      </c>
      <c r="D15183" s="27" t="s">
        <v>1859</v>
      </c>
      <c r="F15183" s="27" t="s">
        <v>1909</v>
      </c>
      <c r="H15183" s="27" t="s">
        <v>1912</v>
      </c>
      <c r="J15183" s="27" t="s">
        <v>260</v>
      </c>
      <c r="L15183" s="27" t="s">
        <v>248</v>
      </c>
      <c r="N15183" s="27" t="s">
        <v>330</v>
      </c>
      <c r="P15183" s="27" t="s">
        <v>10524</v>
      </c>
      <c r="Q15183" s="26" t="str">
        <f>HYPERLINK("https://ictv.global/taxonomy/taxondetails?taxnode_id=202501915&amp;ictv_id=ICTV20095352","ICTV20095352")</f>
        <v>ICTV20095352</v>
      </c>
      <c r="R15183" t="s">
        <v>581</v>
      </c>
      <c r="S15183" t="s">
        <v>824</v>
      </c>
      <c r="T15183">
        <v>38</v>
      </c>
      <c r="U15183" s="26" t="str">
        <f t="shared" si="570"/>
        <v>2022.003S.Dicistroviridae_rename.zip</v>
      </c>
    </row>
    <row r="15184" spans="1:21">
      <c r="A15184">
        <v>15183</v>
      </c>
      <c r="B15184" s="27" t="s">
        <v>1124</v>
      </c>
      <c r="D15184" s="27" t="s">
        <v>1859</v>
      </c>
      <c r="F15184" s="27" t="s">
        <v>1909</v>
      </c>
      <c r="H15184" s="27" t="s">
        <v>1912</v>
      </c>
      <c r="J15184" s="27" t="s">
        <v>260</v>
      </c>
      <c r="L15184" s="27" t="s">
        <v>248</v>
      </c>
      <c r="N15184" s="27" t="s">
        <v>330</v>
      </c>
      <c r="P15184" s="27" t="s">
        <v>10525</v>
      </c>
      <c r="Q15184" s="26" t="str">
        <f>HYPERLINK("https://ictv.global/taxonomy/taxondetails?taxnode_id=202501916&amp;ictv_id=ICTV20083288","ICTV20083288")</f>
        <v>ICTV20083288</v>
      </c>
      <c r="R15184" t="s">
        <v>581</v>
      </c>
      <c r="S15184" t="s">
        <v>824</v>
      </c>
      <c r="T15184">
        <v>38</v>
      </c>
      <c r="U15184" s="26" t="str">
        <f t="shared" si="570"/>
        <v>2022.003S.Dicistroviridae_rename.zip</v>
      </c>
    </row>
    <row r="15185" spans="1:21">
      <c r="A15185">
        <v>15184</v>
      </c>
      <c r="B15185" s="27" t="s">
        <v>1124</v>
      </c>
      <c r="D15185" s="27" t="s">
        <v>1859</v>
      </c>
      <c r="F15185" s="27" t="s">
        <v>1909</v>
      </c>
      <c r="H15185" s="27" t="s">
        <v>1912</v>
      </c>
      <c r="J15185" s="27" t="s">
        <v>260</v>
      </c>
      <c r="L15185" s="27" t="s">
        <v>248</v>
      </c>
      <c r="N15185" s="27" t="s">
        <v>330</v>
      </c>
      <c r="P15185" s="27" t="s">
        <v>10526</v>
      </c>
      <c r="Q15185" s="26" t="str">
        <f>HYPERLINK("https://ictv.global/taxonomy/taxondetails?taxnode_id=202501919&amp;ictv_id=ICTV20025891","ICTV20025891")</f>
        <v>ICTV20025891</v>
      </c>
      <c r="R15185" t="s">
        <v>581</v>
      </c>
      <c r="S15185" t="s">
        <v>824</v>
      </c>
      <c r="T15185">
        <v>38</v>
      </c>
      <c r="U15185" s="26" t="str">
        <f t="shared" si="570"/>
        <v>2022.003S.Dicistroviridae_rename.zip</v>
      </c>
    </row>
    <row r="15186" spans="1:21">
      <c r="A15186">
        <v>15185</v>
      </c>
      <c r="B15186" s="27" t="s">
        <v>1124</v>
      </c>
      <c r="D15186" s="27" t="s">
        <v>1859</v>
      </c>
      <c r="F15186" s="27" t="s">
        <v>1909</v>
      </c>
      <c r="H15186" s="27" t="s">
        <v>1912</v>
      </c>
      <c r="J15186" s="27" t="s">
        <v>260</v>
      </c>
      <c r="L15186" s="27" t="s">
        <v>248</v>
      </c>
      <c r="N15186" s="27" t="s">
        <v>330</v>
      </c>
      <c r="P15186" s="27" t="s">
        <v>10527</v>
      </c>
      <c r="Q15186" s="26" t="str">
        <f>HYPERLINK("https://ictv.global/taxonomy/taxondetails?taxnode_id=202501918&amp;ictv_id=ICTV20083289","ICTV20083289")</f>
        <v>ICTV20083289</v>
      </c>
      <c r="R15186" t="s">
        <v>581</v>
      </c>
      <c r="S15186" t="s">
        <v>824</v>
      </c>
      <c r="T15186">
        <v>38</v>
      </c>
      <c r="U15186" s="26" t="str">
        <f t="shared" si="570"/>
        <v>2022.003S.Dicistroviridae_rename.zip</v>
      </c>
    </row>
    <row r="15187" spans="1:21">
      <c r="A15187">
        <v>15186</v>
      </c>
      <c r="B15187" s="27" t="s">
        <v>1124</v>
      </c>
      <c r="D15187" s="27" t="s">
        <v>1859</v>
      </c>
      <c r="F15187" s="27" t="s">
        <v>1909</v>
      </c>
      <c r="H15187" s="27" t="s">
        <v>1912</v>
      </c>
      <c r="J15187" s="27" t="s">
        <v>260</v>
      </c>
      <c r="L15187" s="27" t="s">
        <v>248</v>
      </c>
      <c r="N15187" s="27" t="s">
        <v>249</v>
      </c>
      <c r="P15187" s="27" t="s">
        <v>10528</v>
      </c>
      <c r="Q15187" s="26" t="str">
        <f>HYPERLINK("https://ictv.global/taxonomy/taxondetails?taxnode_id=202501923&amp;ictv_id=ICTV19820878","ICTV19820878")</f>
        <v>ICTV19820878</v>
      </c>
      <c r="R15187" t="s">
        <v>581</v>
      </c>
      <c r="S15187" t="s">
        <v>824</v>
      </c>
      <c r="T15187">
        <v>38</v>
      </c>
      <c r="U15187" s="26" t="str">
        <f t="shared" si="570"/>
        <v>2022.003S.Dicistroviridae_rename.zip</v>
      </c>
    </row>
    <row r="15188" spans="1:21">
      <c r="A15188">
        <v>15187</v>
      </c>
      <c r="B15188" s="27" t="s">
        <v>1124</v>
      </c>
      <c r="D15188" s="27" t="s">
        <v>1859</v>
      </c>
      <c r="F15188" s="27" t="s">
        <v>1909</v>
      </c>
      <c r="H15188" s="27" t="s">
        <v>1912</v>
      </c>
      <c r="J15188" s="27" t="s">
        <v>260</v>
      </c>
      <c r="L15188" s="27" t="s">
        <v>248</v>
      </c>
      <c r="N15188" s="27" t="s">
        <v>249</v>
      </c>
      <c r="P15188" s="27" t="s">
        <v>10529</v>
      </c>
      <c r="Q15188" s="26" t="str">
        <f>HYPERLINK("https://ictv.global/taxonomy/taxondetails?taxnode_id=202501922&amp;ictv_id=ICTV19820877","ICTV19820877")</f>
        <v>ICTV19820877</v>
      </c>
      <c r="R15188" t="s">
        <v>581</v>
      </c>
      <c r="S15188" t="s">
        <v>824</v>
      </c>
      <c r="T15188">
        <v>38</v>
      </c>
      <c r="U15188" s="26" t="str">
        <f t="shared" si="570"/>
        <v>2022.003S.Dicistroviridae_rename.zip</v>
      </c>
    </row>
    <row r="15189" spans="1:21">
      <c r="A15189">
        <v>15188</v>
      </c>
      <c r="B15189" s="27" t="s">
        <v>1124</v>
      </c>
      <c r="D15189" s="27" t="s">
        <v>1859</v>
      </c>
      <c r="F15189" s="27" t="s">
        <v>1909</v>
      </c>
      <c r="H15189" s="27" t="s">
        <v>1912</v>
      </c>
      <c r="J15189" s="27" t="s">
        <v>260</v>
      </c>
      <c r="L15189" s="27" t="s">
        <v>248</v>
      </c>
      <c r="N15189" s="27" t="s">
        <v>249</v>
      </c>
      <c r="P15189" s="27" t="s">
        <v>10530</v>
      </c>
      <c r="Q15189" s="26" t="str">
        <f>HYPERLINK("https://ictv.global/taxonomy/taxondetails?taxnode_id=202501921&amp;ictv_id=ICTV20040953","ICTV20040953")</f>
        <v>ICTV20040953</v>
      </c>
      <c r="R15189" t="s">
        <v>581</v>
      </c>
      <c r="S15189" t="s">
        <v>824</v>
      </c>
      <c r="T15189">
        <v>38</v>
      </c>
      <c r="U15189" s="26" t="str">
        <f t="shared" si="570"/>
        <v>2022.003S.Dicistroviridae_rename.zip</v>
      </c>
    </row>
    <row r="15190" spans="1:21">
      <c r="A15190">
        <v>15189</v>
      </c>
      <c r="B15190" s="27" t="s">
        <v>1124</v>
      </c>
      <c r="D15190" s="27" t="s">
        <v>1859</v>
      </c>
      <c r="F15190" s="27" t="s">
        <v>1909</v>
      </c>
      <c r="H15190" s="27" t="s">
        <v>1912</v>
      </c>
      <c r="J15190" s="27" t="s">
        <v>260</v>
      </c>
      <c r="L15190" s="27" t="s">
        <v>248</v>
      </c>
      <c r="N15190" s="27" t="s">
        <v>249</v>
      </c>
      <c r="P15190" s="27" t="s">
        <v>10531</v>
      </c>
      <c r="Q15190" s="26" t="str">
        <f>HYPERLINK("https://ictv.global/taxonomy/taxondetails?taxnode_id=202514012&amp;ictv_id=ICTV202214012","ICTV202214012")</f>
        <v>ICTV202214012</v>
      </c>
      <c r="R15190" t="s">
        <v>581</v>
      </c>
      <c r="S15190" t="s">
        <v>823</v>
      </c>
      <c r="T15190">
        <v>38</v>
      </c>
      <c r="U15190" s="26" t="str">
        <f>HYPERLINK("https://ictv.global/ictv/proposals/2022.006S.Cripavirus_1nsp.zip","2022.006S.Cripavirus_1nsp.zip")</f>
        <v>2022.006S.Cripavirus_1nsp.zip</v>
      </c>
    </row>
    <row r="15191" spans="1:21">
      <c r="A15191">
        <v>15190</v>
      </c>
      <c r="B15191" s="27" t="s">
        <v>1124</v>
      </c>
      <c r="D15191" s="27" t="s">
        <v>1859</v>
      </c>
      <c r="F15191" s="27" t="s">
        <v>1909</v>
      </c>
      <c r="H15191" s="27" t="s">
        <v>1912</v>
      </c>
      <c r="J15191" s="27" t="s">
        <v>260</v>
      </c>
      <c r="L15191" s="27" t="s">
        <v>248</v>
      </c>
      <c r="N15191" s="27" t="s">
        <v>249</v>
      </c>
      <c r="P15191" s="27" t="s">
        <v>10532</v>
      </c>
      <c r="Q15191" s="26" t="str">
        <f>HYPERLINK("https://ictv.global/taxonomy/taxondetails?taxnode_id=202501924&amp;ictv_id=ICTV19991800","ICTV19991800")</f>
        <v>ICTV19991800</v>
      </c>
      <c r="R15191" t="s">
        <v>581</v>
      </c>
      <c r="S15191" t="s">
        <v>824</v>
      </c>
      <c r="T15191">
        <v>38</v>
      </c>
      <c r="U15191" s="26" t="str">
        <f t="shared" ref="U15191:U15196" si="571">HYPERLINK("https://ictv.global/ictv/proposals/2022.003S.Dicistroviridae_rename.zip","2022.003S.Dicistroviridae_rename.zip")</f>
        <v>2022.003S.Dicistroviridae_rename.zip</v>
      </c>
    </row>
    <row r="15192" spans="1:21">
      <c r="A15192">
        <v>15191</v>
      </c>
      <c r="B15192" s="27" t="s">
        <v>1124</v>
      </c>
      <c r="D15192" s="27" t="s">
        <v>1859</v>
      </c>
      <c r="F15192" s="27" t="s">
        <v>1909</v>
      </c>
      <c r="H15192" s="27" t="s">
        <v>1912</v>
      </c>
      <c r="J15192" s="27" t="s">
        <v>260</v>
      </c>
      <c r="L15192" s="27" t="s">
        <v>248</v>
      </c>
      <c r="N15192" s="27" t="s">
        <v>646</v>
      </c>
      <c r="P15192" s="27" t="s">
        <v>10533</v>
      </c>
      <c r="Q15192" s="26" t="str">
        <f>HYPERLINK("https://ictv.global/taxonomy/taxondetails?taxnode_id=202501927&amp;ictv_id=ICTV19991798","ICTV19991798")</f>
        <v>ICTV19991798</v>
      </c>
      <c r="R15192" t="s">
        <v>581</v>
      </c>
      <c r="S15192" t="s">
        <v>824</v>
      </c>
      <c r="T15192">
        <v>38</v>
      </c>
      <c r="U15192" s="26" t="str">
        <f t="shared" si="571"/>
        <v>2022.003S.Dicistroviridae_rename.zip</v>
      </c>
    </row>
    <row r="15193" spans="1:21">
      <c r="A15193">
        <v>15192</v>
      </c>
      <c r="B15193" s="27" t="s">
        <v>1124</v>
      </c>
      <c r="D15193" s="27" t="s">
        <v>1859</v>
      </c>
      <c r="F15193" s="27" t="s">
        <v>1909</v>
      </c>
      <c r="H15193" s="27" t="s">
        <v>1912</v>
      </c>
      <c r="J15193" s="27" t="s">
        <v>260</v>
      </c>
      <c r="L15193" s="27" t="s">
        <v>248</v>
      </c>
      <c r="N15193" s="27" t="s">
        <v>646</v>
      </c>
      <c r="P15193" s="27" t="s">
        <v>10534</v>
      </c>
      <c r="Q15193" s="26" t="str">
        <f>HYPERLINK("https://ictv.global/taxonomy/taxondetails?taxnode_id=202501928&amp;ictv_id=ICTV20093544","ICTV20093544")</f>
        <v>ICTV20093544</v>
      </c>
      <c r="R15193" t="s">
        <v>581</v>
      </c>
      <c r="S15193" t="s">
        <v>824</v>
      </c>
      <c r="T15193">
        <v>38</v>
      </c>
      <c r="U15193" s="26" t="str">
        <f t="shared" si="571"/>
        <v>2022.003S.Dicistroviridae_rename.zip</v>
      </c>
    </row>
    <row r="15194" spans="1:21">
      <c r="A15194">
        <v>15193</v>
      </c>
      <c r="B15194" s="27" t="s">
        <v>1124</v>
      </c>
      <c r="D15194" s="27" t="s">
        <v>1859</v>
      </c>
      <c r="F15194" s="27" t="s">
        <v>1909</v>
      </c>
      <c r="H15194" s="27" t="s">
        <v>1912</v>
      </c>
      <c r="J15194" s="27" t="s">
        <v>260</v>
      </c>
      <c r="L15194" s="27" t="s">
        <v>248</v>
      </c>
      <c r="N15194" s="27" t="s">
        <v>646</v>
      </c>
      <c r="P15194" s="27" t="s">
        <v>10535</v>
      </c>
      <c r="Q15194" s="26" t="str">
        <f>HYPERLINK("https://ictv.global/taxonomy/taxondetails?taxnode_id=202501926&amp;ictv_id=ICTV20020871","ICTV20020871")</f>
        <v>ICTV20020871</v>
      </c>
      <c r="R15194" t="s">
        <v>581</v>
      </c>
      <c r="S15194" t="s">
        <v>824</v>
      </c>
      <c r="T15194">
        <v>38</v>
      </c>
      <c r="U15194" s="26" t="str">
        <f t="shared" si="571"/>
        <v>2022.003S.Dicistroviridae_rename.zip</v>
      </c>
    </row>
    <row r="15195" spans="1:21">
      <c r="A15195">
        <v>15194</v>
      </c>
      <c r="B15195" s="27" t="s">
        <v>1124</v>
      </c>
      <c r="D15195" s="27" t="s">
        <v>1859</v>
      </c>
      <c r="F15195" s="27" t="s">
        <v>1909</v>
      </c>
      <c r="H15195" s="27" t="s">
        <v>1912</v>
      </c>
      <c r="J15195" s="27" t="s">
        <v>260</v>
      </c>
      <c r="L15195" s="27" t="s">
        <v>248</v>
      </c>
      <c r="N15195" s="27" t="s">
        <v>646</v>
      </c>
      <c r="P15195" s="27" t="s">
        <v>10536</v>
      </c>
      <c r="Q15195" s="26" t="str">
        <f>HYPERLINK("https://ictv.global/taxonomy/taxondetails?taxnode_id=202501929&amp;ictv_id=ICTV19991799","ICTV19991799")</f>
        <v>ICTV19991799</v>
      </c>
      <c r="R15195" t="s">
        <v>581</v>
      </c>
      <c r="S15195" t="s">
        <v>824</v>
      </c>
      <c r="T15195">
        <v>38</v>
      </c>
      <c r="U15195" s="26" t="str">
        <f t="shared" si="571"/>
        <v>2022.003S.Dicistroviridae_rename.zip</v>
      </c>
    </row>
    <row r="15196" spans="1:21">
      <c r="A15196">
        <v>15195</v>
      </c>
      <c r="B15196" s="27" t="s">
        <v>1124</v>
      </c>
      <c r="D15196" s="27" t="s">
        <v>1859</v>
      </c>
      <c r="F15196" s="27" t="s">
        <v>1909</v>
      </c>
      <c r="H15196" s="27" t="s">
        <v>1912</v>
      </c>
      <c r="J15196" s="27" t="s">
        <v>260</v>
      </c>
      <c r="L15196" s="27" t="s">
        <v>248</v>
      </c>
      <c r="N15196" s="27" t="s">
        <v>646</v>
      </c>
      <c r="P15196" s="27" t="s">
        <v>10537</v>
      </c>
      <c r="Q15196" s="26" t="str">
        <f>HYPERLINK("https://ictv.global/taxonomy/taxondetails?taxnode_id=202501930&amp;ictv_id=ICTV20020877","ICTV20020877")</f>
        <v>ICTV20020877</v>
      </c>
      <c r="R15196" t="s">
        <v>581</v>
      </c>
      <c r="S15196" t="s">
        <v>824</v>
      </c>
      <c r="T15196">
        <v>38</v>
      </c>
      <c r="U15196" s="26" t="str">
        <f t="shared" si="571"/>
        <v>2022.003S.Dicistroviridae_rename.zip</v>
      </c>
    </row>
    <row r="15197" spans="1:21">
      <c r="A15197">
        <v>15196</v>
      </c>
      <c r="B15197" s="27" t="s">
        <v>1124</v>
      </c>
      <c r="D15197" s="27" t="s">
        <v>1859</v>
      </c>
      <c r="F15197" s="27" t="s">
        <v>1909</v>
      </c>
      <c r="H15197" s="27" t="s">
        <v>1912</v>
      </c>
      <c r="J15197" s="27" t="s">
        <v>260</v>
      </c>
      <c r="L15197" s="27" t="s">
        <v>272</v>
      </c>
      <c r="N15197" s="27" t="s">
        <v>273</v>
      </c>
      <c r="P15197" s="27" t="s">
        <v>10538</v>
      </c>
      <c r="Q15197" s="26" t="str">
        <f>HYPERLINK("https://ictv.global/taxonomy/taxondetails?taxnode_id=202513895&amp;ictv_id=ICTV202113895","ICTV202113895")</f>
        <v>ICTV202113895</v>
      </c>
      <c r="R15197" t="s">
        <v>581</v>
      </c>
      <c r="S15197" t="s">
        <v>824</v>
      </c>
      <c r="T15197">
        <v>38</v>
      </c>
      <c r="U15197" s="26" t="str">
        <f t="shared" ref="U15197:U15212" si="572">HYPERLINK("https://ictv.global/ictv/proposals/2022.004S.Iflaviridae_rename.zip","2022.004S.Iflaviridae_rename.zip")</f>
        <v>2022.004S.Iflaviridae_rename.zip</v>
      </c>
    </row>
    <row r="15198" spans="1:21">
      <c r="A15198">
        <v>15197</v>
      </c>
      <c r="B15198" s="27" t="s">
        <v>1124</v>
      </c>
      <c r="D15198" s="27" t="s">
        <v>1859</v>
      </c>
      <c r="F15198" s="27" t="s">
        <v>1909</v>
      </c>
      <c r="H15198" s="27" t="s">
        <v>1912</v>
      </c>
      <c r="J15198" s="27" t="s">
        <v>260</v>
      </c>
      <c r="L15198" s="27" t="s">
        <v>272</v>
      </c>
      <c r="N15198" s="27" t="s">
        <v>273</v>
      </c>
      <c r="P15198" s="27" t="s">
        <v>10539</v>
      </c>
      <c r="Q15198" s="26" t="str">
        <f>HYPERLINK("https://ictv.global/taxonomy/taxondetails?taxnode_id=202501936&amp;ictv_id=ICTV20083291","ICTV20083291")</f>
        <v>ICTV20083291</v>
      </c>
      <c r="R15198" t="s">
        <v>581</v>
      </c>
      <c r="S15198" t="s">
        <v>824</v>
      </c>
      <c r="T15198">
        <v>38</v>
      </c>
      <c r="U15198" s="26" t="str">
        <f t="shared" si="572"/>
        <v>2022.004S.Iflaviridae_rename.zip</v>
      </c>
    </row>
    <row r="15199" spans="1:21">
      <c r="A15199">
        <v>15198</v>
      </c>
      <c r="B15199" s="27" t="s">
        <v>1124</v>
      </c>
      <c r="D15199" s="27" t="s">
        <v>1859</v>
      </c>
      <c r="F15199" s="27" t="s">
        <v>1909</v>
      </c>
      <c r="H15199" s="27" t="s">
        <v>1912</v>
      </c>
      <c r="J15199" s="27" t="s">
        <v>260</v>
      </c>
      <c r="L15199" s="27" t="s">
        <v>272</v>
      </c>
      <c r="N15199" s="27" t="s">
        <v>273</v>
      </c>
      <c r="P15199" s="27" t="s">
        <v>10540</v>
      </c>
      <c r="Q15199" s="26" t="str">
        <f>HYPERLINK("https://ictv.global/taxonomy/taxondetails?taxnode_id=202501945&amp;ictv_id=ICTV20115382","ICTV20115382")</f>
        <v>ICTV20115382</v>
      </c>
      <c r="R15199" t="s">
        <v>581</v>
      </c>
      <c r="S15199" t="s">
        <v>824</v>
      </c>
      <c r="T15199">
        <v>38</v>
      </c>
      <c r="U15199" s="26" t="str">
        <f t="shared" si="572"/>
        <v>2022.004S.Iflaviridae_rename.zip</v>
      </c>
    </row>
    <row r="15200" spans="1:21">
      <c r="A15200">
        <v>15199</v>
      </c>
      <c r="B15200" s="27" t="s">
        <v>1124</v>
      </c>
      <c r="D15200" s="27" t="s">
        <v>1859</v>
      </c>
      <c r="F15200" s="27" t="s">
        <v>1909</v>
      </c>
      <c r="H15200" s="27" t="s">
        <v>1912</v>
      </c>
      <c r="J15200" s="27" t="s">
        <v>260</v>
      </c>
      <c r="L15200" s="27" t="s">
        <v>272</v>
      </c>
      <c r="N15200" s="27" t="s">
        <v>273</v>
      </c>
      <c r="P15200" s="27" t="s">
        <v>10541</v>
      </c>
      <c r="Q15200" s="26" t="str">
        <f>HYPERLINK("https://ictv.global/taxonomy/taxondetails?taxnode_id=202501947&amp;ictv_id=ICTV20151300","ICTV20151300")</f>
        <v>ICTV20151300</v>
      </c>
      <c r="R15200" t="s">
        <v>581</v>
      </c>
      <c r="S15200" t="s">
        <v>824</v>
      </c>
      <c r="T15200">
        <v>38</v>
      </c>
      <c r="U15200" s="26" t="str">
        <f t="shared" si="572"/>
        <v>2022.004S.Iflaviridae_rename.zip</v>
      </c>
    </row>
    <row r="15201" spans="1:21">
      <c r="A15201">
        <v>15200</v>
      </c>
      <c r="B15201" s="27" t="s">
        <v>1124</v>
      </c>
      <c r="D15201" s="27" t="s">
        <v>1859</v>
      </c>
      <c r="F15201" s="27" t="s">
        <v>1909</v>
      </c>
      <c r="H15201" s="27" t="s">
        <v>1912</v>
      </c>
      <c r="J15201" s="27" t="s">
        <v>260</v>
      </c>
      <c r="L15201" s="27" t="s">
        <v>272</v>
      </c>
      <c r="N15201" s="27" t="s">
        <v>273</v>
      </c>
      <c r="P15201" s="27" t="s">
        <v>10542</v>
      </c>
      <c r="Q15201" s="26" t="str">
        <f>HYPERLINK("https://ictv.global/taxonomy/taxondetails?taxnode_id=202501935&amp;ictv_id=ICTV20165186","ICTV20165186")</f>
        <v>ICTV20165186</v>
      </c>
      <c r="R15201" t="s">
        <v>581</v>
      </c>
      <c r="S15201" t="s">
        <v>824</v>
      </c>
      <c r="T15201">
        <v>38</v>
      </c>
      <c r="U15201" s="26" t="str">
        <f t="shared" si="572"/>
        <v>2022.004S.Iflaviridae_rename.zip</v>
      </c>
    </row>
    <row r="15202" spans="1:21">
      <c r="A15202">
        <v>15201</v>
      </c>
      <c r="B15202" s="27" t="s">
        <v>1124</v>
      </c>
      <c r="D15202" s="27" t="s">
        <v>1859</v>
      </c>
      <c r="F15202" s="27" t="s">
        <v>1909</v>
      </c>
      <c r="H15202" s="27" t="s">
        <v>1912</v>
      </c>
      <c r="J15202" s="27" t="s">
        <v>260</v>
      </c>
      <c r="L15202" s="27" t="s">
        <v>272</v>
      </c>
      <c r="N15202" s="27" t="s">
        <v>273</v>
      </c>
      <c r="P15202" s="27" t="s">
        <v>10543</v>
      </c>
      <c r="Q15202" s="26" t="str">
        <f>HYPERLINK("https://ictv.global/taxonomy/taxondetails?taxnode_id=202501937&amp;ictv_id=ICTV20151297","ICTV20151297")</f>
        <v>ICTV20151297</v>
      </c>
      <c r="R15202" t="s">
        <v>581</v>
      </c>
      <c r="S15202" t="s">
        <v>824</v>
      </c>
      <c r="T15202">
        <v>38</v>
      </c>
      <c r="U15202" s="26" t="str">
        <f t="shared" si="572"/>
        <v>2022.004S.Iflaviridae_rename.zip</v>
      </c>
    </row>
    <row r="15203" spans="1:21">
      <c r="A15203">
        <v>15202</v>
      </c>
      <c r="B15203" s="27" t="s">
        <v>1124</v>
      </c>
      <c r="D15203" s="27" t="s">
        <v>1859</v>
      </c>
      <c r="F15203" s="27" t="s">
        <v>1909</v>
      </c>
      <c r="H15203" s="27" t="s">
        <v>1912</v>
      </c>
      <c r="J15203" s="27" t="s">
        <v>260</v>
      </c>
      <c r="L15203" s="27" t="s">
        <v>272</v>
      </c>
      <c r="N15203" s="27" t="s">
        <v>273</v>
      </c>
      <c r="P15203" s="27" t="s">
        <v>10544</v>
      </c>
      <c r="Q15203" s="26" t="str">
        <f>HYPERLINK("https://ictv.global/taxonomy/taxondetails?taxnode_id=202501938&amp;ictv_id=ICTV20083292","ICTV20083292")</f>
        <v>ICTV20083292</v>
      </c>
      <c r="R15203" t="s">
        <v>581</v>
      </c>
      <c r="S15203" t="s">
        <v>824</v>
      </c>
      <c r="T15203">
        <v>38</v>
      </c>
      <c r="U15203" s="26" t="str">
        <f t="shared" si="572"/>
        <v>2022.004S.Iflaviridae_rename.zip</v>
      </c>
    </row>
    <row r="15204" spans="1:21">
      <c r="A15204">
        <v>15203</v>
      </c>
      <c r="B15204" s="27" t="s">
        <v>1124</v>
      </c>
      <c r="D15204" s="27" t="s">
        <v>1859</v>
      </c>
      <c r="F15204" s="27" t="s">
        <v>1909</v>
      </c>
      <c r="H15204" s="27" t="s">
        <v>1912</v>
      </c>
      <c r="J15204" s="27" t="s">
        <v>260</v>
      </c>
      <c r="L15204" s="27" t="s">
        <v>272</v>
      </c>
      <c r="N15204" s="27" t="s">
        <v>273</v>
      </c>
      <c r="P15204" s="27" t="s">
        <v>10545</v>
      </c>
      <c r="Q15204" s="26" t="str">
        <f>HYPERLINK("https://ictv.global/taxonomy/taxondetails?taxnode_id=202501939&amp;ictv_id=ICTV20026931","ICTV20026931")</f>
        <v>ICTV20026931</v>
      </c>
      <c r="R15204" t="s">
        <v>581</v>
      </c>
      <c r="S15204" t="s">
        <v>824</v>
      </c>
      <c r="T15204">
        <v>38</v>
      </c>
      <c r="U15204" s="26" t="str">
        <f t="shared" si="572"/>
        <v>2022.004S.Iflaviridae_rename.zip</v>
      </c>
    </row>
    <row r="15205" spans="1:21">
      <c r="A15205">
        <v>15204</v>
      </c>
      <c r="B15205" s="27" t="s">
        <v>1124</v>
      </c>
      <c r="D15205" s="27" t="s">
        <v>1859</v>
      </c>
      <c r="F15205" s="27" t="s">
        <v>1909</v>
      </c>
      <c r="H15205" s="27" t="s">
        <v>1912</v>
      </c>
      <c r="J15205" s="27" t="s">
        <v>260</v>
      </c>
      <c r="L15205" s="27" t="s">
        <v>272</v>
      </c>
      <c r="N15205" s="27" t="s">
        <v>273</v>
      </c>
      <c r="P15205" s="27" t="s">
        <v>10546</v>
      </c>
      <c r="Q15205" s="26" t="str">
        <f>HYPERLINK("https://ictv.global/taxonomy/taxondetails?taxnode_id=202501941&amp;ictv_id=ICTV20151298","ICTV20151298")</f>
        <v>ICTV20151298</v>
      </c>
      <c r="R15205" t="s">
        <v>581</v>
      </c>
      <c r="S15205" t="s">
        <v>824</v>
      </c>
      <c r="T15205">
        <v>38</v>
      </c>
      <c r="U15205" s="26" t="str">
        <f t="shared" si="572"/>
        <v>2022.004S.Iflaviridae_rename.zip</v>
      </c>
    </row>
    <row r="15206" spans="1:21">
      <c r="A15206">
        <v>15205</v>
      </c>
      <c r="B15206" s="27" t="s">
        <v>1124</v>
      </c>
      <c r="D15206" s="27" t="s">
        <v>1859</v>
      </c>
      <c r="F15206" s="27" t="s">
        <v>1909</v>
      </c>
      <c r="H15206" s="27" t="s">
        <v>1912</v>
      </c>
      <c r="J15206" s="27" t="s">
        <v>260</v>
      </c>
      <c r="L15206" s="27" t="s">
        <v>272</v>
      </c>
      <c r="N15206" s="27" t="s">
        <v>273</v>
      </c>
      <c r="P15206" s="27" t="s">
        <v>10547</v>
      </c>
      <c r="Q15206" s="26" t="str">
        <f>HYPERLINK("https://ictv.global/taxonomy/taxondetails?taxnode_id=202501940&amp;ictv_id=ICTV20130614","ICTV20130614")</f>
        <v>ICTV20130614</v>
      </c>
      <c r="R15206" t="s">
        <v>581</v>
      </c>
      <c r="S15206" t="s">
        <v>824</v>
      </c>
      <c r="T15206">
        <v>38</v>
      </c>
      <c r="U15206" s="26" t="str">
        <f t="shared" si="572"/>
        <v>2022.004S.Iflaviridae_rename.zip</v>
      </c>
    </row>
    <row r="15207" spans="1:21">
      <c r="A15207">
        <v>15206</v>
      </c>
      <c r="B15207" s="27" t="s">
        <v>1124</v>
      </c>
      <c r="D15207" s="27" t="s">
        <v>1859</v>
      </c>
      <c r="F15207" s="27" t="s">
        <v>1909</v>
      </c>
      <c r="H15207" s="27" t="s">
        <v>1912</v>
      </c>
      <c r="J15207" s="27" t="s">
        <v>260</v>
      </c>
      <c r="L15207" s="27" t="s">
        <v>272</v>
      </c>
      <c r="N15207" s="27" t="s">
        <v>273</v>
      </c>
      <c r="P15207" s="27" t="s">
        <v>10548</v>
      </c>
      <c r="Q15207" s="26" t="str">
        <f>HYPERLINK("https://ictv.global/taxonomy/taxondetails?taxnode_id=202501942&amp;ictv_id=ICTV20130615","ICTV20130615")</f>
        <v>ICTV20130615</v>
      </c>
      <c r="R15207" t="s">
        <v>581</v>
      </c>
      <c r="S15207" t="s">
        <v>824</v>
      </c>
      <c r="T15207">
        <v>38</v>
      </c>
      <c r="U15207" s="26" t="str">
        <f t="shared" si="572"/>
        <v>2022.004S.Iflaviridae_rename.zip</v>
      </c>
    </row>
    <row r="15208" spans="1:21">
      <c r="A15208">
        <v>15207</v>
      </c>
      <c r="B15208" s="27" t="s">
        <v>1124</v>
      </c>
      <c r="D15208" s="27" t="s">
        <v>1859</v>
      </c>
      <c r="F15208" s="27" t="s">
        <v>1909</v>
      </c>
      <c r="H15208" s="27" t="s">
        <v>1912</v>
      </c>
      <c r="J15208" s="27" t="s">
        <v>260</v>
      </c>
      <c r="L15208" s="27" t="s">
        <v>272</v>
      </c>
      <c r="N15208" s="27" t="s">
        <v>273</v>
      </c>
      <c r="P15208" s="27" t="s">
        <v>10549</v>
      </c>
      <c r="Q15208" s="26" t="str">
        <f>HYPERLINK("https://ictv.global/taxonomy/taxondetails?taxnode_id=202501943&amp;ictv_id=ICTV20026932","ICTV20026932")</f>
        <v>ICTV20026932</v>
      </c>
      <c r="R15208" t="s">
        <v>581</v>
      </c>
      <c r="S15208" t="s">
        <v>824</v>
      </c>
      <c r="T15208">
        <v>38</v>
      </c>
      <c r="U15208" s="26" t="str">
        <f t="shared" si="572"/>
        <v>2022.004S.Iflaviridae_rename.zip</v>
      </c>
    </row>
    <row r="15209" spans="1:21">
      <c r="A15209">
        <v>15208</v>
      </c>
      <c r="B15209" s="27" t="s">
        <v>1124</v>
      </c>
      <c r="D15209" s="27" t="s">
        <v>1859</v>
      </c>
      <c r="F15209" s="27" t="s">
        <v>1909</v>
      </c>
      <c r="H15209" s="27" t="s">
        <v>1912</v>
      </c>
      <c r="J15209" s="27" t="s">
        <v>260</v>
      </c>
      <c r="L15209" s="27" t="s">
        <v>272</v>
      </c>
      <c r="N15209" s="27" t="s">
        <v>273</v>
      </c>
      <c r="P15209" s="27" t="s">
        <v>10550</v>
      </c>
      <c r="Q15209" s="26" t="str">
        <f>HYPERLINK("https://ictv.global/taxonomy/taxondetails?taxnode_id=202501944&amp;ictv_id=ICTV20026933","ICTV20026933")</f>
        <v>ICTV20026933</v>
      </c>
      <c r="R15209" t="s">
        <v>581</v>
      </c>
      <c r="S15209" t="s">
        <v>824</v>
      </c>
      <c r="T15209">
        <v>38</v>
      </c>
      <c r="U15209" s="26" t="str">
        <f t="shared" si="572"/>
        <v>2022.004S.Iflaviridae_rename.zip</v>
      </c>
    </row>
    <row r="15210" spans="1:21">
      <c r="A15210">
        <v>15209</v>
      </c>
      <c r="B15210" s="27" t="s">
        <v>1124</v>
      </c>
      <c r="D15210" s="27" t="s">
        <v>1859</v>
      </c>
      <c r="F15210" s="27" t="s">
        <v>1909</v>
      </c>
      <c r="H15210" s="27" t="s">
        <v>1912</v>
      </c>
      <c r="J15210" s="27" t="s">
        <v>260</v>
      </c>
      <c r="L15210" s="27" t="s">
        <v>272</v>
      </c>
      <c r="N15210" s="27" t="s">
        <v>273</v>
      </c>
      <c r="P15210" s="27" t="s">
        <v>10551</v>
      </c>
      <c r="Q15210" s="26" t="str">
        <f>HYPERLINK("https://ictv.global/taxonomy/taxondetails?taxnode_id=202501946&amp;ictv_id=ICTV20151299","ICTV20151299")</f>
        <v>ICTV20151299</v>
      </c>
      <c r="R15210" t="s">
        <v>581</v>
      </c>
      <c r="S15210" t="s">
        <v>824</v>
      </c>
      <c r="T15210">
        <v>38</v>
      </c>
      <c r="U15210" s="26" t="str">
        <f t="shared" si="572"/>
        <v>2022.004S.Iflaviridae_rename.zip</v>
      </c>
    </row>
    <row r="15211" spans="1:21">
      <c r="A15211">
        <v>15210</v>
      </c>
      <c r="B15211" s="27" t="s">
        <v>1124</v>
      </c>
      <c r="D15211" s="27" t="s">
        <v>1859</v>
      </c>
      <c r="F15211" s="27" t="s">
        <v>1909</v>
      </c>
      <c r="H15211" s="27" t="s">
        <v>1912</v>
      </c>
      <c r="J15211" s="27" t="s">
        <v>260</v>
      </c>
      <c r="L15211" s="27" t="s">
        <v>272</v>
      </c>
      <c r="N15211" s="27" t="s">
        <v>273</v>
      </c>
      <c r="P15211" s="27" t="s">
        <v>10552</v>
      </c>
      <c r="Q15211" s="26" t="str">
        <f>HYPERLINK("https://ictv.global/taxonomy/taxondetails?taxnode_id=202513894&amp;ictv_id=ICTV202113894","ICTV202113894")</f>
        <v>ICTV202113894</v>
      </c>
      <c r="R15211" t="s">
        <v>581</v>
      </c>
      <c r="S15211" t="s">
        <v>824</v>
      </c>
      <c r="T15211">
        <v>38</v>
      </c>
      <c r="U15211" s="26" t="str">
        <f t="shared" si="572"/>
        <v>2022.004S.Iflaviridae_rename.zip</v>
      </c>
    </row>
    <row r="15212" spans="1:21">
      <c r="A15212">
        <v>15211</v>
      </c>
      <c r="B15212" s="27" t="s">
        <v>1124</v>
      </c>
      <c r="D15212" s="27" t="s">
        <v>1859</v>
      </c>
      <c r="F15212" s="27" t="s">
        <v>1909</v>
      </c>
      <c r="H15212" s="27" t="s">
        <v>1912</v>
      </c>
      <c r="J15212" s="27" t="s">
        <v>260</v>
      </c>
      <c r="L15212" s="27" t="s">
        <v>272</v>
      </c>
      <c r="N15212" s="27" t="s">
        <v>273</v>
      </c>
      <c r="P15212" s="27" t="s">
        <v>10553</v>
      </c>
      <c r="Q15212" s="26" t="str">
        <f>HYPERLINK("https://ictv.global/taxonomy/taxondetails?taxnode_id=202501934&amp;ictv_id=ICTV20151296","ICTV20151296")</f>
        <v>ICTV20151296</v>
      </c>
      <c r="R15212" t="s">
        <v>581</v>
      </c>
      <c r="S15212" t="s">
        <v>824</v>
      </c>
      <c r="T15212">
        <v>38</v>
      </c>
      <c r="U15212" s="26" t="str">
        <f t="shared" si="572"/>
        <v>2022.004S.Iflaviridae_rename.zip</v>
      </c>
    </row>
    <row r="15213" spans="1:21">
      <c r="A15213">
        <v>15212</v>
      </c>
      <c r="B15213" s="27" t="s">
        <v>1124</v>
      </c>
      <c r="D15213" s="27" t="s">
        <v>1859</v>
      </c>
      <c r="F15213" s="27" t="s">
        <v>1909</v>
      </c>
      <c r="H15213" s="27" t="s">
        <v>1912</v>
      </c>
      <c r="J15213" s="27" t="s">
        <v>260</v>
      </c>
      <c r="L15213" s="27" t="s">
        <v>274</v>
      </c>
      <c r="N15213" s="27" t="s">
        <v>1</v>
      </c>
      <c r="P15213" s="27" t="s">
        <v>20497</v>
      </c>
      <c r="Q15213" s="26" t="str">
        <f>HYPERLINK("https://ictv.global/taxonomy/taxondetails?taxnode_id=202502168&amp;ictv_id=ICTV20115399","ICTV20115399")</f>
        <v>ICTV20115399</v>
      </c>
      <c r="R15213" t="s">
        <v>581</v>
      </c>
      <c r="S15213" t="s">
        <v>824</v>
      </c>
      <c r="T15213">
        <v>40</v>
      </c>
      <c r="U15213" s="26" t="str">
        <f t="shared" ref="U15213:U15232" si="573">HYPERLINK("https://ictv.global/ictv/proposals/2024.002F.Marnaviridae_spren.zip","2024.002F.Marnaviridae_spren.zip")</f>
        <v>2024.002F.Marnaviridae_spren.zip</v>
      </c>
    </row>
    <row r="15214" spans="1:21">
      <c r="A15214">
        <v>15213</v>
      </c>
      <c r="B15214" s="27" t="s">
        <v>1124</v>
      </c>
      <c r="D15214" s="27" t="s">
        <v>1859</v>
      </c>
      <c r="F15214" s="27" t="s">
        <v>1909</v>
      </c>
      <c r="H15214" s="27" t="s">
        <v>1912</v>
      </c>
      <c r="J15214" s="27" t="s">
        <v>260</v>
      </c>
      <c r="L15214" s="27" t="s">
        <v>274</v>
      </c>
      <c r="N15214" s="27" t="s">
        <v>1</v>
      </c>
      <c r="P15214" s="27" t="s">
        <v>20498</v>
      </c>
      <c r="Q15214" s="26" t="str">
        <f>HYPERLINK("https://ictv.global/taxonomy/taxondetails?taxnode_id=202502167&amp;ictv_id=ICTV20115398","ICTV20115398")</f>
        <v>ICTV20115398</v>
      </c>
      <c r="R15214" t="s">
        <v>581</v>
      </c>
      <c r="S15214" t="s">
        <v>824</v>
      </c>
      <c r="T15214">
        <v>40</v>
      </c>
      <c r="U15214" s="26" t="str">
        <f t="shared" si="573"/>
        <v>2024.002F.Marnaviridae_spren.zip</v>
      </c>
    </row>
    <row r="15215" spans="1:21">
      <c r="A15215">
        <v>15214</v>
      </c>
      <c r="B15215" s="27" t="s">
        <v>1124</v>
      </c>
      <c r="D15215" s="27" t="s">
        <v>1859</v>
      </c>
      <c r="F15215" s="27" t="s">
        <v>1909</v>
      </c>
      <c r="H15215" s="27" t="s">
        <v>1912</v>
      </c>
      <c r="J15215" s="27" t="s">
        <v>260</v>
      </c>
      <c r="L15215" s="27" t="s">
        <v>274</v>
      </c>
      <c r="N15215" s="27" t="s">
        <v>1</v>
      </c>
      <c r="P15215" s="27" t="s">
        <v>20499</v>
      </c>
      <c r="Q15215" s="26" t="str">
        <f>HYPERLINK("https://ictv.global/taxonomy/taxondetails?taxnode_id=202502166&amp;ictv_id=ICTV20115397","ICTV20115397")</f>
        <v>ICTV20115397</v>
      </c>
      <c r="R15215" t="s">
        <v>581</v>
      </c>
      <c r="S15215" t="s">
        <v>824</v>
      </c>
      <c r="T15215">
        <v>40</v>
      </c>
      <c r="U15215" s="26" t="str">
        <f t="shared" si="573"/>
        <v>2024.002F.Marnaviridae_spren.zip</v>
      </c>
    </row>
    <row r="15216" spans="1:21">
      <c r="A15216">
        <v>15215</v>
      </c>
      <c r="B15216" s="27" t="s">
        <v>1124</v>
      </c>
      <c r="D15216" s="27" t="s">
        <v>1859</v>
      </c>
      <c r="F15216" s="27" t="s">
        <v>1909</v>
      </c>
      <c r="H15216" s="27" t="s">
        <v>1912</v>
      </c>
      <c r="J15216" s="27" t="s">
        <v>260</v>
      </c>
      <c r="L15216" s="27" t="s">
        <v>274</v>
      </c>
      <c r="N15216" s="27" t="s">
        <v>1160</v>
      </c>
      <c r="P15216" s="27" t="s">
        <v>20500</v>
      </c>
      <c r="Q15216" s="26" t="str">
        <f>HYPERLINK("https://ictv.global/taxonomy/taxondetails?taxnode_id=202506540&amp;ictv_id=ICTV201856540","ICTV201856540")</f>
        <v>ICTV201856540</v>
      </c>
      <c r="R15216" t="s">
        <v>581</v>
      </c>
      <c r="S15216" t="s">
        <v>824</v>
      </c>
      <c r="T15216">
        <v>40</v>
      </c>
      <c r="U15216" s="26" t="str">
        <f t="shared" si="573"/>
        <v>2024.002F.Marnaviridae_spren.zip</v>
      </c>
    </row>
    <row r="15217" spans="1:21">
      <c r="A15217">
        <v>15216</v>
      </c>
      <c r="B15217" s="27" t="s">
        <v>1124</v>
      </c>
      <c r="D15217" s="27" t="s">
        <v>1859</v>
      </c>
      <c r="F15217" s="27" t="s">
        <v>1909</v>
      </c>
      <c r="H15217" s="27" t="s">
        <v>1912</v>
      </c>
      <c r="J15217" s="27" t="s">
        <v>260</v>
      </c>
      <c r="L15217" s="27" t="s">
        <v>274</v>
      </c>
      <c r="N15217" s="27" t="s">
        <v>2</v>
      </c>
      <c r="P15217" s="27" t="s">
        <v>20501</v>
      </c>
      <c r="Q15217" s="26" t="str">
        <f>HYPERLINK("https://ictv.global/taxonomy/taxondetails?taxnode_id=202502170&amp;ictv_id=ICTV20115395","ICTV20115395")</f>
        <v>ICTV20115395</v>
      </c>
      <c r="R15217" t="s">
        <v>581</v>
      </c>
      <c r="S15217" t="s">
        <v>824</v>
      </c>
      <c r="T15217">
        <v>40</v>
      </c>
      <c r="U15217" s="26" t="str">
        <f t="shared" si="573"/>
        <v>2024.002F.Marnaviridae_spren.zip</v>
      </c>
    </row>
    <row r="15218" spans="1:21">
      <c r="A15218">
        <v>15217</v>
      </c>
      <c r="B15218" s="27" t="s">
        <v>1124</v>
      </c>
      <c r="D15218" s="27" t="s">
        <v>1859</v>
      </c>
      <c r="F15218" s="27" t="s">
        <v>1909</v>
      </c>
      <c r="H15218" s="27" t="s">
        <v>1912</v>
      </c>
      <c r="J15218" s="27" t="s">
        <v>260</v>
      </c>
      <c r="L15218" s="27" t="s">
        <v>274</v>
      </c>
      <c r="N15218" s="27" t="s">
        <v>1161</v>
      </c>
      <c r="P15218" s="27" t="s">
        <v>20502</v>
      </c>
      <c r="Q15218" s="26" t="str">
        <f>HYPERLINK("https://ictv.global/taxonomy/taxondetails?taxnode_id=202506535&amp;ictv_id=ICTV201856535","ICTV201856535")</f>
        <v>ICTV201856535</v>
      </c>
      <c r="R15218" t="s">
        <v>581</v>
      </c>
      <c r="S15218" t="s">
        <v>824</v>
      </c>
      <c r="T15218">
        <v>40</v>
      </c>
      <c r="U15218" s="26" t="str">
        <f t="shared" si="573"/>
        <v>2024.002F.Marnaviridae_spren.zip</v>
      </c>
    </row>
    <row r="15219" spans="1:21">
      <c r="A15219">
        <v>15218</v>
      </c>
      <c r="B15219" s="27" t="s">
        <v>1124</v>
      </c>
      <c r="D15219" s="27" t="s">
        <v>1859</v>
      </c>
      <c r="F15219" s="27" t="s">
        <v>1909</v>
      </c>
      <c r="H15219" s="27" t="s">
        <v>1912</v>
      </c>
      <c r="J15219" s="27" t="s">
        <v>260</v>
      </c>
      <c r="L15219" s="27" t="s">
        <v>274</v>
      </c>
      <c r="N15219" s="27" t="s">
        <v>1161</v>
      </c>
      <c r="P15219" s="27" t="s">
        <v>20503</v>
      </c>
      <c r="Q15219" s="26" t="str">
        <f>HYPERLINK("https://ictv.global/taxonomy/taxondetails?taxnode_id=202506536&amp;ictv_id=ICTV201856536","ICTV201856536")</f>
        <v>ICTV201856536</v>
      </c>
      <c r="R15219" t="s">
        <v>581</v>
      </c>
      <c r="S15219" t="s">
        <v>824</v>
      </c>
      <c r="T15219">
        <v>40</v>
      </c>
      <c r="U15219" s="26" t="str">
        <f t="shared" si="573"/>
        <v>2024.002F.Marnaviridae_spren.zip</v>
      </c>
    </row>
    <row r="15220" spans="1:21">
      <c r="A15220">
        <v>15219</v>
      </c>
      <c r="B15220" s="27" t="s">
        <v>1124</v>
      </c>
      <c r="D15220" s="27" t="s">
        <v>1859</v>
      </c>
      <c r="F15220" s="27" t="s">
        <v>1909</v>
      </c>
      <c r="H15220" s="27" t="s">
        <v>1912</v>
      </c>
      <c r="J15220" s="27" t="s">
        <v>260</v>
      </c>
      <c r="L15220" s="27" t="s">
        <v>274</v>
      </c>
      <c r="N15220" s="27" t="s">
        <v>1161</v>
      </c>
      <c r="P15220" s="27" t="s">
        <v>20504</v>
      </c>
      <c r="Q15220" s="26" t="str">
        <f>HYPERLINK("https://ictv.global/taxonomy/taxondetails?taxnode_id=202506538&amp;ictv_id=ICTV201856538","ICTV201856538")</f>
        <v>ICTV201856538</v>
      </c>
      <c r="R15220" t="s">
        <v>581</v>
      </c>
      <c r="S15220" t="s">
        <v>824</v>
      </c>
      <c r="T15220">
        <v>40</v>
      </c>
      <c r="U15220" s="26" t="str">
        <f t="shared" si="573"/>
        <v>2024.002F.Marnaviridae_spren.zip</v>
      </c>
    </row>
    <row r="15221" spans="1:21">
      <c r="A15221">
        <v>15220</v>
      </c>
      <c r="B15221" s="27" t="s">
        <v>1124</v>
      </c>
      <c r="D15221" s="27" t="s">
        <v>1859</v>
      </c>
      <c r="F15221" s="27" t="s">
        <v>1909</v>
      </c>
      <c r="H15221" s="27" t="s">
        <v>1912</v>
      </c>
      <c r="J15221" s="27" t="s">
        <v>260</v>
      </c>
      <c r="L15221" s="27" t="s">
        <v>274</v>
      </c>
      <c r="N15221" s="27" t="s">
        <v>1161</v>
      </c>
      <c r="P15221" s="27" t="s">
        <v>20505</v>
      </c>
      <c r="Q15221" s="26" t="str">
        <f>HYPERLINK("https://ictv.global/taxonomy/taxondetails?taxnode_id=202506537&amp;ictv_id=ICTV201856537","ICTV201856537")</f>
        <v>ICTV201856537</v>
      </c>
      <c r="R15221" t="s">
        <v>581</v>
      </c>
      <c r="S15221" t="s">
        <v>824</v>
      </c>
      <c r="T15221">
        <v>40</v>
      </c>
      <c r="U15221" s="26" t="str">
        <f t="shared" si="573"/>
        <v>2024.002F.Marnaviridae_spren.zip</v>
      </c>
    </row>
    <row r="15222" spans="1:21">
      <c r="A15222">
        <v>15221</v>
      </c>
      <c r="B15222" s="27" t="s">
        <v>1124</v>
      </c>
      <c r="D15222" s="27" t="s">
        <v>1859</v>
      </c>
      <c r="F15222" s="27" t="s">
        <v>1909</v>
      </c>
      <c r="H15222" s="27" t="s">
        <v>1912</v>
      </c>
      <c r="J15222" s="27" t="s">
        <v>260</v>
      </c>
      <c r="L15222" s="27" t="s">
        <v>274</v>
      </c>
      <c r="N15222" s="27" t="s">
        <v>275</v>
      </c>
      <c r="P15222" s="27" t="s">
        <v>20506</v>
      </c>
      <c r="Q15222" s="26" t="str">
        <f>HYPERLINK("https://ictv.global/taxonomy/taxondetails?taxnode_id=202501952&amp;ictv_id=ICTV20041391","ICTV20041391")</f>
        <v>ICTV20041391</v>
      </c>
      <c r="R15222" t="s">
        <v>581</v>
      </c>
      <c r="S15222" t="s">
        <v>824</v>
      </c>
      <c r="T15222">
        <v>40</v>
      </c>
      <c r="U15222" s="26" t="str">
        <f t="shared" si="573"/>
        <v>2024.002F.Marnaviridae_spren.zip</v>
      </c>
    </row>
    <row r="15223" spans="1:21">
      <c r="A15223">
        <v>15222</v>
      </c>
      <c r="B15223" s="27" t="s">
        <v>1124</v>
      </c>
      <c r="D15223" s="27" t="s">
        <v>1859</v>
      </c>
      <c r="F15223" s="27" t="s">
        <v>1909</v>
      </c>
      <c r="H15223" s="27" t="s">
        <v>1912</v>
      </c>
      <c r="J15223" s="27" t="s">
        <v>260</v>
      </c>
      <c r="L15223" s="27" t="s">
        <v>274</v>
      </c>
      <c r="N15223" s="27" t="s">
        <v>1162</v>
      </c>
      <c r="P15223" s="27" t="s">
        <v>20507</v>
      </c>
      <c r="Q15223" s="26" t="str">
        <f>HYPERLINK("https://ictv.global/taxonomy/taxondetails?taxnode_id=202506549&amp;ictv_id=ICTV201856549","ICTV201856549")</f>
        <v>ICTV201856549</v>
      </c>
      <c r="R15223" t="s">
        <v>581</v>
      </c>
      <c r="S15223" t="s">
        <v>824</v>
      </c>
      <c r="T15223">
        <v>40</v>
      </c>
      <c r="U15223" s="26" t="str">
        <f t="shared" si="573"/>
        <v>2024.002F.Marnaviridae_spren.zip</v>
      </c>
    </row>
    <row r="15224" spans="1:21">
      <c r="A15224">
        <v>15223</v>
      </c>
      <c r="B15224" s="27" t="s">
        <v>1124</v>
      </c>
      <c r="D15224" s="27" t="s">
        <v>1859</v>
      </c>
      <c r="F15224" s="27" t="s">
        <v>1909</v>
      </c>
      <c r="H15224" s="27" t="s">
        <v>1912</v>
      </c>
      <c r="J15224" s="27" t="s">
        <v>260</v>
      </c>
      <c r="L15224" s="27" t="s">
        <v>274</v>
      </c>
      <c r="N15224" s="27" t="s">
        <v>1162</v>
      </c>
      <c r="P15224" s="27" t="s">
        <v>20508</v>
      </c>
      <c r="Q15224" s="26" t="str">
        <f>HYPERLINK("https://ictv.global/taxonomy/taxondetails?taxnode_id=202506552&amp;ictv_id=ICTV201856552","ICTV201856552")</f>
        <v>ICTV201856552</v>
      </c>
      <c r="R15224" t="s">
        <v>581</v>
      </c>
      <c r="S15224" t="s">
        <v>824</v>
      </c>
      <c r="T15224">
        <v>40</v>
      </c>
      <c r="U15224" s="26" t="str">
        <f t="shared" si="573"/>
        <v>2024.002F.Marnaviridae_spren.zip</v>
      </c>
    </row>
    <row r="15225" spans="1:21">
      <c r="A15225">
        <v>15224</v>
      </c>
      <c r="B15225" s="27" t="s">
        <v>1124</v>
      </c>
      <c r="D15225" s="27" t="s">
        <v>1859</v>
      </c>
      <c r="F15225" s="27" t="s">
        <v>1909</v>
      </c>
      <c r="H15225" s="27" t="s">
        <v>1912</v>
      </c>
      <c r="J15225" s="27" t="s">
        <v>260</v>
      </c>
      <c r="L15225" s="27" t="s">
        <v>274</v>
      </c>
      <c r="N15225" s="27" t="s">
        <v>1162</v>
      </c>
      <c r="P15225" s="27" t="s">
        <v>20509</v>
      </c>
      <c r="Q15225" s="26" t="str">
        <f>HYPERLINK("https://ictv.global/taxonomy/taxondetails?taxnode_id=202506550&amp;ictv_id=ICTV201856550","ICTV201856550")</f>
        <v>ICTV201856550</v>
      </c>
      <c r="R15225" t="s">
        <v>581</v>
      </c>
      <c r="S15225" t="s">
        <v>824</v>
      </c>
      <c r="T15225">
        <v>40</v>
      </c>
      <c r="U15225" s="26" t="str">
        <f t="shared" si="573"/>
        <v>2024.002F.Marnaviridae_spren.zip</v>
      </c>
    </row>
    <row r="15226" spans="1:21">
      <c r="A15226">
        <v>15225</v>
      </c>
      <c r="B15226" s="27" t="s">
        <v>1124</v>
      </c>
      <c r="D15226" s="27" t="s">
        <v>1859</v>
      </c>
      <c r="F15226" s="27" t="s">
        <v>1909</v>
      </c>
      <c r="H15226" s="27" t="s">
        <v>1912</v>
      </c>
      <c r="J15226" s="27" t="s">
        <v>260</v>
      </c>
      <c r="L15226" s="27" t="s">
        <v>274</v>
      </c>
      <c r="N15226" s="27" t="s">
        <v>1162</v>
      </c>
      <c r="P15226" s="27" t="s">
        <v>20510</v>
      </c>
      <c r="Q15226" s="26" t="str">
        <f>HYPERLINK("https://ictv.global/taxonomy/taxondetails?taxnode_id=202506551&amp;ictv_id=ICTV201856551","ICTV201856551")</f>
        <v>ICTV201856551</v>
      </c>
      <c r="R15226" t="s">
        <v>581</v>
      </c>
      <c r="S15226" t="s">
        <v>824</v>
      </c>
      <c r="T15226">
        <v>40</v>
      </c>
      <c r="U15226" s="26" t="str">
        <f t="shared" si="573"/>
        <v>2024.002F.Marnaviridae_spren.zip</v>
      </c>
    </row>
    <row r="15227" spans="1:21">
      <c r="A15227">
        <v>15226</v>
      </c>
      <c r="B15227" s="27" t="s">
        <v>1124</v>
      </c>
      <c r="D15227" s="27" t="s">
        <v>1859</v>
      </c>
      <c r="F15227" s="27" t="s">
        <v>1909</v>
      </c>
      <c r="H15227" s="27" t="s">
        <v>1912</v>
      </c>
      <c r="J15227" s="27" t="s">
        <v>260</v>
      </c>
      <c r="L15227" s="27" t="s">
        <v>274</v>
      </c>
      <c r="N15227" s="27" t="s">
        <v>1163</v>
      </c>
      <c r="P15227" s="27" t="s">
        <v>20511</v>
      </c>
      <c r="Q15227" s="26" t="str">
        <f>HYPERLINK("https://ictv.global/taxonomy/taxondetails?taxnode_id=202506545&amp;ictv_id=ICTV201856545","ICTV201856545")</f>
        <v>ICTV201856545</v>
      </c>
      <c r="R15227" t="s">
        <v>581</v>
      </c>
      <c r="S15227" t="s">
        <v>824</v>
      </c>
      <c r="T15227">
        <v>40</v>
      </c>
      <c r="U15227" s="26" t="str">
        <f t="shared" si="573"/>
        <v>2024.002F.Marnaviridae_spren.zip</v>
      </c>
    </row>
    <row r="15228" spans="1:21">
      <c r="A15228">
        <v>15227</v>
      </c>
      <c r="B15228" s="27" t="s">
        <v>1124</v>
      </c>
      <c r="D15228" s="27" t="s">
        <v>1859</v>
      </c>
      <c r="F15228" s="27" t="s">
        <v>1909</v>
      </c>
      <c r="H15228" s="27" t="s">
        <v>1912</v>
      </c>
      <c r="J15228" s="27" t="s">
        <v>260</v>
      </c>
      <c r="L15228" s="27" t="s">
        <v>274</v>
      </c>
      <c r="N15228" s="27" t="s">
        <v>1163</v>
      </c>
      <c r="P15228" s="27" t="s">
        <v>20512</v>
      </c>
      <c r="Q15228" s="26" t="str">
        <f>HYPERLINK("https://ictv.global/taxonomy/taxondetails?taxnode_id=202506542&amp;ictv_id=ICTV201856542","ICTV201856542")</f>
        <v>ICTV201856542</v>
      </c>
      <c r="R15228" t="s">
        <v>581</v>
      </c>
      <c r="S15228" t="s">
        <v>824</v>
      </c>
      <c r="T15228">
        <v>40</v>
      </c>
      <c r="U15228" s="26" t="str">
        <f t="shared" si="573"/>
        <v>2024.002F.Marnaviridae_spren.zip</v>
      </c>
    </row>
    <row r="15229" spans="1:21">
      <c r="A15229">
        <v>15228</v>
      </c>
      <c r="B15229" s="27" t="s">
        <v>1124</v>
      </c>
      <c r="D15229" s="27" t="s">
        <v>1859</v>
      </c>
      <c r="F15229" s="27" t="s">
        <v>1909</v>
      </c>
      <c r="H15229" s="27" t="s">
        <v>1912</v>
      </c>
      <c r="J15229" s="27" t="s">
        <v>260</v>
      </c>
      <c r="L15229" s="27" t="s">
        <v>274</v>
      </c>
      <c r="N15229" s="27" t="s">
        <v>1163</v>
      </c>
      <c r="P15229" s="27" t="s">
        <v>20513</v>
      </c>
      <c r="Q15229" s="26" t="str">
        <f>HYPERLINK("https://ictv.global/taxonomy/taxondetails?taxnode_id=202506546&amp;ictv_id=ICTV201856546","ICTV201856546")</f>
        <v>ICTV201856546</v>
      </c>
      <c r="R15229" t="s">
        <v>581</v>
      </c>
      <c r="S15229" t="s">
        <v>824</v>
      </c>
      <c r="T15229">
        <v>40</v>
      </c>
      <c r="U15229" s="26" t="str">
        <f t="shared" si="573"/>
        <v>2024.002F.Marnaviridae_spren.zip</v>
      </c>
    </row>
    <row r="15230" spans="1:21">
      <c r="A15230">
        <v>15229</v>
      </c>
      <c r="B15230" s="27" t="s">
        <v>1124</v>
      </c>
      <c r="D15230" s="27" t="s">
        <v>1859</v>
      </c>
      <c r="F15230" s="27" t="s">
        <v>1909</v>
      </c>
      <c r="H15230" s="27" t="s">
        <v>1912</v>
      </c>
      <c r="J15230" s="27" t="s">
        <v>260</v>
      </c>
      <c r="L15230" s="27" t="s">
        <v>274</v>
      </c>
      <c r="N15230" s="27" t="s">
        <v>1163</v>
      </c>
      <c r="P15230" s="27" t="s">
        <v>20514</v>
      </c>
      <c r="Q15230" s="26" t="str">
        <f>HYPERLINK("https://ictv.global/taxonomy/taxondetails?taxnode_id=202506544&amp;ictv_id=ICTV201856544","ICTV201856544")</f>
        <v>ICTV201856544</v>
      </c>
      <c r="R15230" t="s">
        <v>581</v>
      </c>
      <c r="S15230" t="s">
        <v>824</v>
      </c>
      <c r="T15230">
        <v>40</v>
      </c>
      <c r="U15230" s="26" t="str">
        <f t="shared" si="573"/>
        <v>2024.002F.Marnaviridae_spren.zip</v>
      </c>
    </row>
    <row r="15231" spans="1:21">
      <c r="A15231">
        <v>15230</v>
      </c>
      <c r="B15231" s="27" t="s">
        <v>1124</v>
      </c>
      <c r="D15231" s="27" t="s">
        <v>1859</v>
      </c>
      <c r="F15231" s="27" t="s">
        <v>1909</v>
      </c>
      <c r="H15231" s="27" t="s">
        <v>1912</v>
      </c>
      <c r="J15231" s="27" t="s">
        <v>260</v>
      </c>
      <c r="L15231" s="27" t="s">
        <v>274</v>
      </c>
      <c r="N15231" s="27" t="s">
        <v>1163</v>
      </c>
      <c r="P15231" s="27" t="s">
        <v>20515</v>
      </c>
      <c r="Q15231" s="26" t="str">
        <f>HYPERLINK("https://ictv.global/taxonomy/taxondetails?taxnode_id=202506543&amp;ictv_id=ICTV201856543","ICTV201856543")</f>
        <v>ICTV201856543</v>
      </c>
      <c r="R15231" t="s">
        <v>581</v>
      </c>
      <c r="S15231" t="s">
        <v>824</v>
      </c>
      <c r="T15231">
        <v>40</v>
      </c>
      <c r="U15231" s="26" t="str">
        <f t="shared" si="573"/>
        <v>2024.002F.Marnaviridae_spren.zip</v>
      </c>
    </row>
    <row r="15232" spans="1:21">
      <c r="A15232">
        <v>15231</v>
      </c>
      <c r="B15232" s="27" t="s">
        <v>1124</v>
      </c>
      <c r="D15232" s="27" t="s">
        <v>1859</v>
      </c>
      <c r="F15232" s="27" t="s">
        <v>1909</v>
      </c>
      <c r="H15232" s="27" t="s">
        <v>1912</v>
      </c>
      <c r="J15232" s="27" t="s">
        <v>260</v>
      </c>
      <c r="L15232" s="27" t="s">
        <v>274</v>
      </c>
      <c r="N15232" s="27" t="s">
        <v>1163</v>
      </c>
      <c r="P15232" s="27" t="s">
        <v>20516</v>
      </c>
      <c r="Q15232" s="26" t="str">
        <f>HYPERLINK("https://ictv.global/taxonomy/taxondetails?taxnode_id=202506547&amp;ictv_id=ICTV201856547","ICTV201856547")</f>
        <v>ICTV201856547</v>
      </c>
      <c r="R15232" t="s">
        <v>581</v>
      </c>
      <c r="S15232" t="s">
        <v>824</v>
      </c>
      <c r="T15232">
        <v>40</v>
      </c>
      <c r="U15232" s="26" t="str">
        <f t="shared" si="573"/>
        <v>2024.002F.Marnaviridae_spren.zip</v>
      </c>
    </row>
    <row r="15233" spans="1:21">
      <c r="A15233">
        <v>15232</v>
      </c>
      <c r="B15233" s="27" t="s">
        <v>1124</v>
      </c>
      <c r="D15233" s="27" t="s">
        <v>1859</v>
      </c>
      <c r="F15233" s="27" t="s">
        <v>1909</v>
      </c>
      <c r="H15233" s="27" t="s">
        <v>1912</v>
      </c>
      <c r="J15233" s="27" t="s">
        <v>260</v>
      </c>
      <c r="L15233" s="27" t="s">
        <v>10554</v>
      </c>
      <c r="N15233" s="27" t="s">
        <v>10555</v>
      </c>
      <c r="P15233" s="27" t="s">
        <v>10556</v>
      </c>
      <c r="Q15233" s="26" t="str">
        <f>HYPERLINK("https://ictv.global/taxonomy/taxondetails?taxnode_id=202514003&amp;ictv_id=ICTV202214003","ICTV202214003")</f>
        <v>ICTV202214003</v>
      </c>
      <c r="R15233" t="s">
        <v>581</v>
      </c>
      <c r="S15233" t="s">
        <v>823</v>
      </c>
      <c r="T15233">
        <v>38</v>
      </c>
      <c r="U15233" s="26" t="str">
        <f>HYPERLINK("https://ictv.global/ictv/proposals/2022.001S.Picornavirales_1nf.zip","2022.001S.Picornavirales_1nf.zip")</f>
        <v>2022.001S.Picornavirales_1nf.zip</v>
      </c>
    </row>
    <row r="15234" spans="1:21">
      <c r="A15234">
        <v>15233</v>
      </c>
      <c r="B15234" s="27" t="s">
        <v>1124</v>
      </c>
      <c r="D15234" s="27" t="s">
        <v>1859</v>
      </c>
      <c r="F15234" s="27" t="s">
        <v>1909</v>
      </c>
      <c r="H15234" s="27" t="s">
        <v>1912</v>
      </c>
      <c r="J15234" s="27" t="s">
        <v>260</v>
      </c>
      <c r="L15234" s="27" t="s">
        <v>276</v>
      </c>
      <c r="M15234" s="27" t="s">
        <v>10557</v>
      </c>
      <c r="N15234" s="27" t="s">
        <v>1164</v>
      </c>
      <c r="P15234" s="27" t="s">
        <v>17233</v>
      </c>
      <c r="Q15234" s="26" t="str">
        <f>HYPERLINK("https://ictv.global/taxonomy/taxondetails?taxnode_id=202506525&amp;ictv_id=ICTV201856525","ICTV201856525")</f>
        <v>ICTV201856525</v>
      </c>
      <c r="R15234" t="s">
        <v>581</v>
      </c>
      <c r="S15234" t="s">
        <v>824</v>
      </c>
      <c r="T15234">
        <v>39</v>
      </c>
      <c r="U15234" s="26" t="str">
        <f t="shared" ref="U15234:U15263" si="574">HYPERLINK("https://ictv.global/ictv/proposals/2023.003S.Picornaviridae_158sprenamed.zip","2023.003S.Picornaviridae_158sprenamed.zip")</f>
        <v>2023.003S.Picornaviridae_158sprenamed.zip</v>
      </c>
    </row>
    <row r="15235" spans="1:21">
      <c r="A15235">
        <v>15234</v>
      </c>
      <c r="B15235" s="27" t="s">
        <v>1124</v>
      </c>
      <c r="D15235" s="27" t="s">
        <v>1859</v>
      </c>
      <c r="F15235" s="27" t="s">
        <v>1909</v>
      </c>
      <c r="H15235" s="27" t="s">
        <v>1912</v>
      </c>
      <c r="J15235" s="27" t="s">
        <v>260</v>
      </c>
      <c r="L15235" s="27" t="s">
        <v>276</v>
      </c>
      <c r="M15235" s="27" t="s">
        <v>10557</v>
      </c>
      <c r="N15235" s="27" t="s">
        <v>250</v>
      </c>
      <c r="P15235" s="27" t="s">
        <v>17234</v>
      </c>
      <c r="Q15235" s="26" t="str">
        <f>HYPERLINK("https://ictv.global/taxonomy/taxondetails?taxnode_id=202501958&amp;ictv_id=ICTV20115687","ICTV20115687")</f>
        <v>ICTV20115687</v>
      </c>
      <c r="R15235" t="s">
        <v>581</v>
      </c>
      <c r="S15235" t="s">
        <v>824</v>
      </c>
      <c r="T15235">
        <v>39</v>
      </c>
      <c r="U15235" s="26" t="str">
        <f t="shared" si="574"/>
        <v>2023.003S.Picornaviridae_158sprenamed.zip</v>
      </c>
    </row>
    <row r="15236" spans="1:21">
      <c r="A15236">
        <v>15235</v>
      </c>
      <c r="B15236" s="27" t="s">
        <v>1124</v>
      </c>
      <c r="D15236" s="27" t="s">
        <v>1859</v>
      </c>
      <c r="F15236" s="27" t="s">
        <v>1909</v>
      </c>
      <c r="H15236" s="27" t="s">
        <v>1912</v>
      </c>
      <c r="J15236" s="27" t="s">
        <v>260</v>
      </c>
      <c r="L15236" s="27" t="s">
        <v>276</v>
      </c>
      <c r="M15236" s="27" t="s">
        <v>10557</v>
      </c>
      <c r="N15236" s="27" t="s">
        <v>250</v>
      </c>
      <c r="P15236" s="27" t="s">
        <v>17235</v>
      </c>
      <c r="Q15236" s="26" t="str">
        <f>HYPERLINK("https://ictv.global/taxonomy/taxondetails?taxnode_id=202501960&amp;ictv_id=ICTV19790701","ICTV19790701")</f>
        <v>ICTV19790701</v>
      </c>
      <c r="R15236" t="s">
        <v>581</v>
      </c>
      <c r="S15236" t="s">
        <v>824</v>
      </c>
      <c r="T15236">
        <v>39</v>
      </c>
      <c r="U15236" s="26" t="str">
        <f t="shared" si="574"/>
        <v>2023.003S.Picornaviridae_158sprenamed.zip</v>
      </c>
    </row>
    <row r="15237" spans="1:21">
      <c r="A15237">
        <v>15236</v>
      </c>
      <c r="B15237" s="27" t="s">
        <v>1124</v>
      </c>
      <c r="D15237" s="27" t="s">
        <v>1859</v>
      </c>
      <c r="F15237" s="27" t="s">
        <v>1909</v>
      </c>
      <c r="H15237" s="27" t="s">
        <v>1912</v>
      </c>
      <c r="J15237" s="27" t="s">
        <v>260</v>
      </c>
      <c r="L15237" s="27" t="s">
        <v>276</v>
      </c>
      <c r="M15237" s="27" t="s">
        <v>10557</v>
      </c>
      <c r="N15237" s="27" t="s">
        <v>250</v>
      </c>
      <c r="P15237" s="27" t="s">
        <v>17236</v>
      </c>
      <c r="Q15237" s="26" t="str">
        <f>HYPERLINK("https://ictv.global/taxonomy/taxondetails?taxnode_id=202501959&amp;ictv_id=ICTV20094341","ICTV20094341")</f>
        <v>ICTV20094341</v>
      </c>
      <c r="R15237" t="s">
        <v>581</v>
      </c>
      <c r="S15237" t="s">
        <v>824</v>
      </c>
      <c r="T15237">
        <v>39</v>
      </c>
      <c r="U15237" s="26" t="str">
        <f t="shared" si="574"/>
        <v>2023.003S.Picornaviridae_158sprenamed.zip</v>
      </c>
    </row>
    <row r="15238" spans="1:21">
      <c r="A15238">
        <v>15237</v>
      </c>
      <c r="B15238" s="27" t="s">
        <v>1124</v>
      </c>
      <c r="D15238" s="27" t="s">
        <v>1859</v>
      </c>
      <c r="F15238" s="27" t="s">
        <v>1909</v>
      </c>
      <c r="H15238" s="27" t="s">
        <v>1912</v>
      </c>
      <c r="J15238" s="27" t="s">
        <v>260</v>
      </c>
      <c r="L15238" s="27" t="s">
        <v>276</v>
      </c>
      <c r="M15238" s="27" t="s">
        <v>10557</v>
      </c>
      <c r="N15238" s="27" t="s">
        <v>250</v>
      </c>
      <c r="P15238" s="27" t="s">
        <v>17237</v>
      </c>
      <c r="Q15238" s="26" t="str">
        <f>HYPERLINK("https://ictv.global/taxonomy/taxondetails?taxnode_id=202501961&amp;ictv_id=ICTV19991243","ICTV19991243")</f>
        <v>ICTV19991243</v>
      </c>
      <c r="R15238" t="s">
        <v>581</v>
      </c>
      <c r="S15238" t="s">
        <v>824</v>
      </c>
      <c r="T15238">
        <v>39</v>
      </c>
      <c r="U15238" s="26" t="str">
        <f t="shared" si="574"/>
        <v>2023.003S.Picornaviridae_158sprenamed.zip</v>
      </c>
    </row>
    <row r="15239" spans="1:21">
      <c r="A15239">
        <v>15238</v>
      </c>
      <c r="B15239" s="27" t="s">
        <v>1124</v>
      </c>
      <c r="D15239" s="27" t="s">
        <v>1859</v>
      </c>
      <c r="F15239" s="27" t="s">
        <v>1909</v>
      </c>
      <c r="H15239" s="27" t="s">
        <v>1912</v>
      </c>
      <c r="J15239" s="27" t="s">
        <v>260</v>
      </c>
      <c r="L15239" s="27" t="s">
        <v>276</v>
      </c>
      <c r="M15239" s="27" t="s">
        <v>10557</v>
      </c>
      <c r="N15239" s="27" t="s">
        <v>857</v>
      </c>
      <c r="P15239" s="27" t="s">
        <v>17238</v>
      </c>
      <c r="Q15239" s="26" t="str">
        <f>HYPERLINK("https://ictv.global/taxonomy/taxondetails?taxnode_id=202505591&amp;ictv_id=ICTV20175591","ICTV20175591")</f>
        <v>ICTV20175591</v>
      </c>
      <c r="R15239" t="s">
        <v>581</v>
      </c>
      <c r="S15239" t="s">
        <v>824</v>
      </c>
      <c r="T15239">
        <v>39</v>
      </c>
      <c r="U15239" s="26" t="str">
        <f t="shared" si="574"/>
        <v>2023.003S.Picornaviridae_158sprenamed.zip</v>
      </c>
    </row>
    <row r="15240" spans="1:21">
      <c r="A15240">
        <v>15239</v>
      </c>
      <c r="B15240" s="27" t="s">
        <v>1124</v>
      </c>
      <c r="D15240" s="27" t="s">
        <v>1859</v>
      </c>
      <c r="F15240" s="27" t="s">
        <v>1909</v>
      </c>
      <c r="H15240" s="27" t="s">
        <v>1912</v>
      </c>
      <c r="J15240" s="27" t="s">
        <v>260</v>
      </c>
      <c r="L15240" s="27" t="s">
        <v>276</v>
      </c>
      <c r="M15240" s="27" t="s">
        <v>10557</v>
      </c>
      <c r="N15240" s="27" t="s">
        <v>386</v>
      </c>
      <c r="P15240" s="27" t="s">
        <v>17239</v>
      </c>
      <c r="Q15240" s="26" t="str">
        <f>HYPERLINK("https://ictv.global/taxonomy/taxondetails?taxnode_id=202507106&amp;ictv_id=ICTV201907106","ICTV201907106")</f>
        <v>ICTV201907106</v>
      </c>
      <c r="R15240" t="s">
        <v>581</v>
      </c>
      <c r="S15240" t="s">
        <v>824</v>
      </c>
      <c r="T15240">
        <v>39</v>
      </c>
      <c r="U15240" s="26" t="str">
        <f t="shared" si="574"/>
        <v>2023.003S.Picornaviridae_158sprenamed.zip</v>
      </c>
    </row>
    <row r="15241" spans="1:21">
      <c r="A15241">
        <v>15240</v>
      </c>
      <c r="B15241" s="27" t="s">
        <v>1124</v>
      </c>
      <c r="D15241" s="27" t="s">
        <v>1859</v>
      </c>
      <c r="F15241" s="27" t="s">
        <v>1909</v>
      </c>
      <c r="H15241" s="27" t="s">
        <v>1912</v>
      </c>
      <c r="J15241" s="27" t="s">
        <v>260</v>
      </c>
      <c r="L15241" s="27" t="s">
        <v>276</v>
      </c>
      <c r="M15241" s="27" t="s">
        <v>10557</v>
      </c>
      <c r="N15241" s="27" t="s">
        <v>386</v>
      </c>
      <c r="P15241" s="27" t="s">
        <v>17240</v>
      </c>
      <c r="Q15241" s="26" t="str">
        <f>HYPERLINK("https://ictv.global/taxonomy/taxondetails?taxnode_id=202501973&amp;ictv_id=ICTV20140977","ICTV20140977")</f>
        <v>ICTV20140977</v>
      </c>
      <c r="R15241" t="s">
        <v>581</v>
      </c>
      <c r="S15241" t="s">
        <v>824</v>
      </c>
      <c r="T15241">
        <v>39</v>
      </c>
      <c r="U15241" s="26" t="str">
        <f t="shared" si="574"/>
        <v>2023.003S.Picornaviridae_158sprenamed.zip</v>
      </c>
    </row>
    <row r="15242" spans="1:21">
      <c r="A15242">
        <v>15241</v>
      </c>
      <c r="B15242" s="27" t="s">
        <v>1124</v>
      </c>
      <c r="D15242" s="27" t="s">
        <v>1859</v>
      </c>
      <c r="F15242" s="27" t="s">
        <v>1909</v>
      </c>
      <c r="H15242" s="27" t="s">
        <v>1912</v>
      </c>
      <c r="J15242" s="27" t="s">
        <v>260</v>
      </c>
      <c r="L15242" s="27" t="s">
        <v>276</v>
      </c>
      <c r="M15242" s="27" t="s">
        <v>10557</v>
      </c>
      <c r="N15242" s="27" t="s">
        <v>386</v>
      </c>
      <c r="P15242" s="27" t="s">
        <v>17241</v>
      </c>
      <c r="Q15242" s="26" t="str">
        <f>HYPERLINK("https://ictv.global/taxonomy/taxondetails?taxnode_id=202507105&amp;ictv_id=ICTV201907105","ICTV201907105")</f>
        <v>ICTV201907105</v>
      </c>
      <c r="R15242" t="s">
        <v>581</v>
      </c>
      <c r="S15242" t="s">
        <v>824</v>
      </c>
      <c r="T15242">
        <v>39</v>
      </c>
      <c r="U15242" s="26" t="str">
        <f t="shared" si="574"/>
        <v>2023.003S.Picornaviridae_158sprenamed.zip</v>
      </c>
    </row>
    <row r="15243" spans="1:21">
      <c r="A15243">
        <v>15242</v>
      </c>
      <c r="B15243" s="27" t="s">
        <v>1124</v>
      </c>
      <c r="D15243" s="27" t="s">
        <v>1859</v>
      </c>
      <c r="F15243" s="27" t="s">
        <v>1909</v>
      </c>
      <c r="H15243" s="27" t="s">
        <v>1912</v>
      </c>
      <c r="J15243" s="27" t="s">
        <v>260</v>
      </c>
      <c r="L15243" s="27" t="s">
        <v>276</v>
      </c>
      <c r="M15243" s="27" t="s">
        <v>10557</v>
      </c>
      <c r="N15243" s="27" t="s">
        <v>386</v>
      </c>
      <c r="P15243" s="27" t="s">
        <v>17242</v>
      </c>
      <c r="Q15243" s="26" t="str">
        <f>HYPERLINK("https://ictv.global/taxonomy/taxondetails?taxnode_id=202501971&amp;ictv_id=ICTV19951533","ICTV19951533")</f>
        <v>ICTV19951533</v>
      </c>
      <c r="R15243" t="s">
        <v>581</v>
      </c>
      <c r="S15243" t="s">
        <v>824</v>
      </c>
      <c r="T15243">
        <v>39</v>
      </c>
      <c r="U15243" s="26" t="str">
        <f t="shared" si="574"/>
        <v>2023.003S.Picornaviridae_158sprenamed.zip</v>
      </c>
    </row>
    <row r="15244" spans="1:21">
      <c r="A15244">
        <v>15243</v>
      </c>
      <c r="B15244" s="27" t="s">
        <v>1124</v>
      </c>
      <c r="D15244" s="27" t="s">
        <v>1859</v>
      </c>
      <c r="F15244" s="27" t="s">
        <v>1909</v>
      </c>
      <c r="H15244" s="27" t="s">
        <v>1912</v>
      </c>
      <c r="J15244" s="27" t="s">
        <v>260</v>
      </c>
      <c r="L15244" s="27" t="s">
        <v>276</v>
      </c>
      <c r="M15244" s="27" t="s">
        <v>10557</v>
      </c>
      <c r="N15244" s="27" t="s">
        <v>386</v>
      </c>
      <c r="P15244" s="27" t="s">
        <v>17243</v>
      </c>
      <c r="Q15244" s="26" t="str">
        <f>HYPERLINK("https://ictv.global/taxonomy/taxondetails?taxnode_id=202507104&amp;ictv_id=ICTV201907104","ICTV201907104")</f>
        <v>ICTV201907104</v>
      </c>
      <c r="R15244" t="s">
        <v>581</v>
      </c>
      <c r="S15244" t="s">
        <v>824</v>
      </c>
      <c r="T15244">
        <v>39</v>
      </c>
      <c r="U15244" s="26" t="str">
        <f t="shared" si="574"/>
        <v>2023.003S.Picornaviridae_158sprenamed.zip</v>
      </c>
    </row>
    <row r="15245" spans="1:21">
      <c r="A15245">
        <v>15244</v>
      </c>
      <c r="B15245" s="27" t="s">
        <v>1124</v>
      </c>
      <c r="D15245" s="27" t="s">
        <v>1859</v>
      </c>
      <c r="F15245" s="27" t="s">
        <v>1909</v>
      </c>
      <c r="H15245" s="27" t="s">
        <v>1912</v>
      </c>
      <c r="J15245" s="27" t="s">
        <v>260</v>
      </c>
      <c r="L15245" s="27" t="s">
        <v>276</v>
      </c>
      <c r="M15245" s="27" t="s">
        <v>10557</v>
      </c>
      <c r="N15245" s="27" t="s">
        <v>386</v>
      </c>
      <c r="P15245" s="27" t="s">
        <v>17244</v>
      </c>
      <c r="Q15245" s="26" t="str">
        <f>HYPERLINK("https://ictv.global/taxonomy/taxondetails?taxnode_id=202501972&amp;ictv_id=ICTV19991245","ICTV19991245")</f>
        <v>ICTV19991245</v>
      </c>
      <c r="R15245" t="s">
        <v>581</v>
      </c>
      <c r="S15245" t="s">
        <v>824</v>
      </c>
      <c r="T15245">
        <v>39</v>
      </c>
      <c r="U15245" s="26" t="str">
        <f t="shared" si="574"/>
        <v>2023.003S.Picornaviridae_158sprenamed.zip</v>
      </c>
    </row>
    <row r="15246" spans="1:21">
      <c r="A15246">
        <v>15245</v>
      </c>
      <c r="B15246" s="27" t="s">
        <v>1124</v>
      </c>
      <c r="D15246" s="27" t="s">
        <v>1859</v>
      </c>
      <c r="F15246" s="27" t="s">
        <v>1909</v>
      </c>
      <c r="H15246" s="27" t="s">
        <v>1912</v>
      </c>
      <c r="J15246" s="27" t="s">
        <v>260</v>
      </c>
      <c r="L15246" s="27" t="s">
        <v>276</v>
      </c>
      <c r="M15246" s="27" t="s">
        <v>10557</v>
      </c>
      <c r="N15246" s="27" t="s">
        <v>475</v>
      </c>
      <c r="P15246" s="27" t="s">
        <v>17245</v>
      </c>
      <c r="Q15246" s="26" t="str">
        <f>HYPERLINK("https://ictv.global/taxonomy/taxondetails?taxnode_id=202501975&amp;ictv_id=ICTV20125892","ICTV20125892")</f>
        <v>ICTV20125892</v>
      </c>
      <c r="R15246" t="s">
        <v>581</v>
      </c>
      <c r="S15246" t="s">
        <v>824</v>
      </c>
      <c r="T15246">
        <v>39</v>
      </c>
      <c r="U15246" s="26" t="str">
        <f t="shared" si="574"/>
        <v>2023.003S.Picornaviridae_158sprenamed.zip</v>
      </c>
    </row>
    <row r="15247" spans="1:21">
      <c r="A15247">
        <v>15246</v>
      </c>
      <c r="B15247" s="27" t="s">
        <v>1124</v>
      </c>
      <c r="D15247" s="27" t="s">
        <v>1859</v>
      </c>
      <c r="F15247" s="27" t="s">
        <v>1909</v>
      </c>
      <c r="H15247" s="27" t="s">
        <v>1912</v>
      </c>
      <c r="J15247" s="27" t="s">
        <v>260</v>
      </c>
      <c r="L15247" s="27" t="s">
        <v>276</v>
      </c>
      <c r="M15247" s="27" t="s">
        <v>10557</v>
      </c>
      <c r="N15247" s="27" t="s">
        <v>475</v>
      </c>
      <c r="P15247" s="27" t="s">
        <v>17246</v>
      </c>
      <c r="Q15247" s="26" t="str">
        <f>HYPERLINK("https://ictv.global/taxonomy/taxondetails?taxnode_id=202501976&amp;ictv_id=ICTV20165190","ICTV20165190")</f>
        <v>ICTV20165190</v>
      </c>
      <c r="R15247" t="s">
        <v>581</v>
      </c>
      <c r="S15247" t="s">
        <v>824</v>
      </c>
      <c r="T15247">
        <v>39</v>
      </c>
      <c r="U15247" s="26" t="str">
        <f t="shared" si="574"/>
        <v>2023.003S.Picornaviridae_158sprenamed.zip</v>
      </c>
    </row>
    <row r="15248" spans="1:21">
      <c r="A15248">
        <v>15247</v>
      </c>
      <c r="B15248" s="27" t="s">
        <v>1124</v>
      </c>
      <c r="D15248" s="27" t="s">
        <v>1859</v>
      </c>
      <c r="F15248" s="27" t="s">
        <v>1909</v>
      </c>
      <c r="H15248" s="27" t="s">
        <v>1912</v>
      </c>
      <c r="J15248" s="27" t="s">
        <v>260</v>
      </c>
      <c r="L15248" s="27" t="s">
        <v>276</v>
      </c>
      <c r="M15248" s="27" t="s">
        <v>10557</v>
      </c>
      <c r="N15248" s="27" t="s">
        <v>475</v>
      </c>
      <c r="P15248" s="27" t="s">
        <v>17247</v>
      </c>
      <c r="Q15248" s="26" t="str">
        <f>HYPERLINK("https://ictv.global/taxonomy/taxondetails?taxnode_id=202501977&amp;ictv_id=ICTV20165191","ICTV20165191")</f>
        <v>ICTV20165191</v>
      </c>
      <c r="R15248" t="s">
        <v>581</v>
      </c>
      <c r="S15248" t="s">
        <v>824</v>
      </c>
      <c r="T15248">
        <v>39</v>
      </c>
      <c r="U15248" s="26" t="str">
        <f t="shared" si="574"/>
        <v>2023.003S.Picornaviridae_158sprenamed.zip</v>
      </c>
    </row>
    <row r="15249" spans="1:21">
      <c r="A15249">
        <v>15248</v>
      </c>
      <c r="B15249" s="27" t="s">
        <v>1124</v>
      </c>
      <c r="D15249" s="27" t="s">
        <v>1859</v>
      </c>
      <c r="F15249" s="27" t="s">
        <v>1909</v>
      </c>
      <c r="H15249" s="27" t="s">
        <v>1912</v>
      </c>
      <c r="J15249" s="27" t="s">
        <v>260</v>
      </c>
      <c r="L15249" s="27" t="s">
        <v>276</v>
      </c>
      <c r="M15249" s="27" t="s">
        <v>10557</v>
      </c>
      <c r="N15249" s="27" t="s">
        <v>475</v>
      </c>
      <c r="P15249" s="27" t="s">
        <v>17248</v>
      </c>
      <c r="Q15249" s="26" t="str">
        <f>HYPERLINK("https://ictv.global/taxonomy/taxondetails?taxnode_id=202501978&amp;ictv_id=ICTV20165192","ICTV20165192")</f>
        <v>ICTV20165192</v>
      </c>
      <c r="R15249" t="s">
        <v>581</v>
      </c>
      <c r="S15249" t="s">
        <v>824</v>
      </c>
      <c r="T15249">
        <v>39</v>
      </c>
      <c r="U15249" s="26" t="str">
        <f t="shared" si="574"/>
        <v>2023.003S.Picornaviridae_158sprenamed.zip</v>
      </c>
    </row>
    <row r="15250" spans="1:21">
      <c r="A15250">
        <v>15249</v>
      </c>
      <c r="B15250" s="27" t="s">
        <v>1124</v>
      </c>
      <c r="D15250" s="27" t="s">
        <v>1859</v>
      </c>
      <c r="F15250" s="27" t="s">
        <v>1909</v>
      </c>
      <c r="H15250" s="27" t="s">
        <v>1912</v>
      </c>
      <c r="J15250" s="27" t="s">
        <v>260</v>
      </c>
      <c r="L15250" s="27" t="s">
        <v>276</v>
      </c>
      <c r="M15250" s="27" t="s">
        <v>10557</v>
      </c>
      <c r="N15250" s="27" t="s">
        <v>475</v>
      </c>
      <c r="P15250" s="27" t="s">
        <v>17249</v>
      </c>
      <c r="Q15250" s="26" t="str">
        <f>HYPERLINK("https://ictv.global/taxonomy/taxondetails?taxnode_id=202501979&amp;ictv_id=ICTV20165193","ICTV20165193")</f>
        <v>ICTV20165193</v>
      </c>
      <c r="R15250" t="s">
        <v>581</v>
      </c>
      <c r="S15250" t="s">
        <v>824</v>
      </c>
      <c r="T15250">
        <v>39</v>
      </c>
      <c r="U15250" s="26" t="str">
        <f t="shared" si="574"/>
        <v>2023.003S.Picornaviridae_158sprenamed.zip</v>
      </c>
    </row>
    <row r="15251" spans="1:21">
      <c r="A15251">
        <v>15250</v>
      </c>
      <c r="B15251" s="27" t="s">
        <v>1124</v>
      </c>
      <c r="D15251" s="27" t="s">
        <v>1859</v>
      </c>
      <c r="F15251" s="27" t="s">
        <v>1909</v>
      </c>
      <c r="H15251" s="27" t="s">
        <v>1912</v>
      </c>
      <c r="J15251" s="27" t="s">
        <v>260</v>
      </c>
      <c r="L15251" s="27" t="s">
        <v>276</v>
      </c>
      <c r="M15251" s="27" t="s">
        <v>10557</v>
      </c>
      <c r="N15251" s="27" t="s">
        <v>163</v>
      </c>
      <c r="P15251" s="27" t="s">
        <v>17250</v>
      </c>
      <c r="Q15251" s="26" t="str">
        <f>HYPERLINK("https://ictv.global/taxonomy/taxondetails?taxnode_id=202501997&amp;ictv_id=ICTV19790702","ICTV19790702")</f>
        <v>ICTV19790702</v>
      </c>
      <c r="R15251" t="s">
        <v>581</v>
      </c>
      <c r="S15251" t="s">
        <v>824</v>
      </c>
      <c r="T15251">
        <v>39</v>
      </c>
      <c r="U15251" s="26" t="str">
        <f t="shared" si="574"/>
        <v>2023.003S.Picornaviridae_158sprenamed.zip</v>
      </c>
    </row>
    <row r="15252" spans="1:21">
      <c r="A15252">
        <v>15251</v>
      </c>
      <c r="B15252" s="27" t="s">
        <v>1124</v>
      </c>
      <c r="D15252" s="27" t="s">
        <v>1859</v>
      </c>
      <c r="F15252" s="27" t="s">
        <v>1909</v>
      </c>
      <c r="H15252" s="27" t="s">
        <v>1912</v>
      </c>
      <c r="J15252" s="27" t="s">
        <v>260</v>
      </c>
      <c r="L15252" s="27" t="s">
        <v>276</v>
      </c>
      <c r="M15252" s="27" t="s">
        <v>10557</v>
      </c>
      <c r="N15252" s="27" t="s">
        <v>501</v>
      </c>
      <c r="P15252" s="27" t="s">
        <v>17251</v>
      </c>
      <c r="Q15252" s="26" t="str">
        <f>HYPERLINK("https://ictv.global/taxonomy/taxondetails?taxnode_id=202502013&amp;ictv_id=ICTV20130679","ICTV20130679")</f>
        <v>ICTV20130679</v>
      </c>
      <c r="R15252" t="s">
        <v>581</v>
      </c>
      <c r="S15252" t="s">
        <v>824</v>
      </c>
      <c r="T15252">
        <v>39</v>
      </c>
      <c r="U15252" s="26" t="str">
        <f t="shared" si="574"/>
        <v>2023.003S.Picornaviridae_158sprenamed.zip</v>
      </c>
    </row>
    <row r="15253" spans="1:21">
      <c r="A15253">
        <v>15252</v>
      </c>
      <c r="B15253" s="27" t="s">
        <v>1124</v>
      </c>
      <c r="D15253" s="27" t="s">
        <v>1859</v>
      </c>
      <c r="F15253" s="27" t="s">
        <v>1909</v>
      </c>
      <c r="H15253" s="27" t="s">
        <v>1912</v>
      </c>
      <c r="J15253" s="27" t="s">
        <v>260</v>
      </c>
      <c r="L15253" s="27" t="s">
        <v>276</v>
      </c>
      <c r="M15253" s="27" t="s">
        <v>10557</v>
      </c>
      <c r="N15253" s="27" t="s">
        <v>1167</v>
      </c>
      <c r="P15253" s="27" t="s">
        <v>17252</v>
      </c>
      <c r="Q15253" s="26" t="str">
        <f>HYPERLINK("https://ictv.global/taxonomy/taxondetails?taxnode_id=202506324&amp;ictv_id=ICTV201856324","ICTV201856324")</f>
        <v>ICTV201856324</v>
      </c>
      <c r="R15253" t="s">
        <v>581</v>
      </c>
      <c r="S15253" t="s">
        <v>824</v>
      </c>
      <c r="T15253">
        <v>39</v>
      </c>
      <c r="U15253" s="26" t="str">
        <f t="shared" si="574"/>
        <v>2023.003S.Picornaviridae_158sprenamed.zip</v>
      </c>
    </row>
    <row r="15254" spans="1:21">
      <c r="A15254">
        <v>15253</v>
      </c>
      <c r="B15254" s="27" t="s">
        <v>1124</v>
      </c>
      <c r="D15254" s="27" t="s">
        <v>1859</v>
      </c>
      <c r="F15254" s="27" t="s">
        <v>1909</v>
      </c>
      <c r="H15254" s="27" t="s">
        <v>1912</v>
      </c>
      <c r="J15254" s="27" t="s">
        <v>260</v>
      </c>
      <c r="L15254" s="27" t="s">
        <v>276</v>
      </c>
      <c r="M15254" s="27" t="s">
        <v>10557</v>
      </c>
      <c r="N15254" s="27" t="s">
        <v>1167</v>
      </c>
      <c r="P15254" s="27" t="s">
        <v>17253</v>
      </c>
      <c r="Q15254" s="26" t="str">
        <f>HYPERLINK("https://ictv.global/taxonomy/taxondetails?taxnode_id=202506325&amp;ictv_id=ICTV201856325","ICTV201856325")</f>
        <v>ICTV201856325</v>
      </c>
      <c r="R15254" t="s">
        <v>581</v>
      </c>
      <c r="S15254" t="s">
        <v>824</v>
      </c>
      <c r="T15254">
        <v>39</v>
      </c>
      <c r="U15254" s="26" t="str">
        <f t="shared" si="574"/>
        <v>2023.003S.Picornaviridae_158sprenamed.zip</v>
      </c>
    </row>
    <row r="15255" spans="1:21">
      <c r="A15255">
        <v>15254</v>
      </c>
      <c r="B15255" s="27" t="s">
        <v>1124</v>
      </c>
      <c r="D15255" s="27" t="s">
        <v>1859</v>
      </c>
      <c r="F15255" s="27" t="s">
        <v>1909</v>
      </c>
      <c r="H15255" s="27" t="s">
        <v>1912</v>
      </c>
      <c r="J15255" s="27" t="s">
        <v>260</v>
      </c>
      <c r="L15255" s="27" t="s">
        <v>276</v>
      </c>
      <c r="M15255" s="27" t="s">
        <v>10557</v>
      </c>
      <c r="N15255" s="27" t="s">
        <v>3600</v>
      </c>
      <c r="P15255" s="27" t="s">
        <v>17254</v>
      </c>
      <c r="Q15255" s="26" t="str">
        <f>HYPERLINK("https://ictv.global/taxonomy/taxondetails?taxnode_id=202509140&amp;ictv_id=ICTV202009140","ICTV202009140")</f>
        <v>ICTV202009140</v>
      </c>
      <c r="R15255" t="s">
        <v>581</v>
      </c>
      <c r="S15255" t="s">
        <v>824</v>
      </c>
      <c r="T15255">
        <v>39</v>
      </c>
      <c r="U15255" s="26" t="str">
        <f t="shared" si="574"/>
        <v>2023.003S.Picornaviridae_158sprenamed.zip</v>
      </c>
    </row>
    <row r="15256" spans="1:21">
      <c r="A15256">
        <v>15255</v>
      </c>
      <c r="B15256" s="27" t="s">
        <v>1124</v>
      </c>
      <c r="D15256" s="27" t="s">
        <v>1859</v>
      </c>
      <c r="F15256" s="27" t="s">
        <v>1909</v>
      </c>
      <c r="H15256" s="27" t="s">
        <v>1912</v>
      </c>
      <c r="J15256" s="27" t="s">
        <v>260</v>
      </c>
      <c r="L15256" s="27" t="s">
        <v>276</v>
      </c>
      <c r="M15256" s="27" t="s">
        <v>10557</v>
      </c>
      <c r="N15256" s="27" t="s">
        <v>502</v>
      </c>
      <c r="P15256" s="27" t="s">
        <v>17255</v>
      </c>
      <c r="Q15256" s="26" t="str">
        <f>HYPERLINK("https://ictv.global/taxonomy/taxondetails?taxnode_id=202502030&amp;ictv_id=ICTV20130683","ICTV20130683")</f>
        <v>ICTV20130683</v>
      </c>
      <c r="R15256" t="s">
        <v>581</v>
      </c>
      <c r="S15256" t="s">
        <v>824</v>
      </c>
      <c r="T15256">
        <v>39</v>
      </c>
      <c r="U15256" s="26" t="str">
        <f t="shared" si="574"/>
        <v>2023.003S.Picornaviridae_158sprenamed.zip</v>
      </c>
    </row>
    <row r="15257" spans="1:21">
      <c r="A15257">
        <v>15256</v>
      </c>
      <c r="B15257" s="27" t="s">
        <v>1124</v>
      </c>
      <c r="D15257" s="27" t="s">
        <v>1859</v>
      </c>
      <c r="F15257" s="27" t="s">
        <v>1909</v>
      </c>
      <c r="H15257" s="27" t="s">
        <v>1912</v>
      </c>
      <c r="J15257" s="27" t="s">
        <v>260</v>
      </c>
      <c r="L15257" s="27" t="s">
        <v>276</v>
      </c>
      <c r="M15257" s="27" t="s">
        <v>10557</v>
      </c>
      <c r="N15257" s="27" t="s">
        <v>502</v>
      </c>
      <c r="P15257" s="27" t="s">
        <v>17256</v>
      </c>
      <c r="Q15257" s="26" t="str">
        <f>HYPERLINK("https://ictv.global/taxonomy/taxondetails?taxnode_id=202502031&amp;ictv_id=ICTV20165207","ICTV20165207")</f>
        <v>ICTV20165207</v>
      </c>
      <c r="R15257" t="s">
        <v>581</v>
      </c>
      <c r="S15257" t="s">
        <v>824</v>
      </c>
      <c r="T15257">
        <v>39</v>
      </c>
      <c r="U15257" s="26" t="str">
        <f t="shared" si="574"/>
        <v>2023.003S.Picornaviridae_158sprenamed.zip</v>
      </c>
    </row>
    <row r="15258" spans="1:21">
      <c r="A15258">
        <v>15257</v>
      </c>
      <c r="B15258" s="27" t="s">
        <v>1124</v>
      </c>
      <c r="D15258" s="27" t="s">
        <v>1859</v>
      </c>
      <c r="F15258" s="27" t="s">
        <v>1909</v>
      </c>
      <c r="H15258" s="27" t="s">
        <v>1912</v>
      </c>
      <c r="J15258" s="27" t="s">
        <v>260</v>
      </c>
      <c r="L15258" s="27" t="s">
        <v>276</v>
      </c>
      <c r="M15258" s="27" t="s">
        <v>10557</v>
      </c>
      <c r="N15258" s="27" t="s">
        <v>502</v>
      </c>
      <c r="P15258" s="27" t="s">
        <v>17257</v>
      </c>
      <c r="Q15258" s="26" t="str">
        <f>HYPERLINK("https://ictv.global/taxonomy/taxondetails?taxnode_id=202502032&amp;ictv_id=ICTV20165208","ICTV20165208")</f>
        <v>ICTV20165208</v>
      </c>
      <c r="R15258" t="s">
        <v>581</v>
      </c>
      <c r="S15258" t="s">
        <v>824</v>
      </c>
      <c r="T15258">
        <v>39</v>
      </c>
      <c r="U15258" s="26" t="str">
        <f t="shared" si="574"/>
        <v>2023.003S.Picornaviridae_158sprenamed.zip</v>
      </c>
    </row>
    <row r="15259" spans="1:21">
      <c r="A15259">
        <v>15258</v>
      </c>
      <c r="B15259" s="27" t="s">
        <v>1124</v>
      </c>
      <c r="D15259" s="27" t="s">
        <v>1859</v>
      </c>
      <c r="F15259" s="27" t="s">
        <v>1909</v>
      </c>
      <c r="H15259" s="27" t="s">
        <v>1912</v>
      </c>
      <c r="J15259" s="27" t="s">
        <v>260</v>
      </c>
      <c r="L15259" s="27" t="s">
        <v>276</v>
      </c>
      <c r="M15259" s="27" t="s">
        <v>10557</v>
      </c>
      <c r="N15259" s="27" t="s">
        <v>502</v>
      </c>
      <c r="P15259" s="27" t="s">
        <v>17258</v>
      </c>
      <c r="Q15259" s="26" t="str">
        <f>HYPERLINK("https://ictv.global/taxonomy/taxondetails?taxnode_id=202506330&amp;ictv_id=ICTV201856330","ICTV201856330")</f>
        <v>ICTV201856330</v>
      </c>
      <c r="R15259" t="s">
        <v>581</v>
      </c>
      <c r="S15259" t="s">
        <v>824</v>
      </c>
      <c r="T15259">
        <v>39</v>
      </c>
      <c r="U15259" s="26" t="str">
        <f t="shared" si="574"/>
        <v>2023.003S.Picornaviridae_158sprenamed.zip</v>
      </c>
    </row>
    <row r="15260" spans="1:21">
      <c r="A15260">
        <v>15259</v>
      </c>
      <c r="B15260" s="27" t="s">
        <v>1124</v>
      </c>
      <c r="D15260" s="27" t="s">
        <v>1859</v>
      </c>
      <c r="F15260" s="27" t="s">
        <v>1909</v>
      </c>
      <c r="H15260" s="27" t="s">
        <v>1912</v>
      </c>
      <c r="J15260" s="27" t="s">
        <v>260</v>
      </c>
      <c r="L15260" s="27" t="s">
        <v>276</v>
      </c>
      <c r="M15260" s="27" t="s">
        <v>10557</v>
      </c>
      <c r="N15260" s="27" t="s">
        <v>502</v>
      </c>
      <c r="P15260" s="27" t="s">
        <v>17259</v>
      </c>
      <c r="Q15260" s="26" t="str">
        <f>HYPERLINK("https://ictv.global/taxonomy/taxondetails?taxnode_id=202509157&amp;ictv_id=ICTV202009157","ICTV202009157")</f>
        <v>ICTV202009157</v>
      </c>
      <c r="R15260" t="s">
        <v>581</v>
      </c>
      <c r="S15260" t="s">
        <v>824</v>
      </c>
      <c r="T15260">
        <v>39</v>
      </c>
      <c r="U15260" s="26" t="str">
        <f t="shared" si="574"/>
        <v>2023.003S.Picornaviridae_158sprenamed.zip</v>
      </c>
    </row>
    <row r="15261" spans="1:21">
      <c r="A15261">
        <v>15260</v>
      </c>
      <c r="B15261" s="27" t="s">
        <v>1124</v>
      </c>
      <c r="D15261" s="27" t="s">
        <v>1859</v>
      </c>
      <c r="F15261" s="27" t="s">
        <v>1909</v>
      </c>
      <c r="H15261" s="27" t="s">
        <v>1912</v>
      </c>
      <c r="J15261" s="27" t="s">
        <v>260</v>
      </c>
      <c r="L15261" s="27" t="s">
        <v>276</v>
      </c>
      <c r="M15261" s="27" t="s">
        <v>10557</v>
      </c>
      <c r="N15261" s="27" t="s">
        <v>503</v>
      </c>
      <c r="P15261" s="27" t="s">
        <v>17260</v>
      </c>
      <c r="Q15261" s="26" t="str">
        <f>HYPERLINK("https://ictv.global/taxonomy/taxondetails?taxnode_id=202502034&amp;ictv_id=ICTV20130685","ICTV20130685")</f>
        <v>ICTV20130685</v>
      </c>
      <c r="R15261" t="s">
        <v>581</v>
      </c>
      <c r="S15261" t="s">
        <v>824</v>
      </c>
      <c r="T15261">
        <v>39</v>
      </c>
      <c r="U15261" s="26" t="str">
        <f t="shared" si="574"/>
        <v>2023.003S.Picornaviridae_158sprenamed.zip</v>
      </c>
    </row>
    <row r="15262" spans="1:21">
      <c r="A15262">
        <v>15261</v>
      </c>
      <c r="B15262" s="27" t="s">
        <v>1124</v>
      </c>
      <c r="D15262" s="27" t="s">
        <v>1859</v>
      </c>
      <c r="F15262" s="27" t="s">
        <v>1909</v>
      </c>
      <c r="H15262" s="27" t="s">
        <v>1912</v>
      </c>
      <c r="J15262" s="27" t="s">
        <v>260</v>
      </c>
      <c r="L15262" s="27" t="s">
        <v>276</v>
      </c>
      <c r="M15262" s="27" t="s">
        <v>10557</v>
      </c>
      <c r="N15262" s="27" t="s">
        <v>503</v>
      </c>
      <c r="P15262" s="27" t="s">
        <v>17261</v>
      </c>
      <c r="Q15262" s="26" t="str">
        <f>HYPERLINK("https://ictv.global/taxonomy/taxondetails?taxnode_id=202507369&amp;ictv_id=ICTV201907369","ICTV201907369")</f>
        <v>ICTV201907369</v>
      </c>
      <c r="R15262" t="s">
        <v>581</v>
      </c>
      <c r="S15262" t="s">
        <v>824</v>
      </c>
      <c r="T15262">
        <v>39</v>
      </c>
      <c r="U15262" s="26" t="str">
        <f t="shared" si="574"/>
        <v>2023.003S.Picornaviridae_158sprenamed.zip</v>
      </c>
    </row>
    <row r="15263" spans="1:21">
      <c r="A15263">
        <v>15262</v>
      </c>
      <c r="B15263" s="27" t="s">
        <v>1124</v>
      </c>
      <c r="D15263" s="27" t="s">
        <v>1859</v>
      </c>
      <c r="F15263" s="27" t="s">
        <v>1909</v>
      </c>
      <c r="H15263" s="27" t="s">
        <v>1912</v>
      </c>
      <c r="J15263" s="27" t="s">
        <v>260</v>
      </c>
      <c r="L15263" s="27" t="s">
        <v>276</v>
      </c>
      <c r="M15263" s="27" t="s">
        <v>10557</v>
      </c>
      <c r="N15263" s="27" t="s">
        <v>1950</v>
      </c>
      <c r="P15263" s="27" t="s">
        <v>17262</v>
      </c>
      <c r="Q15263" s="26" t="str">
        <f>HYPERLINK("https://ictv.global/taxonomy/taxondetails?taxnode_id=202507398&amp;ictv_id=ICTV201907398","ICTV201907398")</f>
        <v>ICTV201907398</v>
      </c>
      <c r="R15263" t="s">
        <v>581</v>
      </c>
      <c r="S15263" t="s">
        <v>824</v>
      </c>
      <c r="T15263">
        <v>39</v>
      </c>
      <c r="U15263" s="26" t="str">
        <f t="shared" si="574"/>
        <v>2023.003S.Picornaviridae_158sprenamed.zip</v>
      </c>
    </row>
    <row r="15264" spans="1:21">
      <c r="A15264">
        <v>15263</v>
      </c>
      <c r="B15264" s="27" t="s">
        <v>1124</v>
      </c>
      <c r="D15264" s="27" t="s">
        <v>1859</v>
      </c>
      <c r="F15264" s="27" t="s">
        <v>1909</v>
      </c>
      <c r="H15264" s="27" t="s">
        <v>1912</v>
      </c>
      <c r="J15264" s="27" t="s">
        <v>260</v>
      </c>
      <c r="L15264" s="27" t="s">
        <v>276</v>
      </c>
      <c r="M15264" s="27" t="s">
        <v>10557</v>
      </c>
      <c r="N15264" s="27" t="s">
        <v>235</v>
      </c>
      <c r="P15264" s="27" t="s">
        <v>17263</v>
      </c>
      <c r="Q15264" s="26" t="str">
        <f>HYPERLINK("https://ictv.global/taxonomy/taxondetails?taxnode_id=202518097&amp;ictv_id=ICTV202318097","ICTV202318097")</f>
        <v>ICTV202318097</v>
      </c>
      <c r="R15264" t="s">
        <v>581</v>
      </c>
      <c r="S15264" t="s">
        <v>823</v>
      </c>
      <c r="T15264">
        <v>39</v>
      </c>
      <c r="U15264" s="26" t="str">
        <f>HYPERLINK("https://ictv.global/ictv/proposals/2023.014S.Senecavirus_nsp.zip","2023.014S.Senecavirus_nsp.zip")</f>
        <v>2023.014S.Senecavirus_nsp.zip</v>
      </c>
    </row>
    <row r="15265" spans="1:21">
      <c r="A15265">
        <v>15264</v>
      </c>
      <c r="B15265" s="27" t="s">
        <v>1124</v>
      </c>
      <c r="D15265" s="27" t="s">
        <v>1859</v>
      </c>
      <c r="F15265" s="27" t="s">
        <v>1909</v>
      </c>
      <c r="H15265" s="27" t="s">
        <v>1912</v>
      </c>
      <c r="J15265" s="27" t="s">
        <v>260</v>
      </c>
      <c r="L15265" s="27" t="s">
        <v>276</v>
      </c>
      <c r="M15265" s="27" t="s">
        <v>10557</v>
      </c>
      <c r="N15265" s="27" t="s">
        <v>235</v>
      </c>
      <c r="P15265" s="27" t="s">
        <v>17264</v>
      </c>
      <c r="Q15265" s="26" t="str">
        <f>HYPERLINK("https://ictv.global/taxonomy/taxondetails?taxnode_id=202502061&amp;ictv_id=ICTV20094366","ICTV20094366")</f>
        <v>ICTV20094366</v>
      </c>
      <c r="R15265" t="s">
        <v>581</v>
      </c>
      <c r="S15265" t="s">
        <v>824</v>
      </c>
      <c r="T15265">
        <v>39</v>
      </c>
      <c r="U15265" s="26" t="str">
        <f t="shared" ref="U15265:U15296" si="575">HYPERLINK("https://ictv.global/ictv/proposals/2023.003S.Picornaviridae_158sprenamed.zip","2023.003S.Picornaviridae_158sprenamed.zip")</f>
        <v>2023.003S.Picornaviridae_158sprenamed.zip</v>
      </c>
    </row>
    <row r="15266" spans="1:21">
      <c r="A15266">
        <v>15265</v>
      </c>
      <c r="B15266" s="27" t="s">
        <v>1124</v>
      </c>
      <c r="D15266" s="27" t="s">
        <v>1859</v>
      </c>
      <c r="F15266" s="27" t="s">
        <v>1909</v>
      </c>
      <c r="H15266" s="27" t="s">
        <v>1912</v>
      </c>
      <c r="J15266" s="27" t="s">
        <v>260</v>
      </c>
      <c r="L15266" s="27" t="s">
        <v>276</v>
      </c>
      <c r="M15266" s="27" t="s">
        <v>10557</v>
      </c>
      <c r="N15266" s="27" t="s">
        <v>233</v>
      </c>
      <c r="P15266" s="27" t="s">
        <v>17265</v>
      </c>
      <c r="Q15266" s="26" t="str">
        <f>HYPERLINK("https://ictv.global/taxonomy/taxondetails?taxnode_id=202502065&amp;ictv_id=ICTV19991260","ICTV19991260")</f>
        <v>ICTV19991260</v>
      </c>
      <c r="R15266" t="s">
        <v>581</v>
      </c>
      <c r="S15266" t="s">
        <v>824</v>
      </c>
      <c r="T15266">
        <v>39</v>
      </c>
      <c r="U15266" s="26" t="str">
        <f t="shared" si="575"/>
        <v>2023.003S.Picornaviridae_158sprenamed.zip</v>
      </c>
    </row>
    <row r="15267" spans="1:21">
      <c r="A15267">
        <v>15266</v>
      </c>
      <c r="B15267" s="27" t="s">
        <v>1124</v>
      </c>
      <c r="D15267" s="27" t="s">
        <v>1859</v>
      </c>
      <c r="F15267" s="27" t="s">
        <v>1909</v>
      </c>
      <c r="H15267" s="27" t="s">
        <v>1912</v>
      </c>
      <c r="J15267" s="27" t="s">
        <v>260</v>
      </c>
      <c r="L15267" s="27" t="s">
        <v>276</v>
      </c>
      <c r="M15267" s="27" t="s">
        <v>10557</v>
      </c>
      <c r="N15267" s="27" t="s">
        <v>233</v>
      </c>
      <c r="P15267" s="27" t="s">
        <v>17266</v>
      </c>
      <c r="Q15267" s="26" t="str">
        <f>HYPERLINK("https://ictv.global/taxonomy/taxondetails?taxnode_id=202507451&amp;ictv_id=ICTV201907451","ICTV201907451")</f>
        <v>ICTV201907451</v>
      </c>
      <c r="R15267" t="s">
        <v>581</v>
      </c>
      <c r="S15267" t="s">
        <v>824</v>
      </c>
      <c r="T15267">
        <v>39</v>
      </c>
      <c r="U15267" s="26" t="str">
        <f t="shared" si="575"/>
        <v>2023.003S.Picornaviridae_158sprenamed.zip</v>
      </c>
    </row>
    <row r="15268" spans="1:21">
      <c r="A15268">
        <v>15267</v>
      </c>
      <c r="B15268" s="27" t="s">
        <v>1124</v>
      </c>
      <c r="D15268" s="27" t="s">
        <v>1859</v>
      </c>
      <c r="F15268" s="27" t="s">
        <v>1909</v>
      </c>
      <c r="H15268" s="27" t="s">
        <v>1912</v>
      </c>
      <c r="J15268" s="27" t="s">
        <v>260</v>
      </c>
      <c r="L15268" s="27" t="s">
        <v>276</v>
      </c>
      <c r="M15268" s="27" t="s">
        <v>10557</v>
      </c>
      <c r="N15268" s="27" t="s">
        <v>802</v>
      </c>
      <c r="P15268" s="27" t="s">
        <v>17267</v>
      </c>
      <c r="Q15268" s="26" t="str">
        <f>HYPERLINK("https://ictv.global/taxonomy/taxondetails?taxnode_id=202502067&amp;ictv_id=ICTV20165212","ICTV20165212")</f>
        <v>ICTV20165212</v>
      </c>
      <c r="R15268" t="s">
        <v>581</v>
      </c>
      <c r="S15268" t="s">
        <v>824</v>
      </c>
      <c r="T15268">
        <v>39</v>
      </c>
      <c r="U15268" s="26" t="str">
        <f t="shared" si="575"/>
        <v>2023.003S.Picornaviridae_158sprenamed.zip</v>
      </c>
    </row>
    <row r="15269" spans="1:21">
      <c r="A15269">
        <v>15268</v>
      </c>
      <c r="B15269" s="27" t="s">
        <v>1124</v>
      </c>
      <c r="D15269" s="27" t="s">
        <v>1859</v>
      </c>
      <c r="F15269" s="27" t="s">
        <v>1909</v>
      </c>
      <c r="H15269" s="27" t="s">
        <v>1912</v>
      </c>
      <c r="J15269" s="27" t="s">
        <v>260</v>
      </c>
      <c r="L15269" s="27" t="s">
        <v>276</v>
      </c>
      <c r="M15269" s="27" t="s">
        <v>10557</v>
      </c>
      <c r="N15269" s="27" t="s">
        <v>1170</v>
      </c>
      <c r="P15269" s="27" t="s">
        <v>17268</v>
      </c>
      <c r="Q15269" s="26" t="str">
        <f>HYPERLINK("https://ictv.global/taxonomy/taxondetails?taxnode_id=202506483&amp;ictv_id=ICTV201856483","ICTV201856483")</f>
        <v>ICTV201856483</v>
      </c>
      <c r="R15269" t="s">
        <v>581</v>
      </c>
      <c r="S15269" t="s">
        <v>824</v>
      </c>
      <c r="T15269">
        <v>39</v>
      </c>
      <c r="U15269" s="26" t="str">
        <f t="shared" si="575"/>
        <v>2023.003S.Picornaviridae_158sprenamed.zip</v>
      </c>
    </row>
    <row r="15270" spans="1:21">
      <c r="A15270">
        <v>15269</v>
      </c>
      <c r="B15270" s="27" t="s">
        <v>1124</v>
      </c>
      <c r="D15270" s="27" t="s">
        <v>1859</v>
      </c>
      <c r="F15270" s="27" t="s">
        <v>1909</v>
      </c>
      <c r="H15270" s="27" t="s">
        <v>1912</v>
      </c>
      <c r="J15270" s="27" t="s">
        <v>260</v>
      </c>
      <c r="L15270" s="27" t="s">
        <v>276</v>
      </c>
      <c r="M15270" s="27" t="s">
        <v>10558</v>
      </c>
      <c r="N15270" s="27" t="s">
        <v>1165</v>
      </c>
      <c r="P15270" s="27" t="s">
        <v>17269</v>
      </c>
      <c r="Q15270" s="26" t="str">
        <f>HYPERLINK("https://ictv.global/taxonomy/taxondetails?taxnode_id=202502057&amp;ictv_id=ICTV20094363","ICTV20094363")</f>
        <v>ICTV20094363</v>
      </c>
      <c r="R15270" t="s">
        <v>581</v>
      </c>
      <c r="S15270" t="s">
        <v>824</v>
      </c>
      <c r="T15270">
        <v>39</v>
      </c>
      <c r="U15270" s="26" t="str">
        <f t="shared" si="575"/>
        <v>2023.003S.Picornaviridae_158sprenamed.zip</v>
      </c>
    </row>
    <row r="15271" spans="1:21">
      <c r="A15271">
        <v>15270</v>
      </c>
      <c r="B15271" s="27" t="s">
        <v>1124</v>
      </c>
      <c r="D15271" s="27" t="s">
        <v>1859</v>
      </c>
      <c r="F15271" s="27" t="s">
        <v>1909</v>
      </c>
      <c r="H15271" s="27" t="s">
        <v>1912</v>
      </c>
      <c r="J15271" s="27" t="s">
        <v>260</v>
      </c>
      <c r="L15271" s="27" t="s">
        <v>276</v>
      </c>
      <c r="M15271" s="27" t="s">
        <v>10558</v>
      </c>
      <c r="N15271" s="27" t="s">
        <v>1165</v>
      </c>
      <c r="P15271" s="27" t="s">
        <v>17270</v>
      </c>
      <c r="Q15271" s="26" t="str">
        <f>HYPERLINK("https://ictv.global/taxonomy/taxondetails?taxnode_id=202508674&amp;ictv_id=ICTV201908674","ICTV201908674")</f>
        <v>ICTV201908674</v>
      </c>
      <c r="R15271" t="s">
        <v>581</v>
      </c>
      <c r="S15271" t="s">
        <v>824</v>
      </c>
      <c r="T15271">
        <v>39</v>
      </c>
      <c r="U15271" s="26" t="str">
        <f t="shared" si="575"/>
        <v>2023.003S.Picornaviridae_158sprenamed.zip</v>
      </c>
    </row>
    <row r="15272" spans="1:21">
      <c r="A15272">
        <v>15271</v>
      </c>
      <c r="B15272" s="27" t="s">
        <v>1124</v>
      </c>
      <c r="D15272" s="27" t="s">
        <v>1859</v>
      </c>
      <c r="F15272" s="27" t="s">
        <v>1909</v>
      </c>
      <c r="H15272" s="27" t="s">
        <v>1912</v>
      </c>
      <c r="J15272" s="27" t="s">
        <v>260</v>
      </c>
      <c r="L15272" s="27" t="s">
        <v>276</v>
      </c>
      <c r="M15272" s="27" t="s">
        <v>10558</v>
      </c>
      <c r="N15272" s="27" t="s">
        <v>1941</v>
      </c>
      <c r="P15272" s="27" t="s">
        <v>17271</v>
      </c>
      <c r="Q15272" s="26" t="str">
        <f>HYPERLINK("https://ictv.global/taxonomy/taxondetails?taxnode_id=202508697&amp;ictv_id=ICTV201908697","ICTV201908697")</f>
        <v>ICTV201908697</v>
      </c>
      <c r="R15272" t="s">
        <v>581</v>
      </c>
      <c r="S15272" t="s">
        <v>824</v>
      </c>
      <c r="T15272">
        <v>39</v>
      </c>
      <c r="U15272" s="26" t="str">
        <f t="shared" si="575"/>
        <v>2023.003S.Picornaviridae_158sprenamed.zip</v>
      </c>
    </row>
    <row r="15273" spans="1:21">
      <c r="A15273">
        <v>15272</v>
      </c>
      <c r="B15273" s="27" t="s">
        <v>1124</v>
      </c>
      <c r="D15273" s="27" t="s">
        <v>1859</v>
      </c>
      <c r="F15273" s="27" t="s">
        <v>1909</v>
      </c>
      <c r="H15273" s="27" t="s">
        <v>1912</v>
      </c>
      <c r="J15273" s="27" t="s">
        <v>260</v>
      </c>
      <c r="L15273" s="27" t="s">
        <v>276</v>
      </c>
      <c r="M15273" s="27" t="s">
        <v>10558</v>
      </c>
      <c r="N15273" s="27" t="s">
        <v>1941</v>
      </c>
      <c r="P15273" s="27" t="s">
        <v>17272</v>
      </c>
      <c r="Q15273" s="26" t="str">
        <f>HYPERLINK("https://ictv.global/taxonomy/taxondetails?taxnode_id=202508698&amp;ictv_id=ICTV201908698","ICTV201908698")</f>
        <v>ICTV201908698</v>
      </c>
      <c r="R15273" t="s">
        <v>581</v>
      </c>
      <c r="S15273" t="s">
        <v>824</v>
      </c>
      <c r="T15273">
        <v>39</v>
      </c>
      <c r="U15273" s="26" t="str">
        <f t="shared" si="575"/>
        <v>2023.003S.Picornaviridae_158sprenamed.zip</v>
      </c>
    </row>
    <row r="15274" spans="1:21">
      <c r="A15274">
        <v>15273</v>
      </c>
      <c r="B15274" s="27" t="s">
        <v>1124</v>
      </c>
      <c r="D15274" s="27" t="s">
        <v>1859</v>
      </c>
      <c r="F15274" s="27" t="s">
        <v>1909</v>
      </c>
      <c r="H15274" s="27" t="s">
        <v>1912</v>
      </c>
      <c r="J15274" s="27" t="s">
        <v>260</v>
      </c>
      <c r="L15274" s="27" t="s">
        <v>276</v>
      </c>
      <c r="M15274" s="27" t="s">
        <v>10558</v>
      </c>
      <c r="N15274" s="27" t="s">
        <v>1941</v>
      </c>
      <c r="P15274" s="27" t="s">
        <v>17273</v>
      </c>
      <c r="Q15274" s="26" t="str">
        <f>HYPERLINK("https://ictv.global/taxonomy/taxondetails?taxnode_id=202508699&amp;ictv_id=ICTV201908699","ICTV201908699")</f>
        <v>ICTV201908699</v>
      </c>
      <c r="R15274" t="s">
        <v>581</v>
      </c>
      <c r="S15274" t="s">
        <v>824</v>
      </c>
      <c r="T15274">
        <v>39</v>
      </c>
      <c r="U15274" s="26" t="str">
        <f t="shared" si="575"/>
        <v>2023.003S.Picornaviridae_158sprenamed.zip</v>
      </c>
    </row>
    <row r="15275" spans="1:21">
      <c r="A15275">
        <v>15274</v>
      </c>
      <c r="B15275" s="27" t="s">
        <v>1124</v>
      </c>
      <c r="D15275" s="27" t="s">
        <v>1859</v>
      </c>
      <c r="F15275" s="27" t="s">
        <v>1909</v>
      </c>
      <c r="H15275" s="27" t="s">
        <v>1912</v>
      </c>
      <c r="J15275" s="27" t="s">
        <v>260</v>
      </c>
      <c r="L15275" s="27" t="s">
        <v>276</v>
      </c>
      <c r="M15275" s="27" t="s">
        <v>10558</v>
      </c>
      <c r="N15275" s="27" t="s">
        <v>1943</v>
      </c>
      <c r="P15275" s="27" t="s">
        <v>17274</v>
      </c>
      <c r="Q15275" s="26" t="str">
        <f>HYPERLINK("https://ictv.global/taxonomy/taxondetails?taxnode_id=202507188&amp;ictv_id=ICTV201907188","ICTV201907188")</f>
        <v>ICTV201907188</v>
      </c>
      <c r="R15275" t="s">
        <v>581</v>
      </c>
      <c r="S15275" t="s">
        <v>824</v>
      </c>
      <c r="T15275">
        <v>39</v>
      </c>
      <c r="U15275" s="26" t="str">
        <f t="shared" si="575"/>
        <v>2023.003S.Picornaviridae_158sprenamed.zip</v>
      </c>
    </row>
    <row r="15276" spans="1:21">
      <c r="A15276">
        <v>15275</v>
      </c>
      <c r="B15276" s="27" t="s">
        <v>1124</v>
      </c>
      <c r="D15276" s="27" t="s">
        <v>1859</v>
      </c>
      <c r="F15276" s="27" t="s">
        <v>1909</v>
      </c>
      <c r="H15276" s="27" t="s">
        <v>1912</v>
      </c>
      <c r="J15276" s="27" t="s">
        <v>260</v>
      </c>
      <c r="L15276" s="27" t="s">
        <v>276</v>
      </c>
      <c r="M15276" s="27" t="s">
        <v>10558</v>
      </c>
      <c r="N15276" s="27" t="s">
        <v>1943</v>
      </c>
      <c r="P15276" s="27" t="s">
        <v>17275</v>
      </c>
      <c r="Q15276" s="26" t="str">
        <f>HYPERLINK("https://ictv.global/taxonomy/taxondetails?taxnode_id=202507189&amp;ictv_id=ICTV201907189","ICTV201907189")</f>
        <v>ICTV201907189</v>
      </c>
      <c r="R15276" t="s">
        <v>581</v>
      </c>
      <c r="S15276" t="s">
        <v>824</v>
      </c>
      <c r="T15276">
        <v>39</v>
      </c>
      <c r="U15276" s="26" t="str">
        <f t="shared" si="575"/>
        <v>2023.003S.Picornaviridae_158sprenamed.zip</v>
      </c>
    </row>
    <row r="15277" spans="1:21">
      <c r="A15277">
        <v>15276</v>
      </c>
      <c r="B15277" s="27" t="s">
        <v>1124</v>
      </c>
      <c r="D15277" s="27" t="s">
        <v>1859</v>
      </c>
      <c r="F15277" s="27" t="s">
        <v>1909</v>
      </c>
      <c r="H15277" s="27" t="s">
        <v>1912</v>
      </c>
      <c r="J15277" s="27" t="s">
        <v>260</v>
      </c>
      <c r="L15277" s="27" t="s">
        <v>276</v>
      </c>
      <c r="M15277" s="27" t="s">
        <v>10558</v>
      </c>
      <c r="N15277" s="27" t="s">
        <v>162</v>
      </c>
      <c r="P15277" s="27" t="s">
        <v>17276</v>
      </c>
      <c r="Q15277" s="26" t="str">
        <f>HYPERLINK("https://ictv.global/taxonomy/taxondetails?taxnode_id=202501983&amp;ictv_id=ICTV19991247","ICTV19991247")</f>
        <v>ICTV19991247</v>
      </c>
      <c r="R15277" t="s">
        <v>581</v>
      </c>
      <c r="S15277" t="s">
        <v>824</v>
      </c>
      <c r="T15277">
        <v>39</v>
      </c>
      <c r="U15277" s="26" t="str">
        <f t="shared" si="575"/>
        <v>2023.003S.Picornaviridae_158sprenamed.zip</v>
      </c>
    </row>
    <row r="15278" spans="1:21">
      <c r="A15278">
        <v>15277</v>
      </c>
      <c r="B15278" s="27" t="s">
        <v>1124</v>
      </c>
      <c r="D15278" s="27" t="s">
        <v>1859</v>
      </c>
      <c r="F15278" s="27" t="s">
        <v>1909</v>
      </c>
      <c r="H15278" s="27" t="s">
        <v>1912</v>
      </c>
      <c r="J15278" s="27" t="s">
        <v>260</v>
      </c>
      <c r="L15278" s="27" t="s">
        <v>276</v>
      </c>
      <c r="M15278" s="27" t="s">
        <v>10558</v>
      </c>
      <c r="N15278" s="27" t="s">
        <v>162</v>
      </c>
      <c r="P15278" s="27" t="s">
        <v>17277</v>
      </c>
      <c r="Q15278" s="26" t="str">
        <f>HYPERLINK("https://ictv.global/taxonomy/taxondetails?taxnode_id=202501993&amp;ictv_id=ICTV19991256","ICTV19991256")</f>
        <v>ICTV19991256</v>
      </c>
      <c r="R15278" t="s">
        <v>581</v>
      </c>
      <c r="S15278" t="s">
        <v>824</v>
      </c>
      <c r="T15278">
        <v>39</v>
      </c>
      <c r="U15278" s="26" t="str">
        <f t="shared" si="575"/>
        <v>2023.003S.Picornaviridae_158sprenamed.zip</v>
      </c>
    </row>
    <row r="15279" spans="1:21">
      <c r="A15279">
        <v>15278</v>
      </c>
      <c r="B15279" s="27" t="s">
        <v>1124</v>
      </c>
      <c r="D15279" s="27" t="s">
        <v>1859</v>
      </c>
      <c r="F15279" s="27" t="s">
        <v>1909</v>
      </c>
      <c r="H15279" s="27" t="s">
        <v>1912</v>
      </c>
      <c r="J15279" s="27" t="s">
        <v>260</v>
      </c>
      <c r="L15279" s="27" t="s">
        <v>276</v>
      </c>
      <c r="M15279" s="27" t="s">
        <v>10558</v>
      </c>
      <c r="N15279" s="27" t="s">
        <v>162</v>
      </c>
      <c r="P15279" s="27" t="s">
        <v>17278</v>
      </c>
      <c r="Q15279" s="26" t="str">
        <f>HYPERLINK("https://ictv.global/taxonomy/taxondetails?taxnode_id=202501984&amp;ictv_id=ICTV19991248","ICTV19991248")</f>
        <v>ICTV19991248</v>
      </c>
      <c r="R15279" t="s">
        <v>581</v>
      </c>
      <c r="S15279" t="s">
        <v>824</v>
      </c>
      <c r="T15279">
        <v>39</v>
      </c>
      <c r="U15279" s="26" t="str">
        <f t="shared" si="575"/>
        <v>2023.003S.Picornaviridae_158sprenamed.zip</v>
      </c>
    </row>
    <row r="15280" spans="1:21">
      <c r="A15280">
        <v>15279</v>
      </c>
      <c r="B15280" s="27" t="s">
        <v>1124</v>
      </c>
      <c r="D15280" s="27" t="s">
        <v>1859</v>
      </c>
      <c r="F15280" s="27" t="s">
        <v>1909</v>
      </c>
      <c r="H15280" s="27" t="s">
        <v>1912</v>
      </c>
      <c r="J15280" s="27" t="s">
        <v>260</v>
      </c>
      <c r="L15280" s="27" t="s">
        <v>276</v>
      </c>
      <c r="M15280" s="27" t="s">
        <v>10558</v>
      </c>
      <c r="N15280" s="27" t="s">
        <v>162</v>
      </c>
      <c r="P15280" s="27" t="s">
        <v>17279</v>
      </c>
      <c r="Q15280" s="26" t="str">
        <f>HYPERLINK("https://ictv.global/taxonomy/taxondetails?taxnode_id=202501994&amp;ictv_id=ICTV19991257","ICTV19991257")</f>
        <v>ICTV19991257</v>
      </c>
      <c r="R15280" t="s">
        <v>581</v>
      </c>
      <c r="S15280" t="s">
        <v>824</v>
      </c>
      <c r="T15280">
        <v>39</v>
      </c>
      <c r="U15280" s="26" t="str">
        <f t="shared" si="575"/>
        <v>2023.003S.Picornaviridae_158sprenamed.zip</v>
      </c>
    </row>
    <row r="15281" spans="1:21">
      <c r="A15281">
        <v>15280</v>
      </c>
      <c r="B15281" s="27" t="s">
        <v>1124</v>
      </c>
      <c r="D15281" s="27" t="s">
        <v>1859</v>
      </c>
      <c r="F15281" s="27" t="s">
        <v>1909</v>
      </c>
      <c r="H15281" s="27" t="s">
        <v>1912</v>
      </c>
      <c r="J15281" s="27" t="s">
        <v>260</v>
      </c>
      <c r="L15281" s="27" t="s">
        <v>276</v>
      </c>
      <c r="M15281" s="27" t="s">
        <v>10558</v>
      </c>
      <c r="N15281" s="27" t="s">
        <v>162</v>
      </c>
      <c r="P15281" s="27" t="s">
        <v>17280</v>
      </c>
      <c r="Q15281" s="26" t="str">
        <f>HYPERLINK("https://ictv.global/taxonomy/taxondetails?taxnode_id=202501995&amp;ictv_id=ICTV20094354","ICTV20094354")</f>
        <v>ICTV20094354</v>
      </c>
      <c r="R15281" t="s">
        <v>581</v>
      </c>
      <c r="S15281" t="s">
        <v>824</v>
      </c>
      <c r="T15281">
        <v>39</v>
      </c>
      <c r="U15281" s="26" t="str">
        <f t="shared" si="575"/>
        <v>2023.003S.Picornaviridae_158sprenamed.zip</v>
      </c>
    </row>
    <row r="15282" spans="1:21">
      <c r="A15282">
        <v>15281</v>
      </c>
      <c r="B15282" s="27" t="s">
        <v>1124</v>
      </c>
      <c r="D15282" s="27" t="s">
        <v>1859</v>
      </c>
      <c r="F15282" s="27" t="s">
        <v>1909</v>
      </c>
      <c r="H15282" s="27" t="s">
        <v>1912</v>
      </c>
      <c r="J15282" s="27" t="s">
        <v>260</v>
      </c>
      <c r="L15282" s="27" t="s">
        <v>276</v>
      </c>
      <c r="M15282" s="27" t="s">
        <v>10558</v>
      </c>
      <c r="N15282" s="27" t="s">
        <v>162</v>
      </c>
      <c r="P15282" s="27" t="s">
        <v>17281</v>
      </c>
      <c r="Q15282" s="26" t="str">
        <f>HYPERLINK("https://ictv.global/taxonomy/taxondetails?taxnode_id=202501985&amp;ictv_id=ICTV20083305","ICTV20083305")</f>
        <v>ICTV20083305</v>
      </c>
      <c r="R15282" t="s">
        <v>581</v>
      </c>
      <c r="S15282" t="s">
        <v>824</v>
      </c>
      <c r="T15282">
        <v>39</v>
      </c>
      <c r="U15282" s="26" t="str">
        <f t="shared" si="575"/>
        <v>2023.003S.Picornaviridae_158sprenamed.zip</v>
      </c>
    </row>
    <row r="15283" spans="1:21">
      <c r="A15283">
        <v>15282</v>
      </c>
      <c r="B15283" s="27" t="s">
        <v>1124</v>
      </c>
      <c r="D15283" s="27" t="s">
        <v>1859</v>
      </c>
      <c r="F15283" s="27" t="s">
        <v>1909</v>
      </c>
      <c r="H15283" s="27" t="s">
        <v>1912</v>
      </c>
      <c r="J15283" s="27" t="s">
        <v>260</v>
      </c>
      <c r="L15283" s="27" t="s">
        <v>276</v>
      </c>
      <c r="M15283" s="27" t="s">
        <v>10558</v>
      </c>
      <c r="N15283" s="27" t="s">
        <v>162</v>
      </c>
      <c r="P15283" s="27" t="s">
        <v>17282</v>
      </c>
      <c r="Q15283" s="26" t="str">
        <f>HYPERLINK("https://ictv.global/taxonomy/taxondetails?taxnode_id=202501986&amp;ictv_id=ICTV19991250","ICTV19991250")</f>
        <v>ICTV19991250</v>
      </c>
      <c r="R15283" t="s">
        <v>581</v>
      </c>
      <c r="S15283" t="s">
        <v>824</v>
      </c>
      <c r="T15283">
        <v>39</v>
      </c>
      <c r="U15283" s="26" t="str">
        <f t="shared" si="575"/>
        <v>2023.003S.Picornaviridae_158sprenamed.zip</v>
      </c>
    </row>
    <row r="15284" spans="1:21">
      <c r="A15284">
        <v>15283</v>
      </c>
      <c r="B15284" s="27" t="s">
        <v>1124</v>
      </c>
      <c r="D15284" s="27" t="s">
        <v>1859</v>
      </c>
      <c r="F15284" s="27" t="s">
        <v>1909</v>
      </c>
      <c r="H15284" s="27" t="s">
        <v>1912</v>
      </c>
      <c r="J15284" s="27" t="s">
        <v>260</v>
      </c>
      <c r="L15284" s="27" t="s">
        <v>276</v>
      </c>
      <c r="M15284" s="27" t="s">
        <v>10558</v>
      </c>
      <c r="N15284" s="27" t="s">
        <v>162</v>
      </c>
      <c r="P15284" s="27" t="s">
        <v>17283</v>
      </c>
      <c r="Q15284" s="26" t="str">
        <f>HYPERLINK("https://ictv.global/taxonomy/taxondetails?taxnode_id=202501987&amp;ictv_id=ICTV19991246","ICTV19991246")</f>
        <v>ICTV19991246</v>
      </c>
      <c r="R15284" t="s">
        <v>581</v>
      </c>
      <c r="S15284" t="s">
        <v>824</v>
      </c>
      <c r="T15284">
        <v>39</v>
      </c>
      <c r="U15284" s="26" t="str">
        <f t="shared" si="575"/>
        <v>2023.003S.Picornaviridae_158sprenamed.zip</v>
      </c>
    </row>
    <row r="15285" spans="1:21">
      <c r="A15285">
        <v>15284</v>
      </c>
      <c r="B15285" s="27" t="s">
        <v>1124</v>
      </c>
      <c r="D15285" s="27" t="s">
        <v>1859</v>
      </c>
      <c r="F15285" s="27" t="s">
        <v>1909</v>
      </c>
      <c r="H15285" s="27" t="s">
        <v>1912</v>
      </c>
      <c r="J15285" s="27" t="s">
        <v>260</v>
      </c>
      <c r="L15285" s="27" t="s">
        <v>276</v>
      </c>
      <c r="M15285" s="27" t="s">
        <v>10558</v>
      </c>
      <c r="N15285" s="27" t="s">
        <v>162</v>
      </c>
      <c r="P15285" s="27" t="s">
        <v>17284</v>
      </c>
      <c r="Q15285" s="26" t="str">
        <f>HYPERLINK("https://ictv.global/taxonomy/taxondetails?taxnode_id=202501988&amp;ictv_id=ICTV20125893","ICTV20125893")</f>
        <v>ICTV20125893</v>
      </c>
      <c r="R15285" t="s">
        <v>581</v>
      </c>
      <c r="S15285" t="s">
        <v>824</v>
      </c>
      <c r="T15285">
        <v>39</v>
      </c>
      <c r="U15285" s="26" t="str">
        <f t="shared" si="575"/>
        <v>2023.003S.Picornaviridae_158sprenamed.zip</v>
      </c>
    </row>
    <row r="15286" spans="1:21">
      <c r="A15286">
        <v>15285</v>
      </c>
      <c r="B15286" s="27" t="s">
        <v>1124</v>
      </c>
      <c r="D15286" s="27" t="s">
        <v>1859</v>
      </c>
      <c r="F15286" s="27" t="s">
        <v>1909</v>
      </c>
      <c r="H15286" s="27" t="s">
        <v>1912</v>
      </c>
      <c r="J15286" s="27" t="s">
        <v>260</v>
      </c>
      <c r="L15286" s="27" t="s">
        <v>276</v>
      </c>
      <c r="M15286" s="27" t="s">
        <v>10558</v>
      </c>
      <c r="N15286" s="27" t="s">
        <v>162</v>
      </c>
      <c r="P15286" s="27" t="s">
        <v>17285</v>
      </c>
      <c r="Q15286" s="26" t="str">
        <f>HYPERLINK("https://ictv.global/taxonomy/taxondetails?taxnode_id=202501989&amp;ictv_id=ICTV19991253","ICTV19991253")</f>
        <v>ICTV19991253</v>
      </c>
      <c r="R15286" t="s">
        <v>581</v>
      </c>
      <c r="S15286" t="s">
        <v>824</v>
      </c>
      <c r="T15286">
        <v>39</v>
      </c>
      <c r="U15286" s="26" t="str">
        <f t="shared" si="575"/>
        <v>2023.003S.Picornaviridae_158sprenamed.zip</v>
      </c>
    </row>
    <row r="15287" spans="1:21">
      <c r="A15287">
        <v>15286</v>
      </c>
      <c r="B15287" s="27" t="s">
        <v>1124</v>
      </c>
      <c r="D15287" s="27" t="s">
        <v>1859</v>
      </c>
      <c r="F15287" s="27" t="s">
        <v>1909</v>
      </c>
      <c r="H15287" s="27" t="s">
        <v>1912</v>
      </c>
      <c r="J15287" s="27" t="s">
        <v>260</v>
      </c>
      <c r="L15287" s="27" t="s">
        <v>276</v>
      </c>
      <c r="M15287" s="27" t="s">
        <v>10558</v>
      </c>
      <c r="N15287" s="27" t="s">
        <v>162</v>
      </c>
      <c r="P15287" s="27" t="s">
        <v>17286</v>
      </c>
      <c r="Q15287" s="26" t="str">
        <f>HYPERLINK("https://ictv.global/taxonomy/taxondetails?taxnode_id=202501990&amp;ictv_id=ICTV20041611","ICTV20041611")</f>
        <v>ICTV20041611</v>
      </c>
      <c r="R15287" t="s">
        <v>581</v>
      </c>
      <c r="S15287" t="s">
        <v>824</v>
      </c>
      <c r="T15287">
        <v>39</v>
      </c>
      <c r="U15287" s="26" t="str">
        <f t="shared" si="575"/>
        <v>2023.003S.Picornaviridae_158sprenamed.zip</v>
      </c>
    </row>
    <row r="15288" spans="1:21">
      <c r="A15288">
        <v>15287</v>
      </c>
      <c r="B15288" s="27" t="s">
        <v>1124</v>
      </c>
      <c r="D15288" s="27" t="s">
        <v>1859</v>
      </c>
      <c r="F15288" s="27" t="s">
        <v>1909</v>
      </c>
      <c r="H15288" s="27" t="s">
        <v>1912</v>
      </c>
      <c r="J15288" s="27" t="s">
        <v>260</v>
      </c>
      <c r="L15288" s="27" t="s">
        <v>276</v>
      </c>
      <c r="M15288" s="27" t="s">
        <v>10558</v>
      </c>
      <c r="N15288" s="27" t="s">
        <v>162</v>
      </c>
      <c r="P15288" s="27" t="s">
        <v>17287</v>
      </c>
      <c r="Q15288" s="26" t="str">
        <f>HYPERLINK("https://ictv.global/taxonomy/taxondetails?taxnode_id=202501991&amp;ictv_id=ICTV20165194","ICTV20165194")</f>
        <v>ICTV20165194</v>
      </c>
      <c r="R15288" t="s">
        <v>581</v>
      </c>
      <c r="S15288" t="s">
        <v>824</v>
      </c>
      <c r="T15288">
        <v>39</v>
      </c>
      <c r="U15288" s="26" t="str">
        <f t="shared" si="575"/>
        <v>2023.003S.Picornaviridae_158sprenamed.zip</v>
      </c>
    </row>
    <row r="15289" spans="1:21">
      <c r="A15289">
        <v>15288</v>
      </c>
      <c r="B15289" s="27" t="s">
        <v>1124</v>
      </c>
      <c r="D15289" s="27" t="s">
        <v>1859</v>
      </c>
      <c r="F15289" s="27" t="s">
        <v>1909</v>
      </c>
      <c r="H15289" s="27" t="s">
        <v>1912</v>
      </c>
      <c r="J15289" s="27" t="s">
        <v>260</v>
      </c>
      <c r="L15289" s="27" t="s">
        <v>276</v>
      </c>
      <c r="M15289" s="27" t="s">
        <v>10558</v>
      </c>
      <c r="N15289" s="27" t="s">
        <v>162</v>
      </c>
      <c r="P15289" s="27" t="s">
        <v>17288</v>
      </c>
      <c r="Q15289" s="26" t="str">
        <f>HYPERLINK("https://ictv.global/taxonomy/taxondetails?taxnode_id=202501992&amp;ictv_id=ICTV20125894","ICTV20125894")</f>
        <v>ICTV20125894</v>
      </c>
      <c r="R15289" t="s">
        <v>581</v>
      </c>
      <c r="S15289" t="s">
        <v>824</v>
      </c>
      <c r="T15289">
        <v>39</v>
      </c>
      <c r="U15289" s="26" t="str">
        <f t="shared" si="575"/>
        <v>2023.003S.Picornaviridae_158sprenamed.zip</v>
      </c>
    </row>
    <row r="15290" spans="1:21">
      <c r="A15290">
        <v>15289</v>
      </c>
      <c r="B15290" s="27" t="s">
        <v>1124</v>
      </c>
      <c r="D15290" s="27" t="s">
        <v>1859</v>
      </c>
      <c r="F15290" s="27" t="s">
        <v>1909</v>
      </c>
      <c r="H15290" s="27" t="s">
        <v>1912</v>
      </c>
      <c r="J15290" s="27" t="s">
        <v>260</v>
      </c>
      <c r="L15290" s="27" t="s">
        <v>276</v>
      </c>
      <c r="M15290" s="27" t="s">
        <v>10558</v>
      </c>
      <c r="N15290" s="27" t="s">
        <v>162</v>
      </c>
      <c r="P15290" s="27" t="s">
        <v>17289</v>
      </c>
      <c r="Q15290" s="26" t="str">
        <f>HYPERLINK("https://ictv.global/taxonomy/taxondetails?taxnode_id=202505596&amp;ictv_id=ICTV20175596","ICTV20175596")</f>
        <v>ICTV20175596</v>
      </c>
      <c r="R15290" t="s">
        <v>581</v>
      </c>
      <c r="S15290" t="s">
        <v>824</v>
      </c>
      <c r="T15290">
        <v>39</v>
      </c>
      <c r="U15290" s="26" t="str">
        <f t="shared" si="575"/>
        <v>2023.003S.Picornaviridae_158sprenamed.zip</v>
      </c>
    </row>
    <row r="15291" spans="1:21">
      <c r="A15291">
        <v>15290</v>
      </c>
      <c r="B15291" s="27" t="s">
        <v>1124</v>
      </c>
      <c r="D15291" s="27" t="s">
        <v>1859</v>
      </c>
      <c r="F15291" s="27" t="s">
        <v>1909</v>
      </c>
      <c r="H15291" s="27" t="s">
        <v>1912</v>
      </c>
      <c r="J15291" s="27" t="s">
        <v>260</v>
      </c>
      <c r="L15291" s="27" t="s">
        <v>276</v>
      </c>
      <c r="M15291" s="27" t="s">
        <v>10558</v>
      </c>
      <c r="N15291" s="27" t="s">
        <v>162</v>
      </c>
      <c r="P15291" s="27" t="s">
        <v>17290</v>
      </c>
      <c r="Q15291" s="26" t="str">
        <f>HYPERLINK("https://ictv.global/taxonomy/taxondetails?taxnode_id=202505597&amp;ictv_id=ICTV20175597","ICTV20175597")</f>
        <v>ICTV20175597</v>
      </c>
      <c r="R15291" t="s">
        <v>581</v>
      </c>
      <c r="S15291" t="s">
        <v>824</v>
      </c>
      <c r="T15291">
        <v>39</v>
      </c>
      <c r="U15291" s="26" t="str">
        <f t="shared" si="575"/>
        <v>2023.003S.Picornaviridae_158sprenamed.zip</v>
      </c>
    </row>
    <row r="15292" spans="1:21">
      <c r="A15292">
        <v>15291</v>
      </c>
      <c r="B15292" s="27" t="s">
        <v>1124</v>
      </c>
      <c r="D15292" s="27" t="s">
        <v>1859</v>
      </c>
      <c r="F15292" s="27" t="s">
        <v>1909</v>
      </c>
      <c r="H15292" s="27" t="s">
        <v>1912</v>
      </c>
      <c r="J15292" s="27" t="s">
        <v>260</v>
      </c>
      <c r="L15292" s="27" t="s">
        <v>276</v>
      </c>
      <c r="M15292" s="27" t="s">
        <v>10558</v>
      </c>
      <c r="N15292" s="27" t="s">
        <v>1944</v>
      </c>
      <c r="P15292" s="27" t="s">
        <v>17291</v>
      </c>
      <c r="Q15292" s="26" t="str">
        <f>HYPERLINK("https://ictv.global/taxonomy/taxondetails?taxnode_id=202507254&amp;ictv_id=ICTV201907254","ICTV201907254")</f>
        <v>ICTV201907254</v>
      </c>
      <c r="R15292" t="s">
        <v>581</v>
      </c>
      <c r="S15292" t="s">
        <v>824</v>
      </c>
      <c r="T15292">
        <v>39</v>
      </c>
      <c r="U15292" s="26" t="str">
        <f t="shared" si="575"/>
        <v>2023.003S.Picornaviridae_158sprenamed.zip</v>
      </c>
    </row>
    <row r="15293" spans="1:21">
      <c r="A15293">
        <v>15292</v>
      </c>
      <c r="B15293" s="27" t="s">
        <v>1124</v>
      </c>
      <c r="D15293" s="27" t="s">
        <v>1859</v>
      </c>
      <c r="F15293" s="27" t="s">
        <v>1909</v>
      </c>
      <c r="H15293" s="27" t="s">
        <v>1912</v>
      </c>
      <c r="J15293" s="27" t="s">
        <v>260</v>
      </c>
      <c r="L15293" s="27" t="s">
        <v>276</v>
      </c>
      <c r="M15293" s="27" t="s">
        <v>10558</v>
      </c>
      <c r="N15293" s="27" t="s">
        <v>1952</v>
      </c>
      <c r="P15293" s="27" t="s">
        <v>17292</v>
      </c>
      <c r="Q15293" s="26" t="str">
        <f>HYPERLINK("https://ictv.global/taxonomy/taxondetails?taxnode_id=202507410&amp;ictv_id=ICTV201907410","ICTV201907410")</f>
        <v>ICTV201907410</v>
      </c>
      <c r="R15293" t="s">
        <v>581</v>
      </c>
      <c r="S15293" t="s">
        <v>824</v>
      </c>
      <c r="T15293">
        <v>39</v>
      </c>
      <c r="U15293" s="26" t="str">
        <f t="shared" si="575"/>
        <v>2023.003S.Picornaviridae_158sprenamed.zip</v>
      </c>
    </row>
    <row r="15294" spans="1:21">
      <c r="A15294">
        <v>15293</v>
      </c>
      <c r="B15294" s="27" t="s">
        <v>1124</v>
      </c>
      <c r="D15294" s="27" t="s">
        <v>1859</v>
      </c>
      <c r="F15294" s="27" t="s">
        <v>1909</v>
      </c>
      <c r="H15294" s="27" t="s">
        <v>1912</v>
      </c>
      <c r="J15294" s="27" t="s">
        <v>260</v>
      </c>
      <c r="L15294" s="27" t="s">
        <v>276</v>
      </c>
      <c r="M15294" s="27" t="s">
        <v>10558</v>
      </c>
      <c r="N15294" s="27" t="s">
        <v>1952</v>
      </c>
      <c r="P15294" s="27" t="s">
        <v>17293</v>
      </c>
      <c r="Q15294" s="26" t="str">
        <f>HYPERLINK("https://ictv.global/taxonomy/taxondetails?taxnode_id=202507411&amp;ictv_id=ICTV201907411","ICTV201907411")</f>
        <v>ICTV201907411</v>
      </c>
      <c r="R15294" t="s">
        <v>581</v>
      </c>
      <c r="S15294" t="s">
        <v>824</v>
      </c>
      <c r="T15294">
        <v>39</v>
      </c>
      <c r="U15294" s="26" t="str">
        <f t="shared" si="575"/>
        <v>2023.003S.Picornaviridae_158sprenamed.zip</v>
      </c>
    </row>
    <row r="15295" spans="1:21">
      <c r="A15295">
        <v>15294</v>
      </c>
      <c r="B15295" s="27" t="s">
        <v>1124</v>
      </c>
      <c r="D15295" s="27" t="s">
        <v>1859</v>
      </c>
      <c r="F15295" s="27" t="s">
        <v>1909</v>
      </c>
      <c r="H15295" s="27" t="s">
        <v>1912</v>
      </c>
      <c r="J15295" s="27" t="s">
        <v>260</v>
      </c>
      <c r="L15295" s="27" t="s">
        <v>276</v>
      </c>
      <c r="M15295" s="27" t="s">
        <v>10558</v>
      </c>
      <c r="N15295" s="27" t="s">
        <v>1952</v>
      </c>
      <c r="P15295" s="27" t="s">
        <v>17294</v>
      </c>
      <c r="Q15295" s="26" t="str">
        <f>HYPERLINK("https://ictv.global/taxonomy/taxondetails?taxnode_id=202507412&amp;ictv_id=ICTV201907412","ICTV201907412")</f>
        <v>ICTV201907412</v>
      </c>
      <c r="R15295" t="s">
        <v>581</v>
      </c>
      <c r="S15295" t="s">
        <v>824</v>
      </c>
      <c r="T15295">
        <v>39</v>
      </c>
      <c r="U15295" s="26" t="str">
        <f t="shared" si="575"/>
        <v>2023.003S.Picornaviridae_158sprenamed.zip</v>
      </c>
    </row>
    <row r="15296" spans="1:21">
      <c r="A15296">
        <v>15295</v>
      </c>
      <c r="B15296" s="27" t="s">
        <v>1124</v>
      </c>
      <c r="D15296" s="27" t="s">
        <v>1859</v>
      </c>
      <c r="F15296" s="27" t="s">
        <v>1909</v>
      </c>
      <c r="H15296" s="27" t="s">
        <v>1912</v>
      </c>
      <c r="J15296" s="27" t="s">
        <v>260</v>
      </c>
      <c r="L15296" s="27" t="s">
        <v>276</v>
      </c>
      <c r="M15296" s="27" t="s">
        <v>10558</v>
      </c>
      <c r="N15296" s="27" t="s">
        <v>801</v>
      </c>
      <c r="P15296" s="27" t="s">
        <v>17295</v>
      </c>
      <c r="Q15296" s="26" t="str">
        <f>HYPERLINK("https://ictv.global/taxonomy/taxondetails?taxnode_id=202502049&amp;ictv_id=ICTV20165211","ICTV20165211")</f>
        <v>ICTV20165211</v>
      </c>
      <c r="R15296" t="s">
        <v>581</v>
      </c>
      <c r="S15296" t="s">
        <v>824</v>
      </c>
      <c r="T15296">
        <v>39</v>
      </c>
      <c r="U15296" s="26" t="str">
        <f t="shared" si="575"/>
        <v>2023.003S.Picornaviridae_158sprenamed.zip</v>
      </c>
    </row>
    <row r="15297" spans="1:21">
      <c r="A15297">
        <v>15296</v>
      </c>
      <c r="B15297" s="27" t="s">
        <v>1124</v>
      </c>
      <c r="D15297" s="27" t="s">
        <v>1859</v>
      </c>
      <c r="F15297" s="27" t="s">
        <v>1909</v>
      </c>
      <c r="H15297" s="27" t="s">
        <v>1912</v>
      </c>
      <c r="J15297" s="27" t="s">
        <v>260</v>
      </c>
      <c r="L15297" s="27" t="s">
        <v>276</v>
      </c>
      <c r="M15297" s="27" t="s">
        <v>10558</v>
      </c>
      <c r="N15297" s="27" t="s">
        <v>801</v>
      </c>
      <c r="P15297" s="27" t="s">
        <v>17296</v>
      </c>
      <c r="Q15297" s="26" t="str">
        <f>HYPERLINK("https://ictv.global/taxonomy/taxondetails?taxnode_id=202506420&amp;ictv_id=ICTV201856420","ICTV201856420")</f>
        <v>ICTV201856420</v>
      </c>
      <c r="R15297" t="s">
        <v>581</v>
      </c>
      <c r="S15297" t="s">
        <v>824</v>
      </c>
      <c r="T15297">
        <v>39</v>
      </c>
      <c r="U15297" s="26" t="str">
        <f t="shared" ref="U15297:U15328" si="576">HYPERLINK("https://ictv.global/ictv/proposals/2023.003S.Picornaviridae_158sprenamed.zip","2023.003S.Picornaviridae_158sprenamed.zip")</f>
        <v>2023.003S.Picornaviridae_158sprenamed.zip</v>
      </c>
    </row>
    <row r="15298" spans="1:21">
      <c r="A15298">
        <v>15297</v>
      </c>
      <c r="B15298" s="27" t="s">
        <v>1124</v>
      </c>
      <c r="D15298" s="27" t="s">
        <v>1859</v>
      </c>
      <c r="F15298" s="27" t="s">
        <v>1909</v>
      </c>
      <c r="H15298" s="27" t="s">
        <v>1912</v>
      </c>
      <c r="J15298" s="27" t="s">
        <v>260</v>
      </c>
      <c r="L15298" s="27" t="s">
        <v>276</v>
      </c>
      <c r="M15298" s="27" t="s">
        <v>10558</v>
      </c>
      <c r="N15298" s="27" t="s">
        <v>801</v>
      </c>
      <c r="P15298" s="27" t="s">
        <v>17297</v>
      </c>
      <c r="Q15298" s="26" t="str">
        <f>HYPERLINK("https://ictv.global/taxonomy/taxondetails?taxnode_id=202506421&amp;ictv_id=ICTV201856421","ICTV201856421")</f>
        <v>ICTV201856421</v>
      </c>
      <c r="R15298" t="s">
        <v>581</v>
      </c>
      <c r="S15298" t="s">
        <v>824</v>
      </c>
      <c r="T15298">
        <v>39</v>
      </c>
      <c r="U15298" s="26" t="str">
        <f t="shared" si="576"/>
        <v>2023.003S.Picornaviridae_158sprenamed.zip</v>
      </c>
    </row>
    <row r="15299" spans="1:21">
      <c r="A15299">
        <v>15298</v>
      </c>
      <c r="B15299" s="27" t="s">
        <v>1124</v>
      </c>
      <c r="D15299" s="27" t="s">
        <v>1859</v>
      </c>
      <c r="F15299" s="27" t="s">
        <v>1909</v>
      </c>
      <c r="H15299" s="27" t="s">
        <v>1912</v>
      </c>
      <c r="J15299" s="27" t="s">
        <v>260</v>
      </c>
      <c r="L15299" s="27" t="s">
        <v>276</v>
      </c>
      <c r="M15299" s="27" t="s">
        <v>10558</v>
      </c>
      <c r="N15299" s="27" t="s">
        <v>801</v>
      </c>
      <c r="P15299" s="27" t="s">
        <v>17298</v>
      </c>
      <c r="Q15299" s="26" t="str">
        <f>HYPERLINK("https://ictv.global/taxonomy/taxondetails?taxnode_id=202506422&amp;ictv_id=ICTV201856422","ICTV201856422")</f>
        <v>ICTV201856422</v>
      </c>
      <c r="R15299" t="s">
        <v>581</v>
      </c>
      <c r="S15299" t="s">
        <v>824</v>
      </c>
      <c r="T15299">
        <v>39</v>
      </c>
      <c r="U15299" s="26" t="str">
        <f t="shared" si="576"/>
        <v>2023.003S.Picornaviridae_158sprenamed.zip</v>
      </c>
    </row>
    <row r="15300" spans="1:21">
      <c r="A15300">
        <v>15299</v>
      </c>
      <c r="B15300" s="27" t="s">
        <v>1124</v>
      </c>
      <c r="D15300" s="27" t="s">
        <v>1859</v>
      </c>
      <c r="F15300" s="27" t="s">
        <v>1909</v>
      </c>
      <c r="H15300" s="27" t="s">
        <v>1912</v>
      </c>
      <c r="J15300" s="27" t="s">
        <v>260</v>
      </c>
      <c r="L15300" s="27" t="s">
        <v>276</v>
      </c>
      <c r="M15300" s="27" t="s">
        <v>10558</v>
      </c>
      <c r="N15300" s="27" t="s">
        <v>261</v>
      </c>
      <c r="P15300" s="27" t="s">
        <v>17299</v>
      </c>
      <c r="Q15300" s="26" t="str">
        <f>HYPERLINK("https://ictv.global/taxonomy/taxondetails?taxnode_id=202502058&amp;ictv_id=ICTV19790566","ICTV19790566")</f>
        <v>ICTV19790566</v>
      </c>
      <c r="R15300" t="s">
        <v>581</v>
      </c>
      <c r="S15300" t="s">
        <v>824</v>
      </c>
      <c r="T15300">
        <v>39</v>
      </c>
      <c r="U15300" s="26" t="str">
        <f t="shared" si="576"/>
        <v>2023.003S.Picornaviridae_158sprenamed.zip</v>
      </c>
    </row>
    <row r="15301" spans="1:21">
      <c r="A15301">
        <v>15300</v>
      </c>
      <c r="B15301" s="27" t="s">
        <v>1124</v>
      </c>
      <c r="D15301" s="27" t="s">
        <v>1859</v>
      </c>
      <c r="F15301" s="27" t="s">
        <v>1909</v>
      </c>
      <c r="H15301" s="27" t="s">
        <v>1912</v>
      </c>
      <c r="J15301" s="27" t="s">
        <v>260</v>
      </c>
      <c r="L15301" s="27" t="s">
        <v>276</v>
      </c>
      <c r="M15301" s="27" t="s">
        <v>10558</v>
      </c>
      <c r="N15301" s="27" t="s">
        <v>261</v>
      </c>
      <c r="P15301" s="27" t="s">
        <v>17300</v>
      </c>
      <c r="Q15301" s="26" t="str">
        <f>HYPERLINK("https://ictv.global/taxonomy/taxondetails?taxnode_id=202502059&amp;ictv_id=ICTV20094365","ICTV20094365")</f>
        <v>ICTV20094365</v>
      </c>
      <c r="R15301" t="s">
        <v>581</v>
      </c>
      <c r="S15301" t="s">
        <v>824</v>
      </c>
      <c r="T15301">
        <v>39</v>
      </c>
      <c r="U15301" s="26" t="str">
        <f t="shared" si="576"/>
        <v>2023.003S.Picornaviridae_158sprenamed.zip</v>
      </c>
    </row>
    <row r="15302" spans="1:21">
      <c r="A15302">
        <v>15301</v>
      </c>
      <c r="B15302" s="27" t="s">
        <v>1124</v>
      </c>
      <c r="D15302" s="27" t="s">
        <v>1859</v>
      </c>
      <c r="F15302" s="27" t="s">
        <v>1909</v>
      </c>
      <c r="H15302" s="27" t="s">
        <v>1912</v>
      </c>
      <c r="J15302" s="27" t="s">
        <v>260</v>
      </c>
      <c r="L15302" s="27" t="s">
        <v>276</v>
      </c>
      <c r="M15302" s="27" t="s">
        <v>10559</v>
      </c>
      <c r="N15302" s="27" t="s">
        <v>3598</v>
      </c>
      <c r="P15302" s="27" t="s">
        <v>17301</v>
      </c>
      <c r="Q15302" s="26" t="str">
        <f>HYPERLINK("https://ictv.global/taxonomy/taxondetails?taxnode_id=202508772&amp;ictv_id=ICTV202008772","ICTV202008772")</f>
        <v>ICTV202008772</v>
      </c>
      <c r="R15302" t="s">
        <v>581</v>
      </c>
      <c r="S15302" t="s">
        <v>824</v>
      </c>
      <c r="T15302">
        <v>39</v>
      </c>
      <c r="U15302" s="26" t="str">
        <f t="shared" si="576"/>
        <v>2023.003S.Picornaviridae_158sprenamed.zip</v>
      </c>
    </row>
    <row r="15303" spans="1:21">
      <c r="A15303">
        <v>15302</v>
      </c>
      <c r="B15303" s="27" t="s">
        <v>1124</v>
      </c>
      <c r="D15303" s="27" t="s">
        <v>1859</v>
      </c>
      <c r="F15303" s="27" t="s">
        <v>1909</v>
      </c>
      <c r="H15303" s="27" t="s">
        <v>1912</v>
      </c>
      <c r="J15303" s="27" t="s">
        <v>260</v>
      </c>
      <c r="L15303" s="27" t="s">
        <v>276</v>
      </c>
      <c r="M15303" s="27" t="s">
        <v>10559</v>
      </c>
      <c r="N15303" s="27" t="s">
        <v>1942</v>
      </c>
      <c r="P15303" s="27" t="s">
        <v>17302</v>
      </c>
      <c r="Q15303" s="26" t="str">
        <f>HYPERLINK("https://ictv.global/taxonomy/taxondetails?taxnode_id=202507132&amp;ictv_id=ICTV201907132","ICTV201907132")</f>
        <v>ICTV201907132</v>
      </c>
      <c r="R15303" t="s">
        <v>581</v>
      </c>
      <c r="S15303" t="s">
        <v>824</v>
      </c>
      <c r="T15303">
        <v>39</v>
      </c>
      <c r="U15303" s="26" t="str">
        <f t="shared" si="576"/>
        <v>2023.003S.Picornaviridae_158sprenamed.zip</v>
      </c>
    </row>
    <row r="15304" spans="1:21">
      <c r="A15304">
        <v>15303</v>
      </c>
      <c r="B15304" s="27" t="s">
        <v>1124</v>
      </c>
      <c r="D15304" s="27" t="s">
        <v>1859</v>
      </c>
      <c r="F15304" s="27" t="s">
        <v>1909</v>
      </c>
      <c r="H15304" s="27" t="s">
        <v>1912</v>
      </c>
      <c r="J15304" s="27" t="s">
        <v>260</v>
      </c>
      <c r="L15304" s="27" t="s">
        <v>276</v>
      </c>
      <c r="M15304" s="27" t="s">
        <v>10559</v>
      </c>
      <c r="N15304" s="27" t="s">
        <v>1945</v>
      </c>
      <c r="P15304" s="27" t="s">
        <v>17303</v>
      </c>
      <c r="Q15304" s="26" t="str">
        <f>HYPERLINK("https://ictv.global/taxonomy/taxondetails?taxnode_id=202507267&amp;ictv_id=ICTV201907267","ICTV201907267")</f>
        <v>ICTV201907267</v>
      </c>
      <c r="R15304" t="s">
        <v>581</v>
      </c>
      <c r="S15304" t="s">
        <v>824</v>
      </c>
      <c r="T15304">
        <v>39</v>
      </c>
      <c r="U15304" s="26" t="str">
        <f t="shared" si="576"/>
        <v>2023.003S.Picornaviridae_158sprenamed.zip</v>
      </c>
    </row>
    <row r="15305" spans="1:21">
      <c r="A15305">
        <v>15304</v>
      </c>
      <c r="B15305" s="27" t="s">
        <v>1124</v>
      </c>
      <c r="D15305" s="27" t="s">
        <v>1859</v>
      </c>
      <c r="F15305" s="27" t="s">
        <v>1909</v>
      </c>
      <c r="H15305" s="27" t="s">
        <v>1912</v>
      </c>
      <c r="J15305" s="27" t="s">
        <v>260</v>
      </c>
      <c r="L15305" s="27" t="s">
        <v>276</v>
      </c>
      <c r="M15305" s="27" t="s">
        <v>10559</v>
      </c>
      <c r="N15305" s="27" t="s">
        <v>1945</v>
      </c>
      <c r="P15305" s="27" t="s">
        <v>17304</v>
      </c>
      <c r="Q15305" s="26" t="str">
        <f>HYPERLINK("https://ictv.global/taxonomy/taxondetails?taxnode_id=202507268&amp;ictv_id=ICTV201907268","ICTV201907268")</f>
        <v>ICTV201907268</v>
      </c>
      <c r="R15305" t="s">
        <v>581</v>
      </c>
      <c r="S15305" t="s">
        <v>824</v>
      </c>
      <c r="T15305">
        <v>39</v>
      </c>
      <c r="U15305" s="26" t="str">
        <f t="shared" si="576"/>
        <v>2023.003S.Picornaviridae_158sprenamed.zip</v>
      </c>
    </row>
    <row r="15306" spans="1:21">
      <c r="A15306">
        <v>15305</v>
      </c>
      <c r="B15306" s="27" t="s">
        <v>1124</v>
      </c>
      <c r="D15306" s="27" t="s">
        <v>1859</v>
      </c>
      <c r="F15306" s="27" t="s">
        <v>1909</v>
      </c>
      <c r="H15306" s="27" t="s">
        <v>1912</v>
      </c>
      <c r="J15306" s="27" t="s">
        <v>260</v>
      </c>
      <c r="L15306" s="27" t="s">
        <v>276</v>
      </c>
      <c r="M15306" s="27" t="s">
        <v>10559</v>
      </c>
      <c r="N15306" s="27" t="s">
        <v>1945</v>
      </c>
      <c r="P15306" s="27" t="s">
        <v>17305</v>
      </c>
      <c r="Q15306" s="26" t="str">
        <f>HYPERLINK("https://ictv.global/taxonomy/taxondetails?taxnode_id=202507269&amp;ictv_id=ICTV201907269","ICTV201907269")</f>
        <v>ICTV201907269</v>
      </c>
      <c r="R15306" t="s">
        <v>581</v>
      </c>
      <c r="S15306" t="s">
        <v>824</v>
      </c>
      <c r="T15306">
        <v>39</v>
      </c>
      <c r="U15306" s="26" t="str">
        <f t="shared" si="576"/>
        <v>2023.003S.Picornaviridae_158sprenamed.zip</v>
      </c>
    </row>
    <row r="15307" spans="1:21">
      <c r="A15307">
        <v>15306</v>
      </c>
      <c r="B15307" s="27" t="s">
        <v>1124</v>
      </c>
      <c r="D15307" s="27" t="s">
        <v>1859</v>
      </c>
      <c r="F15307" s="27" t="s">
        <v>1909</v>
      </c>
      <c r="H15307" s="27" t="s">
        <v>1912</v>
      </c>
      <c r="J15307" s="27" t="s">
        <v>260</v>
      </c>
      <c r="L15307" s="27" t="s">
        <v>276</v>
      </c>
      <c r="M15307" s="27" t="s">
        <v>10559</v>
      </c>
      <c r="N15307" s="27" t="s">
        <v>1945</v>
      </c>
      <c r="P15307" s="27" t="s">
        <v>17306</v>
      </c>
      <c r="Q15307" s="26" t="str">
        <f>HYPERLINK("https://ictv.global/taxonomy/taxondetails?taxnode_id=202507270&amp;ictv_id=ICTV201907270","ICTV201907270")</f>
        <v>ICTV201907270</v>
      </c>
      <c r="R15307" t="s">
        <v>581</v>
      </c>
      <c r="S15307" t="s">
        <v>824</v>
      </c>
      <c r="T15307">
        <v>39</v>
      </c>
      <c r="U15307" s="26" t="str">
        <f t="shared" si="576"/>
        <v>2023.003S.Picornaviridae_158sprenamed.zip</v>
      </c>
    </row>
    <row r="15308" spans="1:21">
      <c r="A15308">
        <v>15307</v>
      </c>
      <c r="B15308" s="27" t="s">
        <v>1124</v>
      </c>
      <c r="D15308" s="27" t="s">
        <v>1859</v>
      </c>
      <c r="F15308" s="27" t="s">
        <v>1909</v>
      </c>
      <c r="H15308" s="27" t="s">
        <v>1912</v>
      </c>
      <c r="J15308" s="27" t="s">
        <v>260</v>
      </c>
      <c r="L15308" s="27" t="s">
        <v>276</v>
      </c>
      <c r="M15308" s="27" t="s">
        <v>10559</v>
      </c>
      <c r="N15308" s="27" t="s">
        <v>1945</v>
      </c>
      <c r="P15308" s="27" t="s">
        <v>17307</v>
      </c>
      <c r="Q15308" s="26" t="str">
        <f>HYPERLINK("https://ictv.global/taxonomy/taxondetails?taxnode_id=202507271&amp;ictv_id=ICTV201907271","ICTV201907271")</f>
        <v>ICTV201907271</v>
      </c>
      <c r="R15308" t="s">
        <v>581</v>
      </c>
      <c r="S15308" t="s">
        <v>824</v>
      </c>
      <c r="T15308">
        <v>39</v>
      </c>
      <c r="U15308" s="26" t="str">
        <f t="shared" si="576"/>
        <v>2023.003S.Picornaviridae_158sprenamed.zip</v>
      </c>
    </row>
    <row r="15309" spans="1:21">
      <c r="A15309">
        <v>15308</v>
      </c>
      <c r="B15309" s="27" t="s">
        <v>1124</v>
      </c>
      <c r="D15309" s="27" t="s">
        <v>1859</v>
      </c>
      <c r="F15309" s="27" t="s">
        <v>1909</v>
      </c>
      <c r="H15309" s="27" t="s">
        <v>1912</v>
      </c>
      <c r="J15309" s="27" t="s">
        <v>260</v>
      </c>
      <c r="L15309" s="27" t="s">
        <v>276</v>
      </c>
      <c r="M15309" s="27" t="s">
        <v>10559</v>
      </c>
      <c r="N15309" s="27" t="s">
        <v>1945</v>
      </c>
      <c r="P15309" s="27" t="s">
        <v>17308</v>
      </c>
      <c r="Q15309" s="26" t="str">
        <f>HYPERLINK("https://ictv.global/taxonomy/taxondetails?taxnode_id=202508844&amp;ictv_id=ICTV202008844","ICTV202008844")</f>
        <v>ICTV202008844</v>
      </c>
      <c r="R15309" t="s">
        <v>581</v>
      </c>
      <c r="S15309" t="s">
        <v>824</v>
      </c>
      <c r="T15309">
        <v>39</v>
      </c>
      <c r="U15309" s="26" t="str">
        <f t="shared" si="576"/>
        <v>2023.003S.Picornaviridae_158sprenamed.zip</v>
      </c>
    </row>
    <row r="15310" spans="1:21">
      <c r="A15310">
        <v>15309</v>
      </c>
      <c r="B15310" s="27" t="s">
        <v>1124</v>
      </c>
      <c r="D15310" s="27" t="s">
        <v>1859</v>
      </c>
      <c r="F15310" s="27" t="s">
        <v>1909</v>
      </c>
      <c r="H15310" s="27" t="s">
        <v>1912</v>
      </c>
      <c r="J15310" s="27" t="s">
        <v>260</v>
      </c>
      <c r="L15310" s="27" t="s">
        <v>276</v>
      </c>
      <c r="M15310" s="27" t="s">
        <v>10559</v>
      </c>
      <c r="N15310" s="27" t="s">
        <v>1946</v>
      </c>
      <c r="P15310" s="27" t="s">
        <v>17309</v>
      </c>
      <c r="Q15310" s="26" t="str">
        <f>HYPERLINK("https://ictv.global/taxonomy/taxondetails?taxnode_id=202507134&amp;ictv_id=ICTV201907134","ICTV201907134")</f>
        <v>ICTV201907134</v>
      </c>
      <c r="R15310" t="s">
        <v>581</v>
      </c>
      <c r="S15310" t="s">
        <v>824</v>
      </c>
      <c r="T15310">
        <v>39</v>
      </c>
      <c r="U15310" s="26" t="str">
        <f t="shared" si="576"/>
        <v>2023.003S.Picornaviridae_158sprenamed.zip</v>
      </c>
    </row>
    <row r="15311" spans="1:21">
      <c r="A15311">
        <v>15310</v>
      </c>
      <c r="B15311" s="27" t="s">
        <v>1124</v>
      </c>
      <c r="D15311" s="27" t="s">
        <v>1859</v>
      </c>
      <c r="F15311" s="27" t="s">
        <v>1909</v>
      </c>
      <c r="H15311" s="27" t="s">
        <v>1912</v>
      </c>
      <c r="J15311" s="27" t="s">
        <v>260</v>
      </c>
      <c r="L15311" s="27" t="s">
        <v>276</v>
      </c>
      <c r="M15311" s="27" t="s">
        <v>10559</v>
      </c>
      <c r="N15311" s="27" t="s">
        <v>164</v>
      </c>
      <c r="P15311" s="27" t="s">
        <v>17310</v>
      </c>
      <c r="Q15311" s="26" t="str">
        <f>HYPERLINK("https://ictv.global/taxonomy/taxondetails?taxnode_id=202502003&amp;ictv_id=ICTV19991254","ICTV19991254")</f>
        <v>ICTV19991254</v>
      </c>
      <c r="R15311" t="s">
        <v>581</v>
      </c>
      <c r="S15311" t="s">
        <v>824</v>
      </c>
      <c r="T15311">
        <v>39</v>
      </c>
      <c r="U15311" s="26" t="str">
        <f t="shared" si="576"/>
        <v>2023.003S.Picornaviridae_158sprenamed.zip</v>
      </c>
    </row>
    <row r="15312" spans="1:21">
      <c r="A15312">
        <v>15311</v>
      </c>
      <c r="B15312" s="27" t="s">
        <v>1124</v>
      </c>
      <c r="D15312" s="27" t="s">
        <v>1859</v>
      </c>
      <c r="F15312" s="27" t="s">
        <v>1909</v>
      </c>
      <c r="H15312" s="27" t="s">
        <v>1912</v>
      </c>
      <c r="J15312" s="27" t="s">
        <v>260</v>
      </c>
      <c r="L15312" s="27" t="s">
        <v>276</v>
      </c>
      <c r="M15312" s="27" t="s">
        <v>10559</v>
      </c>
      <c r="N15312" s="27" t="s">
        <v>164</v>
      </c>
      <c r="P15312" s="27" t="s">
        <v>17311</v>
      </c>
      <c r="Q15312" s="26" t="str">
        <f>HYPERLINK("https://ictv.global/taxonomy/taxondetails?taxnode_id=202502004&amp;ictv_id=ICTV20165196","ICTV20165196")</f>
        <v>ICTV20165196</v>
      </c>
      <c r="R15312" t="s">
        <v>581</v>
      </c>
      <c r="S15312" t="s">
        <v>824</v>
      </c>
      <c r="T15312">
        <v>39</v>
      </c>
      <c r="U15312" s="26" t="str">
        <f t="shared" si="576"/>
        <v>2023.003S.Picornaviridae_158sprenamed.zip</v>
      </c>
    </row>
    <row r="15313" spans="1:21">
      <c r="A15313">
        <v>15312</v>
      </c>
      <c r="B15313" s="27" t="s">
        <v>1124</v>
      </c>
      <c r="D15313" s="27" t="s">
        <v>1859</v>
      </c>
      <c r="F15313" s="27" t="s">
        <v>1909</v>
      </c>
      <c r="H15313" s="27" t="s">
        <v>1912</v>
      </c>
      <c r="J15313" s="27" t="s">
        <v>260</v>
      </c>
      <c r="L15313" s="27" t="s">
        <v>276</v>
      </c>
      <c r="M15313" s="27" t="s">
        <v>10559</v>
      </c>
      <c r="N15313" s="27" t="s">
        <v>164</v>
      </c>
      <c r="P15313" s="27" t="s">
        <v>17312</v>
      </c>
      <c r="Q15313" s="26" t="str">
        <f>HYPERLINK("https://ictv.global/taxonomy/taxondetails?taxnode_id=202502005&amp;ictv_id=ICTV20165197","ICTV20165197")</f>
        <v>ICTV20165197</v>
      </c>
      <c r="R15313" t="s">
        <v>581</v>
      </c>
      <c r="S15313" t="s">
        <v>824</v>
      </c>
      <c r="T15313">
        <v>39</v>
      </c>
      <c r="U15313" s="26" t="str">
        <f t="shared" si="576"/>
        <v>2023.003S.Picornaviridae_158sprenamed.zip</v>
      </c>
    </row>
    <row r="15314" spans="1:21">
      <c r="A15314">
        <v>15313</v>
      </c>
      <c r="B15314" s="27" t="s">
        <v>1124</v>
      </c>
      <c r="D15314" s="27" t="s">
        <v>1859</v>
      </c>
      <c r="F15314" s="27" t="s">
        <v>1909</v>
      </c>
      <c r="H15314" s="27" t="s">
        <v>1912</v>
      </c>
      <c r="J15314" s="27" t="s">
        <v>260</v>
      </c>
      <c r="L15314" s="27" t="s">
        <v>276</v>
      </c>
      <c r="M15314" s="27" t="s">
        <v>10559</v>
      </c>
      <c r="N15314" s="27" t="s">
        <v>164</v>
      </c>
      <c r="P15314" s="27" t="s">
        <v>17313</v>
      </c>
      <c r="Q15314" s="26" t="str">
        <f>HYPERLINK("https://ictv.global/taxonomy/taxondetails?taxnode_id=202502006&amp;ictv_id=ICTV20165198","ICTV20165198")</f>
        <v>ICTV20165198</v>
      </c>
      <c r="R15314" t="s">
        <v>581</v>
      </c>
      <c r="S15314" t="s">
        <v>824</v>
      </c>
      <c r="T15314">
        <v>39</v>
      </c>
      <c r="U15314" s="26" t="str">
        <f t="shared" si="576"/>
        <v>2023.003S.Picornaviridae_158sprenamed.zip</v>
      </c>
    </row>
    <row r="15315" spans="1:21">
      <c r="A15315">
        <v>15314</v>
      </c>
      <c r="B15315" s="27" t="s">
        <v>1124</v>
      </c>
      <c r="D15315" s="27" t="s">
        <v>1859</v>
      </c>
      <c r="F15315" s="27" t="s">
        <v>1909</v>
      </c>
      <c r="H15315" s="27" t="s">
        <v>1912</v>
      </c>
      <c r="J15315" s="27" t="s">
        <v>260</v>
      </c>
      <c r="L15315" s="27" t="s">
        <v>276</v>
      </c>
      <c r="M15315" s="27" t="s">
        <v>10559</v>
      </c>
      <c r="N15315" s="27" t="s">
        <v>164</v>
      </c>
      <c r="P15315" s="27" t="s">
        <v>17314</v>
      </c>
      <c r="Q15315" s="26" t="str">
        <f>HYPERLINK("https://ictv.global/taxonomy/taxondetails?taxnode_id=202502007&amp;ictv_id=ICTV20165199","ICTV20165199")</f>
        <v>ICTV20165199</v>
      </c>
      <c r="R15315" t="s">
        <v>581</v>
      </c>
      <c r="S15315" t="s">
        <v>824</v>
      </c>
      <c r="T15315">
        <v>39</v>
      </c>
      <c r="U15315" s="26" t="str">
        <f t="shared" si="576"/>
        <v>2023.003S.Picornaviridae_158sprenamed.zip</v>
      </c>
    </row>
    <row r="15316" spans="1:21">
      <c r="A15316">
        <v>15315</v>
      </c>
      <c r="B15316" s="27" t="s">
        <v>1124</v>
      </c>
      <c r="D15316" s="27" t="s">
        <v>1859</v>
      </c>
      <c r="F15316" s="27" t="s">
        <v>1909</v>
      </c>
      <c r="H15316" s="27" t="s">
        <v>1912</v>
      </c>
      <c r="J15316" s="27" t="s">
        <v>260</v>
      </c>
      <c r="L15316" s="27" t="s">
        <v>276</v>
      </c>
      <c r="M15316" s="27" t="s">
        <v>10559</v>
      </c>
      <c r="N15316" s="27" t="s">
        <v>164</v>
      </c>
      <c r="P15316" s="27" t="s">
        <v>17315</v>
      </c>
      <c r="Q15316" s="26" t="str">
        <f>HYPERLINK("https://ictv.global/taxonomy/taxondetails?taxnode_id=202502008&amp;ictv_id=ICTV20165200","ICTV20165200")</f>
        <v>ICTV20165200</v>
      </c>
      <c r="R15316" t="s">
        <v>581</v>
      </c>
      <c r="S15316" t="s">
        <v>824</v>
      </c>
      <c r="T15316">
        <v>39</v>
      </c>
      <c r="U15316" s="26" t="str">
        <f t="shared" si="576"/>
        <v>2023.003S.Picornaviridae_158sprenamed.zip</v>
      </c>
    </row>
    <row r="15317" spans="1:21">
      <c r="A15317">
        <v>15316</v>
      </c>
      <c r="B15317" s="27" t="s">
        <v>1124</v>
      </c>
      <c r="D15317" s="27" t="s">
        <v>1859</v>
      </c>
      <c r="F15317" s="27" t="s">
        <v>1909</v>
      </c>
      <c r="H15317" s="27" t="s">
        <v>1912</v>
      </c>
      <c r="J15317" s="27" t="s">
        <v>260</v>
      </c>
      <c r="L15317" s="27" t="s">
        <v>276</v>
      </c>
      <c r="M15317" s="27" t="s">
        <v>10559</v>
      </c>
      <c r="N15317" s="27" t="s">
        <v>164</v>
      </c>
      <c r="P15317" s="27" t="s">
        <v>17316</v>
      </c>
      <c r="Q15317" s="26" t="str">
        <f>HYPERLINK("https://ictv.global/taxonomy/taxondetails?taxnode_id=202502009&amp;ictv_id=ICTV20165201","ICTV20165201")</f>
        <v>ICTV20165201</v>
      </c>
      <c r="R15317" t="s">
        <v>581</v>
      </c>
      <c r="S15317" t="s">
        <v>824</v>
      </c>
      <c r="T15317">
        <v>39</v>
      </c>
      <c r="U15317" s="26" t="str">
        <f t="shared" si="576"/>
        <v>2023.003S.Picornaviridae_158sprenamed.zip</v>
      </c>
    </row>
    <row r="15318" spans="1:21">
      <c r="A15318">
        <v>15317</v>
      </c>
      <c r="B15318" s="27" t="s">
        <v>1124</v>
      </c>
      <c r="D15318" s="27" t="s">
        <v>1859</v>
      </c>
      <c r="F15318" s="27" t="s">
        <v>1909</v>
      </c>
      <c r="H15318" s="27" t="s">
        <v>1912</v>
      </c>
      <c r="J15318" s="27" t="s">
        <v>260</v>
      </c>
      <c r="L15318" s="27" t="s">
        <v>276</v>
      </c>
      <c r="M15318" s="27" t="s">
        <v>10559</v>
      </c>
      <c r="N15318" s="27" t="s">
        <v>164</v>
      </c>
      <c r="P15318" s="27" t="s">
        <v>17317</v>
      </c>
      <c r="Q15318" s="26" t="str">
        <f>HYPERLINK("https://ictv.global/taxonomy/taxondetails?taxnode_id=202502010&amp;ictv_id=ICTV20165202","ICTV20165202")</f>
        <v>ICTV20165202</v>
      </c>
      <c r="R15318" t="s">
        <v>581</v>
      </c>
      <c r="S15318" t="s">
        <v>824</v>
      </c>
      <c r="T15318">
        <v>39</v>
      </c>
      <c r="U15318" s="26" t="str">
        <f t="shared" si="576"/>
        <v>2023.003S.Picornaviridae_158sprenamed.zip</v>
      </c>
    </row>
    <row r="15319" spans="1:21">
      <c r="A15319">
        <v>15318</v>
      </c>
      <c r="B15319" s="27" t="s">
        <v>1124</v>
      </c>
      <c r="D15319" s="27" t="s">
        <v>1859</v>
      </c>
      <c r="F15319" s="27" t="s">
        <v>1909</v>
      </c>
      <c r="H15319" s="27" t="s">
        <v>1912</v>
      </c>
      <c r="J15319" s="27" t="s">
        <v>260</v>
      </c>
      <c r="L15319" s="27" t="s">
        <v>276</v>
      </c>
      <c r="M15319" s="27" t="s">
        <v>10559</v>
      </c>
      <c r="N15319" s="27" t="s">
        <v>164</v>
      </c>
      <c r="P15319" s="27" t="s">
        <v>17318</v>
      </c>
      <c r="Q15319" s="26" t="str">
        <f>HYPERLINK("https://ictv.global/taxonomy/taxondetails?taxnode_id=202502011&amp;ictv_id=ICTV20165203","ICTV20165203")</f>
        <v>ICTV20165203</v>
      </c>
      <c r="R15319" t="s">
        <v>581</v>
      </c>
      <c r="S15319" t="s">
        <v>824</v>
      </c>
      <c r="T15319">
        <v>39</v>
      </c>
      <c r="U15319" s="26" t="str">
        <f t="shared" si="576"/>
        <v>2023.003S.Picornaviridae_158sprenamed.zip</v>
      </c>
    </row>
    <row r="15320" spans="1:21">
      <c r="A15320">
        <v>15319</v>
      </c>
      <c r="B15320" s="27" t="s">
        <v>1124</v>
      </c>
      <c r="D15320" s="27" t="s">
        <v>1859</v>
      </c>
      <c r="F15320" s="27" t="s">
        <v>1909</v>
      </c>
      <c r="H15320" s="27" t="s">
        <v>1912</v>
      </c>
      <c r="J15320" s="27" t="s">
        <v>260</v>
      </c>
      <c r="L15320" s="27" t="s">
        <v>276</v>
      </c>
      <c r="M15320" s="27" t="s">
        <v>10559</v>
      </c>
      <c r="N15320" s="27" t="s">
        <v>1954</v>
      </c>
      <c r="P15320" s="27" t="s">
        <v>17319</v>
      </c>
      <c r="Q15320" s="26" t="str">
        <f>HYPERLINK("https://ictv.global/taxonomy/taxondetails?taxnode_id=202507446&amp;ictv_id=ICTV201907446","ICTV201907446")</f>
        <v>ICTV201907446</v>
      </c>
      <c r="R15320" t="s">
        <v>581</v>
      </c>
      <c r="S15320" t="s">
        <v>824</v>
      </c>
      <c r="T15320">
        <v>39</v>
      </c>
      <c r="U15320" s="26" t="str">
        <f t="shared" si="576"/>
        <v>2023.003S.Picornaviridae_158sprenamed.zip</v>
      </c>
    </row>
    <row r="15321" spans="1:21">
      <c r="A15321">
        <v>15320</v>
      </c>
      <c r="B15321" s="27" t="s">
        <v>1124</v>
      </c>
      <c r="D15321" s="27" t="s">
        <v>1859</v>
      </c>
      <c r="F15321" s="27" t="s">
        <v>1909</v>
      </c>
      <c r="H15321" s="27" t="s">
        <v>1912</v>
      </c>
      <c r="J15321" s="27" t="s">
        <v>260</v>
      </c>
      <c r="L15321" s="27" t="s">
        <v>276</v>
      </c>
      <c r="M15321" s="27" t="s">
        <v>10559</v>
      </c>
      <c r="N15321" s="27" t="s">
        <v>236</v>
      </c>
      <c r="P15321" s="27" t="s">
        <v>17320</v>
      </c>
      <c r="Q15321" s="26" t="str">
        <f>HYPERLINK("https://ictv.global/taxonomy/taxondetails?taxnode_id=202502069&amp;ictv_id=ICTV20094368","ICTV20094368")</f>
        <v>ICTV20094368</v>
      </c>
      <c r="R15321" t="s">
        <v>581</v>
      </c>
      <c r="S15321" t="s">
        <v>824</v>
      </c>
      <c r="T15321">
        <v>39</v>
      </c>
      <c r="U15321" s="26" t="str">
        <f t="shared" si="576"/>
        <v>2023.003S.Picornaviridae_158sprenamed.zip</v>
      </c>
    </row>
    <row r="15322" spans="1:21">
      <c r="A15322">
        <v>15321</v>
      </c>
      <c r="B15322" s="27" t="s">
        <v>1124</v>
      </c>
      <c r="D15322" s="27" t="s">
        <v>1859</v>
      </c>
      <c r="F15322" s="27" t="s">
        <v>1909</v>
      </c>
      <c r="H15322" s="27" t="s">
        <v>1912</v>
      </c>
      <c r="J15322" s="27" t="s">
        <v>260</v>
      </c>
      <c r="L15322" s="27" t="s">
        <v>276</v>
      </c>
      <c r="M15322" s="27" t="s">
        <v>10559</v>
      </c>
      <c r="N15322" s="27" t="s">
        <v>236</v>
      </c>
      <c r="P15322" s="27" t="s">
        <v>17321</v>
      </c>
      <c r="Q15322" s="26" t="str">
        <f>HYPERLINK("https://ictv.global/taxonomy/taxondetails?taxnode_id=202507458&amp;ictv_id=ICTV201907458","ICTV201907458")</f>
        <v>ICTV201907458</v>
      </c>
      <c r="R15322" t="s">
        <v>581</v>
      </c>
      <c r="S15322" t="s">
        <v>824</v>
      </c>
      <c r="T15322">
        <v>39</v>
      </c>
      <c r="U15322" s="26" t="str">
        <f t="shared" si="576"/>
        <v>2023.003S.Picornaviridae_158sprenamed.zip</v>
      </c>
    </row>
    <row r="15323" spans="1:21">
      <c r="A15323">
        <v>15322</v>
      </c>
      <c r="B15323" s="27" t="s">
        <v>1124</v>
      </c>
      <c r="D15323" s="27" t="s">
        <v>1859</v>
      </c>
      <c r="F15323" s="27" t="s">
        <v>1909</v>
      </c>
      <c r="H15323" s="27" t="s">
        <v>1912</v>
      </c>
      <c r="J15323" s="27" t="s">
        <v>260</v>
      </c>
      <c r="L15323" s="27" t="s">
        <v>276</v>
      </c>
      <c r="M15323" s="27" t="s">
        <v>10560</v>
      </c>
      <c r="N15323" s="27" t="s">
        <v>3599</v>
      </c>
      <c r="P15323" s="27" t="s">
        <v>17322</v>
      </c>
      <c r="Q15323" s="26" t="str">
        <f>HYPERLINK("https://ictv.global/taxonomy/taxondetails?taxnode_id=202508806&amp;ictv_id=ICTV202008806","ICTV202008806")</f>
        <v>ICTV202008806</v>
      </c>
      <c r="R15323" t="s">
        <v>581</v>
      </c>
      <c r="S15323" t="s">
        <v>824</v>
      </c>
      <c r="T15323">
        <v>39</v>
      </c>
      <c r="U15323" s="26" t="str">
        <f t="shared" si="576"/>
        <v>2023.003S.Picornaviridae_158sprenamed.zip</v>
      </c>
    </row>
    <row r="15324" spans="1:21">
      <c r="A15324">
        <v>15323</v>
      </c>
      <c r="B15324" s="27" t="s">
        <v>1124</v>
      </c>
      <c r="D15324" s="27" t="s">
        <v>1859</v>
      </c>
      <c r="F15324" s="27" t="s">
        <v>1909</v>
      </c>
      <c r="H15324" s="27" t="s">
        <v>1912</v>
      </c>
      <c r="J15324" s="27" t="s">
        <v>260</v>
      </c>
      <c r="L15324" s="27" t="s">
        <v>276</v>
      </c>
      <c r="M15324" s="27" t="s">
        <v>10560</v>
      </c>
      <c r="N15324" s="27" t="s">
        <v>476</v>
      </c>
      <c r="P15324" s="27" t="s">
        <v>17323</v>
      </c>
      <c r="Q15324" s="26" t="str">
        <f>HYPERLINK("https://ictv.global/taxonomy/taxondetails?taxnode_id=202501981&amp;ictv_id=ICTV20125927","ICTV20125927")</f>
        <v>ICTV20125927</v>
      </c>
      <c r="R15324" t="s">
        <v>581</v>
      </c>
      <c r="S15324" t="s">
        <v>824</v>
      </c>
      <c r="T15324">
        <v>39</v>
      </c>
      <c r="U15324" s="26" t="str">
        <f t="shared" si="576"/>
        <v>2023.003S.Picornaviridae_158sprenamed.zip</v>
      </c>
    </row>
    <row r="15325" spans="1:21">
      <c r="A15325">
        <v>15324</v>
      </c>
      <c r="B15325" s="27" t="s">
        <v>1124</v>
      </c>
      <c r="D15325" s="27" t="s">
        <v>1859</v>
      </c>
      <c r="F15325" s="27" t="s">
        <v>1909</v>
      </c>
      <c r="H15325" s="27" t="s">
        <v>1912</v>
      </c>
      <c r="J15325" s="27" t="s">
        <v>260</v>
      </c>
      <c r="L15325" s="27" t="s">
        <v>276</v>
      </c>
      <c r="M15325" s="27" t="s">
        <v>10560</v>
      </c>
      <c r="N15325" s="27" t="s">
        <v>476</v>
      </c>
      <c r="P15325" s="27" t="s">
        <v>17324</v>
      </c>
      <c r="Q15325" s="26" t="str">
        <f>HYPERLINK("https://ictv.global/taxonomy/taxondetails?taxnode_id=202506291&amp;ictv_id=ICTV201856291","ICTV201856291")</f>
        <v>ICTV201856291</v>
      </c>
      <c r="R15325" t="s">
        <v>581</v>
      </c>
      <c r="S15325" t="s">
        <v>824</v>
      </c>
      <c r="T15325">
        <v>39</v>
      </c>
      <c r="U15325" s="26" t="str">
        <f t="shared" si="576"/>
        <v>2023.003S.Picornaviridae_158sprenamed.zip</v>
      </c>
    </row>
    <row r="15326" spans="1:21">
      <c r="A15326">
        <v>15325</v>
      </c>
      <c r="B15326" s="27" t="s">
        <v>1124</v>
      </c>
      <c r="D15326" s="27" t="s">
        <v>1859</v>
      </c>
      <c r="F15326" s="27" t="s">
        <v>1909</v>
      </c>
      <c r="H15326" s="27" t="s">
        <v>1912</v>
      </c>
      <c r="J15326" s="27" t="s">
        <v>260</v>
      </c>
      <c r="L15326" s="27" t="s">
        <v>276</v>
      </c>
      <c r="M15326" s="27" t="s">
        <v>10560</v>
      </c>
      <c r="N15326" s="27" t="s">
        <v>500</v>
      </c>
      <c r="P15326" s="27" t="s">
        <v>17325</v>
      </c>
      <c r="Q15326" s="26" t="str">
        <f>HYPERLINK("https://ictv.global/taxonomy/taxondetails?taxnode_id=202501999&amp;ictv_id=ICTV20130677","ICTV20130677")</f>
        <v>ICTV20130677</v>
      </c>
      <c r="R15326" t="s">
        <v>581</v>
      </c>
      <c r="S15326" t="s">
        <v>824</v>
      </c>
      <c r="T15326">
        <v>39</v>
      </c>
      <c r="U15326" s="26" t="str">
        <f t="shared" si="576"/>
        <v>2023.003S.Picornaviridae_158sprenamed.zip</v>
      </c>
    </row>
    <row r="15327" spans="1:21">
      <c r="A15327">
        <v>15326</v>
      </c>
      <c r="B15327" s="27" t="s">
        <v>1124</v>
      </c>
      <c r="D15327" s="27" t="s">
        <v>1859</v>
      </c>
      <c r="F15327" s="27" t="s">
        <v>1909</v>
      </c>
      <c r="H15327" s="27" t="s">
        <v>1912</v>
      </c>
      <c r="J15327" s="27" t="s">
        <v>260</v>
      </c>
      <c r="L15327" s="27" t="s">
        <v>276</v>
      </c>
      <c r="M15327" s="27" t="s">
        <v>10560</v>
      </c>
      <c r="N15327" s="27" t="s">
        <v>1948</v>
      </c>
      <c r="P15327" s="27" t="s">
        <v>17326</v>
      </c>
      <c r="Q15327" s="26" t="str">
        <f>HYPERLINK("https://ictv.global/taxonomy/taxondetails?taxnode_id=202507298&amp;ictv_id=ICTV201907298","ICTV201907298")</f>
        <v>ICTV201907298</v>
      </c>
      <c r="R15327" t="s">
        <v>581</v>
      </c>
      <c r="S15327" t="s">
        <v>824</v>
      </c>
      <c r="T15327">
        <v>39</v>
      </c>
      <c r="U15327" s="26" t="str">
        <f t="shared" si="576"/>
        <v>2023.003S.Picornaviridae_158sprenamed.zip</v>
      </c>
    </row>
    <row r="15328" spans="1:21">
      <c r="A15328">
        <v>15327</v>
      </c>
      <c r="B15328" s="27" t="s">
        <v>1124</v>
      </c>
      <c r="D15328" s="27" t="s">
        <v>1859</v>
      </c>
      <c r="F15328" s="27" t="s">
        <v>1909</v>
      </c>
      <c r="H15328" s="27" t="s">
        <v>1912</v>
      </c>
      <c r="J15328" s="27" t="s">
        <v>260</v>
      </c>
      <c r="L15328" s="27" t="s">
        <v>276</v>
      </c>
      <c r="M15328" s="27" t="s">
        <v>10560</v>
      </c>
      <c r="N15328" s="27" t="s">
        <v>165</v>
      </c>
      <c r="P15328" s="27" t="s">
        <v>17327</v>
      </c>
      <c r="Q15328" s="26" t="str">
        <f>HYPERLINK("https://ictv.global/taxonomy/taxondetails?taxnode_id=202502015&amp;ictv_id=ICTV19991258","ICTV19991258")</f>
        <v>ICTV19991258</v>
      </c>
      <c r="R15328" t="s">
        <v>581</v>
      </c>
      <c r="S15328" t="s">
        <v>824</v>
      </c>
      <c r="T15328">
        <v>39</v>
      </c>
      <c r="U15328" s="26" t="str">
        <f t="shared" si="576"/>
        <v>2023.003S.Picornaviridae_158sprenamed.zip</v>
      </c>
    </row>
    <row r="15329" spans="1:21">
      <c r="A15329">
        <v>15328</v>
      </c>
      <c r="B15329" s="27" t="s">
        <v>1124</v>
      </c>
      <c r="D15329" s="27" t="s">
        <v>1859</v>
      </c>
      <c r="F15329" s="27" t="s">
        <v>1909</v>
      </c>
      <c r="H15329" s="27" t="s">
        <v>1912</v>
      </c>
      <c r="J15329" s="27" t="s">
        <v>260</v>
      </c>
      <c r="L15329" s="27" t="s">
        <v>276</v>
      </c>
      <c r="M15329" s="27" t="s">
        <v>10560</v>
      </c>
      <c r="N15329" s="27" t="s">
        <v>165</v>
      </c>
      <c r="P15329" s="27" t="s">
        <v>17328</v>
      </c>
      <c r="Q15329" s="26" t="str">
        <f>HYPERLINK("https://ictv.global/taxonomy/taxondetails?taxnode_id=202502016&amp;ictv_id=ICTV20041615","ICTV20041615")</f>
        <v>ICTV20041615</v>
      </c>
      <c r="R15329" t="s">
        <v>581</v>
      </c>
      <c r="S15329" t="s">
        <v>824</v>
      </c>
      <c r="T15329">
        <v>39</v>
      </c>
      <c r="U15329" s="26" t="str">
        <f t="shared" ref="U15329:U15360" si="577">HYPERLINK("https://ictv.global/ictv/proposals/2023.003S.Picornaviridae_158sprenamed.zip","2023.003S.Picornaviridae_158sprenamed.zip")</f>
        <v>2023.003S.Picornaviridae_158sprenamed.zip</v>
      </c>
    </row>
    <row r="15330" spans="1:21">
      <c r="A15330">
        <v>15329</v>
      </c>
      <c r="B15330" s="27" t="s">
        <v>1124</v>
      </c>
      <c r="D15330" s="27" t="s">
        <v>1859</v>
      </c>
      <c r="F15330" s="27" t="s">
        <v>1909</v>
      </c>
      <c r="H15330" s="27" t="s">
        <v>1912</v>
      </c>
      <c r="J15330" s="27" t="s">
        <v>260</v>
      </c>
      <c r="L15330" s="27" t="s">
        <v>276</v>
      </c>
      <c r="M15330" s="27" t="s">
        <v>10560</v>
      </c>
      <c r="N15330" s="27" t="s">
        <v>165</v>
      </c>
      <c r="P15330" s="27" t="s">
        <v>17329</v>
      </c>
      <c r="Q15330" s="26" t="str">
        <f>HYPERLINK("https://ictv.global/taxonomy/taxondetails?taxnode_id=202502017&amp;ictv_id=ICTV20125933","ICTV20125933")</f>
        <v>ICTV20125933</v>
      </c>
      <c r="R15330" t="s">
        <v>581</v>
      </c>
      <c r="S15330" t="s">
        <v>824</v>
      </c>
      <c r="T15330">
        <v>39</v>
      </c>
      <c r="U15330" s="26" t="str">
        <f t="shared" si="577"/>
        <v>2023.003S.Picornaviridae_158sprenamed.zip</v>
      </c>
    </row>
    <row r="15331" spans="1:21">
      <c r="A15331">
        <v>15330</v>
      </c>
      <c r="B15331" s="27" t="s">
        <v>1124</v>
      </c>
      <c r="D15331" s="27" t="s">
        <v>1859</v>
      </c>
      <c r="F15331" s="27" t="s">
        <v>1909</v>
      </c>
      <c r="H15331" s="27" t="s">
        <v>1912</v>
      </c>
      <c r="J15331" s="27" t="s">
        <v>260</v>
      </c>
      <c r="L15331" s="27" t="s">
        <v>276</v>
      </c>
      <c r="M15331" s="27" t="s">
        <v>10560</v>
      </c>
      <c r="N15331" s="27" t="s">
        <v>165</v>
      </c>
      <c r="P15331" s="27" t="s">
        <v>17330</v>
      </c>
      <c r="Q15331" s="26" t="str">
        <f>HYPERLINK("https://ictv.global/taxonomy/taxondetails?taxnode_id=202502018&amp;ictv_id=ICTV20165204","ICTV20165204")</f>
        <v>ICTV20165204</v>
      </c>
      <c r="R15331" t="s">
        <v>581</v>
      </c>
      <c r="S15331" t="s">
        <v>824</v>
      </c>
      <c r="T15331">
        <v>39</v>
      </c>
      <c r="U15331" s="26" t="str">
        <f t="shared" si="577"/>
        <v>2023.003S.Picornaviridae_158sprenamed.zip</v>
      </c>
    </row>
    <row r="15332" spans="1:21">
      <c r="A15332">
        <v>15331</v>
      </c>
      <c r="B15332" s="27" t="s">
        <v>1124</v>
      </c>
      <c r="D15332" s="27" t="s">
        <v>1859</v>
      </c>
      <c r="F15332" s="27" t="s">
        <v>1909</v>
      </c>
      <c r="H15332" s="27" t="s">
        <v>1912</v>
      </c>
      <c r="J15332" s="27" t="s">
        <v>260</v>
      </c>
      <c r="L15332" s="27" t="s">
        <v>276</v>
      </c>
      <c r="M15332" s="27" t="s">
        <v>10560</v>
      </c>
      <c r="N15332" s="27" t="s">
        <v>165</v>
      </c>
      <c r="P15332" s="27" t="s">
        <v>17331</v>
      </c>
      <c r="Q15332" s="26" t="str">
        <f>HYPERLINK("https://ictv.global/taxonomy/taxondetails?taxnode_id=202502019&amp;ictv_id=ICTV20165205","ICTV20165205")</f>
        <v>ICTV20165205</v>
      </c>
      <c r="R15332" t="s">
        <v>581</v>
      </c>
      <c r="S15332" t="s">
        <v>824</v>
      </c>
      <c r="T15332">
        <v>39</v>
      </c>
      <c r="U15332" s="26" t="str">
        <f t="shared" si="577"/>
        <v>2023.003S.Picornaviridae_158sprenamed.zip</v>
      </c>
    </row>
    <row r="15333" spans="1:21">
      <c r="A15333">
        <v>15332</v>
      </c>
      <c r="B15333" s="27" t="s">
        <v>1124</v>
      </c>
      <c r="D15333" s="27" t="s">
        <v>1859</v>
      </c>
      <c r="F15333" s="27" t="s">
        <v>1909</v>
      </c>
      <c r="H15333" s="27" t="s">
        <v>1912</v>
      </c>
      <c r="J15333" s="27" t="s">
        <v>260</v>
      </c>
      <c r="L15333" s="27" t="s">
        <v>276</v>
      </c>
      <c r="M15333" s="27" t="s">
        <v>10560</v>
      </c>
      <c r="N15333" s="27" t="s">
        <v>165</v>
      </c>
      <c r="P15333" s="27" t="s">
        <v>17332</v>
      </c>
      <c r="Q15333" s="26" t="str">
        <f>HYPERLINK("https://ictv.global/taxonomy/taxondetails?taxnode_id=202502020&amp;ictv_id=ICTV20165206","ICTV20165206")</f>
        <v>ICTV20165206</v>
      </c>
      <c r="R15333" t="s">
        <v>581</v>
      </c>
      <c r="S15333" t="s">
        <v>824</v>
      </c>
      <c r="T15333">
        <v>39</v>
      </c>
      <c r="U15333" s="26" t="str">
        <f t="shared" si="577"/>
        <v>2023.003S.Picornaviridae_158sprenamed.zip</v>
      </c>
    </row>
    <row r="15334" spans="1:21">
      <c r="A15334">
        <v>15333</v>
      </c>
      <c r="B15334" s="27" t="s">
        <v>1124</v>
      </c>
      <c r="D15334" s="27" t="s">
        <v>1859</v>
      </c>
      <c r="F15334" s="27" t="s">
        <v>1909</v>
      </c>
      <c r="H15334" s="27" t="s">
        <v>1912</v>
      </c>
      <c r="J15334" s="27" t="s">
        <v>260</v>
      </c>
      <c r="L15334" s="27" t="s">
        <v>276</v>
      </c>
      <c r="M15334" s="27" t="s">
        <v>10560</v>
      </c>
      <c r="N15334" s="27" t="s">
        <v>1166</v>
      </c>
      <c r="P15334" s="27" t="s">
        <v>17333</v>
      </c>
      <c r="Q15334" s="26" t="str">
        <f>HYPERLINK("https://ictv.global/taxonomy/taxondetails?taxnode_id=202506315&amp;ictv_id=ICTV201856315","ICTV201856315")</f>
        <v>ICTV201856315</v>
      </c>
      <c r="R15334" t="s">
        <v>581</v>
      </c>
      <c r="S15334" t="s">
        <v>824</v>
      </c>
      <c r="T15334">
        <v>39</v>
      </c>
      <c r="U15334" s="26" t="str">
        <f t="shared" si="577"/>
        <v>2023.003S.Picornaviridae_158sprenamed.zip</v>
      </c>
    </row>
    <row r="15335" spans="1:21">
      <c r="A15335">
        <v>15334</v>
      </c>
      <c r="B15335" s="27" t="s">
        <v>1124</v>
      </c>
      <c r="D15335" s="27" t="s">
        <v>1859</v>
      </c>
      <c r="F15335" s="27" t="s">
        <v>1909</v>
      </c>
      <c r="H15335" s="27" t="s">
        <v>1912</v>
      </c>
      <c r="J15335" s="27" t="s">
        <v>260</v>
      </c>
      <c r="L15335" s="27" t="s">
        <v>276</v>
      </c>
      <c r="M15335" s="27" t="s">
        <v>10560</v>
      </c>
      <c r="N15335" s="27" t="s">
        <v>1949</v>
      </c>
      <c r="P15335" s="27" t="s">
        <v>17334</v>
      </c>
      <c r="Q15335" s="26" t="str">
        <f>HYPERLINK("https://ictv.global/taxonomy/taxondetails?taxnode_id=202507359&amp;ictv_id=ICTV201907359","ICTV201907359")</f>
        <v>ICTV201907359</v>
      </c>
      <c r="R15335" t="s">
        <v>581</v>
      </c>
      <c r="S15335" t="s">
        <v>824</v>
      </c>
      <c r="T15335">
        <v>39</v>
      </c>
      <c r="U15335" s="26" t="str">
        <f t="shared" si="577"/>
        <v>2023.003S.Picornaviridae_158sprenamed.zip</v>
      </c>
    </row>
    <row r="15336" spans="1:21">
      <c r="A15336">
        <v>15335</v>
      </c>
      <c r="B15336" s="27" t="s">
        <v>1124</v>
      </c>
      <c r="D15336" s="27" t="s">
        <v>1859</v>
      </c>
      <c r="F15336" s="27" t="s">
        <v>1909</v>
      </c>
      <c r="H15336" s="27" t="s">
        <v>1912</v>
      </c>
      <c r="J15336" s="27" t="s">
        <v>260</v>
      </c>
      <c r="L15336" s="27" t="s">
        <v>276</v>
      </c>
      <c r="M15336" s="27" t="s">
        <v>10560</v>
      </c>
      <c r="N15336" s="27" t="s">
        <v>477</v>
      </c>
      <c r="P15336" s="27" t="s">
        <v>17335</v>
      </c>
      <c r="Q15336" s="26" t="str">
        <f>HYPERLINK("https://ictv.global/taxonomy/taxondetails?taxnode_id=202502028&amp;ictv_id=ICTV20125906","ICTV20125906")</f>
        <v>ICTV20125906</v>
      </c>
      <c r="R15336" t="s">
        <v>581</v>
      </c>
      <c r="S15336" t="s">
        <v>824</v>
      </c>
      <c r="T15336">
        <v>39</v>
      </c>
      <c r="U15336" s="26" t="str">
        <f t="shared" si="577"/>
        <v>2023.003S.Picornaviridae_158sprenamed.zip</v>
      </c>
    </row>
    <row r="15337" spans="1:21">
      <c r="A15337">
        <v>15336</v>
      </c>
      <c r="B15337" s="27" t="s">
        <v>1124</v>
      </c>
      <c r="D15337" s="27" t="s">
        <v>1859</v>
      </c>
      <c r="F15337" s="27" t="s">
        <v>1909</v>
      </c>
      <c r="H15337" s="27" t="s">
        <v>1912</v>
      </c>
      <c r="J15337" s="27" t="s">
        <v>260</v>
      </c>
      <c r="L15337" s="27" t="s">
        <v>276</v>
      </c>
      <c r="M15337" s="27" t="s">
        <v>10560</v>
      </c>
      <c r="N15337" s="27" t="s">
        <v>477</v>
      </c>
      <c r="P15337" s="27" t="s">
        <v>17336</v>
      </c>
      <c r="Q15337" s="26" t="str">
        <f>HYPERLINK("https://ictv.global/taxonomy/taxondetails?taxnode_id=202505600&amp;ictv_id=ICTV20175600","ICTV20175600")</f>
        <v>ICTV20175600</v>
      </c>
      <c r="R15337" t="s">
        <v>581</v>
      </c>
      <c r="S15337" t="s">
        <v>824</v>
      </c>
      <c r="T15337">
        <v>39</v>
      </c>
      <c r="U15337" s="26" t="str">
        <f t="shared" si="577"/>
        <v>2023.003S.Picornaviridae_158sprenamed.zip</v>
      </c>
    </row>
    <row r="15338" spans="1:21">
      <c r="A15338">
        <v>15337</v>
      </c>
      <c r="B15338" s="27" t="s">
        <v>1124</v>
      </c>
      <c r="D15338" s="27" t="s">
        <v>1859</v>
      </c>
      <c r="F15338" s="27" t="s">
        <v>1909</v>
      </c>
      <c r="H15338" s="27" t="s">
        <v>1912</v>
      </c>
      <c r="J15338" s="27" t="s">
        <v>260</v>
      </c>
      <c r="L15338" s="27" t="s">
        <v>276</v>
      </c>
      <c r="M15338" s="27" t="s">
        <v>10560</v>
      </c>
      <c r="N15338" s="27" t="s">
        <v>477</v>
      </c>
      <c r="P15338" s="27" t="s">
        <v>17337</v>
      </c>
      <c r="Q15338" s="26" t="str">
        <f>HYPERLINK("https://ictv.global/taxonomy/taxondetails?taxnode_id=202505601&amp;ictv_id=ICTV20175601","ICTV20175601")</f>
        <v>ICTV20175601</v>
      </c>
      <c r="R15338" t="s">
        <v>581</v>
      </c>
      <c r="S15338" t="s">
        <v>824</v>
      </c>
      <c r="T15338">
        <v>39</v>
      </c>
      <c r="U15338" s="26" t="str">
        <f t="shared" si="577"/>
        <v>2023.003S.Picornaviridae_158sprenamed.zip</v>
      </c>
    </row>
    <row r="15339" spans="1:21">
      <c r="A15339">
        <v>15338</v>
      </c>
      <c r="B15339" s="27" t="s">
        <v>1124</v>
      </c>
      <c r="D15339" s="27" t="s">
        <v>1859</v>
      </c>
      <c r="F15339" s="27" t="s">
        <v>1909</v>
      </c>
      <c r="H15339" s="27" t="s">
        <v>1912</v>
      </c>
      <c r="J15339" s="27" t="s">
        <v>260</v>
      </c>
      <c r="L15339" s="27" t="s">
        <v>276</v>
      </c>
      <c r="M15339" s="27" t="s">
        <v>10560</v>
      </c>
      <c r="N15339" s="27" t="s">
        <v>477</v>
      </c>
      <c r="P15339" s="27" t="s">
        <v>17338</v>
      </c>
      <c r="Q15339" s="26" t="str">
        <f>HYPERLINK("https://ictv.global/taxonomy/taxondetails?taxnode_id=202505602&amp;ictv_id=ICTV20175602","ICTV20175602")</f>
        <v>ICTV20175602</v>
      </c>
      <c r="R15339" t="s">
        <v>581</v>
      </c>
      <c r="S15339" t="s">
        <v>824</v>
      </c>
      <c r="T15339">
        <v>39</v>
      </c>
      <c r="U15339" s="26" t="str">
        <f t="shared" si="577"/>
        <v>2023.003S.Picornaviridae_158sprenamed.zip</v>
      </c>
    </row>
    <row r="15340" spans="1:21">
      <c r="A15340">
        <v>15339</v>
      </c>
      <c r="B15340" s="27" t="s">
        <v>1124</v>
      </c>
      <c r="D15340" s="27" t="s">
        <v>1859</v>
      </c>
      <c r="F15340" s="27" t="s">
        <v>1909</v>
      </c>
      <c r="H15340" s="27" t="s">
        <v>1912</v>
      </c>
      <c r="J15340" s="27" t="s">
        <v>260</v>
      </c>
      <c r="L15340" s="27" t="s">
        <v>276</v>
      </c>
      <c r="M15340" s="27" t="s">
        <v>10560</v>
      </c>
      <c r="N15340" s="27" t="s">
        <v>477</v>
      </c>
      <c r="P15340" s="27" t="s">
        <v>17339</v>
      </c>
      <c r="Q15340" s="26" t="str">
        <f>HYPERLINK("https://ictv.global/taxonomy/taxondetails?taxnode_id=202505603&amp;ictv_id=ICTV20175603","ICTV20175603")</f>
        <v>ICTV20175603</v>
      </c>
      <c r="R15340" t="s">
        <v>581</v>
      </c>
      <c r="S15340" t="s">
        <v>824</v>
      </c>
      <c r="T15340">
        <v>39</v>
      </c>
      <c r="U15340" s="26" t="str">
        <f t="shared" si="577"/>
        <v>2023.003S.Picornaviridae_158sprenamed.zip</v>
      </c>
    </row>
    <row r="15341" spans="1:21">
      <c r="A15341">
        <v>15340</v>
      </c>
      <c r="B15341" s="27" t="s">
        <v>1124</v>
      </c>
      <c r="D15341" s="27" t="s">
        <v>1859</v>
      </c>
      <c r="F15341" s="27" t="s">
        <v>1909</v>
      </c>
      <c r="H15341" s="27" t="s">
        <v>1912</v>
      </c>
      <c r="J15341" s="27" t="s">
        <v>260</v>
      </c>
      <c r="L15341" s="27" t="s">
        <v>276</v>
      </c>
      <c r="M15341" s="27" t="s">
        <v>10560</v>
      </c>
      <c r="N15341" s="27" t="s">
        <v>1951</v>
      </c>
      <c r="P15341" s="27" t="s">
        <v>17340</v>
      </c>
      <c r="Q15341" s="26" t="str">
        <f>HYPERLINK("https://ictv.global/taxonomy/taxondetails?taxnode_id=202507300&amp;ictv_id=ICTV201907300","ICTV201907300")</f>
        <v>ICTV201907300</v>
      </c>
      <c r="R15341" t="s">
        <v>581</v>
      </c>
      <c r="S15341" t="s">
        <v>824</v>
      </c>
      <c r="T15341">
        <v>39</v>
      </c>
      <c r="U15341" s="26" t="str">
        <f t="shared" si="577"/>
        <v>2023.003S.Picornaviridae_158sprenamed.zip</v>
      </c>
    </row>
    <row r="15342" spans="1:21">
      <c r="A15342">
        <v>15341</v>
      </c>
      <c r="B15342" s="27" t="s">
        <v>1124</v>
      </c>
      <c r="D15342" s="27" t="s">
        <v>1859</v>
      </c>
      <c r="F15342" s="27" t="s">
        <v>1909</v>
      </c>
      <c r="H15342" s="27" t="s">
        <v>1912</v>
      </c>
      <c r="J15342" s="27" t="s">
        <v>260</v>
      </c>
      <c r="L15342" s="27" t="s">
        <v>276</v>
      </c>
      <c r="M15342" s="27" t="s">
        <v>10560</v>
      </c>
      <c r="N15342" s="27" t="s">
        <v>504</v>
      </c>
      <c r="P15342" s="27" t="s">
        <v>17341</v>
      </c>
      <c r="Q15342" s="26" t="str">
        <f>HYPERLINK("https://ictv.global/taxonomy/taxondetails?taxnode_id=202502036&amp;ictv_id=ICTV20130687","ICTV20130687")</f>
        <v>ICTV20130687</v>
      </c>
      <c r="R15342" t="s">
        <v>581</v>
      </c>
      <c r="S15342" t="s">
        <v>824</v>
      </c>
      <c r="T15342">
        <v>39</v>
      </c>
      <c r="U15342" s="26" t="str">
        <f t="shared" si="577"/>
        <v>2023.003S.Picornaviridae_158sprenamed.zip</v>
      </c>
    </row>
    <row r="15343" spans="1:21">
      <c r="A15343">
        <v>15342</v>
      </c>
      <c r="B15343" s="27" t="s">
        <v>1124</v>
      </c>
      <c r="D15343" s="27" t="s">
        <v>1859</v>
      </c>
      <c r="F15343" s="27" t="s">
        <v>1909</v>
      </c>
      <c r="H15343" s="27" t="s">
        <v>1912</v>
      </c>
      <c r="J15343" s="27" t="s">
        <v>260</v>
      </c>
      <c r="L15343" s="27" t="s">
        <v>276</v>
      </c>
      <c r="M15343" s="27" t="s">
        <v>10560</v>
      </c>
      <c r="N15343" s="27" t="s">
        <v>506</v>
      </c>
      <c r="P15343" s="27" t="s">
        <v>17342</v>
      </c>
      <c r="Q15343" s="26" t="str">
        <f>HYPERLINK("https://ictv.global/taxonomy/taxondetails?taxnode_id=202502045&amp;ictv_id=ICTV20130693","ICTV20130693")</f>
        <v>ICTV20130693</v>
      </c>
      <c r="R15343" t="s">
        <v>581</v>
      </c>
      <c r="S15343" t="s">
        <v>824</v>
      </c>
      <c r="T15343">
        <v>39</v>
      </c>
      <c r="U15343" s="26" t="str">
        <f t="shared" si="577"/>
        <v>2023.003S.Picornaviridae_158sprenamed.zip</v>
      </c>
    </row>
    <row r="15344" spans="1:21">
      <c r="A15344">
        <v>15343</v>
      </c>
      <c r="B15344" s="27" t="s">
        <v>1124</v>
      </c>
      <c r="D15344" s="27" t="s">
        <v>1859</v>
      </c>
      <c r="F15344" s="27" t="s">
        <v>1909</v>
      </c>
      <c r="H15344" s="27" t="s">
        <v>1912</v>
      </c>
      <c r="J15344" s="27" t="s">
        <v>260</v>
      </c>
      <c r="L15344" s="27" t="s">
        <v>276</v>
      </c>
      <c r="M15344" s="27" t="s">
        <v>10560</v>
      </c>
      <c r="N15344" s="27" t="s">
        <v>506</v>
      </c>
      <c r="P15344" s="27" t="s">
        <v>17343</v>
      </c>
      <c r="Q15344" s="26" t="str">
        <f>HYPERLINK("https://ictv.global/taxonomy/taxondetails?taxnode_id=202506340&amp;ictv_id=ICTV201856340","ICTV201856340")</f>
        <v>ICTV201856340</v>
      </c>
      <c r="R15344" t="s">
        <v>581</v>
      </c>
      <c r="S15344" t="s">
        <v>824</v>
      </c>
      <c r="T15344">
        <v>39</v>
      </c>
      <c r="U15344" s="26" t="str">
        <f t="shared" si="577"/>
        <v>2023.003S.Picornaviridae_158sprenamed.zip</v>
      </c>
    </row>
    <row r="15345" spans="1:21">
      <c r="A15345">
        <v>15344</v>
      </c>
      <c r="B15345" s="27" t="s">
        <v>1124</v>
      </c>
      <c r="D15345" s="27" t="s">
        <v>1859</v>
      </c>
      <c r="F15345" s="27" t="s">
        <v>1909</v>
      </c>
      <c r="H15345" s="27" t="s">
        <v>1912</v>
      </c>
      <c r="J15345" s="27" t="s">
        <v>260</v>
      </c>
      <c r="L15345" s="27" t="s">
        <v>276</v>
      </c>
      <c r="M15345" s="27" t="s">
        <v>10560</v>
      </c>
      <c r="N15345" s="27" t="s">
        <v>1953</v>
      </c>
      <c r="P15345" s="27" t="s">
        <v>17344</v>
      </c>
      <c r="Q15345" s="26" t="str">
        <f>HYPERLINK("https://ictv.global/taxonomy/taxondetails?taxnode_id=202507302&amp;ictv_id=ICTV201907302","ICTV201907302")</f>
        <v>ICTV201907302</v>
      </c>
      <c r="R15345" t="s">
        <v>581</v>
      </c>
      <c r="S15345" t="s">
        <v>824</v>
      </c>
      <c r="T15345">
        <v>39</v>
      </c>
      <c r="U15345" s="26" t="str">
        <f t="shared" si="577"/>
        <v>2023.003S.Picornaviridae_158sprenamed.zip</v>
      </c>
    </row>
    <row r="15346" spans="1:21">
      <c r="A15346">
        <v>15345</v>
      </c>
      <c r="B15346" s="27" t="s">
        <v>1124</v>
      </c>
      <c r="D15346" s="27" t="s">
        <v>1859</v>
      </c>
      <c r="F15346" s="27" t="s">
        <v>1909</v>
      </c>
      <c r="H15346" s="27" t="s">
        <v>1912</v>
      </c>
      <c r="J15346" s="27" t="s">
        <v>260</v>
      </c>
      <c r="L15346" s="27" t="s">
        <v>276</v>
      </c>
      <c r="M15346" s="27" t="s">
        <v>10560</v>
      </c>
      <c r="N15346" s="27" t="s">
        <v>1953</v>
      </c>
      <c r="P15346" s="27" t="s">
        <v>17345</v>
      </c>
      <c r="Q15346" s="26" t="str">
        <f>HYPERLINK("https://ictv.global/taxonomy/taxondetails?taxnode_id=202509182&amp;ictv_id=ICTV202009182","ICTV202009182")</f>
        <v>ICTV202009182</v>
      </c>
      <c r="R15346" t="s">
        <v>581</v>
      </c>
      <c r="S15346" t="s">
        <v>824</v>
      </c>
      <c r="T15346">
        <v>39</v>
      </c>
      <c r="U15346" s="26" t="str">
        <f t="shared" si="577"/>
        <v>2023.003S.Picornaviridae_158sprenamed.zip</v>
      </c>
    </row>
    <row r="15347" spans="1:21">
      <c r="A15347">
        <v>15346</v>
      </c>
      <c r="B15347" s="27" t="s">
        <v>1124</v>
      </c>
      <c r="D15347" s="27" t="s">
        <v>1859</v>
      </c>
      <c r="F15347" s="27" t="s">
        <v>1909</v>
      </c>
      <c r="H15347" s="27" t="s">
        <v>1912</v>
      </c>
      <c r="J15347" s="27" t="s">
        <v>260</v>
      </c>
      <c r="L15347" s="27" t="s">
        <v>276</v>
      </c>
      <c r="M15347" s="27" t="s">
        <v>10560</v>
      </c>
      <c r="N15347" s="27" t="s">
        <v>1168</v>
      </c>
      <c r="P15347" s="27" t="s">
        <v>17346</v>
      </c>
      <c r="Q15347" s="26" t="str">
        <f>HYPERLINK("https://ictv.global/taxonomy/taxondetails?taxnode_id=202506392&amp;ictv_id=ICTV201856392","ICTV201856392")</f>
        <v>ICTV201856392</v>
      </c>
      <c r="R15347" t="s">
        <v>581</v>
      </c>
      <c r="S15347" t="s">
        <v>824</v>
      </c>
      <c r="T15347">
        <v>39</v>
      </c>
      <c r="U15347" s="26" t="str">
        <f t="shared" si="577"/>
        <v>2023.003S.Picornaviridae_158sprenamed.zip</v>
      </c>
    </row>
    <row r="15348" spans="1:21">
      <c r="A15348">
        <v>15347</v>
      </c>
      <c r="B15348" s="27" t="s">
        <v>1124</v>
      </c>
      <c r="D15348" s="27" t="s">
        <v>1859</v>
      </c>
      <c r="F15348" s="27" t="s">
        <v>1909</v>
      </c>
      <c r="H15348" s="27" t="s">
        <v>1912</v>
      </c>
      <c r="J15348" s="27" t="s">
        <v>260</v>
      </c>
      <c r="L15348" s="27" t="s">
        <v>276</v>
      </c>
      <c r="M15348" s="27" t="s">
        <v>10560</v>
      </c>
      <c r="N15348" s="27" t="s">
        <v>3601</v>
      </c>
      <c r="P15348" s="27" t="s">
        <v>17347</v>
      </c>
      <c r="Q15348" s="26" t="str">
        <f>HYPERLINK("https://ictv.global/taxonomy/taxondetails?taxnode_id=202508808&amp;ictv_id=ICTV202008808","ICTV202008808")</f>
        <v>ICTV202008808</v>
      </c>
      <c r="R15348" t="s">
        <v>581</v>
      </c>
      <c r="S15348" t="s">
        <v>824</v>
      </c>
      <c r="T15348">
        <v>39</v>
      </c>
      <c r="U15348" s="26" t="str">
        <f t="shared" si="577"/>
        <v>2023.003S.Picornaviridae_158sprenamed.zip</v>
      </c>
    </row>
    <row r="15349" spans="1:21">
      <c r="A15349">
        <v>15348</v>
      </c>
      <c r="B15349" s="27" t="s">
        <v>1124</v>
      </c>
      <c r="D15349" s="27" t="s">
        <v>1859</v>
      </c>
      <c r="F15349" s="27" t="s">
        <v>1909</v>
      </c>
      <c r="H15349" s="27" t="s">
        <v>1912</v>
      </c>
      <c r="J15349" s="27" t="s">
        <v>260</v>
      </c>
      <c r="L15349" s="27" t="s">
        <v>276</v>
      </c>
      <c r="M15349" s="27" t="s">
        <v>10560</v>
      </c>
      <c r="N15349" s="27" t="s">
        <v>1169</v>
      </c>
      <c r="P15349" s="27" t="s">
        <v>17348</v>
      </c>
      <c r="Q15349" s="26" t="str">
        <f>HYPERLINK("https://ictv.global/taxonomy/taxondetails?taxnode_id=202506441&amp;ictv_id=ICTV201856441","ICTV201856441")</f>
        <v>ICTV201856441</v>
      </c>
      <c r="R15349" t="s">
        <v>581</v>
      </c>
      <c r="S15349" t="s">
        <v>824</v>
      </c>
      <c r="T15349">
        <v>39</v>
      </c>
      <c r="U15349" s="26" t="str">
        <f t="shared" si="577"/>
        <v>2023.003S.Picornaviridae_158sprenamed.zip</v>
      </c>
    </row>
    <row r="15350" spans="1:21">
      <c r="A15350">
        <v>15349</v>
      </c>
      <c r="B15350" s="27" t="s">
        <v>1124</v>
      </c>
      <c r="D15350" s="27" t="s">
        <v>1859</v>
      </c>
      <c r="F15350" s="27" t="s">
        <v>1909</v>
      </c>
      <c r="H15350" s="27" t="s">
        <v>1912</v>
      </c>
      <c r="J15350" s="27" t="s">
        <v>260</v>
      </c>
      <c r="L15350" s="27" t="s">
        <v>276</v>
      </c>
      <c r="M15350" s="27" t="s">
        <v>10560</v>
      </c>
      <c r="N15350" s="27" t="s">
        <v>1169</v>
      </c>
      <c r="P15350" s="27" t="s">
        <v>17349</v>
      </c>
      <c r="Q15350" s="26" t="str">
        <f>HYPERLINK("https://ictv.global/taxonomy/taxondetails?taxnode_id=202506442&amp;ictv_id=ICTV201856442","ICTV201856442")</f>
        <v>ICTV201856442</v>
      </c>
      <c r="R15350" t="s">
        <v>581</v>
      </c>
      <c r="S15350" t="s">
        <v>824</v>
      </c>
      <c r="T15350">
        <v>39</v>
      </c>
      <c r="U15350" s="26" t="str">
        <f t="shared" si="577"/>
        <v>2023.003S.Picornaviridae_158sprenamed.zip</v>
      </c>
    </row>
    <row r="15351" spans="1:21">
      <c r="A15351">
        <v>15350</v>
      </c>
      <c r="B15351" s="27" t="s">
        <v>1124</v>
      </c>
      <c r="D15351" s="27" t="s">
        <v>1859</v>
      </c>
      <c r="F15351" s="27" t="s">
        <v>1909</v>
      </c>
      <c r="H15351" s="27" t="s">
        <v>1912</v>
      </c>
      <c r="J15351" s="27" t="s">
        <v>260</v>
      </c>
      <c r="L15351" s="27" t="s">
        <v>276</v>
      </c>
      <c r="M15351" s="27" t="s">
        <v>10560</v>
      </c>
      <c r="N15351" s="27" t="s">
        <v>1169</v>
      </c>
      <c r="P15351" s="27" t="s">
        <v>17350</v>
      </c>
      <c r="Q15351" s="26" t="str">
        <f>HYPERLINK("https://ictv.global/taxonomy/taxondetails?taxnode_id=202507439&amp;ictv_id=ICTV201907439","ICTV201907439")</f>
        <v>ICTV201907439</v>
      </c>
      <c r="R15351" t="s">
        <v>581</v>
      </c>
      <c r="S15351" t="s">
        <v>824</v>
      </c>
      <c r="T15351">
        <v>39</v>
      </c>
      <c r="U15351" s="26" t="str">
        <f t="shared" si="577"/>
        <v>2023.003S.Picornaviridae_158sprenamed.zip</v>
      </c>
    </row>
    <row r="15352" spans="1:21">
      <c r="A15352">
        <v>15351</v>
      </c>
      <c r="B15352" s="27" t="s">
        <v>1124</v>
      </c>
      <c r="D15352" s="27" t="s">
        <v>1859</v>
      </c>
      <c r="F15352" s="27" t="s">
        <v>1909</v>
      </c>
      <c r="H15352" s="27" t="s">
        <v>1912</v>
      </c>
      <c r="J15352" s="27" t="s">
        <v>260</v>
      </c>
      <c r="L15352" s="27" t="s">
        <v>276</v>
      </c>
      <c r="M15352" s="27" t="s">
        <v>10560</v>
      </c>
      <c r="N15352" s="27" t="s">
        <v>3602</v>
      </c>
      <c r="P15352" s="27" t="s">
        <v>17351</v>
      </c>
      <c r="Q15352" s="26" t="str">
        <f>HYPERLINK("https://ictv.global/taxonomy/taxondetails?taxnode_id=202508810&amp;ictv_id=ICTV202008810","ICTV202008810")</f>
        <v>ICTV202008810</v>
      </c>
      <c r="R15352" t="s">
        <v>581</v>
      </c>
      <c r="S15352" t="s">
        <v>824</v>
      </c>
      <c r="T15352">
        <v>39</v>
      </c>
      <c r="U15352" s="26" t="str">
        <f t="shared" si="577"/>
        <v>2023.003S.Picornaviridae_158sprenamed.zip</v>
      </c>
    </row>
    <row r="15353" spans="1:21">
      <c r="A15353">
        <v>15352</v>
      </c>
      <c r="B15353" s="27" t="s">
        <v>1124</v>
      </c>
      <c r="D15353" s="27" t="s">
        <v>1859</v>
      </c>
      <c r="F15353" s="27" t="s">
        <v>1909</v>
      </c>
      <c r="H15353" s="27" t="s">
        <v>1912</v>
      </c>
      <c r="J15353" s="27" t="s">
        <v>260</v>
      </c>
      <c r="L15353" s="27" t="s">
        <v>276</v>
      </c>
      <c r="M15353" s="27" t="s">
        <v>10560</v>
      </c>
      <c r="N15353" s="27" t="s">
        <v>507</v>
      </c>
      <c r="P15353" s="27" t="s">
        <v>17352</v>
      </c>
      <c r="Q15353" s="26" t="str">
        <f>HYPERLINK("https://ictv.global/taxonomy/taxondetails?taxnode_id=202502051&amp;ictv_id=ICTV20130691","ICTV20130691")</f>
        <v>ICTV20130691</v>
      </c>
      <c r="R15353" t="s">
        <v>581</v>
      </c>
      <c r="S15353" t="s">
        <v>824</v>
      </c>
      <c r="T15353">
        <v>39</v>
      </c>
      <c r="U15353" s="26" t="str">
        <f t="shared" si="577"/>
        <v>2023.003S.Picornaviridae_158sprenamed.zip</v>
      </c>
    </row>
    <row r="15354" spans="1:21">
      <c r="A15354">
        <v>15353</v>
      </c>
      <c r="B15354" s="27" t="s">
        <v>1124</v>
      </c>
      <c r="D15354" s="27" t="s">
        <v>1859</v>
      </c>
      <c r="F15354" s="27" t="s">
        <v>1909</v>
      </c>
      <c r="H15354" s="27" t="s">
        <v>1912</v>
      </c>
      <c r="J15354" s="27" t="s">
        <v>260</v>
      </c>
      <c r="L15354" s="27" t="s">
        <v>276</v>
      </c>
      <c r="M15354" s="27" t="s">
        <v>10560</v>
      </c>
      <c r="N15354" s="27" t="s">
        <v>507</v>
      </c>
      <c r="P15354" s="27" t="s">
        <v>17353</v>
      </c>
      <c r="Q15354" s="26" t="str">
        <f>HYPERLINK("https://ictv.global/taxonomy/taxondetails?taxnode_id=202506477&amp;ictv_id=ICTV201856477","ICTV201856477")</f>
        <v>ICTV201856477</v>
      </c>
      <c r="R15354" t="s">
        <v>581</v>
      </c>
      <c r="S15354" t="s">
        <v>824</v>
      </c>
      <c r="T15354">
        <v>39</v>
      </c>
      <c r="U15354" s="26" t="str">
        <f t="shared" si="577"/>
        <v>2023.003S.Picornaviridae_158sprenamed.zip</v>
      </c>
    </row>
    <row r="15355" spans="1:21">
      <c r="A15355">
        <v>15354</v>
      </c>
      <c r="B15355" s="27" t="s">
        <v>1124</v>
      </c>
      <c r="D15355" s="27" t="s">
        <v>1859</v>
      </c>
      <c r="F15355" s="27" t="s">
        <v>1909</v>
      </c>
      <c r="H15355" s="27" t="s">
        <v>1912</v>
      </c>
      <c r="J15355" s="27" t="s">
        <v>260</v>
      </c>
      <c r="L15355" s="27" t="s">
        <v>276</v>
      </c>
      <c r="M15355" s="27" t="s">
        <v>10560</v>
      </c>
      <c r="N15355" s="27" t="s">
        <v>507</v>
      </c>
      <c r="P15355" s="27" t="s">
        <v>17354</v>
      </c>
      <c r="Q15355" s="26" t="str">
        <f>HYPERLINK("https://ictv.global/taxonomy/taxondetails?taxnode_id=202506478&amp;ictv_id=ICTV201856478","ICTV201856478")</f>
        <v>ICTV201856478</v>
      </c>
      <c r="R15355" t="s">
        <v>581</v>
      </c>
      <c r="S15355" t="s">
        <v>824</v>
      </c>
      <c r="T15355">
        <v>39</v>
      </c>
      <c r="U15355" s="26" t="str">
        <f t="shared" si="577"/>
        <v>2023.003S.Picornaviridae_158sprenamed.zip</v>
      </c>
    </row>
    <row r="15356" spans="1:21">
      <c r="A15356">
        <v>15355</v>
      </c>
      <c r="B15356" s="27" t="s">
        <v>1124</v>
      </c>
      <c r="D15356" s="27" t="s">
        <v>1859</v>
      </c>
      <c r="F15356" s="27" t="s">
        <v>1909</v>
      </c>
      <c r="H15356" s="27" t="s">
        <v>1912</v>
      </c>
      <c r="J15356" s="27" t="s">
        <v>260</v>
      </c>
      <c r="L15356" s="27" t="s">
        <v>276</v>
      </c>
      <c r="M15356" s="27" t="s">
        <v>10560</v>
      </c>
      <c r="N15356" s="27" t="s">
        <v>571</v>
      </c>
      <c r="P15356" s="27" t="s">
        <v>17355</v>
      </c>
      <c r="Q15356" s="26" t="str">
        <f>HYPERLINK("https://ictv.global/taxonomy/taxondetails?taxnode_id=202502053&amp;ictv_id=ICTV20141039","ICTV20141039")</f>
        <v>ICTV20141039</v>
      </c>
      <c r="R15356" t="s">
        <v>581</v>
      </c>
      <c r="S15356" t="s">
        <v>824</v>
      </c>
      <c r="T15356">
        <v>39</v>
      </c>
      <c r="U15356" s="26" t="str">
        <f t="shared" si="577"/>
        <v>2023.003S.Picornaviridae_158sprenamed.zip</v>
      </c>
    </row>
    <row r="15357" spans="1:21">
      <c r="A15357">
        <v>15356</v>
      </c>
      <c r="B15357" s="27" t="s">
        <v>1124</v>
      </c>
      <c r="D15357" s="27" t="s">
        <v>1859</v>
      </c>
      <c r="F15357" s="27" t="s">
        <v>1909</v>
      </c>
      <c r="H15357" s="27" t="s">
        <v>1912</v>
      </c>
      <c r="J15357" s="27" t="s">
        <v>260</v>
      </c>
      <c r="L15357" s="27" t="s">
        <v>276</v>
      </c>
      <c r="M15357" s="27" t="s">
        <v>10560</v>
      </c>
      <c r="N15357" s="27" t="s">
        <v>478</v>
      </c>
      <c r="P15357" s="27" t="s">
        <v>17356</v>
      </c>
      <c r="Q15357" s="26" t="str">
        <f>HYPERLINK("https://ictv.global/taxonomy/taxondetails?taxnode_id=202502055&amp;ictv_id=ICTV20125909","ICTV20125909")</f>
        <v>ICTV20125909</v>
      </c>
      <c r="R15357" t="s">
        <v>581</v>
      </c>
      <c r="S15357" t="s">
        <v>824</v>
      </c>
      <c r="T15357">
        <v>39</v>
      </c>
      <c r="U15357" s="26" t="str">
        <f t="shared" si="577"/>
        <v>2023.003S.Picornaviridae_158sprenamed.zip</v>
      </c>
    </row>
    <row r="15358" spans="1:21">
      <c r="A15358">
        <v>15357</v>
      </c>
      <c r="B15358" s="27" t="s">
        <v>1124</v>
      </c>
      <c r="D15358" s="27" t="s">
        <v>1859</v>
      </c>
      <c r="F15358" s="27" t="s">
        <v>1909</v>
      </c>
      <c r="H15358" s="27" t="s">
        <v>1912</v>
      </c>
      <c r="J15358" s="27" t="s">
        <v>260</v>
      </c>
      <c r="L15358" s="27" t="s">
        <v>276</v>
      </c>
      <c r="M15358" s="27" t="s">
        <v>10560</v>
      </c>
      <c r="N15358" s="27" t="s">
        <v>572</v>
      </c>
      <c r="P15358" s="27" t="s">
        <v>17357</v>
      </c>
      <c r="Q15358" s="26" t="str">
        <f>HYPERLINK("https://ictv.global/taxonomy/taxondetails?taxnode_id=202502063&amp;ictv_id=ICTV20141041","ICTV20141041")</f>
        <v>ICTV20141041</v>
      </c>
      <c r="R15358" t="s">
        <v>581</v>
      </c>
      <c r="S15358" t="s">
        <v>824</v>
      </c>
      <c r="T15358">
        <v>39</v>
      </c>
      <c r="U15358" s="26" t="str">
        <f t="shared" si="577"/>
        <v>2023.003S.Picornaviridae_158sprenamed.zip</v>
      </c>
    </row>
    <row r="15359" spans="1:21">
      <c r="A15359">
        <v>15358</v>
      </c>
      <c r="B15359" s="27" t="s">
        <v>1124</v>
      </c>
      <c r="D15359" s="27" t="s">
        <v>1859</v>
      </c>
      <c r="F15359" s="27" t="s">
        <v>1909</v>
      </c>
      <c r="H15359" s="27" t="s">
        <v>1912</v>
      </c>
      <c r="J15359" s="27" t="s">
        <v>260</v>
      </c>
      <c r="L15359" s="27" t="s">
        <v>276</v>
      </c>
      <c r="M15359" s="27" t="s">
        <v>10560</v>
      </c>
      <c r="N15359" s="27" t="s">
        <v>1955</v>
      </c>
      <c r="P15359" s="27" t="s">
        <v>17358</v>
      </c>
      <c r="Q15359" s="26" t="str">
        <f>HYPERLINK("https://ictv.global/taxonomy/taxondetails?taxnode_id=202507304&amp;ictv_id=ICTV201907304","ICTV201907304")</f>
        <v>ICTV201907304</v>
      </c>
      <c r="R15359" t="s">
        <v>581</v>
      </c>
      <c r="S15359" t="s">
        <v>824</v>
      </c>
      <c r="T15359">
        <v>39</v>
      </c>
      <c r="U15359" s="26" t="str">
        <f t="shared" si="577"/>
        <v>2023.003S.Picornaviridae_158sprenamed.zip</v>
      </c>
    </row>
    <row r="15360" spans="1:21">
      <c r="A15360">
        <v>15359</v>
      </c>
      <c r="B15360" s="27" t="s">
        <v>1124</v>
      </c>
      <c r="D15360" s="27" t="s">
        <v>1859</v>
      </c>
      <c r="F15360" s="27" t="s">
        <v>1909</v>
      </c>
      <c r="H15360" s="27" t="s">
        <v>1912</v>
      </c>
      <c r="J15360" s="27" t="s">
        <v>260</v>
      </c>
      <c r="L15360" s="27" t="s">
        <v>276</v>
      </c>
      <c r="M15360" s="27" t="s">
        <v>10560</v>
      </c>
      <c r="N15360" s="27" t="s">
        <v>1956</v>
      </c>
      <c r="P15360" s="27" t="s">
        <v>17359</v>
      </c>
      <c r="Q15360" s="26" t="str">
        <f>HYPERLINK("https://ictv.global/taxonomy/taxondetails?taxnode_id=202507306&amp;ictv_id=ICTV201907306","ICTV201907306")</f>
        <v>ICTV201907306</v>
      </c>
      <c r="R15360" t="s">
        <v>581</v>
      </c>
      <c r="S15360" t="s">
        <v>824</v>
      </c>
      <c r="T15360">
        <v>39</v>
      </c>
      <c r="U15360" s="26" t="str">
        <f t="shared" si="577"/>
        <v>2023.003S.Picornaviridae_158sprenamed.zip</v>
      </c>
    </row>
    <row r="15361" spans="1:21">
      <c r="A15361">
        <v>15360</v>
      </c>
      <c r="B15361" s="27" t="s">
        <v>1124</v>
      </c>
      <c r="D15361" s="27" t="s">
        <v>1859</v>
      </c>
      <c r="F15361" s="27" t="s">
        <v>1909</v>
      </c>
      <c r="H15361" s="27" t="s">
        <v>1912</v>
      </c>
      <c r="J15361" s="27" t="s">
        <v>260</v>
      </c>
      <c r="L15361" s="27" t="s">
        <v>276</v>
      </c>
      <c r="M15361" s="27" t="s">
        <v>10560</v>
      </c>
      <c r="N15361" s="27" t="s">
        <v>1956</v>
      </c>
      <c r="P15361" s="27" t="s">
        <v>17360</v>
      </c>
      <c r="Q15361" s="26" t="str">
        <f>HYPERLINK("https://ictv.global/taxonomy/taxondetails?taxnode_id=202509248&amp;ictv_id=ICTV202009248","ICTV202009248")</f>
        <v>ICTV202009248</v>
      </c>
      <c r="R15361" t="s">
        <v>581</v>
      </c>
      <c r="S15361" t="s">
        <v>824</v>
      </c>
      <c r="T15361">
        <v>39</v>
      </c>
      <c r="U15361" s="26" t="str">
        <f t="shared" ref="U15361:U15392" si="578">HYPERLINK("https://ictv.global/ictv/proposals/2023.003S.Picornaviridae_158sprenamed.zip","2023.003S.Picornaviridae_158sprenamed.zip")</f>
        <v>2023.003S.Picornaviridae_158sprenamed.zip</v>
      </c>
    </row>
    <row r="15362" spans="1:21">
      <c r="A15362">
        <v>15361</v>
      </c>
      <c r="B15362" s="27" t="s">
        <v>1124</v>
      </c>
      <c r="D15362" s="27" t="s">
        <v>1859</v>
      </c>
      <c r="F15362" s="27" t="s">
        <v>1909</v>
      </c>
      <c r="H15362" s="27" t="s">
        <v>1912</v>
      </c>
      <c r="J15362" s="27" t="s">
        <v>260</v>
      </c>
      <c r="L15362" s="27" t="s">
        <v>276</v>
      </c>
      <c r="M15362" s="27" t="s">
        <v>10561</v>
      </c>
      <c r="N15362" s="27" t="s">
        <v>856</v>
      </c>
      <c r="P15362" s="27" t="s">
        <v>17361</v>
      </c>
      <c r="Q15362" s="26" t="str">
        <f>HYPERLINK("https://ictv.global/taxonomy/taxondetails?taxnode_id=202505589&amp;ictv_id=ICTV20175589","ICTV20175589")</f>
        <v>ICTV20175589</v>
      </c>
      <c r="R15362" t="s">
        <v>581</v>
      </c>
      <c r="S15362" t="s">
        <v>824</v>
      </c>
      <c r="T15362">
        <v>39</v>
      </c>
      <c r="U15362" s="26" t="str">
        <f t="shared" si="578"/>
        <v>2023.003S.Picornaviridae_158sprenamed.zip</v>
      </c>
    </row>
    <row r="15363" spans="1:21">
      <c r="A15363">
        <v>15362</v>
      </c>
      <c r="B15363" s="27" t="s">
        <v>1124</v>
      </c>
      <c r="D15363" s="27" t="s">
        <v>1859</v>
      </c>
      <c r="F15363" s="27" t="s">
        <v>1909</v>
      </c>
      <c r="H15363" s="27" t="s">
        <v>1912</v>
      </c>
      <c r="J15363" s="27" t="s">
        <v>260</v>
      </c>
      <c r="L15363" s="27" t="s">
        <v>276</v>
      </c>
      <c r="M15363" s="27" t="s">
        <v>10561</v>
      </c>
      <c r="N15363" s="27" t="s">
        <v>474</v>
      </c>
      <c r="P15363" s="27" t="s">
        <v>17362</v>
      </c>
      <c r="Q15363" s="26" t="str">
        <f>HYPERLINK("https://ictv.global/taxonomy/taxondetails?taxnode_id=202501963&amp;ictv_id=ICTV20125890","ICTV20125890")</f>
        <v>ICTV20125890</v>
      </c>
      <c r="R15363" t="s">
        <v>581</v>
      </c>
      <c r="S15363" t="s">
        <v>824</v>
      </c>
      <c r="T15363">
        <v>39</v>
      </c>
      <c r="U15363" s="26" t="str">
        <f t="shared" si="578"/>
        <v>2023.003S.Picornaviridae_158sprenamed.zip</v>
      </c>
    </row>
    <row r="15364" spans="1:21">
      <c r="A15364">
        <v>15363</v>
      </c>
      <c r="B15364" s="27" t="s">
        <v>1124</v>
      </c>
      <c r="D15364" s="27" t="s">
        <v>1859</v>
      </c>
      <c r="F15364" s="27" t="s">
        <v>1909</v>
      </c>
      <c r="H15364" s="27" t="s">
        <v>1912</v>
      </c>
      <c r="J15364" s="27" t="s">
        <v>260</v>
      </c>
      <c r="L15364" s="27" t="s">
        <v>276</v>
      </c>
      <c r="M15364" s="27" t="s">
        <v>10561</v>
      </c>
      <c r="N15364" s="27" t="s">
        <v>263</v>
      </c>
      <c r="P15364" s="27" t="s">
        <v>17363</v>
      </c>
      <c r="Q15364" s="26" t="str">
        <f>HYPERLINK("https://ictv.global/taxonomy/taxondetails?taxnode_id=202501965&amp;ictv_id=ICTV20094344","ICTV20094344")</f>
        <v>ICTV20094344</v>
      </c>
      <c r="R15364" t="s">
        <v>581</v>
      </c>
      <c r="S15364" t="s">
        <v>824</v>
      </c>
      <c r="T15364">
        <v>39</v>
      </c>
      <c r="U15364" s="26" t="str">
        <f t="shared" si="578"/>
        <v>2023.003S.Picornaviridae_158sprenamed.zip</v>
      </c>
    </row>
    <row r="15365" spans="1:21">
      <c r="A15365">
        <v>15364</v>
      </c>
      <c r="B15365" s="27" t="s">
        <v>1124</v>
      </c>
      <c r="D15365" s="27" t="s">
        <v>1859</v>
      </c>
      <c r="F15365" s="27" t="s">
        <v>1909</v>
      </c>
      <c r="H15365" s="27" t="s">
        <v>1912</v>
      </c>
      <c r="J15365" s="27" t="s">
        <v>260</v>
      </c>
      <c r="L15365" s="27" t="s">
        <v>276</v>
      </c>
      <c r="M15365" s="27" t="s">
        <v>10561</v>
      </c>
      <c r="N15365" s="27" t="s">
        <v>499</v>
      </c>
      <c r="P15365" s="27" t="s">
        <v>17364</v>
      </c>
      <c r="Q15365" s="26" t="str">
        <f>HYPERLINK("https://ictv.global/taxonomy/taxondetails?taxnode_id=202501967&amp;ictv_id=ICTV20130681","ICTV20130681")</f>
        <v>ICTV20130681</v>
      </c>
      <c r="R15365" t="s">
        <v>581</v>
      </c>
      <c r="S15365" t="s">
        <v>824</v>
      </c>
      <c r="T15365">
        <v>39</v>
      </c>
      <c r="U15365" s="26" t="str">
        <f t="shared" si="578"/>
        <v>2023.003S.Picornaviridae_158sprenamed.zip</v>
      </c>
    </row>
    <row r="15366" spans="1:21">
      <c r="A15366">
        <v>15365</v>
      </c>
      <c r="B15366" s="27" t="s">
        <v>1124</v>
      </c>
      <c r="D15366" s="27" t="s">
        <v>1859</v>
      </c>
      <c r="F15366" s="27" t="s">
        <v>1909</v>
      </c>
      <c r="H15366" s="27" t="s">
        <v>1912</v>
      </c>
      <c r="J15366" s="27" t="s">
        <v>260</v>
      </c>
      <c r="L15366" s="27" t="s">
        <v>276</v>
      </c>
      <c r="M15366" s="27" t="s">
        <v>10561</v>
      </c>
      <c r="N15366" s="27" t="s">
        <v>499</v>
      </c>
      <c r="P15366" s="27" t="s">
        <v>17365</v>
      </c>
      <c r="Q15366" s="26" t="str">
        <f>HYPERLINK("https://ictv.global/taxonomy/taxondetails?taxnode_id=202501968&amp;ictv_id=ICTV20165188","ICTV20165188")</f>
        <v>ICTV20165188</v>
      </c>
      <c r="R15366" t="s">
        <v>581</v>
      </c>
      <c r="S15366" t="s">
        <v>824</v>
      </c>
      <c r="T15366">
        <v>39</v>
      </c>
      <c r="U15366" s="26" t="str">
        <f t="shared" si="578"/>
        <v>2023.003S.Picornaviridae_158sprenamed.zip</v>
      </c>
    </row>
    <row r="15367" spans="1:21">
      <c r="A15367">
        <v>15366</v>
      </c>
      <c r="B15367" s="27" t="s">
        <v>1124</v>
      </c>
      <c r="D15367" s="27" t="s">
        <v>1859</v>
      </c>
      <c r="F15367" s="27" t="s">
        <v>1909</v>
      </c>
      <c r="H15367" s="27" t="s">
        <v>1912</v>
      </c>
      <c r="J15367" s="27" t="s">
        <v>260</v>
      </c>
      <c r="L15367" s="27" t="s">
        <v>276</v>
      </c>
      <c r="M15367" s="27" t="s">
        <v>10561</v>
      </c>
      <c r="N15367" s="27" t="s">
        <v>499</v>
      </c>
      <c r="P15367" s="27" t="s">
        <v>17366</v>
      </c>
      <c r="Q15367" s="26" t="str">
        <f>HYPERLINK("https://ictv.global/taxonomy/taxondetails?taxnode_id=202501969&amp;ictv_id=ICTV20165189","ICTV20165189")</f>
        <v>ICTV20165189</v>
      </c>
      <c r="R15367" t="s">
        <v>581</v>
      </c>
      <c r="S15367" t="s">
        <v>824</v>
      </c>
      <c r="T15367">
        <v>39</v>
      </c>
      <c r="U15367" s="26" t="str">
        <f t="shared" si="578"/>
        <v>2023.003S.Picornaviridae_158sprenamed.zip</v>
      </c>
    </row>
    <row r="15368" spans="1:21">
      <c r="A15368">
        <v>15367</v>
      </c>
      <c r="B15368" s="27" t="s">
        <v>1124</v>
      </c>
      <c r="D15368" s="27" t="s">
        <v>1859</v>
      </c>
      <c r="F15368" s="27" t="s">
        <v>1909</v>
      </c>
      <c r="H15368" s="27" t="s">
        <v>1912</v>
      </c>
      <c r="J15368" s="27" t="s">
        <v>260</v>
      </c>
      <c r="L15368" s="27" t="s">
        <v>276</v>
      </c>
      <c r="M15368" s="27" t="s">
        <v>10561</v>
      </c>
      <c r="N15368" s="27" t="s">
        <v>858</v>
      </c>
      <c r="P15368" s="27" t="s">
        <v>17367</v>
      </c>
      <c r="Q15368" s="26" t="str">
        <f>HYPERLINK("https://ictv.global/taxonomy/taxondetails?taxnode_id=202505593&amp;ictv_id=ICTV20175593","ICTV20175593")</f>
        <v>ICTV20175593</v>
      </c>
      <c r="R15368" t="s">
        <v>581</v>
      </c>
      <c r="S15368" t="s">
        <v>824</v>
      </c>
      <c r="T15368">
        <v>39</v>
      </c>
      <c r="U15368" s="26" t="str">
        <f t="shared" si="578"/>
        <v>2023.003S.Picornaviridae_158sprenamed.zip</v>
      </c>
    </row>
    <row r="15369" spans="1:21">
      <c r="A15369">
        <v>15368</v>
      </c>
      <c r="B15369" s="27" t="s">
        <v>1124</v>
      </c>
      <c r="D15369" s="27" t="s">
        <v>1859</v>
      </c>
      <c r="F15369" s="27" t="s">
        <v>1909</v>
      </c>
      <c r="H15369" s="27" t="s">
        <v>1912</v>
      </c>
      <c r="J15369" s="27" t="s">
        <v>260</v>
      </c>
      <c r="L15369" s="27" t="s">
        <v>276</v>
      </c>
      <c r="M15369" s="27" t="s">
        <v>10561</v>
      </c>
      <c r="N15369" s="27" t="s">
        <v>858</v>
      </c>
      <c r="P15369" s="27" t="s">
        <v>17368</v>
      </c>
      <c r="Q15369" s="26" t="str">
        <f>HYPERLINK("https://ictv.global/taxonomy/taxondetails?taxnode_id=202505594&amp;ictv_id=ICTV20175594","ICTV20175594")</f>
        <v>ICTV20175594</v>
      </c>
      <c r="R15369" t="s">
        <v>581</v>
      </c>
      <c r="S15369" t="s">
        <v>824</v>
      </c>
      <c r="T15369">
        <v>39</v>
      </c>
      <c r="U15369" s="26" t="str">
        <f t="shared" si="578"/>
        <v>2023.003S.Picornaviridae_158sprenamed.zip</v>
      </c>
    </row>
    <row r="15370" spans="1:21">
      <c r="A15370">
        <v>15369</v>
      </c>
      <c r="B15370" s="27" t="s">
        <v>1124</v>
      </c>
      <c r="D15370" s="27" t="s">
        <v>1859</v>
      </c>
      <c r="F15370" s="27" t="s">
        <v>1909</v>
      </c>
      <c r="H15370" s="27" t="s">
        <v>1912</v>
      </c>
      <c r="J15370" s="27" t="s">
        <v>260</v>
      </c>
      <c r="L15370" s="27" t="s">
        <v>276</v>
      </c>
      <c r="M15370" s="27" t="s">
        <v>10561</v>
      </c>
      <c r="N15370" s="27" t="s">
        <v>1947</v>
      </c>
      <c r="P15370" s="27" t="s">
        <v>17369</v>
      </c>
      <c r="Q15370" s="26" t="str">
        <f>HYPERLINK("https://ictv.global/taxonomy/taxondetails?taxnode_id=202507284&amp;ictv_id=ICTV201907284","ICTV201907284")</f>
        <v>ICTV201907284</v>
      </c>
      <c r="R15370" t="s">
        <v>581</v>
      </c>
      <c r="S15370" t="s">
        <v>824</v>
      </c>
      <c r="T15370">
        <v>39</v>
      </c>
      <c r="U15370" s="26" t="str">
        <f t="shared" si="578"/>
        <v>2023.003S.Picornaviridae_158sprenamed.zip</v>
      </c>
    </row>
    <row r="15371" spans="1:21">
      <c r="A15371">
        <v>15370</v>
      </c>
      <c r="B15371" s="27" t="s">
        <v>1124</v>
      </c>
      <c r="D15371" s="27" t="s">
        <v>1859</v>
      </c>
      <c r="F15371" s="27" t="s">
        <v>1909</v>
      </c>
      <c r="H15371" s="27" t="s">
        <v>1912</v>
      </c>
      <c r="J15371" s="27" t="s">
        <v>260</v>
      </c>
      <c r="L15371" s="27" t="s">
        <v>276</v>
      </c>
      <c r="M15371" s="27" t="s">
        <v>10561</v>
      </c>
      <c r="N15371" s="27" t="s">
        <v>1947</v>
      </c>
      <c r="P15371" s="27" t="s">
        <v>17370</v>
      </c>
      <c r="Q15371" s="26" t="str">
        <f>HYPERLINK("https://ictv.global/taxonomy/taxondetails?taxnode_id=202507285&amp;ictv_id=ICTV201907285","ICTV201907285")</f>
        <v>ICTV201907285</v>
      </c>
      <c r="R15371" t="s">
        <v>581</v>
      </c>
      <c r="S15371" t="s">
        <v>824</v>
      </c>
      <c r="T15371">
        <v>39</v>
      </c>
      <c r="U15371" s="26" t="str">
        <f t="shared" si="578"/>
        <v>2023.003S.Picornaviridae_158sprenamed.zip</v>
      </c>
    </row>
    <row r="15372" spans="1:21">
      <c r="A15372">
        <v>15371</v>
      </c>
      <c r="B15372" s="27" t="s">
        <v>1124</v>
      </c>
      <c r="D15372" s="27" t="s">
        <v>1859</v>
      </c>
      <c r="F15372" s="27" t="s">
        <v>1909</v>
      </c>
      <c r="H15372" s="27" t="s">
        <v>1912</v>
      </c>
      <c r="J15372" s="27" t="s">
        <v>260</v>
      </c>
      <c r="L15372" s="27" t="s">
        <v>276</v>
      </c>
      <c r="M15372" s="27" t="s">
        <v>10561</v>
      </c>
      <c r="N15372" s="27" t="s">
        <v>1947</v>
      </c>
      <c r="P15372" s="27" t="s">
        <v>17371</v>
      </c>
      <c r="Q15372" s="26" t="str">
        <f>HYPERLINK("https://ictv.global/taxonomy/taxondetails?taxnode_id=202508913&amp;ictv_id=ICTV202008913","ICTV202008913")</f>
        <v>ICTV202008913</v>
      </c>
      <c r="R15372" t="s">
        <v>581</v>
      </c>
      <c r="S15372" t="s">
        <v>824</v>
      </c>
      <c r="T15372">
        <v>39</v>
      </c>
      <c r="U15372" s="26" t="str">
        <f t="shared" si="578"/>
        <v>2023.003S.Picornaviridae_158sprenamed.zip</v>
      </c>
    </row>
    <row r="15373" spans="1:21">
      <c r="A15373">
        <v>15372</v>
      </c>
      <c r="B15373" s="27" t="s">
        <v>1124</v>
      </c>
      <c r="D15373" s="27" t="s">
        <v>1859</v>
      </c>
      <c r="F15373" s="27" t="s">
        <v>1909</v>
      </c>
      <c r="H15373" s="27" t="s">
        <v>1912</v>
      </c>
      <c r="J15373" s="27" t="s">
        <v>260</v>
      </c>
      <c r="L15373" s="27" t="s">
        <v>276</v>
      </c>
      <c r="M15373" s="27" t="s">
        <v>10561</v>
      </c>
      <c r="N15373" s="27" t="s">
        <v>570</v>
      </c>
      <c r="P15373" s="27" t="s">
        <v>17372</v>
      </c>
      <c r="Q15373" s="26" t="str">
        <f>HYPERLINK("https://ictv.global/taxonomy/taxondetails?taxnode_id=202502022&amp;ictv_id=ICTV20141037","ICTV20141037")</f>
        <v>ICTV20141037</v>
      </c>
      <c r="R15373" t="s">
        <v>581</v>
      </c>
      <c r="S15373" t="s">
        <v>824</v>
      </c>
      <c r="T15373">
        <v>39</v>
      </c>
      <c r="U15373" s="26" t="str">
        <f t="shared" si="578"/>
        <v>2023.003S.Picornaviridae_158sprenamed.zip</v>
      </c>
    </row>
    <row r="15374" spans="1:21">
      <c r="A15374">
        <v>15373</v>
      </c>
      <c r="B15374" s="27" t="s">
        <v>1124</v>
      </c>
      <c r="D15374" s="27" t="s">
        <v>1859</v>
      </c>
      <c r="F15374" s="27" t="s">
        <v>1909</v>
      </c>
      <c r="H15374" s="27" t="s">
        <v>1912</v>
      </c>
      <c r="J15374" s="27" t="s">
        <v>260</v>
      </c>
      <c r="L15374" s="27" t="s">
        <v>276</v>
      </c>
      <c r="M15374" s="27" t="s">
        <v>10561</v>
      </c>
      <c r="N15374" s="27" t="s">
        <v>570</v>
      </c>
      <c r="P15374" s="27" t="s">
        <v>17373</v>
      </c>
      <c r="Q15374" s="26" t="str">
        <f>HYPERLINK("https://ictv.global/taxonomy/taxondetails?taxnode_id=202505598&amp;ictv_id=ICTV20175598","ICTV20175598")</f>
        <v>ICTV20175598</v>
      </c>
      <c r="R15374" t="s">
        <v>581</v>
      </c>
      <c r="S15374" t="s">
        <v>824</v>
      </c>
      <c r="T15374">
        <v>39</v>
      </c>
      <c r="U15374" s="26" t="str">
        <f t="shared" si="578"/>
        <v>2023.003S.Picornaviridae_158sprenamed.zip</v>
      </c>
    </row>
    <row r="15375" spans="1:21">
      <c r="A15375">
        <v>15374</v>
      </c>
      <c r="B15375" s="27" t="s">
        <v>1124</v>
      </c>
      <c r="D15375" s="27" t="s">
        <v>1859</v>
      </c>
      <c r="F15375" s="27" t="s">
        <v>1909</v>
      </c>
      <c r="H15375" s="27" t="s">
        <v>1912</v>
      </c>
      <c r="J15375" s="27" t="s">
        <v>260</v>
      </c>
      <c r="L15375" s="27" t="s">
        <v>276</v>
      </c>
      <c r="M15375" s="27" t="s">
        <v>10561</v>
      </c>
      <c r="N15375" s="27" t="s">
        <v>570</v>
      </c>
      <c r="P15375" s="27" t="s">
        <v>17374</v>
      </c>
      <c r="Q15375" s="26" t="str">
        <f>HYPERLINK("https://ictv.global/taxonomy/taxondetails?taxnode_id=202505599&amp;ictv_id=ICTV20175599","ICTV20175599")</f>
        <v>ICTV20175599</v>
      </c>
      <c r="R15375" t="s">
        <v>581</v>
      </c>
      <c r="S15375" t="s">
        <v>824</v>
      </c>
      <c r="T15375">
        <v>39</v>
      </c>
      <c r="U15375" s="26" t="str">
        <f t="shared" si="578"/>
        <v>2023.003S.Picornaviridae_158sprenamed.zip</v>
      </c>
    </row>
    <row r="15376" spans="1:21">
      <c r="A15376">
        <v>15375</v>
      </c>
      <c r="B15376" s="27" t="s">
        <v>1124</v>
      </c>
      <c r="D15376" s="27" t="s">
        <v>1859</v>
      </c>
      <c r="F15376" s="27" t="s">
        <v>1909</v>
      </c>
      <c r="H15376" s="27" t="s">
        <v>1912</v>
      </c>
      <c r="J15376" s="27" t="s">
        <v>260</v>
      </c>
      <c r="L15376" s="27" t="s">
        <v>276</v>
      </c>
      <c r="M15376" s="27" t="s">
        <v>10561</v>
      </c>
      <c r="N15376" s="27" t="s">
        <v>647</v>
      </c>
      <c r="P15376" s="27" t="s">
        <v>17375</v>
      </c>
      <c r="Q15376" s="26" t="str">
        <f>HYPERLINK("https://ictv.global/taxonomy/taxondetails?taxnode_id=202502024&amp;ictv_id=ICTV20151387","ICTV20151387")</f>
        <v>ICTV20151387</v>
      </c>
      <c r="R15376" t="s">
        <v>581</v>
      </c>
      <c r="S15376" t="s">
        <v>824</v>
      </c>
      <c r="T15376">
        <v>39</v>
      </c>
      <c r="U15376" s="26" t="str">
        <f t="shared" si="578"/>
        <v>2023.003S.Picornaviridae_158sprenamed.zip</v>
      </c>
    </row>
    <row r="15377" spans="1:21">
      <c r="A15377">
        <v>15376</v>
      </c>
      <c r="B15377" s="27" t="s">
        <v>1124</v>
      </c>
      <c r="D15377" s="27" t="s">
        <v>1859</v>
      </c>
      <c r="F15377" s="27" t="s">
        <v>1909</v>
      </c>
      <c r="H15377" s="27" t="s">
        <v>1912</v>
      </c>
      <c r="J15377" s="27" t="s">
        <v>260</v>
      </c>
      <c r="L15377" s="27" t="s">
        <v>276</v>
      </c>
      <c r="M15377" s="27" t="s">
        <v>10561</v>
      </c>
      <c r="N15377" s="27" t="s">
        <v>647</v>
      </c>
      <c r="P15377" s="27" t="s">
        <v>17376</v>
      </c>
      <c r="Q15377" s="26" t="str">
        <f>HYPERLINK("https://ictv.global/taxonomy/taxondetails?taxnode_id=202502025&amp;ictv_id=ICTV20151388","ICTV20151388")</f>
        <v>ICTV20151388</v>
      </c>
      <c r="R15377" t="s">
        <v>581</v>
      </c>
      <c r="S15377" t="s">
        <v>824</v>
      </c>
      <c r="T15377">
        <v>39</v>
      </c>
      <c r="U15377" s="26" t="str">
        <f t="shared" si="578"/>
        <v>2023.003S.Picornaviridae_158sprenamed.zip</v>
      </c>
    </row>
    <row r="15378" spans="1:21">
      <c r="A15378">
        <v>15377</v>
      </c>
      <c r="B15378" s="27" t="s">
        <v>1124</v>
      </c>
      <c r="D15378" s="27" t="s">
        <v>1859</v>
      </c>
      <c r="F15378" s="27" t="s">
        <v>1909</v>
      </c>
      <c r="H15378" s="27" t="s">
        <v>1912</v>
      </c>
      <c r="J15378" s="27" t="s">
        <v>260</v>
      </c>
      <c r="L15378" s="27" t="s">
        <v>276</v>
      </c>
      <c r="M15378" s="27" t="s">
        <v>10561</v>
      </c>
      <c r="N15378" s="27" t="s">
        <v>647</v>
      </c>
      <c r="P15378" s="27" t="s">
        <v>17377</v>
      </c>
      <c r="Q15378" s="26" t="str">
        <f>HYPERLINK("https://ictv.global/taxonomy/taxondetails?taxnode_id=202502026&amp;ictv_id=ICTV20151389","ICTV20151389")</f>
        <v>ICTV20151389</v>
      </c>
      <c r="R15378" t="s">
        <v>581</v>
      </c>
      <c r="S15378" t="s">
        <v>824</v>
      </c>
      <c r="T15378">
        <v>39</v>
      </c>
      <c r="U15378" s="26" t="str">
        <f t="shared" si="578"/>
        <v>2023.003S.Picornaviridae_158sprenamed.zip</v>
      </c>
    </row>
    <row r="15379" spans="1:21">
      <c r="A15379">
        <v>15378</v>
      </c>
      <c r="B15379" s="27" t="s">
        <v>1124</v>
      </c>
      <c r="D15379" s="27" t="s">
        <v>1859</v>
      </c>
      <c r="F15379" s="27" t="s">
        <v>1909</v>
      </c>
      <c r="H15379" s="27" t="s">
        <v>1912</v>
      </c>
      <c r="J15379" s="27" t="s">
        <v>260</v>
      </c>
      <c r="L15379" s="27" t="s">
        <v>276</v>
      </c>
      <c r="M15379" s="27" t="s">
        <v>10561</v>
      </c>
      <c r="N15379" s="27" t="s">
        <v>647</v>
      </c>
      <c r="P15379" s="27" t="s">
        <v>17378</v>
      </c>
      <c r="Q15379" s="26" t="str">
        <f>HYPERLINK("https://ictv.global/taxonomy/taxondetails?taxnode_id=202509108&amp;ictv_id=ICTV202009108","ICTV202009108")</f>
        <v>ICTV202009108</v>
      </c>
      <c r="R15379" t="s">
        <v>581</v>
      </c>
      <c r="S15379" t="s">
        <v>824</v>
      </c>
      <c r="T15379">
        <v>39</v>
      </c>
      <c r="U15379" s="26" t="str">
        <f t="shared" si="578"/>
        <v>2023.003S.Picornaviridae_158sprenamed.zip</v>
      </c>
    </row>
    <row r="15380" spans="1:21">
      <c r="A15380">
        <v>15379</v>
      </c>
      <c r="B15380" s="27" t="s">
        <v>1124</v>
      </c>
      <c r="D15380" s="27" t="s">
        <v>1859</v>
      </c>
      <c r="F15380" s="27" t="s">
        <v>1909</v>
      </c>
      <c r="H15380" s="27" t="s">
        <v>1912</v>
      </c>
      <c r="J15380" s="27" t="s">
        <v>260</v>
      </c>
      <c r="L15380" s="27" t="s">
        <v>276</v>
      </c>
      <c r="M15380" s="27" t="s">
        <v>10561</v>
      </c>
      <c r="N15380" s="27" t="s">
        <v>859</v>
      </c>
      <c r="P15380" s="27" t="s">
        <v>17379</v>
      </c>
      <c r="Q15380" s="26" t="str">
        <f>HYPERLINK("https://ictv.global/taxonomy/taxondetails?taxnode_id=202505604&amp;ictv_id=ICTV20175604","ICTV20175604")</f>
        <v>ICTV20175604</v>
      </c>
      <c r="R15380" t="s">
        <v>581</v>
      </c>
      <c r="S15380" t="s">
        <v>824</v>
      </c>
      <c r="T15380">
        <v>39</v>
      </c>
      <c r="U15380" s="26" t="str">
        <f t="shared" si="578"/>
        <v>2023.003S.Picornaviridae_158sprenamed.zip</v>
      </c>
    </row>
    <row r="15381" spans="1:21">
      <c r="A15381">
        <v>15380</v>
      </c>
      <c r="B15381" s="27" t="s">
        <v>1124</v>
      </c>
      <c r="D15381" s="27" t="s">
        <v>1859</v>
      </c>
      <c r="F15381" s="27" t="s">
        <v>1909</v>
      </c>
      <c r="H15381" s="27" t="s">
        <v>1912</v>
      </c>
      <c r="J15381" s="27" t="s">
        <v>260</v>
      </c>
      <c r="L15381" s="27" t="s">
        <v>276</v>
      </c>
      <c r="M15381" s="27" t="s">
        <v>10561</v>
      </c>
      <c r="N15381" s="27" t="s">
        <v>232</v>
      </c>
      <c r="P15381" s="27" t="s">
        <v>17380</v>
      </c>
      <c r="Q15381" s="26" t="str">
        <f>HYPERLINK("https://ictv.global/taxonomy/taxondetails?taxnode_id=202502038&amp;ictv_id=ICTV19991255","ICTV19991255")</f>
        <v>ICTV19991255</v>
      </c>
      <c r="R15381" t="s">
        <v>581</v>
      </c>
      <c r="S15381" t="s">
        <v>824</v>
      </c>
      <c r="T15381">
        <v>39</v>
      </c>
      <c r="U15381" s="26" t="str">
        <f t="shared" si="578"/>
        <v>2023.003S.Picornaviridae_158sprenamed.zip</v>
      </c>
    </row>
    <row r="15382" spans="1:21">
      <c r="A15382">
        <v>15381</v>
      </c>
      <c r="B15382" s="27" t="s">
        <v>1124</v>
      </c>
      <c r="D15382" s="27" t="s">
        <v>1859</v>
      </c>
      <c r="F15382" s="27" t="s">
        <v>1909</v>
      </c>
      <c r="H15382" s="27" t="s">
        <v>1912</v>
      </c>
      <c r="J15382" s="27" t="s">
        <v>260</v>
      </c>
      <c r="L15382" s="27" t="s">
        <v>276</v>
      </c>
      <c r="M15382" s="27" t="s">
        <v>10561</v>
      </c>
      <c r="N15382" s="27" t="s">
        <v>232</v>
      </c>
      <c r="P15382" s="27" t="s">
        <v>17381</v>
      </c>
      <c r="Q15382" s="26" t="str">
        <f>HYPERLINK("https://ictv.global/taxonomy/taxondetails?taxnode_id=202502039&amp;ictv_id=ICTV20021335","ICTV20021335")</f>
        <v>ICTV20021335</v>
      </c>
      <c r="R15382" t="s">
        <v>581</v>
      </c>
      <c r="S15382" t="s">
        <v>824</v>
      </c>
      <c r="T15382">
        <v>39</v>
      </c>
      <c r="U15382" s="26" t="str">
        <f t="shared" si="578"/>
        <v>2023.003S.Picornaviridae_158sprenamed.zip</v>
      </c>
    </row>
    <row r="15383" spans="1:21">
      <c r="A15383">
        <v>15382</v>
      </c>
      <c r="B15383" s="27" t="s">
        <v>1124</v>
      </c>
      <c r="D15383" s="27" t="s">
        <v>1859</v>
      </c>
      <c r="F15383" s="27" t="s">
        <v>1909</v>
      </c>
      <c r="H15383" s="27" t="s">
        <v>1912</v>
      </c>
      <c r="J15383" s="27" t="s">
        <v>260</v>
      </c>
      <c r="L15383" s="27" t="s">
        <v>276</v>
      </c>
      <c r="M15383" s="27" t="s">
        <v>10561</v>
      </c>
      <c r="N15383" s="27" t="s">
        <v>232</v>
      </c>
      <c r="P15383" s="27" t="s">
        <v>17382</v>
      </c>
      <c r="Q15383" s="26" t="str">
        <f>HYPERLINK("https://ictv.global/taxonomy/taxondetails?taxnode_id=202502040&amp;ictv_id=ICTV20165209","ICTV20165209")</f>
        <v>ICTV20165209</v>
      </c>
      <c r="R15383" t="s">
        <v>581</v>
      </c>
      <c r="S15383" t="s">
        <v>824</v>
      </c>
      <c r="T15383">
        <v>39</v>
      </c>
      <c r="U15383" s="26" t="str">
        <f t="shared" si="578"/>
        <v>2023.003S.Picornaviridae_158sprenamed.zip</v>
      </c>
    </row>
    <row r="15384" spans="1:21">
      <c r="A15384">
        <v>15383</v>
      </c>
      <c r="B15384" s="27" t="s">
        <v>1124</v>
      </c>
      <c r="D15384" s="27" t="s">
        <v>1859</v>
      </c>
      <c r="F15384" s="27" t="s">
        <v>1909</v>
      </c>
      <c r="H15384" s="27" t="s">
        <v>1912</v>
      </c>
      <c r="J15384" s="27" t="s">
        <v>260</v>
      </c>
      <c r="L15384" s="27" t="s">
        <v>276</v>
      </c>
      <c r="M15384" s="27" t="s">
        <v>10561</v>
      </c>
      <c r="N15384" s="27" t="s">
        <v>232</v>
      </c>
      <c r="P15384" s="27" t="s">
        <v>17383</v>
      </c>
      <c r="Q15384" s="26" t="str">
        <f>HYPERLINK("https://ictv.global/taxonomy/taxondetails?taxnode_id=202502041&amp;ictv_id=ICTV20165210","ICTV20165210")</f>
        <v>ICTV20165210</v>
      </c>
      <c r="R15384" t="s">
        <v>581</v>
      </c>
      <c r="S15384" t="s">
        <v>824</v>
      </c>
      <c r="T15384">
        <v>39</v>
      </c>
      <c r="U15384" s="26" t="str">
        <f t="shared" si="578"/>
        <v>2023.003S.Picornaviridae_158sprenamed.zip</v>
      </c>
    </row>
    <row r="15385" spans="1:21">
      <c r="A15385">
        <v>15384</v>
      </c>
      <c r="B15385" s="27" t="s">
        <v>1124</v>
      </c>
      <c r="D15385" s="27" t="s">
        <v>1859</v>
      </c>
      <c r="F15385" s="27" t="s">
        <v>1909</v>
      </c>
      <c r="H15385" s="27" t="s">
        <v>1912</v>
      </c>
      <c r="J15385" s="27" t="s">
        <v>260</v>
      </c>
      <c r="L15385" s="27" t="s">
        <v>276</v>
      </c>
      <c r="M15385" s="27" t="s">
        <v>10561</v>
      </c>
      <c r="N15385" s="27" t="s">
        <v>232</v>
      </c>
      <c r="P15385" s="27" t="s">
        <v>17384</v>
      </c>
      <c r="Q15385" s="26" t="str">
        <f>HYPERLINK("https://ictv.global/taxonomy/taxondetails?taxnode_id=202507418&amp;ictv_id=ICTV201907418","ICTV201907418")</f>
        <v>ICTV201907418</v>
      </c>
      <c r="R15385" t="s">
        <v>581</v>
      </c>
      <c r="S15385" t="s">
        <v>824</v>
      </c>
      <c r="T15385">
        <v>39</v>
      </c>
      <c r="U15385" s="26" t="str">
        <f t="shared" si="578"/>
        <v>2023.003S.Picornaviridae_158sprenamed.zip</v>
      </c>
    </row>
    <row r="15386" spans="1:21">
      <c r="A15386">
        <v>15385</v>
      </c>
      <c r="B15386" s="27" t="s">
        <v>1124</v>
      </c>
      <c r="D15386" s="27" t="s">
        <v>1859</v>
      </c>
      <c r="F15386" s="27" t="s">
        <v>1909</v>
      </c>
      <c r="H15386" s="27" t="s">
        <v>1912</v>
      </c>
      <c r="J15386" s="27" t="s">
        <v>260</v>
      </c>
      <c r="L15386" s="27" t="s">
        <v>276</v>
      </c>
      <c r="M15386" s="27" t="s">
        <v>10561</v>
      </c>
      <c r="N15386" s="27" t="s">
        <v>232</v>
      </c>
      <c r="P15386" s="27" t="s">
        <v>17385</v>
      </c>
      <c r="Q15386" s="26" t="str">
        <f>HYPERLINK("https://ictv.global/taxonomy/taxondetails?taxnode_id=202507419&amp;ictv_id=ICTV201907419","ICTV201907419")</f>
        <v>ICTV201907419</v>
      </c>
      <c r="R15386" t="s">
        <v>581</v>
      </c>
      <c r="S15386" t="s">
        <v>824</v>
      </c>
      <c r="T15386">
        <v>39</v>
      </c>
      <c r="U15386" s="26" t="str">
        <f t="shared" si="578"/>
        <v>2023.003S.Picornaviridae_158sprenamed.zip</v>
      </c>
    </row>
    <row r="15387" spans="1:21">
      <c r="A15387">
        <v>15386</v>
      </c>
      <c r="B15387" s="27" t="s">
        <v>1124</v>
      </c>
      <c r="D15387" s="27" t="s">
        <v>1859</v>
      </c>
      <c r="F15387" s="27" t="s">
        <v>1909</v>
      </c>
      <c r="H15387" s="27" t="s">
        <v>1912</v>
      </c>
      <c r="J15387" s="27" t="s">
        <v>260</v>
      </c>
      <c r="L15387" s="27" t="s">
        <v>276</v>
      </c>
      <c r="M15387" s="27" t="s">
        <v>10561</v>
      </c>
      <c r="N15387" s="27" t="s">
        <v>505</v>
      </c>
      <c r="P15387" s="27" t="s">
        <v>17386</v>
      </c>
      <c r="Q15387" s="26" t="str">
        <f>HYPERLINK("https://ictv.global/taxonomy/taxondetails?taxnode_id=202502043&amp;ictv_id=ICTV20130689","ICTV20130689")</f>
        <v>ICTV20130689</v>
      </c>
      <c r="R15387" t="s">
        <v>581</v>
      </c>
      <c r="S15387" t="s">
        <v>824</v>
      </c>
      <c r="T15387">
        <v>39</v>
      </c>
      <c r="U15387" s="26" t="str">
        <f t="shared" si="578"/>
        <v>2023.003S.Picornaviridae_158sprenamed.zip</v>
      </c>
    </row>
    <row r="15388" spans="1:21">
      <c r="A15388">
        <v>15387</v>
      </c>
      <c r="B15388" s="27" t="s">
        <v>1124</v>
      </c>
      <c r="D15388" s="27" t="s">
        <v>1859</v>
      </c>
      <c r="F15388" s="27" t="s">
        <v>1909</v>
      </c>
      <c r="H15388" s="27" t="s">
        <v>1912</v>
      </c>
      <c r="J15388" s="27" t="s">
        <v>260</v>
      </c>
      <c r="L15388" s="27" t="s">
        <v>276</v>
      </c>
      <c r="M15388" s="27" t="s">
        <v>10561</v>
      </c>
      <c r="N15388" s="27" t="s">
        <v>648</v>
      </c>
      <c r="P15388" s="27" t="s">
        <v>17387</v>
      </c>
      <c r="Q15388" s="26" t="str">
        <f>HYPERLINK("https://ictv.global/taxonomy/taxondetails?taxnode_id=202502047&amp;ictv_id=ICTV20151391","ICTV20151391")</f>
        <v>ICTV20151391</v>
      </c>
      <c r="R15388" t="s">
        <v>581</v>
      </c>
      <c r="S15388" t="s">
        <v>824</v>
      </c>
      <c r="T15388">
        <v>39</v>
      </c>
      <c r="U15388" s="26" t="str">
        <f t="shared" si="578"/>
        <v>2023.003S.Picornaviridae_158sprenamed.zip</v>
      </c>
    </row>
    <row r="15389" spans="1:21">
      <c r="A15389">
        <v>15388</v>
      </c>
      <c r="B15389" s="27" t="s">
        <v>1124</v>
      </c>
      <c r="D15389" s="27" t="s">
        <v>1859</v>
      </c>
      <c r="F15389" s="27" t="s">
        <v>1909</v>
      </c>
      <c r="H15389" s="27" t="s">
        <v>1912</v>
      </c>
      <c r="J15389" s="27" t="s">
        <v>260</v>
      </c>
      <c r="L15389" s="27" t="s">
        <v>276</v>
      </c>
      <c r="M15389" s="27" t="s">
        <v>10561</v>
      </c>
      <c r="N15389" s="27" t="s">
        <v>648</v>
      </c>
      <c r="P15389" s="27" t="s">
        <v>17388</v>
      </c>
      <c r="Q15389" s="26" t="str">
        <f>HYPERLINK("https://ictv.global/taxonomy/taxondetails?taxnode_id=202507428&amp;ictv_id=ICTV201907428","ICTV201907428")</f>
        <v>ICTV201907428</v>
      </c>
      <c r="R15389" t="s">
        <v>581</v>
      </c>
      <c r="S15389" t="s">
        <v>824</v>
      </c>
      <c r="T15389">
        <v>39</v>
      </c>
      <c r="U15389" s="26" t="str">
        <f t="shared" si="578"/>
        <v>2023.003S.Picornaviridae_158sprenamed.zip</v>
      </c>
    </row>
    <row r="15390" spans="1:21">
      <c r="A15390">
        <v>15389</v>
      </c>
      <c r="B15390" s="27" t="s">
        <v>1124</v>
      </c>
      <c r="D15390" s="27" t="s">
        <v>1859</v>
      </c>
      <c r="F15390" s="27" t="s">
        <v>1909</v>
      </c>
      <c r="H15390" s="27" t="s">
        <v>1912</v>
      </c>
      <c r="J15390" s="27" t="s">
        <v>260</v>
      </c>
      <c r="L15390" s="27" t="s">
        <v>276</v>
      </c>
      <c r="M15390" s="27" t="s">
        <v>10561</v>
      </c>
      <c r="N15390" s="27" t="s">
        <v>860</v>
      </c>
      <c r="P15390" s="27" t="s">
        <v>17389</v>
      </c>
      <c r="Q15390" s="26" t="str">
        <f>HYPERLINK("https://ictv.global/taxonomy/taxondetails?taxnode_id=202505606&amp;ictv_id=ICTV20175606","ICTV20175606")</f>
        <v>ICTV20175606</v>
      </c>
      <c r="R15390" t="s">
        <v>581</v>
      </c>
      <c r="S15390" t="s">
        <v>824</v>
      </c>
      <c r="T15390">
        <v>39</v>
      </c>
      <c r="U15390" s="26" t="str">
        <f t="shared" si="578"/>
        <v>2023.003S.Picornaviridae_158sprenamed.zip</v>
      </c>
    </row>
    <row r="15391" spans="1:21">
      <c r="A15391">
        <v>15390</v>
      </c>
      <c r="B15391" s="27" t="s">
        <v>1124</v>
      </c>
      <c r="D15391" s="27" t="s">
        <v>1859</v>
      </c>
      <c r="F15391" s="27" t="s">
        <v>1909</v>
      </c>
      <c r="H15391" s="27" t="s">
        <v>1912</v>
      </c>
      <c r="J15391" s="27" t="s">
        <v>260</v>
      </c>
      <c r="L15391" s="27" t="s">
        <v>276</v>
      </c>
      <c r="N15391" s="27" t="s">
        <v>799</v>
      </c>
      <c r="P15391" s="27" t="s">
        <v>17390</v>
      </c>
      <c r="Q15391" s="26" t="str">
        <f>HYPERLINK("https://ictv.global/taxonomy/taxondetails?taxnode_id=202501956&amp;ictv_id=ICTV20165187","ICTV20165187")</f>
        <v>ICTV20165187</v>
      </c>
      <c r="R15391" t="s">
        <v>581</v>
      </c>
      <c r="S15391" t="s">
        <v>824</v>
      </c>
      <c r="T15391">
        <v>39</v>
      </c>
      <c r="U15391" s="26" t="str">
        <f t="shared" si="578"/>
        <v>2023.003S.Picornaviridae_158sprenamed.zip</v>
      </c>
    </row>
    <row r="15392" spans="1:21">
      <c r="A15392">
        <v>15391</v>
      </c>
      <c r="B15392" s="27" t="s">
        <v>1124</v>
      </c>
      <c r="D15392" s="27" t="s">
        <v>1859</v>
      </c>
      <c r="F15392" s="27" t="s">
        <v>1909</v>
      </c>
      <c r="H15392" s="27" t="s">
        <v>1912</v>
      </c>
      <c r="J15392" s="27" t="s">
        <v>260</v>
      </c>
      <c r="L15392" s="27" t="s">
        <v>276</v>
      </c>
      <c r="N15392" s="27" t="s">
        <v>800</v>
      </c>
      <c r="P15392" s="27" t="s">
        <v>17391</v>
      </c>
      <c r="Q15392" s="26" t="str">
        <f>HYPERLINK("https://ictv.global/taxonomy/taxondetails?taxnode_id=202502001&amp;ictv_id=ICTV20165195","ICTV20165195")</f>
        <v>ICTV20165195</v>
      </c>
      <c r="R15392" t="s">
        <v>581</v>
      </c>
      <c r="S15392" t="s">
        <v>824</v>
      </c>
      <c r="T15392">
        <v>39</v>
      </c>
      <c r="U15392" s="26" t="str">
        <f t="shared" si="578"/>
        <v>2023.003S.Picornaviridae_158sprenamed.zip</v>
      </c>
    </row>
    <row r="15393" spans="1:21">
      <c r="A15393">
        <v>15392</v>
      </c>
      <c r="B15393" s="27" t="s">
        <v>1124</v>
      </c>
      <c r="D15393" s="27" t="s">
        <v>1859</v>
      </c>
      <c r="F15393" s="27" t="s">
        <v>1909</v>
      </c>
      <c r="H15393" s="27" t="s">
        <v>1912</v>
      </c>
      <c r="J15393" s="27" t="s">
        <v>260</v>
      </c>
      <c r="L15393" s="27" t="s">
        <v>861</v>
      </c>
      <c r="N15393" s="27" t="s">
        <v>862</v>
      </c>
      <c r="P15393" s="27" t="s">
        <v>17392</v>
      </c>
      <c r="Q15393" s="26" t="str">
        <f>HYPERLINK("https://ictv.global/taxonomy/taxondetails?taxnode_id=202505608&amp;ictv_id=ICTV20175608","ICTV20175608")</f>
        <v>ICTV20175608</v>
      </c>
      <c r="R15393" t="s">
        <v>581</v>
      </c>
      <c r="S15393" t="s">
        <v>824</v>
      </c>
      <c r="T15393">
        <v>39</v>
      </c>
      <c r="U15393" s="26" t="str">
        <f t="shared" ref="U15393:U15406" si="579">HYPERLINK("https://ictv.global/ictv/proposals/2023.008S.Polycipiviridae_14sprenamed.zip","2023.008S.Polycipiviridae_14sprenamed.zip")</f>
        <v>2023.008S.Polycipiviridae_14sprenamed.zip</v>
      </c>
    </row>
    <row r="15394" spans="1:21">
      <c r="A15394">
        <v>15393</v>
      </c>
      <c r="B15394" s="27" t="s">
        <v>1124</v>
      </c>
      <c r="D15394" s="27" t="s">
        <v>1859</v>
      </c>
      <c r="F15394" s="27" t="s">
        <v>1909</v>
      </c>
      <c r="H15394" s="27" t="s">
        <v>1912</v>
      </c>
      <c r="J15394" s="27" t="s">
        <v>260</v>
      </c>
      <c r="L15394" s="27" t="s">
        <v>861</v>
      </c>
      <c r="N15394" s="27" t="s">
        <v>862</v>
      </c>
      <c r="P15394" s="27" t="s">
        <v>17393</v>
      </c>
      <c r="Q15394" s="26" t="str">
        <f>HYPERLINK("https://ictv.global/taxonomy/taxondetails?taxnode_id=202505609&amp;ictv_id=ICTV20175609","ICTV20175609")</f>
        <v>ICTV20175609</v>
      </c>
      <c r="R15394" t="s">
        <v>581</v>
      </c>
      <c r="S15394" t="s">
        <v>824</v>
      </c>
      <c r="T15394">
        <v>39</v>
      </c>
      <c r="U15394" s="26" t="str">
        <f t="shared" si="579"/>
        <v>2023.008S.Polycipiviridae_14sprenamed.zip</v>
      </c>
    </row>
    <row r="15395" spans="1:21">
      <c r="A15395">
        <v>15394</v>
      </c>
      <c r="B15395" s="27" t="s">
        <v>1124</v>
      </c>
      <c r="D15395" s="27" t="s">
        <v>1859</v>
      </c>
      <c r="F15395" s="27" t="s">
        <v>1909</v>
      </c>
      <c r="H15395" s="27" t="s">
        <v>1912</v>
      </c>
      <c r="J15395" s="27" t="s">
        <v>260</v>
      </c>
      <c r="L15395" s="27" t="s">
        <v>861</v>
      </c>
      <c r="N15395" s="27" t="s">
        <v>863</v>
      </c>
      <c r="P15395" s="27" t="s">
        <v>17394</v>
      </c>
      <c r="Q15395" s="26" t="str">
        <f>HYPERLINK("https://ictv.global/taxonomy/taxondetails?taxnode_id=202505611&amp;ictv_id=ICTV20175611","ICTV20175611")</f>
        <v>ICTV20175611</v>
      </c>
      <c r="R15395" t="s">
        <v>581</v>
      </c>
      <c r="S15395" t="s">
        <v>824</v>
      </c>
      <c r="T15395">
        <v>39</v>
      </c>
      <c r="U15395" s="26" t="str">
        <f t="shared" si="579"/>
        <v>2023.008S.Polycipiviridae_14sprenamed.zip</v>
      </c>
    </row>
    <row r="15396" spans="1:21">
      <c r="A15396">
        <v>15395</v>
      </c>
      <c r="B15396" s="27" t="s">
        <v>1124</v>
      </c>
      <c r="D15396" s="27" t="s">
        <v>1859</v>
      </c>
      <c r="F15396" s="27" t="s">
        <v>1909</v>
      </c>
      <c r="H15396" s="27" t="s">
        <v>1912</v>
      </c>
      <c r="J15396" s="27" t="s">
        <v>260</v>
      </c>
      <c r="L15396" s="27" t="s">
        <v>861</v>
      </c>
      <c r="N15396" s="27" t="s">
        <v>864</v>
      </c>
      <c r="P15396" s="27" t="s">
        <v>17395</v>
      </c>
      <c r="Q15396" s="26" t="str">
        <f>HYPERLINK("https://ictv.global/taxonomy/taxondetails?taxnode_id=202505621&amp;ictv_id=ICTV20175621","ICTV20175621")</f>
        <v>ICTV20175621</v>
      </c>
      <c r="R15396" t="s">
        <v>581</v>
      </c>
      <c r="S15396" t="s">
        <v>824</v>
      </c>
      <c r="T15396">
        <v>39</v>
      </c>
      <c r="U15396" s="26" t="str">
        <f t="shared" si="579"/>
        <v>2023.008S.Polycipiviridae_14sprenamed.zip</v>
      </c>
    </row>
    <row r="15397" spans="1:21">
      <c r="A15397">
        <v>15396</v>
      </c>
      <c r="B15397" s="27" t="s">
        <v>1124</v>
      </c>
      <c r="D15397" s="27" t="s">
        <v>1859</v>
      </c>
      <c r="F15397" s="27" t="s">
        <v>1909</v>
      </c>
      <c r="H15397" s="27" t="s">
        <v>1912</v>
      </c>
      <c r="J15397" s="27" t="s">
        <v>260</v>
      </c>
      <c r="L15397" s="27" t="s">
        <v>861</v>
      </c>
      <c r="N15397" s="27" t="s">
        <v>864</v>
      </c>
      <c r="P15397" s="27" t="s">
        <v>17396</v>
      </c>
      <c r="Q15397" s="26" t="str">
        <f>HYPERLINK("https://ictv.global/taxonomy/taxondetails?taxnode_id=202505615&amp;ictv_id=ICTV20175615","ICTV20175615")</f>
        <v>ICTV20175615</v>
      </c>
      <c r="R15397" t="s">
        <v>581</v>
      </c>
      <c r="S15397" t="s">
        <v>824</v>
      </c>
      <c r="T15397">
        <v>39</v>
      </c>
      <c r="U15397" s="26" t="str">
        <f t="shared" si="579"/>
        <v>2023.008S.Polycipiviridae_14sprenamed.zip</v>
      </c>
    </row>
    <row r="15398" spans="1:21">
      <c r="A15398">
        <v>15397</v>
      </c>
      <c r="B15398" s="27" t="s">
        <v>1124</v>
      </c>
      <c r="D15398" s="27" t="s">
        <v>1859</v>
      </c>
      <c r="F15398" s="27" t="s">
        <v>1909</v>
      </c>
      <c r="H15398" s="27" t="s">
        <v>1912</v>
      </c>
      <c r="J15398" s="27" t="s">
        <v>260</v>
      </c>
      <c r="L15398" s="27" t="s">
        <v>861</v>
      </c>
      <c r="N15398" s="27" t="s">
        <v>864</v>
      </c>
      <c r="P15398" s="27" t="s">
        <v>17397</v>
      </c>
      <c r="Q15398" s="26" t="str">
        <f>HYPERLINK("https://ictv.global/taxonomy/taxondetails?taxnode_id=202505619&amp;ictv_id=ICTV20175619","ICTV20175619")</f>
        <v>ICTV20175619</v>
      </c>
      <c r="R15398" t="s">
        <v>581</v>
      </c>
      <c r="S15398" t="s">
        <v>824</v>
      </c>
      <c r="T15398">
        <v>39</v>
      </c>
      <c r="U15398" s="26" t="str">
        <f t="shared" si="579"/>
        <v>2023.008S.Polycipiviridae_14sprenamed.zip</v>
      </c>
    </row>
    <row r="15399" spans="1:21">
      <c r="A15399">
        <v>15398</v>
      </c>
      <c r="B15399" s="27" t="s">
        <v>1124</v>
      </c>
      <c r="D15399" s="27" t="s">
        <v>1859</v>
      </c>
      <c r="F15399" s="27" t="s">
        <v>1909</v>
      </c>
      <c r="H15399" s="27" t="s">
        <v>1912</v>
      </c>
      <c r="J15399" s="27" t="s">
        <v>260</v>
      </c>
      <c r="L15399" s="27" t="s">
        <v>861</v>
      </c>
      <c r="N15399" s="27" t="s">
        <v>864</v>
      </c>
      <c r="P15399" s="27" t="s">
        <v>17398</v>
      </c>
      <c r="Q15399" s="26" t="str">
        <f>HYPERLINK("https://ictv.global/taxonomy/taxondetails?taxnode_id=202505623&amp;ictv_id=ICTV20175623","ICTV20175623")</f>
        <v>ICTV20175623</v>
      </c>
      <c r="R15399" t="s">
        <v>581</v>
      </c>
      <c r="S15399" t="s">
        <v>824</v>
      </c>
      <c r="T15399">
        <v>39</v>
      </c>
      <c r="U15399" s="26" t="str">
        <f t="shared" si="579"/>
        <v>2023.008S.Polycipiviridae_14sprenamed.zip</v>
      </c>
    </row>
    <row r="15400" spans="1:21">
      <c r="A15400">
        <v>15399</v>
      </c>
      <c r="B15400" s="27" t="s">
        <v>1124</v>
      </c>
      <c r="D15400" s="27" t="s">
        <v>1859</v>
      </c>
      <c r="F15400" s="27" t="s">
        <v>1909</v>
      </c>
      <c r="H15400" s="27" t="s">
        <v>1912</v>
      </c>
      <c r="J15400" s="27" t="s">
        <v>260</v>
      </c>
      <c r="L15400" s="27" t="s">
        <v>861</v>
      </c>
      <c r="N15400" s="27" t="s">
        <v>864</v>
      </c>
      <c r="P15400" s="27" t="s">
        <v>17399</v>
      </c>
      <c r="Q15400" s="26" t="str">
        <f>HYPERLINK("https://ictv.global/taxonomy/taxondetails?taxnode_id=202505613&amp;ictv_id=ICTV20175613","ICTV20175613")</f>
        <v>ICTV20175613</v>
      </c>
      <c r="R15400" t="s">
        <v>581</v>
      </c>
      <c r="S15400" t="s">
        <v>824</v>
      </c>
      <c r="T15400">
        <v>39</v>
      </c>
      <c r="U15400" s="26" t="str">
        <f t="shared" si="579"/>
        <v>2023.008S.Polycipiviridae_14sprenamed.zip</v>
      </c>
    </row>
    <row r="15401" spans="1:21">
      <c r="A15401">
        <v>15400</v>
      </c>
      <c r="B15401" s="27" t="s">
        <v>1124</v>
      </c>
      <c r="D15401" s="27" t="s">
        <v>1859</v>
      </c>
      <c r="F15401" s="27" t="s">
        <v>1909</v>
      </c>
      <c r="H15401" s="27" t="s">
        <v>1912</v>
      </c>
      <c r="J15401" s="27" t="s">
        <v>260</v>
      </c>
      <c r="L15401" s="27" t="s">
        <v>861</v>
      </c>
      <c r="N15401" s="27" t="s">
        <v>864</v>
      </c>
      <c r="P15401" s="27" t="s">
        <v>17400</v>
      </c>
      <c r="Q15401" s="26" t="str">
        <f>HYPERLINK("https://ictv.global/taxonomy/taxondetails?taxnode_id=202505616&amp;ictv_id=ICTV20175616","ICTV20175616")</f>
        <v>ICTV20175616</v>
      </c>
      <c r="R15401" t="s">
        <v>581</v>
      </c>
      <c r="S15401" t="s">
        <v>824</v>
      </c>
      <c r="T15401">
        <v>39</v>
      </c>
      <c r="U15401" s="26" t="str">
        <f t="shared" si="579"/>
        <v>2023.008S.Polycipiviridae_14sprenamed.zip</v>
      </c>
    </row>
    <row r="15402" spans="1:21">
      <c r="A15402">
        <v>15401</v>
      </c>
      <c r="B15402" s="27" t="s">
        <v>1124</v>
      </c>
      <c r="D15402" s="27" t="s">
        <v>1859</v>
      </c>
      <c r="F15402" s="27" t="s">
        <v>1909</v>
      </c>
      <c r="H15402" s="27" t="s">
        <v>1912</v>
      </c>
      <c r="J15402" s="27" t="s">
        <v>260</v>
      </c>
      <c r="L15402" s="27" t="s">
        <v>861</v>
      </c>
      <c r="N15402" s="27" t="s">
        <v>864</v>
      </c>
      <c r="P15402" s="27" t="s">
        <v>17401</v>
      </c>
      <c r="Q15402" s="26" t="str">
        <f>HYPERLINK("https://ictv.global/taxonomy/taxondetails?taxnode_id=202505614&amp;ictv_id=ICTV20175614","ICTV20175614")</f>
        <v>ICTV20175614</v>
      </c>
      <c r="R15402" t="s">
        <v>581</v>
      </c>
      <c r="S15402" t="s">
        <v>824</v>
      </c>
      <c r="T15402">
        <v>39</v>
      </c>
      <c r="U15402" s="26" t="str">
        <f t="shared" si="579"/>
        <v>2023.008S.Polycipiviridae_14sprenamed.zip</v>
      </c>
    </row>
    <row r="15403" spans="1:21">
      <c r="A15403">
        <v>15402</v>
      </c>
      <c r="B15403" s="27" t="s">
        <v>1124</v>
      </c>
      <c r="D15403" s="27" t="s">
        <v>1859</v>
      </c>
      <c r="F15403" s="27" t="s">
        <v>1909</v>
      </c>
      <c r="H15403" s="27" t="s">
        <v>1912</v>
      </c>
      <c r="J15403" s="27" t="s">
        <v>260</v>
      </c>
      <c r="L15403" s="27" t="s">
        <v>861</v>
      </c>
      <c r="N15403" s="27" t="s">
        <v>864</v>
      </c>
      <c r="P15403" s="27" t="s">
        <v>17402</v>
      </c>
      <c r="Q15403" s="26" t="str">
        <f>HYPERLINK("https://ictv.global/taxonomy/taxondetails?taxnode_id=202505617&amp;ictv_id=ICTV20175617","ICTV20175617")</f>
        <v>ICTV20175617</v>
      </c>
      <c r="R15403" t="s">
        <v>581</v>
      </c>
      <c r="S15403" t="s">
        <v>824</v>
      </c>
      <c r="T15403">
        <v>39</v>
      </c>
      <c r="U15403" s="26" t="str">
        <f t="shared" si="579"/>
        <v>2023.008S.Polycipiviridae_14sprenamed.zip</v>
      </c>
    </row>
    <row r="15404" spans="1:21">
      <c r="A15404">
        <v>15403</v>
      </c>
      <c r="B15404" s="27" t="s">
        <v>1124</v>
      </c>
      <c r="D15404" s="27" t="s">
        <v>1859</v>
      </c>
      <c r="F15404" s="27" t="s">
        <v>1909</v>
      </c>
      <c r="H15404" s="27" t="s">
        <v>1912</v>
      </c>
      <c r="J15404" s="27" t="s">
        <v>260</v>
      </c>
      <c r="L15404" s="27" t="s">
        <v>861</v>
      </c>
      <c r="N15404" s="27" t="s">
        <v>864</v>
      </c>
      <c r="P15404" s="27" t="s">
        <v>17403</v>
      </c>
      <c r="Q15404" s="26" t="str">
        <f>HYPERLINK("https://ictv.global/taxonomy/taxondetails?taxnode_id=202505618&amp;ictv_id=ICTV20175618","ICTV20175618")</f>
        <v>ICTV20175618</v>
      </c>
      <c r="R15404" t="s">
        <v>581</v>
      </c>
      <c r="S15404" t="s">
        <v>824</v>
      </c>
      <c r="T15404">
        <v>39</v>
      </c>
      <c r="U15404" s="26" t="str">
        <f t="shared" si="579"/>
        <v>2023.008S.Polycipiviridae_14sprenamed.zip</v>
      </c>
    </row>
    <row r="15405" spans="1:21">
      <c r="A15405">
        <v>15404</v>
      </c>
      <c r="B15405" s="27" t="s">
        <v>1124</v>
      </c>
      <c r="D15405" s="27" t="s">
        <v>1859</v>
      </c>
      <c r="F15405" s="27" t="s">
        <v>1909</v>
      </c>
      <c r="H15405" s="27" t="s">
        <v>1912</v>
      </c>
      <c r="J15405" s="27" t="s">
        <v>260</v>
      </c>
      <c r="L15405" s="27" t="s">
        <v>861</v>
      </c>
      <c r="N15405" s="27" t="s">
        <v>864</v>
      </c>
      <c r="P15405" s="27" t="s">
        <v>17404</v>
      </c>
      <c r="Q15405" s="26" t="str">
        <f>HYPERLINK("https://ictv.global/taxonomy/taxondetails?taxnode_id=202505620&amp;ictv_id=ICTV20175620","ICTV20175620")</f>
        <v>ICTV20175620</v>
      </c>
      <c r="R15405" t="s">
        <v>581</v>
      </c>
      <c r="S15405" t="s">
        <v>824</v>
      </c>
      <c r="T15405">
        <v>39</v>
      </c>
      <c r="U15405" s="26" t="str">
        <f t="shared" si="579"/>
        <v>2023.008S.Polycipiviridae_14sprenamed.zip</v>
      </c>
    </row>
    <row r="15406" spans="1:21">
      <c r="A15406">
        <v>15405</v>
      </c>
      <c r="B15406" s="27" t="s">
        <v>1124</v>
      </c>
      <c r="D15406" s="27" t="s">
        <v>1859</v>
      </c>
      <c r="F15406" s="27" t="s">
        <v>1909</v>
      </c>
      <c r="H15406" s="27" t="s">
        <v>1912</v>
      </c>
      <c r="J15406" s="27" t="s">
        <v>260</v>
      </c>
      <c r="L15406" s="27" t="s">
        <v>861</v>
      </c>
      <c r="N15406" s="27" t="s">
        <v>864</v>
      </c>
      <c r="P15406" s="27" t="s">
        <v>17405</v>
      </c>
      <c r="Q15406" s="26" t="str">
        <f>HYPERLINK("https://ictv.global/taxonomy/taxondetails?taxnode_id=202505622&amp;ictv_id=ICTV20175622","ICTV20175622")</f>
        <v>ICTV20175622</v>
      </c>
      <c r="R15406" t="s">
        <v>581</v>
      </c>
      <c r="S15406" t="s">
        <v>824</v>
      </c>
      <c r="T15406">
        <v>39</v>
      </c>
      <c r="U15406" s="26" t="str">
        <f t="shared" si="579"/>
        <v>2023.008S.Polycipiviridae_14sprenamed.zip</v>
      </c>
    </row>
    <row r="15407" spans="1:21">
      <c r="A15407">
        <v>15406</v>
      </c>
      <c r="B15407" s="27" t="s">
        <v>1124</v>
      </c>
      <c r="D15407" s="27" t="s">
        <v>1859</v>
      </c>
      <c r="F15407" s="27" t="s">
        <v>1909</v>
      </c>
      <c r="H15407" s="27" t="s">
        <v>1912</v>
      </c>
      <c r="J15407" s="27" t="s">
        <v>260</v>
      </c>
      <c r="L15407" s="27" t="s">
        <v>435</v>
      </c>
      <c r="M15407" s="27" t="s">
        <v>416</v>
      </c>
      <c r="N15407" s="27" t="s">
        <v>413</v>
      </c>
      <c r="P15407" s="27" t="s">
        <v>10562</v>
      </c>
      <c r="Q15407" s="26" t="str">
        <f>HYPERLINK("https://ictv.global/taxonomy/taxondetails?taxnode_id=202502073&amp;ictv_id=ICTV19790979","ICTV19790979")</f>
        <v>ICTV19790979</v>
      </c>
      <c r="R15407" t="s">
        <v>581</v>
      </c>
      <c r="S15407" t="s">
        <v>824</v>
      </c>
      <c r="T15407">
        <v>38</v>
      </c>
      <c r="U15407" s="26" t="str">
        <f>HYPERLINK("https://ictv.global/ictv/proposals/2022.005P.Secoviridae_rename.zip","2022.005P.Secoviridae_rename.zip")</f>
        <v>2022.005P.Secoviridae_rename.zip</v>
      </c>
    </row>
    <row r="15408" spans="1:21">
      <c r="A15408">
        <v>15407</v>
      </c>
      <c r="B15408" s="27" t="s">
        <v>1124</v>
      </c>
      <c r="D15408" s="27" t="s">
        <v>1859</v>
      </c>
      <c r="F15408" s="27" t="s">
        <v>1909</v>
      </c>
      <c r="H15408" s="27" t="s">
        <v>1912</v>
      </c>
      <c r="J15408" s="27" t="s">
        <v>260</v>
      </c>
      <c r="L15408" s="27" t="s">
        <v>435</v>
      </c>
      <c r="M15408" s="27" t="s">
        <v>416</v>
      </c>
      <c r="N15408" s="27" t="s">
        <v>413</v>
      </c>
      <c r="P15408" s="27" t="s">
        <v>10563</v>
      </c>
      <c r="Q15408" s="26" t="str">
        <f>HYPERLINK("https://ictv.global/taxonomy/taxondetails?taxnode_id=202513819&amp;ictv_id=ICTV202113819","ICTV202113819")</f>
        <v>ICTV202113819</v>
      </c>
      <c r="R15408" t="s">
        <v>581</v>
      </c>
      <c r="S15408" t="s">
        <v>824</v>
      </c>
      <c r="T15408">
        <v>38</v>
      </c>
      <c r="U15408" s="26" t="str">
        <f>HYPERLINK("https://ictv.global/ictv/proposals/2022.005P.Secoviridae_rename.zip","2022.005P.Secoviridae_rename.zip")</f>
        <v>2022.005P.Secoviridae_rename.zip</v>
      </c>
    </row>
    <row r="15409" spans="1:21">
      <c r="A15409">
        <v>15408</v>
      </c>
      <c r="B15409" s="27" t="s">
        <v>1124</v>
      </c>
      <c r="D15409" s="27" t="s">
        <v>1859</v>
      </c>
      <c r="F15409" s="27" t="s">
        <v>1909</v>
      </c>
      <c r="H15409" s="27" t="s">
        <v>1912</v>
      </c>
      <c r="J15409" s="27" t="s">
        <v>260</v>
      </c>
      <c r="L15409" s="27" t="s">
        <v>435</v>
      </c>
      <c r="M15409" s="27" t="s">
        <v>416</v>
      </c>
      <c r="N15409" s="27" t="s">
        <v>413</v>
      </c>
      <c r="P15409" s="27" t="s">
        <v>10564</v>
      </c>
      <c r="Q15409" s="26" t="str">
        <f>HYPERLINK("https://ictv.global/taxonomy/taxondetails?taxnode_id=202513821&amp;ictv_id=ICTV202113821","ICTV202113821")</f>
        <v>ICTV202113821</v>
      </c>
      <c r="R15409" t="s">
        <v>581</v>
      </c>
      <c r="S15409" t="s">
        <v>824</v>
      </c>
      <c r="T15409">
        <v>38</v>
      </c>
      <c r="U15409" s="26" t="str">
        <f>HYPERLINK("https://ictv.global/ictv/proposals/2022.005P.Secoviridae_rename.zip","2022.005P.Secoviridae_rename.zip")</f>
        <v>2022.005P.Secoviridae_rename.zip</v>
      </c>
    </row>
    <row r="15410" spans="1:21">
      <c r="A15410">
        <v>15409</v>
      </c>
      <c r="B15410" s="27" t="s">
        <v>1124</v>
      </c>
      <c r="D15410" s="27" t="s">
        <v>1859</v>
      </c>
      <c r="F15410" s="27" t="s">
        <v>1909</v>
      </c>
      <c r="H15410" s="27" t="s">
        <v>1912</v>
      </c>
      <c r="J15410" s="27" t="s">
        <v>260</v>
      </c>
      <c r="L15410" s="27" t="s">
        <v>435</v>
      </c>
      <c r="M15410" s="27" t="s">
        <v>416</v>
      </c>
      <c r="N15410" s="27" t="s">
        <v>413</v>
      </c>
      <c r="P15410" s="27" t="s">
        <v>21875</v>
      </c>
      <c r="Q15410" s="26" t="str">
        <f>HYPERLINK("https://ictv.global/taxonomy/taxondetails?taxnode_id=202522684&amp;ictv_id=ICTV202522684","ICTV202522684")</f>
        <v>ICTV202522684</v>
      </c>
      <c r="R15410" t="s">
        <v>581</v>
      </c>
      <c r="S15410" t="s">
        <v>823</v>
      </c>
      <c r="T15410">
        <v>41</v>
      </c>
      <c r="U15410" s="26" t="str">
        <f>HYPERLINK("https://ictv.global/ictv/proposals/2025.017P.Secoviridae_53nsp_3abolishsp.zip","2025.017P.Secoviridae_53nsp_3abolishsp.zip")</f>
        <v>2025.017P.Secoviridae_53nsp_3abolishsp.zip</v>
      </c>
    </row>
    <row r="15411" spans="1:21">
      <c r="A15411">
        <v>15410</v>
      </c>
      <c r="B15411" s="27" t="s">
        <v>1124</v>
      </c>
      <c r="D15411" s="27" t="s">
        <v>1859</v>
      </c>
      <c r="F15411" s="27" t="s">
        <v>1909</v>
      </c>
      <c r="H15411" s="27" t="s">
        <v>1912</v>
      </c>
      <c r="J15411" s="27" t="s">
        <v>260</v>
      </c>
      <c r="L15411" s="27" t="s">
        <v>435</v>
      </c>
      <c r="M15411" s="27" t="s">
        <v>416</v>
      </c>
      <c r="N15411" s="27" t="s">
        <v>413</v>
      </c>
      <c r="P15411" s="27" t="s">
        <v>21874</v>
      </c>
      <c r="Q15411" s="26" t="str">
        <f>HYPERLINK("https://ictv.global/taxonomy/taxondetails?taxnode_id=202522683&amp;ictv_id=ICTV202522683","ICTV202522683")</f>
        <v>ICTV202522683</v>
      </c>
      <c r="R15411" t="s">
        <v>581</v>
      </c>
      <c r="S15411" t="s">
        <v>823</v>
      </c>
      <c r="T15411">
        <v>41</v>
      </c>
      <c r="U15411" s="26" t="str">
        <f>HYPERLINK("https://ictv.global/ictv/proposals/2025.017P.Secoviridae_53nsp_3abolishsp.zip","2025.017P.Secoviridae_53nsp_3abolishsp.zip")</f>
        <v>2025.017P.Secoviridae_53nsp_3abolishsp.zip</v>
      </c>
    </row>
    <row r="15412" spans="1:21">
      <c r="A15412">
        <v>15411</v>
      </c>
      <c r="B15412" s="27" t="s">
        <v>1124</v>
      </c>
      <c r="D15412" s="27" t="s">
        <v>1859</v>
      </c>
      <c r="F15412" s="27" t="s">
        <v>1909</v>
      </c>
      <c r="H15412" s="27" t="s">
        <v>1912</v>
      </c>
      <c r="J15412" s="27" t="s">
        <v>260</v>
      </c>
      <c r="L15412" s="27" t="s">
        <v>435</v>
      </c>
      <c r="M15412" s="27" t="s">
        <v>416</v>
      </c>
      <c r="N15412" s="27" t="s">
        <v>413</v>
      </c>
      <c r="P15412" s="27" t="s">
        <v>10565</v>
      </c>
      <c r="Q15412" s="26" t="str">
        <f>HYPERLINK("https://ictv.global/taxonomy/taxondetails?taxnode_id=202502086&amp;ictv_id=ICTV19710164","ICTV19710164")</f>
        <v>ICTV19710164</v>
      </c>
      <c r="R15412" t="s">
        <v>581</v>
      </c>
      <c r="S15412" t="s">
        <v>824</v>
      </c>
      <c r="T15412">
        <v>38</v>
      </c>
      <c r="U15412" s="26" t="str">
        <f t="shared" ref="U15412:U15417" si="580">HYPERLINK("https://ictv.global/ictv/proposals/2022.005P.Secoviridae_rename.zip","2022.005P.Secoviridae_rename.zip")</f>
        <v>2022.005P.Secoviridae_rename.zip</v>
      </c>
    </row>
    <row r="15413" spans="1:21">
      <c r="A15413">
        <v>15412</v>
      </c>
      <c r="B15413" s="27" t="s">
        <v>1124</v>
      </c>
      <c r="D15413" s="27" t="s">
        <v>1859</v>
      </c>
      <c r="F15413" s="27" t="s">
        <v>1909</v>
      </c>
      <c r="H15413" s="27" t="s">
        <v>1912</v>
      </c>
      <c r="J15413" s="27" t="s">
        <v>260</v>
      </c>
      <c r="L15413" s="27" t="s">
        <v>435</v>
      </c>
      <c r="M15413" s="27" t="s">
        <v>416</v>
      </c>
      <c r="N15413" s="27" t="s">
        <v>413</v>
      </c>
      <c r="P15413" s="27" t="s">
        <v>10566</v>
      </c>
      <c r="Q15413" s="26" t="str">
        <f>HYPERLINK("https://ictv.global/taxonomy/taxondetails?taxnode_id=202502077&amp;ictv_id=ICTV19710165","ICTV19710165")</f>
        <v>ICTV19710165</v>
      </c>
      <c r="R15413" t="s">
        <v>581</v>
      </c>
      <c r="S15413" t="s">
        <v>824</v>
      </c>
      <c r="T15413">
        <v>38</v>
      </c>
      <c r="U15413" s="26" t="str">
        <f t="shared" si="580"/>
        <v>2022.005P.Secoviridae_rename.zip</v>
      </c>
    </row>
    <row r="15414" spans="1:21">
      <c r="A15414">
        <v>15413</v>
      </c>
      <c r="B15414" s="27" t="s">
        <v>1124</v>
      </c>
      <c r="D15414" s="27" t="s">
        <v>1859</v>
      </c>
      <c r="F15414" s="27" t="s">
        <v>1909</v>
      </c>
      <c r="H15414" s="27" t="s">
        <v>1912</v>
      </c>
      <c r="J15414" s="27" t="s">
        <v>260</v>
      </c>
      <c r="L15414" s="27" t="s">
        <v>435</v>
      </c>
      <c r="M15414" s="27" t="s">
        <v>416</v>
      </c>
      <c r="N15414" s="27" t="s">
        <v>413</v>
      </c>
      <c r="P15414" s="27" t="s">
        <v>10567</v>
      </c>
      <c r="Q15414" s="26" t="str">
        <f>HYPERLINK("https://ictv.global/taxonomy/taxondetails?taxnode_id=202502080&amp;ictv_id=ICTV19821193","ICTV19821193")</f>
        <v>ICTV19821193</v>
      </c>
      <c r="R15414" t="s">
        <v>581</v>
      </c>
      <c r="S15414" t="s">
        <v>824</v>
      </c>
      <c r="T15414">
        <v>38</v>
      </c>
      <c r="U15414" s="26" t="str">
        <f t="shared" si="580"/>
        <v>2022.005P.Secoviridae_rename.zip</v>
      </c>
    </row>
    <row r="15415" spans="1:21">
      <c r="A15415">
        <v>15414</v>
      </c>
      <c r="B15415" s="27" t="s">
        <v>1124</v>
      </c>
      <c r="D15415" s="27" t="s">
        <v>1859</v>
      </c>
      <c r="F15415" s="27" t="s">
        <v>1909</v>
      </c>
      <c r="H15415" s="27" t="s">
        <v>1912</v>
      </c>
      <c r="J15415" s="27" t="s">
        <v>260</v>
      </c>
      <c r="L15415" s="27" t="s">
        <v>435</v>
      </c>
      <c r="M15415" s="27" t="s">
        <v>416</v>
      </c>
      <c r="N15415" s="27" t="s">
        <v>413</v>
      </c>
      <c r="P15415" s="27" t="s">
        <v>10568</v>
      </c>
      <c r="Q15415" s="26" t="str">
        <f>HYPERLINK("https://ictv.global/taxonomy/taxondetails?taxnode_id=202502082&amp;ictv_id=ICTV19911589","ICTV19911589")</f>
        <v>ICTV19911589</v>
      </c>
      <c r="R15415" t="s">
        <v>581</v>
      </c>
      <c r="S15415" t="s">
        <v>824</v>
      </c>
      <c r="T15415">
        <v>38</v>
      </c>
      <c r="U15415" s="26" t="str">
        <f t="shared" si="580"/>
        <v>2022.005P.Secoviridae_rename.zip</v>
      </c>
    </row>
    <row r="15416" spans="1:21">
      <c r="A15416">
        <v>15415</v>
      </c>
      <c r="B15416" s="27" t="s">
        <v>1124</v>
      </c>
      <c r="D15416" s="27" t="s">
        <v>1859</v>
      </c>
      <c r="F15416" s="27" t="s">
        <v>1909</v>
      </c>
      <c r="H15416" s="27" t="s">
        <v>1912</v>
      </c>
      <c r="J15416" s="27" t="s">
        <v>260</v>
      </c>
      <c r="L15416" s="27" t="s">
        <v>435</v>
      </c>
      <c r="M15416" s="27" t="s">
        <v>416</v>
      </c>
      <c r="N15416" s="27" t="s">
        <v>413</v>
      </c>
      <c r="P15416" s="27" t="s">
        <v>10569</v>
      </c>
      <c r="Q15416" s="26" t="str">
        <f>HYPERLINK("https://ictv.global/taxonomy/taxondetails?taxnode_id=202513820&amp;ictv_id=ICTV202113820","ICTV202113820")</f>
        <v>ICTV202113820</v>
      </c>
      <c r="R15416" t="s">
        <v>581</v>
      </c>
      <c r="S15416" t="s">
        <v>824</v>
      </c>
      <c r="T15416">
        <v>38</v>
      </c>
      <c r="U15416" s="26" t="str">
        <f t="shared" si="580"/>
        <v>2022.005P.Secoviridae_rename.zip</v>
      </c>
    </row>
    <row r="15417" spans="1:21">
      <c r="A15417">
        <v>15416</v>
      </c>
      <c r="B15417" s="27" t="s">
        <v>1124</v>
      </c>
      <c r="D15417" s="27" t="s">
        <v>1859</v>
      </c>
      <c r="F15417" s="27" t="s">
        <v>1909</v>
      </c>
      <c r="H15417" s="27" t="s">
        <v>1912</v>
      </c>
      <c r="J15417" s="27" t="s">
        <v>260</v>
      </c>
      <c r="L15417" s="27" t="s">
        <v>435</v>
      </c>
      <c r="M15417" s="27" t="s">
        <v>416</v>
      </c>
      <c r="N15417" s="27" t="s">
        <v>413</v>
      </c>
      <c r="P15417" s="27" t="s">
        <v>10570</v>
      </c>
      <c r="Q15417" s="26" t="str">
        <f>HYPERLINK("https://ictv.global/taxonomy/taxondetails?taxnode_id=202502081&amp;ictv_id=ICTV19950832","ICTV19950832")</f>
        <v>ICTV19950832</v>
      </c>
      <c r="R15417" t="s">
        <v>581</v>
      </c>
      <c r="S15417" t="s">
        <v>824</v>
      </c>
      <c r="T15417">
        <v>38</v>
      </c>
      <c r="U15417" s="26" t="str">
        <f t="shared" si="580"/>
        <v>2022.005P.Secoviridae_rename.zip</v>
      </c>
    </row>
    <row r="15418" spans="1:21">
      <c r="A15418">
        <v>15417</v>
      </c>
      <c r="B15418" s="27" t="s">
        <v>1124</v>
      </c>
      <c r="D15418" s="27" t="s">
        <v>1859</v>
      </c>
      <c r="F15418" s="27" t="s">
        <v>1909</v>
      </c>
      <c r="H15418" s="27" t="s">
        <v>1912</v>
      </c>
      <c r="J15418" s="27" t="s">
        <v>260</v>
      </c>
      <c r="L15418" s="27" t="s">
        <v>435</v>
      </c>
      <c r="M15418" s="27" t="s">
        <v>416</v>
      </c>
      <c r="N15418" s="27" t="s">
        <v>413</v>
      </c>
      <c r="P15418" s="27" t="s">
        <v>10571</v>
      </c>
      <c r="Q15418" s="26" t="str">
        <f>HYPERLINK("https://ictv.global/taxonomy/taxondetails?taxnode_id=202515091&amp;ictv_id=ICTV202215091","ICTV202215091")</f>
        <v>ICTV202215091</v>
      </c>
      <c r="R15418" t="s">
        <v>581</v>
      </c>
      <c r="S15418" t="s">
        <v>823</v>
      </c>
      <c r="T15418">
        <v>38</v>
      </c>
      <c r="U15418" s="26" t="str">
        <f>HYPERLINK("https://ictv.global/ictv/proposals/2022.004P.Secoviridae_8ns.zip","2022.004P.Secoviridae_8ns.zip")</f>
        <v>2022.004P.Secoviridae_8ns.zip</v>
      </c>
    </row>
    <row r="15419" spans="1:21">
      <c r="A15419">
        <v>15418</v>
      </c>
      <c r="B15419" s="27" t="s">
        <v>1124</v>
      </c>
      <c r="D15419" s="27" t="s">
        <v>1859</v>
      </c>
      <c r="F15419" s="27" t="s">
        <v>1909</v>
      </c>
      <c r="H15419" s="27" t="s">
        <v>1912</v>
      </c>
      <c r="J15419" s="27" t="s">
        <v>260</v>
      </c>
      <c r="L15419" s="27" t="s">
        <v>435</v>
      </c>
      <c r="M15419" s="27" t="s">
        <v>416</v>
      </c>
      <c r="N15419" s="27" t="s">
        <v>413</v>
      </c>
      <c r="P15419" s="27" t="s">
        <v>10572</v>
      </c>
      <c r="Q15419" s="26" t="str">
        <f>HYPERLINK("https://ictv.global/taxonomy/taxondetails?taxnode_id=202502084&amp;ictv_id=ICTV19710162","ICTV19710162")</f>
        <v>ICTV19710162</v>
      </c>
      <c r="R15419" t="s">
        <v>581</v>
      </c>
      <c r="S15419" t="s">
        <v>824</v>
      </c>
      <c r="T15419">
        <v>38</v>
      </c>
      <c r="U15419" s="26" t="str">
        <f t="shared" ref="U15419:U15428" si="581">HYPERLINK("https://ictv.global/ictv/proposals/2022.005P.Secoviridae_rename.zip","2022.005P.Secoviridae_rename.zip")</f>
        <v>2022.005P.Secoviridae_rename.zip</v>
      </c>
    </row>
    <row r="15420" spans="1:21">
      <c r="A15420">
        <v>15419</v>
      </c>
      <c r="B15420" s="27" t="s">
        <v>1124</v>
      </c>
      <c r="D15420" s="27" t="s">
        <v>1859</v>
      </c>
      <c r="F15420" s="27" t="s">
        <v>1909</v>
      </c>
      <c r="H15420" s="27" t="s">
        <v>1912</v>
      </c>
      <c r="J15420" s="27" t="s">
        <v>260</v>
      </c>
      <c r="L15420" s="27" t="s">
        <v>435</v>
      </c>
      <c r="M15420" s="27" t="s">
        <v>416</v>
      </c>
      <c r="N15420" s="27" t="s">
        <v>413</v>
      </c>
      <c r="P15420" s="27" t="s">
        <v>10573</v>
      </c>
      <c r="Q15420" s="26" t="str">
        <f>HYPERLINK("https://ictv.global/taxonomy/taxondetails?taxnode_id=202502075&amp;ictv_id=ICTV19760672","ICTV19760672")</f>
        <v>ICTV19760672</v>
      </c>
      <c r="R15420" t="s">
        <v>581</v>
      </c>
      <c r="S15420" t="s">
        <v>824</v>
      </c>
      <c r="T15420">
        <v>38</v>
      </c>
      <c r="U15420" s="26" t="str">
        <f t="shared" si="581"/>
        <v>2022.005P.Secoviridae_rename.zip</v>
      </c>
    </row>
    <row r="15421" spans="1:21">
      <c r="A15421">
        <v>15420</v>
      </c>
      <c r="B15421" s="27" t="s">
        <v>1124</v>
      </c>
      <c r="D15421" s="27" t="s">
        <v>1859</v>
      </c>
      <c r="F15421" s="27" t="s">
        <v>1909</v>
      </c>
      <c r="H15421" s="27" t="s">
        <v>1912</v>
      </c>
      <c r="J15421" s="27" t="s">
        <v>260</v>
      </c>
      <c r="L15421" s="27" t="s">
        <v>435</v>
      </c>
      <c r="M15421" s="27" t="s">
        <v>416</v>
      </c>
      <c r="N15421" s="27" t="s">
        <v>413</v>
      </c>
      <c r="P15421" s="27" t="s">
        <v>10574</v>
      </c>
      <c r="Q15421" s="26" t="str">
        <f>HYPERLINK("https://ictv.global/taxonomy/taxondetails?taxnode_id=202502079&amp;ictv_id=ICTV19821192","ICTV19821192")</f>
        <v>ICTV19821192</v>
      </c>
      <c r="R15421" t="s">
        <v>581</v>
      </c>
      <c r="S15421" t="s">
        <v>824</v>
      </c>
      <c r="T15421">
        <v>38</v>
      </c>
      <c r="U15421" s="26" t="str">
        <f t="shared" si="581"/>
        <v>2022.005P.Secoviridae_rename.zip</v>
      </c>
    </row>
    <row r="15422" spans="1:21">
      <c r="A15422">
        <v>15421</v>
      </c>
      <c r="B15422" s="27" t="s">
        <v>1124</v>
      </c>
      <c r="D15422" s="27" t="s">
        <v>1859</v>
      </c>
      <c r="F15422" s="27" t="s">
        <v>1909</v>
      </c>
      <c r="H15422" s="27" t="s">
        <v>1912</v>
      </c>
      <c r="J15422" s="27" t="s">
        <v>260</v>
      </c>
      <c r="L15422" s="27" t="s">
        <v>435</v>
      </c>
      <c r="M15422" s="27" t="s">
        <v>416</v>
      </c>
      <c r="N15422" s="27" t="s">
        <v>413</v>
      </c>
      <c r="P15422" s="27" t="s">
        <v>10575</v>
      </c>
      <c r="Q15422" s="26" t="str">
        <f>HYPERLINK("https://ictv.global/taxonomy/taxondetails?taxnode_id=202502074&amp;ictv_id=ICTV19710159","ICTV19710159")</f>
        <v>ICTV19710159</v>
      </c>
      <c r="R15422" t="s">
        <v>581</v>
      </c>
      <c r="S15422" t="s">
        <v>824</v>
      </c>
      <c r="T15422">
        <v>38</v>
      </c>
      <c r="U15422" s="26" t="str">
        <f t="shared" si="581"/>
        <v>2022.005P.Secoviridae_rename.zip</v>
      </c>
    </row>
    <row r="15423" spans="1:21">
      <c r="A15423">
        <v>15422</v>
      </c>
      <c r="B15423" s="27" t="s">
        <v>1124</v>
      </c>
      <c r="D15423" s="27" t="s">
        <v>1859</v>
      </c>
      <c r="F15423" s="27" t="s">
        <v>1909</v>
      </c>
      <c r="H15423" s="27" t="s">
        <v>1912</v>
      </c>
      <c r="J15423" s="27" t="s">
        <v>260</v>
      </c>
      <c r="L15423" s="27" t="s">
        <v>435</v>
      </c>
      <c r="M15423" s="27" t="s">
        <v>416</v>
      </c>
      <c r="N15423" s="27" t="s">
        <v>413</v>
      </c>
      <c r="P15423" s="27" t="s">
        <v>10576</v>
      </c>
      <c r="Q15423" s="26" t="str">
        <f>HYPERLINK("https://ictv.global/taxonomy/taxondetails?taxnode_id=202502083&amp;ictv_id=ICTV19760676","ICTV19760676")</f>
        <v>ICTV19760676</v>
      </c>
      <c r="R15423" t="s">
        <v>581</v>
      </c>
      <c r="S15423" t="s">
        <v>824</v>
      </c>
      <c r="T15423">
        <v>38</v>
      </c>
      <c r="U15423" s="26" t="str">
        <f t="shared" si="581"/>
        <v>2022.005P.Secoviridae_rename.zip</v>
      </c>
    </row>
    <row r="15424" spans="1:21">
      <c r="A15424">
        <v>15423</v>
      </c>
      <c r="B15424" s="27" t="s">
        <v>1124</v>
      </c>
      <c r="D15424" s="27" t="s">
        <v>1859</v>
      </c>
      <c r="F15424" s="27" t="s">
        <v>1909</v>
      </c>
      <c r="H15424" s="27" t="s">
        <v>1912</v>
      </c>
      <c r="J15424" s="27" t="s">
        <v>260</v>
      </c>
      <c r="L15424" s="27" t="s">
        <v>435</v>
      </c>
      <c r="M15424" s="27" t="s">
        <v>416</v>
      </c>
      <c r="N15424" s="27" t="s">
        <v>413</v>
      </c>
      <c r="P15424" s="27" t="s">
        <v>10577</v>
      </c>
      <c r="Q15424" s="26" t="str">
        <f>HYPERLINK("https://ictv.global/taxonomy/taxondetails?taxnode_id=202502085&amp;ictv_id=ICTV19710163","ICTV19710163")</f>
        <v>ICTV19710163</v>
      </c>
      <c r="R15424" t="s">
        <v>581</v>
      </c>
      <c r="S15424" t="s">
        <v>824</v>
      </c>
      <c r="T15424">
        <v>38</v>
      </c>
      <c r="U15424" s="26" t="str">
        <f t="shared" si="581"/>
        <v>2022.005P.Secoviridae_rename.zip</v>
      </c>
    </row>
    <row r="15425" spans="1:21">
      <c r="A15425">
        <v>15424</v>
      </c>
      <c r="B15425" s="27" t="s">
        <v>1124</v>
      </c>
      <c r="D15425" s="27" t="s">
        <v>1859</v>
      </c>
      <c r="F15425" s="27" t="s">
        <v>1909</v>
      </c>
      <c r="H15425" s="27" t="s">
        <v>1912</v>
      </c>
      <c r="J15425" s="27" t="s">
        <v>260</v>
      </c>
      <c r="L15425" s="27" t="s">
        <v>435</v>
      </c>
      <c r="M15425" s="27" t="s">
        <v>416</v>
      </c>
      <c r="N15425" s="27" t="s">
        <v>413</v>
      </c>
      <c r="P15425" s="27" t="s">
        <v>10578</v>
      </c>
      <c r="Q15425" s="26" t="str">
        <f>HYPERLINK("https://ictv.global/taxonomy/taxondetails?taxnode_id=202502087&amp;ictv_id=ICTV19911594","ICTV19911594")</f>
        <v>ICTV19911594</v>
      </c>
      <c r="R15425" t="s">
        <v>581</v>
      </c>
      <c r="S15425" t="s">
        <v>824</v>
      </c>
      <c r="T15425">
        <v>38</v>
      </c>
      <c r="U15425" s="26" t="str">
        <f t="shared" si="581"/>
        <v>2022.005P.Secoviridae_rename.zip</v>
      </c>
    </row>
    <row r="15426" spans="1:21">
      <c r="A15426">
        <v>15425</v>
      </c>
      <c r="B15426" s="27" t="s">
        <v>1124</v>
      </c>
      <c r="D15426" s="27" t="s">
        <v>1859</v>
      </c>
      <c r="F15426" s="27" t="s">
        <v>1909</v>
      </c>
      <c r="H15426" s="27" t="s">
        <v>1912</v>
      </c>
      <c r="J15426" s="27" t="s">
        <v>260</v>
      </c>
      <c r="L15426" s="27" t="s">
        <v>435</v>
      </c>
      <c r="M15426" s="27" t="s">
        <v>416</v>
      </c>
      <c r="N15426" s="27" t="s">
        <v>413</v>
      </c>
      <c r="P15426" s="27" t="s">
        <v>10579</v>
      </c>
      <c r="Q15426" s="26" t="str">
        <f>HYPERLINK("https://ictv.global/taxonomy/taxondetails?taxnode_id=202502076&amp;ictv_id=ICTV19710160","ICTV19710160")</f>
        <v>ICTV19710160</v>
      </c>
      <c r="R15426" t="s">
        <v>581</v>
      </c>
      <c r="S15426" t="s">
        <v>824</v>
      </c>
      <c r="T15426">
        <v>38</v>
      </c>
      <c r="U15426" s="26" t="str">
        <f t="shared" si="581"/>
        <v>2022.005P.Secoviridae_rename.zip</v>
      </c>
    </row>
    <row r="15427" spans="1:21">
      <c r="A15427">
        <v>15426</v>
      </c>
      <c r="B15427" s="27" t="s">
        <v>1124</v>
      </c>
      <c r="D15427" s="27" t="s">
        <v>1859</v>
      </c>
      <c r="F15427" s="27" t="s">
        <v>1909</v>
      </c>
      <c r="H15427" s="27" t="s">
        <v>1912</v>
      </c>
      <c r="J15427" s="27" t="s">
        <v>260</v>
      </c>
      <c r="L15427" s="27" t="s">
        <v>435</v>
      </c>
      <c r="M15427" s="27" t="s">
        <v>416</v>
      </c>
      <c r="N15427" s="27" t="s">
        <v>413</v>
      </c>
      <c r="P15427" s="27" t="s">
        <v>10580</v>
      </c>
      <c r="Q15427" s="26" t="str">
        <f>HYPERLINK("https://ictv.global/taxonomy/taxondetails?taxnode_id=202502078&amp;ictv_id=ICTV19710161","ICTV19710161")</f>
        <v>ICTV19710161</v>
      </c>
      <c r="R15427" t="s">
        <v>581</v>
      </c>
      <c r="S15427" t="s">
        <v>824</v>
      </c>
      <c r="T15427">
        <v>38</v>
      </c>
      <c r="U15427" s="26" t="str">
        <f t="shared" si="581"/>
        <v>2022.005P.Secoviridae_rename.zip</v>
      </c>
    </row>
    <row r="15428" spans="1:21">
      <c r="A15428">
        <v>15427</v>
      </c>
      <c r="B15428" s="27" t="s">
        <v>1124</v>
      </c>
      <c r="D15428" s="27" t="s">
        <v>1859</v>
      </c>
      <c r="F15428" s="27" t="s">
        <v>1909</v>
      </c>
      <c r="H15428" s="27" t="s">
        <v>1912</v>
      </c>
      <c r="J15428" s="27" t="s">
        <v>260</v>
      </c>
      <c r="L15428" s="27" t="s">
        <v>435</v>
      </c>
      <c r="M15428" s="27" t="s">
        <v>416</v>
      </c>
      <c r="N15428" s="27" t="s">
        <v>414</v>
      </c>
      <c r="P15428" s="27" t="s">
        <v>10581</v>
      </c>
      <c r="Q15428" s="26" t="str">
        <f>HYPERLINK("https://ictv.global/taxonomy/taxondetails?taxnode_id=202502089&amp;ictv_id=ICTV19871293","ICTV19871293")</f>
        <v>ICTV19871293</v>
      </c>
      <c r="R15428" t="s">
        <v>581</v>
      </c>
      <c r="S15428" t="s">
        <v>824</v>
      </c>
      <c r="T15428">
        <v>38</v>
      </c>
      <c r="U15428" s="26" t="str">
        <f t="shared" si="581"/>
        <v>2022.005P.Secoviridae_rename.zip</v>
      </c>
    </row>
    <row r="15429" spans="1:21">
      <c r="A15429">
        <v>15428</v>
      </c>
      <c r="B15429" s="27" t="s">
        <v>1124</v>
      </c>
      <c r="D15429" s="27" t="s">
        <v>1859</v>
      </c>
      <c r="F15429" s="27" t="s">
        <v>1909</v>
      </c>
      <c r="H15429" s="27" t="s">
        <v>1912</v>
      </c>
      <c r="J15429" s="27" t="s">
        <v>260</v>
      </c>
      <c r="L15429" s="27" t="s">
        <v>435</v>
      </c>
      <c r="M15429" s="27" t="s">
        <v>416</v>
      </c>
      <c r="N15429" s="27" t="s">
        <v>414</v>
      </c>
      <c r="P15429" s="27" t="s">
        <v>17406</v>
      </c>
      <c r="Q15429" s="26" t="str">
        <f>HYPERLINK("https://ictv.global/taxonomy/taxondetails?taxnode_id=202518389&amp;ictv_id=ICTV202318389","ICTV202318389")</f>
        <v>ICTV202318389</v>
      </c>
      <c r="R15429" t="s">
        <v>581</v>
      </c>
      <c r="S15429" t="s">
        <v>823</v>
      </c>
      <c r="T15429">
        <v>39</v>
      </c>
      <c r="U15429" s="26" t="str">
        <f>HYPERLINK("https://ictv.global/ictv/proposals/2023.018P.Secoviridae_16nsp.zip","2023.018P.Secoviridae_16nsp.zip")</f>
        <v>2023.018P.Secoviridae_16nsp.zip</v>
      </c>
    </row>
    <row r="15430" spans="1:21">
      <c r="A15430">
        <v>15429</v>
      </c>
      <c r="B15430" s="27" t="s">
        <v>1124</v>
      </c>
      <c r="D15430" s="27" t="s">
        <v>1859</v>
      </c>
      <c r="F15430" s="27" t="s">
        <v>1909</v>
      </c>
      <c r="H15430" s="27" t="s">
        <v>1912</v>
      </c>
      <c r="J15430" s="27" t="s">
        <v>260</v>
      </c>
      <c r="L15430" s="27" t="s">
        <v>435</v>
      </c>
      <c r="M15430" s="27" t="s">
        <v>416</v>
      </c>
      <c r="N15430" s="27" t="s">
        <v>414</v>
      </c>
      <c r="P15430" s="27" t="s">
        <v>10582</v>
      </c>
      <c r="Q15430" s="26" t="str">
        <f>HYPERLINK("https://ictv.global/taxonomy/taxondetails?taxnode_id=202502090&amp;ictv_id=ICTV20073469","ICTV20073469")</f>
        <v>ICTV20073469</v>
      </c>
      <c r="R15430" t="s">
        <v>581</v>
      </c>
      <c r="S15430" t="s">
        <v>824</v>
      </c>
      <c r="T15430">
        <v>38</v>
      </c>
      <c r="U15430" s="26" t="str">
        <f>HYPERLINK("https://ictv.global/ictv/proposals/2022.005P.Secoviridae_rename.zip","2022.005P.Secoviridae_rename.zip")</f>
        <v>2022.005P.Secoviridae_rename.zip</v>
      </c>
    </row>
    <row r="15431" spans="1:21">
      <c r="A15431">
        <v>15430</v>
      </c>
      <c r="B15431" s="27" t="s">
        <v>1124</v>
      </c>
      <c r="D15431" s="27" t="s">
        <v>1859</v>
      </c>
      <c r="F15431" s="27" t="s">
        <v>1909</v>
      </c>
      <c r="H15431" s="27" t="s">
        <v>1912</v>
      </c>
      <c r="J15431" s="27" t="s">
        <v>260</v>
      </c>
      <c r="L15431" s="27" t="s">
        <v>435</v>
      </c>
      <c r="M15431" s="27" t="s">
        <v>416</v>
      </c>
      <c r="N15431" s="27" t="s">
        <v>414</v>
      </c>
      <c r="P15431" s="27" t="s">
        <v>20517</v>
      </c>
      <c r="Q15431" s="26" t="str">
        <f>HYPERLINK("https://ictv.global/taxonomy/taxondetails?taxnode_id=202520577&amp;ictv_id=ICTV202420577","ICTV202420577")</f>
        <v>ICTV202420577</v>
      </c>
      <c r="R15431" t="s">
        <v>581</v>
      </c>
      <c r="S15431" t="s">
        <v>823</v>
      </c>
      <c r="T15431">
        <v>40</v>
      </c>
      <c r="U15431" s="26" t="str">
        <f>HYPERLINK("https://ictv.global/ictv/proposals/2024.013P.Secoviridae_1ng_2nsg_34nsp.zip","2024.013P.Secoviridae_1ng_2nsg_34nsp.zip")</f>
        <v>2024.013P.Secoviridae_1ng_2nsg_34nsp.zip</v>
      </c>
    </row>
    <row r="15432" spans="1:21">
      <c r="A15432">
        <v>15431</v>
      </c>
      <c r="B15432" s="27" t="s">
        <v>1124</v>
      </c>
      <c r="D15432" s="27" t="s">
        <v>1859</v>
      </c>
      <c r="F15432" s="27" t="s">
        <v>1909</v>
      </c>
      <c r="H15432" s="27" t="s">
        <v>1912</v>
      </c>
      <c r="J15432" s="27" t="s">
        <v>260</v>
      </c>
      <c r="L15432" s="27" t="s">
        <v>435</v>
      </c>
      <c r="M15432" s="27" t="s">
        <v>416</v>
      </c>
      <c r="N15432" s="27" t="s">
        <v>414</v>
      </c>
      <c r="P15432" s="27" t="s">
        <v>21880</v>
      </c>
      <c r="Q15432" s="26" t="str">
        <f>HYPERLINK("https://ictv.global/taxonomy/taxondetails?taxnode_id=202522689&amp;ictv_id=ICTV202522689","ICTV202522689")</f>
        <v>ICTV202522689</v>
      </c>
      <c r="R15432" t="s">
        <v>581</v>
      </c>
      <c r="S15432" t="s">
        <v>823</v>
      </c>
      <c r="T15432">
        <v>41</v>
      </c>
      <c r="U15432" s="26" t="str">
        <f>HYPERLINK("https://ictv.global/ictv/proposals/2025.017P.Secoviridae_53nsp_3abolishsp.zip","2025.017P.Secoviridae_53nsp_3abolishsp.zip")</f>
        <v>2025.017P.Secoviridae_53nsp_3abolishsp.zip</v>
      </c>
    </row>
    <row r="15433" spans="1:21">
      <c r="A15433">
        <v>15432</v>
      </c>
      <c r="B15433" s="27" t="s">
        <v>1124</v>
      </c>
      <c r="D15433" s="27" t="s">
        <v>1859</v>
      </c>
      <c r="F15433" s="27" t="s">
        <v>1909</v>
      </c>
      <c r="H15433" s="27" t="s">
        <v>1912</v>
      </c>
      <c r="J15433" s="27" t="s">
        <v>260</v>
      </c>
      <c r="L15433" s="27" t="s">
        <v>435</v>
      </c>
      <c r="M15433" s="27" t="s">
        <v>416</v>
      </c>
      <c r="N15433" s="27" t="s">
        <v>414</v>
      </c>
      <c r="P15433" s="27" t="s">
        <v>20518</v>
      </c>
      <c r="Q15433" s="26" t="str">
        <f>HYPERLINK("https://ictv.global/taxonomy/taxondetails?taxnode_id=202520578&amp;ictv_id=ICTV202420578","ICTV202420578")</f>
        <v>ICTV202420578</v>
      </c>
      <c r="R15433" t="s">
        <v>581</v>
      </c>
      <c r="S15433" t="s">
        <v>823</v>
      </c>
      <c r="T15433">
        <v>40</v>
      </c>
      <c r="U15433" s="26" t="str">
        <f>HYPERLINK("https://ictv.global/ictv/proposals/2024.013P.Secoviridae_1ng_2nsg_34nsp.zip","2024.013P.Secoviridae_1ng_2nsg_34nsp.zip")</f>
        <v>2024.013P.Secoviridae_1ng_2nsg_34nsp.zip</v>
      </c>
    </row>
    <row r="15434" spans="1:21">
      <c r="A15434">
        <v>15433</v>
      </c>
      <c r="B15434" s="27" t="s">
        <v>1124</v>
      </c>
      <c r="D15434" s="27" t="s">
        <v>1859</v>
      </c>
      <c r="F15434" s="27" t="s">
        <v>1909</v>
      </c>
      <c r="H15434" s="27" t="s">
        <v>1912</v>
      </c>
      <c r="J15434" s="27" t="s">
        <v>260</v>
      </c>
      <c r="L15434" s="27" t="s">
        <v>435</v>
      </c>
      <c r="M15434" s="27" t="s">
        <v>416</v>
      </c>
      <c r="N15434" s="27" t="s">
        <v>414</v>
      </c>
      <c r="P15434" s="27" t="s">
        <v>10583</v>
      </c>
      <c r="Q15434" s="26" t="str">
        <f>HYPERLINK("https://ictv.global/taxonomy/taxondetails?taxnode_id=202502091&amp;ictv_id=ICTV20125744","ICTV20125744")</f>
        <v>ICTV20125744</v>
      </c>
      <c r="R15434" t="s">
        <v>581</v>
      </c>
      <c r="S15434" t="s">
        <v>824</v>
      </c>
      <c r="T15434">
        <v>38</v>
      </c>
      <c r="U15434" s="26" t="str">
        <f>HYPERLINK("https://ictv.global/ictv/proposals/2022.005P.Secoviridae_rename.zip","2022.005P.Secoviridae_rename.zip")</f>
        <v>2022.005P.Secoviridae_rename.zip</v>
      </c>
    </row>
    <row r="15435" spans="1:21">
      <c r="A15435">
        <v>15434</v>
      </c>
      <c r="B15435" s="27" t="s">
        <v>1124</v>
      </c>
      <c r="D15435" s="27" t="s">
        <v>1859</v>
      </c>
      <c r="F15435" s="27" t="s">
        <v>1909</v>
      </c>
      <c r="H15435" s="27" t="s">
        <v>1912</v>
      </c>
      <c r="J15435" s="27" t="s">
        <v>260</v>
      </c>
      <c r="L15435" s="27" t="s">
        <v>435</v>
      </c>
      <c r="M15435" s="27" t="s">
        <v>416</v>
      </c>
      <c r="N15435" s="27" t="s">
        <v>414</v>
      </c>
      <c r="P15435" s="27" t="s">
        <v>10584</v>
      </c>
      <c r="Q15435" s="26" t="str">
        <f>HYPERLINK("https://ictv.global/taxonomy/taxondetails?taxnode_id=202502092&amp;ictv_id=ICTV20083243","ICTV20083243")</f>
        <v>ICTV20083243</v>
      </c>
      <c r="R15435" t="s">
        <v>581</v>
      </c>
      <c r="S15435" t="s">
        <v>824</v>
      </c>
      <c r="T15435">
        <v>38</v>
      </c>
      <c r="U15435" s="26" t="str">
        <f>HYPERLINK("https://ictv.global/ictv/proposals/2022.005P.Secoviridae_rename.zip","2022.005P.Secoviridae_rename.zip")</f>
        <v>2022.005P.Secoviridae_rename.zip</v>
      </c>
    </row>
    <row r="15436" spans="1:21">
      <c r="A15436">
        <v>15435</v>
      </c>
      <c r="B15436" s="27" t="s">
        <v>1124</v>
      </c>
      <c r="D15436" s="27" t="s">
        <v>1859</v>
      </c>
      <c r="F15436" s="27" t="s">
        <v>1909</v>
      </c>
      <c r="H15436" s="27" t="s">
        <v>1912</v>
      </c>
      <c r="J15436" s="27" t="s">
        <v>260</v>
      </c>
      <c r="L15436" s="27" t="s">
        <v>435</v>
      </c>
      <c r="M15436" s="27" t="s">
        <v>416</v>
      </c>
      <c r="N15436" s="27" t="s">
        <v>414</v>
      </c>
      <c r="P15436" s="27" t="s">
        <v>17407</v>
      </c>
      <c r="Q15436" s="26" t="str">
        <f>HYPERLINK("https://ictv.global/taxonomy/taxondetails?taxnode_id=202518387&amp;ictv_id=ICTV202318387","ICTV202318387")</f>
        <v>ICTV202318387</v>
      </c>
      <c r="R15436" t="s">
        <v>581</v>
      </c>
      <c r="S15436" t="s">
        <v>823</v>
      </c>
      <c r="T15436">
        <v>39</v>
      </c>
      <c r="U15436" s="26" t="str">
        <f>HYPERLINK("https://ictv.global/ictv/proposals/2023.018P.Secoviridae_16nsp.zip","2023.018P.Secoviridae_16nsp.zip")</f>
        <v>2023.018P.Secoviridae_16nsp.zip</v>
      </c>
    </row>
    <row r="15437" spans="1:21">
      <c r="A15437">
        <v>15436</v>
      </c>
      <c r="B15437" s="27" t="s">
        <v>1124</v>
      </c>
      <c r="D15437" s="27" t="s">
        <v>1859</v>
      </c>
      <c r="F15437" s="27" t="s">
        <v>1909</v>
      </c>
      <c r="H15437" s="27" t="s">
        <v>1912</v>
      </c>
      <c r="J15437" s="27" t="s">
        <v>260</v>
      </c>
      <c r="L15437" s="27" t="s">
        <v>435</v>
      </c>
      <c r="M15437" s="27" t="s">
        <v>416</v>
      </c>
      <c r="N15437" s="27" t="s">
        <v>414</v>
      </c>
      <c r="P15437" s="27" t="s">
        <v>10585</v>
      </c>
      <c r="Q15437" s="26" t="str">
        <f>HYPERLINK("https://ictv.global/taxonomy/taxondetails?taxnode_id=202502093&amp;ictv_id=ICTV19871295","ICTV19871295")</f>
        <v>ICTV19871295</v>
      </c>
      <c r="R15437" t="s">
        <v>581</v>
      </c>
      <c r="S15437" t="s">
        <v>824</v>
      </c>
      <c r="T15437">
        <v>38</v>
      </c>
      <c r="U15437" s="26" t="str">
        <f>HYPERLINK("https://ictv.global/ictv/proposals/2022.005P.Secoviridae_rename.zip","2022.005P.Secoviridae_rename.zip")</f>
        <v>2022.005P.Secoviridae_rename.zip</v>
      </c>
    </row>
    <row r="15438" spans="1:21">
      <c r="A15438">
        <v>15437</v>
      </c>
      <c r="B15438" s="27" t="s">
        <v>1124</v>
      </c>
      <c r="D15438" s="27" t="s">
        <v>1859</v>
      </c>
      <c r="F15438" s="27" t="s">
        <v>1909</v>
      </c>
      <c r="H15438" s="27" t="s">
        <v>1912</v>
      </c>
      <c r="J15438" s="27" t="s">
        <v>260</v>
      </c>
      <c r="L15438" s="27" t="s">
        <v>435</v>
      </c>
      <c r="M15438" s="27" t="s">
        <v>416</v>
      </c>
      <c r="N15438" s="27" t="s">
        <v>414</v>
      </c>
      <c r="P15438" s="27" t="s">
        <v>21882</v>
      </c>
      <c r="Q15438" s="26" t="str">
        <f>HYPERLINK("https://ictv.global/taxonomy/taxondetails?taxnode_id=202522691&amp;ictv_id=ICTV202522691","ICTV202522691")</f>
        <v>ICTV202522691</v>
      </c>
      <c r="R15438" t="s">
        <v>581</v>
      </c>
      <c r="S15438" t="s">
        <v>823</v>
      </c>
      <c r="T15438">
        <v>41</v>
      </c>
      <c r="U15438" s="26" t="str">
        <f>HYPERLINK("https://ictv.global/ictv/proposals/2025.017P.Secoviridae_53nsp_3abolishsp.zip","2025.017P.Secoviridae_53nsp_3abolishsp.zip")</f>
        <v>2025.017P.Secoviridae_53nsp_3abolishsp.zip</v>
      </c>
    </row>
    <row r="15439" spans="1:21">
      <c r="A15439">
        <v>15438</v>
      </c>
      <c r="B15439" s="27" t="s">
        <v>1124</v>
      </c>
      <c r="D15439" s="27" t="s">
        <v>1859</v>
      </c>
      <c r="F15439" s="27" t="s">
        <v>1909</v>
      </c>
      <c r="H15439" s="27" t="s">
        <v>1912</v>
      </c>
      <c r="J15439" s="27" t="s">
        <v>260</v>
      </c>
      <c r="L15439" s="27" t="s">
        <v>435</v>
      </c>
      <c r="M15439" s="27" t="s">
        <v>416</v>
      </c>
      <c r="N15439" s="27" t="s">
        <v>414</v>
      </c>
      <c r="P15439" s="27" t="s">
        <v>10586</v>
      </c>
      <c r="Q15439" s="26" t="str">
        <f>HYPERLINK("https://ictv.global/taxonomy/taxondetails?taxnode_id=202513818&amp;ictv_id=ICTV202113818","ICTV202113818")</f>
        <v>ICTV202113818</v>
      </c>
      <c r="R15439" t="s">
        <v>581</v>
      </c>
      <c r="S15439" t="s">
        <v>824</v>
      </c>
      <c r="T15439">
        <v>38</v>
      </c>
      <c r="U15439" s="26" t="str">
        <f>HYPERLINK("https://ictv.global/ictv/proposals/2022.005P.Secoviridae_rename.zip","2022.005P.Secoviridae_rename.zip")</f>
        <v>2022.005P.Secoviridae_rename.zip</v>
      </c>
    </row>
    <row r="15440" spans="1:21">
      <c r="A15440">
        <v>15439</v>
      </c>
      <c r="B15440" s="27" t="s">
        <v>1124</v>
      </c>
      <c r="D15440" s="27" t="s">
        <v>1859</v>
      </c>
      <c r="F15440" s="27" t="s">
        <v>1909</v>
      </c>
      <c r="H15440" s="27" t="s">
        <v>1912</v>
      </c>
      <c r="J15440" s="27" t="s">
        <v>260</v>
      </c>
      <c r="L15440" s="27" t="s">
        <v>435</v>
      </c>
      <c r="M15440" s="27" t="s">
        <v>416</v>
      </c>
      <c r="N15440" s="27" t="s">
        <v>414</v>
      </c>
      <c r="P15440" s="27" t="s">
        <v>21879</v>
      </c>
      <c r="Q15440" s="26" t="str">
        <f>HYPERLINK("https://ictv.global/taxonomy/taxondetails?taxnode_id=202522688&amp;ictv_id=ICTV202522688","ICTV202522688")</f>
        <v>ICTV202522688</v>
      </c>
      <c r="R15440" t="s">
        <v>581</v>
      </c>
      <c r="S15440" t="s">
        <v>823</v>
      </c>
      <c r="T15440">
        <v>41</v>
      </c>
      <c r="U15440" s="26" t="str">
        <f>HYPERLINK("https://ictv.global/ictv/proposals/2025.017P.Secoviridae_53nsp_3abolishsp.zip","2025.017P.Secoviridae_53nsp_3abolishsp.zip")</f>
        <v>2025.017P.Secoviridae_53nsp_3abolishsp.zip</v>
      </c>
    </row>
    <row r="15441" spans="1:21">
      <c r="A15441">
        <v>15440</v>
      </c>
      <c r="B15441" s="27" t="s">
        <v>1124</v>
      </c>
      <c r="D15441" s="27" t="s">
        <v>1859</v>
      </c>
      <c r="F15441" s="27" t="s">
        <v>1909</v>
      </c>
      <c r="H15441" s="27" t="s">
        <v>1912</v>
      </c>
      <c r="J15441" s="27" t="s">
        <v>260</v>
      </c>
      <c r="L15441" s="27" t="s">
        <v>435</v>
      </c>
      <c r="M15441" s="27" t="s">
        <v>416</v>
      </c>
      <c r="N15441" s="27" t="s">
        <v>414</v>
      </c>
      <c r="P15441" s="27" t="s">
        <v>10587</v>
      </c>
      <c r="Q15441" s="26" t="str">
        <f>HYPERLINK("https://ictv.global/taxonomy/taxondetails?taxnode_id=202505627&amp;ictv_id=ICTV20175627","ICTV20175627")</f>
        <v>ICTV20175627</v>
      </c>
      <c r="R15441" t="s">
        <v>581</v>
      </c>
      <c r="S15441" t="s">
        <v>824</v>
      </c>
      <c r="T15441">
        <v>38</v>
      </c>
      <c r="U15441" s="26" t="str">
        <f>HYPERLINK("https://ictv.global/ictv/proposals/2022.005P.Secoviridae_rename.zip","2022.005P.Secoviridae_rename.zip")</f>
        <v>2022.005P.Secoviridae_rename.zip</v>
      </c>
    </row>
    <row r="15442" spans="1:21">
      <c r="A15442">
        <v>15441</v>
      </c>
      <c r="B15442" s="27" t="s">
        <v>1124</v>
      </c>
      <c r="D15442" s="27" t="s">
        <v>1859</v>
      </c>
      <c r="F15442" s="27" t="s">
        <v>1909</v>
      </c>
      <c r="H15442" s="27" t="s">
        <v>1912</v>
      </c>
      <c r="J15442" s="27" t="s">
        <v>260</v>
      </c>
      <c r="L15442" s="27" t="s">
        <v>435</v>
      </c>
      <c r="M15442" s="27" t="s">
        <v>416</v>
      </c>
      <c r="N15442" s="27" t="s">
        <v>414</v>
      </c>
      <c r="P15442" s="27" t="s">
        <v>21881</v>
      </c>
      <c r="Q15442" s="26" t="str">
        <f>HYPERLINK("https://ictv.global/taxonomy/taxondetails?taxnode_id=202522690&amp;ictv_id=ICTV202522690","ICTV202522690")</f>
        <v>ICTV202522690</v>
      </c>
      <c r="R15442" t="s">
        <v>581</v>
      </c>
      <c r="S15442" t="s">
        <v>823</v>
      </c>
      <c r="T15442">
        <v>41</v>
      </c>
      <c r="U15442" s="26" t="str">
        <f>HYPERLINK("https://ictv.global/ictv/proposals/2025.017P.Secoviridae_53nsp_3abolishsp.zip","2025.017P.Secoviridae_53nsp_3abolishsp.zip")</f>
        <v>2025.017P.Secoviridae_53nsp_3abolishsp.zip</v>
      </c>
    </row>
    <row r="15443" spans="1:21">
      <c r="A15443">
        <v>15442</v>
      </c>
      <c r="B15443" s="27" t="s">
        <v>1124</v>
      </c>
      <c r="D15443" s="27" t="s">
        <v>1859</v>
      </c>
      <c r="F15443" s="27" t="s">
        <v>1909</v>
      </c>
      <c r="H15443" s="27" t="s">
        <v>1912</v>
      </c>
      <c r="J15443" s="27" t="s">
        <v>260</v>
      </c>
      <c r="L15443" s="27" t="s">
        <v>435</v>
      </c>
      <c r="M15443" s="27" t="s">
        <v>416</v>
      </c>
      <c r="N15443" s="27" t="s">
        <v>414</v>
      </c>
      <c r="P15443" s="27" t="s">
        <v>21883</v>
      </c>
      <c r="Q15443" s="26" t="str">
        <f>HYPERLINK("https://ictv.global/taxonomy/taxondetails?taxnode_id=202522692&amp;ictv_id=ICTV202522692","ICTV202522692")</f>
        <v>ICTV202522692</v>
      </c>
      <c r="R15443" t="s">
        <v>581</v>
      </c>
      <c r="S15443" t="s">
        <v>823</v>
      </c>
      <c r="T15443">
        <v>41</v>
      </c>
      <c r="U15443" s="26" t="str">
        <f>HYPERLINK("https://ictv.global/ictv/proposals/2025.017P.Secoviridae_53nsp_3abolishsp.zip","2025.017P.Secoviridae_53nsp_3abolishsp.zip")</f>
        <v>2025.017P.Secoviridae_53nsp_3abolishsp.zip</v>
      </c>
    </row>
    <row r="15444" spans="1:21">
      <c r="A15444">
        <v>15443</v>
      </c>
      <c r="B15444" s="27" t="s">
        <v>1124</v>
      </c>
      <c r="D15444" s="27" t="s">
        <v>1859</v>
      </c>
      <c r="F15444" s="27" t="s">
        <v>1909</v>
      </c>
      <c r="H15444" s="27" t="s">
        <v>1912</v>
      </c>
      <c r="J15444" s="27" t="s">
        <v>260</v>
      </c>
      <c r="L15444" s="27" t="s">
        <v>435</v>
      </c>
      <c r="M15444" s="27" t="s">
        <v>416</v>
      </c>
      <c r="N15444" s="27" t="s">
        <v>414</v>
      </c>
      <c r="P15444" s="27" t="s">
        <v>10588</v>
      </c>
      <c r="Q15444" s="26" t="str">
        <f>HYPERLINK("https://ictv.global/taxonomy/taxondetails?taxnode_id=202505626&amp;ictv_id=ICTV20175626","ICTV20175626")</f>
        <v>ICTV20175626</v>
      </c>
      <c r="R15444" t="s">
        <v>581</v>
      </c>
      <c r="S15444" t="s">
        <v>824</v>
      </c>
      <c r="T15444">
        <v>38</v>
      </c>
      <c r="U15444" s="26" t="str">
        <f>HYPERLINK("https://ictv.global/ictv/proposals/2022.005P.Secoviridae_rename.zip","2022.005P.Secoviridae_rename.zip")</f>
        <v>2022.005P.Secoviridae_rename.zip</v>
      </c>
    </row>
    <row r="15445" spans="1:21">
      <c r="A15445">
        <v>15444</v>
      </c>
      <c r="B15445" s="27" t="s">
        <v>1124</v>
      </c>
      <c r="D15445" s="27" t="s">
        <v>1859</v>
      </c>
      <c r="F15445" s="27" t="s">
        <v>1909</v>
      </c>
      <c r="H15445" s="27" t="s">
        <v>1912</v>
      </c>
      <c r="J15445" s="27" t="s">
        <v>260</v>
      </c>
      <c r="L15445" s="27" t="s">
        <v>435</v>
      </c>
      <c r="M15445" s="27" t="s">
        <v>416</v>
      </c>
      <c r="N15445" s="27" t="s">
        <v>414</v>
      </c>
      <c r="P15445" s="27" t="s">
        <v>17408</v>
      </c>
      <c r="Q15445" s="26" t="str">
        <f>HYPERLINK("https://ictv.global/taxonomy/taxondetails?taxnode_id=202518388&amp;ictv_id=ICTV202318388","ICTV202318388")</f>
        <v>ICTV202318388</v>
      </c>
      <c r="R15445" t="s">
        <v>581</v>
      </c>
      <c r="S15445" t="s">
        <v>823</v>
      </c>
      <c r="T15445">
        <v>39</v>
      </c>
      <c r="U15445" s="26" t="str">
        <f>HYPERLINK("https://ictv.global/ictv/proposals/2023.018P.Secoviridae_16nsp.zip","2023.018P.Secoviridae_16nsp.zip")</f>
        <v>2023.018P.Secoviridae_16nsp.zip</v>
      </c>
    </row>
    <row r="15446" spans="1:21">
      <c r="A15446">
        <v>15445</v>
      </c>
      <c r="B15446" s="27" t="s">
        <v>1124</v>
      </c>
      <c r="D15446" s="27" t="s">
        <v>1859</v>
      </c>
      <c r="F15446" s="27" t="s">
        <v>1909</v>
      </c>
      <c r="H15446" s="27" t="s">
        <v>1912</v>
      </c>
      <c r="J15446" s="27" t="s">
        <v>260</v>
      </c>
      <c r="L15446" s="27" t="s">
        <v>435</v>
      </c>
      <c r="M15446" s="27" t="s">
        <v>416</v>
      </c>
      <c r="N15446" s="27" t="s">
        <v>20519</v>
      </c>
      <c r="P15446" s="27" t="s">
        <v>20520</v>
      </c>
      <c r="Q15446" s="26" t="str">
        <f>HYPERLINK("https://ictv.global/taxonomy/taxondetails?taxnode_id=202520553&amp;ictv_id=ICTV202420553","ICTV202420553")</f>
        <v>ICTV202420553</v>
      </c>
      <c r="R15446" t="s">
        <v>581</v>
      </c>
      <c r="S15446" t="s">
        <v>823</v>
      </c>
      <c r="T15446">
        <v>40</v>
      </c>
      <c r="U15446" s="26" t="str">
        <f>HYPERLINK("https://ictv.global/ictv/proposals/2024.013P.Secoviridae_1ng_2nsg_34nsp.zip","2024.013P.Secoviridae_1ng_2nsg_34nsp.zip")</f>
        <v>2024.013P.Secoviridae_1ng_2nsg_34nsp.zip</v>
      </c>
    </row>
    <row r="15447" spans="1:21">
      <c r="A15447">
        <v>15446</v>
      </c>
      <c r="B15447" s="27" t="s">
        <v>1124</v>
      </c>
      <c r="D15447" s="27" t="s">
        <v>1859</v>
      </c>
      <c r="F15447" s="27" t="s">
        <v>1909</v>
      </c>
      <c r="H15447" s="27" t="s">
        <v>1912</v>
      </c>
      <c r="J15447" s="27" t="s">
        <v>260</v>
      </c>
      <c r="L15447" s="27" t="s">
        <v>435</v>
      </c>
      <c r="M15447" s="27" t="s">
        <v>416</v>
      </c>
      <c r="N15447" s="27" t="s">
        <v>20519</v>
      </c>
      <c r="P15447" s="27" t="s">
        <v>20521</v>
      </c>
      <c r="Q15447" s="26" t="str">
        <f>HYPERLINK("https://ictv.global/taxonomy/taxondetails?taxnode_id=202520554&amp;ictv_id=ICTV202420554","ICTV202420554")</f>
        <v>ICTV202420554</v>
      </c>
      <c r="R15447" t="s">
        <v>581</v>
      </c>
      <c r="S15447" t="s">
        <v>823</v>
      </c>
      <c r="T15447">
        <v>40</v>
      </c>
      <c r="U15447" s="26" t="str">
        <f>HYPERLINK("https://ictv.global/ictv/proposals/2024.013P.Secoviridae_1ng_2nsg_34nsp.zip","2024.013P.Secoviridae_1ng_2nsg_34nsp.zip")</f>
        <v>2024.013P.Secoviridae_1ng_2nsg_34nsp.zip</v>
      </c>
    </row>
    <row r="15448" spans="1:21">
      <c r="A15448">
        <v>15447</v>
      </c>
      <c r="B15448" s="27" t="s">
        <v>1124</v>
      </c>
      <c r="D15448" s="27" t="s">
        <v>1859</v>
      </c>
      <c r="F15448" s="27" t="s">
        <v>1909</v>
      </c>
      <c r="H15448" s="27" t="s">
        <v>1912</v>
      </c>
      <c r="J15448" s="27" t="s">
        <v>260</v>
      </c>
      <c r="L15448" s="27" t="s">
        <v>435</v>
      </c>
      <c r="M15448" s="27" t="s">
        <v>416</v>
      </c>
      <c r="N15448" s="27" t="s">
        <v>20519</v>
      </c>
      <c r="P15448" s="27" t="s">
        <v>20752</v>
      </c>
      <c r="Q15448" s="26" t="str">
        <f>HYPERLINK("https://ictv.global/taxonomy/taxondetails?taxnode_id=202520555&amp;ictv_id=ICTV202420555","ICTV202420555")</f>
        <v>ICTV202420555</v>
      </c>
      <c r="R15448" t="s">
        <v>581</v>
      </c>
      <c r="S15448" t="s">
        <v>823</v>
      </c>
      <c r="T15448">
        <v>40</v>
      </c>
      <c r="U15448" s="26" t="str">
        <f>HYPERLINK("https://ictv.global/ictv/proposals/2024.013PX.Secoviridae_1ng_2nsg_34nsp_Error_Correction.zip","2024.013PX.Secoviridae_1ng_2nsg_34nsp_Error_Correction.zip")</f>
        <v>2024.013PX.Secoviridae_1ng_2nsg_34nsp_Error_Correction.zip</v>
      </c>
    </row>
    <row r="15449" spans="1:21">
      <c r="A15449">
        <v>15448</v>
      </c>
      <c r="B15449" s="27" t="s">
        <v>1124</v>
      </c>
      <c r="D15449" s="27" t="s">
        <v>1859</v>
      </c>
      <c r="F15449" s="27" t="s">
        <v>1909</v>
      </c>
      <c r="H15449" s="27" t="s">
        <v>1912</v>
      </c>
      <c r="J15449" s="27" t="s">
        <v>260</v>
      </c>
      <c r="L15449" s="27" t="s">
        <v>435</v>
      </c>
      <c r="M15449" s="27" t="s">
        <v>416</v>
      </c>
      <c r="N15449" s="27" t="s">
        <v>20519</v>
      </c>
      <c r="P15449" s="27" t="s">
        <v>20522</v>
      </c>
      <c r="Q15449" s="26" t="str">
        <f>HYPERLINK("https://ictv.global/taxonomy/taxondetails?taxnode_id=202520556&amp;ictv_id=ICTV202420556","ICTV202420556")</f>
        <v>ICTV202420556</v>
      </c>
      <c r="R15449" t="s">
        <v>581</v>
      </c>
      <c r="S15449" t="s">
        <v>823</v>
      </c>
      <c r="T15449">
        <v>40</v>
      </c>
      <c r="U15449" s="26" t="str">
        <f>HYPERLINK("https://ictv.global/ictv/proposals/2024.013P.Secoviridae_1ng_2nsg_34nsp.zip","2024.013P.Secoviridae_1ng_2nsg_34nsp.zip")</f>
        <v>2024.013P.Secoviridae_1ng_2nsg_34nsp.zip</v>
      </c>
    </row>
    <row r="15450" spans="1:21">
      <c r="A15450">
        <v>15449</v>
      </c>
      <c r="B15450" s="27" t="s">
        <v>1124</v>
      </c>
      <c r="D15450" s="27" t="s">
        <v>1859</v>
      </c>
      <c r="F15450" s="27" t="s">
        <v>1909</v>
      </c>
      <c r="H15450" s="27" t="s">
        <v>1912</v>
      </c>
      <c r="J15450" s="27" t="s">
        <v>260</v>
      </c>
      <c r="L15450" s="27" t="s">
        <v>435</v>
      </c>
      <c r="M15450" s="27" t="s">
        <v>416</v>
      </c>
      <c r="N15450" s="27" t="s">
        <v>415</v>
      </c>
      <c r="P15450" s="27" t="s">
        <v>10589</v>
      </c>
      <c r="Q15450" s="26" t="str">
        <f>HYPERLINK("https://ictv.global/taxonomy/taxondetails?taxnode_id=202502099&amp;ictv_id=ICTV19981281","ICTV19981281")</f>
        <v>ICTV19981281</v>
      </c>
      <c r="R15450" t="s">
        <v>581</v>
      </c>
      <c r="S15450" t="s">
        <v>824</v>
      </c>
      <c r="T15450">
        <v>38</v>
      </c>
      <c r="U15450" s="26" t="str">
        <f>HYPERLINK("https://ictv.global/ictv/proposals/2022.005P.Secoviridae_rename.zip","2022.005P.Secoviridae_rename.zip")</f>
        <v>2022.005P.Secoviridae_rename.zip</v>
      </c>
    </row>
    <row r="15451" spans="1:21">
      <c r="A15451">
        <v>15450</v>
      </c>
      <c r="B15451" s="27" t="s">
        <v>1124</v>
      </c>
      <c r="D15451" s="27" t="s">
        <v>1859</v>
      </c>
      <c r="F15451" s="27" t="s">
        <v>1909</v>
      </c>
      <c r="H15451" s="27" t="s">
        <v>1912</v>
      </c>
      <c r="J15451" s="27" t="s">
        <v>260</v>
      </c>
      <c r="L15451" s="27" t="s">
        <v>435</v>
      </c>
      <c r="M15451" s="27" t="s">
        <v>416</v>
      </c>
      <c r="N15451" s="27" t="s">
        <v>415</v>
      </c>
      <c r="P15451" s="27" t="s">
        <v>10590</v>
      </c>
      <c r="Q15451" s="26" t="str">
        <f>HYPERLINK("https://ictv.global/taxonomy/taxondetails?taxnode_id=202502095&amp;ictv_id=ICTV20151453","ICTV20151453")</f>
        <v>ICTV20151453</v>
      </c>
      <c r="R15451" t="s">
        <v>581</v>
      </c>
      <c r="S15451" t="s">
        <v>824</v>
      </c>
      <c r="T15451">
        <v>38</v>
      </c>
      <c r="U15451" s="26" t="str">
        <f>HYPERLINK("https://ictv.global/ictv/proposals/2022.005P.Secoviridae_rename.zip","2022.005P.Secoviridae_rename.zip")</f>
        <v>2022.005P.Secoviridae_rename.zip</v>
      </c>
    </row>
    <row r="15452" spans="1:21">
      <c r="A15452">
        <v>15451</v>
      </c>
      <c r="B15452" s="27" t="s">
        <v>1124</v>
      </c>
      <c r="D15452" s="27" t="s">
        <v>1859</v>
      </c>
      <c r="F15452" s="27" t="s">
        <v>1909</v>
      </c>
      <c r="H15452" s="27" t="s">
        <v>1912</v>
      </c>
      <c r="J15452" s="27" t="s">
        <v>260</v>
      </c>
      <c r="L15452" s="27" t="s">
        <v>435</v>
      </c>
      <c r="M15452" s="27" t="s">
        <v>416</v>
      </c>
      <c r="N15452" s="27" t="s">
        <v>415</v>
      </c>
      <c r="P15452" s="27" t="s">
        <v>21884</v>
      </c>
      <c r="Q15452" s="26" t="str">
        <f>HYPERLINK("https://ictv.global/taxonomy/taxondetails?taxnode_id=202522693&amp;ictv_id=ICTV202522693","ICTV202522693")</f>
        <v>ICTV202522693</v>
      </c>
      <c r="R15452" t="s">
        <v>581</v>
      </c>
      <c r="S15452" t="s">
        <v>823</v>
      </c>
      <c r="T15452">
        <v>41</v>
      </c>
      <c r="U15452" s="26" t="str">
        <f>HYPERLINK("https://ictv.global/ictv/proposals/2025.017P.Secoviridae_53nsp_3abolishsp.zip","2025.017P.Secoviridae_53nsp_3abolishsp.zip")</f>
        <v>2025.017P.Secoviridae_53nsp_3abolishsp.zip</v>
      </c>
    </row>
    <row r="15453" spans="1:21">
      <c r="A15453">
        <v>15452</v>
      </c>
      <c r="B15453" s="27" t="s">
        <v>1124</v>
      </c>
      <c r="D15453" s="27" t="s">
        <v>1859</v>
      </c>
      <c r="F15453" s="27" t="s">
        <v>1909</v>
      </c>
      <c r="H15453" s="27" t="s">
        <v>1912</v>
      </c>
      <c r="J15453" s="27" t="s">
        <v>260</v>
      </c>
      <c r="L15453" s="27" t="s">
        <v>435</v>
      </c>
      <c r="M15453" s="27" t="s">
        <v>416</v>
      </c>
      <c r="N15453" s="27" t="s">
        <v>415</v>
      </c>
      <c r="P15453" s="27" t="s">
        <v>17409</v>
      </c>
      <c r="Q15453" s="26" t="str">
        <f>HYPERLINK("https://ictv.global/taxonomy/taxondetails?taxnode_id=202518382&amp;ictv_id=ICTV202318382","ICTV202318382")</f>
        <v>ICTV202318382</v>
      </c>
      <c r="R15453" t="s">
        <v>581</v>
      </c>
      <c r="S15453" t="s">
        <v>823</v>
      </c>
      <c r="T15453">
        <v>39</v>
      </c>
      <c r="U15453" s="26" t="str">
        <f>HYPERLINK("https://ictv.global/ictv/proposals/2023.018P.Secoviridae_16nsp.zip","2023.018P.Secoviridae_16nsp.zip")</f>
        <v>2023.018P.Secoviridae_16nsp.zip</v>
      </c>
    </row>
    <row r="15454" spans="1:21">
      <c r="A15454">
        <v>15453</v>
      </c>
      <c r="B15454" s="27" t="s">
        <v>1124</v>
      </c>
      <c r="D15454" s="27" t="s">
        <v>1859</v>
      </c>
      <c r="F15454" s="27" t="s">
        <v>1909</v>
      </c>
      <c r="H15454" s="27" t="s">
        <v>1912</v>
      </c>
      <c r="J15454" s="27" t="s">
        <v>260</v>
      </c>
      <c r="L15454" s="27" t="s">
        <v>435</v>
      </c>
      <c r="M15454" s="27" t="s">
        <v>416</v>
      </c>
      <c r="N15454" s="27" t="s">
        <v>415</v>
      </c>
      <c r="P15454" s="27" t="s">
        <v>10591</v>
      </c>
      <c r="Q15454" s="26" t="str">
        <f>HYPERLINK("https://ictv.global/taxonomy/taxondetails?taxnode_id=202513817&amp;ictv_id=ICTV202113817","ICTV202113817")</f>
        <v>ICTV202113817</v>
      </c>
      <c r="R15454" t="s">
        <v>581</v>
      </c>
      <c r="S15454" t="s">
        <v>824</v>
      </c>
      <c r="T15454">
        <v>38</v>
      </c>
      <c r="U15454" s="26" t="str">
        <f>HYPERLINK("https://ictv.global/ictv/proposals/2022.005P.Secoviridae_rename.zip","2022.005P.Secoviridae_rename.zip")</f>
        <v>2022.005P.Secoviridae_rename.zip</v>
      </c>
    </row>
    <row r="15455" spans="1:21">
      <c r="A15455">
        <v>15454</v>
      </c>
      <c r="B15455" s="27" t="s">
        <v>1124</v>
      </c>
      <c r="D15455" s="27" t="s">
        <v>1859</v>
      </c>
      <c r="F15455" s="27" t="s">
        <v>1909</v>
      </c>
      <c r="H15455" s="27" t="s">
        <v>1912</v>
      </c>
      <c r="J15455" s="27" t="s">
        <v>260</v>
      </c>
      <c r="L15455" s="27" t="s">
        <v>435</v>
      </c>
      <c r="M15455" s="27" t="s">
        <v>416</v>
      </c>
      <c r="N15455" s="27" t="s">
        <v>415</v>
      </c>
      <c r="P15455" s="27" t="s">
        <v>10592</v>
      </c>
      <c r="Q15455" s="26" t="str">
        <f>HYPERLINK("https://ictv.global/taxonomy/taxondetails?taxnode_id=202502113&amp;ictv_id=ICTV20083261","ICTV20083261")</f>
        <v>ICTV20083261</v>
      </c>
      <c r="R15455" t="s">
        <v>581</v>
      </c>
      <c r="S15455" t="s">
        <v>824</v>
      </c>
      <c r="T15455">
        <v>38</v>
      </c>
      <c r="U15455" s="26" t="str">
        <f>HYPERLINK("https://ictv.global/ictv/proposals/2022.005P.Secoviridae_rename.zip","2022.005P.Secoviridae_rename.zip")</f>
        <v>2022.005P.Secoviridae_rename.zip</v>
      </c>
    </row>
    <row r="15456" spans="1:21">
      <c r="A15456">
        <v>15455</v>
      </c>
      <c r="B15456" s="27" t="s">
        <v>1124</v>
      </c>
      <c r="D15456" s="27" t="s">
        <v>1859</v>
      </c>
      <c r="F15456" s="27" t="s">
        <v>1909</v>
      </c>
      <c r="H15456" s="27" t="s">
        <v>1912</v>
      </c>
      <c r="J15456" s="27" t="s">
        <v>260</v>
      </c>
      <c r="L15456" s="27" t="s">
        <v>435</v>
      </c>
      <c r="M15456" s="27" t="s">
        <v>416</v>
      </c>
      <c r="N15456" s="27" t="s">
        <v>415</v>
      </c>
      <c r="P15456" s="27" t="s">
        <v>10593</v>
      </c>
      <c r="Q15456" s="26" t="str">
        <f>HYPERLINK("https://ictv.global/taxonomy/taxondetails?taxnode_id=202515093&amp;ictv_id=ICTV202215093","ICTV202215093")</f>
        <v>ICTV202215093</v>
      </c>
      <c r="R15456" t="s">
        <v>581</v>
      </c>
      <c r="S15456" t="s">
        <v>823</v>
      </c>
      <c r="T15456">
        <v>38</v>
      </c>
      <c r="U15456" s="26" t="str">
        <f>HYPERLINK("https://ictv.global/ictv/proposals/2022.004P.Secoviridae_8ns.zip","2022.004P.Secoviridae_8ns.zip")</f>
        <v>2022.004P.Secoviridae_8ns.zip</v>
      </c>
    </row>
    <row r="15457" spans="1:21">
      <c r="A15457">
        <v>15456</v>
      </c>
      <c r="B15457" s="27" t="s">
        <v>1124</v>
      </c>
      <c r="D15457" s="27" t="s">
        <v>1859</v>
      </c>
      <c r="F15457" s="27" t="s">
        <v>1909</v>
      </c>
      <c r="H15457" s="27" t="s">
        <v>1912</v>
      </c>
      <c r="J15457" s="27" t="s">
        <v>260</v>
      </c>
      <c r="L15457" s="27" t="s">
        <v>435</v>
      </c>
      <c r="M15457" s="27" t="s">
        <v>416</v>
      </c>
      <c r="N15457" s="27" t="s">
        <v>415</v>
      </c>
      <c r="P15457" s="27" t="s">
        <v>10594</v>
      </c>
      <c r="Q15457" s="26" t="str">
        <f>HYPERLINK("https://ictv.global/taxonomy/taxondetails?taxnode_id=202502097&amp;ictv_id=ICTV19710217","ICTV19710217")</f>
        <v>ICTV19710217</v>
      </c>
      <c r="R15457" t="s">
        <v>581</v>
      </c>
      <c r="S15457" t="s">
        <v>824</v>
      </c>
      <c r="T15457">
        <v>38</v>
      </c>
      <c r="U15457" s="26" t="str">
        <f>HYPERLINK("https://ictv.global/ictv/proposals/2022.005P.Secoviridae_rename.zip","2022.005P.Secoviridae_rename.zip")</f>
        <v>2022.005P.Secoviridae_rename.zip</v>
      </c>
    </row>
    <row r="15458" spans="1:21">
      <c r="A15458">
        <v>15457</v>
      </c>
      <c r="B15458" s="27" t="s">
        <v>1124</v>
      </c>
      <c r="D15458" s="27" t="s">
        <v>1859</v>
      </c>
      <c r="F15458" s="27" t="s">
        <v>1909</v>
      </c>
      <c r="H15458" s="27" t="s">
        <v>1912</v>
      </c>
      <c r="J15458" s="27" t="s">
        <v>260</v>
      </c>
      <c r="L15458" s="27" t="s">
        <v>435</v>
      </c>
      <c r="M15458" s="27" t="s">
        <v>416</v>
      </c>
      <c r="N15458" s="27" t="s">
        <v>415</v>
      </c>
      <c r="P15458" s="27" t="s">
        <v>10595</v>
      </c>
      <c r="Q15458" s="26" t="str">
        <f>HYPERLINK("https://ictv.global/taxonomy/taxondetails?taxnode_id=202502096&amp;ictv_id=ICTV20073471","ICTV20073471")</f>
        <v>ICTV20073471</v>
      </c>
      <c r="R15458" t="s">
        <v>581</v>
      </c>
      <c r="S15458" t="s">
        <v>824</v>
      </c>
      <c r="T15458">
        <v>38</v>
      </c>
      <c r="U15458" s="26" t="str">
        <f>HYPERLINK("https://ictv.global/ictv/proposals/2022.005P.Secoviridae_rename.zip","2022.005P.Secoviridae_rename.zip")</f>
        <v>2022.005P.Secoviridae_rename.zip</v>
      </c>
    </row>
    <row r="15459" spans="1:21">
      <c r="A15459">
        <v>15458</v>
      </c>
      <c r="B15459" s="27" t="s">
        <v>1124</v>
      </c>
      <c r="D15459" s="27" t="s">
        <v>1859</v>
      </c>
      <c r="F15459" s="27" t="s">
        <v>1909</v>
      </c>
      <c r="H15459" s="27" t="s">
        <v>1912</v>
      </c>
      <c r="J15459" s="27" t="s">
        <v>260</v>
      </c>
      <c r="L15459" s="27" t="s">
        <v>435</v>
      </c>
      <c r="M15459" s="27" t="s">
        <v>416</v>
      </c>
      <c r="N15459" s="27" t="s">
        <v>415</v>
      </c>
      <c r="P15459" s="27" t="s">
        <v>10596</v>
      </c>
      <c r="Q15459" s="26" t="str">
        <f>HYPERLINK("https://ictv.global/taxonomy/taxondetails?taxnode_id=202502098&amp;ictv_id=ICTV19821246","ICTV19821246")</f>
        <v>ICTV19821246</v>
      </c>
      <c r="R15459" t="s">
        <v>581</v>
      </c>
      <c r="S15459" t="s">
        <v>824</v>
      </c>
      <c r="T15459">
        <v>38</v>
      </c>
      <c r="U15459" s="26" t="str">
        <f>HYPERLINK("https://ictv.global/ictv/proposals/2022.005P.Secoviridae_rename.zip","2022.005P.Secoviridae_rename.zip")</f>
        <v>2022.005P.Secoviridae_rename.zip</v>
      </c>
    </row>
    <row r="15460" spans="1:21">
      <c r="A15460">
        <v>15459</v>
      </c>
      <c r="B15460" s="27" t="s">
        <v>1124</v>
      </c>
      <c r="D15460" s="27" t="s">
        <v>1859</v>
      </c>
      <c r="F15460" s="27" t="s">
        <v>1909</v>
      </c>
      <c r="H15460" s="27" t="s">
        <v>1912</v>
      </c>
      <c r="J15460" s="27" t="s">
        <v>260</v>
      </c>
      <c r="L15460" s="27" t="s">
        <v>435</v>
      </c>
      <c r="M15460" s="27" t="s">
        <v>416</v>
      </c>
      <c r="N15460" s="27" t="s">
        <v>415</v>
      </c>
      <c r="P15460" s="27" t="s">
        <v>21901</v>
      </c>
      <c r="Q15460" s="26" t="str">
        <f>HYPERLINK("https://ictv.global/taxonomy/taxondetails?taxnode_id=202522710&amp;ictv_id=ICTV202522710","ICTV202522710")</f>
        <v>ICTV202522710</v>
      </c>
      <c r="R15460" t="s">
        <v>581</v>
      </c>
      <c r="S15460" t="s">
        <v>823</v>
      </c>
      <c r="T15460">
        <v>41</v>
      </c>
      <c r="U15460" s="26" t="str">
        <f>HYPERLINK("https://ictv.global/ictv/proposals/2025.017P.Secoviridae_53nsp_3abolishsp.zip","2025.017P.Secoviridae_53nsp_3abolishsp.zip")</f>
        <v>2025.017P.Secoviridae_53nsp_3abolishsp.zip</v>
      </c>
    </row>
    <row r="15461" spans="1:21">
      <c r="A15461">
        <v>15460</v>
      </c>
      <c r="B15461" s="27" t="s">
        <v>1124</v>
      </c>
      <c r="D15461" s="27" t="s">
        <v>1859</v>
      </c>
      <c r="F15461" s="27" t="s">
        <v>1909</v>
      </c>
      <c r="H15461" s="27" t="s">
        <v>1912</v>
      </c>
      <c r="J15461" s="27" t="s">
        <v>260</v>
      </c>
      <c r="L15461" s="27" t="s">
        <v>435</v>
      </c>
      <c r="M15461" s="27" t="s">
        <v>416</v>
      </c>
      <c r="N15461" s="27" t="s">
        <v>415</v>
      </c>
      <c r="P15461" s="27" t="s">
        <v>10597</v>
      </c>
      <c r="Q15461" s="26" t="str">
        <f>HYPERLINK("https://ictv.global/taxonomy/taxondetails?taxnode_id=202502108&amp;ictv_id=ICTV19760709","ICTV19760709")</f>
        <v>ICTV19760709</v>
      </c>
      <c r="R15461" t="s">
        <v>581</v>
      </c>
      <c r="S15461" t="s">
        <v>824</v>
      </c>
      <c r="T15461">
        <v>38</v>
      </c>
      <c r="U15461" s="26" t="str">
        <f>HYPERLINK("https://ictv.global/ictv/proposals/2022.005P.Secoviridae_rename.zip","2022.005P.Secoviridae_rename.zip")</f>
        <v>2022.005P.Secoviridae_rename.zip</v>
      </c>
    </row>
    <row r="15462" spans="1:21">
      <c r="A15462">
        <v>15461</v>
      </c>
      <c r="B15462" s="27" t="s">
        <v>1124</v>
      </c>
      <c r="D15462" s="27" t="s">
        <v>1859</v>
      </c>
      <c r="F15462" s="27" t="s">
        <v>1909</v>
      </c>
      <c r="H15462" s="27" t="s">
        <v>1912</v>
      </c>
      <c r="J15462" s="27" t="s">
        <v>260</v>
      </c>
      <c r="L15462" s="27" t="s">
        <v>435</v>
      </c>
      <c r="M15462" s="27" t="s">
        <v>416</v>
      </c>
      <c r="N15462" s="27" t="s">
        <v>415</v>
      </c>
      <c r="P15462" s="27" t="s">
        <v>21899</v>
      </c>
      <c r="Q15462" s="26" t="str">
        <f>HYPERLINK("https://ictv.global/taxonomy/taxondetails?taxnode_id=202522708&amp;ictv_id=ICTV202522708","ICTV202522708")</f>
        <v>ICTV202522708</v>
      </c>
      <c r="R15462" t="s">
        <v>581</v>
      </c>
      <c r="S15462" t="s">
        <v>823</v>
      </c>
      <c r="T15462">
        <v>41</v>
      </c>
      <c r="U15462" s="26" t="str">
        <f>HYPERLINK("https://ictv.global/ictv/proposals/2025.017P.Secoviridae_53nsp_3abolishsp.zip","2025.017P.Secoviridae_53nsp_3abolishsp.zip")</f>
        <v>2025.017P.Secoviridae_53nsp_3abolishsp.zip</v>
      </c>
    </row>
    <row r="15463" spans="1:21">
      <c r="A15463">
        <v>15462</v>
      </c>
      <c r="B15463" s="27" t="s">
        <v>1124</v>
      </c>
      <c r="D15463" s="27" t="s">
        <v>1859</v>
      </c>
      <c r="F15463" s="27" t="s">
        <v>1909</v>
      </c>
      <c r="H15463" s="27" t="s">
        <v>1912</v>
      </c>
      <c r="J15463" s="27" t="s">
        <v>260</v>
      </c>
      <c r="L15463" s="27" t="s">
        <v>435</v>
      </c>
      <c r="M15463" s="27" t="s">
        <v>416</v>
      </c>
      <c r="N15463" s="27" t="s">
        <v>415</v>
      </c>
      <c r="P15463" s="27" t="s">
        <v>21907</v>
      </c>
      <c r="Q15463" s="26" t="str">
        <f>HYPERLINK("https://ictv.global/taxonomy/taxondetails?taxnode_id=202522716&amp;ictv_id=ICTV202522716","ICTV202522716")</f>
        <v>ICTV202522716</v>
      </c>
      <c r="R15463" t="s">
        <v>581</v>
      </c>
      <c r="S15463" t="s">
        <v>823</v>
      </c>
      <c r="T15463">
        <v>41</v>
      </c>
      <c r="U15463" s="26" t="str">
        <f>HYPERLINK("https://ictv.global/ictv/proposals/2025.017P.Secoviridae_53nsp_3abolishsp.zip","2025.017P.Secoviridae_53nsp_3abolishsp.zip")</f>
        <v>2025.017P.Secoviridae_53nsp_3abolishsp.zip</v>
      </c>
    </row>
    <row r="15464" spans="1:21">
      <c r="A15464">
        <v>15463</v>
      </c>
      <c r="B15464" s="27" t="s">
        <v>1124</v>
      </c>
      <c r="D15464" s="27" t="s">
        <v>1859</v>
      </c>
      <c r="F15464" s="27" t="s">
        <v>1909</v>
      </c>
      <c r="H15464" s="27" t="s">
        <v>1912</v>
      </c>
      <c r="J15464" s="27" t="s">
        <v>260</v>
      </c>
      <c r="L15464" s="27" t="s">
        <v>435</v>
      </c>
      <c r="M15464" s="27" t="s">
        <v>416</v>
      </c>
      <c r="N15464" s="27" t="s">
        <v>415</v>
      </c>
      <c r="P15464" s="27" t="s">
        <v>21891</v>
      </c>
      <c r="Q15464" s="26" t="str">
        <f>HYPERLINK("https://ictv.global/taxonomy/taxondetails?taxnode_id=202522700&amp;ictv_id=ICTV202522700","ICTV202522700")</f>
        <v>ICTV202522700</v>
      </c>
      <c r="R15464" t="s">
        <v>581</v>
      </c>
      <c r="S15464" t="s">
        <v>823</v>
      </c>
      <c r="T15464">
        <v>41</v>
      </c>
      <c r="U15464" s="26" t="str">
        <f>HYPERLINK("https://ictv.global/ictv/proposals/2025.017P.Secoviridae_53nsp_3abolishsp.zip","2025.017P.Secoviridae_53nsp_3abolishsp.zip")</f>
        <v>2025.017P.Secoviridae_53nsp_3abolishsp.zip</v>
      </c>
    </row>
    <row r="15465" spans="1:21">
      <c r="A15465">
        <v>15464</v>
      </c>
      <c r="B15465" s="27" t="s">
        <v>1124</v>
      </c>
      <c r="D15465" s="27" t="s">
        <v>1859</v>
      </c>
      <c r="F15465" s="27" t="s">
        <v>1909</v>
      </c>
      <c r="H15465" s="27" t="s">
        <v>1912</v>
      </c>
      <c r="J15465" s="27" t="s">
        <v>260</v>
      </c>
      <c r="L15465" s="27" t="s">
        <v>435</v>
      </c>
      <c r="M15465" s="27" t="s">
        <v>416</v>
      </c>
      <c r="N15465" s="27" t="s">
        <v>415</v>
      </c>
      <c r="P15465" s="27" t="s">
        <v>10598</v>
      </c>
      <c r="Q15465" s="26" t="str">
        <f>HYPERLINK("https://ictv.global/taxonomy/taxondetails?taxnode_id=202502102&amp;ictv_id=ICTV19981284","ICTV19981284")</f>
        <v>ICTV19981284</v>
      </c>
      <c r="R15465" t="s">
        <v>581</v>
      </c>
      <c r="S15465" t="s">
        <v>824</v>
      </c>
      <c r="T15465">
        <v>38</v>
      </c>
      <c r="U15465" s="26" t="str">
        <f>HYPERLINK("https://ictv.global/ictv/proposals/2022.005P.Secoviridae_rename.zip","2022.005P.Secoviridae_rename.zip")</f>
        <v>2022.005P.Secoviridae_rename.zip</v>
      </c>
    </row>
    <row r="15466" spans="1:21">
      <c r="A15466">
        <v>15465</v>
      </c>
      <c r="B15466" s="27" t="s">
        <v>1124</v>
      </c>
      <c r="D15466" s="27" t="s">
        <v>1859</v>
      </c>
      <c r="F15466" s="27" t="s">
        <v>1909</v>
      </c>
      <c r="H15466" s="27" t="s">
        <v>1912</v>
      </c>
      <c r="J15466" s="27" t="s">
        <v>260</v>
      </c>
      <c r="L15466" s="27" t="s">
        <v>435</v>
      </c>
      <c r="M15466" s="27" t="s">
        <v>416</v>
      </c>
      <c r="N15466" s="27" t="s">
        <v>415</v>
      </c>
      <c r="P15466" s="27" t="s">
        <v>20523</v>
      </c>
      <c r="Q15466" s="26" t="str">
        <f>HYPERLINK("https://ictv.global/taxonomy/taxondetails?taxnode_id=202520579&amp;ictv_id=ICTV202420579","ICTV202420579")</f>
        <v>ICTV202420579</v>
      </c>
      <c r="R15466" t="s">
        <v>581</v>
      </c>
      <c r="S15466" t="s">
        <v>823</v>
      </c>
      <c r="T15466">
        <v>40</v>
      </c>
      <c r="U15466" s="26" t="str">
        <f>HYPERLINK("https://ictv.global/ictv/proposals/2024.013P.Secoviridae_1ng_2nsg_34nsp.zip","2024.013P.Secoviridae_1ng_2nsg_34nsp.zip")</f>
        <v>2024.013P.Secoviridae_1ng_2nsg_34nsp.zip</v>
      </c>
    </row>
    <row r="15467" spans="1:21">
      <c r="A15467">
        <v>15466</v>
      </c>
      <c r="B15467" s="27" t="s">
        <v>1124</v>
      </c>
      <c r="D15467" s="27" t="s">
        <v>1859</v>
      </c>
      <c r="F15467" s="27" t="s">
        <v>1909</v>
      </c>
      <c r="H15467" s="27" t="s">
        <v>1912</v>
      </c>
      <c r="J15467" s="27" t="s">
        <v>260</v>
      </c>
      <c r="L15467" s="27" t="s">
        <v>435</v>
      </c>
      <c r="M15467" s="27" t="s">
        <v>416</v>
      </c>
      <c r="N15467" s="27" t="s">
        <v>415</v>
      </c>
      <c r="P15467" s="27" t="s">
        <v>10599</v>
      </c>
      <c r="Q15467" s="26" t="str">
        <f>HYPERLINK("https://ictv.global/taxonomy/taxondetails?taxnode_id=202505628&amp;ictv_id=ICTV20175628","ICTV20175628")</f>
        <v>ICTV20175628</v>
      </c>
      <c r="R15467" t="s">
        <v>581</v>
      </c>
      <c r="S15467" t="s">
        <v>824</v>
      </c>
      <c r="T15467">
        <v>38</v>
      </c>
      <c r="U15467" s="26" t="str">
        <f>HYPERLINK("https://ictv.global/ictv/proposals/2022.005P.Secoviridae_rename.zip","2022.005P.Secoviridae_rename.zip")</f>
        <v>2022.005P.Secoviridae_rename.zip</v>
      </c>
    </row>
    <row r="15468" spans="1:21">
      <c r="A15468">
        <v>15467</v>
      </c>
      <c r="B15468" s="27" t="s">
        <v>1124</v>
      </c>
      <c r="D15468" s="27" t="s">
        <v>1859</v>
      </c>
      <c r="F15468" s="27" t="s">
        <v>1909</v>
      </c>
      <c r="H15468" s="27" t="s">
        <v>1912</v>
      </c>
      <c r="J15468" s="27" t="s">
        <v>260</v>
      </c>
      <c r="L15468" s="27" t="s">
        <v>435</v>
      </c>
      <c r="M15468" s="27" t="s">
        <v>416</v>
      </c>
      <c r="N15468" s="27" t="s">
        <v>415</v>
      </c>
      <c r="P15468" s="27" t="s">
        <v>10600</v>
      </c>
      <c r="Q15468" s="26" t="str">
        <f>HYPERLINK("https://ictv.global/taxonomy/taxondetails?taxnode_id=202502114&amp;ictv_id=ICTV19821254","ICTV19821254")</f>
        <v>ICTV19821254</v>
      </c>
      <c r="R15468" t="s">
        <v>581</v>
      </c>
      <c r="S15468" t="s">
        <v>824</v>
      </c>
      <c r="T15468">
        <v>38</v>
      </c>
      <c r="U15468" s="26" t="str">
        <f>HYPERLINK("https://ictv.global/ictv/proposals/2022.005P.Secoviridae_rename.zip","2022.005P.Secoviridae_rename.zip")</f>
        <v>2022.005P.Secoviridae_rename.zip</v>
      </c>
    </row>
    <row r="15469" spans="1:21">
      <c r="A15469">
        <v>15468</v>
      </c>
      <c r="B15469" s="27" t="s">
        <v>1124</v>
      </c>
      <c r="D15469" s="27" t="s">
        <v>1859</v>
      </c>
      <c r="F15469" s="27" t="s">
        <v>1909</v>
      </c>
      <c r="H15469" s="27" t="s">
        <v>1912</v>
      </c>
      <c r="J15469" s="27" t="s">
        <v>260</v>
      </c>
      <c r="L15469" s="27" t="s">
        <v>435</v>
      </c>
      <c r="M15469" s="27" t="s">
        <v>416</v>
      </c>
      <c r="N15469" s="27" t="s">
        <v>415</v>
      </c>
      <c r="P15469" s="27" t="s">
        <v>21900</v>
      </c>
      <c r="Q15469" s="26" t="str">
        <f>HYPERLINK("https://ictv.global/taxonomy/taxondetails?taxnode_id=202522709&amp;ictv_id=ICTV202522709","ICTV202522709")</f>
        <v>ICTV202522709</v>
      </c>
      <c r="R15469" t="s">
        <v>581</v>
      </c>
      <c r="S15469" t="s">
        <v>823</v>
      </c>
      <c r="T15469">
        <v>41</v>
      </c>
      <c r="U15469" s="26" t="str">
        <f>HYPERLINK("https://ictv.global/ictv/proposals/2025.017P.Secoviridae_53nsp_3abolishsp.zip","2025.017P.Secoviridae_53nsp_3abolishsp.zip")</f>
        <v>2025.017P.Secoviridae_53nsp_3abolishsp.zip</v>
      </c>
    </row>
    <row r="15470" spans="1:21">
      <c r="A15470">
        <v>15469</v>
      </c>
      <c r="B15470" s="27" t="s">
        <v>1124</v>
      </c>
      <c r="D15470" s="27" t="s">
        <v>1859</v>
      </c>
      <c r="F15470" s="27" t="s">
        <v>1909</v>
      </c>
      <c r="H15470" s="27" t="s">
        <v>1912</v>
      </c>
      <c r="J15470" s="27" t="s">
        <v>260</v>
      </c>
      <c r="L15470" s="27" t="s">
        <v>435</v>
      </c>
      <c r="M15470" s="27" t="s">
        <v>416</v>
      </c>
      <c r="N15470" s="27" t="s">
        <v>415</v>
      </c>
      <c r="P15470" s="27" t="s">
        <v>10601</v>
      </c>
      <c r="Q15470" s="26" t="str">
        <f>HYPERLINK("https://ictv.global/taxonomy/taxondetails?taxnode_id=202512972&amp;ictv_id=ICTV202112972","ICTV202112972")</f>
        <v>ICTV202112972</v>
      </c>
      <c r="R15470" t="s">
        <v>581</v>
      </c>
      <c r="S15470" t="s">
        <v>824</v>
      </c>
      <c r="T15470">
        <v>38</v>
      </c>
      <c r="U15470" s="26" t="str">
        <f>HYPERLINK("https://ictv.global/ictv/proposals/2022.005P.Secoviridae_rename.zip","2022.005P.Secoviridae_rename.zip")</f>
        <v>2022.005P.Secoviridae_rename.zip</v>
      </c>
    </row>
    <row r="15471" spans="1:21">
      <c r="A15471">
        <v>15470</v>
      </c>
      <c r="B15471" s="27" t="s">
        <v>1124</v>
      </c>
      <c r="D15471" s="27" t="s">
        <v>1859</v>
      </c>
      <c r="F15471" s="27" t="s">
        <v>1909</v>
      </c>
      <c r="H15471" s="27" t="s">
        <v>1912</v>
      </c>
      <c r="J15471" s="27" t="s">
        <v>260</v>
      </c>
      <c r="L15471" s="27" t="s">
        <v>435</v>
      </c>
      <c r="M15471" s="27" t="s">
        <v>416</v>
      </c>
      <c r="N15471" s="27" t="s">
        <v>415</v>
      </c>
      <c r="P15471" s="27" t="s">
        <v>17410</v>
      </c>
      <c r="Q15471" s="26" t="str">
        <f>HYPERLINK("https://ictv.global/taxonomy/taxondetails?taxnode_id=202518383&amp;ictv_id=ICTV202318383","ICTV202318383")</f>
        <v>ICTV202318383</v>
      </c>
      <c r="R15471" t="s">
        <v>581</v>
      </c>
      <c r="S15471" t="s">
        <v>823</v>
      </c>
      <c r="T15471">
        <v>39</v>
      </c>
      <c r="U15471" s="26" t="str">
        <f>HYPERLINK("https://ictv.global/ictv/proposals/2023.018P.Secoviridae_16nsp.zip","2023.018P.Secoviridae_16nsp.zip")</f>
        <v>2023.018P.Secoviridae_16nsp.zip</v>
      </c>
    </row>
    <row r="15472" spans="1:21">
      <c r="A15472">
        <v>15471</v>
      </c>
      <c r="B15472" s="27" t="s">
        <v>1124</v>
      </c>
      <c r="D15472" s="27" t="s">
        <v>1859</v>
      </c>
      <c r="F15472" s="27" t="s">
        <v>1909</v>
      </c>
      <c r="H15472" s="27" t="s">
        <v>1912</v>
      </c>
      <c r="J15472" s="27" t="s">
        <v>260</v>
      </c>
      <c r="L15472" s="27" t="s">
        <v>435</v>
      </c>
      <c r="M15472" s="27" t="s">
        <v>416</v>
      </c>
      <c r="N15472" s="27" t="s">
        <v>415</v>
      </c>
      <c r="P15472" s="27" t="s">
        <v>21896</v>
      </c>
      <c r="Q15472" s="26" t="str">
        <f>HYPERLINK("https://ictv.global/taxonomy/taxondetails?taxnode_id=202522705&amp;ictv_id=ICTV202522705","ICTV202522705")</f>
        <v>ICTV202522705</v>
      </c>
      <c r="R15472" t="s">
        <v>581</v>
      </c>
      <c r="S15472" t="s">
        <v>823</v>
      </c>
      <c r="T15472">
        <v>41</v>
      </c>
      <c r="U15472" s="26" t="str">
        <f>HYPERLINK("https://ictv.global/ictv/proposals/2025.017P.Secoviridae_53nsp_3abolishsp.zip","2025.017P.Secoviridae_53nsp_3abolishsp.zip")</f>
        <v>2025.017P.Secoviridae_53nsp_3abolishsp.zip</v>
      </c>
    </row>
    <row r="15473" spans="1:21">
      <c r="A15473">
        <v>15472</v>
      </c>
      <c r="B15473" s="27" t="s">
        <v>1124</v>
      </c>
      <c r="D15473" s="27" t="s">
        <v>1859</v>
      </c>
      <c r="F15473" s="27" t="s">
        <v>1909</v>
      </c>
      <c r="H15473" s="27" t="s">
        <v>1912</v>
      </c>
      <c r="J15473" s="27" t="s">
        <v>260</v>
      </c>
      <c r="L15473" s="27" t="s">
        <v>435</v>
      </c>
      <c r="M15473" s="27" t="s">
        <v>416</v>
      </c>
      <c r="N15473" s="27" t="s">
        <v>415</v>
      </c>
      <c r="P15473" s="27" t="s">
        <v>10602</v>
      </c>
      <c r="Q15473" s="26" t="str">
        <f>HYPERLINK("https://ictv.global/taxonomy/taxondetails?taxnode_id=202502124&amp;ictv_id=ICTV19791036","ICTV19791036")</f>
        <v>ICTV19791036</v>
      </c>
      <c r="R15473" t="s">
        <v>581</v>
      </c>
      <c r="S15473" t="s">
        <v>824</v>
      </c>
      <c r="T15473">
        <v>38</v>
      </c>
      <c r="U15473" s="26" t="str">
        <f>HYPERLINK("https://ictv.global/ictv/proposals/2022.005P.Secoviridae_rename.zip","2022.005P.Secoviridae_rename.zip")</f>
        <v>2022.005P.Secoviridae_rename.zip</v>
      </c>
    </row>
    <row r="15474" spans="1:21">
      <c r="A15474">
        <v>15473</v>
      </c>
      <c r="B15474" s="27" t="s">
        <v>1124</v>
      </c>
      <c r="D15474" s="27" t="s">
        <v>1859</v>
      </c>
      <c r="F15474" s="27" t="s">
        <v>1909</v>
      </c>
      <c r="H15474" s="27" t="s">
        <v>1912</v>
      </c>
      <c r="J15474" s="27" t="s">
        <v>260</v>
      </c>
      <c r="L15474" s="27" t="s">
        <v>435</v>
      </c>
      <c r="M15474" s="27" t="s">
        <v>416</v>
      </c>
      <c r="N15474" s="27" t="s">
        <v>415</v>
      </c>
      <c r="P15474" s="27" t="s">
        <v>10603</v>
      </c>
      <c r="Q15474" s="26" t="str">
        <f>HYPERLINK("https://ictv.global/taxonomy/taxondetails?taxnode_id=202502115&amp;ictv_id=ICTV19760712","ICTV19760712")</f>
        <v>ICTV19760712</v>
      </c>
      <c r="R15474" t="s">
        <v>581</v>
      </c>
      <c r="S15474" t="s">
        <v>824</v>
      </c>
      <c r="T15474">
        <v>38</v>
      </c>
      <c r="U15474" s="26" t="str">
        <f>HYPERLINK("https://ictv.global/ictv/proposals/2022.005P.Secoviridae_rename.zip","2022.005P.Secoviridae_rename.zip")</f>
        <v>2022.005P.Secoviridae_rename.zip</v>
      </c>
    </row>
    <row r="15475" spans="1:21">
      <c r="A15475">
        <v>15474</v>
      </c>
      <c r="B15475" s="27" t="s">
        <v>1124</v>
      </c>
      <c r="D15475" s="27" t="s">
        <v>1859</v>
      </c>
      <c r="F15475" s="27" t="s">
        <v>1909</v>
      </c>
      <c r="H15475" s="27" t="s">
        <v>1912</v>
      </c>
      <c r="J15475" s="27" t="s">
        <v>260</v>
      </c>
      <c r="L15475" s="27" t="s">
        <v>435</v>
      </c>
      <c r="M15475" s="27" t="s">
        <v>416</v>
      </c>
      <c r="N15475" s="27" t="s">
        <v>415</v>
      </c>
      <c r="P15475" s="27" t="s">
        <v>21887</v>
      </c>
      <c r="Q15475" s="26" t="str">
        <f>HYPERLINK("https://ictv.global/taxonomy/taxondetails?taxnode_id=202522696&amp;ictv_id=ICTV202522696","ICTV202522696")</f>
        <v>ICTV202522696</v>
      </c>
      <c r="R15475" t="s">
        <v>581</v>
      </c>
      <c r="S15475" t="s">
        <v>823</v>
      </c>
      <c r="T15475">
        <v>41</v>
      </c>
      <c r="U15475" s="26" t="str">
        <f>HYPERLINK("https://ictv.global/ictv/proposals/2025.017P.Secoviridae_53nsp_3abolishsp.zip","2025.017P.Secoviridae_53nsp_3abolishsp.zip")</f>
        <v>2025.017P.Secoviridae_53nsp_3abolishsp.zip</v>
      </c>
    </row>
    <row r="15476" spans="1:21">
      <c r="A15476">
        <v>15475</v>
      </c>
      <c r="B15476" s="27" t="s">
        <v>1124</v>
      </c>
      <c r="D15476" s="27" t="s">
        <v>1859</v>
      </c>
      <c r="F15476" s="27" t="s">
        <v>1909</v>
      </c>
      <c r="H15476" s="27" t="s">
        <v>1912</v>
      </c>
      <c r="J15476" s="27" t="s">
        <v>260</v>
      </c>
      <c r="L15476" s="27" t="s">
        <v>435</v>
      </c>
      <c r="M15476" s="27" t="s">
        <v>416</v>
      </c>
      <c r="N15476" s="27" t="s">
        <v>415</v>
      </c>
      <c r="P15476" s="27" t="s">
        <v>10604</v>
      </c>
      <c r="Q15476" s="26" t="str">
        <f>HYPERLINK("https://ictv.global/taxonomy/taxondetails?taxnode_id=202502109&amp;ictv_id=ICTV19821251","ICTV19821251")</f>
        <v>ICTV19821251</v>
      </c>
      <c r="R15476" t="s">
        <v>581</v>
      </c>
      <c r="S15476" t="s">
        <v>824</v>
      </c>
      <c r="T15476">
        <v>38</v>
      </c>
      <c r="U15476" s="26" t="str">
        <f t="shared" ref="U15476:U15481" si="582">HYPERLINK("https://ictv.global/ictv/proposals/2022.005P.Secoviridae_rename.zip","2022.005P.Secoviridae_rename.zip")</f>
        <v>2022.005P.Secoviridae_rename.zip</v>
      </c>
    </row>
    <row r="15477" spans="1:21">
      <c r="A15477">
        <v>15476</v>
      </c>
      <c r="B15477" s="27" t="s">
        <v>1124</v>
      </c>
      <c r="D15477" s="27" t="s">
        <v>1859</v>
      </c>
      <c r="F15477" s="27" t="s">
        <v>1909</v>
      </c>
      <c r="H15477" s="27" t="s">
        <v>1912</v>
      </c>
      <c r="J15477" s="27" t="s">
        <v>260</v>
      </c>
      <c r="L15477" s="27" t="s">
        <v>435</v>
      </c>
      <c r="M15477" s="27" t="s">
        <v>416</v>
      </c>
      <c r="N15477" s="27" t="s">
        <v>415</v>
      </c>
      <c r="P15477" s="27" t="s">
        <v>10605</v>
      </c>
      <c r="Q15477" s="26" t="str">
        <f>HYPERLINK("https://ictv.global/taxonomy/taxondetails?taxnode_id=202502121&amp;ictv_id=ICTV20115433","ICTV20115433")</f>
        <v>ICTV20115433</v>
      </c>
      <c r="R15477" t="s">
        <v>581</v>
      </c>
      <c r="S15477" t="s">
        <v>824</v>
      </c>
      <c r="T15477">
        <v>38</v>
      </c>
      <c r="U15477" s="26" t="str">
        <f t="shared" si="582"/>
        <v>2022.005P.Secoviridae_rename.zip</v>
      </c>
    </row>
    <row r="15478" spans="1:21">
      <c r="A15478">
        <v>15477</v>
      </c>
      <c r="B15478" s="27" t="s">
        <v>1124</v>
      </c>
      <c r="D15478" s="27" t="s">
        <v>1859</v>
      </c>
      <c r="F15478" s="27" t="s">
        <v>1909</v>
      </c>
      <c r="H15478" s="27" t="s">
        <v>1912</v>
      </c>
      <c r="J15478" s="27" t="s">
        <v>260</v>
      </c>
      <c r="L15478" s="27" t="s">
        <v>435</v>
      </c>
      <c r="M15478" s="27" t="s">
        <v>416</v>
      </c>
      <c r="N15478" s="27" t="s">
        <v>415</v>
      </c>
      <c r="P15478" s="27" t="s">
        <v>10606</v>
      </c>
      <c r="Q15478" s="26" t="str">
        <f>HYPERLINK("https://ictv.global/taxonomy/taxondetails?taxnode_id=202502112&amp;ictv_id=ICTV19911715","ICTV19911715")</f>
        <v>ICTV19911715</v>
      </c>
      <c r="R15478" t="s">
        <v>581</v>
      </c>
      <c r="S15478" t="s">
        <v>824</v>
      </c>
      <c r="T15478">
        <v>38</v>
      </c>
      <c r="U15478" s="26" t="str">
        <f t="shared" si="582"/>
        <v>2022.005P.Secoviridae_rename.zip</v>
      </c>
    </row>
    <row r="15479" spans="1:21">
      <c r="A15479">
        <v>15478</v>
      </c>
      <c r="B15479" s="27" t="s">
        <v>1124</v>
      </c>
      <c r="D15479" s="27" t="s">
        <v>1859</v>
      </c>
      <c r="F15479" s="27" t="s">
        <v>1909</v>
      </c>
      <c r="H15479" s="27" t="s">
        <v>1912</v>
      </c>
      <c r="J15479" s="27" t="s">
        <v>260</v>
      </c>
      <c r="L15479" s="27" t="s">
        <v>435</v>
      </c>
      <c r="M15479" s="27" t="s">
        <v>416</v>
      </c>
      <c r="N15479" s="27" t="s">
        <v>415</v>
      </c>
      <c r="P15479" s="27" t="s">
        <v>10607</v>
      </c>
      <c r="Q15479" s="26" t="str">
        <f>HYPERLINK("https://ictv.global/taxonomy/taxondetails?taxnode_id=202502101&amp;ictv_id=ICTV19821248","ICTV19821248")</f>
        <v>ICTV19821248</v>
      </c>
      <c r="R15479" t="s">
        <v>581</v>
      </c>
      <c r="S15479" t="s">
        <v>824</v>
      </c>
      <c r="T15479">
        <v>38</v>
      </c>
      <c r="U15479" s="26" t="str">
        <f t="shared" si="582"/>
        <v>2022.005P.Secoviridae_rename.zip</v>
      </c>
    </row>
    <row r="15480" spans="1:21">
      <c r="A15480">
        <v>15479</v>
      </c>
      <c r="B15480" s="27" t="s">
        <v>1124</v>
      </c>
      <c r="D15480" s="27" t="s">
        <v>1859</v>
      </c>
      <c r="F15480" s="27" t="s">
        <v>1909</v>
      </c>
      <c r="H15480" s="27" t="s">
        <v>1912</v>
      </c>
      <c r="J15480" s="27" t="s">
        <v>260</v>
      </c>
      <c r="L15480" s="27" t="s">
        <v>435</v>
      </c>
      <c r="M15480" s="27" t="s">
        <v>416</v>
      </c>
      <c r="N15480" s="27" t="s">
        <v>415</v>
      </c>
      <c r="P15480" s="27" t="s">
        <v>10608</v>
      </c>
      <c r="Q15480" s="26" t="str">
        <f>HYPERLINK("https://ictv.global/taxonomy/taxondetails?taxnode_id=202502116&amp;ictv_id=ICTV20083264","ICTV20083264")</f>
        <v>ICTV20083264</v>
      </c>
      <c r="R15480" t="s">
        <v>581</v>
      </c>
      <c r="S15480" t="s">
        <v>824</v>
      </c>
      <c r="T15480">
        <v>38</v>
      </c>
      <c r="U15480" s="26" t="str">
        <f t="shared" si="582"/>
        <v>2022.005P.Secoviridae_rename.zip</v>
      </c>
    </row>
    <row r="15481" spans="1:21">
      <c r="A15481">
        <v>15480</v>
      </c>
      <c r="B15481" s="27" t="s">
        <v>1124</v>
      </c>
      <c r="D15481" s="27" t="s">
        <v>1859</v>
      </c>
      <c r="F15481" s="27" t="s">
        <v>1909</v>
      </c>
      <c r="H15481" s="27" t="s">
        <v>1912</v>
      </c>
      <c r="J15481" s="27" t="s">
        <v>260</v>
      </c>
      <c r="L15481" s="27" t="s">
        <v>435</v>
      </c>
      <c r="M15481" s="27" t="s">
        <v>416</v>
      </c>
      <c r="N15481" s="27" t="s">
        <v>415</v>
      </c>
      <c r="P15481" s="27" t="s">
        <v>10609</v>
      </c>
      <c r="Q15481" s="26" t="str">
        <f>HYPERLINK("https://ictv.global/taxonomy/taxondetails?taxnode_id=202502117&amp;ictv_id=ICTV19710218","ICTV19710218")</f>
        <v>ICTV19710218</v>
      </c>
      <c r="R15481" t="s">
        <v>581</v>
      </c>
      <c r="S15481" t="s">
        <v>824</v>
      </c>
      <c r="T15481">
        <v>38</v>
      </c>
      <c r="U15481" s="26" t="str">
        <f t="shared" si="582"/>
        <v>2022.005P.Secoviridae_rename.zip</v>
      </c>
    </row>
    <row r="15482" spans="1:21">
      <c r="A15482">
        <v>15481</v>
      </c>
      <c r="B15482" s="27" t="s">
        <v>1124</v>
      </c>
      <c r="D15482" s="27" t="s">
        <v>1859</v>
      </c>
      <c r="F15482" s="27" t="s">
        <v>1909</v>
      </c>
      <c r="H15482" s="27" t="s">
        <v>1912</v>
      </c>
      <c r="J15482" s="27" t="s">
        <v>260</v>
      </c>
      <c r="L15482" s="27" t="s">
        <v>435</v>
      </c>
      <c r="M15482" s="27" t="s">
        <v>416</v>
      </c>
      <c r="N15482" s="27" t="s">
        <v>415</v>
      </c>
      <c r="P15482" s="27" t="s">
        <v>17411</v>
      </c>
      <c r="Q15482" s="26" t="str">
        <f>HYPERLINK("https://ictv.global/taxonomy/taxondetails?taxnode_id=202518384&amp;ictv_id=ICTV202318384","ICTV202318384")</f>
        <v>ICTV202318384</v>
      </c>
      <c r="R15482" t="s">
        <v>581</v>
      </c>
      <c r="S15482" t="s">
        <v>823</v>
      </c>
      <c r="T15482">
        <v>39</v>
      </c>
      <c r="U15482" s="26" t="str">
        <f>HYPERLINK("https://ictv.global/ictv/proposals/2023.018P.Secoviridae_16nsp.zip","2023.018P.Secoviridae_16nsp.zip")</f>
        <v>2023.018P.Secoviridae_16nsp.zip</v>
      </c>
    </row>
    <row r="15483" spans="1:21">
      <c r="A15483">
        <v>15482</v>
      </c>
      <c r="B15483" s="27" t="s">
        <v>1124</v>
      </c>
      <c r="D15483" s="27" t="s">
        <v>1859</v>
      </c>
      <c r="F15483" s="27" t="s">
        <v>1909</v>
      </c>
      <c r="H15483" s="27" t="s">
        <v>1912</v>
      </c>
      <c r="J15483" s="27" t="s">
        <v>260</v>
      </c>
      <c r="L15483" s="27" t="s">
        <v>435</v>
      </c>
      <c r="M15483" s="27" t="s">
        <v>416</v>
      </c>
      <c r="N15483" s="27" t="s">
        <v>415</v>
      </c>
      <c r="P15483" s="27" t="s">
        <v>21893</v>
      </c>
      <c r="Q15483" s="26" t="str">
        <f>HYPERLINK("https://ictv.global/taxonomy/taxondetails?taxnode_id=202522702&amp;ictv_id=ICTV202522702","ICTV202522702")</f>
        <v>ICTV202522702</v>
      </c>
      <c r="R15483" t="s">
        <v>581</v>
      </c>
      <c r="S15483" t="s">
        <v>823</v>
      </c>
      <c r="T15483">
        <v>41</v>
      </c>
      <c r="U15483" s="26" t="str">
        <f>HYPERLINK("https://ictv.global/ictv/proposals/2025.017P.Secoviridae_53nsp_3abolishsp.zip","2025.017P.Secoviridae_53nsp_3abolishsp.zip")</f>
        <v>2025.017P.Secoviridae_53nsp_3abolishsp.zip</v>
      </c>
    </row>
    <row r="15484" spans="1:21">
      <c r="A15484">
        <v>15483</v>
      </c>
      <c r="B15484" s="27" t="s">
        <v>1124</v>
      </c>
      <c r="D15484" s="27" t="s">
        <v>1859</v>
      </c>
      <c r="F15484" s="27" t="s">
        <v>1909</v>
      </c>
      <c r="H15484" s="27" t="s">
        <v>1912</v>
      </c>
      <c r="J15484" s="27" t="s">
        <v>260</v>
      </c>
      <c r="L15484" s="27" t="s">
        <v>435</v>
      </c>
      <c r="M15484" s="27" t="s">
        <v>416</v>
      </c>
      <c r="N15484" s="27" t="s">
        <v>415</v>
      </c>
      <c r="P15484" s="27" t="s">
        <v>21902</v>
      </c>
      <c r="Q15484" s="26" t="str">
        <f>HYPERLINK("https://ictv.global/taxonomy/taxondetails?taxnode_id=202522711&amp;ictv_id=ICTV202522711","ICTV202522711")</f>
        <v>ICTV202522711</v>
      </c>
      <c r="R15484" t="s">
        <v>581</v>
      </c>
      <c r="S15484" t="s">
        <v>823</v>
      </c>
      <c r="T15484">
        <v>41</v>
      </c>
      <c r="U15484" s="26" t="str">
        <f>HYPERLINK("https://ictv.global/ictv/proposals/2025.017P.Secoviridae_53nsp_3abolishsp.zip","2025.017P.Secoviridae_53nsp_3abolishsp.zip")</f>
        <v>2025.017P.Secoviridae_53nsp_3abolishsp.zip</v>
      </c>
    </row>
    <row r="15485" spans="1:21">
      <c r="A15485">
        <v>15484</v>
      </c>
      <c r="B15485" s="27" t="s">
        <v>1124</v>
      </c>
      <c r="D15485" s="27" t="s">
        <v>1859</v>
      </c>
      <c r="F15485" s="27" t="s">
        <v>1909</v>
      </c>
      <c r="H15485" s="27" t="s">
        <v>1912</v>
      </c>
      <c r="J15485" s="27" t="s">
        <v>260</v>
      </c>
      <c r="L15485" s="27" t="s">
        <v>435</v>
      </c>
      <c r="M15485" s="27" t="s">
        <v>416</v>
      </c>
      <c r="N15485" s="27" t="s">
        <v>415</v>
      </c>
      <c r="P15485" s="27" t="s">
        <v>10610</v>
      </c>
      <c r="Q15485" s="26" t="str">
        <f>HYPERLINK("https://ictv.global/taxonomy/taxondetails?taxnode_id=202505629&amp;ictv_id=ICTV20175629","ICTV20175629")</f>
        <v>ICTV20175629</v>
      </c>
      <c r="R15485" t="s">
        <v>581</v>
      </c>
      <c r="S15485" t="s">
        <v>824</v>
      </c>
      <c r="T15485">
        <v>38</v>
      </c>
      <c r="U15485" s="26" t="str">
        <f>HYPERLINK("https://ictv.global/ictv/proposals/2022.005P.Secoviridae_rename.zip","2022.005P.Secoviridae_rename.zip")</f>
        <v>2022.005P.Secoviridae_rename.zip</v>
      </c>
    </row>
    <row r="15486" spans="1:21">
      <c r="A15486">
        <v>15485</v>
      </c>
      <c r="B15486" s="27" t="s">
        <v>1124</v>
      </c>
      <c r="D15486" s="27" t="s">
        <v>1859</v>
      </c>
      <c r="F15486" s="27" t="s">
        <v>1909</v>
      </c>
      <c r="H15486" s="27" t="s">
        <v>1912</v>
      </c>
      <c r="J15486" s="27" t="s">
        <v>260</v>
      </c>
      <c r="L15486" s="27" t="s">
        <v>435</v>
      </c>
      <c r="M15486" s="27" t="s">
        <v>416</v>
      </c>
      <c r="N15486" s="27" t="s">
        <v>415</v>
      </c>
      <c r="P15486" s="27" t="s">
        <v>21889</v>
      </c>
      <c r="Q15486" s="26" t="str">
        <f>HYPERLINK("https://ictv.global/taxonomy/taxondetails?taxnode_id=202522698&amp;ictv_id=ICTV202522698","ICTV202522698")</f>
        <v>ICTV202522698</v>
      </c>
      <c r="R15486" t="s">
        <v>581</v>
      </c>
      <c r="S15486" t="s">
        <v>823</v>
      </c>
      <c r="T15486">
        <v>41</v>
      </c>
      <c r="U15486" s="26" t="str">
        <f>HYPERLINK("https://ictv.global/ictv/proposals/2025.017P.Secoviridae_53nsp_3abolishsp.zip","2025.017P.Secoviridae_53nsp_3abolishsp.zip")</f>
        <v>2025.017P.Secoviridae_53nsp_3abolishsp.zip</v>
      </c>
    </row>
    <row r="15487" spans="1:21">
      <c r="A15487">
        <v>15486</v>
      </c>
      <c r="B15487" s="27" t="s">
        <v>1124</v>
      </c>
      <c r="D15487" s="27" t="s">
        <v>1859</v>
      </c>
      <c r="F15487" s="27" t="s">
        <v>1909</v>
      </c>
      <c r="H15487" s="27" t="s">
        <v>1912</v>
      </c>
      <c r="J15487" s="27" t="s">
        <v>260</v>
      </c>
      <c r="L15487" s="27" t="s">
        <v>435</v>
      </c>
      <c r="M15487" s="27" t="s">
        <v>416</v>
      </c>
      <c r="N15487" s="27" t="s">
        <v>415</v>
      </c>
      <c r="P15487" s="27" t="s">
        <v>21906</v>
      </c>
      <c r="Q15487" s="26" t="str">
        <f>HYPERLINK("https://ictv.global/taxonomy/taxondetails?taxnode_id=202522715&amp;ictv_id=ICTV202522715","ICTV202522715")</f>
        <v>ICTV202522715</v>
      </c>
      <c r="R15487" t="s">
        <v>581</v>
      </c>
      <c r="S15487" t="s">
        <v>823</v>
      </c>
      <c r="T15487">
        <v>41</v>
      </c>
      <c r="U15487" s="26" t="str">
        <f>HYPERLINK("https://ictv.global/ictv/proposals/2025.017P.Secoviridae_53nsp_3abolishsp.zip","2025.017P.Secoviridae_53nsp_3abolishsp.zip")</f>
        <v>2025.017P.Secoviridae_53nsp_3abolishsp.zip</v>
      </c>
    </row>
    <row r="15488" spans="1:21">
      <c r="A15488">
        <v>15487</v>
      </c>
      <c r="B15488" s="27" t="s">
        <v>1124</v>
      </c>
      <c r="D15488" s="27" t="s">
        <v>1859</v>
      </c>
      <c r="F15488" s="27" t="s">
        <v>1909</v>
      </c>
      <c r="H15488" s="27" t="s">
        <v>1912</v>
      </c>
      <c r="J15488" s="27" t="s">
        <v>260</v>
      </c>
      <c r="L15488" s="27" t="s">
        <v>435</v>
      </c>
      <c r="M15488" s="27" t="s">
        <v>416</v>
      </c>
      <c r="N15488" s="27" t="s">
        <v>415</v>
      </c>
      <c r="P15488" s="27" t="s">
        <v>10611</v>
      </c>
      <c r="Q15488" s="26" t="str">
        <f>HYPERLINK("https://ictv.global/taxonomy/taxondetails?taxnode_id=202502119&amp;ictv_id=ICTV19821257","ICTV19821257")</f>
        <v>ICTV19821257</v>
      </c>
      <c r="R15488" t="s">
        <v>581</v>
      </c>
      <c r="S15488" t="s">
        <v>824</v>
      </c>
      <c r="T15488">
        <v>38</v>
      </c>
      <c r="U15488" s="26" t="str">
        <f>HYPERLINK("https://ictv.global/ictv/proposals/2022.005P.Secoviridae_rename.zip","2022.005P.Secoviridae_rename.zip")</f>
        <v>2022.005P.Secoviridae_rename.zip</v>
      </c>
    </row>
    <row r="15489" spans="1:21">
      <c r="A15489">
        <v>15488</v>
      </c>
      <c r="B15489" s="27" t="s">
        <v>1124</v>
      </c>
      <c r="D15489" s="27" t="s">
        <v>1859</v>
      </c>
      <c r="F15489" s="27" t="s">
        <v>1909</v>
      </c>
      <c r="H15489" s="27" t="s">
        <v>1912</v>
      </c>
      <c r="J15489" s="27" t="s">
        <v>260</v>
      </c>
      <c r="L15489" s="27" t="s">
        <v>435</v>
      </c>
      <c r="M15489" s="27" t="s">
        <v>416</v>
      </c>
      <c r="N15489" s="27" t="s">
        <v>415</v>
      </c>
      <c r="P15489" s="27" t="s">
        <v>21897</v>
      </c>
      <c r="Q15489" s="26" t="str">
        <f>HYPERLINK("https://ictv.global/taxonomy/taxondetails?taxnode_id=202522706&amp;ictv_id=ICTV202522706","ICTV202522706")</f>
        <v>ICTV202522706</v>
      </c>
      <c r="R15489" t="s">
        <v>581</v>
      </c>
      <c r="S15489" t="s">
        <v>823</v>
      </c>
      <c r="T15489">
        <v>41</v>
      </c>
      <c r="U15489" s="26" t="str">
        <f>HYPERLINK("https://ictv.global/ictv/proposals/2025.017P.Secoviridae_53nsp_3abolishsp.zip","2025.017P.Secoviridae_53nsp_3abolishsp.zip")</f>
        <v>2025.017P.Secoviridae_53nsp_3abolishsp.zip</v>
      </c>
    </row>
    <row r="15490" spans="1:21">
      <c r="A15490">
        <v>15489</v>
      </c>
      <c r="B15490" s="27" t="s">
        <v>1124</v>
      </c>
      <c r="D15490" s="27" t="s">
        <v>1859</v>
      </c>
      <c r="F15490" s="27" t="s">
        <v>1909</v>
      </c>
      <c r="H15490" s="27" t="s">
        <v>1912</v>
      </c>
      <c r="J15490" s="27" t="s">
        <v>260</v>
      </c>
      <c r="L15490" s="27" t="s">
        <v>435</v>
      </c>
      <c r="M15490" s="27" t="s">
        <v>416</v>
      </c>
      <c r="N15490" s="27" t="s">
        <v>415</v>
      </c>
      <c r="P15490" s="27" t="s">
        <v>10612</v>
      </c>
      <c r="Q15490" s="26" t="str">
        <f>HYPERLINK("https://ictv.global/taxonomy/taxondetails?taxnode_id=202502100&amp;ictv_id=ICTV19791030","ICTV19791030")</f>
        <v>ICTV19791030</v>
      </c>
      <c r="R15490" t="s">
        <v>581</v>
      </c>
      <c r="S15490" t="s">
        <v>824</v>
      </c>
      <c r="T15490">
        <v>38</v>
      </c>
      <c r="U15490" s="26" t="str">
        <f>HYPERLINK("https://ictv.global/ictv/proposals/2022.005P.Secoviridae_rename.zip","2022.005P.Secoviridae_rename.zip")</f>
        <v>2022.005P.Secoviridae_rename.zip</v>
      </c>
    </row>
    <row r="15491" spans="1:21">
      <c r="A15491">
        <v>15490</v>
      </c>
      <c r="B15491" s="27" t="s">
        <v>1124</v>
      </c>
      <c r="D15491" s="27" t="s">
        <v>1859</v>
      </c>
      <c r="F15491" s="27" t="s">
        <v>1909</v>
      </c>
      <c r="H15491" s="27" t="s">
        <v>1912</v>
      </c>
      <c r="J15491" s="27" t="s">
        <v>260</v>
      </c>
      <c r="L15491" s="27" t="s">
        <v>435</v>
      </c>
      <c r="M15491" s="27" t="s">
        <v>416</v>
      </c>
      <c r="N15491" s="27" t="s">
        <v>415</v>
      </c>
      <c r="P15491" s="27" t="s">
        <v>21908</v>
      </c>
      <c r="Q15491" s="26" t="str">
        <f>HYPERLINK("https://ictv.global/taxonomy/taxondetails?taxnode_id=202522717&amp;ictv_id=ICTV202522717","ICTV202522717")</f>
        <v>ICTV202522717</v>
      </c>
      <c r="R15491" t="s">
        <v>581</v>
      </c>
      <c r="S15491" t="s">
        <v>823</v>
      </c>
      <c r="T15491">
        <v>41</v>
      </c>
      <c r="U15491" s="26" t="str">
        <f>HYPERLINK("https://ictv.global/ictv/proposals/2025.017P.Secoviridae_53nsp_3abolishsp.zip","2025.017P.Secoviridae_53nsp_3abolishsp.zip")</f>
        <v>2025.017P.Secoviridae_53nsp_3abolishsp.zip</v>
      </c>
    </row>
    <row r="15492" spans="1:21">
      <c r="A15492">
        <v>15491</v>
      </c>
      <c r="B15492" s="27" t="s">
        <v>1124</v>
      </c>
      <c r="D15492" s="27" t="s">
        <v>1859</v>
      </c>
      <c r="F15492" s="27" t="s">
        <v>1909</v>
      </c>
      <c r="H15492" s="27" t="s">
        <v>1912</v>
      </c>
      <c r="J15492" s="27" t="s">
        <v>260</v>
      </c>
      <c r="L15492" s="27" t="s">
        <v>435</v>
      </c>
      <c r="M15492" s="27" t="s">
        <v>416</v>
      </c>
      <c r="N15492" s="27" t="s">
        <v>415</v>
      </c>
      <c r="P15492" s="27" t="s">
        <v>21903</v>
      </c>
      <c r="Q15492" s="26" t="str">
        <f>HYPERLINK("https://ictv.global/taxonomy/taxondetails?taxnode_id=202522712&amp;ictv_id=ICTV202522712","ICTV202522712")</f>
        <v>ICTV202522712</v>
      </c>
      <c r="R15492" t="s">
        <v>581</v>
      </c>
      <c r="S15492" t="s">
        <v>823</v>
      </c>
      <c r="T15492">
        <v>41</v>
      </c>
      <c r="U15492" s="26" t="str">
        <f>HYPERLINK("https://ictv.global/ictv/proposals/2025.017P.Secoviridae_53nsp_3abolishsp.zip","2025.017P.Secoviridae_53nsp_3abolishsp.zip")</f>
        <v>2025.017P.Secoviridae_53nsp_3abolishsp.zip</v>
      </c>
    </row>
    <row r="15493" spans="1:21">
      <c r="A15493">
        <v>15492</v>
      </c>
      <c r="B15493" s="27" t="s">
        <v>1124</v>
      </c>
      <c r="D15493" s="27" t="s">
        <v>1859</v>
      </c>
      <c r="F15493" s="27" t="s">
        <v>1909</v>
      </c>
      <c r="H15493" s="27" t="s">
        <v>1912</v>
      </c>
      <c r="J15493" s="27" t="s">
        <v>260</v>
      </c>
      <c r="L15493" s="27" t="s">
        <v>435</v>
      </c>
      <c r="M15493" s="27" t="s">
        <v>416</v>
      </c>
      <c r="N15493" s="27" t="s">
        <v>415</v>
      </c>
      <c r="P15493" s="27" t="s">
        <v>17412</v>
      </c>
      <c r="Q15493" s="26" t="str">
        <f>HYPERLINK("https://ictv.global/taxonomy/taxondetails?taxnode_id=202518385&amp;ictv_id=ICTV202318385","ICTV202318385")</f>
        <v>ICTV202318385</v>
      </c>
      <c r="R15493" t="s">
        <v>581</v>
      </c>
      <c r="S15493" t="s">
        <v>823</v>
      </c>
      <c r="T15493">
        <v>39</v>
      </c>
      <c r="U15493" s="26" t="str">
        <f>HYPERLINK("https://ictv.global/ictv/proposals/2023.018P.Secoviridae_16nsp.zip","2023.018P.Secoviridae_16nsp.zip")</f>
        <v>2023.018P.Secoviridae_16nsp.zip</v>
      </c>
    </row>
    <row r="15494" spans="1:21">
      <c r="A15494">
        <v>15493</v>
      </c>
      <c r="B15494" s="27" t="s">
        <v>1124</v>
      </c>
      <c r="D15494" s="27" t="s">
        <v>1859</v>
      </c>
      <c r="F15494" s="27" t="s">
        <v>1909</v>
      </c>
      <c r="H15494" s="27" t="s">
        <v>1912</v>
      </c>
      <c r="J15494" s="27" t="s">
        <v>260</v>
      </c>
      <c r="L15494" s="27" t="s">
        <v>435</v>
      </c>
      <c r="M15494" s="27" t="s">
        <v>416</v>
      </c>
      <c r="N15494" s="27" t="s">
        <v>415</v>
      </c>
      <c r="P15494" s="27" t="s">
        <v>10613</v>
      </c>
      <c r="Q15494" s="26" t="str">
        <f>HYPERLINK("https://ictv.global/taxonomy/taxondetails?taxnode_id=202502132&amp;ictv_id=ICTV19710223","ICTV19710223")</f>
        <v>ICTV19710223</v>
      </c>
      <c r="R15494" t="s">
        <v>581</v>
      </c>
      <c r="S15494" t="s">
        <v>824</v>
      </c>
      <c r="T15494">
        <v>38</v>
      </c>
      <c r="U15494" s="26" t="str">
        <f>HYPERLINK("https://ictv.global/ictv/proposals/2022.005P.Secoviridae_rename.zip","2022.005P.Secoviridae_rename.zip")</f>
        <v>2022.005P.Secoviridae_rename.zip</v>
      </c>
    </row>
    <row r="15495" spans="1:21">
      <c r="A15495">
        <v>15494</v>
      </c>
      <c r="B15495" s="27" t="s">
        <v>1124</v>
      </c>
      <c r="D15495" s="27" t="s">
        <v>1859</v>
      </c>
      <c r="F15495" s="27" t="s">
        <v>1909</v>
      </c>
      <c r="H15495" s="27" t="s">
        <v>1912</v>
      </c>
      <c r="J15495" s="27" t="s">
        <v>260</v>
      </c>
      <c r="L15495" s="27" t="s">
        <v>435</v>
      </c>
      <c r="M15495" s="27" t="s">
        <v>416</v>
      </c>
      <c r="N15495" s="27" t="s">
        <v>415</v>
      </c>
      <c r="P15495" s="27" t="s">
        <v>10614</v>
      </c>
      <c r="Q15495" s="26" t="str">
        <f>HYPERLINK("https://ictv.global/taxonomy/taxondetails?taxnode_id=202502123&amp;ictv_id=ICTV19791035","ICTV19791035")</f>
        <v>ICTV19791035</v>
      </c>
      <c r="R15495" t="s">
        <v>581</v>
      </c>
      <c r="S15495" t="s">
        <v>824</v>
      </c>
      <c r="T15495">
        <v>38</v>
      </c>
      <c r="U15495" s="26" t="str">
        <f>HYPERLINK("https://ictv.global/ictv/proposals/2022.005P.Secoviridae_rename.zip","2022.005P.Secoviridae_rename.zip")</f>
        <v>2022.005P.Secoviridae_rename.zip</v>
      </c>
    </row>
    <row r="15496" spans="1:21">
      <c r="A15496">
        <v>15495</v>
      </c>
      <c r="B15496" s="27" t="s">
        <v>1124</v>
      </c>
      <c r="D15496" s="27" t="s">
        <v>1859</v>
      </c>
      <c r="F15496" s="27" t="s">
        <v>1909</v>
      </c>
      <c r="H15496" s="27" t="s">
        <v>1912</v>
      </c>
      <c r="J15496" s="27" t="s">
        <v>260</v>
      </c>
      <c r="L15496" s="27" t="s">
        <v>435</v>
      </c>
      <c r="M15496" s="27" t="s">
        <v>416</v>
      </c>
      <c r="N15496" s="27" t="s">
        <v>415</v>
      </c>
      <c r="P15496" s="27" t="s">
        <v>10615</v>
      </c>
      <c r="Q15496" s="26" t="str">
        <f>HYPERLINK("https://ictv.global/taxonomy/taxondetails?taxnode_id=202502107&amp;ictv_id=ICTV19911710","ICTV19911710")</f>
        <v>ICTV19911710</v>
      </c>
      <c r="R15496" t="s">
        <v>581</v>
      </c>
      <c r="S15496" t="s">
        <v>824</v>
      </c>
      <c r="T15496">
        <v>38</v>
      </c>
      <c r="U15496" s="26" t="str">
        <f>HYPERLINK("https://ictv.global/ictv/proposals/2022.005P.Secoviridae_rename.zip","2022.005P.Secoviridae_rename.zip")</f>
        <v>2022.005P.Secoviridae_rename.zip</v>
      </c>
    </row>
    <row r="15497" spans="1:21">
      <c r="A15497">
        <v>15496</v>
      </c>
      <c r="B15497" s="27" t="s">
        <v>1124</v>
      </c>
      <c r="D15497" s="27" t="s">
        <v>1859</v>
      </c>
      <c r="F15497" s="27" t="s">
        <v>1909</v>
      </c>
      <c r="H15497" s="27" t="s">
        <v>1912</v>
      </c>
      <c r="J15497" s="27" t="s">
        <v>260</v>
      </c>
      <c r="L15497" s="27" t="s">
        <v>435</v>
      </c>
      <c r="M15497" s="27" t="s">
        <v>416</v>
      </c>
      <c r="N15497" s="27" t="s">
        <v>415</v>
      </c>
      <c r="P15497" s="27" t="s">
        <v>20524</v>
      </c>
      <c r="Q15497" s="26" t="str">
        <f>HYPERLINK("https://ictv.global/taxonomy/taxondetails?taxnode_id=202520580&amp;ictv_id=ICTV202420580","ICTV202420580")</f>
        <v>ICTV202420580</v>
      </c>
      <c r="R15497" t="s">
        <v>581</v>
      </c>
      <c r="S15497" t="s">
        <v>823</v>
      </c>
      <c r="T15497">
        <v>40</v>
      </c>
      <c r="U15497" s="26" t="str">
        <f>HYPERLINK("https://ictv.global/ictv/proposals/2024.013P.Secoviridae_1ng_2nsg_34nsp.zip","2024.013P.Secoviridae_1ng_2nsg_34nsp.zip")</f>
        <v>2024.013P.Secoviridae_1ng_2nsg_34nsp.zip</v>
      </c>
    </row>
    <row r="15498" spans="1:21">
      <c r="A15498">
        <v>15497</v>
      </c>
      <c r="B15498" s="27" t="s">
        <v>1124</v>
      </c>
      <c r="D15498" s="27" t="s">
        <v>1859</v>
      </c>
      <c r="F15498" s="27" t="s">
        <v>1909</v>
      </c>
      <c r="H15498" s="27" t="s">
        <v>1912</v>
      </c>
      <c r="J15498" s="27" t="s">
        <v>260</v>
      </c>
      <c r="L15498" s="27" t="s">
        <v>435</v>
      </c>
      <c r="M15498" s="27" t="s">
        <v>416</v>
      </c>
      <c r="N15498" s="27" t="s">
        <v>415</v>
      </c>
      <c r="P15498" s="27" t="s">
        <v>10616</v>
      </c>
      <c r="Q15498" s="26" t="str">
        <f>HYPERLINK("https://ictv.global/taxonomy/taxondetails?taxnode_id=202502122&amp;ictv_id=ICTV20151454","ICTV20151454")</f>
        <v>ICTV20151454</v>
      </c>
      <c r="R15498" t="s">
        <v>581</v>
      </c>
      <c r="S15498" t="s">
        <v>824</v>
      </c>
      <c r="T15498">
        <v>38</v>
      </c>
      <c r="U15498" s="26" t="str">
        <f>HYPERLINK("https://ictv.global/ictv/proposals/2022.005P.Secoviridae_rename.zip","2022.005P.Secoviridae_rename.zip")</f>
        <v>2022.005P.Secoviridae_rename.zip</v>
      </c>
    </row>
    <row r="15499" spans="1:21">
      <c r="A15499">
        <v>15498</v>
      </c>
      <c r="B15499" s="27" t="s">
        <v>1124</v>
      </c>
      <c r="D15499" s="27" t="s">
        <v>1859</v>
      </c>
      <c r="F15499" s="27" t="s">
        <v>1909</v>
      </c>
      <c r="H15499" s="27" t="s">
        <v>1912</v>
      </c>
      <c r="J15499" s="27" t="s">
        <v>260</v>
      </c>
      <c r="L15499" s="27" t="s">
        <v>435</v>
      </c>
      <c r="M15499" s="27" t="s">
        <v>416</v>
      </c>
      <c r="N15499" s="27" t="s">
        <v>415</v>
      </c>
      <c r="P15499" s="27" t="s">
        <v>21895</v>
      </c>
      <c r="Q15499" s="26" t="str">
        <f>HYPERLINK("https://ictv.global/taxonomy/taxondetails?taxnode_id=202522704&amp;ictv_id=ICTV202522704","ICTV202522704")</f>
        <v>ICTV202522704</v>
      </c>
      <c r="R15499" t="s">
        <v>581</v>
      </c>
      <c r="S15499" t="s">
        <v>823</v>
      </c>
      <c r="T15499">
        <v>41</v>
      </c>
      <c r="U15499" s="26" t="str">
        <f>HYPERLINK("https://ictv.global/ictv/proposals/2025.017P.Secoviridae_53nsp_3abolishsp.zip","2025.017P.Secoviridae_53nsp_3abolishsp.zip")</f>
        <v>2025.017P.Secoviridae_53nsp_3abolishsp.zip</v>
      </c>
    </row>
    <row r="15500" spans="1:21">
      <c r="A15500">
        <v>15499</v>
      </c>
      <c r="B15500" s="27" t="s">
        <v>1124</v>
      </c>
      <c r="D15500" s="27" t="s">
        <v>1859</v>
      </c>
      <c r="F15500" s="27" t="s">
        <v>1909</v>
      </c>
      <c r="H15500" s="27" t="s">
        <v>1912</v>
      </c>
      <c r="J15500" s="27" t="s">
        <v>260</v>
      </c>
      <c r="L15500" s="27" t="s">
        <v>435</v>
      </c>
      <c r="M15500" s="27" t="s">
        <v>416</v>
      </c>
      <c r="N15500" s="27" t="s">
        <v>415</v>
      </c>
      <c r="P15500" s="27" t="s">
        <v>10617</v>
      </c>
      <c r="Q15500" s="26" t="str">
        <f>HYPERLINK("https://ictv.global/taxonomy/taxondetails?taxnode_id=202502105&amp;ictv_id=ICTV19821249","ICTV19821249")</f>
        <v>ICTV19821249</v>
      </c>
      <c r="R15500" t="s">
        <v>581</v>
      </c>
      <c r="S15500" t="s">
        <v>824</v>
      </c>
      <c r="T15500">
        <v>38</v>
      </c>
      <c r="U15500" s="26" t="str">
        <f>HYPERLINK("https://ictv.global/ictv/proposals/2022.005P.Secoviridae_rename.zip","2022.005P.Secoviridae_rename.zip")</f>
        <v>2022.005P.Secoviridae_rename.zip</v>
      </c>
    </row>
    <row r="15501" spans="1:21">
      <c r="A15501">
        <v>15500</v>
      </c>
      <c r="B15501" s="27" t="s">
        <v>1124</v>
      </c>
      <c r="D15501" s="27" t="s">
        <v>1859</v>
      </c>
      <c r="F15501" s="27" t="s">
        <v>1909</v>
      </c>
      <c r="H15501" s="27" t="s">
        <v>1912</v>
      </c>
      <c r="J15501" s="27" t="s">
        <v>260</v>
      </c>
      <c r="L15501" s="27" t="s">
        <v>435</v>
      </c>
      <c r="M15501" s="27" t="s">
        <v>416</v>
      </c>
      <c r="N15501" s="27" t="s">
        <v>415</v>
      </c>
      <c r="P15501" s="27" t="s">
        <v>10618</v>
      </c>
      <c r="Q15501" s="26" t="str">
        <f>HYPERLINK("https://ictv.global/taxonomy/taxondetails?taxnode_id=202502130&amp;ictv_id=ICTV19710221","ICTV19710221")</f>
        <v>ICTV19710221</v>
      </c>
      <c r="R15501" t="s">
        <v>581</v>
      </c>
      <c r="S15501" t="s">
        <v>824</v>
      </c>
      <c r="T15501">
        <v>38</v>
      </c>
      <c r="U15501" s="26" t="str">
        <f>HYPERLINK("https://ictv.global/ictv/proposals/2022.005P.Secoviridae_rename.zip","2022.005P.Secoviridae_rename.zip")</f>
        <v>2022.005P.Secoviridae_rename.zip</v>
      </c>
    </row>
    <row r="15502" spans="1:21">
      <c r="A15502">
        <v>15501</v>
      </c>
      <c r="B15502" s="27" t="s">
        <v>1124</v>
      </c>
      <c r="D15502" s="27" t="s">
        <v>1859</v>
      </c>
      <c r="F15502" s="27" t="s">
        <v>1909</v>
      </c>
      <c r="H15502" s="27" t="s">
        <v>1912</v>
      </c>
      <c r="J15502" s="27" t="s">
        <v>260</v>
      </c>
      <c r="L15502" s="27" t="s">
        <v>435</v>
      </c>
      <c r="M15502" s="27" t="s">
        <v>416</v>
      </c>
      <c r="N15502" s="27" t="s">
        <v>415</v>
      </c>
      <c r="P15502" s="27" t="s">
        <v>10619</v>
      </c>
      <c r="Q15502" s="26" t="str">
        <f>HYPERLINK("https://ictv.global/taxonomy/taxondetails?taxnode_id=202502131&amp;ictv_id=ICTV19710222","ICTV19710222")</f>
        <v>ICTV19710222</v>
      </c>
      <c r="R15502" t="s">
        <v>581</v>
      </c>
      <c r="S15502" t="s">
        <v>824</v>
      </c>
      <c r="T15502">
        <v>38</v>
      </c>
      <c r="U15502" s="26" t="str">
        <f>HYPERLINK("https://ictv.global/ictv/proposals/2022.005P.Secoviridae_rename.zip","2022.005P.Secoviridae_rename.zip")</f>
        <v>2022.005P.Secoviridae_rename.zip</v>
      </c>
    </row>
    <row r="15503" spans="1:21">
      <c r="A15503">
        <v>15502</v>
      </c>
      <c r="B15503" s="27" t="s">
        <v>1124</v>
      </c>
      <c r="D15503" s="27" t="s">
        <v>1859</v>
      </c>
      <c r="F15503" s="27" t="s">
        <v>1909</v>
      </c>
      <c r="H15503" s="27" t="s">
        <v>1912</v>
      </c>
      <c r="J15503" s="27" t="s">
        <v>260</v>
      </c>
      <c r="L15503" s="27" t="s">
        <v>435</v>
      </c>
      <c r="M15503" s="27" t="s">
        <v>416</v>
      </c>
      <c r="N15503" s="27" t="s">
        <v>415</v>
      </c>
      <c r="P15503" s="27" t="s">
        <v>10620</v>
      </c>
      <c r="Q15503" s="26" t="str">
        <f>HYPERLINK("https://ictv.global/taxonomy/taxondetails?taxnode_id=202502125&amp;ictv_id=ICTV19911724","ICTV19911724")</f>
        <v>ICTV19911724</v>
      </c>
      <c r="R15503" t="s">
        <v>581</v>
      </c>
      <c r="S15503" t="s">
        <v>824</v>
      </c>
      <c r="T15503">
        <v>38</v>
      </c>
      <c r="U15503" s="26" t="str">
        <f>HYPERLINK("https://ictv.global/ictv/proposals/2022.005P.Secoviridae_rename.zip","2022.005P.Secoviridae_rename.zip")</f>
        <v>2022.005P.Secoviridae_rename.zip</v>
      </c>
    </row>
    <row r="15504" spans="1:21">
      <c r="A15504">
        <v>15503</v>
      </c>
      <c r="B15504" s="27" t="s">
        <v>1124</v>
      </c>
      <c r="D15504" s="27" t="s">
        <v>1859</v>
      </c>
      <c r="F15504" s="27" t="s">
        <v>1909</v>
      </c>
      <c r="H15504" s="27" t="s">
        <v>1912</v>
      </c>
      <c r="J15504" s="27" t="s">
        <v>260</v>
      </c>
      <c r="L15504" s="27" t="s">
        <v>435</v>
      </c>
      <c r="M15504" s="27" t="s">
        <v>416</v>
      </c>
      <c r="N15504" s="27" t="s">
        <v>415</v>
      </c>
      <c r="P15504" s="27" t="s">
        <v>21886</v>
      </c>
      <c r="Q15504" s="26" t="str">
        <f>HYPERLINK("https://ictv.global/taxonomy/taxondetails?taxnode_id=202522695&amp;ictv_id=ICTV202522695","ICTV202522695")</f>
        <v>ICTV202522695</v>
      </c>
      <c r="R15504" t="s">
        <v>581</v>
      </c>
      <c r="S15504" t="s">
        <v>823</v>
      </c>
      <c r="T15504">
        <v>41</v>
      </c>
      <c r="U15504" s="26" t="str">
        <f>HYPERLINK("https://ictv.global/ictv/proposals/2025.017P.Secoviridae_53nsp_3abolishsp.zip","2025.017P.Secoviridae_53nsp_3abolishsp.zip")</f>
        <v>2025.017P.Secoviridae_53nsp_3abolishsp.zip</v>
      </c>
    </row>
    <row r="15505" spans="1:21">
      <c r="A15505">
        <v>15504</v>
      </c>
      <c r="B15505" s="27" t="s">
        <v>1124</v>
      </c>
      <c r="D15505" s="27" t="s">
        <v>1859</v>
      </c>
      <c r="F15505" s="27" t="s">
        <v>1909</v>
      </c>
      <c r="H15505" s="27" t="s">
        <v>1912</v>
      </c>
      <c r="J15505" s="27" t="s">
        <v>260</v>
      </c>
      <c r="L15505" s="27" t="s">
        <v>435</v>
      </c>
      <c r="M15505" s="27" t="s">
        <v>416</v>
      </c>
      <c r="N15505" s="27" t="s">
        <v>415</v>
      </c>
      <c r="P15505" s="27" t="s">
        <v>10621</v>
      </c>
      <c r="Q15505" s="26" t="str">
        <f>HYPERLINK("https://ictv.global/taxonomy/taxondetails?taxnode_id=202502126&amp;ictv_id=ICTV19791037","ICTV19791037")</f>
        <v>ICTV19791037</v>
      </c>
      <c r="R15505" t="s">
        <v>581</v>
      </c>
      <c r="S15505" t="s">
        <v>824</v>
      </c>
      <c r="T15505">
        <v>38</v>
      </c>
      <c r="U15505" s="26" t="str">
        <f>HYPERLINK("https://ictv.global/ictv/proposals/2022.005P.Secoviridae_rename.zip","2022.005P.Secoviridae_rename.zip")</f>
        <v>2022.005P.Secoviridae_rename.zip</v>
      </c>
    </row>
    <row r="15506" spans="1:21">
      <c r="A15506">
        <v>15505</v>
      </c>
      <c r="B15506" s="27" t="s">
        <v>1124</v>
      </c>
      <c r="D15506" s="27" t="s">
        <v>1859</v>
      </c>
      <c r="F15506" s="27" t="s">
        <v>1909</v>
      </c>
      <c r="H15506" s="27" t="s">
        <v>1912</v>
      </c>
      <c r="J15506" s="27" t="s">
        <v>260</v>
      </c>
      <c r="L15506" s="27" t="s">
        <v>435</v>
      </c>
      <c r="M15506" s="27" t="s">
        <v>416</v>
      </c>
      <c r="N15506" s="27" t="s">
        <v>415</v>
      </c>
      <c r="P15506" s="27" t="s">
        <v>10622</v>
      </c>
      <c r="Q15506" s="26" t="str">
        <f>HYPERLINK("https://ictv.global/taxonomy/taxondetails?taxnode_id=202512969&amp;ictv_id=ICTV202112969","ICTV202112969")</f>
        <v>ICTV202112969</v>
      </c>
      <c r="R15506" t="s">
        <v>581</v>
      </c>
      <c r="S15506" t="s">
        <v>824</v>
      </c>
      <c r="T15506">
        <v>38</v>
      </c>
      <c r="U15506" s="26" t="str">
        <f>HYPERLINK("https://ictv.global/ictv/proposals/2022.005P.Secoviridae_rename.zip","2022.005P.Secoviridae_rename.zip")</f>
        <v>2022.005P.Secoviridae_rename.zip</v>
      </c>
    </row>
    <row r="15507" spans="1:21">
      <c r="A15507">
        <v>15506</v>
      </c>
      <c r="B15507" s="27" t="s">
        <v>1124</v>
      </c>
      <c r="D15507" s="27" t="s">
        <v>1859</v>
      </c>
      <c r="F15507" s="27" t="s">
        <v>1909</v>
      </c>
      <c r="H15507" s="27" t="s">
        <v>1912</v>
      </c>
      <c r="J15507" s="27" t="s">
        <v>260</v>
      </c>
      <c r="L15507" s="27" t="s">
        <v>435</v>
      </c>
      <c r="M15507" s="27" t="s">
        <v>416</v>
      </c>
      <c r="N15507" s="27" t="s">
        <v>415</v>
      </c>
      <c r="P15507" s="27" t="s">
        <v>21890</v>
      </c>
      <c r="Q15507" s="26" t="str">
        <f>HYPERLINK("https://ictv.global/taxonomy/taxondetails?taxnode_id=202522699&amp;ictv_id=ICTV202522699","ICTV202522699")</f>
        <v>ICTV202522699</v>
      </c>
      <c r="R15507" t="s">
        <v>581</v>
      </c>
      <c r="S15507" t="s">
        <v>823</v>
      </c>
      <c r="T15507">
        <v>41</v>
      </c>
      <c r="U15507" s="26" t="str">
        <f>HYPERLINK("https://ictv.global/ictv/proposals/2025.017P.Secoviridae_53nsp_3abolishsp.zip","2025.017P.Secoviridae_53nsp_3abolishsp.zip")</f>
        <v>2025.017P.Secoviridae_53nsp_3abolishsp.zip</v>
      </c>
    </row>
    <row r="15508" spans="1:21">
      <c r="A15508">
        <v>15507</v>
      </c>
      <c r="B15508" s="27" t="s">
        <v>1124</v>
      </c>
      <c r="D15508" s="27" t="s">
        <v>1859</v>
      </c>
      <c r="F15508" s="27" t="s">
        <v>1909</v>
      </c>
      <c r="H15508" s="27" t="s">
        <v>1912</v>
      </c>
      <c r="J15508" s="27" t="s">
        <v>260</v>
      </c>
      <c r="L15508" s="27" t="s">
        <v>435</v>
      </c>
      <c r="M15508" s="27" t="s">
        <v>416</v>
      </c>
      <c r="N15508" s="27" t="s">
        <v>415</v>
      </c>
      <c r="P15508" s="27" t="s">
        <v>21888</v>
      </c>
      <c r="Q15508" s="26" t="str">
        <f>HYPERLINK("https://ictv.global/taxonomy/taxondetails?taxnode_id=202522697&amp;ictv_id=ICTV202522697","ICTV202522697")</f>
        <v>ICTV202522697</v>
      </c>
      <c r="R15508" t="s">
        <v>581</v>
      </c>
      <c r="S15508" t="s">
        <v>823</v>
      </c>
      <c r="T15508">
        <v>41</v>
      </c>
      <c r="U15508" s="26" t="str">
        <f>HYPERLINK("https://ictv.global/ictv/proposals/2025.017P.Secoviridae_53nsp_3abolishsp.zip","2025.017P.Secoviridae_53nsp_3abolishsp.zip")</f>
        <v>2025.017P.Secoviridae_53nsp_3abolishsp.zip</v>
      </c>
    </row>
    <row r="15509" spans="1:21">
      <c r="A15509">
        <v>15508</v>
      </c>
      <c r="B15509" s="27" t="s">
        <v>1124</v>
      </c>
      <c r="D15509" s="27" t="s">
        <v>1859</v>
      </c>
      <c r="F15509" s="27" t="s">
        <v>1909</v>
      </c>
      <c r="H15509" s="27" t="s">
        <v>1912</v>
      </c>
      <c r="J15509" s="27" t="s">
        <v>260</v>
      </c>
      <c r="L15509" s="27" t="s">
        <v>435</v>
      </c>
      <c r="M15509" s="27" t="s">
        <v>416</v>
      </c>
      <c r="N15509" s="27" t="s">
        <v>415</v>
      </c>
      <c r="P15509" s="27" t="s">
        <v>10623</v>
      </c>
      <c r="Q15509" s="26" t="str">
        <f>HYPERLINK("https://ictv.global/taxonomy/taxondetails?taxnode_id=202512970&amp;ictv_id=ICTV202112970","ICTV202112970")</f>
        <v>ICTV202112970</v>
      </c>
      <c r="R15509" t="s">
        <v>581</v>
      </c>
      <c r="S15509" t="s">
        <v>824</v>
      </c>
      <c r="T15509">
        <v>38</v>
      </c>
      <c r="U15509" s="26" t="str">
        <f>HYPERLINK("https://ictv.global/ictv/proposals/2022.005P.Secoviridae_rename.zip","2022.005P.Secoviridae_rename.zip")</f>
        <v>2022.005P.Secoviridae_rename.zip</v>
      </c>
    </row>
    <row r="15510" spans="1:21">
      <c r="A15510">
        <v>15509</v>
      </c>
      <c r="B15510" s="27" t="s">
        <v>1124</v>
      </c>
      <c r="D15510" s="27" t="s">
        <v>1859</v>
      </c>
      <c r="F15510" s="27" t="s">
        <v>1909</v>
      </c>
      <c r="H15510" s="27" t="s">
        <v>1912</v>
      </c>
      <c r="J15510" s="27" t="s">
        <v>260</v>
      </c>
      <c r="L15510" s="27" t="s">
        <v>435</v>
      </c>
      <c r="M15510" s="27" t="s">
        <v>416</v>
      </c>
      <c r="N15510" s="27" t="s">
        <v>415</v>
      </c>
      <c r="P15510" s="27" t="s">
        <v>21898</v>
      </c>
      <c r="Q15510" s="26" t="str">
        <f>HYPERLINK("https://ictv.global/taxonomy/taxondetails?taxnode_id=202522707&amp;ictv_id=ICTV202522707","ICTV202522707")</f>
        <v>ICTV202522707</v>
      </c>
      <c r="R15510" t="s">
        <v>581</v>
      </c>
      <c r="S15510" t="s">
        <v>823</v>
      </c>
      <c r="T15510">
        <v>41</v>
      </c>
      <c r="U15510" s="26" t="str">
        <f>HYPERLINK("https://ictv.global/ictv/proposals/2025.017P.Secoviridae_53nsp_3abolishsp.zip","2025.017P.Secoviridae_53nsp_3abolishsp.zip")</f>
        <v>2025.017P.Secoviridae_53nsp_3abolishsp.zip</v>
      </c>
    </row>
    <row r="15511" spans="1:21">
      <c r="A15511">
        <v>15510</v>
      </c>
      <c r="B15511" s="27" t="s">
        <v>1124</v>
      </c>
      <c r="D15511" s="27" t="s">
        <v>1859</v>
      </c>
      <c r="F15511" s="27" t="s">
        <v>1909</v>
      </c>
      <c r="H15511" s="27" t="s">
        <v>1912</v>
      </c>
      <c r="J15511" s="27" t="s">
        <v>260</v>
      </c>
      <c r="L15511" s="27" t="s">
        <v>435</v>
      </c>
      <c r="M15511" s="27" t="s">
        <v>416</v>
      </c>
      <c r="N15511" s="27" t="s">
        <v>415</v>
      </c>
      <c r="P15511" s="27" t="s">
        <v>10624</v>
      </c>
      <c r="Q15511" s="26" t="str">
        <f>HYPERLINK("https://ictv.global/taxonomy/taxondetails?taxnode_id=202512971&amp;ictv_id=ICTV202112971","ICTV202112971")</f>
        <v>ICTV202112971</v>
      </c>
      <c r="R15511" t="s">
        <v>581</v>
      </c>
      <c r="S15511" t="s">
        <v>824</v>
      </c>
      <c r="T15511">
        <v>38</v>
      </c>
      <c r="U15511" s="26" t="str">
        <f>HYPERLINK("https://ictv.global/ictv/proposals/2022.005P.Secoviridae_rename.zip","2022.005P.Secoviridae_rename.zip")</f>
        <v>2022.005P.Secoviridae_rename.zip</v>
      </c>
    </row>
    <row r="15512" spans="1:21">
      <c r="A15512">
        <v>15511</v>
      </c>
      <c r="B15512" s="27" t="s">
        <v>1124</v>
      </c>
      <c r="D15512" s="27" t="s">
        <v>1859</v>
      </c>
      <c r="F15512" s="27" t="s">
        <v>1909</v>
      </c>
      <c r="H15512" s="27" t="s">
        <v>1912</v>
      </c>
      <c r="J15512" s="27" t="s">
        <v>260</v>
      </c>
      <c r="L15512" s="27" t="s">
        <v>435</v>
      </c>
      <c r="M15512" s="27" t="s">
        <v>416</v>
      </c>
      <c r="N15512" s="27" t="s">
        <v>415</v>
      </c>
      <c r="P15512" s="27" t="s">
        <v>21905</v>
      </c>
      <c r="Q15512" s="26" t="str">
        <f>HYPERLINK("https://ictv.global/taxonomy/taxondetails?taxnode_id=202522714&amp;ictv_id=ICTV202522714","ICTV202522714")</f>
        <v>ICTV202522714</v>
      </c>
      <c r="R15512" t="s">
        <v>581</v>
      </c>
      <c r="S15512" t="s">
        <v>823</v>
      </c>
      <c r="T15512">
        <v>41</v>
      </c>
      <c r="U15512" s="26" t="str">
        <f>HYPERLINK("https://ictv.global/ictv/proposals/2025.017P.Secoviridae_53nsp_3abolishsp.zip","2025.017P.Secoviridae_53nsp_3abolishsp.zip")</f>
        <v>2025.017P.Secoviridae_53nsp_3abolishsp.zip</v>
      </c>
    </row>
    <row r="15513" spans="1:21">
      <c r="A15513">
        <v>15512</v>
      </c>
      <c r="B15513" s="27" t="s">
        <v>1124</v>
      </c>
      <c r="D15513" s="27" t="s">
        <v>1859</v>
      </c>
      <c r="F15513" s="27" t="s">
        <v>1909</v>
      </c>
      <c r="H15513" s="27" t="s">
        <v>1912</v>
      </c>
      <c r="J15513" s="27" t="s">
        <v>260</v>
      </c>
      <c r="L15513" s="27" t="s">
        <v>435</v>
      </c>
      <c r="M15513" s="27" t="s">
        <v>416</v>
      </c>
      <c r="N15513" s="27" t="s">
        <v>415</v>
      </c>
      <c r="P15513" s="27" t="s">
        <v>10625</v>
      </c>
      <c r="Q15513" s="26" t="str">
        <f>HYPERLINK("https://ictv.global/taxonomy/taxondetails?taxnode_id=202502103&amp;ictv_id=ICTV19981285","ICTV19981285")</f>
        <v>ICTV19981285</v>
      </c>
      <c r="R15513" t="s">
        <v>581</v>
      </c>
      <c r="S15513" t="s">
        <v>824</v>
      </c>
      <c r="T15513">
        <v>38</v>
      </c>
      <c r="U15513" s="26" t="str">
        <f>HYPERLINK("https://ictv.global/ictv/proposals/2022.005P.Secoviridae_rename.zip","2022.005P.Secoviridae_rename.zip")</f>
        <v>2022.005P.Secoviridae_rename.zip</v>
      </c>
    </row>
    <row r="15514" spans="1:21">
      <c r="A15514">
        <v>15513</v>
      </c>
      <c r="B15514" s="27" t="s">
        <v>1124</v>
      </c>
      <c r="D15514" s="27" t="s">
        <v>1859</v>
      </c>
      <c r="F15514" s="27" t="s">
        <v>1909</v>
      </c>
      <c r="H15514" s="27" t="s">
        <v>1912</v>
      </c>
      <c r="J15514" s="27" t="s">
        <v>260</v>
      </c>
      <c r="L15514" s="27" t="s">
        <v>435</v>
      </c>
      <c r="M15514" s="27" t="s">
        <v>416</v>
      </c>
      <c r="N15514" s="27" t="s">
        <v>415</v>
      </c>
      <c r="P15514" s="27" t="s">
        <v>10626</v>
      </c>
      <c r="Q15514" s="26" t="str">
        <f>HYPERLINK("https://ictv.global/taxonomy/taxondetails?taxnode_id=202502129&amp;ictv_id=ICTV19710219","ICTV19710219")</f>
        <v>ICTV19710219</v>
      </c>
      <c r="R15514" t="s">
        <v>581</v>
      </c>
      <c r="S15514" t="s">
        <v>824</v>
      </c>
      <c r="T15514">
        <v>38</v>
      </c>
      <c r="U15514" s="26" t="str">
        <f>HYPERLINK("https://ictv.global/ictv/proposals/2022.005P.Secoviridae_rename.zip","2022.005P.Secoviridae_rename.zip")</f>
        <v>2022.005P.Secoviridae_rename.zip</v>
      </c>
    </row>
    <row r="15515" spans="1:21">
      <c r="A15515">
        <v>15514</v>
      </c>
      <c r="B15515" s="27" t="s">
        <v>1124</v>
      </c>
      <c r="D15515" s="27" t="s">
        <v>1859</v>
      </c>
      <c r="F15515" s="27" t="s">
        <v>1909</v>
      </c>
      <c r="H15515" s="27" t="s">
        <v>1912</v>
      </c>
      <c r="J15515" s="27" t="s">
        <v>260</v>
      </c>
      <c r="L15515" s="27" t="s">
        <v>435</v>
      </c>
      <c r="M15515" s="27" t="s">
        <v>416</v>
      </c>
      <c r="N15515" s="27" t="s">
        <v>415</v>
      </c>
      <c r="P15515" s="27" t="s">
        <v>21894</v>
      </c>
      <c r="Q15515" s="26" t="str">
        <f>HYPERLINK("https://ictv.global/taxonomy/taxondetails?taxnode_id=202522703&amp;ictv_id=ICTV202522703","ICTV202522703")</f>
        <v>ICTV202522703</v>
      </c>
      <c r="R15515" t="s">
        <v>581</v>
      </c>
      <c r="S15515" t="s">
        <v>823</v>
      </c>
      <c r="T15515">
        <v>41</v>
      </c>
      <c r="U15515" s="26" t="str">
        <f>HYPERLINK("https://ictv.global/ictv/proposals/2025.017P.Secoviridae_53nsp_3abolishsp.zip","2025.017P.Secoviridae_53nsp_3abolishsp.zip")</f>
        <v>2025.017P.Secoviridae_53nsp_3abolishsp.zip</v>
      </c>
    </row>
    <row r="15516" spans="1:21">
      <c r="A15516">
        <v>15515</v>
      </c>
      <c r="B15516" s="27" t="s">
        <v>1124</v>
      </c>
      <c r="D15516" s="27" t="s">
        <v>1859</v>
      </c>
      <c r="F15516" s="27" t="s">
        <v>1909</v>
      </c>
      <c r="H15516" s="27" t="s">
        <v>1912</v>
      </c>
      <c r="J15516" s="27" t="s">
        <v>260</v>
      </c>
      <c r="L15516" s="27" t="s">
        <v>435</v>
      </c>
      <c r="M15516" s="27" t="s">
        <v>416</v>
      </c>
      <c r="N15516" s="27" t="s">
        <v>415</v>
      </c>
      <c r="P15516" s="27" t="s">
        <v>10627</v>
      </c>
      <c r="Q15516" s="26" t="str">
        <f>HYPERLINK("https://ictv.global/taxonomy/taxondetails?taxnode_id=202513816&amp;ictv_id=ICTV202113816","ICTV202113816")</f>
        <v>ICTV202113816</v>
      </c>
      <c r="R15516" t="s">
        <v>581</v>
      </c>
      <c r="S15516" t="s">
        <v>824</v>
      </c>
      <c r="T15516">
        <v>38</v>
      </c>
      <c r="U15516" s="26" t="str">
        <f>HYPERLINK("https://ictv.global/ictv/proposals/2022.005P.Secoviridae_rename.zip","2022.005P.Secoviridae_rename.zip")</f>
        <v>2022.005P.Secoviridae_rename.zip</v>
      </c>
    </row>
    <row r="15517" spans="1:21">
      <c r="A15517">
        <v>15516</v>
      </c>
      <c r="B15517" s="27" t="s">
        <v>1124</v>
      </c>
      <c r="D15517" s="27" t="s">
        <v>1859</v>
      </c>
      <c r="F15517" s="27" t="s">
        <v>1909</v>
      </c>
      <c r="H15517" s="27" t="s">
        <v>1912</v>
      </c>
      <c r="J15517" s="27" t="s">
        <v>260</v>
      </c>
      <c r="L15517" s="27" t="s">
        <v>435</v>
      </c>
      <c r="M15517" s="27" t="s">
        <v>416</v>
      </c>
      <c r="N15517" s="27" t="s">
        <v>415</v>
      </c>
      <c r="P15517" s="27" t="s">
        <v>21892</v>
      </c>
      <c r="Q15517" s="26" t="str">
        <f>HYPERLINK("https://ictv.global/taxonomy/taxondetails?taxnode_id=202522701&amp;ictv_id=ICTV202522701","ICTV202522701")</f>
        <v>ICTV202522701</v>
      </c>
      <c r="R15517" t="s">
        <v>581</v>
      </c>
      <c r="S15517" t="s">
        <v>823</v>
      </c>
      <c r="T15517">
        <v>41</v>
      </c>
      <c r="U15517" s="26" t="str">
        <f>HYPERLINK("https://ictv.global/ictv/proposals/2025.017P.Secoviridae_53nsp_3abolishsp.zip","2025.017P.Secoviridae_53nsp_3abolishsp.zip")</f>
        <v>2025.017P.Secoviridae_53nsp_3abolishsp.zip</v>
      </c>
    </row>
    <row r="15518" spans="1:21">
      <c r="A15518">
        <v>15517</v>
      </c>
      <c r="B15518" s="27" t="s">
        <v>1124</v>
      </c>
      <c r="D15518" s="27" t="s">
        <v>1859</v>
      </c>
      <c r="F15518" s="27" t="s">
        <v>1909</v>
      </c>
      <c r="H15518" s="27" t="s">
        <v>1912</v>
      </c>
      <c r="J15518" s="27" t="s">
        <v>260</v>
      </c>
      <c r="L15518" s="27" t="s">
        <v>435</v>
      </c>
      <c r="M15518" s="27" t="s">
        <v>416</v>
      </c>
      <c r="N15518" s="27" t="s">
        <v>415</v>
      </c>
      <c r="P15518" s="27" t="s">
        <v>10628</v>
      </c>
      <c r="Q15518" s="26" t="str">
        <f>HYPERLINK("https://ictv.global/taxonomy/taxondetails?taxnode_id=202502127&amp;ictv_id=ICTV19791038","ICTV19791038")</f>
        <v>ICTV19791038</v>
      </c>
      <c r="R15518" t="s">
        <v>581</v>
      </c>
      <c r="S15518" t="s">
        <v>824</v>
      </c>
      <c r="T15518">
        <v>38</v>
      </c>
      <c r="U15518" s="26" t="str">
        <f>HYPERLINK("https://ictv.global/ictv/proposals/2022.005P.Secoviridae_rename.zip","2022.005P.Secoviridae_rename.zip")</f>
        <v>2022.005P.Secoviridae_rename.zip</v>
      </c>
    </row>
    <row r="15519" spans="1:21">
      <c r="A15519">
        <v>15518</v>
      </c>
      <c r="B15519" s="27" t="s">
        <v>1124</v>
      </c>
      <c r="D15519" s="27" t="s">
        <v>1859</v>
      </c>
      <c r="F15519" s="27" t="s">
        <v>1909</v>
      </c>
      <c r="H15519" s="27" t="s">
        <v>1912</v>
      </c>
      <c r="J15519" s="27" t="s">
        <v>260</v>
      </c>
      <c r="L15519" s="27" t="s">
        <v>435</v>
      </c>
      <c r="M15519" s="27" t="s">
        <v>416</v>
      </c>
      <c r="N15519" s="27" t="s">
        <v>415</v>
      </c>
      <c r="P15519" s="27" t="s">
        <v>10629</v>
      </c>
      <c r="Q15519" s="26" t="str">
        <f>HYPERLINK("https://ictv.global/taxonomy/taxondetails?taxnode_id=202515092&amp;ictv_id=ICTV202215092","ICTV202215092")</f>
        <v>ICTV202215092</v>
      </c>
      <c r="R15519" t="s">
        <v>581</v>
      </c>
      <c r="S15519" t="s">
        <v>823</v>
      </c>
      <c r="T15519">
        <v>38</v>
      </c>
      <c r="U15519" s="26" t="str">
        <f>HYPERLINK("https://ictv.global/ictv/proposals/2022.004P.Secoviridae_8ns.zip","2022.004P.Secoviridae_8ns.zip")</f>
        <v>2022.004P.Secoviridae_8ns.zip</v>
      </c>
    </row>
    <row r="15520" spans="1:21">
      <c r="A15520">
        <v>15519</v>
      </c>
      <c r="B15520" s="27" t="s">
        <v>1124</v>
      </c>
      <c r="D15520" s="27" t="s">
        <v>1859</v>
      </c>
      <c r="F15520" s="27" t="s">
        <v>1909</v>
      </c>
      <c r="H15520" s="27" t="s">
        <v>1912</v>
      </c>
      <c r="J15520" s="27" t="s">
        <v>260</v>
      </c>
      <c r="L15520" s="27" t="s">
        <v>435</v>
      </c>
      <c r="M15520" s="27" t="s">
        <v>416</v>
      </c>
      <c r="N15520" s="27" t="s">
        <v>415</v>
      </c>
      <c r="P15520" s="27" t="s">
        <v>10630</v>
      </c>
      <c r="Q15520" s="26" t="str">
        <f>HYPERLINK("https://ictv.global/taxonomy/taxondetails?taxnode_id=202502110&amp;ictv_id=ICTV19760711","ICTV19760711")</f>
        <v>ICTV19760711</v>
      </c>
      <c r="R15520" t="s">
        <v>581</v>
      </c>
      <c r="S15520" t="s">
        <v>824</v>
      </c>
      <c r="T15520">
        <v>38</v>
      </c>
      <c r="U15520" s="26" t="str">
        <f>HYPERLINK("https://ictv.global/ictv/proposals/2022.005P.Secoviridae_rename.zip","2022.005P.Secoviridae_rename.zip")</f>
        <v>2022.005P.Secoviridae_rename.zip</v>
      </c>
    </row>
    <row r="15521" spans="1:21">
      <c r="A15521">
        <v>15520</v>
      </c>
      <c r="B15521" s="27" t="s">
        <v>1124</v>
      </c>
      <c r="D15521" s="27" t="s">
        <v>1859</v>
      </c>
      <c r="F15521" s="27" t="s">
        <v>1909</v>
      </c>
      <c r="H15521" s="27" t="s">
        <v>1912</v>
      </c>
      <c r="J15521" s="27" t="s">
        <v>260</v>
      </c>
      <c r="L15521" s="27" t="s">
        <v>435</v>
      </c>
      <c r="M15521" s="27" t="s">
        <v>416</v>
      </c>
      <c r="N15521" s="27" t="s">
        <v>415</v>
      </c>
      <c r="P15521" s="27" t="s">
        <v>21885</v>
      </c>
      <c r="Q15521" s="26" t="str">
        <f>HYPERLINK("https://ictv.global/taxonomy/taxondetails?taxnode_id=202522694&amp;ictv_id=ICTV202522694","ICTV202522694")</f>
        <v>ICTV202522694</v>
      </c>
      <c r="R15521" t="s">
        <v>581</v>
      </c>
      <c r="S15521" t="s">
        <v>823</v>
      </c>
      <c r="T15521">
        <v>41</v>
      </c>
      <c r="U15521" s="26" t="str">
        <f>HYPERLINK("https://ictv.global/ictv/proposals/2025.017P.Secoviridae_53nsp_3abolishsp.zip","2025.017P.Secoviridae_53nsp_3abolishsp.zip")</f>
        <v>2025.017P.Secoviridae_53nsp_3abolishsp.zip</v>
      </c>
    </row>
    <row r="15522" spans="1:21">
      <c r="A15522">
        <v>15521</v>
      </c>
      <c r="B15522" s="27" t="s">
        <v>1124</v>
      </c>
      <c r="D15522" s="27" t="s">
        <v>1859</v>
      </c>
      <c r="F15522" s="27" t="s">
        <v>1909</v>
      </c>
      <c r="H15522" s="27" t="s">
        <v>1912</v>
      </c>
      <c r="J15522" s="27" t="s">
        <v>260</v>
      </c>
      <c r="L15522" s="27" t="s">
        <v>435</v>
      </c>
      <c r="M15522" s="27" t="s">
        <v>416</v>
      </c>
      <c r="N15522" s="27" t="s">
        <v>415</v>
      </c>
      <c r="P15522" s="27" t="s">
        <v>10631</v>
      </c>
      <c r="Q15522" s="26" t="str">
        <f>HYPERLINK("https://ictv.global/taxonomy/taxondetails?taxnode_id=202502111&amp;ictv_id=ICTV19821253","ICTV19821253")</f>
        <v>ICTV19821253</v>
      </c>
      <c r="R15522" t="s">
        <v>581</v>
      </c>
      <c r="S15522" t="s">
        <v>824</v>
      </c>
      <c r="T15522">
        <v>38</v>
      </c>
      <c r="U15522" s="26" t="str">
        <f>HYPERLINK("https://ictv.global/ictv/proposals/2022.005P.Secoviridae_rename.zip","2022.005P.Secoviridae_rename.zip")</f>
        <v>2022.005P.Secoviridae_rename.zip</v>
      </c>
    </row>
    <row r="15523" spans="1:21">
      <c r="A15523">
        <v>15522</v>
      </c>
      <c r="B15523" s="27" t="s">
        <v>1124</v>
      </c>
      <c r="D15523" s="27" t="s">
        <v>1859</v>
      </c>
      <c r="F15523" s="27" t="s">
        <v>1909</v>
      </c>
      <c r="H15523" s="27" t="s">
        <v>1912</v>
      </c>
      <c r="J15523" s="27" t="s">
        <v>260</v>
      </c>
      <c r="L15523" s="27" t="s">
        <v>435</v>
      </c>
      <c r="M15523" s="27" t="s">
        <v>416</v>
      </c>
      <c r="N15523" s="27" t="s">
        <v>415</v>
      </c>
      <c r="P15523" s="27" t="s">
        <v>10632</v>
      </c>
      <c r="Q15523" s="26" t="str">
        <f>HYPERLINK("https://ictv.global/taxonomy/taxondetails?taxnode_id=202502118&amp;ictv_id=ICTV19911719","ICTV19911719")</f>
        <v>ICTV19911719</v>
      </c>
      <c r="R15523" t="s">
        <v>581</v>
      </c>
      <c r="S15523" t="s">
        <v>824</v>
      </c>
      <c r="T15523">
        <v>38</v>
      </c>
      <c r="U15523" s="26" t="str">
        <f>HYPERLINK("https://ictv.global/ictv/proposals/2022.005P.Secoviridae_rename.zip","2022.005P.Secoviridae_rename.zip")</f>
        <v>2022.005P.Secoviridae_rename.zip</v>
      </c>
    </row>
    <row r="15524" spans="1:21">
      <c r="A15524">
        <v>15523</v>
      </c>
      <c r="B15524" s="27" t="s">
        <v>1124</v>
      </c>
      <c r="D15524" s="27" t="s">
        <v>1859</v>
      </c>
      <c r="F15524" s="27" t="s">
        <v>1909</v>
      </c>
      <c r="H15524" s="27" t="s">
        <v>1912</v>
      </c>
      <c r="J15524" s="27" t="s">
        <v>260</v>
      </c>
      <c r="L15524" s="27" t="s">
        <v>435</v>
      </c>
      <c r="M15524" s="27" t="s">
        <v>416</v>
      </c>
      <c r="N15524" s="27" t="s">
        <v>415</v>
      </c>
      <c r="P15524" s="27" t="s">
        <v>10633</v>
      </c>
      <c r="Q15524" s="26" t="str">
        <f>HYPERLINK("https://ictv.global/taxonomy/taxondetails?taxnode_id=202502128&amp;ictv_id=ICTV19911727","ICTV19911727")</f>
        <v>ICTV19911727</v>
      </c>
      <c r="R15524" t="s">
        <v>581</v>
      </c>
      <c r="S15524" t="s">
        <v>824</v>
      </c>
      <c r="T15524">
        <v>38</v>
      </c>
      <c r="U15524" s="26" t="str">
        <f>HYPERLINK("https://ictv.global/ictv/proposals/2022.005P.Secoviridae_rename.zip","2022.005P.Secoviridae_rename.zip")</f>
        <v>2022.005P.Secoviridae_rename.zip</v>
      </c>
    </row>
    <row r="15525" spans="1:21">
      <c r="A15525">
        <v>15524</v>
      </c>
      <c r="B15525" s="27" t="s">
        <v>1124</v>
      </c>
      <c r="D15525" s="27" t="s">
        <v>1859</v>
      </c>
      <c r="F15525" s="27" t="s">
        <v>1909</v>
      </c>
      <c r="H15525" s="27" t="s">
        <v>1912</v>
      </c>
      <c r="J15525" s="27" t="s">
        <v>260</v>
      </c>
      <c r="L15525" s="27" t="s">
        <v>435</v>
      </c>
      <c r="M15525" s="27" t="s">
        <v>416</v>
      </c>
      <c r="N15525" s="27" t="s">
        <v>415</v>
      </c>
      <c r="P15525" s="27" t="s">
        <v>10634</v>
      </c>
      <c r="Q15525" s="26" t="str">
        <f>HYPERLINK("https://ictv.global/taxonomy/taxondetails?taxnode_id=202502104&amp;ictv_id=ICTV20125743","ICTV20125743")</f>
        <v>ICTV20125743</v>
      </c>
      <c r="R15525" t="s">
        <v>581</v>
      </c>
      <c r="S15525" t="s">
        <v>824</v>
      </c>
      <c r="T15525">
        <v>38</v>
      </c>
      <c r="U15525" s="26" t="str">
        <f>HYPERLINK("https://ictv.global/ictv/proposals/2022.005P.Secoviridae_rename.zip","2022.005P.Secoviridae_rename.zip")</f>
        <v>2022.005P.Secoviridae_rename.zip</v>
      </c>
    </row>
    <row r="15526" spans="1:21">
      <c r="A15526">
        <v>15525</v>
      </c>
      <c r="B15526" s="27" t="s">
        <v>1124</v>
      </c>
      <c r="D15526" s="27" t="s">
        <v>1859</v>
      </c>
      <c r="F15526" s="27" t="s">
        <v>1909</v>
      </c>
      <c r="H15526" s="27" t="s">
        <v>1912</v>
      </c>
      <c r="J15526" s="27" t="s">
        <v>260</v>
      </c>
      <c r="L15526" s="27" t="s">
        <v>435</v>
      </c>
      <c r="M15526" s="27" t="s">
        <v>416</v>
      </c>
      <c r="N15526" s="27" t="s">
        <v>415</v>
      </c>
      <c r="P15526" s="27" t="s">
        <v>17413</v>
      </c>
      <c r="Q15526" s="26" t="str">
        <f>HYPERLINK("https://ictv.global/taxonomy/taxondetails?taxnode_id=202518386&amp;ictv_id=ICTV202318386","ICTV202318386")</f>
        <v>ICTV202318386</v>
      </c>
      <c r="R15526" t="s">
        <v>581</v>
      </c>
      <c r="S15526" t="s">
        <v>823</v>
      </c>
      <c r="T15526">
        <v>39</v>
      </c>
      <c r="U15526" s="26" t="str">
        <f>HYPERLINK("https://ictv.global/ictv/proposals/2023.018P.Secoviridae_16nsp.zip","2023.018P.Secoviridae_16nsp.zip")</f>
        <v>2023.018P.Secoviridae_16nsp.zip</v>
      </c>
    </row>
    <row r="15527" spans="1:21">
      <c r="A15527">
        <v>15526</v>
      </c>
      <c r="B15527" s="27" t="s">
        <v>1124</v>
      </c>
      <c r="D15527" s="27" t="s">
        <v>1859</v>
      </c>
      <c r="F15527" s="27" t="s">
        <v>1909</v>
      </c>
      <c r="H15527" s="27" t="s">
        <v>1912</v>
      </c>
      <c r="J15527" s="27" t="s">
        <v>260</v>
      </c>
      <c r="L15527" s="27" t="s">
        <v>435</v>
      </c>
      <c r="M15527" s="27" t="s">
        <v>416</v>
      </c>
      <c r="N15527" s="27" t="s">
        <v>415</v>
      </c>
      <c r="P15527" s="27" t="s">
        <v>21904</v>
      </c>
      <c r="Q15527" s="26" t="str">
        <f>HYPERLINK("https://ictv.global/taxonomy/taxondetails?taxnode_id=202522713&amp;ictv_id=ICTV202522713","ICTV202522713")</f>
        <v>ICTV202522713</v>
      </c>
      <c r="R15527" t="s">
        <v>581</v>
      </c>
      <c r="S15527" t="s">
        <v>823</v>
      </c>
      <c r="T15527">
        <v>41</v>
      </c>
      <c r="U15527" s="26" t="str">
        <f>HYPERLINK("https://ictv.global/ictv/proposals/2025.017P.Secoviridae_53nsp_3abolishsp.zip","2025.017P.Secoviridae_53nsp_3abolishsp.zip")</f>
        <v>2025.017P.Secoviridae_53nsp_3abolishsp.zip</v>
      </c>
    </row>
    <row r="15528" spans="1:21">
      <c r="A15528">
        <v>15527</v>
      </c>
      <c r="B15528" s="27" t="s">
        <v>1124</v>
      </c>
      <c r="D15528" s="27" t="s">
        <v>1859</v>
      </c>
      <c r="F15528" s="27" t="s">
        <v>1909</v>
      </c>
      <c r="H15528" s="27" t="s">
        <v>1912</v>
      </c>
      <c r="J15528" s="27" t="s">
        <v>260</v>
      </c>
      <c r="L15528" s="27" t="s">
        <v>435</v>
      </c>
      <c r="N15528" s="27" t="s">
        <v>168</v>
      </c>
      <c r="P15528" s="27" t="s">
        <v>17414</v>
      </c>
      <c r="Q15528" s="26" t="str">
        <f>HYPERLINK("https://ictv.global/taxonomy/taxondetails?taxnode_id=202518390&amp;ictv_id=ICTV202318390","ICTV202318390")</f>
        <v>ICTV202318390</v>
      </c>
      <c r="R15528" t="s">
        <v>581</v>
      </c>
      <c r="S15528" t="s">
        <v>823</v>
      </c>
      <c r="T15528">
        <v>39</v>
      </c>
      <c r="U15528" s="26" t="str">
        <f>HYPERLINK("https://ictv.global/ictv/proposals/2023.018P.Secoviridae_16nsp.zip","2023.018P.Secoviridae_16nsp.zip")</f>
        <v>2023.018P.Secoviridae_16nsp.zip</v>
      </c>
    </row>
    <row r="15529" spans="1:21">
      <c r="A15529">
        <v>15528</v>
      </c>
      <c r="B15529" s="27" t="s">
        <v>1124</v>
      </c>
      <c r="D15529" s="27" t="s">
        <v>1859</v>
      </c>
      <c r="F15529" s="27" t="s">
        <v>1909</v>
      </c>
      <c r="H15529" s="27" t="s">
        <v>1912</v>
      </c>
      <c r="J15529" s="27" t="s">
        <v>260</v>
      </c>
      <c r="L15529" s="27" t="s">
        <v>435</v>
      </c>
      <c r="N15529" s="27" t="s">
        <v>168</v>
      </c>
      <c r="P15529" s="27" t="s">
        <v>10635</v>
      </c>
      <c r="Q15529" s="26" t="str">
        <f>HYPERLINK("https://ictv.global/taxonomy/taxondetails?taxnode_id=202502136&amp;ictv_id=ICTV20130760","ICTV20130760")</f>
        <v>ICTV20130760</v>
      </c>
      <c r="R15529" t="s">
        <v>581</v>
      </c>
      <c r="S15529" t="s">
        <v>824</v>
      </c>
      <c r="T15529">
        <v>38</v>
      </c>
      <c r="U15529" s="26" t="str">
        <f>HYPERLINK("https://ictv.global/ictv/proposals/2022.005P.Secoviridae_rename.zip","2022.005P.Secoviridae_rename.zip")</f>
        <v>2022.005P.Secoviridae_rename.zip</v>
      </c>
    </row>
    <row r="15530" spans="1:21">
      <c r="A15530">
        <v>15529</v>
      </c>
      <c r="B15530" s="27" t="s">
        <v>1124</v>
      </c>
      <c r="D15530" s="27" t="s">
        <v>1859</v>
      </c>
      <c r="F15530" s="27" t="s">
        <v>1909</v>
      </c>
      <c r="H15530" s="27" t="s">
        <v>1912</v>
      </c>
      <c r="J15530" s="27" t="s">
        <v>260</v>
      </c>
      <c r="L15530" s="27" t="s">
        <v>435</v>
      </c>
      <c r="N15530" s="27" t="s">
        <v>168</v>
      </c>
      <c r="P15530" s="27" t="s">
        <v>10636</v>
      </c>
      <c r="Q15530" s="26" t="str">
        <f>HYPERLINK("https://ictv.global/taxonomy/taxondetails?taxnode_id=202502137&amp;ictv_id=ICTV20042202","ICTV20042202")</f>
        <v>ICTV20042202</v>
      </c>
      <c r="R15530" t="s">
        <v>581</v>
      </c>
      <c r="S15530" t="s">
        <v>824</v>
      </c>
      <c r="T15530">
        <v>38</v>
      </c>
      <c r="U15530" s="26" t="str">
        <f>HYPERLINK("https://ictv.global/ictv/proposals/2022.005P.Secoviridae_rename.zip","2022.005P.Secoviridae_rename.zip")</f>
        <v>2022.005P.Secoviridae_rename.zip</v>
      </c>
    </row>
    <row r="15531" spans="1:21">
      <c r="A15531">
        <v>15530</v>
      </c>
      <c r="B15531" s="27" t="s">
        <v>1124</v>
      </c>
      <c r="D15531" s="27" t="s">
        <v>1859</v>
      </c>
      <c r="F15531" s="27" t="s">
        <v>1909</v>
      </c>
      <c r="H15531" s="27" t="s">
        <v>1912</v>
      </c>
      <c r="J15531" s="27" t="s">
        <v>260</v>
      </c>
      <c r="L15531" s="27" t="s">
        <v>435</v>
      </c>
      <c r="N15531" s="27" t="s">
        <v>168</v>
      </c>
      <c r="P15531" s="27" t="s">
        <v>21877</v>
      </c>
      <c r="Q15531" s="26" t="str">
        <f>HYPERLINK("https://ictv.global/taxonomy/taxondetails?taxnode_id=202522686&amp;ictv_id=ICTV202522686","ICTV202522686")</f>
        <v>ICTV202522686</v>
      </c>
      <c r="R15531" t="s">
        <v>581</v>
      </c>
      <c r="S15531" t="s">
        <v>823</v>
      </c>
      <c r="T15531">
        <v>41</v>
      </c>
      <c r="U15531" s="26" t="str">
        <f>HYPERLINK("https://ictv.global/ictv/proposals/2025.017P.Secoviridae_53nsp_3abolishsp.zip","2025.017P.Secoviridae_53nsp_3abolishsp.zip")</f>
        <v>2025.017P.Secoviridae_53nsp_3abolishsp.zip</v>
      </c>
    </row>
    <row r="15532" spans="1:21">
      <c r="A15532">
        <v>15531</v>
      </c>
      <c r="B15532" s="27" t="s">
        <v>1124</v>
      </c>
      <c r="D15532" s="27" t="s">
        <v>1859</v>
      </c>
      <c r="F15532" s="27" t="s">
        <v>1909</v>
      </c>
      <c r="H15532" s="27" t="s">
        <v>1912</v>
      </c>
      <c r="J15532" s="27" t="s">
        <v>260</v>
      </c>
      <c r="L15532" s="27" t="s">
        <v>435</v>
      </c>
      <c r="N15532" s="27" t="s">
        <v>168</v>
      </c>
      <c r="P15532" s="27" t="s">
        <v>21876</v>
      </c>
      <c r="Q15532" s="26" t="str">
        <f>HYPERLINK("https://ictv.global/taxonomy/taxondetails?taxnode_id=202522685&amp;ictv_id=ICTV202522685","ICTV202522685")</f>
        <v>ICTV202522685</v>
      </c>
      <c r="R15532" t="s">
        <v>581</v>
      </c>
      <c r="S15532" t="s">
        <v>823</v>
      </c>
      <c r="T15532">
        <v>41</v>
      </c>
      <c r="U15532" s="26" t="str">
        <f>HYPERLINK("https://ictv.global/ictv/proposals/2025.017P.Secoviridae_53nsp_3abolishsp.zip","2025.017P.Secoviridae_53nsp_3abolishsp.zip")</f>
        <v>2025.017P.Secoviridae_53nsp_3abolishsp.zip</v>
      </c>
    </row>
    <row r="15533" spans="1:21">
      <c r="A15533">
        <v>15532</v>
      </c>
      <c r="B15533" s="27" t="s">
        <v>1124</v>
      </c>
      <c r="D15533" s="27" t="s">
        <v>1859</v>
      </c>
      <c r="F15533" s="27" t="s">
        <v>1909</v>
      </c>
      <c r="H15533" s="27" t="s">
        <v>1912</v>
      </c>
      <c r="J15533" s="27" t="s">
        <v>260</v>
      </c>
      <c r="L15533" s="27" t="s">
        <v>435</v>
      </c>
      <c r="N15533" s="27" t="s">
        <v>168</v>
      </c>
      <c r="P15533" s="27" t="s">
        <v>10637</v>
      </c>
      <c r="Q15533" s="26" t="str">
        <f>HYPERLINK("https://ictv.global/taxonomy/taxondetails?taxnode_id=202502135&amp;ictv_id=ICTV20042201","ICTV20042201")</f>
        <v>ICTV20042201</v>
      </c>
      <c r="R15533" t="s">
        <v>581</v>
      </c>
      <c r="S15533" t="s">
        <v>824</v>
      </c>
      <c r="T15533">
        <v>38</v>
      </c>
      <c r="U15533" s="26" t="str">
        <f>HYPERLINK("https://ictv.global/ictv/proposals/2022.005P.Secoviridae_rename.zip","2022.005P.Secoviridae_rename.zip")</f>
        <v>2022.005P.Secoviridae_rename.zip</v>
      </c>
    </row>
    <row r="15534" spans="1:21">
      <c r="A15534">
        <v>15533</v>
      </c>
      <c r="B15534" s="27" t="s">
        <v>1124</v>
      </c>
      <c r="D15534" s="27" t="s">
        <v>1859</v>
      </c>
      <c r="F15534" s="27" t="s">
        <v>1909</v>
      </c>
      <c r="H15534" s="27" t="s">
        <v>1912</v>
      </c>
      <c r="J15534" s="27" t="s">
        <v>260</v>
      </c>
      <c r="L15534" s="27" t="s">
        <v>435</v>
      </c>
      <c r="N15534" s="27" t="s">
        <v>168</v>
      </c>
      <c r="P15534" s="27" t="s">
        <v>17415</v>
      </c>
      <c r="Q15534" s="26" t="str">
        <f>HYPERLINK("https://ictv.global/taxonomy/taxondetails?taxnode_id=202518392&amp;ictv_id=ICTV202318392","ICTV202318392")</f>
        <v>ICTV202318392</v>
      </c>
      <c r="R15534" t="s">
        <v>581</v>
      </c>
      <c r="S15534" t="s">
        <v>823</v>
      </c>
      <c r="T15534">
        <v>39</v>
      </c>
      <c r="U15534" s="26" t="str">
        <f>HYPERLINK("https://ictv.global/ictv/proposals/2023.018P.Secoviridae_16nsp.zip","2023.018P.Secoviridae_16nsp.zip")</f>
        <v>2023.018P.Secoviridae_16nsp.zip</v>
      </c>
    </row>
    <row r="15535" spans="1:21">
      <c r="A15535">
        <v>15534</v>
      </c>
      <c r="B15535" s="27" t="s">
        <v>1124</v>
      </c>
      <c r="D15535" s="27" t="s">
        <v>1859</v>
      </c>
      <c r="F15535" s="27" t="s">
        <v>1909</v>
      </c>
      <c r="H15535" s="27" t="s">
        <v>1912</v>
      </c>
      <c r="J15535" s="27" t="s">
        <v>260</v>
      </c>
      <c r="L15535" s="27" t="s">
        <v>435</v>
      </c>
      <c r="N15535" s="27" t="s">
        <v>168</v>
      </c>
      <c r="P15535" s="27" t="s">
        <v>10638</v>
      </c>
      <c r="Q15535" s="26" t="str">
        <f>HYPERLINK("https://ictv.global/taxonomy/taxondetails?taxnode_id=202502139&amp;ictv_id=ICTV20083326","ICTV20083326")</f>
        <v>ICTV20083326</v>
      </c>
      <c r="R15535" t="s">
        <v>581</v>
      </c>
      <c r="S15535" t="s">
        <v>824</v>
      </c>
      <c r="T15535">
        <v>38</v>
      </c>
      <c r="U15535" s="26" t="str">
        <f>HYPERLINK("https://ictv.global/ictv/proposals/2022.005P.Secoviridae_rename.zip","2022.005P.Secoviridae_rename.zip")</f>
        <v>2022.005P.Secoviridae_rename.zip</v>
      </c>
    </row>
    <row r="15536" spans="1:21">
      <c r="A15536">
        <v>15535</v>
      </c>
      <c r="B15536" s="27" t="s">
        <v>1124</v>
      </c>
      <c r="D15536" s="27" t="s">
        <v>1859</v>
      </c>
      <c r="F15536" s="27" t="s">
        <v>1909</v>
      </c>
      <c r="H15536" s="27" t="s">
        <v>1912</v>
      </c>
      <c r="J15536" s="27" t="s">
        <v>260</v>
      </c>
      <c r="L15536" s="27" t="s">
        <v>435</v>
      </c>
      <c r="N15536" s="27" t="s">
        <v>168</v>
      </c>
      <c r="P15536" s="27" t="s">
        <v>21878</v>
      </c>
      <c r="Q15536" s="26" t="str">
        <f>HYPERLINK("https://ictv.global/taxonomy/taxondetails?taxnode_id=202522687&amp;ictv_id=ICTV202522687","ICTV202522687")</f>
        <v>ICTV202522687</v>
      </c>
      <c r="R15536" t="s">
        <v>581</v>
      </c>
      <c r="S15536" t="s">
        <v>823</v>
      </c>
      <c r="T15536">
        <v>41</v>
      </c>
      <c r="U15536" s="26" t="str">
        <f>HYPERLINK("https://ictv.global/ictv/proposals/2025.017P.Secoviridae_53nsp_3abolishsp.zip","2025.017P.Secoviridae_53nsp_3abolishsp.zip")</f>
        <v>2025.017P.Secoviridae_53nsp_3abolishsp.zip</v>
      </c>
    </row>
    <row r="15537" spans="1:21">
      <c r="A15537">
        <v>15536</v>
      </c>
      <c r="B15537" s="27" t="s">
        <v>1124</v>
      </c>
      <c r="D15537" s="27" t="s">
        <v>1859</v>
      </c>
      <c r="F15537" s="27" t="s">
        <v>1909</v>
      </c>
      <c r="H15537" s="27" t="s">
        <v>1912</v>
      </c>
      <c r="J15537" s="27" t="s">
        <v>260</v>
      </c>
      <c r="L15537" s="27" t="s">
        <v>435</v>
      </c>
      <c r="N15537" s="27" t="s">
        <v>168</v>
      </c>
      <c r="P15537" s="27" t="s">
        <v>10639</v>
      </c>
      <c r="Q15537" s="26" t="str">
        <f>HYPERLINK("https://ictv.global/taxonomy/taxondetails?taxnode_id=202502138&amp;ictv_id=ICTV20165213","ICTV20165213")</f>
        <v>ICTV20165213</v>
      </c>
      <c r="R15537" t="s">
        <v>581</v>
      </c>
      <c r="S15537" t="s">
        <v>824</v>
      </c>
      <c r="T15537">
        <v>38</v>
      </c>
      <c r="U15537" s="26" t="str">
        <f>HYPERLINK("https://ictv.global/ictv/proposals/2022.005P.Secoviridae_rename.zip","2022.005P.Secoviridae_rename.zip")</f>
        <v>2022.005P.Secoviridae_rename.zip</v>
      </c>
    </row>
    <row r="15538" spans="1:21">
      <c r="A15538">
        <v>15537</v>
      </c>
      <c r="B15538" s="27" t="s">
        <v>1124</v>
      </c>
      <c r="D15538" s="27" t="s">
        <v>1859</v>
      </c>
      <c r="F15538" s="27" t="s">
        <v>1909</v>
      </c>
      <c r="H15538" s="27" t="s">
        <v>1912</v>
      </c>
      <c r="J15538" s="27" t="s">
        <v>260</v>
      </c>
      <c r="L15538" s="27" t="s">
        <v>435</v>
      </c>
      <c r="N15538" s="27" t="s">
        <v>168</v>
      </c>
      <c r="P15538" s="27" t="s">
        <v>17416</v>
      </c>
      <c r="Q15538" s="26" t="str">
        <f>HYPERLINK("https://ictv.global/taxonomy/taxondetails?taxnode_id=202518391&amp;ictv_id=ICTV202318391","ICTV202318391")</f>
        <v>ICTV202318391</v>
      </c>
      <c r="R15538" t="s">
        <v>581</v>
      </c>
      <c r="S15538" t="s">
        <v>823</v>
      </c>
      <c r="T15538">
        <v>39</v>
      </c>
      <c r="U15538" s="26" t="str">
        <f>HYPERLINK("https://ictv.global/ictv/proposals/2023.018P.Secoviridae_16nsp.zip","2023.018P.Secoviridae_16nsp.zip")</f>
        <v>2023.018P.Secoviridae_16nsp.zip</v>
      </c>
    </row>
    <row r="15539" spans="1:21">
      <c r="A15539">
        <v>15538</v>
      </c>
      <c r="B15539" s="27" t="s">
        <v>1124</v>
      </c>
      <c r="D15539" s="27" t="s">
        <v>1859</v>
      </c>
      <c r="F15539" s="27" t="s">
        <v>1909</v>
      </c>
      <c r="H15539" s="27" t="s">
        <v>1912</v>
      </c>
      <c r="J15539" s="27" t="s">
        <v>260</v>
      </c>
      <c r="L15539" s="27" t="s">
        <v>435</v>
      </c>
      <c r="N15539" s="27" t="s">
        <v>393</v>
      </c>
      <c r="O15539" s="27" t="s">
        <v>1957</v>
      </c>
      <c r="P15539" s="27" t="s">
        <v>10640</v>
      </c>
      <c r="Q15539" s="26" t="str">
        <f>HYPERLINK("https://ictv.global/taxonomy/taxondetails?taxnode_id=202513822&amp;ictv_id=ICTV202113822","ICTV202113822")</f>
        <v>ICTV202113822</v>
      </c>
      <c r="R15539" t="s">
        <v>581</v>
      </c>
      <c r="S15539" t="s">
        <v>824</v>
      </c>
      <c r="T15539">
        <v>38</v>
      </c>
      <c r="U15539" s="26" t="str">
        <f>HYPERLINK("https://ictv.global/ictv/proposals/2022.005P.Secoviridae_rename.zip","2022.005P.Secoviridae_rename.zip")</f>
        <v>2022.005P.Secoviridae_rename.zip</v>
      </c>
    </row>
    <row r="15540" spans="1:21">
      <c r="A15540">
        <v>15539</v>
      </c>
      <c r="B15540" s="27" t="s">
        <v>1124</v>
      </c>
      <c r="D15540" s="27" t="s">
        <v>1859</v>
      </c>
      <c r="F15540" s="27" t="s">
        <v>1909</v>
      </c>
      <c r="H15540" s="27" t="s">
        <v>1912</v>
      </c>
      <c r="J15540" s="27" t="s">
        <v>260</v>
      </c>
      <c r="L15540" s="27" t="s">
        <v>435</v>
      </c>
      <c r="N15540" s="27" t="s">
        <v>393</v>
      </c>
      <c r="O15540" s="27" t="s">
        <v>1957</v>
      </c>
      <c r="P15540" s="27" t="s">
        <v>10641</v>
      </c>
      <c r="Q15540" s="26" t="str">
        <f>HYPERLINK("https://ictv.global/taxonomy/taxondetails?taxnode_id=202515094&amp;ictv_id=ICTV202215094","ICTV202215094")</f>
        <v>ICTV202215094</v>
      </c>
      <c r="R15540" t="s">
        <v>581</v>
      </c>
      <c r="S15540" t="s">
        <v>823</v>
      </c>
      <c r="T15540">
        <v>38</v>
      </c>
      <c r="U15540" s="26" t="str">
        <f>HYPERLINK("https://ictv.global/ictv/proposals/2022.004P.Secoviridae_8ns.zip","2022.004P.Secoviridae_8ns.zip")</f>
        <v>2022.004P.Secoviridae_8ns.zip</v>
      </c>
    </row>
    <row r="15541" spans="1:21">
      <c r="A15541">
        <v>15540</v>
      </c>
      <c r="B15541" s="27" t="s">
        <v>1124</v>
      </c>
      <c r="D15541" s="27" t="s">
        <v>1859</v>
      </c>
      <c r="F15541" s="27" t="s">
        <v>1909</v>
      </c>
      <c r="H15541" s="27" t="s">
        <v>1912</v>
      </c>
      <c r="J15541" s="27" t="s">
        <v>260</v>
      </c>
      <c r="L15541" s="27" t="s">
        <v>435</v>
      </c>
      <c r="N15541" s="27" t="s">
        <v>393</v>
      </c>
      <c r="O15541" s="27" t="s">
        <v>1957</v>
      </c>
      <c r="P15541" s="27" t="s">
        <v>20525</v>
      </c>
      <c r="Q15541" s="26" t="str">
        <f>HYPERLINK("https://ictv.global/taxonomy/taxondetails?taxnode_id=202520581&amp;ictv_id=ICTV202420581","ICTV202420581")</f>
        <v>ICTV202420581</v>
      </c>
      <c r="R15541" t="s">
        <v>581</v>
      </c>
      <c r="S15541" t="s">
        <v>823</v>
      </c>
      <c r="T15541">
        <v>40</v>
      </c>
      <c r="U15541" s="26" t="str">
        <f>HYPERLINK("https://ictv.global/ictv/proposals/2024.013P.Secoviridae_1ng_2nsg_34nsp.zip","2024.013P.Secoviridae_1ng_2nsg_34nsp.zip")</f>
        <v>2024.013P.Secoviridae_1ng_2nsg_34nsp.zip</v>
      </c>
    </row>
    <row r="15542" spans="1:21">
      <c r="A15542">
        <v>15541</v>
      </c>
      <c r="B15542" s="27" t="s">
        <v>1124</v>
      </c>
      <c r="D15542" s="27" t="s">
        <v>1859</v>
      </c>
      <c r="F15542" s="27" t="s">
        <v>1909</v>
      </c>
      <c r="H15542" s="27" t="s">
        <v>1912</v>
      </c>
      <c r="J15542" s="27" t="s">
        <v>260</v>
      </c>
      <c r="L15542" s="27" t="s">
        <v>435</v>
      </c>
      <c r="N15542" s="27" t="s">
        <v>393</v>
      </c>
      <c r="O15542" s="27" t="s">
        <v>1957</v>
      </c>
      <c r="P15542" s="27" t="s">
        <v>10642</v>
      </c>
      <c r="Q15542" s="26" t="str">
        <f>HYPERLINK("https://ictv.global/taxonomy/taxondetails?taxnode_id=202505630&amp;ictv_id=ICTV20175630","ICTV20175630")</f>
        <v>ICTV20175630</v>
      </c>
      <c r="R15542" t="s">
        <v>581</v>
      </c>
      <c r="S15542" t="s">
        <v>824</v>
      </c>
      <c r="T15542">
        <v>38</v>
      </c>
      <c r="U15542" s="26" t="str">
        <f>HYPERLINK("https://ictv.global/ictv/proposals/2022.005P.Secoviridae_rename.zip","2022.005P.Secoviridae_rename.zip")</f>
        <v>2022.005P.Secoviridae_rename.zip</v>
      </c>
    </row>
    <row r="15543" spans="1:21">
      <c r="A15543">
        <v>15542</v>
      </c>
      <c r="B15543" s="27" t="s">
        <v>1124</v>
      </c>
      <c r="D15543" s="27" t="s">
        <v>1859</v>
      </c>
      <c r="F15543" s="27" t="s">
        <v>1909</v>
      </c>
      <c r="H15543" s="27" t="s">
        <v>1912</v>
      </c>
      <c r="J15543" s="27" t="s">
        <v>260</v>
      </c>
      <c r="L15543" s="27" t="s">
        <v>435</v>
      </c>
      <c r="N15543" s="27" t="s">
        <v>393</v>
      </c>
      <c r="O15543" s="27" t="s">
        <v>1957</v>
      </c>
      <c r="P15543" s="27" t="s">
        <v>10643</v>
      </c>
      <c r="Q15543" s="26" t="str">
        <f>HYPERLINK("https://ictv.global/taxonomy/taxondetails?taxnode_id=202502155&amp;ictv_id=ICTV20165215","ICTV20165215")</f>
        <v>ICTV20165215</v>
      </c>
      <c r="R15543" t="s">
        <v>581</v>
      </c>
      <c r="S15543" t="s">
        <v>824</v>
      </c>
      <c r="T15543">
        <v>38</v>
      </c>
      <c r="U15543" s="26" t="str">
        <f>HYPERLINK("https://ictv.global/ictv/proposals/2022.005P.Secoviridae_rename.zip","2022.005P.Secoviridae_rename.zip")</f>
        <v>2022.005P.Secoviridae_rename.zip</v>
      </c>
    </row>
    <row r="15544" spans="1:21">
      <c r="A15544">
        <v>15543</v>
      </c>
      <c r="B15544" s="27" t="s">
        <v>1124</v>
      </c>
      <c r="D15544" s="27" t="s">
        <v>1859</v>
      </c>
      <c r="F15544" s="27" t="s">
        <v>1909</v>
      </c>
      <c r="H15544" s="27" t="s">
        <v>1912</v>
      </c>
      <c r="J15544" s="27" t="s">
        <v>260</v>
      </c>
      <c r="L15544" s="27" t="s">
        <v>435</v>
      </c>
      <c r="N15544" s="27" t="s">
        <v>393</v>
      </c>
      <c r="O15544" s="27" t="s">
        <v>1957</v>
      </c>
      <c r="P15544" s="27" t="s">
        <v>17417</v>
      </c>
      <c r="Q15544" s="26" t="str">
        <f>HYPERLINK("https://ictv.global/taxonomy/taxondetails?taxnode_id=202518393&amp;ictv_id=ICTV202318393","ICTV202318393")</f>
        <v>ICTV202318393</v>
      </c>
      <c r="R15544" t="s">
        <v>581</v>
      </c>
      <c r="S15544" t="s">
        <v>823</v>
      </c>
      <c r="T15544">
        <v>39</v>
      </c>
      <c r="U15544" s="26" t="str">
        <f>HYPERLINK("https://ictv.global/ictv/proposals/2023.018P.Secoviridae_16nsp.zip","2023.018P.Secoviridae_16nsp.zip")</f>
        <v>2023.018P.Secoviridae_16nsp.zip</v>
      </c>
    </row>
    <row r="15545" spans="1:21">
      <c r="A15545">
        <v>15544</v>
      </c>
      <c r="B15545" s="27" t="s">
        <v>1124</v>
      </c>
      <c r="D15545" s="27" t="s">
        <v>1859</v>
      </c>
      <c r="F15545" s="27" t="s">
        <v>1909</v>
      </c>
      <c r="H15545" s="27" t="s">
        <v>1912</v>
      </c>
      <c r="J15545" s="27" t="s">
        <v>260</v>
      </c>
      <c r="L15545" s="27" t="s">
        <v>435</v>
      </c>
      <c r="N15545" s="27" t="s">
        <v>393</v>
      </c>
      <c r="O15545" s="27" t="s">
        <v>1957</v>
      </c>
      <c r="P15545" s="27" t="s">
        <v>20526</v>
      </c>
      <c r="Q15545" s="26" t="str">
        <f>HYPERLINK("https://ictv.global/taxonomy/taxondetails?taxnode_id=202520582&amp;ictv_id=ICTV202420582","ICTV202420582")</f>
        <v>ICTV202420582</v>
      </c>
      <c r="R15545" t="s">
        <v>581</v>
      </c>
      <c r="S15545" t="s">
        <v>823</v>
      </c>
      <c r="T15545">
        <v>40</v>
      </c>
      <c r="U15545" s="26" t="str">
        <f>HYPERLINK("https://ictv.global/ictv/proposals/2024.013P.Secoviridae_1ng_2nsg_34nsp.zip","2024.013P.Secoviridae_1ng_2nsg_34nsp.zip")</f>
        <v>2024.013P.Secoviridae_1ng_2nsg_34nsp.zip</v>
      </c>
    </row>
    <row r="15546" spans="1:21">
      <c r="A15546">
        <v>15545</v>
      </c>
      <c r="B15546" s="27" t="s">
        <v>1124</v>
      </c>
      <c r="D15546" s="27" t="s">
        <v>1859</v>
      </c>
      <c r="F15546" s="27" t="s">
        <v>1909</v>
      </c>
      <c r="H15546" s="27" t="s">
        <v>1912</v>
      </c>
      <c r="J15546" s="27" t="s">
        <v>260</v>
      </c>
      <c r="L15546" s="27" t="s">
        <v>435</v>
      </c>
      <c r="N15546" s="27" t="s">
        <v>393</v>
      </c>
      <c r="O15546" s="27" t="s">
        <v>1957</v>
      </c>
      <c r="P15546" s="27" t="s">
        <v>21909</v>
      </c>
      <c r="Q15546" s="26" t="str">
        <f>HYPERLINK("https://ictv.global/taxonomy/taxondetails?taxnode_id=202522718&amp;ictv_id=ICTV202522718","ICTV202522718")</f>
        <v>ICTV202522718</v>
      </c>
      <c r="R15546" t="s">
        <v>581</v>
      </c>
      <c r="S15546" t="s">
        <v>823</v>
      </c>
      <c r="T15546">
        <v>41</v>
      </c>
      <c r="U15546" s="26" t="str">
        <f>HYPERLINK("https://ictv.global/ictv/proposals/2025.017P.Secoviridae_53nsp_3abolishsp.zip","2025.017P.Secoviridae_53nsp_3abolishsp.zip")</f>
        <v>2025.017P.Secoviridae_53nsp_3abolishsp.zip</v>
      </c>
    </row>
    <row r="15547" spans="1:21">
      <c r="A15547">
        <v>15546</v>
      </c>
      <c r="B15547" s="27" t="s">
        <v>1124</v>
      </c>
      <c r="D15547" s="27" t="s">
        <v>1859</v>
      </c>
      <c r="F15547" s="27" t="s">
        <v>1909</v>
      </c>
      <c r="H15547" s="27" t="s">
        <v>1912</v>
      </c>
      <c r="J15547" s="27" t="s">
        <v>260</v>
      </c>
      <c r="L15547" s="27" t="s">
        <v>435</v>
      </c>
      <c r="N15547" s="27" t="s">
        <v>393</v>
      </c>
      <c r="O15547" s="27" t="s">
        <v>1958</v>
      </c>
      <c r="P15547" s="27" t="s">
        <v>10644</v>
      </c>
      <c r="Q15547" s="26" t="str">
        <f>HYPERLINK("https://ictv.global/taxonomy/taxondetails?taxnode_id=202502141&amp;ictv_id=ICTV20042238","ICTV20042238")</f>
        <v>ICTV20042238</v>
      </c>
      <c r="R15547" t="s">
        <v>581</v>
      </c>
      <c r="S15547" t="s">
        <v>824</v>
      </c>
      <c r="T15547">
        <v>38</v>
      </c>
      <c r="U15547" s="26" t="str">
        <f>HYPERLINK("https://ictv.global/ictv/proposals/2022.005P.Secoviridae_rename.zip","2022.005P.Secoviridae_rename.zip")</f>
        <v>2022.005P.Secoviridae_rename.zip</v>
      </c>
    </row>
    <row r="15548" spans="1:21">
      <c r="A15548">
        <v>15547</v>
      </c>
      <c r="B15548" s="27" t="s">
        <v>1124</v>
      </c>
      <c r="D15548" s="27" t="s">
        <v>1859</v>
      </c>
      <c r="F15548" s="27" t="s">
        <v>1909</v>
      </c>
      <c r="H15548" s="27" t="s">
        <v>1912</v>
      </c>
      <c r="J15548" s="27" t="s">
        <v>260</v>
      </c>
      <c r="L15548" s="27" t="s">
        <v>435</v>
      </c>
      <c r="N15548" s="27" t="s">
        <v>393</v>
      </c>
      <c r="O15548" s="27" t="s">
        <v>1959</v>
      </c>
      <c r="P15548" s="27" t="s">
        <v>10645</v>
      </c>
      <c r="Q15548" s="26" t="str">
        <f>HYPERLINK("https://ictv.global/taxonomy/taxondetails?taxnode_id=202515095&amp;ictv_id=ICTV202215095","ICTV202215095")</f>
        <v>ICTV202215095</v>
      </c>
      <c r="R15548" t="s">
        <v>581</v>
      </c>
      <c r="S15548" t="s">
        <v>823</v>
      </c>
      <c r="T15548">
        <v>38</v>
      </c>
      <c r="U15548" s="26" t="str">
        <f>HYPERLINK("https://ictv.global/ictv/proposals/2022.004P.Secoviridae_8ns.zip","2022.004P.Secoviridae_8ns.zip")</f>
        <v>2022.004P.Secoviridae_8ns.zip</v>
      </c>
    </row>
    <row r="15549" spans="1:21">
      <c r="A15549">
        <v>15548</v>
      </c>
      <c r="B15549" s="27" t="s">
        <v>1124</v>
      </c>
      <c r="D15549" s="27" t="s">
        <v>1859</v>
      </c>
      <c r="F15549" s="27" t="s">
        <v>1909</v>
      </c>
      <c r="H15549" s="27" t="s">
        <v>1912</v>
      </c>
      <c r="J15549" s="27" t="s">
        <v>260</v>
      </c>
      <c r="L15549" s="27" t="s">
        <v>435</v>
      </c>
      <c r="N15549" s="27" t="s">
        <v>393</v>
      </c>
      <c r="O15549" s="27" t="s">
        <v>1959</v>
      </c>
      <c r="P15549" s="27" t="s">
        <v>20527</v>
      </c>
      <c r="Q15549" s="26" t="str">
        <f>HYPERLINK("https://ictv.global/taxonomy/taxondetails?taxnode_id=202520583&amp;ictv_id=ICTV202420583","ICTV202420583")</f>
        <v>ICTV202420583</v>
      </c>
      <c r="R15549" t="s">
        <v>581</v>
      </c>
      <c r="S15549" t="s">
        <v>823</v>
      </c>
      <c r="T15549">
        <v>40</v>
      </c>
      <c r="U15549" s="26" t="str">
        <f>HYPERLINK("https://ictv.global/ictv/proposals/2024.013P.Secoviridae_1ng_2nsg_34nsp.zip","2024.013P.Secoviridae_1ng_2nsg_34nsp.zip")</f>
        <v>2024.013P.Secoviridae_1ng_2nsg_34nsp.zip</v>
      </c>
    </row>
    <row r="15550" spans="1:21">
      <c r="A15550">
        <v>15549</v>
      </c>
      <c r="B15550" s="27" t="s">
        <v>1124</v>
      </c>
      <c r="D15550" s="27" t="s">
        <v>1859</v>
      </c>
      <c r="F15550" s="27" t="s">
        <v>1909</v>
      </c>
      <c r="H15550" s="27" t="s">
        <v>1912</v>
      </c>
      <c r="J15550" s="27" t="s">
        <v>260</v>
      </c>
      <c r="L15550" s="27" t="s">
        <v>435</v>
      </c>
      <c r="N15550" s="27" t="s">
        <v>393</v>
      </c>
      <c r="O15550" s="27" t="s">
        <v>1959</v>
      </c>
      <c r="P15550" s="27" t="s">
        <v>10646</v>
      </c>
      <c r="Q15550" s="26" t="str">
        <f>HYPERLINK("https://ictv.global/taxonomy/taxondetails?taxnode_id=202502157&amp;ictv_id=ICTV20042240","ICTV20042240")</f>
        <v>ICTV20042240</v>
      </c>
      <c r="R15550" t="s">
        <v>581</v>
      </c>
      <c r="S15550" t="s">
        <v>824</v>
      </c>
      <c r="T15550">
        <v>38</v>
      </c>
      <c r="U15550" s="26" t="str">
        <f>HYPERLINK("https://ictv.global/ictv/proposals/2022.005P.Secoviridae_rename.zip","2022.005P.Secoviridae_rename.zip")</f>
        <v>2022.005P.Secoviridae_rename.zip</v>
      </c>
    </row>
    <row r="15551" spans="1:21">
      <c r="A15551">
        <v>15550</v>
      </c>
      <c r="B15551" s="27" t="s">
        <v>1124</v>
      </c>
      <c r="D15551" s="27" t="s">
        <v>1859</v>
      </c>
      <c r="F15551" s="27" t="s">
        <v>1909</v>
      </c>
      <c r="H15551" s="27" t="s">
        <v>1912</v>
      </c>
      <c r="J15551" s="27" t="s">
        <v>260</v>
      </c>
      <c r="L15551" s="27" t="s">
        <v>435</v>
      </c>
      <c r="N15551" s="27" t="s">
        <v>393</v>
      </c>
      <c r="O15551" s="27" t="s">
        <v>1959</v>
      </c>
      <c r="P15551" s="27" t="s">
        <v>10647</v>
      </c>
      <c r="Q15551" s="26" t="str">
        <f>HYPERLINK("https://ictv.global/taxonomy/taxondetails?taxnode_id=202513823&amp;ictv_id=ICTV202113823","ICTV202113823")</f>
        <v>ICTV202113823</v>
      </c>
      <c r="R15551" t="s">
        <v>581</v>
      </c>
      <c r="S15551" t="s">
        <v>824</v>
      </c>
      <c r="T15551">
        <v>38</v>
      </c>
      <c r="U15551" s="26" t="str">
        <f>HYPERLINK("https://ictv.global/ictv/proposals/2022.005P.Secoviridae_rename.zip","2022.005P.Secoviridae_rename.zip")</f>
        <v>2022.005P.Secoviridae_rename.zip</v>
      </c>
    </row>
    <row r="15552" spans="1:21">
      <c r="A15552">
        <v>15551</v>
      </c>
      <c r="B15552" s="27" t="s">
        <v>1124</v>
      </c>
      <c r="D15552" s="27" t="s">
        <v>1859</v>
      </c>
      <c r="F15552" s="27" t="s">
        <v>1909</v>
      </c>
      <c r="H15552" s="27" t="s">
        <v>1912</v>
      </c>
      <c r="J15552" s="27" t="s">
        <v>260</v>
      </c>
      <c r="L15552" s="27" t="s">
        <v>435</v>
      </c>
      <c r="N15552" s="27" t="s">
        <v>393</v>
      </c>
      <c r="O15552" s="27" t="s">
        <v>1959</v>
      </c>
      <c r="P15552" s="27" t="s">
        <v>21910</v>
      </c>
      <c r="Q15552" s="26" t="str">
        <f>HYPERLINK("https://ictv.global/taxonomy/taxondetails?taxnode_id=202522719&amp;ictv_id=ICTV202522719","ICTV202522719")</f>
        <v>ICTV202522719</v>
      </c>
      <c r="R15552" t="s">
        <v>581</v>
      </c>
      <c r="S15552" t="s">
        <v>823</v>
      </c>
      <c r="T15552">
        <v>41</v>
      </c>
      <c r="U15552" s="26" t="str">
        <f>HYPERLINK("https://ictv.global/ictv/proposals/2025.017P.Secoviridae_53nsp_3abolishsp.zip","2025.017P.Secoviridae_53nsp_3abolishsp.zip")</f>
        <v>2025.017P.Secoviridae_53nsp_3abolishsp.zip</v>
      </c>
    </row>
    <row r="15553" spans="1:21">
      <c r="A15553">
        <v>15552</v>
      </c>
      <c r="B15553" s="27" t="s">
        <v>1124</v>
      </c>
      <c r="D15553" s="27" t="s">
        <v>1859</v>
      </c>
      <c r="F15553" s="27" t="s">
        <v>1909</v>
      </c>
      <c r="H15553" s="27" t="s">
        <v>1912</v>
      </c>
      <c r="J15553" s="27" t="s">
        <v>260</v>
      </c>
      <c r="L15553" s="27" t="s">
        <v>435</v>
      </c>
      <c r="N15553" s="27" t="s">
        <v>393</v>
      </c>
      <c r="O15553" s="27" t="s">
        <v>1959</v>
      </c>
      <c r="P15553" s="27" t="s">
        <v>10648</v>
      </c>
      <c r="Q15553" s="26" t="str">
        <f>HYPERLINK("https://ictv.global/taxonomy/taxondetails?taxnode_id=202502154&amp;ictv_id=ICTV20094975","ICTV20094975")</f>
        <v>ICTV20094975</v>
      </c>
      <c r="R15553" t="s">
        <v>581</v>
      </c>
      <c r="S15553" t="s">
        <v>824</v>
      </c>
      <c r="T15553">
        <v>38</v>
      </c>
      <c r="U15553" s="26" t="str">
        <f>HYPERLINK("https://ictv.global/ictv/proposals/2022.005P.Secoviridae_rename.zip","2022.005P.Secoviridae_rename.zip")</f>
        <v>2022.005P.Secoviridae_rename.zip</v>
      </c>
    </row>
    <row r="15554" spans="1:21">
      <c r="A15554">
        <v>15553</v>
      </c>
      <c r="B15554" s="27" t="s">
        <v>1124</v>
      </c>
      <c r="D15554" s="27" t="s">
        <v>1859</v>
      </c>
      <c r="F15554" s="27" t="s">
        <v>1909</v>
      </c>
      <c r="H15554" s="27" t="s">
        <v>1912</v>
      </c>
      <c r="J15554" s="27" t="s">
        <v>260</v>
      </c>
      <c r="L15554" s="27" t="s">
        <v>435</v>
      </c>
      <c r="N15554" s="27" t="s">
        <v>167</v>
      </c>
      <c r="P15554" s="27" t="s">
        <v>10649</v>
      </c>
      <c r="Q15554" s="26" t="str">
        <f>HYPERLINK("https://ictv.global/taxonomy/taxondetails?taxnode_id=202502143&amp;ictv_id=ICTV20094970","ICTV20094970")</f>
        <v>ICTV20094970</v>
      </c>
      <c r="R15554" t="s">
        <v>581</v>
      </c>
      <c r="S15554" t="s">
        <v>824</v>
      </c>
      <c r="T15554">
        <v>38</v>
      </c>
      <c r="U15554" s="26" t="str">
        <f>HYPERLINK("https://ictv.global/ictv/proposals/2022.005P.Secoviridae_rename.zip","2022.005P.Secoviridae_rename.zip")</f>
        <v>2022.005P.Secoviridae_rename.zip</v>
      </c>
    </row>
    <row r="15555" spans="1:21">
      <c r="A15555">
        <v>15554</v>
      </c>
      <c r="B15555" s="27" t="s">
        <v>1124</v>
      </c>
      <c r="D15555" s="27" t="s">
        <v>1859</v>
      </c>
      <c r="F15555" s="27" t="s">
        <v>1909</v>
      </c>
      <c r="H15555" s="27" t="s">
        <v>1912</v>
      </c>
      <c r="J15555" s="27" t="s">
        <v>260</v>
      </c>
      <c r="L15555" s="27" t="s">
        <v>435</v>
      </c>
      <c r="N15555" s="27" t="s">
        <v>167</v>
      </c>
      <c r="P15555" s="27" t="s">
        <v>10650</v>
      </c>
      <c r="Q15555" s="26" t="str">
        <f>HYPERLINK("https://ictv.global/taxonomy/taxondetails?taxnode_id=202502145&amp;ictv_id=ICTV19982504","ICTV19982504")</f>
        <v>ICTV19982504</v>
      </c>
      <c r="R15555" t="s">
        <v>581</v>
      </c>
      <c r="S15555" t="s">
        <v>824</v>
      </c>
      <c r="T15555">
        <v>38</v>
      </c>
      <c r="U15555" s="26" t="str">
        <f>HYPERLINK("https://ictv.global/ictv/proposals/2022.005P.Secoviridae_rename.zip","2022.005P.Secoviridae_rename.zip")</f>
        <v>2022.005P.Secoviridae_rename.zip</v>
      </c>
    </row>
    <row r="15556" spans="1:21">
      <c r="A15556">
        <v>15555</v>
      </c>
      <c r="B15556" s="27" t="s">
        <v>1124</v>
      </c>
      <c r="D15556" s="27" t="s">
        <v>1859</v>
      </c>
      <c r="F15556" s="27" t="s">
        <v>1909</v>
      </c>
      <c r="H15556" s="27" t="s">
        <v>1912</v>
      </c>
      <c r="J15556" s="27" t="s">
        <v>260</v>
      </c>
      <c r="L15556" s="27" t="s">
        <v>435</v>
      </c>
      <c r="N15556" s="27" t="s">
        <v>167</v>
      </c>
      <c r="P15556" s="27" t="s">
        <v>21917</v>
      </c>
      <c r="Q15556" s="26" t="str">
        <f>HYPERLINK("https://ictv.global/taxonomy/taxondetails?taxnode_id=202522726&amp;ictv_id=ICTV202522726","ICTV202522726")</f>
        <v>ICTV202522726</v>
      </c>
      <c r="R15556" t="s">
        <v>581</v>
      </c>
      <c r="S15556" t="s">
        <v>823</v>
      </c>
      <c r="T15556">
        <v>41</v>
      </c>
      <c r="U15556" s="26" t="str">
        <f>HYPERLINK("https://ictv.global/ictv/proposals/2025.017P.Secoviridae_53nsp_3abolishsp.zip","2025.017P.Secoviridae_53nsp_3abolishsp.zip")</f>
        <v>2025.017P.Secoviridae_53nsp_3abolishsp.zip</v>
      </c>
    </row>
    <row r="15557" spans="1:21">
      <c r="A15557">
        <v>15556</v>
      </c>
      <c r="B15557" s="27" t="s">
        <v>1124</v>
      </c>
      <c r="D15557" s="27" t="s">
        <v>1859</v>
      </c>
      <c r="F15557" s="27" t="s">
        <v>1909</v>
      </c>
      <c r="H15557" s="27" t="s">
        <v>1912</v>
      </c>
      <c r="J15557" s="27" t="s">
        <v>260</v>
      </c>
      <c r="L15557" s="27" t="s">
        <v>435</v>
      </c>
      <c r="N15557" s="27" t="s">
        <v>167</v>
      </c>
      <c r="P15557" s="27" t="s">
        <v>10651</v>
      </c>
      <c r="Q15557" s="26" t="str">
        <f>HYPERLINK("https://ictv.global/taxonomy/taxondetails?taxnode_id=202513824&amp;ictv_id=ICTV202113824","ICTV202113824")</f>
        <v>ICTV202113824</v>
      </c>
      <c r="R15557" t="s">
        <v>581</v>
      </c>
      <c r="S15557" t="s">
        <v>824</v>
      </c>
      <c r="T15557">
        <v>38</v>
      </c>
      <c r="U15557" s="26" t="str">
        <f>HYPERLINK("https://ictv.global/ictv/proposals/2022.005P.Secoviridae_rename.zip","2022.005P.Secoviridae_rename.zip")</f>
        <v>2022.005P.Secoviridae_rename.zip</v>
      </c>
    </row>
    <row r="15558" spans="1:21">
      <c r="A15558">
        <v>15557</v>
      </c>
      <c r="B15558" s="27" t="s">
        <v>1124</v>
      </c>
      <c r="D15558" s="27" t="s">
        <v>1859</v>
      </c>
      <c r="F15558" s="27" t="s">
        <v>1909</v>
      </c>
      <c r="H15558" s="27" t="s">
        <v>1912</v>
      </c>
      <c r="J15558" s="27" t="s">
        <v>260</v>
      </c>
      <c r="L15558" s="27" t="s">
        <v>435</v>
      </c>
      <c r="N15558" s="27" t="s">
        <v>167</v>
      </c>
      <c r="P15558" s="27" t="s">
        <v>10652</v>
      </c>
      <c r="Q15558" s="26" t="str">
        <f>HYPERLINK("https://ictv.global/taxonomy/taxondetails?taxnode_id=202502144&amp;ictv_id=ICTV19952116","ICTV19952116")</f>
        <v>ICTV19952116</v>
      </c>
      <c r="R15558" t="s">
        <v>581</v>
      </c>
      <c r="S15558" t="s">
        <v>824</v>
      </c>
      <c r="T15558">
        <v>38</v>
      </c>
      <c r="U15558" s="26" t="str">
        <f>HYPERLINK("https://ictv.global/ictv/proposals/2022.005P.Secoviridae_rename.zip","2022.005P.Secoviridae_rename.zip")</f>
        <v>2022.005P.Secoviridae_rename.zip</v>
      </c>
    </row>
    <row r="15559" spans="1:21">
      <c r="A15559">
        <v>15558</v>
      </c>
      <c r="B15559" s="27" t="s">
        <v>1124</v>
      </c>
      <c r="D15559" s="27" t="s">
        <v>1859</v>
      </c>
      <c r="F15559" s="27" t="s">
        <v>1909</v>
      </c>
      <c r="H15559" s="27" t="s">
        <v>1912</v>
      </c>
      <c r="J15559" s="27" t="s">
        <v>260</v>
      </c>
      <c r="L15559" s="27" t="s">
        <v>435</v>
      </c>
      <c r="N15559" s="27" t="s">
        <v>10653</v>
      </c>
      <c r="P15559" s="27" t="s">
        <v>21911</v>
      </c>
      <c r="Q15559" s="26" t="str">
        <f>HYPERLINK("https://ictv.global/taxonomy/taxondetails?taxnode_id=202522720&amp;ictv_id=ICTV202522720","ICTV202522720")</f>
        <v>ICTV202522720</v>
      </c>
      <c r="R15559" t="s">
        <v>581</v>
      </c>
      <c r="S15559" t="s">
        <v>823</v>
      </c>
      <c r="T15559">
        <v>41</v>
      </c>
      <c r="U15559" s="26" t="str">
        <f>HYPERLINK("https://ictv.global/ictv/proposals/2025.017P.Secoviridae_53nsp_3abolishsp.zip","2025.017P.Secoviridae_53nsp_3abolishsp.zip")</f>
        <v>2025.017P.Secoviridae_53nsp_3abolishsp.zip</v>
      </c>
    </row>
    <row r="15560" spans="1:21">
      <c r="A15560">
        <v>15559</v>
      </c>
      <c r="B15560" s="27" t="s">
        <v>1124</v>
      </c>
      <c r="D15560" s="27" t="s">
        <v>1859</v>
      </c>
      <c r="F15560" s="27" t="s">
        <v>1909</v>
      </c>
      <c r="H15560" s="27" t="s">
        <v>1912</v>
      </c>
      <c r="J15560" s="27" t="s">
        <v>260</v>
      </c>
      <c r="L15560" s="27" t="s">
        <v>435</v>
      </c>
      <c r="N15560" s="27" t="s">
        <v>10653</v>
      </c>
      <c r="P15560" s="27" t="s">
        <v>17418</v>
      </c>
      <c r="Q15560" s="26" t="str">
        <f>HYPERLINK("https://ictv.global/taxonomy/taxondetails?taxnode_id=202518394&amp;ictv_id=ICTV202318394","ICTV202318394")</f>
        <v>ICTV202318394</v>
      </c>
      <c r="R15560" t="s">
        <v>581</v>
      </c>
      <c r="S15560" t="s">
        <v>823</v>
      </c>
      <c r="T15560">
        <v>39</v>
      </c>
      <c r="U15560" s="26" t="str">
        <f>HYPERLINK("https://ictv.global/ictv/proposals/2023.018P.Secoviridae_16nsp.zip","2023.018P.Secoviridae_16nsp.zip")</f>
        <v>2023.018P.Secoviridae_16nsp.zip</v>
      </c>
    </row>
    <row r="15561" spans="1:21">
      <c r="A15561">
        <v>15560</v>
      </c>
      <c r="B15561" s="27" t="s">
        <v>1124</v>
      </c>
      <c r="D15561" s="27" t="s">
        <v>1859</v>
      </c>
      <c r="F15561" s="27" t="s">
        <v>1909</v>
      </c>
      <c r="H15561" s="27" t="s">
        <v>1912</v>
      </c>
      <c r="J15561" s="27" t="s">
        <v>260</v>
      </c>
      <c r="L15561" s="27" t="s">
        <v>435</v>
      </c>
      <c r="N15561" s="27" t="s">
        <v>10653</v>
      </c>
      <c r="P15561" s="27" t="s">
        <v>10654</v>
      </c>
      <c r="Q15561" s="26" t="str">
        <f>HYPERLINK("https://ictv.global/taxonomy/taxondetails?taxnode_id=202502156&amp;ictv_id=ICTV20042239","ICTV20042239")</f>
        <v>ICTV20042239</v>
      </c>
      <c r="R15561" t="s">
        <v>581</v>
      </c>
      <c r="S15561" t="s">
        <v>824</v>
      </c>
      <c r="T15561">
        <v>38</v>
      </c>
      <c r="U15561" s="26" t="str">
        <f>HYPERLINK("https://ictv.global/ictv/proposals/2022.005P.Secoviridae_rename.zip","2022.005P.Secoviridae_rename.zip")</f>
        <v>2022.005P.Secoviridae_rename.zip</v>
      </c>
    </row>
    <row r="15562" spans="1:21">
      <c r="A15562">
        <v>15561</v>
      </c>
      <c r="B15562" s="27" t="s">
        <v>1124</v>
      </c>
      <c r="D15562" s="27" t="s">
        <v>1859</v>
      </c>
      <c r="F15562" s="27" t="s">
        <v>1909</v>
      </c>
      <c r="H15562" s="27" t="s">
        <v>1912</v>
      </c>
      <c r="J15562" s="27" t="s">
        <v>260</v>
      </c>
      <c r="L15562" s="27" t="s">
        <v>435</v>
      </c>
      <c r="N15562" s="27" t="s">
        <v>10653</v>
      </c>
      <c r="P15562" s="27" t="s">
        <v>10655</v>
      </c>
      <c r="Q15562" s="26" t="str">
        <f>HYPERLINK("https://ictv.global/taxonomy/taxondetails?taxnode_id=202512968&amp;ictv_id=ICTV202112968","ICTV202112968")</f>
        <v>ICTV202112968</v>
      </c>
      <c r="R15562" t="s">
        <v>581</v>
      </c>
      <c r="S15562" t="s">
        <v>824</v>
      </c>
      <c r="T15562">
        <v>38</v>
      </c>
      <c r="U15562" s="26" t="str">
        <f>HYPERLINK("https://ictv.global/ictv/proposals/2022.005P.Secoviridae_rename.zip","2022.005P.Secoviridae_rename.zip")</f>
        <v>2022.005P.Secoviridae_rename.zip</v>
      </c>
    </row>
    <row r="15563" spans="1:21">
      <c r="A15563">
        <v>15562</v>
      </c>
      <c r="B15563" s="27" t="s">
        <v>1124</v>
      </c>
      <c r="D15563" s="27" t="s">
        <v>1859</v>
      </c>
      <c r="F15563" s="27" t="s">
        <v>1909</v>
      </c>
      <c r="H15563" s="27" t="s">
        <v>1912</v>
      </c>
      <c r="J15563" s="27" t="s">
        <v>260</v>
      </c>
      <c r="L15563" s="27" t="s">
        <v>435</v>
      </c>
      <c r="N15563" s="27" t="s">
        <v>10653</v>
      </c>
      <c r="P15563" s="27" t="s">
        <v>21912</v>
      </c>
      <c r="Q15563" s="26" t="str">
        <f>HYPERLINK("https://ictv.global/taxonomy/taxondetails?taxnode_id=202522721&amp;ictv_id=ICTV202522721","ICTV202522721")</f>
        <v>ICTV202522721</v>
      </c>
      <c r="R15563" t="s">
        <v>581</v>
      </c>
      <c r="S15563" t="s">
        <v>823</v>
      </c>
      <c r="T15563">
        <v>41</v>
      </c>
      <c r="U15563" s="26" t="str">
        <f>HYPERLINK("https://ictv.global/ictv/proposals/2025.017P.Secoviridae_53nsp_3abolishsp.zip","2025.017P.Secoviridae_53nsp_3abolishsp.zip")</f>
        <v>2025.017P.Secoviridae_53nsp_3abolishsp.zip</v>
      </c>
    </row>
    <row r="15564" spans="1:21">
      <c r="A15564">
        <v>15563</v>
      </c>
      <c r="B15564" s="27" t="s">
        <v>1124</v>
      </c>
      <c r="D15564" s="27" t="s">
        <v>1859</v>
      </c>
      <c r="F15564" s="27" t="s">
        <v>1909</v>
      </c>
      <c r="H15564" s="27" t="s">
        <v>1912</v>
      </c>
      <c r="J15564" s="27" t="s">
        <v>260</v>
      </c>
      <c r="L15564" s="27" t="s">
        <v>435</v>
      </c>
      <c r="N15564" s="27" t="s">
        <v>434</v>
      </c>
      <c r="P15564" s="27" t="s">
        <v>20528</v>
      </c>
      <c r="Q15564" s="26" t="str">
        <f>HYPERLINK("https://ictv.global/taxonomy/taxondetails?taxnode_id=202520584&amp;ictv_id=ICTV202420584","ICTV202420584")</f>
        <v>ICTV202420584</v>
      </c>
      <c r="R15564" t="s">
        <v>581</v>
      </c>
      <c r="S15564" t="s">
        <v>823</v>
      </c>
      <c r="T15564">
        <v>40</v>
      </c>
      <c r="U15564" s="26" t="str">
        <f>HYPERLINK("https://ictv.global/ictv/proposals/2024.013P.Secoviridae_1ng_2nsg_34nsp.zip","2024.013P.Secoviridae_1ng_2nsg_34nsp.zip")</f>
        <v>2024.013P.Secoviridae_1ng_2nsg_34nsp.zip</v>
      </c>
    </row>
    <row r="15565" spans="1:21">
      <c r="A15565">
        <v>15564</v>
      </c>
      <c r="B15565" s="27" t="s">
        <v>1124</v>
      </c>
      <c r="D15565" s="27" t="s">
        <v>1859</v>
      </c>
      <c r="F15565" s="27" t="s">
        <v>1909</v>
      </c>
      <c r="H15565" s="27" t="s">
        <v>1912</v>
      </c>
      <c r="J15565" s="27" t="s">
        <v>260</v>
      </c>
      <c r="L15565" s="27" t="s">
        <v>435</v>
      </c>
      <c r="N15565" s="27" t="s">
        <v>434</v>
      </c>
      <c r="P15565" s="27" t="s">
        <v>10656</v>
      </c>
      <c r="Q15565" s="26" t="str">
        <f>HYPERLINK("https://ictv.global/taxonomy/taxondetails?taxnode_id=202502149&amp;ictv_id=ICTV20151472","ICTV20151472")</f>
        <v>ICTV20151472</v>
      </c>
      <c r="R15565" t="s">
        <v>581</v>
      </c>
      <c r="S15565" t="s">
        <v>824</v>
      </c>
      <c r="T15565">
        <v>38</v>
      </c>
      <c r="U15565" s="26" t="str">
        <f>HYPERLINK("https://ictv.global/ictv/proposals/2022.005P.Secoviridae_rename.zip","2022.005P.Secoviridae_rename.zip")</f>
        <v>2022.005P.Secoviridae_rename.zip</v>
      </c>
    </row>
    <row r="15566" spans="1:21">
      <c r="A15566">
        <v>15565</v>
      </c>
      <c r="B15566" s="27" t="s">
        <v>1124</v>
      </c>
      <c r="D15566" s="27" t="s">
        <v>1859</v>
      </c>
      <c r="F15566" s="27" t="s">
        <v>1909</v>
      </c>
      <c r="H15566" s="27" t="s">
        <v>1912</v>
      </c>
      <c r="J15566" s="27" t="s">
        <v>260</v>
      </c>
      <c r="L15566" s="27" t="s">
        <v>435</v>
      </c>
      <c r="N15566" s="27" t="s">
        <v>434</v>
      </c>
      <c r="P15566" s="27" t="s">
        <v>10657</v>
      </c>
      <c r="Q15566" s="26" t="str">
        <f>HYPERLINK("https://ictv.global/taxonomy/taxondetails?taxnode_id=202502147&amp;ictv_id=ICTV20151471","ICTV20151471")</f>
        <v>ICTV20151471</v>
      </c>
      <c r="R15566" t="s">
        <v>581</v>
      </c>
      <c r="S15566" t="s">
        <v>824</v>
      </c>
      <c r="T15566">
        <v>38</v>
      </c>
      <c r="U15566" s="26" t="str">
        <f>HYPERLINK("https://ictv.global/ictv/proposals/2022.005P.Secoviridae_rename.zip","2022.005P.Secoviridae_rename.zip")</f>
        <v>2022.005P.Secoviridae_rename.zip</v>
      </c>
    </row>
    <row r="15567" spans="1:21">
      <c r="A15567">
        <v>15566</v>
      </c>
      <c r="B15567" s="27" t="s">
        <v>1124</v>
      </c>
      <c r="D15567" s="27" t="s">
        <v>1859</v>
      </c>
      <c r="F15567" s="27" t="s">
        <v>1909</v>
      </c>
      <c r="H15567" s="27" t="s">
        <v>1912</v>
      </c>
      <c r="J15567" s="27" t="s">
        <v>260</v>
      </c>
      <c r="L15567" s="27" t="s">
        <v>435</v>
      </c>
      <c r="N15567" s="27" t="s">
        <v>434</v>
      </c>
      <c r="P15567" s="27" t="s">
        <v>10658</v>
      </c>
      <c r="Q15567" s="26" t="str">
        <f>HYPERLINK("https://ictv.global/taxonomy/taxondetails?taxnode_id=202515097&amp;ictv_id=ICTV202215097","ICTV202215097")</f>
        <v>ICTV202215097</v>
      </c>
      <c r="R15567" t="s">
        <v>581</v>
      </c>
      <c r="S15567" t="s">
        <v>823</v>
      </c>
      <c r="T15567">
        <v>38</v>
      </c>
      <c r="U15567" s="26" t="str">
        <f>HYPERLINK("https://ictv.global/ictv/proposals/2022.004P.Secoviridae_8ns.zip","2022.004P.Secoviridae_8ns.zip")</f>
        <v>2022.004P.Secoviridae_8ns.zip</v>
      </c>
    </row>
    <row r="15568" spans="1:21">
      <c r="A15568">
        <v>15567</v>
      </c>
      <c r="B15568" s="27" t="s">
        <v>1124</v>
      </c>
      <c r="D15568" s="27" t="s">
        <v>1859</v>
      </c>
      <c r="F15568" s="27" t="s">
        <v>1909</v>
      </c>
      <c r="H15568" s="27" t="s">
        <v>1912</v>
      </c>
      <c r="J15568" s="27" t="s">
        <v>260</v>
      </c>
      <c r="L15568" s="27" t="s">
        <v>435</v>
      </c>
      <c r="N15568" s="27" t="s">
        <v>434</v>
      </c>
      <c r="P15568" s="27" t="s">
        <v>10659</v>
      </c>
      <c r="Q15568" s="26" t="str">
        <f>HYPERLINK("https://ictv.global/taxonomy/taxondetails?taxnode_id=202502150&amp;ictv_id=ICTV20165214","ICTV20165214")</f>
        <v>ICTV20165214</v>
      </c>
      <c r="R15568" t="s">
        <v>581</v>
      </c>
      <c r="S15568" t="s">
        <v>824</v>
      </c>
      <c r="T15568">
        <v>38</v>
      </c>
      <c r="U15568" s="26" t="str">
        <f>HYPERLINK("https://ictv.global/ictv/proposals/2022.005P.Secoviridae_rename.zip","2022.005P.Secoviridae_rename.zip")</f>
        <v>2022.005P.Secoviridae_rename.zip</v>
      </c>
    </row>
    <row r="15569" spans="1:21">
      <c r="A15569">
        <v>15568</v>
      </c>
      <c r="B15569" s="27" t="s">
        <v>1124</v>
      </c>
      <c r="D15569" s="27" t="s">
        <v>1859</v>
      </c>
      <c r="F15569" s="27" t="s">
        <v>1909</v>
      </c>
      <c r="H15569" s="27" t="s">
        <v>1912</v>
      </c>
      <c r="J15569" s="27" t="s">
        <v>260</v>
      </c>
      <c r="L15569" s="27" t="s">
        <v>435</v>
      </c>
      <c r="N15569" s="27" t="s">
        <v>434</v>
      </c>
      <c r="P15569" s="27" t="s">
        <v>17419</v>
      </c>
      <c r="Q15569" s="26" t="str">
        <f>HYPERLINK("https://ictv.global/taxonomy/taxondetails?taxnode_id=202518395&amp;ictv_id=ICTV202318395","ICTV202318395")</f>
        <v>ICTV202318395</v>
      </c>
      <c r="R15569" t="s">
        <v>581</v>
      </c>
      <c r="S15569" t="s">
        <v>823</v>
      </c>
      <c r="T15569">
        <v>39</v>
      </c>
      <c r="U15569" s="26" t="str">
        <f>HYPERLINK("https://ictv.global/ictv/proposals/2023.018P.Secoviridae_16nsp.zip","2023.018P.Secoviridae_16nsp.zip")</f>
        <v>2023.018P.Secoviridae_16nsp.zip</v>
      </c>
    </row>
    <row r="15570" spans="1:21">
      <c r="A15570">
        <v>15569</v>
      </c>
      <c r="B15570" s="27" t="s">
        <v>1124</v>
      </c>
      <c r="D15570" s="27" t="s">
        <v>1859</v>
      </c>
      <c r="F15570" s="27" t="s">
        <v>1909</v>
      </c>
      <c r="H15570" s="27" t="s">
        <v>1912</v>
      </c>
      <c r="J15570" s="27" t="s">
        <v>260</v>
      </c>
      <c r="L15570" s="27" t="s">
        <v>435</v>
      </c>
      <c r="N15570" s="27" t="s">
        <v>434</v>
      </c>
      <c r="P15570" s="27" t="s">
        <v>10660</v>
      </c>
      <c r="Q15570" s="26" t="str">
        <f>HYPERLINK("https://ictv.global/taxonomy/taxondetails?taxnode_id=202502148&amp;ictv_id=ICTV20141118","ICTV20141118")</f>
        <v>ICTV20141118</v>
      </c>
      <c r="R15570" t="s">
        <v>581</v>
      </c>
      <c r="S15570" t="s">
        <v>824</v>
      </c>
      <c r="T15570">
        <v>38</v>
      </c>
      <c r="U15570" s="26" t="str">
        <f>HYPERLINK("https://ictv.global/ictv/proposals/2022.005P.Secoviridae_rename.zip","2022.005P.Secoviridae_rename.zip")</f>
        <v>2022.005P.Secoviridae_rename.zip</v>
      </c>
    </row>
    <row r="15571" spans="1:21">
      <c r="A15571">
        <v>15570</v>
      </c>
      <c r="B15571" s="27" t="s">
        <v>1124</v>
      </c>
      <c r="D15571" s="27" t="s">
        <v>1859</v>
      </c>
      <c r="F15571" s="27" t="s">
        <v>1909</v>
      </c>
      <c r="H15571" s="27" t="s">
        <v>1912</v>
      </c>
      <c r="J15571" s="27" t="s">
        <v>260</v>
      </c>
      <c r="L15571" s="27" t="s">
        <v>435</v>
      </c>
      <c r="N15571" s="27" t="s">
        <v>434</v>
      </c>
      <c r="P15571" s="27" t="s">
        <v>21915</v>
      </c>
      <c r="Q15571" s="26" t="str">
        <f>HYPERLINK("https://ictv.global/taxonomy/taxondetails?taxnode_id=202522724&amp;ictv_id=ICTV202522724","ICTV202522724")</f>
        <v>ICTV202522724</v>
      </c>
      <c r="R15571" t="s">
        <v>581</v>
      </c>
      <c r="S15571" t="s">
        <v>823</v>
      </c>
      <c r="T15571">
        <v>41</v>
      </c>
      <c r="U15571" s="26" t="str">
        <f>HYPERLINK("https://ictv.global/ictv/proposals/2025.017P.Secoviridae_53nsp_3abolishsp.zip","2025.017P.Secoviridae_53nsp_3abolishsp.zip")</f>
        <v>2025.017P.Secoviridae_53nsp_3abolishsp.zip</v>
      </c>
    </row>
    <row r="15572" spans="1:21">
      <c r="A15572">
        <v>15571</v>
      </c>
      <c r="B15572" s="27" t="s">
        <v>1124</v>
      </c>
      <c r="D15572" s="27" t="s">
        <v>1859</v>
      </c>
      <c r="F15572" s="27" t="s">
        <v>1909</v>
      </c>
      <c r="H15572" s="27" t="s">
        <v>1912</v>
      </c>
      <c r="J15572" s="27" t="s">
        <v>260</v>
      </c>
      <c r="L15572" s="27" t="s">
        <v>435</v>
      </c>
      <c r="N15572" s="27" t="s">
        <v>434</v>
      </c>
      <c r="P15572" s="27" t="s">
        <v>10661</v>
      </c>
      <c r="Q15572" s="26" t="str">
        <f>HYPERLINK("https://ictv.global/taxonomy/taxondetails?taxnode_id=202502152&amp;ictv_id=ICTV20094974","ICTV20094974")</f>
        <v>ICTV20094974</v>
      </c>
      <c r="R15572" t="s">
        <v>581</v>
      </c>
      <c r="S15572" t="s">
        <v>824</v>
      </c>
      <c r="T15572">
        <v>38</v>
      </c>
      <c r="U15572" s="26" t="str">
        <f>HYPERLINK("https://ictv.global/ictv/proposals/2022.005P.Secoviridae_rename.zip","2022.005P.Secoviridae_rename.zip")</f>
        <v>2022.005P.Secoviridae_rename.zip</v>
      </c>
    </row>
    <row r="15573" spans="1:21">
      <c r="A15573">
        <v>15572</v>
      </c>
      <c r="B15573" s="27" t="s">
        <v>1124</v>
      </c>
      <c r="D15573" s="27" t="s">
        <v>1859</v>
      </c>
      <c r="F15573" s="27" t="s">
        <v>1909</v>
      </c>
      <c r="H15573" s="27" t="s">
        <v>1912</v>
      </c>
      <c r="J15573" s="27" t="s">
        <v>260</v>
      </c>
      <c r="L15573" s="27" t="s">
        <v>435</v>
      </c>
      <c r="N15573" s="27" t="s">
        <v>434</v>
      </c>
      <c r="P15573" s="27" t="s">
        <v>10662</v>
      </c>
      <c r="Q15573" s="26" t="str">
        <f>HYPERLINK("https://ictv.global/taxonomy/taxondetails?taxnode_id=202515096&amp;ictv_id=ICTV202215096","ICTV202215096")</f>
        <v>ICTV202215096</v>
      </c>
      <c r="R15573" t="s">
        <v>581</v>
      </c>
      <c r="S15573" t="s">
        <v>823</v>
      </c>
      <c r="T15573">
        <v>38</v>
      </c>
      <c r="U15573" s="26" t="str">
        <f>HYPERLINK("https://ictv.global/ictv/proposals/2022.004P.Secoviridae_8ns.zip","2022.004P.Secoviridae_8ns.zip")</f>
        <v>2022.004P.Secoviridae_8ns.zip</v>
      </c>
    </row>
    <row r="15574" spans="1:21">
      <c r="A15574">
        <v>15573</v>
      </c>
      <c r="B15574" s="27" t="s">
        <v>1124</v>
      </c>
      <c r="D15574" s="27" t="s">
        <v>1859</v>
      </c>
      <c r="F15574" s="27" t="s">
        <v>1909</v>
      </c>
      <c r="H15574" s="27" t="s">
        <v>1912</v>
      </c>
      <c r="J15574" s="27" t="s">
        <v>260</v>
      </c>
      <c r="L15574" s="27" t="s">
        <v>435</v>
      </c>
      <c r="N15574" s="27" t="s">
        <v>434</v>
      </c>
      <c r="P15574" s="27" t="s">
        <v>10663</v>
      </c>
      <c r="Q15574" s="26" t="str">
        <f>HYPERLINK("https://ictv.global/taxonomy/taxondetails?taxnode_id=202502151&amp;ictv_id=ICTV20094973","ICTV20094973")</f>
        <v>ICTV20094973</v>
      </c>
      <c r="R15574" t="s">
        <v>581</v>
      </c>
      <c r="S15574" t="s">
        <v>824</v>
      </c>
      <c r="T15574">
        <v>38</v>
      </c>
      <c r="U15574" s="26" t="str">
        <f>HYPERLINK("https://ictv.global/ictv/proposals/2022.005P.Secoviridae_rename.zip","2022.005P.Secoviridae_rename.zip")</f>
        <v>2022.005P.Secoviridae_rename.zip</v>
      </c>
    </row>
    <row r="15575" spans="1:21">
      <c r="A15575">
        <v>15574</v>
      </c>
      <c r="B15575" s="27" t="s">
        <v>1124</v>
      </c>
      <c r="D15575" s="27" t="s">
        <v>1859</v>
      </c>
      <c r="F15575" s="27" t="s">
        <v>1909</v>
      </c>
      <c r="H15575" s="27" t="s">
        <v>1912</v>
      </c>
      <c r="J15575" s="27" t="s">
        <v>260</v>
      </c>
      <c r="L15575" s="27" t="s">
        <v>435</v>
      </c>
      <c r="N15575" s="27" t="s">
        <v>434</v>
      </c>
      <c r="P15575" s="27" t="s">
        <v>20529</v>
      </c>
      <c r="Q15575" s="26" t="str">
        <f>HYPERLINK("https://ictv.global/taxonomy/taxondetails?taxnode_id=202520585&amp;ictv_id=ICTV202420585","ICTV202420585")</f>
        <v>ICTV202420585</v>
      </c>
      <c r="R15575" t="s">
        <v>581</v>
      </c>
      <c r="S15575" t="s">
        <v>823</v>
      </c>
      <c r="T15575">
        <v>40</v>
      </c>
      <c r="U15575" s="26" t="str">
        <f>HYPERLINK("https://ictv.global/ictv/proposals/2024.013P.Secoviridae_1ng_2nsg_34nsp.zip","2024.013P.Secoviridae_1ng_2nsg_34nsp.zip")</f>
        <v>2024.013P.Secoviridae_1ng_2nsg_34nsp.zip</v>
      </c>
    </row>
    <row r="15576" spans="1:21">
      <c r="A15576">
        <v>15575</v>
      </c>
      <c r="B15576" s="27" t="s">
        <v>1124</v>
      </c>
      <c r="D15576" s="27" t="s">
        <v>1859</v>
      </c>
      <c r="F15576" s="27" t="s">
        <v>1909</v>
      </c>
      <c r="H15576" s="27" t="s">
        <v>1912</v>
      </c>
      <c r="J15576" s="27" t="s">
        <v>260</v>
      </c>
      <c r="L15576" s="27" t="s">
        <v>435</v>
      </c>
      <c r="N15576" s="27" t="s">
        <v>434</v>
      </c>
      <c r="P15576" s="27" t="s">
        <v>21914</v>
      </c>
      <c r="Q15576" s="26" t="str">
        <f>HYPERLINK("https://ictv.global/taxonomy/taxondetails?taxnode_id=202522723&amp;ictv_id=ICTV202522723","ICTV202522723")</f>
        <v>ICTV202522723</v>
      </c>
      <c r="R15576" t="s">
        <v>581</v>
      </c>
      <c r="S15576" t="s">
        <v>823</v>
      </c>
      <c r="T15576">
        <v>41</v>
      </c>
      <c r="U15576" s="26" t="str">
        <f>HYPERLINK("https://ictv.global/ictv/proposals/2025.017P.Secoviridae_53nsp_3abolishsp.zip","2025.017P.Secoviridae_53nsp_3abolishsp.zip")</f>
        <v>2025.017P.Secoviridae_53nsp_3abolishsp.zip</v>
      </c>
    </row>
    <row r="15577" spans="1:21">
      <c r="A15577">
        <v>15576</v>
      </c>
      <c r="B15577" s="27" t="s">
        <v>1124</v>
      </c>
      <c r="D15577" s="27" t="s">
        <v>1859</v>
      </c>
      <c r="F15577" s="27" t="s">
        <v>1909</v>
      </c>
      <c r="H15577" s="27" t="s">
        <v>1912</v>
      </c>
      <c r="J15577" s="27" t="s">
        <v>260</v>
      </c>
      <c r="L15577" s="27" t="s">
        <v>435</v>
      </c>
      <c r="N15577" s="27" t="s">
        <v>434</v>
      </c>
      <c r="P15577" s="27" t="s">
        <v>20530</v>
      </c>
      <c r="Q15577" s="26" t="str">
        <f>HYPERLINK("https://ictv.global/taxonomy/taxondetails?taxnode_id=202520586&amp;ictv_id=ICTV202420586","ICTV202420586")</f>
        <v>ICTV202420586</v>
      </c>
      <c r="R15577" t="s">
        <v>581</v>
      </c>
      <c r="S15577" t="s">
        <v>823</v>
      </c>
      <c r="T15577">
        <v>40</v>
      </c>
      <c r="U15577" s="26" t="str">
        <f>HYPERLINK("https://ictv.global/ictv/proposals/2024.013P.Secoviridae_1ng_2nsg_34nsp.zip","2024.013P.Secoviridae_1ng_2nsg_34nsp.zip")</f>
        <v>2024.013P.Secoviridae_1ng_2nsg_34nsp.zip</v>
      </c>
    </row>
    <row r="15578" spans="1:21">
      <c r="A15578">
        <v>15577</v>
      </c>
      <c r="B15578" s="27" t="s">
        <v>1124</v>
      </c>
      <c r="D15578" s="27" t="s">
        <v>1859</v>
      </c>
      <c r="F15578" s="27" t="s">
        <v>1909</v>
      </c>
      <c r="H15578" s="27" t="s">
        <v>1912</v>
      </c>
      <c r="J15578" s="27" t="s">
        <v>260</v>
      </c>
      <c r="L15578" s="27" t="s">
        <v>435</v>
      </c>
      <c r="N15578" s="27" t="s">
        <v>434</v>
      </c>
      <c r="P15578" s="27" t="s">
        <v>21913</v>
      </c>
      <c r="Q15578" s="26" t="str">
        <f>HYPERLINK("https://ictv.global/taxonomy/taxondetails?taxnode_id=202522722&amp;ictv_id=ICTV202522722","ICTV202522722")</f>
        <v>ICTV202522722</v>
      </c>
      <c r="R15578" t="s">
        <v>581</v>
      </c>
      <c r="S15578" t="s">
        <v>823</v>
      </c>
      <c r="T15578">
        <v>41</v>
      </c>
      <c r="U15578" s="26" t="str">
        <f>HYPERLINK("https://ictv.global/ictv/proposals/2025.017P.Secoviridae_53nsp_3abolishsp.zip","2025.017P.Secoviridae_53nsp_3abolishsp.zip")</f>
        <v>2025.017P.Secoviridae_53nsp_3abolishsp.zip</v>
      </c>
    </row>
    <row r="15579" spans="1:21">
      <c r="A15579">
        <v>15578</v>
      </c>
      <c r="B15579" s="27" t="s">
        <v>1124</v>
      </c>
      <c r="D15579" s="27" t="s">
        <v>1859</v>
      </c>
      <c r="F15579" s="27" t="s">
        <v>1909</v>
      </c>
      <c r="H15579" s="27" t="s">
        <v>1912</v>
      </c>
      <c r="J15579" s="27" t="s">
        <v>260</v>
      </c>
      <c r="L15579" s="27" t="s">
        <v>435</v>
      </c>
      <c r="N15579" s="27" t="s">
        <v>434</v>
      </c>
      <c r="P15579" s="27" t="s">
        <v>21916</v>
      </c>
      <c r="Q15579" s="26" t="str">
        <f>HYPERLINK("https://ictv.global/taxonomy/taxondetails?taxnode_id=202522725&amp;ictv_id=ICTV202522725","ICTV202522725")</f>
        <v>ICTV202522725</v>
      </c>
      <c r="R15579" t="s">
        <v>581</v>
      </c>
      <c r="S15579" t="s">
        <v>823</v>
      </c>
      <c r="T15579">
        <v>41</v>
      </c>
      <c r="U15579" s="26" t="str">
        <f>HYPERLINK("https://ictv.global/ictv/proposals/2025.017P.Secoviridae_53nsp_3abolishsp.zip","2025.017P.Secoviridae_53nsp_3abolishsp.zip")</f>
        <v>2025.017P.Secoviridae_53nsp_3abolishsp.zip</v>
      </c>
    </row>
    <row r="15580" spans="1:21">
      <c r="A15580">
        <v>15579</v>
      </c>
      <c r="B15580" s="27" t="s">
        <v>1124</v>
      </c>
      <c r="D15580" s="27" t="s">
        <v>1859</v>
      </c>
      <c r="F15580" s="27" t="s">
        <v>1909</v>
      </c>
      <c r="H15580" s="27" t="s">
        <v>1912</v>
      </c>
      <c r="J15580" s="27" t="s">
        <v>260</v>
      </c>
      <c r="L15580" s="27" t="s">
        <v>435</v>
      </c>
      <c r="N15580" s="27" t="s">
        <v>412</v>
      </c>
      <c r="O15580" s="27" t="s">
        <v>20531</v>
      </c>
      <c r="P15580" s="27" t="s">
        <v>10664</v>
      </c>
      <c r="Q15580" s="26" t="str">
        <f>HYPERLINK("https://ictv.global/taxonomy/taxondetails?taxnode_id=202513829&amp;ictv_id=ICTV202113829","ICTV202113829")</f>
        <v>ICTV202113829</v>
      </c>
      <c r="R15580" t="s">
        <v>581</v>
      </c>
      <c r="S15580" t="s">
        <v>22763</v>
      </c>
      <c r="T15580">
        <v>40</v>
      </c>
      <c r="U15580" s="26" t="str">
        <f t="shared" ref="U15580:U15585" si="583">HYPERLINK("https://ictv.global/ictv/proposals/2024.013P.Secoviridae_1ng_2nsg_34nsp.zip","2024.013P.Secoviridae_1ng_2nsg_34nsp.zip")</f>
        <v>2024.013P.Secoviridae_1ng_2nsg_34nsp.zip</v>
      </c>
    </row>
    <row r="15581" spans="1:21">
      <c r="A15581">
        <v>15580</v>
      </c>
      <c r="B15581" s="27" t="s">
        <v>1124</v>
      </c>
      <c r="D15581" s="27" t="s">
        <v>1859</v>
      </c>
      <c r="F15581" s="27" t="s">
        <v>1909</v>
      </c>
      <c r="H15581" s="27" t="s">
        <v>1912</v>
      </c>
      <c r="J15581" s="27" t="s">
        <v>260</v>
      </c>
      <c r="L15581" s="27" t="s">
        <v>435</v>
      </c>
      <c r="N15581" s="27" t="s">
        <v>412</v>
      </c>
      <c r="O15581" s="27" t="s">
        <v>20531</v>
      </c>
      <c r="P15581" s="27" t="s">
        <v>20532</v>
      </c>
      <c r="Q15581" s="26" t="str">
        <f>HYPERLINK("https://ictv.global/taxonomy/taxondetails?taxnode_id=202520557&amp;ictv_id=ICTV202420557","ICTV202420557")</f>
        <v>ICTV202420557</v>
      </c>
      <c r="R15581" t="s">
        <v>581</v>
      </c>
      <c r="S15581" t="s">
        <v>823</v>
      </c>
      <c r="T15581">
        <v>40</v>
      </c>
      <c r="U15581" s="26" t="str">
        <f t="shared" si="583"/>
        <v>2024.013P.Secoviridae_1ng_2nsg_34nsp.zip</v>
      </c>
    </row>
    <row r="15582" spans="1:21">
      <c r="A15582">
        <v>15581</v>
      </c>
      <c r="B15582" s="27" t="s">
        <v>1124</v>
      </c>
      <c r="D15582" s="27" t="s">
        <v>1859</v>
      </c>
      <c r="F15582" s="27" t="s">
        <v>1909</v>
      </c>
      <c r="H15582" s="27" t="s">
        <v>1912</v>
      </c>
      <c r="J15582" s="27" t="s">
        <v>260</v>
      </c>
      <c r="L15582" s="27" t="s">
        <v>435</v>
      </c>
      <c r="N15582" s="27" t="s">
        <v>412</v>
      </c>
      <c r="O15582" s="27" t="s">
        <v>20531</v>
      </c>
      <c r="P15582" s="27" t="s">
        <v>10666</v>
      </c>
      <c r="Q15582" s="26" t="str">
        <f>HYPERLINK("https://ictv.global/taxonomy/taxondetails?taxnode_id=202515098&amp;ictv_id=ICTV202215098","ICTV202215098")</f>
        <v>ICTV202215098</v>
      </c>
      <c r="R15582" t="s">
        <v>581</v>
      </c>
      <c r="S15582" t="s">
        <v>22763</v>
      </c>
      <c r="T15582">
        <v>40</v>
      </c>
      <c r="U15582" s="26" t="str">
        <f t="shared" si="583"/>
        <v>2024.013P.Secoviridae_1ng_2nsg_34nsp.zip</v>
      </c>
    </row>
    <row r="15583" spans="1:21">
      <c r="A15583">
        <v>15582</v>
      </c>
      <c r="B15583" s="27" t="s">
        <v>1124</v>
      </c>
      <c r="D15583" s="27" t="s">
        <v>1859</v>
      </c>
      <c r="F15583" s="27" t="s">
        <v>1909</v>
      </c>
      <c r="H15583" s="27" t="s">
        <v>1912</v>
      </c>
      <c r="J15583" s="27" t="s">
        <v>260</v>
      </c>
      <c r="L15583" s="27" t="s">
        <v>435</v>
      </c>
      <c r="N15583" s="27" t="s">
        <v>412</v>
      </c>
      <c r="O15583" s="27" t="s">
        <v>20531</v>
      </c>
      <c r="P15583" s="27" t="s">
        <v>20533</v>
      </c>
      <c r="Q15583" s="26" t="str">
        <f>HYPERLINK("https://ictv.global/taxonomy/taxondetails?taxnode_id=202520558&amp;ictv_id=ICTV202420558","ICTV202420558")</f>
        <v>ICTV202420558</v>
      </c>
      <c r="R15583" t="s">
        <v>581</v>
      </c>
      <c r="S15583" t="s">
        <v>823</v>
      </c>
      <c r="T15583">
        <v>40</v>
      </c>
      <c r="U15583" s="26" t="str">
        <f t="shared" si="583"/>
        <v>2024.013P.Secoviridae_1ng_2nsg_34nsp.zip</v>
      </c>
    </row>
    <row r="15584" spans="1:21">
      <c r="A15584">
        <v>15583</v>
      </c>
      <c r="B15584" s="27" t="s">
        <v>1124</v>
      </c>
      <c r="D15584" s="27" t="s">
        <v>1859</v>
      </c>
      <c r="F15584" s="27" t="s">
        <v>1909</v>
      </c>
      <c r="H15584" s="27" t="s">
        <v>1912</v>
      </c>
      <c r="J15584" s="27" t="s">
        <v>260</v>
      </c>
      <c r="L15584" s="27" t="s">
        <v>435</v>
      </c>
      <c r="N15584" s="27" t="s">
        <v>412</v>
      </c>
      <c r="O15584" s="27" t="s">
        <v>20531</v>
      </c>
      <c r="P15584" s="27" t="s">
        <v>20534</v>
      </c>
      <c r="Q15584" s="26" t="str">
        <f>HYPERLINK("https://ictv.global/taxonomy/taxondetails?taxnode_id=202520559&amp;ictv_id=ICTV202420559","ICTV202420559")</f>
        <v>ICTV202420559</v>
      </c>
      <c r="R15584" t="s">
        <v>581</v>
      </c>
      <c r="S15584" t="s">
        <v>823</v>
      </c>
      <c r="T15584">
        <v>40</v>
      </c>
      <c r="U15584" s="26" t="str">
        <f t="shared" si="583"/>
        <v>2024.013P.Secoviridae_1ng_2nsg_34nsp.zip</v>
      </c>
    </row>
    <row r="15585" spans="1:21">
      <c r="A15585">
        <v>15584</v>
      </c>
      <c r="B15585" s="27" t="s">
        <v>1124</v>
      </c>
      <c r="D15585" s="27" t="s">
        <v>1859</v>
      </c>
      <c r="F15585" s="27" t="s">
        <v>1909</v>
      </c>
      <c r="H15585" s="27" t="s">
        <v>1912</v>
      </c>
      <c r="J15585" s="27" t="s">
        <v>260</v>
      </c>
      <c r="L15585" s="27" t="s">
        <v>435</v>
      </c>
      <c r="N15585" s="27" t="s">
        <v>412</v>
      </c>
      <c r="O15585" s="27" t="s">
        <v>20531</v>
      </c>
      <c r="P15585" s="27" t="s">
        <v>10668</v>
      </c>
      <c r="Q15585" s="26" t="str">
        <f>HYPERLINK("https://ictv.global/taxonomy/taxondetails?taxnode_id=202513825&amp;ictv_id=ICTV202113825","ICTV202113825")</f>
        <v>ICTV202113825</v>
      </c>
      <c r="R15585" t="s">
        <v>581</v>
      </c>
      <c r="S15585" t="s">
        <v>22763</v>
      </c>
      <c r="T15585">
        <v>40</v>
      </c>
      <c r="U15585" s="26" t="str">
        <f t="shared" si="583"/>
        <v>2024.013P.Secoviridae_1ng_2nsg_34nsp.zip</v>
      </c>
    </row>
    <row r="15586" spans="1:21">
      <c r="A15586">
        <v>15585</v>
      </c>
      <c r="B15586" s="27" t="s">
        <v>1124</v>
      </c>
      <c r="D15586" s="27" t="s">
        <v>1859</v>
      </c>
      <c r="F15586" s="27" t="s">
        <v>1909</v>
      </c>
      <c r="H15586" s="27" t="s">
        <v>1912</v>
      </c>
      <c r="J15586" s="27" t="s">
        <v>260</v>
      </c>
      <c r="L15586" s="27" t="s">
        <v>435</v>
      </c>
      <c r="N15586" s="27" t="s">
        <v>412</v>
      </c>
      <c r="O15586" s="27" t="s">
        <v>20531</v>
      </c>
      <c r="P15586" s="27" t="s">
        <v>21926</v>
      </c>
      <c r="Q15586" s="26" t="str">
        <f>HYPERLINK("https://ictv.global/taxonomy/taxondetails?taxnode_id=202522735&amp;ictv_id=ICTV202522735","ICTV202522735")</f>
        <v>ICTV202522735</v>
      </c>
      <c r="R15586" t="s">
        <v>581</v>
      </c>
      <c r="S15586" t="s">
        <v>823</v>
      </c>
      <c r="T15586">
        <v>41</v>
      </c>
      <c r="U15586" s="26" t="str">
        <f>HYPERLINK("https://ictv.global/ictv/proposals/2025.017P.Secoviridae_53nsp_3abolishsp.zip","2025.017P.Secoviridae_53nsp_3abolishsp.zip")</f>
        <v>2025.017P.Secoviridae_53nsp_3abolishsp.zip</v>
      </c>
    </row>
    <row r="15587" spans="1:21">
      <c r="A15587">
        <v>15586</v>
      </c>
      <c r="B15587" s="27" t="s">
        <v>1124</v>
      </c>
      <c r="D15587" s="27" t="s">
        <v>1859</v>
      </c>
      <c r="F15587" s="27" t="s">
        <v>1909</v>
      </c>
      <c r="H15587" s="27" t="s">
        <v>1912</v>
      </c>
      <c r="J15587" s="27" t="s">
        <v>260</v>
      </c>
      <c r="L15587" s="27" t="s">
        <v>435</v>
      </c>
      <c r="N15587" s="27" t="s">
        <v>412</v>
      </c>
      <c r="O15587" s="27" t="s">
        <v>20531</v>
      </c>
      <c r="P15587" s="27" t="s">
        <v>20535</v>
      </c>
      <c r="Q15587" s="26" t="str">
        <f>HYPERLINK("https://ictv.global/taxonomy/taxondetails?taxnode_id=202520560&amp;ictv_id=ICTV202420560","ICTV202420560")</f>
        <v>ICTV202420560</v>
      </c>
      <c r="R15587" t="s">
        <v>581</v>
      </c>
      <c r="S15587" t="s">
        <v>823</v>
      </c>
      <c r="T15587">
        <v>40</v>
      </c>
      <c r="U15587" s="26" t="str">
        <f t="shared" ref="U15587:U15596" si="584">HYPERLINK("https://ictv.global/ictv/proposals/2024.013P.Secoviridae_1ng_2nsg_34nsp.zip","2024.013P.Secoviridae_1ng_2nsg_34nsp.zip")</f>
        <v>2024.013P.Secoviridae_1ng_2nsg_34nsp.zip</v>
      </c>
    </row>
    <row r="15588" spans="1:21">
      <c r="A15588">
        <v>15587</v>
      </c>
      <c r="B15588" s="27" t="s">
        <v>1124</v>
      </c>
      <c r="D15588" s="27" t="s">
        <v>1859</v>
      </c>
      <c r="F15588" s="27" t="s">
        <v>1909</v>
      </c>
      <c r="H15588" s="27" t="s">
        <v>1912</v>
      </c>
      <c r="J15588" s="27" t="s">
        <v>260</v>
      </c>
      <c r="L15588" s="27" t="s">
        <v>435</v>
      </c>
      <c r="N15588" s="27" t="s">
        <v>412</v>
      </c>
      <c r="O15588" s="27" t="s">
        <v>20531</v>
      </c>
      <c r="P15588" s="27" t="s">
        <v>20536</v>
      </c>
      <c r="Q15588" s="26" t="str">
        <f>HYPERLINK("https://ictv.global/taxonomy/taxondetails?taxnode_id=202520561&amp;ictv_id=ICTV202420561","ICTV202420561")</f>
        <v>ICTV202420561</v>
      </c>
      <c r="R15588" t="s">
        <v>581</v>
      </c>
      <c r="S15588" t="s">
        <v>823</v>
      </c>
      <c r="T15588">
        <v>40</v>
      </c>
      <c r="U15588" s="26" t="str">
        <f t="shared" si="584"/>
        <v>2024.013P.Secoviridae_1ng_2nsg_34nsp.zip</v>
      </c>
    </row>
    <row r="15589" spans="1:21">
      <c r="A15589">
        <v>15588</v>
      </c>
      <c r="B15589" s="27" t="s">
        <v>1124</v>
      </c>
      <c r="D15589" s="27" t="s">
        <v>1859</v>
      </c>
      <c r="F15589" s="27" t="s">
        <v>1909</v>
      </c>
      <c r="H15589" s="27" t="s">
        <v>1912</v>
      </c>
      <c r="J15589" s="27" t="s">
        <v>260</v>
      </c>
      <c r="L15589" s="27" t="s">
        <v>435</v>
      </c>
      <c r="N15589" s="27" t="s">
        <v>412</v>
      </c>
      <c r="O15589" s="27" t="s">
        <v>20531</v>
      </c>
      <c r="P15589" s="27" t="s">
        <v>10669</v>
      </c>
      <c r="Q15589" s="26" t="str">
        <f>HYPERLINK("https://ictv.global/taxonomy/taxondetails?taxnode_id=202513830&amp;ictv_id=ICTV202113830","ICTV202113830")</f>
        <v>ICTV202113830</v>
      </c>
      <c r="R15589" t="s">
        <v>581</v>
      </c>
      <c r="S15589" t="s">
        <v>22763</v>
      </c>
      <c r="T15589">
        <v>40</v>
      </c>
      <c r="U15589" s="26" t="str">
        <f t="shared" si="584"/>
        <v>2024.013P.Secoviridae_1ng_2nsg_34nsp.zip</v>
      </c>
    </row>
    <row r="15590" spans="1:21">
      <c r="A15590">
        <v>15589</v>
      </c>
      <c r="B15590" s="27" t="s">
        <v>1124</v>
      </c>
      <c r="D15590" s="27" t="s">
        <v>1859</v>
      </c>
      <c r="F15590" s="27" t="s">
        <v>1909</v>
      </c>
      <c r="H15590" s="27" t="s">
        <v>1912</v>
      </c>
      <c r="J15590" s="27" t="s">
        <v>260</v>
      </c>
      <c r="L15590" s="27" t="s">
        <v>435</v>
      </c>
      <c r="N15590" s="27" t="s">
        <v>412</v>
      </c>
      <c r="O15590" s="27" t="s">
        <v>20531</v>
      </c>
      <c r="P15590" s="27" t="s">
        <v>20537</v>
      </c>
      <c r="Q15590" s="26" t="str">
        <f>HYPERLINK("https://ictv.global/taxonomy/taxondetails?taxnode_id=202520562&amp;ictv_id=ICTV202420562","ICTV202420562")</f>
        <v>ICTV202420562</v>
      </c>
      <c r="R15590" t="s">
        <v>581</v>
      </c>
      <c r="S15590" t="s">
        <v>823</v>
      </c>
      <c r="T15590">
        <v>40</v>
      </c>
      <c r="U15590" s="26" t="str">
        <f t="shared" si="584"/>
        <v>2024.013P.Secoviridae_1ng_2nsg_34nsp.zip</v>
      </c>
    </row>
    <row r="15591" spans="1:21">
      <c r="A15591">
        <v>15590</v>
      </c>
      <c r="B15591" s="27" t="s">
        <v>1124</v>
      </c>
      <c r="D15591" s="27" t="s">
        <v>1859</v>
      </c>
      <c r="F15591" s="27" t="s">
        <v>1909</v>
      </c>
      <c r="H15591" s="27" t="s">
        <v>1912</v>
      </c>
      <c r="J15591" s="27" t="s">
        <v>260</v>
      </c>
      <c r="L15591" s="27" t="s">
        <v>435</v>
      </c>
      <c r="N15591" s="27" t="s">
        <v>412</v>
      </c>
      <c r="O15591" s="27" t="s">
        <v>20531</v>
      </c>
      <c r="P15591" s="27" t="s">
        <v>20538</v>
      </c>
      <c r="Q15591" s="26" t="str">
        <f>HYPERLINK("https://ictv.global/taxonomy/taxondetails?taxnode_id=202520563&amp;ictv_id=ICTV202420563","ICTV202420563")</f>
        <v>ICTV202420563</v>
      </c>
      <c r="R15591" t="s">
        <v>581</v>
      </c>
      <c r="S15591" t="s">
        <v>823</v>
      </c>
      <c r="T15591">
        <v>40</v>
      </c>
      <c r="U15591" s="26" t="str">
        <f t="shared" si="584"/>
        <v>2024.013P.Secoviridae_1ng_2nsg_34nsp.zip</v>
      </c>
    </row>
    <row r="15592" spans="1:21">
      <c r="A15592">
        <v>15591</v>
      </c>
      <c r="B15592" s="27" t="s">
        <v>1124</v>
      </c>
      <c r="D15592" s="27" t="s">
        <v>1859</v>
      </c>
      <c r="F15592" s="27" t="s">
        <v>1909</v>
      </c>
      <c r="H15592" s="27" t="s">
        <v>1912</v>
      </c>
      <c r="J15592" s="27" t="s">
        <v>260</v>
      </c>
      <c r="L15592" s="27" t="s">
        <v>435</v>
      </c>
      <c r="N15592" s="27" t="s">
        <v>412</v>
      </c>
      <c r="O15592" s="27" t="s">
        <v>20531</v>
      </c>
      <c r="P15592" s="27" t="s">
        <v>20539</v>
      </c>
      <c r="Q15592" s="26" t="str">
        <f>HYPERLINK("https://ictv.global/taxonomy/taxondetails?taxnode_id=202520564&amp;ictv_id=ICTV202420564","ICTV202420564")</f>
        <v>ICTV202420564</v>
      </c>
      <c r="R15592" t="s">
        <v>581</v>
      </c>
      <c r="S15592" t="s">
        <v>823</v>
      </c>
      <c r="T15592">
        <v>40</v>
      </c>
      <c r="U15592" s="26" t="str">
        <f t="shared" si="584"/>
        <v>2024.013P.Secoviridae_1ng_2nsg_34nsp.zip</v>
      </c>
    </row>
    <row r="15593" spans="1:21">
      <c r="A15593">
        <v>15592</v>
      </c>
      <c r="B15593" s="27" t="s">
        <v>1124</v>
      </c>
      <c r="D15593" s="27" t="s">
        <v>1859</v>
      </c>
      <c r="F15593" s="27" t="s">
        <v>1909</v>
      </c>
      <c r="H15593" s="27" t="s">
        <v>1912</v>
      </c>
      <c r="J15593" s="27" t="s">
        <v>260</v>
      </c>
      <c r="L15593" s="27" t="s">
        <v>435</v>
      </c>
      <c r="N15593" s="27" t="s">
        <v>412</v>
      </c>
      <c r="O15593" s="27" t="s">
        <v>20531</v>
      </c>
      <c r="P15593" s="27" t="s">
        <v>17421</v>
      </c>
      <c r="Q15593" s="26" t="str">
        <f>HYPERLINK("https://ictv.global/taxonomy/taxondetails?taxnode_id=202518397&amp;ictv_id=ICTV202318397","ICTV202318397")</f>
        <v>ICTV202318397</v>
      </c>
      <c r="R15593" t="s">
        <v>581</v>
      </c>
      <c r="S15593" t="s">
        <v>22763</v>
      </c>
      <c r="T15593">
        <v>40</v>
      </c>
      <c r="U15593" s="26" t="str">
        <f t="shared" si="584"/>
        <v>2024.013P.Secoviridae_1ng_2nsg_34nsp.zip</v>
      </c>
    </row>
    <row r="15594" spans="1:21">
      <c r="A15594">
        <v>15593</v>
      </c>
      <c r="B15594" s="27" t="s">
        <v>1124</v>
      </c>
      <c r="D15594" s="27" t="s">
        <v>1859</v>
      </c>
      <c r="F15594" s="27" t="s">
        <v>1909</v>
      </c>
      <c r="H15594" s="27" t="s">
        <v>1912</v>
      </c>
      <c r="J15594" s="27" t="s">
        <v>260</v>
      </c>
      <c r="L15594" s="27" t="s">
        <v>435</v>
      </c>
      <c r="N15594" s="27" t="s">
        <v>412</v>
      </c>
      <c r="O15594" s="27" t="s">
        <v>20531</v>
      </c>
      <c r="P15594" s="27" t="s">
        <v>20540</v>
      </c>
      <c r="Q15594" s="26" t="str">
        <f>HYPERLINK("https://ictv.global/taxonomy/taxondetails?taxnode_id=202520565&amp;ictv_id=ICTV202420565","ICTV202420565")</f>
        <v>ICTV202420565</v>
      </c>
      <c r="R15594" t="s">
        <v>581</v>
      </c>
      <c r="S15594" t="s">
        <v>823</v>
      </c>
      <c r="T15594">
        <v>40</v>
      </c>
      <c r="U15594" s="26" t="str">
        <f t="shared" si="584"/>
        <v>2024.013P.Secoviridae_1ng_2nsg_34nsp.zip</v>
      </c>
    </row>
    <row r="15595" spans="1:21">
      <c r="A15595">
        <v>15594</v>
      </c>
      <c r="B15595" s="27" t="s">
        <v>1124</v>
      </c>
      <c r="D15595" s="27" t="s">
        <v>1859</v>
      </c>
      <c r="F15595" s="27" t="s">
        <v>1909</v>
      </c>
      <c r="H15595" s="27" t="s">
        <v>1912</v>
      </c>
      <c r="J15595" s="27" t="s">
        <v>260</v>
      </c>
      <c r="L15595" s="27" t="s">
        <v>435</v>
      </c>
      <c r="N15595" s="27" t="s">
        <v>412</v>
      </c>
      <c r="O15595" s="27" t="s">
        <v>20541</v>
      </c>
      <c r="P15595" s="27" t="s">
        <v>20542</v>
      </c>
      <c r="Q15595" s="26" t="str">
        <f>HYPERLINK("https://ictv.global/taxonomy/taxondetails?taxnode_id=202520566&amp;ictv_id=ICTV202420566","ICTV202420566")</f>
        <v>ICTV202420566</v>
      </c>
      <c r="R15595" t="s">
        <v>581</v>
      </c>
      <c r="S15595" t="s">
        <v>823</v>
      </c>
      <c r="T15595">
        <v>40</v>
      </c>
      <c r="U15595" s="26" t="str">
        <f t="shared" si="584"/>
        <v>2024.013P.Secoviridae_1ng_2nsg_34nsp.zip</v>
      </c>
    </row>
    <row r="15596" spans="1:21">
      <c r="A15596">
        <v>15595</v>
      </c>
      <c r="B15596" s="27" t="s">
        <v>1124</v>
      </c>
      <c r="D15596" s="27" t="s">
        <v>1859</v>
      </c>
      <c r="F15596" s="27" t="s">
        <v>1909</v>
      </c>
      <c r="H15596" s="27" t="s">
        <v>1912</v>
      </c>
      <c r="J15596" s="27" t="s">
        <v>260</v>
      </c>
      <c r="L15596" s="27" t="s">
        <v>435</v>
      </c>
      <c r="N15596" s="27" t="s">
        <v>412</v>
      </c>
      <c r="O15596" s="27" t="s">
        <v>20541</v>
      </c>
      <c r="P15596" s="27" t="s">
        <v>20543</v>
      </c>
      <c r="Q15596" s="26" t="str">
        <f>HYPERLINK("https://ictv.global/taxonomy/taxondetails?taxnode_id=202520567&amp;ictv_id=ICTV202420567","ICTV202420567")</f>
        <v>ICTV202420567</v>
      </c>
      <c r="R15596" t="s">
        <v>581</v>
      </c>
      <c r="S15596" t="s">
        <v>823</v>
      </c>
      <c r="T15596">
        <v>40</v>
      </c>
      <c r="U15596" s="26" t="str">
        <f t="shared" si="584"/>
        <v>2024.013P.Secoviridae_1ng_2nsg_34nsp.zip</v>
      </c>
    </row>
    <row r="15597" spans="1:21">
      <c r="A15597">
        <v>15596</v>
      </c>
      <c r="B15597" s="27" t="s">
        <v>1124</v>
      </c>
      <c r="D15597" s="27" t="s">
        <v>1859</v>
      </c>
      <c r="F15597" s="27" t="s">
        <v>1909</v>
      </c>
      <c r="H15597" s="27" t="s">
        <v>1912</v>
      </c>
      <c r="J15597" s="27" t="s">
        <v>260</v>
      </c>
      <c r="L15597" s="27" t="s">
        <v>435</v>
      </c>
      <c r="N15597" s="27" t="s">
        <v>412</v>
      </c>
      <c r="O15597" s="27" t="s">
        <v>20541</v>
      </c>
      <c r="P15597" s="27" t="s">
        <v>21924</v>
      </c>
      <c r="Q15597" s="26" t="str">
        <f>HYPERLINK("https://ictv.global/taxonomy/taxondetails?taxnode_id=202522733&amp;ictv_id=ICTV202522733","ICTV202522733")</f>
        <v>ICTV202522733</v>
      </c>
      <c r="R15597" t="s">
        <v>581</v>
      </c>
      <c r="S15597" t="s">
        <v>823</v>
      </c>
      <c r="T15597">
        <v>41</v>
      </c>
      <c r="U15597" s="26" t="str">
        <f>HYPERLINK("https://ictv.global/ictv/proposals/2025.017P.Secoviridae_53nsp_3abolishsp.zip","2025.017P.Secoviridae_53nsp_3abolishsp.zip")</f>
        <v>2025.017P.Secoviridae_53nsp_3abolishsp.zip</v>
      </c>
    </row>
    <row r="15598" spans="1:21">
      <c r="A15598">
        <v>15597</v>
      </c>
      <c r="B15598" s="27" t="s">
        <v>1124</v>
      </c>
      <c r="D15598" s="27" t="s">
        <v>1859</v>
      </c>
      <c r="F15598" s="27" t="s">
        <v>1909</v>
      </c>
      <c r="H15598" s="27" t="s">
        <v>1912</v>
      </c>
      <c r="J15598" s="27" t="s">
        <v>260</v>
      </c>
      <c r="L15598" s="27" t="s">
        <v>435</v>
      </c>
      <c r="N15598" s="27" t="s">
        <v>412</v>
      </c>
      <c r="O15598" s="27" t="s">
        <v>20541</v>
      </c>
      <c r="P15598" s="27" t="s">
        <v>10665</v>
      </c>
      <c r="Q15598" s="26" t="str">
        <f>HYPERLINK("https://ictv.global/taxonomy/taxondetails?taxnode_id=202513827&amp;ictv_id=ICTV202113827","ICTV202113827")</f>
        <v>ICTV202113827</v>
      </c>
      <c r="R15598" t="s">
        <v>581</v>
      </c>
      <c r="S15598" t="s">
        <v>22763</v>
      </c>
      <c r="T15598">
        <v>40</v>
      </c>
      <c r="U15598" s="26" t="str">
        <f>HYPERLINK("https://ictv.global/ictv/proposals/2024.013P.Secoviridae_1ng_2nsg_34nsp.zip","2024.013P.Secoviridae_1ng_2nsg_34nsp.zip")</f>
        <v>2024.013P.Secoviridae_1ng_2nsg_34nsp.zip</v>
      </c>
    </row>
    <row r="15599" spans="1:21">
      <c r="A15599">
        <v>15598</v>
      </c>
      <c r="B15599" s="27" t="s">
        <v>1124</v>
      </c>
      <c r="D15599" s="27" t="s">
        <v>1859</v>
      </c>
      <c r="F15599" s="27" t="s">
        <v>1909</v>
      </c>
      <c r="H15599" s="27" t="s">
        <v>1912</v>
      </c>
      <c r="J15599" s="27" t="s">
        <v>260</v>
      </c>
      <c r="L15599" s="27" t="s">
        <v>435</v>
      </c>
      <c r="N15599" s="27" t="s">
        <v>412</v>
      </c>
      <c r="O15599" s="27" t="s">
        <v>20541</v>
      </c>
      <c r="P15599" s="27" t="s">
        <v>10667</v>
      </c>
      <c r="Q15599" s="26" t="str">
        <f>HYPERLINK("https://ictv.global/taxonomy/taxondetails?taxnode_id=202502160&amp;ictv_id=ICTV20165216","ICTV20165216")</f>
        <v>ICTV20165216</v>
      </c>
      <c r="R15599" t="s">
        <v>581</v>
      </c>
      <c r="S15599" t="s">
        <v>22763</v>
      </c>
      <c r="T15599">
        <v>40</v>
      </c>
      <c r="U15599" s="26" t="str">
        <f>HYPERLINK("https://ictv.global/ictv/proposals/2024.013P.Secoviridae_1ng_2nsg_34nsp.zip","2024.013P.Secoviridae_1ng_2nsg_34nsp.zip")</f>
        <v>2024.013P.Secoviridae_1ng_2nsg_34nsp.zip</v>
      </c>
    </row>
    <row r="15600" spans="1:21">
      <c r="A15600">
        <v>15599</v>
      </c>
      <c r="B15600" s="27" t="s">
        <v>1124</v>
      </c>
      <c r="D15600" s="27" t="s">
        <v>1859</v>
      </c>
      <c r="F15600" s="27" t="s">
        <v>1909</v>
      </c>
      <c r="H15600" s="27" t="s">
        <v>1912</v>
      </c>
      <c r="J15600" s="27" t="s">
        <v>260</v>
      </c>
      <c r="L15600" s="27" t="s">
        <v>435</v>
      </c>
      <c r="N15600" s="27" t="s">
        <v>412</v>
      </c>
      <c r="O15600" s="27" t="s">
        <v>20541</v>
      </c>
      <c r="P15600" s="27" t="s">
        <v>21918</v>
      </c>
      <c r="Q15600" s="26" t="str">
        <f>HYPERLINK("https://ictv.global/taxonomy/taxondetails?taxnode_id=202522727&amp;ictv_id=ICTV202522727","ICTV202522727")</f>
        <v>ICTV202522727</v>
      </c>
      <c r="R15600" t="s">
        <v>581</v>
      </c>
      <c r="S15600" t="s">
        <v>823</v>
      </c>
      <c r="T15600">
        <v>41</v>
      </c>
      <c r="U15600" s="26" t="str">
        <f>HYPERLINK("https://ictv.global/ictv/proposals/2025.017P.Secoviridae_53nsp_3abolishsp.zip","2025.017P.Secoviridae_53nsp_3abolishsp.zip")</f>
        <v>2025.017P.Secoviridae_53nsp_3abolishsp.zip</v>
      </c>
    </row>
    <row r="15601" spans="1:21">
      <c r="A15601">
        <v>15600</v>
      </c>
      <c r="B15601" s="27" t="s">
        <v>1124</v>
      </c>
      <c r="D15601" s="27" t="s">
        <v>1859</v>
      </c>
      <c r="F15601" s="27" t="s">
        <v>1909</v>
      </c>
      <c r="H15601" s="27" t="s">
        <v>1912</v>
      </c>
      <c r="J15601" s="27" t="s">
        <v>260</v>
      </c>
      <c r="L15601" s="27" t="s">
        <v>435</v>
      </c>
      <c r="N15601" s="27" t="s">
        <v>412</v>
      </c>
      <c r="O15601" s="27" t="s">
        <v>20541</v>
      </c>
      <c r="P15601" s="27" t="s">
        <v>21925</v>
      </c>
      <c r="Q15601" s="26" t="str">
        <f>HYPERLINK("https://ictv.global/taxonomy/taxondetails?taxnode_id=202522734&amp;ictv_id=ICTV202522734","ICTV202522734")</f>
        <v>ICTV202522734</v>
      </c>
      <c r="R15601" t="s">
        <v>581</v>
      </c>
      <c r="S15601" t="s">
        <v>823</v>
      </c>
      <c r="T15601">
        <v>41</v>
      </c>
      <c r="U15601" s="26" t="str">
        <f>HYPERLINK("https://ictv.global/ictv/proposals/2025.017P.Secoviridae_53nsp_3abolishsp.zip","2025.017P.Secoviridae_53nsp_3abolishsp.zip")</f>
        <v>2025.017P.Secoviridae_53nsp_3abolishsp.zip</v>
      </c>
    </row>
    <row r="15602" spans="1:21">
      <c r="A15602">
        <v>15601</v>
      </c>
      <c r="B15602" s="27" t="s">
        <v>1124</v>
      </c>
      <c r="D15602" s="27" t="s">
        <v>1859</v>
      </c>
      <c r="F15602" s="27" t="s">
        <v>1909</v>
      </c>
      <c r="H15602" s="27" t="s">
        <v>1912</v>
      </c>
      <c r="J15602" s="27" t="s">
        <v>260</v>
      </c>
      <c r="L15602" s="27" t="s">
        <v>435</v>
      </c>
      <c r="N15602" s="27" t="s">
        <v>412</v>
      </c>
      <c r="O15602" s="27" t="s">
        <v>20541</v>
      </c>
      <c r="P15602" s="27" t="s">
        <v>20544</v>
      </c>
      <c r="Q15602" s="26" t="str">
        <f>HYPERLINK("https://ictv.global/taxonomy/taxondetails?taxnode_id=202520568&amp;ictv_id=ICTV202420568","ICTV202420568")</f>
        <v>ICTV202420568</v>
      </c>
      <c r="R15602" t="s">
        <v>581</v>
      </c>
      <c r="S15602" t="s">
        <v>823</v>
      </c>
      <c r="T15602">
        <v>40</v>
      </c>
      <c r="U15602" s="26" t="str">
        <f>HYPERLINK("https://ictv.global/ictv/proposals/2024.013P.Secoviridae_1ng_2nsg_34nsp.zip","2024.013P.Secoviridae_1ng_2nsg_34nsp.zip")</f>
        <v>2024.013P.Secoviridae_1ng_2nsg_34nsp.zip</v>
      </c>
    </row>
    <row r="15603" spans="1:21">
      <c r="A15603">
        <v>15602</v>
      </c>
      <c r="B15603" s="27" t="s">
        <v>1124</v>
      </c>
      <c r="D15603" s="27" t="s">
        <v>1859</v>
      </c>
      <c r="F15603" s="27" t="s">
        <v>1909</v>
      </c>
      <c r="H15603" s="27" t="s">
        <v>1912</v>
      </c>
      <c r="J15603" s="27" t="s">
        <v>260</v>
      </c>
      <c r="L15603" s="27" t="s">
        <v>435</v>
      </c>
      <c r="N15603" s="27" t="s">
        <v>412</v>
      </c>
      <c r="O15603" s="27" t="s">
        <v>20541</v>
      </c>
      <c r="P15603" s="27" t="s">
        <v>21919</v>
      </c>
      <c r="Q15603" s="26" t="str">
        <f>HYPERLINK("https://ictv.global/taxonomy/taxondetails?taxnode_id=202522728&amp;ictv_id=ICTV202522728","ICTV202522728")</f>
        <v>ICTV202522728</v>
      </c>
      <c r="R15603" t="s">
        <v>581</v>
      </c>
      <c r="S15603" t="s">
        <v>823</v>
      </c>
      <c r="T15603">
        <v>41</v>
      </c>
      <c r="U15603" s="26" t="str">
        <f>HYPERLINK("https://ictv.global/ictv/proposals/2025.017P.Secoviridae_53nsp_3abolishsp.zip","2025.017P.Secoviridae_53nsp_3abolishsp.zip")</f>
        <v>2025.017P.Secoviridae_53nsp_3abolishsp.zip</v>
      </c>
    </row>
    <row r="15604" spans="1:21">
      <c r="A15604">
        <v>15603</v>
      </c>
      <c r="B15604" s="27" t="s">
        <v>1124</v>
      </c>
      <c r="D15604" s="27" t="s">
        <v>1859</v>
      </c>
      <c r="F15604" s="27" t="s">
        <v>1909</v>
      </c>
      <c r="H15604" s="27" t="s">
        <v>1912</v>
      </c>
      <c r="J15604" s="27" t="s">
        <v>260</v>
      </c>
      <c r="L15604" s="27" t="s">
        <v>435</v>
      </c>
      <c r="N15604" s="27" t="s">
        <v>412</v>
      </c>
      <c r="O15604" s="27" t="s">
        <v>20541</v>
      </c>
      <c r="P15604" s="27" t="s">
        <v>21921</v>
      </c>
      <c r="Q15604" s="26" t="str">
        <f>HYPERLINK("https://ictv.global/taxonomy/taxondetails?taxnode_id=202522730&amp;ictv_id=ICTV202522730","ICTV202522730")</f>
        <v>ICTV202522730</v>
      </c>
      <c r="R15604" t="s">
        <v>581</v>
      </c>
      <c r="S15604" t="s">
        <v>823</v>
      </c>
      <c r="T15604">
        <v>41</v>
      </c>
      <c r="U15604" s="26" t="str">
        <f>HYPERLINK("https://ictv.global/ictv/proposals/2025.017P.Secoviridae_53nsp_3abolishsp.zip","2025.017P.Secoviridae_53nsp_3abolishsp.zip")</f>
        <v>2025.017P.Secoviridae_53nsp_3abolishsp.zip</v>
      </c>
    </row>
    <row r="15605" spans="1:21">
      <c r="A15605">
        <v>15604</v>
      </c>
      <c r="B15605" s="27" t="s">
        <v>1124</v>
      </c>
      <c r="D15605" s="27" t="s">
        <v>1859</v>
      </c>
      <c r="F15605" s="27" t="s">
        <v>1909</v>
      </c>
      <c r="H15605" s="27" t="s">
        <v>1912</v>
      </c>
      <c r="J15605" s="27" t="s">
        <v>260</v>
      </c>
      <c r="L15605" s="27" t="s">
        <v>435</v>
      </c>
      <c r="N15605" s="27" t="s">
        <v>412</v>
      </c>
      <c r="O15605" s="27" t="s">
        <v>20541</v>
      </c>
      <c r="P15605" s="27" t="s">
        <v>17420</v>
      </c>
      <c r="Q15605" s="26" t="str">
        <f>HYPERLINK("https://ictv.global/taxonomy/taxondetails?taxnode_id=202518396&amp;ictv_id=ICTV202318396","ICTV202318396")</f>
        <v>ICTV202318396</v>
      </c>
      <c r="R15605" t="s">
        <v>581</v>
      </c>
      <c r="S15605" t="s">
        <v>22763</v>
      </c>
      <c r="T15605">
        <v>40</v>
      </c>
      <c r="U15605" s="26" t="str">
        <f>HYPERLINK("https://ictv.global/ictv/proposals/2024.013P.Secoviridae_1ng_2nsg_34nsp.zip","2024.013P.Secoviridae_1ng_2nsg_34nsp.zip")</f>
        <v>2024.013P.Secoviridae_1ng_2nsg_34nsp.zip</v>
      </c>
    </row>
    <row r="15606" spans="1:21">
      <c r="A15606">
        <v>15605</v>
      </c>
      <c r="B15606" s="27" t="s">
        <v>1124</v>
      </c>
      <c r="D15606" s="27" t="s">
        <v>1859</v>
      </c>
      <c r="F15606" s="27" t="s">
        <v>1909</v>
      </c>
      <c r="H15606" s="27" t="s">
        <v>1912</v>
      </c>
      <c r="J15606" s="27" t="s">
        <v>260</v>
      </c>
      <c r="L15606" s="27" t="s">
        <v>435</v>
      </c>
      <c r="N15606" s="27" t="s">
        <v>412</v>
      </c>
      <c r="O15606" s="27" t="s">
        <v>20541</v>
      </c>
      <c r="P15606" s="27" t="s">
        <v>20545</v>
      </c>
      <c r="Q15606" s="26" t="str">
        <f>HYPERLINK("https://ictv.global/taxonomy/taxondetails?taxnode_id=202520569&amp;ictv_id=ICTV202420569","ICTV202420569")</f>
        <v>ICTV202420569</v>
      </c>
      <c r="R15606" t="s">
        <v>581</v>
      </c>
      <c r="S15606" t="s">
        <v>823</v>
      </c>
      <c r="T15606">
        <v>40</v>
      </c>
      <c r="U15606" s="26" t="str">
        <f>HYPERLINK("https://ictv.global/ictv/proposals/2024.013P.Secoviridae_1ng_2nsg_34nsp.zip","2024.013P.Secoviridae_1ng_2nsg_34nsp.zip")</f>
        <v>2024.013P.Secoviridae_1ng_2nsg_34nsp.zip</v>
      </c>
    </row>
    <row r="15607" spans="1:21">
      <c r="A15607">
        <v>15606</v>
      </c>
      <c r="B15607" s="27" t="s">
        <v>1124</v>
      </c>
      <c r="D15607" s="27" t="s">
        <v>1859</v>
      </c>
      <c r="F15607" s="27" t="s">
        <v>1909</v>
      </c>
      <c r="H15607" s="27" t="s">
        <v>1912</v>
      </c>
      <c r="J15607" s="27" t="s">
        <v>260</v>
      </c>
      <c r="L15607" s="27" t="s">
        <v>435</v>
      </c>
      <c r="N15607" s="27" t="s">
        <v>412</v>
      </c>
      <c r="O15607" s="27" t="s">
        <v>20541</v>
      </c>
      <c r="P15607" s="27" t="s">
        <v>21922</v>
      </c>
      <c r="Q15607" s="26" t="str">
        <f>HYPERLINK("https://ictv.global/taxonomy/taxondetails?taxnode_id=202522731&amp;ictv_id=ICTV202522731","ICTV202522731")</f>
        <v>ICTV202522731</v>
      </c>
      <c r="R15607" t="s">
        <v>581</v>
      </c>
      <c r="S15607" t="s">
        <v>823</v>
      </c>
      <c r="T15607">
        <v>41</v>
      </c>
      <c r="U15607" s="26" t="str">
        <f>HYPERLINK("https://ictv.global/ictv/proposals/2025.017P.Secoviridae_53nsp_3abolishsp.zip","2025.017P.Secoviridae_53nsp_3abolishsp.zip")</f>
        <v>2025.017P.Secoviridae_53nsp_3abolishsp.zip</v>
      </c>
    </row>
    <row r="15608" spans="1:21">
      <c r="A15608">
        <v>15607</v>
      </c>
      <c r="B15608" s="27" t="s">
        <v>1124</v>
      </c>
      <c r="D15608" s="27" t="s">
        <v>1859</v>
      </c>
      <c r="F15608" s="27" t="s">
        <v>1909</v>
      </c>
      <c r="H15608" s="27" t="s">
        <v>1912</v>
      </c>
      <c r="J15608" s="27" t="s">
        <v>260</v>
      </c>
      <c r="L15608" s="27" t="s">
        <v>435</v>
      </c>
      <c r="N15608" s="27" t="s">
        <v>412</v>
      </c>
      <c r="O15608" s="27" t="s">
        <v>20541</v>
      </c>
      <c r="P15608" s="27" t="s">
        <v>20546</v>
      </c>
      <c r="Q15608" s="26" t="str">
        <f>HYPERLINK("https://ictv.global/taxonomy/taxondetails?taxnode_id=202520570&amp;ictv_id=ICTV202420570","ICTV202420570")</f>
        <v>ICTV202420570</v>
      </c>
      <c r="R15608" t="s">
        <v>581</v>
      </c>
      <c r="S15608" t="s">
        <v>823</v>
      </c>
      <c r="T15608">
        <v>40</v>
      </c>
      <c r="U15608" s="26" t="str">
        <f>HYPERLINK("https://ictv.global/ictv/proposals/2024.013P.Secoviridae_1ng_2nsg_34nsp.zip","2024.013P.Secoviridae_1ng_2nsg_34nsp.zip")</f>
        <v>2024.013P.Secoviridae_1ng_2nsg_34nsp.zip</v>
      </c>
    </row>
    <row r="15609" spans="1:21">
      <c r="A15609">
        <v>15608</v>
      </c>
      <c r="B15609" s="27" t="s">
        <v>1124</v>
      </c>
      <c r="D15609" s="27" t="s">
        <v>1859</v>
      </c>
      <c r="F15609" s="27" t="s">
        <v>1909</v>
      </c>
      <c r="H15609" s="27" t="s">
        <v>1912</v>
      </c>
      <c r="J15609" s="27" t="s">
        <v>260</v>
      </c>
      <c r="L15609" s="27" t="s">
        <v>435</v>
      </c>
      <c r="N15609" s="27" t="s">
        <v>412</v>
      </c>
      <c r="O15609" s="27" t="s">
        <v>20541</v>
      </c>
      <c r="P15609" s="27" t="s">
        <v>10670</v>
      </c>
      <c r="Q15609" s="26" t="str">
        <f>HYPERLINK("https://ictv.global/taxonomy/taxondetails?taxnode_id=202502162&amp;ictv_id=ICTV19931724","ICTV19931724")</f>
        <v>ICTV19931724</v>
      </c>
      <c r="R15609" t="s">
        <v>581</v>
      </c>
      <c r="S15609" t="s">
        <v>22763</v>
      </c>
      <c r="T15609">
        <v>40</v>
      </c>
      <c r="U15609" s="26" t="str">
        <f>HYPERLINK("https://ictv.global/ictv/proposals/2024.013P.Secoviridae_1ng_2nsg_34nsp.zip","2024.013P.Secoviridae_1ng_2nsg_34nsp.zip")</f>
        <v>2024.013P.Secoviridae_1ng_2nsg_34nsp.zip</v>
      </c>
    </row>
    <row r="15610" spans="1:21">
      <c r="A15610">
        <v>15609</v>
      </c>
      <c r="B15610" s="27" t="s">
        <v>1124</v>
      </c>
      <c r="D15610" s="27" t="s">
        <v>1859</v>
      </c>
      <c r="F15610" s="27" t="s">
        <v>1909</v>
      </c>
      <c r="H15610" s="27" t="s">
        <v>1912</v>
      </c>
      <c r="J15610" s="27" t="s">
        <v>260</v>
      </c>
      <c r="L15610" s="27" t="s">
        <v>435</v>
      </c>
      <c r="N15610" s="27" t="s">
        <v>412</v>
      </c>
      <c r="O15610" s="27" t="s">
        <v>20541</v>
      </c>
      <c r="P15610" s="27" t="s">
        <v>21923</v>
      </c>
      <c r="Q15610" s="26" t="str">
        <f>HYPERLINK("https://ictv.global/taxonomy/taxondetails?taxnode_id=202522732&amp;ictv_id=ICTV202522732","ICTV202522732")</f>
        <v>ICTV202522732</v>
      </c>
      <c r="R15610" t="s">
        <v>581</v>
      </c>
      <c r="S15610" t="s">
        <v>823</v>
      </c>
      <c r="T15610">
        <v>41</v>
      </c>
      <c r="U15610" s="26" t="str">
        <f>HYPERLINK("https://ictv.global/ictv/proposals/2025.017P.Secoviridae_53nsp_3abolishsp.zip","2025.017P.Secoviridae_53nsp_3abolishsp.zip")</f>
        <v>2025.017P.Secoviridae_53nsp_3abolishsp.zip</v>
      </c>
    </row>
    <row r="15611" spans="1:21">
      <c r="A15611">
        <v>15610</v>
      </c>
      <c r="B15611" s="27" t="s">
        <v>1124</v>
      </c>
      <c r="D15611" s="27" t="s">
        <v>1859</v>
      </c>
      <c r="F15611" s="27" t="s">
        <v>1909</v>
      </c>
      <c r="H15611" s="27" t="s">
        <v>1912</v>
      </c>
      <c r="J15611" s="27" t="s">
        <v>260</v>
      </c>
      <c r="L15611" s="27" t="s">
        <v>435</v>
      </c>
      <c r="N15611" s="27" t="s">
        <v>412</v>
      </c>
      <c r="O15611" s="27" t="s">
        <v>20541</v>
      </c>
      <c r="P15611" s="27" t="s">
        <v>20547</v>
      </c>
      <c r="Q15611" s="26" t="str">
        <f>HYPERLINK("https://ictv.global/taxonomy/taxondetails?taxnode_id=202520571&amp;ictv_id=ICTV202420571","ICTV202420571")</f>
        <v>ICTV202420571</v>
      </c>
      <c r="R15611" t="s">
        <v>581</v>
      </c>
      <c r="S15611" t="s">
        <v>823</v>
      </c>
      <c r="T15611">
        <v>40</v>
      </c>
      <c r="U15611" s="26" t="str">
        <f>HYPERLINK("https://ictv.global/ictv/proposals/2024.013P.Secoviridae_1ng_2nsg_34nsp.zip","2024.013P.Secoviridae_1ng_2nsg_34nsp.zip")</f>
        <v>2024.013P.Secoviridae_1ng_2nsg_34nsp.zip</v>
      </c>
    </row>
    <row r="15612" spans="1:21">
      <c r="A15612">
        <v>15611</v>
      </c>
      <c r="B15612" s="27" t="s">
        <v>1124</v>
      </c>
      <c r="D15612" s="27" t="s">
        <v>1859</v>
      </c>
      <c r="F15612" s="27" t="s">
        <v>1909</v>
      </c>
      <c r="H15612" s="27" t="s">
        <v>1912</v>
      </c>
      <c r="J15612" s="27" t="s">
        <v>260</v>
      </c>
      <c r="L15612" s="27" t="s">
        <v>435</v>
      </c>
      <c r="N15612" s="27" t="s">
        <v>412</v>
      </c>
      <c r="O15612" s="27" t="s">
        <v>20541</v>
      </c>
      <c r="P15612" s="27" t="s">
        <v>20548</v>
      </c>
      <c r="Q15612" s="26" t="str">
        <f>HYPERLINK("https://ictv.global/taxonomy/taxondetails?taxnode_id=202520572&amp;ictv_id=ICTV202420572","ICTV202420572")</f>
        <v>ICTV202420572</v>
      </c>
      <c r="R15612" t="s">
        <v>581</v>
      </c>
      <c r="S15612" t="s">
        <v>823</v>
      </c>
      <c r="T15612">
        <v>40</v>
      </c>
      <c r="U15612" s="26" t="str">
        <f>HYPERLINK("https://ictv.global/ictv/proposals/2024.013P.Secoviridae_1ng_2nsg_34nsp.zip","2024.013P.Secoviridae_1ng_2nsg_34nsp.zip")</f>
        <v>2024.013P.Secoviridae_1ng_2nsg_34nsp.zip</v>
      </c>
    </row>
    <row r="15613" spans="1:21">
      <c r="A15613">
        <v>15612</v>
      </c>
      <c r="B15613" s="27" t="s">
        <v>1124</v>
      </c>
      <c r="D15613" s="27" t="s">
        <v>1859</v>
      </c>
      <c r="F15613" s="27" t="s">
        <v>1909</v>
      </c>
      <c r="H15613" s="27" t="s">
        <v>1912</v>
      </c>
      <c r="J15613" s="27" t="s">
        <v>260</v>
      </c>
      <c r="L15613" s="27" t="s">
        <v>435</v>
      </c>
      <c r="N15613" s="27" t="s">
        <v>412</v>
      </c>
      <c r="O15613" s="27" t="s">
        <v>20541</v>
      </c>
      <c r="P15613" s="27" t="s">
        <v>20549</v>
      </c>
      <c r="Q15613" s="26" t="str">
        <f>HYPERLINK("https://ictv.global/taxonomy/taxondetails?taxnode_id=202520573&amp;ictv_id=ICTV202420573","ICTV202420573")</f>
        <v>ICTV202420573</v>
      </c>
      <c r="R15613" t="s">
        <v>581</v>
      </c>
      <c r="S15613" t="s">
        <v>823</v>
      </c>
      <c r="T15613">
        <v>40</v>
      </c>
      <c r="U15613" s="26" t="str">
        <f>HYPERLINK("https://ictv.global/ictv/proposals/2024.013P.Secoviridae_1ng_2nsg_34nsp.zip","2024.013P.Secoviridae_1ng_2nsg_34nsp.zip")</f>
        <v>2024.013P.Secoviridae_1ng_2nsg_34nsp.zip</v>
      </c>
    </row>
    <row r="15614" spans="1:21">
      <c r="A15614">
        <v>15613</v>
      </c>
      <c r="B15614" s="27" t="s">
        <v>1124</v>
      </c>
      <c r="D15614" s="27" t="s">
        <v>1859</v>
      </c>
      <c r="F15614" s="27" t="s">
        <v>1909</v>
      </c>
      <c r="H15614" s="27" t="s">
        <v>1912</v>
      </c>
      <c r="J15614" s="27" t="s">
        <v>260</v>
      </c>
      <c r="L15614" s="27" t="s">
        <v>435</v>
      </c>
      <c r="N15614" s="27" t="s">
        <v>412</v>
      </c>
      <c r="O15614" s="27" t="s">
        <v>20541</v>
      </c>
      <c r="P15614" s="27" t="s">
        <v>10671</v>
      </c>
      <c r="Q15614" s="26" t="str">
        <f>HYPERLINK("https://ictv.global/taxonomy/taxondetails?taxnode_id=202513828&amp;ictv_id=ICTV202113828","ICTV202113828")</f>
        <v>ICTV202113828</v>
      </c>
      <c r="R15614" t="s">
        <v>581</v>
      </c>
      <c r="S15614" t="s">
        <v>22763</v>
      </c>
      <c r="T15614">
        <v>40</v>
      </c>
      <c r="U15614" s="26" t="str">
        <f>HYPERLINK("https://ictv.global/ictv/proposals/2024.013P.Secoviridae_1ng_2nsg_34nsp.zip","2024.013P.Secoviridae_1ng_2nsg_34nsp.zip")</f>
        <v>2024.013P.Secoviridae_1ng_2nsg_34nsp.zip</v>
      </c>
    </row>
    <row r="15615" spans="1:21">
      <c r="A15615">
        <v>15614</v>
      </c>
      <c r="B15615" s="27" t="s">
        <v>1124</v>
      </c>
      <c r="D15615" s="27" t="s">
        <v>1859</v>
      </c>
      <c r="F15615" s="27" t="s">
        <v>1909</v>
      </c>
      <c r="H15615" s="27" t="s">
        <v>1912</v>
      </c>
      <c r="J15615" s="27" t="s">
        <v>260</v>
      </c>
      <c r="L15615" s="27" t="s">
        <v>435</v>
      </c>
      <c r="N15615" s="27" t="s">
        <v>412</v>
      </c>
      <c r="O15615" s="27" t="s">
        <v>20541</v>
      </c>
      <c r="P15615" s="27" t="s">
        <v>10672</v>
      </c>
      <c r="Q15615" s="26" t="str">
        <f>HYPERLINK("https://ictv.global/taxonomy/taxondetails?taxnode_id=202515090&amp;ictv_id=ICTV202215090","ICTV202215090")</f>
        <v>ICTV202215090</v>
      </c>
      <c r="R15615" t="s">
        <v>581</v>
      </c>
      <c r="S15615" t="s">
        <v>22763</v>
      </c>
      <c r="T15615">
        <v>40</v>
      </c>
      <c r="U15615" s="26" t="str">
        <f>HYPERLINK("https://ictv.global/ictv/proposals/2024.013P.Secoviridae_1ng_2nsg_34nsp.zip","2024.013P.Secoviridae_1ng_2nsg_34nsp.zip")</f>
        <v>2024.013P.Secoviridae_1ng_2nsg_34nsp.zip</v>
      </c>
    </row>
    <row r="15616" spans="1:21">
      <c r="A15616">
        <v>15615</v>
      </c>
      <c r="B15616" s="27" t="s">
        <v>1124</v>
      </c>
      <c r="D15616" s="27" t="s">
        <v>1859</v>
      </c>
      <c r="F15616" s="27" t="s">
        <v>1909</v>
      </c>
      <c r="H15616" s="27" t="s">
        <v>1912</v>
      </c>
      <c r="J15616" s="27" t="s">
        <v>260</v>
      </c>
      <c r="L15616" s="27" t="s">
        <v>435</v>
      </c>
      <c r="N15616" s="27" t="s">
        <v>412</v>
      </c>
      <c r="O15616" s="27" t="s">
        <v>20541</v>
      </c>
      <c r="P15616" s="27" t="s">
        <v>21920</v>
      </c>
      <c r="Q15616" s="26" t="str">
        <f>HYPERLINK("https://ictv.global/taxonomy/taxondetails?taxnode_id=202522729&amp;ictv_id=ICTV202522729","ICTV202522729")</f>
        <v>ICTV202522729</v>
      </c>
      <c r="R15616" t="s">
        <v>581</v>
      </c>
      <c r="S15616" t="s">
        <v>823</v>
      </c>
      <c r="T15616">
        <v>41</v>
      </c>
      <c r="U15616" s="26" t="str">
        <f>HYPERLINK("https://ictv.global/ictv/proposals/2025.017P.Secoviridae_53nsp_3abolishsp.zip","2025.017P.Secoviridae_53nsp_3abolishsp.zip")</f>
        <v>2025.017P.Secoviridae_53nsp_3abolishsp.zip</v>
      </c>
    </row>
    <row r="15617" spans="1:21">
      <c r="A15617">
        <v>15616</v>
      </c>
      <c r="B15617" s="27" t="s">
        <v>1124</v>
      </c>
      <c r="D15617" s="27" t="s">
        <v>1859</v>
      </c>
      <c r="F15617" s="27" t="s">
        <v>1909</v>
      </c>
      <c r="H15617" s="27" t="s">
        <v>1912</v>
      </c>
      <c r="J15617" s="27" t="s">
        <v>260</v>
      </c>
      <c r="L15617" s="27" t="s">
        <v>435</v>
      </c>
      <c r="N15617" s="27" t="s">
        <v>412</v>
      </c>
      <c r="O15617" s="27" t="s">
        <v>20541</v>
      </c>
      <c r="P15617" s="27" t="s">
        <v>20550</v>
      </c>
      <c r="Q15617" s="26" t="str">
        <f>HYPERLINK("https://ictv.global/taxonomy/taxondetails?taxnode_id=202520574&amp;ictv_id=ICTV202420574","ICTV202420574")</f>
        <v>ICTV202420574</v>
      </c>
      <c r="R15617" t="s">
        <v>581</v>
      </c>
      <c r="S15617" t="s">
        <v>823</v>
      </c>
      <c r="T15617">
        <v>40</v>
      </c>
      <c r="U15617" s="26" t="str">
        <f>HYPERLINK("https://ictv.global/ictv/proposals/2024.013P.Secoviridae_1ng_2nsg_34nsp.zip","2024.013P.Secoviridae_1ng_2nsg_34nsp.zip")</f>
        <v>2024.013P.Secoviridae_1ng_2nsg_34nsp.zip</v>
      </c>
    </row>
    <row r="15618" spans="1:21">
      <c r="A15618">
        <v>15617</v>
      </c>
      <c r="B15618" s="27" t="s">
        <v>1124</v>
      </c>
      <c r="D15618" s="27" t="s">
        <v>1859</v>
      </c>
      <c r="F15618" s="27" t="s">
        <v>1909</v>
      </c>
      <c r="H15618" s="27" t="s">
        <v>1912</v>
      </c>
      <c r="J15618" s="27" t="s">
        <v>260</v>
      </c>
      <c r="L15618" s="27" t="s">
        <v>435</v>
      </c>
      <c r="N15618" s="27" t="s">
        <v>412</v>
      </c>
      <c r="O15618" s="27" t="s">
        <v>20541</v>
      </c>
      <c r="P15618" s="27" t="s">
        <v>20551</v>
      </c>
      <c r="Q15618" s="26" t="str">
        <f>HYPERLINK("https://ictv.global/taxonomy/taxondetails?taxnode_id=202520575&amp;ictv_id=ICTV202420575","ICTV202420575")</f>
        <v>ICTV202420575</v>
      </c>
      <c r="R15618" t="s">
        <v>581</v>
      </c>
      <c r="S15618" t="s">
        <v>823</v>
      </c>
      <c r="T15618">
        <v>40</v>
      </c>
      <c r="U15618" s="26" t="str">
        <f>HYPERLINK("https://ictv.global/ictv/proposals/2024.013P.Secoviridae_1ng_2nsg_34nsp.zip","2024.013P.Secoviridae_1ng_2nsg_34nsp.zip")</f>
        <v>2024.013P.Secoviridae_1ng_2nsg_34nsp.zip</v>
      </c>
    </row>
    <row r="15619" spans="1:21">
      <c r="A15619">
        <v>15618</v>
      </c>
      <c r="B15619" s="27" t="s">
        <v>1124</v>
      </c>
      <c r="D15619" s="27" t="s">
        <v>1859</v>
      </c>
      <c r="F15619" s="27" t="s">
        <v>1909</v>
      </c>
      <c r="H15619" s="27" t="s">
        <v>1912</v>
      </c>
      <c r="J15619" s="27" t="s">
        <v>260</v>
      </c>
      <c r="L15619" s="27" t="s">
        <v>435</v>
      </c>
      <c r="N15619" s="27" t="s">
        <v>412</v>
      </c>
      <c r="O15619" s="27" t="s">
        <v>20541</v>
      </c>
      <c r="P15619" s="27" t="s">
        <v>10673</v>
      </c>
      <c r="Q15619" s="26" t="str">
        <f>HYPERLINK("https://ictv.global/taxonomy/taxondetails?taxnode_id=202513826&amp;ictv_id=ICTV202113826","ICTV202113826")</f>
        <v>ICTV202113826</v>
      </c>
      <c r="R15619" t="s">
        <v>581</v>
      </c>
      <c r="S15619" t="s">
        <v>22763</v>
      </c>
      <c r="T15619">
        <v>40</v>
      </c>
      <c r="U15619" s="26" t="str">
        <f>HYPERLINK("https://ictv.global/ictv/proposals/2024.013P.Secoviridae_1ng_2nsg_34nsp.zip","2024.013P.Secoviridae_1ng_2nsg_34nsp.zip")</f>
        <v>2024.013P.Secoviridae_1ng_2nsg_34nsp.zip</v>
      </c>
    </row>
    <row r="15620" spans="1:21">
      <c r="A15620">
        <v>15619</v>
      </c>
      <c r="B15620" s="27" t="s">
        <v>1124</v>
      </c>
      <c r="D15620" s="27" t="s">
        <v>1859</v>
      </c>
      <c r="F15620" s="27" t="s">
        <v>1909</v>
      </c>
      <c r="H15620" s="27" t="s">
        <v>1912</v>
      </c>
      <c r="J15620" s="27" t="s">
        <v>260</v>
      </c>
      <c r="L15620" s="27" t="s">
        <v>435</v>
      </c>
      <c r="N15620" s="27" t="s">
        <v>412</v>
      </c>
      <c r="O15620" s="27" t="s">
        <v>20541</v>
      </c>
      <c r="P15620" s="27" t="s">
        <v>20552</v>
      </c>
      <c r="Q15620" s="26" t="str">
        <f>HYPERLINK("https://ictv.global/taxonomy/taxondetails?taxnode_id=202520576&amp;ictv_id=ICTV202420576","ICTV202420576")</f>
        <v>ICTV202420576</v>
      </c>
      <c r="R15620" t="s">
        <v>581</v>
      </c>
      <c r="S15620" t="s">
        <v>823</v>
      </c>
      <c r="T15620">
        <v>40</v>
      </c>
      <c r="U15620" s="26" t="str">
        <f>HYPERLINK("https://ictv.global/ictv/proposals/2024.013P.Secoviridae_1ng_2nsg_34nsp.zip","2024.013P.Secoviridae_1ng_2nsg_34nsp.zip")</f>
        <v>2024.013P.Secoviridae_1ng_2nsg_34nsp.zip</v>
      </c>
    </row>
    <row r="15621" spans="1:21">
      <c r="A15621">
        <v>15620</v>
      </c>
      <c r="B15621" s="27" t="s">
        <v>1124</v>
      </c>
      <c r="D15621" s="27" t="s">
        <v>1859</v>
      </c>
      <c r="F15621" s="27" t="s">
        <v>1909</v>
      </c>
      <c r="H15621" s="27" t="s">
        <v>1912</v>
      </c>
      <c r="J15621" s="27" t="s">
        <v>260</v>
      </c>
      <c r="L15621" s="27" t="s">
        <v>435</v>
      </c>
      <c r="N15621" s="27" t="s">
        <v>412</v>
      </c>
      <c r="O15621" s="27" t="s">
        <v>20541</v>
      </c>
      <c r="P15621" s="27" t="s">
        <v>10674</v>
      </c>
      <c r="Q15621" s="26" t="str">
        <f>HYPERLINK("https://ictv.global/taxonomy/taxondetails?taxnode_id=202502161&amp;ictv_id=ICTV19780782","ICTV19780782")</f>
        <v>ICTV19780782</v>
      </c>
      <c r="R15621" t="s">
        <v>581</v>
      </c>
      <c r="S15621" t="s">
        <v>22763</v>
      </c>
      <c r="T15621">
        <v>40</v>
      </c>
      <c r="U15621" s="26" t="str">
        <f>HYPERLINK("https://ictv.global/ictv/proposals/2024.013P.Secoviridae_1ng_2nsg_34nsp.zip","2024.013P.Secoviridae_1ng_2nsg_34nsp.zip")</f>
        <v>2024.013P.Secoviridae_1ng_2nsg_34nsp.zip</v>
      </c>
    </row>
    <row r="15622" spans="1:21">
      <c r="A15622">
        <v>15621</v>
      </c>
      <c r="B15622" s="27" t="s">
        <v>1124</v>
      </c>
      <c r="D15622" s="27" t="s">
        <v>1859</v>
      </c>
      <c r="F15622" s="27" t="s">
        <v>1909</v>
      </c>
      <c r="H15622" s="27" t="s">
        <v>1912</v>
      </c>
      <c r="J15622" s="27" t="s">
        <v>260</v>
      </c>
      <c r="L15622" s="27" t="s">
        <v>815</v>
      </c>
      <c r="N15622" s="27" t="s">
        <v>816</v>
      </c>
      <c r="P15622" s="27" t="s">
        <v>17422</v>
      </c>
      <c r="Q15622" s="26" t="str">
        <f>HYPERLINK("https://ictv.global/taxonomy/taxondetails?taxnode_id=202505051&amp;ictv_id=ICTV20165427","ICTV20165427")</f>
        <v>ICTV20165427</v>
      </c>
      <c r="R15622" t="s">
        <v>581</v>
      </c>
      <c r="S15622" t="s">
        <v>824</v>
      </c>
      <c r="T15622">
        <v>39</v>
      </c>
      <c r="U15622" s="26" t="str">
        <f>HYPERLINK("https://ictv.global/ictv/proposals/2023.007S.Solinviviridae_2sprenamed.zip","2023.007S.Solinviviridae_2sprenamed.zip")</f>
        <v>2023.007S.Solinviviridae_2sprenamed.zip</v>
      </c>
    </row>
    <row r="15623" spans="1:21">
      <c r="A15623">
        <v>15622</v>
      </c>
      <c r="B15623" s="27" t="s">
        <v>1124</v>
      </c>
      <c r="D15623" s="27" t="s">
        <v>1859</v>
      </c>
      <c r="F15623" s="27" t="s">
        <v>1909</v>
      </c>
      <c r="H15623" s="27" t="s">
        <v>1912</v>
      </c>
      <c r="J15623" s="27" t="s">
        <v>260</v>
      </c>
      <c r="L15623" s="27" t="s">
        <v>815</v>
      </c>
      <c r="N15623" s="27" t="s">
        <v>817</v>
      </c>
      <c r="P15623" s="27" t="s">
        <v>17423</v>
      </c>
      <c r="Q15623" s="26" t="str">
        <f>HYPERLINK("https://ictv.global/taxonomy/taxondetails?taxnode_id=202505053&amp;ictv_id=ICTV20165428","ICTV20165428")</f>
        <v>ICTV20165428</v>
      </c>
      <c r="R15623" t="s">
        <v>581</v>
      </c>
      <c r="S15623" t="s">
        <v>824</v>
      </c>
      <c r="T15623">
        <v>39</v>
      </c>
      <c r="U15623" s="26" t="str">
        <f>HYPERLINK("https://ictv.global/ictv/proposals/2023.007S.Solinviviridae_2sprenamed.zip","2023.007S.Solinviviridae_2sprenamed.zip")</f>
        <v>2023.007S.Solinviviridae_2sprenamed.zip</v>
      </c>
    </row>
    <row r="15624" spans="1:21">
      <c r="A15624">
        <v>15623</v>
      </c>
      <c r="B15624" s="27" t="s">
        <v>1124</v>
      </c>
      <c r="D15624" s="27" t="s">
        <v>1859</v>
      </c>
      <c r="F15624" s="27" t="s">
        <v>1909</v>
      </c>
      <c r="H15624" s="27" t="s">
        <v>1912</v>
      </c>
      <c r="J15624" s="27" t="s">
        <v>1960</v>
      </c>
      <c r="L15624" s="27" t="s">
        <v>5</v>
      </c>
      <c r="N15624" s="27" t="s">
        <v>6</v>
      </c>
      <c r="P15624" s="27" t="s">
        <v>20778</v>
      </c>
      <c r="Q15624" s="26" t="str">
        <f>HYPERLINK("https://ictv.global/taxonomy/taxondetails?taxnode_id=202502473&amp;ictv_id=ICTV20115391","ICTV20115391")</f>
        <v>ICTV20115391</v>
      </c>
      <c r="R15624" t="s">
        <v>581</v>
      </c>
      <c r="S15624" t="s">
        <v>824</v>
      </c>
      <c r="T15624">
        <v>41</v>
      </c>
      <c r="U15624" s="26" t="str">
        <f>HYPERLINK("https://ictv.global/ictv/proposals/2025.002F.Sobelivirales_2spren_lu.zip","2025.002F.Sobelivirales_2spren_lu.zip")</f>
        <v>2025.002F.Sobelivirales_2spren_lu.zip</v>
      </c>
    </row>
    <row r="15625" spans="1:21">
      <c r="A15625">
        <v>15624</v>
      </c>
      <c r="B15625" s="27" t="s">
        <v>1124</v>
      </c>
      <c r="D15625" s="27" t="s">
        <v>1859</v>
      </c>
      <c r="F15625" s="27" t="s">
        <v>1909</v>
      </c>
      <c r="H15625" s="27" t="s">
        <v>1912</v>
      </c>
      <c r="J15625" s="27" t="s">
        <v>1960</v>
      </c>
      <c r="L15625" s="27" t="s">
        <v>388</v>
      </c>
      <c r="N15625" s="27" t="s">
        <v>389</v>
      </c>
      <c r="P15625" s="27" t="s">
        <v>20781</v>
      </c>
      <c r="Q15625" s="26" t="str">
        <f>HYPERLINK("https://ictv.global/taxonomy/taxondetails?taxnode_id=202502729&amp;ictv_id=ICTV19930466","ICTV19930466")</f>
        <v>ICTV19930466</v>
      </c>
      <c r="R15625" t="s">
        <v>581</v>
      </c>
      <c r="S15625" t="s">
        <v>824</v>
      </c>
      <c r="T15625">
        <v>41</v>
      </c>
      <c r="U15625" s="26" t="str">
        <f>HYPERLINK("https://ictv.global/ictv/proposals/2025.002F.Sobelivirales_2spren_lu.zip","2025.002F.Sobelivirales_2spren_lu.zip")</f>
        <v>2025.002F.Sobelivirales_2spren_lu.zip</v>
      </c>
    </row>
    <row r="15626" spans="1:21">
      <c r="A15626">
        <v>15625</v>
      </c>
      <c r="B15626" s="27" t="s">
        <v>1124</v>
      </c>
      <c r="D15626" s="27" t="s">
        <v>1859</v>
      </c>
      <c r="F15626" s="27" t="s">
        <v>1909</v>
      </c>
      <c r="H15626" s="27" t="s">
        <v>1912</v>
      </c>
      <c r="J15626" s="27" t="s">
        <v>1960</v>
      </c>
      <c r="L15626" s="27" t="s">
        <v>925</v>
      </c>
      <c r="N15626" s="27" t="s">
        <v>279</v>
      </c>
      <c r="P15626" s="27" t="s">
        <v>17424</v>
      </c>
      <c r="Q15626" s="26" t="str">
        <f>HYPERLINK("https://ictv.global/taxonomy/taxondetails?taxnode_id=202503762&amp;ictv_id=ICTV20165405","ICTV20165405")</f>
        <v>ICTV20165405</v>
      </c>
      <c r="R15626" t="s">
        <v>581</v>
      </c>
      <c r="S15626" t="s">
        <v>824</v>
      </c>
      <c r="T15626">
        <v>39</v>
      </c>
      <c r="U15626" s="26" t="str">
        <f>HYPERLINK("https://ictv.global/ictv/proposals/2023.019P.Solemoviridae_rename_sp.zip","2023.019P.Solemoviridae_rename_sp.zip")</f>
        <v>2023.019P.Solemoviridae_rename_sp.zip</v>
      </c>
    </row>
    <row r="15627" spans="1:21">
      <c r="A15627">
        <v>15626</v>
      </c>
      <c r="B15627" s="27" t="s">
        <v>1124</v>
      </c>
      <c r="D15627" s="27" t="s">
        <v>1859</v>
      </c>
      <c r="F15627" s="27" t="s">
        <v>1909</v>
      </c>
      <c r="H15627" s="27" t="s">
        <v>1912</v>
      </c>
      <c r="J15627" s="27" t="s">
        <v>1960</v>
      </c>
      <c r="L15627" s="27" t="s">
        <v>925</v>
      </c>
      <c r="N15627" s="27" t="s">
        <v>279</v>
      </c>
      <c r="P15627" s="27" t="s">
        <v>17425</v>
      </c>
      <c r="Q15627" s="26" t="str">
        <f>HYPERLINK("https://ictv.global/taxonomy/taxondetails?taxnode_id=202518491&amp;ictv_id=ICTV202318491","ICTV202318491")</f>
        <v>ICTV202318491</v>
      </c>
      <c r="R15627" t="s">
        <v>581</v>
      </c>
      <c r="S15627" t="s">
        <v>823</v>
      </c>
      <c r="T15627">
        <v>39</v>
      </c>
      <c r="U15627" s="26" t="str">
        <f>HYPERLINK("https://ictv.global/ictv/proposals/2023.020P.Enamovirus_10nsp.zip","2023.020P.Enamovirus_10nsp.zip")</f>
        <v>2023.020P.Enamovirus_10nsp.zip</v>
      </c>
    </row>
    <row r="15628" spans="1:21">
      <c r="A15628">
        <v>15627</v>
      </c>
      <c r="B15628" s="27" t="s">
        <v>1124</v>
      </c>
      <c r="D15628" s="27" t="s">
        <v>1859</v>
      </c>
      <c r="F15628" s="27" t="s">
        <v>1909</v>
      </c>
      <c r="H15628" s="27" t="s">
        <v>1912</v>
      </c>
      <c r="J15628" s="27" t="s">
        <v>1960</v>
      </c>
      <c r="L15628" s="27" t="s">
        <v>925</v>
      </c>
      <c r="N15628" s="27" t="s">
        <v>279</v>
      </c>
      <c r="P15628" s="27" t="s">
        <v>17426</v>
      </c>
      <c r="Q15628" s="26" t="str">
        <f>HYPERLINK("https://ictv.global/taxonomy/taxondetails?taxnode_id=202518492&amp;ictv_id=ICTV202318492","ICTV202318492")</f>
        <v>ICTV202318492</v>
      </c>
      <c r="R15628" t="s">
        <v>581</v>
      </c>
      <c r="S15628" t="s">
        <v>823</v>
      </c>
      <c r="T15628">
        <v>39</v>
      </c>
      <c r="U15628" s="26" t="str">
        <f>HYPERLINK("https://ictv.global/ictv/proposals/2023.020P.Enamovirus_10nsp.zip","2023.020P.Enamovirus_10nsp.zip")</f>
        <v>2023.020P.Enamovirus_10nsp.zip</v>
      </c>
    </row>
    <row r="15629" spans="1:21">
      <c r="A15629">
        <v>15628</v>
      </c>
      <c r="B15629" s="27" t="s">
        <v>1124</v>
      </c>
      <c r="D15629" s="27" t="s">
        <v>1859</v>
      </c>
      <c r="F15629" s="27" t="s">
        <v>1909</v>
      </c>
      <c r="H15629" s="27" t="s">
        <v>1912</v>
      </c>
      <c r="J15629" s="27" t="s">
        <v>1960</v>
      </c>
      <c r="L15629" s="27" t="s">
        <v>925</v>
      </c>
      <c r="N15629" s="27" t="s">
        <v>279</v>
      </c>
      <c r="P15629" s="27" t="s">
        <v>17427</v>
      </c>
      <c r="Q15629" s="26" t="str">
        <f>HYPERLINK("https://ictv.global/taxonomy/taxondetails?taxnode_id=202518493&amp;ictv_id=ICTV202318493","ICTV202318493")</f>
        <v>ICTV202318493</v>
      </c>
      <c r="R15629" t="s">
        <v>581</v>
      </c>
      <c r="S15629" t="s">
        <v>823</v>
      </c>
      <c r="T15629">
        <v>39</v>
      </c>
      <c r="U15629" s="26" t="str">
        <f>HYPERLINK("https://ictv.global/ictv/proposals/2023.020P.Enamovirus_10nsp.zip","2023.020P.Enamovirus_10nsp.zip")</f>
        <v>2023.020P.Enamovirus_10nsp.zip</v>
      </c>
    </row>
    <row r="15630" spans="1:21">
      <c r="A15630">
        <v>15629</v>
      </c>
      <c r="B15630" s="27" t="s">
        <v>1124</v>
      </c>
      <c r="D15630" s="27" t="s">
        <v>1859</v>
      </c>
      <c r="F15630" s="27" t="s">
        <v>1909</v>
      </c>
      <c r="H15630" s="27" t="s">
        <v>1912</v>
      </c>
      <c r="J15630" s="27" t="s">
        <v>1960</v>
      </c>
      <c r="L15630" s="27" t="s">
        <v>925</v>
      </c>
      <c r="N15630" s="27" t="s">
        <v>279</v>
      </c>
      <c r="P15630" s="27" t="s">
        <v>17428</v>
      </c>
      <c r="Q15630" s="26" t="str">
        <f>HYPERLINK("https://ictv.global/taxonomy/taxondetails?taxnode_id=202507408&amp;ictv_id=ICTV201907408","ICTV201907408")</f>
        <v>ICTV201907408</v>
      </c>
      <c r="R15630" t="s">
        <v>581</v>
      </c>
      <c r="S15630" t="s">
        <v>824</v>
      </c>
      <c r="T15630">
        <v>39</v>
      </c>
      <c r="U15630" s="26" t="str">
        <f>HYPERLINK("https://ictv.global/ictv/proposals/2023.019P.Solemoviridae_rename_sp.zip","2023.019P.Solemoviridae_rename_sp.zip")</f>
        <v>2023.019P.Solemoviridae_rename_sp.zip</v>
      </c>
    </row>
    <row r="15631" spans="1:21">
      <c r="A15631">
        <v>15630</v>
      </c>
      <c r="B15631" s="27" t="s">
        <v>1124</v>
      </c>
      <c r="D15631" s="27" t="s">
        <v>1859</v>
      </c>
      <c r="F15631" s="27" t="s">
        <v>1909</v>
      </c>
      <c r="H15631" s="27" t="s">
        <v>1912</v>
      </c>
      <c r="J15631" s="27" t="s">
        <v>1960</v>
      </c>
      <c r="L15631" s="27" t="s">
        <v>925</v>
      </c>
      <c r="N15631" s="27" t="s">
        <v>279</v>
      </c>
      <c r="P15631" s="27" t="s">
        <v>17429</v>
      </c>
      <c r="Q15631" s="26" t="str">
        <f>HYPERLINK("https://ictv.global/taxonomy/taxondetails?taxnode_id=202518494&amp;ictv_id=ICTV202318494","ICTV202318494")</f>
        <v>ICTV202318494</v>
      </c>
      <c r="R15631" t="s">
        <v>581</v>
      </c>
      <c r="S15631" t="s">
        <v>823</v>
      </c>
      <c r="T15631">
        <v>39</v>
      </c>
      <c r="U15631" s="26" t="str">
        <f>HYPERLINK("https://ictv.global/ictv/proposals/2023.020P.Enamovirus_10nsp.zip","2023.020P.Enamovirus_10nsp.zip")</f>
        <v>2023.020P.Enamovirus_10nsp.zip</v>
      </c>
    </row>
    <row r="15632" spans="1:21">
      <c r="A15632">
        <v>15631</v>
      </c>
      <c r="B15632" s="27" t="s">
        <v>1124</v>
      </c>
      <c r="D15632" s="27" t="s">
        <v>1859</v>
      </c>
      <c r="F15632" s="27" t="s">
        <v>1909</v>
      </c>
      <c r="H15632" s="27" t="s">
        <v>1912</v>
      </c>
      <c r="J15632" s="27" t="s">
        <v>1960</v>
      </c>
      <c r="L15632" s="27" t="s">
        <v>925</v>
      </c>
      <c r="N15632" s="27" t="s">
        <v>279</v>
      </c>
      <c r="P15632" s="27" t="s">
        <v>21975</v>
      </c>
      <c r="Q15632" s="26" t="str">
        <f>HYPERLINK("https://ictv.global/taxonomy/taxondetails?taxnode_id=202522781&amp;ictv_id=ICTV202522781","ICTV202522781")</f>
        <v>ICTV202522781</v>
      </c>
      <c r="R15632" t="s">
        <v>581</v>
      </c>
      <c r="S15632" t="s">
        <v>823</v>
      </c>
      <c r="T15632">
        <v>41</v>
      </c>
      <c r="U15632" s="26" t="str">
        <f>HYPERLINK("https://ictv.global/ictv/proposals/2025.020P.Solemoviridae_Enamovirus_10nsp.zip","2025.020P.Solemoviridae_Enamovirus_10nsp.zip")</f>
        <v>2025.020P.Solemoviridae_Enamovirus_10nsp.zip</v>
      </c>
    </row>
    <row r="15633" spans="1:21">
      <c r="A15633">
        <v>15632</v>
      </c>
      <c r="B15633" s="27" t="s">
        <v>1124</v>
      </c>
      <c r="D15633" s="27" t="s">
        <v>1859</v>
      </c>
      <c r="F15633" s="27" t="s">
        <v>1909</v>
      </c>
      <c r="H15633" s="27" t="s">
        <v>1912</v>
      </c>
      <c r="J15633" s="27" t="s">
        <v>1960</v>
      </c>
      <c r="L15633" s="27" t="s">
        <v>925</v>
      </c>
      <c r="N15633" s="27" t="s">
        <v>279</v>
      </c>
      <c r="P15633" s="27" t="s">
        <v>21976</v>
      </c>
      <c r="Q15633" s="26" t="str">
        <f>HYPERLINK("https://ictv.global/taxonomy/taxondetails?taxnode_id=202522782&amp;ictv_id=ICTV202522782","ICTV202522782")</f>
        <v>ICTV202522782</v>
      </c>
      <c r="R15633" t="s">
        <v>581</v>
      </c>
      <c r="S15633" t="s">
        <v>823</v>
      </c>
      <c r="T15633">
        <v>41</v>
      </c>
      <c r="U15633" s="26" t="str">
        <f>HYPERLINK("https://ictv.global/ictv/proposals/2025.020P.Solemoviridae_Enamovirus_10nsp.zip","2025.020P.Solemoviridae_Enamovirus_10nsp.zip")</f>
        <v>2025.020P.Solemoviridae_Enamovirus_10nsp.zip</v>
      </c>
    </row>
    <row r="15634" spans="1:21">
      <c r="A15634">
        <v>15633</v>
      </c>
      <c r="B15634" s="27" t="s">
        <v>1124</v>
      </c>
      <c r="D15634" s="27" t="s">
        <v>1859</v>
      </c>
      <c r="F15634" s="27" t="s">
        <v>1909</v>
      </c>
      <c r="H15634" s="27" t="s">
        <v>1912</v>
      </c>
      <c r="J15634" s="27" t="s">
        <v>1960</v>
      </c>
      <c r="L15634" s="27" t="s">
        <v>925</v>
      </c>
      <c r="N15634" s="27" t="s">
        <v>279</v>
      </c>
      <c r="P15634" s="27" t="s">
        <v>17430</v>
      </c>
      <c r="Q15634" s="26" t="str">
        <f>HYPERLINK("https://ictv.global/taxonomy/taxondetails?taxnode_id=202518495&amp;ictv_id=ICTV202318495","ICTV202318495")</f>
        <v>ICTV202318495</v>
      </c>
      <c r="R15634" t="s">
        <v>581</v>
      </c>
      <c r="S15634" t="s">
        <v>823</v>
      </c>
      <c r="T15634">
        <v>39</v>
      </c>
      <c r="U15634" s="26" t="str">
        <f>HYPERLINK("https://ictv.global/ictv/proposals/2023.020P.Enamovirus_10nsp.zip","2023.020P.Enamovirus_10nsp.zip")</f>
        <v>2023.020P.Enamovirus_10nsp.zip</v>
      </c>
    </row>
    <row r="15635" spans="1:21">
      <c r="A15635">
        <v>15634</v>
      </c>
      <c r="B15635" s="27" t="s">
        <v>1124</v>
      </c>
      <c r="D15635" s="27" t="s">
        <v>1859</v>
      </c>
      <c r="F15635" s="27" t="s">
        <v>1909</v>
      </c>
      <c r="H15635" s="27" t="s">
        <v>1912</v>
      </c>
      <c r="J15635" s="27" t="s">
        <v>1960</v>
      </c>
      <c r="L15635" s="27" t="s">
        <v>925</v>
      </c>
      <c r="N15635" s="27" t="s">
        <v>279</v>
      </c>
      <c r="P15635" s="27" t="s">
        <v>21978</v>
      </c>
      <c r="Q15635" s="26" t="str">
        <f>HYPERLINK("https://ictv.global/taxonomy/taxondetails?taxnode_id=202522784&amp;ictv_id=ICTV202522784","ICTV202522784")</f>
        <v>ICTV202522784</v>
      </c>
      <c r="R15635" t="s">
        <v>581</v>
      </c>
      <c r="S15635" t="s">
        <v>823</v>
      </c>
      <c r="T15635">
        <v>41</v>
      </c>
      <c r="U15635" s="26" t="str">
        <f>HYPERLINK("https://ictv.global/ictv/proposals/2025.020P.Solemoviridae_Enamovirus_10nsp.zip","2025.020P.Solemoviridae_Enamovirus_10nsp.zip")</f>
        <v>2025.020P.Solemoviridae_Enamovirus_10nsp.zip</v>
      </c>
    </row>
    <row r="15636" spans="1:21">
      <c r="A15636">
        <v>15635</v>
      </c>
      <c r="B15636" s="27" t="s">
        <v>1124</v>
      </c>
      <c r="D15636" s="27" t="s">
        <v>1859</v>
      </c>
      <c r="F15636" s="27" t="s">
        <v>1909</v>
      </c>
      <c r="H15636" s="27" t="s">
        <v>1912</v>
      </c>
      <c r="J15636" s="27" t="s">
        <v>1960</v>
      </c>
      <c r="L15636" s="27" t="s">
        <v>925</v>
      </c>
      <c r="N15636" s="27" t="s">
        <v>279</v>
      </c>
      <c r="P15636" s="27" t="s">
        <v>21977</v>
      </c>
      <c r="Q15636" s="26" t="str">
        <f>HYPERLINK("https://ictv.global/taxonomy/taxondetails?taxnode_id=202522783&amp;ictv_id=ICTV202522783","ICTV202522783")</f>
        <v>ICTV202522783</v>
      </c>
      <c r="R15636" t="s">
        <v>581</v>
      </c>
      <c r="S15636" t="s">
        <v>823</v>
      </c>
      <c r="T15636">
        <v>41</v>
      </c>
      <c r="U15636" s="26" t="str">
        <f>HYPERLINK("https://ictv.global/ictv/proposals/2025.020P.Solemoviridae_Enamovirus_10nsp.zip","2025.020P.Solemoviridae_Enamovirus_10nsp.zip")</f>
        <v>2025.020P.Solemoviridae_Enamovirus_10nsp.zip</v>
      </c>
    </row>
    <row r="15637" spans="1:21">
      <c r="A15637">
        <v>15636</v>
      </c>
      <c r="B15637" s="27" t="s">
        <v>1124</v>
      </c>
      <c r="D15637" s="27" t="s">
        <v>1859</v>
      </c>
      <c r="F15637" s="27" t="s">
        <v>1909</v>
      </c>
      <c r="H15637" s="27" t="s">
        <v>1912</v>
      </c>
      <c r="J15637" s="27" t="s">
        <v>1960</v>
      </c>
      <c r="L15637" s="27" t="s">
        <v>925</v>
      </c>
      <c r="N15637" s="27" t="s">
        <v>279</v>
      </c>
      <c r="P15637" s="27" t="s">
        <v>17431</v>
      </c>
      <c r="Q15637" s="26" t="str">
        <f>HYPERLINK("https://ictv.global/taxonomy/taxondetails?taxnode_id=202506590&amp;ictv_id=ICTV201856590","ICTV201856590")</f>
        <v>ICTV201856590</v>
      </c>
      <c r="R15637" t="s">
        <v>581</v>
      </c>
      <c r="S15637" t="s">
        <v>824</v>
      </c>
      <c r="T15637">
        <v>39</v>
      </c>
      <c r="U15637" s="26" t="str">
        <f>HYPERLINK("https://ictv.global/ictv/proposals/2023.019P.Solemoviridae_rename_sp.zip","2023.019P.Solemoviridae_rename_sp.zip")</f>
        <v>2023.019P.Solemoviridae_rename_sp.zip</v>
      </c>
    </row>
    <row r="15638" spans="1:21">
      <c r="A15638">
        <v>15637</v>
      </c>
      <c r="B15638" s="27" t="s">
        <v>1124</v>
      </c>
      <c r="D15638" s="27" t="s">
        <v>1859</v>
      </c>
      <c r="F15638" s="27" t="s">
        <v>1909</v>
      </c>
      <c r="H15638" s="27" t="s">
        <v>1912</v>
      </c>
      <c r="J15638" s="27" t="s">
        <v>1960</v>
      </c>
      <c r="L15638" s="27" t="s">
        <v>925</v>
      </c>
      <c r="N15638" s="27" t="s">
        <v>279</v>
      </c>
      <c r="P15638" s="27" t="s">
        <v>21979</v>
      </c>
      <c r="Q15638" s="26" t="str">
        <f>HYPERLINK("https://ictv.global/taxonomy/taxondetails?taxnode_id=202522785&amp;ictv_id=ICTV202522785","ICTV202522785")</f>
        <v>ICTV202522785</v>
      </c>
      <c r="R15638" t="s">
        <v>581</v>
      </c>
      <c r="S15638" t="s">
        <v>823</v>
      </c>
      <c r="T15638">
        <v>41</v>
      </c>
      <c r="U15638" s="26" t="str">
        <f>HYPERLINK("https://ictv.global/ictv/proposals/2025.020P.Solemoviridae_Enamovirus_10nsp.zip","2025.020P.Solemoviridae_Enamovirus_10nsp.zip")</f>
        <v>2025.020P.Solemoviridae_Enamovirus_10nsp.zip</v>
      </c>
    </row>
    <row r="15639" spans="1:21">
      <c r="A15639">
        <v>15638</v>
      </c>
      <c r="B15639" s="27" t="s">
        <v>1124</v>
      </c>
      <c r="D15639" s="27" t="s">
        <v>1859</v>
      </c>
      <c r="F15639" s="27" t="s">
        <v>1909</v>
      </c>
      <c r="H15639" s="27" t="s">
        <v>1912</v>
      </c>
      <c r="J15639" s="27" t="s">
        <v>1960</v>
      </c>
      <c r="L15639" s="27" t="s">
        <v>925</v>
      </c>
      <c r="N15639" s="27" t="s">
        <v>279</v>
      </c>
      <c r="P15639" s="27" t="s">
        <v>21980</v>
      </c>
      <c r="Q15639" s="26" t="str">
        <f>HYPERLINK("https://ictv.global/taxonomy/taxondetails?taxnode_id=202522786&amp;ictv_id=ICTV202522786","ICTV202522786")</f>
        <v>ICTV202522786</v>
      </c>
      <c r="R15639" t="s">
        <v>581</v>
      </c>
      <c r="S15639" t="s">
        <v>823</v>
      </c>
      <c r="T15639">
        <v>41</v>
      </c>
      <c r="U15639" s="26" t="str">
        <f>HYPERLINK("https://ictv.global/ictv/proposals/2025.020P.Solemoviridae_Enamovirus_10nsp.zip","2025.020P.Solemoviridae_Enamovirus_10nsp.zip")</f>
        <v>2025.020P.Solemoviridae_Enamovirus_10nsp.zip</v>
      </c>
    </row>
    <row r="15640" spans="1:21">
      <c r="A15640">
        <v>15639</v>
      </c>
      <c r="B15640" s="27" t="s">
        <v>1124</v>
      </c>
      <c r="D15640" s="27" t="s">
        <v>1859</v>
      </c>
      <c r="F15640" s="27" t="s">
        <v>1909</v>
      </c>
      <c r="H15640" s="27" t="s">
        <v>1912</v>
      </c>
      <c r="J15640" s="27" t="s">
        <v>1960</v>
      </c>
      <c r="L15640" s="27" t="s">
        <v>925</v>
      </c>
      <c r="N15640" s="27" t="s">
        <v>279</v>
      </c>
      <c r="P15640" s="27" t="s">
        <v>17432</v>
      </c>
      <c r="Q15640" s="26" t="str">
        <f>HYPERLINK("https://ictv.global/taxonomy/taxondetails?taxnode_id=202506585&amp;ictv_id=ICTV201856585","ICTV201856585")</f>
        <v>ICTV201856585</v>
      </c>
      <c r="R15640" t="s">
        <v>581</v>
      </c>
      <c r="S15640" t="s">
        <v>824</v>
      </c>
      <c r="T15640">
        <v>39</v>
      </c>
      <c r="U15640" s="26" t="str">
        <f>HYPERLINK("https://ictv.global/ictv/proposals/2023.019P.Solemoviridae_rename_sp.zip","2023.019P.Solemoviridae_rename_sp.zip")</f>
        <v>2023.019P.Solemoviridae_rename_sp.zip</v>
      </c>
    </row>
    <row r="15641" spans="1:21">
      <c r="A15641">
        <v>15640</v>
      </c>
      <c r="B15641" s="27" t="s">
        <v>1124</v>
      </c>
      <c r="D15641" s="27" t="s">
        <v>1859</v>
      </c>
      <c r="F15641" s="27" t="s">
        <v>1909</v>
      </c>
      <c r="H15641" s="27" t="s">
        <v>1912</v>
      </c>
      <c r="J15641" s="27" t="s">
        <v>1960</v>
      </c>
      <c r="L15641" s="27" t="s">
        <v>925</v>
      </c>
      <c r="N15641" s="27" t="s">
        <v>279</v>
      </c>
      <c r="P15641" s="27" t="s">
        <v>17433</v>
      </c>
      <c r="Q15641" s="26" t="str">
        <f>HYPERLINK("https://ictv.global/taxonomy/taxondetails?taxnode_id=202518496&amp;ictv_id=ICTV202318496","ICTV202318496")</f>
        <v>ICTV202318496</v>
      </c>
      <c r="R15641" t="s">
        <v>581</v>
      </c>
      <c r="S15641" t="s">
        <v>823</v>
      </c>
      <c r="T15641">
        <v>39</v>
      </c>
      <c r="U15641" s="26" t="str">
        <f>HYPERLINK("https://ictv.global/ictv/proposals/2023.020P.Enamovirus_10nsp.zip","2023.020P.Enamovirus_10nsp.zip")</f>
        <v>2023.020P.Enamovirus_10nsp.zip</v>
      </c>
    </row>
    <row r="15642" spans="1:21">
      <c r="A15642">
        <v>15641</v>
      </c>
      <c r="B15642" s="27" t="s">
        <v>1124</v>
      </c>
      <c r="D15642" s="27" t="s">
        <v>1859</v>
      </c>
      <c r="F15642" s="27" t="s">
        <v>1909</v>
      </c>
      <c r="H15642" s="27" t="s">
        <v>1912</v>
      </c>
      <c r="J15642" s="27" t="s">
        <v>1960</v>
      </c>
      <c r="L15642" s="27" t="s">
        <v>925</v>
      </c>
      <c r="N15642" s="27" t="s">
        <v>279</v>
      </c>
      <c r="P15642" s="27" t="s">
        <v>17434</v>
      </c>
      <c r="Q15642" s="26" t="str">
        <f>HYPERLINK("https://ictv.global/taxonomy/taxondetails?taxnode_id=202518497&amp;ictv_id=ICTV202318497","ICTV202318497")</f>
        <v>ICTV202318497</v>
      </c>
      <c r="R15642" t="s">
        <v>581</v>
      </c>
      <c r="S15642" t="s">
        <v>823</v>
      </c>
      <c r="T15642">
        <v>39</v>
      </c>
      <c r="U15642" s="26" t="str">
        <f>HYPERLINK("https://ictv.global/ictv/proposals/2023.020P.Enamovirus_10nsp.zip","2023.020P.Enamovirus_10nsp.zip")</f>
        <v>2023.020P.Enamovirus_10nsp.zip</v>
      </c>
    </row>
    <row r="15643" spans="1:21">
      <c r="A15643">
        <v>15642</v>
      </c>
      <c r="B15643" s="27" t="s">
        <v>1124</v>
      </c>
      <c r="D15643" s="27" t="s">
        <v>1859</v>
      </c>
      <c r="F15643" s="27" t="s">
        <v>1909</v>
      </c>
      <c r="H15643" s="27" t="s">
        <v>1912</v>
      </c>
      <c r="J15643" s="27" t="s">
        <v>1960</v>
      </c>
      <c r="L15643" s="27" t="s">
        <v>925</v>
      </c>
      <c r="N15643" s="27" t="s">
        <v>279</v>
      </c>
      <c r="P15643" s="27" t="s">
        <v>21981</v>
      </c>
      <c r="Q15643" s="26" t="str">
        <f>HYPERLINK("https://ictv.global/taxonomy/taxondetails?taxnode_id=202522787&amp;ictv_id=ICTV202522787","ICTV202522787")</f>
        <v>ICTV202522787</v>
      </c>
      <c r="R15643" t="s">
        <v>581</v>
      </c>
      <c r="S15643" t="s">
        <v>823</v>
      </c>
      <c r="T15643">
        <v>41</v>
      </c>
      <c r="U15643" s="26" t="str">
        <f>HYPERLINK("https://ictv.global/ictv/proposals/2025.020P.Solemoviridae_Enamovirus_10nsp.zip","2025.020P.Solemoviridae_Enamovirus_10nsp.zip")</f>
        <v>2025.020P.Solemoviridae_Enamovirus_10nsp.zip</v>
      </c>
    </row>
    <row r="15644" spans="1:21">
      <c r="A15644">
        <v>15643</v>
      </c>
      <c r="B15644" s="27" t="s">
        <v>1124</v>
      </c>
      <c r="D15644" s="27" t="s">
        <v>1859</v>
      </c>
      <c r="F15644" s="27" t="s">
        <v>1909</v>
      </c>
      <c r="H15644" s="27" t="s">
        <v>1912</v>
      </c>
      <c r="J15644" s="27" t="s">
        <v>1960</v>
      </c>
      <c r="L15644" s="27" t="s">
        <v>925</v>
      </c>
      <c r="N15644" s="27" t="s">
        <v>279</v>
      </c>
      <c r="P15644" s="27" t="s">
        <v>17435</v>
      </c>
      <c r="Q15644" s="26" t="str">
        <f>HYPERLINK("https://ictv.global/taxonomy/taxondetails?taxnode_id=202518498&amp;ictv_id=ICTV202318498","ICTV202318498")</f>
        <v>ICTV202318498</v>
      </c>
      <c r="R15644" t="s">
        <v>581</v>
      </c>
      <c r="S15644" t="s">
        <v>823</v>
      </c>
      <c r="T15644">
        <v>39</v>
      </c>
      <c r="U15644" s="26" t="str">
        <f>HYPERLINK("https://ictv.global/ictv/proposals/2023.020P.Enamovirus_10nsp.zip","2023.020P.Enamovirus_10nsp.zip")</f>
        <v>2023.020P.Enamovirus_10nsp.zip</v>
      </c>
    </row>
    <row r="15645" spans="1:21">
      <c r="A15645">
        <v>15644</v>
      </c>
      <c r="B15645" s="27" t="s">
        <v>1124</v>
      </c>
      <c r="D15645" s="27" t="s">
        <v>1859</v>
      </c>
      <c r="F15645" s="27" t="s">
        <v>1909</v>
      </c>
      <c r="H15645" s="27" t="s">
        <v>1912</v>
      </c>
      <c r="J15645" s="27" t="s">
        <v>1960</v>
      </c>
      <c r="L15645" s="27" t="s">
        <v>925</v>
      </c>
      <c r="N15645" s="27" t="s">
        <v>279</v>
      </c>
      <c r="P15645" s="27" t="s">
        <v>17436</v>
      </c>
      <c r="Q15645" s="26" t="str">
        <f>HYPERLINK("https://ictv.global/taxonomy/taxondetails?taxnode_id=202503763&amp;ictv_id=ICTV19981700","ICTV19981700")</f>
        <v>ICTV19981700</v>
      </c>
      <c r="R15645" t="s">
        <v>581</v>
      </c>
      <c r="S15645" t="s">
        <v>824</v>
      </c>
      <c r="T15645">
        <v>39</v>
      </c>
      <c r="U15645" s="26" t="str">
        <f>HYPERLINK("https://ictv.global/ictv/proposals/2023.019P.Solemoviridae_rename_sp.zip","2023.019P.Solemoviridae_rename_sp.zip")</f>
        <v>2023.019P.Solemoviridae_rename_sp.zip</v>
      </c>
    </row>
    <row r="15646" spans="1:21">
      <c r="A15646">
        <v>15645</v>
      </c>
      <c r="B15646" s="27" t="s">
        <v>1124</v>
      </c>
      <c r="D15646" s="27" t="s">
        <v>1859</v>
      </c>
      <c r="F15646" s="27" t="s">
        <v>1909</v>
      </c>
      <c r="H15646" s="27" t="s">
        <v>1912</v>
      </c>
      <c r="J15646" s="27" t="s">
        <v>1960</v>
      </c>
      <c r="L15646" s="27" t="s">
        <v>925</v>
      </c>
      <c r="N15646" s="27" t="s">
        <v>279</v>
      </c>
      <c r="P15646" s="27" t="s">
        <v>17437</v>
      </c>
      <c r="Q15646" s="26" t="str">
        <f>HYPERLINK("https://ictv.global/taxonomy/taxondetails?taxnode_id=202518499&amp;ictv_id=ICTV202318499","ICTV202318499")</f>
        <v>ICTV202318499</v>
      </c>
      <c r="R15646" t="s">
        <v>581</v>
      </c>
      <c r="S15646" t="s">
        <v>823</v>
      </c>
      <c r="T15646">
        <v>39</v>
      </c>
      <c r="U15646" s="26" t="str">
        <f>HYPERLINK("https://ictv.global/ictv/proposals/2023.020P.Enamovirus_10nsp.zip","2023.020P.Enamovirus_10nsp.zip")</f>
        <v>2023.020P.Enamovirus_10nsp.zip</v>
      </c>
    </row>
    <row r="15647" spans="1:21">
      <c r="A15647">
        <v>15646</v>
      </c>
      <c r="B15647" s="27" t="s">
        <v>1124</v>
      </c>
      <c r="D15647" s="27" t="s">
        <v>1859</v>
      </c>
      <c r="F15647" s="27" t="s">
        <v>1909</v>
      </c>
      <c r="H15647" s="27" t="s">
        <v>1912</v>
      </c>
      <c r="J15647" s="27" t="s">
        <v>1960</v>
      </c>
      <c r="L15647" s="27" t="s">
        <v>925</v>
      </c>
      <c r="N15647" s="27" t="s">
        <v>279</v>
      </c>
      <c r="P15647" s="27" t="s">
        <v>21982</v>
      </c>
      <c r="Q15647" s="26" t="str">
        <f>HYPERLINK("https://ictv.global/taxonomy/taxondetails?taxnode_id=202522788&amp;ictv_id=ICTV202522788","ICTV202522788")</f>
        <v>ICTV202522788</v>
      </c>
      <c r="R15647" t="s">
        <v>581</v>
      </c>
      <c r="S15647" t="s">
        <v>823</v>
      </c>
      <c r="T15647">
        <v>41</v>
      </c>
      <c r="U15647" s="26" t="str">
        <f>HYPERLINK("https://ictv.global/ictv/proposals/2025.020P.Solemoviridae_Enamovirus_10nsp.zip","2025.020P.Solemoviridae_Enamovirus_10nsp.zip")</f>
        <v>2025.020P.Solemoviridae_Enamovirus_10nsp.zip</v>
      </c>
    </row>
    <row r="15648" spans="1:21">
      <c r="A15648">
        <v>15647</v>
      </c>
      <c r="B15648" s="27" t="s">
        <v>1124</v>
      </c>
      <c r="D15648" s="27" t="s">
        <v>1859</v>
      </c>
      <c r="F15648" s="27" t="s">
        <v>1909</v>
      </c>
      <c r="H15648" s="27" t="s">
        <v>1912</v>
      </c>
      <c r="J15648" s="27" t="s">
        <v>1960</v>
      </c>
      <c r="L15648" s="27" t="s">
        <v>925</v>
      </c>
      <c r="N15648" s="27" t="s">
        <v>279</v>
      </c>
      <c r="P15648" s="27" t="s">
        <v>17438</v>
      </c>
      <c r="Q15648" s="26" t="str">
        <f>HYPERLINK("https://ictv.global/taxonomy/taxondetails?taxnode_id=202518500&amp;ictv_id=ICTV202318500","ICTV202318500")</f>
        <v>ICTV202318500</v>
      </c>
      <c r="R15648" t="s">
        <v>581</v>
      </c>
      <c r="S15648" t="s">
        <v>823</v>
      </c>
      <c r="T15648">
        <v>39</v>
      </c>
      <c r="U15648" s="26" t="str">
        <f>HYPERLINK("https://ictv.global/ictv/proposals/2023.020P.Enamovirus_10nsp.zip","2023.020P.Enamovirus_10nsp.zip")</f>
        <v>2023.020P.Enamovirus_10nsp.zip</v>
      </c>
    </row>
    <row r="15649" spans="1:21">
      <c r="A15649">
        <v>15648</v>
      </c>
      <c r="B15649" s="27" t="s">
        <v>1124</v>
      </c>
      <c r="D15649" s="27" t="s">
        <v>1859</v>
      </c>
      <c r="F15649" s="27" t="s">
        <v>1909</v>
      </c>
      <c r="H15649" s="27" t="s">
        <v>1912</v>
      </c>
      <c r="J15649" s="27" t="s">
        <v>1960</v>
      </c>
      <c r="L15649" s="27" t="s">
        <v>925</v>
      </c>
      <c r="N15649" s="27" t="s">
        <v>279</v>
      </c>
      <c r="P15649" s="27" t="s">
        <v>21983</v>
      </c>
      <c r="Q15649" s="26" t="str">
        <f>HYPERLINK("https://ictv.global/taxonomy/taxondetails?taxnode_id=202522789&amp;ictv_id=ICTV202522789","ICTV202522789")</f>
        <v>ICTV202522789</v>
      </c>
      <c r="R15649" t="s">
        <v>581</v>
      </c>
      <c r="S15649" t="s">
        <v>823</v>
      </c>
      <c r="T15649">
        <v>41</v>
      </c>
      <c r="U15649" s="26" t="str">
        <f>HYPERLINK("https://ictv.global/ictv/proposals/2025.020P.Solemoviridae_Enamovirus_10nsp.zip","2025.020P.Solemoviridae_Enamovirus_10nsp.zip")</f>
        <v>2025.020P.Solemoviridae_Enamovirus_10nsp.zip</v>
      </c>
    </row>
    <row r="15650" spans="1:21">
      <c r="A15650">
        <v>15649</v>
      </c>
      <c r="B15650" s="27" t="s">
        <v>1124</v>
      </c>
      <c r="D15650" s="27" t="s">
        <v>1859</v>
      </c>
      <c r="F15650" s="27" t="s">
        <v>1909</v>
      </c>
      <c r="H15650" s="27" t="s">
        <v>1912</v>
      </c>
      <c r="J15650" s="27" t="s">
        <v>1960</v>
      </c>
      <c r="L15650" s="27" t="s">
        <v>925</v>
      </c>
      <c r="N15650" s="27" t="s">
        <v>279</v>
      </c>
      <c r="P15650" s="27" t="s">
        <v>21984</v>
      </c>
      <c r="Q15650" s="26" t="str">
        <f>HYPERLINK("https://ictv.global/taxonomy/taxondetails?taxnode_id=202522790&amp;ictv_id=ICTV202522790","ICTV202522790")</f>
        <v>ICTV202522790</v>
      </c>
      <c r="R15650" t="s">
        <v>581</v>
      </c>
      <c r="S15650" t="s">
        <v>823</v>
      </c>
      <c r="T15650">
        <v>41</v>
      </c>
      <c r="U15650" s="26" t="str">
        <f>HYPERLINK("https://ictv.global/ictv/proposals/2025.020P.Solemoviridae_Enamovirus_10nsp.zip","2025.020P.Solemoviridae_Enamovirus_10nsp.zip")</f>
        <v>2025.020P.Solemoviridae_Enamovirus_10nsp.zip</v>
      </c>
    </row>
    <row r="15651" spans="1:21">
      <c r="A15651">
        <v>15650</v>
      </c>
      <c r="B15651" s="27" t="s">
        <v>1124</v>
      </c>
      <c r="D15651" s="27" t="s">
        <v>1859</v>
      </c>
      <c r="F15651" s="27" t="s">
        <v>1909</v>
      </c>
      <c r="H15651" s="27" t="s">
        <v>1912</v>
      </c>
      <c r="J15651" s="27" t="s">
        <v>1960</v>
      </c>
      <c r="L15651" s="27" t="s">
        <v>925</v>
      </c>
      <c r="N15651" s="27" t="s">
        <v>17439</v>
      </c>
      <c r="P15651" s="27" t="s">
        <v>17440</v>
      </c>
      <c r="Q15651" s="26" t="str">
        <f>HYPERLINK("https://ictv.global/taxonomy/taxondetails?taxnode_id=202519055&amp;ictv_id=ICTV202319055","ICTV202319055")</f>
        <v>ICTV202319055</v>
      </c>
      <c r="R15651" t="s">
        <v>581</v>
      </c>
      <c r="S15651" t="s">
        <v>823</v>
      </c>
      <c r="T15651">
        <v>39</v>
      </c>
      <c r="U15651" s="26" t="str">
        <f>HYPERLINK("https://ictv.global/ictv/proposals/2023.029P.Hubsclerovirus_1ng_1nsp.zip","2023.029P.Hubsclerovirus_1ng_1nsp.zip")</f>
        <v>2023.029P.Hubsclerovirus_1ng_1nsp.zip</v>
      </c>
    </row>
    <row r="15652" spans="1:21">
      <c r="A15652">
        <v>15651</v>
      </c>
      <c r="B15652" s="27" t="s">
        <v>1124</v>
      </c>
      <c r="D15652" s="27" t="s">
        <v>1859</v>
      </c>
      <c r="F15652" s="27" t="s">
        <v>1909</v>
      </c>
      <c r="H15652" s="27" t="s">
        <v>1912</v>
      </c>
      <c r="J15652" s="27" t="s">
        <v>1960</v>
      </c>
      <c r="L15652" s="27" t="s">
        <v>925</v>
      </c>
      <c r="N15652" s="27" t="s">
        <v>137</v>
      </c>
      <c r="P15652" s="27" t="s">
        <v>17441</v>
      </c>
      <c r="Q15652" s="26" t="str">
        <f>HYPERLINK("https://ictv.global/taxonomy/taxondetails?taxnode_id=202505362&amp;ictv_id=ICTV20085022","ICTV20085022")</f>
        <v>ICTV20085022</v>
      </c>
      <c r="R15652" t="s">
        <v>581</v>
      </c>
      <c r="S15652" t="s">
        <v>824</v>
      </c>
      <c r="T15652">
        <v>39</v>
      </c>
      <c r="U15652" s="26" t="str">
        <f>HYPERLINK("https://ictv.global/ictv/proposals/2023.019P.Solemoviridae_rename_sp.zip","2023.019P.Solemoviridae_rename_sp.zip")</f>
        <v>2023.019P.Solemoviridae_rename_sp.zip</v>
      </c>
    </row>
    <row r="15653" spans="1:21">
      <c r="A15653">
        <v>15652</v>
      </c>
      <c r="B15653" s="27" t="s">
        <v>1124</v>
      </c>
      <c r="D15653" s="27" t="s">
        <v>1859</v>
      </c>
      <c r="F15653" s="27" t="s">
        <v>1909</v>
      </c>
      <c r="H15653" s="27" t="s">
        <v>1912</v>
      </c>
      <c r="J15653" s="27" t="s">
        <v>1960</v>
      </c>
      <c r="L15653" s="27" t="s">
        <v>925</v>
      </c>
      <c r="N15653" s="27" t="s">
        <v>366</v>
      </c>
      <c r="P15653" s="27" t="s">
        <v>21997</v>
      </c>
      <c r="Q15653" s="26" t="str">
        <f>HYPERLINK("https://ictv.global/taxonomy/taxondetails?taxnode_id=202522803&amp;ictv_id=ICTV202522803","ICTV202522803")</f>
        <v>ICTV202522803</v>
      </c>
      <c r="R15653" t="s">
        <v>581</v>
      </c>
      <c r="S15653" t="s">
        <v>823</v>
      </c>
      <c r="T15653">
        <v>41</v>
      </c>
      <c r="U15653" s="26" t="str">
        <f>HYPERLINK("https://ictv.global/ictv/proposals/2025.022P.Solemoviridae_Polerovirus_17nsp.zip","2025.022P.Solemoviridae_Polerovirus_17nsp.zip")</f>
        <v>2025.022P.Solemoviridae_Polerovirus_17nsp.zip</v>
      </c>
    </row>
    <row r="15654" spans="1:21">
      <c r="A15654">
        <v>15653</v>
      </c>
      <c r="B15654" s="27" t="s">
        <v>1124</v>
      </c>
      <c r="D15654" s="27" t="s">
        <v>1859</v>
      </c>
      <c r="F15654" s="27" t="s">
        <v>1909</v>
      </c>
      <c r="H15654" s="27" t="s">
        <v>1912</v>
      </c>
      <c r="J15654" s="27" t="s">
        <v>1960</v>
      </c>
      <c r="L15654" s="27" t="s">
        <v>925</v>
      </c>
      <c r="N15654" s="27" t="s">
        <v>366</v>
      </c>
      <c r="P15654" s="27" t="s">
        <v>17442</v>
      </c>
      <c r="Q15654" s="26" t="str">
        <f>HYPERLINK("https://ictv.global/taxonomy/taxondetails?taxnode_id=202518622&amp;ictv_id=ICTV202318622","ICTV202318622")</f>
        <v>ICTV202318622</v>
      </c>
      <c r="R15654" t="s">
        <v>581</v>
      </c>
      <c r="S15654" t="s">
        <v>823</v>
      </c>
      <c r="T15654">
        <v>39</v>
      </c>
      <c r="U15654" s="26" t="str">
        <f>HYPERLINK("https://ictv.global/ictv/proposals/2023.022P.Polerovirus_47nsp.zip","2023.022P.Polerovirus_47nsp.zip")</f>
        <v>2023.022P.Polerovirus_47nsp.zip</v>
      </c>
    </row>
    <row r="15655" spans="1:21">
      <c r="A15655">
        <v>15654</v>
      </c>
      <c r="B15655" s="27" t="s">
        <v>1124</v>
      </c>
      <c r="D15655" s="27" t="s">
        <v>1859</v>
      </c>
      <c r="F15655" s="27" t="s">
        <v>1909</v>
      </c>
      <c r="H15655" s="27" t="s">
        <v>1912</v>
      </c>
      <c r="J15655" s="27" t="s">
        <v>1960</v>
      </c>
      <c r="L15655" s="27" t="s">
        <v>925</v>
      </c>
      <c r="N15655" s="27" t="s">
        <v>366</v>
      </c>
      <c r="P15655" s="27" t="s">
        <v>21987</v>
      </c>
      <c r="Q15655" s="26" t="str">
        <f>HYPERLINK("https://ictv.global/taxonomy/taxondetails?taxnode_id=202522793&amp;ictv_id=ICTV202522793","ICTV202522793")</f>
        <v>ICTV202522793</v>
      </c>
      <c r="R15655" t="s">
        <v>581</v>
      </c>
      <c r="S15655" t="s">
        <v>823</v>
      </c>
      <c r="T15655">
        <v>41</v>
      </c>
      <c r="U15655" s="26" t="str">
        <f>HYPERLINK("https://ictv.global/ictv/proposals/2025.022P.Solemoviridae_Polerovirus_17nsp.zip","2025.022P.Solemoviridae_Polerovirus_17nsp.zip")</f>
        <v>2025.022P.Solemoviridae_Polerovirus_17nsp.zip</v>
      </c>
    </row>
    <row r="15656" spans="1:21">
      <c r="A15656">
        <v>15655</v>
      </c>
      <c r="B15656" s="27" t="s">
        <v>1124</v>
      </c>
      <c r="D15656" s="27" t="s">
        <v>1859</v>
      </c>
      <c r="F15656" s="27" t="s">
        <v>1909</v>
      </c>
      <c r="H15656" s="27" t="s">
        <v>1912</v>
      </c>
      <c r="J15656" s="27" t="s">
        <v>1960</v>
      </c>
      <c r="L15656" s="27" t="s">
        <v>925</v>
      </c>
      <c r="N15656" s="27" t="s">
        <v>366</v>
      </c>
      <c r="P15656" s="27" t="s">
        <v>17443</v>
      </c>
      <c r="Q15656" s="26" t="str">
        <f>HYPERLINK("https://ictv.global/taxonomy/taxondetails?taxnode_id=202518623&amp;ictv_id=ICTV202318623","ICTV202318623")</f>
        <v>ICTV202318623</v>
      </c>
      <c r="R15656" t="s">
        <v>581</v>
      </c>
      <c r="S15656" t="s">
        <v>823</v>
      </c>
      <c r="T15656">
        <v>39</v>
      </c>
      <c r="U15656" s="26" t="str">
        <f>HYPERLINK("https://ictv.global/ictv/proposals/2023.022P.Polerovirus_47nsp.zip","2023.022P.Polerovirus_47nsp.zip")</f>
        <v>2023.022P.Polerovirus_47nsp.zip</v>
      </c>
    </row>
    <row r="15657" spans="1:21">
      <c r="A15657">
        <v>15656</v>
      </c>
      <c r="B15657" s="27" t="s">
        <v>1124</v>
      </c>
      <c r="D15657" s="27" t="s">
        <v>1859</v>
      </c>
      <c r="F15657" s="27" t="s">
        <v>1909</v>
      </c>
      <c r="H15657" s="27" t="s">
        <v>1912</v>
      </c>
      <c r="J15657" s="27" t="s">
        <v>1960</v>
      </c>
      <c r="L15657" s="27" t="s">
        <v>925</v>
      </c>
      <c r="N15657" s="27" t="s">
        <v>366</v>
      </c>
      <c r="P15657" s="27" t="s">
        <v>21988</v>
      </c>
      <c r="Q15657" s="26" t="str">
        <f>HYPERLINK("https://ictv.global/taxonomy/taxondetails?taxnode_id=202522794&amp;ictv_id=ICTV202522794","ICTV202522794")</f>
        <v>ICTV202522794</v>
      </c>
      <c r="R15657" t="s">
        <v>581</v>
      </c>
      <c r="S15657" t="s">
        <v>823</v>
      </c>
      <c r="T15657">
        <v>41</v>
      </c>
      <c r="U15657" s="26" t="str">
        <f>HYPERLINK("https://ictv.global/ictv/proposals/2025.022P.Solemoviridae_Polerovirus_17nsp.zip","2025.022P.Solemoviridae_Polerovirus_17nsp.zip")</f>
        <v>2025.022P.Solemoviridae_Polerovirus_17nsp.zip</v>
      </c>
    </row>
    <row r="15658" spans="1:21">
      <c r="A15658">
        <v>15657</v>
      </c>
      <c r="B15658" s="27" t="s">
        <v>1124</v>
      </c>
      <c r="D15658" s="27" t="s">
        <v>1859</v>
      </c>
      <c r="F15658" s="27" t="s">
        <v>1909</v>
      </c>
      <c r="H15658" s="27" t="s">
        <v>1912</v>
      </c>
      <c r="J15658" s="27" t="s">
        <v>1960</v>
      </c>
      <c r="L15658" s="27" t="s">
        <v>925</v>
      </c>
      <c r="N15658" s="27" t="s">
        <v>366</v>
      </c>
      <c r="P15658" s="27" t="s">
        <v>17444</v>
      </c>
      <c r="Q15658" s="26" t="str">
        <f>HYPERLINK("https://ictv.global/taxonomy/taxondetails?taxnode_id=202518624&amp;ictv_id=ICTV202318624","ICTV202318624")</f>
        <v>ICTV202318624</v>
      </c>
      <c r="R15658" t="s">
        <v>581</v>
      </c>
      <c r="S15658" t="s">
        <v>823</v>
      </c>
      <c r="T15658">
        <v>39</v>
      </c>
      <c r="U15658" s="26" t="str">
        <f>HYPERLINK("https://ictv.global/ictv/proposals/2023.022P.Polerovirus_47nsp.zip","2023.022P.Polerovirus_47nsp.zip")</f>
        <v>2023.022P.Polerovirus_47nsp.zip</v>
      </c>
    </row>
    <row r="15659" spans="1:21">
      <c r="A15659">
        <v>15658</v>
      </c>
      <c r="B15659" s="27" t="s">
        <v>1124</v>
      </c>
      <c r="D15659" s="27" t="s">
        <v>1859</v>
      </c>
      <c r="F15659" s="27" t="s">
        <v>1909</v>
      </c>
      <c r="H15659" s="27" t="s">
        <v>1912</v>
      </c>
      <c r="J15659" s="27" t="s">
        <v>1960</v>
      </c>
      <c r="L15659" s="27" t="s">
        <v>925</v>
      </c>
      <c r="N15659" s="27" t="s">
        <v>366</v>
      </c>
      <c r="P15659" s="27" t="s">
        <v>17445</v>
      </c>
      <c r="Q15659" s="26" t="str">
        <f>HYPERLINK("https://ictv.global/taxonomy/taxondetails?taxnode_id=202503774&amp;ictv_id=ICTV20021150","ICTV20021150")</f>
        <v>ICTV20021150</v>
      </c>
      <c r="R15659" t="s">
        <v>581</v>
      </c>
      <c r="S15659" t="s">
        <v>824</v>
      </c>
      <c r="T15659">
        <v>39</v>
      </c>
      <c r="U15659" s="26" t="str">
        <f>HYPERLINK("https://ictv.global/ictv/proposals/2023.019P.Solemoviridae_rename_sp.zip","2023.019P.Solemoviridae_rename_sp.zip")</f>
        <v>2023.019P.Solemoviridae_rename_sp.zip</v>
      </c>
    </row>
    <row r="15660" spans="1:21">
      <c r="A15660">
        <v>15659</v>
      </c>
      <c r="B15660" s="27" t="s">
        <v>1124</v>
      </c>
      <c r="D15660" s="27" t="s">
        <v>1859</v>
      </c>
      <c r="F15660" s="27" t="s">
        <v>1909</v>
      </c>
      <c r="H15660" s="27" t="s">
        <v>1912</v>
      </c>
      <c r="J15660" s="27" t="s">
        <v>1960</v>
      </c>
      <c r="L15660" s="27" t="s">
        <v>925</v>
      </c>
      <c r="N15660" s="27" t="s">
        <v>366</v>
      </c>
      <c r="P15660" s="27" t="s">
        <v>17446</v>
      </c>
      <c r="Q15660" s="26" t="str">
        <f>HYPERLINK("https://ictv.global/taxonomy/taxondetails?taxnode_id=202518627&amp;ictv_id=ICTV202318627","ICTV202318627")</f>
        <v>ICTV202318627</v>
      </c>
      <c r="R15660" t="s">
        <v>581</v>
      </c>
      <c r="S15660" t="s">
        <v>823</v>
      </c>
      <c r="T15660">
        <v>39</v>
      </c>
      <c r="U15660" s="26" t="str">
        <f>HYPERLINK("https://ictv.global/ictv/proposals/2023.022P.Polerovirus_47nsp.zip","2023.022P.Polerovirus_47nsp.zip")</f>
        <v>2023.022P.Polerovirus_47nsp.zip</v>
      </c>
    </row>
    <row r="15661" spans="1:21">
      <c r="A15661">
        <v>15660</v>
      </c>
      <c r="B15661" s="27" t="s">
        <v>1124</v>
      </c>
      <c r="D15661" s="27" t="s">
        <v>1859</v>
      </c>
      <c r="F15661" s="27" t="s">
        <v>1909</v>
      </c>
      <c r="H15661" s="27" t="s">
        <v>1912</v>
      </c>
      <c r="J15661" s="27" t="s">
        <v>1960</v>
      </c>
      <c r="L15661" s="27" t="s">
        <v>925</v>
      </c>
      <c r="N15661" s="27" t="s">
        <v>366</v>
      </c>
      <c r="P15661" s="27" t="s">
        <v>17447</v>
      </c>
      <c r="Q15661" s="26" t="str">
        <f>HYPERLINK("https://ictv.global/taxonomy/taxondetails?taxnode_id=202503775&amp;ictv_id=ICTV19981708","ICTV19981708")</f>
        <v>ICTV19981708</v>
      </c>
      <c r="R15661" t="s">
        <v>581</v>
      </c>
      <c r="S15661" t="s">
        <v>824</v>
      </c>
      <c r="T15661">
        <v>39</v>
      </c>
      <c r="U15661" s="26" t="str">
        <f>HYPERLINK("https://ictv.global/ictv/proposals/2023.019P.Solemoviridae_rename_sp.zip","2023.019P.Solemoviridae_rename_sp.zip")</f>
        <v>2023.019P.Solemoviridae_rename_sp.zip</v>
      </c>
    </row>
    <row r="15662" spans="1:21">
      <c r="A15662">
        <v>15661</v>
      </c>
      <c r="B15662" s="27" t="s">
        <v>1124</v>
      </c>
      <c r="D15662" s="27" t="s">
        <v>1859</v>
      </c>
      <c r="F15662" s="27" t="s">
        <v>1909</v>
      </c>
      <c r="H15662" s="27" t="s">
        <v>1912</v>
      </c>
      <c r="J15662" s="27" t="s">
        <v>1960</v>
      </c>
      <c r="L15662" s="27" t="s">
        <v>925</v>
      </c>
      <c r="N15662" s="27" t="s">
        <v>366</v>
      </c>
      <c r="P15662" s="27" t="s">
        <v>17448</v>
      </c>
      <c r="Q15662" s="26" t="str">
        <f>HYPERLINK("https://ictv.global/taxonomy/taxondetails?taxnode_id=202518625&amp;ictv_id=ICTV202318625","ICTV202318625")</f>
        <v>ICTV202318625</v>
      </c>
      <c r="R15662" t="s">
        <v>581</v>
      </c>
      <c r="S15662" t="s">
        <v>823</v>
      </c>
      <c r="T15662">
        <v>39</v>
      </c>
      <c r="U15662" s="26" t="str">
        <f>HYPERLINK("https://ictv.global/ictv/proposals/2023.022P.Polerovirus_47nsp.zip","2023.022P.Polerovirus_47nsp.zip")</f>
        <v>2023.022P.Polerovirus_47nsp.zip</v>
      </c>
    </row>
    <row r="15663" spans="1:21">
      <c r="A15663">
        <v>15662</v>
      </c>
      <c r="B15663" s="27" t="s">
        <v>1124</v>
      </c>
      <c r="D15663" s="27" t="s">
        <v>1859</v>
      </c>
      <c r="F15663" s="27" t="s">
        <v>1909</v>
      </c>
      <c r="H15663" s="27" t="s">
        <v>1912</v>
      </c>
      <c r="J15663" s="27" t="s">
        <v>1960</v>
      </c>
      <c r="L15663" s="27" t="s">
        <v>925</v>
      </c>
      <c r="N15663" s="27" t="s">
        <v>366</v>
      </c>
      <c r="P15663" s="27" t="s">
        <v>17449</v>
      </c>
      <c r="Q15663" s="26" t="str">
        <f>HYPERLINK("https://ictv.global/taxonomy/taxondetails?taxnode_id=202518626&amp;ictv_id=ICTV202318626","ICTV202318626")</f>
        <v>ICTV202318626</v>
      </c>
      <c r="R15663" t="s">
        <v>581</v>
      </c>
      <c r="S15663" t="s">
        <v>823</v>
      </c>
      <c r="T15663">
        <v>39</v>
      </c>
      <c r="U15663" s="26" t="str">
        <f>HYPERLINK("https://ictv.global/ictv/proposals/2023.022P.Polerovirus_47nsp.zip","2023.022P.Polerovirus_47nsp.zip")</f>
        <v>2023.022P.Polerovirus_47nsp.zip</v>
      </c>
    </row>
    <row r="15664" spans="1:21">
      <c r="A15664">
        <v>15663</v>
      </c>
      <c r="B15664" s="27" t="s">
        <v>1124</v>
      </c>
      <c r="D15664" s="27" t="s">
        <v>1859</v>
      </c>
      <c r="F15664" s="27" t="s">
        <v>1909</v>
      </c>
      <c r="H15664" s="27" t="s">
        <v>1912</v>
      </c>
      <c r="J15664" s="27" t="s">
        <v>1960</v>
      </c>
      <c r="L15664" s="27" t="s">
        <v>925</v>
      </c>
      <c r="N15664" s="27" t="s">
        <v>366</v>
      </c>
      <c r="P15664" s="27" t="s">
        <v>17450</v>
      </c>
      <c r="Q15664" s="26" t="str">
        <f>HYPERLINK("https://ictv.global/taxonomy/taxondetails?taxnode_id=202503776&amp;ictv_id=ICTV19911691","ICTV19911691")</f>
        <v>ICTV19911691</v>
      </c>
      <c r="R15664" t="s">
        <v>581</v>
      </c>
      <c r="S15664" t="s">
        <v>824</v>
      </c>
      <c r="T15664">
        <v>39</v>
      </c>
      <c r="U15664" s="26" t="str">
        <f>HYPERLINK("https://ictv.global/ictv/proposals/2023.019P.Solemoviridae_rename_sp.zip","2023.019P.Solemoviridae_rename_sp.zip")</f>
        <v>2023.019P.Solemoviridae_rename_sp.zip</v>
      </c>
    </row>
    <row r="15665" spans="1:21">
      <c r="A15665">
        <v>15664</v>
      </c>
      <c r="B15665" s="27" t="s">
        <v>1124</v>
      </c>
      <c r="D15665" s="27" t="s">
        <v>1859</v>
      </c>
      <c r="F15665" s="27" t="s">
        <v>1909</v>
      </c>
      <c r="H15665" s="27" t="s">
        <v>1912</v>
      </c>
      <c r="J15665" s="27" t="s">
        <v>1960</v>
      </c>
      <c r="L15665" s="27" t="s">
        <v>925</v>
      </c>
      <c r="N15665" s="27" t="s">
        <v>366</v>
      </c>
      <c r="P15665" s="27" t="s">
        <v>17451</v>
      </c>
      <c r="Q15665" s="26" t="str">
        <f>HYPERLINK("https://ictv.global/taxonomy/taxondetails?taxnode_id=202503782&amp;ictv_id=ICTV19981711","ICTV19981711")</f>
        <v>ICTV19981711</v>
      </c>
      <c r="R15665" t="s">
        <v>581</v>
      </c>
      <c r="S15665" t="s">
        <v>824</v>
      </c>
      <c r="T15665">
        <v>39</v>
      </c>
      <c r="U15665" s="26" t="str">
        <f>HYPERLINK("https://ictv.global/ictv/proposals/2023.019P.Solemoviridae_rename_sp.zip","2023.019P.Solemoviridae_rename_sp.zip")</f>
        <v>2023.019P.Solemoviridae_rename_sp.zip</v>
      </c>
    </row>
    <row r="15666" spans="1:21">
      <c r="A15666">
        <v>15665</v>
      </c>
      <c r="B15666" s="27" t="s">
        <v>1124</v>
      </c>
      <c r="D15666" s="27" t="s">
        <v>1859</v>
      </c>
      <c r="F15666" s="27" t="s">
        <v>1909</v>
      </c>
      <c r="H15666" s="27" t="s">
        <v>1912</v>
      </c>
      <c r="J15666" s="27" t="s">
        <v>1960</v>
      </c>
      <c r="L15666" s="27" t="s">
        <v>925</v>
      </c>
      <c r="N15666" s="27" t="s">
        <v>366</v>
      </c>
      <c r="P15666" s="27" t="s">
        <v>21989</v>
      </c>
      <c r="Q15666" s="26" t="str">
        <f>HYPERLINK("https://ictv.global/taxonomy/taxondetails?taxnode_id=202522795&amp;ictv_id=ICTV202522795","ICTV202522795")</f>
        <v>ICTV202522795</v>
      </c>
      <c r="R15666" t="s">
        <v>581</v>
      </c>
      <c r="S15666" t="s">
        <v>823</v>
      </c>
      <c r="T15666">
        <v>41</v>
      </c>
      <c r="U15666" s="26" t="str">
        <f>HYPERLINK("https://ictv.global/ictv/proposals/2025.022P.Solemoviridae_Polerovirus_17nsp.zip","2025.022P.Solemoviridae_Polerovirus_17nsp.zip")</f>
        <v>2025.022P.Solemoviridae_Polerovirus_17nsp.zip</v>
      </c>
    </row>
    <row r="15667" spans="1:21">
      <c r="A15667">
        <v>15666</v>
      </c>
      <c r="B15667" s="27" t="s">
        <v>1124</v>
      </c>
      <c r="D15667" s="27" t="s">
        <v>1859</v>
      </c>
      <c r="F15667" s="27" t="s">
        <v>1909</v>
      </c>
      <c r="H15667" s="27" t="s">
        <v>1912</v>
      </c>
      <c r="J15667" s="27" t="s">
        <v>1960</v>
      </c>
      <c r="L15667" s="27" t="s">
        <v>925</v>
      </c>
      <c r="N15667" s="27" t="s">
        <v>366</v>
      </c>
      <c r="P15667" s="27" t="s">
        <v>21990</v>
      </c>
      <c r="Q15667" s="26" t="str">
        <f>HYPERLINK("https://ictv.global/taxonomy/taxondetails?taxnode_id=202522796&amp;ictv_id=ICTV202522796","ICTV202522796")</f>
        <v>ICTV202522796</v>
      </c>
      <c r="R15667" t="s">
        <v>581</v>
      </c>
      <c r="S15667" t="s">
        <v>823</v>
      </c>
      <c r="T15667">
        <v>41</v>
      </c>
      <c r="U15667" s="26" t="str">
        <f>HYPERLINK("https://ictv.global/ictv/proposals/2025.022P.Solemoviridae_Polerovirus_17nsp.zip","2025.022P.Solemoviridae_Polerovirus_17nsp.zip")</f>
        <v>2025.022P.Solemoviridae_Polerovirus_17nsp.zip</v>
      </c>
    </row>
    <row r="15668" spans="1:21">
      <c r="A15668">
        <v>15667</v>
      </c>
      <c r="B15668" s="27" t="s">
        <v>1124</v>
      </c>
      <c r="D15668" s="27" t="s">
        <v>1859</v>
      </c>
      <c r="F15668" s="27" t="s">
        <v>1909</v>
      </c>
      <c r="H15668" s="27" t="s">
        <v>1912</v>
      </c>
      <c r="J15668" s="27" t="s">
        <v>1960</v>
      </c>
      <c r="L15668" s="27" t="s">
        <v>925</v>
      </c>
      <c r="N15668" s="27" t="s">
        <v>366</v>
      </c>
      <c r="P15668" s="27" t="s">
        <v>17452</v>
      </c>
      <c r="Q15668" s="26" t="str">
        <f>HYPERLINK("https://ictv.global/taxonomy/taxondetails?taxnode_id=202518632&amp;ictv_id=ICTV202318632","ICTV202318632")</f>
        <v>ICTV202318632</v>
      </c>
      <c r="R15668" t="s">
        <v>581</v>
      </c>
      <c r="S15668" t="s">
        <v>823</v>
      </c>
      <c r="T15668">
        <v>39</v>
      </c>
      <c r="U15668" s="26" t="str">
        <f>HYPERLINK("https://ictv.global/ictv/proposals/2023.022P.Polerovirus_47nsp.zip","2023.022P.Polerovirus_47nsp.zip")</f>
        <v>2023.022P.Polerovirus_47nsp.zip</v>
      </c>
    </row>
    <row r="15669" spans="1:21">
      <c r="A15669">
        <v>15668</v>
      </c>
      <c r="B15669" s="27" t="s">
        <v>1124</v>
      </c>
      <c r="D15669" s="27" t="s">
        <v>1859</v>
      </c>
      <c r="F15669" s="27" t="s">
        <v>1909</v>
      </c>
      <c r="H15669" s="27" t="s">
        <v>1912</v>
      </c>
      <c r="J15669" s="27" t="s">
        <v>1960</v>
      </c>
      <c r="L15669" s="27" t="s">
        <v>925</v>
      </c>
      <c r="N15669" s="27" t="s">
        <v>366</v>
      </c>
      <c r="P15669" s="27" t="s">
        <v>17453</v>
      </c>
      <c r="Q15669" s="26" t="str">
        <f>HYPERLINK("https://ictv.global/taxonomy/taxondetails?taxnode_id=202518633&amp;ictv_id=ICTV202318633","ICTV202318633")</f>
        <v>ICTV202318633</v>
      </c>
      <c r="R15669" t="s">
        <v>581</v>
      </c>
      <c r="S15669" t="s">
        <v>823</v>
      </c>
      <c r="T15669">
        <v>39</v>
      </c>
      <c r="U15669" s="26" t="str">
        <f>HYPERLINK("https://ictv.global/ictv/proposals/2023.022P.Polerovirus_47nsp.zip","2023.022P.Polerovirus_47nsp.zip")</f>
        <v>2023.022P.Polerovirus_47nsp.zip</v>
      </c>
    </row>
    <row r="15670" spans="1:21">
      <c r="A15670">
        <v>15669</v>
      </c>
      <c r="B15670" s="27" t="s">
        <v>1124</v>
      </c>
      <c r="D15670" s="27" t="s">
        <v>1859</v>
      </c>
      <c r="F15670" s="27" t="s">
        <v>1909</v>
      </c>
      <c r="H15670" s="27" t="s">
        <v>1912</v>
      </c>
      <c r="J15670" s="27" t="s">
        <v>1960</v>
      </c>
      <c r="L15670" s="27" t="s">
        <v>925</v>
      </c>
      <c r="N15670" s="27" t="s">
        <v>366</v>
      </c>
      <c r="P15670" s="27" t="s">
        <v>17454</v>
      </c>
      <c r="Q15670" s="26" t="str">
        <f>HYPERLINK("https://ictv.global/taxonomy/taxondetails?taxnode_id=202518628&amp;ictv_id=ICTV202318628","ICTV202318628")</f>
        <v>ICTV202318628</v>
      </c>
      <c r="R15670" t="s">
        <v>581</v>
      </c>
      <c r="S15670" t="s">
        <v>823</v>
      </c>
      <c r="T15670">
        <v>39</v>
      </c>
      <c r="U15670" s="26" t="str">
        <f>HYPERLINK("https://ictv.global/ictv/proposals/2023.022P.Polerovirus_47nsp.zip","2023.022P.Polerovirus_47nsp.zip")</f>
        <v>2023.022P.Polerovirus_47nsp.zip</v>
      </c>
    </row>
    <row r="15671" spans="1:21">
      <c r="A15671">
        <v>15670</v>
      </c>
      <c r="B15671" s="27" t="s">
        <v>1124</v>
      </c>
      <c r="D15671" s="27" t="s">
        <v>1859</v>
      </c>
      <c r="F15671" s="27" t="s">
        <v>1909</v>
      </c>
      <c r="H15671" s="27" t="s">
        <v>1912</v>
      </c>
      <c r="J15671" s="27" t="s">
        <v>1960</v>
      </c>
      <c r="L15671" s="27" t="s">
        <v>925</v>
      </c>
      <c r="N15671" s="27" t="s">
        <v>366</v>
      </c>
      <c r="P15671" s="27" t="s">
        <v>21991</v>
      </c>
      <c r="Q15671" s="26" t="str">
        <f>HYPERLINK("https://ictv.global/taxonomy/taxondetails?taxnode_id=202522797&amp;ictv_id=ICTV202522797","ICTV202522797")</f>
        <v>ICTV202522797</v>
      </c>
      <c r="R15671" t="s">
        <v>581</v>
      </c>
      <c r="S15671" t="s">
        <v>823</v>
      </c>
      <c r="T15671">
        <v>41</v>
      </c>
      <c r="U15671" s="26" t="str">
        <f>HYPERLINK("https://ictv.global/ictv/proposals/2025.022P.Solemoviridae_Polerovirus_17nsp.zip","2025.022P.Solemoviridae_Polerovirus_17nsp.zip")</f>
        <v>2025.022P.Solemoviridae_Polerovirus_17nsp.zip</v>
      </c>
    </row>
    <row r="15672" spans="1:21">
      <c r="A15672">
        <v>15671</v>
      </c>
      <c r="B15672" s="27" t="s">
        <v>1124</v>
      </c>
      <c r="D15672" s="27" t="s">
        <v>1859</v>
      </c>
      <c r="F15672" s="27" t="s">
        <v>1909</v>
      </c>
      <c r="H15672" s="27" t="s">
        <v>1912</v>
      </c>
      <c r="J15672" s="27" t="s">
        <v>1960</v>
      </c>
      <c r="L15672" s="27" t="s">
        <v>925</v>
      </c>
      <c r="N15672" s="27" t="s">
        <v>366</v>
      </c>
      <c r="P15672" s="27" t="s">
        <v>17455</v>
      </c>
      <c r="Q15672" s="26" t="str">
        <f>HYPERLINK("https://ictv.global/taxonomy/taxondetails?taxnode_id=202503781&amp;ictv_id=ICTV20132169","ICTV20132169")</f>
        <v>ICTV20132169</v>
      </c>
      <c r="R15672" t="s">
        <v>581</v>
      </c>
      <c r="S15672" t="s">
        <v>22770</v>
      </c>
      <c r="T15672">
        <v>39</v>
      </c>
      <c r="U15672" s="26" t="str">
        <f>HYPERLINK("https://ictv.global/ictv/proposals/2023.019P.Solemoviridae_rename_sp.zip","2023.019P.Solemoviridae_rename_sp.zip")</f>
        <v>2023.019P.Solemoviridae_rename_sp.zip</v>
      </c>
    </row>
    <row r="15673" spans="1:21">
      <c r="A15673">
        <v>15672</v>
      </c>
      <c r="B15673" s="27" t="s">
        <v>1124</v>
      </c>
      <c r="D15673" s="27" t="s">
        <v>1859</v>
      </c>
      <c r="F15673" s="27" t="s">
        <v>1909</v>
      </c>
      <c r="H15673" s="27" t="s">
        <v>1912</v>
      </c>
      <c r="J15673" s="27" t="s">
        <v>1960</v>
      </c>
      <c r="L15673" s="27" t="s">
        <v>925</v>
      </c>
      <c r="N15673" s="27" t="s">
        <v>366</v>
      </c>
      <c r="P15673" s="27" t="s">
        <v>17456</v>
      </c>
      <c r="Q15673" s="26" t="str">
        <f>HYPERLINK("https://ictv.global/taxonomy/taxondetails?taxnode_id=202518631&amp;ictv_id=ICTV202318631","ICTV202318631")</f>
        <v>ICTV202318631</v>
      </c>
      <c r="R15673" t="s">
        <v>581</v>
      </c>
      <c r="S15673" t="s">
        <v>823</v>
      </c>
      <c r="T15673">
        <v>39</v>
      </c>
      <c r="U15673" s="26" t="str">
        <f>HYPERLINK("https://ictv.global/ictv/proposals/2023.022P.Polerovirus_47nsp.zip","2023.022P.Polerovirus_47nsp.zip")</f>
        <v>2023.022P.Polerovirus_47nsp.zip</v>
      </c>
    </row>
    <row r="15674" spans="1:21">
      <c r="A15674">
        <v>15673</v>
      </c>
      <c r="B15674" s="27" t="s">
        <v>1124</v>
      </c>
      <c r="D15674" s="27" t="s">
        <v>1859</v>
      </c>
      <c r="F15674" s="27" t="s">
        <v>1909</v>
      </c>
      <c r="H15674" s="27" t="s">
        <v>1912</v>
      </c>
      <c r="J15674" s="27" t="s">
        <v>1960</v>
      </c>
      <c r="L15674" s="27" t="s">
        <v>925</v>
      </c>
      <c r="N15674" s="27" t="s">
        <v>366</v>
      </c>
      <c r="P15674" s="27" t="s">
        <v>17457</v>
      </c>
      <c r="Q15674" s="26" t="str">
        <f>HYPERLINK("https://ictv.global/taxonomy/taxondetails?taxnode_id=202503780&amp;ictv_id=ICTV20094021","ICTV20094021")</f>
        <v>ICTV20094021</v>
      </c>
      <c r="R15674" t="s">
        <v>581</v>
      </c>
      <c r="S15674" t="s">
        <v>824</v>
      </c>
      <c r="T15674">
        <v>39</v>
      </c>
      <c r="U15674" s="26" t="str">
        <f>HYPERLINK("https://ictv.global/ictv/proposals/2023.019P.Solemoviridae_rename_sp.zip","2023.019P.Solemoviridae_rename_sp.zip")</f>
        <v>2023.019P.Solemoviridae_rename_sp.zip</v>
      </c>
    </row>
    <row r="15675" spans="1:21">
      <c r="A15675">
        <v>15674</v>
      </c>
      <c r="B15675" s="27" t="s">
        <v>1124</v>
      </c>
      <c r="D15675" s="27" t="s">
        <v>1859</v>
      </c>
      <c r="F15675" s="27" t="s">
        <v>1909</v>
      </c>
      <c r="H15675" s="27" t="s">
        <v>1912</v>
      </c>
      <c r="J15675" s="27" t="s">
        <v>1960</v>
      </c>
      <c r="L15675" s="27" t="s">
        <v>925</v>
      </c>
      <c r="N15675" s="27" t="s">
        <v>366</v>
      </c>
      <c r="P15675" s="27" t="s">
        <v>17458</v>
      </c>
      <c r="Q15675" s="26" t="str">
        <f>HYPERLINK("https://ictv.global/taxonomy/taxondetails?taxnode_id=202518630&amp;ictv_id=ICTV202318630","ICTV202318630")</f>
        <v>ICTV202318630</v>
      </c>
      <c r="R15675" t="s">
        <v>581</v>
      </c>
      <c r="S15675" t="s">
        <v>823</v>
      </c>
      <c r="T15675">
        <v>39</v>
      </c>
      <c r="U15675" s="26" t="str">
        <f>HYPERLINK("https://ictv.global/ictv/proposals/2023.022P.Polerovirus_47nsp.zip","2023.022P.Polerovirus_47nsp.zip")</f>
        <v>2023.022P.Polerovirus_47nsp.zip</v>
      </c>
    </row>
    <row r="15676" spans="1:21">
      <c r="A15676">
        <v>15675</v>
      </c>
      <c r="B15676" s="27" t="s">
        <v>1124</v>
      </c>
      <c r="D15676" s="27" t="s">
        <v>1859</v>
      </c>
      <c r="F15676" s="27" t="s">
        <v>1909</v>
      </c>
      <c r="H15676" s="27" t="s">
        <v>1912</v>
      </c>
      <c r="J15676" s="27" t="s">
        <v>1960</v>
      </c>
      <c r="L15676" s="27" t="s">
        <v>925</v>
      </c>
      <c r="N15676" s="27" t="s">
        <v>366</v>
      </c>
      <c r="P15676" s="27" t="s">
        <v>17459</v>
      </c>
      <c r="Q15676" s="26" t="str">
        <f>HYPERLINK("https://ictv.global/taxonomy/taxondetails?taxnode_id=202518634&amp;ictv_id=ICTV202318634","ICTV202318634")</f>
        <v>ICTV202318634</v>
      </c>
      <c r="R15676" t="s">
        <v>581</v>
      </c>
      <c r="S15676" t="s">
        <v>823</v>
      </c>
      <c r="T15676">
        <v>39</v>
      </c>
      <c r="U15676" s="26" t="str">
        <f>HYPERLINK("https://ictv.global/ictv/proposals/2023.022P.Polerovirus_47nsp.zip","2023.022P.Polerovirus_47nsp.zip")</f>
        <v>2023.022P.Polerovirus_47nsp.zip</v>
      </c>
    </row>
    <row r="15677" spans="1:21">
      <c r="A15677">
        <v>15676</v>
      </c>
      <c r="B15677" s="27" t="s">
        <v>1124</v>
      </c>
      <c r="D15677" s="27" t="s">
        <v>1859</v>
      </c>
      <c r="F15677" s="27" t="s">
        <v>1909</v>
      </c>
      <c r="H15677" s="27" t="s">
        <v>1912</v>
      </c>
      <c r="J15677" s="27" t="s">
        <v>1960</v>
      </c>
      <c r="L15677" s="27" t="s">
        <v>925</v>
      </c>
      <c r="N15677" s="27" t="s">
        <v>366</v>
      </c>
      <c r="P15677" s="27" t="s">
        <v>17460</v>
      </c>
      <c r="Q15677" s="26" t="str">
        <f>HYPERLINK("https://ictv.global/taxonomy/taxondetails?taxnode_id=202518635&amp;ictv_id=ICTV202318635","ICTV202318635")</f>
        <v>ICTV202318635</v>
      </c>
      <c r="R15677" t="s">
        <v>581</v>
      </c>
      <c r="S15677" t="s">
        <v>823</v>
      </c>
      <c r="T15677">
        <v>39</v>
      </c>
      <c r="U15677" s="26" t="str">
        <f>HYPERLINK("https://ictv.global/ictv/proposals/2023.022P.Polerovirus_47nsp.zip","2023.022P.Polerovirus_47nsp.zip")</f>
        <v>2023.022P.Polerovirus_47nsp.zip</v>
      </c>
    </row>
    <row r="15678" spans="1:21">
      <c r="A15678">
        <v>15677</v>
      </c>
      <c r="B15678" s="27" t="s">
        <v>1124</v>
      </c>
      <c r="D15678" s="27" t="s">
        <v>1859</v>
      </c>
      <c r="F15678" s="27" t="s">
        <v>1909</v>
      </c>
      <c r="H15678" s="27" t="s">
        <v>1912</v>
      </c>
      <c r="J15678" s="27" t="s">
        <v>1960</v>
      </c>
      <c r="L15678" s="27" t="s">
        <v>925</v>
      </c>
      <c r="N15678" s="27" t="s">
        <v>366</v>
      </c>
      <c r="P15678" s="27" t="s">
        <v>17461</v>
      </c>
      <c r="Q15678" s="26" t="str">
        <f>HYPERLINK("https://ictv.global/taxonomy/taxondetails?taxnode_id=202518629&amp;ictv_id=ICTV202318629","ICTV202318629")</f>
        <v>ICTV202318629</v>
      </c>
      <c r="R15678" t="s">
        <v>581</v>
      </c>
      <c r="S15678" t="s">
        <v>823</v>
      </c>
      <c r="T15678">
        <v>39</v>
      </c>
      <c r="U15678" s="26" t="str">
        <f>HYPERLINK("https://ictv.global/ictv/proposals/2023.022P.Polerovirus_47nsp.zip","2023.022P.Polerovirus_47nsp.zip")</f>
        <v>2023.022P.Polerovirus_47nsp.zip</v>
      </c>
    </row>
    <row r="15679" spans="1:21">
      <c r="A15679">
        <v>15678</v>
      </c>
      <c r="B15679" s="27" t="s">
        <v>1124</v>
      </c>
      <c r="D15679" s="27" t="s">
        <v>1859</v>
      </c>
      <c r="F15679" s="27" t="s">
        <v>1909</v>
      </c>
      <c r="H15679" s="27" t="s">
        <v>1912</v>
      </c>
      <c r="J15679" s="27" t="s">
        <v>1960</v>
      </c>
      <c r="L15679" s="27" t="s">
        <v>925</v>
      </c>
      <c r="N15679" s="27" t="s">
        <v>366</v>
      </c>
      <c r="P15679" s="27" t="s">
        <v>17462</v>
      </c>
      <c r="Q15679" s="26" t="str">
        <f>HYPERLINK("https://ictv.global/taxonomy/taxondetails?taxnode_id=202503777&amp;ictv_id=ICTV19821232","ICTV19821232")</f>
        <v>ICTV19821232</v>
      </c>
      <c r="R15679" t="s">
        <v>581</v>
      </c>
      <c r="S15679" t="s">
        <v>824</v>
      </c>
      <c r="T15679">
        <v>39</v>
      </c>
      <c r="U15679" s="26" t="str">
        <f>HYPERLINK("https://ictv.global/ictv/proposals/2023.019P.Solemoviridae_rename_sp.zip","2023.019P.Solemoviridae_rename_sp.zip")</f>
        <v>2023.019P.Solemoviridae_rename_sp.zip</v>
      </c>
    </row>
    <row r="15680" spans="1:21">
      <c r="A15680">
        <v>15679</v>
      </c>
      <c r="B15680" s="27" t="s">
        <v>1124</v>
      </c>
      <c r="D15680" s="27" t="s">
        <v>1859</v>
      </c>
      <c r="F15680" s="27" t="s">
        <v>1909</v>
      </c>
      <c r="H15680" s="27" t="s">
        <v>1912</v>
      </c>
      <c r="J15680" s="27" t="s">
        <v>1960</v>
      </c>
      <c r="L15680" s="27" t="s">
        <v>925</v>
      </c>
      <c r="N15680" s="27" t="s">
        <v>366</v>
      </c>
      <c r="P15680" s="27" t="s">
        <v>17463</v>
      </c>
      <c r="Q15680" s="26" t="str">
        <f>HYPERLINK("https://ictv.global/taxonomy/taxondetails?taxnode_id=202503778&amp;ictv_id=ICTV20021153","ICTV20021153")</f>
        <v>ICTV20021153</v>
      </c>
      <c r="R15680" t="s">
        <v>581</v>
      </c>
      <c r="S15680" t="s">
        <v>824</v>
      </c>
      <c r="T15680">
        <v>39</v>
      </c>
      <c r="U15680" s="26" t="str">
        <f>HYPERLINK("https://ictv.global/ictv/proposals/2023.019P.Solemoviridae_rename_sp.zip","2023.019P.Solemoviridae_rename_sp.zip")</f>
        <v>2023.019P.Solemoviridae_rename_sp.zip</v>
      </c>
    </row>
    <row r="15681" spans="1:21">
      <c r="A15681">
        <v>15680</v>
      </c>
      <c r="B15681" s="27" t="s">
        <v>1124</v>
      </c>
      <c r="D15681" s="27" t="s">
        <v>1859</v>
      </c>
      <c r="F15681" s="27" t="s">
        <v>1909</v>
      </c>
      <c r="H15681" s="27" t="s">
        <v>1912</v>
      </c>
      <c r="J15681" s="27" t="s">
        <v>1960</v>
      </c>
      <c r="L15681" s="27" t="s">
        <v>925</v>
      </c>
      <c r="N15681" s="27" t="s">
        <v>366</v>
      </c>
      <c r="P15681" s="27" t="s">
        <v>17464</v>
      </c>
      <c r="Q15681" s="26" t="str">
        <f>HYPERLINK("https://ictv.global/taxonomy/taxondetails?taxnode_id=202503779&amp;ictv_id=ICTV19981710","ICTV19981710")</f>
        <v>ICTV19981710</v>
      </c>
      <c r="R15681" t="s">
        <v>581</v>
      </c>
      <c r="S15681" t="s">
        <v>22764</v>
      </c>
      <c r="T15681">
        <v>39</v>
      </c>
      <c r="U15681" s="26" t="str">
        <f>HYPERLINK("https://ictv.global/ictv/proposals/2023.019P.Solemoviridae_rename_sp.zip","2023.019P.Solemoviridae_rename_sp.zip")</f>
        <v>2023.019P.Solemoviridae_rename_sp.zip</v>
      </c>
    </row>
    <row r="15682" spans="1:21">
      <c r="A15682">
        <v>15681</v>
      </c>
      <c r="B15682" s="27" t="s">
        <v>1124</v>
      </c>
      <c r="D15682" s="27" t="s">
        <v>1859</v>
      </c>
      <c r="F15682" s="27" t="s">
        <v>1909</v>
      </c>
      <c r="H15682" s="27" t="s">
        <v>1912</v>
      </c>
      <c r="J15682" s="27" t="s">
        <v>1960</v>
      </c>
      <c r="L15682" s="27" t="s">
        <v>925</v>
      </c>
      <c r="N15682" s="27" t="s">
        <v>366</v>
      </c>
      <c r="P15682" s="27" t="s">
        <v>21992</v>
      </c>
      <c r="Q15682" s="26" t="str">
        <f>HYPERLINK("https://ictv.global/taxonomy/taxondetails?taxnode_id=202522798&amp;ictv_id=ICTV202522798","ICTV202522798")</f>
        <v>ICTV202522798</v>
      </c>
      <c r="R15682" t="s">
        <v>581</v>
      </c>
      <c r="S15682" t="s">
        <v>823</v>
      </c>
      <c r="T15682">
        <v>41</v>
      </c>
      <c r="U15682" s="26" t="str">
        <f>HYPERLINK("https://ictv.global/ictv/proposals/2025.022P.Solemoviridae_Polerovirus_17nsp.zip","2025.022P.Solemoviridae_Polerovirus_17nsp.zip")</f>
        <v>2025.022P.Solemoviridae_Polerovirus_17nsp.zip</v>
      </c>
    </row>
    <row r="15683" spans="1:21">
      <c r="A15683">
        <v>15682</v>
      </c>
      <c r="B15683" s="27" t="s">
        <v>1124</v>
      </c>
      <c r="D15683" s="27" t="s">
        <v>1859</v>
      </c>
      <c r="F15683" s="27" t="s">
        <v>1909</v>
      </c>
      <c r="H15683" s="27" t="s">
        <v>1912</v>
      </c>
      <c r="J15683" s="27" t="s">
        <v>1960</v>
      </c>
      <c r="L15683" s="27" t="s">
        <v>925</v>
      </c>
      <c r="N15683" s="27" t="s">
        <v>366</v>
      </c>
      <c r="P15683" s="27" t="s">
        <v>17465</v>
      </c>
      <c r="Q15683" s="26" t="str">
        <f>HYPERLINK("https://ictv.global/taxonomy/taxondetails?taxnode_id=202518636&amp;ictv_id=ICTV202318636","ICTV202318636")</f>
        <v>ICTV202318636</v>
      </c>
      <c r="R15683" t="s">
        <v>581</v>
      </c>
      <c r="S15683" t="s">
        <v>823</v>
      </c>
      <c r="T15683">
        <v>39</v>
      </c>
      <c r="U15683" s="26" t="str">
        <f>HYPERLINK("https://ictv.global/ictv/proposals/2023.022P.Polerovirus_47nsp.zip","2023.022P.Polerovirus_47nsp.zip")</f>
        <v>2023.022P.Polerovirus_47nsp.zip</v>
      </c>
    </row>
    <row r="15684" spans="1:21">
      <c r="A15684">
        <v>15683</v>
      </c>
      <c r="B15684" s="27" t="s">
        <v>1124</v>
      </c>
      <c r="D15684" s="27" t="s">
        <v>1859</v>
      </c>
      <c r="F15684" s="27" t="s">
        <v>1909</v>
      </c>
      <c r="H15684" s="27" t="s">
        <v>1912</v>
      </c>
      <c r="J15684" s="27" t="s">
        <v>1960</v>
      </c>
      <c r="L15684" s="27" t="s">
        <v>925</v>
      </c>
      <c r="N15684" s="27" t="s">
        <v>366</v>
      </c>
      <c r="P15684" s="27" t="s">
        <v>17466</v>
      </c>
      <c r="Q15684" s="26" t="str">
        <f>HYPERLINK("https://ictv.global/taxonomy/taxondetails?taxnode_id=202507417&amp;ictv_id=ICTV201907417","ICTV201907417")</f>
        <v>ICTV201907417</v>
      </c>
      <c r="R15684" t="s">
        <v>581</v>
      </c>
      <c r="S15684" t="s">
        <v>824</v>
      </c>
      <c r="T15684">
        <v>39</v>
      </c>
      <c r="U15684" s="26" t="str">
        <f>HYPERLINK("https://ictv.global/ictv/proposals/2023.019P.Solemoviridae_rename_sp.zip","2023.019P.Solemoviridae_rename_sp.zip")</f>
        <v>2023.019P.Solemoviridae_rename_sp.zip</v>
      </c>
    </row>
    <row r="15685" spans="1:21">
      <c r="A15685">
        <v>15684</v>
      </c>
      <c r="B15685" s="27" t="s">
        <v>1124</v>
      </c>
      <c r="D15685" s="27" t="s">
        <v>1859</v>
      </c>
      <c r="F15685" s="27" t="s">
        <v>1909</v>
      </c>
      <c r="H15685" s="27" t="s">
        <v>1912</v>
      </c>
      <c r="J15685" s="27" t="s">
        <v>1960</v>
      </c>
      <c r="L15685" s="27" t="s">
        <v>925</v>
      </c>
      <c r="N15685" s="27" t="s">
        <v>366</v>
      </c>
      <c r="P15685" s="27" t="s">
        <v>21998</v>
      </c>
      <c r="Q15685" s="26" t="str">
        <f>HYPERLINK("https://ictv.global/taxonomy/taxondetails?taxnode_id=202522804&amp;ictv_id=ICTV202522804","ICTV202522804")</f>
        <v>ICTV202522804</v>
      </c>
      <c r="R15685" t="s">
        <v>581</v>
      </c>
      <c r="S15685" t="s">
        <v>823</v>
      </c>
      <c r="T15685">
        <v>41</v>
      </c>
      <c r="U15685" s="26" t="str">
        <f>HYPERLINK("https://ictv.global/ictv/proposals/2025.022P.Solemoviridae_Polerovirus_17nsp.zip","2025.022P.Solemoviridae_Polerovirus_17nsp.zip")</f>
        <v>2025.022P.Solemoviridae_Polerovirus_17nsp.zip</v>
      </c>
    </row>
    <row r="15686" spans="1:21">
      <c r="A15686">
        <v>15685</v>
      </c>
      <c r="B15686" s="27" t="s">
        <v>1124</v>
      </c>
      <c r="D15686" s="27" t="s">
        <v>1859</v>
      </c>
      <c r="F15686" s="27" t="s">
        <v>1909</v>
      </c>
      <c r="H15686" s="27" t="s">
        <v>1912</v>
      </c>
      <c r="J15686" s="27" t="s">
        <v>1960</v>
      </c>
      <c r="L15686" s="27" t="s">
        <v>925</v>
      </c>
      <c r="N15686" s="27" t="s">
        <v>366</v>
      </c>
      <c r="P15686" s="27" t="s">
        <v>17467</v>
      </c>
      <c r="Q15686" s="26" t="str">
        <f>HYPERLINK("https://ictv.global/taxonomy/taxondetails?taxnode_id=202518637&amp;ictv_id=ICTV202318637","ICTV202318637")</f>
        <v>ICTV202318637</v>
      </c>
      <c r="R15686" t="s">
        <v>581</v>
      </c>
      <c r="S15686" t="s">
        <v>823</v>
      </c>
      <c r="T15686">
        <v>39</v>
      </c>
      <c r="U15686" s="26" t="str">
        <f>HYPERLINK("https://ictv.global/ictv/proposals/2023.022P.Polerovirus_47nsp.zip","2023.022P.Polerovirus_47nsp.zip")</f>
        <v>2023.022P.Polerovirus_47nsp.zip</v>
      </c>
    </row>
    <row r="15687" spans="1:21">
      <c r="A15687">
        <v>15686</v>
      </c>
      <c r="B15687" s="27" t="s">
        <v>1124</v>
      </c>
      <c r="D15687" s="27" t="s">
        <v>1859</v>
      </c>
      <c r="F15687" s="27" t="s">
        <v>1909</v>
      </c>
      <c r="H15687" s="27" t="s">
        <v>1912</v>
      </c>
      <c r="J15687" s="27" t="s">
        <v>1960</v>
      </c>
      <c r="L15687" s="27" t="s">
        <v>925</v>
      </c>
      <c r="N15687" s="27" t="s">
        <v>366</v>
      </c>
      <c r="P15687" s="27" t="s">
        <v>21999</v>
      </c>
      <c r="Q15687" s="26" t="str">
        <f>HYPERLINK("https://ictv.global/taxonomy/taxondetails?taxnode_id=202522805&amp;ictv_id=ICTV202522805","ICTV202522805")</f>
        <v>ICTV202522805</v>
      </c>
      <c r="R15687" t="s">
        <v>581</v>
      </c>
      <c r="S15687" t="s">
        <v>823</v>
      </c>
      <c r="T15687">
        <v>41</v>
      </c>
      <c r="U15687" s="26" t="str">
        <f>HYPERLINK("https://ictv.global/ictv/proposals/2025.022P.Solemoviridae_Polerovirus_17nsp.zip","2025.022P.Solemoviridae_Polerovirus_17nsp.zip")</f>
        <v>2025.022P.Solemoviridae_Polerovirus_17nsp.zip</v>
      </c>
    </row>
    <row r="15688" spans="1:21">
      <c r="A15688">
        <v>15687</v>
      </c>
      <c r="B15688" s="27" t="s">
        <v>1124</v>
      </c>
      <c r="D15688" s="27" t="s">
        <v>1859</v>
      </c>
      <c r="F15688" s="27" t="s">
        <v>1909</v>
      </c>
      <c r="H15688" s="27" t="s">
        <v>1912</v>
      </c>
      <c r="J15688" s="27" t="s">
        <v>1960</v>
      </c>
      <c r="L15688" s="27" t="s">
        <v>925</v>
      </c>
      <c r="N15688" s="27" t="s">
        <v>366</v>
      </c>
      <c r="P15688" s="27" t="s">
        <v>17468</v>
      </c>
      <c r="Q15688" s="26" t="str">
        <f>HYPERLINK("https://ictv.global/taxonomy/taxondetails?taxnode_id=202518638&amp;ictv_id=ICTV202318638","ICTV202318638")</f>
        <v>ICTV202318638</v>
      </c>
      <c r="R15688" t="s">
        <v>581</v>
      </c>
      <c r="S15688" t="s">
        <v>823</v>
      </c>
      <c r="T15688">
        <v>39</v>
      </c>
      <c r="U15688" s="26" t="str">
        <f>HYPERLINK("https://ictv.global/ictv/proposals/2023.022P.Polerovirus_47nsp.zip","2023.022P.Polerovirus_47nsp.zip")</f>
        <v>2023.022P.Polerovirus_47nsp.zip</v>
      </c>
    </row>
    <row r="15689" spans="1:21">
      <c r="A15689">
        <v>15688</v>
      </c>
      <c r="B15689" s="27" t="s">
        <v>1124</v>
      </c>
      <c r="D15689" s="27" t="s">
        <v>1859</v>
      </c>
      <c r="F15689" s="27" t="s">
        <v>1909</v>
      </c>
      <c r="H15689" s="27" t="s">
        <v>1912</v>
      </c>
      <c r="J15689" s="27" t="s">
        <v>1960</v>
      </c>
      <c r="L15689" s="27" t="s">
        <v>925</v>
      </c>
      <c r="N15689" s="27" t="s">
        <v>366</v>
      </c>
      <c r="P15689" s="27" t="s">
        <v>17469</v>
      </c>
      <c r="Q15689" s="26" t="str">
        <f>HYPERLINK("https://ictv.global/taxonomy/taxondetails?taxnode_id=202503795&amp;ictv_id=ICTV19911693","ICTV19911693")</f>
        <v>ICTV19911693</v>
      </c>
      <c r="R15689" t="s">
        <v>581</v>
      </c>
      <c r="S15689" t="s">
        <v>22764</v>
      </c>
      <c r="T15689">
        <v>39</v>
      </c>
      <c r="U15689" s="26" t="str">
        <f>HYPERLINK("https://ictv.global/ictv/proposals/2023.019P.Solemoviridae_rename_sp.zip","2023.019P.Solemoviridae_rename_sp.zip")</f>
        <v>2023.019P.Solemoviridae_rename_sp.zip</v>
      </c>
    </row>
    <row r="15690" spans="1:21">
      <c r="A15690">
        <v>15689</v>
      </c>
      <c r="B15690" s="27" t="s">
        <v>1124</v>
      </c>
      <c r="D15690" s="27" t="s">
        <v>1859</v>
      </c>
      <c r="F15690" s="27" t="s">
        <v>1909</v>
      </c>
      <c r="H15690" s="27" t="s">
        <v>1912</v>
      </c>
      <c r="J15690" s="27" t="s">
        <v>1960</v>
      </c>
      <c r="L15690" s="27" t="s">
        <v>925</v>
      </c>
      <c r="N15690" s="27" t="s">
        <v>366</v>
      </c>
      <c r="P15690" s="27" t="s">
        <v>17470</v>
      </c>
      <c r="Q15690" s="26" t="str">
        <f>HYPERLINK("https://ictv.global/taxonomy/taxondetails?taxnode_id=202518639&amp;ictv_id=ICTV202318639","ICTV202318639")</f>
        <v>ICTV202318639</v>
      </c>
      <c r="R15690" t="s">
        <v>581</v>
      </c>
      <c r="S15690" t="s">
        <v>823</v>
      </c>
      <c r="T15690">
        <v>39</v>
      </c>
      <c r="U15690" s="26" t="str">
        <f>HYPERLINK("https://ictv.global/ictv/proposals/2023.022P.Polerovirus_47nsp.zip","2023.022P.Polerovirus_47nsp.zip")</f>
        <v>2023.022P.Polerovirus_47nsp.zip</v>
      </c>
    </row>
    <row r="15691" spans="1:21">
      <c r="A15691">
        <v>15690</v>
      </c>
      <c r="B15691" s="27" t="s">
        <v>1124</v>
      </c>
      <c r="D15691" s="27" t="s">
        <v>1859</v>
      </c>
      <c r="F15691" s="27" t="s">
        <v>1909</v>
      </c>
      <c r="H15691" s="27" t="s">
        <v>1912</v>
      </c>
      <c r="J15691" s="27" t="s">
        <v>1960</v>
      </c>
      <c r="L15691" s="27" t="s">
        <v>925</v>
      </c>
      <c r="N15691" s="27" t="s">
        <v>366</v>
      </c>
      <c r="P15691" s="27" t="s">
        <v>21993</v>
      </c>
      <c r="Q15691" s="26" t="str">
        <f>HYPERLINK("https://ictv.global/taxonomy/taxondetails?taxnode_id=202522799&amp;ictv_id=ICTV202522799","ICTV202522799")</f>
        <v>ICTV202522799</v>
      </c>
      <c r="R15691" t="s">
        <v>581</v>
      </c>
      <c r="S15691" t="s">
        <v>823</v>
      </c>
      <c r="T15691">
        <v>41</v>
      </c>
      <c r="U15691" s="26" t="str">
        <f>HYPERLINK("https://ictv.global/ictv/proposals/2025.022P.Solemoviridae_Polerovirus_17nsp.zip","2025.022P.Solemoviridae_Polerovirus_17nsp.zip")</f>
        <v>2025.022P.Solemoviridae_Polerovirus_17nsp.zip</v>
      </c>
    </row>
    <row r="15692" spans="1:21">
      <c r="A15692">
        <v>15691</v>
      </c>
      <c r="B15692" s="27" t="s">
        <v>1124</v>
      </c>
      <c r="D15692" s="27" t="s">
        <v>1859</v>
      </c>
      <c r="F15692" s="27" t="s">
        <v>1909</v>
      </c>
      <c r="H15692" s="27" t="s">
        <v>1912</v>
      </c>
      <c r="J15692" s="27" t="s">
        <v>1960</v>
      </c>
      <c r="L15692" s="27" t="s">
        <v>925</v>
      </c>
      <c r="N15692" s="27" t="s">
        <v>366</v>
      </c>
      <c r="P15692" s="27" t="s">
        <v>17471</v>
      </c>
      <c r="Q15692" s="26" t="str">
        <f>HYPERLINK("https://ictv.global/taxonomy/taxondetails?taxnode_id=202518640&amp;ictv_id=ICTV202318640","ICTV202318640")</f>
        <v>ICTV202318640</v>
      </c>
      <c r="R15692" t="s">
        <v>581</v>
      </c>
      <c r="S15692" t="s">
        <v>823</v>
      </c>
      <c r="T15692">
        <v>39</v>
      </c>
      <c r="U15692" s="26" t="str">
        <f>HYPERLINK("https://ictv.global/ictv/proposals/2023.022P.Polerovirus_47nsp.zip","2023.022P.Polerovirus_47nsp.zip")</f>
        <v>2023.022P.Polerovirus_47nsp.zip</v>
      </c>
    </row>
    <row r="15693" spans="1:21">
      <c r="A15693">
        <v>15692</v>
      </c>
      <c r="B15693" s="27" t="s">
        <v>1124</v>
      </c>
      <c r="D15693" s="27" t="s">
        <v>1859</v>
      </c>
      <c r="F15693" s="27" t="s">
        <v>1909</v>
      </c>
      <c r="H15693" s="27" t="s">
        <v>1912</v>
      </c>
      <c r="J15693" s="27" t="s">
        <v>1960</v>
      </c>
      <c r="L15693" s="27" t="s">
        <v>925</v>
      </c>
      <c r="N15693" s="27" t="s">
        <v>366</v>
      </c>
      <c r="P15693" s="27" t="s">
        <v>17472</v>
      </c>
      <c r="Q15693" s="26" t="str">
        <f>HYPERLINK("https://ictv.global/taxonomy/taxondetails?taxnode_id=202518641&amp;ictv_id=ICTV202318641","ICTV202318641")</f>
        <v>ICTV202318641</v>
      </c>
      <c r="R15693" t="s">
        <v>581</v>
      </c>
      <c r="S15693" t="s">
        <v>823</v>
      </c>
      <c r="T15693">
        <v>39</v>
      </c>
      <c r="U15693" s="26" t="str">
        <f>HYPERLINK("https://ictv.global/ictv/proposals/2023.022P.Polerovirus_47nsp.zip","2023.022P.Polerovirus_47nsp.zip")</f>
        <v>2023.022P.Polerovirus_47nsp.zip</v>
      </c>
    </row>
    <row r="15694" spans="1:21">
      <c r="A15694">
        <v>15693</v>
      </c>
      <c r="B15694" s="27" t="s">
        <v>1124</v>
      </c>
      <c r="D15694" s="27" t="s">
        <v>1859</v>
      </c>
      <c r="F15694" s="27" t="s">
        <v>1909</v>
      </c>
      <c r="H15694" s="27" t="s">
        <v>1912</v>
      </c>
      <c r="J15694" s="27" t="s">
        <v>1960</v>
      </c>
      <c r="L15694" s="27" t="s">
        <v>925</v>
      </c>
      <c r="N15694" s="27" t="s">
        <v>366</v>
      </c>
      <c r="P15694" s="27" t="s">
        <v>17473</v>
      </c>
      <c r="Q15694" s="26" t="str">
        <f>HYPERLINK("https://ictv.global/taxonomy/taxondetails?taxnode_id=202503784&amp;ictv_id=ICTV20094023","ICTV20094023")</f>
        <v>ICTV20094023</v>
      </c>
      <c r="R15694" t="s">
        <v>581</v>
      </c>
      <c r="S15694" t="s">
        <v>824</v>
      </c>
      <c r="T15694">
        <v>39</v>
      </c>
      <c r="U15694" s="26" t="str">
        <f>HYPERLINK("https://ictv.global/ictv/proposals/2023.019P.Solemoviridae_rename_sp.zip","2023.019P.Solemoviridae_rename_sp.zip")</f>
        <v>2023.019P.Solemoviridae_rename_sp.zip</v>
      </c>
    </row>
    <row r="15695" spans="1:21">
      <c r="A15695">
        <v>15694</v>
      </c>
      <c r="B15695" s="27" t="s">
        <v>1124</v>
      </c>
      <c r="D15695" s="27" t="s">
        <v>1859</v>
      </c>
      <c r="F15695" s="27" t="s">
        <v>1909</v>
      </c>
      <c r="H15695" s="27" t="s">
        <v>1912</v>
      </c>
      <c r="J15695" s="27" t="s">
        <v>1960</v>
      </c>
      <c r="L15695" s="27" t="s">
        <v>925</v>
      </c>
      <c r="N15695" s="27" t="s">
        <v>366</v>
      </c>
      <c r="P15695" s="27" t="s">
        <v>17474</v>
      </c>
      <c r="Q15695" s="26" t="str">
        <f>HYPERLINK("https://ictv.global/taxonomy/taxondetails?taxnode_id=202505862&amp;ictv_id=ICTV20175862","ICTV20175862")</f>
        <v>ICTV20175862</v>
      </c>
      <c r="R15695" t="s">
        <v>581</v>
      </c>
      <c r="S15695" t="s">
        <v>824</v>
      </c>
      <c r="T15695">
        <v>39</v>
      </c>
      <c r="U15695" s="26" t="str">
        <f>HYPERLINK("https://ictv.global/ictv/proposals/2023.019P.Solemoviridae_rename_sp.zip","2023.019P.Solemoviridae_rename_sp.zip")</f>
        <v>2023.019P.Solemoviridae_rename_sp.zip</v>
      </c>
    </row>
    <row r="15696" spans="1:21">
      <c r="A15696">
        <v>15695</v>
      </c>
      <c r="B15696" s="27" t="s">
        <v>1124</v>
      </c>
      <c r="D15696" s="27" t="s">
        <v>1859</v>
      </c>
      <c r="F15696" s="27" t="s">
        <v>1909</v>
      </c>
      <c r="H15696" s="27" t="s">
        <v>1912</v>
      </c>
      <c r="J15696" s="27" t="s">
        <v>1960</v>
      </c>
      <c r="L15696" s="27" t="s">
        <v>925</v>
      </c>
      <c r="N15696" s="27" t="s">
        <v>366</v>
      </c>
      <c r="P15696" s="27" t="s">
        <v>17475</v>
      </c>
      <c r="Q15696" s="26" t="str">
        <f>HYPERLINK("https://ictv.global/taxonomy/taxondetails?taxnode_id=202518642&amp;ictv_id=ICTV202318642","ICTV202318642")</f>
        <v>ICTV202318642</v>
      </c>
      <c r="R15696" t="s">
        <v>581</v>
      </c>
      <c r="S15696" t="s">
        <v>823</v>
      </c>
      <c r="T15696">
        <v>39</v>
      </c>
      <c r="U15696" s="26" t="str">
        <f>HYPERLINK("https://ictv.global/ictv/proposals/2023.022P.Polerovirus_47nsp.zip","2023.022P.Polerovirus_47nsp.zip")</f>
        <v>2023.022P.Polerovirus_47nsp.zip</v>
      </c>
    </row>
    <row r="15697" spans="1:21">
      <c r="A15697">
        <v>15696</v>
      </c>
      <c r="B15697" s="27" t="s">
        <v>1124</v>
      </c>
      <c r="D15697" s="27" t="s">
        <v>1859</v>
      </c>
      <c r="F15697" s="27" t="s">
        <v>1909</v>
      </c>
      <c r="H15697" s="27" t="s">
        <v>1912</v>
      </c>
      <c r="J15697" s="27" t="s">
        <v>1960</v>
      </c>
      <c r="L15697" s="27" t="s">
        <v>925</v>
      </c>
      <c r="N15697" s="27" t="s">
        <v>366</v>
      </c>
      <c r="P15697" s="27" t="s">
        <v>22000</v>
      </c>
      <c r="Q15697" s="26" t="str">
        <f>HYPERLINK("https://ictv.global/taxonomy/taxondetails?taxnode_id=202522806&amp;ictv_id=ICTV202522806","ICTV202522806")</f>
        <v>ICTV202522806</v>
      </c>
      <c r="R15697" t="s">
        <v>581</v>
      </c>
      <c r="S15697" t="s">
        <v>823</v>
      </c>
      <c r="T15697">
        <v>41</v>
      </c>
      <c r="U15697" s="26" t="str">
        <f>HYPERLINK("https://ictv.global/ictv/proposals/2025.022P.Solemoviridae_Polerovirus_17nsp.zip","2025.022P.Solemoviridae_Polerovirus_17nsp.zip")</f>
        <v>2025.022P.Solemoviridae_Polerovirus_17nsp.zip</v>
      </c>
    </row>
    <row r="15698" spans="1:21">
      <c r="A15698">
        <v>15697</v>
      </c>
      <c r="B15698" s="27" t="s">
        <v>1124</v>
      </c>
      <c r="D15698" s="27" t="s">
        <v>1859</v>
      </c>
      <c r="F15698" s="27" t="s">
        <v>1909</v>
      </c>
      <c r="H15698" s="27" t="s">
        <v>1912</v>
      </c>
      <c r="J15698" s="27" t="s">
        <v>1960</v>
      </c>
      <c r="L15698" s="27" t="s">
        <v>925</v>
      </c>
      <c r="N15698" s="27" t="s">
        <v>366</v>
      </c>
      <c r="P15698" s="27" t="s">
        <v>17476</v>
      </c>
      <c r="Q15698" s="26" t="str">
        <f>HYPERLINK("https://ictv.global/taxonomy/taxondetails?taxnode_id=202503783&amp;ictv_id=ICTV19952391","ICTV19952391")</f>
        <v>ICTV19952391</v>
      </c>
      <c r="R15698" t="s">
        <v>581</v>
      </c>
      <c r="S15698" t="s">
        <v>22764</v>
      </c>
      <c r="T15698">
        <v>39</v>
      </c>
      <c r="U15698" s="26" t="str">
        <f>HYPERLINK("https://ictv.global/ictv/proposals/2023.019P.Solemoviridae_rename_sp.zip","2023.019P.Solemoviridae_rename_sp.zip")</f>
        <v>2023.019P.Solemoviridae_rename_sp.zip</v>
      </c>
    </row>
    <row r="15699" spans="1:21">
      <c r="A15699">
        <v>15698</v>
      </c>
      <c r="B15699" s="27" t="s">
        <v>1124</v>
      </c>
      <c r="D15699" s="27" t="s">
        <v>1859</v>
      </c>
      <c r="F15699" s="27" t="s">
        <v>1909</v>
      </c>
      <c r="H15699" s="27" t="s">
        <v>1912</v>
      </c>
      <c r="J15699" s="27" t="s">
        <v>1960</v>
      </c>
      <c r="L15699" s="27" t="s">
        <v>925</v>
      </c>
      <c r="N15699" s="27" t="s">
        <v>366</v>
      </c>
      <c r="P15699" s="27" t="s">
        <v>17477</v>
      </c>
      <c r="Q15699" s="26" t="str">
        <f>HYPERLINK("https://ictv.global/taxonomy/taxondetails?taxnode_id=202518643&amp;ictv_id=ICTV202318643","ICTV202318643")</f>
        <v>ICTV202318643</v>
      </c>
      <c r="R15699" t="s">
        <v>581</v>
      </c>
      <c r="S15699" t="s">
        <v>823</v>
      </c>
      <c r="T15699">
        <v>39</v>
      </c>
      <c r="U15699" s="26" t="str">
        <f>HYPERLINK("https://ictv.global/ictv/proposals/2023.022P.Polerovirus_47nsp.zip","2023.022P.Polerovirus_47nsp.zip")</f>
        <v>2023.022P.Polerovirus_47nsp.zip</v>
      </c>
    </row>
    <row r="15700" spans="1:21">
      <c r="A15700">
        <v>15699</v>
      </c>
      <c r="B15700" s="27" t="s">
        <v>1124</v>
      </c>
      <c r="D15700" s="27" t="s">
        <v>1859</v>
      </c>
      <c r="F15700" s="27" t="s">
        <v>1909</v>
      </c>
      <c r="H15700" s="27" t="s">
        <v>1912</v>
      </c>
      <c r="J15700" s="27" t="s">
        <v>1960</v>
      </c>
      <c r="L15700" s="27" t="s">
        <v>925</v>
      </c>
      <c r="N15700" s="27" t="s">
        <v>366</v>
      </c>
      <c r="P15700" s="27" t="s">
        <v>22001</v>
      </c>
      <c r="Q15700" s="26" t="str">
        <f>HYPERLINK("https://ictv.global/taxonomy/taxondetails?taxnode_id=202522807&amp;ictv_id=ICTV202522807","ICTV202522807")</f>
        <v>ICTV202522807</v>
      </c>
      <c r="R15700" t="s">
        <v>581</v>
      </c>
      <c r="S15700" t="s">
        <v>823</v>
      </c>
      <c r="T15700">
        <v>41</v>
      </c>
      <c r="U15700" s="26" t="str">
        <f>HYPERLINK("https://ictv.global/ictv/proposals/2025.022P.Solemoviridae_Polerovirus_17nsp.zip","2025.022P.Solemoviridae_Polerovirus_17nsp.zip")</f>
        <v>2025.022P.Solemoviridae_Polerovirus_17nsp.zip</v>
      </c>
    </row>
    <row r="15701" spans="1:21">
      <c r="A15701">
        <v>15700</v>
      </c>
      <c r="B15701" s="27" t="s">
        <v>1124</v>
      </c>
      <c r="D15701" s="27" t="s">
        <v>1859</v>
      </c>
      <c r="F15701" s="27" t="s">
        <v>1909</v>
      </c>
      <c r="H15701" s="27" t="s">
        <v>1912</v>
      </c>
      <c r="J15701" s="27" t="s">
        <v>1960</v>
      </c>
      <c r="L15701" s="27" t="s">
        <v>925</v>
      </c>
      <c r="N15701" s="27" t="s">
        <v>366</v>
      </c>
      <c r="P15701" s="27" t="s">
        <v>17478</v>
      </c>
      <c r="Q15701" s="26" t="str">
        <f>HYPERLINK("https://ictv.global/taxonomy/taxondetails?taxnode_id=202518644&amp;ictv_id=ICTV202318644","ICTV202318644")</f>
        <v>ICTV202318644</v>
      </c>
      <c r="R15701" t="s">
        <v>581</v>
      </c>
      <c r="S15701" t="s">
        <v>823</v>
      </c>
      <c r="T15701">
        <v>39</v>
      </c>
      <c r="U15701" s="26" t="str">
        <f>HYPERLINK("https://ictv.global/ictv/proposals/2023.022P.Polerovirus_47nsp.zip","2023.022P.Polerovirus_47nsp.zip")</f>
        <v>2023.022P.Polerovirus_47nsp.zip</v>
      </c>
    </row>
    <row r="15702" spans="1:21">
      <c r="A15702">
        <v>15701</v>
      </c>
      <c r="B15702" s="27" t="s">
        <v>1124</v>
      </c>
      <c r="D15702" s="27" t="s">
        <v>1859</v>
      </c>
      <c r="F15702" s="27" t="s">
        <v>1909</v>
      </c>
      <c r="H15702" s="27" t="s">
        <v>1912</v>
      </c>
      <c r="J15702" s="27" t="s">
        <v>1960</v>
      </c>
      <c r="L15702" s="27" t="s">
        <v>925</v>
      </c>
      <c r="N15702" s="27" t="s">
        <v>366</v>
      </c>
      <c r="P15702" s="27" t="s">
        <v>17479</v>
      </c>
      <c r="Q15702" s="26" t="str">
        <f>HYPERLINK("https://ictv.global/taxonomy/taxondetails?taxnode_id=202505863&amp;ictv_id=ICTV20175863","ICTV20175863")</f>
        <v>ICTV20175863</v>
      </c>
      <c r="R15702" t="s">
        <v>581</v>
      </c>
      <c r="S15702" t="s">
        <v>824</v>
      </c>
      <c r="T15702">
        <v>39</v>
      </c>
      <c r="U15702" s="26" t="str">
        <f>HYPERLINK("https://ictv.global/ictv/proposals/2023.019P.Solemoviridae_rename_sp.zip","2023.019P.Solemoviridae_rename_sp.zip")</f>
        <v>2023.019P.Solemoviridae_rename_sp.zip</v>
      </c>
    </row>
    <row r="15703" spans="1:21">
      <c r="A15703">
        <v>15702</v>
      </c>
      <c r="B15703" s="27" t="s">
        <v>1124</v>
      </c>
      <c r="D15703" s="27" t="s">
        <v>1859</v>
      </c>
      <c r="F15703" s="27" t="s">
        <v>1909</v>
      </c>
      <c r="H15703" s="27" t="s">
        <v>1912</v>
      </c>
      <c r="J15703" s="27" t="s">
        <v>1960</v>
      </c>
      <c r="L15703" s="27" t="s">
        <v>925</v>
      </c>
      <c r="N15703" s="27" t="s">
        <v>366</v>
      </c>
      <c r="P15703" s="27" t="s">
        <v>17480</v>
      </c>
      <c r="Q15703" s="26" t="str">
        <f>HYPERLINK("https://ictv.global/taxonomy/taxondetails?taxnode_id=202518650&amp;ictv_id=ICTV202318650","ICTV202318650")</f>
        <v>ICTV202318650</v>
      </c>
      <c r="R15703" t="s">
        <v>581</v>
      </c>
      <c r="S15703" t="s">
        <v>823</v>
      </c>
      <c r="T15703">
        <v>39</v>
      </c>
      <c r="U15703" s="26" t="str">
        <f>HYPERLINK("https://ictv.global/ictv/proposals/2023.022P.Polerovirus_47nsp.zip","2023.022P.Polerovirus_47nsp.zip")</f>
        <v>2023.022P.Polerovirus_47nsp.zip</v>
      </c>
    </row>
    <row r="15704" spans="1:21">
      <c r="A15704">
        <v>15703</v>
      </c>
      <c r="B15704" s="27" t="s">
        <v>1124</v>
      </c>
      <c r="D15704" s="27" t="s">
        <v>1859</v>
      </c>
      <c r="F15704" s="27" t="s">
        <v>1909</v>
      </c>
      <c r="H15704" s="27" t="s">
        <v>1912</v>
      </c>
      <c r="J15704" s="27" t="s">
        <v>1960</v>
      </c>
      <c r="L15704" s="27" t="s">
        <v>925</v>
      </c>
      <c r="N15704" s="27" t="s">
        <v>366</v>
      </c>
      <c r="P15704" s="27" t="s">
        <v>17481</v>
      </c>
      <c r="Q15704" s="26" t="str">
        <f>HYPERLINK("https://ictv.global/taxonomy/taxondetails?taxnode_id=202518645&amp;ictv_id=ICTV202318645","ICTV202318645")</f>
        <v>ICTV202318645</v>
      </c>
      <c r="R15704" t="s">
        <v>581</v>
      </c>
      <c r="S15704" t="s">
        <v>823</v>
      </c>
      <c r="T15704">
        <v>39</v>
      </c>
      <c r="U15704" s="26" t="str">
        <f>HYPERLINK("https://ictv.global/ictv/proposals/2023.022P.Polerovirus_47nsp.zip","2023.022P.Polerovirus_47nsp.zip")</f>
        <v>2023.022P.Polerovirus_47nsp.zip</v>
      </c>
    </row>
    <row r="15705" spans="1:21">
      <c r="A15705">
        <v>15704</v>
      </c>
      <c r="B15705" s="27" t="s">
        <v>1124</v>
      </c>
      <c r="D15705" s="27" t="s">
        <v>1859</v>
      </c>
      <c r="F15705" s="27" t="s">
        <v>1909</v>
      </c>
      <c r="H15705" s="27" t="s">
        <v>1912</v>
      </c>
      <c r="J15705" s="27" t="s">
        <v>1960</v>
      </c>
      <c r="L15705" s="27" t="s">
        <v>925</v>
      </c>
      <c r="N15705" s="27" t="s">
        <v>366</v>
      </c>
      <c r="P15705" s="27" t="s">
        <v>17482</v>
      </c>
      <c r="Q15705" s="26" t="str">
        <f>HYPERLINK("https://ictv.global/taxonomy/taxondetails?taxnode_id=202518647&amp;ictv_id=ICTV202318647","ICTV202318647")</f>
        <v>ICTV202318647</v>
      </c>
      <c r="R15705" t="s">
        <v>581</v>
      </c>
      <c r="S15705" t="s">
        <v>823</v>
      </c>
      <c r="T15705">
        <v>39</v>
      </c>
      <c r="U15705" s="26" t="str">
        <f>HYPERLINK("https://ictv.global/ictv/proposals/2023.022P.Polerovirus_47nsp.zip","2023.022P.Polerovirus_47nsp.zip")</f>
        <v>2023.022P.Polerovirus_47nsp.zip</v>
      </c>
    </row>
    <row r="15706" spans="1:21">
      <c r="A15706">
        <v>15705</v>
      </c>
      <c r="B15706" s="27" t="s">
        <v>1124</v>
      </c>
      <c r="D15706" s="27" t="s">
        <v>1859</v>
      </c>
      <c r="F15706" s="27" t="s">
        <v>1909</v>
      </c>
      <c r="H15706" s="27" t="s">
        <v>1912</v>
      </c>
      <c r="J15706" s="27" t="s">
        <v>1960</v>
      </c>
      <c r="L15706" s="27" t="s">
        <v>925</v>
      </c>
      <c r="N15706" s="27" t="s">
        <v>366</v>
      </c>
      <c r="P15706" s="27" t="s">
        <v>17483</v>
      </c>
      <c r="Q15706" s="26" t="str">
        <f>HYPERLINK("https://ictv.global/taxonomy/taxondetails?taxnode_id=202503785&amp;ictv_id=ICTV20132170","ICTV20132170")</f>
        <v>ICTV20132170</v>
      </c>
      <c r="R15706" t="s">
        <v>581</v>
      </c>
      <c r="S15706" t="s">
        <v>824</v>
      </c>
      <c r="T15706">
        <v>39</v>
      </c>
      <c r="U15706" s="26" t="str">
        <f t="shared" ref="U15706:U15711" si="585">HYPERLINK("https://ictv.global/ictv/proposals/2023.019P.Solemoviridae_rename_sp.zip","2023.019P.Solemoviridae_rename_sp.zip")</f>
        <v>2023.019P.Solemoviridae_rename_sp.zip</v>
      </c>
    </row>
    <row r="15707" spans="1:21">
      <c r="A15707">
        <v>15706</v>
      </c>
      <c r="B15707" s="27" t="s">
        <v>1124</v>
      </c>
      <c r="D15707" s="27" t="s">
        <v>1859</v>
      </c>
      <c r="F15707" s="27" t="s">
        <v>1909</v>
      </c>
      <c r="H15707" s="27" t="s">
        <v>1912</v>
      </c>
      <c r="J15707" s="27" t="s">
        <v>1960</v>
      </c>
      <c r="L15707" s="27" t="s">
        <v>925</v>
      </c>
      <c r="N15707" s="27" t="s">
        <v>366</v>
      </c>
      <c r="P15707" s="27" t="s">
        <v>17484</v>
      </c>
      <c r="Q15707" s="26" t="str">
        <f>HYPERLINK("https://ictv.global/taxonomy/taxondetails?taxnode_id=202506621&amp;ictv_id=ICTV201856621","ICTV201856621")</f>
        <v>ICTV201856621</v>
      </c>
      <c r="R15707" t="s">
        <v>581</v>
      </c>
      <c r="S15707" t="s">
        <v>824</v>
      </c>
      <c r="T15707">
        <v>39</v>
      </c>
      <c r="U15707" s="26" t="str">
        <f t="shared" si="585"/>
        <v>2023.019P.Solemoviridae_rename_sp.zip</v>
      </c>
    </row>
    <row r="15708" spans="1:21">
      <c r="A15708">
        <v>15707</v>
      </c>
      <c r="B15708" s="27" t="s">
        <v>1124</v>
      </c>
      <c r="D15708" s="27" t="s">
        <v>1859</v>
      </c>
      <c r="F15708" s="27" t="s">
        <v>1909</v>
      </c>
      <c r="H15708" s="27" t="s">
        <v>1912</v>
      </c>
      <c r="J15708" s="27" t="s">
        <v>1960</v>
      </c>
      <c r="L15708" s="27" t="s">
        <v>925</v>
      </c>
      <c r="N15708" s="27" t="s">
        <v>366</v>
      </c>
      <c r="P15708" s="27" t="s">
        <v>17485</v>
      </c>
      <c r="Q15708" s="26" t="str">
        <f>HYPERLINK("https://ictv.global/taxonomy/taxondetails?taxnode_id=202506622&amp;ictv_id=ICTV201856622","ICTV201856622")</f>
        <v>ICTV201856622</v>
      </c>
      <c r="R15708" t="s">
        <v>581</v>
      </c>
      <c r="S15708" t="s">
        <v>824</v>
      </c>
      <c r="T15708">
        <v>39</v>
      </c>
      <c r="U15708" s="26" t="str">
        <f t="shared" si="585"/>
        <v>2023.019P.Solemoviridae_rename_sp.zip</v>
      </c>
    </row>
    <row r="15709" spans="1:21">
      <c r="A15709">
        <v>15708</v>
      </c>
      <c r="B15709" s="27" t="s">
        <v>1124</v>
      </c>
      <c r="D15709" s="27" t="s">
        <v>1859</v>
      </c>
      <c r="F15709" s="27" t="s">
        <v>1909</v>
      </c>
      <c r="H15709" s="27" t="s">
        <v>1912</v>
      </c>
      <c r="J15709" s="27" t="s">
        <v>1960</v>
      </c>
      <c r="L15709" s="27" t="s">
        <v>925</v>
      </c>
      <c r="N15709" s="27" t="s">
        <v>366</v>
      </c>
      <c r="P15709" s="27" t="s">
        <v>17486</v>
      </c>
      <c r="Q15709" s="26" t="str">
        <f>HYPERLINK("https://ictv.global/taxonomy/taxondetails?taxnode_id=202506623&amp;ictv_id=ICTV201856623","ICTV201856623")</f>
        <v>ICTV201856623</v>
      </c>
      <c r="R15709" t="s">
        <v>581</v>
      </c>
      <c r="S15709" t="s">
        <v>824</v>
      </c>
      <c r="T15709">
        <v>39</v>
      </c>
      <c r="U15709" s="26" t="str">
        <f t="shared" si="585"/>
        <v>2023.019P.Solemoviridae_rename_sp.zip</v>
      </c>
    </row>
    <row r="15710" spans="1:21">
      <c r="A15710">
        <v>15709</v>
      </c>
      <c r="B15710" s="27" t="s">
        <v>1124</v>
      </c>
      <c r="D15710" s="27" t="s">
        <v>1859</v>
      </c>
      <c r="F15710" s="27" t="s">
        <v>1909</v>
      </c>
      <c r="H15710" s="27" t="s">
        <v>1912</v>
      </c>
      <c r="J15710" s="27" t="s">
        <v>1960</v>
      </c>
      <c r="L15710" s="27" t="s">
        <v>925</v>
      </c>
      <c r="N15710" s="27" t="s">
        <v>366</v>
      </c>
      <c r="P15710" s="27" t="s">
        <v>17487</v>
      </c>
      <c r="Q15710" s="26" t="str">
        <f>HYPERLINK("https://ictv.global/taxonomy/taxondetails?taxnode_id=202506624&amp;ictv_id=ICTV201856624","ICTV201856624")</f>
        <v>ICTV201856624</v>
      </c>
      <c r="R15710" t="s">
        <v>581</v>
      </c>
      <c r="S15710" t="s">
        <v>824</v>
      </c>
      <c r="T15710">
        <v>39</v>
      </c>
      <c r="U15710" s="26" t="str">
        <f t="shared" si="585"/>
        <v>2023.019P.Solemoviridae_rename_sp.zip</v>
      </c>
    </row>
    <row r="15711" spans="1:21">
      <c r="A15711">
        <v>15710</v>
      </c>
      <c r="B15711" s="27" t="s">
        <v>1124</v>
      </c>
      <c r="D15711" s="27" t="s">
        <v>1859</v>
      </c>
      <c r="F15711" s="27" t="s">
        <v>1909</v>
      </c>
      <c r="H15711" s="27" t="s">
        <v>1912</v>
      </c>
      <c r="J15711" s="27" t="s">
        <v>1960</v>
      </c>
      <c r="L15711" s="27" t="s">
        <v>925</v>
      </c>
      <c r="N15711" s="27" t="s">
        <v>366</v>
      </c>
      <c r="P15711" s="27" t="s">
        <v>17488</v>
      </c>
      <c r="Q15711" s="26" t="str">
        <f>HYPERLINK("https://ictv.global/taxonomy/taxondetails?taxnode_id=202506625&amp;ictv_id=ICTV201856625","ICTV201856625")</f>
        <v>ICTV201856625</v>
      </c>
      <c r="R15711" t="s">
        <v>581</v>
      </c>
      <c r="S15711" t="s">
        <v>824</v>
      </c>
      <c r="T15711">
        <v>39</v>
      </c>
      <c r="U15711" s="26" t="str">
        <f t="shared" si="585"/>
        <v>2023.019P.Solemoviridae_rename_sp.zip</v>
      </c>
    </row>
    <row r="15712" spans="1:21">
      <c r="A15712">
        <v>15711</v>
      </c>
      <c r="B15712" s="27" t="s">
        <v>1124</v>
      </c>
      <c r="D15712" s="27" t="s">
        <v>1859</v>
      </c>
      <c r="F15712" s="27" t="s">
        <v>1909</v>
      </c>
      <c r="H15712" s="27" t="s">
        <v>1912</v>
      </c>
      <c r="J15712" s="27" t="s">
        <v>1960</v>
      </c>
      <c r="L15712" s="27" t="s">
        <v>925</v>
      </c>
      <c r="N15712" s="27" t="s">
        <v>366</v>
      </c>
      <c r="P15712" s="27" t="s">
        <v>21994</v>
      </c>
      <c r="Q15712" s="26" t="str">
        <f>HYPERLINK("https://ictv.global/taxonomy/taxondetails?taxnode_id=202522800&amp;ictv_id=ICTV202522800","ICTV202522800")</f>
        <v>ICTV202522800</v>
      </c>
      <c r="R15712" t="s">
        <v>581</v>
      </c>
      <c r="S15712" t="s">
        <v>823</v>
      </c>
      <c r="T15712">
        <v>41</v>
      </c>
      <c r="U15712" s="26" t="str">
        <f>HYPERLINK("https://ictv.global/ictv/proposals/2025.022P.Solemoviridae_Polerovirus_17nsp.zip","2025.022P.Solemoviridae_Polerovirus_17nsp.zip")</f>
        <v>2025.022P.Solemoviridae_Polerovirus_17nsp.zip</v>
      </c>
    </row>
    <row r="15713" spans="1:21">
      <c r="A15713">
        <v>15712</v>
      </c>
      <c r="B15713" s="27" t="s">
        <v>1124</v>
      </c>
      <c r="D15713" s="27" t="s">
        <v>1859</v>
      </c>
      <c r="F15713" s="27" t="s">
        <v>1909</v>
      </c>
      <c r="H15713" s="27" t="s">
        <v>1912</v>
      </c>
      <c r="J15713" s="27" t="s">
        <v>1960</v>
      </c>
      <c r="L15713" s="27" t="s">
        <v>925</v>
      </c>
      <c r="N15713" s="27" t="s">
        <v>366</v>
      </c>
      <c r="P15713" s="27" t="s">
        <v>17489</v>
      </c>
      <c r="Q15713" s="26" t="str">
        <f>HYPERLINK("https://ictv.global/taxonomy/taxondetails?taxnode_id=202518648&amp;ictv_id=ICTV202318648","ICTV202318648")</f>
        <v>ICTV202318648</v>
      </c>
      <c r="R15713" t="s">
        <v>581</v>
      </c>
      <c r="S15713" t="s">
        <v>823</v>
      </c>
      <c r="T15713">
        <v>39</v>
      </c>
      <c r="U15713" s="26" t="str">
        <f>HYPERLINK("https://ictv.global/ictv/proposals/2023.022P.Polerovirus_47nsp.zip","2023.022P.Polerovirus_47nsp.zip")</f>
        <v>2023.022P.Polerovirus_47nsp.zip</v>
      </c>
    </row>
    <row r="15714" spans="1:21">
      <c r="A15714">
        <v>15713</v>
      </c>
      <c r="B15714" s="27" t="s">
        <v>1124</v>
      </c>
      <c r="D15714" s="27" t="s">
        <v>1859</v>
      </c>
      <c r="F15714" s="27" t="s">
        <v>1909</v>
      </c>
      <c r="H15714" s="27" t="s">
        <v>1912</v>
      </c>
      <c r="J15714" s="27" t="s">
        <v>1960</v>
      </c>
      <c r="L15714" s="27" t="s">
        <v>925</v>
      </c>
      <c r="N15714" s="27" t="s">
        <v>366</v>
      </c>
      <c r="P15714" s="27" t="s">
        <v>17490</v>
      </c>
      <c r="Q15714" s="26" t="str">
        <f>HYPERLINK("https://ictv.global/taxonomy/taxondetails?taxnode_id=202518652&amp;ictv_id=ICTV202318652","ICTV202318652")</f>
        <v>ICTV202318652</v>
      </c>
      <c r="R15714" t="s">
        <v>581</v>
      </c>
      <c r="S15714" t="s">
        <v>823</v>
      </c>
      <c r="T15714">
        <v>39</v>
      </c>
      <c r="U15714" s="26" t="str">
        <f>HYPERLINK("https://ictv.global/ictv/proposals/2023.022P.Polerovirus_47nsp.zip","2023.022P.Polerovirus_47nsp.zip")</f>
        <v>2023.022P.Polerovirus_47nsp.zip</v>
      </c>
    </row>
    <row r="15715" spans="1:21">
      <c r="A15715">
        <v>15714</v>
      </c>
      <c r="B15715" s="27" t="s">
        <v>1124</v>
      </c>
      <c r="D15715" s="27" t="s">
        <v>1859</v>
      </c>
      <c r="F15715" s="27" t="s">
        <v>1909</v>
      </c>
      <c r="H15715" s="27" t="s">
        <v>1912</v>
      </c>
      <c r="J15715" s="27" t="s">
        <v>1960</v>
      </c>
      <c r="L15715" s="27" t="s">
        <v>925</v>
      </c>
      <c r="N15715" s="27" t="s">
        <v>366</v>
      </c>
      <c r="P15715" s="27" t="s">
        <v>17491</v>
      </c>
      <c r="Q15715" s="26" t="str">
        <f>HYPERLINK("https://ictv.global/taxonomy/taxondetails?taxnode_id=202503786&amp;ictv_id=ICTV19991080","ICTV19991080")</f>
        <v>ICTV19991080</v>
      </c>
      <c r="R15715" t="s">
        <v>581</v>
      </c>
      <c r="S15715" t="s">
        <v>824</v>
      </c>
      <c r="T15715">
        <v>39</v>
      </c>
      <c r="U15715" s="26" t="str">
        <f>HYPERLINK("https://ictv.global/ictv/proposals/2023.019P.Solemoviridae_rename_sp.zip","2023.019P.Solemoviridae_rename_sp.zip")</f>
        <v>2023.019P.Solemoviridae_rename_sp.zip</v>
      </c>
    </row>
    <row r="15716" spans="1:21">
      <c r="A15716">
        <v>15715</v>
      </c>
      <c r="B15716" s="27" t="s">
        <v>1124</v>
      </c>
      <c r="D15716" s="27" t="s">
        <v>1859</v>
      </c>
      <c r="F15716" s="27" t="s">
        <v>1909</v>
      </c>
      <c r="H15716" s="27" t="s">
        <v>1912</v>
      </c>
      <c r="J15716" s="27" t="s">
        <v>1960</v>
      </c>
      <c r="L15716" s="27" t="s">
        <v>925</v>
      </c>
      <c r="N15716" s="27" t="s">
        <v>366</v>
      </c>
      <c r="P15716" s="27" t="s">
        <v>17492</v>
      </c>
      <c r="Q15716" s="26" t="str">
        <f>HYPERLINK("https://ictv.global/taxonomy/taxondetails?taxnode_id=202518651&amp;ictv_id=ICTV202318651","ICTV202318651")</f>
        <v>ICTV202318651</v>
      </c>
      <c r="R15716" t="s">
        <v>581</v>
      </c>
      <c r="S15716" t="s">
        <v>823</v>
      </c>
      <c r="T15716">
        <v>39</v>
      </c>
      <c r="U15716" s="26" t="str">
        <f>HYPERLINK("https://ictv.global/ictv/proposals/2023.022P.Polerovirus_47nsp.zip","2023.022P.Polerovirus_47nsp.zip")</f>
        <v>2023.022P.Polerovirus_47nsp.zip</v>
      </c>
    </row>
    <row r="15717" spans="1:21">
      <c r="A15717">
        <v>15716</v>
      </c>
      <c r="B15717" s="27" t="s">
        <v>1124</v>
      </c>
      <c r="D15717" s="27" t="s">
        <v>1859</v>
      </c>
      <c r="F15717" s="27" t="s">
        <v>1909</v>
      </c>
      <c r="H15717" s="27" t="s">
        <v>1912</v>
      </c>
      <c r="J15717" s="27" t="s">
        <v>1960</v>
      </c>
      <c r="L15717" s="27" t="s">
        <v>925</v>
      </c>
      <c r="N15717" s="27" t="s">
        <v>366</v>
      </c>
      <c r="P15717" s="27" t="s">
        <v>17493</v>
      </c>
      <c r="Q15717" s="26" t="str">
        <f>HYPERLINK("https://ictv.global/taxonomy/taxondetails?taxnode_id=202518646&amp;ictv_id=ICTV202318646","ICTV202318646")</f>
        <v>ICTV202318646</v>
      </c>
      <c r="R15717" t="s">
        <v>581</v>
      </c>
      <c r="S15717" t="s">
        <v>823</v>
      </c>
      <c r="T15717">
        <v>39</v>
      </c>
      <c r="U15717" s="26" t="str">
        <f>HYPERLINK("https://ictv.global/ictv/proposals/2023.022P.Polerovirus_47nsp.zip","2023.022P.Polerovirus_47nsp.zip")</f>
        <v>2023.022P.Polerovirus_47nsp.zip</v>
      </c>
    </row>
    <row r="15718" spans="1:21">
      <c r="A15718">
        <v>15717</v>
      </c>
      <c r="B15718" s="27" t="s">
        <v>1124</v>
      </c>
      <c r="D15718" s="27" t="s">
        <v>1859</v>
      </c>
      <c r="F15718" s="27" t="s">
        <v>1909</v>
      </c>
      <c r="H15718" s="27" t="s">
        <v>1912</v>
      </c>
      <c r="J15718" s="27" t="s">
        <v>1960</v>
      </c>
      <c r="L15718" s="27" t="s">
        <v>925</v>
      </c>
      <c r="N15718" s="27" t="s">
        <v>366</v>
      </c>
      <c r="P15718" s="27" t="s">
        <v>17494</v>
      </c>
      <c r="Q15718" s="26" t="str">
        <f>HYPERLINK("https://ictv.global/taxonomy/taxondetails?taxnode_id=202518653&amp;ictv_id=ICTV202318653","ICTV202318653")</f>
        <v>ICTV202318653</v>
      </c>
      <c r="R15718" t="s">
        <v>581</v>
      </c>
      <c r="S15718" t="s">
        <v>823</v>
      </c>
      <c r="T15718">
        <v>39</v>
      </c>
      <c r="U15718" s="26" t="str">
        <f>HYPERLINK("https://ictv.global/ictv/proposals/2023.022P.Polerovirus_47nsp.zip","2023.022P.Polerovirus_47nsp.zip")</f>
        <v>2023.022P.Polerovirus_47nsp.zip</v>
      </c>
    </row>
    <row r="15719" spans="1:21">
      <c r="A15719">
        <v>15718</v>
      </c>
      <c r="B15719" s="27" t="s">
        <v>1124</v>
      </c>
      <c r="D15719" s="27" t="s">
        <v>1859</v>
      </c>
      <c r="F15719" s="27" t="s">
        <v>1909</v>
      </c>
      <c r="H15719" s="27" t="s">
        <v>1912</v>
      </c>
      <c r="J15719" s="27" t="s">
        <v>1960</v>
      </c>
      <c r="L15719" s="27" t="s">
        <v>925</v>
      </c>
      <c r="N15719" s="27" t="s">
        <v>366</v>
      </c>
      <c r="P15719" s="27" t="s">
        <v>17495</v>
      </c>
      <c r="Q15719" s="26" t="str">
        <f>HYPERLINK("https://ictv.global/taxonomy/taxondetails?taxnode_id=202518649&amp;ictv_id=ICTV202318649","ICTV202318649")</f>
        <v>ICTV202318649</v>
      </c>
      <c r="R15719" t="s">
        <v>581</v>
      </c>
      <c r="S15719" t="s">
        <v>823</v>
      </c>
      <c r="T15719">
        <v>39</v>
      </c>
      <c r="U15719" s="26" t="str">
        <f>HYPERLINK("https://ictv.global/ictv/proposals/2023.022P.Polerovirus_47nsp.zip","2023.022P.Polerovirus_47nsp.zip")</f>
        <v>2023.022P.Polerovirus_47nsp.zip</v>
      </c>
    </row>
    <row r="15720" spans="1:21">
      <c r="A15720">
        <v>15719</v>
      </c>
      <c r="B15720" s="27" t="s">
        <v>1124</v>
      </c>
      <c r="D15720" s="27" t="s">
        <v>1859</v>
      </c>
      <c r="F15720" s="27" t="s">
        <v>1909</v>
      </c>
      <c r="H15720" s="27" t="s">
        <v>1912</v>
      </c>
      <c r="J15720" s="27" t="s">
        <v>1960</v>
      </c>
      <c r="L15720" s="27" t="s">
        <v>925</v>
      </c>
      <c r="N15720" s="27" t="s">
        <v>366</v>
      </c>
      <c r="P15720" s="27" t="s">
        <v>17496</v>
      </c>
      <c r="Q15720" s="26" t="str">
        <f>HYPERLINK("https://ictv.global/taxonomy/taxondetails?taxnode_id=202518654&amp;ictv_id=ICTV202318654","ICTV202318654")</f>
        <v>ICTV202318654</v>
      </c>
      <c r="R15720" t="s">
        <v>581</v>
      </c>
      <c r="S15720" t="s">
        <v>823</v>
      </c>
      <c r="T15720">
        <v>39</v>
      </c>
      <c r="U15720" s="26" t="str">
        <f>HYPERLINK("https://ictv.global/ictv/proposals/2023.022P.Polerovirus_47nsp.zip","2023.022P.Polerovirus_47nsp.zip")</f>
        <v>2023.022P.Polerovirus_47nsp.zip</v>
      </c>
    </row>
    <row r="15721" spans="1:21">
      <c r="A15721">
        <v>15720</v>
      </c>
      <c r="B15721" s="27" t="s">
        <v>1124</v>
      </c>
      <c r="D15721" s="27" t="s">
        <v>1859</v>
      </c>
      <c r="F15721" s="27" t="s">
        <v>1909</v>
      </c>
      <c r="H15721" s="27" t="s">
        <v>1912</v>
      </c>
      <c r="J15721" s="27" t="s">
        <v>1960</v>
      </c>
      <c r="L15721" s="27" t="s">
        <v>925</v>
      </c>
      <c r="N15721" s="27" t="s">
        <v>366</v>
      </c>
      <c r="P15721" s="27" t="s">
        <v>17497</v>
      </c>
      <c r="Q15721" s="26" t="str">
        <f>HYPERLINK("https://ictv.global/taxonomy/taxondetails?taxnode_id=202507553&amp;ictv_id=ICTV201907553","ICTV201907553")</f>
        <v>ICTV201907553</v>
      </c>
      <c r="R15721" t="s">
        <v>581</v>
      </c>
      <c r="S15721" t="s">
        <v>824</v>
      </c>
      <c r="T15721">
        <v>39</v>
      </c>
      <c r="U15721" s="26" t="str">
        <f>HYPERLINK("https://ictv.global/ictv/proposals/2023.019P.Solemoviridae_rename_sp.zip","2023.019P.Solemoviridae_rename_sp.zip")</f>
        <v>2023.019P.Solemoviridae_rename_sp.zip</v>
      </c>
    </row>
    <row r="15722" spans="1:21">
      <c r="A15722">
        <v>15721</v>
      </c>
      <c r="B15722" s="27" t="s">
        <v>1124</v>
      </c>
      <c r="D15722" s="27" t="s">
        <v>1859</v>
      </c>
      <c r="F15722" s="27" t="s">
        <v>1909</v>
      </c>
      <c r="H15722" s="27" t="s">
        <v>1912</v>
      </c>
      <c r="J15722" s="27" t="s">
        <v>1960</v>
      </c>
      <c r="L15722" s="27" t="s">
        <v>925</v>
      </c>
      <c r="N15722" s="27" t="s">
        <v>366</v>
      </c>
      <c r="P15722" s="27" t="s">
        <v>21995</v>
      </c>
      <c r="Q15722" s="26" t="str">
        <f>HYPERLINK("https://ictv.global/taxonomy/taxondetails?taxnode_id=202522801&amp;ictv_id=ICTV202522801","ICTV202522801")</f>
        <v>ICTV202522801</v>
      </c>
      <c r="R15722" t="s">
        <v>581</v>
      </c>
      <c r="S15722" t="s">
        <v>823</v>
      </c>
      <c r="T15722">
        <v>41</v>
      </c>
      <c r="U15722" s="26" t="str">
        <f>HYPERLINK("https://ictv.global/ictv/proposals/2025.022P.Solemoviridae_Polerovirus_17nsp.zip","2025.022P.Solemoviridae_Polerovirus_17nsp.zip")</f>
        <v>2025.022P.Solemoviridae_Polerovirus_17nsp.zip</v>
      </c>
    </row>
    <row r="15723" spans="1:21">
      <c r="A15723">
        <v>15722</v>
      </c>
      <c r="B15723" s="27" t="s">
        <v>1124</v>
      </c>
      <c r="D15723" s="27" t="s">
        <v>1859</v>
      </c>
      <c r="F15723" s="27" t="s">
        <v>1909</v>
      </c>
      <c r="H15723" s="27" t="s">
        <v>1912</v>
      </c>
      <c r="J15723" s="27" t="s">
        <v>1960</v>
      </c>
      <c r="L15723" s="27" t="s">
        <v>925</v>
      </c>
      <c r="N15723" s="27" t="s">
        <v>366</v>
      </c>
      <c r="P15723" s="27" t="s">
        <v>17498</v>
      </c>
      <c r="Q15723" s="26" t="str">
        <f>HYPERLINK("https://ictv.global/taxonomy/taxondetails?taxnode_id=202503787&amp;ictv_id=ICTV20132171","ICTV20132171")</f>
        <v>ICTV20132171</v>
      </c>
      <c r="R15723" t="s">
        <v>581</v>
      </c>
      <c r="S15723" t="s">
        <v>824</v>
      </c>
      <c r="T15723">
        <v>39</v>
      </c>
      <c r="U15723" s="26" t="str">
        <f>HYPERLINK("https://ictv.global/ictv/proposals/2023.019P.Solemoviridae_rename_sp.zip","2023.019P.Solemoviridae_rename_sp.zip")</f>
        <v>2023.019P.Solemoviridae_rename_sp.zip</v>
      </c>
    </row>
    <row r="15724" spans="1:21">
      <c r="A15724">
        <v>15723</v>
      </c>
      <c r="B15724" s="27" t="s">
        <v>1124</v>
      </c>
      <c r="D15724" s="27" t="s">
        <v>1859</v>
      </c>
      <c r="F15724" s="27" t="s">
        <v>1909</v>
      </c>
      <c r="H15724" s="27" t="s">
        <v>1912</v>
      </c>
      <c r="J15724" s="27" t="s">
        <v>1960</v>
      </c>
      <c r="L15724" s="27" t="s">
        <v>925</v>
      </c>
      <c r="N15724" s="27" t="s">
        <v>366</v>
      </c>
      <c r="P15724" s="27" t="s">
        <v>17499</v>
      </c>
      <c r="Q15724" s="26" t="str">
        <f>HYPERLINK("https://ictv.global/taxonomy/taxondetails?taxnode_id=202518655&amp;ictv_id=ICTV202318655","ICTV202318655")</f>
        <v>ICTV202318655</v>
      </c>
      <c r="R15724" t="s">
        <v>581</v>
      </c>
      <c r="S15724" t="s">
        <v>823</v>
      </c>
      <c r="T15724">
        <v>39</v>
      </c>
      <c r="U15724" s="26" t="str">
        <f>HYPERLINK("https://ictv.global/ictv/proposals/2023.022P.Polerovirus_47nsp.zip","2023.022P.Polerovirus_47nsp.zip")</f>
        <v>2023.022P.Polerovirus_47nsp.zip</v>
      </c>
    </row>
    <row r="15725" spans="1:21">
      <c r="A15725">
        <v>15724</v>
      </c>
      <c r="B15725" s="27" t="s">
        <v>1124</v>
      </c>
      <c r="D15725" s="27" t="s">
        <v>1859</v>
      </c>
      <c r="F15725" s="27" t="s">
        <v>1909</v>
      </c>
      <c r="H15725" s="27" t="s">
        <v>1912</v>
      </c>
      <c r="J15725" s="27" t="s">
        <v>1960</v>
      </c>
      <c r="L15725" s="27" t="s">
        <v>925</v>
      </c>
      <c r="N15725" s="27" t="s">
        <v>366</v>
      </c>
      <c r="P15725" s="27" t="s">
        <v>17500</v>
      </c>
      <c r="Q15725" s="26" t="str">
        <f>HYPERLINK("https://ictv.global/taxonomy/taxondetails?taxnode_id=202518657&amp;ictv_id=ICTV202318657","ICTV202318657")</f>
        <v>ICTV202318657</v>
      </c>
      <c r="R15725" t="s">
        <v>581</v>
      </c>
      <c r="S15725" t="s">
        <v>823</v>
      </c>
      <c r="T15725">
        <v>39</v>
      </c>
      <c r="U15725" s="26" t="str">
        <f>HYPERLINK("https://ictv.global/ictv/proposals/2023.022P.Polerovirus_47nsp.zip","2023.022P.Polerovirus_47nsp.zip")</f>
        <v>2023.022P.Polerovirus_47nsp.zip</v>
      </c>
    </row>
    <row r="15726" spans="1:21">
      <c r="A15726">
        <v>15725</v>
      </c>
      <c r="B15726" s="27" t="s">
        <v>1124</v>
      </c>
      <c r="D15726" s="27" t="s">
        <v>1859</v>
      </c>
      <c r="F15726" s="27" t="s">
        <v>1909</v>
      </c>
      <c r="H15726" s="27" t="s">
        <v>1912</v>
      </c>
      <c r="J15726" s="27" t="s">
        <v>1960</v>
      </c>
      <c r="L15726" s="27" t="s">
        <v>925</v>
      </c>
      <c r="N15726" s="27" t="s">
        <v>366</v>
      </c>
      <c r="P15726" s="27" t="s">
        <v>17501</v>
      </c>
      <c r="Q15726" s="26" t="str">
        <f>HYPERLINK("https://ictv.global/taxonomy/taxondetails?taxnode_id=202503788&amp;ictv_id=ICTV20021166","ICTV20021166")</f>
        <v>ICTV20021166</v>
      </c>
      <c r="R15726" t="s">
        <v>581</v>
      </c>
      <c r="S15726" t="s">
        <v>824</v>
      </c>
      <c r="T15726">
        <v>39</v>
      </c>
      <c r="U15726" s="26" t="str">
        <f>HYPERLINK("https://ictv.global/ictv/proposals/2023.019P.Solemoviridae_rename_sp.zip","2023.019P.Solemoviridae_rename_sp.zip")</f>
        <v>2023.019P.Solemoviridae_rename_sp.zip</v>
      </c>
    </row>
    <row r="15727" spans="1:21">
      <c r="A15727">
        <v>15726</v>
      </c>
      <c r="B15727" s="27" t="s">
        <v>1124</v>
      </c>
      <c r="D15727" s="27" t="s">
        <v>1859</v>
      </c>
      <c r="F15727" s="27" t="s">
        <v>1909</v>
      </c>
      <c r="H15727" s="27" t="s">
        <v>1912</v>
      </c>
      <c r="J15727" s="27" t="s">
        <v>1960</v>
      </c>
      <c r="L15727" s="27" t="s">
        <v>925</v>
      </c>
      <c r="N15727" s="27" t="s">
        <v>366</v>
      </c>
      <c r="P15727" s="27" t="s">
        <v>22003</v>
      </c>
      <c r="Q15727" s="26" t="str">
        <f>HYPERLINK("https://ictv.global/taxonomy/taxondetails?taxnode_id=202522809&amp;ictv_id=ICTV202522809","ICTV202522809")</f>
        <v>ICTV202522809</v>
      </c>
      <c r="R15727" t="s">
        <v>581</v>
      </c>
      <c r="S15727" t="s">
        <v>823</v>
      </c>
      <c r="T15727">
        <v>41</v>
      </c>
      <c r="U15727" s="26" t="str">
        <f>HYPERLINK("https://ictv.global/ictv/proposals/2025.022P.Solemoviridae_Polerovirus_17nsp.zip","2025.022P.Solemoviridae_Polerovirus_17nsp.zip")</f>
        <v>2025.022P.Solemoviridae_Polerovirus_17nsp.zip</v>
      </c>
    </row>
    <row r="15728" spans="1:21">
      <c r="A15728">
        <v>15727</v>
      </c>
      <c r="B15728" s="27" t="s">
        <v>1124</v>
      </c>
      <c r="D15728" s="27" t="s">
        <v>1859</v>
      </c>
      <c r="F15728" s="27" t="s">
        <v>1909</v>
      </c>
      <c r="H15728" s="27" t="s">
        <v>1912</v>
      </c>
      <c r="J15728" s="27" t="s">
        <v>1960</v>
      </c>
      <c r="L15728" s="27" t="s">
        <v>925</v>
      </c>
      <c r="N15728" s="27" t="s">
        <v>366</v>
      </c>
      <c r="P15728" s="27" t="s">
        <v>17502</v>
      </c>
      <c r="Q15728" s="26" t="str">
        <f>HYPERLINK("https://ictv.global/taxonomy/taxondetails?taxnode_id=202518656&amp;ictv_id=ICTV202318656","ICTV202318656")</f>
        <v>ICTV202318656</v>
      </c>
      <c r="R15728" t="s">
        <v>581</v>
      </c>
      <c r="S15728" t="s">
        <v>823</v>
      </c>
      <c r="T15728">
        <v>39</v>
      </c>
      <c r="U15728" s="26" t="str">
        <f>HYPERLINK("https://ictv.global/ictv/proposals/2023.022P.Polerovirus_47nsp.zip","2023.022P.Polerovirus_47nsp.zip")</f>
        <v>2023.022P.Polerovirus_47nsp.zip</v>
      </c>
    </row>
    <row r="15729" spans="1:21">
      <c r="A15729">
        <v>15728</v>
      </c>
      <c r="B15729" s="27" t="s">
        <v>1124</v>
      </c>
      <c r="D15729" s="27" t="s">
        <v>1859</v>
      </c>
      <c r="F15729" s="27" t="s">
        <v>1909</v>
      </c>
      <c r="H15729" s="27" t="s">
        <v>1912</v>
      </c>
      <c r="J15729" s="27" t="s">
        <v>1960</v>
      </c>
      <c r="L15729" s="27" t="s">
        <v>925</v>
      </c>
      <c r="N15729" s="27" t="s">
        <v>366</v>
      </c>
      <c r="P15729" s="27" t="s">
        <v>17503</v>
      </c>
      <c r="Q15729" s="26" t="str">
        <f>HYPERLINK("https://ictv.global/taxonomy/taxondetails?taxnode_id=202503797&amp;ictv_id=ICTV19981720","ICTV19981720")</f>
        <v>ICTV19981720</v>
      </c>
      <c r="R15729" t="s">
        <v>581</v>
      </c>
      <c r="S15729" t="s">
        <v>22764</v>
      </c>
      <c r="T15729">
        <v>39</v>
      </c>
      <c r="U15729" s="26" t="str">
        <f>HYPERLINK("https://ictv.global/ictv/proposals/2023.019P.Solemoviridae_rename_sp.zip","2023.019P.Solemoviridae_rename_sp.zip")</f>
        <v>2023.019P.Solemoviridae_rename_sp.zip</v>
      </c>
    </row>
    <row r="15730" spans="1:21">
      <c r="A15730">
        <v>15729</v>
      </c>
      <c r="B15730" s="27" t="s">
        <v>1124</v>
      </c>
      <c r="D15730" s="27" t="s">
        <v>1859</v>
      </c>
      <c r="F15730" s="27" t="s">
        <v>1909</v>
      </c>
      <c r="H15730" s="27" t="s">
        <v>1912</v>
      </c>
      <c r="J15730" s="27" t="s">
        <v>1960</v>
      </c>
      <c r="L15730" s="27" t="s">
        <v>925</v>
      </c>
      <c r="N15730" s="27" t="s">
        <v>366</v>
      </c>
      <c r="P15730" s="27" t="s">
        <v>22002</v>
      </c>
      <c r="Q15730" s="26" t="str">
        <f>HYPERLINK("https://ictv.global/taxonomy/taxondetails?taxnode_id=202522808&amp;ictv_id=ICTV202522808","ICTV202522808")</f>
        <v>ICTV202522808</v>
      </c>
      <c r="R15730" t="s">
        <v>581</v>
      </c>
      <c r="S15730" t="s">
        <v>823</v>
      </c>
      <c r="T15730">
        <v>41</v>
      </c>
      <c r="U15730" s="26" t="str">
        <f>HYPERLINK("https://ictv.global/ictv/proposals/2025.022P.Solemoviridae_Polerovirus_17nsp.zip","2025.022P.Solemoviridae_Polerovirus_17nsp.zip")</f>
        <v>2025.022P.Solemoviridae_Polerovirus_17nsp.zip</v>
      </c>
    </row>
    <row r="15731" spans="1:21">
      <c r="A15731">
        <v>15730</v>
      </c>
      <c r="B15731" s="27" t="s">
        <v>1124</v>
      </c>
      <c r="D15731" s="27" t="s">
        <v>1859</v>
      </c>
      <c r="F15731" s="27" t="s">
        <v>1909</v>
      </c>
      <c r="H15731" s="27" t="s">
        <v>1912</v>
      </c>
      <c r="J15731" s="27" t="s">
        <v>1960</v>
      </c>
      <c r="L15731" s="27" t="s">
        <v>925</v>
      </c>
      <c r="N15731" s="27" t="s">
        <v>366</v>
      </c>
      <c r="P15731" s="27" t="s">
        <v>17504</v>
      </c>
      <c r="Q15731" s="26" t="str">
        <f>HYPERLINK("https://ictv.global/taxonomy/taxondetails?taxnode_id=202518658&amp;ictv_id=ICTV202318658","ICTV202318658")</f>
        <v>ICTV202318658</v>
      </c>
      <c r="R15731" t="s">
        <v>581</v>
      </c>
      <c r="S15731" t="s">
        <v>823</v>
      </c>
      <c r="T15731">
        <v>39</v>
      </c>
      <c r="U15731" s="26" t="str">
        <f>HYPERLINK("https://ictv.global/ictv/proposals/2023.022P.Polerovirus_47nsp.zip","2023.022P.Polerovirus_47nsp.zip")</f>
        <v>2023.022P.Polerovirus_47nsp.zip</v>
      </c>
    </row>
    <row r="15732" spans="1:21">
      <c r="A15732">
        <v>15731</v>
      </c>
      <c r="B15732" s="27" t="s">
        <v>1124</v>
      </c>
      <c r="D15732" s="27" t="s">
        <v>1859</v>
      </c>
      <c r="F15732" s="27" t="s">
        <v>1909</v>
      </c>
      <c r="H15732" s="27" t="s">
        <v>1912</v>
      </c>
      <c r="J15732" s="27" t="s">
        <v>1960</v>
      </c>
      <c r="L15732" s="27" t="s">
        <v>925</v>
      </c>
      <c r="N15732" s="27" t="s">
        <v>366</v>
      </c>
      <c r="P15732" s="27" t="s">
        <v>17505</v>
      </c>
      <c r="Q15732" s="26" t="str">
        <f>HYPERLINK("https://ictv.global/taxonomy/taxondetails?taxnode_id=202518659&amp;ictv_id=ICTV202318659","ICTV202318659")</f>
        <v>ICTV202318659</v>
      </c>
      <c r="R15732" t="s">
        <v>581</v>
      </c>
      <c r="S15732" t="s">
        <v>823</v>
      </c>
      <c r="T15732">
        <v>39</v>
      </c>
      <c r="U15732" s="26" t="str">
        <f>HYPERLINK("https://ictv.global/ictv/proposals/2023.022P.Polerovirus_47nsp.zip","2023.022P.Polerovirus_47nsp.zip")</f>
        <v>2023.022P.Polerovirus_47nsp.zip</v>
      </c>
    </row>
    <row r="15733" spans="1:21">
      <c r="A15733">
        <v>15732</v>
      </c>
      <c r="B15733" s="27" t="s">
        <v>1124</v>
      </c>
      <c r="D15733" s="27" t="s">
        <v>1859</v>
      </c>
      <c r="F15733" s="27" t="s">
        <v>1909</v>
      </c>
      <c r="H15733" s="27" t="s">
        <v>1912</v>
      </c>
      <c r="J15733" s="27" t="s">
        <v>1960</v>
      </c>
      <c r="L15733" s="27" t="s">
        <v>925</v>
      </c>
      <c r="N15733" s="27" t="s">
        <v>366</v>
      </c>
      <c r="P15733" s="27" t="s">
        <v>17506</v>
      </c>
      <c r="Q15733" s="26" t="str">
        <f>HYPERLINK("https://ictv.global/taxonomy/taxondetails?taxnode_id=202518663&amp;ictv_id=ICTV202318663","ICTV202318663")</f>
        <v>ICTV202318663</v>
      </c>
      <c r="R15733" t="s">
        <v>581</v>
      </c>
      <c r="S15733" t="s">
        <v>823</v>
      </c>
      <c r="T15733">
        <v>39</v>
      </c>
      <c r="U15733" s="26" t="str">
        <f>HYPERLINK("https://ictv.global/ictv/proposals/2023.022P.Polerovirus_47nsp.zip","2023.022P.Polerovirus_47nsp.zip")</f>
        <v>2023.022P.Polerovirus_47nsp.zip</v>
      </c>
    </row>
    <row r="15734" spans="1:21">
      <c r="A15734">
        <v>15733</v>
      </c>
      <c r="B15734" s="27" t="s">
        <v>1124</v>
      </c>
      <c r="D15734" s="27" t="s">
        <v>1859</v>
      </c>
      <c r="F15734" s="27" t="s">
        <v>1909</v>
      </c>
      <c r="H15734" s="27" t="s">
        <v>1912</v>
      </c>
      <c r="J15734" s="27" t="s">
        <v>1960</v>
      </c>
      <c r="L15734" s="27" t="s">
        <v>925</v>
      </c>
      <c r="N15734" s="27" t="s">
        <v>366</v>
      </c>
      <c r="P15734" s="27" t="s">
        <v>17507</v>
      </c>
      <c r="Q15734" s="26" t="str">
        <f>HYPERLINK("https://ictv.global/taxonomy/taxondetails?taxnode_id=202518662&amp;ictv_id=ICTV202318662","ICTV202318662")</f>
        <v>ICTV202318662</v>
      </c>
      <c r="R15734" t="s">
        <v>581</v>
      </c>
      <c r="S15734" t="s">
        <v>823</v>
      </c>
      <c r="T15734">
        <v>39</v>
      </c>
      <c r="U15734" s="26" t="str">
        <f>HYPERLINK("https://ictv.global/ictv/proposals/2023.022P.Polerovirus_47nsp.zip","2023.022P.Polerovirus_47nsp.zip")</f>
        <v>2023.022P.Polerovirus_47nsp.zip</v>
      </c>
    </row>
    <row r="15735" spans="1:21">
      <c r="A15735">
        <v>15734</v>
      </c>
      <c r="B15735" s="27" t="s">
        <v>1124</v>
      </c>
      <c r="D15735" s="27" t="s">
        <v>1859</v>
      </c>
      <c r="F15735" s="27" t="s">
        <v>1909</v>
      </c>
      <c r="H15735" s="27" t="s">
        <v>1912</v>
      </c>
      <c r="J15735" s="27" t="s">
        <v>1960</v>
      </c>
      <c r="L15735" s="27" t="s">
        <v>925</v>
      </c>
      <c r="N15735" s="27" t="s">
        <v>366</v>
      </c>
      <c r="P15735" s="27" t="s">
        <v>17508</v>
      </c>
      <c r="Q15735" s="26" t="str">
        <f>HYPERLINK("https://ictv.global/taxonomy/taxondetails?taxnode_id=202503798&amp;ictv_id=ICTV19791026","ICTV19791026")</f>
        <v>ICTV19791026</v>
      </c>
      <c r="R15735" t="s">
        <v>581</v>
      </c>
      <c r="S15735" t="s">
        <v>22764</v>
      </c>
      <c r="T15735">
        <v>39</v>
      </c>
      <c r="U15735" s="26" t="str">
        <f>HYPERLINK("https://ictv.global/ictv/proposals/2023.019P.Solemoviridae_rename_sp.zip","2023.019P.Solemoviridae_rename_sp.zip")</f>
        <v>2023.019P.Solemoviridae_rename_sp.zip</v>
      </c>
    </row>
    <row r="15736" spans="1:21">
      <c r="A15736">
        <v>15735</v>
      </c>
      <c r="B15736" s="27" t="s">
        <v>1124</v>
      </c>
      <c r="D15736" s="27" t="s">
        <v>1859</v>
      </c>
      <c r="F15736" s="27" t="s">
        <v>1909</v>
      </c>
      <c r="H15736" s="27" t="s">
        <v>1912</v>
      </c>
      <c r="J15736" s="27" t="s">
        <v>1960</v>
      </c>
      <c r="L15736" s="27" t="s">
        <v>925</v>
      </c>
      <c r="N15736" s="27" t="s">
        <v>366</v>
      </c>
      <c r="P15736" s="27" t="s">
        <v>17509</v>
      </c>
      <c r="Q15736" s="26" t="str">
        <f>HYPERLINK("https://ictv.global/taxonomy/taxondetails?taxnode_id=202518660&amp;ictv_id=ICTV202318660","ICTV202318660")</f>
        <v>ICTV202318660</v>
      </c>
      <c r="R15736" t="s">
        <v>581</v>
      </c>
      <c r="S15736" t="s">
        <v>823</v>
      </c>
      <c r="T15736">
        <v>39</v>
      </c>
      <c r="U15736" s="26" t="str">
        <f>HYPERLINK("https://ictv.global/ictv/proposals/2023.022P.Polerovirus_47nsp.zip","2023.022P.Polerovirus_47nsp.zip")</f>
        <v>2023.022P.Polerovirus_47nsp.zip</v>
      </c>
    </row>
    <row r="15737" spans="1:21">
      <c r="A15737">
        <v>15736</v>
      </c>
      <c r="B15737" s="27" t="s">
        <v>1124</v>
      </c>
      <c r="D15737" s="27" t="s">
        <v>1859</v>
      </c>
      <c r="F15737" s="27" t="s">
        <v>1909</v>
      </c>
      <c r="H15737" s="27" t="s">
        <v>1912</v>
      </c>
      <c r="J15737" s="27" t="s">
        <v>1960</v>
      </c>
      <c r="L15737" s="27" t="s">
        <v>925</v>
      </c>
      <c r="N15737" s="27" t="s">
        <v>366</v>
      </c>
      <c r="P15737" s="27" t="s">
        <v>17510</v>
      </c>
      <c r="Q15737" s="26" t="str">
        <f>HYPERLINK("https://ictv.global/taxonomy/taxondetails?taxnode_id=202518661&amp;ictv_id=ICTV202318661","ICTV202318661")</f>
        <v>ICTV202318661</v>
      </c>
      <c r="R15737" t="s">
        <v>581</v>
      </c>
      <c r="S15737" t="s">
        <v>823</v>
      </c>
      <c r="T15737">
        <v>39</v>
      </c>
      <c r="U15737" s="26" t="str">
        <f>HYPERLINK("https://ictv.global/ictv/proposals/2023.022P.Polerovirus_47nsp.zip","2023.022P.Polerovirus_47nsp.zip")</f>
        <v>2023.022P.Polerovirus_47nsp.zip</v>
      </c>
    </row>
    <row r="15738" spans="1:21">
      <c r="A15738">
        <v>15737</v>
      </c>
      <c r="B15738" s="27" t="s">
        <v>1124</v>
      </c>
      <c r="D15738" s="27" t="s">
        <v>1859</v>
      </c>
      <c r="F15738" s="27" t="s">
        <v>1909</v>
      </c>
      <c r="H15738" s="27" t="s">
        <v>1912</v>
      </c>
      <c r="J15738" s="27" t="s">
        <v>1960</v>
      </c>
      <c r="L15738" s="27" t="s">
        <v>925</v>
      </c>
      <c r="N15738" s="27" t="s">
        <v>366</v>
      </c>
      <c r="P15738" s="27" t="s">
        <v>17511</v>
      </c>
      <c r="Q15738" s="26" t="str">
        <f>HYPERLINK("https://ictv.global/taxonomy/taxondetails?taxnode_id=202518664&amp;ictv_id=ICTV202318664","ICTV202318664")</f>
        <v>ICTV202318664</v>
      </c>
      <c r="R15738" t="s">
        <v>581</v>
      </c>
      <c r="S15738" t="s">
        <v>823</v>
      </c>
      <c r="T15738">
        <v>39</v>
      </c>
      <c r="U15738" s="26" t="str">
        <f>HYPERLINK("https://ictv.global/ictv/proposals/2023.022P.Polerovirus_47nsp.zip","2023.022P.Polerovirus_47nsp.zip")</f>
        <v>2023.022P.Polerovirus_47nsp.zip</v>
      </c>
    </row>
    <row r="15739" spans="1:21">
      <c r="A15739">
        <v>15738</v>
      </c>
      <c r="B15739" s="27" t="s">
        <v>1124</v>
      </c>
      <c r="D15739" s="27" t="s">
        <v>1859</v>
      </c>
      <c r="F15739" s="27" t="s">
        <v>1909</v>
      </c>
      <c r="H15739" s="27" t="s">
        <v>1912</v>
      </c>
      <c r="J15739" s="27" t="s">
        <v>1960</v>
      </c>
      <c r="L15739" s="27" t="s">
        <v>925</v>
      </c>
      <c r="N15739" s="27" t="s">
        <v>366</v>
      </c>
      <c r="P15739" s="27" t="s">
        <v>17512</v>
      </c>
      <c r="Q15739" s="26" t="str">
        <f>HYPERLINK("https://ictv.global/taxonomy/taxondetails?taxnode_id=202503790&amp;ictv_id=ICTV20026173","ICTV20026173")</f>
        <v>ICTV20026173</v>
      </c>
      <c r="R15739" t="s">
        <v>581</v>
      </c>
      <c r="S15739" t="s">
        <v>824</v>
      </c>
      <c r="T15739">
        <v>39</v>
      </c>
      <c r="U15739" s="26" t="str">
        <f>HYPERLINK("https://ictv.global/ictv/proposals/2023.019P.Solemoviridae_rename_sp.zip","2023.019P.Solemoviridae_rename_sp.zip")</f>
        <v>2023.019P.Solemoviridae_rename_sp.zip</v>
      </c>
    </row>
    <row r="15740" spans="1:21">
      <c r="A15740">
        <v>15739</v>
      </c>
      <c r="B15740" s="27" t="s">
        <v>1124</v>
      </c>
      <c r="D15740" s="27" t="s">
        <v>1859</v>
      </c>
      <c r="F15740" s="27" t="s">
        <v>1909</v>
      </c>
      <c r="H15740" s="27" t="s">
        <v>1912</v>
      </c>
      <c r="J15740" s="27" t="s">
        <v>1960</v>
      </c>
      <c r="L15740" s="27" t="s">
        <v>925</v>
      </c>
      <c r="N15740" s="27" t="s">
        <v>366</v>
      </c>
      <c r="P15740" s="27" t="s">
        <v>17513</v>
      </c>
      <c r="Q15740" s="26" t="str">
        <f>HYPERLINK("https://ictv.global/taxonomy/taxondetails?taxnode_id=202503789&amp;ictv_id=ICTV20073960","ICTV20073960")</f>
        <v>ICTV20073960</v>
      </c>
      <c r="R15740" t="s">
        <v>581</v>
      </c>
      <c r="S15740" t="s">
        <v>824</v>
      </c>
      <c r="T15740">
        <v>39</v>
      </c>
      <c r="U15740" s="26" t="str">
        <f>HYPERLINK("https://ictv.global/ictv/proposals/2023.019P.Solemoviridae_rename_sp.zip","2023.019P.Solemoviridae_rename_sp.zip")</f>
        <v>2023.019P.Solemoviridae_rename_sp.zip</v>
      </c>
    </row>
    <row r="15741" spans="1:21">
      <c r="A15741">
        <v>15740</v>
      </c>
      <c r="B15741" s="27" t="s">
        <v>1124</v>
      </c>
      <c r="D15741" s="27" t="s">
        <v>1859</v>
      </c>
      <c r="F15741" s="27" t="s">
        <v>1909</v>
      </c>
      <c r="H15741" s="27" t="s">
        <v>1912</v>
      </c>
      <c r="J15741" s="27" t="s">
        <v>1960</v>
      </c>
      <c r="L15741" s="27" t="s">
        <v>925</v>
      </c>
      <c r="N15741" s="27" t="s">
        <v>366</v>
      </c>
      <c r="P15741" s="27" t="s">
        <v>17514</v>
      </c>
      <c r="Q15741" s="26" t="str">
        <f>HYPERLINK("https://ictv.global/taxonomy/taxondetails?taxnode_id=202518665&amp;ictv_id=ICTV202318665","ICTV202318665")</f>
        <v>ICTV202318665</v>
      </c>
      <c r="R15741" t="s">
        <v>581</v>
      </c>
      <c r="S15741" t="s">
        <v>823</v>
      </c>
      <c r="T15741">
        <v>39</v>
      </c>
      <c r="U15741" s="26" t="str">
        <f>HYPERLINK("https://ictv.global/ictv/proposals/2023.022P.Polerovirus_47nsp.zip","2023.022P.Polerovirus_47nsp.zip")</f>
        <v>2023.022P.Polerovirus_47nsp.zip</v>
      </c>
    </row>
    <row r="15742" spans="1:21">
      <c r="A15742">
        <v>15741</v>
      </c>
      <c r="B15742" s="27" t="s">
        <v>1124</v>
      </c>
      <c r="D15742" s="27" t="s">
        <v>1859</v>
      </c>
      <c r="F15742" s="27" t="s">
        <v>1909</v>
      </c>
      <c r="H15742" s="27" t="s">
        <v>1912</v>
      </c>
      <c r="J15742" s="27" t="s">
        <v>1960</v>
      </c>
      <c r="L15742" s="27" t="s">
        <v>925</v>
      </c>
      <c r="N15742" s="27" t="s">
        <v>366</v>
      </c>
      <c r="P15742" s="27" t="s">
        <v>21996</v>
      </c>
      <c r="Q15742" s="26" t="str">
        <f>HYPERLINK("https://ictv.global/taxonomy/taxondetails?taxnode_id=202522802&amp;ictv_id=ICTV202522802","ICTV202522802")</f>
        <v>ICTV202522802</v>
      </c>
      <c r="R15742" t="s">
        <v>581</v>
      </c>
      <c r="S15742" t="s">
        <v>823</v>
      </c>
      <c r="T15742">
        <v>41</v>
      </c>
      <c r="U15742" s="26" t="str">
        <f>HYPERLINK("https://ictv.global/ictv/proposals/2025.022P.Solemoviridae_Polerovirus_17nsp.zip","2025.022P.Solemoviridae_Polerovirus_17nsp.zip")</f>
        <v>2025.022P.Solemoviridae_Polerovirus_17nsp.zip</v>
      </c>
    </row>
    <row r="15743" spans="1:21">
      <c r="A15743">
        <v>15742</v>
      </c>
      <c r="B15743" s="27" t="s">
        <v>1124</v>
      </c>
      <c r="D15743" s="27" t="s">
        <v>1859</v>
      </c>
      <c r="F15743" s="27" t="s">
        <v>1909</v>
      </c>
      <c r="H15743" s="27" t="s">
        <v>1912</v>
      </c>
      <c r="J15743" s="27" t="s">
        <v>1960</v>
      </c>
      <c r="L15743" s="27" t="s">
        <v>925</v>
      </c>
      <c r="N15743" s="27" t="s">
        <v>366</v>
      </c>
      <c r="P15743" s="27" t="s">
        <v>17515</v>
      </c>
      <c r="Q15743" s="26" t="str">
        <f>HYPERLINK("https://ictv.global/taxonomy/taxondetails?taxnode_id=202518667&amp;ictv_id=ICTV202318667","ICTV202318667")</f>
        <v>ICTV202318667</v>
      </c>
      <c r="R15743" t="s">
        <v>581</v>
      </c>
      <c r="S15743" t="s">
        <v>823</v>
      </c>
      <c r="T15743">
        <v>39</v>
      </c>
      <c r="U15743" s="26" t="str">
        <f>HYPERLINK("https://ictv.global/ictv/proposals/2023.022P.Polerovirus_47nsp.zip","2023.022P.Polerovirus_47nsp.zip")</f>
        <v>2023.022P.Polerovirus_47nsp.zip</v>
      </c>
    </row>
    <row r="15744" spans="1:21">
      <c r="A15744">
        <v>15743</v>
      </c>
      <c r="B15744" s="27" t="s">
        <v>1124</v>
      </c>
      <c r="D15744" s="27" t="s">
        <v>1859</v>
      </c>
      <c r="F15744" s="27" t="s">
        <v>1909</v>
      </c>
      <c r="H15744" s="27" t="s">
        <v>1912</v>
      </c>
      <c r="J15744" s="27" t="s">
        <v>1960</v>
      </c>
      <c r="L15744" s="27" t="s">
        <v>925</v>
      </c>
      <c r="N15744" s="27" t="s">
        <v>366</v>
      </c>
      <c r="P15744" s="27" t="s">
        <v>17516</v>
      </c>
      <c r="Q15744" s="26" t="str">
        <f>HYPERLINK("https://ictv.global/taxonomy/taxondetails?taxnode_id=202518666&amp;ictv_id=ICTV202318666","ICTV202318666")</f>
        <v>ICTV202318666</v>
      </c>
      <c r="R15744" t="s">
        <v>581</v>
      </c>
      <c r="S15744" t="s">
        <v>823</v>
      </c>
      <c r="T15744">
        <v>39</v>
      </c>
      <c r="U15744" s="26" t="str">
        <f>HYPERLINK("https://ictv.global/ictv/proposals/2023.022P.Polerovirus_47nsp.zip","2023.022P.Polerovirus_47nsp.zip")</f>
        <v>2023.022P.Polerovirus_47nsp.zip</v>
      </c>
    </row>
    <row r="15745" spans="1:21">
      <c r="A15745">
        <v>15744</v>
      </c>
      <c r="B15745" s="27" t="s">
        <v>1124</v>
      </c>
      <c r="D15745" s="27" t="s">
        <v>1859</v>
      </c>
      <c r="F15745" s="27" t="s">
        <v>1909</v>
      </c>
      <c r="H15745" s="27" t="s">
        <v>1912</v>
      </c>
      <c r="J15745" s="27" t="s">
        <v>1960</v>
      </c>
      <c r="L15745" s="27" t="s">
        <v>925</v>
      </c>
      <c r="N15745" s="27" t="s">
        <v>366</v>
      </c>
      <c r="P15745" s="27" t="s">
        <v>17517</v>
      </c>
      <c r="Q15745" s="26" t="str">
        <f>HYPERLINK("https://ictv.global/taxonomy/taxondetails?taxnode_id=202503792&amp;ictv_id=ICTV19991081","ICTV19991081")</f>
        <v>ICTV19991081</v>
      </c>
      <c r="R15745" t="s">
        <v>581</v>
      </c>
      <c r="S15745" t="s">
        <v>22764</v>
      </c>
      <c r="T15745">
        <v>39</v>
      </c>
      <c r="U15745" s="26" t="str">
        <f>HYPERLINK("https://ictv.global/ictv/proposals/2023.019P.Solemoviridae_rename_sp.zip","2023.019P.Solemoviridae_rename_sp.zip")</f>
        <v>2023.019P.Solemoviridae_rename_sp.zip</v>
      </c>
    </row>
    <row r="15746" spans="1:21">
      <c r="A15746">
        <v>15745</v>
      </c>
      <c r="B15746" s="27" t="s">
        <v>1124</v>
      </c>
      <c r="D15746" s="27" t="s">
        <v>1859</v>
      </c>
      <c r="F15746" s="27" t="s">
        <v>1909</v>
      </c>
      <c r="H15746" s="27" t="s">
        <v>1912</v>
      </c>
      <c r="J15746" s="27" t="s">
        <v>1960</v>
      </c>
      <c r="L15746" s="27" t="s">
        <v>925</v>
      </c>
      <c r="N15746" s="27" t="s">
        <v>366</v>
      </c>
      <c r="P15746" s="27" t="s">
        <v>17518</v>
      </c>
      <c r="Q15746" s="26" t="str">
        <f>HYPERLINK("https://ictv.global/taxonomy/taxondetails?taxnode_id=202518668&amp;ictv_id=ICTV202318668","ICTV202318668")</f>
        <v>ICTV202318668</v>
      </c>
      <c r="R15746" t="s">
        <v>581</v>
      </c>
      <c r="S15746" t="s">
        <v>823</v>
      </c>
      <c r="T15746">
        <v>39</v>
      </c>
      <c r="U15746" s="26" t="str">
        <f>HYPERLINK("https://ictv.global/ictv/proposals/2023.022P.Polerovirus_47nsp.zip","2023.022P.Polerovirus_47nsp.zip")</f>
        <v>2023.022P.Polerovirus_47nsp.zip</v>
      </c>
    </row>
    <row r="15747" spans="1:21">
      <c r="A15747">
        <v>15746</v>
      </c>
      <c r="B15747" s="27" t="s">
        <v>1124</v>
      </c>
      <c r="D15747" s="27" t="s">
        <v>1859</v>
      </c>
      <c r="F15747" s="27" t="s">
        <v>1909</v>
      </c>
      <c r="H15747" s="27" t="s">
        <v>1912</v>
      </c>
      <c r="J15747" s="27" t="s">
        <v>1960</v>
      </c>
      <c r="L15747" s="27" t="s">
        <v>925</v>
      </c>
      <c r="N15747" s="27" t="s">
        <v>241</v>
      </c>
      <c r="P15747" s="27" t="s">
        <v>17519</v>
      </c>
      <c r="Q15747" s="26" t="str">
        <f>HYPERLINK("https://ictv.global/taxonomy/taxondetails?taxnode_id=202505371&amp;ictv_id=ICTV20154531","ICTV20154531")</f>
        <v>ICTV20154531</v>
      </c>
      <c r="R15747" t="s">
        <v>581</v>
      </c>
      <c r="S15747" t="s">
        <v>824</v>
      </c>
      <c r="T15747">
        <v>39</v>
      </c>
      <c r="U15747" s="26" t="str">
        <f>HYPERLINK("https://ictv.global/ictv/proposals/2023.019P.Solemoviridae_rename_sp.zip","2023.019P.Solemoviridae_rename_sp.zip")</f>
        <v>2023.019P.Solemoviridae_rename_sp.zip</v>
      </c>
    </row>
    <row r="15748" spans="1:21">
      <c r="A15748">
        <v>15747</v>
      </c>
      <c r="B15748" s="27" t="s">
        <v>1124</v>
      </c>
      <c r="D15748" s="27" t="s">
        <v>1859</v>
      </c>
      <c r="F15748" s="27" t="s">
        <v>1909</v>
      </c>
      <c r="H15748" s="27" t="s">
        <v>1912</v>
      </c>
      <c r="J15748" s="27" t="s">
        <v>1960</v>
      </c>
      <c r="L15748" s="27" t="s">
        <v>925</v>
      </c>
      <c r="N15748" s="27" t="s">
        <v>241</v>
      </c>
      <c r="P15748" s="27" t="s">
        <v>17520</v>
      </c>
      <c r="Q15748" s="26" t="str">
        <f>HYPERLINK("https://ictv.global/taxonomy/taxondetails?taxnode_id=202505372&amp;ictv_id=ICTV19911828","ICTV19911828")</f>
        <v>ICTV19911828</v>
      </c>
      <c r="R15748" t="s">
        <v>581</v>
      </c>
      <c r="S15748" t="s">
        <v>824</v>
      </c>
      <c r="T15748">
        <v>39</v>
      </c>
      <c r="U15748" s="26" t="str">
        <f>HYPERLINK("https://ictv.global/ictv/proposals/2023.019P.Solemoviridae_rename_sp.zip","2023.019P.Solemoviridae_rename_sp.zip")</f>
        <v>2023.019P.Solemoviridae_rename_sp.zip</v>
      </c>
    </row>
    <row r="15749" spans="1:21">
      <c r="A15749">
        <v>15748</v>
      </c>
      <c r="B15749" s="27" t="s">
        <v>1124</v>
      </c>
      <c r="D15749" s="27" t="s">
        <v>1859</v>
      </c>
      <c r="F15749" s="27" t="s">
        <v>1909</v>
      </c>
      <c r="H15749" s="27" t="s">
        <v>1912</v>
      </c>
      <c r="J15749" s="27" t="s">
        <v>1960</v>
      </c>
      <c r="L15749" s="27" t="s">
        <v>925</v>
      </c>
      <c r="N15749" s="27" t="s">
        <v>241</v>
      </c>
      <c r="P15749" s="27" t="s">
        <v>20553</v>
      </c>
      <c r="Q15749" s="26" t="str">
        <f>HYPERLINK("https://ictv.global/taxonomy/taxondetails?taxnode_id=202505373&amp;ictv_id=ICTV19911829","ICTV19911829")</f>
        <v>ICTV19911829</v>
      </c>
      <c r="R15749" t="s">
        <v>581</v>
      </c>
      <c r="S15749" t="s">
        <v>824</v>
      </c>
      <c r="T15749">
        <v>40</v>
      </c>
      <c r="U15749" s="26" t="str">
        <f>HYPERLINK("https://ictv.global/ictv/proposals/2024.023P.Solemoviridae_rename_sp.zip","2024.023P.Solemoviridae_rename_sp.zip")</f>
        <v>2024.023P.Solemoviridae_rename_sp.zip</v>
      </c>
    </row>
    <row r="15750" spans="1:21">
      <c r="A15750">
        <v>15749</v>
      </c>
      <c r="B15750" s="27" t="s">
        <v>1124</v>
      </c>
      <c r="D15750" s="27" t="s">
        <v>1859</v>
      </c>
      <c r="F15750" s="27" t="s">
        <v>1909</v>
      </c>
      <c r="H15750" s="27" t="s">
        <v>1912</v>
      </c>
      <c r="J15750" s="27" t="s">
        <v>1960</v>
      </c>
      <c r="L15750" s="27" t="s">
        <v>925</v>
      </c>
      <c r="N15750" s="27" t="s">
        <v>241</v>
      </c>
      <c r="P15750" s="27" t="s">
        <v>17521</v>
      </c>
      <c r="Q15750" s="26" t="str">
        <f>HYPERLINK("https://ictv.global/taxonomy/taxondetails?taxnode_id=202518561&amp;ictv_id=ICTV202318561","ICTV202318561")</f>
        <v>ICTV202318561</v>
      </c>
      <c r="R15750" t="s">
        <v>581</v>
      </c>
      <c r="S15750" t="s">
        <v>823</v>
      </c>
      <c r="T15750">
        <v>39</v>
      </c>
      <c r="U15750" s="26" t="str">
        <f>HYPERLINK("https://ictv.global/ictv/proposals/2023.021P.Sobemovirus_5nsp.zip","2023.021P.Sobemovirus_5nsp.zip")</f>
        <v>2023.021P.Sobemovirus_5nsp.zip</v>
      </c>
    </row>
    <row r="15751" spans="1:21">
      <c r="A15751">
        <v>15750</v>
      </c>
      <c r="B15751" s="27" t="s">
        <v>1124</v>
      </c>
      <c r="D15751" s="27" t="s">
        <v>1859</v>
      </c>
      <c r="F15751" s="27" t="s">
        <v>1909</v>
      </c>
      <c r="H15751" s="27" t="s">
        <v>1912</v>
      </c>
      <c r="J15751" s="27" t="s">
        <v>1960</v>
      </c>
      <c r="L15751" s="27" t="s">
        <v>925</v>
      </c>
      <c r="N15751" s="27" t="s">
        <v>241</v>
      </c>
      <c r="P15751" s="27" t="s">
        <v>17522</v>
      </c>
      <c r="Q15751" s="26" t="str">
        <f>HYPERLINK("https://ictv.global/taxonomy/taxondetails?taxnode_id=202505374&amp;ictv_id=ICTV20154532","ICTV20154532")</f>
        <v>ICTV20154532</v>
      </c>
      <c r="R15751" t="s">
        <v>581</v>
      </c>
      <c r="S15751" t="s">
        <v>824</v>
      </c>
      <c r="T15751">
        <v>39</v>
      </c>
      <c r="U15751" s="26" t="str">
        <f>HYPERLINK("https://ictv.global/ictv/proposals/2023.019P.Solemoviridae_rename_sp.zip","2023.019P.Solemoviridae_rename_sp.zip")</f>
        <v>2023.019P.Solemoviridae_rename_sp.zip</v>
      </c>
    </row>
    <row r="15752" spans="1:21">
      <c r="A15752">
        <v>15751</v>
      </c>
      <c r="B15752" s="27" t="s">
        <v>1124</v>
      </c>
      <c r="D15752" s="27" t="s">
        <v>1859</v>
      </c>
      <c r="F15752" s="27" t="s">
        <v>1909</v>
      </c>
      <c r="H15752" s="27" t="s">
        <v>1912</v>
      </c>
      <c r="J15752" s="27" t="s">
        <v>1960</v>
      </c>
      <c r="L15752" s="27" t="s">
        <v>925</v>
      </c>
      <c r="N15752" s="27" t="s">
        <v>241</v>
      </c>
      <c r="P15752" s="27" t="s">
        <v>17523</v>
      </c>
      <c r="Q15752" s="26" t="str">
        <f>HYPERLINK("https://ictv.global/taxonomy/taxondetails?taxnode_id=202505375&amp;ictv_id=ICTV20115442","ICTV20115442")</f>
        <v>ICTV20115442</v>
      </c>
      <c r="R15752" t="s">
        <v>581</v>
      </c>
      <c r="S15752" t="s">
        <v>824</v>
      </c>
      <c r="T15752">
        <v>39</v>
      </c>
      <c r="U15752" s="26" t="str">
        <f>HYPERLINK("https://ictv.global/ictv/proposals/2023.019P.Solemoviridae_rename_sp.zip","2023.019P.Solemoviridae_rename_sp.zip")</f>
        <v>2023.019P.Solemoviridae_rename_sp.zip</v>
      </c>
    </row>
    <row r="15753" spans="1:21">
      <c r="A15753">
        <v>15752</v>
      </c>
      <c r="B15753" s="27" t="s">
        <v>1124</v>
      </c>
      <c r="D15753" s="27" t="s">
        <v>1859</v>
      </c>
      <c r="F15753" s="27" t="s">
        <v>1909</v>
      </c>
      <c r="H15753" s="27" t="s">
        <v>1912</v>
      </c>
      <c r="J15753" s="27" t="s">
        <v>1960</v>
      </c>
      <c r="L15753" s="27" t="s">
        <v>925</v>
      </c>
      <c r="N15753" s="27" t="s">
        <v>241</v>
      </c>
      <c r="P15753" s="27" t="s">
        <v>17524</v>
      </c>
      <c r="Q15753" s="26" t="str">
        <f>HYPERLINK("https://ictv.global/taxonomy/taxondetails?taxnode_id=202505376&amp;ictv_id=ICTV19911830","ICTV19911830")</f>
        <v>ICTV19911830</v>
      </c>
      <c r="R15753" t="s">
        <v>581</v>
      </c>
      <c r="S15753" t="s">
        <v>824</v>
      </c>
      <c r="T15753">
        <v>39</v>
      </c>
      <c r="U15753" s="26" t="str">
        <f>HYPERLINK("https://ictv.global/ictv/proposals/2023.019P.Solemoviridae_rename_sp.zip","2023.019P.Solemoviridae_rename_sp.zip")</f>
        <v>2023.019P.Solemoviridae_rename_sp.zip</v>
      </c>
    </row>
    <row r="15754" spans="1:21">
      <c r="A15754">
        <v>15753</v>
      </c>
      <c r="B15754" s="27" t="s">
        <v>1124</v>
      </c>
      <c r="D15754" s="27" t="s">
        <v>1859</v>
      </c>
      <c r="F15754" s="27" t="s">
        <v>1909</v>
      </c>
      <c r="H15754" s="27" t="s">
        <v>1912</v>
      </c>
      <c r="J15754" s="27" t="s">
        <v>1960</v>
      </c>
      <c r="L15754" s="27" t="s">
        <v>925</v>
      </c>
      <c r="N15754" s="27" t="s">
        <v>241</v>
      </c>
      <c r="P15754" s="27" t="s">
        <v>17525</v>
      </c>
      <c r="Q15754" s="26" t="str">
        <f>HYPERLINK("https://ictv.global/taxonomy/taxondetails?taxnode_id=202518562&amp;ictv_id=ICTV202318562","ICTV202318562")</f>
        <v>ICTV202318562</v>
      </c>
      <c r="R15754" t="s">
        <v>581</v>
      </c>
      <c r="S15754" t="s">
        <v>823</v>
      </c>
      <c r="T15754">
        <v>39</v>
      </c>
      <c r="U15754" s="26" t="str">
        <f>HYPERLINK("https://ictv.global/ictv/proposals/2023.021P.Sobemovirus_5nsp.zip","2023.021P.Sobemovirus_5nsp.zip")</f>
        <v>2023.021P.Sobemovirus_5nsp.zip</v>
      </c>
    </row>
    <row r="15755" spans="1:21">
      <c r="A15755">
        <v>15754</v>
      </c>
      <c r="B15755" s="27" t="s">
        <v>1124</v>
      </c>
      <c r="D15755" s="27" t="s">
        <v>1859</v>
      </c>
      <c r="F15755" s="27" t="s">
        <v>1909</v>
      </c>
      <c r="H15755" s="27" t="s">
        <v>1912</v>
      </c>
      <c r="J15755" s="27" t="s">
        <v>1960</v>
      </c>
      <c r="L15755" s="27" t="s">
        <v>925</v>
      </c>
      <c r="N15755" s="27" t="s">
        <v>241</v>
      </c>
      <c r="P15755" s="27" t="s">
        <v>21986</v>
      </c>
      <c r="Q15755" s="26" t="str">
        <f>HYPERLINK("https://ictv.global/taxonomy/taxondetails?taxnode_id=202522792&amp;ictv_id=ICTV202522792","ICTV202522792")</f>
        <v>ICTV202522792</v>
      </c>
      <c r="R15755" t="s">
        <v>581</v>
      </c>
      <c r="S15755" t="s">
        <v>823</v>
      </c>
      <c r="T15755">
        <v>41</v>
      </c>
      <c r="U15755" s="26" t="str">
        <f>HYPERLINK("https://ictv.global/ictv/proposals/2025.021P.Solemoviridae_Sobemovirus_1nsp.zip","2025.021P.Solemoviridae_Sobemovirus_1nsp.zip")</f>
        <v>2025.021P.Solemoviridae_Sobemovirus_1nsp.zip</v>
      </c>
    </row>
    <row r="15756" spans="1:21">
      <c r="A15756">
        <v>15755</v>
      </c>
      <c r="B15756" s="27" t="s">
        <v>1124</v>
      </c>
      <c r="D15756" s="27" t="s">
        <v>1859</v>
      </c>
      <c r="F15756" s="27" t="s">
        <v>1909</v>
      </c>
      <c r="H15756" s="27" t="s">
        <v>1912</v>
      </c>
      <c r="J15756" s="27" t="s">
        <v>1960</v>
      </c>
      <c r="L15756" s="27" t="s">
        <v>925</v>
      </c>
      <c r="N15756" s="27" t="s">
        <v>241</v>
      </c>
      <c r="P15756" s="27" t="s">
        <v>17526</v>
      </c>
      <c r="Q15756" s="26" t="str">
        <f>HYPERLINK("https://ictv.global/taxonomy/taxondetails?taxnode_id=202509704&amp;ictv_id=ICTV202009704","ICTV202009704")</f>
        <v>ICTV202009704</v>
      </c>
      <c r="R15756" t="s">
        <v>581</v>
      </c>
      <c r="S15756" t="s">
        <v>824</v>
      </c>
      <c r="T15756">
        <v>39</v>
      </c>
      <c r="U15756" s="26" t="str">
        <f>HYPERLINK("https://ictv.global/ictv/proposals/2023.019P.Solemoviridae_rename_sp.zip","2023.019P.Solemoviridae_rename_sp.zip")</f>
        <v>2023.019P.Solemoviridae_rename_sp.zip</v>
      </c>
    </row>
    <row r="15757" spans="1:21">
      <c r="A15757">
        <v>15756</v>
      </c>
      <c r="B15757" s="27" t="s">
        <v>1124</v>
      </c>
      <c r="D15757" s="27" t="s">
        <v>1859</v>
      </c>
      <c r="F15757" s="27" t="s">
        <v>1909</v>
      </c>
      <c r="H15757" s="27" t="s">
        <v>1912</v>
      </c>
      <c r="J15757" s="27" t="s">
        <v>1960</v>
      </c>
      <c r="L15757" s="27" t="s">
        <v>925</v>
      </c>
      <c r="N15757" s="27" t="s">
        <v>241</v>
      </c>
      <c r="P15757" s="27" t="s">
        <v>17527</v>
      </c>
      <c r="Q15757" s="26" t="str">
        <f>HYPERLINK("https://ictv.global/taxonomy/taxondetails?taxnode_id=202518563&amp;ictv_id=ICTV202318563","ICTV202318563")</f>
        <v>ICTV202318563</v>
      </c>
      <c r="R15757" t="s">
        <v>581</v>
      </c>
      <c r="S15757" t="s">
        <v>823</v>
      </c>
      <c r="T15757">
        <v>39</v>
      </c>
      <c r="U15757" s="26" t="str">
        <f>HYPERLINK("https://ictv.global/ictv/proposals/2023.021P.Sobemovirus_5nsp.zip","2023.021P.Sobemovirus_5nsp.zip")</f>
        <v>2023.021P.Sobemovirus_5nsp.zip</v>
      </c>
    </row>
    <row r="15758" spans="1:21">
      <c r="A15758">
        <v>15757</v>
      </c>
      <c r="B15758" s="27" t="s">
        <v>1124</v>
      </c>
      <c r="D15758" s="27" t="s">
        <v>1859</v>
      </c>
      <c r="F15758" s="27" t="s">
        <v>1909</v>
      </c>
      <c r="H15758" s="27" t="s">
        <v>1912</v>
      </c>
      <c r="J15758" s="27" t="s">
        <v>1960</v>
      </c>
      <c r="L15758" s="27" t="s">
        <v>925</v>
      </c>
      <c r="N15758" s="27" t="s">
        <v>241</v>
      </c>
      <c r="P15758" s="27" t="s">
        <v>17528</v>
      </c>
      <c r="Q15758" s="26" t="str">
        <f>HYPERLINK("https://ictv.global/taxonomy/taxondetails?taxnode_id=202518564&amp;ictv_id=ICTV202318564","ICTV202318564")</f>
        <v>ICTV202318564</v>
      </c>
      <c r="R15758" t="s">
        <v>581</v>
      </c>
      <c r="S15758" t="s">
        <v>823</v>
      </c>
      <c r="T15758">
        <v>39</v>
      </c>
      <c r="U15758" s="26" t="str">
        <f>HYPERLINK("https://ictv.global/ictv/proposals/2023.021P.Sobemovirus_5nsp.zip","2023.021P.Sobemovirus_5nsp.zip")</f>
        <v>2023.021P.Sobemovirus_5nsp.zip</v>
      </c>
    </row>
    <row r="15759" spans="1:21">
      <c r="A15759">
        <v>15758</v>
      </c>
      <c r="B15759" s="27" t="s">
        <v>1124</v>
      </c>
      <c r="D15759" s="27" t="s">
        <v>1859</v>
      </c>
      <c r="F15759" s="27" t="s">
        <v>1909</v>
      </c>
      <c r="H15759" s="27" t="s">
        <v>1912</v>
      </c>
      <c r="J15759" s="27" t="s">
        <v>1960</v>
      </c>
      <c r="L15759" s="27" t="s">
        <v>925</v>
      </c>
      <c r="N15759" s="27" t="s">
        <v>241</v>
      </c>
      <c r="P15759" s="27" t="s">
        <v>17529</v>
      </c>
      <c r="Q15759" s="26" t="str">
        <f>HYPERLINK("https://ictv.global/taxonomy/taxondetails?taxnode_id=202505377&amp;ictv_id=ICTV20154533","ICTV20154533")</f>
        <v>ICTV20154533</v>
      </c>
      <c r="R15759" t="s">
        <v>581</v>
      </c>
      <c r="S15759" t="s">
        <v>824</v>
      </c>
      <c r="T15759">
        <v>39</v>
      </c>
      <c r="U15759" s="26" t="str">
        <f t="shared" ref="U15759:U15766" si="586">HYPERLINK("https://ictv.global/ictv/proposals/2023.019P.Solemoviridae_rename_sp.zip","2023.019P.Solemoviridae_rename_sp.zip")</f>
        <v>2023.019P.Solemoviridae_rename_sp.zip</v>
      </c>
    </row>
    <row r="15760" spans="1:21">
      <c r="A15760">
        <v>15759</v>
      </c>
      <c r="B15760" s="27" t="s">
        <v>1124</v>
      </c>
      <c r="D15760" s="27" t="s">
        <v>1859</v>
      </c>
      <c r="F15760" s="27" t="s">
        <v>1909</v>
      </c>
      <c r="H15760" s="27" t="s">
        <v>1912</v>
      </c>
      <c r="J15760" s="27" t="s">
        <v>1960</v>
      </c>
      <c r="L15760" s="27" t="s">
        <v>925</v>
      </c>
      <c r="N15760" s="27" t="s">
        <v>241</v>
      </c>
      <c r="P15760" s="27" t="s">
        <v>17530</v>
      </c>
      <c r="Q15760" s="26" t="str">
        <f>HYPERLINK("https://ictv.global/taxonomy/taxondetails?taxnode_id=202505380&amp;ictv_id=ICTV20074856","ICTV20074856")</f>
        <v>ICTV20074856</v>
      </c>
      <c r="R15760" t="s">
        <v>581</v>
      </c>
      <c r="S15760" t="s">
        <v>824</v>
      </c>
      <c r="T15760">
        <v>39</v>
      </c>
      <c r="U15760" s="26" t="str">
        <f t="shared" si="586"/>
        <v>2023.019P.Solemoviridae_rename_sp.zip</v>
      </c>
    </row>
    <row r="15761" spans="1:21">
      <c r="A15761">
        <v>15760</v>
      </c>
      <c r="B15761" s="27" t="s">
        <v>1124</v>
      </c>
      <c r="D15761" s="27" t="s">
        <v>1859</v>
      </c>
      <c r="F15761" s="27" t="s">
        <v>1909</v>
      </c>
      <c r="H15761" s="27" t="s">
        <v>1912</v>
      </c>
      <c r="J15761" s="27" t="s">
        <v>1960</v>
      </c>
      <c r="L15761" s="27" t="s">
        <v>925</v>
      </c>
      <c r="N15761" s="27" t="s">
        <v>241</v>
      </c>
      <c r="P15761" s="27" t="s">
        <v>17531</v>
      </c>
      <c r="Q15761" s="26" t="str">
        <f>HYPERLINK("https://ictv.global/taxonomy/taxondetails?taxnode_id=202505379&amp;ictv_id=ICTV20154534","ICTV20154534")</f>
        <v>ICTV20154534</v>
      </c>
      <c r="R15761" t="s">
        <v>581</v>
      </c>
      <c r="S15761" t="s">
        <v>824</v>
      </c>
      <c r="T15761">
        <v>39</v>
      </c>
      <c r="U15761" s="26" t="str">
        <f t="shared" si="586"/>
        <v>2023.019P.Solemoviridae_rename_sp.zip</v>
      </c>
    </row>
    <row r="15762" spans="1:21">
      <c r="A15762">
        <v>15761</v>
      </c>
      <c r="B15762" s="27" t="s">
        <v>1124</v>
      </c>
      <c r="D15762" s="27" t="s">
        <v>1859</v>
      </c>
      <c r="F15762" s="27" t="s">
        <v>1909</v>
      </c>
      <c r="H15762" s="27" t="s">
        <v>1912</v>
      </c>
      <c r="J15762" s="27" t="s">
        <v>1960</v>
      </c>
      <c r="L15762" s="27" t="s">
        <v>925</v>
      </c>
      <c r="N15762" s="27" t="s">
        <v>241</v>
      </c>
      <c r="P15762" s="27" t="s">
        <v>17532</v>
      </c>
      <c r="Q15762" s="26" t="str">
        <f>HYPERLINK("https://ictv.global/taxonomy/taxondetails?taxnode_id=202505378&amp;ictv_id=ICTV19911831","ICTV19911831")</f>
        <v>ICTV19911831</v>
      </c>
      <c r="R15762" t="s">
        <v>581</v>
      </c>
      <c r="S15762" t="s">
        <v>824</v>
      </c>
      <c r="T15762">
        <v>39</v>
      </c>
      <c r="U15762" s="26" t="str">
        <f t="shared" si="586"/>
        <v>2023.019P.Solemoviridae_rename_sp.zip</v>
      </c>
    </row>
    <row r="15763" spans="1:21">
      <c r="A15763">
        <v>15762</v>
      </c>
      <c r="B15763" s="27" t="s">
        <v>1124</v>
      </c>
      <c r="D15763" s="27" t="s">
        <v>1859</v>
      </c>
      <c r="F15763" s="27" t="s">
        <v>1909</v>
      </c>
      <c r="H15763" s="27" t="s">
        <v>1912</v>
      </c>
      <c r="J15763" s="27" t="s">
        <v>1960</v>
      </c>
      <c r="L15763" s="27" t="s">
        <v>925</v>
      </c>
      <c r="N15763" s="27" t="s">
        <v>241</v>
      </c>
      <c r="P15763" s="27" t="s">
        <v>17533</v>
      </c>
      <c r="Q15763" s="26" t="str">
        <f>HYPERLINK("https://ictv.global/taxonomy/taxondetails?taxnode_id=202505383&amp;ictv_id=ICTV19780836","ICTV19780836")</f>
        <v>ICTV19780836</v>
      </c>
      <c r="R15763" t="s">
        <v>581</v>
      </c>
      <c r="S15763" t="s">
        <v>824</v>
      </c>
      <c r="T15763">
        <v>39</v>
      </c>
      <c r="U15763" s="26" t="str">
        <f t="shared" si="586"/>
        <v>2023.019P.Solemoviridae_rename_sp.zip</v>
      </c>
    </row>
    <row r="15764" spans="1:21">
      <c r="A15764">
        <v>15763</v>
      </c>
      <c r="B15764" s="27" t="s">
        <v>1124</v>
      </c>
      <c r="D15764" s="27" t="s">
        <v>1859</v>
      </c>
      <c r="F15764" s="27" t="s">
        <v>1909</v>
      </c>
      <c r="H15764" s="27" t="s">
        <v>1912</v>
      </c>
      <c r="J15764" s="27" t="s">
        <v>1960</v>
      </c>
      <c r="L15764" s="27" t="s">
        <v>925</v>
      </c>
      <c r="N15764" s="27" t="s">
        <v>241</v>
      </c>
      <c r="P15764" s="27" t="s">
        <v>17534</v>
      </c>
      <c r="Q15764" s="26" t="str">
        <f>HYPERLINK("https://ictv.global/taxonomy/taxondetails?taxnode_id=202505387&amp;ictv_id=ICTV19911835","ICTV19911835")</f>
        <v>ICTV19911835</v>
      </c>
      <c r="R15764" t="s">
        <v>581</v>
      </c>
      <c r="S15764" t="s">
        <v>824</v>
      </c>
      <c r="T15764">
        <v>39</v>
      </c>
      <c r="U15764" s="26" t="str">
        <f t="shared" si="586"/>
        <v>2023.019P.Solemoviridae_rename_sp.zip</v>
      </c>
    </row>
    <row r="15765" spans="1:21">
      <c r="A15765">
        <v>15764</v>
      </c>
      <c r="B15765" s="27" t="s">
        <v>1124</v>
      </c>
      <c r="D15765" s="27" t="s">
        <v>1859</v>
      </c>
      <c r="F15765" s="27" t="s">
        <v>1909</v>
      </c>
      <c r="H15765" s="27" t="s">
        <v>1912</v>
      </c>
      <c r="J15765" s="27" t="s">
        <v>1960</v>
      </c>
      <c r="L15765" s="27" t="s">
        <v>925</v>
      </c>
      <c r="N15765" s="27" t="s">
        <v>241</v>
      </c>
      <c r="P15765" s="27" t="s">
        <v>17535</v>
      </c>
      <c r="Q15765" s="26" t="str">
        <f>HYPERLINK("https://ictv.global/taxonomy/taxondetails?taxnode_id=202505384&amp;ictv_id=ICTV19982692","ICTV19982692")</f>
        <v>ICTV19982692</v>
      </c>
      <c r="R15765" t="s">
        <v>581</v>
      </c>
      <c r="S15765" t="s">
        <v>824</v>
      </c>
      <c r="T15765">
        <v>39</v>
      </c>
      <c r="U15765" s="26" t="str">
        <f t="shared" si="586"/>
        <v>2023.019P.Solemoviridae_rename_sp.zip</v>
      </c>
    </row>
    <row r="15766" spans="1:21">
      <c r="A15766">
        <v>15765</v>
      </c>
      <c r="B15766" s="27" t="s">
        <v>1124</v>
      </c>
      <c r="D15766" s="27" t="s">
        <v>1859</v>
      </c>
      <c r="F15766" s="27" t="s">
        <v>1909</v>
      </c>
      <c r="H15766" s="27" t="s">
        <v>1912</v>
      </c>
      <c r="J15766" s="27" t="s">
        <v>1960</v>
      </c>
      <c r="L15766" s="27" t="s">
        <v>925</v>
      </c>
      <c r="N15766" s="27" t="s">
        <v>241</v>
      </c>
      <c r="P15766" s="27" t="s">
        <v>17536</v>
      </c>
      <c r="Q15766" s="26" t="str">
        <f>HYPERLINK("https://ictv.global/taxonomy/taxondetails?taxnode_id=202505381&amp;ictv_id=ICTV20074857","ICTV20074857")</f>
        <v>ICTV20074857</v>
      </c>
      <c r="R15766" t="s">
        <v>581</v>
      </c>
      <c r="S15766" t="s">
        <v>824</v>
      </c>
      <c r="T15766">
        <v>39</v>
      </c>
      <c r="U15766" s="26" t="str">
        <f t="shared" si="586"/>
        <v>2023.019P.Solemoviridae_rename_sp.zip</v>
      </c>
    </row>
    <row r="15767" spans="1:21">
      <c r="A15767">
        <v>15766</v>
      </c>
      <c r="B15767" s="27" t="s">
        <v>1124</v>
      </c>
      <c r="D15767" s="27" t="s">
        <v>1859</v>
      </c>
      <c r="F15767" s="27" t="s">
        <v>1909</v>
      </c>
      <c r="H15767" s="27" t="s">
        <v>1912</v>
      </c>
      <c r="J15767" s="27" t="s">
        <v>1960</v>
      </c>
      <c r="L15767" s="27" t="s">
        <v>925</v>
      </c>
      <c r="N15767" s="27" t="s">
        <v>241</v>
      </c>
      <c r="P15767" s="27" t="s">
        <v>20554</v>
      </c>
      <c r="Q15767" s="26" t="str">
        <f>HYPERLINK("https://ictv.global/taxonomy/taxondetails?taxnode_id=202513863&amp;ictv_id=ICTV202113863","ICTV202113863")</f>
        <v>ICTV202113863</v>
      </c>
      <c r="R15767" t="s">
        <v>581</v>
      </c>
      <c r="S15767" t="s">
        <v>824</v>
      </c>
      <c r="T15767">
        <v>40</v>
      </c>
      <c r="U15767" s="26" t="str">
        <f>HYPERLINK("https://ictv.global/ictv/proposals/2024.023P.Solemoviridae_rename_sp.zip","2024.023P.Solemoviridae_rename_sp.zip")</f>
        <v>2024.023P.Solemoviridae_rename_sp.zip</v>
      </c>
    </row>
    <row r="15768" spans="1:21">
      <c r="A15768">
        <v>15767</v>
      </c>
      <c r="B15768" s="27" t="s">
        <v>1124</v>
      </c>
      <c r="D15768" s="27" t="s">
        <v>1859</v>
      </c>
      <c r="F15768" s="27" t="s">
        <v>1909</v>
      </c>
      <c r="H15768" s="27" t="s">
        <v>1912</v>
      </c>
      <c r="J15768" s="27" t="s">
        <v>1960</v>
      </c>
      <c r="L15768" s="27" t="s">
        <v>925</v>
      </c>
      <c r="N15768" s="27" t="s">
        <v>241</v>
      </c>
      <c r="P15768" s="27" t="s">
        <v>17537</v>
      </c>
      <c r="Q15768" s="26" t="str">
        <f>HYPERLINK("https://ictv.global/taxonomy/taxondetails?taxnode_id=202505382&amp;ictv_id=ICTV19911832","ICTV19911832")</f>
        <v>ICTV19911832</v>
      </c>
      <c r="R15768" t="s">
        <v>581</v>
      </c>
      <c r="S15768" t="s">
        <v>824</v>
      </c>
      <c r="T15768">
        <v>39</v>
      </c>
      <c r="U15768" s="26" t="str">
        <f>HYPERLINK("https://ictv.global/ictv/proposals/2023.019P.Solemoviridae_rename_sp.zip","2023.019P.Solemoviridae_rename_sp.zip")</f>
        <v>2023.019P.Solemoviridae_rename_sp.zip</v>
      </c>
    </row>
    <row r="15769" spans="1:21">
      <c r="A15769">
        <v>15768</v>
      </c>
      <c r="B15769" s="27" t="s">
        <v>1124</v>
      </c>
      <c r="D15769" s="27" t="s">
        <v>1859</v>
      </c>
      <c r="F15769" s="27" t="s">
        <v>1909</v>
      </c>
      <c r="H15769" s="27" t="s">
        <v>1912</v>
      </c>
      <c r="J15769" s="27" t="s">
        <v>1960</v>
      </c>
      <c r="L15769" s="27" t="s">
        <v>925</v>
      </c>
      <c r="N15769" s="27" t="s">
        <v>241</v>
      </c>
      <c r="P15769" s="27" t="s">
        <v>17538</v>
      </c>
      <c r="Q15769" s="26" t="str">
        <f>HYPERLINK("https://ictv.global/taxonomy/taxondetails?taxnode_id=202505385&amp;ictv_id=ICTV19911834","ICTV19911834")</f>
        <v>ICTV19911834</v>
      </c>
      <c r="R15769" t="s">
        <v>581</v>
      </c>
      <c r="S15769" t="s">
        <v>824</v>
      </c>
      <c r="T15769">
        <v>39</v>
      </c>
      <c r="U15769" s="26" t="str">
        <f>HYPERLINK("https://ictv.global/ictv/proposals/2023.019P.Solemoviridae_rename_sp.zip","2023.019P.Solemoviridae_rename_sp.zip")</f>
        <v>2023.019P.Solemoviridae_rename_sp.zip</v>
      </c>
    </row>
    <row r="15770" spans="1:21">
      <c r="A15770">
        <v>15769</v>
      </c>
      <c r="B15770" s="27" t="s">
        <v>1124</v>
      </c>
      <c r="D15770" s="27" t="s">
        <v>1859</v>
      </c>
      <c r="F15770" s="27" t="s">
        <v>1909</v>
      </c>
      <c r="H15770" s="27" t="s">
        <v>1912</v>
      </c>
      <c r="J15770" s="27" t="s">
        <v>1960</v>
      </c>
      <c r="L15770" s="27" t="s">
        <v>925</v>
      </c>
      <c r="N15770" s="27" t="s">
        <v>241</v>
      </c>
      <c r="P15770" s="27" t="s">
        <v>17539</v>
      </c>
      <c r="Q15770" s="26" t="str">
        <f>HYPERLINK("https://ictv.global/taxonomy/taxondetails?taxnode_id=202505386&amp;ictv_id=ICTV20154535","ICTV20154535")</f>
        <v>ICTV20154535</v>
      </c>
      <c r="R15770" t="s">
        <v>581</v>
      </c>
      <c r="S15770" t="s">
        <v>824</v>
      </c>
      <c r="T15770">
        <v>39</v>
      </c>
      <c r="U15770" s="26" t="str">
        <f>HYPERLINK("https://ictv.global/ictv/proposals/2023.019P.Solemoviridae_rename_sp.zip","2023.019P.Solemoviridae_rename_sp.zip")</f>
        <v>2023.019P.Solemoviridae_rename_sp.zip</v>
      </c>
    </row>
    <row r="15771" spans="1:21">
      <c r="A15771">
        <v>15770</v>
      </c>
      <c r="B15771" s="27" t="s">
        <v>1124</v>
      </c>
      <c r="D15771" s="27" t="s">
        <v>1859</v>
      </c>
      <c r="F15771" s="27" t="s">
        <v>1909</v>
      </c>
      <c r="H15771" s="27" t="s">
        <v>1912</v>
      </c>
      <c r="J15771" s="27" t="s">
        <v>1960</v>
      </c>
      <c r="L15771" s="27" t="s">
        <v>925</v>
      </c>
      <c r="N15771" s="27" t="s">
        <v>241</v>
      </c>
      <c r="P15771" s="27" t="s">
        <v>17540</v>
      </c>
      <c r="Q15771" s="26" t="str">
        <f>HYPERLINK("https://ictv.global/taxonomy/taxondetails?taxnode_id=202505388&amp;ictv_id=ICTV19821341","ICTV19821341")</f>
        <v>ICTV19821341</v>
      </c>
      <c r="R15771" t="s">
        <v>581</v>
      </c>
      <c r="S15771" t="s">
        <v>824</v>
      </c>
      <c r="T15771">
        <v>39</v>
      </c>
      <c r="U15771" s="26" t="str">
        <f>HYPERLINK("https://ictv.global/ictv/proposals/2023.019P.Solemoviridae_rename_sp.zip","2023.019P.Solemoviridae_rename_sp.zip")</f>
        <v>2023.019P.Solemoviridae_rename_sp.zip</v>
      </c>
    </row>
    <row r="15772" spans="1:21">
      <c r="A15772">
        <v>15771</v>
      </c>
      <c r="B15772" s="27" t="s">
        <v>1124</v>
      </c>
      <c r="D15772" s="27" t="s">
        <v>1859</v>
      </c>
      <c r="F15772" s="27" t="s">
        <v>1909</v>
      </c>
      <c r="H15772" s="27" t="s">
        <v>1912</v>
      </c>
      <c r="J15772" s="27" t="s">
        <v>1960</v>
      </c>
      <c r="L15772" s="27" t="s">
        <v>925</v>
      </c>
      <c r="N15772" s="27" t="s">
        <v>241</v>
      </c>
      <c r="P15772" s="27" t="s">
        <v>17541</v>
      </c>
      <c r="Q15772" s="26" t="str">
        <f>HYPERLINK("https://ictv.global/taxonomy/taxondetails?taxnode_id=202505389&amp;ictv_id=ICTV19911837","ICTV19911837")</f>
        <v>ICTV19911837</v>
      </c>
      <c r="R15772" t="s">
        <v>581</v>
      </c>
      <c r="S15772" t="s">
        <v>824</v>
      </c>
      <c r="T15772">
        <v>39</v>
      </c>
      <c r="U15772" s="26" t="str">
        <f>HYPERLINK("https://ictv.global/ictv/proposals/2023.019P.Solemoviridae_rename_sp.zip","2023.019P.Solemoviridae_rename_sp.zip")</f>
        <v>2023.019P.Solemoviridae_rename_sp.zip</v>
      </c>
    </row>
    <row r="15773" spans="1:21">
      <c r="A15773">
        <v>15772</v>
      </c>
      <c r="B15773" s="27" t="s">
        <v>1124</v>
      </c>
      <c r="D15773" s="27" t="s">
        <v>1859</v>
      </c>
      <c r="F15773" s="27" t="s">
        <v>1909</v>
      </c>
      <c r="H15773" s="27" t="s">
        <v>1912</v>
      </c>
      <c r="J15773" s="27" t="s">
        <v>1960</v>
      </c>
      <c r="L15773" s="27" t="s">
        <v>925</v>
      </c>
      <c r="N15773" s="27" t="s">
        <v>241</v>
      </c>
      <c r="P15773" s="27" t="s">
        <v>17542</v>
      </c>
      <c r="Q15773" s="26" t="str">
        <f>HYPERLINK("https://ictv.global/taxonomy/taxondetails?taxnode_id=202518565&amp;ictv_id=ICTV202318565","ICTV202318565")</f>
        <v>ICTV202318565</v>
      </c>
      <c r="R15773" t="s">
        <v>581</v>
      </c>
      <c r="S15773" t="s">
        <v>823</v>
      </c>
      <c r="T15773">
        <v>39</v>
      </c>
      <c r="U15773" s="26" t="str">
        <f>HYPERLINK("https://ictv.global/ictv/proposals/2023.021P.Sobemovirus_5nsp.zip","2023.021P.Sobemovirus_5nsp.zip")</f>
        <v>2023.021P.Sobemovirus_5nsp.zip</v>
      </c>
    </row>
    <row r="15774" spans="1:21">
      <c r="A15774">
        <v>15773</v>
      </c>
      <c r="B15774" s="27" t="s">
        <v>1124</v>
      </c>
      <c r="D15774" s="27" t="s">
        <v>1859</v>
      </c>
      <c r="F15774" s="27" t="s">
        <v>1909</v>
      </c>
      <c r="H15774" s="27" t="s">
        <v>1961</v>
      </c>
      <c r="J15774" s="27" t="s">
        <v>20806</v>
      </c>
      <c r="L15774" s="27" t="s">
        <v>10392</v>
      </c>
      <c r="N15774" s="27" t="s">
        <v>10393</v>
      </c>
      <c r="P15774" s="27" t="s">
        <v>10394</v>
      </c>
      <c r="Q15774" s="26" t="str">
        <f>HYPERLINK("https://ictv.global/taxonomy/taxondetails?taxnode_id=202513713&amp;ictv_id=ICTV202113713","ICTV202113713")</f>
        <v>ICTV202113713</v>
      </c>
      <c r="R15774" t="s">
        <v>581</v>
      </c>
      <c r="S15774" t="s">
        <v>22763</v>
      </c>
      <c r="T15774">
        <v>41</v>
      </c>
      <c r="U15774" s="26" t="str">
        <f t="shared" ref="U15774:U15805" si="587">HYPERLINK("https://ictv.global/ictv/proposals/2025.012F.Hypofuvirales_neworder.zip","2025.012F.Hypofuvirales_neworder.zip")</f>
        <v>2025.012F.Hypofuvirales_neworder.zip</v>
      </c>
    </row>
    <row r="15775" spans="1:21">
      <c r="A15775">
        <v>15774</v>
      </c>
      <c r="B15775" s="27" t="s">
        <v>1124</v>
      </c>
      <c r="D15775" s="27" t="s">
        <v>1859</v>
      </c>
      <c r="F15775" s="27" t="s">
        <v>1909</v>
      </c>
      <c r="H15775" s="27" t="s">
        <v>1961</v>
      </c>
      <c r="J15775" s="27" t="s">
        <v>20806</v>
      </c>
      <c r="L15775" s="27" t="s">
        <v>10392</v>
      </c>
      <c r="N15775" s="27" t="s">
        <v>10393</v>
      </c>
      <c r="P15775" s="27" t="s">
        <v>21649</v>
      </c>
      <c r="Q15775" s="26" t="str">
        <f>HYPERLINK("https://ictv.global/taxonomy/taxondetails?taxnode_id=202522504&amp;ictv_id=ICTV202522504","ICTV202522504")</f>
        <v>ICTV202522504</v>
      </c>
      <c r="R15775" t="s">
        <v>581</v>
      </c>
      <c r="S15775" t="s">
        <v>823</v>
      </c>
      <c r="T15775">
        <v>41</v>
      </c>
      <c r="U15775" s="26" t="str">
        <f t="shared" si="587"/>
        <v>2025.012F.Hypofuvirales_neworder.zip</v>
      </c>
    </row>
    <row r="15776" spans="1:21">
      <c r="A15776">
        <v>15775</v>
      </c>
      <c r="B15776" s="27" t="s">
        <v>1124</v>
      </c>
      <c r="D15776" s="27" t="s">
        <v>1859</v>
      </c>
      <c r="F15776" s="27" t="s">
        <v>1909</v>
      </c>
      <c r="H15776" s="27" t="s">
        <v>1961</v>
      </c>
      <c r="J15776" s="27" t="s">
        <v>20806</v>
      </c>
      <c r="L15776" s="27" t="s">
        <v>10392</v>
      </c>
      <c r="N15776" s="27" t="s">
        <v>10393</v>
      </c>
      <c r="P15776" s="27" t="s">
        <v>10395</v>
      </c>
      <c r="Q15776" s="26" t="str">
        <f>HYPERLINK("https://ictv.global/taxonomy/taxondetails?taxnode_id=202513715&amp;ictv_id=ICTV202113715","ICTV202113715")</f>
        <v>ICTV202113715</v>
      </c>
      <c r="R15776" t="s">
        <v>581</v>
      </c>
      <c r="S15776" t="s">
        <v>22763</v>
      </c>
      <c r="T15776">
        <v>41</v>
      </c>
      <c r="U15776" s="26" t="str">
        <f t="shared" si="587"/>
        <v>2025.012F.Hypofuvirales_neworder.zip</v>
      </c>
    </row>
    <row r="15777" spans="1:21">
      <c r="A15777">
        <v>15776</v>
      </c>
      <c r="B15777" s="27" t="s">
        <v>1124</v>
      </c>
      <c r="D15777" s="27" t="s">
        <v>1859</v>
      </c>
      <c r="F15777" s="27" t="s">
        <v>1909</v>
      </c>
      <c r="H15777" s="27" t="s">
        <v>1961</v>
      </c>
      <c r="J15777" s="27" t="s">
        <v>20806</v>
      </c>
      <c r="L15777" s="27" t="s">
        <v>10392</v>
      </c>
      <c r="N15777" s="27" t="s">
        <v>10393</v>
      </c>
      <c r="P15777" s="27" t="s">
        <v>10396</v>
      </c>
      <c r="Q15777" s="26" t="str">
        <f>HYPERLINK("https://ictv.global/taxonomy/taxondetails?taxnode_id=202513716&amp;ictv_id=ICTV202113716","ICTV202113716")</f>
        <v>ICTV202113716</v>
      </c>
      <c r="R15777" t="s">
        <v>581</v>
      </c>
      <c r="S15777" t="s">
        <v>22763</v>
      </c>
      <c r="T15777">
        <v>41</v>
      </c>
      <c r="U15777" s="26" t="str">
        <f t="shared" si="587"/>
        <v>2025.012F.Hypofuvirales_neworder.zip</v>
      </c>
    </row>
    <row r="15778" spans="1:21">
      <c r="A15778">
        <v>15777</v>
      </c>
      <c r="B15778" s="27" t="s">
        <v>1124</v>
      </c>
      <c r="D15778" s="27" t="s">
        <v>1859</v>
      </c>
      <c r="F15778" s="27" t="s">
        <v>1909</v>
      </c>
      <c r="H15778" s="27" t="s">
        <v>1961</v>
      </c>
      <c r="J15778" s="27" t="s">
        <v>20806</v>
      </c>
      <c r="L15778" s="27" t="s">
        <v>10392</v>
      </c>
      <c r="N15778" s="27" t="s">
        <v>10393</v>
      </c>
      <c r="P15778" s="27" t="s">
        <v>21657</v>
      </c>
      <c r="Q15778" s="26" t="str">
        <f>HYPERLINK("https://ictv.global/taxonomy/taxondetails?taxnode_id=202522512&amp;ictv_id=ICTV202522512","ICTV202522512")</f>
        <v>ICTV202522512</v>
      </c>
      <c r="R15778" t="s">
        <v>581</v>
      </c>
      <c r="S15778" t="s">
        <v>823</v>
      </c>
      <c r="T15778">
        <v>41</v>
      </c>
      <c r="U15778" s="26" t="str">
        <f t="shared" si="587"/>
        <v>2025.012F.Hypofuvirales_neworder.zip</v>
      </c>
    </row>
    <row r="15779" spans="1:21">
      <c r="A15779">
        <v>15778</v>
      </c>
      <c r="B15779" s="27" t="s">
        <v>1124</v>
      </c>
      <c r="D15779" s="27" t="s">
        <v>1859</v>
      </c>
      <c r="F15779" s="27" t="s">
        <v>1909</v>
      </c>
      <c r="H15779" s="27" t="s">
        <v>1961</v>
      </c>
      <c r="J15779" s="27" t="s">
        <v>20806</v>
      </c>
      <c r="L15779" s="27" t="s">
        <v>10392</v>
      </c>
      <c r="N15779" s="27" t="s">
        <v>10393</v>
      </c>
      <c r="P15779" s="27" t="s">
        <v>21650</v>
      </c>
      <c r="Q15779" s="26" t="str">
        <f>HYPERLINK("https://ictv.global/taxonomy/taxondetails?taxnode_id=202522505&amp;ictv_id=ICTV202522505","ICTV202522505")</f>
        <v>ICTV202522505</v>
      </c>
      <c r="R15779" t="s">
        <v>581</v>
      </c>
      <c r="S15779" t="s">
        <v>823</v>
      </c>
      <c r="T15779">
        <v>41</v>
      </c>
      <c r="U15779" s="26" t="str">
        <f t="shared" si="587"/>
        <v>2025.012F.Hypofuvirales_neworder.zip</v>
      </c>
    </row>
    <row r="15780" spans="1:21">
      <c r="A15780">
        <v>15779</v>
      </c>
      <c r="B15780" s="27" t="s">
        <v>1124</v>
      </c>
      <c r="D15780" s="27" t="s">
        <v>1859</v>
      </c>
      <c r="F15780" s="27" t="s">
        <v>1909</v>
      </c>
      <c r="H15780" s="27" t="s">
        <v>1961</v>
      </c>
      <c r="J15780" s="27" t="s">
        <v>20806</v>
      </c>
      <c r="L15780" s="27" t="s">
        <v>10392</v>
      </c>
      <c r="N15780" s="27" t="s">
        <v>10393</v>
      </c>
      <c r="P15780" s="27" t="s">
        <v>10397</v>
      </c>
      <c r="Q15780" s="26" t="str">
        <f>HYPERLINK("https://ictv.global/taxonomy/taxondetails?taxnode_id=202513717&amp;ictv_id=ICTV202113717","ICTV202113717")</f>
        <v>ICTV202113717</v>
      </c>
      <c r="R15780" t="s">
        <v>581</v>
      </c>
      <c r="S15780" t="s">
        <v>22763</v>
      </c>
      <c r="T15780">
        <v>41</v>
      </c>
      <c r="U15780" s="26" t="str">
        <f t="shared" si="587"/>
        <v>2025.012F.Hypofuvirales_neworder.zip</v>
      </c>
    </row>
    <row r="15781" spans="1:21">
      <c r="A15781">
        <v>15780</v>
      </c>
      <c r="B15781" s="27" t="s">
        <v>1124</v>
      </c>
      <c r="D15781" s="27" t="s">
        <v>1859</v>
      </c>
      <c r="F15781" s="27" t="s">
        <v>1909</v>
      </c>
      <c r="H15781" s="27" t="s">
        <v>1961</v>
      </c>
      <c r="J15781" s="27" t="s">
        <v>20806</v>
      </c>
      <c r="L15781" s="27" t="s">
        <v>10392</v>
      </c>
      <c r="N15781" s="27" t="s">
        <v>10393</v>
      </c>
      <c r="P15781" s="27" t="s">
        <v>10398</v>
      </c>
      <c r="Q15781" s="26" t="str">
        <f>HYPERLINK("https://ictv.global/taxonomy/taxondetails?taxnode_id=202513718&amp;ictv_id=ICTV202113718","ICTV202113718")</f>
        <v>ICTV202113718</v>
      </c>
      <c r="R15781" t="s">
        <v>581</v>
      </c>
      <c r="S15781" t="s">
        <v>22763</v>
      </c>
      <c r="T15781">
        <v>41</v>
      </c>
      <c r="U15781" s="26" t="str">
        <f t="shared" si="587"/>
        <v>2025.012F.Hypofuvirales_neworder.zip</v>
      </c>
    </row>
    <row r="15782" spans="1:21">
      <c r="A15782">
        <v>15781</v>
      </c>
      <c r="B15782" s="27" t="s">
        <v>1124</v>
      </c>
      <c r="D15782" s="27" t="s">
        <v>1859</v>
      </c>
      <c r="F15782" s="27" t="s">
        <v>1909</v>
      </c>
      <c r="H15782" s="27" t="s">
        <v>1961</v>
      </c>
      <c r="J15782" s="27" t="s">
        <v>20806</v>
      </c>
      <c r="L15782" s="27" t="s">
        <v>10392</v>
      </c>
      <c r="N15782" s="27" t="s">
        <v>10393</v>
      </c>
      <c r="P15782" s="27" t="s">
        <v>21651</v>
      </c>
      <c r="Q15782" s="26" t="str">
        <f>HYPERLINK("https://ictv.global/taxonomy/taxondetails?taxnode_id=202522506&amp;ictv_id=ICTV202522506","ICTV202522506")</f>
        <v>ICTV202522506</v>
      </c>
      <c r="R15782" t="s">
        <v>581</v>
      </c>
      <c r="S15782" t="s">
        <v>823</v>
      </c>
      <c r="T15782">
        <v>41</v>
      </c>
      <c r="U15782" s="26" t="str">
        <f t="shared" si="587"/>
        <v>2025.012F.Hypofuvirales_neworder.zip</v>
      </c>
    </row>
    <row r="15783" spans="1:21">
      <c r="A15783">
        <v>15782</v>
      </c>
      <c r="B15783" s="27" t="s">
        <v>1124</v>
      </c>
      <c r="D15783" s="27" t="s">
        <v>1859</v>
      </c>
      <c r="F15783" s="27" t="s">
        <v>1909</v>
      </c>
      <c r="H15783" s="27" t="s">
        <v>1961</v>
      </c>
      <c r="J15783" s="27" t="s">
        <v>20806</v>
      </c>
      <c r="L15783" s="27" t="s">
        <v>10392</v>
      </c>
      <c r="N15783" s="27" t="s">
        <v>10393</v>
      </c>
      <c r="P15783" s="27" t="s">
        <v>10399</v>
      </c>
      <c r="Q15783" s="26" t="str">
        <f>HYPERLINK("https://ictv.global/taxonomy/taxondetails?taxnode_id=202513719&amp;ictv_id=ICTV202113719","ICTV202113719")</f>
        <v>ICTV202113719</v>
      </c>
      <c r="R15783" t="s">
        <v>581</v>
      </c>
      <c r="S15783" t="s">
        <v>22763</v>
      </c>
      <c r="T15783">
        <v>41</v>
      </c>
      <c r="U15783" s="26" t="str">
        <f t="shared" si="587"/>
        <v>2025.012F.Hypofuvirales_neworder.zip</v>
      </c>
    </row>
    <row r="15784" spans="1:21">
      <c r="A15784">
        <v>15783</v>
      </c>
      <c r="B15784" s="27" t="s">
        <v>1124</v>
      </c>
      <c r="D15784" s="27" t="s">
        <v>1859</v>
      </c>
      <c r="F15784" s="27" t="s">
        <v>1909</v>
      </c>
      <c r="H15784" s="27" t="s">
        <v>1961</v>
      </c>
      <c r="J15784" s="27" t="s">
        <v>20806</v>
      </c>
      <c r="L15784" s="27" t="s">
        <v>10392</v>
      </c>
      <c r="N15784" s="27" t="s">
        <v>10393</v>
      </c>
      <c r="P15784" s="27" t="s">
        <v>21656</v>
      </c>
      <c r="Q15784" s="26" t="str">
        <f>HYPERLINK("https://ictv.global/taxonomy/taxondetails?taxnode_id=202522511&amp;ictv_id=ICTV202522511","ICTV202522511")</f>
        <v>ICTV202522511</v>
      </c>
      <c r="R15784" t="s">
        <v>581</v>
      </c>
      <c r="S15784" t="s">
        <v>823</v>
      </c>
      <c r="T15784">
        <v>41</v>
      </c>
      <c r="U15784" s="26" t="str">
        <f t="shared" si="587"/>
        <v>2025.012F.Hypofuvirales_neworder.zip</v>
      </c>
    </row>
    <row r="15785" spans="1:21">
      <c r="A15785">
        <v>15784</v>
      </c>
      <c r="B15785" s="27" t="s">
        <v>1124</v>
      </c>
      <c r="D15785" s="27" t="s">
        <v>1859</v>
      </c>
      <c r="F15785" s="27" t="s">
        <v>1909</v>
      </c>
      <c r="H15785" s="27" t="s">
        <v>1961</v>
      </c>
      <c r="J15785" s="27" t="s">
        <v>20806</v>
      </c>
      <c r="L15785" s="27" t="s">
        <v>10392</v>
      </c>
      <c r="N15785" s="27" t="s">
        <v>10393</v>
      </c>
      <c r="P15785" s="27" t="s">
        <v>10400</v>
      </c>
      <c r="Q15785" s="26" t="str">
        <f>HYPERLINK("https://ictv.global/taxonomy/taxondetails?taxnode_id=202513720&amp;ictv_id=ICTV202113720","ICTV202113720")</f>
        <v>ICTV202113720</v>
      </c>
      <c r="R15785" t="s">
        <v>581</v>
      </c>
      <c r="S15785" t="s">
        <v>22763</v>
      </c>
      <c r="T15785">
        <v>41</v>
      </c>
      <c r="U15785" s="26" t="str">
        <f t="shared" si="587"/>
        <v>2025.012F.Hypofuvirales_neworder.zip</v>
      </c>
    </row>
    <row r="15786" spans="1:21">
      <c r="A15786">
        <v>15785</v>
      </c>
      <c r="B15786" s="27" t="s">
        <v>1124</v>
      </c>
      <c r="D15786" s="27" t="s">
        <v>1859</v>
      </c>
      <c r="F15786" s="27" t="s">
        <v>1909</v>
      </c>
      <c r="H15786" s="27" t="s">
        <v>1961</v>
      </c>
      <c r="J15786" s="27" t="s">
        <v>20806</v>
      </c>
      <c r="L15786" s="27" t="s">
        <v>10392</v>
      </c>
      <c r="N15786" s="27" t="s">
        <v>10393</v>
      </c>
      <c r="P15786" s="27" t="s">
        <v>10401</v>
      </c>
      <c r="Q15786" s="26" t="str">
        <f>HYPERLINK("https://ictv.global/taxonomy/taxondetails?taxnode_id=202513727&amp;ictv_id=ICTV202113727","ICTV202113727")</f>
        <v>ICTV202113727</v>
      </c>
      <c r="R15786" t="s">
        <v>581</v>
      </c>
      <c r="S15786" t="s">
        <v>22763</v>
      </c>
      <c r="T15786">
        <v>41</v>
      </c>
      <c r="U15786" s="26" t="str">
        <f t="shared" si="587"/>
        <v>2025.012F.Hypofuvirales_neworder.zip</v>
      </c>
    </row>
    <row r="15787" spans="1:21">
      <c r="A15787">
        <v>15786</v>
      </c>
      <c r="B15787" s="27" t="s">
        <v>1124</v>
      </c>
      <c r="D15787" s="27" t="s">
        <v>1859</v>
      </c>
      <c r="F15787" s="27" t="s">
        <v>1909</v>
      </c>
      <c r="H15787" s="27" t="s">
        <v>1961</v>
      </c>
      <c r="J15787" s="27" t="s">
        <v>20806</v>
      </c>
      <c r="L15787" s="27" t="s">
        <v>10392</v>
      </c>
      <c r="N15787" s="27" t="s">
        <v>10393</v>
      </c>
      <c r="P15787" s="27" t="s">
        <v>21652</v>
      </c>
      <c r="Q15787" s="26" t="str">
        <f>HYPERLINK("https://ictv.global/taxonomy/taxondetails?taxnode_id=202522507&amp;ictv_id=ICTV202522507","ICTV202522507")</f>
        <v>ICTV202522507</v>
      </c>
      <c r="R15787" t="s">
        <v>581</v>
      </c>
      <c r="S15787" t="s">
        <v>823</v>
      </c>
      <c r="T15787">
        <v>41</v>
      </c>
      <c r="U15787" s="26" t="str">
        <f t="shared" si="587"/>
        <v>2025.012F.Hypofuvirales_neworder.zip</v>
      </c>
    </row>
    <row r="15788" spans="1:21">
      <c r="A15788">
        <v>15787</v>
      </c>
      <c r="B15788" s="27" t="s">
        <v>1124</v>
      </c>
      <c r="D15788" s="27" t="s">
        <v>1859</v>
      </c>
      <c r="F15788" s="27" t="s">
        <v>1909</v>
      </c>
      <c r="H15788" s="27" t="s">
        <v>1961</v>
      </c>
      <c r="J15788" s="27" t="s">
        <v>20806</v>
      </c>
      <c r="L15788" s="27" t="s">
        <v>10392</v>
      </c>
      <c r="N15788" s="27" t="s">
        <v>10393</v>
      </c>
      <c r="P15788" s="27" t="s">
        <v>10402</v>
      </c>
      <c r="Q15788" s="26" t="str">
        <f>HYPERLINK("https://ictv.global/taxonomy/taxondetails?taxnode_id=202513721&amp;ictv_id=ICTV202113721","ICTV202113721")</f>
        <v>ICTV202113721</v>
      </c>
      <c r="R15788" t="s">
        <v>581</v>
      </c>
      <c r="S15788" t="s">
        <v>22763</v>
      </c>
      <c r="T15788">
        <v>41</v>
      </c>
      <c r="U15788" s="26" t="str">
        <f t="shared" si="587"/>
        <v>2025.012F.Hypofuvirales_neworder.zip</v>
      </c>
    </row>
    <row r="15789" spans="1:21">
      <c r="A15789">
        <v>15788</v>
      </c>
      <c r="B15789" s="27" t="s">
        <v>1124</v>
      </c>
      <c r="D15789" s="27" t="s">
        <v>1859</v>
      </c>
      <c r="F15789" s="27" t="s">
        <v>1909</v>
      </c>
      <c r="H15789" s="27" t="s">
        <v>1961</v>
      </c>
      <c r="J15789" s="27" t="s">
        <v>20806</v>
      </c>
      <c r="L15789" s="27" t="s">
        <v>10392</v>
      </c>
      <c r="N15789" s="27" t="s">
        <v>10393</v>
      </c>
      <c r="P15789" s="27" t="s">
        <v>10403</v>
      </c>
      <c r="Q15789" s="26" t="str">
        <f>HYPERLINK("https://ictv.global/taxonomy/taxondetails?taxnode_id=202513722&amp;ictv_id=ICTV202113722","ICTV202113722")</f>
        <v>ICTV202113722</v>
      </c>
      <c r="R15789" t="s">
        <v>581</v>
      </c>
      <c r="S15789" t="s">
        <v>22763</v>
      </c>
      <c r="T15789">
        <v>41</v>
      </c>
      <c r="U15789" s="26" t="str">
        <f t="shared" si="587"/>
        <v>2025.012F.Hypofuvirales_neworder.zip</v>
      </c>
    </row>
    <row r="15790" spans="1:21">
      <c r="A15790">
        <v>15789</v>
      </c>
      <c r="B15790" s="27" t="s">
        <v>1124</v>
      </c>
      <c r="D15790" s="27" t="s">
        <v>1859</v>
      </c>
      <c r="F15790" s="27" t="s">
        <v>1909</v>
      </c>
      <c r="H15790" s="27" t="s">
        <v>1961</v>
      </c>
      <c r="J15790" s="27" t="s">
        <v>20806</v>
      </c>
      <c r="L15790" s="27" t="s">
        <v>10392</v>
      </c>
      <c r="N15790" s="27" t="s">
        <v>10393</v>
      </c>
      <c r="P15790" s="27" t="s">
        <v>10404</v>
      </c>
      <c r="Q15790" s="26" t="str">
        <f>HYPERLINK("https://ictv.global/taxonomy/taxondetails?taxnode_id=202513723&amp;ictv_id=ICTV202113723","ICTV202113723")</f>
        <v>ICTV202113723</v>
      </c>
      <c r="R15790" t="s">
        <v>581</v>
      </c>
      <c r="S15790" t="s">
        <v>22763</v>
      </c>
      <c r="T15790">
        <v>41</v>
      </c>
      <c r="U15790" s="26" t="str">
        <f t="shared" si="587"/>
        <v>2025.012F.Hypofuvirales_neworder.zip</v>
      </c>
    </row>
    <row r="15791" spans="1:21">
      <c r="A15791">
        <v>15790</v>
      </c>
      <c r="B15791" s="27" t="s">
        <v>1124</v>
      </c>
      <c r="D15791" s="27" t="s">
        <v>1859</v>
      </c>
      <c r="F15791" s="27" t="s">
        <v>1909</v>
      </c>
      <c r="H15791" s="27" t="s">
        <v>1961</v>
      </c>
      <c r="J15791" s="27" t="s">
        <v>20806</v>
      </c>
      <c r="L15791" s="27" t="s">
        <v>10392</v>
      </c>
      <c r="N15791" s="27" t="s">
        <v>10393</v>
      </c>
      <c r="P15791" s="27" t="s">
        <v>10405</v>
      </c>
      <c r="Q15791" s="26" t="str">
        <f>HYPERLINK("https://ictv.global/taxonomy/taxondetails?taxnode_id=202513724&amp;ictv_id=ICTV202113724","ICTV202113724")</f>
        <v>ICTV202113724</v>
      </c>
      <c r="R15791" t="s">
        <v>581</v>
      </c>
      <c r="S15791" t="s">
        <v>22763</v>
      </c>
      <c r="T15791">
        <v>41</v>
      </c>
      <c r="U15791" s="26" t="str">
        <f t="shared" si="587"/>
        <v>2025.012F.Hypofuvirales_neworder.zip</v>
      </c>
    </row>
    <row r="15792" spans="1:21">
      <c r="A15792">
        <v>15791</v>
      </c>
      <c r="B15792" s="27" t="s">
        <v>1124</v>
      </c>
      <c r="D15792" s="27" t="s">
        <v>1859</v>
      </c>
      <c r="F15792" s="27" t="s">
        <v>1909</v>
      </c>
      <c r="H15792" s="27" t="s">
        <v>1961</v>
      </c>
      <c r="J15792" s="27" t="s">
        <v>20806</v>
      </c>
      <c r="L15792" s="27" t="s">
        <v>10392</v>
      </c>
      <c r="N15792" s="27" t="s">
        <v>10393</v>
      </c>
      <c r="P15792" s="27" t="s">
        <v>21653</v>
      </c>
      <c r="Q15792" s="26" t="str">
        <f>HYPERLINK("https://ictv.global/taxonomy/taxondetails?taxnode_id=202522508&amp;ictv_id=ICTV202522508","ICTV202522508")</f>
        <v>ICTV202522508</v>
      </c>
      <c r="R15792" t="s">
        <v>581</v>
      </c>
      <c r="S15792" t="s">
        <v>823</v>
      </c>
      <c r="T15792">
        <v>41</v>
      </c>
      <c r="U15792" s="26" t="str">
        <f t="shared" si="587"/>
        <v>2025.012F.Hypofuvirales_neworder.zip</v>
      </c>
    </row>
    <row r="15793" spans="1:21">
      <c r="A15793">
        <v>15792</v>
      </c>
      <c r="B15793" s="27" t="s">
        <v>1124</v>
      </c>
      <c r="D15793" s="27" t="s">
        <v>1859</v>
      </c>
      <c r="F15793" s="27" t="s">
        <v>1909</v>
      </c>
      <c r="H15793" s="27" t="s">
        <v>1961</v>
      </c>
      <c r="J15793" s="27" t="s">
        <v>20806</v>
      </c>
      <c r="L15793" s="27" t="s">
        <v>10392</v>
      </c>
      <c r="N15793" s="27" t="s">
        <v>10393</v>
      </c>
      <c r="P15793" s="27" t="s">
        <v>10406</v>
      </c>
      <c r="Q15793" s="26" t="str">
        <f>HYPERLINK("https://ictv.global/taxonomy/taxondetails?taxnode_id=202513726&amp;ictv_id=ICTV202113726","ICTV202113726")</f>
        <v>ICTV202113726</v>
      </c>
      <c r="R15793" t="s">
        <v>581</v>
      </c>
      <c r="S15793" t="s">
        <v>22763</v>
      </c>
      <c r="T15793">
        <v>41</v>
      </c>
      <c r="U15793" s="26" t="str">
        <f t="shared" si="587"/>
        <v>2025.012F.Hypofuvirales_neworder.zip</v>
      </c>
    </row>
    <row r="15794" spans="1:21">
      <c r="A15794">
        <v>15793</v>
      </c>
      <c r="B15794" s="27" t="s">
        <v>1124</v>
      </c>
      <c r="D15794" s="27" t="s">
        <v>1859</v>
      </c>
      <c r="F15794" s="27" t="s">
        <v>1909</v>
      </c>
      <c r="H15794" s="27" t="s">
        <v>1961</v>
      </c>
      <c r="J15794" s="27" t="s">
        <v>20806</v>
      </c>
      <c r="L15794" s="27" t="s">
        <v>10392</v>
      </c>
      <c r="N15794" s="27" t="s">
        <v>10393</v>
      </c>
      <c r="P15794" s="27" t="s">
        <v>10407</v>
      </c>
      <c r="Q15794" s="26" t="str">
        <f>HYPERLINK("https://ictv.global/taxonomy/taxondetails?taxnode_id=202513728&amp;ictv_id=ICTV202113728","ICTV202113728")</f>
        <v>ICTV202113728</v>
      </c>
      <c r="R15794" t="s">
        <v>581</v>
      </c>
      <c r="S15794" t="s">
        <v>22763</v>
      </c>
      <c r="T15794">
        <v>41</v>
      </c>
      <c r="U15794" s="26" t="str">
        <f t="shared" si="587"/>
        <v>2025.012F.Hypofuvirales_neworder.zip</v>
      </c>
    </row>
    <row r="15795" spans="1:21">
      <c r="A15795">
        <v>15794</v>
      </c>
      <c r="B15795" s="27" t="s">
        <v>1124</v>
      </c>
      <c r="D15795" s="27" t="s">
        <v>1859</v>
      </c>
      <c r="F15795" s="27" t="s">
        <v>1909</v>
      </c>
      <c r="H15795" s="27" t="s">
        <v>1961</v>
      </c>
      <c r="J15795" s="27" t="s">
        <v>20806</v>
      </c>
      <c r="L15795" s="27" t="s">
        <v>10392</v>
      </c>
      <c r="N15795" s="27" t="s">
        <v>10393</v>
      </c>
      <c r="P15795" s="27" t="s">
        <v>10408</v>
      </c>
      <c r="Q15795" s="26" t="str">
        <f>HYPERLINK("https://ictv.global/taxonomy/taxondetails?taxnode_id=202513714&amp;ictv_id=ICTV202113714","ICTV202113714")</f>
        <v>ICTV202113714</v>
      </c>
      <c r="R15795" t="s">
        <v>581</v>
      </c>
      <c r="S15795" t="s">
        <v>22763</v>
      </c>
      <c r="T15795">
        <v>41</v>
      </c>
      <c r="U15795" s="26" t="str">
        <f t="shared" si="587"/>
        <v>2025.012F.Hypofuvirales_neworder.zip</v>
      </c>
    </row>
    <row r="15796" spans="1:21">
      <c r="A15796">
        <v>15795</v>
      </c>
      <c r="B15796" s="27" t="s">
        <v>1124</v>
      </c>
      <c r="D15796" s="27" t="s">
        <v>1859</v>
      </c>
      <c r="F15796" s="27" t="s">
        <v>1909</v>
      </c>
      <c r="H15796" s="27" t="s">
        <v>1961</v>
      </c>
      <c r="J15796" s="27" t="s">
        <v>20806</v>
      </c>
      <c r="L15796" s="27" t="s">
        <v>10392</v>
      </c>
      <c r="N15796" s="27" t="s">
        <v>10393</v>
      </c>
      <c r="P15796" s="27" t="s">
        <v>10409</v>
      </c>
      <c r="Q15796" s="26" t="str">
        <f>HYPERLINK("https://ictv.global/taxonomy/taxondetails?taxnode_id=202513729&amp;ictv_id=ICTV202113729","ICTV202113729")</f>
        <v>ICTV202113729</v>
      </c>
      <c r="R15796" t="s">
        <v>581</v>
      </c>
      <c r="S15796" t="s">
        <v>22763</v>
      </c>
      <c r="T15796">
        <v>41</v>
      </c>
      <c r="U15796" s="26" t="str">
        <f t="shared" si="587"/>
        <v>2025.012F.Hypofuvirales_neworder.zip</v>
      </c>
    </row>
    <row r="15797" spans="1:21">
      <c r="A15797">
        <v>15796</v>
      </c>
      <c r="B15797" s="27" t="s">
        <v>1124</v>
      </c>
      <c r="D15797" s="27" t="s">
        <v>1859</v>
      </c>
      <c r="F15797" s="27" t="s">
        <v>1909</v>
      </c>
      <c r="H15797" s="27" t="s">
        <v>1961</v>
      </c>
      <c r="J15797" s="27" t="s">
        <v>20806</v>
      </c>
      <c r="L15797" s="27" t="s">
        <v>10392</v>
      </c>
      <c r="N15797" s="27" t="s">
        <v>10393</v>
      </c>
      <c r="P15797" s="27" t="s">
        <v>10410</v>
      </c>
      <c r="Q15797" s="26" t="str">
        <f>HYPERLINK("https://ictv.global/taxonomy/taxondetails?taxnode_id=202513733&amp;ictv_id=ICTV202113733","ICTV202113733")</f>
        <v>ICTV202113733</v>
      </c>
      <c r="R15797" t="s">
        <v>581</v>
      </c>
      <c r="S15797" t="s">
        <v>22763</v>
      </c>
      <c r="T15797">
        <v>41</v>
      </c>
      <c r="U15797" s="26" t="str">
        <f t="shared" si="587"/>
        <v>2025.012F.Hypofuvirales_neworder.zip</v>
      </c>
    </row>
    <row r="15798" spans="1:21">
      <c r="A15798">
        <v>15797</v>
      </c>
      <c r="B15798" s="27" t="s">
        <v>1124</v>
      </c>
      <c r="D15798" s="27" t="s">
        <v>1859</v>
      </c>
      <c r="F15798" s="27" t="s">
        <v>1909</v>
      </c>
      <c r="H15798" s="27" t="s">
        <v>1961</v>
      </c>
      <c r="J15798" s="27" t="s">
        <v>20806</v>
      </c>
      <c r="L15798" s="27" t="s">
        <v>10392</v>
      </c>
      <c r="N15798" s="27" t="s">
        <v>10393</v>
      </c>
      <c r="P15798" s="27" t="s">
        <v>10411</v>
      </c>
      <c r="Q15798" s="26" t="str">
        <f>HYPERLINK("https://ictv.global/taxonomy/taxondetails?taxnode_id=202513725&amp;ictv_id=ICTV202113725","ICTV202113725")</f>
        <v>ICTV202113725</v>
      </c>
      <c r="R15798" t="s">
        <v>581</v>
      </c>
      <c r="S15798" t="s">
        <v>22763</v>
      </c>
      <c r="T15798">
        <v>41</v>
      </c>
      <c r="U15798" s="26" t="str">
        <f t="shared" si="587"/>
        <v>2025.012F.Hypofuvirales_neworder.zip</v>
      </c>
    </row>
    <row r="15799" spans="1:21">
      <c r="A15799">
        <v>15798</v>
      </c>
      <c r="B15799" s="27" t="s">
        <v>1124</v>
      </c>
      <c r="D15799" s="27" t="s">
        <v>1859</v>
      </c>
      <c r="F15799" s="27" t="s">
        <v>1909</v>
      </c>
      <c r="H15799" s="27" t="s">
        <v>1961</v>
      </c>
      <c r="J15799" s="27" t="s">
        <v>20806</v>
      </c>
      <c r="L15799" s="27" t="s">
        <v>10392</v>
      </c>
      <c r="N15799" s="27" t="s">
        <v>10393</v>
      </c>
      <c r="P15799" s="27" t="s">
        <v>10412</v>
      </c>
      <c r="Q15799" s="26" t="str">
        <f>HYPERLINK("https://ictv.global/taxonomy/taxondetails?taxnode_id=202513730&amp;ictv_id=ICTV202113730","ICTV202113730")</f>
        <v>ICTV202113730</v>
      </c>
      <c r="R15799" t="s">
        <v>581</v>
      </c>
      <c r="S15799" t="s">
        <v>22763</v>
      </c>
      <c r="T15799">
        <v>41</v>
      </c>
      <c r="U15799" s="26" t="str">
        <f t="shared" si="587"/>
        <v>2025.012F.Hypofuvirales_neworder.zip</v>
      </c>
    </row>
    <row r="15800" spans="1:21">
      <c r="A15800">
        <v>15799</v>
      </c>
      <c r="B15800" s="27" t="s">
        <v>1124</v>
      </c>
      <c r="D15800" s="27" t="s">
        <v>1859</v>
      </c>
      <c r="F15800" s="27" t="s">
        <v>1909</v>
      </c>
      <c r="H15800" s="27" t="s">
        <v>1961</v>
      </c>
      <c r="J15800" s="27" t="s">
        <v>20806</v>
      </c>
      <c r="L15800" s="27" t="s">
        <v>10392</v>
      </c>
      <c r="N15800" s="27" t="s">
        <v>10393</v>
      </c>
      <c r="P15800" s="27" t="s">
        <v>10413</v>
      </c>
      <c r="Q15800" s="26" t="str">
        <f>HYPERLINK("https://ictv.global/taxonomy/taxondetails?taxnode_id=202513731&amp;ictv_id=ICTV202113731","ICTV202113731")</f>
        <v>ICTV202113731</v>
      </c>
      <c r="R15800" t="s">
        <v>581</v>
      </c>
      <c r="S15800" t="s">
        <v>22763</v>
      </c>
      <c r="T15800">
        <v>41</v>
      </c>
      <c r="U15800" s="26" t="str">
        <f t="shared" si="587"/>
        <v>2025.012F.Hypofuvirales_neworder.zip</v>
      </c>
    </row>
    <row r="15801" spans="1:21">
      <c r="A15801">
        <v>15800</v>
      </c>
      <c r="B15801" s="27" t="s">
        <v>1124</v>
      </c>
      <c r="D15801" s="27" t="s">
        <v>1859</v>
      </c>
      <c r="F15801" s="27" t="s">
        <v>1909</v>
      </c>
      <c r="H15801" s="27" t="s">
        <v>1961</v>
      </c>
      <c r="J15801" s="27" t="s">
        <v>20806</v>
      </c>
      <c r="L15801" s="27" t="s">
        <v>10392</v>
      </c>
      <c r="N15801" s="27" t="s">
        <v>10393</v>
      </c>
      <c r="P15801" s="27" t="s">
        <v>10414</v>
      </c>
      <c r="Q15801" s="26" t="str">
        <f>HYPERLINK("https://ictv.global/taxonomy/taxondetails?taxnode_id=202513732&amp;ictv_id=ICTV202113732","ICTV202113732")</f>
        <v>ICTV202113732</v>
      </c>
      <c r="R15801" t="s">
        <v>581</v>
      </c>
      <c r="S15801" t="s">
        <v>22763</v>
      </c>
      <c r="T15801">
        <v>41</v>
      </c>
      <c r="U15801" s="26" t="str">
        <f t="shared" si="587"/>
        <v>2025.012F.Hypofuvirales_neworder.zip</v>
      </c>
    </row>
    <row r="15802" spans="1:21">
      <c r="A15802">
        <v>15801</v>
      </c>
      <c r="B15802" s="27" t="s">
        <v>1124</v>
      </c>
      <c r="D15802" s="27" t="s">
        <v>1859</v>
      </c>
      <c r="F15802" s="27" t="s">
        <v>1909</v>
      </c>
      <c r="H15802" s="27" t="s">
        <v>1961</v>
      </c>
      <c r="J15802" s="27" t="s">
        <v>20806</v>
      </c>
      <c r="L15802" s="27" t="s">
        <v>10392</v>
      </c>
      <c r="N15802" s="27" t="s">
        <v>10393</v>
      </c>
      <c r="P15802" s="27" t="s">
        <v>21654</v>
      </c>
      <c r="Q15802" s="26" t="str">
        <f>HYPERLINK("https://ictv.global/taxonomy/taxondetails?taxnode_id=202522509&amp;ictv_id=ICTV202522509","ICTV202522509")</f>
        <v>ICTV202522509</v>
      </c>
      <c r="R15802" t="s">
        <v>581</v>
      </c>
      <c r="S15802" t="s">
        <v>823</v>
      </c>
      <c r="T15802">
        <v>41</v>
      </c>
      <c r="U15802" s="26" t="str">
        <f t="shared" si="587"/>
        <v>2025.012F.Hypofuvirales_neworder.zip</v>
      </c>
    </row>
    <row r="15803" spans="1:21">
      <c r="A15803">
        <v>15802</v>
      </c>
      <c r="B15803" s="27" t="s">
        <v>1124</v>
      </c>
      <c r="D15803" s="27" t="s">
        <v>1859</v>
      </c>
      <c r="F15803" s="27" t="s">
        <v>1909</v>
      </c>
      <c r="H15803" s="27" t="s">
        <v>1961</v>
      </c>
      <c r="J15803" s="27" t="s">
        <v>20806</v>
      </c>
      <c r="L15803" s="27" t="s">
        <v>10392</v>
      </c>
      <c r="N15803" s="27" t="s">
        <v>10393</v>
      </c>
      <c r="P15803" s="27" t="s">
        <v>21655</v>
      </c>
      <c r="Q15803" s="26" t="str">
        <f>HYPERLINK("https://ictv.global/taxonomy/taxondetails?taxnode_id=202522510&amp;ictv_id=ICTV202522510","ICTV202522510")</f>
        <v>ICTV202522510</v>
      </c>
      <c r="R15803" t="s">
        <v>581</v>
      </c>
      <c r="S15803" t="s">
        <v>823</v>
      </c>
      <c r="T15803">
        <v>41</v>
      </c>
      <c r="U15803" s="26" t="str">
        <f t="shared" si="587"/>
        <v>2025.012F.Hypofuvirales_neworder.zip</v>
      </c>
    </row>
    <row r="15804" spans="1:21">
      <c r="A15804">
        <v>15803</v>
      </c>
      <c r="B15804" s="27" t="s">
        <v>1124</v>
      </c>
      <c r="D15804" s="27" t="s">
        <v>1859</v>
      </c>
      <c r="F15804" s="27" t="s">
        <v>1909</v>
      </c>
      <c r="H15804" s="27" t="s">
        <v>1961</v>
      </c>
      <c r="J15804" s="27" t="s">
        <v>20806</v>
      </c>
      <c r="L15804" s="27" t="s">
        <v>10392</v>
      </c>
      <c r="N15804" s="27" t="s">
        <v>10393</v>
      </c>
      <c r="P15804" s="27" t="s">
        <v>10415</v>
      </c>
      <c r="Q15804" s="26" t="str">
        <f>HYPERLINK("https://ictv.global/taxonomy/taxondetails?taxnode_id=202513734&amp;ictv_id=ICTV202113734","ICTV202113734")</f>
        <v>ICTV202113734</v>
      </c>
      <c r="R15804" t="s">
        <v>581</v>
      </c>
      <c r="S15804" t="s">
        <v>22763</v>
      </c>
      <c r="T15804">
        <v>41</v>
      </c>
      <c r="U15804" s="26" t="str">
        <f t="shared" si="587"/>
        <v>2025.012F.Hypofuvirales_neworder.zip</v>
      </c>
    </row>
    <row r="15805" spans="1:21">
      <c r="A15805">
        <v>15804</v>
      </c>
      <c r="B15805" s="27" t="s">
        <v>1124</v>
      </c>
      <c r="D15805" s="27" t="s">
        <v>1859</v>
      </c>
      <c r="F15805" s="27" t="s">
        <v>1909</v>
      </c>
      <c r="H15805" s="27" t="s">
        <v>1961</v>
      </c>
      <c r="J15805" s="27" t="s">
        <v>20806</v>
      </c>
      <c r="L15805" s="27" t="s">
        <v>10392</v>
      </c>
      <c r="N15805" s="27" t="s">
        <v>10416</v>
      </c>
      <c r="P15805" s="27" t="s">
        <v>10417</v>
      </c>
      <c r="Q15805" s="26" t="str">
        <f>HYPERLINK("https://ictv.global/taxonomy/taxondetails?taxnode_id=202513736&amp;ictv_id=ICTV202113736","ICTV202113736")</f>
        <v>ICTV202113736</v>
      </c>
      <c r="R15805" t="s">
        <v>581</v>
      </c>
      <c r="S15805" t="s">
        <v>22763</v>
      </c>
      <c r="T15805">
        <v>41</v>
      </c>
      <c r="U15805" s="26" t="str">
        <f t="shared" si="587"/>
        <v>2025.012F.Hypofuvirales_neworder.zip</v>
      </c>
    </row>
    <row r="15806" spans="1:21">
      <c r="A15806">
        <v>15805</v>
      </c>
      <c r="B15806" s="27" t="s">
        <v>1124</v>
      </c>
      <c r="D15806" s="27" t="s">
        <v>1859</v>
      </c>
      <c r="F15806" s="27" t="s">
        <v>1909</v>
      </c>
      <c r="H15806" s="27" t="s">
        <v>1961</v>
      </c>
      <c r="J15806" s="27" t="s">
        <v>20806</v>
      </c>
      <c r="L15806" s="27" t="s">
        <v>10392</v>
      </c>
      <c r="N15806" s="27" t="s">
        <v>10416</v>
      </c>
      <c r="P15806" s="27" t="s">
        <v>10418</v>
      </c>
      <c r="Q15806" s="26" t="str">
        <f>HYPERLINK("https://ictv.global/taxonomy/taxondetails?taxnode_id=202513740&amp;ictv_id=ICTV202113740","ICTV202113740")</f>
        <v>ICTV202113740</v>
      </c>
      <c r="R15806" t="s">
        <v>581</v>
      </c>
      <c r="S15806" t="s">
        <v>22763</v>
      </c>
      <c r="T15806">
        <v>41</v>
      </c>
      <c r="U15806" s="26" t="str">
        <f t="shared" ref="U15806:U15837" si="588">HYPERLINK("https://ictv.global/ictv/proposals/2025.012F.Hypofuvirales_neworder.zip","2025.012F.Hypofuvirales_neworder.zip")</f>
        <v>2025.012F.Hypofuvirales_neworder.zip</v>
      </c>
    </row>
    <row r="15807" spans="1:21">
      <c r="A15807">
        <v>15806</v>
      </c>
      <c r="B15807" s="27" t="s">
        <v>1124</v>
      </c>
      <c r="D15807" s="27" t="s">
        <v>1859</v>
      </c>
      <c r="F15807" s="27" t="s">
        <v>1909</v>
      </c>
      <c r="H15807" s="27" t="s">
        <v>1961</v>
      </c>
      <c r="J15807" s="27" t="s">
        <v>20806</v>
      </c>
      <c r="L15807" s="27" t="s">
        <v>10392</v>
      </c>
      <c r="N15807" s="27" t="s">
        <v>10416</v>
      </c>
      <c r="P15807" s="27" t="s">
        <v>10419</v>
      </c>
      <c r="Q15807" s="26" t="str">
        <f>HYPERLINK("https://ictv.global/taxonomy/taxondetails?taxnode_id=202513744&amp;ictv_id=ICTV202113744","ICTV202113744")</f>
        <v>ICTV202113744</v>
      </c>
      <c r="R15807" t="s">
        <v>581</v>
      </c>
      <c r="S15807" t="s">
        <v>22763</v>
      </c>
      <c r="T15807">
        <v>41</v>
      </c>
      <c r="U15807" s="26" t="str">
        <f t="shared" si="588"/>
        <v>2025.012F.Hypofuvirales_neworder.zip</v>
      </c>
    </row>
    <row r="15808" spans="1:21">
      <c r="A15808">
        <v>15807</v>
      </c>
      <c r="B15808" s="27" t="s">
        <v>1124</v>
      </c>
      <c r="D15808" s="27" t="s">
        <v>1859</v>
      </c>
      <c r="F15808" s="27" t="s">
        <v>1909</v>
      </c>
      <c r="H15808" s="27" t="s">
        <v>1961</v>
      </c>
      <c r="J15808" s="27" t="s">
        <v>20806</v>
      </c>
      <c r="L15808" s="27" t="s">
        <v>10392</v>
      </c>
      <c r="N15808" s="27" t="s">
        <v>10416</v>
      </c>
      <c r="P15808" s="27" t="s">
        <v>10420</v>
      </c>
      <c r="Q15808" s="26" t="str">
        <f>HYPERLINK("https://ictv.global/taxonomy/taxondetails?taxnode_id=202513741&amp;ictv_id=ICTV202113741","ICTV202113741")</f>
        <v>ICTV202113741</v>
      </c>
      <c r="R15808" t="s">
        <v>581</v>
      </c>
      <c r="S15808" t="s">
        <v>22763</v>
      </c>
      <c r="T15808">
        <v>41</v>
      </c>
      <c r="U15808" s="26" t="str">
        <f t="shared" si="588"/>
        <v>2025.012F.Hypofuvirales_neworder.zip</v>
      </c>
    </row>
    <row r="15809" spans="1:21">
      <c r="A15809">
        <v>15808</v>
      </c>
      <c r="B15809" s="27" t="s">
        <v>1124</v>
      </c>
      <c r="D15809" s="27" t="s">
        <v>1859</v>
      </c>
      <c r="F15809" s="27" t="s">
        <v>1909</v>
      </c>
      <c r="H15809" s="27" t="s">
        <v>1961</v>
      </c>
      <c r="J15809" s="27" t="s">
        <v>20806</v>
      </c>
      <c r="L15809" s="27" t="s">
        <v>10392</v>
      </c>
      <c r="N15809" s="27" t="s">
        <v>10416</v>
      </c>
      <c r="P15809" s="27" t="s">
        <v>21659</v>
      </c>
      <c r="Q15809" s="26" t="str">
        <f>HYPERLINK("https://ictv.global/taxonomy/taxondetails?taxnode_id=202522514&amp;ictv_id=ICTV202522514","ICTV202522514")</f>
        <v>ICTV202522514</v>
      </c>
      <c r="R15809" t="s">
        <v>581</v>
      </c>
      <c r="S15809" t="s">
        <v>823</v>
      </c>
      <c r="T15809">
        <v>41</v>
      </c>
      <c r="U15809" s="26" t="str">
        <f t="shared" si="588"/>
        <v>2025.012F.Hypofuvirales_neworder.zip</v>
      </c>
    </row>
    <row r="15810" spans="1:21">
      <c r="A15810">
        <v>15809</v>
      </c>
      <c r="B15810" s="27" t="s">
        <v>1124</v>
      </c>
      <c r="D15810" s="27" t="s">
        <v>1859</v>
      </c>
      <c r="F15810" s="27" t="s">
        <v>1909</v>
      </c>
      <c r="H15810" s="27" t="s">
        <v>1961</v>
      </c>
      <c r="J15810" s="27" t="s">
        <v>20806</v>
      </c>
      <c r="L15810" s="27" t="s">
        <v>10392</v>
      </c>
      <c r="N15810" s="27" t="s">
        <v>10416</v>
      </c>
      <c r="P15810" s="27" t="s">
        <v>10421</v>
      </c>
      <c r="Q15810" s="26" t="str">
        <f>HYPERLINK("https://ictv.global/taxonomy/taxondetails?taxnode_id=202513738&amp;ictv_id=ICTV202113738","ICTV202113738")</f>
        <v>ICTV202113738</v>
      </c>
      <c r="R15810" t="s">
        <v>581</v>
      </c>
      <c r="S15810" t="s">
        <v>22763</v>
      </c>
      <c r="T15810">
        <v>41</v>
      </c>
      <c r="U15810" s="26" t="str">
        <f t="shared" si="588"/>
        <v>2025.012F.Hypofuvirales_neworder.zip</v>
      </c>
    </row>
    <row r="15811" spans="1:21">
      <c r="A15811">
        <v>15810</v>
      </c>
      <c r="B15811" s="27" t="s">
        <v>1124</v>
      </c>
      <c r="D15811" s="27" t="s">
        <v>1859</v>
      </c>
      <c r="F15811" s="27" t="s">
        <v>1909</v>
      </c>
      <c r="H15811" s="27" t="s">
        <v>1961</v>
      </c>
      <c r="J15811" s="27" t="s">
        <v>20806</v>
      </c>
      <c r="L15811" s="27" t="s">
        <v>10392</v>
      </c>
      <c r="N15811" s="27" t="s">
        <v>10416</v>
      </c>
      <c r="P15811" s="27" t="s">
        <v>10422</v>
      </c>
      <c r="Q15811" s="26" t="str">
        <f>HYPERLINK("https://ictv.global/taxonomy/taxondetails?taxnode_id=202513745&amp;ictv_id=ICTV202113745","ICTV202113745")</f>
        <v>ICTV202113745</v>
      </c>
      <c r="R15811" t="s">
        <v>581</v>
      </c>
      <c r="S15811" t="s">
        <v>22763</v>
      </c>
      <c r="T15811">
        <v>41</v>
      </c>
      <c r="U15811" s="26" t="str">
        <f t="shared" si="588"/>
        <v>2025.012F.Hypofuvirales_neworder.zip</v>
      </c>
    </row>
    <row r="15812" spans="1:21">
      <c r="A15812">
        <v>15811</v>
      </c>
      <c r="B15812" s="27" t="s">
        <v>1124</v>
      </c>
      <c r="D15812" s="27" t="s">
        <v>1859</v>
      </c>
      <c r="F15812" s="27" t="s">
        <v>1909</v>
      </c>
      <c r="H15812" s="27" t="s">
        <v>1961</v>
      </c>
      <c r="J15812" s="27" t="s">
        <v>20806</v>
      </c>
      <c r="L15812" s="27" t="s">
        <v>10392</v>
      </c>
      <c r="N15812" s="27" t="s">
        <v>10416</v>
      </c>
      <c r="P15812" s="27" t="s">
        <v>10423</v>
      </c>
      <c r="Q15812" s="26" t="str">
        <f>HYPERLINK("https://ictv.global/taxonomy/taxondetails?taxnode_id=202513739&amp;ictv_id=ICTV202113739","ICTV202113739")</f>
        <v>ICTV202113739</v>
      </c>
      <c r="R15812" t="s">
        <v>581</v>
      </c>
      <c r="S15812" t="s">
        <v>22763</v>
      </c>
      <c r="T15812">
        <v>41</v>
      </c>
      <c r="U15812" s="26" t="str">
        <f t="shared" si="588"/>
        <v>2025.012F.Hypofuvirales_neworder.zip</v>
      </c>
    </row>
    <row r="15813" spans="1:21">
      <c r="A15813">
        <v>15812</v>
      </c>
      <c r="B15813" s="27" t="s">
        <v>1124</v>
      </c>
      <c r="D15813" s="27" t="s">
        <v>1859</v>
      </c>
      <c r="F15813" s="27" t="s">
        <v>1909</v>
      </c>
      <c r="H15813" s="27" t="s">
        <v>1961</v>
      </c>
      <c r="J15813" s="27" t="s">
        <v>20806</v>
      </c>
      <c r="L15813" s="27" t="s">
        <v>10392</v>
      </c>
      <c r="N15813" s="27" t="s">
        <v>10416</v>
      </c>
      <c r="P15813" s="27" t="s">
        <v>21660</v>
      </c>
      <c r="Q15813" s="26" t="str">
        <f>HYPERLINK("https://ictv.global/taxonomy/taxondetails?taxnode_id=202522515&amp;ictv_id=ICTV202522515","ICTV202522515")</f>
        <v>ICTV202522515</v>
      </c>
      <c r="R15813" t="s">
        <v>581</v>
      </c>
      <c r="S15813" t="s">
        <v>823</v>
      </c>
      <c r="T15813">
        <v>41</v>
      </c>
      <c r="U15813" s="26" t="str">
        <f t="shared" si="588"/>
        <v>2025.012F.Hypofuvirales_neworder.zip</v>
      </c>
    </row>
    <row r="15814" spans="1:21">
      <c r="A15814">
        <v>15813</v>
      </c>
      <c r="B15814" s="27" t="s">
        <v>1124</v>
      </c>
      <c r="D15814" s="27" t="s">
        <v>1859</v>
      </c>
      <c r="F15814" s="27" t="s">
        <v>1909</v>
      </c>
      <c r="H15814" s="27" t="s">
        <v>1961</v>
      </c>
      <c r="J15814" s="27" t="s">
        <v>20806</v>
      </c>
      <c r="L15814" s="27" t="s">
        <v>10392</v>
      </c>
      <c r="N15814" s="27" t="s">
        <v>10416</v>
      </c>
      <c r="P15814" s="27" t="s">
        <v>21658</v>
      </c>
      <c r="Q15814" s="26" t="str">
        <f>HYPERLINK("https://ictv.global/taxonomy/taxondetails?taxnode_id=202522513&amp;ictv_id=ICTV202522513","ICTV202522513")</f>
        <v>ICTV202522513</v>
      </c>
      <c r="R15814" t="s">
        <v>581</v>
      </c>
      <c r="S15814" t="s">
        <v>823</v>
      </c>
      <c r="T15814">
        <v>41</v>
      </c>
      <c r="U15814" s="26" t="str">
        <f t="shared" si="588"/>
        <v>2025.012F.Hypofuvirales_neworder.zip</v>
      </c>
    </row>
    <row r="15815" spans="1:21">
      <c r="A15815">
        <v>15814</v>
      </c>
      <c r="B15815" s="27" t="s">
        <v>1124</v>
      </c>
      <c r="D15815" s="27" t="s">
        <v>1859</v>
      </c>
      <c r="F15815" s="27" t="s">
        <v>1909</v>
      </c>
      <c r="H15815" s="27" t="s">
        <v>1961</v>
      </c>
      <c r="J15815" s="27" t="s">
        <v>20806</v>
      </c>
      <c r="L15815" s="27" t="s">
        <v>10392</v>
      </c>
      <c r="N15815" s="27" t="s">
        <v>10416</v>
      </c>
      <c r="P15815" s="27" t="s">
        <v>10424</v>
      </c>
      <c r="Q15815" s="26" t="str">
        <f>HYPERLINK("https://ictv.global/taxonomy/taxondetails?taxnode_id=202513742&amp;ictv_id=ICTV202113742","ICTV202113742")</f>
        <v>ICTV202113742</v>
      </c>
      <c r="R15815" t="s">
        <v>581</v>
      </c>
      <c r="S15815" t="s">
        <v>22763</v>
      </c>
      <c r="T15815">
        <v>41</v>
      </c>
      <c r="U15815" s="26" t="str">
        <f t="shared" si="588"/>
        <v>2025.012F.Hypofuvirales_neworder.zip</v>
      </c>
    </row>
    <row r="15816" spans="1:21">
      <c r="A15816">
        <v>15815</v>
      </c>
      <c r="B15816" s="27" t="s">
        <v>1124</v>
      </c>
      <c r="D15816" s="27" t="s">
        <v>1859</v>
      </c>
      <c r="F15816" s="27" t="s">
        <v>1909</v>
      </c>
      <c r="H15816" s="27" t="s">
        <v>1961</v>
      </c>
      <c r="J15816" s="27" t="s">
        <v>20806</v>
      </c>
      <c r="L15816" s="27" t="s">
        <v>10392</v>
      </c>
      <c r="N15816" s="27" t="s">
        <v>10416</v>
      </c>
      <c r="P15816" s="27" t="s">
        <v>21661</v>
      </c>
      <c r="Q15816" s="26" t="str">
        <f>HYPERLINK("https://ictv.global/taxonomy/taxondetails?taxnode_id=202522516&amp;ictv_id=ICTV202522516","ICTV202522516")</f>
        <v>ICTV202522516</v>
      </c>
      <c r="R15816" t="s">
        <v>581</v>
      </c>
      <c r="S15816" t="s">
        <v>823</v>
      </c>
      <c r="T15816">
        <v>41</v>
      </c>
      <c r="U15816" s="26" t="str">
        <f t="shared" si="588"/>
        <v>2025.012F.Hypofuvirales_neworder.zip</v>
      </c>
    </row>
    <row r="15817" spans="1:21">
      <c r="A15817">
        <v>15816</v>
      </c>
      <c r="B15817" s="27" t="s">
        <v>1124</v>
      </c>
      <c r="D15817" s="27" t="s">
        <v>1859</v>
      </c>
      <c r="F15817" s="27" t="s">
        <v>1909</v>
      </c>
      <c r="H15817" s="27" t="s">
        <v>1961</v>
      </c>
      <c r="J15817" s="27" t="s">
        <v>20806</v>
      </c>
      <c r="L15817" s="27" t="s">
        <v>10392</v>
      </c>
      <c r="N15817" s="27" t="s">
        <v>10416</v>
      </c>
      <c r="P15817" s="27" t="s">
        <v>10425</v>
      </c>
      <c r="Q15817" s="26" t="str">
        <f>HYPERLINK("https://ictv.global/taxonomy/taxondetails?taxnode_id=202513743&amp;ictv_id=ICTV202113743","ICTV202113743")</f>
        <v>ICTV202113743</v>
      </c>
      <c r="R15817" t="s">
        <v>581</v>
      </c>
      <c r="S15817" t="s">
        <v>22763</v>
      </c>
      <c r="T15817">
        <v>41</v>
      </c>
      <c r="U15817" s="26" t="str">
        <f t="shared" si="588"/>
        <v>2025.012F.Hypofuvirales_neworder.zip</v>
      </c>
    </row>
    <row r="15818" spans="1:21">
      <c r="A15818">
        <v>15817</v>
      </c>
      <c r="B15818" s="27" t="s">
        <v>1124</v>
      </c>
      <c r="D15818" s="27" t="s">
        <v>1859</v>
      </c>
      <c r="F15818" s="27" t="s">
        <v>1909</v>
      </c>
      <c r="H15818" s="27" t="s">
        <v>1961</v>
      </c>
      <c r="J15818" s="27" t="s">
        <v>20806</v>
      </c>
      <c r="L15818" s="27" t="s">
        <v>10392</v>
      </c>
      <c r="N15818" s="27" t="s">
        <v>10416</v>
      </c>
      <c r="P15818" s="27" t="s">
        <v>10426</v>
      </c>
      <c r="Q15818" s="26" t="str">
        <f>HYPERLINK("https://ictv.global/taxonomy/taxondetails?taxnode_id=202513746&amp;ictv_id=ICTV202113746","ICTV202113746")</f>
        <v>ICTV202113746</v>
      </c>
      <c r="R15818" t="s">
        <v>581</v>
      </c>
      <c r="S15818" t="s">
        <v>22763</v>
      </c>
      <c r="T15818">
        <v>41</v>
      </c>
      <c r="U15818" s="26" t="str">
        <f t="shared" si="588"/>
        <v>2025.012F.Hypofuvirales_neworder.zip</v>
      </c>
    </row>
    <row r="15819" spans="1:21">
      <c r="A15819">
        <v>15818</v>
      </c>
      <c r="B15819" s="27" t="s">
        <v>1124</v>
      </c>
      <c r="D15819" s="27" t="s">
        <v>1859</v>
      </c>
      <c r="F15819" s="27" t="s">
        <v>1909</v>
      </c>
      <c r="H15819" s="27" t="s">
        <v>1961</v>
      </c>
      <c r="J15819" s="27" t="s">
        <v>20806</v>
      </c>
      <c r="L15819" s="27" t="s">
        <v>10392</v>
      </c>
      <c r="N15819" s="27" t="s">
        <v>10416</v>
      </c>
      <c r="P15819" s="27" t="s">
        <v>10427</v>
      </c>
      <c r="Q15819" s="26" t="str">
        <f>HYPERLINK("https://ictv.global/taxonomy/taxondetails?taxnode_id=202513737&amp;ictv_id=ICTV202113737","ICTV202113737")</f>
        <v>ICTV202113737</v>
      </c>
      <c r="R15819" t="s">
        <v>581</v>
      </c>
      <c r="S15819" t="s">
        <v>22763</v>
      </c>
      <c r="T15819">
        <v>41</v>
      </c>
      <c r="U15819" s="26" t="str">
        <f t="shared" si="588"/>
        <v>2025.012F.Hypofuvirales_neworder.zip</v>
      </c>
    </row>
    <row r="15820" spans="1:21">
      <c r="A15820">
        <v>15819</v>
      </c>
      <c r="B15820" s="27" t="s">
        <v>1124</v>
      </c>
      <c r="D15820" s="27" t="s">
        <v>1859</v>
      </c>
      <c r="F15820" s="27" t="s">
        <v>1909</v>
      </c>
      <c r="H15820" s="27" t="s">
        <v>1961</v>
      </c>
      <c r="J15820" s="27" t="s">
        <v>20806</v>
      </c>
      <c r="L15820" s="27" t="s">
        <v>10392</v>
      </c>
      <c r="N15820" s="27" t="s">
        <v>10416</v>
      </c>
      <c r="P15820" s="27" t="s">
        <v>21662</v>
      </c>
      <c r="Q15820" s="26" t="str">
        <f>HYPERLINK("https://ictv.global/taxonomy/taxondetails?taxnode_id=202522517&amp;ictv_id=ICTV202522517","ICTV202522517")</f>
        <v>ICTV202522517</v>
      </c>
      <c r="R15820" t="s">
        <v>581</v>
      </c>
      <c r="S15820" t="s">
        <v>823</v>
      </c>
      <c r="T15820">
        <v>41</v>
      </c>
      <c r="U15820" s="26" t="str">
        <f t="shared" si="588"/>
        <v>2025.012F.Hypofuvirales_neworder.zip</v>
      </c>
    </row>
    <row r="15821" spans="1:21">
      <c r="A15821">
        <v>15820</v>
      </c>
      <c r="B15821" s="27" t="s">
        <v>1124</v>
      </c>
      <c r="D15821" s="27" t="s">
        <v>1859</v>
      </c>
      <c r="F15821" s="27" t="s">
        <v>1909</v>
      </c>
      <c r="H15821" s="27" t="s">
        <v>1961</v>
      </c>
      <c r="J15821" s="27" t="s">
        <v>20806</v>
      </c>
      <c r="L15821" s="27" t="s">
        <v>10392</v>
      </c>
      <c r="N15821" s="27" t="s">
        <v>21667</v>
      </c>
      <c r="P15821" s="27" t="s">
        <v>21668</v>
      </c>
      <c r="Q15821" s="26" t="str">
        <f>HYPERLINK("https://ictv.global/taxonomy/taxondetails?taxnode_id=202522522&amp;ictv_id=ICTV202522522","ICTV202522522")</f>
        <v>ICTV202522522</v>
      </c>
      <c r="R15821" t="s">
        <v>581</v>
      </c>
      <c r="S15821" t="s">
        <v>823</v>
      </c>
      <c r="T15821">
        <v>41</v>
      </c>
      <c r="U15821" s="26" t="str">
        <f t="shared" si="588"/>
        <v>2025.012F.Hypofuvirales_neworder.zip</v>
      </c>
    </row>
    <row r="15822" spans="1:21">
      <c r="A15822">
        <v>15821</v>
      </c>
      <c r="B15822" s="27" t="s">
        <v>1124</v>
      </c>
      <c r="D15822" s="27" t="s">
        <v>1859</v>
      </c>
      <c r="F15822" s="27" t="s">
        <v>1909</v>
      </c>
      <c r="H15822" s="27" t="s">
        <v>1961</v>
      </c>
      <c r="J15822" s="27" t="s">
        <v>20806</v>
      </c>
      <c r="L15822" s="27" t="s">
        <v>10392</v>
      </c>
      <c r="N15822" s="27" t="s">
        <v>10428</v>
      </c>
      <c r="P15822" s="27" t="s">
        <v>21664</v>
      </c>
      <c r="Q15822" s="26" t="str">
        <f>HYPERLINK("https://ictv.global/taxonomy/taxondetails?taxnode_id=202522519&amp;ictv_id=ICTV202522519","ICTV202522519")</f>
        <v>ICTV202522519</v>
      </c>
      <c r="R15822" t="s">
        <v>581</v>
      </c>
      <c r="S15822" t="s">
        <v>823</v>
      </c>
      <c r="T15822">
        <v>41</v>
      </c>
      <c r="U15822" s="26" t="str">
        <f t="shared" si="588"/>
        <v>2025.012F.Hypofuvirales_neworder.zip</v>
      </c>
    </row>
    <row r="15823" spans="1:21">
      <c r="A15823">
        <v>15822</v>
      </c>
      <c r="B15823" s="27" t="s">
        <v>1124</v>
      </c>
      <c r="D15823" s="27" t="s">
        <v>1859</v>
      </c>
      <c r="F15823" s="27" t="s">
        <v>1909</v>
      </c>
      <c r="H15823" s="27" t="s">
        <v>1961</v>
      </c>
      <c r="J15823" s="27" t="s">
        <v>20806</v>
      </c>
      <c r="L15823" s="27" t="s">
        <v>10392</v>
      </c>
      <c r="N15823" s="27" t="s">
        <v>10428</v>
      </c>
      <c r="P15823" s="27" t="s">
        <v>21663</v>
      </c>
      <c r="Q15823" s="26" t="str">
        <f>HYPERLINK("https://ictv.global/taxonomy/taxondetails?taxnode_id=202522518&amp;ictv_id=ICTV202522518","ICTV202522518")</f>
        <v>ICTV202522518</v>
      </c>
      <c r="R15823" t="s">
        <v>581</v>
      </c>
      <c r="S15823" t="s">
        <v>823</v>
      </c>
      <c r="T15823">
        <v>41</v>
      </c>
      <c r="U15823" s="26" t="str">
        <f t="shared" si="588"/>
        <v>2025.012F.Hypofuvirales_neworder.zip</v>
      </c>
    </row>
    <row r="15824" spans="1:21">
      <c r="A15824">
        <v>15823</v>
      </c>
      <c r="B15824" s="27" t="s">
        <v>1124</v>
      </c>
      <c r="D15824" s="27" t="s">
        <v>1859</v>
      </c>
      <c r="F15824" s="27" t="s">
        <v>1909</v>
      </c>
      <c r="H15824" s="27" t="s">
        <v>1961</v>
      </c>
      <c r="J15824" s="27" t="s">
        <v>20806</v>
      </c>
      <c r="L15824" s="27" t="s">
        <v>10392</v>
      </c>
      <c r="N15824" s="27" t="s">
        <v>10428</v>
      </c>
      <c r="P15824" s="27" t="s">
        <v>10429</v>
      </c>
      <c r="Q15824" s="26" t="str">
        <f>HYPERLINK("https://ictv.global/taxonomy/taxondetails?taxnode_id=202513748&amp;ictv_id=ICTV202113748","ICTV202113748")</f>
        <v>ICTV202113748</v>
      </c>
      <c r="R15824" t="s">
        <v>581</v>
      </c>
      <c r="S15824" t="s">
        <v>22763</v>
      </c>
      <c r="T15824">
        <v>41</v>
      </c>
      <c r="U15824" s="26" t="str">
        <f t="shared" si="588"/>
        <v>2025.012F.Hypofuvirales_neworder.zip</v>
      </c>
    </row>
    <row r="15825" spans="1:21">
      <c r="A15825">
        <v>15824</v>
      </c>
      <c r="B15825" s="27" t="s">
        <v>1124</v>
      </c>
      <c r="D15825" s="27" t="s">
        <v>1859</v>
      </c>
      <c r="F15825" s="27" t="s">
        <v>1909</v>
      </c>
      <c r="H15825" s="27" t="s">
        <v>1961</v>
      </c>
      <c r="J15825" s="27" t="s">
        <v>20806</v>
      </c>
      <c r="L15825" s="27" t="s">
        <v>10392</v>
      </c>
      <c r="N15825" s="27" t="s">
        <v>10428</v>
      </c>
      <c r="P15825" s="27" t="s">
        <v>21665</v>
      </c>
      <c r="Q15825" s="26" t="str">
        <f>HYPERLINK("https://ictv.global/taxonomy/taxondetails?taxnode_id=202522520&amp;ictv_id=ICTV202522520","ICTV202522520")</f>
        <v>ICTV202522520</v>
      </c>
      <c r="R15825" t="s">
        <v>581</v>
      </c>
      <c r="S15825" t="s">
        <v>823</v>
      </c>
      <c r="T15825">
        <v>41</v>
      </c>
      <c r="U15825" s="26" t="str">
        <f t="shared" si="588"/>
        <v>2025.012F.Hypofuvirales_neworder.zip</v>
      </c>
    </row>
    <row r="15826" spans="1:21">
      <c r="A15826">
        <v>15825</v>
      </c>
      <c r="B15826" s="27" t="s">
        <v>1124</v>
      </c>
      <c r="D15826" s="27" t="s">
        <v>1859</v>
      </c>
      <c r="F15826" s="27" t="s">
        <v>1909</v>
      </c>
      <c r="H15826" s="27" t="s">
        <v>1961</v>
      </c>
      <c r="J15826" s="27" t="s">
        <v>20806</v>
      </c>
      <c r="L15826" s="27" t="s">
        <v>10392</v>
      </c>
      <c r="N15826" s="27" t="s">
        <v>10428</v>
      </c>
      <c r="P15826" s="27" t="s">
        <v>21666</v>
      </c>
      <c r="Q15826" s="26" t="str">
        <f>HYPERLINK("https://ictv.global/taxonomy/taxondetails?taxnode_id=202522521&amp;ictv_id=ICTV202522521","ICTV202522521")</f>
        <v>ICTV202522521</v>
      </c>
      <c r="R15826" t="s">
        <v>581</v>
      </c>
      <c r="S15826" t="s">
        <v>823</v>
      </c>
      <c r="T15826">
        <v>41</v>
      </c>
      <c r="U15826" s="26" t="str">
        <f t="shared" si="588"/>
        <v>2025.012F.Hypofuvirales_neworder.zip</v>
      </c>
    </row>
    <row r="15827" spans="1:21">
      <c r="A15827">
        <v>15826</v>
      </c>
      <c r="B15827" s="27" t="s">
        <v>1124</v>
      </c>
      <c r="D15827" s="27" t="s">
        <v>1859</v>
      </c>
      <c r="F15827" s="27" t="s">
        <v>1909</v>
      </c>
      <c r="H15827" s="27" t="s">
        <v>1961</v>
      </c>
      <c r="J15827" s="27" t="s">
        <v>20806</v>
      </c>
      <c r="L15827" s="27" t="s">
        <v>115</v>
      </c>
      <c r="N15827" s="27" t="s">
        <v>10430</v>
      </c>
      <c r="P15827" s="27" t="s">
        <v>10431</v>
      </c>
      <c r="Q15827" s="26" t="str">
        <f>HYPERLINK("https://ictv.global/taxonomy/taxondetails?taxnode_id=202512488&amp;ictv_id=ICTV202112488","ICTV202112488")</f>
        <v>ICTV202112488</v>
      </c>
      <c r="R15827" t="s">
        <v>581</v>
      </c>
      <c r="S15827" t="s">
        <v>22763</v>
      </c>
      <c r="T15827">
        <v>41</v>
      </c>
      <c r="U15827" s="26" t="str">
        <f t="shared" si="588"/>
        <v>2025.012F.Hypofuvirales_neworder.zip</v>
      </c>
    </row>
    <row r="15828" spans="1:21">
      <c r="A15828">
        <v>15827</v>
      </c>
      <c r="B15828" s="27" t="s">
        <v>1124</v>
      </c>
      <c r="D15828" s="27" t="s">
        <v>1859</v>
      </c>
      <c r="F15828" s="27" t="s">
        <v>1909</v>
      </c>
      <c r="H15828" s="27" t="s">
        <v>1961</v>
      </c>
      <c r="J15828" s="27" t="s">
        <v>20806</v>
      </c>
      <c r="L15828" s="27" t="s">
        <v>115</v>
      </c>
      <c r="N15828" s="27" t="s">
        <v>10430</v>
      </c>
      <c r="P15828" s="27" t="s">
        <v>10432</v>
      </c>
      <c r="Q15828" s="26" t="str">
        <f>HYPERLINK("https://ictv.global/taxonomy/taxondetails?taxnode_id=202503675&amp;ictv_id=ICTV19951082","ICTV19951082")</f>
        <v>ICTV19951082</v>
      </c>
      <c r="R15828" t="s">
        <v>581</v>
      </c>
      <c r="S15828" t="s">
        <v>22763</v>
      </c>
      <c r="T15828">
        <v>41</v>
      </c>
      <c r="U15828" s="26" t="str">
        <f t="shared" si="588"/>
        <v>2025.012F.Hypofuvirales_neworder.zip</v>
      </c>
    </row>
    <row r="15829" spans="1:21">
      <c r="A15829">
        <v>15828</v>
      </c>
      <c r="B15829" s="27" t="s">
        <v>1124</v>
      </c>
      <c r="D15829" s="27" t="s">
        <v>1859</v>
      </c>
      <c r="F15829" s="27" t="s">
        <v>1909</v>
      </c>
      <c r="H15829" s="27" t="s">
        <v>1961</v>
      </c>
      <c r="J15829" s="27" t="s">
        <v>20806</v>
      </c>
      <c r="L15829" s="27" t="s">
        <v>115</v>
      </c>
      <c r="N15829" s="27" t="s">
        <v>10430</v>
      </c>
      <c r="P15829" s="27" t="s">
        <v>21672</v>
      </c>
      <c r="Q15829" s="26" t="str">
        <f>HYPERLINK("https://ictv.global/taxonomy/taxondetails?taxnode_id=202522526&amp;ictv_id=ICTV202522526","ICTV202522526")</f>
        <v>ICTV202522526</v>
      </c>
      <c r="R15829" t="s">
        <v>581</v>
      </c>
      <c r="S15829" t="s">
        <v>823</v>
      </c>
      <c r="T15829">
        <v>41</v>
      </c>
      <c r="U15829" s="26" t="str">
        <f t="shared" si="588"/>
        <v>2025.012F.Hypofuvirales_neworder.zip</v>
      </c>
    </row>
    <row r="15830" spans="1:21">
      <c r="A15830">
        <v>15829</v>
      </c>
      <c r="B15830" s="27" t="s">
        <v>1124</v>
      </c>
      <c r="D15830" s="27" t="s">
        <v>1859</v>
      </c>
      <c r="F15830" s="27" t="s">
        <v>1909</v>
      </c>
      <c r="H15830" s="27" t="s">
        <v>1961</v>
      </c>
      <c r="J15830" s="27" t="s">
        <v>20806</v>
      </c>
      <c r="L15830" s="27" t="s">
        <v>115</v>
      </c>
      <c r="N15830" s="27" t="s">
        <v>10430</v>
      </c>
      <c r="P15830" s="27" t="s">
        <v>10433</v>
      </c>
      <c r="Q15830" s="26" t="str">
        <f>HYPERLINK("https://ictv.global/taxonomy/taxondetails?taxnode_id=202512485&amp;ictv_id=ICTV202112485","ICTV202112485")</f>
        <v>ICTV202112485</v>
      </c>
      <c r="R15830" t="s">
        <v>581</v>
      </c>
      <c r="S15830" t="s">
        <v>22763</v>
      </c>
      <c r="T15830">
        <v>41</v>
      </c>
      <c r="U15830" s="26" t="str">
        <f t="shared" si="588"/>
        <v>2025.012F.Hypofuvirales_neworder.zip</v>
      </c>
    </row>
    <row r="15831" spans="1:21">
      <c r="A15831">
        <v>15830</v>
      </c>
      <c r="B15831" s="27" t="s">
        <v>1124</v>
      </c>
      <c r="D15831" s="27" t="s">
        <v>1859</v>
      </c>
      <c r="F15831" s="27" t="s">
        <v>1909</v>
      </c>
      <c r="H15831" s="27" t="s">
        <v>1961</v>
      </c>
      <c r="J15831" s="27" t="s">
        <v>20806</v>
      </c>
      <c r="L15831" s="27" t="s">
        <v>115</v>
      </c>
      <c r="N15831" s="27" t="s">
        <v>10430</v>
      </c>
      <c r="P15831" s="27" t="s">
        <v>10434</v>
      </c>
      <c r="Q15831" s="26" t="str">
        <f>HYPERLINK("https://ictv.global/taxonomy/taxondetails?taxnode_id=202512487&amp;ictv_id=ICTV202112487","ICTV202112487")</f>
        <v>ICTV202112487</v>
      </c>
      <c r="R15831" t="s">
        <v>581</v>
      </c>
      <c r="S15831" t="s">
        <v>22763</v>
      </c>
      <c r="T15831">
        <v>41</v>
      </c>
      <c r="U15831" s="26" t="str">
        <f t="shared" si="588"/>
        <v>2025.012F.Hypofuvirales_neworder.zip</v>
      </c>
    </row>
    <row r="15832" spans="1:21">
      <c r="A15832">
        <v>15831</v>
      </c>
      <c r="B15832" s="27" t="s">
        <v>1124</v>
      </c>
      <c r="D15832" s="27" t="s">
        <v>1859</v>
      </c>
      <c r="F15832" s="27" t="s">
        <v>1909</v>
      </c>
      <c r="H15832" s="27" t="s">
        <v>1961</v>
      </c>
      <c r="J15832" s="27" t="s">
        <v>20806</v>
      </c>
      <c r="L15832" s="27" t="s">
        <v>115</v>
      </c>
      <c r="N15832" s="27" t="s">
        <v>10430</v>
      </c>
      <c r="P15832" s="27" t="s">
        <v>10435</v>
      </c>
      <c r="Q15832" s="26" t="str">
        <f>HYPERLINK("https://ictv.global/taxonomy/taxondetails?taxnode_id=202503674&amp;ictv_id=ICTV19991024","ICTV19991024")</f>
        <v>ICTV19991024</v>
      </c>
      <c r="R15832" t="s">
        <v>581</v>
      </c>
      <c r="S15832" t="s">
        <v>22763</v>
      </c>
      <c r="T15832">
        <v>41</v>
      </c>
      <c r="U15832" s="26" t="str">
        <f t="shared" si="588"/>
        <v>2025.012F.Hypofuvirales_neworder.zip</v>
      </c>
    </row>
    <row r="15833" spans="1:21">
      <c r="A15833">
        <v>15832</v>
      </c>
      <c r="B15833" s="27" t="s">
        <v>1124</v>
      </c>
      <c r="D15833" s="27" t="s">
        <v>1859</v>
      </c>
      <c r="F15833" s="27" t="s">
        <v>1909</v>
      </c>
      <c r="H15833" s="27" t="s">
        <v>1961</v>
      </c>
      <c r="J15833" s="27" t="s">
        <v>20806</v>
      </c>
      <c r="L15833" s="27" t="s">
        <v>115</v>
      </c>
      <c r="N15833" s="27" t="s">
        <v>10430</v>
      </c>
      <c r="P15833" s="27" t="s">
        <v>21674</v>
      </c>
      <c r="Q15833" s="26" t="str">
        <f>HYPERLINK("https://ictv.global/taxonomy/taxondetails?taxnode_id=202522528&amp;ictv_id=ICTV202522528","ICTV202522528")</f>
        <v>ICTV202522528</v>
      </c>
      <c r="R15833" t="s">
        <v>581</v>
      </c>
      <c r="S15833" t="s">
        <v>823</v>
      </c>
      <c r="T15833">
        <v>41</v>
      </c>
      <c r="U15833" s="26" t="str">
        <f t="shared" si="588"/>
        <v>2025.012F.Hypofuvirales_neworder.zip</v>
      </c>
    </row>
    <row r="15834" spans="1:21">
      <c r="A15834">
        <v>15833</v>
      </c>
      <c r="B15834" s="27" t="s">
        <v>1124</v>
      </c>
      <c r="D15834" s="27" t="s">
        <v>1859</v>
      </c>
      <c r="F15834" s="27" t="s">
        <v>1909</v>
      </c>
      <c r="H15834" s="27" t="s">
        <v>1961</v>
      </c>
      <c r="J15834" s="27" t="s">
        <v>20806</v>
      </c>
      <c r="L15834" s="27" t="s">
        <v>115</v>
      </c>
      <c r="N15834" s="27" t="s">
        <v>10430</v>
      </c>
      <c r="P15834" s="27" t="s">
        <v>21670</v>
      </c>
      <c r="Q15834" s="26" t="str">
        <f>HYPERLINK("https://ictv.global/taxonomy/taxondetails?taxnode_id=202522524&amp;ictv_id=ICTV202522524","ICTV202522524")</f>
        <v>ICTV202522524</v>
      </c>
      <c r="R15834" t="s">
        <v>581</v>
      </c>
      <c r="S15834" t="s">
        <v>823</v>
      </c>
      <c r="T15834">
        <v>41</v>
      </c>
      <c r="U15834" s="26" t="str">
        <f t="shared" si="588"/>
        <v>2025.012F.Hypofuvirales_neworder.zip</v>
      </c>
    </row>
    <row r="15835" spans="1:21">
      <c r="A15835">
        <v>15834</v>
      </c>
      <c r="B15835" s="27" t="s">
        <v>1124</v>
      </c>
      <c r="D15835" s="27" t="s">
        <v>1859</v>
      </c>
      <c r="F15835" s="27" t="s">
        <v>1909</v>
      </c>
      <c r="H15835" s="27" t="s">
        <v>1961</v>
      </c>
      <c r="J15835" s="27" t="s">
        <v>20806</v>
      </c>
      <c r="L15835" s="27" t="s">
        <v>115</v>
      </c>
      <c r="N15835" s="27" t="s">
        <v>10430</v>
      </c>
      <c r="P15835" s="27" t="s">
        <v>21676</v>
      </c>
      <c r="Q15835" s="26" t="str">
        <f>HYPERLINK("https://ictv.global/taxonomy/taxondetails?taxnode_id=202522530&amp;ictv_id=ICTV202522530","ICTV202522530")</f>
        <v>ICTV202522530</v>
      </c>
      <c r="R15835" t="s">
        <v>581</v>
      </c>
      <c r="S15835" t="s">
        <v>823</v>
      </c>
      <c r="T15835">
        <v>41</v>
      </c>
      <c r="U15835" s="26" t="str">
        <f t="shared" si="588"/>
        <v>2025.012F.Hypofuvirales_neworder.zip</v>
      </c>
    </row>
    <row r="15836" spans="1:21">
      <c r="A15836">
        <v>15835</v>
      </c>
      <c r="B15836" s="27" t="s">
        <v>1124</v>
      </c>
      <c r="D15836" s="27" t="s">
        <v>1859</v>
      </c>
      <c r="F15836" s="27" t="s">
        <v>1909</v>
      </c>
      <c r="H15836" s="27" t="s">
        <v>1961</v>
      </c>
      <c r="J15836" s="27" t="s">
        <v>20806</v>
      </c>
      <c r="L15836" s="27" t="s">
        <v>115</v>
      </c>
      <c r="N15836" s="27" t="s">
        <v>10430</v>
      </c>
      <c r="P15836" s="27" t="s">
        <v>10436</v>
      </c>
      <c r="Q15836" s="26" t="str">
        <f>HYPERLINK("https://ictv.global/taxonomy/taxondetails?taxnode_id=202512482&amp;ictv_id=ICTV202112482","ICTV202112482")</f>
        <v>ICTV202112482</v>
      </c>
      <c r="R15836" t="s">
        <v>581</v>
      </c>
      <c r="S15836" t="s">
        <v>22763</v>
      </c>
      <c r="T15836">
        <v>41</v>
      </c>
      <c r="U15836" s="26" t="str">
        <f t="shared" si="588"/>
        <v>2025.012F.Hypofuvirales_neworder.zip</v>
      </c>
    </row>
    <row r="15837" spans="1:21">
      <c r="A15837">
        <v>15836</v>
      </c>
      <c r="B15837" s="27" t="s">
        <v>1124</v>
      </c>
      <c r="D15837" s="27" t="s">
        <v>1859</v>
      </c>
      <c r="F15837" s="27" t="s">
        <v>1909</v>
      </c>
      <c r="H15837" s="27" t="s">
        <v>1961</v>
      </c>
      <c r="J15837" s="27" t="s">
        <v>20806</v>
      </c>
      <c r="L15837" s="27" t="s">
        <v>115</v>
      </c>
      <c r="N15837" s="27" t="s">
        <v>10430</v>
      </c>
      <c r="P15837" s="27" t="s">
        <v>10437</v>
      </c>
      <c r="Q15837" s="26" t="str">
        <f>HYPERLINK("https://ictv.global/taxonomy/taxondetails?taxnode_id=202512489&amp;ictv_id=ICTV202112489","ICTV202112489")</f>
        <v>ICTV202112489</v>
      </c>
      <c r="R15837" t="s">
        <v>581</v>
      </c>
      <c r="S15837" t="s">
        <v>22763</v>
      </c>
      <c r="T15837">
        <v>41</v>
      </c>
      <c r="U15837" s="26" t="str">
        <f t="shared" si="588"/>
        <v>2025.012F.Hypofuvirales_neworder.zip</v>
      </c>
    </row>
    <row r="15838" spans="1:21">
      <c r="A15838">
        <v>15837</v>
      </c>
      <c r="B15838" s="27" t="s">
        <v>1124</v>
      </c>
      <c r="D15838" s="27" t="s">
        <v>1859</v>
      </c>
      <c r="F15838" s="27" t="s">
        <v>1909</v>
      </c>
      <c r="H15838" s="27" t="s">
        <v>1961</v>
      </c>
      <c r="J15838" s="27" t="s">
        <v>20806</v>
      </c>
      <c r="L15838" s="27" t="s">
        <v>115</v>
      </c>
      <c r="N15838" s="27" t="s">
        <v>10430</v>
      </c>
      <c r="P15838" s="27" t="s">
        <v>21673</v>
      </c>
      <c r="Q15838" s="26" t="str">
        <f>HYPERLINK("https://ictv.global/taxonomy/taxondetails?taxnode_id=202522527&amp;ictv_id=ICTV202522527","ICTV202522527")</f>
        <v>ICTV202522527</v>
      </c>
      <c r="R15838" t="s">
        <v>581</v>
      </c>
      <c r="S15838" t="s">
        <v>823</v>
      </c>
      <c r="T15838">
        <v>41</v>
      </c>
      <c r="U15838" s="26" t="str">
        <f t="shared" ref="U15838:U15869" si="589">HYPERLINK("https://ictv.global/ictv/proposals/2025.012F.Hypofuvirales_neworder.zip","2025.012F.Hypofuvirales_neworder.zip")</f>
        <v>2025.012F.Hypofuvirales_neworder.zip</v>
      </c>
    </row>
    <row r="15839" spans="1:21">
      <c r="A15839">
        <v>15838</v>
      </c>
      <c r="B15839" s="27" t="s">
        <v>1124</v>
      </c>
      <c r="D15839" s="27" t="s">
        <v>1859</v>
      </c>
      <c r="F15839" s="27" t="s">
        <v>1909</v>
      </c>
      <c r="H15839" s="27" t="s">
        <v>1961</v>
      </c>
      <c r="J15839" s="27" t="s">
        <v>20806</v>
      </c>
      <c r="L15839" s="27" t="s">
        <v>115</v>
      </c>
      <c r="N15839" s="27" t="s">
        <v>10430</v>
      </c>
      <c r="P15839" s="27" t="s">
        <v>10438</v>
      </c>
      <c r="Q15839" s="26" t="str">
        <f>HYPERLINK("https://ictv.global/taxonomy/taxondetails?taxnode_id=202512484&amp;ictv_id=ICTV202112484","ICTV202112484")</f>
        <v>ICTV202112484</v>
      </c>
      <c r="R15839" t="s">
        <v>581</v>
      </c>
      <c r="S15839" t="s">
        <v>22763</v>
      </c>
      <c r="T15839">
        <v>41</v>
      </c>
      <c r="U15839" s="26" t="str">
        <f t="shared" si="589"/>
        <v>2025.012F.Hypofuvirales_neworder.zip</v>
      </c>
    </row>
    <row r="15840" spans="1:21">
      <c r="A15840">
        <v>15839</v>
      </c>
      <c r="B15840" s="27" t="s">
        <v>1124</v>
      </c>
      <c r="D15840" s="27" t="s">
        <v>1859</v>
      </c>
      <c r="F15840" s="27" t="s">
        <v>1909</v>
      </c>
      <c r="H15840" s="27" t="s">
        <v>1961</v>
      </c>
      <c r="J15840" s="27" t="s">
        <v>20806</v>
      </c>
      <c r="L15840" s="27" t="s">
        <v>115</v>
      </c>
      <c r="N15840" s="27" t="s">
        <v>10430</v>
      </c>
      <c r="P15840" s="27" t="s">
        <v>21675</v>
      </c>
      <c r="Q15840" s="26" t="str">
        <f>HYPERLINK("https://ictv.global/taxonomy/taxondetails?taxnode_id=202522529&amp;ictv_id=ICTV202522529","ICTV202522529")</f>
        <v>ICTV202522529</v>
      </c>
      <c r="R15840" t="s">
        <v>581</v>
      </c>
      <c r="S15840" t="s">
        <v>823</v>
      </c>
      <c r="T15840">
        <v>41</v>
      </c>
      <c r="U15840" s="26" t="str">
        <f t="shared" si="589"/>
        <v>2025.012F.Hypofuvirales_neworder.zip</v>
      </c>
    </row>
    <row r="15841" spans="1:21">
      <c r="A15841">
        <v>15840</v>
      </c>
      <c r="B15841" s="27" t="s">
        <v>1124</v>
      </c>
      <c r="D15841" s="27" t="s">
        <v>1859</v>
      </c>
      <c r="F15841" s="27" t="s">
        <v>1909</v>
      </c>
      <c r="H15841" s="27" t="s">
        <v>1961</v>
      </c>
      <c r="J15841" s="27" t="s">
        <v>20806</v>
      </c>
      <c r="L15841" s="27" t="s">
        <v>115</v>
      </c>
      <c r="N15841" s="27" t="s">
        <v>10430</v>
      </c>
      <c r="P15841" s="27" t="s">
        <v>10439</v>
      </c>
      <c r="Q15841" s="26" t="str">
        <f>HYPERLINK("https://ictv.global/taxonomy/taxondetails?taxnode_id=202512481&amp;ictv_id=ICTV202112481","ICTV202112481")</f>
        <v>ICTV202112481</v>
      </c>
      <c r="R15841" t="s">
        <v>581</v>
      </c>
      <c r="S15841" t="s">
        <v>22763</v>
      </c>
      <c r="T15841">
        <v>41</v>
      </c>
      <c r="U15841" s="26" t="str">
        <f t="shared" si="589"/>
        <v>2025.012F.Hypofuvirales_neworder.zip</v>
      </c>
    </row>
    <row r="15842" spans="1:21">
      <c r="A15842">
        <v>15841</v>
      </c>
      <c r="B15842" s="27" t="s">
        <v>1124</v>
      </c>
      <c r="D15842" s="27" t="s">
        <v>1859</v>
      </c>
      <c r="F15842" s="27" t="s">
        <v>1909</v>
      </c>
      <c r="H15842" s="27" t="s">
        <v>1961</v>
      </c>
      <c r="J15842" s="27" t="s">
        <v>20806</v>
      </c>
      <c r="L15842" s="27" t="s">
        <v>115</v>
      </c>
      <c r="N15842" s="27" t="s">
        <v>10430</v>
      </c>
      <c r="P15842" s="27" t="s">
        <v>21677</v>
      </c>
      <c r="Q15842" s="26" t="str">
        <f>HYPERLINK("https://ictv.global/taxonomy/taxondetails?taxnode_id=202522531&amp;ictv_id=ICTV202522531","ICTV202522531")</f>
        <v>ICTV202522531</v>
      </c>
      <c r="R15842" t="s">
        <v>581</v>
      </c>
      <c r="S15842" t="s">
        <v>823</v>
      </c>
      <c r="T15842">
        <v>41</v>
      </c>
      <c r="U15842" s="26" t="str">
        <f t="shared" si="589"/>
        <v>2025.012F.Hypofuvirales_neworder.zip</v>
      </c>
    </row>
    <row r="15843" spans="1:21">
      <c r="A15843">
        <v>15842</v>
      </c>
      <c r="B15843" s="27" t="s">
        <v>1124</v>
      </c>
      <c r="D15843" s="27" t="s">
        <v>1859</v>
      </c>
      <c r="F15843" s="27" t="s">
        <v>1909</v>
      </c>
      <c r="H15843" s="27" t="s">
        <v>1961</v>
      </c>
      <c r="J15843" s="27" t="s">
        <v>20806</v>
      </c>
      <c r="L15843" s="27" t="s">
        <v>115</v>
      </c>
      <c r="N15843" s="27" t="s">
        <v>10430</v>
      </c>
      <c r="P15843" s="27" t="s">
        <v>21678</v>
      </c>
      <c r="Q15843" s="26" t="str">
        <f>HYPERLINK("https://ictv.global/taxonomy/taxondetails?taxnode_id=202522532&amp;ictv_id=ICTV202522532","ICTV202522532")</f>
        <v>ICTV202522532</v>
      </c>
      <c r="R15843" t="s">
        <v>581</v>
      </c>
      <c r="S15843" t="s">
        <v>823</v>
      </c>
      <c r="T15843">
        <v>41</v>
      </c>
      <c r="U15843" s="26" t="str">
        <f t="shared" si="589"/>
        <v>2025.012F.Hypofuvirales_neworder.zip</v>
      </c>
    </row>
    <row r="15844" spans="1:21">
      <c r="A15844">
        <v>15843</v>
      </c>
      <c r="B15844" s="27" t="s">
        <v>1124</v>
      </c>
      <c r="D15844" s="27" t="s">
        <v>1859</v>
      </c>
      <c r="F15844" s="27" t="s">
        <v>1909</v>
      </c>
      <c r="H15844" s="27" t="s">
        <v>1961</v>
      </c>
      <c r="J15844" s="27" t="s">
        <v>20806</v>
      </c>
      <c r="L15844" s="27" t="s">
        <v>115</v>
      </c>
      <c r="N15844" s="27" t="s">
        <v>10430</v>
      </c>
      <c r="P15844" s="27" t="s">
        <v>10440</v>
      </c>
      <c r="Q15844" s="26" t="str">
        <f>HYPERLINK("https://ictv.global/taxonomy/taxondetails?taxnode_id=202512486&amp;ictv_id=ICTV202112486","ICTV202112486")</f>
        <v>ICTV202112486</v>
      </c>
      <c r="R15844" t="s">
        <v>581</v>
      </c>
      <c r="S15844" t="s">
        <v>22763</v>
      </c>
      <c r="T15844">
        <v>41</v>
      </c>
      <c r="U15844" s="26" t="str">
        <f t="shared" si="589"/>
        <v>2025.012F.Hypofuvirales_neworder.zip</v>
      </c>
    </row>
    <row r="15845" spans="1:21">
      <c r="A15845">
        <v>15844</v>
      </c>
      <c r="B15845" s="27" t="s">
        <v>1124</v>
      </c>
      <c r="D15845" s="27" t="s">
        <v>1859</v>
      </c>
      <c r="F15845" s="27" t="s">
        <v>1909</v>
      </c>
      <c r="H15845" s="27" t="s">
        <v>1961</v>
      </c>
      <c r="J15845" s="27" t="s">
        <v>20806</v>
      </c>
      <c r="L15845" s="27" t="s">
        <v>115</v>
      </c>
      <c r="N15845" s="27" t="s">
        <v>10430</v>
      </c>
      <c r="P15845" s="27" t="s">
        <v>21679</v>
      </c>
      <c r="Q15845" s="26" t="str">
        <f>HYPERLINK("https://ictv.global/taxonomy/taxondetails?taxnode_id=202522533&amp;ictv_id=ICTV202522533","ICTV202522533")</f>
        <v>ICTV202522533</v>
      </c>
      <c r="R15845" t="s">
        <v>581</v>
      </c>
      <c r="S15845" t="s">
        <v>823</v>
      </c>
      <c r="T15845">
        <v>41</v>
      </c>
      <c r="U15845" s="26" t="str">
        <f t="shared" si="589"/>
        <v>2025.012F.Hypofuvirales_neworder.zip</v>
      </c>
    </row>
    <row r="15846" spans="1:21">
      <c r="A15846">
        <v>15845</v>
      </c>
      <c r="B15846" s="27" t="s">
        <v>1124</v>
      </c>
      <c r="D15846" s="27" t="s">
        <v>1859</v>
      </c>
      <c r="F15846" s="27" t="s">
        <v>1909</v>
      </c>
      <c r="H15846" s="27" t="s">
        <v>1961</v>
      </c>
      <c r="J15846" s="27" t="s">
        <v>20806</v>
      </c>
      <c r="L15846" s="27" t="s">
        <v>115</v>
      </c>
      <c r="N15846" s="27" t="s">
        <v>10430</v>
      </c>
      <c r="P15846" s="27" t="s">
        <v>21671</v>
      </c>
      <c r="Q15846" s="26" t="str">
        <f>HYPERLINK("https://ictv.global/taxonomy/taxondetails?taxnode_id=202522525&amp;ictv_id=ICTV202522525","ICTV202522525")</f>
        <v>ICTV202522525</v>
      </c>
      <c r="R15846" t="s">
        <v>581</v>
      </c>
      <c r="S15846" t="s">
        <v>823</v>
      </c>
      <c r="T15846">
        <v>41</v>
      </c>
      <c r="U15846" s="26" t="str">
        <f t="shared" si="589"/>
        <v>2025.012F.Hypofuvirales_neworder.zip</v>
      </c>
    </row>
    <row r="15847" spans="1:21">
      <c r="A15847">
        <v>15846</v>
      </c>
      <c r="B15847" s="27" t="s">
        <v>1124</v>
      </c>
      <c r="D15847" s="27" t="s">
        <v>1859</v>
      </c>
      <c r="F15847" s="27" t="s">
        <v>1909</v>
      </c>
      <c r="H15847" s="27" t="s">
        <v>1961</v>
      </c>
      <c r="J15847" s="27" t="s">
        <v>20806</v>
      </c>
      <c r="L15847" s="27" t="s">
        <v>115</v>
      </c>
      <c r="N15847" s="27" t="s">
        <v>10430</v>
      </c>
      <c r="P15847" s="27" t="s">
        <v>10441</v>
      </c>
      <c r="Q15847" s="26" t="str">
        <f>HYPERLINK("https://ictv.global/taxonomy/taxondetails?taxnode_id=202512483&amp;ictv_id=ICTV202112483","ICTV202112483")</f>
        <v>ICTV202112483</v>
      </c>
      <c r="R15847" t="s">
        <v>581</v>
      </c>
      <c r="S15847" t="s">
        <v>22763</v>
      </c>
      <c r="T15847">
        <v>41</v>
      </c>
      <c r="U15847" s="26" t="str">
        <f t="shared" si="589"/>
        <v>2025.012F.Hypofuvirales_neworder.zip</v>
      </c>
    </row>
    <row r="15848" spans="1:21">
      <c r="A15848">
        <v>15847</v>
      </c>
      <c r="B15848" s="27" t="s">
        <v>1124</v>
      </c>
      <c r="D15848" s="27" t="s">
        <v>1859</v>
      </c>
      <c r="F15848" s="27" t="s">
        <v>1909</v>
      </c>
      <c r="H15848" s="27" t="s">
        <v>1961</v>
      </c>
      <c r="J15848" s="27" t="s">
        <v>20806</v>
      </c>
      <c r="L15848" s="27" t="s">
        <v>115</v>
      </c>
      <c r="N15848" s="27" t="s">
        <v>10430</v>
      </c>
      <c r="P15848" s="27" t="s">
        <v>21669</v>
      </c>
      <c r="Q15848" s="26" t="str">
        <f>HYPERLINK("https://ictv.global/taxonomy/taxondetails?taxnode_id=202522523&amp;ictv_id=ICTV202522523","ICTV202522523")</f>
        <v>ICTV202522523</v>
      </c>
      <c r="R15848" t="s">
        <v>581</v>
      </c>
      <c r="S15848" t="s">
        <v>823</v>
      </c>
      <c r="T15848">
        <v>41</v>
      </c>
      <c r="U15848" s="26" t="str">
        <f t="shared" si="589"/>
        <v>2025.012F.Hypofuvirales_neworder.zip</v>
      </c>
    </row>
    <row r="15849" spans="1:21">
      <c r="A15849">
        <v>15848</v>
      </c>
      <c r="B15849" s="27" t="s">
        <v>1124</v>
      </c>
      <c r="D15849" s="27" t="s">
        <v>1859</v>
      </c>
      <c r="F15849" s="27" t="s">
        <v>1909</v>
      </c>
      <c r="H15849" s="27" t="s">
        <v>1961</v>
      </c>
      <c r="J15849" s="27" t="s">
        <v>20806</v>
      </c>
      <c r="L15849" s="27" t="s">
        <v>115</v>
      </c>
      <c r="N15849" s="27" t="s">
        <v>10452</v>
      </c>
      <c r="P15849" s="27" t="s">
        <v>21681</v>
      </c>
      <c r="Q15849" s="26" t="str">
        <f>HYPERLINK("https://ictv.global/taxonomy/taxondetails?taxnode_id=202522535&amp;ictv_id=ICTV202522535","ICTV202522535")</f>
        <v>ICTV202522535</v>
      </c>
      <c r="R15849" t="s">
        <v>581</v>
      </c>
      <c r="S15849" t="s">
        <v>823</v>
      </c>
      <c r="T15849">
        <v>41</v>
      </c>
      <c r="U15849" s="26" t="str">
        <f t="shared" si="589"/>
        <v>2025.012F.Hypofuvirales_neworder.zip</v>
      </c>
    </row>
    <row r="15850" spans="1:21">
      <c r="A15850">
        <v>15849</v>
      </c>
      <c r="B15850" s="27" t="s">
        <v>1124</v>
      </c>
      <c r="D15850" s="27" t="s">
        <v>1859</v>
      </c>
      <c r="F15850" s="27" t="s">
        <v>1909</v>
      </c>
      <c r="H15850" s="27" t="s">
        <v>1961</v>
      </c>
      <c r="J15850" s="27" t="s">
        <v>20806</v>
      </c>
      <c r="L15850" s="27" t="s">
        <v>115</v>
      </c>
      <c r="N15850" s="27" t="s">
        <v>10452</v>
      </c>
      <c r="P15850" s="27" t="s">
        <v>21680</v>
      </c>
      <c r="Q15850" s="26" t="str">
        <f>HYPERLINK("https://ictv.global/taxonomy/taxondetails?taxnode_id=202522534&amp;ictv_id=ICTV202522534","ICTV202522534")</f>
        <v>ICTV202522534</v>
      </c>
      <c r="R15850" t="s">
        <v>581</v>
      </c>
      <c r="S15850" t="s">
        <v>823</v>
      </c>
      <c r="T15850">
        <v>41</v>
      </c>
      <c r="U15850" s="26" t="str">
        <f t="shared" si="589"/>
        <v>2025.012F.Hypofuvirales_neworder.zip</v>
      </c>
    </row>
    <row r="15851" spans="1:21">
      <c r="A15851">
        <v>15850</v>
      </c>
      <c r="B15851" s="27" t="s">
        <v>1124</v>
      </c>
      <c r="D15851" s="27" t="s">
        <v>1859</v>
      </c>
      <c r="F15851" s="27" t="s">
        <v>1909</v>
      </c>
      <c r="H15851" s="27" t="s">
        <v>1961</v>
      </c>
      <c r="J15851" s="27" t="s">
        <v>20806</v>
      </c>
      <c r="L15851" s="27" t="s">
        <v>115</v>
      </c>
      <c r="N15851" s="27" t="s">
        <v>10452</v>
      </c>
      <c r="P15851" s="27" t="s">
        <v>10453</v>
      </c>
      <c r="Q15851" s="26" t="str">
        <f>HYPERLINK("https://ictv.global/taxonomy/taxondetails?taxnode_id=202512505&amp;ictv_id=ICTV202112505","ICTV202112505")</f>
        <v>ICTV202112505</v>
      </c>
      <c r="R15851" t="s">
        <v>581</v>
      </c>
      <c r="S15851" t="s">
        <v>22763</v>
      </c>
      <c r="T15851">
        <v>41</v>
      </c>
      <c r="U15851" s="26" t="str">
        <f t="shared" si="589"/>
        <v>2025.012F.Hypofuvirales_neworder.zip</v>
      </c>
    </row>
    <row r="15852" spans="1:21">
      <c r="A15852">
        <v>15851</v>
      </c>
      <c r="B15852" s="27" t="s">
        <v>1124</v>
      </c>
      <c r="D15852" s="27" t="s">
        <v>1859</v>
      </c>
      <c r="F15852" s="27" t="s">
        <v>1909</v>
      </c>
      <c r="H15852" s="27" t="s">
        <v>1961</v>
      </c>
      <c r="J15852" s="27" t="s">
        <v>20806</v>
      </c>
      <c r="L15852" s="27" t="s">
        <v>115</v>
      </c>
      <c r="N15852" s="27" t="s">
        <v>10452</v>
      </c>
      <c r="P15852" s="27" t="s">
        <v>10454</v>
      </c>
      <c r="Q15852" s="26" t="str">
        <f>HYPERLINK("https://ictv.global/taxonomy/taxondetails?taxnode_id=202512506&amp;ictv_id=ICTV202112506","ICTV202112506")</f>
        <v>ICTV202112506</v>
      </c>
      <c r="R15852" t="s">
        <v>581</v>
      </c>
      <c r="S15852" t="s">
        <v>22763</v>
      </c>
      <c r="T15852">
        <v>41</v>
      </c>
      <c r="U15852" s="26" t="str">
        <f t="shared" si="589"/>
        <v>2025.012F.Hypofuvirales_neworder.zip</v>
      </c>
    </row>
    <row r="15853" spans="1:21">
      <c r="A15853">
        <v>15852</v>
      </c>
      <c r="B15853" s="27" t="s">
        <v>1124</v>
      </c>
      <c r="D15853" s="27" t="s">
        <v>1859</v>
      </c>
      <c r="F15853" s="27" t="s">
        <v>1909</v>
      </c>
      <c r="H15853" s="27" t="s">
        <v>1961</v>
      </c>
      <c r="J15853" s="27" t="s">
        <v>20806</v>
      </c>
      <c r="L15853" s="27" t="s">
        <v>115</v>
      </c>
      <c r="N15853" s="27" t="s">
        <v>10455</v>
      </c>
      <c r="P15853" s="27" t="s">
        <v>10456</v>
      </c>
      <c r="Q15853" s="26" t="str">
        <f>HYPERLINK("https://ictv.global/taxonomy/taxondetails?taxnode_id=202512508&amp;ictv_id=ICTV202112508","ICTV202112508")</f>
        <v>ICTV202112508</v>
      </c>
      <c r="R15853" t="s">
        <v>581</v>
      </c>
      <c r="S15853" t="s">
        <v>22763</v>
      </c>
      <c r="T15853">
        <v>41</v>
      </c>
      <c r="U15853" s="26" t="str">
        <f t="shared" si="589"/>
        <v>2025.012F.Hypofuvirales_neworder.zip</v>
      </c>
    </row>
    <row r="15854" spans="1:21">
      <c r="A15854">
        <v>15853</v>
      </c>
      <c r="B15854" s="27" t="s">
        <v>1124</v>
      </c>
      <c r="D15854" s="27" t="s">
        <v>1859</v>
      </c>
      <c r="F15854" s="27" t="s">
        <v>1909</v>
      </c>
      <c r="H15854" s="27" t="s">
        <v>1961</v>
      </c>
      <c r="J15854" s="27" t="s">
        <v>20806</v>
      </c>
      <c r="L15854" s="27" t="s">
        <v>115</v>
      </c>
      <c r="N15854" s="27" t="s">
        <v>10455</v>
      </c>
      <c r="P15854" s="27" t="s">
        <v>10457</v>
      </c>
      <c r="Q15854" s="26" t="str">
        <f>HYPERLINK("https://ictv.global/taxonomy/taxondetails?taxnode_id=202512509&amp;ictv_id=ICTV202112509","ICTV202112509")</f>
        <v>ICTV202112509</v>
      </c>
      <c r="R15854" t="s">
        <v>581</v>
      </c>
      <c r="S15854" t="s">
        <v>22763</v>
      </c>
      <c r="T15854">
        <v>41</v>
      </c>
      <c r="U15854" s="26" t="str">
        <f t="shared" si="589"/>
        <v>2025.012F.Hypofuvirales_neworder.zip</v>
      </c>
    </row>
    <row r="15855" spans="1:21">
      <c r="A15855">
        <v>15854</v>
      </c>
      <c r="B15855" s="27" t="s">
        <v>1124</v>
      </c>
      <c r="D15855" s="27" t="s">
        <v>1859</v>
      </c>
      <c r="F15855" s="27" t="s">
        <v>1909</v>
      </c>
      <c r="H15855" s="27" t="s">
        <v>1961</v>
      </c>
      <c r="J15855" s="27" t="s">
        <v>20806</v>
      </c>
      <c r="L15855" s="27" t="s">
        <v>115</v>
      </c>
      <c r="N15855" s="27" t="s">
        <v>10455</v>
      </c>
      <c r="P15855" s="27" t="s">
        <v>10458</v>
      </c>
      <c r="Q15855" s="26" t="str">
        <f>HYPERLINK("https://ictv.global/taxonomy/taxondetails?taxnode_id=202512511&amp;ictv_id=ICTV202112511","ICTV202112511")</f>
        <v>ICTV202112511</v>
      </c>
      <c r="R15855" t="s">
        <v>581</v>
      </c>
      <c r="S15855" t="s">
        <v>22763</v>
      </c>
      <c r="T15855">
        <v>41</v>
      </c>
      <c r="U15855" s="26" t="str">
        <f t="shared" si="589"/>
        <v>2025.012F.Hypofuvirales_neworder.zip</v>
      </c>
    </row>
    <row r="15856" spans="1:21">
      <c r="A15856">
        <v>15855</v>
      </c>
      <c r="B15856" s="27" t="s">
        <v>1124</v>
      </c>
      <c r="D15856" s="27" t="s">
        <v>1859</v>
      </c>
      <c r="F15856" s="27" t="s">
        <v>1909</v>
      </c>
      <c r="H15856" s="27" t="s">
        <v>1961</v>
      </c>
      <c r="J15856" s="27" t="s">
        <v>20806</v>
      </c>
      <c r="L15856" s="27" t="s">
        <v>115</v>
      </c>
      <c r="N15856" s="27" t="s">
        <v>10455</v>
      </c>
      <c r="P15856" s="27" t="s">
        <v>10459</v>
      </c>
      <c r="Q15856" s="26" t="str">
        <f>HYPERLINK("https://ictv.global/taxonomy/taxondetails?taxnode_id=202512513&amp;ictv_id=ICTV202112513","ICTV202112513")</f>
        <v>ICTV202112513</v>
      </c>
      <c r="R15856" t="s">
        <v>581</v>
      </c>
      <c r="S15856" t="s">
        <v>22763</v>
      </c>
      <c r="T15856">
        <v>41</v>
      </c>
      <c r="U15856" s="26" t="str">
        <f t="shared" si="589"/>
        <v>2025.012F.Hypofuvirales_neworder.zip</v>
      </c>
    </row>
    <row r="15857" spans="1:21">
      <c r="A15857">
        <v>15856</v>
      </c>
      <c r="B15857" s="27" t="s">
        <v>1124</v>
      </c>
      <c r="D15857" s="27" t="s">
        <v>1859</v>
      </c>
      <c r="F15857" s="27" t="s">
        <v>1909</v>
      </c>
      <c r="H15857" s="27" t="s">
        <v>1961</v>
      </c>
      <c r="J15857" s="27" t="s">
        <v>20806</v>
      </c>
      <c r="L15857" s="27" t="s">
        <v>115</v>
      </c>
      <c r="N15857" s="27" t="s">
        <v>10455</v>
      </c>
      <c r="P15857" s="27" t="s">
        <v>10460</v>
      </c>
      <c r="Q15857" s="26" t="str">
        <f>HYPERLINK("https://ictv.global/taxonomy/taxondetails?taxnode_id=202512510&amp;ictv_id=ICTV202112510","ICTV202112510")</f>
        <v>ICTV202112510</v>
      </c>
      <c r="R15857" t="s">
        <v>581</v>
      </c>
      <c r="S15857" t="s">
        <v>22763</v>
      </c>
      <c r="T15857">
        <v>41</v>
      </c>
      <c r="U15857" s="26" t="str">
        <f t="shared" si="589"/>
        <v>2025.012F.Hypofuvirales_neworder.zip</v>
      </c>
    </row>
    <row r="15858" spans="1:21">
      <c r="A15858">
        <v>15857</v>
      </c>
      <c r="B15858" s="27" t="s">
        <v>1124</v>
      </c>
      <c r="D15858" s="27" t="s">
        <v>1859</v>
      </c>
      <c r="F15858" s="27" t="s">
        <v>1909</v>
      </c>
      <c r="H15858" s="27" t="s">
        <v>1961</v>
      </c>
      <c r="J15858" s="27" t="s">
        <v>20806</v>
      </c>
      <c r="L15858" s="27" t="s">
        <v>115</v>
      </c>
      <c r="N15858" s="27" t="s">
        <v>10455</v>
      </c>
      <c r="P15858" s="27" t="s">
        <v>10461</v>
      </c>
      <c r="Q15858" s="26" t="str">
        <f>HYPERLINK("https://ictv.global/taxonomy/taxondetails?taxnode_id=202512512&amp;ictv_id=ICTV202112512","ICTV202112512")</f>
        <v>ICTV202112512</v>
      </c>
      <c r="R15858" t="s">
        <v>581</v>
      </c>
      <c r="S15858" t="s">
        <v>22763</v>
      </c>
      <c r="T15858">
        <v>41</v>
      </c>
      <c r="U15858" s="26" t="str">
        <f t="shared" si="589"/>
        <v>2025.012F.Hypofuvirales_neworder.zip</v>
      </c>
    </row>
    <row r="15859" spans="1:21">
      <c r="A15859">
        <v>15858</v>
      </c>
      <c r="B15859" s="27" t="s">
        <v>1124</v>
      </c>
      <c r="D15859" s="27" t="s">
        <v>1859</v>
      </c>
      <c r="F15859" s="27" t="s">
        <v>1909</v>
      </c>
      <c r="H15859" s="27" t="s">
        <v>1961</v>
      </c>
      <c r="J15859" s="27" t="s">
        <v>20806</v>
      </c>
      <c r="L15859" s="27" t="s">
        <v>115</v>
      </c>
      <c r="N15859" s="27" t="s">
        <v>10462</v>
      </c>
      <c r="P15859" s="27" t="s">
        <v>21682</v>
      </c>
      <c r="Q15859" s="26" t="str">
        <f>HYPERLINK("https://ictv.global/taxonomy/taxondetails?taxnode_id=202522536&amp;ictv_id=ICTV202522536","ICTV202522536")</f>
        <v>ICTV202522536</v>
      </c>
      <c r="R15859" t="s">
        <v>581</v>
      </c>
      <c r="S15859" t="s">
        <v>823</v>
      </c>
      <c r="T15859">
        <v>41</v>
      </c>
      <c r="U15859" s="26" t="str">
        <f t="shared" si="589"/>
        <v>2025.012F.Hypofuvirales_neworder.zip</v>
      </c>
    </row>
    <row r="15860" spans="1:21">
      <c r="A15860">
        <v>15859</v>
      </c>
      <c r="B15860" s="27" t="s">
        <v>1124</v>
      </c>
      <c r="D15860" s="27" t="s">
        <v>1859</v>
      </c>
      <c r="F15860" s="27" t="s">
        <v>1909</v>
      </c>
      <c r="H15860" s="27" t="s">
        <v>1961</v>
      </c>
      <c r="J15860" s="27" t="s">
        <v>20806</v>
      </c>
      <c r="L15860" s="27" t="s">
        <v>115</v>
      </c>
      <c r="N15860" s="27" t="s">
        <v>10462</v>
      </c>
      <c r="P15860" s="27" t="s">
        <v>10463</v>
      </c>
      <c r="Q15860" s="26" t="str">
        <f>HYPERLINK("https://ictv.global/taxonomy/taxondetails?taxnode_id=202512517&amp;ictv_id=ICTV202112517","ICTV202112517")</f>
        <v>ICTV202112517</v>
      </c>
      <c r="R15860" t="s">
        <v>581</v>
      </c>
      <c r="S15860" t="s">
        <v>22763</v>
      </c>
      <c r="T15860">
        <v>41</v>
      </c>
      <c r="U15860" s="26" t="str">
        <f t="shared" si="589"/>
        <v>2025.012F.Hypofuvirales_neworder.zip</v>
      </c>
    </row>
    <row r="15861" spans="1:21">
      <c r="A15861">
        <v>15860</v>
      </c>
      <c r="B15861" s="27" t="s">
        <v>1124</v>
      </c>
      <c r="D15861" s="27" t="s">
        <v>1859</v>
      </c>
      <c r="F15861" s="27" t="s">
        <v>1909</v>
      </c>
      <c r="H15861" s="27" t="s">
        <v>1961</v>
      </c>
      <c r="J15861" s="27" t="s">
        <v>20806</v>
      </c>
      <c r="L15861" s="27" t="s">
        <v>115</v>
      </c>
      <c r="N15861" s="27" t="s">
        <v>10464</v>
      </c>
      <c r="P15861" s="27" t="s">
        <v>10465</v>
      </c>
      <c r="Q15861" s="26" t="str">
        <f>HYPERLINK("https://ictv.global/taxonomy/taxondetails?taxnode_id=202512501&amp;ictv_id=ICTV202112501","ICTV202112501")</f>
        <v>ICTV202112501</v>
      </c>
      <c r="R15861" t="s">
        <v>581</v>
      </c>
      <c r="S15861" t="s">
        <v>22763</v>
      </c>
      <c r="T15861">
        <v>41</v>
      </c>
      <c r="U15861" s="26" t="str">
        <f t="shared" si="589"/>
        <v>2025.012F.Hypofuvirales_neworder.zip</v>
      </c>
    </row>
    <row r="15862" spans="1:21">
      <c r="A15862">
        <v>15861</v>
      </c>
      <c r="B15862" s="27" t="s">
        <v>1124</v>
      </c>
      <c r="D15862" s="27" t="s">
        <v>1859</v>
      </c>
      <c r="F15862" s="27" t="s">
        <v>1909</v>
      </c>
      <c r="H15862" s="27" t="s">
        <v>1961</v>
      </c>
      <c r="J15862" s="27" t="s">
        <v>20806</v>
      </c>
      <c r="L15862" s="27" t="s">
        <v>115</v>
      </c>
      <c r="N15862" s="27" t="s">
        <v>10464</v>
      </c>
      <c r="P15862" s="27" t="s">
        <v>21684</v>
      </c>
      <c r="Q15862" s="26" t="str">
        <f>HYPERLINK("https://ictv.global/taxonomy/taxondetails?taxnode_id=202522538&amp;ictv_id=ICTV202522538","ICTV202522538")</f>
        <v>ICTV202522538</v>
      </c>
      <c r="R15862" t="s">
        <v>581</v>
      </c>
      <c r="S15862" t="s">
        <v>823</v>
      </c>
      <c r="T15862">
        <v>41</v>
      </c>
      <c r="U15862" s="26" t="str">
        <f t="shared" si="589"/>
        <v>2025.012F.Hypofuvirales_neworder.zip</v>
      </c>
    </row>
    <row r="15863" spans="1:21">
      <c r="A15863">
        <v>15862</v>
      </c>
      <c r="B15863" s="27" t="s">
        <v>1124</v>
      </c>
      <c r="D15863" s="27" t="s">
        <v>1859</v>
      </c>
      <c r="F15863" s="27" t="s">
        <v>1909</v>
      </c>
      <c r="H15863" s="27" t="s">
        <v>1961</v>
      </c>
      <c r="J15863" s="27" t="s">
        <v>20806</v>
      </c>
      <c r="L15863" s="27" t="s">
        <v>115</v>
      </c>
      <c r="N15863" s="27" t="s">
        <v>10464</v>
      </c>
      <c r="P15863" s="27" t="s">
        <v>21683</v>
      </c>
      <c r="Q15863" s="26" t="str">
        <f>HYPERLINK("https://ictv.global/taxonomy/taxondetails?taxnode_id=202522537&amp;ictv_id=ICTV202522537","ICTV202522537")</f>
        <v>ICTV202522537</v>
      </c>
      <c r="R15863" t="s">
        <v>581</v>
      </c>
      <c r="S15863" t="s">
        <v>823</v>
      </c>
      <c r="T15863">
        <v>41</v>
      </c>
      <c r="U15863" s="26" t="str">
        <f t="shared" si="589"/>
        <v>2025.012F.Hypofuvirales_neworder.zip</v>
      </c>
    </row>
    <row r="15864" spans="1:21">
      <c r="A15864">
        <v>15863</v>
      </c>
      <c r="B15864" s="27" t="s">
        <v>1124</v>
      </c>
      <c r="D15864" s="27" t="s">
        <v>1859</v>
      </c>
      <c r="F15864" s="27" t="s">
        <v>1909</v>
      </c>
      <c r="H15864" s="27" t="s">
        <v>1961</v>
      </c>
      <c r="J15864" s="27" t="s">
        <v>20806</v>
      </c>
      <c r="L15864" s="27" t="s">
        <v>115</v>
      </c>
      <c r="N15864" s="27" t="s">
        <v>10464</v>
      </c>
      <c r="P15864" s="27" t="s">
        <v>10466</v>
      </c>
      <c r="Q15864" s="26" t="str">
        <f>HYPERLINK("https://ictv.global/taxonomy/taxondetails?taxnode_id=202512502&amp;ictv_id=ICTV202112502","ICTV202112502")</f>
        <v>ICTV202112502</v>
      </c>
      <c r="R15864" t="s">
        <v>581</v>
      </c>
      <c r="S15864" t="s">
        <v>22763</v>
      </c>
      <c r="T15864">
        <v>41</v>
      </c>
      <c r="U15864" s="26" t="str">
        <f t="shared" si="589"/>
        <v>2025.012F.Hypofuvirales_neworder.zip</v>
      </c>
    </row>
    <row r="15865" spans="1:21">
      <c r="A15865">
        <v>15864</v>
      </c>
      <c r="B15865" s="27" t="s">
        <v>1124</v>
      </c>
      <c r="D15865" s="27" t="s">
        <v>1859</v>
      </c>
      <c r="F15865" s="27" t="s">
        <v>1909</v>
      </c>
      <c r="H15865" s="27" t="s">
        <v>1961</v>
      </c>
      <c r="J15865" s="27" t="s">
        <v>20806</v>
      </c>
      <c r="L15865" s="27" t="s">
        <v>115</v>
      </c>
      <c r="N15865" s="27" t="s">
        <v>10464</v>
      </c>
      <c r="P15865" s="27" t="s">
        <v>21685</v>
      </c>
      <c r="Q15865" s="26" t="str">
        <f>HYPERLINK("https://ictv.global/taxonomy/taxondetails?taxnode_id=202522539&amp;ictv_id=ICTV202522539","ICTV202522539")</f>
        <v>ICTV202522539</v>
      </c>
      <c r="R15865" t="s">
        <v>581</v>
      </c>
      <c r="S15865" t="s">
        <v>823</v>
      </c>
      <c r="T15865">
        <v>41</v>
      </c>
      <c r="U15865" s="26" t="str">
        <f t="shared" si="589"/>
        <v>2025.012F.Hypofuvirales_neworder.zip</v>
      </c>
    </row>
    <row r="15866" spans="1:21">
      <c r="A15866">
        <v>15865</v>
      </c>
      <c r="B15866" s="27" t="s">
        <v>1124</v>
      </c>
      <c r="D15866" s="27" t="s">
        <v>1859</v>
      </c>
      <c r="F15866" s="27" t="s">
        <v>1909</v>
      </c>
      <c r="H15866" s="27" t="s">
        <v>1961</v>
      </c>
      <c r="J15866" s="27" t="s">
        <v>20806</v>
      </c>
      <c r="L15866" s="27" t="s">
        <v>115</v>
      </c>
      <c r="N15866" s="27" t="s">
        <v>10464</v>
      </c>
      <c r="P15866" s="27" t="s">
        <v>10467</v>
      </c>
      <c r="Q15866" s="26" t="str">
        <f>HYPERLINK("https://ictv.global/taxonomy/taxondetails?taxnode_id=202512499&amp;ictv_id=ICTV202112499","ICTV202112499")</f>
        <v>ICTV202112499</v>
      </c>
      <c r="R15866" t="s">
        <v>581</v>
      </c>
      <c r="S15866" t="s">
        <v>22763</v>
      </c>
      <c r="T15866">
        <v>41</v>
      </c>
      <c r="U15866" s="26" t="str">
        <f t="shared" si="589"/>
        <v>2025.012F.Hypofuvirales_neworder.zip</v>
      </c>
    </row>
    <row r="15867" spans="1:21">
      <c r="A15867">
        <v>15866</v>
      </c>
      <c r="B15867" s="27" t="s">
        <v>1124</v>
      </c>
      <c r="D15867" s="27" t="s">
        <v>1859</v>
      </c>
      <c r="F15867" s="27" t="s">
        <v>1909</v>
      </c>
      <c r="H15867" s="27" t="s">
        <v>1961</v>
      </c>
      <c r="J15867" s="27" t="s">
        <v>20806</v>
      </c>
      <c r="L15867" s="27" t="s">
        <v>115</v>
      </c>
      <c r="N15867" s="27" t="s">
        <v>10464</v>
      </c>
      <c r="P15867" s="27" t="s">
        <v>10468</v>
      </c>
      <c r="Q15867" s="26" t="str">
        <f>HYPERLINK("https://ictv.global/taxonomy/taxondetails?taxnode_id=202512500&amp;ictv_id=ICTV202112500","ICTV202112500")</f>
        <v>ICTV202112500</v>
      </c>
      <c r="R15867" t="s">
        <v>581</v>
      </c>
      <c r="S15867" t="s">
        <v>22763</v>
      </c>
      <c r="T15867">
        <v>41</v>
      </c>
      <c r="U15867" s="26" t="str">
        <f t="shared" si="589"/>
        <v>2025.012F.Hypofuvirales_neworder.zip</v>
      </c>
    </row>
    <row r="15868" spans="1:21">
      <c r="A15868">
        <v>15867</v>
      </c>
      <c r="B15868" s="27" t="s">
        <v>1124</v>
      </c>
      <c r="D15868" s="27" t="s">
        <v>1859</v>
      </c>
      <c r="F15868" s="27" t="s">
        <v>1909</v>
      </c>
      <c r="H15868" s="27" t="s">
        <v>1961</v>
      </c>
      <c r="J15868" s="27" t="s">
        <v>20806</v>
      </c>
      <c r="L15868" s="27" t="s">
        <v>115</v>
      </c>
      <c r="N15868" s="27" t="s">
        <v>10464</v>
      </c>
      <c r="P15868" s="27" t="s">
        <v>10469</v>
      </c>
      <c r="Q15868" s="26" t="str">
        <f>HYPERLINK("https://ictv.global/taxonomy/taxondetails?taxnode_id=202512503&amp;ictv_id=ICTV202112503","ICTV202112503")</f>
        <v>ICTV202112503</v>
      </c>
      <c r="R15868" t="s">
        <v>581</v>
      </c>
      <c r="S15868" t="s">
        <v>22763</v>
      </c>
      <c r="T15868">
        <v>41</v>
      </c>
      <c r="U15868" s="26" t="str">
        <f t="shared" si="589"/>
        <v>2025.012F.Hypofuvirales_neworder.zip</v>
      </c>
    </row>
    <row r="15869" spans="1:21">
      <c r="A15869">
        <v>15868</v>
      </c>
      <c r="B15869" s="27" t="s">
        <v>1124</v>
      </c>
      <c r="D15869" s="27" t="s">
        <v>1859</v>
      </c>
      <c r="F15869" s="27" t="s">
        <v>1909</v>
      </c>
      <c r="H15869" s="27" t="s">
        <v>1961</v>
      </c>
      <c r="J15869" s="27" t="s">
        <v>20806</v>
      </c>
      <c r="L15869" s="27" t="s">
        <v>115</v>
      </c>
      <c r="N15869" s="27" t="s">
        <v>21688</v>
      </c>
      <c r="P15869" s="27" t="s">
        <v>21691</v>
      </c>
      <c r="Q15869" s="26" t="str">
        <f>HYPERLINK("https://ictv.global/taxonomy/taxondetails?taxnode_id=202522544&amp;ictv_id=ICTV202522544","ICTV202522544")</f>
        <v>ICTV202522544</v>
      </c>
      <c r="R15869" t="s">
        <v>581</v>
      </c>
      <c r="S15869" t="s">
        <v>823</v>
      </c>
      <c r="T15869">
        <v>41</v>
      </c>
      <c r="U15869" s="26" t="str">
        <f t="shared" si="589"/>
        <v>2025.012F.Hypofuvirales_neworder.zip</v>
      </c>
    </row>
    <row r="15870" spans="1:21">
      <c r="A15870">
        <v>15869</v>
      </c>
      <c r="B15870" s="27" t="s">
        <v>1124</v>
      </c>
      <c r="D15870" s="27" t="s">
        <v>1859</v>
      </c>
      <c r="F15870" s="27" t="s">
        <v>1909</v>
      </c>
      <c r="H15870" s="27" t="s">
        <v>1961</v>
      </c>
      <c r="J15870" s="27" t="s">
        <v>20806</v>
      </c>
      <c r="L15870" s="27" t="s">
        <v>115</v>
      </c>
      <c r="N15870" s="27" t="s">
        <v>21688</v>
      </c>
      <c r="P15870" s="27" t="s">
        <v>21695</v>
      </c>
      <c r="Q15870" s="26" t="str">
        <f>HYPERLINK("https://ictv.global/taxonomy/taxondetails?taxnode_id=202522548&amp;ictv_id=ICTV202522548","ICTV202522548")</f>
        <v>ICTV202522548</v>
      </c>
      <c r="R15870" t="s">
        <v>581</v>
      </c>
      <c r="S15870" t="s">
        <v>823</v>
      </c>
      <c r="T15870">
        <v>41</v>
      </c>
      <c r="U15870" s="26" t="str">
        <f t="shared" ref="U15870:U15897" si="590">HYPERLINK("https://ictv.global/ictv/proposals/2025.012F.Hypofuvirales_neworder.zip","2025.012F.Hypofuvirales_neworder.zip")</f>
        <v>2025.012F.Hypofuvirales_neworder.zip</v>
      </c>
    </row>
    <row r="15871" spans="1:21">
      <c r="A15871">
        <v>15870</v>
      </c>
      <c r="B15871" s="27" t="s">
        <v>1124</v>
      </c>
      <c r="D15871" s="27" t="s">
        <v>1859</v>
      </c>
      <c r="F15871" s="27" t="s">
        <v>1909</v>
      </c>
      <c r="H15871" s="27" t="s">
        <v>1961</v>
      </c>
      <c r="J15871" s="27" t="s">
        <v>20806</v>
      </c>
      <c r="L15871" s="27" t="s">
        <v>115</v>
      </c>
      <c r="N15871" s="27" t="s">
        <v>21688</v>
      </c>
      <c r="P15871" s="27" t="s">
        <v>21690</v>
      </c>
      <c r="Q15871" s="26" t="str">
        <f>HYPERLINK("https://ictv.global/taxonomy/taxondetails?taxnode_id=202522543&amp;ictv_id=ICTV202522543","ICTV202522543")</f>
        <v>ICTV202522543</v>
      </c>
      <c r="R15871" t="s">
        <v>581</v>
      </c>
      <c r="S15871" t="s">
        <v>823</v>
      </c>
      <c r="T15871">
        <v>41</v>
      </c>
      <c r="U15871" s="26" t="str">
        <f t="shared" si="590"/>
        <v>2025.012F.Hypofuvirales_neworder.zip</v>
      </c>
    </row>
    <row r="15872" spans="1:21">
      <c r="A15872">
        <v>15871</v>
      </c>
      <c r="B15872" s="27" t="s">
        <v>1124</v>
      </c>
      <c r="D15872" s="27" t="s">
        <v>1859</v>
      </c>
      <c r="F15872" s="27" t="s">
        <v>1909</v>
      </c>
      <c r="H15872" s="27" t="s">
        <v>1961</v>
      </c>
      <c r="J15872" s="27" t="s">
        <v>20806</v>
      </c>
      <c r="L15872" s="27" t="s">
        <v>115</v>
      </c>
      <c r="N15872" s="27" t="s">
        <v>21688</v>
      </c>
      <c r="P15872" s="27" t="s">
        <v>21692</v>
      </c>
      <c r="Q15872" s="26" t="str">
        <f>HYPERLINK("https://ictv.global/taxonomy/taxondetails?taxnode_id=202522545&amp;ictv_id=ICTV202522545","ICTV202522545")</f>
        <v>ICTV202522545</v>
      </c>
      <c r="R15872" t="s">
        <v>581</v>
      </c>
      <c r="S15872" t="s">
        <v>823</v>
      </c>
      <c r="T15872">
        <v>41</v>
      </c>
      <c r="U15872" s="26" t="str">
        <f t="shared" si="590"/>
        <v>2025.012F.Hypofuvirales_neworder.zip</v>
      </c>
    </row>
    <row r="15873" spans="1:21">
      <c r="A15873">
        <v>15872</v>
      </c>
      <c r="B15873" s="27" t="s">
        <v>1124</v>
      </c>
      <c r="D15873" s="27" t="s">
        <v>1859</v>
      </c>
      <c r="F15873" s="27" t="s">
        <v>1909</v>
      </c>
      <c r="H15873" s="27" t="s">
        <v>1961</v>
      </c>
      <c r="J15873" s="27" t="s">
        <v>20806</v>
      </c>
      <c r="L15873" s="27" t="s">
        <v>115</v>
      </c>
      <c r="N15873" s="27" t="s">
        <v>21688</v>
      </c>
      <c r="P15873" s="27" t="s">
        <v>21693</v>
      </c>
      <c r="Q15873" s="26" t="str">
        <f>HYPERLINK("https://ictv.global/taxonomy/taxondetails?taxnode_id=202522546&amp;ictv_id=ICTV202522546","ICTV202522546")</f>
        <v>ICTV202522546</v>
      </c>
      <c r="R15873" t="s">
        <v>581</v>
      </c>
      <c r="S15873" t="s">
        <v>823</v>
      </c>
      <c r="T15873">
        <v>41</v>
      </c>
      <c r="U15873" s="26" t="str">
        <f t="shared" si="590"/>
        <v>2025.012F.Hypofuvirales_neworder.zip</v>
      </c>
    </row>
    <row r="15874" spans="1:21">
      <c r="A15874">
        <v>15873</v>
      </c>
      <c r="B15874" s="27" t="s">
        <v>1124</v>
      </c>
      <c r="D15874" s="27" t="s">
        <v>1859</v>
      </c>
      <c r="F15874" s="27" t="s">
        <v>1909</v>
      </c>
      <c r="H15874" s="27" t="s">
        <v>1961</v>
      </c>
      <c r="J15874" s="27" t="s">
        <v>20806</v>
      </c>
      <c r="L15874" s="27" t="s">
        <v>115</v>
      </c>
      <c r="N15874" s="27" t="s">
        <v>21688</v>
      </c>
      <c r="P15874" s="27" t="s">
        <v>21689</v>
      </c>
      <c r="Q15874" s="26" t="str">
        <f>HYPERLINK("https://ictv.global/taxonomy/taxondetails?taxnode_id=202522542&amp;ictv_id=ICTV202522542","ICTV202522542")</f>
        <v>ICTV202522542</v>
      </c>
      <c r="R15874" t="s">
        <v>581</v>
      </c>
      <c r="S15874" t="s">
        <v>823</v>
      </c>
      <c r="T15874">
        <v>41</v>
      </c>
      <c r="U15874" s="26" t="str">
        <f t="shared" si="590"/>
        <v>2025.012F.Hypofuvirales_neworder.zip</v>
      </c>
    </row>
    <row r="15875" spans="1:21">
      <c r="A15875">
        <v>15874</v>
      </c>
      <c r="B15875" s="27" t="s">
        <v>1124</v>
      </c>
      <c r="D15875" s="27" t="s">
        <v>1859</v>
      </c>
      <c r="F15875" s="27" t="s">
        <v>1909</v>
      </c>
      <c r="H15875" s="27" t="s">
        <v>1961</v>
      </c>
      <c r="J15875" s="27" t="s">
        <v>20806</v>
      </c>
      <c r="L15875" s="27" t="s">
        <v>115</v>
      </c>
      <c r="N15875" s="27" t="s">
        <v>21688</v>
      </c>
      <c r="P15875" s="27" t="s">
        <v>21694</v>
      </c>
      <c r="Q15875" s="26" t="str">
        <f>HYPERLINK("https://ictv.global/taxonomy/taxondetails?taxnode_id=202522547&amp;ictv_id=ICTV202522547","ICTV202522547")</f>
        <v>ICTV202522547</v>
      </c>
      <c r="R15875" t="s">
        <v>581</v>
      </c>
      <c r="S15875" t="s">
        <v>823</v>
      </c>
      <c r="T15875">
        <v>41</v>
      </c>
      <c r="U15875" s="26" t="str">
        <f t="shared" si="590"/>
        <v>2025.012F.Hypofuvirales_neworder.zip</v>
      </c>
    </row>
    <row r="15876" spans="1:21">
      <c r="A15876">
        <v>15875</v>
      </c>
      <c r="B15876" s="27" t="s">
        <v>1124</v>
      </c>
      <c r="D15876" s="27" t="s">
        <v>1859</v>
      </c>
      <c r="F15876" s="27" t="s">
        <v>1909</v>
      </c>
      <c r="H15876" s="27" t="s">
        <v>1961</v>
      </c>
      <c r="J15876" s="27" t="s">
        <v>20806</v>
      </c>
      <c r="L15876" s="27" t="s">
        <v>115</v>
      </c>
      <c r="N15876" s="27" t="s">
        <v>21688</v>
      </c>
      <c r="P15876" s="27" t="s">
        <v>21696</v>
      </c>
      <c r="Q15876" s="26" t="str">
        <f>HYPERLINK("https://ictv.global/taxonomy/taxondetails?taxnode_id=202522549&amp;ictv_id=ICTV202522549","ICTV202522549")</f>
        <v>ICTV202522549</v>
      </c>
      <c r="R15876" t="s">
        <v>581</v>
      </c>
      <c r="S15876" t="s">
        <v>823</v>
      </c>
      <c r="T15876">
        <v>41</v>
      </c>
      <c r="U15876" s="26" t="str">
        <f t="shared" si="590"/>
        <v>2025.012F.Hypofuvirales_neworder.zip</v>
      </c>
    </row>
    <row r="15877" spans="1:21">
      <c r="A15877">
        <v>15876</v>
      </c>
      <c r="B15877" s="27" t="s">
        <v>1124</v>
      </c>
      <c r="D15877" s="27" t="s">
        <v>1859</v>
      </c>
      <c r="F15877" s="27" t="s">
        <v>1909</v>
      </c>
      <c r="H15877" s="27" t="s">
        <v>1961</v>
      </c>
      <c r="J15877" s="27" t="s">
        <v>20806</v>
      </c>
      <c r="L15877" s="27" t="s">
        <v>115</v>
      </c>
      <c r="N15877" s="27" t="s">
        <v>10470</v>
      </c>
      <c r="P15877" s="27" t="s">
        <v>10471</v>
      </c>
      <c r="Q15877" s="26" t="str">
        <f>HYPERLINK("https://ictv.global/taxonomy/taxondetails?taxnode_id=202512522&amp;ictv_id=ICTV202112522","ICTV202112522")</f>
        <v>ICTV202112522</v>
      </c>
      <c r="R15877" t="s">
        <v>581</v>
      </c>
      <c r="S15877" t="s">
        <v>22763</v>
      </c>
      <c r="T15877">
        <v>41</v>
      </c>
      <c r="U15877" s="26" t="str">
        <f t="shared" si="590"/>
        <v>2025.012F.Hypofuvirales_neworder.zip</v>
      </c>
    </row>
    <row r="15878" spans="1:21">
      <c r="A15878">
        <v>15877</v>
      </c>
      <c r="B15878" s="27" t="s">
        <v>1124</v>
      </c>
      <c r="D15878" s="27" t="s">
        <v>1859</v>
      </c>
      <c r="F15878" s="27" t="s">
        <v>1909</v>
      </c>
      <c r="H15878" s="27" t="s">
        <v>1961</v>
      </c>
      <c r="J15878" s="27" t="s">
        <v>20806</v>
      </c>
      <c r="L15878" s="27" t="s">
        <v>115</v>
      </c>
      <c r="N15878" s="27" t="s">
        <v>10470</v>
      </c>
      <c r="P15878" s="27" t="s">
        <v>10472</v>
      </c>
      <c r="Q15878" s="26" t="str">
        <f>HYPERLINK("https://ictv.global/taxonomy/taxondetails?taxnode_id=202512521&amp;ictv_id=ICTV202112521","ICTV202112521")</f>
        <v>ICTV202112521</v>
      </c>
      <c r="R15878" t="s">
        <v>581</v>
      </c>
      <c r="S15878" t="s">
        <v>22763</v>
      </c>
      <c r="T15878">
        <v>41</v>
      </c>
      <c r="U15878" s="26" t="str">
        <f t="shared" si="590"/>
        <v>2025.012F.Hypofuvirales_neworder.zip</v>
      </c>
    </row>
    <row r="15879" spans="1:21">
      <c r="A15879">
        <v>15878</v>
      </c>
      <c r="B15879" s="27" t="s">
        <v>1124</v>
      </c>
      <c r="D15879" s="27" t="s">
        <v>1859</v>
      </c>
      <c r="F15879" s="27" t="s">
        <v>1909</v>
      </c>
      <c r="H15879" s="27" t="s">
        <v>1961</v>
      </c>
      <c r="J15879" s="27" t="s">
        <v>20806</v>
      </c>
      <c r="L15879" s="27" t="s">
        <v>115</v>
      </c>
      <c r="N15879" s="27" t="s">
        <v>10470</v>
      </c>
      <c r="P15879" s="27" t="s">
        <v>10473</v>
      </c>
      <c r="Q15879" s="26" t="str">
        <f>HYPERLINK("https://ictv.global/taxonomy/taxondetails?taxnode_id=202512519&amp;ictv_id=ICTV202112519","ICTV202112519")</f>
        <v>ICTV202112519</v>
      </c>
      <c r="R15879" t="s">
        <v>581</v>
      </c>
      <c r="S15879" t="s">
        <v>22763</v>
      </c>
      <c r="T15879">
        <v>41</v>
      </c>
      <c r="U15879" s="26" t="str">
        <f t="shared" si="590"/>
        <v>2025.012F.Hypofuvirales_neworder.zip</v>
      </c>
    </row>
    <row r="15880" spans="1:21">
      <c r="A15880">
        <v>15879</v>
      </c>
      <c r="B15880" s="27" t="s">
        <v>1124</v>
      </c>
      <c r="D15880" s="27" t="s">
        <v>1859</v>
      </c>
      <c r="F15880" s="27" t="s">
        <v>1909</v>
      </c>
      <c r="H15880" s="27" t="s">
        <v>1961</v>
      </c>
      <c r="J15880" s="27" t="s">
        <v>20806</v>
      </c>
      <c r="L15880" s="27" t="s">
        <v>115</v>
      </c>
      <c r="N15880" s="27" t="s">
        <v>10470</v>
      </c>
      <c r="P15880" s="27" t="s">
        <v>10474</v>
      </c>
      <c r="Q15880" s="26" t="str">
        <f>HYPERLINK("https://ictv.global/taxonomy/taxondetails?taxnode_id=202512520&amp;ictv_id=ICTV202112520","ICTV202112520")</f>
        <v>ICTV202112520</v>
      </c>
      <c r="R15880" t="s">
        <v>581</v>
      </c>
      <c r="S15880" t="s">
        <v>22763</v>
      </c>
      <c r="T15880">
        <v>41</v>
      </c>
      <c r="U15880" s="26" t="str">
        <f t="shared" si="590"/>
        <v>2025.012F.Hypofuvirales_neworder.zip</v>
      </c>
    </row>
    <row r="15881" spans="1:21">
      <c r="A15881">
        <v>15880</v>
      </c>
      <c r="B15881" s="27" t="s">
        <v>1124</v>
      </c>
      <c r="D15881" s="27" t="s">
        <v>1859</v>
      </c>
      <c r="F15881" s="27" t="s">
        <v>1909</v>
      </c>
      <c r="H15881" s="27" t="s">
        <v>1961</v>
      </c>
      <c r="J15881" s="27" t="s">
        <v>20806</v>
      </c>
      <c r="L15881" s="27" t="s">
        <v>115</v>
      </c>
      <c r="N15881" s="27" t="s">
        <v>10475</v>
      </c>
      <c r="P15881" s="27" t="s">
        <v>21687</v>
      </c>
      <c r="Q15881" s="26" t="str">
        <f>HYPERLINK("https://ictv.global/taxonomy/taxondetails?taxnode_id=202522541&amp;ictv_id=ICTV202522541","ICTV202522541")</f>
        <v>ICTV202522541</v>
      </c>
      <c r="R15881" t="s">
        <v>581</v>
      </c>
      <c r="S15881" t="s">
        <v>823</v>
      </c>
      <c r="T15881">
        <v>41</v>
      </c>
      <c r="U15881" s="26" t="str">
        <f t="shared" si="590"/>
        <v>2025.012F.Hypofuvirales_neworder.zip</v>
      </c>
    </row>
    <row r="15882" spans="1:21">
      <c r="A15882">
        <v>15881</v>
      </c>
      <c r="B15882" s="27" t="s">
        <v>1124</v>
      </c>
      <c r="D15882" s="27" t="s">
        <v>1859</v>
      </c>
      <c r="F15882" s="27" t="s">
        <v>1909</v>
      </c>
      <c r="H15882" s="27" t="s">
        <v>1961</v>
      </c>
      <c r="J15882" s="27" t="s">
        <v>20806</v>
      </c>
      <c r="L15882" s="27" t="s">
        <v>115</v>
      </c>
      <c r="N15882" s="27" t="s">
        <v>10475</v>
      </c>
      <c r="P15882" s="27" t="s">
        <v>21686</v>
      </c>
      <c r="Q15882" s="26" t="str">
        <f>HYPERLINK("https://ictv.global/taxonomy/taxondetails?taxnode_id=202522540&amp;ictv_id=ICTV202522540","ICTV202522540")</f>
        <v>ICTV202522540</v>
      </c>
      <c r="R15882" t="s">
        <v>581</v>
      </c>
      <c r="S15882" t="s">
        <v>823</v>
      </c>
      <c r="T15882">
        <v>41</v>
      </c>
      <c r="U15882" s="26" t="str">
        <f t="shared" si="590"/>
        <v>2025.012F.Hypofuvirales_neworder.zip</v>
      </c>
    </row>
    <row r="15883" spans="1:21">
      <c r="A15883">
        <v>15882</v>
      </c>
      <c r="B15883" s="27" t="s">
        <v>1124</v>
      </c>
      <c r="D15883" s="27" t="s">
        <v>1859</v>
      </c>
      <c r="F15883" s="27" t="s">
        <v>1909</v>
      </c>
      <c r="H15883" s="27" t="s">
        <v>1961</v>
      </c>
      <c r="J15883" s="27" t="s">
        <v>20806</v>
      </c>
      <c r="L15883" s="27" t="s">
        <v>115</v>
      </c>
      <c r="N15883" s="27" t="s">
        <v>10475</v>
      </c>
      <c r="P15883" s="27" t="s">
        <v>10476</v>
      </c>
      <c r="Q15883" s="26" t="str">
        <f>HYPERLINK("https://ictv.global/taxonomy/taxondetails?taxnode_id=202512515&amp;ictv_id=ICTV202112515","ICTV202112515")</f>
        <v>ICTV202112515</v>
      </c>
      <c r="R15883" t="s">
        <v>581</v>
      </c>
      <c r="S15883" t="s">
        <v>22763</v>
      </c>
      <c r="T15883">
        <v>41</v>
      </c>
      <c r="U15883" s="26" t="str">
        <f t="shared" si="590"/>
        <v>2025.012F.Hypofuvirales_neworder.zip</v>
      </c>
    </row>
    <row r="15884" spans="1:21">
      <c r="A15884">
        <v>15883</v>
      </c>
      <c r="B15884" s="27" t="s">
        <v>1124</v>
      </c>
      <c r="D15884" s="27" t="s">
        <v>1859</v>
      </c>
      <c r="F15884" s="27" t="s">
        <v>1909</v>
      </c>
      <c r="H15884" s="27" t="s">
        <v>1961</v>
      </c>
      <c r="J15884" s="27" t="s">
        <v>20806</v>
      </c>
      <c r="L15884" s="27" t="s">
        <v>20807</v>
      </c>
      <c r="N15884" s="27" t="s">
        <v>10442</v>
      </c>
      <c r="P15884" s="27" t="s">
        <v>10443</v>
      </c>
      <c r="Q15884" s="26" t="str">
        <f>HYPERLINK("https://ictv.global/taxonomy/taxondetails?taxnode_id=202503677&amp;ictv_id=ICTV20021099","ICTV20021099")</f>
        <v>ICTV20021099</v>
      </c>
      <c r="R15884" t="s">
        <v>581</v>
      </c>
      <c r="S15884" t="s">
        <v>22763</v>
      </c>
      <c r="T15884">
        <v>41</v>
      </c>
      <c r="U15884" s="26" t="str">
        <f t="shared" si="590"/>
        <v>2025.012F.Hypofuvirales_neworder.zip</v>
      </c>
    </row>
    <row r="15885" spans="1:21">
      <c r="A15885">
        <v>15884</v>
      </c>
      <c r="B15885" s="27" t="s">
        <v>1124</v>
      </c>
      <c r="D15885" s="27" t="s">
        <v>1859</v>
      </c>
      <c r="F15885" s="27" t="s">
        <v>1909</v>
      </c>
      <c r="H15885" s="27" t="s">
        <v>1961</v>
      </c>
      <c r="J15885" s="27" t="s">
        <v>20806</v>
      </c>
      <c r="L15885" s="27" t="s">
        <v>20807</v>
      </c>
      <c r="N15885" s="27" t="s">
        <v>10442</v>
      </c>
      <c r="P15885" s="27" t="s">
        <v>21701</v>
      </c>
      <c r="Q15885" s="26" t="str">
        <f>HYPERLINK("https://ictv.global/taxonomy/taxondetails?taxnode_id=202522554&amp;ictv_id=ICTV202522554","ICTV202522554")</f>
        <v>ICTV202522554</v>
      </c>
      <c r="R15885" t="s">
        <v>581</v>
      </c>
      <c r="S15885" t="s">
        <v>823</v>
      </c>
      <c r="T15885">
        <v>41</v>
      </c>
      <c r="U15885" s="26" t="str">
        <f t="shared" si="590"/>
        <v>2025.012F.Hypofuvirales_neworder.zip</v>
      </c>
    </row>
    <row r="15886" spans="1:21">
      <c r="A15886">
        <v>15885</v>
      </c>
      <c r="B15886" s="27" t="s">
        <v>1124</v>
      </c>
      <c r="D15886" s="27" t="s">
        <v>1859</v>
      </c>
      <c r="F15886" s="27" t="s">
        <v>1909</v>
      </c>
      <c r="H15886" s="27" t="s">
        <v>1961</v>
      </c>
      <c r="J15886" s="27" t="s">
        <v>20806</v>
      </c>
      <c r="L15886" s="27" t="s">
        <v>20807</v>
      </c>
      <c r="N15886" s="27" t="s">
        <v>10442</v>
      </c>
      <c r="P15886" s="27" t="s">
        <v>21697</v>
      </c>
      <c r="Q15886" s="26" t="str">
        <f>HYPERLINK("https://ictv.global/taxonomy/taxondetails?taxnode_id=202522550&amp;ictv_id=ICTV202522550","ICTV202522550")</f>
        <v>ICTV202522550</v>
      </c>
      <c r="R15886" t="s">
        <v>581</v>
      </c>
      <c r="S15886" t="s">
        <v>823</v>
      </c>
      <c r="T15886">
        <v>41</v>
      </c>
      <c r="U15886" s="26" t="str">
        <f t="shared" si="590"/>
        <v>2025.012F.Hypofuvirales_neworder.zip</v>
      </c>
    </row>
    <row r="15887" spans="1:21">
      <c r="A15887">
        <v>15886</v>
      </c>
      <c r="B15887" s="27" t="s">
        <v>1124</v>
      </c>
      <c r="D15887" s="27" t="s">
        <v>1859</v>
      </c>
      <c r="F15887" s="27" t="s">
        <v>1909</v>
      </c>
      <c r="H15887" s="27" t="s">
        <v>1961</v>
      </c>
      <c r="J15887" s="27" t="s">
        <v>20806</v>
      </c>
      <c r="L15887" s="27" t="s">
        <v>20807</v>
      </c>
      <c r="N15887" s="27" t="s">
        <v>10442</v>
      </c>
      <c r="P15887" s="27" t="s">
        <v>10444</v>
      </c>
      <c r="Q15887" s="26" t="str">
        <f>HYPERLINK("https://ictv.global/taxonomy/taxondetails?taxnode_id=202503676&amp;ictv_id=ICTV20021098","ICTV20021098")</f>
        <v>ICTV20021098</v>
      </c>
      <c r="R15887" t="s">
        <v>581</v>
      </c>
      <c r="S15887" t="s">
        <v>22763</v>
      </c>
      <c r="T15887">
        <v>41</v>
      </c>
      <c r="U15887" s="26" t="str">
        <f t="shared" si="590"/>
        <v>2025.012F.Hypofuvirales_neworder.zip</v>
      </c>
    </row>
    <row r="15888" spans="1:21">
      <c r="A15888">
        <v>15887</v>
      </c>
      <c r="B15888" s="27" t="s">
        <v>1124</v>
      </c>
      <c r="D15888" s="27" t="s">
        <v>1859</v>
      </c>
      <c r="F15888" s="27" t="s">
        <v>1909</v>
      </c>
      <c r="H15888" s="27" t="s">
        <v>1961</v>
      </c>
      <c r="J15888" s="27" t="s">
        <v>20806</v>
      </c>
      <c r="L15888" s="27" t="s">
        <v>20807</v>
      </c>
      <c r="N15888" s="27" t="s">
        <v>10442</v>
      </c>
      <c r="P15888" s="27" t="s">
        <v>21700</v>
      </c>
      <c r="Q15888" s="26" t="str">
        <f>HYPERLINK("https://ictv.global/taxonomy/taxondetails?taxnode_id=202522553&amp;ictv_id=ICTV202522553","ICTV202522553")</f>
        <v>ICTV202522553</v>
      </c>
      <c r="R15888" t="s">
        <v>581</v>
      </c>
      <c r="S15888" t="s">
        <v>823</v>
      </c>
      <c r="T15888">
        <v>41</v>
      </c>
      <c r="U15888" s="26" t="str">
        <f t="shared" si="590"/>
        <v>2025.012F.Hypofuvirales_neworder.zip</v>
      </c>
    </row>
    <row r="15889" spans="1:21">
      <c r="A15889">
        <v>15888</v>
      </c>
      <c r="B15889" s="27" t="s">
        <v>1124</v>
      </c>
      <c r="D15889" s="27" t="s">
        <v>1859</v>
      </c>
      <c r="F15889" s="27" t="s">
        <v>1909</v>
      </c>
      <c r="H15889" s="27" t="s">
        <v>1961</v>
      </c>
      <c r="J15889" s="27" t="s">
        <v>20806</v>
      </c>
      <c r="L15889" s="27" t="s">
        <v>20807</v>
      </c>
      <c r="N15889" s="27" t="s">
        <v>10442</v>
      </c>
      <c r="P15889" s="27" t="s">
        <v>10445</v>
      </c>
      <c r="Q15889" s="26" t="str">
        <f>HYPERLINK("https://ictv.global/taxonomy/taxondetails?taxnode_id=202512494&amp;ictv_id=ICTV202112494","ICTV202112494")</f>
        <v>ICTV202112494</v>
      </c>
      <c r="R15889" t="s">
        <v>581</v>
      </c>
      <c r="S15889" t="s">
        <v>22763</v>
      </c>
      <c r="T15889">
        <v>41</v>
      </c>
      <c r="U15889" s="26" t="str">
        <f t="shared" si="590"/>
        <v>2025.012F.Hypofuvirales_neworder.zip</v>
      </c>
    </row>
    <row r="15890" spans="1:21">
      <c r="A15890">
        <v>15889</v>
      </c>
      <c r="B15890" s="27" t="s">
        <v>1124</v>
      </c>
      <c r="D15890" s="27" t="s">
        <v>1859</v>
      </c>
      <c r="F15890" s="27" t="s">
        <v>1909</v>
      </c>
      <c r="H15890" s="27" t="s">
        <v>1961</v>
      </c>
      <c r="J15890" s="27" t="s">
        <v>20806</v>
      </c>
      <c r="L15890" s="27" t="s">
        <v>20807</v>
      </c>
      <c r="N15890" s="27" t="s">
        <v>10442</v>
      </c>
      <c r="P15890" s="27" t="s">
        <v>21698</v>
      </c>
      <c r="Q15890" s="26" t="str">
        <f>HYPERLINK("https://ictv.global/taxonomy/taxondetails?taxnode_id=202522551&amp;ictv_id=ICTV202522551","ICTV202522551")</f>
        <v>ICTV202522551</v>
      </c>
      <c r="R15890" t="s">
        <v>581</v>
      </c>
      <c r="S15890" t="s">
        <v>823</v>
      </c>
      <c r="T15890">
        <v>41</v>
      </c>
      <c r="U15890" s="26" t="str">
        <f t="shared" si="590"/>
        <v>2025.012F.Hypofuvirales_neworder.zip</v>
      </c>
    </row>
    <row r="15891" spans="1:21">
      <c r="A15891">
        <v>15890</v>
      </c>
      <c r="B15891" s="27" t="s">
        <v>1124</v>
      </c>
      <c r="D15891" s="27" t="s">
        <v>1859</v>
      </c>
      <c r="F15891" s="27" t="s">
        <v>1909</v>
      </c>
      <c r="H15891" s="27" t="s">
        <v>1961</v>
      </c>
      <c r="J15891" s="27" t="s">
        <v>20806</v>
      </c>
      <c r="L15891" s="27" t="s">
        <v>20807</v>
      </c>
      <c r="N15891" s="27" t="s">
        <v>10442</v>
      </c>
      <c r="P15891" s="27" t="s">
        <v>10446</v>
      </c>
      <c r="Q15891" s="26" t="str">
        <f>HYPERLINK("https://ictv.global/taxonomy/taxondetails?taxnode_id=202512496&amp;ictv_id=ICTV202112496","ICTV202112496")</f>
        <v>ICTV202112496</v>
      </c>
      <c r="R15891" t="s">
        <v>581</v>
      </c>
      <c r="S15891" t="s">
        <v>22763</v>
      </c>
      <c r="T15891">
        <v>41</v>
      </c>
      <c r="U15891" s="26" t="str">
        <f t="shared" si="590"/>
        <v>2025.012F.Hypofuvirales_neworder.zip</v>
      </c>
    </row>
    <row r="15892" spans="1:21">
      <c r="A15892">
        <v>15891</v>
      </c>
      <c r="B15892" s="27" t="s">
        <v>1124</v>
      </c>
      <c r="D15892" s="27" t="s">
        <v>1859</v>
      </c>
      <c r="F15892" s="27" t="s">
        <v>1909</v>
      </c>
      <c r="H15892" s="27" t="s">
        <v>1961</v>
      </c>
      <c r="J15892" s="27" t="s">
        <v>20806</v>
      </c>
      <c r="L15892" s="27" t="s">
        <v>20807</v>
      </c>
      <c r="N15892" s="27" t="s">
        <v>10442</v>
      </c>
      <c r="P15892" s="27" t="s">
        <v>10447</v>
      </c>
      <c r="Q15892" s="26" t="str">
        <f>HYPERLINK("https://ictv.global/taxonomy/taxondetails?taxnode_id=202512491&amp;ictv_id=ICTV202112491","ICTV202112491")</f>
        <v>ICTV202112491</v>
      </c>
      <c r="R15892" t="s">
        <v>581</v>
      </c>
      <c r="S15892" t="s">
        <v>22763</v>
      </c>
      <c r="T15892">
        <v>41</v>
      </c>
      <c r="U15892" s="26" t="str">
        <f t="shared" si="590"/>
        <v>2025.012F.Hypofuvirales_neworder.zip</v>
      </c>
    </row>
    <row r="15893" spans="1:21">
      <c r="A15893">
        <v>15892</v>
      </c>
      <c r="B15893" s="27" t="s">
        <v>1124</v>
      </c>
      <c r="D15893" s="27" t="s">
        <v>1859</v>
      </c>
      <c r="F15893" s="27" t="s">
        <v>1909</v>
      </c>
      <c r="H15893" s="27" t="s">
        <v>1961</v>
      </c>
      <c r="J15893" s="27" t="s">
        <v>20806</v>
      </c>
      <c r="L15893" s="27" t="s">
        <v>20807</v>
      </c>
      <c r="N15893" s="27" t="s">
        <v>10442</v>
      </c>
      <c r="P15893" s="27" t="s">
        <v>10448</v>
      </c>
      <c r="Q15893" s="26" t="str">
        <f>HYPERLINK("https://ictv.global/taxonomy/taxondetails?taxnode_id=202512492&amp;ictv_id=ICTV202112492","ICTV202112492")</f>
        <v>ICTV202112492</v>
      </c>
      <c r="R15893" t="s">
        <v>581</v>
      </c>
      <c r="S15893" t="s">
        <v>22763</v>
      </c>
      <c r="T15893">
        <v>41</v>
      </c>
      <c r="U15893" s="26" t="str">
        <f t="shared" si="590"/>
        <v>2025.012F.Hypofuvirales_neworder.zip</v>
      </c>
    </row>
    <row r="15894" spans="1:21">
      <c r="A15894">
        <v>15893</v>
      </c>
      <c r="B15894" s="27" t="s">
        <v>1124</v>
      </c>
      <c r="D15894" s="27" t="s">
        <v>1859</v>
      </c>
      <c r="F15894" s="27" t="s">
        <v>1909</v>
      </c>
      <c r="H15894" s="27" t="s">
        <v>1961</v>
      </c>
      <c r="J15894" s="27" t="s">
        <v>20806</v>
      </c>
      <c r="L15894" s="27" t="s">
        <v>20807</v>
      </c>
      <c r="N15894" s="27" t="s">
        <v>10442</v>
      </c>
      <c r="P15894" s="27" t="s">
        <v>10449</v>
      </c>
      <c r="Q15894" s="26" t="str">
        <f>HYPERLINK("https://ictv.global/taxonomy/taxondetails?taxnode_id=202512497&amp;ictv_id=ICTV202112497","ICTV202112497")</f>
        <v>ICTV202112497</v>
      </c>
      <c r="R15894" t="s">
        <v>581</v>
      </c>
      <c r="S15894" t="s">
        <v>22763</v>
      </c>
      <c r="T15894">
        <v>41</v>
      </c>
      <c r="U15894" s="26" t="str">
        <f t="shared" si="590"/>
        <v>2025.012F.Hypofuvirales_neworder.zip</v>
      </c>
    </row>
    <row r="15895" spans="1:21">
      <c r="A15895">
        <v>15894</v>
      </c>
      <c r="B15895" s="27" t="s">
        <v>1124</v>
      </c>
      <c r="D15895" s="27" t="s">
        <v>1859</v>
      </c>
      <c r="F15895" s="27" t="s">
        <v>1909</v>
      </c>
      <c r="H15895" s="27" t="s">
        <v>1961</v>
      </c>
      <c r="J15895" s="27" t="s">
        <v>20806</v>
      </c>
      <c r="L15895" s="27" t="s">
        <v>20807</v>
      </c>
      <c r="N15895" s="27" t="s">
        <v>10442</v>
      </c>
      <c r="P15895" s="27" t="s">
        <v>10450</v>
      </c>
      <c r="Q15895" s="26" t="str">
        <f>HYPERLINK("https://ictv.global/taxonomy/taxondetails?taxnode_id=202512493&amp;ictv_id=ICTV202112493","ICTV202112493")</f>
        <v>ICTV202112493</v>
      </c>
      <c r="R15895" t="s">
        <v>581</v>
      </c>
      <c r="S15895" t="s">
        <v>22763</v>
      </c>
      <c r="T15895">
        <v>41</v>
      </c>
      <c r="U15895" s="26" t="str">
        <f t="shared" si="590"/>
        <v>2025.012F.Hypofuvirales_neworder.zip</v>
      </c>
    </row>
    <row r="15896" spans="1:21">
      <c r="A15896">
        <v>15895</v>
      </c>
      <c r="B15896" s="27" t="s">
        <v>1124</v>
      </c>
      <c r="D15896" s="27" t="s">
        <v>1859</v>
      </c>
      <c r="F15896" s="27" t="s">
        <v>1909</v>
      </c>
      <c r="H15896" s="27" t="s">
        <v>1961</v>
      </c>
      <c r="J15896" s="27" t="s">
        <v>20806</v>
      </c>
      <c r="L15896" s="27" t="s">
        <v>20807</v>
      </c>
      <c r="N15896" s="27" t="s">
        <v>10442</v>
      </c>
      <c r="P15896" s="27" t="s">
        <v>10451</v>
      </c>
      <c r="Q15896" s="26" t="str">
        <f>HYPERLINK("https://ictv.global/taxonomy/taxondetails?taxnode_id=202512495&amp;ictv_id=ICTV202112495","ICTV202112495")</f>
        <v>ICTV202112495</v>
      </c>
      <c r="R15896" t="s">
        <v>581</v>
      </c>
      <c r="S15896" t="s">
        <v>22763</v>
      </c>
      <c r="T15896">
        <v>41</v>
      </c>
      <c r="U15896" s="26" t="str">
        <f t="shared" si="590"/>
        <v>2025.012F.Hypofuvirales_neworder.zip</v>
      </c>
    </row>
    <row r="15897" spans="1:21">
      <c r="A15897">
        <v>15896</v>
      </c>
      <c r="B15897" s="27" t="s">
        <v>1124</v>
      </c>
      <c r="D15897" s="27" t="s">
        <v>1859</v>
      </c>
      <c r="F15897" s="27" t="s">
        <v>1909</v>
      </c>
      <c r="H15897" s="27" t="s">
        <v>1961</v>
      </c>
      <c r="J15897" s="27" t="s">
        <v>20806</v>
      </c>
      <c r="L15897" s="27" t="s">
        <v>20807</v>
      </c>
      <c r="N15897" s="27" t="s">
        <v>10442</v>
      </c>
      <c r="P15897" s="27" t="s">
        <v>21699</v>
      </c>
      <c r="Q15897" s="26" t="str">
        <f>HYPERLINK("https://ictv.global/taxonomy/taxondetails?taxnode_id=202522552&amp;ictv_id=ICTV202522552","ICTV202522552")</f>
        <v>ICTV202522552</v>
      </c>
      <c r="R15897" t="s">
        <v>581</v>
      </c>
      <c r="S15897" t="s">
        <v>823</v>
      </c>
      <c r="T15897">
        <v>41</v>
      </c>
      <c r="U15897" s="26" t="str">
        <f t="shared" si="590"/>
        <v>2025.012F.Hypofuvirales_neworder.zip</v>
      </c>
    </row>
    <row r="15898" spans="1:21">
      <c r="A15898">
        <v>15897</v>
      </c>
      <c r="B15898" s="27" t="s">
        <v>1124</v>
      </c>
      <c r="D15898" s="27" t="s">
        <v>1859</v>
      </c>
      <c r="F15898" s="27" t="s">
        <v>1909</v>
      </c>
      <c r="H15898" s="27" t="s">
        <v>1961</v>
      </c>
      <c r="J15898" s="27" t="s">
        <v>1962</v>
      </c>
      <c r="L15898" s="27" t="s">
        <v>21576</v>
      </c>
      <c r="N15898" s="27" t="s">
        <v>21577</v>
      </c>
      <c r="P15898" s="27" t="s">
        <v>21578</v>
      </c>
      <c r="Q15898" s="26" t="str">
        <f>HYPERLINK("https://ictv.global/taxonomy/taxondetails?taxnode_id=202522444&amp;ictv_id=ICTV202522444","ICTV202522444")</f>
        <v>ICTV202522444</v>
      </c>
      <c r="R15898" t="s">
        <v>581</v>
      </c>
      <c r="S15898" t="s">
        <v>823</v>
      </c>
      <c r="T15898">
        <v>41</v>
      </c>
      <c r="U15898" s="26" t="str">
        <f>HYPERLINK("https://ictv.global/ictv/proposals/2025.009F.Potyliviridae_newfam.zip","2025.009F.Potyliviridae_newfam.zip")</f>
        <v>2025.009F.Potyliviridae_newfam.zip</v>
      </c>
    </row>
    <row r="15899" spans="1:21">
      <c r="A15899">
        <v>15898</v>
      </c>
      <c r="B15899" s="27" t="s">
        <v>1124</v>
      </c>
      <c r="D15899" s="27" t="s">
        <v>1859</v>
      </c>
      <c r="F15899" s="27" t="s">
        <v>1909</v>
      </c>
      <c r="H15899" s="27" t="s">
        <v>1961</v>
      </c>
      <c r="J15899" s="27" t="s">
        <v>1962</v>
      </c>
      <c r="L15899" s="27" t="s">
        <v>21576</v>
      </c>
      <c r="N15899" s="27" t="s">
        <v>21577</v>
      </c>
      <c r="P15899" s="27" t="s">
        <v>21579</v>
      </c>
      <c r="Q15899" s="26" t="str">
        <f>HYPERLINK("https://ictv.global/taxonomy/taxondetails?taxnode_id=202522445&amp;ictv_id=ICTV202522445","ICTV202522445")</f>
        <v>ICTV202522445</v>
      </c>
      <c r="R15899" t="s">
        <v>581</v>
      </c>
      <c r="S15899" t="s">
        <v>823</v>
      </c>
      <c r="T15899">
        <v>41</v>
      </c>
      <c r="U15899" s="26" t="str">
        <f>HYPERLINK("https://ictv.global/ictv/proposals/2025.009F.Potyliviridae_newfam.zip","2025.009F.Potyliviridae_newfam.zip")</f>
        <v>2025.009F.Potyliviridae_newfam.zip</v>
      </c>
    </row>
    <row r="15900" spans="1:21">
      <c r="A15900">
        <v>15899</v>
      </c>
      <c r="B15900" s="27" t="s">
        <v>1124</v>
      </c>
      <c r="D15900" s="27" t="s">
        <v>1859</v>
      </c>
      <c r="F15900" s="27" t="s">
        <v>1909</v>
      </c>
      <c r="H15900" s="27" t="s">
        <v>1961</v>
      </c>
      <c r="J15900" s="27" t="s">
        <v>1962</v>
      </c>
      <c r="L15900" s="27" t="s">
        <v>148</v>
      </c>
      <c r="N15900" s="27" t="s">
        <v>1963</v>
      </c>
      <c r="P15900" s="27" t="s">
        <v>17543</v>
      </c>
      <c r="Q15900" s="26" t="str">
        <f>HYPERLINK("https://ictv.global/taxonomy/taxondetails?taxnode_id=202507457&amp;ictv_id=ICTV201907457","ICTV201907457")</f>
        <v>ICTV201907457</v>
      </c>
      <c r="R15900" t="s">
        <v>581</v>
      </c>
      <c r="S15900" t="s">
        <v>824</v>
      </c>
      <c r="T15900">
        <v>39</v>
      </c>
      <c r="U15900" s="26" t="str">
        <f>HYPERLINK("https://ictv.global/ictv/proposals/2023.013P.Potyviridae_rename_sp.zip","2023.013P.Potyviridae_rename_sp.zip")</f>
        <v>2023.013P.Potyviridae_rename_sp.zip</v>
      </c>
    </row>
    <row r="15901" spans="1:21">
      <c r="A15901">
        <v>15900</v>
      </c>
      <c r="B15901" s="27" t="s">
        <v>1124</v>
      </c>
      <c r="D15901" s="27" t="s">
        <v>1859</v>
      </c>
      <c r="F15901" s="27" t="s">
        <v>1909</v>
      </c>
      <c r="H15901" s="27" t="s">
        <v>1961</v>
      </c>
      <c r="J15901" s="27" t="s">
        <v>1962</v>
      </c>
      <c r="L15901" s="27" t="s">
        <v>148</v>
      </c>
      <c r="N15901" s="27" t="s">
        <v>1963</v>
      </c>
      <c r="P15901" s="27" t="s">
        <v>17544</v>
      </c>
      <c r="Q15901" s="26" t="str">
        <f>HYPERLINK("https://ictv.global/taxonomy/taxondetails?taxnode_id=202507456&amp;ictv_id=ICTV201907456","ICTV201907456")</f>
        <v>ICTV201907456</v>
      </c>
      <c r="R15901" t="s">
        <v>581</v>
      </c>
      <c r="S15901" t="s">
        <v>824</v>
      </c>
      <c r="T15901">
        <v>39</v>
      </c>
      <c r="U15901" s="26" t="str">
        <f>HYPERLINK("https://ictv.global/ictv/proposals/2023.013P.Potyviridae_rename_sp.zip","2023.013P.Potyviridae_rename_sp.zip")</f>
        <v>2023.013P.Potyviridae_rename_sp.zip</v>
      </c>
    </row>
    <row r="15902" spans="1:21">
      <c r="A15902">
        <v>15901</v>
      </c>
      <c r="B15902" s="27" t="s">
        <v>1124</v>
      </c>
      <c r="D15902" s="27" t="s">
        <v>1859</v>
      </c>
      <c r="F15902" s="27" t="s">
        <v>1909</v>
      </c>
      <c r="H15902" s="27" t="s">
        <v>1961</v>
      </c>
      <c r="J15902" s="27" t="s">
        <v>1962</v>
      </c>
      <c r="L15902" s="27" t="s">
        <v>148</v>
      </c>
      <c r="N15902" s="27" t="s">
        <v>1963</v>
      </c>
      <c r="P15902" s="27" t="s">
        <v>21584</v>
      </c>
      <c r="Q15902" s="26" t="str">
        <f>HYPERLINK("https://ictv.global/taxonomy/taxondetails?taxnode_id=202522450&amp;ictv_id=ICTV202522450","ICTV202522450")</f>
        <v>ICTV202522450</v>
      </c>
      <c r="R15902" t="s">
        <v>581</v>
      </c>
      <c r="S15902" t="s">
        <v>823</v>
      </c>
      <c r="T15902">
        <v>41</v>
      </c>
      <c r="U15902" s="26" t="str">
        <f>HYPERLINK("https://ictv.global/ictv/proposals/2025.009P.Potyviridae_5nsp.zip","2025.009P.Potyviridae_5nsp.zip")</f>
        <v>2025.009P.Potyviridae_5nsp.zip</v>
      </c>
    </row>
    <row r="15903" spans="1:21">
      <c r="A15903">
        <v>15902</v>
      </c>
      <c r="B15903" s="27" t="s">
        <v>1124</v>
      </c>
      <c r="D15903" s="27" t="s">
        <v>1859</v>
      </c>
      <c r="F15903" s="27" t="s">
        <v>1909</v>
      </c>
      <c r="H15903" s="27" t="s">
        <v>1961</v>
      </c>
      <c r="J15903" s="27" t="s">
        <v>1962</v>
      </c>
      <c r="L15903" s="27" t="s">
        <v>148</v>
      </c>
      <c r="N15903" s="27" t="s">
        <v>916</v>
      </c>
      <c r="P15903" s="27" t="s">
        <v>17545</v>
      </c>
      <c r="Q15903" s="26" t="str">
        <f>HYPERLINK("https://ictv.global/taxonomy/taxondetails?taxnode_id=202505915&amp;ictv_id=ICTV20175915","ICTV20175915")</f>
        <v>ICTV20175915</v>
      </c>
      <c r="R15903" t="s">
        <v>581</v>
      </c>
      <c r="S15903" t="s">
        <v>824</v>
      </c>
      <c r="T15903">
        <v>39</v>
      </c>
      <c r="U15903" s="26" t="str">
        <f t="shared" ref="U15903:U15920" si="591">HYPERLINK("https://ictv.global/ictv/proposals/2023.013P.Potyviridae_rename_sp.zip","2023.013P.Potyviridae_rename_sp.zip")</f>
        <v>2023.013P.Potyviridae_rename_sp.zip</v>
      </c>
    </row>
    <row r="15904" spans="1:21">
      <c r="A15904">
        <v>15903</v>
      </c>
      <c r="B15904" s="27" t="s">
        <v>1124</v>
      </c>
      <c r="D15904" s="27" t="s">
        <v>1859</v>
      </c>
      <c r="F15904" s="27" t="s">
        <v>1909</v>
      </c>
      <c r="H15904" s="27" t="s">
        <v>1961</v>
      </c>
      <c r="J15904" s="27" t="s">
        <v>1962</v>
      </c>
      <c r="L15904" s="27" t="s">
        <v>148</v>
      </c>
      <c r="N15904" s="27" t="s">
        <v>153</v>
      </c>
      <c r="P15904" s="27" t="s">
        <v>17546</v>
      </c>
      <c r="Q15904" s="26" t="str">
        <f>HYPERLINK("https://ictv.global/taxonomy/taxondetails?taxnode_id=202504534&amp;ictv_id=ICTV20094507","ICTV20094507")</f>
        <v>ICTV20094507</v>
      </c>
      <c r="R15904" t="s">
        <v>581</v>
      </c>
      <c r="S15904" t="s">
        <v>824</v>
      </c>
      <c r="T15904">
        <v>39</v>
      </c>
      <c r="U15904" s="26" t="str">
        <f t="shared" si="591"/>
        <v>2023.013P.Potyviridae_rename_sp.zip</v>
      </c>
    </row>
    <row r="15905" spans="1:21">
      <c r="A15905">
        <v>15904</v>
      </c>
      <c r="B15905" s="27" t="s">
        <v>1124</v>
      </c>
      <c r="D15905" s="27" t="s">
        <v>1859</v>
      </c>
      <c r="F15905" s="27" t="s">
        <v>1909</v>
      </c>
      <c r="H15905" s="27" t="s">
        <v>1961</v>
      </c>
      <c r="J15905" s="27" t="s">
        <v>1962</v>
      </c>
      <c r="L15905" s="27" t="s">
        <v>148</v>
      </c>
      <c r="N15905" s="27" t="s">
        <v>149</v>
      </c>
      <c r="P15905" s="27" t="s">
        <v>17547</v>
      </c>
      <c r="Q15905" s="26" t="str">
        <f>HYPERLINK("https://ictv.global/taxonomy/taxondetails?taxnode_id=202504538&amp;ictv_id=ICTV19931501","ICTV19931501")</f>
        <v>ICTV19931501</v>
      </c>
      <c r="R15905" t="s">
        <v>581</v>
      </c>
      <c r="S15905" t="s">
        <v>824</v>
      </c>
      <c r="T15905">
        <v>39</v>
      </c>
      <c r="U15905" s="26" t="str">
        <f t="shared" si="591"/>
        <v>2023.013P.Potyviridae_rename_sp.zip</v>
      </c>
    </row>
    <row r="15906" spans="1:21">
      <c r="A15906">
        <v>15905</v>
      </c>
      <c r="B15906" s="27" t="s">
        <v>1124</v>
      </c>
      <c r="D15906" s="27" t="s">
        <v>1859</v>
      </c>
      <c r="F15906" s="27" t="s">
        <v>1909</v>
      </c>
      <c r="H15906" s="27" t="s">
        <v>1961</v>
      </c>
      <c r="J15906" s="27" t="s">
        <v>1962</v>
      </c>
      <c r="L15906" s="27" t="s">
        <v>148</v>
      </c>
      <c r="N15906" s="27" t="s">
        <v>149</v>
      </c>
      <c r="P15906" s="27" t="s">
        <v>17548</v>
      </c>
      <c r="Q15906" s="26" t="str">
        <f>HYPERLINK("https://ictv.global/taxonomy/taxondetails?taxnode_id=202504536&amp;ictv_id=ICTV19931499","ICTV19931499")</f>
        <v>ICTV19931499</v>
      </c>
      <c r="R15906" t="s">
        <v>581</v>
      </c>
      <c r="S15906" t="s">
        <v>824</v>
      </c>
      <c r="T15906">
        <v>39</v>
      </c>
      <c r="U15906" s="26" t="str">
        <f t="shared" si="591"/>
        <v>2023.013P.Potyviridae_rename_sp.zip</v>
      </c>
    </row>
    <row r="15907" spans="1:21">
      <c r="A15907">
        <v>15906</v>
      </c>
      <c r="B15907" s="27" t="s">
        <v>1124</v>
      </c>
      <c r="D15907" s="27" t="s">
        <v>1859</v>
      </c>
      <c r="F15907" s="27" t="s">
        <v>1909</v>
      </c>
      <c r="H15907" s="27" t="s">
        <v>1961</v>
      </c>
      <c r="J15907" s="27" t="s">
        <v>1962</v>
      </c>
      <c r="L15907" s="27" t="s">
        <v>148</v>
      </c>
      <c r="N15907" s="27" t="s">
        <v>149</v>
      </c>
      <c r="P15907" s="27" t="s">
        <v>17549</v>
      </c>
      <c r="Q15907" s="26" t="str">
        <f>HYPERLINK("https://ictv.global/taxonomy/taxondetails?taxnode_id=202504537&amp;ictv_id=ICTV19931500","ICTV19931500")</f>
        <v>ICTV19931500</v>
      </c>
      <c r="R15907" t="s">
        <v>581</v>
      </c>
      <c r="S15907" t="s">
        <v>824</v>
      </c>
      <c r="T15907">
        <v>39</v>
      </c>
      <c r="U15907" s="26" t="str">
        <f t="shared" si="591"/>
        <v>2023.013P.Potyviridae_rename_sp.zip</v>
      </c>
    </row>
    <row r="15908" spans="1:21">
      <c r="A15908">
        <v>15907</v>
      </c>
      <c r="B15908" s="27" t="s">
        <v>1124</v>
      </c>
      <c r="D15908" s="27" t="s">
        <v>1859</v>
      </c>
      <c r="F15908" s="27" t="s">
        <v>1909</v>
      </c>
      <c r="H15908" s="27" t="s">
        <v>1961</v>
      </c>
      <c r="J15908" s="27" t="s">
        <v>1962</v>
      </c>
      <c r="L15908" s="27" t="s">
        <v>148</v>
      </c>
      <c r="N15908" s="27" t="s">
        <v>149</v>
      </c>
      <c r="P15908" s="27" t="s">
        <v>17550</v>
      </c>
      <c r="Q15908" s="26" t="str">
        <f>HYPERLINK("https://ictv.global/taxonomy/taxondetails?taxnode_id=202504539&amp;ictv_id=ICTV19931502","ICTV19931502")</f>
        <v>ICTV19931502</v>
      </c>
      <c r="R15908" t="s">
        <v>581</v>
      </c>
      <c r="S15908" t="s">
        <v>824</v>
      </c>
      <c r="T15908">
        <v>39</v>
      </c>
      <c r="U15908" s="26" t="str">
        <f t="shared" si="591"/>
        <v>2023.013P.Potyviridae_rename_sp.zip</v>
      </c>
    </row>
    <row r="15909" spans="1:21">
      <c r="A15909">
        <v>15908</v>
      </c>
      <c r="B15909" s="27" t="s">
        <v>1124</v>
      </c>
      <c r="D15909" s="27" t="s">
        <v>1859</v>
      </c>
      <c r="F15909" s="27" t="s">
        <v>1909</v>
      </c>
      <c r="H15909" s="27" t="s">
        <v>1961</v>
      </c>
      <c r="J15909" s="27" t="s">
        <v>1962</v>
      </c>
      <c r="L15909" s="27" t="s">
        <v>148</v>
      </c>
      <c r="N15909" s="27" t="s">
        <v>149</v>
      </c>
      <c r="P15909" s="27" t="s">
        <v>17551</v>
      </c>
      <c r="Q15909" s="26" t="str">
        <f>HYPERLINK("https://ictv.global/taxonomy/taxondetails?taxnode_id=202504540&amp;ictv_id=ICTV19931503","ICTV19931503")</f>
        <v>ICTV19931503</v>
      </c>
      <c r="R15909" t="s">
        <v>581</v>
      </c>
      <c r="S15909" t="s">
        <v>824</v>
      </c>
      <c r="T15909">
        <v>39</v>
      </c>
      <c r="U15909" s="26" t="str">
        <f t="shared" si="591"/>
        <v>2023.013P.Potyviridae_rename_sp.zip</v>
      </c>
    </row>
    <row r="15910" spans="1:21">
      <c r="A15910">
        <v>15909</v>
      </c>
      <c r="B15910" s="27" t="s">
        <v>1124</v>
      </c>
      <c r="D15910" s="27" t="s">
        <v>1859</v>
      </c>
      <c r="F15910" s="27" t="s">
        <v>1909</v>
      </c>
      <c r="H15910" s="27" t="s">
        <v>1961</v>
      </c>
      <c r="J15910" s="27" t="s">
        <v>1962</v>
      </c>
      <c r="L15910" s="27" t="s">
        <v>148</v>
      </c>
      <c r="N15910" s="27" t="s">
        <v>149</v>
      </c>
      <c r="P15910" s="27" t="s">
        <v>17552</v>
      </c>
      <c r="Q15910" s="26" t="str">
        <f>HYPERLINK("https://ictv.global/taxonomy/taxondetails?taxnode_id=202504541&amp;ictv_id=ICTV19991356","ICTV19991356")</f>
        <v>ICTV19991356</v>
      </c>
      <c r="R15910" t="s">
        <v>581</v>
      </c>
      <c r="S15910" t="s">
        <v>824</v>
      </c>
      <c r="T15910">
        <v>39</v>
      </c>
      <c r="U15910" s="26" t="str">
        <f t="shared" si="591"/>
        <v>2023.013P.Potyviridae_rename_sp.zip</v>
      </c>
    </row>
    <row r="15911" spans="1:21">
      <c r="A15911">
        <v>15910</v>
      </c>
      <c r="B15911" s="27" t="s">
        <v>1124</v>
      </c>
      <c r="D15911" s="27" t="s">
        <v>1859</v>
      </c>
      <c r="F15911" s="27" t="s">
        <v>1909</v>
      </c>
      <c r="H15911" s="27" t="s">
        <v>1961</v>
      </c>
      <c r="J15911" s="27" t="s">
        <v>1962</v>
      </c>
      <c r="L15911" s="27" t="s">
        <v>148</v>
      </c>
      <c r="N15911" s="27" t="s">
        <v>1964</v>
      </c>
      <c r="P15911" s="27" t="s">
        <v>17553</v>
      </c>
      <c r="Q15911" s="26" t="str">
        <f>HYPERLINK("https://ictv.global/taxonomy/taxondetails?taxnode_id=202507463&amp;ictv_id=ICTV201907463","ICTV201907463")</f>
        <v>ICTV201907463</v>
      </c>
      <c r="R15911" t="s">
        <v>581</v>
      </c>
      <c r="S15911" t="s">
        <v>824</v>
      </c>
      <c r="T15911">
        <v>39</v>
      </c>
      <c r="U15911" s="26" t="str">
        <f t="shared" si="591"/>
        <v>2023.013P.Potyviridae_rename_sp.zip</v>
      </c>
    </row>
    <row r="15912" spans="1:21">
      <c r="A15912">
        <v>15911</v>
      </c>
      <c r="B15912" s="27" t="s">
        <v>1124</v>
      </c>
      <c r="D15912" s="27" t="s">
        <v>1859</v>
      </c>
      <c r="F15912" s="27" t="s">
        <v>1909</v>
      </c>
      <c r="H15912" s="27" t="s">
        <v>1961</v>
      </c>
      <c r="J15912" s="27" t="s">
        <v>1962</v>
      </c>
      <c r="L15912" s="27" t="s">
        <v>148</v>
      </c>
      <c r="N15912" s="27" t="s">
        <v>212</v>
      </c>
      <c r="P15912" s="27" t="s">
        <v>17554</v>
      </c>
      <c r="Q15912" s="26" t="str">
        <f>HYPERLINK("https://ictv.global/taxonomy/taxondetails?taxnode_id=202504543&amp;ictv_id=ICTV20041718","ICTV20041718")</f>
        <v>ICTV20041718</v>
      </c>
      <c r="R15912" t="s">
        <v>581</v>
      </c>
      <c r="S15912" t="s">
        <v>824</v>
      </c>
      <c r="T15912">
        <v>39</v>
      </c>
      <c r="U15912" s="26" t="str">
        <f t="shared" si="591"/>
        <v>2023.013P.Potyviridae_rename_sp.zip</v>
      </c>
    </row>
    <row r="15913" spans="1:21">
      <c r="A15913">
        <v>15912</v>
      </c>
      <c r="B15913" s="27" t="s">
        <v>1124</v>
      </c>
      <c r="D15913" s="27" t="s">
        <v>1859</v>
      </c>
      <c r="F15913" s="27" t="s">
        <v>1909</v>
      </c>
      <c r="H15913" s="27" t="s">
        <v>1961</v>
      </c>
      <c r="J15913" s="27" t="s">
        <v>1962</v>
      </c>
      <c r="L15913" s="27" t="s">
        <v>148</v>
      </c>
      <c r="N15913" s="27" t="s">
        <v>212</v>
      </c>
      <c r="P15913" s="27" t="s">
        <v>17555</v>
      </c>
      <c r="Q15913" s="26" t="str">
        <f>HYPERLINK("https://ictv.global/taxonomy/taxondetails?taxnode_id=202505917&amp;ictv_id=ICTV20175917","ICTV20175917")</f>
        <v>ICTV20175917</v>
      </c>
      <c r="R15913" t="s">
        <v>581</v>
      </c>
      <c r="S15913" t="s">
        <v>824</v>
      </c>
      <c r="T15913">
        <v>39</v>
      </c>
      <c r="U15913" s="26" t="str">
        <f t="shared" si="591"/>
        <v>2023.013P.Potyviridae_rename_sp.zip</v>
      </c>
    </row>
    <row r="15914" spans="1:21">
      <c r="A15914">
        <v>15913</v>
      </c>
      <c r="B15914" s="27" t="s">
        <v>1124</v>
      </c>
      <c r="D15914" s="27" t="s">
        <v>1859</v>
      </c>
      <c r="F15914" s="27" t="s">
        <v>1909</v>
      </c>
      <c r="H15914" s="27" t="s">
        <v>1961</v>
      </c>
      <c r="J15914" s="27" t="s">
        <v>1962</v>
      </c>
      <c r="L15914" s="27" t="s">
        <v>148</v>
      </c>
      <c r="N15914" s="27" t="s">
        <v>212</v>
      </c>
      <c r="P15914" s="27" t="s">
        <v>17556</v>
      </c>
      <c r="Q15914" s="26" t="str">
        <f>HYPERLINK("https://ictv.global/taxonomy/taxondetails?taxnode_id=202504544&amp;ictv_id=ICTV20041719","ICTV20041719")</f>
        <v>ICTV20041719</v>
      </c>
      <c r="R15914" t="s">
        <v>581</v>
      </c>
      <c r="S15914" t="s">
        <v>824</v>
      </c>
      <c r="T15914">
        <v>39</v>
      </c>
      <c r="U15914" s="26" t="str">
        <f t="shared" si="591"/>
        <v>2023.013P.Potyviridae_rename_sp.zip</v>
      </c>
    </row>
    <row r="15915" spans="1:21">
      <c r="A15915">
        <v>15914</v>
      </c>
      <c r="B15915" s="27" t="s">
        <v>1124</v>
      </c>
      <c r="D15915" s="27" t="s">
        <v>1859</v>
      </c>
      <c r="F15915" s="27" t="s">
        <v>1909</v>
      </c>
      <c r="H15915" s="27" t="s">
        <v>1961</v>
      </c>
      <c r="J15915" s="27" t="s">
        <v>1962</v>
      </c>
      <c r="L15915" s="27" t="s">
        <v>148</v>
      </c>
      <c r="N15915" s="27" t="s">
        <v>212</v>
      </c>
      <c r="P15915" s="27" t="s">
        <v>17557</v>
      </c>
      <c r="Q15915" s="26" t="str">
        <f>HYPERLINK("https://ictv.global/taxonomy/taxondetails?taxnode_id=202504545&amp;ictv_id=ICTV20084475","ICTV20084475")</f>
        <v>ICTV20084475</v>
      </c>
      <c r="R15915" t="s">
        <v>581</v>
      </c>
      <c r="S15915" t="s">
        <v>824</v>
      </c>
      <c r="T15915">
        <v>39</v>
      </c>
      <c r="U15915" s="26" t="str">
        <f t="shared" si="591"/>
        <v>2023.013P.Potyviridae_rename_sp.zip</v>
      </c>
    </row>
    <row r="15916" spans="1:21">
      <c r="A15916">
        <v>15915</v>
      </c>
      <c r="B15916" s="27" t="s">
        <v>1124</v>
      </c>
      <c r="D15916" s="27" t="s">
        <v>1859</v>
      </c>
      <c r="F15916" s="27" t="s">
        <v>1909</v>
      </c>
      <c r="H15916" s="27" t="s">
        <v>1961</v>
      </c>
      <c r="J15916" s="27" t="s">
        <v>1962</v>
      </c>
      <c r="L15916" s="27" t="s">
        <v>148</v>
      </c>
      <c r="N15916" s="27" t="s">
        <v>212</v>
      </c>
      <c r="P15916" s="27" t="s">
        <v>17558</v>
      </c>
      <c r="Q15916" s="26" t="str">
        <f>HYPERLINK("https://ictv.global/taxonomy/taxondetails?taxnode_id=202504546&amp;ictv_id=ICTV19982236","ICTV19982236")</f>
        <v>ICTV19982236</v>
      </c>
      <c r="R15916" t="s">
        <v>581</v>
      </c>
      <c r="S15916" t="s">
        <v>824</v>
      </c>
      <c r="T15916">
        <v>39</v>
      </c>
      <c r="U15916" s="26" t="str">
        <f t="shared" si="591"/>
        <v>2023.013P.Potyviridae_rename_sp.zip</v>
      </c>
    </row>
    <row r="15917" spans="1:21">
      <c r="A15917">
        <v>15916</v>
      </c>
      <c r="B15917" s="27" t="s">
        <v>1124</v>
      </c>
      <c r="D15917" s="27" t="s">
        <v>1859</v>
      </c>
      <c r="F15917" s="27" t="s">
        <v>1909</v>
      </c>
      <c r="H15917" s="27" t="s">
        <v>1961</v>
      </c>
      <c r="J15917" s="27" t="s">
        <v>1962</v>
      </c>
      <c r="L15917" s="27" t="s">
        <v>148</v>
      </c>
      <c r="N15917" s="27" t="s">
        <v>212</v>
      </c>
      <c r="P15917" s="27" t="s">
        <v>17559</v>
      </c>
      <c r="Q15917" s="26" t="str">
        <f>HYPERLINK("https://ictv.global/taxonomy/taxondetails?taxnode_id=202504547&amp;ictv_id=ICTV20041837","ICTV20041837")</f>
        <v>ICTV20041837</v>
      </c>
      <c r="R15917" t="s">
        <v>581</v>
      </c>
      <c r="S15917" t="s">
        <v>824</v>
      </c>
      <c r="T15917">
        <v>39</v>
      </c>
      <c r="U15917" s="26" t="str">
        <f t="shared" si="591"/>
        <v>2023.013P.Potyviridae_rename_sp.zip</v>
      </c>
    </row>
    <row r="15918" spans="1:21">
      <c r="A15918">
        <v>15917</v>
      </c>
      <c r="B15918" s="27" t="s">
        <v>1124</v>
      </c>
      <c r="D15918" s="27" t="s">
        <v>1859</v>
      </c>
      <c r="F15918" s="27" t="s">
        <v>1909</v>
      </c>
      <c r="H15918" s="27" t="s">
        <v>1961</v>
      </c>
      <c r="J15918" s="27" t="s">
        <v>1962</v>
      </c>
      <c r="L15918" s="27" t="s">
        <v>148</v>
      </c>
      <c r="N15918" s="27" t="s">
        <v>212</v>
      </c>
      <c r="P15918" s="27" t="s">
        <v>17560</v>
      </c>
      <c r="Q15918" s="26" t="str">
        <f>HYPERLINK("https://ictv.global/taxonomy/taxondetails?taxnode_id=202504548&amp;ictv_id=ICTV20115387","ICTV20115387")</f>
        <v>ICTV20115387</v>
      </c>
      <c r="R15918" t="s">
        <v>581</v>
      </c>
      <c r="S15918" t="s">
        <v>824</v>
      </c>
      <c r="T15918">
        <v>39</v>
      </c>
      <c r="U15918" s="26" t="str">
        <f t="shared" si="591"/>
        <v>2023.013P.Potyviridae_rename_sp.zip</v>
      </c>
    </row>
    <row r="15919" spans="1:21">
      <c r="A15919">
        <v>15918</v>
      </c>
      <c r="B15919" s="27" t="s">
        <v>1124</v>
      </c>
      <c r="D15919" s="27" t="s">
        <v>1859</v>
      </c>
      <c r="F15919" s="27" t="s">
        <v>1909</v>
      </c>
      <c r="H15919" s="27" t="s">
        <v>1961</v>
      </c>
      <c r="J15919" s="27" t="s">
        <v>1962</v>
      </c>
      <c r="L15919" s="27" t="s">
        <v>148</v>
      </c>
      <c r="N15919" s="27" t="s">
        <v>224</v>
      </c>
      <c r="P15919" s="27" t="s">
        <v>17561</v>
      </c>
      <c r="Q15919" s="26" t="str">
        <f>HYPERLINK("https://ictv.global/taxonomy/taxondetails?taxnode_id=202507443&amp;ictv_id=ICTV201907443","ICTV201907443")</f>
        <v>ICTV201907443</v>
      </c>
      <c r="R15919" t="s">
        <v>581</v>
      </c>
      <c r="S15919" t="s">
        <v>824</v>
      </c>
      <c r="T15919">
        <v>39</v>
      </c>
      <c r="U15919" s="26" t="str">
        <f t="shared" si="591"/>
        <v>2023.013P.Potyviridae_rename_sp.zip</v>
      </c>
    </row>
    <row r="15920" spans="1:21">
      <c r="A15920">
        <v>15919</v>
      </c>
      <c r="B15920" s="27" t="s">
        <v>1124</v>
      </c>
      <c r="D15920" s="27" t="s">
        <v>1859</v>
      </c>
      <c r="F15920" s="27" t="s">
        <v>1909</v>
      </c>
      <c r="H15920" s="27" t="s">
        <v>1961</v>
      </c>
      <c r="J15920" s="27" t="s">
        <v>1962</v>
      </c>
      <c r="L15920" s="27" t="s">
        <v>148</v>
      </c>
      <c r="N15920" s="27" t="s">
        <v>224</v>
      </c>
      <c r="P15920" s="27" t="s">
        <v>17562</v>
      </c>
      <c r="Q15920" s="26" t="str">
        <f>HYPERLINK("https://ictv.global/taxonomy/taxondetails?taxnode_id=202504550&amp;ictv_id=ICTV19991360","ICTV19991360")</f>
        <v>ICTV19991360</v>
      </c>
      <c r="R15920" t="s">
        <v>581</v>
      </c>
      <c r="S15920" t="s">
        <v>824</v>
      </c>
      <c r="T15920">
        <v>39</v>
      </c>
      <c r="U15920" s="26" t="str">
        <f t="shared" si="591"/>
        <v>2023.013P.Potyviridae_rename_sp.zip</v>
      </c>
    </row>
    <row r="15921" spans="1:21">
      <c r="A15921">
        <v>15920</v>
      </c>
      <c r="B15921" s="27" t="s">
        <v>1124</v>
      </c>
      <c r="D15921" s="27" t="s">
        <v>1859</v>
      </c>
      <c r="F15921" s="27" t="s">
        <v>1909</v>
      </c>
      <c r="H15921" s="27" t="s">
        <v>1961</v>
      </c>
      <c r="J15921" s="27" t="s">
        <v>1962</v>
      </c>
      <c r="L15921" s="27" t="s">
        <v>148</v>
      </c>
      <c r="N15921" s="27" t="s">
        <v>224</v>
      </c>
      <c r="P15921" s="27" t="s">
        <v>21585</v>
      </c>
      <c r="Q15921" s="26" t="str">
        <f>HYPERLINK("https://ictv.global/taxonomy/taxondetails?taxnode_id=202522451&amp;ictv_id=ICTV202522451","ICTV202522451")</f>
        <v>ICTV202522451</v>
      </c>
      <c r="R15921" t="s">
        <v>581</v>
      </c>
      <c r="S15921" t="s">
        <v>823</v>
      </c>
      <c r="T15921">
        <v>41</v>
      </c>
      <c r="U15921" s="26" t="str">
        <f>HYPERLINK("https://ictv.global/ictv/proposals/2025.009P.Potyviridae_5nsp.zip","2025.009P.Potyviridae_5nsp.zip")</f>
        <v>2025.009P.Potyviridae_5nsp.zip</v>
      </c>
    </row>
    <row r="15922" spans="1:21">
      <c r="A15922">
        <v>15921</v>
      </c>
      <c r="B15922" s="27" t="s">
        <v>1124</v>
      </c>
      <c r="D15922" s="27" t="s">
        <v>1859</v>
      </c>
      <c r="F15922" s="27" t="s">
        <v>1909</v>
      </c>
      <c r="H15922" s="27" t="s">
        <v>1961</v>
      </c>
      <c r="J15922" s="27" t="s">
        <v>1962</v>
      </c>
      <c r="L15922" s="27" t="s">
        <v>148</v>
      </c>
      <c r="N15922" s="27" t="s">
        <v>224</v>
      </c>
      <c r="P15922" s="27" t="s">
        <v>10675</v>
      </c>
      <c r="Q15922" s="26" t="str">
        <f>HYPERLINK("https://ictv.global/taxonomy/taxondetails?taxnode_id=202515108&amp;ictv_id=ICTV202215108","ICTV202215108")</f>
        <v>ICTV202215108</v>
      </c>
      <c r="R15922" t="s">
        <v>581</v>
      </c>
      <c r="S15922" t="s">
        <v>823</v>
      </c>
      <c r="T15922">
        <v>38</v>
      </c>
      <c r="U15922" s="26" t="str">
        <f>HYPERLINK("https://ictv.global/ictv/proposals/2022.010P.Potyviridae_7ns.zip","2022.010P.Potyviridae_7ns.zip")</f>
        <v>2022.010P.Potyviridae_7ns.zip</v>
      </c>
    </row>
    <row r="15923" spans="1:21">
      <c r="A15923">
        <v>15922</v>
      </c>
      <c r="B15923" s="27" t="s">
        <v>1124</v>
      </c>
      <c r="D15923" s="27" t="s">
        <v>1859</v>
      </c>
      <c r="F15923" s="27" t="s">
        <v>1909</v>
      </c>
      <c r="H15923" s="27" t="s">
        <v>1961</v>
      </c>
      <c r="J15923" s="27" t="s">
        <v>1962</v>
      </c>
      <c r="L15923" s="27" t="s">
        <v>148</v>
      </c>
      <c r="N15923" s="27" t="s">
        <v>224</v>
      </c>
      <c r="P15923" s="27" t="s">
        <v>17563</v>
      </c>
      <c r="Q15923" s="26" t="str">
        <f>HYPERLINK("https://ictv.global/taxonomy/taxondetails?taxnode_id=202504553&amp;ictv_id=ICTV19911763","ICTV19911763")</f>
        <v>ICTV19911763</v>
      </c>
      <c r="R15923" t="s">
        <v>581</v>
      </c>
      <c r="S15923" t="s">
        <v>824</v>
      </c>
      <c r="T15923">
        <v>39</v>
      </c>
      <c r="U15923" s="26" t="str">
        <f t="shared" ref="U15923:U15930" si="592">HYPERLINK("https://ictv.global/ictv/proposals/2023.013P.Potyviridae_rename_sp.zip","2023.013P.Potyviridae_rename_sp.zip")</f>
        <v>2023.013P.Potyviridae_rename_sp.zip</v>
      </c>
    </row>
    <row r="15924" spans="1:21">
      <c r="A15924">
        <v>15923</v>
      </c>
      <c r="B15924" s="27" t="s">
        <v>1124</v>
      </c>
      <c r="D15924" s="27" t="s">
        <v>1859</v>
      </c>
      <c r="F15924" s="27" t="s">
        <v>1909</v>
      </c>
      <c r="H15924" s="27" t="s">
        <v>1961</v>
      </c>
      <c r="J15924" s="27" t="s">
        <v>1962</v>
      </c>
      <c r="L15924" s="27" t="s">
        <v>148</v>
      </c>
      <c r="N15924" s="27" t="s">
        <v>224</v>
      </c>
      <c r="P15924" s="27" t="s">
        <v>17564</v>
      </c>
      <c r="Q15924" s="26" t="str">
        <f>HYPERLINK("https://ictv.global/taxonomy/taxondetails?taxnode_id=202504554&amp;ictv_id=ICTV20084479","ICTV20084479")</f>
        <v>ICTV20084479</v>
      </c>
      <c r="R15924" t="s">
        <v>581</v>
      </c>
      <c r="S15924" t="s">
        <v>824</v>
      </c>
      <c r="T15924">
        <v>39</v>
      </c>
      <c r="U15924" s="26" t="str">
        <f t="shared" si="592"/>
        <v>2023.013P.Potyviridae_rename_sp.zip</v>
      </c>
    </row>
    <row r="15925" spans="1:21">
      <c r="A15925">
        <v>15924</v>
      </c>
      <c r="B15925" s="27" t="s">
        <v>1124</v>
      </c>
      <c r="D15925" s="27" t="s">
        <v>1859</v>
      </c>
      <c r="F15925" s="27" t="s">
        <v>1909</v>
      </c>
      <c r="H15925" s="27" t="s">
        <v>1961</v>
      </c>
      <c r="J15925" s="27" t="s">
        <v>1962</v>
      </c>
      <c r="L15925" s="27" t="s">
        <v>148</v>
      </c>
      <c r="N15925" s="27" t="s">
        <v>224</v>
      </c>
      <c r="P15925" s="27" t="s">
        <v>17565</v>
      </c>
      <c r="Q15925" s="26" t="str">
        <f>HYPERLINK("https://ictv.global/taxonomy/taxondetails?taxnode_id=202507444&amp;ictv_id=ICTV201907444","ICTV201907444")</f>
        <v>ICTV201907444</v>
      </c>
      <c r="R15925" t="s">
        <v>581</v>
      </c>
      <c r="S15925" t="s">
        <v>824</v>
      </c>
      <c r="T15925">
        <v>39</v>
      </c>
      <c r="U15925" s="26" t="str">
        <f t="shared" si="592"/>
        <v>2023.013P.Potyviridae_rename_sp.zip</v>
      </c>
    </row>
    <row r="15926" spans="1:21">
      <c r="A15926">
        <v>15925</v>
      </c>
      <c r="B15926" s="27" t="s">
        <v>1124</v>
      </c>
      <c r="D15926" s="27" t="s">
        <v>1859</v>
      </c>
      <c r="F15926" s="27" t="s">
        <v>1909</v>
      </c>
      <c r="H15926" s="27" t="s">
        <v>1961</v>
      </c>
      <c r="J15926" s="27" t="s">
        <v>1962</v>
      </c>
      <c r="L15926" s="27" t="s">
        <v>148</v>
      </c>
      <c r="N15926" s="27" t="s">
        <v>224</v>
      </c>
      <c r="P15926" s="27" t="s">
        <v>17566</v>
      </c>
      <c r="Q15926" s="26" t="str">
        <f>HYPERLINK("https://ictv.global/taxonomy/taxondetails?taxnode_id=202504557&amp;ictv_id=ICTV20165418","ICTV20165418")</f>
        <v>ICTV20165418</v>
      </c>
      <c r="R15926" t="s">
        <v>581</v>
      </c>
      <c r="S15926" t="s">
        <v>824</v>
      </c>
      <c r="T15926">
        <v>39</v>
      </c>
      <c r="U15926" s="26" t="str">
        <f t="shared" si="592"/>
        <v>2023.013P.Potyviridae_rename_sp.zip</v>
      </c>
    </row>
    <row r="15927" spans="1:21">
      <c r="A15927">
        <v>15926</v>
      </c>
      <c r="B15927" s="27" t="s">
        <v>1124</v>
      </c>
      <c r="D15927" s="27" t="s">
        <v>1859</v>
      </c>
      <c r="F15927" s="27" t="s">
        <v>1909</v>
      </c>
      <c r="H15927" s="27" t="s">
        <v>1961</v>
      </c>
      <c r="J15927" s="27" t="s">
        <v>1962</v>
      </c>
      <c r="L15927" s="27" t="s">
        <v>148</v>
      </c>
      <c r="N15927" s="27" t="s">
        <v>224</v>
      </c>
      <c r="P15927" s="27" t="s">
        <v>17567</v>
      </c>
      <c r="Q15927" s="26" t="str">
        <f>HYPERLINK("https://ictv.global/taxonomy/taxondetails?taxnode_id=202504555&amp;ictv_id=ICTV19982237","ICTV19982237")</f>
        <v>ICTV19982237</v>
      </c>
      <c r="R15927" t="s">
        <v>581</v>
      </c>
      <c r="S15927" t="s">
        <v>824</v>
      </c>
      <c r="T15927">
        <v>39</v>
      </c>
      <c r="U15927" s="26" t="str">
        <f t="shared" si="592"/>
        <v>2023.013P.Potyviridae_rename_sp.zip</v>
      </c>
    </row>
    <row r="15928" spans="1:21">
      <c r="A15928">
        <v>15927</v>
      </c>
      <c r="B15928" s="27" t="s">
        <v>1124</v>
      </c>
      <c r="D15928" s="27" t="s">
        <v>1859</v>
      </c>
      <c r="F15928" s="27" t="s">
        <v>1909</v>
      </c>
      <c r="H15928" s="27" t="s">
        <v>1961</v>
      </c>
      <c r="J15928" s="27" t="s">
        <v>1962</v>
      </c>
      <c r="L15928" s="27" t="s">
        <v>148</v>
      </c>
      <c r="N15928" s="27" t="s">
        <v>224</v>
      </c>
      <c r="P15928" s="27" t="s">
        <v>17568</v>
      </c>
      <c r="Q15928" s="26" t="str">
        <f>HYPERLINK("https://ictv.global/taxonomy/taxondetails?taxnode_id=202504556&amp;ictv_id=ICTV19982238","ICTV19982238")</f>
        <v>ICTV19982238</v>
      </c>
      <c r="R15928" t="s">
        <v>581</v>
      </c>
      <c r="S15928" t="s">
        <v>824</v>
      </c>
      <c r="T15928">
        <v>39</v>
      </c>
      <c r="U15928" s="26" t="str">
        <f t="shared" si="592"/>
        <v>2023.013P.Potyviridae_rename_sp.zip</v>
      </c>
    </row>
    <row r="15929" spans="1:21">
      <c r="A15929">
        <v>15928</v>
      </c>
      <c r="B15929" s="27" t="s">
        <v>1124</v>
      </c>
      <c r="D15929" s="27" t="s">
        <v>1859</v>
      </c>
      <c r="F15929" s="27" t="s">
        <v>1909</v>
      </c>
      <c r="H15929" s="27" t="s">
        <v>1961</v>
      </c>
      <c r="J15929" s="27" t="s">
        <v>1962</v>
      </c>
      <c r="L15929" s="27" t="s">
        <v>148</v>
      </c>
      <c r="N15929" s="27" t="s">
        <v>224</v>
      </c>
      <c r="P15929" s="27" t="s">
        <v>17569</v>
      </c>
      <c r="Q15929" s="26" t="str">
        <f>HYPERLINK("https://ictv.global/taxonomy/taxondetails?taxnode_id=202504552&amp;ictv_id=ICTV20165417","ICTV20165417")</f>
        <v>ICTV20165417</v>
      </c>
      <c r="R15929" t="s">
        <v>581</v>
      </c>
      <c r="S15929" t="s">
        <v>824</v>
      </c>
      <c r="T15929">
        <v>39</v>
      </c>
      <c r="U15929" s="26" t="str">
        <f t="shared" si="592"/>
        <v>2023.013P.Potyviridae_rename_sp.zip</v>
      </c>
    </row>
    <row r="15930" spans="1:21">
      <c r="A15930">
        <v>15929</v>
      </c>
      <c r="B15930" s="27" t="s">
        <v>1124</v>
      </c>
      <c r="D15930" s="27" t="s">
        <v>1859</v>
      </c>
      <c r="F15930" s="27" t="s">
        <v>1909</v>
      </c>
      <c r="H15930" s="27" t="s">
        <v>1961</v>
      </c>
      <c r="J15930" s="27" t="s">
        <v>1962</v>
      </c>
      <c r="L15930" s="27" t="s">
        <v>148</v>
      </c>
      <c r="N15930" s="27" t="s">
        <v>224</v>
      </c>
      <c r="P15930" s="27" t="s">
        <v>17570</v>
      </c>
      <c r="Q15930" s="26" t="str">
        <f>HYPERLINK("https://ictv.global/taxonomy/taxondetails?taxnode_id=202504551&amp;ictv_id=ICTV19911756","ICTV19911756")</f>
        <v>ICTV19911756</v>
      </c>
      <c r="R15930" t="s">
        <v>581</v>
      </c>
      <c r="S15930" t="s">
        <v>824</v>
      </c>
      <c r="T15930">
        <v>39</v>
      </c>
      <c r="U15930" s="26" t="str">
        <f t="shared" si="592"/>
        <v>2023.013P.Potyviridae_rename_sp.zip</v>
      </c>
    </row>
    <row r="15931" spans="1:21">
      <c r="A15931">
        <v>15930</v>
      </c>
      <c r="B15931" s="27" t="s">
        <v>1124</v>
      </c>
      <c r="D15931" s="27" t="s">
        <v>1859</v>
      </c>
      <c r="F15931" s="27" t="s">
        <v>1909</v>
      </c>
      <c r="H15931" s="27" t="s">
        <v>1961</v>
      </c>
      <c r="J15931" s="27" t="s">
        <v>1962</v>
      </c>
      <c r="L15931" s="27" t="s">
        <v>148</v>
      </c>
      <c r="N15931" s="27" t="s">
        <v>20555</v>
      </c>
      <c r="P15931" s="27" t="s">
        <v>20556</v>
      </c>
      <c r="Q15931" s="26" t="str">
        <f>HYPERLINK("https://ictv.global/taxonomy/taxondetails?taxnode_id=202520509&amp;ictv_id=ICTV202420509","ICTV202420509")</f>
        <v>ICTV202420509</v>
      </c>
      <c r="R15931" t="s">
        <v>581</v>
      </c>
      <c r="S15931" t="s">
        <v>823</v>
      </c>
      <c r="T15931">
        <v>40</v>
      </c>
      <c r="U15931" s="26" t="str">
        <f>HYPERLINK("https://ictv.global/ictv/proposals/2024.012P.Potyviridae_1ng_10nsp.zip","2024.012P.Potyviridae_1ng_10nsp.zip")</f>
        <v>2024.012P.Potyviridae_1ng_10nsp.zip</v>
      </c>
    </row>
    <row r="15932" spans="1:21">
      <c r="A15932">
        <v>15931</v>
      </c>
      <c r="B15932" s="27" t="s">
        <v>1124</v>
      </c>
      <c r="D15932" s="27" t="s">
        <v>1859</v>
      </c>
      <c r="F15932" s="27" t="s">
        <v>1909</v>
      </c>
      <c r="H15932" s="27" t="s">
        <v>1961</v>
      </c>
      <c r="J15932" s="27" t="s">
        <v>1962</v>
      </c>
      <c r="L15932" s="27" t="s">
        <v>148</v>
      </c>
      <c r="N15932" s="27" t="s">
        <v>20555</v>
      </c>
      <c r="P15932" s="27" t="s">
        <v>20557</v>
      </c>
      <c r="Q15932" s="26" t="str">
        <f>HYPERLINK("https://ictv.global/taxonomy/taxondetails?taxnode_id=202520510&amp;ictv_id=ICTV202420510","ICTV202420510")</f>
        <v>ICTV202420510</v>
      </c>
      <c r="R15932" t="s">
        <v>581</v>
      </c>
      <c r="S15932" t="s">
        <v>823</v>
      </c>
      <c r="T15932">
        <v>40</v>
      </c>
      <c r="U15932" s="26" t="str">
        <f>HYPERLINK("https://ictv.global/ictv/proposals/2024.012P.Potyviridae_1ng_10nsp.zip","2024.012P.Potyviridae_1ng_10nsp.zip")</f>
        <v>2024.012P.Potyviridae_1ng_10nsp.zip</v>
      </c>
    </row>
    <row r="15933" spans="1:21">
      <c r="A15933">
        <v>15932</v>
      </c>
      <c r="B15933" s="27" t="s">
        <v>1124</v>
      </c>
      <c r="D15933" s="27" t="s">
        <v>1859</v>
      </c>
      <c r="F15933" s="27" t="s">
        <v>1909</v>
      </c>
      <c r="H15933" s="27" t="s">
        <v>1961</v>
      </c>
      <c r="J15933" s="27" t="s">
        <v>1962</v>
      </c>
      <c r="L15933" s="27" t="s">
        <v>148</v>
      </c>
      <c r="N15933" s="27" t="s">
        <v>106</v>
      </c>
      <c r="P15933" s="27" t="s">
        <v>21586</v>
      </c>
      <c r="Q15933" s="26" t="str">
        <f>HYPERLINK("https://ictv.global/taxonomy/taxondetails?taxnode_id=202522452&amp;ictv_id=ICTV202522452","ICTV202522452")</f>
        <v>ICTV202522452</v>
      </c>
      <c r="R15933" t="s">
        <v>581</v>
      </c>
      <c r="S15933" t="s">
        <v>823</v>
      </c>
      <c r="T15933">
        <v>41</v>
      </c>
      <c r="U15933" s="26" t="str">
        <f>HYPERLINK("https://ictv.global/ictv/proposals/2025.009P.Potyviridae_5nsp.zip","2025.009P.Potyviridae_5nsp.zip")</f>
        <v>2025.009P.Potyviridae_5nsp.zip</v>
      </c>
    </row>
    <row r="15934" spans="1:21">
      <c r="A15934">
        <v>15933</v>
      </c>
      <c r="B15934" s="27" t="s">
        <v>1124</v>
      </c>
      <c r="D15934" s="27" t="s">
        <v>1859</v>
      </c>
      <c r="F15934" s="27" t="s">
        <v>1909</v>
      </c>
      <c r="H15934" s="27" t="s">
        <v>1961</v>
      </c>
      <c r="J15934" s="27" t="s">
        <v>1962</v>
      </c>
      <c r="L15934" s="27" t="s">
        <v>148</v>
      </c>
      <c r="N15934" s="27" t="s">
        <v>106</v>
      </c>
      <c r="P15934" s="27" t="s">
        <v>17571</v>
      </c>
      <c r="Q15934" s="26" t="str">
        <f>HYPERLINK("https://ictv.global/taxonomy/taxondetails?taxnode_id=202504559&amp;ictv_id=ICTV20153813","ICTV20153813")</f>
        <v>ICTV20153813</v>
      </c>
      <c r="R15934" t="s">
        <v>581</v>
      </c>
      <c r="S15934" t="s">
        <v>824</v>
      </c>
      <c r="T15934">
        <v>39</v>
      </c>
      <c r="U15934" s="26" t="str">
        <f>HYPERLINK("https://ictv.global/ictv/proposals/2023.013P.Potyviridae_rename_sp.zip","2023.013P.Potyviridae_rename_sp.zip")</f>
        <v>2023.013P.Potyviridae_rename_sp.zip</v>
      </c>
    </row>
    <row r="15935" spans="1:21">
      <c r="A15935">
        <v>15934</v>
      </c>
      <c r="B15935" s="27" t="s">
        <v>1124</v>
      </c>
      <c r="D15935" s="27" t="s">
        <v>1859</v>
      </c>
      <c r="F15935" s="27" t="s">
        <v>1909</v>
      </c>
      <c r="H15935" s="27" t="s">
        <v>1961</v>
      </c>
      <c r="J15935" s="27" t="s">
        <v>1962</v>
      </c>
      <c r="L15935" s="27" t="s">
        <v>148</v>
      </c>
      <c r="N15935" s="27" t="s">
        <v>106</v>
      </c>
      <c r="P15935" s="27" t="s">
        <v>17572</v>
      </c>
      <c r="Q15935" s="26" t="str">
        <f>HYPERLINK("https://ictv.global/taxonomy/taxondetails?taxnode_id=202504560&amp;ictv_id=ICTV20041836","ICTV20041836")</f>
        <v>ICTV20041836</v>
      </c>
      <c r="R15935" t="s">
        <v>581</v>
      </c>
      <c r="S15935" t="s">
        <v>824</v>
      </c>
      <c r="T15935">
        <v>39</v>
      </c>
      <c r="U15935" s="26" t="str">
        <f>HYPERLINK("https://ictv.global/ictv/proposals/2023.013P.Potyviridae_rename_sp.zip","2023.013P.Potyviridae_rename_sp.zip")</f>
        <v>2023.013P.Potyviridae_rename_sp.zip</v>
      </c>
    </row>
    <row r="15936" spans="1:21">
      <c r="A15936">
        <v>15935</v>
      </c>
      <c r="B15936" s="27" t="s">
        <v>1124</v>
      </c>
      <c r="D15936" s="27" t="s">
        <v>1859</v>
      </c>
      <c r="F15936" s="27" t="s">
        <v>1909</v>
      </c>
      <c r="H15936" s="27" t="s">
        <v>1961</v>
      </c>
      <c r="J15936" s="27" t="s">
        <v>1962</v>
      </c>
      <c r="L15936" s="27" t="s">
        <v>148</v>
      </c>
      <c r="N15936" s="27" t="s">
        <v>106</v>
      </c>
      <c r="P15936" s="27" t="s">
        <v>17573</v>
      </c>
      <c r="Q15936" s="26" t="str">
        <f>HYPERLINK("https://ictv.global/taxonomy/taxondetails?taxnode_id=202504561&amp;ictv_id=ICTV20115402","ICTV20115402")</f>
        <v>ICTV20115402</v>
      </c>
      <c r="R15936" t="s">
        <v>581</v>
      </c>
      <c r="S15936" t="s">
        <v>824</v>
      </c>
      <c r="T15936">
        <v>39</v>
      </c>
      <c r="U15936" s="26" t="str">
        <f>HYPERLINK("https://ictv.global/ictv/proposals/2023.013P.Potyviridae_rename_sp.zip","2023.013P.Potyviridae_rename_sp.zip")</f>
        <v>2023.013P.Potyviridae_rename_sp.zip</v>
      </c>
    </row>
    <row r="15937" spans="1:21">
      <c r="A15937">
        <v>15936</v>
      </c>
      <c r="B15937" s="27" t="s">
        <v>1124</v>
      </c>
      <c r="D15937" s="27" t="s">
        <v>1859</v>
      </c>
      <c r="F15937" s="27" t="s">
        <v>1909</v>
      </c>
      <c r="H15937" s="27" t="s">
        <v>1961</v>
      </c>
      <c r="J15937" s="27" t="s">
        <v>1962</v>
      </c>
      <c r="L15937" s="27" t="s">
        <v>148</v>
      </c>
      <c r="N15937" s="27" t="s">
        <v>161</v>
      </c>
      <c r="P15937" s="27" t="s">
        <v>10676</v>
      </c>
      <c r="Q15937" s="26" t="str">
        <f>HYPERLINK("https://ictv.global/taxonomy/taxondetails?taxnode_id=202513835&amp;ictv_id=ICTV202113835","ICTV202113835")</f>
        <v>ICTV202113835</v>
      </c>
      <c r="R15937" t="s">
        <v>581</v>
      </c>
      <c r="S15937" t="s">
        <v>823</v>
      </c>
      <c r="T15937">
        <v>37</v>
      </c>
      <c r="U15937" s="26" t="str">
        <f>HYPERLINK("https://ictv.global/ictv/proposals/2021.006P.R.Potyvirus_5ns_3as.zip","2021.006P.R.Potyvirus_5ns_3as.zip")</f>
        <v>2021.006P.R.Potyvirus_5ns_3as.zip</v>
      </c>
    </row>
    <row r="15938" spans="1:21">
      <c r="A15938">
        <v>15937</v>
      </c>
      <c r="B15938" s="27" t="s">
        <v>1124</v>
      </c>
      <c r="D15938" s="27" t="s">
        <v>1859</v>
      </c>
      <c r="F15938" s="27" t="s">
        <v>1909</v>
      </c>
      <c r="H15938" s="27" t="s">
        <v>1961</v>
      </c>
      <c r="J15938" s="27" t="s">
        <v>1962</v>
      </c>
      <c r="L15938" s="27" t="s">
        <v>148</v>
      </c>
      <c r="N15938" s="27" t="s">
        <v>161</v>
      </c>
      <c r="P15938" s="27" t="s">
        <v>20558</v>
      </c>
      <c r="Q15938" s="26" t="str">
        <f>HYPERLINK("https://ictv.global/taxonomy/taxondetails?taxnode_id=202520501&amp;ictv_id=ICTV202420501","ICTV202420501")</f>
        <v>ICTV202420501</v>
      </c>
      <c r="R15938" t="s">
        <v>581</v>
      </c>
      <c r="S15938" t="s">
        <v>823</v>
      </c>
      <c r="T15938">
        <v>40</v>
      </c>
      <c r="U15938" s="26" t="str">
        <f>HYPERLINK("https://ictv.global/ictv/proposals/2024.012P.Potyviridae_1ng_10nsp.zip","2024.012P.Potyviridae_1ng_10nsp.zip")</f>
        <v>2024.012P.Potyviridae_1ng_10nsp.zip</v>
      </c>
    </row>
    <row r="15939" spans="1:21">
      <c r="A15939">
        <v>15938</v>
      </c>
      <c r="B15939" s="27" t="s">
        <v>1124</v>
      </c>
      <c r="D15939" s="27" t="s">
        <v>1859</v>
      </c>
      <c r="F15939" s="27" t="s">
        <v>1909</v>
      </c>
      <c r="H15939" s="27" t="s">
        <v>1961</v>
      </c>
      <c r="J15939" s="27" t="s">
        <v>1962</v>
      </c>
      <c r="L15939" s="27" t="s">
        <v>148</v>
      </c>
      <c r="N15939" s="27" t="s">
        <v>161</v>
      </c>
      <c r="P15939" s="27" t="s">
        <v>17574</v>
      </c>
      <c r="Q15939" s="26" t="str">
        <f>HYPERLINK("https://ictv.global/taxonomy/taxondetails?taxnode_id=202504609&amp;ictv_id=ICTV20153974","ICTV20153974")</f>
        <v>ICTV20153974</v>
      </c>
      <c r="R15939" t="s">
        <v>581</v>
      </c>
      <c r="S15939" t="s">
        <v>824</v>
      </c>
      <c r="T15939">
        <v>39</v>
      </c>
      <c r="U15939" s="26" t="str">
        <f>HYPERLINK("https://ictv.global/ictv/proposals/2023.013P.Potyviridae_rename_sp.zip","2023.013P.Potyviridae_rename_sp.zip")</f>
        <v>2023.013P.Potyviridae_rename_sp.zip</v>
      </c>
    </row>
    <row r="15940" spans="1:21">
      <c r="A15940">
        <v>15939</v>
      </c>
      <c r="B15940" s="27" t="s">
        <v>1124</v>
      </c>
      <c r="D15940" s="27" t="s">
        <v>1859</v>
      </c>
      <c r="F15940" s="27" t="s">
        <v>1909</v>
      </c>
      <c r="H15940" s="27" t="s">
        <v>1961</v>
      </c>
      <c r="J15940" s="27" t="s">
        <v>1962</v>
      </c>
      <c r="L15940" s="27" t="s">
        <v>148</v>
      </c>
      <c r="N15940" s="27" t="s">
        <v>161</v>
      </c>
      <c r="P15940" s="27" t="s">
        <v>17575</v>
      </c>
      <c r="Q15940" s="26" t="str">
        <f>HYPERLINK("https://ictv.global/taxonomy/taxondetails?taxnode_id=202504563&amp;ictv_id=ICTV20094524","ICTV20094524")</f>
        <v>ICTV20094524</v>
      </c>
      <c r="R15940" t="s">
        <v>581</v>
      </c>
      <c r="S15940" t="s">
        <v>824</v>
      </c>
      <c r="T15940">
        <v>39</v>
      </c>
      <c r="U15940" s="26" t="str">
        <f>HYPERLINK("https://ictv.global/ictv/proposals/2023.013P.Potyviridae_rename_sp.zip","2023.013P.Potyviridae_rename_sp.zip")</f>
        <v>2023.013P.Potyviridae_rename_sp.zip</v>
      </c>
    </row>
    <row r="15941" spans="1:21">
      <c r="A15941">
        <v>15940</v>
      </c>
      <c r="B15941" s="27" t="s">
        <v>1124</v>
      </c>
      <c r="D15941" s="27" t="s">
        <v>1859</v>
      </c>
      <c r="F15941" s="27" t="s">
        <v>1909</v>
      </c>
      <c r="H15941" s="27" t="s">
        <v>1961</v>
      </c>
      <c r="J15941" s="27" t="s">
        <v>1962</v>
      </c>
      <c r="L15941" s="27" t="s">
        <v>148</v>
      </c>
      <c r="N15941" s="27" t="s">
        <v>161</v>
      </c>
      <c r="P15941" s="27" t="s">
        <v>20559</v>
      </c>
      <c r="Q15941" s="26" t="str">
        <f>HYPERLINK("https://ictv.global/taxonomy/taxondetails?taxnode_id=202520503&amp;ictv_id=ICTV202420503","ICTV202420503")</f>
        <v>ICTV202420503</v>
      </c>
      <c r="R15941" t="s">
        <v>581</v>
      </c>
      <c r="S15941" t="s">
        <v>823</v>
      </c>
      <c r="T15941">
        <v>40</v>
      </c>
      <c r="U15941" s="26" t="str">
        <f>HYPERLINK("https://ictv.global/ictv/proposals/2024.012P.Potyviridae_1ng_10nsp.zip","2024.012P.Potyviridae_1ng_10nsp.zip")</f>
        <v>2024.012P.Potyviridae_1ng_10nsp.zip</v>
      </c>
    </row>
    <row r="15942" spans="1:21">
      <c r="A15942">
        <v>15941</v>
      </c>
      <c r="B15942" s="27" t="s">
        <v>1124</v>
      </c>
      <c r="D15942" s="27" t="s">
        <v>1859</v>
      </c>
      <c r="F15942" s="27" t="s">
        <v>1909</v>
      </c>
      <c r="H15942" s="27" t="s">
        <v>1961</v>
      </c>
      <c r="J15942" s="27" t="s">
        <v>1962</v>
      </c>
      <c r="L15942" s="27" t="s">
        <v>148</v>
      </c>
      <c r="N15942" s="27" t="s">
        <v>161</v>
      </c>
      <c r="P15942" s="27" t="s">
        <v>17576</v>
      </c>
      <c r="Q15942" s="26" t="str">
        <f>HYPERLINK("https://ictv.global/taxonomy/taxondetails?taxnode_id=202505925&amp;ictv_id=ICTV20175925","ICTV20175925")</f>
        <v>ICTV20175925</v>
      </c>
      <c r="R15942" t="s">
        <v>581</v>
      </c>
      <c r="S15942" t="s">
        <v>824</v>
      </c>
      <c r="T15942">
        <v>39</v>
      </c>
      <c r="U15942" s="26" t="str">
        <f>HYPERLINK("https://ictv.global/ictv/proposals/2023.013P.Potyviridae_rename_sp.zip","2023.013P.Potyviridae_rename_sp.zip")</f>
        <v>2023.013P.Potyviridae_rename_sp.zip</v>
      </c>
    </row>
    <row r="15943" spans="1:21">
      <c r="A15943">
        <v>15942</v>
      </c>
      <c r="B15943" s="27" t="s">
        <v>1124</v>
      </c>
      <c r="D15943" s="27" t="s">
        <v>1859</v>
      </c>
      <c r="F15943" s="27" t="s">
        <v>1909</v>
      </c>
      <c r="H15943" s="27" t="s">
        <v>1961</v>
      </c>
      <c r="J15943" s="27" t="s">
        <v>1962</v>
      </c>
      <c r="L15943" s="27" t="s">
        <v>148</v>
      </c>
      <c r="N15943" s="27" t="s">
        <v>161</v>
      </c>
      <c r="P15943" s="27" t="s">
        <v>17577</v>
      </c>
      <c r="Q15943" s="26" t="str">
        <f>HYPERLINK("https://ictv.global/taxonomy/taxondetails?taxnode_id=202504565&amp;ictv_id=ICTV20094526","ICTV20094526")</f>
        <v>ICTV20094526</v>
      </c>
      <c r="R15943" t="s">
        <v>581</v>
      </c>
      <c r="S15943" t="s">
        <v>824</v>
      </c>
      <c r="T15943">
        <v>39</v>
      </c>
      <c r="U15943" s="26" t="str">
        <f>HYPERLINK("https://ictv.global/ictv/proposals/2023.013P.Potyviridae_rename_sp.zip","2023.013P.Potyviridae_rename_sp.zip")</f>
        <v>2023.013P.Potyviridae_rename_sp.zip</v>
      </c>
    </row>
    <row r="15944" spans="1:21">
      <c r="A15944">
        <v>15943</v>
      </c>
      <c r="B15944" s="27" t="s">
        <v>1124</v>
      </c>
      <c r="D15944" s="27" t="s">
        <v>1859</v>
      </c>
      <c r="F15944" s="27" t="s">
        <v>1909</v>
      </c>
      <c r="H15944" s="27" t="s">
        <v>1961</v>
      </c>
      <c r="J15944" s="27" t="s">
        <v>1962</v>
      </c>
      <c r="L15944" s="27" t="s">
        <v>148</v>
      </c>
      <c r="N15944" s="27" t="s">
        <v>161</v>
      </c>
      <c r="P15944" s="27" t="s">
        <v>17578</v>
      </c>
      <c r="Q15944" s="26" t="str">
        <f>HYPERLINK("https://ictv.global/taxonomy/taxondetails?taxnode_id=202504564&amp;ictv_id=ICTV19911753","ICTV19911753")</f>
        <v>ICTV19911753</v>
      </c>
      <c r="R15944" t="s">
        <v>581</v>
      </c>
      <c r="S15944" t="s">
        <v>824</v>
      </c>
      <c r="T15944">
        <v>39</v>
      </c>
      <c r="U15944" s="26" t="str">
        <f>HYPERLINK("https://ictv.global/ictv/proposals/2023.013P.Potyviridae_rename_sp.zip","2023.013P.Potyviridae_rename_sp.zip")</f>
        <v>2023.013P.Potyviridae_rename_sp.zip</v>
      </c>
    </row>
    <row r="15945" spans="1:21">
      <c r="A15945">
        <v>15944</v>
      </c>
      <c r="B15945" s="27" t="s">
        <v>1124</v>
      </c>
      <c r="D15945" s="27" t="s">
        <v>1859</v>
      </c>
      <c r="F15945" s="27" t="s">
        <v>1909</v>
      </c>
      <c r="H15945" s="27" t="s">
        <v>1961</v>
      </c>
      <c r="J15945" s="27" t="s">
        <v>1962</v>
      </c>
      <c r="L15945" s="27" t="s">
        <v>148</v>
      </c>
      <c r="N15945" s="27" t="s">
        <v>161</v>
      </c>
      <c r="P15945" s="27" t="s">
        <v>17579</v>
      </c>
      <c r="Q15945" s="26" t="str">
        <f>HYPERLINK("https://ictv.global/taxonomy/taxondetails?taxnode_id=202504566&amp;ictv_id=ICTV19821290","ICTV19821290")</f>
        <v>ICTV19821290</v>
      </c>
      <c r="R15945" t="s">
        <v>581</v>
      </c>
      <c r="S15945" t="s">
        <v>824</v>
      </c>
      <c r="T15945">
        <v>39</v>
      </c>
      <c r="U15945" s="26" t="str">
        <f>HYPERLINK("https://ictv.global/ictv/proposals/2023.013P.Potyviridae_rename_sp.zip","2023.013P.Potyviridae_rename_sp.zip")</f>
        <v>2023.013P.Potyviridae_rename_sp.zip</v>
      </c>
    </row>
    <row r="15946" spans="1:21">
      <c r="A15946">
        <v>15945</v>
      </c>
      <c r="B15946" s="27" t="s">
        <v>1124</v>
      </c>
      <c r="D15946" s="27" t="s">
        <v>1859</v>
      </c>
      <c r="F15946" s="27" t="s">
        <v>1909</v>
      </c>
      <c r="H15946" s="27" t="s">
        <v>1961</v>
      </c>
      <c r="J15946" s="27" t="s">
        <v>1962</v>
      </c>
      <c r="L15946" s="27" t="s">
        <v>148</v>
      </c>
      <c r="N15946" s="27" t="s">
        <v>161</v>
      </c>
      <c r="P15946" s="27" t="s">
        <v>17580</v>
      </c>
      <c r="Q15946" s="26" t="str">
        <f>HYPERLINK("https://ictv.global/taxonomy/taxondetails?taxnode_id=202504631&amp;ictv_id=ICTV19821311","ICTV19821311")</f>
        <v>ICTV19821311</v>
      </c>
      <c r="R15946" t="s">
        <v>581</v>
      </c>
      <c r="S15946" t="s">
        <v>824</v>
      </c>
      <c r="T15946">
        <v>39</v>
      </c>
      <c r="U15946" s="26" t="str">
        <f>HYPERLINK("https://ictv.global/ictv/proposals/2023.013P.Potyviridae_rename_sp.zip","2023.013P.Potyviridae_rename_sp.zip")</f>
        <v>2023.013P.Potyviridae_rename_sp.zip</v>
      </c>
    </row>
    <row r="15947" spans="1:21">
      <c r="A15947">
        <v>15946</v>
      </c>
      <c r="B15947" s="27" t="s">
        <v>1124</v>
      </c>
      <c r="D15947" s="27" t="s">
        <v>1859</v>
      </c>
      <c r="F15947" s="27" t="s">
        <v>1909</v>
      </c>
      <c r="H15947" s="27" t="s">
        <v>1961</v>
      </c>
      <c r="J15947" s="27" t="s">
        <v>1962</v>
      </c>
      <c r="L15947" s="27" t="s">
        <v>148</v>
      </c>
      <c r="N15947" s="27" t="s">
        <v>161</v>
      </c>
      <c r="P15947" s="27" t="s">
        <v>10677</v>
      </c>
      <c r="Q15947" s="26" t="str">
        <f>HYPERLINK("https://ictv.global/taxonomy/taxondetails?taxnode_id=202515109&amp;ictv_id=ICTV202215109","ICTV202215109")</f>
        <v>ICTV202215109</v>
      </c>
      <c r="R15947" t="s">
        <v>581</v>
      </c>
      <c r="S15947" t="s">
        <v>823</v>
      </c>
      <c r="T15947">
        <v>38</v>
      </c>
      <c r="U15947" s="26" t="str">
        <f>HYPERLINK("https://ictv.global/ictv/proposals/2022.010P.Potyviridae_7ns.zip","2022.010P.Potyviridae_7ns.zip")</f>
        <v>2022.010P.Potyviridae_7ns.zip</v>
      </c>
    </row>
    <row r="15948" spans="1:21">
      <c r="A15948">
        <v>15947</v>
      </c>
      <c r="B15948" s="27" t="s">
        <v>1124</v>
      </c>
      <c r="D15948" s="27" t="s">
        <v>1859</v>
      </c>
      <c r="F15948" s="27" t="s">
        <v>1909</v>
      </c>
      <c r="H15948" s="27" t="s">
        <v>1961</v>
      </c>
      <c r="J15948" s="27" t="s">
        <v>1962</v>
      </c>
      <c r="L15948" s="27" t="s">
        <v>148</v>
      </c>
      <c r="N15948" s="27" t="s">
        <v>161</v>
      </c>
      <c r="P15948" s="27" t="s">
        <v>17581</v>
      </c>
      <c r="Q15948" s="26" t="str">
        <f>HYPERLINK("https://ictv.global/taxonomy/taxondetails?taxnode_id=202504568&amp;ictv_id=ICTV20094529","ICTV20094529")</f>
        <v>ICTV20094529</v>
      </c>
      <c r="R15948" t="s">
        <v>581</v>
      </c>
      <c r="S15948" t="s">
        <v>824</v>
      </c>
      <c r="T15948">
        <v>39</v>
      </c>
      <c r="U15948" s="26" t="str">
        <f t="shared" ref="U15948:U15956" si="593">HYPERLINK("https://ictv.global/ictv/proposals/2023.013P.Potyviridae_rename_sp.zip","2023.013P.Potyviridae_rename_sp.zip")</f>
        <v>2023.013P.Potyviridae_rename_sp.zip</v>
      </c>
    </row>
    <row r="15949" spans="1:21">
      <c r="A15949">
        <v>15948</v>
      </c>
      <c r="B15949" s="27" t="s">
        <v>1124</v>
      </c>
      <c r="D15949" s="27" t="s">
        <v>1859</v>
      </c>
      <c r="F15949" s="27" t="s">
        <v>1909</v>
      </c>
      <c r="H15949" s="27" t="s">
        <v>1961</v>
      </c>
      <c r="J15949" s="27" t="s">
        <v>1962</v>
      </c>
      <c r="L15949" s="27" t="s">
        <v>148</v>
      </c>
      <c r="N15949" s="27" t="s">
        <v>161</v>
      </c>
      <c r="P15949" s="27" t="s">
        <v>17582</v>
      </c>
      <c r="Q15949" s="26" t="str">
        <f>HYPERLINK("https://ictv.global/taxonomy/taxondetails?taxnode_id=202504569&amp;ictv_id=ICTV20074321","ICTV20074321")</f>
        <v>ICTV20074321</v>
      </c>
      <c r="R15949" t="s">
        <v>581</v>
      </c>
      <c r="S15949" t="s">
        <v>824</v>
      </c>
      <c r="T15949">
        <v>39</v>
      </c>
      <c r="U15949" s="26" t="str">
        <f t="shared" si="593"/>
        <v>2023.013P.Potyviridae_rename_sp.zip</v>
      </c>
    </row>
    <row r="15950" spans="1:21">
      <c r="A15950">
        <v>15949</v>
      </c>
      <c r="B15950" s="27" t="s">
        <v>1124</v>
      </c>
      <c r="D15950" s="27" t="s">
        <v>1859</v>
      </c>
      <c r="F15950" s="27" t="s">
        <v>1909</v>
      </c>
      <c r="H15950" s="27" t="s">
        <v>1961</v>
      </c>
      <c r="J15950" s="27" t="s">
        <v>1962</v>
      </c>
      <c r="L15950" s="27" t="s">
        <v>148</v>
      </c>
      <c r="N15950" s="27" t="s">
        <v>161</v>
      </c>
      <c r="P15950" s="27" t="s">
        <v>17583</v>
      </c>
      <c r="Q15950" s="26" t="str">
        <f>HYPERLINK("https://ictv.global/taxonomy/taxondetails?taxnode_id=202504592&amp;ictv_id=ICTV19760758","ICTV19760758")</f>
        <v>ICTV19760758</v>
      </c>
      <c r="R15950" t="s">
        <v>581</v>
      </c>
      <c r="S15950" t="s">
        <v>824</v>
      </c>
      <c r="T15950">
        <v>39</v>
      </c>
      <c r="U15950" s="26" t="str">
        <f t="shared" si="593"/>
        <v>2023.013P.Potyviridae_rename_sp.zip</v>
      </c>
    </row>
    <row r="15951" spans="1:21">
      <c r="A15951">
        <v>15950</v>
      </c>
      <c r="B15951" s="27" t="s">
        <v>1124</v>
      </c>
      <c r="D15951" s="27" t="s">
        <v>1859</v>
      </c>
      <c r="F15951" s="27" t="s">
        <v>1909</v>
      </c>
      <c r="H15951" s="27" t="s">
        <v>1961</v>
      </c>
      <c r="J15951" s="27" t="s">
        <v>1962</v>
      </c>
      <c r="L15951" s="27" t="s">
        <v>148</v>
      </c>
      <c r="N15951" s="27" t="s">
        <v>161</v>
      </c>
      <c r="P15951" s="27" t="s">
        <v>17584</v>
      </c>
      <c r="Q15951" s="26" t="str">
        <f>HYPERLINK("https://ictv.global/taxonomy/taxondetails?taxnode_id=202504657&amp;ictv_id=ICTV19760775","ICTV19760775")</f>
        <v>ICTV19760775</v>
      </c>
      <c r="R15951" t="s">
        <v>581</v>
      </c>
      <c r="S15951" t="s">
        <v>824</v>
      </c>
      <c r="T15951">
        <v>39</v>
      </c>
      <c r="U15951" s="26" t="str">
        <f t="shared" si="593"/>
        <v>2023.013P.Potyviridae_rename_sp.zip</v>
      </c>
    </row>
    <row r="15952" spans="1:21">
      <c r="A15952">
        <v>15951</v>
      </c>
      <c r="B15952" s="27" t="s">
        <v>1124</v>
      </c>
      <c r="D15952" s="27" t="s">
        <v>1859</v>
      </c>
      <c r="F15952" s="27" t="s">
        <v>1909</v>
      </c>
      <c r="H15952" s="27" t="s">
        <v>1961</v>
      </c>
      <c r="J15952" s="27" t="s">
        <v>1962</v>
      </c>
      <c r="L15952" s="27" t="s">
        <v>148</v>
      </c>
      <c r="N15952" s="27" t="s">
        <v>161</v>
      </c>
      <c r="P15952" s="27" t="s">
        <v>17585</v>
      </c>
      <c r="Q15952" s="26" t="str">
        <f>HYPERLINK("https://ictv.global/taxonomy/taxondetails?taxnode_id=202504570&amp;ictv_id=ICTV19911755","ICTV19911755")</f>
        <v>ICTV19911755</v>
      </c>
      <c r="R15952" t="s">
        <v>581</v>
      </c>
      <c r="S15952" t="s">
        <v>824</v>
      </c>
      <c r="T15952">
        <v>39</v>
      </c>
      <c r="U15952" s="26" t="str">
        <f t="shared" si="593"/>
        <v>2023.013P.Potyviridae_rename_sp.zip</v>
      </c>
    </row>
    <row r="15953" spans="1:21">
      <c r="A15953">
        <v>15952</v>
      </c>
      <c r="B15953" s="27" t="s">
        <v>1124</v>
      </c>
      <c r="D15953" s="27" t="s">
        <v>1859</v>
      </c>
      <c r="F15953" s="27" t="s">
        <v>1909</v>
      </c>
      <c r="H15953" s="27" t="s">
        <v>1961</v>
      </c>
      <c r="J15953" s="27" t="s">
        <v>1962</v>
      </c>
      <c r="L15953" s="27" t="s">
        <v>148</v>
      </c>
      <c r="N15953" s="27" t="s">
        <v>161</v>
      </c>
      <c r="P15953" s="27" t="s">
        <v>17586</v>
      </c>
      <c r="Q15953" s="26" t="str">
        <f>HYPERLINK("https://ictv.global/taxonomy/taxondetails?taxnode_id=202504571&amp;ictv_id=ICTV20094532","ICTV20094532")</f>
        <v>ICTV20094532</v>
      </c>
      <c r="R15953" t="s">
        <v>581</v>
      </c>
      <c r="S15953" t="s">
        <v>824</v>
      </c>
      <c r="T15953">
        <v>39</v>
      </c>
      <c r="U15953" s="26" t="str">
        <f t="shared" si="593"/>
        <v>2023.013P.Potyviridae_rename_sp.zip</v>
      </c>
    </row>
    <row r="15954" spans="1:21">
      <c r="A15954">
        <v>15953</v>
      </c>
      <c r="B15954" s="27" t="s">
        <v>1124</v>
      </c>
      <c r="D15954" s="27" t="s">
        <v>1859</v>
      </c>
      <c r="F15954" s="27" t="s">
        <v>1909</v>
      </c>
      <c r="H15954" s="27" t="s">
        <v>1961</v>
      </c>
      <c r="J15954" s="27" t="s">
        <v>1962</v>
      </c>
      <c r="L15954" s="27" t="s">
        <v>148</v>
      </c>
      <c r="N15954" s="27" t="s">
        <v>161</v>
      </c>
      <c r="P15954" s="27" t="s">
        <v>17587</v>
      </c>
      <c r="Q15954" s="26" t="str">
        <f>HYPERLINK("https://ictv.global/taxonomy/taxondetails?taxnode_id=202504596&amp;ictv_id=ICTV20084504","ICTV20084504")</f>
        <v>ICTV20084504</v>
      </c>
      <c r="R15954" t="s">
        <v>581</v>
      </c>
      <c r="S15954" t="s">
        <v>824</v>
      </c>
      <c r="T15954">
        <v>39</v>
      </c>
      <c r="U15954" s="26" t="str">
        <f t="shared" si="593"/>
        <v>2023.013P.Potyviridae_rename_sp.zip</v>
      </c>
    </row>
    <row r="15955" spans="1:21">
      <c r="A15955">
        <v>15954</v>
      </c>
      <c r="B15955" s="27" t="s">
        <v>1124</v>
      </c>
      <c r="D15955" s="27" t="s">
        <v>1859</v>
      </c>
      <c r="F15955" s="27" t="s">
        <v>1909</v>
      </c>
      <c r="H15955" s="27" t="s">
        <v>1961</v>
      </c>
      <c r="J15955" s="27" t="s">
        <v>1962</v>
      </c>
      <c r="L15955" s="27" t="s">
        <v>148</v>
      </c>
      <c r="N15955" s="27" t="s">
        <v>161</v>
      </c>
      <c r="P15955" s="27" t="s">
        <v>17588</v>
      </c>
      <c r="Q15955" s="26" t="str">
        <f>HYPERLINK("https://ictv.global/taxonomy/taxondetails?taxnode_id=202504677&amp;ictv_id=ICTV19991430","ICTV19991430")</f>
        <v>ICTV19991430</v>
      </c>
      <c r="R15955" t="s">
        <v>581</v>
      </c>
      <c r="S15955" t="s">
        <v>824</v>
      </c>
      <c r="T15955">
        <v>39</v>
      </c>
      <c r="U15955" s="26" t="str">
        <f t="shared" si="593"/>
        <v>2023.013P.Potyviridae_rename_sp.zip</v>
      </c>
    </row>
    <row r="15956" spans="1:21">
      <c r="A15956">
        <v>15955</v>
      </c>
      <c r="B15956" s="27" t="s">
        <v>1124</v>
      </c>
      <c r="D15956" s="27" t="s">
        <v>1859</v>
      </c>
      <c r="F15956" s="27" t="s">
        <v>1909</v>
      </c>
      <c r="H15956" s="27" t="s">
        <v>1961</v>
      </c>
      <c r="J15956" s="27" t="s">
        <v>1962</v>
      </c>
      <c r="L15956" s="27" t="s">
        <v>148</v>
      </c>
      <c r="N15956" s="27" t="s">
        <v>161</v>
      </c>
      <c r="P15956" s="27" t="s">
        <v>17589</v>
      </c>
      <c r="Q15956" s="26" t="str">
        <f>HYPERLINK("https://ictv.global/taxonomy/taxondetails?taxnode_id=202504676&amp;ictv_id=ICTV20041804","ICTV20041804")</f>
        <v>ICTV20041804</v>
      </c>
      <c r="R15956" t="s">
        <v>581</v>
      </c>
      <c r="S15956" t="s">
        <v>824</v>
      </c>
      <c r="T15956">
        <v>39</v>
      </c>
      <c r="U15956" s="26" t="str">
        <f t="shared" si="593"/>
        <v>2023.013P.Potyviridae_rename_sp.zip</v>
      </c>
    </row>
    <row r="15957" spans="1:21">
      <c r="A15957">
        <v>15956</v>
      </c>
      <c r="B15957" s="27" t="s">
        <v>1124</v>
      </c>
      <c r="D15957" s="27" t="s">
        <v>1859</v>
      </c>
      <c r="F15957" s="27" t="s">
        <v>1909</v>
      </c>
      <c r="H15957" s="27" t="s">
        <v>1961</v>
      </c>
      <c r="J15957" s="27" t="s">
        <v>1962</v>
      </c>
      <c r="L15957" s="27" t="s">
        <v>148</v>
      </c>
      <c r="N15957" s="27" t="s">
        <v>161</v>
      </c>
      <c r="P15957" s="27" t="s">
        <v>10678</v>
      </c>
      <c r="Q15957" s="26" t="str">
        <f>HYPERLINK("https://ictv.global/taxonomy/taxondetails?taxnode_id=202513836&amp;ictv_id=ICTV202113836","ICTV202113836")</f>
        <v>ICTV202113836</v>
      </c>
      <c r="R15957" t="s">
        <v>581</v>
      </c>
      <c r="S15957" t="s">
        <v>823</v>
      </c>
      <c r="T15957">
        <v>37</v>
      </c>
      <c r="U15957" s="26" t="str">
        <f>HYPERLINK("https://ictv.global/ictv/proposals/2021.006P.R.Potyvirus_5ns_3as.zip","2021.006P.R.Potyvirus_5ns_3as.zip")</f>
        <v>2021.006P.R.Potyvirus_5ns_3as.zip</v>
      </c>
    </row>
    <row r="15958" spans="1:21">
      <c r="A15958">
        <v>15957</v>
      </c>
      <c r="B15958" s="27" t="s">
        <v>1124</v>
      </c>
      <c r="D15958" s="27" t="s">
        <v>1859</v>
      </c>
      <c r="F15958" s="27" t="s">
        <v>1909</v>
      </c>
      <c r="H15958" s="27" t="s">
        <v>1961</v>
      </c>
      <c r="J15958" s="27" t="s">
        <v>1962</v>
      </c>
      <c r="L15958" s="27" t="s">
        <v>148</v>
      </c>
      <c r="N15958" s="27" t="s">
        <v>161</v>
      </c>
      <c r="P15958" s="27" t="s">
        <v>17590</v>
      </c>
      <c r="Q15958" s="26" t="str">
        <f>HYPERLINK("https://ictv.global/taxonomy/taxondetails?taxnode_id=202504572&amp;ictv_id=ICTV19911757","ICTV19911757")</f>
        <v>ICTV19911757</v>
      </c>
      <c r="R15958" t="s">
        <v>581</v>
      </c>
      <c r="S15958" t="s">
        <v>824</v>
      </c>
      <c r="T15958">
        <v>39</v>
      </c>
      <c r="U15958" s="26" t="str">
        <f t="shared" ref="U15958:U15984" si="594">HYPERLINK("https://ictv.global/ictv/proposals/2023.013P.Potyviridae_rename_sp.zip","2023.013P.Potyviridae_rename_sp.zip")</f>
        <v>2023.013P.Potyviridae_rename_sp.zip</v>
      </c>
    </row>
    <row r="15959" spans="1:21">
      <c r="A15959">
        <v>15958</v>
      </c>
      <c r="B15959" s="27" t="s">
        <v>1124</v>
      </c>
      <c r="D15959" s="27" t="s">
        <v>1859</v>
      </c>
      <c r="F15959" s="27" t="s">
        <v>1909</v>
      </c>
      <c r="H15959" s="27" t="s">
        <v>1961</v>
      </c>
      <c r="J15959" s="27" t="s">
        <v>1962</v>
      </c>
      <c r="L15959" s="27" t="s">
        <v>148</v>
      </c>
      <c r="N15959" s="27" t="s">
        <v>161</v>
      </c>
      <c r="P15959" s="27" t="s">
        <v>17591</v>
      </c>
      <c r="Q15959" s="26" t="str">
        <f>HYPERLINK("https://ictv.global/taxonomy/taxondetails?taxnode_id=202504668&amp;ictv_id=ICTV20074395","ICTV20074395")</f>
        <v>ICTV20074395</v>
      </c>
      <c r="R15959" t="s">
        <v>581</v>
      </c>
      <c r="S15959" t="s">
        <v>824</v>
      </c>
      <c r="T15959">
        <v>39</v>
      </c>
      <c r="U15959" s="26" t="str">
        <f t="shared" si="594"/>
        <v>2023.013P.Potyviridae_rename_sp.zip</v>
      </c>
    </row>
    <row r="15960" spans="1:21">
      <c r="A15960">
        <v>15959</v>
      </c>
      <c r="B15960" s="27" t="s">
        <v>1124</v>
      </c>
      <c r="D15960" s="27" t="s">
        <v>1859</v>
      </c>
      <c r="F15960" s="27" t="s">
        <v>1909</v>
      </c>
      <c r="H15960" s="27" t="s">
        <v>1961</v>
      </c>
      <c r="J15960" s="27" t="s">
        <v>1962</v>
      </c>
      <c r="L15960" s="27" t="s">
        <v>148</v>
      </c>
      <c r="N15960" s="27" t="s">
        <v>161</v>
      </c>
      <c r="P15960" s="27" t="s">
        <v>17592</v>
      </c>
      <c r="Q15960" s="26" t="str">
        <f>HYPERLINK("https://ictv.global/taxonomy/taxondetails?taxnode_id=202505918&amp;ictv_id=ICTV20175918","ICTV20175918")</f>
        <v>ICTV20175918</v>
      </c>
      <c r="R15960" t="s">
        <v>581</v>
      </c>
      <c r="S15960" t="s">
        <v>824</v>
      </c>
      <c r="T15960">
        <v>39</v>
      </c>
      <c r="U15960" s="26" t="str">
        <f t="shared" si="594"/>
        <v>2023.013P.Potyviridae_rename_sp.zip</v>
      </c>
    </row>
    <row r="15961" spans="1:21">
      <c r="A15961">
        <v>15960</v>
      </c>
      <c r="B15961" s="27" t="s">
        <v>1124</v>
      </c>
      <c r="D15961" s="27" t="s">
        <v>1859</v>
      </c>
      <c r="F15961" s="27" t="s">
        <v>1909</v>
      </c>
      <c r="H15961" s="27" t="s">
        <v>1961</v>
      </c>
      <c r="J15961" s="27" t="s">
        <v>1962</v>
      </c>
      <c r="L15961" s="27" t="s">
        <v>148</v>
      </c>
      <c r="N15961" s="27" t="s">
        <v>161</v>
      </c>
      <c r="P15961" s="27" t="s">
        <v>17593</v>
      </c>
      <c r="Q15961" s="26" t="str">
        <f>HYPERLINK("https://ictv.global/taxonomy/taxondetails?taxnode_id=202504574&amp;ictv_id=ICTV20084491","ICTV20084491")</f>
        <v>ICTV20084491</v>
      </c>
      <c r="R15961" t="s">
        <v>581</v>
      </c>
      <c r="S15961" t="s">
        <v>824</v>
      </c>
      <c r="T15961">
        <v>39</v>
      </c>
      <c r="U15961" s="26" t="str">
        <f t="shared" si="594"/>
        <v>2023.013P.Potyviridae_rename_sp.zip</v>
      </c>
    </row>
    <row r="15962" spans="1:21">
      <c r="A15962">
        <v>15961</v>
      </c>
      <c r="B15962" s="27" t="s">
        <v>1124</v>
      </c>
      <c r="D15962" s="27" t="s">
        <v>1859</v>
      </c>
      <c r="F15962" s="27" t="s">
        <v>1909</v>
      </c>
      <c r="H15962" s="27" t="s">
        <v>1961</v>
      </c>
      <c r="J15962" s="27" t="s">
        <v>1962</v>
      </c>
      <c r="L15962" s="27" t="s">
        <v>148</v>
      </c>
      <c r="N15962" s="27" t="s">
        <v>161</v>
      </c>
      <c r="P15962" s="27" t="s">
        <v>17594</v>
      </c>
      <c r="Q15962" s="26" t="str">
        <f>HYPERLINK("https://ictv.global/taxonomy/taxondetails?taxnode_id=202504686&amp;ictv_id=ICTV19982305","ICTV19982305")</f>
        <v>ICTV19982305</v>
      </c>
      <c r="R15962" t="s">
        <v>581</v>
      </c>
      <c r="S15962" t="s">
        <v>824</v>
      </c>
      <c r="T15962">
        <v>39</v>
      </c>
      <c r="U15962" s="26" t="str">
        <f t="shared" si="594"/>
        <v>2023.013P.Potyviridae_rename_sp.zip</v>
      </c>
    </row>
    <row r="15963" spans="1:21">
      <c r="A15963">
        <v>15962</v>
      </c>
      <c r="B15963" s="27" t="s">
        <v>1124</v>
      </c>
      <c r="D15963" s="27" t="s">
        <v>1859</v>
      </c>
      <c r="F15963" s="27" t="s">
        <v>1909</v>
      </c>
      <c r="H15963" s="27" t="s">
        <v>1961</v>
      </c>
      <c r="J15963" s="27" t="s">
        <v>1962</v>
      </c>
      <c r="L15963" s="27" t="s">
        <v>148</v>
      </c>
      <c r="N15963" s="27" t="s">
        <v>161</v>
      </c>
      <c r="P15963" s="27" t="s">
        <v>17595</v>
      </c>
      <c r="Q15963" s="26" t="str">
        <f>HYPERLINK("https://ictv.global/taxonomy/taxondetails?taxnode_id=202504687&amp;ictv_id=ICTV20041812","ICTV20041812")</f>
        <v>ICTV20041812</v>
      </c>
      <c r="R15963" t="s">
        <v>581</v>
      </c>
      <c r="S15963" t="s">
        <v>824</v>
      </c>
      <c r="T15963">
        <v>39</v>
      </c>
      <c r="U15963" s="26" t="str">
        <f t="shared" si="594"/>
        <v>2023.013P.Potyviridae_rename_sp.zip</v>
      </c>
    </row>
    <row r="15964" spans="1:21">
      <c r="A15964">
        <v>15963</v>
      </c>
      <c r="B15964" s="27" t="s">
        <v>1124</v>
      </c>
      <c r="D15964" s="27" t="s">
        <v>1859</v>
      </c>
      <c r="F15964" s="27" t="s">
        <v>1909</v>
      </c>
      <c r="H15964" s="27" t="s">
        <v>1961</v>
      </c>
      <c r="J15964" s="27" t="s">
        <v>1962</v>
      </c>
      <c r="L15964" s="27" t="s">
        <v>148</v>
      </c>
      <c r="N15964" s="27" t="s">
        <v>161</v>
      </c>
      <c r="P15964" s="27" t="s">
        <v>17596</v>
      </c>
      <c r="Q15964" s="26" t="str">
        <f>HYPERLINK("https://ictv.global/taxonomy/taxondetails?taxnode_id=202504685&amp;ictv_id=ICTV19911813","ICTV19911813")</f>
        <v>ICTV19911813</v>
      </c>
      <c r="R15964" t="s">
        <v>581</v>
      </c>
      <c r="S15964" t="s">
        <v>824</v>
      </c>
      <c r="T15964">
        <v>39</v>
      </c>
      <c r="U15964" s="26" t="str">
        <f t="shared" si="594"/>
        <v>2023.013P.Potyviridae_rename_sp.zip</v>
      </c>
    </row>
    <row r="15965" spans="1:21">
      <c r="A15965">
        <v>15964</v>
      </c>
      <c r="B15965" s="27" t="s">
        <v>1124</v>
      </c>
      <c r="D15965" s="27" t="s">
        <v>1859</v>
      </c>
      <c r="F15965" s="27" t="s">
        <v>1909</v>
      </c>
      <c r="H15965" s="27" t="s">
        <v>1961</v>
      </c>
      <c r="J15965" s="27" t="s">
        <v>1962</v>
      </c>
      <c r="L15965" s="27" t="s">
        <v>148</v>
      </c>
      <c r="N15965" s="27" t="s">
        <v>161</v>
      </c>
      <c r="P15965" s="27" t="s">
        <v>17597</v>
      </c>
      <c r="Q15965" s="26" t="str">
        <f>HYPERLINK("https://ictv.global/taxonomy/taxondetails?taxnode_id=202509669&amp;ictv_id=ICTV202009669","ICTV202009669")</f>
        <v>ICTV202009669</v>
      </c>
      <c r="R15965" t="s">
        <v>581</v>
      </c>
      <c r="S15965" t="s">
        <v>824</v>
      </c>
      <c r="T15965">
        <v>39</v>
      </c>
      <c r="U15965" s="26" t="str">
        <f t="shared" si="594"/>
        <v>2023.013P.Potyviridae_rename_sp.zip</v>
      </c>
    </row>
    <row r="15966" spans="1:21">
      <c r="A15966">
        <v>15965</v>
      </c>
      <c r="B15966" s="27" t="s">
        <v>1124</v>
      </c>
      <c r="D15966" s="27" t="s">
        <v>1859</v>
      </c>
      <c r="F15966" s="27" t="s">
        <v>1909</v>
      </c>
      <c r="H15966" s="27" t="s">
        <v>1961</v>
      </c>
      <c r="J15966" s="27" t="s">
        <v>1962</v>
      </c>
      <c r="L15966" s="27" t="s">
        <v>148</v>
      </c>
      <c r="N15966" s="27" t="s">
        <v>161</v>
      </c>
      <c r="P15966" s="27" t="s">
        <v>17598</v>
      </c>
      <c r="Q15966" s="26" t="str">
        <f>HYPERLINK("https://ictv.global/taxonomy/taxondetails?taxnode_id=202504578&amp;ictv_id=ICTV19710252","ICTV19710252")</f>
        <v>ICTV19710252</v>
      </c>
      <c r="R15966" t="s">
        <v>581</v>
      </c>
      <c r="S15966" t="s">
        <v>824</v>
      </c>
      <c r="T15966">
        <v>39</v>
      </c>
      <c r="U15966" s="26" t="str">
        <f t="shared" si="594"/>
        <v>2023.013P.Potyviridae_rename_sp.zip</v>
      </c>
    </row>
    <row r="15967" spans="1:21">
      <c r="A15967">
        <v>15966</v>
      </c>
      <c r="B15967" s="27" t="s">
        <v>1124</v>
      </c>
      <c r="D15967" s="27" t="s">
        <v>1859</v>
      </c>
      <c r="F15967" s="27" t="s">
        <v>1909</v>
      </c>
      <c r="H15967" s="27" t="s">
        <v>1961</v>
      </c>
      <c r="J15967" s="27" t="s">
        <v>1962</v>
      </c>
      <c r="L15967" s="27" t="s">
        <v>148</v>
      </c>
      <c r="N15967" s="27" t="s">
        <v>161</v>
      </c>
      <c r="P15967" s="27" t="s">
        <v>17599</v>
      </c>
      <c r="Q15967" s="26" t="str">
        <f>HYPERLINK("https://ictv.global/taxonomy/taxondetails?taxnode_id=202504691&amp;ictv_id=ICTV20153976","ICTV20153976")</f>
        <v>ICTV20153976</v>
      </c>
      <c r="R15967" t="s">
        <v>581</v>
      </c>
      <c r="S15967" t="s">
        <v>824</v>
      </c>
      <c r="T15967">
        <v>39</v>
      </c>
      <c r="U15967" s="26" t="str">
        <f t="shared" si="594"/>
        <v>2023.013P.Potyviridae_rename_sp.zip</v>
      </c>
    </row>
    <row r="15968" spans="1:21">
      <c r="A15968">
        <v>15967</v>
      </c>
      <c r="B15968" s="27" t="s">
        <v>1124</v>
      </c>
      <c r="D15968" s="27" t="s">
        <v>1859</v>
      </c>
      <c r="F15968" s="27" t="s">
        <v>1909</v>
      </c>
      <c r="H15968" s="27" t="s">
        <v>1961</v>
      </c>
      <c r="J15968" s="27" t="s">
        <v>1962</v>
      </c>
      <c r="L15968" s="27" t="s">
        <v>148</v>
      </c>
      <c r="N15968" s="27" t="s">
        <v>161</v>
      </c>
      <c r="P15968" s="27" t="s">
        <v>17600</v>
      </c>
      <c r="Q15968" s="26" t="str">
        <f>HYPERLINK("https://ictv.global/taxonomy/taxondetails?taxnode_id=202504579&amp;ictv_id=ICTV20143331","ICTV20143331")</f>
        <v>ICTV20143331</v>
      </c>
      <c r="R15968" t="s">
        <v>581</v>
      </c>
      <c r="S15968" t="s">
        <v>824</v>
      </c>
      <c r="T15968">
        <v>39</v>
      </c>
      <c r="U15968" s="26" t="str">
        <f t="shared" si="594"/>
        <v>2023.013P.Potyviridae_rename_sp.zip</v>
      </c>
    </row>
    <row r="15969" spans="1:21">
      <c r="A15969">
        <v>15968</v>
      </c>
      <c r="B15969" s="27" t="s">
        <v>1124</v>
      </c>
      <c r="D15969" s="27" t="s">
        <v>1859</v>
      </c>
      <c r="F15969" s="27" t="s">
        <v>1909</v>
      </c>
      <c r="H15969" s="27" t="s">
        <v>1961</v>
      </c>
      <c r="J15969" s="27" t="s">
        <v>1962</v>
      </c>
      <c r="L15969" s="27" t="s">
        <v>148</v>
      </c>
      <c r="N15969" s="27" t="s">
        <v>161</v>
      </c>
      <c r="P15969" s="27" t="s">
        <v>17601</v>
      </c>
      <c r="Q15969" s="26" t="str">
        <f>HYPERLINK("https://ictv.global/taxonomy/taxondetails?taxnode_id=202504580&amp;ictv_id=ICTV19760756","ICTV19760756")</f>
        <v>ICTV19760756</v>
      </c>
      <c r="R15969" t="s">
        <v>581</v>
      </c>
      <c r="S15969" t="s">
        <v>824</v>
      </c>
      <c r="T15969">
        <v>39</v>
      </c>
      <c r="U15969" s="26" t="str">
        <f t="shared" si="594"/>
        <v>2023.013P.Potyviridae_rename_sp.zip</v>
      </c>
    </row>
    <row r="15970" spans="1:21">
      <c r="A15970">
        <v>15969</v>
      </c>
      <c r="B15970" s="27" t="s">
        <v>1124</v>
      </c>
      <c r="D15970" s="27" t="s">
        <v>1859</v>
      </c>
      <c r="F15970" s="27" t="s">
        <v>1909</v>
      </c>
      <c r="H15970" s="27" t="s">
        <v>1961</v>
      </c>
      <c r="J15970" s="27" t="s">
        <v>1962</v>
      </c>
      <c r="L15970" s="27" t="s">
        <v>148</v>
      </c>
      <c r="N15970" s="27" t="s">
        <v>161</v>
      </c>
      <c r="P15970" s="27" t="s">
        <v>17602</v>
      </c>
      <c r="Q15970" s="26" t="str">
        <f>HYPERLINK("https://ictv.global/taxonomy/taxondetails?taxnode_id=202504582&amp;ictv_id=ICTV20143333","ICTV20143333")</f>
        <v>ICTV20143333</v>
      </c>
      <c r="R15970" t="s">
        <v>581</v>
      </c>
      <c r="S15970" t="s">
        <v>824</v>
      </c>
      <c r="T15970">
        <v>39</v>
      </c>
      <c r="U15970" s="26" t="str">
        <f t="shared" si="594"/>
        <v>2023.013P.Potyviridae_rename_sp.zip</v>
      </c>
    </row>
    <row r="15971" spans="1:21">
      <c r="A15971">
        <v>15970</v>
      </c>
      <c r="B15971" s="27" t="s">
        <v>1124</v>
      </c>
      <c r="D15971" s="27" t="s">
        <v>1859</v>
      </c>
      <c r="F15971" s="27" t="s">
        <v>1909</v>
      </c>
      <c r="H15971" s="27" t="s">
        <v>1961</v>
      </c>
      <c r="J15971" s="27" t="s">
        <v>1962</v>
      </c>
      <c r="L15971" s="27" t="s">
        <v>148</v>
      </c>
      <c r="N15971" s="27" t="s">
        <v>161</v>
      </c>
      <c r="P15971" s="27" t="s">
        <v>17603</v>
      </c>
      <c r="Q15971" s="26" t="str">
        <f>HYPERLINK("https://ictv.global/taxonomy/taxondetails?taxnode_id=202505919&amp;ictv_id=ICTV20175919","ICTV20175919")</f>
        <v>ICTV20175919</v>
      </c>
      <c r="R15971" t="s">
        <v>581</v>
      </c>
      <c r="S15971" t="s">
        <v>824</v>
      </c>
      <c r="T15971">
        <v>39</v>
      </c>
      <c r="U15971" s="26" t="str">
        <f t="shared" si="594"/>
        <v>2023.013P.Potyviridae_rename_sp.zip</v>
      </c>
    </row>
    <row r="15972" spans="1:21">
      <c r="A15972">
        <v>15971</v>
      </c>
      <c r="B15972" s="27" t="s">
        <v>1124</v>
      </c>
      <c r="D15972" s="27" t="s">
        <v>1859</v>
      </c>
      <c r="F15972" s="27" t="s">
        <v>1909</v>
      </c>
      <c r="H15972" s="27" t="s">
        <v>1961</v>
      </c>
      <c r="J15972" s="27" t="s">
        <v>1962</v>
      </c>
      <c r="L15972" s="27" t="s">
        <v>148</v>
      </c>
      <c r="N15972" s="27" t="s">
        <v>161</v>
      </c>
      <c r="P15972" s="27" t="s">
        <v>17604</v>
      </c>
      <c r="Q15972" s="26" t="str">
        <f>HYPERLINK("https://ictv.global/taxonomy/taxondetails?taxnode_id=202504585&amp;ictv_id=ICTV19991372","ICTV19991372")</f>
        <v>ICTV19991372</v>
      </c>
      <c r="R15972" t="s">
        <v>581</v>
      </c>
      <c r="S15972" t="s">
        <v>824</v>
      </c>
      <c r="T15972">
        <v>39</v>
      </c>
      <c r="U15972" s="26" t="str">
        <f t="shared" si="594"/>
        <v>2023.013P.Potyviridae_rename_sp.zip</v>
      </c>
    </row>
    <row r="15973" spans="1:21">
      <c r="A15973">
        <v>15972</v>
      </c>
      <c r="B15973" s="27" t="s">
        <v>1124</v>
      </c>
      <c r="D15973" s="27" t="s">
        <v>1859</v>
      </c>
      <c r="F15973" s="27" t="s">
        <v>1909</v>
      </c>
      <c r="H15973" s="27" t="s">
        <v>1961</v>
      </c>
      <c r="J15973" s="27" t="s">
        <v>1962</v>
      </c>
      <c r="L15973" s="27" t="s">
        <v>148</v>
      </c>
      <c r="N15973" s="27" t="s">
        <v>161</v>
      </c>
      <c r="P15973" s="27" t="s">
        <v>17605</v>
      </c>
      <c r="Q15973" s="26" t="str">
        <f>HYPERLINK("https://ictv.global/taxonomy/taxondetails?taxnode_id=202504587&amp;ictv_id=ICTV20094545","ICTV20094545")</f>
        <v>ICTV20094545</v>
      </c>
      <c r="R15973" t="s">
        <v>581</v>
      </c>
      <c r="S15973" t="s">
        <v>824</v>
      </c>
      <c r="T15973">
        <v>39</v>
      </c>
      <c r="U15973" s="26" t="str">
        <f t="shared" si="594"/>
        <v>2023.013P.Potyviridae_rename_sp.zip</v>
      </c>
    </row>
    <row r="15974" spans="1:21">
      <c r="A15974">
        <v>15973</v>
      </c>
      <c r="B15974" s="27" t="s">
        <v>1124</v>
      </c>
      <c r="D15974" s="27" t="s">
        <v>1859</v>
      </c>
      <c r="F15974" s="27" t="s">
        <v>1909</v>
      </c>
      <c r="H15974" s="27" t="s">
        <v>1961</v>
      </c>
      <c r="J15974" s="27" t="s">
        <v>1962</v>
      </c>
      <c r="L15974" s="27" t="s">
        <v>148</v>
      </c>
      <c r="N15974" s="27" t="s">
        <v>161</v>
      </c>
      <c r="P15974" s="27" t="s">
        <v>17606</v>
      </c>
      <c r="Q15974" s="26" t="str">
        <f>HYPERLINK("https://ictv.global/taxonomy/taxondetails?taxnode_id=202504594&amp;ictv_id=ICTV20094551","ICTV20094551")</f>
        <v>ICTV20094551</v>
      </c>
      <c r="R15974" t="s">
        <v>581</v>
      </c>
      <c r="S15974" t="s">
        <v>824</v>
      </c>
      <c r="T15974">
        <v>39</v>
      </c>
      <c r="U15974" s="26" t="str">
        <f t="shared" si="594"/>
        <v>2023.013P.Potyviridae_rename_sp.zip</v>
      </c>
    </row>
    <row r="15975" spans="1:21">
      <c r="A15975">
        <v>15974</v>
      </c>
      <c r="B15975" s="27" t="s">
        <v>1124</v>
      </c>
      <c r="D15975" s="27" t="s">
        <v>1859</v>
      </c>
      <c r="F15975" s="27" t="s">
        <v>1909</v>
      </c>
      <c r="H15975" s="27" t="s">
        <v>1961</v>
      </c>
      <c r="J15975" s="27" t="s">
        <v>1962</v>
      </c>
      <c r="L15975" s="27" t="s">
        <v>148</v>
      </c>
      <c r="N15975" s="27" t="s">
        <v>161</v>
      </c>
      <c r="P15975" s="27" t="s">
        <v>17607</v>
      </c>
      <c r="Q15975" s="26" t="str">
        <f>HYPERLINK("https://ictv.global/taxonomy/taxondetails?taxnode_id=202504662&amp;ictv_id=ICTV20041794","ICTV20041794")</f>
        <v>ICTV20041794</v>
      </c>
      <c r="R15975" t="s">
        <v>581</v>
      </c>
      <c r="S15975" t="s">
        <v>824</v>
      </c>
      <c r="T15975">
        <v>39</v>
      </c>
      <c r="U15975" s="26" t="str">
        <f t="shared" si="594"/>
        <v>2023.013P.Potyviridae_rename_sp.zip</v>
      </c>
    </row>
    <row r="15976" spans="1:21">
      <c r="A15976">
        <v>15975</v>
      </c>
      <c r="B15976" s="27" t="s">
        <v>1124</v>
      </c>
      <c r="D15976" s="27" t="s">
        <v>1859</v>
      </c>
      <c r="F15976" s="27" t="s">
        <v>1909</v>
      </c>
      <c r="H15976" s="27" t="s">
        <v>1961</v>
      </c>
      <c r="J15976" s="27" t="s">
        <v>1962</v>
      </c>
      <c r="L15976" s="27" t="s">
        <v>148</v>
      </c>
      <c r="N15976" s="27" t="s">
        <v>161</v>
      </c>
      <c r="P15976" s="27" t="s">
        <v>17608</v>
      </c>
      <c r="Q15976" s="26" t="str">
        <f>HYPERLINK("https://ictv.global/taxonomy/taxondetails?taxnode_id=202504659&amp;ictv_id=ICTV19760776","ICTV19760776")</f>
        <v>ICTV19760776</v>
      </c>
      <c r="R15976" t="s">
        <v>581</v>
      </c>
      <c r="S15976" t="s">
        <v>824</v>
      </c>
      <c r="T15976">
        <v>39</v>
      </c>
      <c r="U15976" s="26" t="str">
        <f t="shared" si="594"/>
        <v>2023.013P.Potyviridae_rename_sp.zip</v>
      </c>
    </row>
    <row r="15977" spans="1:21">
      <c r="A15977">
        <v>15976</v>
      </c>
      <c r="B15977" s="27" t="s">
        <v>1124</v>
      </c>
      <c r="D15977" s="27" t="s">
        <v>1859</v>
      </c>
      <c r="F15977" s="27" t="s">
        <v>1909</v>
      </c>
      <c r="H15977" s="27" t="s">
        <v>1961</v>
      </c>
      <c r="J15977" s="27" t="s">
        <v>1962</v>
      </c>
      <c r="L15977" s="27" t="s">
        <v>148</v>
      </c>
      <c r="N15977" s="27" t="s">
        <v>161</v>
      </c>
      <c r="P15977" s="27" t="s">
        <v>17609</v>
      </c>
      <c r="Q15977" s="26" t="str">
        <f>HYPERLINK("https://ictv.global/taxonomy/taxondetails?taxnode_id=202504660&amp;ictv_id=ICTV19821322","ICTV19821322")</f>
        <v>ICTV19821322</v>
      </c>
      <c r="R15977" t="s">
        <v>581</v>
      </c>
      <c r="S15977" t="s">
        <v>824</v>
      </c>
      <c r="T15977">
        <v>39</v>
      </c>
      <c r="U15977" s="26" t="str">
        <f t="shared" si="594"/>
        <v>2023.013P.Potyviridae_rename_sp.zip</v>
      </c>
    </row>
    <row r="15978" spans="1:21">
      <c r="A15978">
        <v>15977</v>
      </c>
      <c r="B15978" s="27" t="s">
        <v>1124</v>
      </c>
      <c r="D15978" s="27" t="s">
        <v>1859</v>
      </c>
      <c r="F15978" s="27" t="s">
        <v>1909</v>
      </c>
      <c r="H15978" s="27" t="s">
        <v>1961</v>
      </c>
      <c r="J15978" s="27" t="s">
        <v>1962</v>
      </c>
      <c r="L15978" s="27" t="s">
        <v>148</v>
      </c>
      <c r="N15978" s="27" t="s">
        <v>161</v>
      </c>
      <c r="P15978" s="27" t="s">
        <v>17610</v>
      </c>
      <c r="Q15978" s="26" t="str">
        <f>HYPERLINK("https://ictv.global/taxonomy/taxondetails?taxnode_id=202504661&amp;ictv_id=ICTV19760777","ICTV19760777")</f>
        <v>ICTV19760777</v>
      </c>
      <c r="R15978" t="s">
        <v>581</v>
      </c>
      <c r="S15978" t="s">
        <v>824</v>
      </c>
      <c r="T15978">
        <v>39</v>
      </c>
      <c r="U15978" s="26" t="str">
        <f t="shared" si="594"/>
        <v>2023.013P.Potyviridae_rename_sp.zip</v>
      </c>
    </row>
    <row r="15979" spans="1:21">
      <c r="A15979">
        <v>15978</v>
      </c>
      <c r="B15979" s="27" t="s">
        <v>1124</v>
      </c>
      <c r="D15979" s="27" t="s">
        <v>1859</v>
      </c>
      <c r="F15979" s="27" t="s">
        <v>1909</v>
      </c>
      <c r="H15979" s="27" t="s">
        <v>1961</v>
      </c>
      <c r="J15979" s="27" t="s">
        <v>1962</v>
      </c>
      <c r="L15979" s="27" t="s">
        <v>148</v>
      </c>
      <c r="N15979" s="27" t="s">
        <v>161</v>
      </c>
      <c r="P15979" s="27" t="s">
        <v>17611</v>
      </c>
      <c r="Q15979" s="26" t="str">
        <f>HYPERLINK("https://ictv.global/taxonomy/taxondetails?taxnode_id=202504595&amp;ictv_id=ICTV19951872","ICTV19951872")</f>
        <v>ICTV19951872</v>
      </c>
      <c r="R15979" t="s">
        <v>581</v>
      </c>
      <c r="S15979" t="s">
        <v>824</v>
      </c>
      <c r="T15979">
        <v>39</v>
      </c>
      <c r="U15979" s="26" t="str">
        <f t="shared" si="594"/>
        <v>2023.013P.Potyviridae_rename_sp.zip</v>
      </c>
    </row>
    <row r="15980" spans="1:21">
      <c r="A15980">
        <v>15979</v>
      </c>
      <c r="B15980" s="27" t="s">
        <v>1124</v>
      </c>
      <c r="D15980" s="27" t="s">
        <v>1859</v>
      </c>
      <c r="F15980" s="27" t="s">
        <v>1909</v>
      </c>
      <c r="H15980" s="27" t="s">
        <v>1961</v>
      </c>
      <c r="J15980" s="27" t="s">
        <v>1962</v>
      </c>
      <c r="L15980" s="27" t="s">
        <v>148</v>
      </c>
      <c r="N15980" s="27" t="s">
        <v>161</v>
      </c>
      <c r="P15980" s="27" t="s">
        <v>17612</v>
      </c>
      <c r="Q15980" s="26" t="str">
        <f>HYPERLINK("https://ictv.global/taxonomy/taxondetails?taxnode_id=202504651&amp;ictv_id=ICTV20041785","ICTV20041785")</f>
        <v>ICTV20041785</v>
      </c>
      <c r="R15980" t="s">
        <v>581</v>
      </c>
      <c r="S15980" t="s">
        <v>824</v>
      </c>
      <c r="T15980">
        <v>39</v>
      </c>
      <c r="U15980" s="26" t="str">
        <f t="shared" si="594"/>
        <v>2023.013P.Potyviridae_rename_sp.zip</v>
      </c>
    </row>
    <row r="15981" spans="1:21">
      <c r="A15981">
        <v>15980</v>
      </c>
      <c r="B15981" s="27" t="s">
        <v>1124</v>
      </c>
      <c r="D15981" s="27" t="s">
        <v>1859</v>
      </c>
      <c r="F15981" s="27" t="s">
        <v>1909</v>
      </c>
      <c r="H15981" s="27" t="s">
        <v>1961</v>
      </c>
      <c r="J15981" s="27" t="s">
        <v>1962</v>
      </c>
      <c r="L15981" s="27" t="s">
        <v>148</v>
      </c>
      <c r="N15981" s="27" t="s">
        <v>161</v>
      </c>
      <c r="P15981" s="27" t="s">
        <v>17613</v>
      </c>
      <c r="Q15981" s="26" t="str">
        <f>HYPERLINK("https://ictv.global/taxonomy/taxondetails?taxnode_id=202504590&amp;ictv_id=ICTV20041739","ICTV20041739")</f>
        <v>ICTV20041739</v>
      </c>
      <c r="R15981" t="s">
        <v>581</v>
      </c>
      <c r="S15981" t="s">
        <v>824</v>
      </c>
      <c r="T15981">
        <v>39</v>
      </c>
      <c r="U15981" s="26" t="str">
        <f t="shared" si="594"/>
        <v>2023.013P.Potyviridae_rename_sp.zip</v>
      </c>
    </row>
    <row r="15982" spans="1:21">
      <c r="A15982">
        <v>15981</v>
      </c>
      <c r="B15982" s="27" t="s">
        <v>1124</v>
      </c>
      <c r="D15982" s="27" t="s">
        <v>1859</v>
      </c>
      <c r="F15982" s="27" t="s">
        <v>1909</v>
      </c>
      <c r="H15982" s="27" t="s">
        <v>1961</v>
      </c>
      <c r="J15982" s="27" t="s">
        <v>1962</v>
      </c>
      <c r="L15982" s="27" t="s">
        <v>148</v>
      </c>
      <c r="N15982" s="27" t="s">
        <v>161</v>
      </c>
      <c r="P15982" s="27" t="s">
        <v>17614</v>
      </c>
      <c r="Q15982" s="26" t="str">
        <f>HYPERLINK("https://ictv.global/taxonomy/taxondetails?taxnode_id=202504589&amp;ictv_id=ICTV19911765","ICTV19911765")</f>
        <v>ICTV19911765</v>
      </c>
      <c r="R15982" t="s">
        <v>581</v>
      </c>
      <c r="S15982" t="s">
        <v>824</v>
      </c>
      <c r="T15982">
        <v>39</v>
      </c>
      <c r="U15982" s="26" t="str">
        <f t="shared" si="594"/>
        <v>2023.013P.Potyviridae_rename_sp.zip</v>
      </c>
    </row>
    <row r="15983" spans="1:21">
      <c r="A15983">
        <v>15982</v>
      </c>
      <c r="B15983" s="27" t="s">
        <v>1124</v>
      </c>
      <c r="D15983" s="27" t="s">
        <v>1859</v>
      </c>
      <c r="F15983" s="27" t="s">
        <v>1909</v>
      </c>
      <c r="H15983" s="27" t="s">
        <v>1961</v>
      </c>
      <c r="J15983" s="27" t="s">
        <v>1962</v>
      </c>
      <c r="L15983" s="27" t="s">
        <v>148</v>
      </c>
      <c r="N15983" s="27" t="s">
        <v>161</v>
      </c>
      <c r="P15983" s="27" t="s">
        <v>17615</v>
      </c>
      <c r="Q15983" s="26" t="str">
        <f>HYPERLINK("https://ictv.global/taxonomy/taxondetails?taxnode_id=202505922&amp;ictv_id=ICTV20175922","ICTV20175922")</f>
        <v>ICTV20175922</v>
      </c>
      <c r="R15983" t="s">
        <v>581</v>
      </c>
      <c r="S15983" t="s">
        <v>824</v>
      </c>
      <c r="T15983">
        <v>39</v>
      </c>
      <c r="U15983" s="26" t="str">
        <f t="shared" si="594"/>
        <v>2023.013P.Potyviridae_rename_sp.zip</v>
      </c>
    </row>
    <row r="15984" spans="1:21">
      <c r="A15984">
        <v>15983</v>
      </c>
      <c r="B15984" s="27" t="s">
        <v>1124</v>
      </c>
      <c r="D15984" s="27" t="s">
        <v>1859</v>
      </c>
      <c r="F15984" s="27" t="s">
        <v>1909</v>
      </c>
      <c r="H15984" s="27" t="s">
        <v>1961</v>
      </c>
      <c r="J15984" s="27" t="s">
        <v>1962</v>
      </c>
      <c r="L15984" s="27" t="s">
        <v>148</v>
      </c>
      <c r="N15984" s="27" t="s">
        <v>161</v>
      </c>
      <c r="P15984" s="27" t="s">
        <v>17616</v>
      </c>
      <c r="Q15984" s="26" t="str">
        <f>HYPERLINK("https://ictv.global/taxonomy/taxondetails?taxnode_id=202504591&amp;ictv_id=ICTV20153973","ICTV20153973")</f>
        <v>ICTV20153973</v>
      </c>
      <c r="R15984" t="s">
        <v>581</v>
      </c>
      <c r="S15984" t="s">
        <v>824</v>
      </c>
      <c r="T15984">
        <v>39</v>
      </c>
      <c r="U15984" s="26" t="str">
        <f t="shared" si="594"/>
        <v>2023.013P.Potyviridae_rename_sp.zip</v>
      </c>
    </row>
    <row r="15985" spans="1:21">
      <c r="A15985">
        <v>15984</v>
      </c>
      <c r="B15985" s="27" t="s">
        <v>1124</v>
      </c>
      <c r="D15985" s="27" t="s">
        <v>1859</v>
      </c>
      <c r="F15985" s="27" t="s">
        <v>1909</v>
      </c>
      <c r="H15985" s="27" t="s">
        <v>1961</v>
      </c>
      <c r="J15985" s="27" t="s">
        <v>1962</v>
      </c>
      <c r="L15985" s="27" t="s">
        <v>148</v>
      </c>
      <c r="N15985" s="27" t="s">
        <v>161</v>
      </c>
      <c r="P15985" s="27" t="s">
        <v>20560</v>
      </c>
      <c r="Q15985" s="26" t="str">
        <f>HYPERLINK("https://ictv.global/taxonomy/taxondetails?taxnode_id=202520505&amp;ictv_id=ICTV202420505","ICTV202420505")</f>
        <v>ICTV202420505</v>
      </c>
      <c r="R15985" t="s">
        <v>581</v>
      </c>
      <c r="S15985" t="s">
        <v>823</v>
      </c>
      <c r="T15985">
        <v>40</v>
      </c>
      <c r="U15985" s="26" t="str">
        <f>HYPERLINK("https://ictv.global/ictv/proposals/2024.012P.Potyviridae_1ng_10nsp.zip","2024.012P.Potyviridae_1ng_10nsp.zip")</f>
        <v>2024.012P.Potyviridae_1ng_10nsp.zip</v>
      </c>
    </row>
    <row r="15986" spans="1:21">
      <c r="A15986">
        <v>15985</v>
      </c>
      <c r="B15986" s="27" t="s">
        <v>1124</v>
      </c>
      <c r="D15986" s="27" t="s">
        <v>1859</v>
      </c>
      <c r="F15986" s="27" t="s">
        <v>1909</v>
      </c>
      <c r="H15986" s="27" t="s">
        <v>1961</v>
      </c>
      <c r="J15986" s="27" t="s">
        <v>1962</v>
      </c>
      <c r="L15986" s="27" t="s">
        <v>148</v>
      </c>
      <c r="N15986" s="27" t="s">
        <v>161</v>
      </c>
      <c r="P15986" s="27" t="s">
        <v>17617</v>
      </c>
      <c r="Q15986" s="26" t="str">
        <f>HYPERLINK("https://ictv.global/taxonomy/taxondetails?taxnode_id=202504689&amp;ictv_id=ICTV20115386","ICTV20115386")</f>
        <v>ICTV20115386</v>
      </c>
      <c r="R15986" t="s">
        <v>581</v>
      </c>
      <c r="S15986" t="s">
        <v>824</v>
      </c>
      <c r="T15986">
        <v>39</v>
      </c>
      <c r="U15986" s="26" t="str">
        <f t="shared" ref="U15986:U15994" si="595">HYPERLINK("https://ictv.global/ictv/proposals/2023.013P.Potyviridae_rename_sp.zip","2023.013P.Potyviridae_rename_sp.zip")</f>
        <v>2023.013P.Potyviridae_rename_sp.zip</v>
      </c>
    </row>
    <row r="15987" spans="1:21">
      <c r="A15987">
        <v>15986</v>
      </c>
      <c r="B15987" s="27" t="s">
        <v>1124</v>
      </c>
      <c r="D15987" s="27" t="s">
        <v>1859</v>
      </c>
      <c r="F15987" s="27" t="s">
        <v>1909</v>
      </c>
      <c r="H15987" s="27" t="s">
        <v>1961</v>
      </c>
      <c r="J15987" s="27" t="s">
        <v>1962</v>
      </c>
      <c r="L15987" s="27" t="s">
        <v>148</v>
      </c>
      <c r="N15987" s="27" t="s">
        <v>161</v>
      </c>
      <c r="P15987" s="27" t="s">
        <v>17618</v>
      </c>
      <c r="Q15987" s="26" t="str">
        <f>HYPERLINK("https://ictv.global/taxonomy/taxondetails?taxnode_id=202504646&amp;ictv_id=ICTV19760769","ICTV19760769")</f>
        <v>ICTV19760769</v>
      </c>
      <c r="R15987" t="s">
        <v>581</v>
      </c>
      <c r="S15987" t="s">
        <v>824</v>
      </c>
      <c r="T15987">
        <v>39</v>
      </c>
      <c r="U15987" s="26" t="str">
        <f t="shared" si="595"/>
        <v>2023.013P.Potyviridae_rename_sp.zip</v>
      </c>
    </row>
    <row r="15988" spans="1:21">
      <c r="A15988">
        <v>15987</v>
      </c>
      <c r="B15988" s="27" t="s">
        <v>1124</v>
      </c>
      <c r="D15988" s="27" t="s">
        <v>1859</v>
      </c>
      <c r="F15988" s="27" t="s">
        <v>1909</v>
      </c>
      <c r="H15988" s="27" t="s">
        <v>1961</v>
      </c>
      <c r="J15988" s="27" t="s">
        <v>1962</v>
      </c>
      <c r="L15988" s="27" t="s">
        <v>148</v>
      </c>
      <c r="N15988" s="27" t="s">
        <v>161</v>
      </c>
      <c r="P15988" s="27" t="s">
        <v>17619</v>
      </c>
      <c r="Q15988" s="26" t="str">
        <f>HYPERLINK("https://ictv.global/taxonomy/taxondetails?taxnode_id=202504593&amp;ictv_id=ICTV19991377","ICTV19991377")</f>
        <v>ICTV19991377</v>
      </c>
      <c r="R15988" t="s">
        <v>581</v>
      </c>
      <c r="S15988" t="s">
        <v>824</v>
      </c>
      <c r="T15988">
        <v>39</v>
      </c>
      <c r="U15988" s="26" t="str">
        <f t="shared" si="595"/>
        <v>2023.013P.Potyviridae_rename_sp.zip</v>
      </c>
    </row>
    <row r="15989" spans="1:21">
      <c r="A15989">
        <v>15988</v>
      </c>
      <c r="B15989" s="27" t="s">
        <v>1124</v>
      </c>
      <c r="D15989" s="27" t="s">
        <v>1859</v>
      </c>
      <c r="F15989" s="27" t="s">
        <v>1909</v>
      </c>
      <c r="H15989" s="27" t="s">
        <v>1961</v>
      </c>
      <c r="J15989" s="27" t="s">
        <v>1962</v>
      </c>
      <c r="L15989" s="27" t="s">
        <v>148</v>
      </c>
      <c r="N15989" s="27" t="s">
        <v>161</v>
      </c>
      <c r="P15989" s="27" t="s">
        <v>17620</v>
      </c>
      <c r="Q15989" s="26" t="str">
        <f>HYPERLINK("https://ictv.global/taxonomy/taxondetails?taxnode_id=202504581&amp;ictv_id=ICTV20143332","ICTV20143332")</f>
        <v>ICTV20143332</v>
      </c>
      <c r="R15989" t="s">
        <v>581</v>
      </c>
      <c r="S15989" t="s">
        <v>824</v>
      </c>
      <c r="T15989">
        <v>39</v>
      </c>
      <c r="U15989" s="26" t="str">
        <f t="shared" si="595"/>
        <v>2023.013P.Potyviridae_rename_sp.zip</v>
      </c>
    </row>
    <row r="15990" spans="1:21">
      <c r="A15990">
        <v>15989</v>
      </c>
      <c r="B15990" s="27" t="s">
        <v>1124</v>
      </c>
      <c r="D15990" s="27" t="s">
        <v>1859</v>
      </c>
      <c r="F15990" s="27" t="s">
        <v>1909</v>
      </c>
      <c r="H15990" s="27" t="s">
        <v>1961</v>
      </c>
      <c r="J15990" s="27" t="s">
        <v>1962</v>
      </c>
      <c r="L15990" s="27" t="s">
        <v>148</v>
      </c>
      <c r="N15990" s="27" t="s">
        <v>161</v>
      </c>
      <c r="P15990" s="27" t="s">
        <v>17621</v>
      </c>
      <c r="Q15990" s="26" t="str">
        <f>HYPERLINK("https://ictv.global/taxonomy/taxondetails?taxnode_id=202504611&amp;ictv_id=ICTV19991387","ICTV19991387")</f>
        <v>ICTV19991387</v>
      </c>
      <c r="R15990" t="s">
        <v>581</v>
      </c>
      <c r="S15990" t="s">
        <v>824</v>
      </c>
      <c r="T15990">
        <v>39</v>
      </c>
      <c r="U15990" s="26" t="str">
        <f t="shared" si="595"/>
        <v>2023.013P.Potyviridae_rename_sp.zip</v>
      </c>
    </row>
    <row r="15991" spans="1:21">
      <c r="A15991">
        <v>15990</v>
      </c>
      <c r="B15991" s="27" t="s">
        <v>1124</v>
      </c>
      <c r="D15991" s="27" t="s">
        <v>1859</v>
      </c>
      <c r="F15991" s="27" t="s">
        <v>1909</v>
      </c>
      <c r="H15991" s="27" t="s">
        <v>1961</v>
      </c>
      <c r="J15991" s="27" t="s">
        <v>1962</v>
      </c>
      <c r="L15991" s="27" t="s">
        <v>148</v>
      </c>
      <c r="N15991" s="27" t="s">
        <v>161</v>
      </c>
      <c r="P15991" s="27" t="s">
        <v>17622</v>
      </c>
      <c r="Q15991" s="26" t="str">
        <f>HYPERLINK("https://ictv.global/taxonomy/taxondetails?taxnode_id=202504710&amp;ictv_id=ICTV19760785","ICTV19760785")</f>
        <v>ICTV19760785</v>
      </c>
      <c r="R15991" t="s">
        <v>581</v>
      </c>
      <c r="S15991" t="s">
        <v>824</v>
      </c>
      <c r="T15991">
        <v>39</v>
      </c>
      <c r="U15991" s="26" t="str">
        <f t="shared" si="595"/>
        <v>2023.013P.Potyviridae_rename_sp.zip</v>
      </c>
    </row>
    <row r="15992" spans="1:21">
      <c r="A15992">
        <v>15991</v>
      </c>
      <c r="B15992" s="27" t="s">
        <v>1124</v>
      </c>
      <c r="D15992" s="27" t="s">
        <v>1859</v>
      </c>
      <c r="F15992" s="27" t="s">
        <v>1909</v>
      </c>
      <c r="H15992" s="27" t="s">
        <v>1961</v>
      </c>
      <c r="J15992" s="27" t="s">
        <v>1962</v>
      </c>
      <c r="L15992" s="27" t="s">
        <v>148</v>
      </c>
      <c r="N15992" s="27" t="s">
        <v>161</v>
      </c>
      <c r="P15992" s="27" t="s">
        <v>17623</v>
      </c>
      <c r="Q15992" s="26" t="str">
        <f>HYPERLINK("https://ictv.global/taxonomy/taxondetails?taxnode_id=202504640&amp;ictv_id=ICTV19991406","ICTV19991406")</f>
        <v>ICTV19991406</v>
      </c>
      <c r="R15992" t="s">
        <v>581</v>
      </c>
      <c r="S15992" t="s">
        <v>824</v>
      </c>
      <c r="T15992">
        <v>39</v>
      </c>
      <c r="U15992" s="26" t="str">
        <f t="shared" si="595"/>
        <v>2023.013P.Potyviridae_rename_sp.zip</v>
      </c>
    </row>
    <row r="15993" spans="1:21">
      <c r="A15993">
        <v>15992</v>
      </c>
      <c r="B15993" s="27" t="s">
        <v>1124</v>
      </c>
      <c r="D15993" s="27" t="s">
        <v>1859</v>
      </c>
      <c r="F15993" s="27" t="s">
        <v>1909</v>
      </c>
      <c r="H15993" s="27" t="s">
        <v>1961</v>
      </c>
      <c r="J15993" s="27" t="s">
        <v>1962</v>
      </c>
      <c r="L15993" s="27" t="s">
        <v>148</v>
      </c>
      <c r="N15993" s="27" t="s">
        <v>161</v>
      </c>
      <c r="P15993" s="27" t="s">
        <v>17624</v>
      </c>
      <c r="Q15993" s="26" t="str">
        <f>HYPERLINK("https://ictv.global/taxonomy/taxondetails?taxnode_id=202504709&amp;ictv_id=ICTV20074419","ICTV20074419")</f>
        <v>ICTV20074419</v>
      </c>
      <c r="R15993" t="s">
        <v>581</v>
      </c>
      <c r="S15993" t="s">
        <v>824</v>
      </c>
      <c r="T15993">
        <v>39</v>
      </c>
      <c r="U15993" s="26" t="str">
        <f t="shared" si="595"/>
        <v>2023.013P.Potyviridae_rename_sp.zip</v>
      </c>
    </row>
    <row r="15994" spans="1:21">
      <c r="A15994">
        <v>15993</v>
      </c>
      <c r="B15994" s="27" t="s">
        <v>1124</v>
      </c>
      <c r="D15994" s="27" t="s">
        <v>1859</v>
      </c>
      <c r="F15994" s="27" t="s">
        <v>1909</v>
      </c>
      <c r="H15994" s="27" t="s">
        <v>1961</v>
      </c>
      <c r="J15994" s="27" t="s">
        <v>1962</v>
      </c>
      <c r="L15994" s="27" t="s">
        <v>148</v>
      </c>
      <c r="N15994" s="27" t="s">
        <v>161</v>
      </c>
      <c r="P15994" s="27" t="s">
        <v>17625</v>
      </c>
      <c r="Q15994" s="26" t="str">
        <f>HYPERLINK("https://ictv.global/taxonomy/taxondetails?taxnode_id=202504597&amp;ictv_id=ICTV20041743","ICTV20041743")</f>
        <v>ICTV20041743</v>
      </c>
      <c r="R15994" t="s">
        <v>581</v>
      </c>
      <c r="S15994" t="s">
        <v>824</v>
      </c>
      <c r="T15994">
        <v>39</v>
      </c>
      <c r="U15994" s="26" t="str">
        <f t="shared" si="595"/>
        <v>2023.013P.Potyviridae_rename_sp.zip</v>
      </c>
    </row>
    <row r="15995" spans="1:21">
      <c r="A15995">
        <v>15994</v>
      </c>
      <c r="B15995" s="27" t="s">
        <v>1124</v>
      </c>
      <c r="D15995" s="27" t="s">
        <v>1859</v>
      </c>
      <c r="F15995" s="27" t="s">
        <v>1909</v>
      </c>
      <c r="H15995" s="27" t="s">
        <v>1961</v>
      </c>
      <c r="J15995" s="27" t="s">
        <v>1962</v>
      </c>
      <c r="L15995" s="27" t="s">
        <v>148</v>
      </c>
      <c r="N15995" s="27" t="s">
        <v>161</v>
      </c>
      <c r="P15995" s="27" t="s">
        <v>10679</v>
      </c>
      <c r="Q15995" s="26" t="str">
        <f>HYPERLINK("https://ictv.global/taxonomy/taxondetails?taxnode_id=202515110&amp;ictv_id=ICTV202215110","ICTV202215110")</f>
        <v>ICTV202215110</v>
      </c>
      <c r="R15995" t="s">
        <v>581</v>
      </c>
      <c r="S15995" t="s">
        <v>823</v>
      </c>
      <c r="T15995">
        <v>38</v>
      </c>
      <c r="U15995" s="26" t="str">
        <f>HYPERLINK("https://ictv.global/ictv/proposals/2022.010P.Potyviridae_7ns.zip","2022.010P.Potyviridae_7ns.zip")</f>
        <v>2022.010P.Potyviridae_7ns.zip</v>
      </c>
    </row>
    <row r="15996" spans="1:21">
      <c r="A15996">
        <v>15995</v>
      </c>
      <c r="B15996" s="27" t="s">
        <v>1124</v>
      </c>
      <c r="D15996" s="27" t="s">
        <v>1859</v>
      </c>
      <c r="F15996" s="27" t="s">
        <v>1909</v>
      </c>
      <c r="H15996" s="27" t="s">
        <v>1961</v>
      </c>
      <c r="J15996" s="27" t="s">
        <v>1962</v>
      </c>
      <c r="L15996" s="27" t="s">
        <v>148</v>
      </c>
      <c r="N15996" s="27" t="s">
        <v>161</v>
      </c>
      <c r="P15996" s="27" t="s">
        <v>17626</v>
      </c>
      <c r="Q15996" s="26" t="str">
        <f>HYPERLINK("https://ictv.global/taxonomy/taxondetails?taxnode_id=202504639&amp;ictv_id=ICTV20084542","ICTV20084542")</f>
        <v>ICTV20084542</v>
      </c>
      <c r="R15996" t="s">
        <v>581</v>
      </c>
      <c r="S15996" t="s">
        <v>824</v>
      </c>
      <c r="T15996">
        <v>39</v>
      </c>
      <c r="U15996" s="26" t="str">
        <f>HYPERLINK("https://ictv.global/ictv/proposals/2023.013P.Potyviridae_rename_sp.zip","2023.013P.Potyviridae_rename_sp.zip")</f>
        <v>2023.013P.Potyviridae_rename_sp.zip</v>
      </c>
    </row>
    <row r="15997" spans="1:21">
      <c r="A15997">
        <v>15996</v>
      </c>
      <c r="B15997" s="27" t="s">
        <v>1124</v>
      </c>
      <c r="D15997" s="27" t="s">
        <v>1859</v>
      </c>
      <c r="F15997" s="27" t="s">
        <v>1909</v>
      </c>
      <c r="H15997" s="27" t="s">
        <v>1961</v>
      </c>
      <c r="J15997" s="27" t="s">
        <v>1962</v>
      </c>
      <c r="L15997" s="27" t="s">
        <v>148</v>
      </c>
      <c r="N15997" s="27" t="s">
        <v>161</v>
      </c>
      <c r="P15997" s="27" t="s">
        <v>17627</v>
      </c>
      <c r="Q15997" s="26" t="str">
        <f>HYPERLINK("https://ictv.global/taxonomy/taxondetails?taxnode_id=202504601&amp;ictv_id=ICTV19821302","ICTV19821302")</f>
        <v>ICTV19821302</v>
      </c>
      <c r="R15997" t="s">
        <v>581</v>
      </c>
      <c r="S15997" t="s">
        <v>824</v>
      </c>
      <c r="T15997">
        <v>39</v>
      </c>
      <c r="U15997" s="26" t="str">
        <f>HYPERLINK("https://ictv.global/ictv/proposals/2023.013P.Potyviridae_rename_sp.zip","2023.013P.Potyviridae_rename_sp.zip")</f>
        <v>2023.013P.Potyviridae_rename_sp.zip</v>
      </c>
    </row>
    <row r="15998" spans="1:21">
      <c r="A15998">
        <v>15997</v>
      </c>
      <c r="B15998" s="27" t="s">
        <v>1124</v>
      </c>
      <c r="D15998" s="27" t="s">
        <v>1859</v>
      </c>
      <c r="F15998" s="27" t="s">
        <v>1909</v>
      </c>
      <c r="H15998" s="27" t="s">
        <v>1961</v>
      </c>
      <c r="J15998" s="27" t="s">
        <v>1962</v>
      </c>
      <c r="L15998" s="27" t="s">
        <v>148</v>
      </c>
      <c r="N15998" s="27" t="s">
        <v>161</v>
      </c>
      <c r="P15998" s="27" t="s">
        <v>17628</v>
      </c>
      <c r="Q15998" s="26" t="str">
        <f>HYPERLINK("https://ictv.global/taxonomy/taxondetails?taxnode_id=202506676&amp;ictv_id=ICTV201856676","ICTV201856676")</f>
        <v>ICTV201856676</v>
      </c>
      <c r="R15998" t="s">
        <v>581</v>
      </c>
      <c r="S15998" t="s">
        <v>824</v>
      </c>
      <c r="T15998">
        <v>39</v>
      </c>
      <c r="U15998" s="26" t="str">
        <f>HYPERLINK("https://ictv.global/ictv/proposals/2023.013P.Potyviridae_rename_sp.zip","2023.013P.Potyviridae_rename_sp.zip")</f>
        <v>2023.013P.Potyviridae_rename_sp.zip</v>
      </c>
    </row>
    <row r="15999" spans="1:21">
      <c r="A15999">
        <v>15998</v>
      </c>
      <c r="B15999" s="27" t="s">
        <v>1124</v>
      </c>
      <c r="D15999" s="27" t="s">
        <v>1859</v>
      </c>
      <c r="F15999" s="27" t="s">
        <v>1909</v>
      </c>
      <c r="H15999" s="27" t="s">
        <v>1961</v>
      </c>
      <c r="J15999" s="27" t="s">
        <v>1962</v>
      </c>
      <c r="L15999" s="27" t="s">
        <v>148</v>
      </c>
      <c r="N15999" s="27" t="s">
        <v>161</v>
      </c>
      <c r="P15999" s="27" t="s">
        <v>17629</v>
      </c>
      <c r="Q15999" s="26" t="str">
        <f>HYPERLINK("https://ictv.global/taxonomy/taxondetails?taxnode_id=202509670&amp;ictv_id=ICTV202009670","ICTV202009670")</f>
        <v>ICTV202009670</v>
      </c>
      <c r="R15999" t="s">
        <v>581</v>
      </c>
      <c r="S15999" t="s">
        <v>824</v>
      </c>
      <c r="T15999">
        <v>39</v>
      </c>
      <c r="U15999" s="26" t="str">
        <f>HYPERLINK("https://ictv.global/ictv/proposals/2023.013P.Potyviridae_rename_sp.zip","2023.013P.Potyviridae_rename_sp.zip")</f>
        <v>2023.013P.Potyviridae_rename_sp.zip</v>
      </c>
    </row>
    <row r="16000" spans="1:21">
      <c r="A16000">
        <v>15999</v>
      </c>
      <c r="B16000" s="27" t="s">
        <v>1124</v>
      </c>
      <c r="D16000" s="27" t="s">
        <v>1859</v>
      </c>
      <c r="F16000" s="27" t="s">
        <v>1909</v>
      </c>
      <c r="H16000" s="27" t="s">
        <v>1961</v>
      </c>
      <c r="J16000" s="27" t="s">
        <v>1962</v>
      </c>
      <c r="L16000" s="27" t="s">
        <v>148</v>
      </c>
      <c r="N16000" s="27" t="s">
        <v>161</v>
      </c>
      <c r="P16000" s="27" t="s">
        <v>17630</v>
      </c>
      <c r="Q16000" s="26" t="str">
        <f>HYPERLINK("https://ictv.global/taxonomy/taxondetails?taxnode_id=202506675&amp;ictv_id=ICTV201856675","ICTV201856675")</f>
        <v>ICTV201856675</v>
      </c>
      <c r="R16000" t="s">
        <v>581</v>
      </c>
      <c r="S16000" t="s">
        <v>824</v>
      </c>
      <c r="T16000">
        <v>39</v>
      </c>
      <c r="U16000" s="26" t="str">
        <f>HYPERLINK("https://ictv.global/ictv/proposals/2023.013P.Potyviridae_rename_sp.zip","2023.013P.Potyviridae_rename_sp.zip")</f>
        <v>2023.013P.Potyviridae_rename_sp.zip</v>
      </c>
    </row>
    <row r="16001" spans="1:21">
      <c r="A16001">
        <v>16000</v>
      </c>
      <c r="B16001" s="27" t="s">
        <v>1124</v>
      </c>
      <c r="D16001" s="27" t="s">
        <v>1859</v>
      </c>
      <c r="F16001" s="27" t="s">
        <v>1909</v>
      </c>
      <c r="H16001" s="27" t="s">
        <v>1961</v>
      </c>
      <c r="J16001" s="27" t="s">
        <v>1962</v>
      </c>
      <c r="L16001" s="27" t="s">
        <v>148</v>
      </c>
      <c r="N16001" s="27" t="s">
        <v>161</v>
      </c>
      <c r="P16001" s="27" t="s">
        <v>20561</v>
      </c>
      <c r="Q16001" s="26" t="str">
        <f>HYPERLINK("https://ictv.global/taxonomy/taxondetails?taxnode_id=202520507&amp;ictv_id=ICTV202420507","ICTV202420507")</f>
        <v>ICTV202420507</v>
      </c>
      <c r="R16001" t="s">
        <v>581</v>
      </c>
      <c r="S16001" t="s">
        <v>823</v>
      </c>
      <c r="T16001">
        <v>40</v>
      </c>
      <c r="U16001" s="26" t="str">
        <f>HYPERLINK("https://ictv.global/ictv/proposals/2024.012P.Potyviridae_1ng_10nsp.zip","2024.012P.Potyviridae_1ng_10nsp.zip")</f>
        <v>2024.012P.Potyviridae_1ng_10nsp.zip</v>
      </c>
    </row>
    <row r="16002" spans="1:21">
      <c r="A16002">
        <v>16001</v>
      </c>
      <c r="B16002" s="27" t="s">
        <v>1124</v>
      </c>
      <c r="D16002" s="27" t="s">
        <v>1859</v>
      </c>
      <c r="F16002" s="27" t="s">
        <v>1909</v>
      </c>
      <c r="H16002" s="27" t="s">
        <v>1961</v>
      </c>
      <c r="J16002" s="27" t="s">
        <v>1962</v>
      </c>
      <c r="L16002" s="27" t="s">
        <v>148</v>
      </c>
      <c r="N16002" s="27" t="s">
        <v>161</v>
      </c>
      <c r="P16002" s="27" t="s">
        <v>17631</v>
      </c>
      <c r="Q16002" s="26" t="str">
        <f>HYPERLINK("https://ictv.global/taxonomy/taxondetails?taxnode_id=202506672&amp;ictv_id=ICTV201856672","ICTV201856672")</f>
        <v>ICTV201856672</v>
      </c>
      <c r="R16002" t="s">
        <v>581</v>
      </c>
      <c r="S16002" t="s">
        <v>824</v>
      </c>
      <c r="T16002">
        <v>39</v>
      </c>
      <c r="U16002" s="26" t="str">
        <f t="shared" ref="U16002:U16017" si="596">HYPERLINK("https://ictv.global/ictv/proposals/2023.013P.Potyviridae_rename_sp.zip","2023.013P.Potyviridae_rename_sp.zip")</f>
        <v>2023.013P.Potyviridae_rename_sp.zip</v>
      </c>
    </row>
    <row r="16003" spans="1:21">
      <c r="A16003">
        <v>16002</v>
      </c>
      <c r="B16003" s="27" t="s">
        <v>1124</v>
      </c>
      <c r="D16003" s="27" t="s">
        <v>1859</v>
      </c>
      <c r="F16003" s="27" t="s">
        <v>1909</v>
      </c>
      <c r="H16003" s="27" t="s">
        <v>1961</v>
      </c>
      <c r="J16003" s="27" t="s">
        <v>1962</v>
      </c>
      <c r="L16003" s="27" t="s">
        <v>148</v>
      </c>
      <c r="N16003" s="27" t="s">
        <v>161</v>
      </c>
      <c r="P16003" s="27" t="s">
        <v>17632</v>
      </c>
      <c r="Q16003" s="26" t="str">
        <f>HYPERLINK("https://ictv.global/taxonomy/taxondetails?taxnode_id=202504722&amp;ictv_id=ICTV19911826","ICTV19911826")</f>
        <v>ICTV19911826</v>
      </c>
      <c r="R16003" t="s">
        <v>581</v>
      </c>
      <c r="S16003" t="s">
        <v>824</v>
      </c>
      <c r="T16003">
        <v>39</v>
      </c>
      <c r="U16003" s="26" t="str">
        <f t="shared" si="596"/>
        <v>2023.013P.Potyviridae_rename_sp.zip</v>
      </c>
    </row>
    <row r="16004" spans="1:21">
      <c r="A16004">
        <v>16003</v>
      </c>
      <c r="B16004" s="27" t="s">
        <v>1124</v>
      </c>
      <c r="D16004" s="27" t="s">
        <v>1859</v>
      </c>
      <c r="F16004" s="27" t="s">
        <v>1909</v>
      </c>
      <c r="H16004" s="27" t="s">
        <v>1961</v>
      </c>
      <c r="J16004" s="27" t="s">
        <v>1962</v>
      </c>
      <c r="L16004" s="27" t="s">
        <v>148</v>
      </c>
      <c r="N16004" s="27" t="s">
        <v>161</v>
      </c>
      <c r="P16004" s="27" t="s">
        <v>17633</v>
      </c>
      <c r="Q16004" s="26" t="str">
        <f>HYPERLINK("https://ictv.global/taxonomy/taxondetails?taxnode_id=202504629&amp;ictv_id=ICTV20143336","ICTV20143336")</f>
        <v>ICTV20143336</v>
      </c>
      <c r="R16004" t="s">
        <v>581</v>
      </c>
      <c r="S16004" t="s">
        <v>824</v>
      </c>
      <c r="T16004">
        <v>39</v>
      </c>
      <c r="U16004" s="26" t="str">
        <f t="shared" si="596"/>
        <v>2023.013P.Potyviridae_rename_sp.zip</v>
      </c>
    </row>
    <row r="16005" spans="1:21">
      <c r="A16005">
        <v>16004</v>
      </c>
      <c r="B16005" s="27" t="s">
        <v>1124</v>
      </c>
      <c r="D16005" s="27" t="s">
        <v>1859</v>
      </c>
      <c r="F16005" s="27" t="s">
        <v>1909</v>
      </c>
      <c r="H16005" s="27" t="s">
        <v>1961</v>
      </c>
      <c r="J16005" s="27" t="s">
        <v>1962</v>
      </c>
      <c r="L16005" s="27" t="s">
        <v>148</v>
      </c>
      <c r="N16005" s="27" t="s">
        <v>161</v>
      </c>
      <c r="P16005" s="27" t="s">
        <v>17634</v>
      </c>
      <c r="Q16005" s="26" t="str">
        <f>HYPERLINK("https://ictv.global/taxonomy/taxondetails?taxnode_id=202504603&amp;ictv_id=ICTV20041750","ICTV20041750")</f>
        <v>ICTV20041750</v>
      </c>
      <c r="R16005" t="s">
        <v>581</v>
      </c>
      <c r="S16005" t="s">
        <v>824</v>
      </c>
      <c r="T16005">
        <v>39</v>
      </c>
      <c r="U16005" s="26" t="str">
        <f t="shared" si="596"/>
        <v>2023.013P.Potyviridae_rename_sp.zip</v>
      </c>
    </row>
    <row r="16006" spans="1:21">
      <c r="A16006">
        <v>16005</v>
      </c>
      <c r="B16006" s="27" t="s">
        <v>1124</v>
      </c>
      <c r="D16006" s="27" t="s">
        <v>1859</v>
      </c>
      <c r="F16006" s="27" t="s">
        <v>1909</v>
      </c>
      <c r="H16006" s="27" t="s">
        <v>1961</v>
      </c>
      <c r="J16006" s="27" t="s">
        <v>1962</v>
      </c>
      <c r="L16006" s="27" t="s">
        <v>148</v>
      </c>
      <c r="N16006" s="27" t="s">
        <v>161</v>
      </c>
      <c r="P16006" s="27" t="s">
        <v>17635</v>
      </c>
      <c r="Q16006" s="26" t="str">
        <f>HYPERLINK("https://ictv.global/taxonomy/taxondetails?taxnode_id=202504604&amp;ictv_id=ICTV20143340","ICTV20143340")</f>
        <v>ICTV20143340</v>
      </c>
      <c r="R16006" t="s">
        <v>581</v>
      </c>
      <c r="S16006" t="s">
        <v>824</v>
      </c>
      <c r="T16006">
        <v>39</v>
      </c>
      <c r="U16006" s="26" t="str">
        <f t="shared" si="596"/>
        <v>2023.013P.Potyviridae_rename_sp.zip</v>
      </c>
    </row>
    <row r="16007" spans="1:21">
      <c r="A16007">
        <v>16006</v>
      </c>
      <c r="B16007" s="27" t="s">
        <v>1124</v>
      </c>
      <c r="D16007" s="27" t="s">
        <v>1859</v>
      </c>
      <c r="F16007" s="27" t="s">
        <v>1909</v>
      </c>
      <c r="H16007" s="27" t="s">
        <v>1961</v>
      </c>
      <c r="J16007" s="27" t="s">
        <v>1962</v>
      </c>
      <c r="L16007" s="27" t="s">
        <v>148</v>
      </c>
      <c r="N16007" s="27" t="s">
        <v>161</v>
      </c>
      <c r="P16007" s="27" t="s">
        <v>17636</v>
      </c>
      <c r="Q16007" s="26" t="str">
        <f>HYPERLINK("https://ictv.global/taxonomy/taxondetails?taxnode_id=202504599&amp;ictv_id=ICTV19760760","ICTV19760760")</f>
        <v>ICTV19760760</v>
      </c>
      <c r="R16007" t="s">
        <v>581</v>
      </c>
      <c r="S16007" t="s">
        <v>824</v>
      </c>
      <c r="T16007">
        <v>39</v>
      </c>
      <c r="U16007" s="26" t="str">
        <f t="shared" si="596"/>
        <v>2023.013P.Potyviridae_rename_sp.zip</v>
      </c>
    </row>
    <row r="16008" spans="1:21">
      <c r="A16008">
        <v>16007</v>
      </c>
      <c r="B16008" s="27" t="s">
        <v>1124</v>
      </c>
      <c r="D16008" s="27" t="s">
        <v>1859</v>
      </c>
      <c r="F16008" s="27" t="s">
        <v>1909</v>
      </c>
      <c r="H16008" s="27" t="s">
        <v>1961</v>
      </c>
      <c r="J16008" s="27" t="s">
        <v>1962</v>
      </c>
      <c r="L16008" s="27" t="s">
        <v>148</v>
      </c>
      <c r="N16008" s="27" t="s">
        <v>161</v>
      </c>
      <c r="P16008" s="27" t="s">
        <v>17637</v>
      </c>
      <c r="Q16008" s="26" t="str">
        <f>HYPERLINK("https://ictv.global/taxonomy/taxondetails?taxnode_id=202504605&amp;ictv_id=ICTV20084513","ICTV20084513")</f>
        <v>ICTV20084513</v>
      </c>
      <c r="R16008" t="s">
        <v>581</v>
      </c>
      <c r="S16008" t="s">
        <v>824</v>
      </c>
      <c r="T16008">
        <v>39</v>
      </c>
      <c r="U16008" s="26" t="str">
        <f t="shared" si="596"/>
        <v>2023.013P.Potyviridae_rename_sp.zip</v>
      </c>
    </row>
    <row r="16009" spans="1:21">
      <c r="A16009">
        <v>16008</v>
      </c>
      <c r="B16009" s="27" t="s">
        <v>1124</v>
      </c>
      <c r="D16009" s="27" t="s">
        <v>1859</v>
      </c>
      <c r="F16009" s="27" t="s">
        <v>1909</v>
      </c>
      <c r="H16009" s="27" t="s">
        <v>1961</v>
      </c>
      <c r="J16009" s="27" t="s">
        <v>1962</v>
      </c>
      <c r="L16009" s="27" t="s">
        <v>148</v>
      </c>
      <c r="N16009" s="27" t="s">
        <v>161</v>
      </c>
      <c r="P16009" s="27" t="s">
        <v>17638</v>
      </c>
      <c r="Q16009" s="26" t="str">
        <f>HYPERLINK("https://ictv.global/taxonomy/taxondetails?taxnode_id=202504606&amp;ictv_id=ICTV19760763","ICTV19760763")</f>
        <v>ICTV19760763</v>
      </c>
      <c r="R16009" t="s">
        <v>581</v>
      </c>
      <c r="S16009" t="s">
        <v>824</v>
      </c>
      <c r="T16009">
        <v>39</v>
      </c>
      <c r="U16009" s="26" t="str">
        <f t="shared" si="596"/>
        <v>2023.013P.Potyviridae_rename_sp.zip</v>
      </c>
    </row>
    <row r="16010" spans="1:21">
      <c r="A16010">
        <v>16009</v>
      </c>
      <c r="B16010" s="27" t="s">
        <v>1124</v>
      </c>
      <c r="D16010" s="27" t="s">
        <v>1859</v>
      </c>
      <c r="F16010" s="27" t="s">
        <v>1909</v>
      </c>
      <c r="H16010" s="27" t="s">
        <v>1961</v>
      </c>
      <c r="J16010" s="27" t="s">
        <v>1962</v>
      </c>
      <c r="L16010" s="27" t="s">
        <v>148</v>
      </c>
      <c r="N16010" s="27" t="s">
        <v>161</v>
      </c>
      <c r="P16010" s="27" t="s">
        <v>17639</v>
      </c>
      <c r="Q16010" s="26" t="str">
        <f>HYPERLINK("https://ictv.global/taxonomy/taxondetails?taxnode_id=202504607&amp;ictv_id=ICTV19821305","ICTV19821305")</f>
        <v>ICTV19821305</v>
      </c>
      <c r="R16010" t="s">
        <v>581</v>
      </c>
      <c r="S16010" t="s">
        <v>824</v>
      </c>
      <c r="T16010">
        <v>39</v>
      </c>
      <c r="U16010" s="26" t="str">
        <f t="shared" si="596"/>
        <v>2023.013P.Potyviridae_rename_sp.zip</v>
      </c>
    </row>
    <row r="16011" spans="1:21">
      <c r="A16011">
        <v>16010</v>
      </c>
      <c r="B16011" s="27" t="s">
        <v>1124</v>
      </c>
      <c r="D16011" s="27" t="s">
        <v>1859</v>
      </c>
      <c r="F16011" s="27" t="s">
        <v>1909</v>
      </c>
      <c r="H16011" s="27" t="s">
        <v>1961</v>
      </c>
      <c r="J16011" s="27" t="s">
        <v>1962</v>
      </c>
      <c r="L16011" s="27" t="s">
        <v>148</v>
      </c>
      <c r="N16011" s="27" t="s">
        <v>161</v>
      </c>
      <c r="P16011" s="27" t="s">
        <v>17640</v>
      </c>
      <c r="Q16011" s="26" t="str">
        <f>HYPERLINK("https://ictv.global/taxonomy/taxondetails?taxnode_id=202507431&amp;ictv_id=ICTV201907431","ICTV201907431")</f>
        <v>ICTV201907431</v>
      </c>
      <c r="R16011" t="s">
        <v>581</v>
      </c>
      <c r="S16011" t="s">
        <v>824</v>
      </c>
      <c r="T16011">
        <v>39</v>
      </c>
      <c r="U16011" s="26" t="str">
        <f t="shared" si="596"/>
        <v>2023.013P.Potyviridae_rename_sp.zip</v>
      </c>
    </row>
    <row r="16012" spans="1:21">
      <c r="A16012">
        <v>16011</v>
      </c>
      <c r="B16012" s="27" t="s">
        <v>1124</v>
      </c>
      <c r="D16012" s="27" t="s">
        <v>1859</v>
      </c>
      <c r="F16012" s="27" t="s">
        <v>1909</v>
      </c>
      <c r="H16012" s="27" t="s">
        <v>1961</v>
      </c>
      <c r="J16012" s="27" t="s">
        <v>1962</v>
      </c>
      <c r="L16012" s="27" t="s">
        <v>148</v>
      </c>
      <c r="N16012" s="27" t="s">
        <v>161</v>
      </c>
      <c r="P16012" s="27" t="s">
        <v>17641</v>
      </c>
      <c r="Q16012" s="26" t="str">
        <f>HYPERLINK("https://ictv.global/taxonomy/taxondetails?taxnode_id=202504588&amp;ictv_id=ICTV19760757","ICTV19760757")</f>
        <v>ICTV19760757</v>
      </c>
      <c r="R16012" t="s">
        <v>581</v>
      </c>
      <c r="S16012" t="s">
        <v>824</v>
      </c>
      <c r="T16012">
        <v>39</v>
      </c>
      <c r="U16012" s="26" t="str">
        <f t="shared" si="596"/>
        <v>2023.013P.Potyviridae_rename_sp.zip</v>
      </c>
    </row>
    <row r="16013" spans="1:21">
      <c r="A16013">
        <v>16012</v>
      </c>
      <c r="B16013" s="27" t="s">
        <v>1124</v>
      </c>
      <c r="D16013" s="27" t="s">
        <v>1859</v>
      </c>
      <c r="F16013" s="27" t="s">
        <v>1909</v>
      </c>
      <c r="H16013" s="27" t="s">
        <v>1961</v>
      </c>
      <c r="J16013" s="27" t="s">
        <v>1962</v>
      </c>
      <c r="L16013" s="27" t="s">
        <v>148</v>
      </c>
      <c r="N16013" s="27" t="s">
        <v>161</v>
      </c>
      <c r="P16013" s="27" t="s">
        <v>17642</v>
      </c>
      <c r="Q16013" s="26" t="str">
        <f>HYPERLINK("https://ictv.global/taxonomy/taxondetails?taxnode_id=202507432&amp;ictv_id=ICTV201907432","ICTV201907432")</f>
        <v>ICTV201907432</v>
      </c>
      <c r="R16013" t="s">
        <v>581</v>
      </c>
      <c r="S16013" t="s">
        <v>824</v>
      </c>
      <c r="T16013">
        <v>39</v>
      </c>
      <c r="U16013" s="26" t="str">
        <f t="shared" si="596"/>
        <v>2023.013P.Potyviridae_rename_sp.zip</v>
      </c>
    </row>
    <row r="16014" spans="1:21">
      <c r="A16014">
        <v>16013</v>
      </c>
      <c r="B16014" s="27" t="s">
        <v>1124</v>
      </c>
      <c r="D16014" s="27" t="s">
        <v>1859</v>
      </c>
      <c r="F16014" s="27" t="s">
        <v>1909</v>
      </c>
      <c r="H16014" s="27" t="s">
        <v>1961</v>
      </c>
      <c r="J16014" s="27" t="s">
        <v>1962</v>
      </c>
      <c r="L16014" s="27" t="s">
        <v>148</v>
      </c>
      <c r="N16014" s="27" t="s">
        <v>161</v>
      </c>
      <c r="P16014" s="27" t="s">
        <v>17643</v>
      </c>
      <c r="Q16014" s="26" t="str">
        <f>HYPERLINK("https://ictv.global/taxonomy/taxondetails?taxnode_id=202504688&amp;ictv_id=ICTV20084588","ICTV20084588")</f>
        <v>ICTV20084588</v>
      </c>
      <c r="R16014" t="s">
        <v>581</v>
      </c>
      <c r="S16014" t="s">
        <v>824</v>
      </c>
      <c r="T16014">
        <v>39</v>
      </c>
      <c r="U16014" s="26" t="str">
        <f t="shared" si="596"/>
        <v>2023.013P.Potyviridae_rename_sp.zip</v>
      </c>
    </row>
    <row r="16015" spans="1:21">
      <c r="A16015">
        <v>16014</v>
      </c>
      <c r="B16015" s="27" t="s">
        <v>1124</v>
      </c>
      <c r="D16015" s="27" t="s">
        <v>1859</v>
      </c>
      <c r="F16015" s="27" t="s">
        <v>1909</v>
      </c>
      <c r="H16015" s="27" t="s">
        <v>1961</v>
      </c>
      <c r="J16015" s="27" t="s">
        <v>1962</v>
      </c>
      <c r="L16015" s="27" t="s">
        <v>148</v>
      </c>
      <c r="N16015" s="27" t="s">
        <v>161</v>
      </c>
      <c r="P16015" s="27" t="s">
        <v>17644</v>
      </c>
      <c r="Q16015" s="26" t="str">
        <f>HYPERLINK("https://ictv.global/taxonomy/taxondetails?taxnode_id=202504698&amp;ictv_id=ICTV20143339","ICTV20143339")</f>
        <v>ICTV20143339</v>
      </c>
      <c r="R16015" t="s">
        <v>581</v>
      </c>
      <c r="S16015" t="s">
        <v>824</v>
      </c>
      <c r="T16015">
        <v>39</v>
      </c>
      <c r="U16015" s="26" t="str">
        <f t="shared" si="596"/>
        <v>2023.013P.Potyviridae_rename_sp.zip</v>
      </c>
    </row>
    <row r="16016" spans="1:21">
      <c r="A16016">
        <v>16015</v>
      </c>
      <c r="B16016" s="27" t="s">
        <v>1124</v>
      </c>
      <c r="D16016" s="27" t="s">
        <v>1859</v>
      </c>
      <c r="F16016" s="27" t="s">
        <v>1909</v>
      </c>
      <c r="H16016" s="27" t="s">
        <v>1961</v>
      </c>
      <c r="J16016" s="27" t="s">
        <v>1962</v>
      </c>
      <c r="L16016" s="27" t="s">
        <v>148</v>
      </c>
      <c r="N16016" s="27" t="s">
        <v>161</v>
      </c>
      <c r="P16016" s="27" t="s">
        <v>17645</v>
      </c>
      <c r="Q16016" s="26" t="str">
        <f>HYPERLINK("https://ictv.global/taxonomy/taxondetails?taxnode_id=202504567&amp;ictv_id=ICTV20084485","ICTV20084485")</f>
        <v>ICTV20084485</v>
      </c>
      <c r="R16016" t="s">
        <v>581</v>
      </c>
      <c r="S16016" t="s">
        <v>824</v>
      </c>
      <c r="T16016">
        <v>39</v>
      </c>
      <c r="U16016" s="26" t="str">
        <f t="shared" si="596"/>
        <v>2023.013P.Potyviridae_rename_sp.zip</v>
      </c>
    </row>
    <row r="16017" spans="1:21">
      <c r="A16017">
        <v>16016</v>
      </c>
      <c r="B16017" s="27" t="s">
        <v>1124</v>
      </c>
      <c r="D16017" s="27" t="s">
        <v>1859</v>
      </c>
      <c r="F16017" s="27" t="s">
        <v>1909</v>
      </c>
      <c r="H16017" s="27" t="s">
        <v>1961</v>
      </c>
      <c r="J16017" s="27" t="s">
        <v>1962</v>
      </c>
      <c r="L16017" s="27" t="s">
        <v>148</v>
      </c>
      <c r="N16017" s="27" t="s">
        <v>161</v>
      </c>
      <c r="P16017" s="27" t="s">
        <v>17646</v>
      </c>
      <c r="Q16017" s="26" t="str">
        <f>HYPERLINK("https://ictv.global/taxonomy/taxondetails?taxnode_id=202504612&amp;ictv_id=ICTV20084519","ICTV20084519")</f>
        <v>ICTV20084519</v>
      </c>
      <c r="R16017" t="s">
        <v>581</v>
      </c>
      <c r="S16017" t="s">
        <v>824</v>
      </c>
      <c r="T16017">
        <v>39</v>
      </c>
      <c r="U16017" s="26" t="str">
        <f t="shared" si="596"/>
        <v>2023.013P.Potyviridae_rename_sp.zip</v>
      </c>
    </row>
    <row r="16018" spans="1:21">
      <c r="A16018">
        <v>16017</v>
      </c>
      <c r="B16018" s="27" t="s">
        <v>1124</v>
      </c>
      <c r="D16018" s="27" t="s">
        <v>1859</v>
      </c>
      <c r="F16018" s="27" t="s">
        <v>1909</v>
      </c>
      <c r="H16018" s="27" t="s">
        <v>1961</v>
      </c>
      <c r="J16018" s="27" t="s">
        <v>1962</v>
      </c>
      <c r="L16018" s="27" t="s">
        <v>148</v>
      </c>
      <c r="N16018" s="27" t="s">
        <v>161</v>
      </c>
      <c r="P16018" s="27" t="s">
        <v>10680</v>
      </c>
      <c r="Q16018" s="26" t="str">
        <f>HYPERLINK("https://ictv.global/taxonomy/taxondetails?taxnode_id=202513838&amp;ictv_id=ICTV202113838","ICTV202113838")</f>
        <v>ICTV202113838</v>
      </c>
      <c r="R16018" t="s">
        <v>581</v>
      </c>
      <c r="S16018" t="s">
        <v>823</v>
      </c>
      <c r="T16018">
        <v>37</v>
      </c>
      <c r="U16018" s="26" t="str">
        <f>HYPERLINK("https://ictv.global/ictv/proposals/2021.006P.R.Potyvirus_5ns_3as.zip","2021.006P.R.Potyvirus_5ns_3as.zip")</f>
        <v>2021.006P.R.Potyvirus_5ns_3as.zip</v>
      </c>
    </row>
    <row r="16019" spans="1:21">
      <c r="A16019">
        <v>16018</v>
      </c>
      <c r="B16019" s="27" t="s">
        <v>1124</v>
      </c>
      <c r="D16019" s="27" t="s">
        <v>1859</v>
      </c>
      <c r="F16019" s="27" t="s">
        <v>1909</v>
      </c>
      <c r="H16019" s="27" t="s">
        <v>1961</v>
      </c>
      <c r="J16019" s="27" t="s">
        <v>1962</v>
      </c>
      <c r="L16019" s="27" t="s">
        <v>148</v>
      </c>
      <c r="N16019" s="27" t="s">
        <v>161</v>
      </c>
      <c r="P16019" s="27" t="s">
        <v>17647</v>
      </c>
      <c r="Q16019" s="26" t="str">
        <f>HYPERLINK("https://ictv.global/taxonomy/taxondetails?taxnode_id=202504613&amp;ictv_id=ICTV20094569","ICTV20094569")</f>
        <v>ICTV20094569</v>
      </c>
      <c r="R16019" t="s">
        <v>581</v>
      </c>
      <c r="S16019" t="s">
        <v>824</v>
      </c>
      <c r="T16019">
        <v>39</v>
      </c>
      <c r="U16019" s="26" t="str">
        <f>HYPERLINK("https://ictv.global/ictv/proposals/2023.013P.Potyviridae_rename_sp.zip","2023.013P.Potyviridae_rename_sp.zip")</f>
        <v>2023.013P.Potyviridae_rename_sp.zip</v>
      </c>
    </row>
    <row r="16020" spans="1:21">
      <c r="A16020">
        <v>16019</v>
      </c>
      <c r="B16020" s="27" t="s">
        <v>1124</v>
      </c>
      <c r="D16020" s="27" t="s">
        <v>1859</v>
      </c>
      <c r="F16020" s="27" t="s">
        <v>1909</v>
      </c>
      <c r="H16020" s="27" t="s">
        <v>1961</v>
      </c>
      <c r="J16020" s="27" t="s">
        <v>1962</v>
      </c>
      <c r="L16020" s="27" t="s">
        <v>148</v>
      </c>
      <c r="N16020" s="27" t="s">
        <v>161</v>
      </c>
      <c r="P16020" s="27" t="s">
        <v>17648</v>
      </c>
      <c r="Q16020" s="26" t="str">
        <f>HYPERLINK("https://ictv.global/taxonomy/taxondetails?taxnode_id=202504614&amp;ictv_id=ICTV20084521","ICTV20084521")</f>
        <v>ICTV20084521</v>
      </c>
      <c r="R16020" t="s">
        <v>581</v>
      </c>
      <c r="S16020" t="s">
        <v>824</v>
      </c>
      <c r="T16020">
        <v>39</v>
      </c>
      <c r="U16020" s="26" t="str">
        <f>HYPERLINK("https://ictv.global/ictv/proposals/2023.013P.Potyviridae_rename_sp.zip","2023.013P.Potyviridae_rename_sp.zip")</f>
        <v>2023.013P.Potyviridae_rename_sp.zip</v>
      </c>
    </row>
    <row r="16021" spans="1:21">
      <c r="A16021">
        <v>16020</v>
      </c>
      <c r="B16021" s="27" t="s">
        <v>1124</v>
      </c>
      <c r="D16021" s="27" t="s">
        <v>1859</v>
      </c>
      <c r="F16021" s="27" t="s">
        <v>1909</v>
      </c>
      <c r="H16021" s="27" t="s">
        <v>1961</v>
      </c>
      <c r="J16021" s="27" t="s">
        <v>1962</v>
      </c>
      <c r="L16021" s="27" t="s">
        <v>148</v>
      </c>
      <c r="N16021" s="27" t="s">
        <v>161</v>
      </c>
      <c r="P16021" s="27" t="s">
        <v>20562</v>
      </c>
      <c r="Q16021" s="26" t="str">
        <f>HYPERLINK("https://ictv.global/taxonomy/taxondetails?taxnode_id=202520508&amp;ictv_id=ICTV202420508","ICTV202420508")</f>
        <v>ICTV202420508</v>
      </c>
      <c r="R16021" t="s">
        <v>581</v>
      </c>
      <c r="S16021" t="s">
        <v>823</v>
      </c>
      <c r="T16021">
        <v>40</v>
      </c>
      <c r="U16021" s="26" t="str">
        <f>HYPERLINK("https://ictv.global/ictv/proposals/2024.012P.Potyviridae_1ng_10nsp.zip","2024.012P.Potyviridae_1ng_10nsp.zip")</f>
        <v>2024.012P.Potyviridae_1ng_10nsp.zip</v>
      </c>
    </row>
    <row r="16022" spans="1:21">
      <c r="A16022">
        <v>16021</v>
      </c>
      <c r="B16022" s="27" t="s">
        <v>1124</v>
      </c>
      <c r="D16022" s="27" t="s">
        <v>1859</v>
      </c>
      <c r="F16022" s="27" t="s">
        <v>1909</v>
      </c>
      <c r="H16022" s="27" t="s">
        <v>1961</v>
      </c>
      <c r="J16022" s="27" t="s">
        <v>1962</v>
      </c>
      <c r="L16022" s="27" t="s">
        <v>148</v>
      </c>
      <c r="N16022" s="27" t="s">
        <v>161</v>
      </c>
      <c r="P16022" s="27" t="s">
        <v>17649</v>
      </c>
      <c r="Q16022" s="26" t="str">
        <f>HYPERLINK("https://ictv.global/taxonomy/taxondetails?taxnode_id=202504690&amp;ictv_id=ICTV20074409","ICTV20074409")</f>
        <v>ICTV20074409</v>
      </c>
      <c r="R16022" t="s">
        <v>581</v>
      </c>
      <c r="S16022" t="s">
        <v>824</v>
      </c>
      <c r="T16022">
        <v>39</v>
      </c>
      <c r="U16022" s="26" t="str">
        <f>HYPERLINK("https://ictv.global/ictv/proposals/2023.013P.Potyviridae_rename_sp.zip","2023.013P.Potyviridae_rename_sp.zip")</f>
        <v>2023.013P.Potyviridae_rename_sp.zip</v>
      </c>
    </row>
    <row r="16023" spans="1:21">
      <c r="A16023">
        <v>16022</v>
      </c>
      <c r="B16023" s="27" t="s">
        <v>1124</v>
      </c>
      <c r="D16023" s="27" t="s">
        <v>1859</v>
      </c>
      <c r="F16023" s="27" t="s">
        <v>1909</v>
      </c>
      <c r="H16023" s="27" t="s">
        <v>1961</v>
      </c>
      <c r="J16023" s="27" t="s">
        <v>1962</v>
      </c>
      <c r="L16023" s="27" t="s">
        <v>148</v>
      </c>
      <c r="N16023" s="27" t="s">
        <v>161</v>
      </c>
      <c r="P16023" s="27" t="s">
        <v>10681</v>
      </c>
      <c r="Q16023" s="26" t="str">
        <f>HYPERLINK("https://ictv.global/taxonomy/taxondetails?taxnode_id=202515111&amp;ictv_id=ICTV202215111","ICTV202215111")</f>
        <v>ICTV202215111</v>
      </c>
      <c r="R16023" t="s">
        <v>581</v>
      </c>
      <c r="S16023" t="s">
        <v>823</v>
      </c>
      <c r="T16023">
        <v>38</v>
      </c>
      <c r="U16023" s="26" t="str">
        <f>HYPERLINK("https://ictv.global/ictv/proposals/2022.010P.Potyviridae_7ns.zip","2022.010P.Potyviridae_7ns.zip")</f>
        <v>2022.010P.Potyviridae_7ns.zip</v>
      </c>
    </row>
    <row r="16024" spans="1:21">
      <c r="A16024">
        <v>16023</v>
      </c>
      <c r="B16024" s="27" t="s">
        <v>1124</v>
      </c>
      <c r="D16024" s="27" t="s">
        <v>1859</v>
      </c>
      <c r="F16024" s="27" t="s">
        <v>1909</v>
      </c>
      <c r="H16024" s="27" t="s">
        <v>1961</v>
      </c>
      <c r="J16024" s="27" t="s">
        <v>1962</v>
      </c>
      <c r="L16024" s="27" t="s">
        <v>148</v>
      </c>
      <c r="N16024" s="27" t="s">
        <v>161</v>
      </c>
      <c r="P16024" s="27" t="s">
        <v>17650</v>
      </c>
      <c r="Q16024" s="26" t="str">
        <f>HYPERLINK("https://ictv.global/taxonomy/taxondetails?taxnode_id=202504615&amp;ictv_id=ICTV19911777","ICTV19911777")</f>
        <v>ICTV19911777</v>
      </c>
      <c r="R16024" t="s">
        <v>581</v>
      </c>
      <c r="S16024" t="s">
        <v>824</v>
      </c>
      <c r="T16024">
        <v>39</v>
      </c>
      <c r="U16024" s="26" t="str">
        <f t="shared" ref="U16024:U16034" si="597">HYPERLINK("https://ictv.global/ictv/proposals/2023.013P.Potyviridae_rename_sp.zip","2023.013P.Potyviridae_rename_sp.zip")</f>
        <v>2023.013P.Potyviridae_rename_sp.zip</v>
      </c>
    </row>
    <row r="16025" spans="1:21">
      <c r="A16025">
        <v>16024</v>
      </c>
      <c r="B16025" s="27" t="s">
        <v>1124</v>
      </c>
      <c r="D16025" s="27" t="s">
        <v>1859</v>
      </c>
      <c r="F16025" s="27" t="s">
        <v>1909</v>
      </c>
      <c r="H16025" s="27" t="s">
        <v>1961</v>
      </c>
      <c r="J16025" s="27" t="s">
        <v>1962</v>
      </c>
      <c r="L16025" s="27" t="s">
        <v>148</v>
      </c>
      <c r="N16025" s="27" t="s">
        <v>161</v>
      </c>
      <c r="P16025" s="27" t="s">
        <v>17651</v>
      </c>
      <c r="Q16025" s="26" t="str">
        <f>HYPERLINK("https://ictv.global/taxonomy/taxondetails?taxnode_id=202504679&amp;ictv_id=ICTV19710260","ICTV19710260")</f>
        <v>ICTV19710260</v>
      </c>
      <c r="R16025" t="s">
        <v>581</v>
      </c>
      <c r="S16025" t="s">
        <v>824</v>
      </c>
      <c r="T16025">
        <v>39</v>
      </c>
      <c r="U16025" s="26" t="str">
        <f t="shared" si="597"/>
        <v>2023.013P.Potyviridae_rename_sp.zip</v>
      </c>
    </row>
    <row r="16026" spans="1:21">
      <c r="A16026">
        <v>16025</v>
      </c>
      <c r="B16026" s="27" t="s">
        <v>1124</v>
      </c>
      <c r="D16026" s="27" t="s">
        <v>1859</v>
      </c>
      <c r="F16026" s="27" t="s">
        <v>1909</v>
      </c>
      <c r="H16026" s="27" t="s">
        <v>1961</v>
      </c>
      <c r="J16026" s="27" t="s">
        <v>1962</v>
      </c>
      <c r="L16026" s="27" t="s">
        <v>148</v>
      </c>
      <c r="N16026" s="27" t="s">
        <v>161</v>
      </c>
      <c r="P16026" s="27" t="s">
        <v>17652</v>
      </c>
      <c r="Q16026" s="26" t="str">
        <f>HYPERLINK("https://ictv.global/taxonomy/taxondetails?taxnode_id=202507434&amp;ictv_id=ICTV201907434","ICTV201907434")</f>
        <v>ICTV201907434</v>
      </c>
      <c r="R16026" t="s">
        <v>581</v>
      </c>
      <c r="S16026" t="s">
        <v>824</v>
      </c>
      <c r="T16026">
        <v>39</v>
      </c>
      <c r="U16026" s="26" t="str">
        <f t="shared" si="597"/>
        <v>2023.013P.Potyviridae_rename_sp.zip</v>
      </c>
    </row>
    <row r="16027" spans="1:21">
      <c r="A16027">
        <v>16026</v>
      </c>
      <c r="B16027" s="27" t="s">
        <v>1124</v>
      </c>
      <c r="D16027" s="27" t="s">
        <v>1859</v>
      </c>
      <c r="F16027" s="27" t="s">
        <v>1909</v>
      </c>
      <c r="H16027" s="27" t="s">
        <v>1961</v>
      </c>
      <c r="J16027" s="27" t="s">
        <v>1962</v>
      </c>
      <c r="L16027" s="27" t="s">
        <v>148</v>
      </c>
      <c r="N16027" s="27" t="s">
        <v>161</v>
      </c>
      <c r="P16027" s="27" t="s">
        <v>17653</v>
      </c>
      <c r="Q16027" s="26" t="str">
        <f>HYPERLINK("https://ictv.global/taxonomy/taxondetails?taxnode_id=202504616&amp;ictv_id=ICTV20143335","ICTV20143335")</f>
        <v>ICTV20143335</v>
      </c>
      <c r="R16027" t="s">
        <v>581</v>
      </c>
      <c r="S16027" t="s">
        <v>824</v>
      </c>
      <c r="T16027">
        <v>39</v>
      </c>
      <c r="U16027" s="26" t="str">
        <f t="shared" si="597"/>
        <v>2023.013P.Potyviridae_rename_sp.zip</v>
      </c>
    </row>
    <row r="16028" spans="1:21">
      <c r="A16028">
        <v>16027</v>
      </c>
      <c r="B16028" s="27" t="s">
        <v>1124</v>
      </c>
      <c r="D16028" s="27" t="s">
        <v>1859</v>
      </c>
      <c r="F16028" s="27" t="s">
        <v>1909</v>
      </c>
      <c r="H16028" s="27" t="s">
        <v>1961</v>
      </c>
      <c r="J16028" s="27" t="s">
        <v>1962</v>
      </c>
      <c r="L16028" s="27" t="s">
        <v>148</v>
      </c>
      <c r="N16028" s="27" t="s">
        <v>161</v>
      </c>
      <c r="P16028" s="27" t="s">
        <v>17654</v>
      </c>
      <c r="Q16028" s="26" t="str">
        <f>HYPERLINK("https://ictv.global/taxonomy/taxondetails?taxnode_id=202504627&amp;ictv_id=ICTV19911786","ICTV19911786")</f>
        <v>ICTV19911786</v>
      </c>
      <c r="R16028" t="s">
        <v>581</v>
      </c>
      <c r="S16028" t="s">
        <v>824</v>
      </c>
      <c r="T16028">
        <v>39</v>
      </c>
      <c r="U16028" s="26" t="str">
        <f t="shared" si="597"/>
        <v>2023.013P.Potyviridae_rename_sp.zip</v>
      </c>
    </row>
    <row r="16029" spans="1:21">
      <c r="A16029">
        <v>16028</v>
      </c>
      <c r="B16029" s="27" t="s">
        <v>1124</v>
      </c>
      <c r="D16029" s="27" t="s">
        <v>1859</v>
      </c>
      <c r="F16029" s="27" t="s">
        <v>1909</v>
      </c>
      <c r="H16029" s="27" t="s">
        <v>1961</v>
      </c>
      <c r="J16029" s="27" t="s">
        <v>1962</v>
      </c>
      <c r="L16029" s="27" t="s">
        <v>148</v>
      </c>
      <c r="N16029" s="27" t="s">
        <v>161</v>
      </c>
      <c r="P16029" s="27" t="s">
        <v>17655</v>
      </c>
      <c r="Q16029" s="26" t="str">
        <f>HYPERLINK("https://ictv.global/taxonomy/taxondetails?taxnode_id=202504617&amp;ictv_id=ICTV20094574","ICTV20094574")</f>
        <v>ICTV20094574</v>
      </c>
      <c r="R16029" t="s">
        <v>581</v>
      </c>
      <c r="S16029" t="s">
        <v>824</v>
      </c>
      <c r="T16029">
        <v>39</v>
      </c>
      <c r="U16029" s="26" t="str">
        <f t="shared" si="597"/>
        <v>2023.013P.Potyviridae_rename_sp.zip</v>
      </c>
    </row>
    <row r="16030" spans="1:21">
      <c r="A16030">
        <v>16029</v>
      </c>
      <c r="B16030" s="27" t="s">
        <v>1124</v>
      </c>
      <c r="D16030" s="27" t="s">
        <v>1859</v>
      </c>
      <c r="F16030" s="27" t="s">
        <v>1909</v>
      </c>
      <c r="H16030" s="27" t="s">
        <v>1961</v>
      </c>
      <c r="J16030" s="27" t="s">
        <v>1962</v>
      </c>
      <c r="L16030" s="27" t="s">
        <v>148</v>
      </c>
      <c r="N16030" s="27" t="s">
        <v>161</v>
      </c>
      <c r="P16030" s="27" t="s">
        <v>17656</v>
      </c>
      <c r="Q16030" s="26" t="str">
        <f>HYPERLINK("https://ictv.global/taxonomy/taxondetails?taxnode_id=202505923&amp;ictv_id=ICTV20175923","ICTV20175923")</f>
        <v>ICTV20175923</v>
      </c>
      <c r="R16030" t="s">
        <v>581</v>
      </c>
      <c r="S16030" t="s">
        <v>824</v>
      </c>
      <c r="T16030">
        <v>39</v>
      </c>
      <c r="U16030" s="26" t="str">
        <f t="shared" si="597"/>
        <v>2023.013P.Potyviridae_rename_sp.zip</v>
      </c>
    </row>
    <row r="16031" spans="1:21">
      <c r="A16031">
        <v>16030</v>
      </c>
      <c r="B16031" s="27" t="s">
        <v>1124</v>
      </c>
      <c r="D16031" s="27" t="s">
        <v>1859</v>
      </c>
      <c r="F16031" s="27" t="s">
        <v>1909</v>
      </c>
      <c r="H16031" s="27" t="s">
        <v>1961</v>
      </c>
      <c r="J16031" s="27" t="s">
        <v>1962</v>
      </c>
      <c r="L16031" s="27" t="s">
        <v>148</v>
      </c>
      <c r="N16031" s="27" t="s">
        <v>161</v>
      </c>
      <c r="P16031" s="27" t="s">
        <v>17657</v>
      </c>
      <c r="Q16031" s="26" t="str">
        <f>HYPERLINK("https://ictv.global/taxonomy/taxondetails?taxnode_id=202504682&amp;ictv_id=ICTV20115436","ICTV20115436")</f>
        <v>ICTV20115436</v>
      </c>
      <c r="R16031" t="s">
        <v>581</v>
      </c>
      <c r="S16031" t="s">
        <v>824</v>
      </c>
      <c r="T16031">
        <v>39</v>
      </c>
      <c r="U16031" s="26" t="str">
        <f t="shared" si="597"/>
        <v>2023.013P.Potyviridae_rename_sp.zip</v>
      </c>
    </row>
    <row r="16032" spans="1:21">
      <c r="A16032">
        <v>16031</v>
      </c>
      <c r="B16032" s="27" t="s">
        <v>1124</v>
      </c>
      <c r="D16032" s="27" t="s">
        <v>1859</v>
      </c>
      <c r="F16032" s="27" t="s">
        <v>1909</v>
      </c>
      <c r="H16032" s="27" t="s">
        <v>1961</v>
      </c>
      <c r="J16032" s="27" t="s">
        <v>1962</v>
      </c>
      <c r="L16032" s="27" t="s">
        <v>148</v>
      </c>
      <c r="N16032" s="27" t="s">
        <v>161</v>
      </c>
      <c r="P16032" s="27" t="s">
        <v>17658</v>
      </c>
      <c r="Q16032" s="26" t="str">
        <f>HYPERLINK("https://ictv.global/taxonomy/taxondetails?taxnode_id=202504683&amp;ictv_id=ICTV20153975","ICTV20153975")</f>
        <v>ICTV20153975</v>
      </c>
      <c r="R16032" t="s">
        <v>581</v>
      </c>
      <c r="S16032" t="s">
        <v>824</v>
      </c>
      <c r="T16032">
        <v>39</v>
      </c>
      <c r="U16032" s="26" t="str">
        <f t="shared" si="597"/>
        <v>2023.013P.Potyviridae_rename_sp.zip</v>
      </c>
    </row>
    <row r="16033" spans="1:21">
      <c r="A16033">
        <v>16032</v>
      </c>
      <c r="B16033" s="27" t="s">
        <v>1124</v>
      </c>
      <c r="D16033" s="27" t="s">
        <v>1859</v>
      </c>
      <c r="F16033" s="27" t="s">
        <v>1909</v>
      </c>
      <c r="H16033" s="27" t="s">
        <v>1961</v>
      </c>
      <c r="J16033" s="27" t="s">
        <v>1962</v>
      </c>
      <c r="L16033" s="27" t="s">
        <v>148</v>
      </c>
      <c r="N16033" s="27" t="s">
        <v>161</v>
      </c>
      <c r="P16033" s="27" t="s">
        <v>17659</v>
      </c>
      <c r="Q16033" s="26" t="str">
        <f>HYPERLINK("https://ictv.global/taxonomy/taxondetails?taxnode_id=202504684&amp;ictv_id=ICTV20041809","ICTV20041809")</f>
        <v>ICTV20041809</v>
      </c>
      <c r="R16033" t="s">
        <v>581</v>
      </c>
      <c r="S16033" t="s">
        <v>824</v>
      </c>
      <c r="T16033">
        <v>39</v>
      </c>
      <c r="U16033" s="26" t="str">
        <f t="shared" si="597"/>
        <v>2023.013P.Potyviridae_rename_sp.zip</v>
      </c>
    </row>
    <row r="16034" spans="1:21">
      <c r="A16034">
        <v>16033</v>
      </c>
      <c r="B16034" s="27" t="s">
        <v>1124</v>
      </c>
      <c r="D16034" s="27" t="s">
        <v>1859</v>
      </c>
      <c r="F16034" s="27" t="s">
        <v>1909</v>
      </c>
      <c r="H16034" s="27" t="s">
        <v>1961</v>
      </c>
      <c r="J16034" s="27" t="s">
        <v>1962</v>
      </c>
      <c r="L16034" s="27" t="s">
        <v>148</v>
      </c>
      <c r="N16034" s="27" t="s">
        <v>161</v>
      </c>
      <c r="P16034" s="27" t="s">
        <v>17660</v>
      </c>
      <c r="Q16034" s="26" t="str">
        <f>HYPERLINK("https://ictv.global/taxonomy/taxondetails?taxnode_id=202504618&amp;ictv_id=ICTV19710256","ICTV19710256")</f>
        <v>ICTV19710256</v>
      </c>
      <c r="R16034" t="s">
        <v>581</v>
      </c>
      <c r="S16034" t="s">
        <v>824</v>
      </c>
      <c r="T16034">
        <v>39</v>
      </c>
      <c r="U16034" s="26" t="str">
        <f t="shared" si="597"/>
        <v>2023.013P.Potyviridae_rename_sp.zip</v>
      </c>
    </row>
    <row r="16035" spans="1:21">
      <c r="A16035">
        <v>16034</v>
      </c>
      <c r="B16035" s="27" t="s">
        <v>1124</v>
      </c>
      <c r="D16035" s="27" t="s">
        <v>1859</v>
      </c>
      <c r="F16035" s="27" t="s">
        <v>1909</v>
      </c>
      <c r="H16035" s="27" t="s">
        <v>1961</v>
      </c>
      <c r="J16035" s="27" t="s">
        <v>1962</v>
      </c>
      <c r="L16035" s="27" t="s">
        <v>148</v>
      </c>
      <c r="N16035" s="27" t="s">
        <v>161</v>
      </c>
      <c r="P16035" s="27" t="s">
        <v>21587</v>
      </c>
      <c r="Q16035" s="26" t="str">
        <f>HYPERLINK("https://ictv.global/taxonomy/taxondetails?taxnode_id=202522453&amp;ictv_id=ICTV202522453","ICTV202522453")</f>
        <v>ICTV202522453</v>
      </c>
      <c r="R16035" t="s">
        <v>581</v>
      </c>
      <c r="S16035" t="s">
        <v>823</v>
      </c>
      <c r="T16035">
        <v>41</v>
      </c>
      <c r="U16035" s="26" t="str">
        <f>HYPERLINK("https://ictv.global/ictv/proposals/2025.009P.Potyviridae_5nsp.zip","2025.009P.Potyviridae_5nsp.zip")</f>
        <v>2025.009P.Potyviridae_5nsp.zip</v>
      </c>
    </row>
    <row r="16036" spans="1:21">
      <c r="A16036">
        <v>16035</v>
      </c>
      <c r="B16036" s="27" t="s">
        <v>1124</v>
      </c>
      <c r="D16036" s="27" t="s">
        <v>1859</v>
      </c>
      <c r="F16036" s="27" t="s">
        <v>1909</v>
      </c>
      <c r="H16036" s="27" t="s">
        <v>1961</v>
      </c>
      <c r="J16036" s="27" t="s">
        <v>1962</v>
      </c>
      <c r="L16036" s="27" t="s">
        <v>148</v>
      </c>
      <c r="N16036" s="27" t="s">
        <v>161</v>
      </c>
      <c r="P16036" s="27" t="s">
        <v>17661</v>
      </c>
      <c r="Q16036" s="26" t="str">
        <f>HYPERLINK("https://ictv.global/taxonomy/taxondetails?taxnode_id=202504619&amp;ictv_id=ICTV20074356","ICTV20074356")</f>
        <v>ICTV20074356</v>
      </c>
      <c r="R16036" t="s">
        <v>581</v>
      </c>
      <c r="S16036" t="s">
        <v>824</v>
      </c>
      <c r="T16036">
        <v>39</v>
      </c>
      <c r="U16036" s="26" t="str">
        <f t="shared" ref="U16036:U16054" si="598">HYPERLINK("https://ictv.global/ictv/proposals/2023.013P.Potyviridae_rename_sp.zip","2023.013P.Potyviridae_rename_sp.zip")</f>
        <v>2023.013P.Potyviridae_rename_sp.zip</v>
      </c>
    </row>
    <row r="16037" spans="1:21">
      <c r="A16037">
        <v>16036</v>
      </c>
      <c r="B16037" s="27" t="s">
        <v>1124</v>
      </c>
      <c r="D16037" s="27" t="s">
        <v>1859</v>
      </c>
      <c r="F16037" s="27" t="s">
        <v>1909</v>
      </c>
      <c r="H16037" s="27" t="s">
        <v>1961</v>
      </c>
      <c r="J16037" s="27" t="s">
        <v>1962</v>
      </c>
      <c r="L16037" s="27" t="s">
        <v>148</v>
      </c>
      <c r="N16037" s="27" t="s">
        <v>161</v>
      </c>
      <c r="P16037" s="27" t="s">
        <v>17662</v>
      </c>
      <c r="Q16037" s="26" t="str">
        <f>HYPERLINK("https://ictv.global/taxonomy/taxondetails?taxnode_id=202505920&amp;ictv_id=ICTV20175920","ICTV20175920")</f>
        <v>ICTV20175920</v>
      </c>
      <c r="R16037" t="s">
        <v>581</v>
      </c>
      <c r="S16037" t="s">
        <v>824</v>
      </c>
      <c r="T16037">
        <v>39</v>
      </c>
      <c r="U16037" s="26" t="str">
        <f t="shared" si="598"/>
        <v>2023.013P.Potyviridae_rename_sp.zip</v>
      </c>
    </row>
    <row r="16038" spans="1:21">
      <c r="A16038">
        <v>16037</v>
      </c>
      <c r="B16038" s="27" t="s">
        <v>1124</v>
      </c>
      <c r="D16038" s="27" t="s">
        <v>1859</v>
      </c>
      <c r="F16038" s="27" t="s">
        <v>1909</v>
      </c>
      <c r="H16038" s="27" t="s">
        <v>1961</v>
      </c>
      <c r="J16038" s="27" t="s">
        <v>1962</v>
      </c>
      <c r="L16038" s="27" t="s">
        <v>148</v>
      </c>
      <c r="N16038" s="27" t="s">
        <v>161</v>
      </c>
      <c r="P16038" s="27" t="s">
        <v>17663</v>
      </c>
      <c r="Q16038" s="26" t="str">
        <f>HYPERLINK("https://ictv.global/taxonomy/taxondetails?taxnode_id=202504620&amp;ictv_id=ICTV19760765","ICTV19760765")</f>
        <v>ICTV19760765</v>
      </c>
      <c r="R16038" t="s">
        <v>581</v>
      </c>
      <c r="S16038" t="s">
        <v>824</v>
      </c>
      <c r="T16038">
        <v>39</v>
      </c>
      <c r="U16038" s="26" t="str">
        <f t="shared" si="598"/>
        <v>2023.013P.Potyviridae_rename_sp.zip</v>
      </c>
    </row>
    <row r="16039" spans="1:21">
      <c r="A16039">
        <v>16038</v>
      </c>
      <c r="B16039" s="27" t="s">
        <v>1124</v>
      </c>
      <c r="D16039" s="27" t="s">
        <v>1859</v>
      </c>
      <c r="F16039" s="27" t="s">
        <v>1909</v>
      </c>
      <c r="H16039" s="27" t="s">
        <v>1961</v>
      </c>
      <c r="J16039" s="27" t="s">
        <v>1962</v>
      </c>
      <c r="L16039" s="27" t="s">
        <v>148</v>
      </c>
      <c r="N16039" s="27" t="s">
        <v>161</v>
      </c>
      <c r="P16039" s="27" t="s">
        <v>17664</v>
      </c>
      <c r="Q16039" s="26" t="str">
        <f>HYPERLINK("https://ictv.global/taxonomy/taxondetails?taxnode_id=202504621&amp;ictv_id=ICTV19982270","ICTV19982270")</f>
        <v>ICTV19982270</v>
      </c>
      <c r="R16039" t="s">
        <v>581</v>
      </c>
      <c r="S16039" t="s">
        <v>824</v>
      </c>
      <c r="T16039">
        <v>39</v>
      </c>
      <c r="U16039" s="26" t="str">
        <f t="shared" si="598"/>
        <v>2023.013P.Potyviridae_rename_sp.zip</v>
      </c>
    </row>
    <row r="16040" spans="1:21">
      <c r="A16040">
        <v>16039</v>
      </c>
      <c r="B16040" s="27" t="s">
        <v>1124</v>
      </c>
      <c r="D16040" s="27" t="s">
        <v>1859</v>
      </c>
      <c r="F16040" s="27" t="s">
        <v>1909</v>
      </c>
      <c r="H16040" s="27" t="s">
        <v>1961</v>
      </c>
      <c r="J16040" s="27" t="s">
        <v>1962</v>
      </c>
      <c r="L16040" s="27" t="s">
        <v>148</v>
      </c>
      <c r="N16040" s="27" t="s">
        <v>161</v>
      </c>
      <c r="P16040" s="27" t="s">
        <v>17665</v>
      </c>
      <c r="Q16040" s="26" t="str">
        <f>HYPERLINK("https://ictv.global/taxonomy/taxondetails?taxnode_id=202505921&amp;ictv_id=ICTV20175921","ICTV20175921")</f>
        <v>ICTV20175921</v>
      </c>
      <c r="R16040" t="s">
        <v>581</v>
      </c>
      <c r="S16040" t="s">
        <v>824</v>
      </c>
      <c r="T16040">
        <v>39</v>
      </c>
      <c r="U16040" s="26" t="str">
        <f t="shared" si="598"/>
        <v>2023.013P.Potyviridae_rename_sp.zip</v>
      </c>
    </row>
    <row r="16041" spans="1:21">
      <c r="A16041">
        <v>16040</v>
      </c>
      <c r="B16041" s="27" t="s">
        <v>1124</v>
      </c>
      <c r="D16041" s="27" t="s">
        <v>1859</v>
      </c>
      <c r="F16041" s="27" t="s">
        <v>1909</v>
      </c>
      <c r="H16041" s="27" t="s">
        <v>1961</v>
      </c>
      <c r="J16041" s="27" t="s">
        <v>1962</v>
      </c>
      <c r="L16041" s="27" t="s">
        <v>148</v>
      </c>
      <c r="N16041" s="27" t="s">
        <v>161</v>
      </c>
      <c r="P16041" s="27" t="s">
        <v>17666</v>
      </c>
      <c r="Q16041" s="26" t="str">
        <f>HYPERLINK("https://ictv.global/taxonomy/taxondetails?taxnode_id=202504622&amp;ictv_id=ICTV19911783","ICTV19911783")</f>
        <v>ICTV19911783</v>
      </c>
      <c r="R16041" t="s">
        <v>581</v>
      </c>
      <c r="S16041" t="s">
        <v>824</v>
      </c>
      <c r="T16041">
        <v>39</v>
      </c>
      <c r="U16041" s="26" t="str">
        <f t="shared" si="598"/>
        <v>2023.013P.Potyviridae_rename_sp.zip</v>
      </c>
    </row>
    <row r="16042" spans="1:21">
      <c r="A16042">
        <v>16041</v>
      </c>
      <c r="B16042" s="27" t="s">
        <v>1124</v>
      </c>
      <c r="D16042" s="27" t="s">
        <v>1859</v>
      </c>
      <c r="F16042" s="27" t="s">
        <v>1909</v>
      </c>
      <c r="H16042" s="27" t="s">
        <v>1961</v>
      </c>
      <c r="J16042" s="27" t="s">
        <v>1962</v>
      </c>
      <c r="L16042" s="27" t="s">
        <v>148</v>
      </c>
      <c r="N16042" s="27" t="s">
        <v>161</v>
      </c>
      <c r="P16042" s="27" t="s">
        <v>17667</v>
      </c>
      <c r="Q16042" s="26" t="str">
        <f>HYPERLINK("https://ictv.global/taxonomy/taxondetails?taxnode_id=202504624&amp;ictv_id=ICTV19911785","ICTV19911785")</f>
        <v>ICTV19911785</v>
      </c>
      <c r="R16042" t="s">
        <v>581</v>
      </c>
      <c r="S16042" t="s">
        <v>824</v>
      </c>
      <c r="T16042">
        <v>39</v>
      </c>
      <c r="U16042" s="26" t="str">
        <f t="shared" si="598"/>
        <v>2023.013P.Potyviridae_rename_sp.zip</v>
      </c>
    </row>
    <row r="16043" spans="1:21">
      <c r="A16043">
        <v>16042</v>
      </c>
      <c r="B16043" s="27" t="s">
        <v>1124</v>
      </c>
      <c r="D16043" s="27" t="s">
        <v>1859</v>
      </c>
      <c r="F16043" s="27" t="s">
        <v>1909</v>
      </c>
      <c r="H16043" s="27" t="s">
        <v>1961</v>
      </c>
      <c r="J16043" s="27" t="s">
        <v>1962</v>
      </c>
      <c r="L16043" s="27" t="s">
        <v>148</v>
      </c>
      <c r="N16043" s="27" t="s">
        <v>161</v>
      </c>
      <c r="P16043" s="27" t="s">
        <v>17668</v>
      </c>
      <c r="Q16043" s="26" t="str">
        <f>HYPERLINK("https://ictv.global/taxonomy/taxondetails?taxnode_id=202504623&amp;ictv_id=ICTV19760766","ICTV19760766")</f>
        <v>ICTV19760766</v>
      </c>
      <c r="R16043" t="s">
        <v>581</v>
      </c>
      <c r="S16043" t="s">
        <v>824</v>
      </c>
      <c r="T16043">
        <v>39</v>
      </c>
      <c r="U16043" s="26" t="str">
        <f t="shared" si="598"/>
        <v>2023.013P.Potyviridae_rename_sp.zip</v>
      </c>
    </row>
    <row r="16044" spans="1:21">
      <c r="A16044">
        <v>16043</v>
      </c>
      <c r="B16044" s="27" t="s">
        <v>1124</v>
      </c>
      <c r="D16044" s="27" t="s">
        <v>1859</v>
      </c>
      <c r="F16044" s="27" t="s">
        <v>1909</v>
      </c>
      <c r="H16044" s="27" t="s">
        <v>1961</v>
      </c>
      <c r="J16044" s="27" t="s">
        <v>1962</v>
      </c>
      <c r="L16044" s="27" t="s">
        <v>148</v>
      </c>
      <c r="N16044" s="27" t="s">
        <v>161</v>
      </c>
      <c r="P16044" s="27" t="s">
        <v>17669</v>
      </c>
      <c r="Q16044" s="26" t="str">
        <f>HYPERLINK("https://ictv.global/taxonomy/taxondetails?taxnode_id=202504626&amp;ictv_id=ICTV20165419","ICTV20165419")</f>
        <v>ICTV20165419</v>
      </c>
      <c r="R16044" t="s">
        <v>581</v>
      </c>
      <c r="S16044" t="s">
        <v>824</v>
      </c>
      <c r="T16044">
        <v>39</v>
      </c>
      <c r="U16044" s="26" t="str">
        <f t="shared" si="598"/>
        <v>2023.013P.Potyviridae_rename_sp.zip</v>
      </c>
    </row>
    <row r="16045" spans="1:21">
      <c r="A16045">
        <v>16044</v>
      </c>
      <c r="B16045" s="27" t="s">
        <v>1124</v>
      </c>
      <c r="D16045" s="27" t="s">
        <v>1859</v>
      </c>
      <c r="F16045" s="27" t="s">
        <v>1909</v>
      </c>
      <c r="H16045" s="27" t="s">
        <v>1961</v>
      </c>
      <c r="J16045" s="27" t="s">
        <v>1962</v>
      </c>
      <c r="L16045" s="27" t="s">
        <v>148</v>
      </c>
      <c r="N16045" s="27" t="s">
        <v>161</v>
      </c>
      <c r="P16045" s="27" t="s">
        <v>17670</v>
      </c>
      <c r="Q16045" s="26" t="str">
        <f>HYPERLINK("https://ictv.global/taxonomy/taxondetails?taxnode_id=202504628&amp;ictv_id=ICTV19991400","ICTV19991400")</f>
        <v>ICTV19991400</v>
      </c>
      <c r="R16045" t="s">
        <v>581</v>
      </c>
      <c r="S16045" t="s">
        <v>824</v>
      </c>
      <c r="T16045">
        <v>39</v>
      </c>
      <c r="U16045" s="26" t="str">
        <f t="shared" si="598"/>
        <v>2023.013P.Potyviridae_rename_sp.zip</v>
      </c>
    </row>
    <row r="16046" spans="1:21">
      <c r="A16046">
        <v>16045</v>
      </c>
      <c r="B16046" s="27" t="s">
        <v>1124</v>
      </c>
      <c r="D16046" s="27" t="s">
        <v>1859</v>
      </c>
      <c r="F16046" s="27" t="s">
        <v>1909</v>
      </c>
      <c r="H16046" s="27" t="s">
        <v>1961</v>
      </c>
      <c r="J16046" s="27" t="s">
        <v>1962</v>
      </c>
      <c r="L16046" s="27" t="s">
        <v>148</v>
      </c>
      <c r="N16046" s="27" t="s">
        <v>161</v>
      </c>
      <c r="P16046" s="27" t="s">
        <v>17671</v>
      </c>
      <c r="Q16046" s="26" t="str">
        <f>HYPERLINK("https://ictv.global/taxonomy/taxondetails?taxnode_id=202504630&amp;ictv_id=ICTV20084536","ICTV20084536")</f>
        <v>ICTV20084536</v>
      </c>
      <c r="R16046" t="s">
        <v>581</v>
      </c>
      <c r="S16046" t="s">
        <v>824</v>
      </c>
      <c r="T16046">
        <v>39</v>
      </c>
      <c r="U16046" s="26" t="str">
        <f t="shared" si="598"/>
        <v>2023.013P.Potyviridae_rename_sp.zip</v>
      </c>
    </row>
    <row r="16047" spans="1:21">
      <c r="A16047">
        <v>16046</v>
      </c>
      <c r="B16047" s="27" t="s">
        <v>1124</v>
      </c>
      <c r="D16047" s="27" t="s">
        <v>1859</v>
      </c>
      <c r="F16047" s="27" t="s">
        <v>1909</v>
      </c>
      <c r="H16047" s="27" t="s">
        <v>1961</v>
      </c>
      <c r="J16047" s="27" t="s">
        <v>1962</v>
      </c>
      <c r="L16047" s="27" t="s">
        <v>148</v>
      </c>
      <c r="N16047" s="27" t="s">
        <v>161</v>
      </c>
      <c r="P16047" s="27" t="s">
        <v>17672</v>
      </c>
      <c r="Q16047" s="26" t="str">
        <f>HYPERLINK("https://ictv.global/taxonomy/taxondetails?taxnode_id=202504633&amp;ictv_id=ICTV19760767","ICTV19760767")</f>
        <v>ICTV19760767</v>
      </c>
      <c r="R16047" t="s">
        <v>581</v>
      </c>
      <c r="S16047" t="s">
        <v>824</v>
      </c>
      <c r="T16047">
        <v>39</v>
      </c>
      <c r="U16047" s="26" t="str">
        <f t="shared" si="598"/>
        <v>2023.013P.Potyviridae_rename_sp.zip</v>
      </c>
    </row>
    <row r="16048" spans="1:21">
      <c r="A16048">
        <v>16047</v>
      </c>
      <c r="B16048" s="27" t="s">
        <v>1124</v>
      </c>
      <c r="D16048" s="27" t="s">
        <v>1859</v>
      </c>
      <c r="F16048" s="27" t="s">
        <v>1909</v>
      </c>
      <c r="H16048" s="27" t="s">
        <v>1961</v>
      </c>
      <c r="J16048" s="27" t="s">
        <v>1962</v>
      </c>
      <c r="L16048" s="27" t="s">
        <v>148</v>
      </c>
      <c r="N16048" s="27" t="s">
        <v>161</v>
      </c>
      <c r="P16048" s="27" t="s">
        <v>17673</v>
      </c>
      <c r="Q16048" s="26" t="str">
        <f>HYPERLINK("https://ictv.global/taxonomy/taxondetails?taxnode_id=202504632&amp;ictv_id=ICTV20165420","ICTV20165420")</f>
        <v>ICTV20165420</v>
      </c>
      <c r="R16048" t="s">
        <v>581</v>
      </c>
      <c r="S16048" t="s">
        <v>824</v>
      </c>
      <c r="T16048">
        <v>39</v>
      </c>
      <c r="U16048" s="26" t="str">
        <f t="shared" si="598"/>
        <v>2023.013P.Potyviridae_rename_sp.zip</v>
      </c>
    </row>
    <row r="16049" spans="1:21">
      <c r="A16049">
        <v>16048</v>
      </c>
      <c r="B16049" s="27" t="s">
        <v>1124</v>
      </c>
      <c r="D16049" s="27" t="s">
        <v>1859</v>
      </c>
      <c r="F16049" s="27" t="s">
        <v>1909</v>
      </c>
      <c r="H16049" s="27" t="s">
        <v>1961</v>
      </c>
      <c r="J16049" s="27" t="s">
        <v>1962</v>
      </c>
      <c r="L16049" s="27" t="s">
        <v>148</v>
      </c>
      <c r="N16049" s="27" t="s">
        <v>161</v>
      </c>
      <c r="P16049" s="27" t="s">
        <v>17674</v>
      </c>
      <c r="Q16049" s="26" t="str">
        <f>HYPERLINK("https://ictv.global/taxonomy/taxondetails?taxnode_id=202504634&amp;ictv_id=ICTV19991404","ICTV19991404")</f>
        <v>ICTV19991404</v>
      </c>
      <c r="R16049" t="s">
        <v>581</v>
      </c>
      <c r="S16049" t="s">
        <v>824</v>
      </c>
      <c r="T16049">
        <v>39</v>
      </c>
      <c r="U16049" s="26" t="str">
        <f t="shared" si="598"/>
        <v>2023.013P.Potyviridae_rename_sp.zip</v>
      </c>
    </row>
    <row r="16050" spans="1:21">
      <c r="A16050">
        <v>16049</v>
      </c>
      <c r="B16050" s="27" t="s">
        <v>1124</v>
      </c>
      <c r="D16050" s="27" t="s">
        <v>1859</v>
      </c>
      <c r="F16050" s="27" t="s">
        <v>1909</v>
      </c>
      <c r="H16050" s="27" t="s">
        <v>1961</v>
      </c>
      <c r="J16050" s="27" t="s">
        <v>1962</v>
      </c>
      <c r="L16050" s="27" t="s">
        <v>148</v>
      </c>
      <c r="N16050" s="27" t="s">
        <v>161</v>
      </c>
      <c r="P16050" s="27" t="s">
        <v>17675</v>
      </c>
      <c r="Q16050" s="26" t="str">
        <f>HYPERLINK("https://ictv.global/taxonomy/taxondetails?taxnode_id=202504635&amp;ictv_id=ICTV20143337","ICTV20143337")</f>
        <v>ICTV20143337</v>
      </c>
      <c r="R16050" t="s">
        <v>581</v>
      </c>
      <c r="S16050" t="s">
        <v>824</v>
      </c>
      <c r="T16050">
        <v>39</v>
      </c>
      <c r="U16050" s="26" t="str">
        <f t="shared" si="598"/>
        <v>2023.013P.Potyviridae_rename_sp.zip</v>
      </c>
    </row>
    <row r="16051" spans="1:21">
      <c r="A16051">
        <v>16050</v>
      </c>
      <c r="B16051" s="27" t="s">
        <v>1124</v>
      </c>
      <c r="D16051" s="27" t="s">
        <v>1859</v>
      </c>
      <c r="F16051" s="27" t="s">
        <v>1909</v>
      </c>
      <c r="H16051" s="27" t="s">
        <v>1961</v>
      </c>
      <c r="J16051" s="27" t="s">
        <v>1962</v>
      </c>
      <c r="L16051" s="27" t="s">
        <v>148</v>
      </c>
      <c r="N16051" s="27" t="s">
        <v>161</v>
      </c>
      <c r="P16051" s="27" t="s">
        <v>17676</v>
      </c>
      <c r="Q16051" s="26" t="str">
        <f>HYPERLINK("https://ictv.global/taxonomy/taxondetails?taxnode_id=202504636&amp;ictv_id=ICTV20041773","ICTV20041773")</f>
        <v>ICTV20041773</v>
      </c>
      <c r="R16051" t="s">
        <v>581</v>
      </c>
      <c r="S16051" t="s">
        <v>824</v>
      </c>
      <c r="T16051">
        <v>39</v>
      </c>
      <c r="U16051" s="26" t="str">
        <f t="shared" si="598"/>
        <v>2023.013P.Potyviridae_rename_sp.zip</v>
      </c>
    </row>
    <row r="16052" spans="1:21">
      <c r="A16052">
        <v>16051</v>
      </c>
      <c r="B16052" s="27" t="s">
        <v>1124</v>
      </c>
      <c r="D16052" s="27" t="s">
        <v>1859</v>
      </c>
      <c r="F16052" s="27" t="s">
        <v>1909</v>
      </c>
      <c r="H16052" s="27" t="s">
        <v>1961</v>
      </c>
      <c r="J16052" s="27" t="s">
        <v>1962</v>
      </c>
      <c r="L16052" s="27" t="s">
        <v>148</v>
      </c>
      <c r="N16052" s="27" t="s">
        <v>161</v>
      </c>
      <c r="P16052" s="27" t="s">
        <v>17677</v>
      </c>
      <c r="Q16052" s="26" t="str">
        <f>HYPERLINK("https://ictv.global/taxonomy/taxondetails?taxnode_id=202504638&amp;ictv_id=ICTV20094592","ICTV20094592")</f>
        <v>ICTV20094592</v>
      </c>
      <c r="R16052" t="s">
        <v>581</v>
      </c>
      <c r="S16052" t="s">
        <v>824</v>
      </c>
      <c r="T16052">
        <v>39</v>
      </c>
      <c r="U16052" s="26" t="str">
        <f t="shared" si="598"/>
        <v>2023.013P.Potyviridae_rename_sp.zip</v>
      </c>
    </row>
    <row r="16053" spans="1:21">
      <c r="A16053">
        <v>16052</v>
      </c>
      <c r="B16053" s="27" t="s">
        <v>1124</v>
      </c>
      <c r="D16053" s="27" t="s">
        <v>1859</v>
      </c>
      <c r="F16053" s="27" t="s">
        <v>1909</v>
      </c>
      <c r="H16053" s="27" t="s">
        <v>1961</v>
      </c>
      <c r="J16053" s="27" t="s">
        <v>1962</v>
      </c>
      <c r="L16053" s="27" t="s">
        <v>148</v>
      </c>
      <c r="N16053" s="27" t="s">
        <v>161</v>
      </c>
      <c r="P16053" s="27" t="s">
        <v>17678</v>
      </c>
      <c r="Q16053" s="26" t="str">
        <f>HYPERLINK("https://ictv.global/taxonomy/taxondetails?taxnode_id=202506671&amp;ictv_id=ICTV201856671","ICTV201856671")</f>
        <v>ICTV201856671</v>
      </c>
      <c r="R16053" t="s">
        <v>581</v>
      </c>
      <c r="S16053" t="s">
        <v>824</v>
      </c>
      <c r="T16053">
        <v>39</v>
      </c>
      <c r="U16053" s="26" t="str">
        <f t="shared" si="598"/>
        <v>2023.013P.Potyviridae_rename_sp.zip</v>
      </c>
    </row>
    <row r="16054" spans="1:21">
      <c r="A16054">
        <v>16053</v>
      </c>
      <c r="B16054" s="27" t="s">
        <v>1124</v>
      </c>
      <c r="D16054" s="27" t="s">
        <v>1859</v>
      </c>
      <c r="F16054" s="27" t="s">
        <v>1909</v>
      </c>
      <c r="H16054" s="27" t="s">
        <v>1961</v>
      </c>
      <c r="J16054" s="27" t="s">
        <v>1962</v>
      </c>
      <c r="L16054" s="27" t="s">
        <v>148</v>
      </c>
      <c r="N16054" s="27" t="s">
        <v>161</v>
      </c>
      <c r="P16054" s="27" t="s">
        <v>17679</v>
      </c>
      <c r="Q16054" s="26" t="str">
        <f>HYPERLINK("https://ictv.global/taxonomy/taxondetails?taxnode_id=202506677&amp;ictv_id=ICTV201856677","ICTV201856677")</f>
        <v>ICTV201856677</v>
      </c>
      <c r="R16054" t="s">
        <v>581</v>
      </c>
      <c r="S16054" t="s">
        <v>824</v>
      </c>
      <c r="T16054">
        <v>39</v>
      </c>
      <c r="U16054" s="26" t="str">
        <f t="shared" si="598"/>
        <v>2023.013P.Potyviridae_rename_sp.zip</v>
      </c>
    </row>
    <row r="16055" spans="1:21">
      <c r="A16055">
        <v>16054</v>
      </c>
      <c r="B16055" s="27" t="s">
        <v>1124</v>
      </c>
      <c r="D16055" s="27" t="s">
        <v>1859</v>
      </c>
      <c r="F16055" s="27" t="s">
        <v>1909</v>
      </c>
      <c r="H16055" s="27" t="s">
        <v>1961</v>
      </c>
      <c r="J16055" s="27" t="s">
        <v>1962</v>
      </c>
      <c r="L16055" s="27" t="s">
        <v>148</v>
      </c>
      <c r="N16055" s="27" t="s">
        <v>161</v>
      </c>
      <c r="P16055" s="27" t="s">
        <v>10682</v>
      </c>
      <c r="Q16055" s="26" t="str">
        <f>HYPERLINK("https://ictv.global/taxonomy/taxondetails?taxnode_id=202513837&amp;ictv_id=ICTV202113837","ICTV202113837")</f>
        <v>ICTV202113837</v>
      </c>
      <c r="R16055" t="s">
        <v>581</v>
      </c>
      <c r="S16055" t="s">
        <v>823</v>
      </c>
      <c r="T16055">
        <v>37</v>
      </c>
      <c r="U16055" s="26" t="str">
        <f>HYPERLINK("https://ictv.global/ictv/proposals/2021.006P.R.Potyvirus_5ns_3as.zip","2021.006P.R.Potyvirus_5ns_3as.zip")</f>
        <v>2021.006P.R.Potyvirus_5ns_3as.zip</v>
      </c>
    </row>
    <row r="16056" spans="1:21">
      <c r="A16056">
        <v>16055</v>
      </c>
      <c r="B16056" s="27" t="s">
        <v>1124</v>
      </c>
      <c r="D16056" s="27" t="s">
        <v>1859</v>
      </c>
      <c r="F16056" s="27" t="s">
        <v>1909</v>
      </c>
      <c r="H16056" s="27" t="s">
        <v>1961</v>
      </c>
      <c r="J16056" s="27" t="s">
        <v>1962</v>
      </c>
      <c r="L16056" s="27" t="s">
        <v>148</v>
      </c>
      <c r="N16056" s="27" t="s">
        <v>161</v>
      </c>
      <c r="P16056" s="27" t="s">
        <v>17680</v>
      </c>
      <c r="Q16056" s="26" t="str">
        <f>HYPERLINK("https://ictv.global/taxonomy/taxondetails?taxnode_id=202518060&amp;ictv_id=ICTV202318060","ICTV202318060")</f>
        <v>ICTV202318060</v>
      </c>
      <c r="R16056" t="s">
        <v>581</v>
      </c>
      <c r="S16056" t="s">
        <v>823</v>
      </c>
      <c r="T16056">
        <v>39</v>
      </c>
      <c r="U16056" s="26" t="str">
        <f>HYPERLINK("https://ictv.global/ictv/proposals/2023.012P.Potyviridae_5nsp.zip","2023.012P.Potyviridae_5nsp.zip")</f>
        <v>2023.012P.Potyviridae_5nsp.zip</v>
      </c>
    </row>
    <row r="16057" spans="1:21">
      <c r="A16057">
        <v>16056</v>
      </c>
      <c r="B16057" s="27" t="s">
        <v>1124</v>
      </c>
      <c r="D16057" s="27" t="s">
        <v>1859</v>
      </c>
      <c r="F16057" s="27" t="s">
        <v>1909</v>
      </c>
      <c r="H16057" s="27" t="s">
        <v>1961</v>
      </c>
      <c r="J16057" s="27" t="s">
        <v>1962</v>
      </c>
      <c r="L16057" s="27" t="s">
        <v>148</v>
      </c>
      <c r="N16057" s="27" t="s">
        <v>161</v>
      </c>
      <c r="P16057" s="27" t="s">
        <v>17681</v>
      </c>
      <c r="Q16057" s="26" t="str">
        <f>HYPERLINK("https://ictv.global/taxonomy/taxondetails?taxnode_id=202509671&amp;ictv_id=ICTV202009671","ICTV202009671")</f>
        <v>ICTV202009671</v>
      </c>
      <c r="R16057" t="s">
        <v>581</v>
      </c>
      <c r="S16057" t="s">
        <v>824</v>
      </c>
      <c r="T16057">
        <v>39</v>
      </c>
      <c r="U16057" s="26" t="str">
        <f t="shared" ref="U16057:U16076" si="599">HYPERLINK("https://ictv.global/ictv/proposals/2023.013P.Potyviridae_rename_sp.zip","2023.013P.Potyviridae_rename_sp.zip")</f>
        <v>2023.013P.Potyviridae_rename_sp.zip</v>
      </c>
    </row>
    <row r="16058" spans="1:21">
      <c r="A16058">
        <v>16057</v>
      </c>
      <c r="B16058" s="27" t="s">
        <v>1124</v>
      </c>
      <c r="D16058" s="27" t="s">
        <v>1859</v>
      </c>
      <c r="F16058" s="27" t="s">
        <v>1909</v>
      </c>
      <c r="H16058" s="27" t="s">
        <v>1961</v>
      </c>
      <c r="J16058" s="27" t="s">
        <v>1962</v>
      </c>
      <c r="L16058" s="27" t="s">
        <v>148</v>
      </c>
      <c r="N16058" s="27" t="s">
        <v>161</v>
      </c>
      <c r="P16058" s="27" t="s">
        <v>17682</v>
      </c>
      <c r="Q16058" s="26" t="str">
        <f>HYPERLINK("https://ictv.global/taxonomy/taxondetails?taxnode_id=202504711&amp;ictv_id=ICTV19991446","ICTV19991446")</f>
        <v>ICTV19991446</v>
      </c>
      <c r="R16058" t="s">
        <v>581</v>
      </c>
      <c r="S16058" t="s">
        <v>824</v>
      </c>
      <c r="T16058">
        <v>39</v>
      </c>
      <c r="U16058" s="26" t="str">
        <f t="shared" si="599"/>
        <v>2023.013P.Potyviridae_rename_sp.zip</v>
      </c>
    </row>
    <row r="16059" spans="1:21">
      <c r="A16059">
        <v>16058</v>
      </c>
      <c r="B16059" s="27" t="s">
        <v>1124</v>
      </c>
      <c r="D16059" s="27" t="s">
        <v>1859</v>
      </c>
      <c r="F16059" s="27" t="s">
        <v>1909</v>
      </c>
      <c r="H16059" s="27" t="s">
        <v>1961</v>
      </c>
      <c r="J16059" s="27" t="s">
        <v>1962</v>
      </c>
      <c r="L16059" s="27" t="s">
        <v>148</v>
      </c>
      <c r="N16059" s="27" t="s">
        <v>161</v>
      </c>
      <c r="P16059" s="27" t="s">
        <v>17683</v>
      </c>
      <c r="Q16059" s="26" t="str">
        <f>HYPERLINK("https://ictv.global/taxonomy/taxondetails?taxnode_id=202504573&amp;ictv_id=ICTV19991366","ICTV19991366")</f>
        <v>ICTV19991366</v>
      </c>
      <c r="R16059" t="s">
        <v>581</v>
      </c>
      <c r="S16059" t="s">
        <v>824</v>
      </c>
      <c r="T16059">
        <v>39</v>
      </c>
      <c r="U16059" s="26" t="str">
        <f t="shared" si="599"/>
        <v>2023.013P.Potyviridae_rename_sp.zip</v>
      </c>
    </row>
    <row r="16060" spans="1:21">
      <c r="A16060">
        <v>16059</v>
      </c>
      <c r="B16060" s="27" t="s">
        <v>1124</v>
      </c>
      <c r="D16060" s="27" t="s">
        <v>1859</v>
      </c>
      <c r="F16060" s="27" t="s">
        <v>1909</v>
      </c>
      <c r="H16060" s="27" t="s">
        <v>1961</v>
      </c>
      <c r="J16060" s="27" t="s">
        <v>1962</v>
      </c>
      <c r="L16060" s="27" t="s">
        <v>148</v>
      </c>
      <c r="N16060" s="27" t="s">
        <v>161</v>
      </c>
      <c r="P16060" s="27" t="s">
        <v>17684</v>
      </c>
      <c r="Q16060" s="26" t="str">
        <f>HYPERLINK("https://ictv.global/taxonomy/taxondetails?taxnode_id=202504643&amp;ictv_id=ICTV19911791","ICTV19911791")</f>
        <v>ICTV19911791</v>
      </c>
      <c r="R16060" t="s">
        <v>581</v>
      </c>
      <c r="S16060" t="s">
        <v>824</v>
      </c>
      <c r="T16060">
        <v>39</v>
      </c>
      <c r="U16060" s="26" t="str">
        <f t="shared" si="599"/>
        <v>2023.013P.Potyviridae_rename_sp.zip</v>
      </c>
    </row>
    <row r="16061" spans="1:21">
      <c r="A16061">
        <v>16060</v>
      </c>
      <c r="B16061" s="27" t="s">
        <v>1124</v>
      </c>
      <c r="D16061" s="27" t="s">
        <v>1859</v>
      </c>
      <c r="F16061" s="27" t="s">
        <v>1909</v>
      </c>
      <c r="H16061" s="27" t="s">
        <v>1961</v>
      </c>
      <c r="J16061" s="27" t="s">
        <v>1962</v>
      </c>
      <c r="L16061" s="27" t="s">
        <v>148</v>
      </c>
      <c r="N16061" s="27" t="s">
        <v>161</v>
      </c>
      <c r="P16061" s="27" t="s">
        <v>17685</v>
      </c>
      <c r="Q16061" s="26" t="str">
        <f>HYPERLINK("https://ictv.global/taxonomy/taxondetails?taxnode_id=202504641&amp;ictv_id=ICTV19821313","ICTV19821313")</f>
        <v>ICTV19821313</v>
      </c>
      <c r="R16061" t="s">
        <v>581</v>
      </c>
      <c r="S16061" t="s">
        <v>824</v>
      </c>
      <c r="T16061">
        <v>39</v>
      </c>
      <c r="U16061" s="26" t="str">
        <f t="shared" si="599"/>
        <v>2023.013P.Potyviridae_rename_sp.zip</v>
      </c>
    </row>
    <row r="16062" spans="1:21">
      <c r="A16062">
        <v>16061</v>
      </c>
      <c r="B16062" s="27" t="s">
        <v>1124</v>
      </c>
      <c r="D16062" s="27" t="s">
        <v>1859</v>
      </c>
      <c r="F16062" s="27" t="s">
        <v>1909</v>
      </c>
      <c r="H16062" s="27" t="s">
        <v>1961</v>
      </c>
      <c r="J16062" s="27" t="s">
        <v>1962</v>
      </c>
      <c r="L16062" s="27" t="s">
        <v>148</v>
      </c>
      <c r="N16062" s="27" t="s">
        <v>161</v>
      </c>
      <c r="P16062" s="27" t="s">
        <v>17686</v>
      </c>
      <c r="Q16062" s="26" t="str">
        <f>HYPERLINK("https://ictv.global/taxonomy/taxondetails?taxnode_id=202504642&amp;ictv_id=ICTV19982280","ICTV19982280")</f>
        <v>ICTV19982280</v>
      </c>
      <c r="R16062" t="s">
        <v>581</v>
      </c>
      <c r="S16062" t="s">
        <v>824</v>
      </c>
      <c r="T16062">
        <v>39</v>
      </c>
      <c r="U16062" s="26" t="str">
        <f t="shared" si="599"/>
        <v>2023.013P.Potyviridae_rename_sp.zip</v>
      </c>
    </row>
    <row r="16063" spans="1:21">
      <c r="A16063">
        <v>16062</v>
      </c>
      <c r="B16063" s="27" t="s">
        <v>1124</v>
      </c>
      <c r="D16063" s="27" t="s">
        <v>1859</v>
      </c>
      <c r="F16063" s="27" t="s">
        <v>1909</v>
      </c>
      <c r="H16063" s="27" t="s">
        <v>1961</v>
      </c>
      <c r="J16063" s="27" t="s">
        <v>1962</v>
      </c>
      <c r="L16063" s="27" t="s">
        <v>148</v>
      </c>
      <c r="N16063" s="27" t="s">
        <v>161</v>
      </c>
      <c r="P16063" s="27" t="s">
        <v>17687</v>
      </c>
      <c r="Q16063" s="26" t="str">
        <f>HYPERLINK("https://ictv.global/taxonomy/taxondetails?taxnode_id=202504644&amp;ictv_id=ICTV19982282","ICTV19982282")</f>
        <v>ICTV19982282</v>
      </c>
      <c r="R16063" t="s">
        <v>581</v>
      </c>
      <c r="S16063" t="s">
        <v>824</v>
      </c>
      <c r="T16063">
        <v>39</v>
      </c>
      <c r="U16063" s="26" t="str">
        <f t="shared" si="599"/>
        <v>2023.013P.Potyviridae_rename_sp.zip</v>
      </c>
    </row>
    <row r="16064" spans="1:21">
      <c r="A16064">
        <v>16063</v>
      </c>
      <c r="B16064" s="27" t="s">
        <v>1124</v>
      </c>
      <c r="D16064" s="27" t="s">
        <v>1859</v>
      </c>
      <c r="F16064" s="27" t="s">
        <v>1909</v>
      </c>
      <c r="H16064" s="27" t="s">
        <v>1961</v>
      </c>
      <c r="J16064" s="27" t="s">
        <v>1962</v>
      </c>
      <c r="L16064" s="27" t="s">
        <v>148</v>
      </c>
      <c r="N16064" s="27" t="s">
        <v>161</v>
      </c>
      <c r="P16064" s="27" t="s">
        <v>17688</v>
      </c>
      <c r="Q16064" s="26" t="str">
        <f>HYPERLINK("https://ictv.global/taxonomy/taxondetails?taxnode_id=202504695&amp;ictv_id=ICTV19710261","ICTV19710261")</f>
        <v>ICTV19710261</v>
      </c>
      <c r="R16064" t="s">
        <v>581</v>
      </c>
      <c r="S16064" t="s">
        <v>824</v>
      </c>
      <c r="T16064">
        <v>39</v>
      </c>
      <c r="U16064" s="26" t="str">
        <f t="shared" si="599"/>
        <v>2023.013P.Potyviridae_rename_sp.zip</v>
      </c>
    </row>
    <row r="16065" spans="1:21">
      <c r="A16065">
        <v>16064</v>
      </c>
      <c r="B16065" s="27" t="s">
        <v>1124</v>
      </c>
      <c r="D16065" s="27" t="s">
        <v>1859</v>
      </c>
      <c r="F16065" s="27" t="s">
        <v>1909</v>
      </c>
      <c r="H16065" s="27" t="s">
        <v>1961</v>
      </c>
      <c r="J16065" s="27" t="s">
        <v>1962</v>
      </c>
      <c r="L16065" s="27" t="s">
        <v>148</v>
      </c>
      <c r="N16065" s="27" t="s">
        <v>161</v>
      </c>
      <c r="P16065" s="27" t="s">
        <v>17689</v>
      </c>
      <c r="Q16065" s="26" t="str">
        <f>HYPERLINK("https://ictv.global/taxonomy/taxondetails?taxnode_id=202505924&amp;ictv_id=ICTV20175924","ICTV20175924")</f>
        <v>ICTV20175924</v>
      </c>
      <c r="R16065" t="s">
        <v>581</v>
      </c>
      <c r="S16065" t="s">
        <v>824</v>
      </c>
      <c r="T16065">
        <v>39</v>
      </c>
      <c r="U16065" s="26" t="str">
        <f t="shared" si="599"/>
        <v>2023.013P.Potyviridae_rename_sp.zip</v>
      </c>
    </row>
    <row r="16066" spans="1:21">
      <c r="A16066">
        <v>16065</v>
      </c>
      <c r="B16066" s="27" t="s">
        <v>1124</v>
      </c>
      <c r="D16066" s="27" t="s">
        <v>1859</v>
      </c>
      <c r="F16066" s="27" t="s">
        <v>1909</v>
      </c>
      <c r="H16066" s="27" t="s">
        <v>1961</v>
      </c>
      <c r="J16066" s="27" t="s">
        <v>1962</v>
      </c>
      <c r="L16066" s="27" t="s">
        <v>148</v>
      </c>
      <c r="N16066" s="27" t="s">
        <v>161</v>
      </c>
      <c r="P16066" s="27" t="s">
        <v>17690</v>
      </c>
      <c r="Q16066" s="26" t="str">
        <f>HYPERLINK("https://ictv.global/taxonomy/taxondetails?taxnode_id=202504697&amp;ictv_id=ICTV19911817","ICTV19911817")</f>
        <v>ICTV19911817</v>
      </c>
      <c r="R16066" t="s">
        <v>581</v>
      </c>
      <c r="S16066" t="s">
        <v>824</v>
      </c>
      <c r="T16066">
        <v>39</v>
      </c>
      <c r="U16066" s="26" t="str">
        <f t="shared" si="599"/>
        <v>2023.013P.Potyviridae_rename_sp.zip</v>
      </c>
    </row>
    <row r="16067" spans="1:21">
      <c r="A16067">
        <v>16066</v>
      </c>
      <c r="B16067" s="27" t="s">
        <v>1124</v>
      </c>
      <c r="D16067" s="27" t="s">
        <v>1859</v>
      </c>
      <c r="F16067" s="27" t="s">
        <v>1909</v>
      </c>
      <c r="H16067" s="27" t="s">
        <v>1961</v>
      </c>
      <c r="J16067" s="27" t="s">
        <v>1962</v>
      </c>
      <c r="L16067" s="27" t="s">
        <v>148</v>
      </c>
      <c r="N16067" s="27" t="s">
        <v>161</v>
      </c>
      <c r="P16067" s="27" t="s">
        <v>17691</v>
      </c>
      <c r="Q16067" s="26" t="str">
        <f>HYPERLINK("https://ictv.global/taxonomy/taxondetails?taxnode_id=202504696&amp;ictv_id=ICTV19982309","ICTV19982309")</f>
        <v>ICTV19982309</v>
      </c>
      <c r="R16067" t="s">
        <v>581</v>
      </c>
      <c r="S16067" t="s">
        <v>824</v>
      </c>
      <c r="T16067">
        <v>39</v>
      </c>
      <c r="U16067" s="26" t="str">
        <f t="shared" si="599"/>
        <v>2023.013P.Potyviridae_rename_sp.zip</v>
      </c>
    </row>
    <row r="16068" spans="1:21">
      <c r="A16068">
        <v>16067</v>
      </c>
      <c r="B16068" s="27" t="s">
        <v>1124</v>
      </c>
      <c r="D16068" s="27" t="s">
        <v>1859</v>
      </c>
      <c r="F16068" s="27" t="s">
        <v>1909</v>
      </c>
      <c r="H16068" s="27" t="s">
        <v>1961</v>
      </c>
      <c r="J16068" s="27" t="s">
        <v>1962</v>
      </c>
      <c r="L16068" s="27" t="s">
        <v>148</v>
      </c>
      <c r="N16068" s="27" t="s">
        <v>161</v>
      </c>
      <c r="P16068" s="27" t="s">
        <v>17692</v>
      </c>
      <c r="Q16068" s="26" t="str">
        <f>HYPERLINK("https://ictv.global/taxonomy/taxondetails?taxnode_id=202504625&amp;ictv_id=ICTV20041766","ICTV20041766")</f>
        <v>ICTV20041766</v>
      </c>
      <c r="R16068" t="s">
        <v>581</v>
      </c>
      <c r="S16068" t="s">
        <v>824</v>
      </c>
      <c r="T16068">
        <v>39</v>
      </c>
      <c r="U16068" s="26" t="str">
        <f t="shared" si="599"/>
        <v>2023.013P.Potyviridae_rename_sp.zip</v>
      </c>
    </row>
    <row r="16069" spans="1:21">
      <c r="A16069">
        <v>16068</v>
      </c>
      <c r="B16069" s="27" t="s">
        <v>1124</v>
      </c>
      <c r="D16069" s="27" t="s">
        <v>1859</v>
      </c>
      <c r="F16069" s="27" t="s">
        <v>1909</v>
      </c>
      <c r="H16069" s="27" t="s">
        <v>1961</v>
      </c>
      <c r="J16069" s="27" t="s">
        <v>1962</v>
      </c>
      <c r="L16069" s="27" t="s">
        <v>148</v>
      </c>
      <c r="N16069" s="27" t="s">
        <v>161</v>
      </c>
      <c r="P16069" s="27" t="s">
        <v>17693</v>
      </c>
      <c r="Q16069" s="26" t="str">
        <f>HYPERLINK("https://ictv.global/taxonomy/taxondetails?taxnode_id=202504645&amp;ictv_id=ICTV19760768","ICTV19760768")</f>
        <v>ICTV19760768</v>
      </c>
      <c r="R16069" t="s">
        <v>581</v>
      </c>
      <c r="S16069" t="s">
        <v>824</v>
      </c>
      <c r="T16069">
        <v>39</v>
      </c>
      <c r="U16069" s="26" t="str">
        <f t="shared" si="599"/>
        <v>2023.013P.Potyviridae_rename_sp.zip</v>
      </c>
    </row>
    <row r="16070" spans="1:21">
      <c r="A16070">
        <v>16069</v>
      </c>
      <c r="B16070" s="27" t="s">
        <v>1124</v>
      </c>
      <c r="D16070" s="27" t="s">
        <v>1859</v>
      </c>
      <c r="F16070" s="27" t="s">
        <v>1909</v>
      </c>
      <c r="H16070" s="27" t="s">
        <v>1961</v>
      </c>
      <c r="J16070" s="27" t="s">
        <v>1962</v>
      </c>
      <c r="L16070" s="27" t="s">
        <v>148</v>
      </c>
      <c r="N16070" s="27" t="s">
        <v>161</v>
      </c>
      <c r="P16070" s="27" t="s">
        <v>17694</v>
      </c>
      <c r="Q16070" s="26" t="str">
        <f>HYPERLINK("https://ictv.global/taxonomy/taxondetails?taxnode_id=202504610&amp;ictv_id=ICTV20084517","ICTV20084517")</f>
        <v>ICTV20084517</v>
      </c>
      <c r="R16070" t="s">
        <v>581</v>
      </c>
      <c r="S16070" t="s">
        <v>824</v>
      </c>
      <c r="T16070">
        <v>39</v>
      </c>
      <c r="U16070" s="26" t="str">
        <f t="shared" si="599"/>
        <v>2023.013P.Potyviridae_rename_sp.zip</v>
      </c>
    </row>
    <row r="16071" spans="1:21">
      <c r="A16071">
        <v>16070</v>
      </c>
      <c r="B16071" s="27" t="s">
        <v>1124</v>
      </c>
      <c r="D16071" s="27" t="s">
        <v>1859</v>
      </c>
      <c r="F16071" s="27" t="s">
        <v>1909</v>
      </c>
      <c r="H16071" s="27" t="s">
        <v>1961</v>
      </c>
      <c r="J16071" s="27" t="s">
        <v>1962</v>
      </c>
      <c r="L16071" s="27" t="s">
        <v>148</v>
      </c>
      <c r="N16071" s="27" t="s">
        <v>161</v>
      </c>
      <c r="P16071" s="27" t="s">
        <v>17695</v>
      </c>
      <c r="Q16071" s="26" t="str">
        <f>HYPERLINK("https://ictv.global/taxonomy/taxondetails?taxnode_id=202504648&amp;ictv_id=ICTV20041783","ICTV20041783")</f>
        <v>ICTV20041783</v>
      </c>
      <c r="R16071" t="s">
        <v>581</v>
      </c>
      <c r="S16071" t="s">
        <v>824</v>
      </c>
      <c r="T16071">
        <v>39</v>
      </c>
      <c r="U16071" s="26" t="str">
        <f t="shared" si="599"/>
        <v>2023.013P.Potyviridae_rename_sp.zip</v>
      </c>
    </row>
    <row r="16072" spans="1:21">
      <c r="A16072">
        <v>16071</v>
      </c>
      <c r="B16072" s="27" t="s">
        <v>1124</v>
      </c>
      <c r="D16072" s="27" t="s">
        <v>1859</v>
      </c>
      <c r="F16072" s="27" t="s">
        <v>1909</v>
      </c>
      <c r="H16072" s="27" t="s">
        <v>1961</v>
      </c>
      <c r="J16072" s="27" t="s">
        <v>1962</v>
      </c>
      <c r="L16072" s="27" t="s">
        <v>148</v>
      </c>
      <c r="N16072" s="27" t="s">
        <v>161</v>
      </c>
      <c r="P16072" s="27" t="s">
        <v>17696</v>
      </c>
      <c r="Q16072" s="26" t="str">
        <f>HYPERLINK("https://ictv.global/taxonomy/taxondetails?taxnode_id=202504647&amp;ictv_id=ICTV19911794","ICTV19911794")</f>
        <v>ICTV19911794</v>
      </c>
      <c r="R16072" t="s">
        <v>581</v>
      </c>
      <c r="S16072" t="s">
        <v>824</v>
      </c>
      <c r="T16072">
        <v>39</v>
      </c>
      <c r="U16072" s="26" t="str">
        <f t="shared" si="599"/>
        <v>2023.013P.Potyviridae_rename_sp.zip</v>
      </c>
    </row>
    <row r="16073" spans="1:21">
      <c r="A16073">
        <v>16072</v>
      </c>
      <c r="B16073" s="27" t="s">
        <v>1124</v>
      </c>
      <c r="D16073" s="27" t="s">
        <v>1859</v>
      </c>
      <c r="F16073" s="27" t="s">
        <v>1909</v>
      </c>
      <c r="H16073" s="27" t="s">
        <v>1961</v>
      </c>
      <c r="J16073" s="27" t="s">
        <v>1962</v>
      </c>
      <c r="L16073" s="27" t="s">
        <v>148</v>
      </c>
      <c r="N16073" s="27" t="s">
        <v>161</v>
      </c>
      <c r="P16073" s="27" t="s">
        <v>17697</v>
      </c>
      <c r="Q16073" s="26" t="str">
        <f>HYPERLINK("https://ictv.global/taxonomy/taxondetails?taxnode_id=202504716&amp;ictv_id=ICTV20115432","ICTV20115432")</f>
        <v>ICTV20115432</v>
      </c>
      <c r="R16073" t="s">
        <v>581</v>
      </c>
      <c r="S16073" t="s">
        <v>824</v>
      </c>
      <c r="T16073">
        <v>39</v>
      </c>
      <c r="U16073" s="26" t="str">
        <f t="shared" si="599"/>
        <v>2023.013P.Potyviridae_rename_sp.zip</v>
      </c>
    </row>
    <row r="16074" spans="1:21">
      <c r="A16074">
        <v>16073</v>
      </c>
      <c r="B16074" s="27" t="s">
        <v>1124</v>
      </c>
      <c r="D16074" s="27" t="s">
        <v>1859</v>
      </c>
      <c r="F16074" s="27" t="s">
        <v>1909</v>
      </c>
      <c r="H16074" s="27" t="s">
        <v>1961</v>
      </c>
      <c r="J16074" s="27" t="s">
        <v>1962</v>
      </c>
      <c r="L16074" s="27" t="s">
        <v>148</v>
      </c>
      <c r="N16074" s="27" t="s">
        <v>161</v>
      </c>
      <c r="P16074" s="27" t="s">
        <v>17698</v>
      </c>
      <c r="Q16074" s="26" t="str">
        <f>HYPERLINK("https://ictv.global/taxonomy/taxondetails?taxnode_id=202504650&amp;ictv_id=ICTV20143338","ICTV20143338")</f>
        <v>ICTV20143338</v>
      </c>
      <c r="R16074" t="s">
        <v>581</v>
      </c>
      <c r="S16074" t="s">
        <v>824</v>
      </c>
      <c r="T16074">
        <v>39</v>
      </c>
      <c r="U16074" s="26" t="str">
        <f t="shared" si="599"/>
        <v>2023.013P.Potyviridae_rename_sp.zip</v>
      </c>
    </row>
    <row r="16075" spans="1:21">
      <c r="A16075">
        <v>16074</v>
      </c>
      <c r="B16075" s="27" t="s">
        <v>1124</v>
      </c>
      <c r="D16075" s="27" t="s">
        <v>1859</v>
      </c>
      <c r="F16075" s="27" t="s">
        <v>1909</v>
      </c>
      <c r="H16075" s="27" t="s">
        <v>1961</v>
      </c>
      <c r="J16075" s="27" t="s">
        <v>1962</v>
      </c>
      <c r="L16075" s="27" t="s">
        <v>148</v>
      </c>
      <c r="N16075" s="27" t="s">
        <v>161</v>
      </c>
      <c r="P16075" s="27" t="s">
        <v>17699</v>
      </c>
      <c r="Q16075" s="26" t="str">
        <f>HYPERLINK("https://ictv.global/taxonomy/taxondetails?taxnode_id=202504652&amp;ictv_id=ICTV19911795","ICTV19911795")</f>
        <v>ICTV19911795</v>
      </c>
      <c r="R16075" t="s">
        <v>581</v>
      </c>
      <c r="S16075" t="s">
        <v>824</v>
      </c>
      <c r="T16075">
        <v>39</v>
      </c>
      <c r="U16075" s="26" t="str">
        <f t="shared" si="599"/>
        <v>2023.013P.Potyviridae_rename_sp.zip</v>
      </c>
    </row>
    <row r="16076" spans="1:21">
      <c r="A16076">
        <v>16075</v>
      </c>
      <c r="B16076" s="27" t="s">
        <v>1124</v>
      </c>
      <c r="D16076" s="27" t="s">
        <v>1859</v>
      </c>
      <c r="F16076" s="27" t="s">
        <v>1909</v>
      </c>
      <c r="H16076" s="27" t="s">
        <v>1961</v>
      </c>
      <c r="J16076" s="27" t="s">
        <v>1962</v>
      </c>
      <c r="L16076" s="27" t="s">
        <v>148</v>
      </c>
      <c r="N16076" s="27" t="s">
        <v>161</v>
      </c>
      <c r="P16076" s="27" t="s">
        <v>17700</v>
      </c>
      <c r="Q16076" s="26" t="str">
        <f>HYPERLINK("https://ictv.global/taxonomy/taxondetails?taxnode_id=202509672&amp;ictv_id=ICTV202009672","ICTV202009672")</f>
        <v>ICTV202009672</v>
      </c>
      <c r="R16076" t="s">
        <v>581</v>
      </c>
      <c r="S16076" t="s">
        <v>824</v>
      </c>
      <c r="T16076">
        <v>39</v>
      </c>
      <c r="U16076" s="26" t="str">
        <f t="shared" si="599"/>
        <v>2023.013P.Potyviridae_rename_sp.zip</v>
      </c>
    </row>
    <row r="16077" spans="1:21">
      <c r="A16077">
        <v>16076</v>
      </c>
      <c r="B16077" s="27" t="s">
        <v>1124</v>
      </c>
      <c r="D16077" s="27" t="s">
        <v>1859</v>
      </c>
      <c r="F16077" s="27" t="s">
        <v>1909</v>
      </c>
      <c r="H16077" s="27" t="s">
        <v>1961</v>
      </c>
      <c r="J16077" s="27" t="s">
        <v>1962</v>
      </c>
      <c r="L16077" s="27" t="s">
        <v>148</v>
      </c>
      <c r="N16077" s="27" t="s">
        <v>161</v>
      </c>
      <c r="P16077" s="27" t="s">
        <v>20563</v>
      </c>
      <c r="Q16077" s="26" t="str">
        <f>HYPERLINK("https://ictv.global/taxonomy/taxondetails?taxnode_id=202520504&amp;ictv_id=ICTV202420504","ICTV202420504")</f>
        <v>ICTV202420504</v>
      </c>
      <c r="R16077" t="s">
        <v>581</v>
      </c>
      <c r="S16077" t="s">
        <v>823</v>
      </c>
      <c r="T16077">
        <v>40</v>
      </c>
      <c r="U16077" s="26" t="str">
        <f>HYPERLINK("https://ictv.global/ictv/proposals/2024.012P.Potyviridae_1ng_10nsp.zip","2024.012P.Potyviridae_1ng_10nsp.zip")</f>
        <v>2024.012P.Potyviridae_1ng_10nsp.zip</v>
      </c>
    </row>
    <row r="16078" spans="1:21">
      <c r="A16078">
        <v>16077</v>
      </c>
      <c r="B16078" s="27" t="s">
        <v>1124</v>
      </c>
      <c r="D16078" s="27" t="s">
        <v>1859</v>
      </c>
      <c r="F16078" s="27" t="s">
        <v>1909</v>
      </c>
      <c r="H16078" s="27" t="s">
        <v>1961</v>
      </c>
      <c r="J16078" s="27" t="s">
        <v>1962</v>
      </c>
      <c r="L16078" s="27" t="s">
        <v>148</v>
      </c>
      <c r="N16078" s="27" t="s">
        <v>161</v>
      </c>
      <c r="P16078" s="27" t="s">
        <v>17701</v>
      </c>
      <c r="Q16078" s="26" t="str">
        <f>HYPERLINK("https://ictv.global/taxonomy/taxondetails?taxnode_id=202506674&amp;ictv_id=ICTV201856674","ICTV201856674")</f>
        <v>ICTV201856674</v>
      </c>
      <c r="R16078" t="s">
        <v>581</v>
      </c>
      <c r="S16078" t="s">
        <v>824</v>
      </c>
      <c r="T16078">
        <v>39</v>
      </c>
      <c r="U16078" s="26" t="str">
        <f t="shared" ref="U16078:U16083" si="600">HYPERLINK("https://ictv.global/ictv/proposals/2023.013P.Potyviridae_rename_sp.zip","2023.013P.Potyviridae_rename_sp.zip")</f>
        <v>2023.013P.Potyviridae_rename_sp.zip</v>
      </c>
    </row>
    <row r="16079" spans="1:21">
      <c r="A16079">
        <v>16078</v>
      </c>
      <c r="B16079" s="27" t="s">
        <v>1124</v>
      </c>
      <c r="D16079" s="27" t="s">
        <v>1859</v>
      </c>
      <c r="F16079" s="27" t="s">
        <v>1909</v>
      </c>
      <c r="H16079" s="27" t="s">
        <v>1961</v>
      </c>
      <c r="J16079" s="27" t="s">
        <v>1962</v>
      </c>
      <c r="L16079" s="27" t="s">
        <v>148</v>
      </c>
      <c r="N16079" s="27" t="s">
        <v>161</v>
      </c>
      <c r="P16079" s="27" t="s">
        <v>17702</v>
      </c>
      <c r="Q16079" s="26" t="str">
        <f>HYPERLINK("https://ictv.global/taxonomy/taxondetails?taxnode_id=202507433&amp;ictv_id=ICTV201907433","ICTV201907433")</f>
        <v>ICTV201907433</v>
      </c>
      <c r="R16079" t="s">
        <v>581</v>
      </c>
      <c r="S16079" t="s">
        <v>824</v>
      </c>
      <c r="T16079">
        <v>39</v>
      </c>
      <c r="U16079" s="26" t="str">
        <f t="shared" si="600"/>
        <v>2023.013P.Potyviridae_rename_sp.zip</v>
      </c>
    </row>
    <row r="16080" spans="1:21">
      <c r="A16080">
        <v>16079</v>
      </c>
      <c r="B16080" s="27" t="s">
        <v>1124</v>
      </c>
      <c r="D16080" s="27" t="s">
        <v>1859</v>
      </c>
      <c r="F16080" s="27" t="s">
        <v>1909</v>
      </c>
      <c r="H16080" s="27" t="s">
        <v>1961</v>
      </c>
      <c r="J16080" s="27" t="s">
        <v>1962</v>
      </c>
      <c r="L16080" s="27" t="s">
        <v>148</v>
      </c>
      <c r="N16080" s="27" t="s">
        <v>161</v>
      </c>
      <c r="P16080" s="27" t="s">
        <v>17703</v>
      </c>
      <c r="Q16080" s="26" t="str">
        <f>HYPERLINK("https://ictv.global/taxonomy/taxondetails?taxnode_id=202504655&amp;ictv_id=ICTV19760772","ICTV19760772")</f>
        <v>ICTV19760772</v>
      </c>
      <c r="R16080" t="s">
        <v>581</v>
      </c>
      <c r="S16080" t="s">
        <v>824</v>
      </c>
      <c r="T16080">
        <v>39</v>
      </c>
      <c r="U16080" s="26" t="str">
        <f t="shared" si="600"/>
        <v>2023.013P.Potyviridae_rename_sp.zip</v>
      </c>
    </row>
    <row r="16081" spans="1:21">
      <c r="A16081">
        <v>16080</v>
      </c>
      <c r="B16081" s="27" t="s">
        <v>1124</v>
      </c>
      <c r="D16081" s="27" t="s">
        <v>1859</v>
      </c>
      <c r="F16081" s="27" t="s">
        <v>1909</v>
      </c>
      <c r="H16081" s="27" t="s">
        <v>1961</v>
      </c>
      <c r="J16081" s="27" t="s">
        <v>1962</v>
      </c>
      <c r="L16081" s="27" t="s">
        <v>148</v>
      </c>
      <c r="N16081" s="27" t="s">
        <v>161</v>
      </c>
      <c r="P16081" s="27" t="s">
        <v>17704</v>
      </c>
      <c r="Q16081" s="26" t="str">
        <f>HYPERLINK("https://ictv.global/taxonomy/taxondetails?taxnode_id=202504654&amp;ictv_id=ICTV20084556","ICTV20084556")</f>
        <v>ICTV20084556</v>
      </c>
      <c r="R16081" t="s">
        <v>581</v>
      </c>
      <c r="S16081" t="s">
        <v>824</v>
      </c>
      <c r="T16081">
        <v>39</v>
      </c>
      <c r="U16081" s="26" t="str">
        <f t="shared" si="600"/>
        <v>2023.013P.Potyviridae_rename_sp.zip</v>
      </c>
    </row>
    <row r="16082" spans="1:21">
      <c r="A16082">
        <v>16081</v>
      </c>
      <c r="B16082" s="27" t="s">
        <v>1124</v>
      </c>
      <c r="D16082" s="27" t="s">
        <v>1859</v>
      </c>
      <c r="F16082" s="27" t="s">
        <v>1909</v>
      </c>
      <c r="H16082" s="27" t="s">
        <v>1961</v>
      </c>
      <c r="J16082" s="27" t="s">
        <v>1962</v>
      </c>
      <c r="L16082" s="27" t="s">
        <v>148</v>
      </c>
      <c r="N16082" s="27" t="s">
        <v>161</v>
      </c>
      <c r="P16082" s="27" t="s">
        <v>17705</v>
      </c>
      <c r="Q16082" s="26" t="str">
        <f>HYPERLINK("https://ictv.global/taxonomy/taxondetails?taxnode_id=202509675&amp;ictv_id=ICTV202009675","ICTV202009675")</f>
        <v>ICTV202009675</v>
      </c>
      <c r="R16082" t="s">
        <v>581</v>
      </c>
      <c r="S16082" t="s">
        <v>824</v>
      </c>
      <c r="T16082">
        <v>39</v>
      </c>
      <c r="U16082" s="26" t="str">
        <f t="shared" si="600"/>
        <v>2023.013P.Potyviridae_rename_sp.zip</v>
      </c>
    </row>
    <row r="16083" spans="1:21">
      <c r="A16083">
        <v>16082</v>
      </c>
      <c r="B16083" s="27" t="s">
        <v>1124</v>
      </c>
      <c r="D16083" s="27" t="s">
        <v>1859</v>
      </c>
      <c r="F16083" s="27" t="s">
        <v>1909</v>
      </c>
      <c r="H16083" s="27" t="s">
        <v>1961</v>
      </c>
      <c r="J16083" s="27" t="s">
        <v>1962</v>
      </c>
      <c r="L16083" s="27" t="s">
        <v>148</v>
      </c>
      <c r="N16083" s="27" t="s">
        <v>161</v>
      </c>
      <c r="P16083" s="27" t="s">
        <v>17706</v>
      </c>
      <c r="Q16083" s="26" t="str">
        <f>HYPERLINK("https://ictv.global/taxonomy/taxondetails?taxnode_id=202509673&amp;ictv_id=ICTV202009673","ICTV202009673")</f>
        <v>ICTV202009673</v>
      </c>
      <c r="R16083" t="s">
        <v>581</v>
      </c>
      <c r="S16083" t="s">
        <v>824</v>
      </c>
      <c r="T16083">
        <v>39</v>
      </c>
      <c r="U16083" s="26" t="str">
        <f t="shared" si="600"/>
        <v>2023.013P.Potyviridae_rename_sp.zip</v>
      </c>
    </row>
    <row r="16084" spans="1:21">
      <c r="A16084">
        <v>16083</v>
      </c>
      <c r="B16084" s="27" t="s">
        <v>1124</v>
      </c>
      <c r="D16084" s="27" t="s">
        <v>1859</v>
      </c>
      <c r="F16084" s="27" t="s">
        <v>1909</v>
      </c>
      <c r="H16084" s="27" t="s">
        <v>1961</v>
      </c>
      <c r="J16084" s="27" t="s">
        <v>1962</v>
      </c>
      <c r="L16084" s="27" t="s">
        <v>148</v>
      </c>
      <c r="N16084" s="27" t="s">
        <v>161</v>
      </c>
      <c r="P16084" s="27" t="s">
        <v>17707</v>
      </c>
      <c r="Q16084" s="26" t="str">
        <f>HYPERLINK("https://ictv.global/taxonomy/taxondetails?taxnode_id=202518062&amp;ictv_id=ICTV202318062","ICTV202318062")</f>
        <v>ICTV202318062</v>
      </c>
      <c r="R16084" t="s">
        <v>581</v>
      </c>
      <c r="S16084" t="s">
        <v>823</v>
      </c>
      <c r="T16084">
        <v>39</v>
      </c>
      <c r="U16084" s="26" t="str">
        <f>HYPERLINK("https://ictv.global/ictv/proposals/2023.012P.Potyviridae_5nsp.zip","2023.012P.Potyviridae_5nsp.zip")</f>
        <v>2023.012P.Potyviridae_5nsp.zip</v>
      </c>
    </row>
    <row r="16085" spans="1:21">
      <c r="A16085">
        <v>16084</v>
      </c>
      <c r="B16085" s="27" t="s">
        <v>1124</v>
      </c>
      <c r="D16085" s="27" t="s">
        <v>1859</v>
      </c>
      <c r="F16085" s="27" t="s">
        <v>1909</v>
      </c>
      <c r="H16085" s="27" t="s">
        <v>1961</v>
      </c>
      <c r="J16085" s="27" t="s">
        <v>1962</v>
      </c>
      <c r="L16085" s="27" t="s">
        <v>148</v>
      </c>
      <c r="N16085" s="27" t="s">
        <v>161</v>
      </c>
      <c r="P16085" s="27" t="s">
        <v>17708</v>
      </c>
      <c r="Q16085" s="26" t="str">
        <f>HYPERLINK("https://ictv.global/taxonomy/taxondetails?taxnode_id=202504653&amp;ictv_id=ICTV19760771","ICTV19760771")</f>
        <v>ICTV19760771</v>
      </c>
      <c r="R16085" t="s">
        <v>581</v>
      </c>
      <c r="S16085" t="s">
        <v>824</v>
      </c>
      <c r="T16085">
        <v>39</v>
      </c>
      <c r="U16085" s="26" t="str">
        <f t="shared" ref="U16085:U16097" si="601">HYPERLINK("https://ictv.global/ictv/proposals/2023.013P.Potyviridae_rename_sp.zip","2023.013P.Potyviridae_rename_sp.zip")</f>
        <v>2023.013P.Potyviridae_rename_sp.zip</v>
      </c>
    </row>
    <row r="16086" spans="1:21">
      <c r="A16086">
        <v>16085</v>
      </c>
      <c r="B16086" s="27" t="s">
        <v>1124</v>
      </c>
      <c r="D16086" s="27" t="s">
        <v>1859</v>
      </c>
      <c r="F16086" s="27" t="s">
        <v>1909</v>
      </c>
      <c r="H16086" s="27" t="s">
        <v>1961</v>
      </c>
      <c r="J16086" s="27" t="s">
        <v>1962</v>
      </c>
      <c r="L16086" s="27" t="s">
        <v>148</v>
      </c>
      <c r="N16086" s="27" t="s">
        <v>161</v>
      </c>
      <c r="P16086" s="27" t="s">
        <v>17709</v>
      </c>
      <c r="Q16086" s="26" t="str">
        <f>HYPERLINK("https://ictv.global/taxonomy/taxondetails?taxnode_id=202504658&amp;ictv_id=ICTV20084560","ICTV20084560")</f>
        <v>ICTV20084560</v>
      </c>
      <c r="R16086" t="s">
        <v>581</v>
      </c>
      <c r="S16086" t="s">
        <v>824</v>
      </c>
      <c r="T16086">
        <v>39</v>
      </c>
      <c r="U16086" s="26" t="str">
        <f t="shared" si="601"/>
        <v>2023.013P.Potyviridae_rename_sp.zip</v>
      </c>
    </row>
    <row r="16087" spans="1:21">
      <c r="A16087">
        <v>16086</v>
      </c>
      <c r="B16087" s="27" t="s">
        <v>1124</v>
      </c>
      <c r="D16087" s="27" t="s">
        <v>1859</v>
      </c>
      <c r="F16087" s="27" t="s">
        <v>1909</v>
      </c>
      <c r="H16087" s="27" t="s">
        <v>1961</v>
      </c>
      <c r="J16087" s="27" t="s">
        <v>1962</v>
      </c>
      <c r="L16087" s="27" t="s">
        <v>148</v>
      </c>
      <c r="N16087" s="27" t="s">
        <v>161</v>
      </c>
      <c r="P16087" s="27" t="s">
        <v>17710</v>
      </c>
      <c r="Q16087" s="26" t="str">
        <f>HYPERLINK("https://ictv.global/taxonomy/taxondetails?taxnode_id=202504721&amp;ictv_id=ICTV19911825","ICTV19911825")</f>
        <v>ICTV19911825</v>
      </c>
      <c r="R16087" t="s">
        <v>581</v>
      </c>
      <c r="S16087" t="s">
        <v>824</v>
      </c>
      <c r="T16087">
        <v>39</v>
      </c>
      <c r="U16087" s="26" t="str">
        <f t="shared" si="601"/>
        <v>2023.013P.Potyviridae_rename_sp.zip</v>
      </c>
    </row>
    <row r="16088" spans="1:21">
      <c r="A16088">
        <v>16087</v>
      </c>
      <c r="B16088" s="27" t="s">
        <v>1124</v>
      </c>
      <c r="D16088" s="27" t="s">
        <v>1859</v>
      </c>
      <c r="F16088" s="27" t="s">
        <v>1909</v>
      </c>
      <c r="H16088" s="27" t="s">
        <v>1961</v>
      </c>
      <c r="J16088" s="27" t="s">
        <v>1962</v>
      </c>
      <c r="L16088" s="27" t="s">
        <v>148</v>
      </c>
      <c r="N16088" s="27" t="s">
        <v>161</v>
      </c>
      <c r="P16088" s="27" t="s">
        <v>17711</v>
      </c>
      <c r="Q16088" s="26" t="str">
        <f>HYPERLINK("https://ictv.global/taxonomy/taxondetails?taxnode_id=202504719&amp;ictv_id=ICTV20165421","ICTV20165421")</f>
        <v>ICTV20165421</v>
      </c>
      <c r="R16088" t="s">
        <v>581</v>
      </c>
      <c r="S16088" t="s">
        <v>824</v>
      </c>
      <c r="T16088">
        <v>39</v>
      </c>
      <c r="U16088" s="26" t="str">
        <f t="shared" si="601"/>
        <v>2023.013P.Potyviridae_rename_sp.zip</v>
      </c>
    </row>
    <row r="16089" spans="1:21">
      <c r="A16089">
        <v>16088</v>
      </c>
      <c r="B16089" s="27" t="s">
        <v>1124</v>
      </c>
      <c r="D16089" s="27" t="s">
        <v>1859</v>
      </c>
      <c r="F16089" s="27" t="s">
        <v>1909</v>
      </c>
      <c r="H16089" s="27" t="s">
        <v>1961</v>
      </c>
      <c r="J16089" s="27" t="s">
        <v>1962</v>
      </c>
      <c r="L16089" s="27" t="s">
        <v>148</v>
      </c>
      <c r="N16089" s="27" t="s">
        <v>161</v>
      </c>
      <c r="P16089" s="27" t="s">
        <v>17712</v>
      </c>
      <c r="Q16089" s="26" t="str">
        <f>HYPERLINK("https://ictv.global/taxonomy/taxondetails?taxnode_id=202504720&amp;ictv_id=ICTV20143342","ICTV20143342")</f>
        <v>ICTV20143342</v>
      </c>
      <c r="R16089" t="s">
        <v>581</v>
      </c>
      <c r="S16089" t="s">
        <v>824</v>
      </c>
      <c r="T16089">
        <v>39</v>
      </c>
      <c r="U16089" s="26" t="str">
        <f t="shared" si="601"/>
        <v>2023.013P.Potyviridae_rename_sp.zip</v>
      </c>
    </row>
    <row r="16090" spans="1:21">
      <c r="A16090">
        <v>16089</v>
      </c>
      <c r="B16090" s="27" t="s">
        <v>1124</v>
      </c>
      <c r="D16090" s="27" t="s">
        <v>1859</v>
      </c>
      <c r="F16090" s="27" t="s">
        <v>1909</v>
      </c>
      <c r="H16090" s="27" t="s">
        <v>1961</v>
      </c>
      <c r="J16090" s="27" t="s">
        <v>1962</v>
      </c>
      <c r="L16090" s="27" t="s">
        <v>148</v>
      </c>
      <c r="N16090" s="27" t="s">
        <v>161</v>
      </c>
      <c r="P16090" s="27" t="s">
        <v>17713</v>
      </c>
      <c r="Q16090" s="26" t="str">
        <f>HYPERLINK("https://ictv.global/taxonomy/taxondetails?taxnode_id=202504663&amp;ictv_id=ICTV19911818","ICTV19911818")</f>
        <v>ICTV19911818</v>
      </c>
      <c r="R16090" t="s">
        <v>581</v>
      </c>
      <c r="S16090" t="s">
        <v>824</v>
      </c>
      <c r="T16090">
        <v>39</v>
      </c>
      <c r="U16090" s="26" t="str">
        <f t="shared" si="601"/>
        <v>2023.013P.Potyviridae_rename_sp.zip</v>
      </c>
    </row>
    <row r="16091" spans="1:21">
      <c r="A16091">
        <v>16090</v>
      </c>
      <c r="B16091" s="27" t="s">
        <v>1124</v>
      </c>
      <c r="D16091" s="27" t="s">
        <v>1859</v>
      </c>
      <c r="F16091" s="27" t="s">
        <v>1909</v>
      </c>
      <c r="H16091" s="27" t="s">
        <v>1961</v>
      </c>
      <c r="J16091" s="27" t="s">
        <v>1962</v>
      </c>
      <c r="L16091" s="27" t="s">
        <v>148</v>
      </c>
      <c r="N16091" s="27" t="s">
        <v>161</v>
      </c>
      <c r="P16091" s="27" t="s">
        <v>17714</v>
      </c>
      <c r="Q16091" s="26" t="str">
        <f>HYPERLINK("https://ictv.global/taxonomy/taxondetails?taxnode_id=202504664&amp;ictv_id=ICTV20084566","ICTV20084566")</f>
        <v>ICTV20084566</v>
      </c>
      <c r="R16091" t="s">
        <v>581</v>
      </c>
      <c r="S16091" t="s">
        <v>824</v>
      </c>
      <c r="T16091">
        <v>39</v>
      </c>
      <c r="U16091" s="26" t="str">
        <f t="shared" si="601"/>
        <v>2023.013P.Potyviridae_rename_sp.zip</v>
      </c>
    </row>
    <row r="16092" spans="1:21">
      <c r="A16092">
        <v>16091</v>
      </c>
      <c r="B16092" s="27" t="s">
        <v>1124</v>
      </c>
      <c r="D16092" s="27" t="s">
        <v>1859</v>
      </c>
      <c r="F16092" s="27" t="s">
        <v>1909</v>
      </c>
      <c r="H16092" s="27" t="s">
        <v>1961</v>
      </c>
      <c r="J16092" s="27" t="s">
        <v>1962</v>
      </c>
      <c r="L16092" s="27" t="s">
        <v>148</v>
      </c>
      <c r="N16092" s="27" t="s">
        <v>161</v>
      </c>
      <c r="P16092" s="27" t="s">
        <v>17715</v>
      </c>
      <c r="Q16092" s="26" t="str">
        <f>HYPERLINK("https://ictv.global/taxonomy/taxondetails?taxnode_id=202504575&amp;ictv_id=ICTV19951863","ICTV19951863")</f>
        <v>ICTV19951863</v>
      </c>
      <c r="R16092" t="s">
        <v>581</v>
      </c>
      <c r="S16092" t="s">
        <v>824</v>
      </c>
      <c r="T16092">
        <v>39</v>
      </c>
      <c r="U16092" s="26" t="str">
        <f t="shared" si="601"/>
        <v>2023.013P.Potyviridae_rename_sp.zip</v>
      </c>
    </row>
    <row r="16093" spans="1:21">
      <c r="A16093">
        <v>16092</v>
      </c>
      <c r="B16093" s="27" t="s">
        <v>1124</v>
      </c>
      <c r="D16093" s="27" t="s">
        <v>1859</v>
      </c>
      <c r="F16093" s="27" t="s">
        <v>1909</v>
      </c>
      <c r="H16093" s="27" t="s">
        <v>1961</v>
      </c>
      <c r="J16093" s="27" t="s">
        <v>1962</v>
      </c>
      <c r="L16093" s="27" t="s">
        <v>148</v>
      </c>
      <c r="N16093" s="27" t="s">
        <v>161</v>
      </c>
      <c r="P16093" s="27" t="s">
        <v>17716</v>
      </c>
      <c r="Q16093" s="26" t="str">
        <f>HYPERLINK("https://ictv.global/taxonomy/taxondetails?taxnode_id=202504577&amp;ictv_id=ICTV19710251","ICTV19710251")</f>
        <v>ICTV19710251</v>
      </c>
      <c r="R16093" t="s">
        <v>581</v>
      </c>
      <c r="S16093" t="s">
        <v>824</v>
      </c>
      <c r="T16093">
        <v>39</v>
      </c>
      <c r="U16093" s="26" t="str">
        <f t="shared" si="601"/>
        <v>2023.013P.Potyviridae_rename_sp.zip</v>
      </c>
    </row>
    <row r="16094" spans="1:21">
      <c r="A16094">
        <v>16093</v>
      </c>
      <c r="B16094" s="27" t="s">
        <v>1124</v>
      </c>
      <c r="D16094" s="27" t="s">
        <v>1859</v>
      </c>
      <c r="F16094" s="27" t="s">
        <v>1909</v>
      </c>
      <c r="H16094" s="27" t="s">
        <v>1961</v>
      </c>
      <c r="J16094" s="27" t="s">
        <v>1962</v>
      </c>
      <c r="L16094" s="27" t="s">
        <v>148</v>
      </c>
      <c r="N16094" s="27" t="s">
        <v>161</v>
      </c>
      <c r="P16094" s="27" t="s">
        <v>17717</v>
      </c>
      <c r="Q16094" s="26" t="str">
        <f>HYPERLINK("https://ictv.global/taxonomy/taxondetails?taxnode_id=202504576&amp;ictv_id=ICTV19991368","ICTV19991368")</f>
        <v>ICTV19991368</v>
      </c>
      <c r="R16094" t="s">
        <v>581</v>
      </c>
      <c r="S16094" t="s">
        <v>824</v>
      </c>
      <c r="T16094">
        <v>39</v>
      </c>
      <c r="U16094" s="26" t="str">
        <f t="shared" si="601"/>
        <v>2023.013P.Potyviridae_rename_sp.zip</v>
      </c>
    </row>
    <row r="16095" spans="1:21">
      <c r="A16095">
        <v>16094</v>
      </c>
      <c r="B16095" s="27" t="s">
        <v>1124</v>
      </c>
      <c r="D16095" s="27" t="s">
        <v>1859</v>
      </c>
      <c r="F16095" s="27" t="s">
        <v>1909</v>
      </c>
      <c r="H16095" s="27" t="s">
        <v>1961</v>
      </c>
      <c r="J16095" s="27" t="s">
        <v>1962</v>
      </c>
      <c r="L16095" s="27" t="s">
        <v>148</v>
      </c>
      <c r="N16095" s="27" t="s">
        <v>161</v>
      </c>
      <c r="P16095" s="27" t="s">
        <v>17718</v>
      </c>
      <c r="Q16095" s="26" t="str">
        <f>HYPERLINK("https://ictv.global/taxonomy/taxondetails?taxnode_id=202504667&amp;ictv_id=ICTV19760778","ICTV19760778")</f>
        <v>ICTV19760778</v>
      </c>
      <c r="R16095" t="s">
        <v>581</v>
      </c>
      <c r="S16095" t="s">
        <v>824</v>
      </c>
      <c r="T16095">
        <v>39</v>
      </c>
      <c r="U16095" s="26" t="str">
        <f t="shared" si="601"/>
        <v>2023.013P.Potyviridae_rename_sp.zip</v>
      </c>
    </row>
    <row r="16096" spans="1:21">
      <c r="A16096">
        <v>16095</v>
      </c>
      <c r="B16096" s="27" t="s">
        <v>1124</v>
      </c>
      <c r="D16096" s="27" t="s">
        <v>1859</v>
      </c>
      <c r="F16096" s="27" t="s">
        <v>1909</v>
      </c>
      <c r="H16096" s="27" t="s">
        <v>1961</v>
      </c>
      <c r="J16096" s="27" t="s">
        <v>1962</v>
      </c>
      <c r="L16096" s="27" t="s">
        <v>148</v>
      </c>
      <c r="N16096" s="27" t="s">
        <v>161</v>
      </c>
      <c r="P16096" s="27" t="s">
        <v>17719</v>
      </c>
      <c r="Q16096" s="26" t="str">
        <f>HYPERLINK("https://ictv.global/taxonomy/taxondetails?taxnode_id=202504656&amp;ictv_id=ICTV19760774","ICTV19760774")</f>
        <v>ICTV19760774</v>
      </c>
      <c r="R16096" t="s">
        <v>581</v>
      </c>
      <c r="S16096" t="s">
        <v>824</v>
      </c>
      <c r="T16096">
        <v>39</v>
      </c>
      <c r="U16096" s="26" t="str">
        <f t="shared" si="601"/>
        <v>2023.013P.Potyviridae_rename_sp.zip</v>
      </c>
    </row>
    <row r="16097" spans="1:21">
      <c r="A16097">
        <v>16096</v>
      </c>
      <c r="B16097" s="27" t="s">
        <v>1124</v>
      </c>
      <c r="D16097" s="27" t="s">
        <v>1859</v>
      </c>
      <c r="F16097" s="27" t="s">
        <v>1909</v>
      </c>
      <c r="H16097" s="27" t="s">
        <v>1961</v>
      </c>
      <c r="J16097" s="27" t="s">
        <v>1962</v>
      </c>
      <c r="L16097" s="27" t="s">
        <v>148</v>
      </c>
      <c r="N16097" s="27" t="s">
        <v>161</v>
      </c>
      <c r="P16097" s="27" t="s">
        <v>17720</v>
      </c>
      <c r="Q16097" s="26" t="str">
        <f>HYPERLINK("https://ictv.global/taxonomy/taxondetails?taxnode_id=202507437&amp;ictv_id=ICTV201907437","ICTV201907437")</f>
        <v>ICTV201907437</v>
      </c>
      <c r="R16097" t="s">
        <v>581</v>
      </c>
      <c r="S16097" t="s">
        <v>824</v>
      </c>
      <c r="T16097">
        <v>39</v>
      </c>
      <c r="U16097" s="26" t="str">
        <f t="shared" si="601"/>
        <v>2023.013P.Potyviridae_rename_sp.zip</v>
      </c>
    </row>
    <row r="16098" spans="1:21">
      <c r="A16098">
        <v>16097</v>
      </c>
      <c r="B16098" s="27" t="s">
        <v>1124</v>
      </c>
      <c r="D16098" s="27" t="s">
        <v>1859</v>
      </c>
      <c r="F16098" s="27" t="s">
        <v>1909</v>
      </c>
      <c r="H16098" s="27" t="s">
        <v>1961</v>
      </c>
      <c r="J16098" s="27" t="s">
        <v>1962</v>
      </c>
      <c r="L16098" s="27" t="s">
        <v>148</v>
      </c>
      <c r="N16098" s="27" t="s">
        <v>161</v>
      </c>
      <c r="P16098" s="27" t="s">
        <v>10683</v>
      </c>
      <c r="Q16098" s="26" t="str">
        <f>HYPERLINK("https://ictv.global/taxonomy/taxondetails?taxnode_id=202513839&amp;ictv_id=ICTV202113839","ICTV202113839")</f>
        <v>ICTV202113839</v>
      </c>
      <c r="R16098" t="s">
        <v>581</v>
      </c>
      <c r="S16098" t="s">
        <v>823</v>
      </c>
      <c r="T16098">
        <v>37</v>
      </c>
      <c r="U16098" s="26" t="str">
        <f>HYPERLINK("https://ictv.global/ictv/proposals/2021.006P.R.Potyvirus_5ns_3as.zip","2021.006P.R.Potyvirus_5ns_3as.zip")</f>
        <v>2021.006P.R.Potyvirus_5ns_3as.zip</v>
      </c>
    </row>
    <row r="16099" spans="1:21">
      <c r="A16099">
        <v>16098</v>
      </c>
      <c r="B16099" s="27" t="s">
        <v>1124</v>
      </c>
      <c r="D16099" s="27" t="s">
        <v>1859</v>
      </c>
      <c r="F16099" s="27" t="s">
        <v>1909</v>
      </c>
      <c r="H16099" s="27" t="s">
        <v>1961</v>
      </c>
      <c r="J16099" s="27" t="s">
        <v>1962</v>
      </c>
      <c r="L16099" s="27" t="s">
        <v>148</v>
      </c>
      <c r="N16099" s="27" t="s">
        <v>161</v>
      </c>
      <c r="P16099" s="27" t="s">
        <v>17721</v>
      </c>
      <c r="Q16099" s="26" t="str">
        <f>HYPERLINK("https://ictv.global/taxonomy/taxondetails?taxnode_id=202509674&amp;ictv_id=ICTV202009674","ICTV202009674")</f>
        <v>ICTV202009674</v>
      </c>
      <c r="R16099" t="s">
        <v>581</v>
      </c>
      <c r="S16099" t="s">
        <v>824</v>
      </c>
      <c r="T16099">
        <v>39</v>
      </c>
      <c r="U16099" s="26" t="str">
        <f>HYPERLINK("https://ictv.global/ictv/proposals/2023.013P.Potyviridae_rename_sp.zip","2023.013P.Potyviridae_rename_sp.zip")</f>
        <v>2023.013P.Potyviridae_rename_sp.zip</v>
      </c>
    </row>
    <row r="16100" spans="1:21">
      <c r="A16100">
        <v>16099</v>
      </c>
      <c r="B16100" s="27" t="s">
        <v>1124</v>
      </c>
      <c r="D16100" s="27" t="s">
        <v>1859</v>
      </c>
      <c r="F16100" s="27" t="s">
        <v>1909</v>
      </c>
      <c r="H16100" s="27" t="s">
        <v>1961</v>
      </c>
      <c r="J16100" s="27" t="s">
        <v>1962</v>
      </c>
      <c r="L16100" s="27" t="s">
        <v>148</v>
      </c>
      <c r="N16100" s="27" t="s">
        <v>161</v>
      </c>
      <c r="P16100" s="27" t="s">
        <v>17722</v>
      </c>
      <c r="Q16100" s="26" t="str">
        <f>HYPERLINK("https://ictv.global/taxonomy/taxondetails?taxnode_id=202504666&amp;ictv_id=ICTV19791085","ICTV19791085")</f>
        <v>ICTV19791085</v>
      </c>
      <c r="R16100" t="s">
        <v>581</v>
      </c>
      <c r="S16100" t="s">
        <v>824</v>
      </c>
      <c r="T16100">
        <v>39</v>
      </c>
      <c r="U16100" s="26" t="str">
        <f>HYPERLINK("https://ictv.global/ictv/proposals/2023.013P.Potyviridae_rename_sp.zip","2023.013P.Potyviridae_rename_sp.zip")</f>
        <v>2023.013P.Potyviridae_rename_sp.zip</v>
      </c>
    </row>
    <row r="16101" spans="1:21">
      <c r="A16101">
        <v>16100</v>
      </c>
      <c r="B16101" s="27" t="s">
        <v>1124</v>
      </c>
      <c r="D16101" s="27" t="s">
        <v>1859</v>
      </c>
      <c r="F16101" s="27" t="s">
        <v>1909</v>
      </c>
      <c r="H16101" s="27" t="s">
        <v>1961</v>
      </c>
      <c r="J16101" s="27" t="s">
        <v>1962</v>
      </c>
      <c r="L16101" s="27" t="s">
        <v>148</v>
      </c>
      <c r="N16101" s="27" t="s">
        <v>161</v>
      </c>
      <c r="P16101" s="27" t="s">
        <v>17723</v>
      </c>
      <c r="Q16101" s="26" t="str">
        <f>HYPERLINK("https://ictv.global/taxonomy/taxondetails?taxnode_id=202504700&amp;ictv_id=ICTV19991442","ICTV19991442")</f>
        <v>ICTV19991442</v>
      </c>
      <c r="R16101" t="s">
        <v>581</v>
      </c>
      <c r="S16101" t="s">
        <v>824</v>
      </c>
      <c r="T16101">
        <v>39</v>
      </c>
      <c r="U16101" s="26" t="str">
        <f>HYPERLINK("https://ictv.global/ictv/proposals/2023.013P.Potyviridae_rename_sp.zip","2023.013P.Potyviridae_rename_sp.zip")</f>
        <v>2023.013P.Potyviridae_rename_sp.zip</v>
      </c>
    </row>
    <row r="16102" spans="1:21">
      <c r="A16102">
        <v>16101</v>
      </c>
      <c r="B16102" s="27" t="s">
        <v>1124</v>
      </c>
      <c r="D16102" s="27" t="s">
        <v>1859</v>
      </c>
      <c r="F16102" s="27" t="s">
        <v>1909</v>
      </c>
      <c r="H16102" s="27" t="s">
        <v>1961</v>
      </c>
      <c r="J16102" s="27" t="s">
        <v>1962</v>
      </c>
      <c r="L16102" s="27" t="s">
        <v>148</v>
      </c>
      <c r="N16102" s="27" t="s">
        <v>161</v>
      </c>
      <c r="P16102" s="27" t="s">
        <v>17724</v>
      </c>
      <c r="Q16102" s="26" t="str">
        <f>HYPERLINK("https://ictv.global/taxonomy/taxondetails?taxnode_id=202504701&amp;ictv_id=ICTV20084598","ICTV20084598")</f>
        <v>ICTV20084598</v>
      </c>
      <c r="R16102" t="s">
        <v>581</v>
      </c>
      <c r="S16102" t="s">
        <v>824</v>
      </c>
      <c r="T16102">
        <v>39</v>
      </c>
      <c r="U16102" s="26" t="str">
        <f>HYPERLINK("https://ictv.global/ictv/proposals/2023.013P.Potyviridae_rename_sp.zip","2023.013P.Potyviridae_rename_sp.zip")</f>
        <v>2023.013P.Potyviridae_rename_sp.zip</v>
      </c>
    </row>
    <row r="16103" spans="1:21">
      <c r="A16103">
        <v>16102</v>
      </c>
      <c r="B16103" s="27" t="s">
        <v>1124</v>
      </c>
      <c r="D16103" s="27" t="s">
        <v>1859</v>
      </c>
      <c r="F16103" s="27" t="s">
        <v>1909</v>
      </c>
      <c r="H16103" s="27" t="s">
        <v>1961</v>
      </c>
      <c r="J16103" s="27" t="s">
        <v>1962</v>
      </c>
      <c r="L16103" s="27" t="s">
        <v>148</v>
      </c>
      <c r="N16103" s="27" t="s">
        <v>161</v>
      </c>
      <c r="P16103" s="27" t="s">
        <v>17725</v>
      </c>
      <c r="Q16103" s="26" t="str">
        <f>HYPERLINK("https://ictv.global/taxonomy/taxondetails?taxnode_id=202518063&amp;ictv_id=ICTV202318063","ICTV202318063")</f>
        <v>ICTV202318063</v>
      </c>
      <c r="R16103" t="s">
        <v>581</v>
      </c>
      <c r="S16103" t="s">
        <v>823</v>
      </c>
      <c r="T16103">
        <v>39</v>
      </c>
      <c r="U16103" s="26" t="str">
        <f>HYPERLINK("https://ictv.global/ictv/proposals/2023.012P.Potyviridae_5nsp.zip","2023.012P.Potyviridae_5nsp.zip")</f>
        <v>2023.012P.Potyviridae_5nsp.zip</v>
      </c>
    </row>
    <row r="16104" spans="1:21">
      <c r="A16104">
        <v>16103</v>
      </c>
      <c r="B16104" s="27" t="s">
        <v>1124</v>
      </c>
      <c r="D16104" s="27" t="s">
        <v>1859</v>
      </c>
      <c r="F16104" s="27" t="s">
        <v>1909</v>
      </c>
      <c r="H16104" s="27" t="s">
        <v>1961</v>
      </c>
      <c r="J16104" s="27" t="s">
        <v>1962</v>
      </c>
      <c r="L16104" s="27" t="s">
        <v>148</v>
      </c>
      <c r="N16104" s="27" t="s">
        <v>161</v>
      </c>
      <c r="P16104" s="27" t="s">
        <v>20564</v>
      </c>
      <c r="Q16104" s="26" t="str">
        <f>HYPERLINK("https://ictv.global/taxonomy/taxondetails?taxnode_id=202520506&amp;ictv_id=ICTV202420506","ICTV202420506")</f>
        <v>ICTV202420506</v>
      </c>
      <c r="R16104" t="s">
        <v>581</v>
      </c>
      <c r="S16104" t="s">
        <v>823</v>
      </c>
      <c r="T16104">
        <v>40</v>
      </c>
      <c r="U16104" s="26" t="str">
        <f>HYPERLINK("https://ictv.global/ictv/proposals/2024.012P.Potyviridae_1ng_10nsp.zip","2024.012P.Potyviridae_1ng_10nsp.zip")</f>
        <v>2024.012P.Potyviridae_1ng_10nsp.zip</v>
      </c>
    </row>
    <row r="16105" spans="1:21">
      <c r="A16105">
        <v>16104</v>
      </c>
      <c r="B16105" s="27" t="s">
        <v>1124</v>
      </c>
      <c r="D16105" s="27" t="s">
        <v>1859</v>
      </c>
      <c r="F16105" s="27" t="s">
        <v>1909</v>
      </c>
      <c r="H16105" s="27" t="s">
        <v>1961</v>
      </c>
      <c r="J16105" s="27" t="s">
        <v>1962</v>
      </c>
      <c r="L16105" s="27" t="s">
        <v>148</v>
      </c>
      <c r="N16105" s="27" t="s">
        <v>161</v>
      </c>
      <c r="P16105" s="27" t="s">
        <v>20565</v>
      </c>
      <c r="Q16105" s="26" t="str">
        <f>HYPERLINK("https://ictv.global/taxonomy/taxondetails?taxnode_id=202520502&amp;ictv_id=ICTV202420502","ICTV202420502")</f>
        <v>ICTV202420502</v>
      </c>
      <c r="R16105" t="s">
        <v>581</v>
      </c>
      <c r="S16105" t="s">
        <v>823</v>
      </c>
      <c r="T16105">
        <v>40</v>
      </c>
      <c r="U16105" s="26" t="str">
        <f>HYPERLINK("https://ictv.global/ictv/proposals/2024.012P.Potyviridae_1ng_10nsp.zip","2024.012P.Potyviridae_1ng_10nsp.zip")</f>
        <v>2024.012P.Potyviridae_1ng_10nsp.zip</v>
      </c>
    </row>
    <row r="16106" spans="1:21">
      <c r="A16106">
        <v>16105</v>
      </c>
      <c r="B16106" s="27" t="s">
        <v>1124</v>
      </c>
      <c r="D16106" s="27" t="s">
        <v>1859</v>
      </c>
      <c r="F16106" s="27" t="s">
        <v>1909</v>
      </c>
      <c r="H16106" s="27" t="s">
        <v>1961</v>
      </c>
      <c r="J16106" s="27" t="s">
        <v>1962</v>
      </c>
      <c r="L16106" s="27" t="s">
        <v>148</v>
      </c>
      <c r="N16106" s="27" t="s">
        <v>161</v>
      </c>
      <c r="P16106" s="27" t="s">
        <v>17726</v>
      </c>
      <c r="Q16106" s="26" t="str">
        <f>HYPERLINK("https://ictv.global/taxonomy/taxondetails?taxnode_id=202504673&amp;ictv_id=ICTV20084575","ICTV20084575")</f>
        <v>ICTV20084575</v>
      </c>
      <c r="R16106" t="s">
        <v>581</v>
      </c>
      <c r="S16106" t="s">
        <v>824</v>
      </c>
      <c r="T16106">
        <v>39</v>
      </c>
      <c r="U16106" s="26" t="str">
        <f t="shared" ref="U16106:U16114" si="602">HYPERLINK("https://ictv.global/ictv/proposals/2023.013P.Potyviridae_rename_sp.zip","2023.013P.Potyviridae_rename_sp.zip")</f>
        <v>2023.013P.Potyviridae_rename_sp.zip</v>
      </c>
    </row>
    <row r="16107" spans="1:21">
      <c r="A16107">
        <v>16106</v>
      </c>
      <c r="B16107" s="27" t="s">
        <v>1124</v>
      </c>
      <c r="D16107" s="27" t="s">
        <v>1859</v>
      </c>
      <c r="F16107" s="27" t="s">
        <v>1909</v>
      </c>
      <c r="H16107" s="27" t="s">
        <v>1961</v>
      </c>
      <c r="J16107" s="27" t="s">
        <v>1962</v>
      </c>
      <c r="L16107" s="27" t="s">
        <v>148</v>
      </c>
      <c r="N16107" s="27" t="s">
        <v>161</v>
      </c>
      <c r="P16107" s="27" t="s">
        <v>17727</v>
      </c>
      <c r="Q16107" s="26" t="str">
        <f>HYPERLINK("https://ictv.global/taxonomy/taxondetails?taxnode_id=202504671&amp;ictv_id=ICTV20084573","ICTV20084573")</f>
        <v>ICTV20084573</v>
      </c>
      <c r="R16107" t="s">
        <v>581</v>
      </c>
      <c r="S16107" t="s">
        <v>824</v>
      </c>
      <c r="T16107">
        <v>39</v>
      </c>
      <c r="U16107" s="26" t="str">
        <f t="shared" si="602"/>
        <v>2023.013P.Potyviridae_rename_sp.zip</v>
      </c>
    </row>
    <row r="16108" spans="1:21">
      <c r="A16108">
        <v>16107</v>
      </c>
      <c r="B16108" s="27" t="s">
        <v>1124</v>
      </c>
      <c r="D16108" s="27" t="s">
        <v>1859</v>
      </c>
      <c r="F16108" s="27" t="s">
        <v>1909</v>
      </c>
      <c r="H16108" s="27" t="s">
        <v>1961</v>
      </c>
      <c r="J16108" s="27" t="s">
        <v>1962</v>
      </c>
      <c r="L16108" s="27" t="s">
        <v>148</v>
      </c>
      <c r="N16108" s="27" t="s">
        <v>161</v>
      </c>
      <c r="P16108" s="27" t="s">
        <v>17728</v>
      </c>
      <c r="Q16108" s="26" t="str">
        <f>HYPERLINK("https://ictv.global/taxonomy/taxondetails?taxnode_id=202504672&amp;ictv_id=ICTV20084574","ICTV20084574")</f>
        <v>ICTV20084574</v>
      </c>
      <c r="R16108" t="s">
        <v>581</v>
      </c>
      <c r="S16108" t="s">
        <v>824</v>
      </c>
      <c r="T16108">
        <v>39</v>
      </c>
      <c r="U16108" s="26" t="str">
        <f t="shared" si="602"/>
        <v>2023.013P.Potyviridae_rename_sp.zip</v>
      </c>
    </row>
    <row r="16109" spans="1:21">
      <c r="A16109">
        <v>16108</v>
      </c>
      <c r="B16109" s="27" t="s">
        <v>1124</v>
      </c>
      <c r="D16109" s="27" t="s">
        <v>1859</v>
      </c>
      <c r="F16109" s="27" t="s">
        <v>1909</v>
      </c>
      <c r="H16109" s="27" t="s">
        <v>1961</v>
      </c>
      <c r="J16109" s="27" t="s">
        <v>1962</v>
      </c>
      <c r="L16109" s="27" t="s">
        <v>148</v>
      </c>
      <c r="N16109" s="27" t="s">
        <v>161</v>
      </c>
      <c r="P16109" s="27" t="s">
        <v>17729</v>
      </c>
      <c r="Q16109" s="26" t="str">
        <f>HYPERLINK("https://ictv.global/taxonomy/taxondetails?taxnode_id=202504704&amp;ictv_id=ICTV19991444","ICTV19991444")</f>
        <v>ICTV19991444</v>
      </c>
      <c r="R16109" t="s">
        <v>581</v>
      </c>
      <c r="S16109" t="s">
        <v>824</v>
      </c>
      <c r="T16109">
        <v>39</v>
      </c>
      <c r="U16109" s="26" t="str">
        <f t="shared" si="602"/>
        <v>2023.013P.Potyviridae_rename_sp.zip</v>
      </c>
    </row>
    <row r="16110" spans="1:21">
      <c r="A16110">
        <v>16109</v>
      </c>
      <c r="B16110" s="27" t="s">
        <v>1124</v>
      </c>
      <c r="D16110" s="27" t="s">
        <v>1859</v>
      </c>
      <c r="F16110" s="27" t="s">
        <v>1909</v>
      </c>
      <c r="H16110" s="27" t="s">
        <v>1961</v>
      </c>
      <c r="J16110" s="27" t="s">
        <v>1962</v>
      </c>
      <c r="L16110" s="27" t="s">
        <v>148</v>
      </c>
      <c r="N16110" s="27" t="s">
        <v>161</v>
      </c>
      <c r="P16110" s="27" t="s">
        <v>17730</v>
      </c>
      <c r="Q16110" s="26" t="str">
        <f>HYPERLINK("https://ictv.global/taxonomy/taxondetails?taxnode_id=202504674&amp;ictv_id=ICTV20041802","ICTV20041802")</f>
        <v>ICTV20041802</v>
      </c>
      <c r="R16110" t="s">
        <v>581</v>
      </c>
      <c r="S16110" t="s">
        <v>824</v>
      </c>
      <c r="T16110">
        <v>39</v>
      </c>
      <c r="U16110" s="26" t="str">
        <f t="shared" si="602"/>
        <v>2023.013P.Potyviridae_rename_sp.zip</v>
      </c>
    </row>
    <row r="16111" spans="1:21">
      <c r="A16111">
        <v>16110</v>
      </c>
      <c r="B16111" s="27" t="s">
        <v>1124</v>
      </c>
      <c r="D16111" s="27" t="s">
        <v>1859</v>
      </c>
      <c r="F16111" s="27" t="s">
        <v>1909</v>
      </c>
      <c r="H16111" s="27" t="s">
        <v>1961</v>
      </c>
      <c r="J16111" s="27" t="s">
        <v>1962</v>
      </c>
      <c r="L16111" s="27" t="s">
        <v>148</v>
      </c>
      <c r="N16111" s="27" t="s">
        <v>161</v>
      </c>
      <c r="P16111" s="27" t="s">
        <v>17731</v>
      </c>
      <c r="Q16111" s="26" t="str">
        <f>HYPERLINK("https://ictv.global/taxonomy/taxondetails?taxnode_id=202506673&amp;ictv_id=ICTV201856673","ICTV201856673")</f>
        <v>ICTV201856673</v>
      </c>
      <c r="R16111" t="s">
        <v>581</v>
      </c>
      <c r="S16111" t="s">
        <v>824</v>
      </c>
      <c r="T16111">
        <v>39</v>
      </c>
      <c r="U16111" s="26" t="str">
        <f t="shared" si="602"/>
        <v>2023.013P.Potyviridae_rename_sp.zip</v>
      </c>
    </row>
    <row r="16112" spans="1:21">
      <c r="A16112">
        <v>16111</v>
      </c>
      <c r="B16112" s="27" t="s">
        <v>1124</v>
      </c>
      <c r="D16112" s="27" t="s">
        <v>1859</v>
      </c>
      <c r="F16112" s="27" t="s">
        <v>1909</v>
      </c>
      <c r="H16112" s="27" t="s">
        <v>1961</v>
      </c>
      <c r="J16112" s="27" t="s">
        <v>1962</v>
      </c>
      <c r="L16112" s="27" t="s">
        <v>148</v>
      </c>
      <c r="N16112" s="27" t="s">
        <v>161</v>
      </c>
      <c r="P16112" s="27" t="s">
        <v>17732</v>
      </c>
      <c r="Q16112" s="26" t="str">
        <f>HYPERLINK("https://ictv.global/taxonomy/taxondetails?taxnode_id=202504681&amp;ictv_id=ICTV19760782","ICTV19760782")</f>
        <v>ICTV19760782</v>
      </c>
      <c r="R16112" t="s">
        <v>581</v>
      </c>
      <c r="S16112" t="s">
        <v>824</v>
      </c>
      <c r="T16112">
        <v>39</v>
      </c>
      <c r="U16112" s="26" t="str">
        <f t="shared" si="602"/>
        <v>2023.013P.Potyviridae_rename_sp.zip</v>
      </c>
    </row>
    <row r="16113" spans="1:21">
      <c r="A16113">
        <v>16112</v>
      </c>
      <c r="B16113" s="27" t="s">
        <v>1124</v>
      </c>
      <c r="D16113" s="27" t="s">
        <v>1859</v>
      </c>
      <c r="F16113" s="27" t="s">
        <v>1909</v>
      </c>
      <c r="H16113" s="27" t="s">
        <v>1961</v>
      </c>
      <c r="J16113" s="27" t="s">
        <v>1962</v>
      </c>
      <c r="L16113" s="27" t="s">
        <v>148</v>
      </c>
      <c r="N16113" s="27" t="s">
        <v>161</v>
      </c>
      <c r="P16113" s="27" t="s">
        <v>17733</v>
      </c>
      <c r="Q16113" s="26" t="str">
        <f>HYPERLINK("https://ictv.global/taxonomy/taxondetails?taxnode_id=202504675&amp;ictv_id=ICTV20041803","ICTV20041803")</f>
        <v>ICTV20041803</v>
      </c>
      <c r="R16113" t="s">
        <v>581</v>
      </c>
      <c r="S16113" t="s">
        <v>824</v>
      </c>
      <c r="T16113">
        <v>39</v>
      </c>
      <c r="U16113" s="26" t="str">
        <f t="shared" si="602"/>
        <v>2023.013P.Potyviridae_rename_sp.zip</v>
      </c>
    </row>
    <row r="16114" spans="1:21">
      <c r="A16114">
        <v>16113</v>
      </c>
      <c r="B16114" s="27" t="s">
        <v>1124</v>
      </c>
      <c r="D16114" s="27" t="s">
        <v>1859</v>
      </c>
      <c r="F16114" s="27" t="s">
        <v>1909</v>
      </c>
      <c r="H16114" s="27" t="s">
        <v>1961</v>
      </c>
      <c r="J16114" s="27" t="s">
        <v>1962</v>
      </c>
      <c r="L16114" s="27" t="s">
        <v>148</v>
      </c>
      <c r="N16114" s="27" t="s">
        <v>161</v>
      </c>
      <c r="P16114" s="27" t="s">
        <v>17734</v>
      </c>
      <c r="Q16114" s="26" t="str">
        <f>HYPERLINK("https://ictv.global/taxonomy/taxondetails?taxnode_id=202504584&amp;ictv_id=ICTV20094543","ICTV20094543")</f>
        <v>ICTV20094543</v>
      </c>
      <c r="R16114" t="s">
        <v>581</v>
      </c>
      <c r="S16114" t="s">
        <v>824</v>
      </c>
      <c r="T16114">
        <v>39</v>
      </c>
      <c r="U16114" s="26" t="str">
        <f t="shared" si="602"/>
        <v>2023.013P.Potyviridae_rename_sp.zip</v>
      </c>
    </row>
    <row r="16115" spans="1:21">
      <c r="A16115">
        <v>16114</v>
      </c>
      <c r="B16115" s="27" t="s">
        <v>1124</v>
      </c>
      <c r="D16115" s="27" t="s">
        <v>1859</v>
      </c>
      <c r="F16115" s="27" t="s">
        <v>1909</v>
      </c>
      <c r="H16115" s="27" t="s">
        <v>1961</v>
      </c>
      <c r="J16115" s="27" t="s">
        <v>1962</v>
      </c>
      <c r="L16115" s="27" t="s">
        <v>148</v>
      </c>
      <c r="N16115" s="27" t="s">
        <v>161</v>
      </c>
      <c r="P16115" s="27" t="s">
        <v>10684</v>
      </c>
      <c r="Q16115" s="26" t="str">
        <f>HYPERLINK("https://ictv.global/taxonomy/taxondetails?taxnode_id=202515113&amp;ictv_id=ICTV202215113","ICTV202215113")</f>
        <v>ICTV202215113</v>
      </c>
      <c r="R16115" t="s">
        <v>581</v>
      </c>
      <c r="S16115" t="s">
        <v>823</v>
      </c>
      <c r="T16115">
        <v>38</v>
      </c>
      <c r="U16115" s="26" t="str">
        <f>HYPERLINK("https://ictv.global/ictv/proposals/2022.010P.Potyviridae_7ns.zip","2022.010P.Potyviridae_7ns.zip")</f>
        <v>2022.010P.Potyviridae_7ns.zip</v>
      </c>
    </row>
    <row r="16116" spans="1:21">
      <c r="A16116">
        <v>16115</v>
      </c>
      <c r="B16116" s="27" t="s">
        <v>1124</v>
      </c>
      <c r="D16116" s="27" t="s">
        <v>1859</v>
      </c>
      <c r="F16116" s="27" t="s">
        <v>1909</v>
      </c>
      <c r="H16116" s="27" t="s">
        <v>1961</v>
      </c>
      <c r="J16116" s="27" t="s">
        <v>1962</v>
      </c>
      <c r="L16116" s="27" t="s">
        <v>148</v>
      </c>
      <c r="N16116" s="27" t="s">
        <v>161</v>
      </c>
      <c r="P16116" s="27" t="s">
        <v>21588</v>
      </c>
      <c r="Q16116" s="26" t="str">
        <f>HYPERLINK("https://ictv.global/taxonomy/taxondetails?taxnode_id=202522454&amp;ictv_id=ICTV202522454","ICTV202522454")</f>
        <v>ICTV202522454</v>
      </c>
      <c r="R16116" t="s">
        <v>581</v>
      </c>
      <c r="S16116" t="s">
        <v>823</v>
      </c>
      <c r="T16116">
        <v>41</v>
      </c>
      <c r="U16116" s="26" t="str">
        <f>HYPERLINK("https://ictv.global/ictv/proposals/2025.009P.Potyviridae_5nsp.zip","2025.009P.Potyviridae_5nsp.zip")</f>
        <v>2025.009P.Potyviridae_5nsp.zip</v>
      </c>
    </row>
    <row r="16117" spans="1:21">
      <c r="A16117">
        <v>16116</v>
      </c>
      <c r="B16117" s="27" t="s">
        <v>1124</v>
      </c>
      <c r="D16117" s="27" t="s">
        <v>1859</v>
      </c>
      <c r="F16117" s="27" t="s">
        <v>1909</v>
      </c>
      <c r="H16117" s="27" t="s">
        <v>1961</v>
      </c>
      <c r="J16117" s="27" t="s">
        <v>1962</v>
      </c>
      <c r="L16117" s="27" t="s">
        <v>148</v>
      </c>
      <c r="N16117" s="27" t="s">
        <v>161</v>
      </c>
      <c r="P16117" s="27" t="s">
        <v>17735</v>
      </c>
      <c r="Q16117" s="26" t="str">
        <f>HYPERLINK("https://ictv.global/taxonomy/taxondetails?taxnode_id=202504678&amp;ictv_id=ICTV19911809","ICTV19911809")</f>
        <v>ICTV19911809</v>
      </c>
      <c r="R16117" t="s">
        <v>581</v>
      </c>
      <c r="S16117" t="s">
        <v>824</v>
      </c>
      <c r="T16117">
        <v>39</v>
      </c>
      <c r="U16117" s="26" t="str">
        <f>HYPERLINK("https://ictv.global/ictv/proposals/2023.013P.Potyviridae_rename_sp.zip","2023.013P.Potyviridae_rename_sp.zip")</f>
        <v>2023.013P.Potyviridae_rename_sp.zip</v>
      </c>
    </row>
    <row r="16118" spans="1:21">
      <c r="A16118">
        <v>16117</v>
      </c>
      <c r="B16118" s="27" t="s">
        <v>1124</v>
      </c>
      <c r="D16118" s="27" t="s">
        <v>1859</v>
      </c>
      <c r="F16118" s="27" t="s">
        <v>1909</v>
      </c>
      <c r="H16118" s="27" t="s">
        <v>1961</v>
      </c>
      <c r="J16118" s="27" t="s">
        <v>1962</v>
      </c>
      <c r="L16118" s="27" t="s">
        <v>148</v>
      </c>
      <c r="N16118" s="27" t="s">
        <v>161</v>
      </c>
      <c r="P16118" s="27" t="s">
        <v>17736</v>
      </c>
      <c r="Q16118" s="26" t="str">
        <f>HYPERLINK("https://ictv.global/taxonomy/taxondetails?taxnode_id=202504680&amp;ictv_id=ICTV20094633","ICTV20094633")</f>
        <v>ICTV20094633</v>
      </c>
      <c r="R16118" t="s">
        <v>581</v>
      </c>
      <c r="S16118" t="s">
        <v>824</v>
      </c>
      <c r="T16118">
        <v>39</v>
      </c>
      <c r="U16118" s="26" t="str">
        <f>HYPERLINK("https://ictv.global/ictv/proposals/2023.013P.Potyviridae_rename_sp.zip","2023.013P.Potyviridae_rename_sp.zip")</f>
        <v>2023.013P.Potyviridae_rename_sp.zip</v>
      </c>
    </row>
    <row r="16119" spans="1:21">
      <c r="A16119">
        <v>16118</v>
      </c>
      <c r="B16119" s="27" t="s">
        <v>1124</v>
      </c>
      <c r="D16119" s="27" t="s">
        <v>1859</v>
      </c>
      <c r="F16119" s="27" t="s">
        <v>1909</v>
      </c>
      <c r="H16119" s="27" t="s">
        <v>1961</v>
      </c>
      <c r="J16119" s="27" t="s">
        <v>1962</v>
      </c>
      <c r="L16119" s="27" t="s">
        <v>148</v>
      </c>
      <c r="N16119" s="27" t="s">
        <v>161</v>
      </c>
      <c r="P16119" s="27" t="s">
        <v>17737</v>
      </c>
      <c r="Q16119" s="26" t="str">
        <f>HYPERLINK("https://ictv.global/taxonomy/taxondetails?taxnode_id=202504705&amp;ictv_id=ICTV20094654","ICTV20094654")</f>
        <v>ICTV20094654</v>
      </c>
      <c r="R16119" t="s">
        <v>581</v>
      </c>
      <c r="S16119" t="s">
        <v>824</v>
      </c>
      <c r="T16119">
        <v>39</v>
      </c>
      <c r="U16119" s="26" t="str">
        <f>HYPERLINK("https://ictv.global/ictv/proposals/2023.013P.Potyviridae_rename_sp.zip","2023.013P.Potyviridae_rename_sp.zip")</f>
        <v>2023.013P.Potyviridae_rename_sp.zip</v>
      </c>
    </row>
    <row r="16120" spans="1:21">
      <c r="A16120">
        <v>16119</v>
      </c>
      <c r="B16120" s="27" t="s">
        <v>1124</v>
      </c>
      <c r="D16120" s="27" t="s">
        <v>1859</v>
      </c>
      <c r="F16120" s="27" t="s">
        <v>1909</v>
      </c>
      <c r="H16120" s="27" t="s">
        <v>1961</v>
      </c>
      <c r="J16120" s="27" t="s">
        <v>1962</v>
      </c>
      <c r="L16120" s="27" t="s">
        <v>148</v>
      </c>
      <c r="N16120" s="27" t="s">
        <v>161</v>
      </c>
      <c r="P16120" s="27" t="s">
        <v>17738</v>
      </c>
      <c r="Q16120" s="26" t="str">
        <f>HYPERLINK("https://ictv.global/taxonomy/taxondetails?taxnode_id=202504583&amp;ictv_id=ICTV20094542","ICTV20094542")</f>
        <v>ICTV20094542</v>
      </c>
      <c r="R16120" t="s">
        <v>581</v>
      </c>
      <c r="S16120" t="s">
        <v>824</v>
      </c>
      <c r="T16120">
        <v>39</v>
      </c>
      <c r="U16120" s="26" t="str">
        <f>HYPERLINK("https://ictv.global/ictv/proposals/2023.013P.Potyviridae_rename_sp.zip","2023.013P.Potyviridae_rename_sp.zip")</f>
        <v>2023.013P.Potyviridae_rename_sp.zip</v>
      </c>
    </row>
    <row r="16121" spans="1:21">
      <c r="A16121">
        <v>16120</v>
      </c>
      <c r="B16121" s="27" t="s">
        <v>1124</v>
      </c>
      <c r="D16121" s="27" t="s">
        <v>1859</v>
      </c>
      <c r="F16121" s="27" t="s">
        <v>1909</v>
      </c>
      <c r="H16121" s="27" t="s">
        <v>1961</v>
      </c>
      <c r="J16121" s="27" t="s">
        <v>1962</v>
      </c>
      <c r="L16121" s="27" t="s">
        <v>148</v>
      </c>
      <c r="N16121" s="27" t="s">
        <v>161</v>
      </c>
      <c r="P16121" s="27" t="s">
        <v>10685</v>
      </c>
      <c r="Q16121" s="26" t="str">
        <f>HYPERLINK("https://ictv.global/taxonomy/taxondetails?taxnode_id=202515112&amp;ictv_id=ICTV202215112","ICTV202215112")</f>
        <v>ICTV202215112</v>
      </c>
      <c r="R16121" t="s">
        <v>581</v>
      </c>
      <c r="S16121" t="s">
        <v>823</v>
      </c>
      <c r="T16121">
        <v>38</v>
      </c>
      <c r="U16121" s="26" t="str">
        <f>HYPERLINK("https://ictv.global/ictv/proposals/2022.010P.Potyviridae_7ns.zip","2022.010P.Potyviridae_7ns.zip")</f>
        <v>2022.010P.Potyviridae_7ns.zip</v>
      </c>
    </row>
    <row r="16122" spans="1:21">
      <c r="A16122">
        <v>16121</v>
      </c>
      <c r="B16122" s="27" t="s">
        <v>1124</v>
      </c>
      <c r="D16122" s="27" t="s">
        <v>1859</v>
      </c>
      <c r="F16122" s="27" t="s">
        <v>1909</v>
      </c>
      <c r="H16122" s="27" t="s">
        <v>1961</v>
      </c>
      <c r="J16122" s="27" t="s">
        <v>1962</v>
      </c>
      <c r="L16122" s="27" t="s">
        <v>148</v>
      </c>
      <c r="N16122" s="27" t="s">
        <v>161</v>
      </c>
      <c r="P16122" s="27" t="s">
        <v>17739</v>
      </c>
      <c r="Q16122" s="26" t="str">
        <f>HYPERLINK("https://ictv.global/taxonomy/taxondetails?taxnode_id=202504692&amp;ictv_id=ICTV19911815","ICTV19911815")</f>
        <v>ICTV19911815</v>
      </c>
      <c r="R16122" t="s">
        <v>581</v>
      </c>
      <c r="S16122" t="s">
        <v>824</v>
      </c>
      <c r="T16122">
        <v>39</v>
      </c>
      <c r="U16122" s="26" t="str">
        <f>HYPERLINK("https://ictv.global/ictv/proposals/2023.013P.Potyviridae_rename_sp.zip","2023.013P.Potyviridae_rename_sp.zip")</f>
        <v>2023.013P.Potyviridae_rename_sp.zip</v>
      </c>
    </row>
    <row r="16123" spans="1:21">
      <c r="A16123">
        <v>16122</v>
      </c>
      <c r="B16123" s="27" t="s">
        <v>1124</v>
      </c>
      <c r="D16123" s="27" t="s">
        <v>1859</v>
      </c>
      <c r="F16123" s="27" t="s">
        <v>1909</v>
      </c>
      <c r="H16123" s="27" t="s">
        <v>1961</v>
      </c>
      <c r="J16123" s="27" t="s">
        <v>1962</v>
      </c>
      <c r="L16123" s="27" t="s">
        <v>148</v>
      </c>
      <c r="N16123" s="27" t="s">
        <v>161</v>
      </c>
      <c r="P16123" s="27" t="s">
        <v>17740</v>
      </c>
      <c r="Q16123" s="26" t="str">
        <f>HYPERLINK("https://ictv.global/taxonomy/taxondetails?taxnode_id=202504693&amp;ictv_id=ICTV20094642","ICTV20094642")</f>
        <v>ICTV20094642</v>
      </c>
      <c r="R16123" t="s">
        <v>581</v>
      </c>
      <c r="S16123" t="s">
        <v>824</v>
      </c>
      <c r="T16123">
        <v>39</v>
      </c>
      <c r="U16123" s="26" t="str">
        <f>HYPERLINK("https://ictv.global/ictv/proposals/2023.013P.Potyviridae_rename_sp.zip","2023.013P.Potyviridae_rename_sp.zip")</f>
        <v>2023.013P.Potyviridae_rename_sp.zip</v>
      </c>
    </row>
    <row r="16124" spans="1:21">
      <c r="A16124">
        <v>16123</v>
      </c>
      <c r="B16124" s="27" t="s">
        <v>1124</v>
      </c>
      <c r="D16124" s="27" t="s">
        <v>1859</v>
      </c>
      <c r="F16124" s="27" t="s">
        <v>1909</v>
      </c>
      <c r="H16124" s="27" t="s">
        <v>1961</v>
      </c>
      <c r="J16124" s="27" t="s">
        <v>1962</v>
      </c>
      <c r="L16124" s="27" t="s">
        <v>148</v>
      </c>
      <c r="N16124" s="27" t="s">
        <v>161</v>
      </c>
      <c r="P16124" s="27" t="s">
        <v>17741</v>
      </c>
      <c r="Q16124" s="26" t="str">
        <f>HYPERLINK("https://ictv.global/taxonomy/taxondetails?taxnode_id=202518061&amp;ictv_id=ICTV202318061","ICTV202318061")</f>
        <v>ICTV202318061</v>
      </c>
      <c r="R16124" t="s">
        <v>581</v>
      </c>
      <c r="S16124" t="s">
        <v>823</v>
      </c>
      <c r="T16124">
        <v>39</v>
      </c>
      <c r="U16124" s="26" t="str">
        <f>HYPERLINK("https://ictv.global/ictv/proposals/2023.012P.Potyviridae_5nsp.zip","2023.012P.Potyviridae_5nsp.zip")</f>
        <v>2023.012P.Potyviridae_5nsp.zip</v>
      </c>
    </row>
    <row r="16125" spans="1:21">
      <c r="A16125">
        <v>16124</v>
      </c>
      <c r="B16125" s="27" t="s">
        <v>1124</v>
      </c>
      <c r="D16125" s="27" t="s">
        <v>1859</v>
      </c>
      <c r="F16125" s="27" t="s">
        <v>1909</v>
      </c>
      <c r="H16125" s="27" t="s">
        <v>1961</v>
      </c>
      <c r="J16125" s="27" t="s">
        <v>1962</v>
      </c>
      <c r="L16125" s="27" t="s">
        <v>148</v>
      </c>
      <c r="N16125" s="27" t="s">
        <v>161</v>
      </c>
      <c r="P16125" s="27" t="s">
        <v>17742</v>
      </c>
      <c r="Q16125" s="26" t="str">
        <f>HYPERLINK("https://ictv.global/taxonomy/taxondetails?taxnode_id=202518064&amp;ictv_id=ICTV202318064","ICTV202318064")</f>
        <v>ICTV202318064</v>
      </c>
      <c r="R16125" t="s">
        <v>581</v>
      </c>
      <c r="S16125" t="s">
        <v>823</v>
      </c>
      <c r="T16125">
        <v>39</v>
      </c>
      <c r="U16125" s="26" t="str">
        <f>HYPERLINK("https://ictv.global/ictv/proposals/2023.012P.Potyviridae_5nsp.zip","2023.012P.Potyviridae_5nsp.zip")</f>
        <v>2023.012P.Potyviridae_5nsp.zip</v>
      </c>
    </row>
    <row r="16126" spans="1:21">
      <c r="A16126">
        <v>16125</v>
      </c>
      <c r="B16126" s="27" t="s">
        <v>1124</v>
      </c>
      <c r="D16126" s="27" t="s">
        <v>1859</v>
      </c>
      <c r="F16126" s="27" t="s">
        <v>1909</v>
      </c>
      <c r="H16126" s="27" t="s">
        <v>1961</v>
      </c>
      <c r="J16126" s="27" t="s">
        <v>1962</v>
      </c>
      <c r="L16126" s="27" t="s">
        <v>148</v>
      </c>
      <c r="N16126" s="27" t="s">
        <v>161</v>
      </c>
      <c r="P16126" s="27" t="s">
        <v>10686</v>
      </c>
      <c r="Q16126" s="26" t="str">
        <f>HYPERLINK("https://ictv.global/taxonomy/taxondetails?taxnode_id=202515114&amp;ictv_id=ICTV202215114","ICTV202215114")</f>
        <v>ICTV202215114</v>
      </c>
      <c r="R16126" t="s">
        <v>581</v>
      </c>
      <c r="S16126" t="s">
        <v>823</v>
      </c>
      <c r="T16126">
        <v>38</v>
      </c>
      <c r="U16126" s="26" t="str">
        <f>HYPERLINK("https://ictv.global/ictv/proposals/2022.010P.Potyviridae_7ns.zip","2022.010P.Potyviridae_7ns.zip")</f>
        <v>2022.010P.Potyviridae_7ns.zip</v>
      </c>
    </row>
    <row r="16127" spans="1:21">
      <c r="A16127">
        <v>16126</v>
      </c>
      <c r="B16127" s="27" t="s">
        <v>1124</v>
      </c>
      <c r="D16127" s="27" t="s">
        <v>1859</v>
      </c>
      <c r="F16127" s="27" t="s">
        <v>1909</v>
      </c>
      <c r="H16127" s="27" t="s">
        <v>1961</v>
      </c>
      <c r="J16127" s="27" t="s">
        <v>1962</v>
      </c>
      <c r="L16127" s="27" t="s">
        <v>148</v>
      </c>
      <c r="N16127" s="27" t="s">
        <v>161</v>
      </c>
      <c r="P16127" s="27" t="s">
        <v>17743</v>
      </c>
      <c r="Q16127" s="26" t="str">
        <f>HYPERLINK("https://ictv.global/taxonomy/taxondetails?taxnode_id=202504694&amp;ictv_id=ICTV20084591","ICTV20084591")</f>
        <v>ICTV20084591</v>
      </c>
      <c r="R16127" t="s">
        <v>581</v>
      </c>
      <c r="S16127" t="s">
        <v>824</v>
      </c>
      <c r="T16127">
        <v>39</v>
      </c>
      <c r="U16127" s="26" t="str">
        <f t="shared" ref="U16127:U16163" si="603">HYPERLINK("https://ictv.global/ictv/proposals/2023.013P.Potyviridae_rename_sp.zip","2023.013P.Potyviridae_rename_sp.zip")</f>
        <v>2023.013P.Potyviridae_rename_sp.zip</v>
      </c>
    </row>
    <row r="16128" spans="1:21">
      <c r="A16128">
        <v>16127</v>
      </c>
      <c r="B16128" s="27" t="s">
        <v>1124</v>
      </c>
      <c r="D16128" s="27" t="s">
        <v>1859</v>
      </c>
      <c r="F16128" s="27" t="s">
        <v>1909</v>
      </c>
      <c r="H16128" s="27" t="s">
        <v>1961</v>
      </c>
      <c r="J16128" s="27" t="s">
        <v>1962</v>
      </c>
      <c r="L16128" s="27" t="s">
        <v>148</v>
      </c>
      <c r="N16128" s="27" t="s">
        <v>161</v>
      </c>
      <c r="P16128" s="27" t="s">
        <v>17744</v>
      </c>
      <c r="Q16128" s="26" t="str">
        <f>HYPERLINK("https://ictv.global/taxonomy/taxondetails?taxnode_id=202504712&amp;ictv_id=ICTV20094659","ICTV20094659")</f>
        <v>ICTV20094659</v>
      </c>
      <c r="R16128" t="s">
        <v>581</v>
      </c>
      <c r="S16128" t="s">
        <v>824</v>
      </c>
      <c r="T16128">
        <v>39</v>
      </c>
      <c r="U16128" s="26" t="str">
        <f t="shared" si="603"/>
        <v>2023.013P.Potyviridae_rename_sp.zip</v>
      </c>
    </row>
    <row r="16129" spans="1:21">
      <c r="A16129">
        <v>16128</v>
      </c>
      <c r="B16129" s="27" t="s">
        <v>1124</v>
      </c>
      <c r="D16129" s="27" t="s">
        <v>1859</v>
      </c>
      <c r="F16129" s="27" t="s">
        <v>1909</v>
      </c>
      <c r="H16129" s="27" t="s">
        <v>1961</v>
      </c>
      <c r="J16129" s="27" t="s">
        <v>1962</v>
      </c>
      <c r="L16129" s="27" t="s">
        <v>148</v>
      </c>
      <c r="N16129" s="27" t="s">
        <v>161</v>
      </c>
      <c r="P16129" s="27" t="s">
        <v>17745</v>
      </c>
      <c r="Q16129" s="26" t="str">
        <f>HYPERLINK("https://ictv.global/taxonomy/taxondetails?taxnode_id=202504699&amp;ictv_id=ICTV20084595","ICTV20084595")</f>
        <v>ICTV20084595</v>
      </c>
      <c r="R16129" t="s">
        <v>581</v>
      </c>
      <c r="S16129" t="s">
        <v>824</v>
      </c>
      <c r="T16129">
        <v>39</v>
      </c>
      <c r="U16129" s="26" t="str">
        <f t="shared" si="603"/>
        <v>2023.013P.Potyviridae_rename_sp.zip</v>
      </c>
    </row>
    <row r="16130" spans="1:21">
      <c r="A16130">
        <v>16129</v>
      </c>
      <c r="B16130" s="27" t="s">
        <v>1124</v>
      </c>
      <c r="D16130" s="27" t="s">
        <v>1859</v>
      </c>
      <c r="F16130" s="27" t="s">
        <v>1909</v>
      </c>
      <c r="H16130" s="27" t="s">
        <v>1961</v>
      </c>
      <c r="J16130" s="27" t="s">
        <v>1962</v>
      </c>
      <c r="L16130" s="27" t="s">
        <v>148</v>
      </c>
      <c r="N16130" s="27" t="s">
        <v>161</v>
      </c>
      <c r="P16130" s="27" t="s">
        <v>17746</v>
      </c>
      <c r="Q16130" s="26" t="str">
        <f>HYPERLINK("https://ictv.global/taxonomy/taxondetails?taxnode_id=202504598&amp;ictv_id=ICTV19951873","ICTV19951873")</f>
        <v>ICTV19951873</v>
      </c>
      <c r="R16130" t="s">
        <v>581</v>
      </c>
      <c r="S16130" t="s">
        <v>824</v>
      </c>
      <c r="T16130">
        <v>39</v>
      </c>
      <c r="U16130" s="26" t="str">
        <f t="shared" si="603"/>
        <v>2023.013P.Potyviridae_rename_sp.zip</v>
      </c>
    </row>
    <row r="16131" spans="1:21">
      <c r="A16131">
        <v>16130</v>
      </c>
      <c r="B16131" s="27" t="s">
        <v>1124</v>
      </c>
      <c r="D16131" s="27" t="s">
        <v>1859</v>
      </c>
      <c r="F16131" s="27" t="s">
        <v>1909</v>
      </c>
      <c r="H16131" s="27" t="s">
        <v>1961</v>
      </c>
      <c r="J16131" s="27" t="s">
        <v>1962</v>
      </c>
      <c r="L16131" s="27" t="s">
        <v>148</v>
      </c>
      <c r="N16131" s="27" t="s">
        <v>161</v>
      </c>
      <c r="P16131" s="27" t="s">
        <v>17747</v>
      </c>
      <c r="Q16131" s="26" t="str">
        <f>HYPERLINK("https://ictv.global/taxonomy/taxondetails?taxnode_id=202504600&amp;ictv_id=ICTV19710254","ICTV19710254")</f>
        <v>ICTV19710254</v>
      </c>
      <c r="R16131" t="s">
        <v>581</v>
      </c>
      <c r="S16131" t="s">
        <v>824</v>
      </c>
      <c r="T16131">
        <v>39</v>
      </c>
      <c r="U16131" s="26" t="str">
        <f t="shared" si="603"/>
        <v>2023.013P.Potyviridae_rename_sp.zip</v>
      </c>
    </row>
    <row r="16132" spans="1:21">
      <c r="A16132">
        <v>16131</v>
      </c>
      <c r="B16132" s="27" t="s">
        <v>1124</v>
      </c>
      <c r="D16132" s="27" t="s">
        <v>1859</v>
      </c>
      <c r="F16132" s="27" t="s">
        <v>1909</v>
      </c>
      <c r="H16132" s="27" t="s">
        <v>1961</v>
      </c>
      <c r="J16132" s="27" t="s">
        <v>1962</v>
      </c>
      <c r="L16132" s="27" t="s">
        <v>148</v>
      </c>
      <c r="N16132" s="27" t="s">
        <v>161</v>
      </c>
      <c r="P16132" s="27" t="s">
        <v>17748</v>
      </c>
      <c r="Q16132" s="26" t="str">
        <f>HYPERLINK("https://ictv.global/taxonomy/taxondetails?taxnode_id=202507436&amp;ictv_id=ICTV201907436","ICTV201907436")</f>
        <v>ICTV201907436</v>
      </c>
      <c r="R16132" t="s">
        <v>581</v>
      </c>
      <c r="S16132" t="s">
        <v>824</v>
      </c>
      <c r="T16132">
        <v>39</v>
      </c>
      <c r="U16132" s="26" t="str">
        <f t="shared" si="603"/>
        <v>2023.013P.Potyviridae_rename_sp.zip</v>
      </c>
    </row>
    <row r="16133" spans="1:21">
      <c r="A16133">
        <v>16132</v>
      </c>
      <c r="B16133" s="27" t="s">
        <v>1124</v>
      </c>
      <c r="D16133" s="27" t="s">
        <v>1859</v>
      </c>
      <c r="F16133" s="27" t="s">
        <v>1909</v>
      </c>
      <c r="H16133" s="27" t="s">
        <v>1961</v>
      </c>
      <c r="J16133" s="27" t="s">
        <v>1962</v>
      </c>
      <c r="L16133" s="27" t="s">
        <v>148</v>
      </c>
      <c r="N16133" s="27" t="s">
        <v>161</v>
      </c>
      <c r="P16133" s="27" t="s">
        <v>17749</v>
      </c>
      <c r="Q16133" s="26" t="str">
        <f>HYPERLINK("https://ictv.global/taxonomy/taxondetails?taxnode_id=202507438&amp;ictv_id=ICTV201907438","ICTV201907438")</f>
        <v>ICTV201907438</v>
      </c>
      <c r="R16133" t="s">
        <v>581</v>
      </c>
      <c r="S16133" t="s">
        <v>824</v>
      </c>
      <c r="T16133">
        <v>39</v>
      </c>
      <c r="U16133" s="26" t="str">
        <f t="shared" si="603"/>
        <v>2023.013P.Potyviridae_rename_sp.zip</v>
      </c>
    </row>
    <row r="16134" spans="1:21">
      <c r="A16134">
        <v>16133</v>
      </c>
      <c r="B16134" s="27" t="s">
        <v>1124</v>
      </c>
      <c r="D16134" s="27" t="s">
        <v>1859</v>
      </c>
      <c r="F16134" s="27" t="s">
        <v>1909</v>
      </c>
      <c r="H16134" s="27" t="s">
        <v>1961</v>
      </c>
      <c r="J16134" s="27" t="s">
        <v>1962</v>
      </c>
      <c r="L16134" s="27" t="s">
        <v>148</v>
      </c>
      <c r="N16134" s="27" t="s">
        <v>161</v>
      </c>
      <c r="P16134" s="27" t="s">
        <v>17750</v>
      </c>
      <c r="Q16134" s="26" t="str">
        <f>HYPERLINK("https://ictv.global/taxonomy/taxondetails?taxnode_id=202504702&amp;ictv_id=ICTV19760784","ICTV19760784")</f>
        <v>ICTV19760784</v>
      </c>
      <c r="R16134" t="s">
        <v>581</v>
      </c>
      <c r="S16134" t="s">
        <v>824</v>
      </c>
      <c r="T16134">
        <v>39</v>
      </c>
      <c r="U16134" s="26" t="str">
        <f t="shared" si="603"/>
        <v>2023.013P.Potyviridae_rename_sp.zip</v>
      </c>
    </row>
    <row r="16135" spans="1:21">
      <c r="A16135">
        <v>16134</v>
      </c>
      <c r="B16135" s="27" t="s">
        <v>1124</v>
      </c>
      <c r="D16135" s="27" t="s">
        <v>1859</v>
      </c>
      <c r="F16135" s="27" t="s">
        <v>1909</v>
      </c>
      <c r="H16135" s="27" t="s">
        <v>1961</v>
      </c>
      <c r="J16135" s="27" t="s">
        <v>1962</v>
      </c>
      <c r="L16135" s="27" t="s">
        <v>148</v>
      </c>
      <c r="N16135" s="27" t="s">
        <v>161</v>
      </c>
      <c r="P16135" s="27" t="s">
        <v>17751</v>
      </c>
      <c r="Q16135" s="26" t="str">
        <f>HYPERLINK("https://ictv.global/taxonomy/taxondetails?taxnode_id=202504703&amp;ictv_id=ICTV20074417","ICTV20074417")</f>
        <v>ICTV20074417</v>
      </c>
      <c r="R16135" t="s">
        <v>581</v>
      </c>
      <c r="S16135" t="s">
        <v>824</v>
      </c>
      <c r="T16135">
        <v>39</v>
      </c>
      <c r="U16135" s="26" t="str">
        <f t="shared" si="603"/>
        <v>2023.013P.Potyviridae_rename_sp.zip</v>
      </c>
    </row>
    <row r="16136" spans="1:21">
      <c r="A16136">
        <v>16135</v>
      </c>
      <c r="B16136" s="27" t="s">
        <v>1124</v>
      </c>
      <c r="D16136" s="27" t="s">
        <v>1859</v>
      </c>
      <c r="F16136" s="27" t="s">
        <v>1909</v>
      </c>
      <c r="H16136" s="27" t="s">
        <v>1961</v>
      </c>
      <c r="J16136" s="27" t="s">
        <v>1962</v>
      </c>
      <c r="L16136" s="27" t="s">
        <v>148</v>
      </c>
      <c r="N16136" s="27" t="s">
        <v>161</v>
      </c>
      <c r="P16136" s="27" t="s">
        <v>17752</v>
      </c>
      <c r="Q16136" s="26" t="str">
        <f>HYPERLINK("https://ictv.global/taxonomy/taxondetails?taxnode_id=202504706&amp;ictv_id=ICTV20094655","ICTV20094655")</f>
        <v>ICTV20094655</v>
      </c>
      <c r="R16136" t="s">
        <v>581</v>
      </c>
      <c r="S16136" t="s">
        <v>824</v>
      </c>
      <c r="T16136">
        <v>39</v>
      </c>
      <c r="U16136" s="26" t="str">
        <f t="shared" si="603"/>
        <v>2023.013P.Potyviridae_rename_sp.zip</v>
      </c>
    </row>
    <row r="16137" spans="1:21">
      <c r="A16137">
        <v>16136</v>
      </c>
      <c r="B16137" s="27" t="s">
        <v>1124</v>
      </c>
      <c r="D16137" s="27" t="s">
        <v>1859</v>
      </c>
      <c r="F16137" s="27" t="s">
        <v>1909</v>
      </c>
      <c r="H16137" s="27" t="s">
        <v>1961</v>
      </c>
      <c r="J16137" s="27" t="s">
        <v>1962</v>
      </c>
      <c r="L16137" s="27" t="s">
        <v>148</v>
      </c>
      <c r="N16137" s="27" t="s">
        <v>161</v>
      </c>
      <c r="P16137" s="27" t="s">
        <v>17753</v>
      </c>
      <c r="Q16137" s="26" t="str">
        <f>HYPERLINK("https://ictv.global/taxonomy/taxondetails?taxnode_id=202504707&amp;ictv_id=ICTV20153977","ICTV20153977")</f>
        <v>ICTV20153977</v>
      </c>
      <c r="R16137" t="s">
        <v>581</v>
      </c>
      <c r="S16137" t="s">
        <v>824</v>
      </c>
      <c r="T16137">
        <v>39</v>
      </c>
      <c r="U16137" s="26" t="str">
        <f t="shared" si="603"/>
        <v>2023.013P.Potyviridae_rename_sp.zip</v>
      </c>
    </row>
    <row r="16138" spans="1:21">
      <c r="A16138">
        <v>16137</v>
      </c>
      <c r="B16138" s="27" t="s">
        <v>1124</v>
      </c>
      <c r="D16138" s="27" t="s">
        <v>1859</v>
      </c>
      <c r="F16138" s="27" t="s">
        <v>1909</v>
      </c>
      <c r="H16138" s="27" t="s">
        <v>1961</v>
      </c>
      <c r="J16138" s="27" t="s">
        <v>1962</v>
      </c>
      <c r="L16138" s="27" t="s">
        <v>148</v>
      </c>
      <c r="N16138" s="27" t="s">
        <v>161</v>
      </c>
      <c r="P16138" s="27" t="s">
        <v>17754</v>
      </c>
      <c r="Q16138" s="26" t="str">
        <f>HYPERLINK("https://ictv.global/taxonomy/taxondetails?taxnode_id=202504708&amp;ictv_id=ICTV20143341","ICTV20143341")</f>
        <v>ICTV20143341</v>
      </c>
      <c r="R16138" t="s">
        <v>581</v>
      </c>
      <c r="S16138" t="s">
        <v>824</v>
      </c>
      <c r="T16138">
        <v>39</v>
      </c>
      <c r="U16138" s="26" t="str">
        <f t="shared" si="603"/>
        <v>2023.013P.Potyviridae_rename_sp.zip</v>
      </c>
    </row>
    <row r="16139" spans="1:21">
      <c r="A16139">
        <v>16138</v>
      </c>
      <c r="B16139" s="27" t="s">
        <v>1124</v>
      </c>
      <c r="D16139" s="27" t="s">
        <v>1859</v>
      </c>
      <c r="F16139" s="27" t="s">
        <v>1909</v>
      </c>
      <c r="H16139" s="27" t="s">
        <v>1961</v>
      </c>
      <c r="J16139" s="27" t="s">
        <v>1962</v>
      </c>
      <c r="L16139" s="27" t="s">
        <v>148</v>
      </c>
      <c r="N16139" s="27" t="s">
        <v>161</v>
      </c>
      <c r="P16139" s="27" t="s">
        <v>17755</v>
      </c>
      <c r="Q16139" s="26" t="str">
        <f>HYPERLINK("https://ictv.global/taxonomy/taxondetails?taxnode_id=202504669&amp;ictv_id=ICTV19911807","ICTV19911807")</f>
        <v>ICTV19911807</v>
      </c>
      <c r="R16139" t="s">
        <v>581</v>
      </c>
      <c r="S16139" t="s">
        <v>824</v>
      </c>
      <c r="T16139">
        <v>39</v>
      </c>
      <c r="U16139" s="26" t="str">
        <f t="shared" si="603"/>
        <v>2023.013P.Potyviridae_rename_sp.zip</v>
      </c>
    </row>
    <row r="16140" spans="1:21">
      <c r="A16140">
        <v>16139</v>
      </c>
      <c r="B16140" s="27" t="s">
        <v>1124</v>
      </c>
      <c r="D16140" s="27" t="s">
        <v>1859</v>
      </c>
      <c r="F16140" s="27" t="s">
        <v>1909</v>
      </c>
      <c r="H16140" s="27" t="s">
        <v>1961</v>
      </c>
      <c r="J16140" s="27" t="s">
        <v>1962</v>
      </c>
      <c r="L16140" s="27" t="s">
        <v>148</v>
      </c>
      <c r="N16140" s="27" t="s">
        <v>161</v>
      </c>
      <c r="P16140" s="27" t="s">
        <v>17756</v>
      </c>
      <c r="Q16140" s="26" t="str">
        <f>HYPERLINK("https://ictv.global/taxonomy/taxondetails?taxnode_id=202504602&amp;ictv_id=ICTV19710255","ICTV19710255")</f>
        <v>ICTV19710255</v>
      </c>
      <c r="R16140" t="s">
        <v>581</v>
      </c>
      <c r="S16140" t="s">
        <v>824</v>
      </c>
      <c r="T16140">
        <v>39</v>
      </c>
      <c r="U16140" s="26" t="str">
        <f t="shared" si="603"/>
        <v>2023.013P.Potyviridae_rename_sp.zip</v>
      </c>
    </row>
    <row r="16141" spans="1:21">
      <c r="A16141">
        <v>16140</v>
      </c>
      <c r="B16141" s="27" t="s">
        <v>1124</v>
      </c>
      <c r="D16141" s="27" t="s">
        <v>1859</v>
      </c>
      <c r="F16141" s="27" t="s">
        <v>1909</v>
      </c>
      <c r="H16141" s="27" t="s">
        <v>1961</v>
      </c>
      <c r="J16141" s="27" t="s">
        <v>1962</v>
      </c>
      <c r="L16141" s="27" t="s">
        <v>148</v>
      </c>
      <c r="N16141" s="27" t="s">
        <v>161</v>
      </c>
      <c r="P16141" s="27" t="s">
        <v>17757</v>
      </c>
      <c r="Q16141" s="26" t="str">
        <f>HYPERLINK("https://ictv.global/taxonomy/taxondetails?taxnode_id=202504713&amp;ictv_id=ICTV19821336","ICTV19821336")</f>
        <v>ICTV19821336</v>
      </c>
      <c r="R16141" t="s">
        <v>581</v>
      </c>
      <c r="S16141" t="s">
        <v>824</v>
      </c>
      <c r="T16141">
        <v>39</v>
      </c>
      <c r="U16141" s="26" t="str">
        <f t="shared" si="603"/>
        <v>2023.013P.Potyviridae_rename_sp.zip</v>
      </c>
    </row>
    <row r="16142" spans="1:21">
      <c r="A16142">
        <v>16141</v>
      </c>
      <c r="B16142" s="27" t="s">
        <v>1124</v>
      </c>
      <c r="D16142" s="27" t="s">
        <v>1859</v>
      </c>
      <c r="F16142" s="27" t="s">
        <v>1909</v>
      </c>
      <c r="H16142" s="27" t="s">
        <v>1961</v>
      </c>
      <c r="J16142" s="27" t="s">
        <v>1962</v>
      </c>
      <c r="L16142" s="27" t="s">
        <v>148</v>
      </c>
      <c r="N16142" s="27" t="s">
        <v>161</v>
      </c>
      <c r="P16142" s="27" t="s">
        <v>17758</v>
      </c>
      <c r="Q16142" s="26" t="str">
        <f>HYPERLINK("https://ictv.global/taxonomy/taxondetails?taxnode_id=202504714&amp;ictv_id=ICTV20074423","ICTV20074423")</f>
        <v>ICTV20074423</v>
      </c>
      <c r="R16142" t="s">
        <v>581</v>
      </c>
      <c r="S16142" t="s">
        <v>824</v>
      </c>
      <c r="T16142">
        <v>39</v>
      </c>
      <c r="U16142" s="26" t="str">
        <f t="shared" si="603"/>
        <v>2023.013P.Potyviridae_rename_sp.zip</v>
      </c>
    </row>
    <row r="16143" spans="1:21">
      <c r="A16143">
        <v>16142</v>
      </c>
      <c r="B16143" s="27" t="s">
        <v>1124</v>
      </c>
      <c r="D16143" s="27" t="s">
        <v>1859</v>
      </c>
      <c r="F16143" s="27" t="s">
        <v>1909</v>
      </c>
      <c r="H16143" s="27" t="s">
        <v>1961</v>
      </c>
      <c r="J16143" s="27" t="s">
        <v>1962</v>
      </c>
      <c r="L16143" s="27" t="s">
        <v>148</v>
      </c>
      <c r="N16143" s="27" t="s">
        <v>161</v>
      </c>
      <c r="P16143" s="27" t="s">
        <v>17759</v>
      </c>
      <c r="Q16143" s="26" t="str">
        <f>HYPERLINK("https://ictv.global/taxonomy/taxondetails?taxnode_id=202504715&amp;ictv_id=ICTV19911824","ICTV19911824")</f>
        <v>ICTV19911824</v>
      </c>
      <c r="R16143" t="s">
        <v>581</v>
      </c>
      <c r="S16143" t="s">
        <v>824</v>
      </c>
      <c r="T16143">
        <v>39</v>
      </c>
      <c r="U16143" s="26" t="str">
        <f t="shared" si="603"/>
        <v>2023.013P.Potyviridae_rename_sp.zip</v>
      </c>
    </row>
    <row r="16144" spans="1:21">
      <c r="A16144">
        <v>16143</v>
      </c>
      <c r="B16144" s="27" t="s">
        <v>1124</v>
      </c>
      <c r="D16144" s="27" t="s">
        <v>1859</v>
      </c>
      <c r="F16144" s="27" t="s">
        <v>1909</v>
      </c>
      <c r="H16144" s="27" t="s">
        <v>1961</v>
      </c>
      <c r="J16144" s="27" t="s">
        <v>1962</v>
      </c>
      <c r="L16144" s="27" t="s">
        <v>148</v>
      </c>
      <c r="N16144" s="27" t="s">
        <v>161</v>
      </c>
      <c r="P16144" s="27" t="s">
        <v>17760</v>
      </c>
      <c r="Q16144" s="26" t="str">
        <f>HYPERLINK("https://ictv.global/taxonomy/taxondetails?taxnode_id=202504608&amp;ictv_id=ICTV20041753","ICTV20041753")</f>
        <v>ICTV20041753</v>
      </c>
      <c r="R16144" t="s">
        <v>581</v>
      </c>
      <c r="S16144" t="s">
        <v>824</v>
      </c>
      <c r="T16144">
        <v>39</v>
      </c>
      <c r="U16144" s="26" t="str">
        <f t="shared" si="603"/>
        <v>2023.013P.Potyviridae_rename_sp.zip</v>
      </c>
    </row>
    <row r="16145" spans="1:21">
      <c r="A16145">
        <v>16144</v>
      </c>
      <c r="B16145" s="27" t="s">
        <v>1124</v>
      </c>
      <c r="D16145" s="27" t="s">
        <v>1859</v>
      </c>
      <c r="F16145" s="27" t="s">
        <v>1909</v>
      </c>
      <c r="H16145" s="27" t="s">
        <v>1961</v>
      </c>
      <c r="J16145" s="27" t="s">
        <v>1962</v>
      </c>
      <c r="L16145" s="27" t="s">
        <v>148</v>
      </c>
      <c r="N16145" s="27" t="s">
        <v>161</v>
      </c>
      <c r="P16145" s="27" t="s">
        <v>17761</v>
      </c>
      <c r="Q16145" s="26" t="str">
        <f>HYPERLINK("https://ictv.global/taxonomy/taxondetails?taxnode_id=202507435&amp;ictv_id=ICTV201907435","ICTV201907435")</f>
        <v>ICTV201907435</v>
      </c>
      <c r="R16145" t="s">
        <v>581</v>
      </c>
      <c r="S16145" t="s">
        <v>824</v>
      </c>
      <c r="T16145">
        <v>39</v>
      </c>
      <c r="U16145" s="26" t="str">
        <f t="shared" si="603"/>
        <v>2023.013P.Potyviridae_rename_sp.zip</v>
      </c>
    </row>
    <row r="16146" spans="1:21">
      <c r="A16146">
        <v>16145</v>
      </c>
      <c r="B16146" s="27" t="s">
        <v>1124</v>
      </c>
      <c r="D16146" s="27" t="s">
        <v>1859</v>
      </c>
      <c r="F16146" s="27" t="s">
        <v>1909</v>
      </c>
      <c r="H16146" s="27" t="s">
        <v>1961</v>
      </c>
      <c r="J16146" s="27" t="s">
        <v>1962</v>
      </c>
      <c r="L16146" s="27" t="s">
        <v>148</v>
      </c>
      <c r="N16146" s="27" t="s">
        <v>161</v>
      </c>
      <c r="P16146" s="27" t="s">
        <v>17762</v>
      </c>
      <c r="Q16146" s="26" t="str">
        <f>HYPERLINK("https://ictv.global/taxonomy/taxondetails?taxnode_id=202504649&amp;ictv_id=ICTV20041784","ICTV20041784")</f>
        <v>ICTV20041784</v>
      </c>
      <c r="R16146" t="s">
        <v>581</v>
      </c>
      <c r="S16146" t="s">
        <v>824</v>
      </c>
      <c r="T16146">
        <v>39</v>
      </c>
      <c r="U16146" s="26" t="str">
        <f t="shared" si="603"/>
        <v>2023.013P.Potyviridae_rename_sp.zip</v>
      </c>
    </row>
    <row r="16147" spans="1:21">
      <c r="A16147">
        <v>16146</v>
      </c>
      <c r="B16147" s="27" t="s">
        <v>1124</v>
      </c>
      <c r="D16147" s="27" t="s">
        <v>1859</v>
      </c>
      <c r="F16147" s="27" t="s">
        <v>1909</v>
      </c>
      <c r="H16147" s="27" t="s">
        <v>1961</v>
      </c>
      <c r="J16147" s="27" t="s">
        <v>1962</v>
      </c>
      <c r="L16147" s="27" t="s">
        <v>148</v>
      </c>
      <c r="N16147" s="27" t="s">
        <v>161</v>
      </c>
      <c r="P16147" s="27" t="s">
        <v>17763</v>
      </c>
      <c r="Q16147" s="26" t="str">
        <f>HYPERLINK("https://ictv.global/taxonomy/taxondetails?taxnode_id=202504665&amp;ictv_id=ICTV20041796","ICTV20041796")</f>
        <v>ICTV20041796</v>
      </c>
      <c r="R16147" t="s">
        <v>581</v>
      </c>
      <c r="S16147" t="s">
        <v>824</v>
      </c>
      <c r="T16147">
        <v>39</v>
      </c>
      <c r="U16147" s="26" t="str">
        <f t="shared" si="603"/>
        <v>2023.013P.Potyviridae_rename_sp.zip</v>
      </c>
    </row>
    <row r="16148" spans="1:21">
      <c r="A16148">
        <v>16147</v>
      </c>
      <c r="B16148" s="27" t="s">
        <v>1124</v>
      </c>
      <c r="D16148" s="27" t="s">
        <v>1859</v>
      </c>
      <c r="F16148" s="27" t="s">
        <v>1909</v>
      </c>
      <c r="H16148" s="27" t="s">
        <v>1961</v>
      </c>
      <c r="J16148" s="27" t="s">
        <v>1962</v>
      </c>
      <c r="L16148" s="27" t="s">
        <v>148</v>
      </c>
      <c r="N16148" s="27" t="s">
        <v>161</v>
      </c>
      <c r="P16148" s="27" t="s">
        <v>17764</v>
      </c>
      <c r="Q16148" s="26" t="str">
        <f>HYPERLINK("https://ictv.global/taxonomy/taxondetails?taxnode_id=202504670&amp;ictv_id=ICTV19710259","ICTV19710259")</f>
        <v>ICTV19710259</v>
      </c>
      <c r="R16148" t="s">
        <v>581</v>
      </c>
      <c r="S16148" t="s">
        <v>824</v>
      </c>
      <c r="T16148">
        <v>39</v>
      </c>
      <c r="U16148" s="26" t="str">
        <f t="shared" si="603"/>
        <v>2023.013P.Potyviridae_rename_sp.zip</v>
      </c>
    </row>
    <row r="16149" spans="1:21">
      <c r="A16149">
        <v>16148</v>
      </c>
      <c r="B16149" s="27" t="s">
        <v>1124</v>
      </c>
      <c r="D16149" s="27" t="s">
        <v>1859</v>
      </c>
      <c r="F16149" s="27" t="s">
        <v>1909</v>
      </c>
      <c r="H16149" s="27" t="s">
        <v>1961</v>
      </c>
      <c r="J16149" s="27" t="s">
        <v>1962</v>
      </c>
      <c r="L16149" s="27" t="s">
        <v>148</v>
      </c>
      <c r="N16149" s="27" t="s">
        <v>161</v>
      </c>
      <c r="P16149" s="27" t="s">
        <v>17765</v>
      </c>
      <c r="Q16149" s="26" t="str">
        <f>HYPERLINK("https://ictv.global/taxonomy/taxondetails?taxnode_id=202504586&amp;ictv_id=ICTV20143334","ICTV20143334")</f>
        <v>ICTV20143334</v>
      </c>
      <c r="R16149" t="s">
        <v>581</v>
      </c>
      <c r="S16149" t="s">
        <v>824</v>
      </c>
      <c r="T16149">
        <v>39</v>
      </c>
      <c r="U16149" s="26" t="str">
        <f t="shared" si="603"/>
        <v>2023.013P.Potyviridae_rename_sp.zip</v>
      </c>
    </row>
    <row r="16150" spans="1:21">
      <c r="A16150">
        <v>16149</v>
      </c>
      <c r="B16150" s="27" t="s">
        <v>1124</v>
      </c>
      <c r="D16150" s="27" t="s">
        <v>1859</v>
      </c>
      <c r="F16150" s="27" t="s">
        <v>1909</v>
      </c>
      <c r="H16150" s="27" t="s">
        <v>1961</v>
      </c>
      <c r="J16150" s="27" t="s">
        <v>1962</v>
      </c>
      <c r="L16150" s="27" t="s">
        <v>148</v>
      </c>
      <c r="N16150" s="27" t="s">
        <v>161</v>
      </c>
      <c r="P16150" s="27" t="s">
        <v>17766</v>
      </c>
      <c r="Q16150" s="26" t="str">
        <f>HYPERLINK("https://ictv.global/taxonomy/taxondetails?taxnode_id=202504717&amp;ictv_id=ICTV20084608","ICTV20084608")</f>
        <v>ICTV20084608</v>
      </c>
      <c r="R16150" t="s">
        <v>581</v>
      </c>
      <c r="S16150" t="s">
        <v>824</v>
      </c>
      <c r="T16150">
        <v>39</v>
      </c>
      <c r="U16150" s="26" t="str">
        <f t="shared" si="603"/>
        <v>2023.013P.Potyviridae_rename_sp.zip</v>
      </c>
    </row>
    <row r="16151" spans="1:21">
      <c r="A16151">
        <v>16150</v>
      </c>
      <c r="B16151" s="27" t="s">
        <v>1124</v>
      </c>
      <c r="D16151" s="27" t="s">
        <v>1859</v>
      </c>
      <c r="F16151" s="27" t="s">
        <v>1909</v>
      </c>
      <c r="H16151" s="27" t="s">
        <v>1961</v>
      </c>
      <c r="J16151" s="27" t="s">
        <v>1962</v>
      </c>
      <c r="L16151" s="27" t="s">
        <v>148</v>
      </c>
      <c r="N16151" s="27" t="s">
        <v>161</v>
      </c>
      <c r="P16151" s="27" t="s">
        <v>17767</v>
      </c>
      <c r="Q16151" s="26" t="str">
        <f>HYPERLINK("https://ictv.global/taxonomy/taxondetails?taxnode_id=202504637&amp;ictv_id=ICTV19911789","ICTV19911789")</f>
        <v>ICTV19911789</v>
      </c>
      <c r="R16151" t="s">
        <v>581</v>
      </c>
      <c r="S16151" t="s">
        <v>824</v>
      </c>
      <c r="T16151">
        <v>39</v>
      </c>
      <c r="U16151" s="26" t="str">
        <f t="shared" si="603"/>
        <v>2023.013P.Potyviridae_rename_sp.zip</v>
      </c>
    </row>
    <row r="16152" spans="1:21">
      <c r="A16152">
        <v>16151</v>
      </c>
      <c r="B16152" s="27" t="s">
        <v>1124</v>
      </c>
      <c r="D16152" s="27" t="s">
        <v>1859</v>
      </c>
      <c r="F16152" s="27" t="s">
        <v>1909</v>
      </c>
      <c r="H16152" s="27" t="s">
        <v>1961</v>
      </c>
      <c r="J16152" s="27" t="s">
        <v>1962</v>
      </c>
      <c r="L16152" s="27" t="s">
        <v>148</v>
      </c>
      <c r="N16152" s="27" t="s">
        <v>161</v>
      </c>
      <c r="P16152" s="27" t="s">
        <v>17768</v>
      </c>
      <c r="Q16152" s="26" t="str">
        <f>HYPERLINK("https://ictv.global/taxonomy/taxondetails?taxnode_id=202504718&amp;ictv_id=ICTV20041826","ICTV20041826")</f>
        <v>ICTV20041826</v>
      </c>
      <c r="R16152" t="s">
        <v>581</v>
      </c>
      <c r="S16152" t="s">
        <v>824</v>
      </c>
      <c r="T16152">
        <v>39</v>
      </c>
      <c r="U16152" s="26" t="str">
        <f t="shared" si="603"/>
        <v>2023.013P.Potyviridae_rename_sp.zip</v>
      </c>
    </row>
    <row r="16153" spans="1:21">
      <c r="A16153">
        <v>16152</v>
      </c>
      <c r="B16153" s="27" t="s">
        <v>1124</v>
      </c>
      <c r="D16153" s="27" t="s">
        <v>1859</v>
      </c>
      <c r="F16153" s="27" t="s">
        <v>1909</v>
      </c>
      <c r="H16153" s="27" t="s">
        <v>1961</v>
      </c>
      <c r="J16153" s="27" t="s">
        <v>1962</v>
      </c>
      <c r="L16153" s="27" t="s">
        <v>148</v>
      </c>
      <c r="N16153" s="27" t="s">
        <v>917</v>
      </c>
      <c r="P16153" s="27" t="s">
        <v>17769</v>
      </c>
      <c r="Q16153" s="26" t="str">
        <f>HYPERLINK("https://ictv.global/taxonomy/taxondetails?taxnode_id=202507450&amp;ictv_id=ICTV201907450","ICTV201907450")</f>
        <v>ICTV201907450</v>
      </c>
      <c r="R16153" t="s">
        <v>581</v>
      </c>
      <c r="S16153" t="s">
        <v>824</v>
      </c>
      <c r="T16153">
        <v>39</v>
      </c>
      <c r="U16153" s="26" t="str">
        <f t="shared" si="603"/>
        <v>2023.013P.Potyviridae_rename_sp.zip</v>
      </c>
    </row>
    <row r="16154" spans="1:21">
      <c r="A16154">
        <v>16153</v>
      </c>
      <c r="B16154" s="27" t="s">
        <v>1124</v>
      </c>
      <c r="D16154" s="27" t="s">
        <v>1859</v>
      </c>
      <c r="F16154" s="27" t="s">
        <v>1909</v>
      </c>
      <c r="H16154" s="27" t="s">
        <v>1961</v>
      </c>
      <c r="J16154" s="27" t="s">
        <v>1962</v>
      </c>
      <c r="L16154" s="27" t="s">
        <v>148</v>
      </c>
      <c r="N16154" s="27" t="s">
        <v>917</v>
      </c>
      <c r="P16154" s="27" t="s">
        <v>17770</v>
      </c>
      <c r="Q16154" s="26" t="str">
        <f>HYPERLINK("https://ictv.global/taxonomy/taxondetails?taxnode_id=202504735&amp;ictv_id=ICTV20132985","ICTV20132985")</f>
        <v>ICTV20132985</v>
      </c>
      <c r="R16154" t="s">
        <v>581</v>
      </c>
      <c r="S16154" t="s">
        <v>824</v>
      </c>
      <c r="T16154">
        <v>39</v>
      </c>
      <c r="U16154" s="26" t="str">
        <f t="shared" si="603"/>
        <v>2023.013P.Potyviridae_rename_sp.zip</v>
      </c>
    </row>
    <row r="16155" spans="1:21">
      <c r="A16155">
        <v>16154</v>
      </c>
      <c r="B16155" s="27" t="s">
        <v>1124</v>
      </c>
      <c r="D16155" s="27" t="s">
        <v>1859</v>
      </c>
      <c r="F16155" s="27" t="s">
        <v>1909</v>
      </c>
      <c r="H16155" s="27" t="s">
        <v>1961</v>
      </c>
      <c r="J16155" s="27" t="s">
        <v>1962</v>
      </c>
      <c r="L16155" s="27" t="s">
        <v>148</v>
      </c>
      <c r="N16155" s="27" t="s">
        <v>354</v>
      </c>
      <c r="P16155" s="27" t="s">
        <v>17771</v>
      </c>
      <c r="Q16155" s="26" t="str">
        <f>HYPERLINK("https://ictv.global/taxonomy/taxondetails?taxnode_id=202504724&amp;ictv_id=ICTV19931578","ICTV19931578")</f>
        <v>ICTV19931578</v>
      </c>
      <c r="R16155" t="s">
        <v>581</v>
      </c>
      <c r="S16155" t="s">
        <v>824</v>
      </c>
      <c r="T16155">
        <v>39</v>
      </c>
      <c r="U16155" s="26" t="str">
        <f t="shared" si="603"/>
        <v>2023.013P.Potyviridae_rename_sp.zip</v>
      </c>
    </row>
    <row r="16156" spans="1:21">
      <c r="A16156">
        <v>16155</v>
      </c>
      <c r="B16156" s="27" t="s">
        <v>1124</v>
      </c>
      <c r="D16156" s="27" t="s">
        <v>1859</v>
      </c>
      <c r="F16156" s="27" t="s">
        <v>1909</v>
      </c>
      <c r="H16156" s="27" t="s">
        <v>1961</v>
      </c>
      <c r="J16156" s="27" t="s">
        <v>1962</v>
      </c>
      <c r="L16156" s="27" t="s">
        <v>148</v>
      </c>
      <c r="N16156" s="27" t="s">
        <v>354</v>
      </c>
      <c r="P16156" s="27" t="s">
        <v>17772</v>
      </c>
      <c r="Q16156" s="26" t="str">
        <f>HYPERLINK("https://ictv.global/taxonomy/taxondetails?taxnode_id=202504725&amp;ictv_id=ICTV19931579","ICTV19931579")</f>
        <v>ICTV19931579</v>
      </c>
      <c r="R16156" t="s">
        <v>581</v>
      </c>
      <c r="S16156" t="s">
        <v>824</v>
      </c>
      <c r="T16156">
        <v>39</v>
      </c>
      <c r="U16156" s="26" t="str">
        <f t="shared" si="603"/>
        <v>2023.013P.Potyviridae_rename_sp.zip</v>
      </c>
    </row>
    <row r="16157" spans="1:21">
      <c r="A16157">
        <v>16156</v>
      </c>
      <c r="B16157" s="27" t="s">
        <v>1124</v>
      </c>
      <c r="D16157" s="27" t="s">
        <v>1859</v>
      </c>
      <c r="F16157" s="27" t="s">
        <v>1909</v>
      </c>
      <c r="H16157" s="27" t="s">
        <v>1961</v>
      </c>
      <c r="J16157" s="27" t="s">
        <v>1962</v>
      </c>
      <c r="L16157" s="27" t="s">
        <v>148</v>
      </c>
      <c r="N16157" s="27" t="s">
        <v>354</v>
      </c>
      <c r="P16157" s="27" t="s">
        <v>17773</v>
      </c>
      <c r="Q16157" s="26" t="str">
        <f>HYPERLINK("https://ictv.global/taxonomy/taxondetails?taxnode_id=202504726&amp;ictv_id=ICTV19931581","ICTV19931581")</f>
        <v>ICTV19931581</v>
      </c>
      <c r="R16157" t="s">
        <v>581</v>
      </c>
      <c r="S16157" t="s">
        <v>824</v>
      </c>
      <c r="T16157">
        <v>39</v>
      </c>
      <c r="U16157" s="26" t="str">
        <f t="shared" si="603"/>
        <v>2023.013P.Potyviridae_rename_sp.zip</v>
      </c>
    </row>
    <row r="16158" spans="1:21">
      <c r="A16158">
        <v>16157</v>
      </c>
      <c r="B16158" s="27" t="s">
        <v>1124</v>
      </c>
      <c r="D16158" s="27" t="s">
        <v>1859</v>
      </c>
      <c r="F16158" s="27" t="s">
        <v>1909</v>
      </c>
      <c r="H16158" s="27" t="s">
        <v>1961</v>
      </c>
      <c r="J16158" s="27" t="s">
        <v>1962</v>
      </c>
      <c r="L16158" s="27" t="s">
        <v>148</v>
      </c>
      <c r="N16158" s="27" t="s">
        <v>355</v>
      </c>
      <c r="P16158" s="27" t="s">
        <v>17774</v>
      </c>
      <c r="Q16158" s="26" t="str">
        <f>HYPERLINK("https://ictv.global/taxonomy/taxondetails?taxnode_id=202504730&amp;ictv_id=ICTV20143353","ICTV20143353")</f>
        <v>ICTV20143353</v>
      </c>
      <c r="R16158" t="s">
        <v>581</v>
      </c>
      <c r="S16158" t="s">
        <v>824</v>
      </c>
      <c r="T16158">
        <v>39</v>
      </c>
      <c r="U16158" s="26" t="str">
        <f t="shared" si="603"/>
        <v>2023.013P.Potyviridae_rename_sp.zip</v>
      </c>
    </row>
    <row r="16159" spans="1:21">
      <c r="A16159">
        <v>16158</v>
      </c>
      <c r="B16159" s="27" t="s">
        <v>1124</v>
      </c>
      <c r="D16159" s="27" t="s">
        <v>1859</v>
      </c>
      <c r="F16159" s="27" t="s">
        <v>1909</v>
      </c>
      <c r="H16159" s="27" t="s">
        <v>1961</v>
      </c>
      <c r="J16159" s="27" t="s">
        <v>1962</v>
      </c>
      <c r="L16159" s="27" t="s">
        <v>148</v>
      </c>
      <c r="N16159" s="27" t="s">
        <v>355</v>
      </c>
      <c r="P16159" s="27" t="s">
        <v>17775</v>
      </c>
      <c r="Q16159" s="26" t="str">
        <f>HYPERLINK("https://ictv.global/taxonomy/taxondetails?taxnode_id=202504729&amp;ictv_id=ICTV19931580","ICTV19931580")</f>
        <v>ICTV19931580</v>
      </c>
      <c r="R16159" t="s">
        <v>581</v>
      </c>
      <c r="S16159" t="s">
        <v>824</v>
      </c>
      <c r="T16159">
        <v>39</v>
      </c>
      <c r="U16159" s="26" t="str">
        <f t="shared" si="603"/>
        <v>2023.013P.Potyviridae_rename_sp.zip</v>
      </c>
    </row>
    <row r="16160" spans="1:21">
      <c r="A16160">
        <v>16159</v>
      </c>
      <c r="B16160" s="27" t="s">
        <v>1124</v>
      </c>
      <c r="D16160" s="27" t="s">
        <v>1859</v>
      </c>
      <c r="F16160" s="27" t="s">
        <v>1909</v>
      </c>
      <c r="H16160" s="27" t="s">
        <v>1961</v>
      </c>
      <c r="J16160" s="27" t="s">
        <v>1962</v>
      </c>
      <c r="L16160" s="27" t="s">
        <v>148</v>
      </c>
      <c r="N16160" s="27" t="s">
        <v>355</v>
      </c>
      <c r="P16160" s="27" t="s">
        <v>17776</v>
      </c>
      <c r="Q16160" s="26" t="str">
        <f>HYPERLINK("https://ictv.global/taxonomy/taxondetails?taxnode_id=202504728&amp;ictv_id=ICTV19982324","ICTV19982324")</f>
        <v>ICTV19982324</v>
      </c>
      <c r="R16160" t="s">
        <v>581</v>
      </c>
      <c r="S16160" t="s">
        <v>824</v>
      </c>
      <c r="T16160">
        <v>39</v>
      </c>
      <c r="U16160" s="26" t="str">
        <f t="shared" si="603"/>
        <v>2023.013P.Potyviridae_rename_sp.zip</v>
      </c>
    </row>
    <row r="16161" spans="1:21">
      <c r="A16161">
        <v>16160</v>
      </c>
      <c r="B16161" s="27" t="s">
        <v>1124</v>
      </c>
      <c r="D16161" s="27" t="s">
        <v>1859</v>
      </c>
      <c r="F16161" s="27" t="s">
        <v>1909</v>
      </c>
      <c r="H16161" s="27" t="s">
        <v>1961</v>
      </c>
      <c r="J16161" s="27" t="s">
        <v>1962</v>
      </c>
      <c r="L16161" s="27" t="s">
        <v>148</v>
      </c>
      <c r="N16161" s="27" t="s">
        <v>355</v>
      </c>
      <c r="P16161" s="27" t="s">
        <v>17777</v>
      </c>
      <c r="Q16161" s="26" t="str">
        <f>HYPERLINK("https://ictv.global/taxonomy/taxondetails?taxnode_id=202504731&amp;ictv_id=ICTV20094672","ICTV20094672")</f>
        <v>ICTV20094672</v>
      </c>
      <c r="R16161" t="s">
        <v>581</v>
      </c>
      <c r="S16161" t="s">
        <v>824</v>
      </c>
      <c r="T16161">
        <v>39</v>
      </c>
      <c r="U16161" s="26" t="str">
        <f t="shared" si="603"/>
        <v>2023.013P.Potyviridae_rename_sp.zip</v>
      </c>
    </row>
    <row r="16162" spans="1:21">
      <c r="A16162">
        <v>16161</v>
      </c>
      <c r="B16162" s="27" t="s">
        <v>1124</v>
      </c>
      <c r="D16162" s="27" t="s">
        <v>1859</v>
      </c>
      <c r="F16162" s="27" t="s">
        <v>1909</v>
      </c>
      <c r="H16162" s="27" t="s">
        <v>1961</v>
      </c>
      <c r="J16162" s="27" t="s">
        <v>1962</v>
      </c>
      <c r="L16162" s="27" t="s">
        <v>148</v>
      </c>
      <c r="N16162" s="27" t="s">
        <v>355</v>
      </c>
      <c r="P16162" s="27" t="s">
        <v>17778</v>
      </c>
      <c r="Q16162" s="26" t="str">
        <f>HYPERLINK("https://ictv.global/taxonomy/taxondetails?taxnode_id=202504733&amp;ictv_id=ICTV20125750","ICTV20125750")</f>
        <v>ICTV20125750</v>
      </c>
      <c r="R16162" t="s">
        <v>581</v>
      </c>
      <c r="S16162" t="s">
        <v>824</v>
      </c>
      <c r="T16162">
        <v>39</v>
      </c>
      <c r="U16162" s="26" t="str">
        <f t="shared" si="603"/>
        <v>2023.013P.Potyviridae_rename_sp.zip</v>
      </c>
    </row>
    <row r="16163" spans="1:21">
      <c r="A16163">
        <v>16162</v>
      </c>
      <c r="B16163" s="27" t="s">
        <v>1124</v>
      </c>
      <c r="D16163" s="27" t="s">
        <v>1859</v>
      </c>
      <c r="F16163" s="27" t="s">
        <v>1909</v>
      </c>
      <c r="H16163" s="27" t="s">
        <v>1961</v>
      </c>
      <c r="J16163" s="27" t="s">
        <v>1962</v>
      </c>
      <c r="L16163" s="27" t="s">
        <v>148</v>
      </c>
      <c r="N16163" s="27" t="s">
        <v>355</v>
      </c>
      <c r="P16163" s="27" t="s">
        <v>17779</v>
      </c>
      <c r="Q16163" s="26" t="str">
        <f>HYPERLINK("https://ictv.global/taxonomy/taxondetails?taxnode_id=202504732&amp;ictv_id=ICTV19931582","ICTV19931582")</f>
        <v>ICTV19931582</v>
      </c>
      <c r="R16163" t="s">
        <v>581</v>
      </c>
      <c r="S16163" t="s">
        <v>824</v>
      </c>
      <c r="T16163">
        <v>39</v>
      </c>
      <c r="U16163" s="26" t="str">
        <f t="shared" si="603"/>
        <v>2023.013P.Potyviridae_rename_sp.zip</v>
      </c>
    </row>
    <row r="16164" spans="1:21">
      <c r="A16164">
        <v>16163</v>
      </c>
      <c r="B16164" s="27" t="s">
        <v>1124</v>
      </c>
      <c r="D16164" s="27" t="s">
        <v>1859</v>
      </c>
      <c r="F16164" s="27" t="s">
        <v>1909</v>
      </c>
      <c r="H16164" s="27" t="s">
        <v>1961</v>
      </c>
      <c r="J16164" s="27" t="s">
        <v>1965</v>
      </c>
      <c r="L16164" s="27" t="s">
        <v>175</v>
      </c>
      <c r="N16164" s="27" t="s">
        <v>176</v>
      </c>
      <c r="P16164" s="27" t="s">
        <v>17780</v>
      </c>
      <c r="Q16164" s="26" t="str">
        <f>HYPERLINK("https://ictv.global/taxonomy/taxondetails?taxnode_id=202502623&amp;ictv_id=ICTV20025591","ICTV20025591")</f>
        <v>ICTV20025591</v>
      </c>
      <c r="R16164" t="s">
        <v>581</v>
      </c>
      <c r="S16164" t="s">
        <v>824</v>
      </c>
      <c r="T16164">
        <v>39</v>
      </c>
      <c r="U16164" s="26" t="str">
        <f>HYPERLINK("https://ictv.global/ictv/proposals/2023.004S.Astroviridae_22sprenamed.zip","2023.004S.Astroviridae_22sprenamed.zip")</f>
        <v>2023.004S.Astroviridae_22sprenamed.zip</v>
      </c>
    </row>
    <row r="16165" spans="1:21">
      <c r="A16165">
        <v>16164</v>
      </c>
      <c r="B16165" s="27" t="s">
        <v>1124</v>
      </c>
      <c r="D16165" s="27" t="s">
        <v>1859</v>
      </c>
      <c r="F16165" s="27" t="s">
        <v>1909</v>
      </c>
      <c r="H16165" s="27" t="s">
        <v>1961</v>
      </c>
      <c r="J16165" s="27" t="s">
        <v>1965</v>
      </c>
      <c r="L16165" s="27" t="s">
        <v>175</v>
      </c>
      <c r="N16165" s="27" t="s">
        <v>176</v>
      </c>
      <c r="P16165" s="27" t="s">
        <v>17781</v>
      </c>
      <c r="Q16165" s="26" t="str">
        <f>HYPERLINK("https://ictv.global/taxonomy/taxondetails?taxnode_id=202502624&amp;ictv_id=ICTV19950499","ICTV19950499")</f>
        <v>ICTV19950499</v>
      </c>
      <c r="R16165" t="s">
        <v>581</v>
      </c>
      <c r="S16165" t="s">
        <v>824</v>
      </c>
      <c r="T16165">
        <v>39</v>
      </c>
      <c r="U16165" s="26" t="str">
        <f>HYPERLINK("https://ictv.global/ictv/proposals/2023.004S.Astroviridae_22sprenamed.zip","2023.004S.Astroviridae_22sprenamed.zip")</f>
        <v>2023.004S.Astroviridae_22sprenamed.zip</v>
      </c>
    </row>
    <row r="16166" spans="1:21">
      <c r="A16166">
        <v>16165</v>
      </c>
      <c r="B16166" s="27" t="s">
        <v>1124</v>
      </c>
      <c r="D16166" s="27" t="s">
        <v>1859</v>
      </c>
      <c r="F16166" s="27" t="s">
        <v>1909</v>
      </c>
      <c r="H16166" s="27" t="s">
        <v>1961</v>
      </c>
      <c r="J16166" s="27" t="s">
        <v>1965</v>
      </c>
      <c r="L16166" s="27" t="s">
        <v>175</v>
      </c>
      <c r="N16166" s="27" t="s">
        <v>176</v>
      </c>
      <c r="P16166" s="27" t="s">
        <v>21134</v>
      </c>
      <c r="Q16166" s="26" t="str">
        <f>HYPERLINK("https://ictv.global/taxonomy/taxondetails?taxnode_id=202522070&amp;ictv_id=ICTV202522070","ICTV202522070")</f>
        <v>ICTV202522070</v>
      </c>
      <c r="R16166" t="s">
        <v>581</v>
      </c>
      <c r="S16166" t="s">
        <v>823</v>
      </c>
      <c r="T16166">
        <v>41</v>
      </c>
      <c r="U16166" s="26" t="str">
        <f>HYPERLINK("https://ictv.global/ictv/proposals/2025.001S.Avastrovirus_1nsp.zip","2025.001S.Avastrovirus_1nsp.zip")</f>
        <v>2025.001S.Avastrovirus_1nsp.zip</v>
      </c>
    </row>
    <row r="16167" spans="1:21">
      <c r="A16167">
        <v>16166</v>
      </c>
      <c r="B16167" s="27" t="s">
        <v>1124</v>
      </c>
      <c r="D16167" s="27" t="s">
        <v>1859</v>
      </c>
      <c r="F16167" s="27" t="s">
        <v>1909</v>
      </c>
      <c r="H16167" s="27" t="s">
        <v>1961</v>
      </c>
      <c r="J16167" s="27" t="s">
        <v>1965</v>
      </c>
      <c r="L16167" s="27" t="s">
        <v>175</v>
      </c>
      <c r="N16167" s="27" t="s">
        <v>176</v>
      </c>
      <c r="P16167" s="27" t="s">
        <v>17782</v>
      </c>
      <c r="Q16167" s="26" t="str">
        <f>HYPERLINK("https://ictv.global/taxonomy/taxondetails?taxnode_id=202502622&amp;ictv_id=ICTV19990557","ICTV19990557")</f>
        <v>ICTV19990557</v>
      </c>
      <c r="R16167" t="s">
        <v>581</v>
      </c>
      <c r="S16167" t="s">
        <v>824</v>
      </c>
      <c r="T16167">
        <v>39</v>
      </c>
      <c r="U16167" s="26" t="str">
        <f>HYPERLINK("https://ictv.global/ictv/proposals/2023.004S.Astroviridae_22sprenamed.zip","2023.004S.Astroviridae_22sprenamed.zip")</f>
        <v>2023.004S.Astroviridae_22sprenamed.zip</v>
      </c>
    </row>
    <row r="16168" spans="1:21">
      <c r="A16168">
        <v>16167</v>
      </c>
      <c r="B16168" s="27" t="s">
        <v>1124</v>
      </c>
      <c r="D16168" s="27" t="s">
        <v>1859</v>
      </c>
      <c r="F16168" s="27" t="s">
        <v>1909</v>
      </c>
      <c r="H16168" s="27" t="s">
        <v>1961</v>
      </c>
      <c r="J16168" s="27" t="s">
        <v>1965</v>
      </c>
      <c r="L16168" s="27" t="s">
        <v>175</v>
      </c>
      <c r="N16168" s="27" t="s">
        <v>160</v>
      </c>
      <c r="P16168" s="27" t="s">
        <v>21205</v>
      </c>
      <c r="Q16168" s="26" t="str">
        <f>HYPERLINK("https://ictv.global/taxonomy/taxondetails?taxnode_id=202522118&amp;ictv_id=ICTV202522118","ICTV202522118")</f>
        <v>ICTV202522118</v>
      </c>
      <c r="R16168" t="s">
        <v>581</v>
      </c>
      <c r="S16168" t="s">
        <v>823</v>
      </c>
      <c r="T16168">
        <v>41</v>
      </c>
      <c r="U16168" s="26" t="str">
        <f>HYPERLINK("https://ictv.global/ictv/proposals/2025.002S.Mamastrovirus_8nsp_1spren.zip","2025.002S.Mamastrovirus_8nsp_1spren.zip")</f>
        <v>2025.002S.Mamastrovirus_8nsp_1spren.zip</v>
      </c>
    </row>
    <row r="16169" spans="1:21">
      <c r="A16169">
        <v>16168</v>
      </c>
      <c r="B16169" s="27" t="s">
        <v>1124</v>
      </c>
      <c r="D16169" s="27" t="s">
        <v>1859</v>
      </c>
      <c r="F16169" s="27" t="s">
        <v>1909</v>
      </c>
      <c r="H16169" s="27" t="s">
        <v>1961</v>
      </c>
      <c r="J16169" s="27" t="s">
        <v>1965</v>
      </c>
      <c r="L16169" s="27" t="s">
        <v>175</v>
      </c>
      <c r="N16169" s="27" t="s">
        <v>160</v>
      </c>
      <c r="P16169" s="27" t="s">
        <v>21208</v>
      </c>
      <c r="Q16169" s="26" t="str">
        <f>HYPERLINK("https://ictv.global/taxonomy/taxondetails?taxnode_id=202522121&amp;ictv_id=ICTV202522121","ICTV202522121")</f>
        <v>ICTV202522121</v>
      </c>
      <c r="R16169" t="s">
        <v>581</v>
      </c>
      <c r="S16169" t="s">
        <v>823</v>
      </c>
      <c r="T16169">
        <v>41</v>
      </c>
      <c r="U16169" s="26" t="str">
        <f>HYPERLINK("https://ictv.global/ictv/proposals/2025.002S.Mamastrovirus_8nsp_1spren.zip","2025.002S.Mamastrovirus_8nsp_1spren.zip")</f>
        <v>2025.002S.Mamastrovirus_8nsp_1spren.zip</v>
      </c>
    </row>
    <row r="16170" spans="1:21">
      <c r="A16170">
        <v>16169</v>
      </c>
      <c r="B16170" s="27" t="s">
        <v>1124</v>
      </c>
      <c r="D16170" s="27" t="s">
        <v>1859</v>
      </c>
      <c r="F16170" s="27" t="s">
        <v>1909</v>
      </c>
      <c r="H16170" s="27" t="s">
        <v>1961</v>
      </c>
      <c r="J16170" s="27" t="s">
        <v>1965</v>
      </c>
      <c r="L16170" s="27" t="s">
        <v>175</v>
      </c>
      <c r="N16170" s="27" t="s">
        <v>160</v>
      </c>
      <c r="P16170" s="27" t="s">
        <v>21207</v>
      </c>
      <c r="Q16170" s="26" t="str">
        <f>HYPERLINK("https://ictv.global/taxonomy/taxondetails?taxnode_id=202522120&amp;ictv_id=ICTV202522120","ICTV202522120")</f>
        <v>ICTV202522120</v>
      </c>
      <c r="R16170" t="s">
        <v>581</v>
      </c>
      <c r="S16170" t="s">
        <v>823</v>
      </c>
      <c r="T16170">
        <v>41</v>
      </c>
      <c r="U16170" s="26" t="str">
        <f>HYPERLINK("https://ictv.global/ictv/proposals/2025.002S.Mamastrovirus_8nsp_1spren.zip","2025.002S.Mamastrovirus_8nsp_1spren.zip")</f>
        <v>2025.002S.Mamastrovirus_8nsp_1spren.zip</v>
      </c>
    </row>
    <row r="16171" spans="1:21">
      <c r="A16171">
        <v>16170</v>
      </c>
      <c r="B16171" s="27" t="s">
        <v>1124</v>
      </c>
      <c r="D16171" s="27" t="s">
        <v>1859</v>
      </c>
      <c r="F16171" s="27" t="s">
        <v>1909</v>
      </c>
      <c r="H16171" s="27" t="s">
        <v>1961</v>
      </c>
      <c r="J16171" s="27" t="s">
        <v>1965</v>
      </c>
      <c r="L16171" s="27" t="s">
        <v>175</v>
      </c>
      <c r="N16171" s="27" t="s">
        <v>160</v>
      </c>
      <c r="P16171" s="27" t="s">
        <v>21206</v>
      </c>
      <c r="Q16171" s="26" t="str">
        <f>HYPERLINK("https://ictv.global/taxonomy/taxondetails?taxnode_id=202522119&amp;ictv_id=ICTV202522119","ICTV202522119")</f>
        <v>ICTV202522119</v>
      </c>
      <c r="R16171" t="s">
        <v>581</v>
      </c>
      <c r="S16171" t="s">
        <v>823</v>
      </c>
      <c r="T16171">
        <v>41</v>
      </c>
      <c r="U16171" s="26" t="str">
        <f>HYPERLINK("https://ictv.global/ictv/proposals/2025.002S.Mamastrovirus_8nsp_1spren.zip","2025.002S.Mamastrovirus_8nsp_1spren.zip")</f>
        <v>2025.002S.Mamastrovirus_8nsp_1spren.zip</v>
      </c>
    </row>
    <row r="16172" spans="1:21">
      <c r="A16172">
        <v>16171</v>
      </c>
      <c r="B16172" s="27" t="s">
        <v>1124</v>
      </c>
      <c r="D16172" s="27" t="s">
        <v>1859</v>
      </c>
      <c r="F16172" s="27" t="s">
        <v>1909</v>
      </c>
      <c r="H16172" s="27" t="s">
        <v>1961</v>
      </c>
      <c r="J16172" s="27" t="s">
        <v>1965</v>
      </c>
      <c r="L16172" s="27" t="s">
        <v>175</v>
      </c>
      <c r="N16172" s="27" t="s">
        <v>160</v>
      </c>
      <c r="P16172" s="27" t="s">
        <v>17783</v>
      </c>
      <c r="Q16172" s="26" t="str">
        <f>HYPERLINK("https://ictv.global/taxonomy/taxondetails?taxnode_id=202502636&amp;ictv_id=ICTV20115652","ICTV20115652")</f>
        <v>ICTV20115652</v>
      </c>
      <c r="R16172" t="s">
        <v>581</v>
      </c>
      <c r="S16172" t="s">
        <v>824</v>
      </c>
      <c r="T16172">
        <v>39</v>
      </c>
      <c r="U16172" s="26" t="str">
        <f t="shared" ref="U16172:U16184" si="604">HYPERLINK("https://ictv.global/ictv/proposals/2023.004S.Astroviridae_22sprenamed.zip","2023.004S.Astroviridae_22sprenamed.zip")</f>
        <v>2023.004S.Astroviridae_22sprenamed.zip</v>
      </c>
    </row>
    <row r="16173" spans="1:21">
      <c r="A16173">
        <v>16172</v>
      </c>
      <c r="B16173" s="27" t="s">
        <v>1124</v>
      </c>
      <c r="D16173" s="27" t="s">
        <v>1859</v>
      </c>
      <c r="F16173" s="27" t="s">
        <v>1909</v>
      </c>
      <c r="H16173" s="27" t="s">
        <v>1961</v>
      </c>
      <c r="J16173" s="27" t="s">
        <v>1965</v>
      </c>
      <c r="L16173" s="27" t="s">
        <v>175</v>
      </c>
      <c r="N16173" s="27" t="s">
        <v>160</v>
      </c>
      <c r="P16173" s="27" t="s">
        <v>17784</v>
      </c>
      <c r="Q16173" s="26" t="str">
        <f>HYPERLINK("https://ictv.global/taxonomy/taxondetails?taxnode_id=202502630&amp;ictv_id=ICTV20115647","ICTV20115647")</f>
        <v>ICTV20115647</v>
      </c>
      <c r="R16173" t="s">
        <v>581</v>
      </c>
      <c r="S16173" t="s">
        <v>824</v>
      </c>
      <c r="T16173">
        <v>39</v>
      </c>
      <c r="U16173" s="26" t="str">
        <f t="shared" si="604"/>
        <v>2023.004S.Astroviridae_22sprenamed.zip</v>
      </c>
    </row>
    <row r="16174" spans="1:21">
      <c r="A16174">
        <v>16173</v>
      </c>
      <c r="B16174" s="27" t="s">
        <v>1124</v>
      </c>
      <c r="D16174" s="27" t="s">
        <v>1859</v>
      </c>
      <c r="F16174" s="27" t="s">
        <v>1909</v>
      </c>
      <c r="H16174" s="27" t="s">
        <v>1961</v>
      </c>
      <c r="J16174" s="27" t="s">
        <v>1965</v>
      </c>
      <c r="L16174" s="27" t="s">
        <v>175</v>
      </c>
      <c r="N16174" s="27" t="s">
        <v>160</v>
      </c>
      <c r="P16174" s="27" t="s">
        <v>17785</v>
      </c>
      <c r="Q16174" s="26" t="str">
        <f>HYPERLINK("https://ictv.global/taxonomy/taxondetails?taxnode_id=202502627&amp;ictv_id=ICTV19990553","ICTV19990553")</f>
        <v>ICTV19990553</v>
      </c>
      <c r="R16174" t="s">
        <v>581</v>
      </c>
      <c r="S16174" t="s">
        <v>824</v>
      </c>
      <c r="T16174">
        <v>39</v>
      </c>
      <c r="U16174" s="26" t="str">
        <f t="shared" si="604"/>
        <v>2023.004S.Astroviridae_22sprenamed.zip</v>
      </c>
    </row>
    <row r="16175" spans="1:21">
      <c r="A16175">
        <v>16174</v>
      </c>
      <c r="B16175" s="27" t="s">
        <v>1124</v>
      </c>
      <c r="D16175" s="27" t="s">
        <v>1859</v>
      </c>
      <c r="F16175" s="27" t="s">
        <v>1909</v>
      </c>
      <c r="H16175" s="27" t="s">
        <v>1961</v>
      </c>
      <c r="J16175" s="27" t="s">
        <v>1965</v>
      </c>
      <c r="L16175" s="27" t="s">
        <v>175</v>
      </c>
      <c r="N16175" s="27" t="s">
        <v>160</v>
      </c>
      <c r="P16175" s="27" t="s">
        <v>17786</v>
      </c>
      <c r="Q16175" s="26" t="str">
        <f>HYPERLINK("https://ictv.global/taxonomy/taxondetails?taxnode_id=202502644&amp;ictv_id=ICTV20115659","ICTV20115659")</f>
        <v>ICTV20115659</v>
      </c>
      <c r="R16175" t="s">
        <v>581</v>
      </c>
      <c r="S16175" t="s">
        <v>824</v>
      </c>
      <c r="T16175">
        <v>39</v>
      </c>
      <c r="U16175" s="26" t="str">
        <f t="shared" si="604"/>
        <v>2023.004S.Astroviridae_22sprenamed.zip</v>
      </c>
    </row>
    <row r="16176" spans="1:21">
      <c r="A16176">
        <v>16175</v>
      </c>
      <c r="B16176" s="27" t="s">
        <v>1124</v>
      </c>
      <c r="D16176" s="27" t="s">
        <v>1859</v>
      </c>
      <c r="F16176" s="27" t="s">
        <v>1909</v>
      </c>
      <c r="H16176" s="27" t="s">
        <v>1961</v>
      </c>
      <c r="J16176" s="27" t="s">
        <v>1965</v>
      </c>
      <c r="L16176" s="27" t="s">
        <v>175</v>
      </c>
      <c r="N16176" s="27" t="s">
        <v>160</v>
      </c>
      <c r="P16176" s="27" t="s">
        <v>17787</v>
      </c>
      <c r="Q16176" s="26" t="str">
        <f>HYPERLINK("https://ictv.global/taxonomy/taxondetails?taxnode_id=202502642&amp;ictv_id=ICTV20115657","ICTV20115657")</f>
        <v>ICTV20115657</v>
      </c>
      <c r="R16176" t="s">
        <v>581</v>
      </c>
      <c r="S16176" t="s">
        <v>824</v>
      </c>
      <c r="T16176">
        <v>39</v>
      </c>
      <c r="U16176" s="26" t="str">
        <f t="shared" si="604"/>
        <v>2023.004S.Astroviridae_22sprenamed.zip</v>
      </c>
    </row>
    <row r="16177" spans="1:21">
      <c r="A16177">
        <v>16176</v>
      </c>
      <c r="B16177" s="27" t="s">
        <v>1124</v>
      </c>
      <c r="D16177" s="27" t="s">
        <v>1859</v>
      </c>
      <c r="F16177" s="27" t="s">
        <v>1909</v>
      </c>
      <c r="H16177" s="27" t="s">
        <v>1961</v>
      </c>
      <c r="J16177" s="27" t="s">
        <v>1965</v>
      </c>
      <c r="L16177" s="27" t="s">
        <v>175</v>
      </c>
      <c r="N16177" s="27" t="s">
        <v>160</v>
      </c>
      <c r="P16177" s="27" t="s">
        <v>17788</v>
      </c>
      <c r="Q16177" s="26" t="str">
        <f>HYPERLINK("https://ictv.global/taxonomy/taxondetails?taxnode_id=202502626&amp;ictv_id=ICTV19990554","ICTV19990554")</f>
        <v>ICTV19990554</v>
      </c>
      <c r="R16177" t="s">
        <v>581</v>
      </c>
      <c r="S16177" t="s">
        <v>824</v>
      </c>
      <c r="T16177">
        <v>39</v>
      </c>
      <c r="U16177" s="26" t="str">
        <f t="shared" si="604"/>
        <v>2023.004S.Astroviridae_22sprenamed.zip</v>
      </c>
    </row>
    <row r="16178" spans="1:21">
      <c r="A16178">
        <v>16177</v>
      </c>
      <c r="B16178" s="27" t="s">
        <v>1124</v>
      </c>
      <c r="D16178" s="27" t="s">
        <v>1859</v>
      </c>
      <c r="F16178" s="27" t="s">
        <v>1909</v>
      </c>
      <c r="H16178" s="27" t="s">
        <v>1961</v>
      </c>
      <c r="J16178" s="27" t="s">
        <v>1965</v>
      </c>
      <c r="L16178" s="27" t="s">
        <v>175</v>
      </c>
      <c r="N16178" s="27" t="s">
        <v>160</v>
      </c>
      <c r="P16178" s="27" t="s">
        <v>17789</v>
      </c>
      <c r="Q16178" s="26" t="str">
        <f>HYPERLINK("https://ictv.global/taxonomy/taxondetails?taxnode_id=202502633&amp;ictv_id=ICTV20115650","ICTV20115650")</f>
        <v>ICTV20115650</v>
      </c>
      <c r="R16178" t="s">
        <v>581</v>
      </c>
      <c r="S16178" t="s">
        <v>824</v>
      </c>
      <c r="T16178">
        <v>39</v>
      </c>
      <c r="U16178" s="26" t="str">
        <f t="shared" si="604"/>
        <v>2023.004S.Astroviridae_22sprenamed.zip</v>
      </c>
    </row>
    <row r="16179" spans="1:21">
      <c r="A16179">
        <v>16178</v>
      </c>
      <c r="B16179" s="27" t="s">
        <v>1124</v>
      </c>
      <c r="D16179" s="27" t="s">
        <v>1859</v>
      </c>
      <c r="F16179" s="27" t="s">
        <v>1909</v>
      </c>
      <c r="H16179" s="27" t="s">
        <v>1961</v>
      </c>
      <c r="J16179" s="27" t="s">
        <v>1965</v>
      </c>
      <c r="L16179" s="27" t="s">
        <v>175</v>
      </c>
      <c r="N16179" s="27" t="s">
        <v>160</v>
      </c>
      <c r="P16179" s="27" t="s">
        <v>17790</v>
      </c>
      <c r="Q16179" s="26" t="str">
        <f>HYPERLINK("https://ictv.global/taxonomy/taxondetails?taxnode_id=202502631&amp;ictv_id=ICTV20115648","ICTV20115648")</f>
        <v>ICTV20115648</v>
      </c>
      <c r="R16179" t="s">
        <v>581</v>
      </c>
      <c r="S16179" t="s">
        <v>824</v>
      </c>
      <c r="T16179">
        <v>39</v>
      </c>
      <c r="U16179" s="26" t="str">
        <f t="shared" si="604"/>
        <v>2023.004S.Astroviridae_22sprenamed.zip</v>
      </c>
    </row>
    <row r="16180" spans="1:21">
      <c r="A16180">
        <v>16179</v>
      </c>
      <c r="B16180" s="27" t="s">
        <v>1124</v>
      </c>
      <c r="D16180" s="27" t="s">
        <v>1859</v>
      </c>
      <c r="F16180" s="27" t="s">
        <v>1909</v>
      </c>
      <c r="H16180" s="27" t="s">
        <v>1961</v>
      </c>
      <c r="J16180" s="27" t="s">
        <v>1965</v>
      </c>
      <c r="L16180" s="27" t="s">
        <v>175</v>
      </c>
      <c r="N16180" s="27" t="s">
        <v>160</v>
      </c>
      <c r="P16180" s="27" t="s">
        <v>17791</v>
      </c>
      <c r="Q16180" s="26" t="str">
        <f>HYPERLINK("https://ictv.global/taxonomy/taxondetails?taxnode_id=202502639&amp;ictv_id=ICTV20115654","ICTV20115654")</f>
        <v>ICTV20115654</v>
      </c>
      <c r="R16180" t="s">
        <v>581</v>
      </c>
      <c r="S16180" t="s">
        <v>824</v>
      </c>
      <c r="T16180">
        <v>39</v>
      </c>
      <c r="U16180" s="26" t="str">
        <f t="shared" si="604"/>
        <v>2023.004S.Astroviridae_22sprenamed.zip</v>
      </c>
    </row>
    <row r="16181" spans="1:21">
      <c r="A16181">
        <v>16180</v>
      </c>
      <c r="B16181" s="27" t="s">
        <v>1124</v>
      </c>
      <c r="D16181" s="27" t="s">
        <v>1859</v>
      </c>
      <c r="F16181" s="27" t="s">
        <v>1909</v>
      </c>
      <c r="H16181" s="27" t="s">
        <v>1961</v>
      </c>
      <c r="J16181" s="27" t="s">
        <v>1965</v>
      </c>
      <c r="L16181" s="27" t="s">
        <v>175</v>
      </c>
      <c r="N16181" s="27" t="s">
        <v>160</v>
      </c>
      <c r="P16181" s="27" t="s">
        <v>17792</v>
      </c>
      <c r="Q16181" s="26" t="str">
        <f>HYPERLINK("https://ictv.global/taxonomy/taxondetails?taxnode_id=202502635&amp;ictv_id=ICTV20073203","ICTV20073203")</f>
        <v>ICTV20073203</v>
      </c>
      <c r="R16181" t="s">
        <v>581</v>
      </c>
      <c r="S16181" t="s">
        <v>824</v>
      </c>
      <c r="T16181">
        <v>39</v>
      </c>
      <c r="U16181" s="26" t="str">
        <f t="shared" si="604"/>
        <v>2023.004S.Astroviridae_22sprenamed.zip</v>
      </c>
    </row>
    <row r="16182" spans="1:21">
      <c r="A16182">
        <v>16181</v>
      </c>
      <c r="B16182" s="27" t="s">
        <v>1124</v>
      </c>
      <c r="D16182" s="27" t="s">
        <v>1859</v>
      </c>
      <c r="F16182" s="27" t="s">
        <v>1909</v>
      </c>
      <c r="H16182" s="27" t="s">
        <v>1961</v>
      </c>
      <c r="J16182" s="27" t="s">
        <v>1965</v>
      </c>
      <c r="L16182" s="27" t="s">
        <v>175</v>
      </c>
      <c r="N16182" s="27" t="s">
        <v>160</v>
      </c>
      <c r="P16182" s="27" t="s">
        <v>17793</v>
      </c>
      <c r="Q16182" s="26" t="str">
        <f>HYPERLINK("https://ictv.global/taxonomy/taxondetails?taxnode_id=202502638&amp;ictv_id=ICTV19950505","ICTV19950505")</f>
        <v>ICTV19950505</v>
      </c>
      <c r="R16182" t="s">
        <v>581</v>
      </c>
      <c r="S16182" t="s">
        <v>824</v>
      </c>
      <c r="T16182">
        <v>39</v>
      </c>
      <c r="U16182" s="26" t="str">
        <f t="shared" si="604"/>
        <v>2023.004S.Astroviridae_22sprenamed.zip</v>
      </c>
    </row>
    <row r="16183" spans="1:21">
      <c r="A16183">
        <v>16182</v>
      </c>
      <c r="B16183" s="27" t="s">
        <v>1124</v>
      </c>
      <c r="D16183" s="27" t="s">
        <v>1859</v>
      </c>
      <c r="F16183" s="27" t="s">
        <v>1909</v>
      </c>
      <c r="H16183" s="27" t="s">
        <v>1961</v>
      </c>
      <c r="J16183" s="27" t="s">
        <v>1965</v>
      </c>
      <c r="L16183" s="27" t="s">
        <v>175</v>
      </c>
      <c r="N16183" s="27" t="s">
        <v>160</v>
      </c>
      <c r="P16183" s="27" t="s">
        <v>17794</v>
      </c>
      <c r="Q16183" s="26" t="str">
        <f>HYPERLINK("https://ictv.global/taxonomy/taxondetails?taxnode_id=202502641&amp;ictv_id=ICTV20115656","ICTV20115656")</f>
        <v>ICTV20115656</v>
      </c>
      <c r="R16183" t="s">
        <v>581</v>
      </c>
      <c r="S16183" t="s">
        <v>824</v>
      </c>
      <c r="T16183">
        <v>39</v>
      </c>
      <c r="U16183" s="26" t="str">
        <f t="shared" si="604"/>
        <v>2023.004S.Astroviridae_22sprenamed.zip</v>
      </c>
    </row>
    <row r="16184" spans="1:21">
      <c r="A16184">
        <v>16183</v>
      </c>
      <c r="B16184" s="27" t="s">
        <v>1124</v>
      </c>
      <c r="D16184" s="27" t="s">
        <v>1859</v>
      </c>
      <c r="F16184" s="27" t="s">
        <v>1909</v>
      </c>
      <c r="H16184" s="27" t="s">
        <v>1961</v>
      </c>
      <c r="J16184" s="27" t="s">
        <v>1965</v>
      </c>
      <c r="L16184" s="27" t="s">
        <v>175</v>
      </c>
      <c r="N16184" s="27" t="s">
        <v>160</v>
      </c>
      <c r="P16184" s="27" t="s">
        <v>17795</v>
      </c>
      <c r="Q16184" s="26" t="str">
        <f>HYPERLINK("https://ictv.global/taxonomy/taxondetails?taxnode_id=202502643&amp;ictv_id=ICTV20115658","ICTV20115658")</f>
        <v>ICTV20115658</v>
      </c>
      <c r="R16184" t="s">
        <v>581</v>
      </c>
      <c r="S16184" t="s">
        <v>824</v>
      </c>
      <c r="T16184">
        <v>39</v>
      </c>
      <c r="U16184" s="26" t="str">
        <f t="shared" si="604"/>
        <v>2023.004S.Astroviridae_22sprenamed.zip</v>
      </c>
    </row>
    <row r="16185" spans="1:21">
      <c r="A16185">
        <v>16184</v>
      </c>
      <c r="B16185" s="27" t="s">
        <v>1124</v>
      </c>
      <c r="D16185" s="27" t="s">
        <v>1859</v>
      </c>
      <c r="F16185" s="27" t="s">
        <v>1909</v>
      </c>
      <c r="H16185" s="27" t="s">
        <v>1961</v>
      </c>
      <c r="J16185" s="27" t="s">
        <v>1965</v>
      </c>
      <c r="L16185" s="27" t="s">
        <v>175</v>
      </c>
      <c r="N16185" s="27" t="s">
        <v>160</v>
      </c>
      <c r="P16185" s="27" t="s">
        <v>21204</v>
      </c>
      <c r="Q16185" s="26" t="str">
        <f>HYPERLINK("https://ictv.global/taxonomy/taxondetails?taxnode_id=202522117&amp;ictv_id=ICTV202522117","ICTV202522117")</f>
        <v>ICTV202522117</v>
      </c>
      <c r="R16185" t="s">
        <v>581</v>
      </c>
      <c r="S16185" t="s">
        <v>823</v>
      </c>
      <c r="T16185">
        <v>41</v>
      </c>
      <c r="U16185" s="26" t="str">
        <f>HYPERLINK("https://ictv.global/ictv/proposals/2025.002S.Mamastrovirus_8nsp_1spren.zip","2025.002S.Mamastrovirus_8nsp_1spren.zip")</f>
        <v>2025.002S.Mamastrovirus_8nsp_1spren.zip</v>
      </c>
    </row>
    <row r="16186" spans="1:21">
      <c r="A16186">
        <v>16185</v>
      </c>
      <c r="B16186" s="27" t="s">
        <v>1124</v>
      </c>
      <c r="D16186" s="27" t="s">
        <v>1859</v>
      </c>
      <c r="F16186" s="27" t="s">
        <v>1909</v>
      </c>
      <c r="H16186" s="27" t="s">
        <v>1961</v>
      </c>
      <c r="J16186" s="27" t="s">
        <v>1965</v>
      </c>
      <c r="L16186" s="27" t="s">
        <v>175</v>
      </c>
      <c r="N16186" s="27" t="s">
        <v>160</v>
      </c>
      <c r="P16186" s="27" t="s">
        <v>21203</v>
      </c>
      <c r="Q16186" s="26" t="str">
        <f>HYPERLINK("https://ictv.global/taxonomy/taxondetails?taxnode_id=202522116&amp;ictv_id=ICTV202522116","ICTV202522116")</f>
        <v>ICTV202522116</v>
      </c>
      <c r="R16186" t="s">
        <v>581</v>
      </c>
      <c r="S16186" t="s">
        <v>823</v>
      </c>
      <c r="T16186">
        <v>41</v>
      </c>
      <c r="U16186" s="26" t="str">
        <f>HYPERLINK("https://ictv.global/ictv/proposals/2025.002S.Mamastrovirus_8nsp_1spren.zip","2025.002S.Mamastrovirus_8nsp_1spren.zip")</f>
        <v>2025.002S.Mamastrovirus_8nsp_1spren.zip</v>
      </c>
    </row>
    <row r="16187" spans="1:21">
      <c r="A16187">
        <v>16186</v>
      </c>
      <c r="B16187" s="27" t="s">
        <v>1124</v>
      </c>
      <c r="D16187" s="27" t="s">
        <v>1859</v>
      </c>
      <c r="F16187" s="27" t="s">
        <v>1909</v>
      </c>
      <c r="H16187" s="27" t="s">
        <v>1961</v>
      </c>
      <c r="J16187" s="27" t="s">
        <v>1965</v>
      </c>
      <c r="L16187" s="27" t="s">
        <v>175</v>
      </c>
      <c r="N16187" s="27" t="s">
        <v>160</v>
      </c>
      <c r="P16187" s="27" t="s">
        <v>21201</v>
      </c>
      <c r="Q16187" s="26" t="str">
        <f>HYPERLINK("https://ictv.global/taxonomy/taxondetails?taxnode_id=202522114&amp;ictv_id=ICTV202522114","ICTV202522114")</f>
        <v>ICTV202522114</v>
      </c>
      <c r="R16187" t="s">
        <v>581</v>
      </c>
      <c r="S16187" t="s">
        <v>823</v>
      </c>
      <c r="T16187">
        <v>41</v>
      </c>
      <c r="U16187" s="26" t="str">
        <f>HYPERLINK("https://ictv.global/ictv/proposals/2025.002S.Mamastrovirus_8nsp_1spren.zip","2025.002S.Mamastrovirus_8nsp_1spren.zip")</f>
        <v>2025.002S.Mamastrovirus_8nsp_1spren.zip</v>
      </c>
    </row>
    <row r="16188" spans="1:21">
      <c r="A16188">
        <v>16187</v>
      </c>
      <c r="B16188" s="27" t="s">
        <v>1124</v>
      </c>
      <c r="D16188" s="27" t="s">
        <v>1859</v>
      </c>
      <c r="F16188" s="27" t="s">
        <v>1909</v>
      </c>
      <c r="H16188" s="27" t="s">
        <v>1961</v>
      </c>
      <c r="J16188" s="27" t="s">
        <v>1965</v>
      </c>
      <c r="L16188" s="27" t="s">
        <v>175</v>
      </c>
      <c r="N16188" s="27" t="s">
        <v>160</v>
      </c>
      <c r="P16188" s="27" t="s">
        <v>20780</v>
      </c>
      <c r="Q16188" s="26" t="str">
        <f>HYPERLINK("https://ictv.global/taxonomy/taxondetails?taxnode_id=202502628&amp;ictv_id=ICTV19950506","ICTV19950506")</f>
        <v>ICTV19950506</v>
      </c>
      <c r="R16188" t="s">
        <v>581</v>
      </c>
      <c r="S16188" t="s">
        <v>824</v>
      </c>
      <c r="T16188">
        <v>41</v>
      </c>
      <c r="U16188" s="26" t="str">
        <f>HYPERLINK("https://ictv.global/ictv/proposals/2025.002S.Mamastrovirus_8nsp_1spren.zip","2025.002S.Mamastrovirus_8nsp_1spren.zip")</f>
        <v>2025.002S.Mamastrovirus_8nsp_1spren.zip</v>
      </c>
    </row>
    <row r="16189" spans="1:21">
      <c r="A16189">
        <v>16188</v>
      </c>
      <c r="B16189" s="27" t="s">
        <v>1124</v>
      </c>
      <c r="D16189" s="27" t="s">
        <v>1859</v>
      </c>
      <c r="F16189" s="27" t="s">
        <v>1909</v>
      </c>
      <c r="H16189" s="27" t="s">
        <v>1961</v>
      </c>
      <c r="J16189" s="27" t="s">
        <v>1965</v>
      </c>
      <c r="L16189" s="27" t="s">
        <v>175</v>
      </c>
      <c r="N16189" s="27" t="s">
        <v>160</v>
      </c>
      <c r="P16189" s="27" t="s">
        <v>21202</v>
      </c>
      <c r="Q16189" s="26" t="str">
        <f>HYPERLINK("https://ictv.global/taxonomy/taxondetails?taxnode_id=202522115&amp;ictv_id=ICTV202522115","ICTV202522115")</f>
        <v>ICTV202522115</v>
      </c>
      <c r="R16189" t="s">
        <v>581</v>
      </c>
      <c r="S16189" t="s">
        <v>823</v>
      </c>
      <c r="T16189">
        <v>41</v>
      </c>
      <c r="U16189" s="26" t="str">
        <f>HYPERLINK("https://ictv.global/ictv/proposals/2025.002S.Mamastrovirus_8nsp_1spren.zip","2025.002S.Mamastrovirus_8nsp_1spren.zip")</f>
        <v>2025.002S.Mamastrovirus_8nsp_1spren.zip</v>
      </c>
    </row>
    <row r="16190" spans="1:21">
      <c r="A16190">
        <v>16189</v>
      </c>
      <c r="B16190" s="27" t="s">
        <v>1124</v>
      </c>
      <c r="D16190" s="27" t="s">
        <v>1859</v>
      </c>
      <c r="F16190" s="27" t="s">
        <v>1909</v>
      </c>
      <c r="H16190" s="27" t="s">
        <v>1961</v>
      </c>
      <c r="J16190" s="27" t="s">
        <v>1965</v>
      </c>
      <c r="L16190" s="27" t="s">
        <v>175</v>
      </c>
      <c r="N16190" s="27" t="s">
        <v>160</v>
      </c>
      <c r="P16190" s="27" t="s">
        <v>17796</v>
      </c>
      <c r="Q16190" s="26" t="str">
        <f>HYPERLINK("https://ictv.global/taxonomy/taxondetails?taxnode_id=202502640&amp;ictv_id=ICTV20115655","ICTV20115655")</f>
        <v>ICTV20115655</v>
      </c>
      <c r="R16190" t="s">
        <v>581</v>
      </c>
      <c r="S16190" t="s">
        <v>824</v>
      </c>
      <c r="T16190">
        <v>39</v>
      </c>
      <c r="U16190" s="26" t="str">
        <f>HYPERLINK("https://ictv.global/ictv/proposals/2023.004S.Astroviridae_22sprenamed.zip","2023.004S.Astroviridae_22sprenamed.zip")</f>
        <v>2023.004S.Astroviridae_22sprenamed.zip</v>
      </c>
    </row>
    <row r="16191" spans="1:21">
      <c r="A16191">
        <v>16190</v>
      </c>
      <c r="B16191" s="27" t="s">
        <v>1124</v>
      </c>
      <c r="D16191" s="27" t="s">
        <v>1859</v>
      </c>
      <c r="F16191" s="27" t="s">
        <v>1909</v>
      </c>
      <c r="H16191" s="27" t="s">
        <v>1961</v>
      </c>
      <c r="J16191" s="27" t="s">
        <v>1965</v>
      </c>
      <c r="L16191" s="27" t="s">
        <v>175</v>
      </c>
      <c r="N16191" s="27" t="s">
        <v>160</v>
      </c>
      <c r="P16191" s="27" t="s">
        <v>17797</v>
      </c>
      <c r="Q16191" s="26" t="str">
        <f>HYPERLINK("https://ictv.global/taxonomy/taxondetails?taxnode_id=202502632&amp;ictv_id=ICTV20115649","ICTV20115649")</f>
        <v>ICTV20115649</v>
      </c>
      <c r="R16191" t="s">
        <v>581</v>
      </c>
      <c r="S16191" t="s">
        <v>824</v>
      </c>
      <c r="T16191">
        <v>39</v>
      </c>
      <c r="U16191" s="26" t="str">
        <f>HYPERLINK("https://ictv.global/ictv/proposals/2023.004S.Astroviridae_22sprenamed.zip","2023.004S.Astroviridae_22sprenamed.zip")</f>
        <v>2023.004S.Astroviridae_22sprenamed.zip</v>
      </c>
    </row>
    <row r="16192" spans="1:21">
      <c r="A16192">
        <v>16191</v>
      </c>
      <c r="B16192" s="27" t="s">
        <v>1124</v>
      </c>
      <c r="D16192" s="27" t="s">
        <v>1859</v>
      </c>
      <c r="F16192" s="27" t="s">
        <v>1909</v>
      </c>
      <c r="H16192" s="27" t="s">
        <v>1961</v>
      </c>
      <c r="J16192" s="27" t="s">
        <v>1965</v>
      </c>
      <c r="L16192" s="27" t="s">
        <v>175</v>
      </c>
      <c r="N16192" s="27" t="s">
        <v>160</v>
      </c>
      <c r="P16192" s="27" t="s">
        <v>17798</v>
      </c>
      <c r="Q16192" s="26" t="str">
        <f>HYPERLINK("https://ictv.global/taxonomy/taxondetails?taxnode_id=202502637&amp;ictv_id=ICTV20115653","ICTV20115653")</f>
        <v>ICTV20115653</v>
      </c>
      <c r="R16192" t="s">
        <v>581</v>
      </c>
      <c r="S16192" t="s">
        <v>824</v>
      </c>
      <c r="T16192">
        <v>39</v>
      </c>
      <c r="U16192" s="26" t="str">
        <f>HYPERLINK("https://ictv.global/ictv/proposals/2023.004S.Astroviridae_22sprenamed.zip","2023.004S.Astroviridae_22sprenamed.zip")</f>
        <v>2023.004S.Astroviridae_22sprenamed.zip</v>
      </c>
    </row>
    <row r="16193" spans="1:21">
      <c r="A16193">
        <v>16192</v>
      </c>
      <c r="B16193" s="27" t="s">
        <v>1124</v>
      </c>
      <c r="D16193" s="27" t="s">
        <v>1859</v>
      </c>
      <c r="F16193" s="27" t="s">
        <v>1909</v>
      </c>
      <c r="H16193" s="27" t="s">
        <v>1961</v>
      </c>
      <c r="J16193" s="27" t="s">
        <v>1965</v>
      </c>
      <c r="L16193" s="27" t="s">
        <v>175</v>
      </c>
      <c r="N16193" s="27" t="s">
        <v>160</v>
      </c>
      <c r="P16193" s="27" t="s">
        <v>17799</v>
      </c>
      <c r="Q16193" s="26" t="str">
        <f>HYPERLINK("https://ictv.global/taxonomy/taxondetails?taxnode_id=202502634&amp;ictv_id=ICTV20115651","ICTV20115651")</f>
        <v>ICTV20115651</v>
      </c>
      <c r="R16193" t="s">
        <v>581</v>
      </c>
      <c r="S16193" t="s">
        <v>824</v>
      </c>
      <c r="T16193">
        <v>39</v>
      </c>
      <c r="U16193" s="26" t="str">
        <f>HYPERLINK("https://ictv.global/ictv/proposals/2023.004S.Astroviridae_22sprenamed.zip","2023.004S.Astroviridae_22sprenamed.zip")</f>
        <v>2023.004S.Astroviridae_22sprenamed.zip</v>
      </c>
    </row>
    <row r="16194" spans="1:21">
      <c r="A16194">
        <v>16193</v>
      </c>
      <c r="B16194" s="27" t="s">
        <v>1124</v>
      </c>
      <c r="D16194" s="27" t="s">
        <v>1859</v>
      </c>
      <c r="F16194" s="27" t="s">
        <v>1909</v>
      </c>
      <c r="H16194" s="27" t="s">
        <v>1961</v>
      </c>
      <c r="J16194" s="27" t="s">
        <v>1965</v>
      </c>
      <c r="L16194" s="27" t="s">
        <v>175</v>
      </c>
      <c r="N16194" s="27" t="s">
        <v>160</v>
      </c>
      <c r="P16194" s="27" t="s">
        <v>17800</v>
      </c>
      <c r="Q16194" s="26" t="str">
        <f>HYPERLINK("https://ictv.global/taxonomy/taxondetails?taxnode_id=202502629&amp;ictv_id=ICTV20115646","ICTV20115646")</f>
        <v>ICTV20115646</v>
      </c>
      <c r="R16194" t="s">
        <v>581</v>
      </c>
      <c r="S16194" t="s">
        <v>824</v>
      </c>
      <c r="T16194">
        <v>39</v>
      </c>
      <c r="U16194" s="26" t="str">
        <f>HYPERLINK("https://ictv.global/ictv/proposals/2023.004S.Astroviridae_22sprenamed.zip","2023.004S.Astroviridae_22sprenamed.zip")</f>
        <v>2023.004S.Astroviridae_22sprenamed.zip</v>
      </c>
    </row>
    <row r="16195" spans="1:21">
      <c r="A16195">
        <v>16194</v>
      </c>
      <c r="B16195" s="27" t="s">
        <v>1124</v>
      </c>
      <c r="D16195" s="27" t="s">
        <v>1859</v>
      </c>
      <c r="F16195" s="27" t="s">
        <v>1909</v>
      </c>
      <c r="J16195" s="27" t="s">
        <v>10687</v>
      </c>
      <c r="L16195" s="27" t="s">
        <v>10688</v>
      </c>
      <c r="N16195" s="27" t="s">
        <v>10689</v>
      </c>
      <c r="P16195" s="27" t="s">
        <v>10690</v>
      </c>
      <c r="Q16195" s="26" t="str">
        <f>HYPERLINK("https://ictv.global/taxonomy/taxondetails?taxnode_id=202512473&amp;ictv_id=ICTV202112473","ICTV202112473")</f>
        <v>ICTV202112473</v>
      </c>
      <c r="R16195" t="s">
        <v>581</v>
      </c>
      <c r="S16195" t="s">
        <v>823</v>
      </c>
      <c r="T16195">
        <v>37</v>
      </c>
      <c r="U16195" s="26" t="str">
        <f t="shared" ref="U16195:U16204" si="605">HYPERLINK("https://ictv.global/ictv/proposals/2021.005F.R.Yadokarivirales_neworder.zip","2021.005F.R.Yadokarivirales_neworder.zip")</f>
        <v>2021.005F.R.Yadokarivirales_neworder.zip</v>
      </c>
    </row>
    <row r="16196" spans="1:21">
      <c r="A16196">
        <v>16195</v>
      </c>
      <c r="B16196" s="27" t="s">
        <v>1124</v>
      </c>
      <c r="D16196" s="27" t="s">
        <v>1859</v>
      </c>
      <c r="F16196" s="27" t="s">
        <v>1909</v>
      </c>
      <c r="J16196" s="27" t="s">
        <v>10687</v>
      </c>
      <c r="L16196" s="27" t="s">
        <v>10688</v>
      </c>
      <c r="N16196" s="27" t="s">
        <v>10689</v>
      </c>
      <c r="P16196" s="27" t="s">
        <v>10691</v>
      </c>
      <c r="Q16196" s="26" t="str">
        <f>HYPERLINK("https://ictv.global/taxonomy/taxondetails?taxnode_id=202512469&amp;ictv_id=ICTV202112469","ICTV202112469")</f>
        <v>ICTV202112469</v>
      </c>
      <c r="R16196" t="s">
        <v>581</v>
      </c>
      <c r="S16196" t="s">
        <v>823</v>
      </c>
      <c r="T16196">
        <v>37</v>
      </c>
      <c r="U16196" s="26" t="str">
        <f t="shared" si="605"/>
        <v>2021.005F.R.Yadokarivirales_neworder.zip</v>
      </c>
    </row>
    <row r="16197" spans="1:21">
      <c r="A16197">
        <v>16196</v>
      </c>
      <c r="B16197" s="27" t="s">
        <v>1124</v>
      </c>
      <c r="D16197" s="27" t="s">
        <v>1859</v>
      </c>
      <c r="F16197" s="27" t="s">
        <v>1909</v>
      </c>
      <c r="J16197" s="27" t="s">
        <v>10687</v>
      </c>
      <c r="L16197" s="27" t="s">
        <v>10688</v>
      </c>
      <c r="N16197" s="27" t="s">
        <v>10689</v>
      </c>
      <c r="P16197" s="27" t="s">
        <v>10692</v>
      </c>
      <c r="Q16197" s="26" t="str">
        <f>HYPERLINK("https://ictv.global/taxonomy/taxondetails?taxnode_id=202512470&amp;ictv_id=ICTV202112470","ICTV202112470")</f>
        <v>ICTV202112470</v>
      </c>
      <c r="R16197" t="s">
        <v>581</v>
      </c>
      <c r="S16197" t="s">
        <v>823</v>
      </c>
      <c r="T16197">
        <v>37</v>
      </c>
      <c r="U16197" s="26" t="str">
        <f t="shared" si="605"/>
        <v>2021.005F.R.Yadokarivirales_neworder.zip</v>
      </c>
    </row>
    <row r="16198" spans="1:21">
      <c r="A16198">
        <v>16197</v>
      </c>
      <c r="B16198" s="27" t="s">
        <v>1124</v>
      </c>
      <c r="D16198" s="27" t="s">
        <v>1859</v>
      </c>
      <c r="F16198" s="27" t="s">
        <v>1909</v>
      </c>
      <c r="J16198" s="27" t="s">
        <v>10687</v>
      </c>
      <c r="L16198" s="27" t="s">
        <v>10688</v>
      </c>
      <c r="N16198" s="27" t="s">
        <v>10689</v>
      </c>
      <c r="P16198" s="27" t="s">
        <v>10693</v>
      </c>
      <c r="Q16198" s="26" t="str">
        <f>HYPERLINK("https://ictv.global/taxonomy/taxondetails?taxnode_id=202512474&amp;ictv_id=ICTV202112474","ICTV202112474")</f>
        <v>ICTV202112474</v>
      </c>
      <c r="R16198" t="s">
        <v>581</v>
      </c>
      <c r="S16198" t="s">
        <v>823</v>
      </c>
      <c r="T16198">
        <v>37</v>
      </c>
      <c r="U16198" s="26" t="str">
        <f t="shared" si="605"/>
        <v>2021.005F.R.Yadokarivirales_neworder.zip</v>
      </c>
    </row>
    <row r="16199" spans="1:21">
      <c r="A16199">
        <v>16198</v>
      </c>
      <c r="B16199" s="27" t="s">
        <v>1124</v>
      </c>
      <c r="D16199" s="27" t="s">
        <v>1859</v>
      </c>
      <c r="F16199" s="27" t="s">
        <v>1909</v>
      </c>
      <c r="J16199" s="27" t="s">
        <v>10687</v>
      </c>
      <c r="L16199" s="27" t="s">
        <v>10688</v>
      </c>
      <c r="N16199" s="27" t="s">
        <v>10689</v>
      </c>
      <c r="P16199" s="27" t="s">
        <v>10694</v>
      </c>
      <c r="Q16199" s="26" t="str">
        <f>HYPERLINK("https://ictv.global/taxonomy/taxondetails?taxnode_id=202512471&amp;ictv_id=ICTV202112471","ICTV202112471")</f>
        <v>ICTV202112471</v>
      </c>
      <c r="R16199" t="s">
        <v>581</v>
      </c>
      <c r="S16199" t="s">
        <v>823</v>
      </c>
      <c r="T16199">
        <v>37</v>
      </c>
      <c r="U16199" s="26" t="str">
        <f t="shared" si="605"/>
        <v>2021.005F.R.Yadokarivirales_neworder.zip</v>
      </c>
    </row>
    <row r="16200" spans="1:21">
      <c r="A16200">
        <v>16199</v>
      </c>
      <c r="B16200" s="27" t="s">
        <v>1124</v>
      </c>
      <c r="D16200" s="27" t="s">
        <v>1859</v>
      </c>
      <c r="F16200" s="27" t="s">
        <v>1909</v>
      </c>
      <c r="J16200" s="27" t="s">
        <v>10687</v>
      </c>
      <c r="L16200" s="27" t="s">
        <v>10688</v>
      </c>
      <c r="N16200" s="27" t="s">
        <v>10689</v>
      </c>
      <c r="P16200" s="27" t="s">
        <v>10695</v>
      </c>
      <c r="Q16200" s="26" t="str">
        <f>HYPERLINK("https://ictv.global/taxonomy/taxondetails?taxnode_id=202512472&amp;ictv_id=ICTV202112472","ICTV202112472")</f>
        <v>ICTV202112472</v>
      </c>
      <c r="R16200" t="s">
        <v>581</v>
      </c>
      <c r="S16200" t="s">
        <v>823</v>
      </c>
      <c r="T16200">
        <v>37</v>
      </c>
      <c r="U16200" s="26" t="str">
        <f t="shared" si="605"/>
        <v>2021.005F.R.Yadokarivirales_neworder.zip</v>
      </c>
    </row>
    <row r="16201" spans="1:21">
      <c r="A16201">
        <v>16200</v>
      </c>
      <c r="B16201" s="27" t="s">
        <v>1124</v>
      </c>
      <c r="D16201" s="27" t="s">
        <v>1859</v>
      </c>
      <c r="F16201" s="27" t="s">
        <v>1909</v>
      </c>
      <c r="J16201" s="27" t="s">
        <v>10687</v>
      </c>
      <c r="L16201" s="27" t="s">
        <v>10688</v>
      </c>
      <c r="N16201" s="27" t="s">
        <v>10696</v>
      </c>
      <c r="P16201" s="27" t="s">
        <v>10697</v>
      </c>
      <c r="Q16201" s="26" t="str">
        <f>HYPERLINK("https://ictv.global/taxonomy/taxondetails?taxnode_id=202512476&amp;ictv_id=ICTV202112476","ICTV202112476")</f>
        <v>ICTV202112476</v>
      </c>
      <c r="R16201" t="s">
        <v>581</v>
      </c>
      <c r="S16201" t="s">
        <v>823</v>
      </c>
      <c r="T16201">
        <v>37</v>
      </c>
      <c r="U16201" s="26" t="str">
        <f t="shared" si="605"/>
        <v>2021.005F.R.Yadokarivirales_neworder.zip</v>
      </c>
    </row>
    <row r="16202" spans="1:21">
      <c r="A16202">
        <v>16201</v>
      </c>
      <c r="B16202" s="27" t="s">
        <v>1124</v>
      </c>
      <c r="D16202" s="27" t="s">
        <v>1859</v>
      </c>
      <c r="F16202" s="27" t="s">
        <v>1909</v>
      </c>
      <c r="J16202" s="27" t="s">
        <v>10687</v>
      </c>
      <c r="L16202" s="27" t="s">
        <v>10688</v>
      </c>
      <c r="N16202" s="27" t="s">
        <v>10696</v>
      </c>
      <c r="P16202" s="27" t="s">
        <v>10698</v>
      </c>
      <c r="Q16202" s="26" t="str">
        <f>HYPERLINK("https://ictv.global/taxonomy/taxondetails?taxnode_id=202512477&amp;ictv_id=ICTV202112477","ICTV202112477")</f>
        <v>ICTV202112477</v>
      </c>
      <c r="R16202" t="s">
        <v>581</v>
      </c>
      <c r="S16202" t="s">
        <v>823</v>
      </c>
      <c r="T16202">
        <v>37</v>
      </c>
      <c r="U16202" s="26" t="str">
        <f t="shared" si="605"/>
        <v>2021.005F.R.Yadokarivirales_neworder.zip</v>
      </c>
    </row>
    <row r="16203" spans="1:21">
      <c r="A16203">
        <v>16202</v>
      </c>
      <c r="B16203" s="27" t="s">
        <v>1124</v>
      </c>
      <c r="D16203" s="27" t="s">
        <v>1859</v>
      </c>
      <c r="F16203" s="27" t="s">
        <v>1909</v>
      </c>
      <c r="J16203" s="27" t="s">
        <v>10687</v>
      </c>
      <c r="L16203" s="27" t="s">
        <v>10688</v>
      </c>
      <c r="N16203" s="27" t="s">
        <v>10696</v>
      </c>
      <c r="P16203" s="27" t="s">
        <v>10699</v>
      </c>
      <c r="Q16203" s="26" t="str">
        <f>HYPERLINK("https://ictv.global/taxonomy/taxondetails?taxnode_id=202512478&amp;ictv_id=ICTV202112478","ICTV202112478")</f>
        <v>ICTV202112478</v>
      </c>
      <c r="R16203" t="s">
        <v>581</v>
      </c>
      <c r="S16203" t="s">
        <v>823</v>
      </c>
      <c r="T16203">
        <v>37</v>
      </c>
      <c r="U16203" s="26" t="str">
        <f t="shared" si="605"/>
        <v>2021.005F.R.Yadokarivirales_neworder.zip</v>
      </c>
    </row>
    <row r="16204" spans="1:21">
      <c r="A16204">
        <v>16203</v>
      </c>
      <c r="B16204" s="27" t="s">
        <v>1124</v>
      </c>
      <c r="D16204" s="27" t="s">
        <v>1859</v>
      </c>
      <c r="F16204" s="27" t="s">
        <v>1909</v>
      </c>
      <c r="J16204" s="27" t="s">
        <v>10687</v>
      </c>
      <c r="L16204" s="27" t="s">
        <v>10688</v>
      </c>
      <c r="N16204" s="27" t="s">
        <v>10696</v>
      </c>
      <c r="P16204" s="27" t="s">
        <v>10700</v>
      </c>
      <c r="Q16204" s="26" t="str">
        <f>HYPERLINK("https://ictv.global/taxonomy/taxondetails?taxnode_id=202512479&amp;ictv_id=ICTV202112479","ICTV202112479")</f>
        <v>ICTV202112479</v>
      </c>
      <c r="R16204" t="s">
        <v>581</v>
      </c>
      <c r="S16204" t="s">
        <v>823</v>
      </c>
      <c r="T16204">
        <v>37</v>
      </c>
      <c r="U16204" s="26" t="str">
        <f t="shared" si="605"/>
        <v>2021.005F.R.Yadokarivirales_neworder.zip</v>
      </c>
    </row>
    <row r="16205" spans="1:21">
      <c r="A16205">
        <v>16204</v>
      </c>
      <c r="B16205" s="27" t="s">
        <v>1124</v>
      </c>
      <c r="D16205" s="27" t="s">
        <v>1859</v>
      </c>
      <c r="H16205" s="27" t="s">
        <v>20566</v>
      </c>
      <c r="J16205" s="27" t="s">
        <v>20567</v>
      </c>
      <c r="L16205" s="27" t="s">
        <v>20568</v>
      </c>
      <c r="N16205" s="27" t="s">
        <v>20569</v>
      </c>
      <c r="P16205" s="27" t="s">
        <v>20570</v>
      </c>
      <c r="Q16205" s="26" t="str">
        <f>HYPERLINK("https://ictv.global/taxonomy/taxondetails?taxnode_id=202520341&amp;ictv_id=ICTV202420341","ICTV202420341")</f>
        <v>ICTV202420341</v>
      </c>
      <c r="R16205" t="s">
        <v>1106</v>
      </c>
      <c r="S16205" t="s">
        <v>823</v>
      </c>
      <c r="T16205">
        <v>40</v>
      </c>
      <c r="U16205" s="26" t="str">
        <f t="shared" ref="U16205:U16213" si="606">HYPERLINK("https://ictv.global/ictv/proposals/2024.008F.Orpoviricetes_newclass.zip","2024.008F.Orpoviricetes_newclass.zip")</f>
        <v>2024.008F.Orpoviricetes_newclass.zip</v>
      </c>
    </row>
    <row r="16206" spans="1:21">
      <c r="A16206">
        <v>16205</v>
      </c>
      <c r="B16206" s="27" t="s">
        <v>1124</v>
      </c>
      <c r="D16206" s="27" t="s">
        <v>1859</v>
      </c>
      <c r="H16206" s="27" t="s">
        <v>20566</v>
      </c>
      <c r="J16206" s="27" t="s">
        <v>20567</v>
      </c>
      <c r="L16206" s="27" t="s">
        <v>20568</v>
      </c>
      <c r="N16206" s="27" t="s">
        <v>20569</v>
      </c>
      <c r="P16206" s="27" t="s">
        <v>20571</v>
      </c>
      <c r="Q16206" s="26" t="str">
        <f>HYPERLINK("https://ictv.global/taxonomy/taxondetails?taxnode_id=202520343&amp;ictv_id=ICTV202420343","ICTV202420343")</f>
        <v>ICTV202420343</v>
      </c>
      <c r="R16206" t="s">
        <v>1106</v>
      </c>
      <c r="S16206" t="s">
        <v>823</v>
      </c>
      <c r="T16206">
        <v>40</v>
      </c>
      <c r="U16206" s="26" t="str">
        <f t="shared" si="606"/>
        <v>2024.008F.Orpoviricetes_newclass.zip</v>
      </c>
    </row>
    <row r="16207" spans="1:21">
      <c r="A16207">
        <v>16206</v>
      </c>
      <c r="B16207" s="27" t="s">
        <v>1124</v>
      </c>
      <c r="D16207" s="27" t="s">
        <v>1859</v>
      </c>
      <c r="H16207" s="27" t="s">
        <v>20566</v>
      </c>
      <c r="J16207" s="27" t="s">
        <v>20567</v>
      </c>
      <c r="L16207" s="27" t="s">
        <v>20568</v>
      </c>
      <c r="N16207" s="27" t="s">
        <v>20569</v>
      </c>
      <c r="P16207" s="27" t="s">
        <v>20572</v>
      </c>
      <c r="Q16207" s="26" t="str">
        <f>HYPERLINK("https://ictv.global/taxonomy/taxondetails?taxnode_id=202520342&amp;ictv_id=ICTV202420342","ICTV202420342")</f>
        <v>ICTV202420342</v>
      </c>
      <c r="R16207" t="s">
        <v>1106</v>
      </c>
      <c r="S16207" t="s">
        <v>823</v>
      </c>
      <c r="T16207">
        <v>40</v>
      </c>
      <c r="U16207" s="26" t="str">
        <f t="shared" si="606"/>
        <v>2024.008F.Orpoviricetes_newclass.zip</v>
      </c>
    </row>
    <row r="16208" spans="1:21">
      <c r="A16208">
        <v>16207</v>
      </c>
      <c r="B16208" s="27" t="s">
        <v>1124</v>
      </c>
      <c r="D16208" s="27" t="s">
        <v>1859</v>
      </c>
      <c r="H16208" s="27" t="s">
        <v>20566</v>
      </c>
      <c r="J16208" s="27" t="s">
        <v>20567</v>
      </c>
      <c r="L16208" s="27" t="s">
        <v>20568</v>
      </c>
      <c r="N16208" s="27" t="s">
        <v>20573</v>
      </c>
      <c r="P16208" s="27" t="s">
        <v>20574</v>
      </c>
      <c r="Q16208" s="26" t="str">
        <f>HYPERLINK("https://ictv.global/taxonomy/taxondetails?taxnode_id=202520337&amp;ictv_id=ICTV202420337","ICTV202420337")</f>
        <v>ICTV202420337</v>
      </c>
      <c r="R16208" t="s">
        <v>1106</v>
      </c>
      <c r="S16208" t="s">
        <v>823</v>
      </c>
      <c r="T16208">
        <v>40</v>
      </c>
      <c r="U16208" s="26" t="str">
        <f t="shared" si="606"/>
        <v>2024.008F.Orpoviricetes_newclass.zip</v>
      </c>
    </row>
    <row r="16209" spans="1:21">
      <c r="A16209">
        <v>16208</v>
      </c>
      <c r="B16209" s="27" t="s">
        <v>1124</v>
      </c>
      <c r="D16209" s="27" t="s">
        <v>1859</v>
      </c>
      <c r="H16209" s="27" t="s">
        <v>20566</v>
      </c>
      <c r="J16209" s="27" t="s">
        <v>20567</v>
      </c>
      <c r="L16209" s="27" t="s">
        <v>20568</v>
      </c>
      <c r="N16209" s="27" t="s">
        <v>20573</v>
      </c>
      <c r="P16209" s="27" t="s">
        <v>20575</v>
      </c>
      <c r="Q16209" s="26" t="str">
        <f>HYPERLINK("https://ictv.global/taxonomy/taxondetails?taxnode_id=202520335&amp;ictv_id=ICTV202420335","ICTV202420335")</f>
        <v>ICTV202420335</v>
      </c>
      <c r="R16209" t="s">
        <v>1106</v>
      </c>
      <c r="S16209" t="s">
        <v>823</v>
      </c>
      <c r="T16209">
        <v>40</v>
      </c>
      <c r="U16209" s="26" t="str">
        <f t="shared" si="606"/>
        <v>2024.008F.Orpoviricetes_newclass.zip</v>
      </c>
    </row>
    <row r="16210" spans="1:21">
      <c r="A16210">
        <v>16209</v>
      </c>
      <c r="B16210" s="27" t="s">
        <v>1124</v>
      </c>
      <c r="D16210" s="27" t="s">
        <v>1859</v>
      </c>
      <c r="H16210" s="27" t="s">
        <v>20566</v>
      </c>
      <c r="J16210" s="27" t="s">
        <v>20567</v>
      </c>
      <c r="L16210" s="27" t="s">
        <v>20568</v>
      </c>
      <c r="N16210" s="27" t="s">
        <v>20573</v>
      </c>
      <c r="P16210" s="27" t="s">
        <v>20576</v>
      </c>
      <c r="Q16210" s="26" t="str">
        <f>HYPERLINK("https://ictv.global/taxonomy/taxondetails?taxnode_id=202520340&amp;ictv_id=ICTV202420340","ICTV202420340")</f>
        <v>ICTV202420340</v>
      </c>
      <c r="R16210" t="s">
        <v>1106</v>
      </c>
      <c r="S16210" t="s">
        <v>823</v>
      </c>
      <c r="T16210">
        <v>40</v>
      </c>
      <c r="U16210" s="26" t="str">
        <f t="shared" si="606"/>
        <v>2024.008F.Orpoviricetes_newclass.zip</v>
      </c>
    </row>
    <row r="16211" spans="1:21">
      <c r="A16211">
        <v>16210</v>
      </c>
      <c r="B16211" s="27" t="s">
        <v>1124</v>
      </c>
      <c r="D16211" s="27" t="s">
        <v>1859</v>
      </c>
      <c r="H16211" s="27" t="s">
        <v>20566</v>
      </c>
      <c r="J16211" s="27" t="s">
        <v>20567</v>
      </c>
      <c r="L16211" s="27" t="s">
        <v>20568</v>
      </c>
      <c r="N16211" s="27" t="s">
        <v>20573</v>
      </c>
      <c r="P16211" s="27" t="s">
        <v>20577</v>
      </c>
      <c r="Q16211" s="26" t="str">
        <f>HYPERLINK("https://ictv.global/taxonomy/taxondetails?taxnode_id=202520339&amp;ictv_id=ICTV202420339","ICTV202420339")</f>
        <v>ICTV202420339</v>
      </c>
      <c r="R16211" t="s">
        <v>1106</v>
      </c>
      <c r="S16211" t="s">
        <v>823</v>
      </c>
      <c r="T16211">
        <v>40</v>
      </c>
      <c r="U16211" s="26" t="str">
        <f t="shared" si="606"/>
        <v>2024.008F.Orpoviricetes_newclass.zip</v>
      </c>
    </row>
    <row r="16212" spans="1:21">
      <c r="A16212">
        <v>16211</v>
      </c>
      <c r="B16212" s="27" t="s">
        <v>1124</v>
      </c>
      <c r="D16212" s="27" t="s">
        <v>1859</v>
      </c>
      <c r="H16212" s="27" t="s">
        <v>20566</v>
      </c>
      <c r="J16212" s="27" t="s">
        <v>20567</v>
      </c>
      <c r="L16212" s="27" t="s">
        <v>20568</v>
      </c>
      <c r="N16212" s="27" t="s">
        <v>20573</v>
      </c>
      <c r="P16212" s="27" t="s">
        <v>20578</v>
      </c>
      <c r="Q16212" s="26" t="str">
        <f>HYPERLINK("https://ictv.global/taxonomy/taxondetails?taxnode_id=202520338&amp;ictv_id=ICTV202420338","ICTV202420338")</f>
        <v>ICTV202420338</v>
      </c>
      <c r="R16212" t="s">
        <v>1106</v>
      </c>
      <c r="S16212" t="s">
        <v>823</v>
      </c>
      <c r="T16212">
        <v>40</v>
      </c>
      <c r="U16212" s="26" t="str">
        <f t="shared" si="606"/>
        <v>2024.008F.Orpoviricetes_newclass.zip</v>
      </c>
    </row>
    <row r="16213" spans="1:21">
      <c r="A16213">
        <v>16212</v>
      </c>
      <c r="B16213" s="27" t="s">
        <v>1124</v>
      </c>
      <c r="D16213" s="27" t="s">
        <v>1859</v>
      </c>
      <c r="H16213" s="27" t="s">
        <v>20566</v>
      </c>
      <c r="J16213" s="27" t="s">
        <v>20567</v>
      </c>
      <c r="L16213" s="27" t="s">
        <v>20568</v>
      </c>
      <c r="N16213" s="27" t="s">
        <v>20573</v>
      </c>
      <c r="P16213" s="27" t="s">
        <v>20579</v>
      </c>
      <c r="Q16213" s="26" t="str">
        <f>HYPERLINK("https://ictv.global/taxonomy/taxondetails?taxnode_id=202520336&amp;ictv_id=ICTV202420336","ICTV202420336")</f>
        <v>ICTV202420336</v>
      </c>
      <c r="R16213" t="s">
        <v>1106</v>
      </c>
      <c r="S16213" t="s">
        <v>823</v>
      </c>
      <c r="T16213">
        <v>40</v>
      </c>
      <c r="U16213" s="26" t="str">
        <f t="shared" si="606"/>
        <v>2024.008F.Orpoviricetes_newclass.zip</v>
      </c>
    </row>
    <row r="16214" spans="1:21">
      <c r="A16214">
        <v>16213</v>
      </c>
      <c r="B16214" s="27" t="s">
        <v>1124</v>
      </c>
      <c r="D16214" s="27" t="s">
        <v>1859</v>
      </c>
      <c r="H16214" s="27" t="s">
        <v>20566</v>
      </c>
      <c r="J16214" s="27" t="s">
        <v>20567</v>
      </c>
      <c r="L16214" s="27" t="s">
        <v>20991</v>
      </c>
      <c r="N16214" s="27" t="s">
        <v>20580</v>
      </c>
      <c r="P16214" s="27" t="s">
        <v>20581</v>
      </c>
      <c r="Q16214" s="26" t="str">
        <f>HYPERLINK("https://ictv.global/taxonomy/taxondetails?taxnode_id=202520346&amp;ictv_id=ICTV202420346","ICTV202420346")</f>
        <v>ICTV202420346</v>
      </c>
      <c r="R16214" t="s">
        <v>1106</v>
      </c>
      <c r="S16214" t="s">
        <v>824</v>
      </c>
      <c r="T16214">
        <v>41</v>
      </c>
      <c r="U16214" s="26" t="str">
        <f>HYPERLINK("https://ictv.global/ictv/proposals/2025.004F.Deltanormycoviridae_rename.zip","2025.004F.Deltanormycoviridae_rename.zip")</f>
        <v>2025.004F.Deltanormycoviridae_rename.zip</v>
      </c>
    </row>
    <row r="16215" spans="1:21">
      <c r="A16215">
        <v>16214</v>
      </c>
      <c r="B16215" s="27" t="s">
        <v>1124</v>
      </c>
      <c r="D16215" s="27" t="s">
        <v>1859</v>
      </c>
      <c r="H16215" s="27" t="s">
        <v>20566</v>
      </c>
      <c r="J16215" s="27" t="s">
        <v>20567</v>
      </c>
      <c r="L16215" s="27" t="s">
        <v>20991</v>
      </c>
      <c r="N16215" s="27" t="s">
        <v>20580</v>
      </c>
      <c r="P16215" s="27" t="s">
        <v>20582</v>
      </c>
      <c r="Q16215" s="26" t="str">
        <f>HYPERLINK("https://ictv.global/taxonomy/taxondetails?taxnode_id=202520347&amp;ictv_id=ICTV202420347","ICTV202420347")</f>
        <v>ICTV202420347</v>
      </c>
      <c r="R16215" t="s">
        <v>1106</v>
      </c>
      <c r="S16215" t="s">
        <v>824</v>
      </c>
      <c r="T16215">
        <v>41</v>
      </c>
      <c r="U16215" s="26" t="str">
        <f>HYPERLINK("https://ictv.global/ictv/proposals/2025.004F.Deltanormycoviridae_rename.zip","2025.004F.Deltanormycoviridae_rename.zip")</f>
        <v>2025.004F.Deltanormycoviridae_rename.zip</v>
      </c>
    </row>
    <row r="16216" spans="1:21">
      <c r="A16216">
        <v>16215</v>
      </c>
      <c r="B16216" s="27" t="s">
        <v>1124</v>
      </c>
      <c r="D16216" s="27" t="s">
        <v>1859</v>
      </c>
      <c r="H16216" s="27" t="s">
        <v>20566</v>
      </c>
      <c r="J16216" s="27" t="s">
        <v>20567</v>
      </c>
      <c r="L16216" s="27" t="s">
        <v>20991</v>
      </c>
      <c r="N16216" s="27" t="s">
        <v>20580</v>
      </c>
      <c r="P16216" s="27" t="s">
        <v>20583</v>
      </c>
      <c r="Q16216" s="26" t="str">
        <f>HYPERLINK("https://ictv.global/taxonomy/taxondetails?taxnode_id=202520345&amp;ictv_id=ICTV202420345","ICTV202420345")</f>
        <v>ICTV202420345</v>
      </c>
      <c r="R16216" t="s">
        <v>1106</v>
      </c>
      <c r="S16216" t="s">
        <v>824</v>
      </c>
      <c r="T16216">
        <v>41</v>
      </c>
      <c r="U16216" s="26" t="str">
        <f>HYPERLINK("https://ictv.global/ictv/proposals/2025.004F.Deltanormycoviridae_rename.zip","2025.004F.Deltanormycoviridae_rename.zip")</f>
        <v>2025.004F.Deltanormycoviridae_rename.zip</v>
      </c>
    </row>
    <row r="16217" spans="1:21">
      <c r="A16217">
        <v>16216</v>
      </c>
      <c r="B16217" s="27" t="s">
        <v>1124</v>
      </c>
      <c r="D16217" s="27" t="s">
        <v>1859</v>
      </c>
      <c r="H16217" s="27" t="s">
        <v>20566</v>
      </c>
      <c r="J16217" s="27" t="s">
        <v>20567</v>
      </c>
      <c r="L16217" s="27" t="s">
        <v>20991</v>
      </c>
      <c r="N16217" s="27" t="s">
        <v>20580</v>
      </c>
      <c r="P16217" s="27" t="s">
        <v>20584</v>
      </c>
      <c r="Q16217" s="26" t="str">
        <f>HYPERLINK("https://ictv.global/taxonomy/taxondetails?taxnode_id=202520344&amp;ictv_id=ICTV202420344","ICTV202420344")</f>
        <v>ICTV202420344</v>
      </c>
      <c r="R16217" t="s">
        <v>1106</v>
      </c>
      <c r="S16217" t="s">
        <v>824</v>
      </c>
      <c r="T16217">
        <v>41</v>
      </c>
      <c r="U16217" s="26" t="str">
        <f>HYPERLINK("https://ictv.global/ictv/proposals/2025.004F.Deltanormycoviridae_rename.zip","2025.004F.Deltanormycoviridae_rename.zip")</f>
        <v>2025.004F.Deltanormycoviridae_rename.zip</v>
      </c>
    </row>
    <row r="16218" spans="1:21">
      <c r="A16218">
        <v>16217</v>
      </c>
      <c r="B16218" s="27" t="s">
        <v>1124</v>
      </c>
      <c r="D16218" s="27" t="s">
        <v>1859</v>
      </c>
      <c r="H16218" s="27" t="s">
        <v>20566</v>
      </c>
      <c r="J16218" s="27" t="s">
        <v>20585</v>
      </c>
      <c r="L16218" s="27" t="s">
        <v>20586</v>
      </c>
      <c r="N16218" s="27" t="s">
        <v>20587</v>
      </c>
      <c r="P16218" s="27" t="s">
        <v>20588</v>
      </c>
      <c r="Q16218" s="26" t="str">
        <f>HYPERLINK("https://ictv.global/taxonomy/taxondetails?taxnode_id=202520334&amp;ictv_id=ICTV202420334","ICTV202420334")</f>
        <v>ICTV202420334</v>
      </c>
      <c r="R16218" t="s">
        <v>1106</v>
      </c>
      <c r="S16218" t="s">
        <v>823</v>
      </c>
      <c r="T16218">
        <v>40</v>
      </c>
      <c r="U16218" s="26" t="str">
        <f t="shared" ref="U16218:U16230" si="607">HYPERLINK("https://ictv.global/ictv/proposals/2024.008F.Orpoviricetes_newclass.zip","2024.008F.Orpoviricetes_newclass.zip")</f>
        <v>2024.008F.Orpoviricetes_newclass.zip</v>
      </c>
    </row>
    <row r="16219" spans="1:21">
      <c r="A16219">
        <v>16218</v>
      </c>
      <c r="B16219" s="27" t="s">
        <v>1124</v>
      </c>
      <c r="D16219" s="27" t="s">
        <v>1859</v>
      </c>
      <c r="H16219" s="27" t="s">
        <v>20566</v>
      </c>
      <c r="J16219" s="27" t="s">
        <v>20585</v>
      </c>
      <c r="L16219" s="27" t="s">
        <v>20586</v>
      </c>
      <c r="N16219" s="27" t="s">
        <v>20587</v>
      </c>
      <c r="P16219" s="27" t="s">
        <v>20589</v>
      </c>
      <c r="Q16219" s="26" t="str">
        <f>HYPERLINK("https://ictv.global/taxonomy/taxondetails?taxnode_id=202520333&amp;ictv_id=ICTV202420333","ICTV202420333")</f>
        <v>ICTV202420333</v>
      </c>
      <c r="R16219" t="s">
        <v>1106</v>
      </c>
      <c r="S16219" t="s">
        <v>823</v>
      </c>
      <c r="T16219">
        <v>40</v>
      </c>
      <c r="U16219" s="26" t="str">
        <f t="shared" si="607"/>
        <v>2024.008F.Orpoviricetes_newclass.zip</v>
      </c>
    </row>
    <row r="16220" spans="1:21">
      <c r="A16220">
        <v>16219</v>
      </c>
      <c r="B16220" s="27" t="s">
        <v>1124</v>
      </c>
      <c r="D16220" s="27" t="s">
        <v>1859</v>
      </c>
      <c r="H16220" s="27" t="s">
        <v>20566</v>
      </c>
      <c r="J16220" s="27" t="s">
        <v>20585</v>
      </c>
      <c r="L16220" s="27" t="s">
        <v>20586</v>
      </c>
      <c r="N16220" s="27" t="s">
        <v>20590</v>
      </c>
      <c r="P16220" s="27" t="s">
        <v>20591</v>
      </c>
      <c r="Q16220" s="26" t="str">
        <f>HYPERLINK("https://ictv.global/taxonomy/taxondetails?taxnode_id=202520329&amp;ictv_id=ICTV202420329","ICTV202420329")</f>
        <v>ICTV202420329</v>
      </c>
      <c r="R16220" t="s">
        <v>1106</v>
      </c>
      <c r="S16220" t="s">
        <v>823</v>
      </c>
      <c r="T16220">
        <v>40</v>
      </c>
      <c r="U16220" s="26" t="str">
        <f t="shared" si="607"/>
        <v>2024.008F.Orpoviricetes_newclass.zip</v>
      </c>
    </row>
    <row r="16221" spans="1:21">
      <c r="A16221">
        <v>16220</v>
      </c>
      <c r="B16221" s="27" t="s">
        <v>1124</v>
      </c>
      <c r="D16221" s="27" t="s">
        <v>1859</v>
      </c>
      <c r="H16221" s="27" t="s">
        <v>20566</v>
      </c>
      <c r="J16221" s="27" t="s">
        <v>20585</v>
      </c>
      <c r="L16221" s="27" t="s">
        <v>20586</v>
      </c>
      <c r="N16221" s="27" t="s">
        <v>20590</v>
      </c>
      <c r="P16221" s="27" t="s">
        <v>20592</v>
      </c>
      <c r="Q16221" s="26" t="str">
        <f>HYPERLINK("https://ictv.global/taxonomy/taxondetails?taxnode_id=202520332&amp;ictv_id=ICTV202420332","ICTV202420332")</f>
        <v>ICTV202420332</v>
      </c>
      <c r="R16221" t="s">
        <v>1106</v>
      </c>
      <c r="S16221" t="s">
        <v>823</v>
      </c>
      <c r="T16221">
        <v>40</v>
      </c>
      <c r="U16221" s="26" t="str">
        <f t="shared" si="607"/>
        <v>2024.008F.Orpoviricetes_newclass.zip</v>
      </c>
    </row>
    <row r="16222" spans="1:21">
      <c r="A16222">
        <v>16221</v>
      </c>
      <c r="B16222" s="27" t="s">
        <v>1124</v>
      </c>
      <c r="D16222" s="27" t="s">
        <v>1859</v>
      </c>
      <c r="H16222" s="27" t="s">
        <v>20566</v>
      </c>
      <c r="J16222" s="27" t="s">
        <v>20585</v>
      </c>
      <c r="L16222" s="27" t="s">
        <v>20586</v>
      </c>
      <c r="N16222" s="27" t="s">
        <v>20590</v>
      </c>
      <c r="P16222" s="27" t="s">
        <v>20593</v>
      </c>
      <c r="Q16222" s="26" t="str">
        <f>HYPERLINK("https://ictv.global/taxonomy/taxondetails?taxnode_id=202520330&amp;ictv_id=ICTV202420330","ICTV202420330")</f>
        <v>ICTV202420330</v>
      </c>
      <c r="R16222" t="s">
        <v>1106</v>
      </c>
      <c r="S16222" t="s">
        <v>823</v>
      </c>
      <c r="T16222">
        <v>40</v>
      </c>
      <c r="U16222" s="26" t="str">
        <f t="shared" si="607"/>
        <v>2024.008F.Orpoviricetes_newclass.zip</v>
      </c>
    </row>
    <row r="16223" spans="1:21">
      <c r="A16223">
        <v>16222</v>
      </c>
      <c r="B16223" s="27" t="s">
        <v>1124</v>
      </c>
      <c r="D16223" s="27" t="s">
        <v>1859</v>
      </c>
      <c r="H16223" s="27" t="s">
        <v>20566</v>
      </c>
      <c r="J16223" s="27" t="s">
        <v>20585</v>
      </c>
      <c r="L16223" s="27" t="s">
        <v>20586</v>
      </c>
      <c r="N16223" s="27" t="s">
        <v>20590</v>
      </c>
      <c r="P16223" s="27" t="s">
        <v>20594</v>
      </c>
      <c r="Q16223" s="26" t="str">
        <f>HYPERLINK("https://ictv.global/taxonomy/taxondetails?taxnode_id=202520328&amp;ictv_id=ICTV202420328","ICTV202420328")</f>
        <v>ICTV202420328</v>
      </c>
      <c r="R16223" t="s">
        <v>1106</v>
      </c>
      <c r="S16223" t="s">
        <v>823</v>
      </c>
      <c r="T16223">
        <v>40</v>
      </c>
      <c r="U16223" s="26" t="str">
        <f t="shared" si="607"/>
        <v>2024.008F.Orpoviricetes_newclass.zip</v>
      </c>
    </row>
    <row r="16224" spans="1:21">
      <c r="A16224">
        <v>16223</v>
      </c>
      <c r="B16224" s="27" t="s">
        <v>1124</v>
      </c>
      <c r="D16224" s="27" t="s">
        <v>1859</v>
      </c>
      <c r="H16224" s="27" t="s">
        <v>20566</v>
      </c>
      <c r="J16224" s="27" t="s">
        <v>20585</v>
      </c>
      <c r="L16224" s="27" t="s">
        <v>20586</v>
      </c>
      <c r="N16224" s="27" t="s">
        <v>20590</v>
      </c>
      <c r="P16224" s="27" t="s">
        <v>20595</v>
      </c>
      <c r="Q16224" s="26" t="str">
        <f>HYPERLINK("https://ictv.global/taxonomy/taxondetails?taxnode_id=202520331&amp;ictv_id=ICTV202420331","ICTV202420331")</f>
        <v>ICTV202420331</v>
      </c>
      <c r="R16224" t="s">
        <v>1106</v>
      </c>
      <c r="S16224" t="s">
        <v>823</v>
      </c>
      <c r="T16224">
        <v>40</v>
      </c>
      <c r="U16224" s="26" t="str">
        <f t="shared" si="607"/>
        <v>2024.008F.Orpoviricetes_newclass.zip</v>
      </c>
    </row>
    <row r="16225" spans="1:21">
      <c r="A16225">
        <v>16224</v>
      </c>
      <c r="B16225" s="27" t="s">
        <v>1124</v>
      </c>
      <c r="D16225" s="27" t="s">
        <v>1859</v>
      </c>
      <c r="H16225" s="27" t="s">
        <v>20566</v>
      </c>
      <c r="J16225" s="27" t="s">
        <v>20585</v>
      </c>
      <c r="L16225" s="27" t="s">
        <v>20596</v>
      </c>
      <c r="N16225" s="27" t="s">
        <v>20597</v>
      </c>
      <c r="P16225" s="27" t="s">
        <v>20598</v>
      </c>
      <c r="Q16225" s="26" t="str">
        <f>HYPERLINK("https://ictv.global/taxonomy/taxondetails?taxnode_id=202520322&amp;ictv_id=ICTV202420322","ICTV202420322")</f>
        <v>ICTV202420322</v>
      </c>
      <c r="R16225" t="s">
        <v>1106</v>
      </c>
      <c r="S16225" t="s">
        <v>823</v>
      </c>
      <c r="T16225">
        <v>40</v>
      </c>
      <c r="U16225" s="26" t="str">
        <f t="shared" si="607"/>
        <v>2024.008F.Orpoviricetes_newclass.zip</v>
      </c>
    </row>
    <row r="16226" spans="1:21">
      <c r="A16226">
        <v>16225</v>
      </c>
      <c r="B16226" s="27" t="s">
        <v>1124</v>
      </c>
      <c r="D16226" s="27" t="s">
        <v>1859</v>
      </c>
      <c r="H16226" s="27" t="s">
        <v>20566</v>
      </c>
      <c r="J16226" s="27" t="s">
        <v>20585</v>
      </c>
      <c r="L16226" s="27" t="s">
        <v>20596</v>
      </c>
      <c r="N16226" s="27" t="s">
        <v>20599</v>
      </c>
      <c r="P16226" s="27" t="s">
        <v>20600</v>
      </c>
      <c r="Q16226" s="26" t="str">
        <f>HYPERLINK("https://ictv.global/taxonomy/taxondetails?taxnode_id=202520327&amp;ictv_id=ICTV202420327","ICTV202420327")</f>
        <v>ICTV202420327</v>
      </c>
      <c r="R16226" t="s">
        <v>1106</v>
      </c>
      <c r="S16226" t="s">
        <v>823</v>
      </c>
      <c r="T16226">
        <v>40</v>
      </c>
      <c r="U16226" s="26" t="str">
        <f t="shared" si="607"/>
        <v>2024.008F.Orpoviricetes_newclass.zip</v>
      </c>
    </row>
    <row r="16227" spans="1:21">
      <c r="A16227">
        <v>16226</v>
      </c>
      <c r="B16227" s="27" t="s">
        <v>1124</v>
      </c>
      <c r="D16227" s="27" t="s">
        <v>1859</v>
      </c>
      <c r="H16227" s="27" t="s">
        <v>20566</v>
      </c>
      <c r="J16227" s="27" t="s">
        <v>20585</v>
      </c>
      <c r="L16227" s="27" t="s">
        <v>20596</v>
      </c>
      <c r="N16227" s="27" t="s">
        <v>20599</v>
      </c>
      <c r="P16227" s="27" t="s">
        <v>20601</v>
      </c>
      <c r="Q16227" s="26" t="str">
        <f>HYPERLINK("https://ictv.global/taxonomy/taxondetails?taxnode_id=202520323&amp;ictv_id=ICTV202420323","ICTV202420323")</f>
        <v>ICTV202420323</v>
      </c>
      <c r="R16227" t="s">
        <v>1106</v>
      </c>
      <c r="S16227" t="s">
        <v>823</v>
      </c>
      <c r="T16227">
        <v>40</v>
      </c>
      <c r="U16227" s="26" t="str">
        <f t="shared" si="607"/>
        <v>2024.008F.Orpoviricetes_newclass.zip</v>
      </c>
    </row>
    <row r="16228" spans="1:21">
      <c r="A16228">
        <v>16227</v>
      </c>
      <c r="B16228" s="27" t="s">
        <v>1124</v>
      </c>
      <c r="D16228" s="27" t="s">
        <v>1859</v>
      </c>
      <c r="H16228" s="27" t="s">
        <v>20566</v>
      </c>
      <c r="J16228" s="27" t="s">
        <v>20585</v>
      </c>
      <c r="L16228" s="27" t="s">
        <v>20596</v>
      </c>
      <c r="N16228" s="27" t="s">
        <v>20599</v>
      </c>
      <c r="P16228" s="27" t="s">
        <v>20602</v>
      </c>
      <c r="Q16228" s="26" t="str">
        <f>HYPERLINK("https://ictv.global/taxonomy/taxondetails?taxnode_id=202520325&amp;ictv_id=ICTV202420325","ICTV202420325")</f>
        <v>ICTV202420325</v>
      </c>
      <c r="R16228" t="s">
        <v>1106</v>
      </c>
      <c r="S16228" t="s">
        <v>823</v>
      </c>
      <c r="T16228">
        <v>40</v>
      </c>
      <c r="U16228" s="26" t="str">
        <f t="shared" si="607"/>
        <v>2024.008F.Orpoviricetes_newclass.zip</v>
      </c>
    </row>
    <row r="16229" spans="1:21">
      <c r="A16229">
        <v>16228</v>
      </c>
      <c r="B16229" s="27" t="s">
        <v>1124</v>
      </c>
      <c r="D16229" s="27" t="s">
        <v>1859</v>
      </c>
      <c r="H16229" s="27" t="s">
        <v>20566</v>
      </c>
      <c r="J16229" s="27" t="s">
        <v>20585</v>
      </c>
      <c r="L16229" s="27" t="s">
        <v>20596</v>
      </c>
      <c r="N16229" s="27" t="s">
        <v>20599</v>
      </c>
      <c r="P16229" s="27" t="s">
        <v>20603</v>
      </c>
      <c r="Q16229" s="26" t="str">
        <f>HYPERLINK("https://ictv.global/taxonomy/taxondetails?taxnode_id=202520324&amp;ictv_id=ICTV202420324","ICTV202420324")</f>
        <v>ICTV202420324</v>
      </c>
      <c r="R16229" t="s">
        <v>1106</v>
      </c>
      <c r="S16229" t="s">
        <v>823</v>
      </c>
      <c r="T16229">
        <v>40</v>
      </c>
      <c r="U16229" s="26" t="str">
        <f t="shared" si="607"/>
        <v>2024.008F.Orpoviricetes_newclass.zip</v>
      </c>
    </row>
    <row r="16230" spans="1:21">
      <c r="A16230">
        <v>16229</v>
      </c>
      <c r="B16230" s="27" t="s">
        <v>1124</v>
      </c>
      <c r="D16230" s="27" t="s">
        <v>1859</v>
      </c>
      <c r="H16230" s="27" t="s">
        <v>20566</v>
      </c>
      <c r="J16230" s="27" t="s">
        <v>20585</v>
      </c>
      <c r="L16230" s="27" t="s">
        <v>20596</v>
      </c>
      <c r="N16230" s="27" t="s">
        <v>20599</v>
      </c>
      <c r="P16230" s="27" t="s">
        <v>20604</v>
      </c>
      <c r="Q16230" s="26" t="str">
        <f>HYPERLINK("https://ictv.global/taxonomy/taxondetails?taxnode_id=202520326&amp;ictv_id=ICTV202420326","ICTV202420326")</f>
        <v>ICTV202420326</v>
      </c>
      <c r="R16230" t="s">
        <v>1106</v>
      </c>
      <c r="S16230" t="s">
        <v>823</v>
      </c>
      <c r="T16230">
        <v>40</v>
      </c>
      <c r="U16230" s="26" t="str">
        <f t="shared" si="607"/>
        <v>2024.008F.Orpoviricetes_newclass.zip</v>
      </c>
    </row>
    <row r="16231" spans="1:21">
      <c r="A16231">
        <v>16230</v>
      </c>
      <c r="B16231" s="27" t="s">
        <v>1124</v>
      </c>
      <c r="D16231" s="27" t="s">
        <v>1859</v>
      </c>
      <c r="L16231" s="27" t="s">
        <v>390</v>
      </c>
      <c r="N16231" s="27" t="s">
        <v>391</v>
      </c>
      <c r="P16231" s="27" t="s">
        <v>10704</v>
      </c>
      <c r="Q16231" s="26" t="str">
        <f>HYPERLINK("https://ictv.global/taxonomy/taxondetails?taxnode_id=202502750&amp;ictv_id=ICTV19990580","ICTV19990580")</f>
        <v>ICTV19990580</v>
      </c>
      <c r="R16231" t="s">
        <v>583</v>
      </c>
      <c r="S16231" t="s">
        <v>824</v>
      </c>
      <c r="T16231">
        <v>38</v>
      </c>
      <c r="U16231" s="26" t="str">
        <f t="shared" ref="U16231:U16241" si="608">HYPERLINK("https://ictv.global/ictv/proposals/2022.004M.Birnaviridae_sprenamed.zip","2022.004M.Birnaviridae_sprenamed.zip")</f>
        <v>2022.004M.Birnaviridae_sprenamed.zip</v>
      </c>
    </row>
    <row r="16232" spans="1:21">
      <c r="A16232">
        <v>16231</v>
      </c>
      <c r="B16232" s="27" t="s">
        <v>1124</v>
      </c>
      <c r="D16232" s="27" t="s">
        <v>1859</v>
      </c>
      <c r="L16232" s="27" t="s">
        <v>390</v>
      </c>
      <c r="N16232" s="27" t="s">
        <v>391</v>
      </c>
      <c r="P16232" s="27" t="s">
        <v>10705</v>
      </c>
      <c r="Q16232" s="26" t="str">
        <f>HYPERLINK("https://ictv.global/taxonomy/taxondetails?taxnode_id=202502748&amp;ictv_id=ICTV19840276","ICTV19840276")</f>
        <v>ICTV19840276</v>
      </c>
      <c r="R16232" t="s">
        <v>583</v>
      </c>
      <c r="S16232" t="s">
        <v>824</v>
      </c>
      <c r="T16232">
        <v>38</v>
      </c>
      <c r="U16232" s="26" t="str">
        <f t="shared" si="608"/>
        <v>2022.004M.Birnaviridae_sprenamed.zip</v>
      </c>
    </row>
    <row r="16233" spans="1:21">
      <c r="A16233">
        <v>16232</v>
      </c>
      <c r="B16233" s="27" t="s">
        <v>1124</v>
      </c>
      <c r="D16233" s="27" t="s">
        <v>1859</v>
      </c>
      <c r="L16233" s="27" t="s">
        <v>390</v>
      </c>
      <c r="N16233" s="27" t="s">
        <v>391</v>
      </c>
      <c r="P16233" s="27" t="s">
        <v>10706</v>
      </c>
      <c r="Q16233" s="26" t="str">
        <f>HYPERLINK("https://ictv.global/taxonomy/taxondetails?taxnode_id=202502749&amp;ictv_id=ICTV20073253","ICTV20073253")</f>
        <v>ICTV20073253</v>
      </c>
      <c r="R16233" t="s">
        <v>583</v>
      </c>
      <c r="S16233" t="s">
        <v>824</v>
      </c>
      <c r="T16233">
        <v>38</v>
      </c>
      <c r="U16233" s="26" t="str">
        <f t="shared" si="608"/>
        <v>2022.004M.Birnaviridae_sprenamed.zip</v>
      </c>
    </row>
    <row r="16234" spans="1:21">
      <c r="A16234">
        <v>16233</v>
      </c>
      <c r="B16234" s="27" t="s">
        <v>1124</v>
      </c>
      <c r="D16234" s="27" t="s">
        <v>1859</v>
      </c>
      <c r="L16234" s="27" t="s">
        <v>390</v>
      </c>
      <c r="N16234" s="27" t="s">
        <v>392</v>
      </c>
      <c r="P16234" s="27" t="s">
        <v>10707</v>
      </c>
      <c r="Q16234" s="26" t="str">
        <f>HYPERLINK("https://ictv.global/taxonomy/taxondetails?taxnode_id=202502752&amp;ictv_id=ICTV19910433","ICTV19910433")</f>
        <v>ICTV19910433</v>
      </c>
      <c r="R16234" t="s">
        <v>583</v>
      </c>
      <c r="S16234" t="s">
        <v>824</v>
      </c>
      <c r="T16234">
        <v>38</v>
      </c>
      <c r="U16234" s="26" t="str">
        <f t="shared" si="608"/>
        <v>2022.004M.Birnaviridae_sprenamed.zip</v>
      </c>
    </row>
    <row r="16235" spans="1:21">
      <c r="A16235">
        <v>16234</v>
      </c>
      <c r="B16235" s="27" t="s">
        <v>1124</v>
      </c>
      <c r="D16235" s="27" t="s">
        <v>1859</v>
      </c>
      <c r="L16235" s="27" t="s">
        <v>390</v>
      </c>
      <c r="N16235" s="27" t="s">
        <v>395</v>
      </c>
      <c r="P16235" s="27" t="s">
        <v>10708</v>
      </c>
      <c r="Q16235" s="26" t="str">
        <f>HYPERLINK("https://ictv.global/taxonomy/taxondetails?taxnode_id=202502754&amp;ictv_id=ICTV20083451","ICTV20083451")</f>
        <v>ICTV20083451</v>
      </c>
      <c r="R16235" t="s">
        <v>583</v>
      </c>
      <c r="S16235" t="s">
        <v>824</v>
      </c>
      <c r="T16235">
        <v>38</v>
      </c>
      <c r="U16235" s="26" t="str">
        <f t="shared" si="608"/>
        <v>2022.004M.Birnaviridae_sprenamed.zip</v>
      </c>
    </row>
    <row r="16236" spans="1:21">
      <c r="A16236">
        <v>16235</v>
      </c>
      <c r="B16236" s="27" t="s">
        <v>1124</v>
      </c>
      <c r="D16236" s="27" t="s">
        <v>1859</v>
      </c>
      <c r="L16236" s="27" t="s">
        <v>390</v>
      </c>
      <c r="N16236" s="27" t="s">
        <v>395</v>
      </c>
      <c r="P16236" s="27" t="s">
        <v>10709</v>
      </c>
      <c r="Q16236" s="26" t="str">
        <f>HYPERLINK("https://ictv.global/taxonomy/taxondetails?taxnode_id=202508656&amp;ictv_id=ICTV201908656","ICTV201908656")</f>
        <v>ICTV201908656</v>
      </c>
      <c r="R16236" t="s">
        <v>583</v>
      </c>
      <c r="S16236" t="s">
        <v>824</v>
      </c>
      <c r="T16236">
        <v>38</v>
      </c>
      <c r="U16236" s="26" t="str">
        <f t="shared" si="608"/>
        <v>2022.004M.Birnaviridae_sprenamed.zip</v>
      </c>
    </row>
    <row r="16237" spans="1:21">
      <c r="A16237">
        <v>16236</v>
      </c>
      <c r="B16237" s="27" t="s">
        <v>1124</v>
      </c>
      <c r="D16237" s="27" t="s">
        <v>1859</v>
      </c>
      <c r="L16237" s="27" t="s">
        <v>390</v>
      </c>
      <c r="N16237" s="27" t="s">
        <v>1966</v>
      </c>
      <c r="P16237" s="27" t="s">
        <v>10710</v>
      </c>
      <c r="Q16237" s="26" t="str">
        <f>HYPERLINK("https://ictv.global/taxonomy/taxondetails?taxnode_id=202508651&amp;ictv_id=ICTV201908651","ICTV201908651")</f>
        <v>ICTV201908651</v>
      </c>
      <c r="R16237" t="s">
        <v>583</v>
      </c>
      <c r="S16237" t="s">
        <v>824</v>
      </c>
      <c r="T16237">
        <v>38</v>
      </c>
      <c r="U16237" s="26" t="str">
        <f t="shared" si="608"/>
        <v>2022.004M.Birnaviridae_sprenamed.zip</v>
      </c>
    </row>
    <row r="16238" spans="1:21">
      <c r="A16238">
        <v>16237</v>
      </c>
      <c r="B16238" s="27" t="s">
        <v>1124</v>
      </c>
      <c r="D16238" s="27" t="s">
        <v>1859</v>
      </c>
      <c r="L16238" s="27" t="s">
        <v>390</v>
      </c>
      <c r="N16238" s="27" t="s">
        <v>396</v>
      </c>
      <c r="P16238" s="27" t="s">
        <v>10711</v>
      </c>
      <c r="Q16238" s="26" t="str">
        <f>HYPERLINK("https://ictv.global/taxonomy/taxondetails?taxnode_id=202508649&amp;ictv_id=ICTV201908649","ICTV201908649")</f>
        <v>ICTV201908649</v>
      </c>
      <c r="R16238" t="s">
        <v>583</v>
      </c>
      <c r="S16238" t="s">
        <v>824</v>
      </c>
      <c r="T16238">
        <v>38</v>
      </c>
      <c r="U16238" s="26" t="str">
        <f t="shared" si="608"/>
        <v>2022.004M.Birnaviridae_sprenamed.zip</v>
      </c>
    </row>
    <row r="16239" spans="1:21">
      <c r="A16239">
        <v>16238</v>
      </c>
      <c r="B16239" s="27" t="s">
        <v>1124</v>
      </c>
      <c r="D16239" s="27" t="s">
        <v>1859</v>
      </c>
      <c r="L16239" s="27" t="s">
        <v>390</v>
      </c>
      <c r="N16239" s="27" t="s">
        <v>396</v>
      </c>
      <c r="P16239" s="27" t="s">
        <v>10712</v>
      </c>
      <c r="Q16239" s="26" t="str">
        <f>HYPERLINK("https://ictv.global/taxonomy/taxondetails?taxnode_id=202502756&amp;ictv_id=ICTV19910432","ICTV19910432")</f>
        <v>ICTV19910432</v>
      </c>
      <c r="R16239" t="s">
        <v>583</v>
      </c>
      <c r="S16239" t="s">
        <v>824</v>
      </c>
      <c r="T16239">
        <v>38</v>
      </c>
      <c r="U16239" s="26" t="str">
        <f t="shared" si="608"/>
        <v>2022.004M.Birnaviridae_sprenamed.zip</v>
      </c>
    </row>
    <row r="16240" spans="1:21">
      <c r="A16240">
        <v>16239</v>
      </c>
      <c r="B16240" s="27" t="s">
        <v>1124</v>
      </c>
      <c r="D16240" s="27" t="s">
        <v>1859</v>
      </c>
      <c r="L16240" s="27" t="s">
        <v>390</v>
      </c>
      <c r="N16240" s="27" t="s">
        <v>1967</v>
      </c>
      <c r="P16240" s="27" t="s">
        <v>10713</v>
      </c>
      <c r="Q16240" s="26" t="str">
        <f>HYPERLINK("https://ictv.global/taxonomy/taxondetails?taxnode_id=202508653&amp;ictv_id=ICTV201908653","ICTV201908653")</f>
        <v>ICTV201908653</v>
      </c>
      <c r="R16240" t="s">
        <v>583</v>
      </c>
      <c r="S16240" t="s">
        <v>824</v>
      </c>
      <c r="T16240">
        <v>38</v>
      </c>
      <c r="U16240" s="26" t="str">
        <f t="shared" si="608"/>
        <v>2022.004M.Birnaviridae_sprenamed.zip</v>
      </c>
    </row>
    <row r="16241" spans="1:21">
      <c r="A16241">
        <v>16240</v>
      </c>
      <c r="B16241" s="27" t="s">
        <v>1124</v>
      </c>
      <c r="D16241" s="27" t="s">
        <v>1859</v>
      </c>
      <c r="L16241" s="27" t="s">
        <v>390</v>
      </c>
      <c r="N16241" s="27" t="s">
        <v>1968</v>
      </c>
      <c r="P16241" s="27" t="s">
        <v>10714</v>
      </c>
      <c r="Q16241" s="26" t="str">
        <f>HYPERLINK("https://ictv.global/taxonomy/taxondetails?taxnode_id=202508655&amp;ictv_id=ICTV201908655","ICTV201908655")</f>
        <v>ICTV201908655</v>
      </c>
      <c r="R16241" t="s">
        <v>583</v>
      </c>
      <c r="S16241" t="s">
        <v>824</v>
      </c>
      <c r="T16241">
        <v>38</v>
      </c>
      <c r="U16241" s="26" t="str">
        <f t="shared" si="608"/>
        <v>2022.004M.Birnaviridae_sprenamed.zip</v>
      </c>
    </row>
    <row r="16242" spans="1:21">
      <c r="A16242">
        <v>16241</v>
      </c>
      <c r="B16242" s="27" t="s">
        <v>1124</v>
      </c>
      <c r="D16242" s="27" t="s">
        <v>1859</v>
      </c>
      <c r="L16242" s="27" t="s">
        <v>104</v>
      </c>
      <c r="N16242" s="27" t="s">
        <v>105</v>
      </c>
      <c r="P16242" s="27" t="s">
        <v>17801</v>
      </c>
      <c r="Q16242" s="26" t="str">
        <f>HYPERLINK("https://ictv.global/taxonomy/taxondetails?taxnode_id=202504288&amp;ictv_id=ICTV20042075","ICTV20042075")</f>
        <v>ICTV20042075</v>
      </c>
      <c r="R16242" t="s">
        <v>581</v>
      </c>
      <c r="S16242" t="s">
        <v>824</v>
      </c>
      <c r="T16242">
        <v>39</v>
      </c>
      <c r="U16242" s="26" t="str">
        <f>HYPERLINK("https://ictv.global/ictv/proposals/2023.005S.Tetraviridae_13sprenamed.zip","2023.005S.Tetraviridae_13sprenamed.zip")</f>
        <v>2023.005S.Tetraviridae_13sprenamed.zip</v>
      </c>
    </row>
    <row r="16243" spans="1:21">
      <c r="A16243">
        <v>16242</v>
      </c>
      <c r="B16243" s="27" t="s">
        <v>1124</v>
      </c>
      <c r="D16243" s="27" t="s">
        <v>1859</v>
      </c>
      <c r="L16243" s="27" t="s">
        <v>104</v>
      </c>
      <c r="N16243" s="27" t="s">
        <v>105</v>
      </c>
      <c r="P16243" s="27" t="s">
        <v>17802</v>
      </c>
      <c r="Q16243" s="26" t="str">
        <f>HYPERLINK("https://ictv.global/taxonomy/taxondetails?taxnode_id=202504289&amp;ictv_id=ICTV19991668","ICTV19991668")</f>
        <v>ICTV19991668</v>
      </c>
      <c r="R16243" t="s">
        <v>581</v>
      </c>
      <c r="S16243" t="s">
        <v>824</v>
      </c>
      <c r="T16243">
        <v>39</v>
      </c>
      <c r="U16243" s="26" t="str">
        <f>HYPERLINK("https://ictv.global/ictv/proposals/2023.005S.Tetraviridae_13sprenamed.zip","2023.005S.Tetraviridae_13sprenamed.zip")</f>
        <v>2023.005S.Tetraviridae_13sprenamed.zip</v>
      </c>
    </row>
    <row r="16244" spans="1:21">
      <c r="A16244">
        <v>16243</v>
      </c>
      <c r="B16244" s="27" t="s">
        <v>1124</v>
      </c>
      <c r="D16244" s="27" t="s">
        <v>1969</v>
      </c>
      <c r="F16244" s="27" t="s">
        <v>1970</v>
      </c>
      <c r="H16244" s="27" t="s">
        <v>1971</v>
      </c>
      <c r="J16244" s="27" t="s">
        <v>1972</v>
      </c>
      <c r="L16244" s="27" t="s">
        <v>114</v>
      </c>
      <c r="N16244" s="27" t="s">
        <v>299</v>
      </c>
      <c r="P16244" s="27" t="s">
        <v>17803</v>
      </c>
      <c r="Q16244" s="26" t="str">
        <f>HYPERLINK("https://ictv.global/taxonomy/taxondetails?taxnode_id=202503648&amp;ictv_id=ICTV19910778","ICTV19910778")</f>
        <v>ICTV19910778</v>
      </c>
      <c r="R16244" t="s">
        <v>659</v>
      </c>
      <c r="S16244" t="s">
        <v>824</v>
      </c>
      <c r="T16244">
        <v>39</v>
      </c>
      <c r="U16244" s="26" t="str">
        <f t="shared" ref="U16244:U16270" si="609">HYPERLINK("https://ictv.global/ictv/proposals/2023.014D.Hepadnaviridae_19renam_9nsp.zip","2023.014D.Hepadnaviridae_19renam_9nsp.zip")</f>
        <v>2023.014D.Hepadnaviridae_19renam_9nsp.zip</v>
      </c>
    </row>
    <row r="16245" spans="1:21">
      <c r="A16245">
        <v>16244</v>
      </c>
      <c r="B16245" s="27" t="s">
        <v>1124</v>
      </c>
      <c r="D16245" s="27" t="s">
        <v>1969</v>
      </c>
      <c r="F16245" s="27" t="s">
        <v>1970</v>
      </c>
      <c r="H16245" s="27" t="s">
        <v>1971</v>
      </c>
      <c r="J16245" s="27" t="s">
        <v>1972</v>
      </c>
      <c r="L16245" s="27" t="s">
        <v>114</v>
      </c>
      <c r="N16245" s="27" t="s">
        <v>299</v>
      </c>
      <c r="P16245" s="27" t="s">
        <v>17804</v>
      </c>
      <c r="Q16245" s="26" t="str">
        <f>HYPERLINK("https://ictv.global/taxonomy/taxondetails?taxnode_id=202518092&amp;ictv_id=ICTV202318092","ICTV202318092")</f>
        <v>ICTV202318092</v>
      </c>
      <c r="R16245" t="s">
        <v>659</v>
      </c>
      <c r="S16245" t="s">
        <v>823</v>
      </c>
      <c r="T16245">
        <v>39</v>
      </c>
      <c r="U16245" s="26" t="str">
        <f t="shared" si="609"/>
        <v>2023.014D.Hepadnaviridae_19renam_9nsp.zip</v>
      </c>
    </row>
    <row r="16246" spans="1:21">
      <c r="A16246">
        <v>16245</v>
      </c>
      <c r="B16246" s="27" t="s">
        <v>1124</v>
      </c>
      <c r="D16246" s="27" t="s">
        <v>1969</v>
      </c>
      <c r="F16246" s="27" t="s">
        <v>1970</v>
      </c>
      <c r="H16246" s="27" t="s">
        <v>1971</v>
      </c>
      <c r="J16246" s="27" t="s">
        <v>1972</v>
      </c>
      <c r="L16246" s="27" t="s">
        <v>114</v>
      </c>
      <c r="N16246" s="27" t="s">
        <v>299</v>
      </c>
      <c r="P16246" s="27" t="s">
        <v>17805</v>
      </c>
      <c r="Q16246" s="26" t="str">
        <f>HYPERLINK("https://ictv.global/taxonomy/taxondetails?taxnode_id=202503649&amp;ictv_id=ICTV19910779","ICTV19910779")</f>
        <v>ICTV19910779</v>
      </c>
      <c r="R16246" t="s">
        <v>659</v>
      </c>
      <c r="S16246" t="s">
        <v>824</v>
      </c>
      <c r="T16246">
        <v>39</v>
      </c>
      <c r="U16246" s="26" t="str">
        <f t="shared" si="609"/>
        <v>2023.014D.Hepadnaviridae_19renam_9nsp.zip</v>
      </c>
    </row>
    <row r="16247" spans="1:21">
      <c r="A16247">
        <v>16246</v>
      </c>
      <c r="B16247" s="27" t="s">
        <v>1124</v>
      </c>
      <c r="D16247" s="27" t="s">
        <v>1969</v>
      </c>
      <c r="F16247" s="27" t="s">
        <v>1970</v>
      </c>
      <c r="H16247" s="27" t="s">
        <v>1971</v>
      </c>
      <c r="J16247" s="27" t="s">
        <v>1972</v>
      </c>
      <c r="L16247" s="27" t="s">
        <v>114</v>
      </c>
      <c r="N16247" s="27" t="s">
        <v>299</v>
      </c>
      <c r="P16247" s="27" t="s">
        <v>17806</v>
      </c>
      <c r="Q16247" s="26" t="str">
        <f>HYPERLINK("https://ictv.global/taxonomy/taxondetails?taxnode_id=202518091&amp;ictv_id=ICTV202318091","ICTV202318091")</f>
        <v>ICTV202318091</v>
      </c>
      <c r="R16247" t="s">
        <v>659</v>
      </c>
      <c r="S16247" t="s">
        <v>823</v>
      </c>
      <c r="T16247">
        <v>39</v>
      </c>
      <c r="U16247" s="26" t="str">
        <f t="shared" si="609"/>
        <v>2023.014D.Hepadnaviridae_19renam_9nsp.zip</v>
      </c>
    </row>
    <row r="16248" spans="1:21">
      <c r="A16248">
        <v>16247</v>
      </c>
      <c r="B16248" s="27" t="s">
        <v>1124</v>
      </c>
      <c r="D16248" s="27" t="s">
        <v>1969</v>
      </c>
      <c r="F16248" s="27" t="s">
        <v>1970</v>
      </c>
      <c r="H16248" s="27" t="s">
        <v>1971</v>
      </c>
      <c r="J16248" s="27" t="s">
        <v>1972</v>
      </c>
      <c r="L16248" s="27" t="s">
        <v>114</v>
      </c>
      <c r="N16248" s="27" t="s">
        <v>299</v>
      </c>
      <c r="P16248" s="27" t="s">
        <v>17807</v>
      </c>
      <c r="Q16248" s="26" t="str">
        <f>HYPERLINK("https://ictv.global/taxonomy/taxondetails?taxnode_id=202503650&amp;ictv_id=ICTV20165384","ICTV20165384")</f>
        <v>ICTV20165384</v>
      </c>
      <c r="R16248" t="s">
        <v>659</v>
      </c>
      <c r="S16248" t="s">
        <v>824</v>
      </c>
      <c r="T16248">
        <v>39</v>
      </c>
      <c r="U16248" s="26" t="str">
        <f t="shared" si="609"/>
        <v>2023.014D.Hepadnaviridae_19renam_9nsp.zip</v>
      </c>
    </row>
    <row r="16249" spans="1:21">
      <c r="A16249">
        <v>16248</v>
      </c>
      <c r="B16249" s="27" t="s">
        <v>1124</v>
      </c>
      <c r="D16249" s="27" t="s">
        <v>1969</v>
      </c>
      <c r="F16249" s="27" t="s">
        <v>1970</v>
      </c>
      <c r="H16249" s="27" t="s">
        <v>1971</v>
      </c>
      <c r="J16249" s="27" t="s">
        <v>1972</v>
      </c>
      <c r="L16249" s="27" t="s">
        <v>114</v>
      </c>
      <c r="N16249" s="27" t="s">
        <v>1973</v>
      </c>
      <c r="P16249" s="27" t="s">
        <v>17808</v>
      </c>
      <c r="Q16249" s="26" t="str">
        <f>HYPERLINK("https://ictv.global/taxonomy/taxondetails?taxnode_id=202505860&amp;ictv_id=ICTV20175860","ICTV20175860")</f>
        <v>ICTV20175860</v>
      </c>
      <c r="R16249" t="s">
        <v>659</v>
      </c>
      <c r="S16249" t="s">
        <v>824</v>
      </c>
      <c r="T16249">
        <v>39</v>
      </c>
      <c r="U16249" s="26" t="str">
        <f t="shared" si="609"/>
        <v>2023.014D.Hepadnaviridae_19renam_9nsp.zip</v>
      </c>
    </row>
    <row r="16250" spans="1:21">
      <c r="A16250">
        <v>16249</v>
      </c>
      <c r="B16250" s="27" t="s">
        <v>1124</v>
      </c>
      <c r="D16250" s="27" t="s">
        <v>1969</v>
      </c>
      <c r="F16250" s="27" t="s">
        <v>1970</v>
      </c>
      <c r="H16250" s="27" t="s">
        <v>1971</v>
      </c>
      <c r="J16250" s="27" t="s">
        <v>1972</v>
      </c>
      <c r="L16250" s="27" t="s">
        <v>114</v>
      </c>
      <c r="N16250" s="27" t="s">
        <v>1974</v>
      </c>
      <c r="P16250" s="27" t="s">
        <v>17809</v>
      </c>
      <c r="Q16250" s="26" t="str">
        <f>HYPERLINK("https://ictv.global/taxonomy/taxondetails?taxnode_id=202505859&amp;ictv_id=ICTV20175859","ICTV20175859")</f>
        <v>ICTV20175859</v>
      </c>
      <c r="R16250" t="s">
        <v>659</v>
      </c>
      <c r="S16250" t="s">
        <v>824</v>
      </c>
      <c r="T16250">
        <v>39</v>
      </c>
      <c r="U16250" s="26" t="str">
        <f t="shared" si="609"/>
        <v>2023.014D.Hepadnaviridae_19renam_9nsp.zip</v>
      </c>
    </row>
    <row r="16251" spans="1:21">
      <c r="A16251">
        <v>16250</v>
      </c>
      <c r="B16251" s="27" t="s">
        <v>1124</v>
      </c>
      <c r="D16251" s="27" t="s">
        <v>1969</v>
      </c>
      <c r="F16251" s="27" t="s">
        <v>1970</v>
      </c>
      <c r="H16251" s="27" t="s">
        <v>1971</v>
      </c>
      <c r="J16251" s="27" t="s">
        <v>1972</v>
      </c>
      <c r="L16251" s="27" t="s">
        <v>114</v>
      </c>
      <c r="N16251" s="27" t="s">
        <v>300</v>
      </c>
      <c r="P16251" s="27" t="s">
        <v>17810</v>
      </c>
      <c r="Q16251" s="26" t="str">
        <f>HYPERLINK("https://ictv.global/taxonomy/taxondetails?taxnode_id=202518089&amp;ictv_id=ICTV202318089","ICTV202318089")</f>
        <v>ICTV202318089</v>
      </c>
      <c r="R16251" t="s">
        <v>659</v>
      </c>
      <c r="S16251" t="s">
        <v>823</v>
      </c>
      <c r="T16251">
        <v>39</v>
      </c>
      <c r="U16251" s="26" t="str">
        <f t="shared" si="609"/>
        <v>2023.014D.Hepadnaviridae_19renam_9nsp.zip</v>
      </c>
    </row>
    <row r="16252" spans="1:21">
      <c r="A16252">
        <v>16251</v>
      </c>
      <c r="B16252" s="27" t="s">
        <v>1124</v>
      </c>
      <c r="D16252" s="27" t="s">
        <v>1969</v>
      </c>
      <c r="F16252" s="27" t="s">
        <v>1970</v>
      </c>
      <c r="H16252" s="27" t="s">
        <v>1971</v>
      </c>
      <c r="J16252" s="27" t="s">
        <v>1972</v>
      </c>
      <c r="L16252" s="27" t="s">
        <v>114</v>
      </c>
      <c r="N16252" s="27" t="s">
        <v>300</v>
      </c>
      <c r="P16252" s="27" t="s">
        <v>17811</v>
      </c>
      <c r="Q16252" s="26" t="str">
        <f>HYPERLINK("https://ictv.global/taxonomy/taxondetails?taxnode_id=202518090&amp;ictv_id=ICTV202318090","ICTV202318090")</f>
        <v>ICTV202318090</v>
      </c>
      <c r="R16252" t="s">
        <v>659</v>
      </c>
      <c r="S16252" t="s">
        <v>823</v>
      </c>
      <c r="T16252">
        <v>39</v>
      </c>
      <c r="U16252" s="26" t="str">
        <f t="shared" si="609"/>
        <v>2023.014D.Hepadnaviridae_19renam_9nsp.zip</v>
      </c>
    </row>
    <row r="16253" spans="1:21">
      <c r="A16253">
        <v>16252</v>
      </c>
      <c r="B16253" s="27" t="s">
        <v>1124</v>
      </c>
      <c r="D16253" s="27" t="s">
        <v>1969</v>
      </c>
      <c r="F16253" s="27" t="s">
        <v>1970</v>
      </c>
      <c r="H16253" s="27" t="s">
        <v>1971</v>
      </c>
      <c r="J16253" s="27" t="s">
        <v>1972</v>
      </c>
      <c r="L16253" s="27" t="s">
        <v>114</v>
      </c>
      <c r="N16253" s="27" t="s">
        <v>300</v>
      </c>
      <c r="P16253" s="27" t="s">
        <v>17812</v>
      </c>
      <c r="Q16253" s="26" t="str">
        <f>HYPERLINK("https://ictv.global/taxonomy/taxondetails?taxnode_id=202507258&amp;ictv_id=ICTV201907258","ICTV201907258")</f>
        <v>ICTV201907258</v>
      </c>
      <c r="R16253" t="s">
        <v>659</v>
      </c>
      <c r="S16253" t="s">
        <v>824</v>
      </c>
      <c r="T16253">
        <v>39</v>
      </c>
      <c r="U16253" s="26" t="str">
        <f t="shared" si="609"/>
        <v>2023.014D.Hepadnaviridae_19renam_9nsp.zip</v>
      </c>
    </row>
    <row r="16254" spans="1:21">
      <c r="A16254">
        <v>16253</v>
      </c>
      <c r="B16254" s="27" t="s">
        <v>1124</v>
      </c>
      <c r="D16254" s="27" t="s">
        <v>1969</v>
      </c>
      <c r="F16254" s="27" t="s">
        <v>1970</v>
      </c>
      <c r="H16254" s="27" t="s">
        <v>1971</v>
      </c>
      <c r="J16254" s="27" t="s">
        <v>1972</v>
      </c>
      <c r="L16254" s="27" t="s">
        <v>114</v>
      </c>
      <c r="N16254" s="27" t="s">
        <v>300</v>
      </c>
      <c r="P16254" s="27" t="s">
        <v>17813</v>
      </c>
      <c r="Q16254" s="26" t="str">
        <f>HYPERLINK("https://ictv.global/taxonomy/taxondetails?taxnode_id=202503653&amp;ictv_id=ICTV19910781","ICTV19910781")</f>
        <v>ICTV19910781</v>
      </c>
      <c r="R16254" t="s">
        <v>659</v>
      </c>
      <c r="S16254" t="s">
        <v>824</v>
      </c>
      <c r="T16254">
        <v>39</v>
      </c>
      <c r="U16254" s="26" t="str">
        <f t="shared" si="609"/>
        <v>2023.014D.Hepadnaviridae_19renam_9nsp.zip</v>
      </c>
    </row>
    <row r="16255" spans="1:21">
      <c r="A16255">
        <v>16254</v>
      </c>
      <c r="B16255" s="27" t="s">
        <v>1124</v>
      </c>
      <c r="D16255" s="27" t="s">
        <v>1969</v>
      </c>
      <c r="F16255" s="27" t="s">
        <v>1970</v>
      </c>
      <c r="H16255" s="27" t="s">
        <v>1971</v>
      </c>
      <c r="J16255" s="27" t="s">
        <v>1972</v>
      </c>
      <c r="L16255" s="27" t="s">
        <v>114</v>
      </c>
      <c r="N16255" s="27" t="s">
        <v>300</v>
      </c>
      <c r="P16255" s="27" t="s">
        <v>17814</v>
      </c>
      <c r="Q16255" s="26" t="str">
        <f>HYPERLINK("https://ictv.global/taxonomy/taxondetails?taxnode_id=202503659&amp;ictv_id=ICTV20073804","ICTV20073804")</f>
        <v>ICTV20073804</v>
      </c>
      <c r="R16255" t="s">
        <v>659</v>
      </c>
      <c r="S16255" t="s">
        <v>824</v>
      </c>
      <c r="T16255">
        <v>39</v>
      </c>
      <c r="U16255" s="26" t="str">
        <f t="shared" si="609"/>
        <v>2023.014D.Hepadnaviridae_19renam_9nsp.zip</v>
      </c>
    </row>
    <row r="16256" spans="1:21">
      <c r="A16256">
        <v>16255</v>
      </c>
      <c r="B16256" s="27" t="s">
        <v>1124</v>
      </c>
      <c r="D16256" s="27" t="s">
        <v>1969</v>
      </c>
      <c r="F16256" s="27" t="s">
        <v>1970</v>
      </c>
      <c r="H16256" s="27" t="s">
        <v>1971</v>
      </c>
      <c r="J16256" s="27" t="s">
        <v>1972</v>
      </c>
      <c r="L16256" s="27" t="s">
        <v>114</v>
      </c>
      <c r="N16256" s="27" t="s">
        <v>300</v>
      </c>
      <c r="P16256" s="27" t="s">
        <v>17815</v>
      </c>
      <c r="Q16256" s="26" t="str">
        <f>HYPERLINK("https://ictv.global/taxonomy/taxondetails?taxnode_id=202503654&amp;ictv_id=ICTV20142428","ICTV20142428")</f>
        <v>ICTV20142428</v>
      </c>
      <c r="R16256" t="s">
        <v>659</v>
      </c>
      <c r="S16256" t="s">
        <v>824</v>
      </c>
      <c r="T16256">
        <v>39</v>
      </c>
      <c r="U16256" s="26" t="str">
        <f t="shared" si="609"/>
        <v>2023.014D.Hepadnaviridae_19renam_9nsp.zip</v>
      </c>
    </row>
    <row r="16257" spans="1:21">
      <c r="A16257">
        <v>16256</v>
      </c>
      <c r="B16257" s="27" t="s">
        <v>1124</v>
      </c>
      <c r="D16257" s="27" t="s">
        <v>1969</v>
      </c>
      <c r="F16257" s="27" t="s">
        <v>1970</v>
      </c>
      <c r="H16257" s="27" t="s">
        <v>1971</v>
      </c>
      <c r="J16257" s="27" t="s">
        <v>1972</v>
      </c>
      <c r="L16257" s="27" t="s">
        <v>114</v>
      </c>
      <c r="N16257" s="27" t="s">
        <v>300</v>
      </c>
      <c r="P16257" s="27" t="s">
        <v>17816</v>
      </c>
      <c r="Q16257" s="26" t="str">
        <f>HYPERLINK("https://ictv.global/taxonomy/taxondetails?taxnode_id=202518084&amp;ictv_id=ICTV202318084","ICTV202318084")</f>
        <v>ICTV202318084</v>
      </c>
      <c r="R16257" t="s">
        <v>659</v>
      </c>
      <c r="S16257" t="s">
        <v>823</v>
      </c>
      <c r="T16257">
        <v>39</v>
      </c>
      <c r="U16257" s="26" t="str">
        <f t="shared" si="609"/>
        <v>2023.014D.Hepadnaviridae_19renam_9nsp.zip</v>
      </c>
    </row>
    <row r="16258" spans="1:21">
      <c r="A16258">
        <v>16257</v>
      </c>
      <c r="B16258" s="27" t="s">
        <v>1124</v>
      </c>
      <c r="D16258" s="27" t="s">
        <v>1969</v>
      </c>
      <c r="F16258" s="27" t="s">
        <v>1970</v>
      </c>
      <c r="H16258" s="27" t="s">
        <v>1971</v>
      </c>
      <c r="J16258" s="27" t="s">
        <v>1972</v>
      </c>
      <c r="L16258" s="27" t="s">
        <v>114</v>
      </c>
      <c r="N16258" s="27" t="s">
        <v>300</v>
      </c>
      <c r="P16258" s="27" t="s">
        <v>17817</v>
      </c>
      <c r="Q16258" s="26" t="str">
        <f>HYPERLINK("https://ictv.global/taxonomy/taxondetails?taxnode_id=202518086&amp;ictv_id=ICTV202318086","ICTV202318086")</f>
        <v>ICTV202318086</v>
      </c>
      <c r="R16258" t="s">
        <v>659</v>
      </c>
      <c r="S16258" t="s">
        <v>823</v>
      </c>
      <c r="T16258">
        <v>39</v>
      </c>
      <c r="U16258" s="26" t="str">
        <f t="shared" si="609"/>
        <v>2023.014D.Hepadnaviridae_19renam_9nsp.zip</v>
      </c>
    </row>
    <row r="16259" spans="1:21">
      <c r="A16259">
        <v>16258</v>
      </c>
      <c r="B16259" s="27" t="s">
        <v>1124</v>
      </c>
      <c r="D16259" s="27" t="s">
        <v>1969</v>
      </c>
      <c r="F16259" s="27" t="s">
        <v>1970</v>
      </c>
      <c r="H16259" s="27" t="s">
        <v>1971</v>
      </c>
      <c r="J16259" s="27" t="s">
        <v>1972</v>
      </c>
      <c r="L16259" s="27" t="s">
        <v>114</v>
      </c>
      <c r="N16259" s="27" t="s">
        <v>300</v>
      </c>
      <c r="P16259" s="27" t="s">
        <v>17818</v>
      </c>
      <c r="Q16259" s="26" t="str">
        <f>HYPERLINK("https://ictv.global/taxonomy/taxondetails?taxnode_id=202503658&amp;ictv_id=ICTV19910782","ICTV19910782")</f>
        <v>ICTV19910782</v>
      </c>
      <c r="R16259" t="s">
        <v>659</v>
      </c>
      <c r="S16259" t="s">
        <v>824</v>
      </c>
      <c r="T16259">
        <v>39</v>
      </c>
      <c r="U16259" s="26" t="str">
        <f t="shared" si="609"/>
        <v>2023.014D.Hepadnaviridae_19renam_9nsp.zip</v>
      </c>
    </row>
    <row r="16260" spans="1:21">
      <c r="A16260">
        <v>16259</v>
      </c>
      <c r="B16260" s="27" t="s">
        <v>1124</v>
      </c>
      <c r="D16260" s="27" t="s">
        <v>1969</v>
      </c>
      <c r="F16260" s="27" t="s">
        <v>1970</v>
      </c>
      <c r="H16260" s="27" t="s">
        <v>1971</v>
      </c>
      <c r="J16260" s="27" t="s">
        <v>1972</v>
      </c>
      <c r="L16260" s="27" t="s">
        <v>114</v>
      </c>
      <c r="N16260" s="27" t="s">
        <v>300</v>
      </c>
      <c r="P16260" s="27" t="s">
        <v>17819</v>
      </c>
      <c r="Q16260" s="26" t="str">
        <f>HYPERLINK("https://ictv.global/taxonomy/taxondetails?taxnode_id=202518085&amp;ictv_id=ICTV202318085","ICTV202318085")</f>
        <v>ICTV202318085</v>
      </c>
      <c r="R16260" t="s">
        <v>659</v>
      </c>
      <c r="S16260" t="s">
        <v>823</v>
      </c>
      <c r="T16260">
        <v>39</v>
      </c>
      <c r="U16260" s="26" t="str">
        <f t="shared" si="609"/>
        <v>2023.014D.Hepadnaviridae_19renam_9nsp.zip</v>
      </c>
    </row>
    <row r="16261" spans="1:21">
      <c r="A16261">
        <v>16260</v>
      </c>
      <c r="B16261" s="27" t="s">
        <v>1124</v>
      </c>
      <c r="D16261" s="27" t="s">
        <v>1969</v>
      </c>
      <c r="F16261" s="27" t="s">
        <v>1970</v>
      </c>
      <c r="H16261" s="27" t="s">
        <v>1971</v>
      </c>
      <c r="J16261" s="27" t="s">
        <v>1972</v>
      </c>
      <c r="L16261" s="27" t="s">
        <v>114</v>
      </c>
      <c r="N16261" s="27" t="s">
        <v>300</v>
      </c>
      <c r="P16261" s="27" t="s">
        <v>17820</v>
      </c>
      <c r="Q16261" s="26" t="str">
        <f>HYPERLINK("https://ictv.global/taxonomy/taxondetails?taxnode_id=202507259&amp;ictv_id=ICTV201907259","ICTV201907259")</f>
        <v>ICTV201907259</v>
      </c>
      <c r="R16261" t="s">
        <v>659</v>
      </c>
      <c r="S16261" t="s">
        <v>824</v>
      </c>
      <c r="T16261">
        <v>39</v>
      </c>
      <c r="U16261" s="26" t="str">
        <f t="shared" si="609"/>
        <v>2023.014D.Hepadnaviridae_19renam_9nsp.zip</v>
      </c>
    </row>
    <row r="16262" spans="1:21">
      <c r="A16262">
        <v>16261</v>
      </c>
      <c r="B16262" s="27" t="s">
        <v>1124</v>
      </c>
      <c r="D16262" s="27" t="s">
        <v>1969</v>
      </c>
      <c r="F16262" s="27" t="s">
        <v>1970</v>
      </c>
      <c r="H16262" s="27" t="s">
        <v>1971</v>
      </c>
      <c r="J16262" s="27" t="s">
        <v>1972</v>
      </c>
      <c r="L16262" s="27" t="s">
        <v>114</v>
      </c>
      <c r="N16262" s="27" t="s">
        <v>300</v>
      </c>
      <c r="P16262" s="27" t="s">
        <v>17821</v>
      </c>
      <c r="Q16262" s="26" t="str">
        <f>HYPERLINK("https://ictv.global/taxonomy/taxondetails?taxnode_id=202503655&amp;ictv_id=ICTV20165385","ICTV20165385")</f>
        <v>ICTV20165385</v>
      </c>
      <c r="R16262" t="s">
        <v>659</v>
      </c>
      <c r="S16262" t="s">
        <v>824</v>
      </c>
      <c r="T16262">
        <v>39</v>
      </c>
      <c r="U16262" s="26" t="str">
        <f t="shared" si="609"/>
        <v>2023.014D.Hepadnaviridae_19renam_9nsp.zip</v>
      </c>
    </row>
    <row r="16263" spans="1:21">
      <c r="A16263">
        <v>16262</v>
      </c>
      <c r="B16263" s="27" t="s">
        <v>1124</v>
      </c>
      <c r="D16263" s="27" t="s">
        <v>1969</v>
      </c>
      <c r="F16263" s="27" t="s">
        <v>1970</v>
      </c>
      <c r="H16263" s="27" t="s">
        <v>1971</v>
      </c>
      <c r="J16263" s="27" t="s">
        <v>1972</v>
      </c>
      <c r="L16263" s="27" t="s">
        <v>114</v>
      </c>
      <c r="N16263" s="27" t="s">
        <v>300</v>
      </c>
      <c r="P16263" s="27" t="s">
        <v>17822</v>
      </c>
      <c r="Q16263" s="26" t="str">
        <f>HYPERLINK("https://ictv.global/taxonomy/taxondetails?taxnode_id=202503656&amp;ictv_id=ICTV20152933","ICTV20152933")</f>
        <v>ICTV20152933</v>
      </c>
      <c r="R16263" t="s">
        <v>659</v>
      </c>
      <c r="S16263" t="s">
        <v>824</v>
      </c>
      <c r="T16263">
        <v>39</v>
      </c>
      <c r="U16263" s="26" t="str">
        <f t="shared" si="609"/>
        <v>2023.014D.Hepadnaviridae_19renam_9nsp.zip</v>
      </c>
    </row>
    <row r="16264" spans="1:21">
      <c r="A16264">
        <v>16263</v>
      </c>
      <c r="B16264" s="27" t="s">
        <v>1124</v>
      </c>
      <c r="D16264" s="27" t="s">
        <v>1969</v>
      </c>
      <c r="F16264" s="27" t="s">
        <v>1970</v>
      </c>
      <c r="H16264" s="27" t="s">
        <v>1971</v>
      </c>
      <c r="J16264" s="27" t="s">
        <v>1972</v>
      </c>
      <c r="L16264" s="27" t="s">
        <v>114</v>
      </c>
      <c r="N16264" s="27" t="s">
        <v>300</v>
      </c>
      <c r="P16264" s="27" t="s">
        <v>17823</v>
      </c>
      <c r="Q16264" s="26" t="str">
        <f>HYPERLINK("https://ictv.global/taxonomy/taxondetails?taxnode_id=202506328&amp;ictv_id=ICTV201856328","ICTV201856328")</f>
        <v>ICTV201856328</v>
      </c>
      <c r="R16264" t="s">
        <v>659</v>
      </c>
      <c r="S16264" t="s">
        <v>824</v>
      </c>
      <c r="T16264">
        <v>39</v>
      </c>
      <c r="U16264" s="26" t="str">
        <f t="shared" si="609"/>
        <v>2023.014D.Hepadnaviridae_19renam_9nsp.zip</v>
      </c>
    </row>
    <row r="16265" spans="1:21">
      <c r="A16265">
        <v>16264</v>
      </c>
      <c r="B16265" s="27" t="s">
        <v>1124</v>
      </c>
      <c r="D16265" s="27" t="s">
        <v>1969</v>
      </c>
      <c r="F16265" s="27" t="s">
        <v>1970</v>
      </c>
      <c r="H16265" s="27" t="s">
        <v>1971</v>
      </c>
      <c r="J16265" s="27" t="s">
        <v>1972</v>
      </c>
      <c r="L16265" s="27" t="s">
        <v>114</v>
      </c>
      <c r="N16265" s="27" t="s">
        <v>300</v>
      </c>
      <c r="P16265" s="27" t="s">
        <v>17824</v>
      </c>
      <c r="Q16265" s="26" t="str">
        <f>HYPERLINK("https://ictv.global/taxonomy/taxondetails?taxnode_id=202503652&amp;ictv_id=ICTV19910780","ICTV19910780")</f>
        <v>ICTV19910780</v>
      </c>
      <c r="R16265" t="s">
        <v>659</v>
      </c>
      <c r="S16265" t="s">
        <v>824</v>
      </c>
      <c r="T16265">
        <v>39</v>
      </c>
      <c r="U16265" s="26" t="str">
        <f t="shared" si="609"/>
        <v>2023.014D.Hepadnaviridae_19renam_9nsp.zip</v>
      </c>
    </row>
    <row r="16266" spans="1:21">
      <c r="A16266">
        <v>16265</v>
      </c>
      <c r="B16266" s="27" t="s">
        <v>1124</v>
      </c>
      <c r="D16266" s="27" t="s">
        <v>1969</v>
      </c>
      <c r="F16266" s="27" t="s">
        <v>1970</v>
      </c>
      <c r="H16266" s="27" t="s">
        <v>1971</v>
      </c>
      <c r="J16266" s="27" t="s">
        <v>1972</v>
      </c>
      <c r="L16266" s="27" t="s">
        <v>114</v>
      </c>
      <c r="N16266" s="27" t="s">
        <v>300</v>
      </c>
      <c r="P16266" s="27" t="s">
        <v>17825</v>
      </c>
      <c r="Q16266" s="26" t="str">
        <f>HYPERLINK("https://ictv.global/taxonomy/taxondetails?taxnode_id=202518087&amp;ictv_id=ICTV202318087","ICTV202318087")</f>
        <v>ICTV202318087</v>
      </c>
      <c r="R16266" t="s">
        <v>659</v>
      </c>
      <c r="S16266" t="s">
        <v>823</v>
      </c>
      <c r="T16266">
        <v>39</v>
      </c>
      <c r="U16266" s="26" t="str">
        <f t="shared" si="609"/>
        <v>2023.014D.Hepadnaviridae_19renam_9nsp.zip</v>
      </c>
    </row>
    <row r="16267" spans="1:21">
      <c r="A16267">
        <v>16266</v>
      </c>
      <c r="B16267" s="27" t="s">
        <v>1124</v>
      </c>
      <c r="D16267" s="27" t="s">
        <v>1969</v>
      </c>
      <c r="F16267" s="27" t="s">
        <v>1970</v>
      </c>
      <c r="H16267" s="27" t="s">
        <v>1971</v>
      </c>
      <c r="J16267" s="27" t="s">
        <v>1972</v>
      </c>
      <c r="L16267" s="27" t="s">
        <v>114</v>
      </c>
      <c r="N16267" s="27" t="s">
        <v>300</v>
      </c>
      <c r="P16267" s="27" t="s">
        <v>17826</v>
      </c>
      <c r="Q16267" s="26" t="str">
        <f>HYPERLINK("https://ictv.global/taxonomy/taxondetails?taxnode_id=202518088&amp;ictv_id=ICTV202318088","ICTV202318088")</f>
        <v>ICTV202318088</v>
      </c>
      <c r="R16267" t="s">
        <v>659</v>
      </c>
      <c r="S16267" t="s">
        <v>823</v>
      </c>
      <c r="T16267">
        <v>39</v>
      </c>
      <c r="U16267" s="26" t="str">
        <f t="shared" si="609"/>
        <v>2023.014D.Hepadnaviridae_19renam_9nsp.zip</v>
      </c>
    </row>
    <row r="16268" spans="1:21">
      <c r="A16268">
        <v>16267</v>
      </c>
      <c r="B16268" s="27" t="s">
        <v>1124</v>
      </c>
      <c r="D16268" s="27" t="s">
        <v>1969</v>
      </c>
      <c r="F16268" s="27" t="s">
        <v>1970</v>
      </c>
      <c r="H16268" s="27" t="s">
        <v>1971</v>
      </c>
      <c r="J16268" s="27" t="s">
        <v>1972</v>
      </c>
      <c r="L16268" s="27" t="s">
        <v>114</v>
      </c>
      <c r="N16268" s="27" t="s">
        <v>300</v>
      </c>
      <c r="P16268" s="27" t="s">
        <v>17827</v>
      </c>
      <c r="Q16268" s="26" t="str">
        <f>HYPERLINK("https://ictv.global/taxonomy/taxondetails?taxnode_id=202507260&amp;ictv_id=ICTV201907260","ICTV201907260")</f>
        <v>ICTV201907260</v>
      </c>
      <c r="R16268" t="s">
        <v>659</v>
      </c>
      <c r="S16268" t="s">
        <v>824</v>
      </c>
      <c r="T16268">
        <v>39</v>
      </c>
      <c r="U16268" s="26" t="str">
        <f t="shared" si="609"/>
        <v>2023.014D.Hepadnaviridae_19renam_9nsp.zip</v>
      </c>
    </row>
    <row r="16269" spans="1:21">
      <c r="A16269">
        <v>16268</v>
      </c>
      <c r="B16269" s="27" t="s">
        <v>1124</v>
      </c>
      <c r="D16269" s="27" t="s">
        <v>1969</v>
      </c>
      <c r="F16269" s="27" t="s">
        <v>1970</v>
      </c>
      <c r="H16269" s="27" t="s">
        <v>1971</v>
      </c>
      <c r="J16269" s="27" t="s">
        <v>1972</v>
      </c>
      <c r="L16269" s="27" t="s">
        <v>114</v>
      </c>
      <c r="N16269" s="27" t="s">
        <v>300</v>
      </c>
      <c r="P16269" s="27" t="s">
        <v>17828</v>
      </c>
      <c r="Q16269" s="26" t="str">
        <f>HYPERLINK("https://ictv.global/taxonomy/taxondetails?taxnode_id=202503657&amp;ictv_id=ICTV20152932","ICTV20152932")</f>
        <v>ICTV20152932</v>
      </c>
      <c r="R16269" t="s">
        <v>659</v>
      </c>
      <c r="S16269" t="s">
        <v>824</v>
      </c>
      <c r="T16269">
        <v>39</v>
      </c>
      <c r="U16269" s="26" t="str">
        <f t="shared" si="609"/>
        <v>2023.014D.Hepadnaviridae_19renam_9nsp.zip</v>
      </c>
    </row>
    <row r="16270" spans="1:21">
      <c r="A16270">
        <v>16269</v>
      </c>
      <c r="B16270" s="27" t="s">
        <v>1124</v>
      </c>
      <c r="D16270" s="27" t="s">
        <v>1969</v>
      </c>
      <c r="F16270" s="27" t="s">
        <v>1970</v>
      </c>
      <c r="H16270" s="27" t="s">
        <v>1971</v>
      </c>
      <c r="J16270" s="27" t="s">
        <v>1972</v>
      </c>
      <c r="L16270" s="27" t="s">
        <v>114</v>
      </c>
      <c r="N16270" s="27" t="s">
        <v>1975</v>
      </c>
      <c r="P16270" s="27" t="s">
        <v>17829</v>
      </c>
      <c r="Q16270" s="26" t="str">
        <f>HYPERLINK("https://ictv.global/taxonomy/taxondetails?taxnode_id=202503661&amp;ictv_id=ICTV20165386","ICTV20165386")</f>
        <v>ICTV20165386</v>
      </c>
      <c r="R16270" t="s">
        <v>659</v>
      </c>
      <c r="S16270" t="s">
        <v>824</v>
      </c>
      <c r="T16270">
        <v>39</v>
      </c>
      <c r="U16270" s="26" t="str">
        <f t="shared" si="609"/>
        <v>2023.014D.Hepadnaviridae_19renam_9nsp.zip</v>
      </c>
    </row>
    <row r="16271" spans="1:21">
      <c r="A16271">
        <v>16270</v>
      </c>
      <c r="B16271" s="27" t="s">
        <v>1124</v>
      </c>
      <c r="D16271" s="27" t="s">
        <v>1969</v>
      </c>
      <c r="F16271" s="27" t="s">
        <v>1970</v>
      </c>
      <c r="H16271" s="27" t="s">
        <v>1971</v>
      </c>
      <c r="J16271" s="27" t="s">
        <v>848</v>
      </c>
      <c r="L16271" s="27" t="s">
        <v>849</v>
      </c>
      <c r="N16271" s="27" t="s">
        <v>443</v>
      </c>
      <c r="P16271" s="27" t="s">
        <v>20605</v>
      </c>
      <c r="Q16271" s="26" t="str">
        <f>HYPERLINK("https://ictv.global/taxonomy/taxondetails?taxnode_id=202503851&amp;ictv_id=ICTV20041414","ICTV20041414")</f>
        <v>ICTV20041414</v>
      </c>
      <c r="R16271" t="s">
        <v>584</v>
      </c>
      <c r="S16271" t="s">
        <v>824</v>
      </c>
      <c r="T16271">
        <v>40</v>
      </c>
      <c r="U16271" s="26" t="str">
        <f t="shared" ref="U16271:U16281" si="610">HYPERLINK("https://ictv.global/ictv/proposals/2024.013D.Belpaoviridae_spren_v1.zip","2024.013D.Belpaoviridae_spren_v1.zip")</f>
        <v>2024.013D.Belpaoviridae_spren_v1.zip</v>
      </c>
    </row>
    <row r="16272" spans="1:21">
      <c r="A16272">
        <v>16271</v>
      </c>
      <c r="B16272" s="27" t="s">
        <v>1124</v>
      </c>
      <c r="D16272" s="27" t="s">
        <v>1969</v>
      </c>
      <c r="F16272" s="27" t="s">
        <v>1970</v>
      </c>
      <c r="H16272" s="27" t="s">
        <v>1971</v>
      </c>
      <c r="J16272" s="27" t="s">
        <v>848</v>
      </c>
      <c r="L16272" s="27" t="s">
        <v>849</v>
      </c>
      <c r="N16272" s="27" t="s">
        <v>443</v>
      </c>
      <c r="P16272" s="27" t="s">
        <v>20606</v>
      </c>
      <c r="Q16272" s="26" t="str">
        <f>HYPERLINK("https://ictv.global/taxonomy/taxondetails?taxnode_id=202503850&amp;ictv_id=ICTV20041413","ICTV20041413")</f>
        <v>ICTV20041413</v>
      </c>
      <c r="R16272" t="s">
        <v>584</v>
      </c>
      <c r="S16272" t="s">
        <v>824</v>
      </c>
      <c r="T16272">
        <v>40</v>
      </c>
      <c r="U16272" s="26" t="str">
        <f t="shared" si="610"/>
        <v>2024.013D.Belpaoviridae_spren_v1.zip</v>
      </c>
    </row>
    <row r="16273" spans="1:21">
      <c r="A16273">
        <v>16272</v>
      </c>
      <c r="B16273" s="27" t="s">
        <v>1124</v>
      </c>
      <c r="D16273" s="27" t="s">
        <v>1969</v>
      </c>
      <c r="F16273" s="27" t="s">
        <v>1970</v>
      </c>
      <c r="H16273" s="27" t="s">
        <v>1971</v>
      </c>
      <c r="J16273" s="27" t="s">
        <v>848</v>
      </c>
      <c r="L16273" s="27" t="s">
        <v>849</v>
      </c>
      <c r="N16273" s="27" t="s">
        <v>443</v>
      </c>
      <c r="P16273" s="27" t="s">
        <v>20607</v>
      </c>
      <c r="Q16273" s="26" t="str">
        <f>HYPERLINK("https://ictv.global/taxonomy/taxondetails?taxnode_id=202505585&amp;ictv_id=ICTV20175585","ICTV20175585")</f>
        <v>ICTV20175585</v>
      </c>
      <c r="R16273" t="s">
        <v>584</v>
      </c>
      <c r="S16273" t="s">
        <v>824</v>
      </c>
      <c r="T16273">
        <v>40</v>
      </c>
      <c r="U16273" s="26" t="str">
        <f t="shared" si="610"/>
        <v>2024.013D.Belpaoviridae_spren_v1.zip</v>
      </c>
    </row>
    <row r="16274" spans="1:21">
      <c r="A16274">
        <v>16273</v>
      </c>
      <c r="B16274" s="27" t="s">
        <v>1124</v>
      </c>
      <c r="D16274" s="27" t="s">
        <v>1969</v>
      </c>
      <c r="F16274" s="27" t="s">
        <v>1970</v>
      </c>
      <c r="H16274" s="27" t="s">
        <v>1971</v>
      </c>
      <c r="J16274" s="27" t="s">
        <v>848</v>
      </c>
      <c r="L16274" s="27" t="s">
        <v>849</v>
      </c>
      <c r="N16274" s="27" t="s">
        <v>443</v>
      </c>
      <c r="P16274" s="27" t="s">
        <v>20608</v>
      </c>
      <c r="Q16274" s="26" t="str">
        <f>HYPERLINK("https://ictv.global/taxonomy/taxondetails?taxnode_id=202503847&amp;ictv_id=ICTV20041410","ICTV20041410")</f>
        <v>ICTV20041410</v>
      </c>
      <c r="R16274" t="s">
        <v>584</v>
      </c>
      <c r="S16274" t="s">
        <v>824</v>
      </c>
      <c r="T16274">
        <v>40</v>
      </c>
      <c r="U16274" s="26" t="str">
        <f t="shared" si="610"/>
        <v>2024.013D.Belpaoviridae_spren_v1.zip</v>
      </c>
    </row>
    <row r="16275" spans="1:21">
      <c r="A16275">
        <v>16274</v>
      </c>
      <c r="B16275" s="27" t="s">
        <v>1124</v>
      </c>
      <c r="D16275" s="27" t="s">
        <v>1969</v>
      </c>
      <c r="F16275" s="27" t="s">
        <v>1970</v>
      </c>
      <c r="H16275" s="27" t="s">
        <v>1971</v>
      </c>
      <c r="J16275" s="27" t="s">
        <v>848</v>
      </c>
      <c r="L16275" s="27" t="s">
        <v>849</v>
      </c>
      <c r="N16275" s="27" t="s">
        <v>443</v>
      </c>
      <c r="P16275" s="27" t="s">
        <v>20609</v>
      </c>
      <c r="Q16275" s="26" t="str">
        <f>HYPERLINK("https://ictv.global/taxonomy/taxondetails?taxnode_id=202503853&amp;ictv_id=ICTV20041416","ICTV20041416")</f>
        <v>ICTV20041416</v>
      </c>
      <c r="R16275" t="s">
        <v>584</v>
      </c>
      <c r="S16275" t="s">
        <v>824</v>
      </c>
      <c r="T16275">
        <v>40</v>
      </c>
      <c r="U16275" s="26" t="str">
        <f t="shared" si="610"/>
        <v>2024.013D.Belpaoviridae_spren_v1.zip</v>
      </c>
    </row>
    <row r="16276" spans="1:21">
      <c r="A16276">
        <v>16275</v>
      </c>
      <c r="B16276" s="27" t="s">
        <v>1124</v>
      </c>
      <c r="D16276" s="27" t="s">
        <v>1969</v>
      </c>
      <c r="F16276" s="27" t="s">
        <v>1970</v>
      </c>
      <c r="H16276" s="27" t="s">
        <v>1971</v>
      </c>
      <c r="J16276" s="27" t="s">
        <v>848</v>
      </c>
      <c r="L16276" s="27" t="s">
        <v>849</v>
      </c>
      <c r="N16276" s="27" t="s">
        <v>443</v>
      </c>
      <c r="P16276" s="27" t="s">
        <v>20610</v>
      </c>
      <c r="Q16276" s="26" t="str">
        <f>HYPERLINK("https://ictv.global/taxonomy/taxondetails?taxnode_id=202503849&amp;ictv_id=ICTV20041412","ICTV20041412")</f>
        <v>ICTV20041412</v>
      </c>
      <c r="R16276" t="s">
        <v>584</v>
      </c>
      <c r="S16276" t="s">
        <v>824</v>
      </c>
      <c r="T16276">
        <v>40</v>
      </c>
      <c r="U16276" s="26" t="str">
        <f t="shared" si="610"/>
        <v>2024.013D.Belpaoviridae_spren_v1.zip</v>
      </c>
    </row>
    <row r="16277" spans="1:21">
      <c r="A16277">
        <v>16276</v>
      </c>
      <c r="B16277" s="27" t="s">
        <v>1124</v>
      </c>
      <c r="D16277" s="27" t="s">
        <v>1969</v>
      </c>
      <c r="F16277" s="27" t="s">
        <v>1970</v>
      </c>
      <c r="H16277" s="27" t="s">
        <v>1971</v>
      </c>
      <c r="J16277" s="27" t="s">
        <v>848</v>
      </c>
      <c r="L16277" s="27" t="s">
        <v>849</v>
      </c>
      <c r="N16277" s="27" t="s">
        <v>443</v>
      </c>
      <c r="P16277" s="27" t="s">
        <v>20611</v>
      </c>
      <c r="Q16277" s="26" t="str">
        <f>HYPERLINK("https://ictv.global/taxonomy/taxondetails?taxnode_id=202503852&amp;ictv_id=ICTV20041415","ICTV20041415")</f>
        <v>ICTV20041415</v>
      </c>
      <c r="R16277" t="s">
        <v>584</v>
      </c>
      <c r="S16277" t="s">
        <v>824</v>
      </c>
      <c r="T16277">
        <v>40</v>
      </c>
      <c r="U16277" s="26" t="str">
        <f t="shared" si="610"/>
        <v>2024.013D.Belpaoviridae_spren_v1.zip</v>
      </c>
    </row>
    <row r="16278" spans="1:21">
      <c r="A16278">
        <v>16277</v>
      </c>
      <c r="B16278" s="27" t="s">
        <v>1124</v>
      </c>
      <c r="D16278" s="27" t="s">
        <v>1969</v>
      </c>
      <c r="F16278" s="27" t="s">
        <v>1970</v>
      </c>
      <c r="H16278" s="27" t="s">
        <v>1971</v>
      </c>
      <c r="J16278" s="27" t="s">
        <v>848</v>
      </c>
      <c r="L16278" s="27" t="s">
        <v>849</v>
      </c>
      <c r="N16278" s="27" t="s">
        <v>443</v>
      </c>
      <c r="P16278" s="27" t="s">
        <v>20612</v>
      </c>
      <c r="Q16278" s="26" t="str">
        <f>HYPERLINK("https://ictv.global/taxonomy/taxondetails?taxnode_id=202505586&amp;ictv_id=ICTV20175586","ICTV20175586")</f>
        <v>ICTV20175586</v>
      </c>
      <c r="R16278" t="s">
        <v>584</v>
      </c>
      <c r="S16278" t="s">
        <v>824</v>
      </c>
      <c r="T16278">
        <v>40</v>
      </c>
      <c r="U16278" s="26" t="str">
        <f t="shared" si="610"/>
        <v>2024.013D.Belpaoviridae_spren_v1.zip</v>
      </c>
    </row>
    <row r="16279" spans="1:21">
      <c r="A16279">
        <v>16278</v>
      </c>
      <c r="B16279" s="27" t="s">
        <v>1124</v>
      </c>
      <c r="D16279" s="27" t="s">
        <v>1969</v>
      </c>
      <c r="F16279" s="27" t="s">
        <v>1970</v>
      </c>
      <c r="H16279" s="27" t="s">
        <v>1971</v>
      </c>
      <c r="J16279" s="27" t="s">
        <v>848</v>
      </c>
      <c r="L16279" s="27" t="s">
        <v>849</v>
      </c>
      <c r="N16279" s="27" t="s">
        <v>443</v>
      </c>
      <c r="P16279" s="27" t="s">
        <v>20613</v>
      </c>
      <c r="Q16279" s="26" t="str">
        <f>HYPERLINK("https://ictv.global/taxonomy/taxondetails?taxnode_id=202503854&amp;ictv_id=ICTV20041417","ICTV20041417")</f>
        <v>ICTV20041417</v>
      </c>
      <c r="R16279" t="s">
        <v>584</v>
      </c>
      <c r="S16279" t="s">
        <v>824</v>
      </c>
      <c r="T16279">
        <v>40</v>
      </c>
      <c r="U16279" s="26" t="str">
        <f t="shared" si="610"/>
        <v>2024.013D.Belpaoviridae_spren_v1.zip</v>
      </c>
    </row>
    <row r="16280" spans="1:21">
      <c r="A16280">
        <v>16279</v>
      </c>
      <c r="B16280" s="27" t="s">
        <v>1124</v>
      </c>
      <c r="D16280" s="27" t="s">
        <v>1969</v>
      </c>
      <c r="F16280" s="27" t="s">
        <v>1970</v>
      </c>
      <c r="H16280" s="27" t="s">
        <v>1971</v>
      </c>
      <c r="J16280" s="27" t="s">
        <v>848</v>
      </c>
      <c r="L16280" s="27" t="s">
        <v>849</v>
      </c>
      <c r="N16280" s="27" t="s">
        <v>443</v>
      </c>
      <c r="P16280" s="27" t="s">
        <v>20614</v>
      </c>
      <c r="Q16280" s="26" t="str">
        <f>HYPERLINK("https://ictv.global/taxonomy/taxondetails?taxnode_id=202505584&amp;ictv_id=ICTV20175584","ICTV20175584")</f>
        <v>ICTV20175584</v>
      </c>
      <c r="R16280" t="s">
        <v>584</v>
      </c>
      <c r="S16280" t="s">
        <v>824</v>
      </c>
      <c r="T16280">
        <v>40</v>
      </c>
      <c r="U16280" s="26" t="str">
        <f t="shared" si="610"/>
        <v>2024.013D.Belpaoviridae_spren_v1.zip</v>
      </c>
    </row>
    <row r="16281" spans="1:21">
      <c r="A16281">
        <v>16280</v>
      </c>
      <c r="B16281" s="27" t="s">
        <v>1124</v>
      </c>
      <c r="D16281" s="27" t="s">
        <v>1969</v>
      </c>
      <c r="F16281" s="27" t="s">
        <v>1970</v>
      </c>
      <c r="H16281" s="27" t="s">
        <v>1971</v>
      </c>
      <c r="J16281" s="27" t="s">
        <v>848</v>
      </c>
      <c r="L16281" s="27" t="s">
        <v>849</v>
      </c>
      <c r="N16281" s="27" t="s">
        <v>443</v>
      </c>
      <c r="P16281" s="27" t="s">
        <v>20615</v>
      </c>
      <c r="Q16281" s="26" t="str">
        <f>HYPERLINK("https://ictv.global/taxonomy/taxondetails?taxnode_id=202503848&amp;ictv_id=ICTV20041411","ICTV20041411")</f>
        <v>ICTV20041411</v>
      </c>
      <c r="R16281" t="s">
        <v>584</v>
      </c>
      <c r="S16281" t="s">
        <v>824</v>
      </c>
      <c r="T16281">
        <v>40</v>
      </c>
      <c r="U16281" s="26" t="str">
        <f t="shared" si="610"/>
        <v>2024.013D.Belpaoviridae_spren_v1.zip</v>
      </c>
    </row>
    <row r="16282" spans="1:21">
      <c r="A16282">
        <v>16281</v>
      </c>
      <c r="B16282" s="27" t="s">
        <v>1124</v>
      </c>
      <c r="D16282" s="27" t="s">
        <v>1969</v>
      </c>
      <c r="F16282" s="27" t="s">
        <v>1970</v>
      </c>
      <c r="H16282" s="27" t="s">
        <v>1971</v>
      </c>
      <c r="J16282" s="27" t="s">
        <v>848</v>
      </c>
      <c r="L16282" s="27" t="s">
        <v>441</v>
      </c>
      <c r="N16282" s="27" t="s">
        <v>442</v>
      </c>
      <c r="P16282" s="27" t="s">
        <v>10715</v>
      </c>
      <c r="Q16282" s="26" t="str">
        <f>HYPERLINK("https://ictv.global/taxonomy/taxondetails?taxnode_id=202502819&amp;ictv_id=ICTV19990711","ICTV19990711")</f>
        <v>ICTV19990711</v>
      </c>
      <c r="R16282" t="s">
        <v>659</v>
      </c>
      <c r="S16282" t="s">
        <v>824</v>
      </c>
      <c r="T16282">
        <v>38</v>
      </c>
      <c r="U16282" s="26" t="str">
        <f t="shared" ref="U16282:U16296" si="611">HYPERLINK("https://ictv.global/ictv/proposals/2022.008P.Caulimoviridae_rename.zip","2022.008P.Caulimoviridae_rename.zip")</f>
        <v>2022.008P.Caulimoviridae_rename.zip</v>
      </c>
    </row>
    <row r="16283" spans="1:21">
      <c r="A16283">
        <v>16282</v>
      </c>
      <c r="B16283" s="27" t="s">
        <v>1124</v>
      </c>
      <c r="D16283" s="27" t="s">
        <v>1969</v>
      </c>
      <c r="F16283" s="27" t="s">
        <v>1970</v>
      </c>
      <c r="H16283" s="27" t="s">
        <v>1971</v>
      </c>
      <c r="J16283" s="27" t="s">
        <v>848</v>
      </c>
      <c r="L16283" s="27" t="s">
        <v>441</v>
      </c>
      <c r="N16283" s="27" t="s">
        <v>442</v>
      </c>
      <c r="P16283" s="27" t="s">
        <v>10716</v>
      </c>
      <c r="Q16283" s="26" t="str">
        <f>HYPERLINK("https://ictv.global/taxonomy/taxondetails?taxnode_id=202502857&amp;ictv_id=ICTV20073401","ICTV20073401")</f>
        <v>ICTV20073401</v>
      </c>
      <c r="R16283" t="s">
        <v>659</v>
      </c>
      <c r="S16283" t="s">
        <v>824</v>
      </c>
      <c r="T16283">
        <v>38</v>
      </c>
      <c r="U16283" s="26" t="str">
        <f t="shared" si="611"/>
        <v>2022.008P.Caulimoviridae_rename.zip</v>
      </c>
    </row>
    <row r="16284" spans="1:21">
      <c r="A16284">
        <v>16283</v>
      </c>
      <c r="B16284" s="27" t="s">
        <v>1124</v>
      </c>
      <c r="D16284" s="27" t="s">
        <v>1969</v>
      </c>
      <c r="F16284" s="27" t="s">
        <v>1970</v>
      </c>
      <c r="H16284" s="27" t="s">
        <v>1971</v>
      </c>
      <c r="J16284" s="27" t="s">
        <v>848</v>
      </c>
      <c r="L16284" s="27" t="s">
        <v>441</v>
      </c>
      <c r="N16284" s="27" t="s">
        <v>442</v>
      </c>
      <c r="P16284" s="27" t="s">
        <v>10717</v>
      </c>
      <c r="Q16284" s="26" t="str">
        <f>HYPERLINK("https://ictv.global/taxonomy/taxondetails?taxnode_id=202502836&amp;ictv_id=ICTV19952316","ICTV19952316")</f>
        <v>ICTV19952316</v>
      </c>
      <c r="R16284" t="s">
        <v>659</v>
      </c>
      <c r="S16284" t="s">
        <v>824</v>
      </c>
      <c r="T16284">
        <v>38</v>
      </c>
      <c r="U16284" s="26" t="str">
        <f t="shared" si="611"/>
        <v>2022.008P.Caulimoviridae_rename.zip</v>
      </c>
    </row>
    <row r="16285" spans="1:21">
      <c r="A16285">
        <v>16284</v>
      </c>
      <c r="B16285" s="27" t="s">
        <v>1124</v>
      </c>
      <c r="D16285" s="27" t="s">
        <v>1969</v>
      </c>
      <c r="F16285" s="27" t="s">
        <v>1970</v>
      </c>
      <c r="H16285" s="27" t="s">
        <v>1971</v>
      </c>
      <c r="J16285" s="27" t="s">
        <v>848</v>
      </c>
      <c r="L16285" s="27" t="s">
        <v>441</v>
      </c>
      <c r="N16285" s="27" t="s">
        <v>442</v>
      </c>
      <c r="P16285" s="27" t="s">
        <v>10718</v>
      </c>
      <c r="Q16285" s="26" t="str">
        <f>HYPERLINK("https://ictv.global/taxonomy/taxondetails?taxnode_id=202502830&amp;ictv_id=ICTV20152263","ICTV20152263")</f>
        <v>ICTV20152263</v>
      </c>
      <c r="R16285" t="s">
        <v>659</v>
      </c>
      <c r="S16285" t="s">
        <v>824</v>
      </c>
      <c r="T16285">
        <v>38</v>
      </c>
      <c r="U16285" s="26" t="str">
        <f t="shared" si="611"/>
        <v>2022.008P.Caulimoviridae_rename.zip</v>
      </c>
    </row>
    <row r="16286" spans="1:21">
      <c r="A16286">
        <v>16285</v>
      </c>
      <c r="B16286" s="27" t="s">
        <v>1124</v>
      </c>
      <c r="D16286" s="27" t="s">
        <v>1969</v>
      </c>
      <c r="F16286" s="27" t="s">
        <v>1970</v>
      </c>
      <c r="H16286" s="27" t="s">
        <v>1971</v>
      </c>
      <c r="J16286" s="27" t="s">
        <v>848</v>
      </c>
      <c r="L16286" s="27" t="s">
        <v>441</v>
      </c>
      <c r="N16286" s="27" t="s">
        <v>442</v>
      </c>
      <c r="P16286" s="27" t="s">
        <v>10719</v>
      </c>
      <c r="Q16286" s="26" t="str">
        <f>HYPERLINK("https://ictv.global/taxonomy/taxondetails?taxnode_id=202506648&amp;ictv_id=ICTV201856648","ICTV201856648")</f>
        <v>ICTV201856648</v>
      </c>
      <c r="R16286" t="s">
        <v>659</v>
      </c>
      <c r="S16286" t="s">
        <v>824</v>
      </c>
      <c r="T16286">
        <v>38</v>
      </c>
      <c r="U16286" s="26" t="str">
        <f t="shared" si="611"/>
        <v>2022.008P.Caulimoviridae_rename.zip</v>
      </c>
    </row>
    <row r="16287" spans="1:21">
      <c r="A16287">
        <v>16286</v>
      </c>
      <c r="B16287" s="27" t="s">
        <v>1124</v>
      </c>
      <c r="D16287" s="27" t="s">
        <v>1969</v>
      </c>
      <c r="F16287" s="27" t="s">
        <v>1970</v>
      </c>
      <c r="H16287" s="27" t="s">
        <v>1971</v>
      </c>
      <c r="J16287" s="27" t="s">
        <v>848</v>
      </c>
      <c r="L16287" s="27" t="s">
        <v>441</v>
      </c>
      <c r="N16287" s="27" t="s">
        <v>442</v>
      </c>
      <c r="P16287" s="27" t="s">
        <v>10720</v>
      </c>
      <c r="Q16287" s="26" t="str">
        <f>HYPERLINK("https://ictv.global/taxonomy/taxondetails?taxnode_id=202502845&amp;ictv_id=ICTV20115415","ICTV20115415")</f>
        <v>ICTV20115415</v>
      </c>
      <c r="R16287" t="s">
        <v>659</v>
      </c>
      <c r="S16287" t="s">
        <v>824</v>
      </c>
      <c r="T16287">
        <v>38</v>
      </c>
      <c r="U16287" s="26" t="str">
        <f t="shared" si="611"/>
        <v>2022.008P.Caulimoviridae_rename.zip</v>
      </c>
    </row>
    <row r="16288" spans="1:21">
      <c r="A16288">
        <v>16287</v>
      </c>
      <c r="B16288" s="27" t="s">
        <v>1124</v>
      </c>
      <c r="D16288" s="27" t="s">
        <v>1969</v>
      </c>
      <c r="F16288" s="27" t="s">
        <v>1970</v>
      </c>
      <c r="H16288" s="27" t="s">
        <v>1971</v>
      </c>
      <c r="J16288" s="27" t="s">
        <v>848</v>
      </c>
      <c r="L16288" s="27" t="s">
        <v>441</v>
      </c>
      <c r="N16288" s="27" t="s">
        <v>442</v>
      </c>
      <c r="P16288" s="27" t="s">
        <v>10721</v>
      </c>
      <c r="Q16288" s="26" t="str">
        <f>HYPERLINK("https://ictv.global/taxonomy/taxondetails?taxnode_id=202502851&amp;ictv_id=ICTV20152260","ICTV20152260")</f>
        <v>ICTV20152260</v>
      </c>
      <c r="R16288" t="s">
        <v>659</v>
      </c>
      <c r="S16288" t="s">
        <v>824</v>
      </c>
      <c r="T16288">
        <v>38</v>
      </c>
      <c r="U16288" s="26" t="str">
        <f t="shared" si="611"/>
        <v>2022.008P.Caulimoviridae_rename.zip</v>
      </c>
    </row>
    <row r="16289" spans="1:21">
      <c r="A16289">
        <v>16288</v>
      </c>
      <c r="B16289" s="27" t="s">
        <v>1124</v>
      </c>
      <c r="D16289" s="27" t="s">
        <v>1969</v>
      </c>
      <c r="F16289" s="27" t="s">
        <v>1970</v>
      </c>
      <c r="H16289" s="27" t="s">
        <v>1971</v>
      </c>
      <c r="J16289" s="27" t="s">
        <v>848</v>
      </c>
      <c r="L16289" s="27" t="s">
        <v>441</v>
      </c>
      <c r="N16289" s="27" t="s">
        <v>442</v>
      </c>
      <c r="P16289" s="27" t="s">
        <v>10722</v>
      </c>
      <c r="Q16289" s="26" t="str">
        <f>HYPERLINK("https://ictv.global/taxonomy/taxondetails?taxnode_id=202502820&amp;ictv_id=ICTV20073386","ICTV20073386")</f>
        <v>ICTV20073386</v>
      </c>
      <c r="R16289" t="s">
        <v>659</v>
      </c>
      <c r="S16289" t="s">
        <v>824</v>
      </c>
      <c r="T16289">
        <v>38</v>
      </c>
      <c r="U16289" s="26" t="str">
        <f t="shared" si="611"/>
        <v>2022.008P.Caulimoviridae_rename.zip</v>
      </c>
    </row>
    <row r="16290" spans="1:21">
      <c r="A16290">
        <v>16289</v>
      </c>
      <c r="B16290" s="27" t="s">
        <v>1124</v>
      </c>
      <c r="D16290" s="27" t="s">
        <v>1969</v>
      </c>
      <c r="F16290" s="27" t="s">
        <v>1970</v>
      </c>
      <c r="H16290" s="27" t="s">
        <v>1971</v>
      </c>
      <c r="J16290" s="27" t="s">
        <v>848</v>
      </c>
      <c r="L16290" s="27" t="s">
        <v>441</v>
      </c>
      <c r="N16290" s="27" t="s">
        <v>442</v>
      </c>
      <c r="P16290" s="27" t="s">
        <v>10723</v>
      </c>
      <c r="Q16290" s="26" t="str">
        <f>HYPERLINK("https://ictv.global/taxonomy/taxondetails?taxnode_id=202502856&amp;ictv_id=ICTV20165245","ICTV20165245")</f>
        <v>ICTV20165245</v>
      </c>
      <c r="R16290" t="s">
        <v>659</v>
      </c>
      <c r="S16290" t="s">
        <v>824</v>
      </c>
      <c r="T16290">
        <v>38</v>
      </c>
      <c r="U16290" s="26" t="str">
        <f t="shared" si="611"/>
        <v>2022.008P.Caulimoviridae_rename.zip</v>
      </c>
    </row>
    <row r="16291" spans="1:21">
      <c r="A16291">
        <v>16290</v>
      </c>
      <c r="B16291" s="27" t="s">
        <v>1124</v>
      </c>
      <c r="D16291" s="27" t="s">
        <v>1969</v>
      </c>
      <c r="F16291" s="27" t="s">
        <v>1970</v>
      </c>
      <c r="H16291" s="27" t="s">
        <v>1971</v>
      </c>
      <c r="J16291" s="27" t="s">
        <v>848</v>
      </c>
      <c r="L16291" s="27" t="s">
        <v>441</v>
      </c>
      <c r="N16291" s="27" t="s">
        <v>442</v>
      </c>
      <c r="P16291" s="27" t="s">
        <v>10724</v>
      </c>
      <c r="Q16291" s="26" t="str">
        <f>HYPERLINK("https://ictv.global/taxonomy/taxondetails?taxnode_id=202506650&amp;ictv_id=ICTV201856650","ICTV201856650")</f>
        <v>ICTV201856650</v>
      </c>
      <c r="R16291" t="s">
        <v>659</v>
      </c>
      <c r="S16291" t="s">
        <v>824</v>
      </c>
      <c r="T16291">
        <v>38</v>
      </c>
      <c r="U16291" s="26" t="str">
        <f t="shared" si="611"/>
        <v>2022.008P.Caulimoviridae_rename.zip</v>
      </c>
    </row>
    <row r="16292" spans="1:21">
      <c r="A16292">
        <v>16291</v>
      </c>
      <c r="B16292" s="27" t="s">
        <v>1124</v>
      </c>
      <c r="D16292" s="27" t="s">
        <v>1969</v>
      </c>
      <c r="F16292" s="27" t="s">
        <v>1970</v>
      </c>
      <c r="H16292" s="27" t="s">
        <v>1971</v>
      </c>
      <c r="J16292" s="27" t="s">
        <v>848</v>
      </c>
      <c r="L16292" s="27" t="s">
        <v>441</v>
      </c>
      <c r="N16292" s="27" t="s">
        <v>442</v>
      </c>
      <c r="P16292" s="27" t="s">
        <v>10725</v>
      </c>
      <c r="Q16292" s="26" t="str">
        <f>HYPERLINK("https://ictv.global/taxonomy/taxondetails?taxnode_id=202506643&amp;ictv_id=ICTV201856643","ICTV201856643")</f>
        <v>ICTV201856643</v>
      </c>
      <c r="R16292" t="s">
        <v>659</v>
      </c>
      <c r="S16292" t="s">
        <v>824</v>
      </c>
      <c r="T16292">
        <v>38</v>
      </c>
      <c r="U16292" s="26" t="str">
        <f t="shared" si="611"/>
        <v>2022.008P.Caulimoviridae_rename.zip</v>
      </c>
    </row>
    <row r="16293" spans="1:21">
      <c r="A16293">
        <v>16292</v>
      </c>
      <c r="B16293" s="27" t="s">
        <v>1124</v>
      </c>
      <c r="D16293" s="27" t="s">
        <v>1969</v>
      </c>
      <c r="F16293" s="27" t="s">
        <v>1970</v>
      </c>
      <c r="H16293" s="27" t="s">
        <v>1971</v>
      </c>
      <c r="J16293" s="27" t="s">
        <v>848</v>
      </c>
      <c r="L16293" s="27" t="s">
        <v>441</v>
      </c>
      <c r="N16293" s="27" t="s">
        <v>442</v>
      </c>
      <c r="P16293" s="27" t="s">
        <v>10726</v>
      </c>
      <c r="Q16293" s="26" t="str">
        <f>HYPERLINK("https://ictv.global/taxonomy/taxondetails?taxnode_id=202502833&amp;ictv_id=ICTV19952314","ICTV19952314")</f>
        <v>ICTV19952314</v>
      </c>
      <c r="R16293" t="s">
        <v>659</v>
      </c>
      <c r="S16293" t="s">
        <v>824</v>
      </c>
      <c r="T16293">
        <v>38</v>
      </c>
      <c r="U16293" s="26" t="str">
        <f t="shared" si="611"/>
        <v>2022.008P.Caulimoviridae_rename.zip</v>
      </c>
    </row>
    <row r="16294" spans="1:21">
      <c r="A16294">
        <v>16293</v>
      </c>
      <c r="B16294" s="27" t="s">
        <v>1124</v>
      </c>
      <c r="D16294" s="27" t="s">
        <v>1969</v>
      </c>
      <c r="F16294" s="27" t="s">
        <v>1970</v>
      </c>
      <c r="H16294" s="27" t="s">
        <v>1971</v>
      </c>
      <c r="J16294" s="27" t="s">
        <v>848</v>
      </c>
      <c r="L16294" s="27" t="s">
        <v>441</v>
      </c>
      <c r="N16294" s="27" t="s">
        <v>442</v>
      </c>
      <c r="P16294" s="27" t="s">
        <v>10727</v>
      </c>
      <c r="Q16294" s="26" t="str">
        <f>HYPERLINK("https://ictv.global/taxonomy/taxondetails?taxnode_id=202502846&amp;ictv_id=ICTV20115416","ICTV20115416")</f>
        <v>ICTV20115416</v>
      </c>
      <c r="R16294" t="s">
        <v>659</v>
      </c>
      <c r="S16294" t="s">
        <v>824</v>
      </c>
      <c r="T16294">
        <v>38</v>
      </c>
      <c r="U16294" s="26" t="str">
        <f t="shared" si="611"/>
        <v>2022.008P.Caulimoviridae_rename.zip</v>
      </c>
    </row>
    <row r="16295" spans="1:21">
      <c r="A16295">
        <v>16294</v>
      </c>
      <c r="B16295" s="27" t="s">
        <v>1124</v>
      </c>
      <c r="D16295" s="27" t="s">
        <v>1969</v>
      </c>
      <c r="F16295" s="27" t="s">
        <v>1970</v>
      </c>
      <c r="H16295" s="27" t="s">
        <v>1971</v>
      </c>
      <c r="J16295" s="27" t="s">
        <v>848</v>
      </c>
      <c r="L16295" s="27" t="s">
        <v>441</v>
      </c>
      <c r="N16295" s="27" t="s">
        <v>442</v>
      </c>
      <c r="P16295" s="27" t="s">
        <v>10728</v>
      </c>
      <c r="Q16295" s="26" t="str">
        <f>HYPERLINK("https://ictv.global/taxonomy/taxondetails?taxnode_id=202502852&amp;ictv_id=ICTV20152261","ICTV20152261")</f>
        <v>ICTV20152261</v>
      </c>
      <c r="R16295" t="s">
        <v>659</v>
      </c>
      <c r="S16295" t="s">
        <v>824</v>
      </c>
      <c r="T16295">
        <v>38</v>
      </c>
      <c r="U16295" s="26" t="str">
        <f t="shared" si="611"/>
        <v>2022.008P.Caulimoviridae_rename.zip</v>
      </c>
    </row>
    <row r="16296" spans="1:21">
      <c r="A16296">
        <v>16295</v>
      </c>
      <c r="B16296" s="27" t="s">
        <v>1124</v>
      </c>
      <c r="D16296" s="27" t="s">
        <v>1969</v>
      </c>
      <c r="F16296" s="27" t="s">
        <v>1970</v>
      </c>
      <c r="H16296" s="27" t="s">
        <v>1971</v>
      </c>
      <c r="J16296" s="27" t="s">
        <v>848</v>
      </c>
      <c r="L16296" s="27" t="s">
        <v>441</v>
      </c>
      <c r="N16296" s="27" t="s">
        <v>442</v>
      </c>
      <c r="P16296" s="27" t="s">
        <v>10729</v>
      </c>
      <c r="Q16296" s="26" t="str">
        <f>HYPERLINK("https://ictv.global/taxonomy/taxondetails?taxnode_id=202502821&amp;ictv_id=ICTV20141862","ICTV20141862")</f>
        <v>ICTV20141862</v>
      </c>
      <c r="R16296" t="s">
        <v>659</v>
      </c>
      <c r="S16296" t="s">
        <v>824</v>
      </c>
      <c r="T16296">
        <v>38</v>
      </c>
      <c r="U16296" s="26" t="str">
        <f t="shared" si="611"/>
        <v>2022.008P.Caulimoviridae_rename.zip</v>
      </c>
    </row>
    <row r="16297" spans="1:21">
      <c r="A16297">
        <v>16296</v>
      </c>
      <c r="B16297" s="27" t="s">
        <v>1124</v>
      </c>
      <c r="D16297" s="27" t="s">
        <v>1969</v>
      </c>
      <c r="F16297" s="27" t="s">
        <v>1970</v>
      </c>
      <c r="H16297" s="27" t="s">
        <v>1971</v>
      </c>
      <c r="J16297" s="27" t="s">
        <v>848</v>
      </c>
      <c r="L16297" s="27" t="s">
        <v>441</v>
      </c>
      <c r="N16297" s="27" t="s">
        <v>442</v>
      </c>
      <c r="P16297" s="27" t="s">
        <v>17830</v>
      </c>
      <c r="Q16297" s="26" t="str">
        <f>HYPERLINK("https://ictv.global/taxonomy/taxondetails?taxnode_id=202518293&amp;ictv_id=ICTV202318293","ICTV202318293")</f>
        <v>ICTV202318293</v>
      </c>
      <c r="R16297" t="s">
        <v>659</v>
      </c>
      <c r="S16297" t="s">
        <v>823</v>
      </c>
      <c r="T16297">
        <v>39</v>
      </c>
      <c r="U16297" s="26" t="str">
        <f>HYPERLINK("https://ictv.global/ictv/proposals/2023.017P.Caulimoviridae_6nsp.zip","2023.017P.Caulimoviridae_6nsp.zip")</f>
        <v>2023.017P.Caulimoviridae_6nsp.zip</v>
      </c>
    </row>
    <row r="16298" spans="1:21">
      <c r="A16298">
        <v>16297</v>
      </c>
      <c r="B16298" s="27" t="s">
        <v>1124</v>
      </c>
      <c r="D16298" s="27" t="s">
        <v>1969</v>
      </c>
      <c r="F16298" s="27" t="s">
        <v>1970</v>
      </c>
      <c r="H16298" s="27" t="s">
        <v>1971</v>
      </c>
      <c r="J16298" s="27" t="s">
        <v>848</v>
      </c>
      <c r="L16298" s="27" t="s">
        <v>441</v>
      </c>
      <c r="N16298" s="27" t="s">
        <v>442</v>
      </c>
      <c r="P16298" s="27" t="s">
        <v>10730</v>
      </c>
      <c r="Q16298" s="26" t="str">
        <f>HYPERLINK("https://ictv.global/taxonomy/taxondetails?taxnode_id=202502840&amp;ictv_id=ICTV20152259","ICTV20152259")</f>
        <v>ICTV20152259</v>
      </c>
      <c r="R16298" t="s">
        <v>659</v>
      </c>
      <c r="S16298" t="s">
        <v>824</v>
      </c>
      <c r="T16298">
        <v>38</v>
      </c>
      <c r="U16298" s="26" t="str">
        <f t="shared" ref="U16298:U16308" si="612">HYPERLINK("https://ictv.global/ictv/proposals/2022.008P.Caulimoviridae_rename.zip","2022.008P.Caulimoviridae_rename.zip")</f>
        <v>2022.008P.Caulimoviridae_rename.zip</v>
      </c>
    </row>
    <row r="16299" spans="1:21">
      <c r="A16299">
        <v>16298</v>
      </c>
      <c r="B16299" s="27" t="s">
        <v>1124</v>
      </c>
      <c r="D16299" s="27" t="s">
        <v>1969</v>
      </c>
      <c r="F16299" s="27" t="s">
        <v>1970</v>
      </c>
      <c r="H16299" s="27" t="s">
        <v>1971</v>
      </c>
      <c r="J16299" s="27" t="s">
        <v>848</v>
      </c>
      <c r="L16299" s="27" t="s">
        <v>441</v>
      </c>
      <c r="N16299" s="27" t="s">
        <v>442</v>
      </c>
      <c r="P16299" s="27" t="s">
        <v>10731</v>
      </c>
      <c r="Q16299" s="26" t="str">
        <f>HYPERLINK("https://ictv.global/taxonomy/taxondetails?taxnode_id=202505763&amp;ictv_id=ICTV20175763","ICTV20175763")</f>
        <v>ICTV20175763</v>
      </c>
      <c r="R16299" t="s">
        <v>659</v>
      </c>
      <c r="S16299" t="s">
        <v>824</v>
      </c>
      <c r="T16299">
        <v>38</v>
      </c>
      <c r="U16299" s="26" t="str">
        <f t="shared" si="612"/>
        <v>2022.008P.Caulimoviridae_rename.zip</v>
      </c>
    </row>
    <row r="16300" spans="1:21">
      <c r="A16300">
        <v>16299</v>
      </c>
      <c r="B16300" s="27" t="s">
        <v>1124</v>
      </c>
      <c r="D16300" s="27" t="s">
        <v>1969</v>
      </c>
      <c r="F16300" s="27" t="s">
        <v>1970</v>
      </c>
      <c r="H16300" s="27" t="s">
        <v>1971</v>
      </c>
      <c r="J16300" s="27" t="s">
        <v>848</v>
      </c>
      <c r="L16300" s="27" t="s">
        <v>441</v>
      </c>
      <c r="N16300" s="27" t="s">
        <v>442</v>
      </c>
      <c r="P16300" s="27" t="s">
        <v>10732</v>
      </c>
      <c r="Q16300" s="26" t="str">
        <f>HYPERLINK("https://ictv.global/taxonomy/taxondetails?taxnode_id=202506645&amp;ictv_id=ICTV201856645","ICTV201856645")</f>
        <v>ICTV201856645</v>
      </c>
      <c r="R16300" t="s">
        <v>659</v>
      </c>
      <c r="S16300" t="s">
        <v>824</v>
      </c>
      <c r="T16300">
        <v>38</v>
      </c>
      <c r="U16300" s="26" t="str">
        <f t="shared" si="612"/>
        <v>2022.008P.Caulimoviridae_rename.zip</v>
      </c>
    </row>
    <row r="16301" spans="1:21">
      <c r="A16301">
        <v>16300</v>
      </c>
      <c r="B16301" s="27" t="s">
        <v>1124</v>
      </c>
      <c r="D16301" s="27" t="s">
        <v>1969</v>
      </c>
      <c r="F16301" s="27" t="s">
        <v>1970</v>
      </c>
      <c r="H16301" s="27" t="s">
        <v>1971</v>
      </c>
      <c r="J16301" s="27" t="s">
        <v>848</v>
      </c>
      <c r="L16301" s="27" t="s">
        <v>441</v>
      </c>
      <c r="N16301" s="27" t="s">
        <v>442</v>
      </c>
      <c r="P16301" s="27" t="s">
        <v>10733</v>
      </c>
      <c r="Q16301" s="26" t="str">
        <f>HYPERLINK("https://ictv.global/taxonomy/taxondetails?taxnode_id=202502854&amp;ictv_id=ICTV20073400","ICTV20073400")</f>
        <v>ICTV20073400</v>
      </c>
      <c r="R16301" t="s">
        <v>659</v>
      </c>
      <c r="S16301" t="s">
        <v>824</v>
      </c>
      <c r="T16301">
        <v>38</v>
      </c>
      <c r="U16301" s="26" t="str">
        <f t="shared" si="612"/>
        <v>2022.008P.Caulimoviridae_rename.zip</v>
      </c>
    </row>
    <row r="16302" spans="1:21">
      <c r="A16302">
        <v>16301</v>
      </c>
      <c r="B16302" s="27" t="s">
        <v>1124</v>
      </c>
      <c r="D16302" s="27" t="s">
        <v>1969</v>
      </c>
      <c r="F16302" s="27" t="s">
        <v>1970</v>
      </c>
      <c r="H16302" s="27" t="s">
        <v>1971</v>
      </c>
      <c r="J16302" s="27" t="s">
        <v>848</v>
      </c>
      <c r="L16302" s="27" t="s">
        <v>441</v>
      </c>
      <c r="N16302" s="27" t="s">
        <v>442</v>
      </c>
      <c r="P16302" s="27" t="s">
        <v>10734</v>
      </c>
      <c r="Q16302" s="26" t="str">
        <f>HYPERLINK("https://ictv.global/taxonomy/taxondetails?taxnode_id=202502823&amp;ictv_id=ICTV20073388","ICTV20073388")</f>
        <v>ICTV20073388</v>
      </c>
      <c r="R16302" t="s">
        <v>659</v>
      </c>
      <c r="S16302" t="s">
        <v>824</v>
      </c>
      <c r="T16302">
        <v>38</v>
      </c>
      <c r="U16302" s="26" t="str">
        <f t="shared" si="612"/>
        <v>2022.008P.Caulimoviridae_rename.zip</v>
      </c>
    </row>
    <row r="16303" spans="1:21">
      <c r="A16303">
        <v>16302</v>
      </c>
      <c r="B16303" s="27" t="s">
        <v>1124</v>
      </c>
      <c r="D16303" s="27" t="s">
        <v>1969</v>
      </c>
      <c r="F16303" s="27" t="s">
        <v>1970</v>
      </c>
      <c r="H16303" s="27" t="s">
        <v>1971</v>
      </c>
      <c r="J16303" s="27" t="s">
        <v>848</v>
      </c>
      <c r="L16303" s="27" t="s">
        <v>441</v>
      </c>
      <c r="N16303" s="27" t="s">
        <v>442</v>
      </c>
      <c r="P16303" s="27" t="s">
        <v>10735</v>
      </c>
      <c r="Q16303" s="26" t="str">
        <f>HYPERLINK("https://ictv.global/taxonomy/taxondetails?taxnode_id=202505764&amp;ictv_id=ICTV20175764","ICTV20175764")</f>
        <v>ICTV20175764</v>
      </c>
      <c r="R16303" t="s">
        <v>659</v>
      </c>
      <c r="S16303" t="s">
        <v>824</v>
      </c>
      <c r="T16303">
        <v>38</v>
      </c>
      <c r="U16303" s="26" t="str">
        <f t="shared" si="612"/>
        <v>2022.008P.Caulimoviridae_rename.zip</v>
      </c>
    </row>
    <row r="16304" spans="1:21">
      <c r="A16304">
        <v>16303</v>
      </c>
      <c r="B16304" s="27" t="s">
        <v>1124</v>
      </c>
      <c r="D16304" s="27" t="s">
        <v>1969</v>
      </c>
      <c r="F16304" s="27" t="s">
        <v>1970</v>
      </c>
      <c r="H16304" s="27" t="s">
        <v>1971</v>
      </c>
      <c r="J16304" s="27" t="s">
        <v>848</v>
      </c>
      <c r="L16304" s="27" t="s">
        <v>441</v>
      </c>
      <c r="N16304" s="27" t="s">
        <v>442</v>
      </c>
      <c r="P16304" s="27" t="s">
        <v>10736</v>
      </c>
      <c r="Q16304" s="26" t="str">
        <f>HYPERLINK("https://ictv.global/taxonomy/taxondetails?taxnode_id=202506646&amp;ictv_id=ICTV201856646","ICTV201856646")</f>
        <v>ICTV201856646</v>
      </c>
      <c r="R16304" t="s">
        <v>659</v>
      </c>
      <c r="S16304" t="s">
        <v>824</v>
      </c>
      <c r="T16304">
        <v>38</v>
      </c>
      <c r="U16304" s="26" t="str">
        <f t="shared" si="612"/>
        <v>2022.008P.Caulimoviridae_rename.zip</v>
      </c>
    </row>
    <row r="16305" spans="1:21">
      <c r="A16305">
        <v>16304</v>
      </c>
      <c r="B16305" s="27" t="s">
        <v>1124</v>
      </c>
      <c r="D16305" s="27" t="s">
        <v>1969</v>
      </c>
      <c r="F16305" s="27" t="s">
        <v>1970</v>
      </c>
      <c r="H16305" s="27" t="s">
        <v>1971</v>
      </c>
      <c r="J16305" s="27" t="s">
        <v>848</v>
      </c>
      <c r="L16305" s="27" t="s">
        <v>441</v>
      </c>
      <c r="N16305" s="27" t="s">
        <v>442</v>
      </c>
      <c r="P16305" s="27" t="s">
        <v>10737</v>
      </c>
      <c r="Q16305" s="26" t="str">
        <f>HYPERLINK("https://ictv.global/taxonomy/taxondetails?taxnode_id=202502824&amp;ictv_id=ICTV20141863","ICTV20141863")</f>
        <v>ICTV20141863</v>
      </c>
      <c r="R16305" t="s">
        <v>659</v>
      </c>
      <c r="S16305" t="s">
        <v>824</v>
      </c>
      <c r="T16305">
        <v>38</v>
      </c>
      <c r="U16305" s="26" t="str">
        <f t="shared" si="612"/>
        <v>2022.008P.Caulimoviridae_rename.zip</v>
      </c>
    </row>
    <row r="16306" spans="1:21">
      <c r="A16306">
        <v>16305</v>
      </c>
      <c r="B16306" s="27" t="s">
        <v>1124</v>
      </c>
      <c r="D16306" s="27" t="s">
        <v>1969</v>
      </c>
      <c r="F16306" s="27" t="s">
        <v>1970</v>
      </c>
      <c r="H16306" s="27" t="s">
        <v>1971</v>
      </c>
      <c r="J16306" s="27" t="s">
        <v>848</v>
      </c>
      <c r="L16306" s="27" t="s">
        <v>441</v>
      </c>
      <c r="N16306" s="27" t="s">
        <v>442</v>
      </c>
      <c r="P16306" s="27" t="s">
        <v>10738</v>
      </c>
      <c r="Q16306" s="26" t="str">
        <f>HYPERLINK("https://ictv.global/taxonomy/taxondetails?taxnode_id=202502837&amp;ictv_id=ICTV20115418","ICTV20115418")</f>
        <v>ICTV20115418</v>
      </c>
      <c r="R16306" t="s">
        <v>659</v>
      </c>
      <c r="S16306" t="s">
        <v>824</v>
      </c>
      <c r="T16306">
        <v>38</v>
      </c>
      <c r="U16306" s="26" t="str">
        <f t="shared" si="612"/>
        <v>2022.008P.Caulimoviridae_rename.zip</v>
      </c>
    </row>
    <row r="16307" spans="1:21">
      <c r="A16307">
        <v>16306</v>
      </c>
      <c r="B16307" s="27" t="s">
        <v>1124</v>
      </c>
      <c r="D16307" s="27" t="s">
        <v>1969</v>
      </c>
      <c r="F16307" s="27" t="s">
        <v>1970</v>
      </c>
      <c r="H16307" s="27" t="s">
        <v>1971</v>
      </c>
      <c r="J16307" s="27" t="s">
        <v>848</v>
      </c>
      <c r="L16307" s="27" t="s">
        <v>441</v>
      </c>
      <c r="N16307" s="27" t="s">
        <v>442</v>
      </c>
      <c r="P16307" s="27" t="s">
        <v>10739</v>
      </c>
      <c r="Q16307" s="26" t="str">
        <f>HYPERLINK("https://ictv.global/taxonomy/taxondetails?taxnode_id=202502832&amp;ictv_id=ICTV19952313","ICTV19952313")</f>
        <v>ICTV19952313</v>
      </c>
      <c r="R16307" t="s">
        <v>659</v>
      </c>
      <c r="S16307" t="s">
        <v>824</v>
      </c>
      <c r="T16307">
        <v>38</v>
      </c>
      <c r="U16307" s="26" t="str">
        <f t="shared" si="612"/>
        <v>2022.008P.Caulimoviridae_rename.zip</v>
      </c>
    </row>
    <row r="16308" spans="1:21">
      <c r="A16308">
        <v>16307</v>
      </c>
      <c r="B16308" s="27" t="s">
        <v>1124</v>
      </c>
      <c r="D16308" s="27" t="s">
        <v>1969</v>
      </c>
      <c r="F16308" s="27" t="s">
        <v>1970</v>
      </c>
      <c r="H16308" s="27" t="s">
        <v>1971</v>
      </c>
      <c r="J16308" s="27" t="s">
        <v>848</v>
      </c>
      <c r="L16308" s="27" t="s">
        <v>441</v>
      </c>
      <c r="N16308" s="27" t="s">
        <v>442</v>
      </c>
      <c r="P16308" s="27" t="s">
        <v>10740</v>
      </c>
      <c r="Q16308" s="26" t="str">
        <f>HYPERLINK("https://ictv.global/taxonomy/taxondetails?taxnode_id=202502826&amp;ictv_id=ICTV20141865","ICTV20141865")</f>
        <v>ICTV20141865</v>
      </c>
      <c r="R16308" t="s">
        <v>659</v>
      </c>
      <c r="S16308" t="s">
        <v>824</v>
      </c>
      <c r="T16308">
        <v>38</v>
      </c>
      <c r="U16308" s="26" t="str">
        <f t="shared" si="612"/>
        <v>2022.008P.Caulimoviridae_rename.zip</v>
      </c>
    </row>
    <row r="16309" spans="1:21">
      <c r="A16309">
        <v>16308</v>
      </c>
      <c r="B16309" s="27" t="s">
        <v>1124</v>
      </c>
      <c r="D16309" s="27" t="s">
        <v>1969</v>
      </c>
      <c r="F16309" s="27" t="s">
        <v>1970</v>
      </c>
      <c r="H16309" s="27" t="s">
        <v>1971</v>
      </c>
      <c r="J16309" s="27" t="s">
        <v>848</v>
      </c>
      <c r="L16309" s="27" t="s">
        <v>441</v>
      </c>
      <c r="N16309" s="27" t="s">
        <v>442</v>
      </c>
      <c r="P16309" s="27" t="s">
        <v>20616</v>
      </c>
      <c r="Q16309" s="26" t="str">
        <f>HYPERLINK("https://ictv.global/taxonomy/taxondetails?taxnode_id=202520219&amp;ictv_id=ICTV202420219","ICTV202420219")</f>
        <v>ICTV202420219</v>
      </c>
      <c r="R16309" t="s">
        <v>579</v>
      </c>
      <c r="S16309" t="s">
        <v>823</v>
      </c>
      <c r="T16309">
        <v>40</v>
      </c>
      <c r="U16309" s="26" t="str">
        <f>HYPERLINK("https://ictv.global/ictv/proposals/2024.005P.Caulimoviridae_3nsp.zip","2024.005P.Caulimoviridae_3nsp.zip")</f>
        <v>2024.005P.Caulimoviridae_3nsp.zip</v>
      </c>
    </row>
    <row r="16310" spans="1:21">
      <c r="A16310">
        <v>16309</v>
      </c>
      <c r="B16310" s="27" t="s">
        <v>1124</v>
      </c>
      <c r="D16310" s="27" t="s">
        <v>1969</v>
      </c>
      <c r="F16310" s="27" t="s">
        <v>1970</v>
      </c>
      <c r="H16310" s="27" t="s">
        <v>1971</v>
      </c>
      <c r="J16310" s="27" t="s">
        <v>848</v>
      </c>
      <c r="L16310" s="27" t="s">
        <v>441</v>
      </c>
      <c r="N16310" s="27" t="s">
        <v>442</v>
      </c>
      <c r="P16310" s="27" t="s">
        <v>10741</v>
      </c>
      <c r="Q16310" s="26" t="str">
        <f>HYPERLINK("https://ictv.global/taxonomy/taxondetails?taxnode_id=202502838&amp;ictv_id=ICTV20141867","ICTV20141867")</f>
        <v>ICTV20141867</v>
      </c>
      <c r="R16310" t="s">
        <v>659</v>
      </c>
      <c r="S16310" t="s">
        <v>824</v>
      </c>
      <c r="T16310">
        <v>38</v>
      </c>
      <c r="U16310" s="26" t="str">
        <f t="shared" ref="U16310:U16324" si="613">HYPERLINK("https://ictv.global/ictv/proposals/2022.008P.Caulimoviridae_rename.zip","2022.008P.Caulimoviridae_rename.zip")</f>
        <v>2022.008P.Caulimoviridae_rename.zip</v>
      </c>
    </row>
    <row r="16311" spans="1:21">
      <c r="A16311">
        <v>16310</v>
      </c>
      <c r="B16311" s="27" t="s">
        <v>1124</v>
      </c>
      <c r="D16311" s="27" t="s">
        <v>1969</v>
      </c>
      <c r="F16311" s="27" t="s">
        <v>1970</v>
      </c>
      <c r="H16311" s="27" t="s">
        <v>1971</v>
      </c>
      <c r="J16311" s="27" t="s">
        <v>848</v>
      </c>
      <c r="L16311" s="27" t="s">
        <v>441</v>
      </c>
      <c r="N16311" s="27" t="s">
        <v>442</v>
      </c>
      <c r="P16311" s="27" t="s">
        <v>10742</v>
      </c>
      <c r="Q16311" s="26" t="str">
        <f>HYPERLINK("https://ictv.global/taxonomy/taxondetails?taxnode_id=202506649&amp;ictv_id=ICTV201856649","ICTV201856649")</f>
        <v>ICTV201856649</v>
      </c>
      <c r="R16311" t="s">
        <v>659</v>
      </c>
      <c r="S16311" t="s">
        <v>824</v>
      </c>
      <c r="T16311">
        <v>38</v>
      </c>
      <c r="U16311" s="26" t="str">
        <f t="shared" si="613"/>
        <v>2022.008P.Caulimoviridae_rename.zip</v>
      </c>
    </row>
    <row r="16312" spans="1:21">
      <c r="A16312">
        <v>16311</v>
      </c>
      <c r="B16312" s="27" t="s">
        <v>1124</v>
      </c>
      <c r="D16312" s="27" t="s">
        <v>1969</v>
      </c>
      <c r="F16312" s="27" t="s">
        <v>1970</v>
      </c>
      <c r="H16312" s="27" t="s">
        <v>1971</v>
      </c>
      <c r="J16312" s="27" t="s">
        <v>848</v>
      </c>
      <c r="L16312" s="27" t="s">
        <v>441</v>
      </c>
      <c r="N16312" s="27" t="s">
        <v>442</v>
      </c>
      <c r="P16312" s="27" t="s">
        <v>10743</v>
      </c>
      <c r="Q16312" s="26" t="str">
        <f>HYPERLINK("https://ictv.global/taxonomy/taxondetails?taxnode_id=202506644&amp;ictv_id=ICTV201856644","ICTV201856644")</f>
        <v>ICTV201856644</v>
      </c>
      <c r="R16312" t="s">
        <v>659</v>
      </c>
      <c r="S16312" t="s">
        <v>824</v>
      </c>
      <c r="T16312">
        <v>38</v>
      </c>
      <c r="U16312" s="26" t="str">
        <f t="shared" si="613"/>
        <v>2022.008P.Caulimoviridae_rename.zip</v>
      </c>
    </row>
    <row r="16313" spans="1:21">
      <c r="A16313">
        <v>16312</v>
      </c>
      <c r="B16313" s="27" t="s">
        <v>1124</v>
      </c>
      <c r="D16313" s="27" t="s">
        <v>1969</v>
      </c>
      <c r="F16313" s="27" t="s">
        <v>1970</v>
      </c>
      <c r="H16313" s="27" t="s">
        <v>1971</v>
      </c>
      <c r="J16313" s="27" t="s">
        <v>848</v>
      </c>
      <c r="L16313" s="27" t="s">
        <v>441</v>
      </c>
      <c r="N16313" s="27" t="s">
        <v>442</v>
      </c>
      <c r="P16313" s="27" t="s">
        <v>10744</v>
      </c>
      <c r="Q16313" s="26" t="str">
        <f>HYPERLINK("https://ictv.global/taxonomy/taxondetails?taxnode_id=202502853&amp;ictv_id=ICTV20073399","ICTV20073399")</f>
        <v>ICTV20073399</v>
      </c>
      <c r="R16313" t="s">
        <v>659</v>
      </c>
      <c r="S16313" t="s">
        <v>824</v>
      </c>
      <c r="T16313">
        <v>38</v>
      </c>
      <c r="U16313" s="26" t="str">
        <f t="shared" si="613"/>
        <v>2022.008P.Caulimoviridae_rename.zip</v>
      </c>
    </row>
    <row r="16314" spans="1:21">
      <c r="A16314">
        <v>16313</v>
      </c>
      <c r="B16314" s="27" t="s">
        <v>1124</v>
      </c>
      <c r="D16314" s="27" t="s">
        <v>1969</v>
      </c>
      <c r="F16314" s="27" t="s">
        <v>1970</v>
      </c>
      <c r="H16314" s="27" t="s">
        <v>1971</v>
      </c>
      <c r="J16314" s="27" t="s">
        <v>848</v>
      </c>
      <c r="L16314" s="27" t="s">
        <v>441</v>
      </c>
      <c r="N16314" s="27" t="s">
        <v>442</v>
      </c>
      <c r="P16314" s="27" t="s">
        <v>10745</v>
      </c>
      <c r="Q16314" s="26" t="str">
        <f>HYPERLINK("https://ictv.global/taxonomy/taxondetails?taxnode_id=202502822&amp;ictv_id=ICTV20073387","ICTV20073387")</f>
        <v>ICTV20073387</v>
      </c>
      <c r="R16314" t="s">
        <v>659</v>
      </c>
      <c r="S16314" t="s">
        <v>824</v>
      </c>
      <c r="T16314">
        <v>38</v>
      </c>
      <c r="U16314" s="26" t="str">
        <f t="shared" si="613"/>
        <v>2022.008P.Caulimoviridae_rename.zip</v>
      </c>
    </row>
    <row r="16315" spans="1:21">
      <c r="A16315">
        <v>16314</v>
      </c>
      <c r="B16315" s="27" t="s">
        <v>1124</v>
      </c>
      <c r="D16315" s="27" t="s">
        <v>1969</v>
      </c>
      <c r="F16315" s="27" t="s">
        <v>1970</v>
      </c>
      <c r="H16315" s="27" t="s">
        <v>1971</v>
      </c>
      <c r="J16315" s="27" t="s">
        <v>848</v>
      </c>
      <c r="L16315" s="27" t="s">
        <v>441</v>
      </c>
      <c r="N16315" s="27" t="s">
        <v>442</v>
      </c>
      <c r="P16315" s="27" t="s">
        <v>10746</v>
      </c>
      <c r="Q16315" s="26" t="str">
        <f>HYPERLINK("https://ictv.global/taxonomy/taxondetails?taxnode_id=202502828&amp;ictv_id=ICTV20115414","ICTV20115414")</f>
        <v>ICTV20115414</v>
      </c>
      <c r="R16315" t="s">
        <v>659</v>
      </c>
      <c r="S16315" t="s">
        <v>824</v>
      </c>
      <c r="T16315">
        <v>38</v>
      </c>
      <c r="U16315" s="26" t="str">
        <f t="shared" si="613"/>
        <v>2022.008P.Caulimoviridae_rename.zip</v>
      </c>
    </row>
    <row r="16316" spans="1:21">
      <c r="A16316">
        <v>16315</v>
      </c>
      <c r="B16316" s="27" t="s">
        <v>1124</v>
      </c>
      <c r="D16316" s="27" t="s">
        <v>1969</v>
      </c>
      <c r="F16316" s="27" t="s">
        <v>1970</v>
      </c>
      <c r="H16316" s="27" t="s">
        <v>1971</v>
      </c>
      <c r="J16316" s="27" t="s">
        <v>848</v>
      </c>
      <c r="L16316" s="27" t="s">
        <v>441</v>
      </c>
      <c r="N16316" s="27" t="s">
        <v>442</v>
      </c>
      <c r="P16316" s="27" t="s">
        <v>10747</v>
      </c>
      <c r="Q16316" s="26" t="str">
        <f>HYPERLINK("https://ictv.global/taxonomy/taxondetails?taxnode_id=202502835&amp;ictv_id=ICTV19901298","ICTV19901298")</f>
        <v>ICTV19901298</v>
      </c>
      <c r="R16316" t="s">
        <v>659</v>
      </c>
      <c r="S16316" t="s">
        <v>824</v>
      </c>
      <c r="T16316">
        <v>38</v>
      </c>
      <c r="U16316" s="26" t="str">
        <f t="shared" si="613"/>
        <v>2022.008P.Caulimoviridae_rename.zip</v>
      </c>
    </row>
    <row r="16317" spans="1:21">
      <c r="A16317">
        <v>16316</v>
      </c>
      <c r="B16317" s="27" t="s">
        <v>1124</v>
      </c>
      <c r="D16317" s="27" t="s">
        <v>1969</v>
      </c>
      <c r="F16317" s="27" t="s">
        <v>1970</v>
      </c>
      <c r="H16317" s="27" t="s">
        <v>1971</v>
      </c>
      <c r="J16317" s="27" t="s">
        <v>848</v>
      </c>
      <c r="L16317" s="27" t="s">
        <v>441</v>
      </c>
      <c r="N16317" s="27" t="s">
        <v>442</v>
      </c>
      <c r="P16317" s="27" t="s">
        <v>10748</v>
      </c>
      <c r="Q16317" s="26" t="str">
        <f>HYPERLINK("https://ictv.global/taxonomy/taxondetails?taxnode_id=202508837&amp;ictv_id=ICTV202008837","ICTV202008837")</f>
        <v>ICTV202008837</v>
      </c>
      <c r="R16317" t="s">
        <v>659</v>
      </c>
      <c r="S16317" t="s">
        <v>824</v>
      </c>
      <c r="T16317">
        <v>38</v>
      </c>
      <c r="U16317" s="26" t="str">
        <f t="shared" si="613"/>
        <v>2022.008P.Caulimoviridae_rename.zip</v>
      </c>
    </row>
    <row r="16318" spans="1:21">
      <c r="A16318">
        <v>16317</v>
      </c>
      <c r="B16318" s="27" t="s">
        <v>1124</v>
      </c>
      <c r="D16318" s="27" t="s">
        <v>1969</v>
      </c>
      <c r="F16318" s="27" t="s">
        <v>1970</v>
      </c>
      <c r="H16318" s="27" t="s">
        <v>1971</v>
      </c>
      <c r="J16318" s="27" t="s">
        <v>848</v>
      </c>
      <c r="L16318" s="27" t="s">
        <v>441</v>
      </c>
      <c r="N16318" s="27" t="s">
        <v>442</v>
      </c>
      <c r="P16318" s="27" t="s">
        <v>10749</v>
      </c>
      <c r="Q16318" s="26" t="str">
        <f>HYPERLINK("https://ictv.global/taxonomy/taxondetails?taxnode_id=202508838&amp;ictv_id=ICTV202008838","ICTV202008838")</f>
        <v>ICTV202008838</v>
      </c>
      <c r="R16318" t="s">
        <v>659</v>
      </c>
      <c r="S16318" t="s">
        <v>824</v>
      </c>
      <c r="T16318">
        <v>38</v>
      </c>
      <c r="U16318" s="26" t="str">
        <f t="shared" si="613"/>
        <v>2022.008P.Caulimoviridae_rename.zip</v>
      </c>
    </row>
    <row r="16319" spans="1:21">
      <c r="A16319">
        <v>16318</v>
      </c>
      <c r="B16319" s="27" t="s">
        <v>1124</v>
      </c>
      <c r="D16319" s="27" t="s">
        <v>1969</v>
      </c>
      <c r="F16319" s="27" t="s">
        <v>1970</v>
      </c>
      <c r="H16319" s="27" t="s">
        <v>1971</v>
      </c>
      <c r="J16319" s="27" t="s">
        <v>848</v>
      </c>
      <c r="L16319" s="27" t="s">
        <v>441</v>
      </c>
      <c r="N16319" s="27" t="s">
        <v>442</v>
      </c>
      <c r="P16319" s="27" t="s">
        <v>10750</v>
      </c>
      <c r="Q16319" s="26" t="str">
        <f>HYPERLINK("https://ictv.global/taxonomy/taxondetails?taxnode_id=202508841&amp;ictv_id=ICTV202008841","ICTV202008841")</f>
        <v>ICTV202008841</v>
      </c>
      <c r="R16319" t="s">
        <v>659</v>
      </c>
      <c r="S16319" t="s">
        <v>824</v>
      </c>
      <c r="T16319">
        <v>38</v>
      </c>
      <c r="U16319" s="26" t="str">
        <f t="shared" si="613"/>
        <v>2022.008P.Caulimoviridae_rename.zip</v>
      </c>
    </row>
    <row r="16320" spans="1:21">
      <c r="A16320">
        <v>16319</v>
      </c>
      <c r="B16320" s="27" t="s">
        <v>1124</v>
      </c>
      <c r="D16320" s="27" t="s">
        <v>1969</v>
      </c>
      <c r="F16320" s="27" t="s">
        <v>1970</v>
      </c>
      <c r="H16320" s="27" t="s">
        <v>1971</v>
      </c>
      <c r="J16320" s="27" t="s">
        <v>848</v>
      </c>
      <c r="L16320" s="27" t="s">
        <v>441</v>
      </c>
      <c r="N16320" s="27" t="s">
        <v>442</v>
      </c>
      <c r="P16320" s="27" t="s">
        <v>10751</v>
      </c>
      <c r="Q16320" s="26" t="str">
        <f>HYPERLINK("https://ictv.global/taxonomy/taxondetails?taxnode_id=202502842&amp;ictv_id=ICTV19952317","ICTV19952317")</f>
        <v>ICTV19952317</v>
      </c>
      <c r="R16320" t="s">
        <v>659</v>
      </c>
      <c r="S16320" t="s">
        <v>824</v>
      </c>
      <c r="T16320">
        <v>38</v>
      </c>
      <c r="U16320" s="26" t="str">
        <f t="shared" si="613"/>
        <v>2022.008P.Caulimoviridae_rename.zip</v>
      </c>
    </row>
    <row r="16321" spans="1:21">
      <c r="A16321">
        <v>16320</v>
      </c>
      <c r="B16321" s="27" t="s">
        <v>1124</v>
      </c>
      <c r="D16321" s="27" t="s">
        <v>1969</v>
      </c>
      <c r="F16321" s="27" t="s">
        <v>1970</v>
      </c>
      <c r="H16321" s="27" t="s">
        <v>1971</v>
      </c>
      <c r="J16321" s="27" t="s">
        <v>848</v>
      </c>
      <c r="L16321" s="27" t="s">
        <v>441</v>
      </c>
      <c r="N16321" s="27" t="s">
        <v>442</v>
      </c>
      <c r="P16321" s="27" t="s">
        <v>10752</v>
      </c>
      <c r="Q16321" s="26" t="str">
        <f>HYPERLINK("https://ictv.global/taxonomy/taxondetails?taxnode_id=202502847&amp;ictv_id=ICTV19952318","ICTV19952318")</f>
        <v>ICTV19952318</v>
      </c>
      <c r="R16321" t="s">
        <v>659</v>
      </c>
      <c r="S16321" t="s">
        <v>824</v>
      </c>
      <c r="T16321">
        <v>38</v>
      </c>
      <c r="U16321" s="26" t="str">
        <f t="shared" si="613"/>
        <v>2022.008P.Caulimoviridae_rename.zip</v>
      </c>
    </row>
    <row r="16322" spans="1:21">
      <c r="A16322">
        <v>16321</v>
      </c>
      <c r="B16322" s="27" t="s">
        <v>1124</v>
      </c>
      <c r="D16322" s="27" t="s">
        <v>1969</v>
      </c>
      <c r="F16322" s="27" t="s">
        <v>1970</v>
      </c>
      <c r="H16322" s="27" t="s">
        <v>1971</v>
      </c>
      <c r="J16322" s="27" t="s">
        <v>848</v>
      </c>
      <c r="L16322" s="27" t="s">
        <v>441</v>
      </c>
      <c r="N16322" s="27" t="s">
        <v>442</v>
      </c>
      <c r="P16322" s="27" t="s">
        <v>10753</v>
      </c>
      <c r="Q16322" s="26" t="str">
        <f>HYPERLINK("https://ictv.global/taxonomy/taxondetails?taxnode_id=202502858&amp;ictv_id=ICTV20165246","ICTV20165246")</f>
        <v>ICTV20165246</v>
      </c>
      <c r="R16322" t="s">
        <v>659</v>
      </c>
      <c r="S16322" t="s">
        <v>824</v>
      </c>
      <c r="T16322">
        <v>38</v>
      </c>
      <c r="U16322" s="26" t="str">
        <f t="shared" si="613"/>
        <v>2022.008P.Caulimoviridae_rename.zip</v>
      </c>
    </row>
    <row r="16323" spans="1:21">
      <c r="A16323">
        <v>16322</v>
      </c>
      <c r="B16323" s="27" t="s">
        <v>1124</v>
      </c>
      <c r="D16323" s="27" t="s">
        <v>1969</v>
      </c>
      <c r="F16323" s="27" t="s">
        <v>1970</v>
      </c>
      <c r="H16323" s="27" t="s">
        <v>1971</v>
      </c>
      <c r="J16323" s="27" t="s">
        <v>848</v>
      </c>
      <c r="L16323" s="27" t="s">
        <v>441</v>
      </c>
      <c r="N16323" s="27" t="s">
        <v>442</v>
      </c>
      <c r="P16323" s="27" t="s">
        <v>10754</v>
      </c>
      <c r="Q16323" s="26" t="str">
        <f>HYPERLINK("https://ictv.global/taxonomy/taxondetails?taxnode_id=202502850&amp;ictv_id=ICTV20073418","ICTV20073418")</f>
        <v>ICTV20073418</v>
      </c>
      <c r="R16323" t="s">
        <v>659</v>
      </c>
      <c r="S16323" t="s">
        <v>824</v>
      </c>
      <c r="T16323">
        <v>38</v>
      </c>
      <c r="U16323" s="26" t="str">
        <f t="shared" si="613"/>
        <v>2022.008P.Caulimoviridae_rename.zip</v>
      </c>
    </row>
    <row r="16324" spans="1:21">
      <c r="A16324">
        <v>16323</v>
      </c>
      <c r="B16324" s="27" t="s">
        <v>1124</v>
      </c>
      <c r="D16324" s="27" t="s">
        <v>1969</v>
      </c>
      <c r="F16324" s="27" t="s">
        <v>1970</v>
      </c>
      <c r="H16324" s="27" t="s">
        <v>1971</v>
      </c>
      <c r="J16324" s="27" t="s">
        <v>848</v>
      </c>
      <c r="L16324" s="27" t="s">
        <v>441</v>
      </c>
      <c r="N16324" s="27" t="s">
        <v>442</v>
      </c>
      <c r="P16324" s="27" t="s">
        <v>10755</v>
      </c>
      <c r="Q16324" s="26" t="str">
        <f>HYPERLINK("https://ictv.global/taxonomy/taxondetails?taxnode_id=202513831&amp;ictv_id=ICTV202113831","ICTV202113831")</f>
        <v>ICTV202113831</v>
      </c>
      <c r="R16324" t="s">
        <v>659</v>
      </c>
      <c r="S16324" t="s">
        <v>824</v>
      </c>
      <c r="T16324">
        <v>38</v>
      </c>
      <c r="U16324" s="26" t="str">
        <f t="shared" si="613"/>
        <v>2022.008P.Caulimoviridae_rename.zip</v>
      </c>
    </row>
    <row r="16325" spans="1:21">
      <c r="A16325">
        <v>16324</v>
      </c>
      <c r="B16325" s="27" t="s">
        <v>1124</v>
      </c>
      <c r="D16325" s="27" t="s">
        <v>1969</v>
      </c>
      <c r="F16325" s="27" t="s">
        <v>1970</v>
      </c>
      <c r="H16325" s="27" t="s">
        <v>1971</v>
      </c>
      <c r="J16325" s="27" t="s">
        <v>848</v>
      </c>
      <c r="L16325" s="27" t="s">
        <v>441</v>
      </c>
      <c r="N16325" s="27" t="s">
        <v>442</v>
      </c>
      <c r="P16325" s="27" t="s">
        <v>10756</v>
      </c>
      <c r="Q16325" s="26" t="str">
        <f>HYPERLINK("https://ictv.global/taxonomy/taxondetails?taxnode_id=202515099&amp;ictv_id=ICTV202215099","ICTV202215099")</f>
        <v>ICTV202215099</v>
      </c>
      <c r="R16325" t="s">
        <v>659</v>
      </c>
      <c r="S16325" t="s">
        <v>823</v>
      </c>
      <c r="T16325">
        <v>38</v>
      </c>
      <c r="U16325" s="26" t="str">
        <f>HYPERLINK("https://ictv.global/ictv/proposals/2022.007P.Caulimoviridae_4ns.zip","2022.007P.Caulimoviridae_4ns.zip")</f>
        <v>2022.007P.Caulimoviridae_4ns.zip</v>
      </c>
    </row>
    <row r="16326" spans="1:21">
      <c r="A16326">
        <v>16325</v>
      </c>
      <c r="B16326" s="27" t="s">
        <v>1124</v>
      </c>
      <c r="D16326" s="27" t="s">
        <v>1969</v>
      </c>
      <c r="F16326" s="27" t="s">
        <v>1970</v>
      </c>
      <c r="H16326" s="27" t="s">
        <v>1971</v>
      </c>
      <c r="J16326" s="27" t="s">
        <v>848</v>
      </c>
      <c r="L16326" s="27" t="s">
        <v>441</v>
      </c>
      <c r="N16326" s="27" t="s">
        <v>442</v>
      </c>
      <c r="P16326" s="27" t="s">
        <v>10757</v>
      </c>
      <c r="Q16326" s="26" t="str">
        <f>HYPERLINK("https://ictv.global/taxonomy/taxondetails?taxnode_id=202502843&amp;ictv_id=ICTV20165244","ICTV20165244")</f>
        <v>ICTV20165244</v>
      </c>
      <c r="R16326" t="s">
        <v>659</v>
      </c>
      <c r="S16326" t="s">
        <v>824</v>
      </c>
      <c r="T16326">
        <v>38</v>
      </c>
      <c r="U16326" s="26" t="str">
        <f t="shared" ref="U16326:U16333" si="614">HYPERLINK("https://ictv.global/ictv/proposals/2022.008P.Caulimoviridae_rename.zip","2022.008P.Caulimoviridae_rename.zip")</f>
        <v>2022.008P.Caulimoviridae_rename.zip</v>
      </c>
    </row>
    <row r="16327" spans="1:21">
      <c r="A16327">
        <v>16326</v>
      </c>
      <c r="B16327" s="27" t="s">
        <v>1124</v>
      </c>
      <c r="D16327" s="27" t="s">
        <v>1969</v>
      </c>
      <c r="F16327" s="27" t="s">
        <v>1970</v>
      </c>
      <c r="H16327" s="27" t="s">
        <v>1971</v>
      </c>
      <c r="J16327" s="27" t="s">
        <v>848</v>
      </c>
      <c r="L16327" s="27" t="s">
        <v>441</v>
      </c>
      <c r="N16327" s="27" t="s">
        <v>442</v>
      </c>
      <c r="P16327" s="27" t="s">
        <v>10758</v>
      </c>
      <c r="Q16327" s="26" t="str">
        <f>HYPERLINK("https://ictv.global/taxonomy/taxondetails?taxnode_id=202508835&amp;ictv_id=ICTV202008835","ICTV202008835")</f>
        <v>ICTV202008835</v>
      </c>
      <c r="R16327" t="s">
        <v>659</v>
      </c>
      <c r="S16327" t="s">
        <v>824</v>
      </c>
      <c r="T16327">
        <v>38</v>
      </c>
      <c r="U16327" s="26" t="str">
        <f t="shared" si="614"/>
        <v>2022.008P.Caulimoviridae_rename.zip</v>
      </c>
    </row>
    <row r="16328" spans="1:21">
      <c r="A16328">
        <v>16327</v>
      </c>
      <c r="B16328" s="27" t="s">
        <v>1124</v>
      </c>
      <c r="D16328" s="27" t="s">
        <v>1969</v>
      </c>
      <c r="F16328" s="27" t="s">
        <v>1970</v>
      </c>
      <c r="H16328" s="27" t="s">
        <v>1971</v>
      </c>
      <c r="J16328" s="27" t="s">
        <v>848</v>
      </c>
      <c r="L16328" s="27" t="s">
        <v>441</v>
      </c>
      <c r="N16328" s="27" t="s">
        <v>442</v>
      </c>
      <c r="P16328" s="27" t="s">
        <v>10759</v>
      </c>
      <c r="Q16328" s="26" t="str">
        <f>HYPERLINK("https://ictv.global/taxonomy/taxondetails?taxnode_id=202502855&amp;ictv_id=ICTV20115444","ICTV20115444")</f>
        <v>ICTV20115444</v>
      </c>
      <c r="R16328" t="s">
        <v>659</v>
      </c>
      <c r="S16328" t="s">
        <v>824</v>
      </c>
      <c r="T16328">
        <v>38</v>
      </c>
      <c r="U16328" s="26" t="str">
        <f t="shared" si="614"/>
        <v>2022.008P.Caulimoviridae_rename.zip</v>
      </c>
    </row>
    <row r="16329" spans="1:21">
      <c r="A16329">
        <v>16328</v>
      </c>
      <c r="B16329" s="27" t="s">
        <v>1124</v>
      </c>
      <c r="D16329" s="27" t="s">
        <v>1969</v>
      </c>
      <c r="F16329" s="27" t="s">
        <v>1970</v>
      </c>
      <c r="H16329" s="27" t="s">
        <v>1971</v>
      </c>
      <c r="J16329" s="27" t="s">
        <v>848</v>
      </c>
      <c r="L16329" s="27" t="s">
        <v>441</v>
      </c>
      <c r="N16329" s="27" t="s">
        <v>442</v>
      </c>
      <c r="P16329" s="27" t="s">
        <v>10760</v>
      </c>
      <c r="Q16329" s="26" t="str">
        <f>HYPERLINK("https://ictv.global/taxonomy/taxondetails?taxnode_id=202506642&amp;ictv_id=ICTV201856642","ICTV201856642")</f>
        <v>ICTV201856642</v>
      </c>
      <c r="R16329" t="s">
        <v>659</v>
      </c>
      <c r="S16329" t="s">
        <v>824</v>
      </c>
      <c r="T16329">
        <v>38</v>
      </c>
      <c r="U16329" s="26" t="str">
        <f t="shared" si="614"/>
        <v>2022.008P.Caulimoviridae_rename.zip</v>
      </c>
    </row>
    <row r="16330" spans="1:21">
      <c r="A16330">
        <v>16329</v>
      </c>
      <c r="B16330" s="27" t="s">
        <v>1124</v>
      </c>
      <c r="D16330" s="27" t="s">
        <v>1969</v>
      </c>
      <c r="F16330" s="27" t="s">
        <v>1970</v>
      </c>
      <c r="H16330" s="27" t="s">
        <v>1971</v>
      </c>
      <c r="J16330" s="27" t="s">
        <v>848</v>
      </c>
      <c r="L16330" s="27" t="s">
        <v>441</v>
      </c>
      <c r="N16330" s="27" t="s">
        <v>442</v>
      </c>
      <c r="P16330" s="27" t="s">
        <v>10761</v>
      </c>
      <c r="Q16330" s="26" t="str">
        <f>HYPERLINK("https://ictv.global/taxonomy/taxondetails?taxnode_id=202502848&amp;ictv_id=ICTV20040847","ICTV20040847")</f>
        <v>ICTV20040847</v>
      </c>
      <c r="R16330" t="s">
        <v>659</v>
      </c>
      <c r="S16330" t="s">
        <v>824</v>
      </c>
      <c r="T16330">
        <v>38</v>
      </c>
      <c r="U16330" s="26" t="str">
        <f t="shared" si="614"/>
        <v>2022.008P.Caulimoviridae_rename.zip</v>
      </c>
    </row>
    <row r="16331" spans="1:21">
      <c r="A16331">
        <v>16330</v>
      </c>
      <c r="B16331" s="27" t="s">
        <v>1124</v>
      </c>
      <c r="D16331" s="27" t="s">
        <v>1969</v>
      </c>
      <c r="F16331" s="27" t="s">
        <v>1970</v>
      </c>
      <c r="H16331" s="27" t="s">
        <v>1971</v>
      </c>
      <c r="J16331" s="27" t="s">
        <v>848</v>
      </c>
      <c r="L16331" s="27" t="s">
        <v>441</v>
      </c>
      <c r="N16331" s="27" t="s">
        <v>442</v>
      </c>
      <c r="P16331" s="27" t="s">
        <v>10762</v>
      </c>
      <c r="Q16331" s="26" t="str">
        <f>HYPERLINK("https://ictv.global/taxonomy/taxondetails?taxnode_id=202508834&amp;ictv_id=ICTV202008834","ICTV202008834")</f>
        <v>ICTV202008834</v>
      </c>
      <c r="R16331" t="s">
        <v>659</v>
      </c>
      <c r="S16331" t="s">
        <v>824</v>
      </c>
      <c r="T16331">
        <v>38</v>
      </c>
      <c r="U16331" s="26" t="str">
        <f t="shared" si="614"/>
        <v>2022.008P.Caulimoviridae_rename.zip</v>
      </c>
    </row>
    <row r="16332" spans="1:21">
      <c r="A16332">
        <v>16331</v>
      </c>
      <c r="B16332" s="27" t="s">
        <v>1124</v>
      </c>
      <c r="D16332" s="27" t="s">
        <v>1969</v>
      </c>
      <c r="F16332" s="27" t="s">
        <v>1970</v>
      </c>
      <c r="H16332" s="27" t="s">
        <v>1971</v>
      </c>
      <c r="J16332" s="27" t="s">
        <v>848</v>
      </c>
      <c r="L16332" s="27" t="s">
        <v>441</v>
      </c>
      <c r="N16332" s="27" t="s">
        <v>442</v>
      </c>
      <c r="P16332" s="27" t="s">
        <v>10763</v>
      </c>
      <c r="Q16332" s="26" t="str">
        <f>HYPERLINK("https://ictv.global/taxonomy/taxondetails?taxnode_id=202513832&amp;ictv_id=ICTV202113832","ICTV202113832")</f>
        <v>ICTV202113832</v>
      </c>
      <c r="R16332" t="s">
        <v>659</v>
      </c>
      <c r="S16332" t="s">
        <v>824</v>
      </c>
      <c r="T16332">
        <v>38</v>
      </c>
      <c r="U16332" s="26" t="str">
        <f t="shared" si="614"/>
        <v>2022.008P.Caulimoviridae_rename.zip</v>
      </c>
    </row>
    <row r="16333" spans="1:21">
      <c r="A16333">
        <v>16332</v>
      </c>
      <c r="B16333" s="27" t="s">
        <v>1124</v>
      </c>
      <c r="D16333" s="27" t="s">
        <v>1969</v>
      </c>
      <c r="F16333" s="27" t="s">
        <v>1970</v>
      </c>
      <c r="H16333" s="27" t="s">
        <v>1971</v>
      </c>
      <c r="J16333" s="27" t="s">
        <v>848</v>
      </c>
      <c r="L16333" s="27" t="s">
        <v>441</v>
      </c>
      <c r="N16333" s="27" t="s">
        <v>442</v>
      </c>
      <c r="P16333" s="27" t="s">
        <v>10764</v>
      </c>
      <c r="Q16333" s="26" t="str">
        <f>HYPERLINK("https://ictv.global/taxonomy/taxondetails?taxnode_id=202502834&amp;ictv_id=ICTV19990715","ICTV19990715")</f>
        <v>ICTV19990715</v>
      </c>
      <c r="R16333" t="s">
        <v>659</v>
      </c>
      <c r="S16333" t="s">
        <v>824</v>
      </c>
      <c r="T16333">
        <v>38</v>
      </c>
      <c r="U16333" s="26" t="str">
        <f t="shared" si="614"/>
        <v>2022.008P.Caulimoviridae_rename.zip</v>
      </c>
    </row>
    <row r="16334" spans="1:21">
      <c r="A16334">
        <v>16333</v>
      </c>
      <c r="B16334" s="27" t="s">
        <v>1124</v>
      </c>
      <c r="D16334" s="27" t="s">
        <v>1969</v>
      </c>
      <c r="F16334" s="27" t="s">
        <v>1970</v>
      </c>
      <c r="H16334" s="27" t="s">
        <v>1971</v>
      </c>
      <c r="J16334" s="27" t="s">
        <v>848</v>
      </c>
      <c r="L16334" s="27" t="s">
        <v>441</v>
      </c>
      <c r="N16334" s="27" t="s">
        <v>442</v>
      </c>
      <c r="P16334" s="27" t="s">
        <v>17831</v>
      </c>
      <c r="Q16334" s="26" t="str">
        <f>HYPERLINK("https://ictv.global/taxonomy/taxondetails?taxnode_id=202518294&amp;ictv_id=ICTV202318294","ICTV202318294")</f>
        <v>ICTV202318294</v>
      </c>
      <c r="R16334" t="s">
        <v>659</v>
      </c>
      <c r="S16334" t="s">
        <v>823</v>
      </c>
      <c r="T16334">
        <v>39</v>
      </c>
      <c r="U16334" s="26" t="str">
        <f>HYPERLINK("https://ictv.global/ictv/proposals/2023.017P.Caulimoviridae_6nsp.zip","2023.017P.Caulimoviridae_6nsp.zip")</f>
        <v>2023.017P.Caulimoviridae_6nsp.zip</v>
      </c>
    </row>
    <row r="16335" spans="1:21">
      <c r="A16335">
        <v>16334</v>
      </c>
      <c r="B16335" s="27" t="s">
        <v>1124</v>
      </c>
      <c r="D16335" s="27" t="s">
        <v>1969</v>
      </c>
      <c r="F16335" s="27" t="s">
        <v>1970</v>
      </c>
      <c r="H16335" s="27" t="s">
        <v>1971</v>
      </c>
      <c r="J16335" s="27" t="s">
        <v>848</v>
      </c>
      <c r="L16335" s="27" t="s">
        <v>441</v>
      </c>
      <c r="N16335" s="27" t="s">
        <v>442</v>
      </c>
      <c r="P16335" s="27" t="s">
        <v>10765</v>
      </c>
      <c r="Q16335" s="26" t="str">
        <f>HYPERLINK("https://ictv.global/taxonomy/taxondetails?taxnode_id=202508842&amp;ictv_id=ICTV202008842","ICTV202008842")</f>
        <v>ICTV202008842</v>
      </c>
      <c r="R16335" t="s">
        <v>659</v>
      </c>
      <c r="S16335" t="s">
        <v>824</v>
      </c>
      <c r="T16335">
        <v>38</v>
      </c>
      <c r="U16335" s="26" t="str">
        <f>HYPERLINK("https://ictv.global/ictv/proposals/2022.008P.Caulimoviridae_rename.zip","2022.008P.Caulimoviridae_rename.zip")</f>
        <v>2022.008P.Caulimoviridae_rename.zip</v>
      </c>
    </row>
    <row r="16336" spans="1:21">
      <c r="A16336">
        <v>16335</v>
      </c>
      <c r="B16336" s="27" t="s">
        <v>1124</v>
      </c>
      <c r="D16336" s="27" t="s">
        <v>1969</v>
      </c>
      <c r="F16336" s="27" t="s">
        <v>1970</v>
      </c>
      <c r="H16336" s="27" t="s">
        <v>1971</v>
      </c>
      <c r="J16336" s="27" t="s">
        <v>848</v>
      </c>
      <c r="L16336" s="27" t="s">
        <v>441</v>
      </c>
      <c r="N16336" s="27" t="s">
        <v>442</v>
      </c>
      <c r="P16336" s="27" t="s">
        <v>10766</v>
      </c>
      <c r="Q16336" s="26" t="str">
        <f>HYPERLINK("https://ictv.global/taxonomy/taxondetails?taxnode_id=202502844&amp;ictv_id=ICTV20141868","ICTV20141868")</f>
        <v>ICTV20141868</v>
      </c>
      <c r="R16336" t="s">
        <v>659</v>
      </c>
      <c r="S16336" t="s">
        <v>824</v>
      </c>
      <c r="T16336">
        <v>38</v>
      </c>
      <c r="U16336" s="26" t="str">
        <f>HYPERLINK("https://ictv.global/ictv/proposals/2022.008P.Caulimoviridae_rename.zip","2022.008P.Caulimoviridae_rename.zip")</f>
        <v>2022.008P.Caulimoviridae_rename.zip</v>
      </c>
    </row>
    <row r="16337" spans="1:21">
      <c r="A16337">
        <v>16336</v>
      </c>
      <c r="B16337" s="27" t="s">
        <v>1124</v>
      </c>
      <c r="D16337" s="27" t="s">
        <v>1969</v>
      </c>
      <c r="F16337" s="27" t="s">
        <v>1970</v>
      </c>
      <c r="H16337" s="27" t="s">
        <v>1971</v>
      </c>
      <c r="J16337" s="27" t="s">
        <v>848</v>
      </c>
      <c r="L16337" s="27" t="s">
        <v>441</v>
      </c>
      <c r="N16337" s="27" t="s">
        <v>442</v>
      </c>
      <c r="P16337" s="27" t="s">
        <v>10767</v>
      </c>
      <c r="Q16337" s="26" t="str">
        <f>HYPERLINK("https://ictv.global/taxonomy/taxondetails?taxnode_id=202505761&amp;ictv_id=ICTV20175761","ICTV20175761")</f>
        <v>ICTV20175761</v>
      </c>
      <c r="R16337" t="s">
        <v>659</v>
      </c>
      <c r="S16337" t="s">
        <v>824</v>
      </c>
      <c r="T16337">
        <v>38</v>
      </c>
      <c r="U16337" s="26" t="str">
        <f>HYPERLINK("https://ictv.global/ictv/proposals/2022.008P.Caulimoviridae_rename.zip","2022.008P.Caulimoviridae_rename.zip")</f>
        <v>2022.008P.Caulimoviridae_rename.zip</v>
      </c>
    </row>
    <row r="16338" spans="1:21">
      <c r="A16338">
        <v>16337</v>
      </c>
      <c r="B16338" s="27" t="s">
        <v>1124</v>
      </c>
      <c r="D16338" s="27" t="s">
        <v>1969</v>
      </c>
      <c r="F16338" s="27" t="s">
        <v>1970</v>
      </c>
      <c r="H16338" s="27" t="s">
        <v>1971</v>
      </c>
      <c r="J16338" s="27" t="s">
        <v>848</v>
      </c>
      <c r="L16338" s="27" t="s">
        <v>441</v>
      </c>
      <c r="N16338" s="27" t="s">
        <v>442</v>
      </c>
      <c r="P16338" s="27" t="s">
        <v>10768</v>
      </c>
      <c r="Q16338" s="26" t="str">
        <f>HYPERLINK("https://ictv.global/taxonomy/taxondetails?taxnode_id=202506651&amp;ictv_id=ICTV201856651","ICTV201856651")</f>
        <v>ICTV201856651</v>
      </c>
      <c r="R16338" t="s">
        <v>659</v>
      </c>
      <c r="S16338" t="s">
        <v>824</v>
      </c>
      <c r="T16338">
        <v>38</v>
      </c>
      <c r="U16338" s="26" t="str">
        <f>HYPERLINK("https://ictv.global/ictv/proposals/2022.008P.Caulimoviridae_rename.zip","2022.008P.Caulimoviridae_rename.zip")</f>
        <v>2022.008P.Caulimoviridae_rename.zip</v>
      </c>
    </row>
    <row r="16339" spans="1:21">
      <c r="A16339">
        <v>16338</v>
      </c>
      <c r="B16339" s="27" t="s">
        <v>1124</v>
      </c>
      <c r="D16339" s="27" t="s">
        <v>1969</v>
      </c>
      <c r="F16339" s="27" t="s">
        <v>1970</v>
      </c>
      <c r="H16339" s="27" t="s">
        <v>1971</v>
      </c>
      <c r="J16339" s="27" t="s">
        <v>848</v>
      </c>
      <c r="L16339" s="27" t="s">
        <v>441</v>
      </c>
      <c r="N16339" s="27" t="s">
        <v>442</v>
      </c>
      <c r="P16339" s="27" t="s">
        <v>10769</v>
      </c>
      <c r="Q16339" s="26" t="str">
        <f>HYPERLINK("https://ictv.global/taxonomy/taxondetails?taxnode_id=202505765&amp;ictv_id=ICTV20175765","ICTV20175765")</f>
        <v>ICTV20175765</v>
      </c>
      <c r="R16339" t="s">
        <v>659</v>
      </c>
      <c r="S16339" t="s">
        <v>824</v>
      </c>
      <c r="T16339">
        <v>38</v>
      </c>
      <c r="U16339" s="26" t="str">
        <f>HYPERLINK("https://ictv.global/ictv/proposals/2022.008P.Caulimoviridae_rename.zip","2022.008P.Caulimoviridae_rename.zip")</f>
        <v>2022.008P.Caulimoviridae_rename.zip</v>
      </c>
    </row>
    <row r="16340" spans="1:21">
      <c r="A16340">
        <v>16339</v>
      </c>
      <c r="B16340" s="27" t="s">
        <v>1124</v>
      </c>
      <c r="D16340" s="27" t="s">
        <v>1969</v>
      </c>
      <c r="F16340" s="27" t="s">
        <v>1970</v>
      </c>
      <c r="H16340" s="27" t="s">
        <v>1971</v>
      </c>
      <c r="J16340" s="27" t="s">
        <v>848</v>
      </c>
      <c r="L16340" s="27" t="s">
        <v>441</v>
      </c>
      <c r="N16340" s="27" t="s">
        <v>442</v>
      </c>
      <c r="P16340" s="27" t="s">
        <v>20617</v>
      </c>
      <c r="Q16340" s="26" t="str">
        <f>HYPERLINK("https://ictv.global/taxonomy/taxondetails?taxnode_id=202520220&amp;ictv_id=ICTV202420220","ICTV202420220")</f>
        <v>ICTV202420220</v>
      </c>
      <c r="R16340" t="s">
        <v>579</v>
      </c>
      <c r="S16340" t="s">
        <v>823</v>
      </c>
      <c r="T16340">
        <v>40</v>
      </c>
      <c r="U16340" s="26" t="str">
        <f>HYPERLINK("https://ictv.global/ictv/proposals/2024.005P.Caulimoviridae_3nsp.zip","2024.005P.Caulimoviridae_3nsp.zip")</f>
        <v>2024.005P.Caulimoviridae_3nsp.zip</v>
      </c>
    </row>
    <row r="16341" spans="1:21">
      <c r="A16341">
        <v>16340</v>
      </c>
      <c r="B16341" s="27" t="s">
        <v>1124</v>
      </c>
      <c r="D16341" s="27" t="s">
        <v>1969</v>
      </c>
      <c r="F16341" s="27" t="s">
        <v>1970</v>
      </c>
      <c r="H16341" s="27" t="s">
        <v>1971</v>
      </c>
      <c r="J16341" s="27" t="s">
        <v>848</v>
      </c>
      <c r="L16341" s="27" t="s">
        <v>441</v>
      </c>
      <c r="N16341" s="27" t="s">
        <v>442</v>
      </c>
      <c r="P16341" s="27" t="s">
        <v>10770</v>
      </c>
      <c r="Q16341" s="26" t="str">
        <f>HYPERLINK("https://ictv.global/taxonomy/taxondetails?taxnode_id=202506647&amp;ictv_id=ICTV201856647","ICTV201856647")</f>
        <v>ICTV201856647</v>
      </c>
      <c r="R16341" t="s">
        <v>659</v>
      </c>
      <c r="S16341" t="s">
        <v>824</v>
      </c>
      <c r="T16341">
        <v>38</v>
      </c>
      <c r="U16341" s="26" t="str">
        <f>HYPERLINK("https://ictv.global/ictv/proposals/2022.008P.Caulimoviridae_rename.zip","2022.008P.Caulimoviridae_rename.zip")</f>
        <v>2022.008P.Caulimoviridae_rename.zip</v>
      </c>
    </row>
    <row r="16342" spans="1:21">
      <c r="A16342">
        <v>16341</v>
      </c>
      <c r="B16342" s="27" t="s">
        <v>1124</v>
      </c>
      <c r="D16342" s="27" t="s">
        <v>1969</v>
      </c>
      <c r="F16342" s="27" t="s">
        <v>1970</v>
      </c>
      <c r="H16342" s="27" t="s">
        <v>1971</v>
      </c>
      <c r="J16342" s="27" t="s">
        <v>848</v>
      </c>
      <c r="L16342" s="27" t="s">
        <v>441</v>
      </c>
      <c r="N16342" s="27" t="s">
        <v>442</v>
      </c>
      <c r="P16342" s="27" t="s">
        <v>10771</v>
      </c>
      <c r="Q16342" s="26" t="str">
        <f>HYPERLINK("https://ictv.global/taxonomy/taxondetails?taxnode_id=202502827&amp;ictv_id=ICTV20141866","ICTV20141866")</f>
        <v>ICTV20141866</v>
      </c>
      <c r="R16342" t="s">
        <v>659</v>
      </c>
      <c r="S16342" t="s">
        <v>824</v>
      </c>
      <c r="T16342">
        <v>38</v>
      </c>
      <c r="U16342" s="26" t="str">
        <f>HYPERLINK("https://ictv.global/ictv/proposals/2022.008P.Caulimoviridae_rename.zip","2022.008P.Caulimoviridae_rename.zip")</f>
        <v>2022.008P.Caulimoviridae_rename.zip</v>
      </c>
    </row>
    <row r="16343" spans="1:21">
      <c r="A16343">
        <v>16342</v>
      </c>
      <c r="B16343" s="27" t="s">
        <v>1124</v>
      </c>
      <c r="D16343" s="27" t="s">
        <v>1969</v>
      </c>
      <c r="F16343" s="27" t="s">
        <v>1970</v>
      </c>
      <c r="H16343" s="27" t="s">
        <v>1971</v>
      </c>
      <c r="J16343" s="27" t="s">
        <v>848</v>
      </c>
      <c r="L16343" s="27" t="s">
        <v>441</v>
      </c>
      <c r="N16343" s="27" t="s">
        <v>442</v>
      </c>
      <c r="P16343" s="27" t="s">
        <v>21219</v>
      </c>
      <c r="Q16343" s="26" t="str">
        <f>HYPERLINK("https://ictv.global/taxonomy/taxondetails?taxnode_id=202522125&amp;ictv_id=ICTV202522125","ICTV202522125")</f>
        <v>ICTV202522125</v>
      </c>
      <c r="R16343" t="s">
        <v>579</v>
      </c>
      <c r="S16343" t="s">
        <v>823</v>
      </c>
      <c r="T16343">
        <v>41</v>
      </c>
      <c r="U16343" s="26" t="str">
        <f>HYPERLINK("https://ictv.global/ictv/proposals/2025.003P.Caulimoviridae_Badnavirus_1nsp.zip","2025.003P.Caulimoviridae_Badnavirus_1nsp.zip")</f>
        <v>2025.003P.Caulimoviridae_Badnavirus_1nsp.zip</v>
      </c>
    </row>
    <row r="16344" spans="1:21">
      <c r="A16344">
        <v>16343</v>
      </c>
      <c r="B16344" s="27" t="s">
        <v>1124</v>
      </c>
      <c r="D16344" s="27" t="s">
        <v>1969</v>
      </c>
      <c r="F16344" s="27" t="s">
        <v>1970</v>
      </c>
      <c r="H16344" s="27" t="s">
        <v>1971</v>
      </c>
      <c r="J16344" s="27" t="s">
        <v>848</v>
      </c>
      <c r="L16344" s="27" t="s">
        <v>441</v>
      </c>
      <c r="N16344" s="27" t="s">
        <v>442</v>
      </c>
      <c r="P16344" s="27" t="s">
        <v>10772</v>
      </c>
      <c r="Q16344" s="26" t="str">
        <f>HYPERLINK("https://ictv.global/taxonomy/taxondetails?taxnode_id=202502829&amp;ictv_id=ICTV20115417","ICTV20115417")</f>
        <v>ICTV20115417</v>
      </c>
      <c r="R16344" t="s">
        <v>659</v>
      </c>
      <c r="S16344" t="s">
        <v>824</v>
      </c>
      <c r="T16344">
        <v>38</v>
      </c>
      <c r="U16344" s="26" t="str">
        <f t="shared" ref="U16344:U16355" si="615">HYPERLINK("https://ictv.global/ictv/proposals/2022.008P.Caulimoviridae_rename.zip","2022.008P.Caulimoviridae_rename.zip")</f>
        <v>2022.008P.Caulimoviridae_rename.zip</v>
      </c>
    </row>
    <row r="16345" spans="1:21">
      <c r="A16345">
        <v>16344</v>
      </c>
      <c r="B16345" s="27" t="s">
        <v>1124</v>
      </c>
      <c r="D16345" s="27" t="s">
        <v>1969</v>
      </c>
      <c r="F16345" s="27" t="s">
        <v>1970</v>
      </c>
      <c r="H16345" s="27" t="s">
        <v>1971</v>
      </c>
      <c r="J16345" s="27" t="s">
        <v>848</v>
      </c>
      <c r="L16345" s="27" t="s">
        <v>441</v>
      </c>
      <c r="N16345" s="27" t="s">
        <v>442</v>
      </c>
      <c r="P16345" s="27" t="s">
        <v>10773</v>
      </c>
      <c r="Q16345" s="26" t="str">
        <f>HYPERLINK("https://ictv.global/taxonomy/taxondetails?taxnode_id=202507426&amp;ictv_id=ICTV201907426","ICTV201907426")</f>
        <v>ICTV201907426</v>
      </c>
      <c r="R16345" t="s">
        <v>659</v>
      </c>
      <c r="S16345" t="s">
        <v>824</v>
      </c>
      <c r="T16345">
        <v>38</v>
      </c>
      <c r="U16345" s="26" t="str">
        <f t="shared" si="615"/>
        <v>2022.008P.Caulimoviridae_rename.zip</v>
      </c>
    </row>
    <row r="16346" spans="1:21">
      <c r="A16346">
        <v>16345</v>
      </c>
      <c r="B16346" s="27" t="s">
        <v>1124</v>
      </c>
      <c r="D16346" s="27" t="s">
        <v>1969</v>
      </c>
      <c r="F16346" s="27" t="s">
        <v>1970</v>
      </c>
      <c r="H16346" s="27" t="s">
        <v>1971</v>
      </c>
      <c r="J16346" s="27" t="s">
        <v>848</v>
      </c>
      <c r="L16346" s="27" t="s">
        <v>441</v>
      </c>
      <c r="N16346" s="27" t="s">
        <v>442</v>
      </c>
      <c r="P16346" s="27" t="s">
        <v>10774</v>
      </c>
      <c r="Q16346" s="26" t="str">
        <f>HYPERLINK("https://ictv.global/taxonomy/taxondetails?taxnode_id=202502839&amp;ictv_id=ICTV20083591","ICTV20083591")</f>
        <v>ICTV20083591</v>
      </c>
      <c r="R16346" t="s">
        <v>659</v>
      </c>
      <c r="S16346" t="s">
        <v>824</v>
      </c>
      <c r="T16346">
        <v>38</v>
      </c>
      <c r="U16346" s="26" t="str">
        <f t="shared" si="615"/>
        <v>2022.008P.Caulimoviridae_rename.zip</v>
      </c>
    </row>
    <row r="16347" spans="1:21">
      <c r="A16347">
        <v>16346</v>
      </c>
      <c r="B16347" s="27" t="s">
        <v>1124</v>
      </c>
      <c r="D16347" s="27" t="s">
        <v>1969</v>
      </c>
      <c r="F16347" s="27" t="s">
        <v>1970</v>
      </c>
      <c r="H16347" s="27" t="s">
        <v>1971</v>
      </c>
      <c r="J16347" s="27" t="s">
        <v>848</v>
      </c>
      <c r="L16347" s="27" t="s">
        <v>441</v>
      </c>
      <c r="N16347" s="27" t="s">
        <v>442</v>
      </c>
      <c r="P16347" s="27" t="s">
        <v>10775</v>
      </c>
      <c r="Q16347" s="26" t="str">
        <f>HYPERLINK("https://ictv.global/taxonomy/taxondetails?taxnode_id=202505762&amp;ictv_id=ICTV20175762","ICTV20175762")</f>
        <v>ICTV20175762</v>
      </c>
      <c r="R16347" t="s">
        <v>659</v>
      </c>
      <c r="S16347" t="s">
        <v>824</v>
      </c>
      <c r="T16347">
        <v>38</v>
      </c>
      <c r="U16347" s="26" t="str">
        <f t="shared" si="615"/>
        <v>2022.008P.Caulimoviridae_rename.zip</v>
      </c>
    </row>
    <row r="16348" spans="1:21">
      <c r="A16348">
        <v>16347</v>
      </c>
      <c r="B16348" s="27" t="s">
        <v>1124</v>
      </c>
      <c r="D16348" s="27" t="s">
        <v>1969</v>
      </c>
      <c r="F16348" s="27" t="s">
        <v>1970</v>
      </c>
      <c r="H16348" s="27" t="s">
        <v>1971</v>
      </c>
      <c r="J16348" s="27" t="s">
        <v>848</v>
      </c>
      <c r="L16348" s="27" t="s">
        <v>441</v>
      </c>
      <c r="N16348" s="27" t="s">
        <v>442</v>
      </c>
      <c r="P16348" s="27" t="s">
        <v>10776</v>
      </c>
      <c r="Q16348" s="26" t="str">
        <f>HYPERLINK("https://ictv.global/taxonomy/taxondetails?taxnode_id=202502841&amp;ictv_id=ICTV20115445","ICTV20115445")</f>
        <v>ICTV20115445</v>
      </c>
      <c r="R16348" t="s">
        <v>659</v>
      </c>
      <c r="S16348" t="s">
        <v>824</v>
      </c>
      <c r="T16348">
        <v>38</v>
      </c>
      <c r="U16348" s="26" t="str">
        <f t="shared" si="615"/>
        <v>2022.008P.Caulimoviridae_rename.zip</v>
      </c>
    </row>
    <row r="16349" spans="1:21">
      <c r="A16349">
        <v>16348</v>
      </c>
      <c r="B16349" s="27" t="s">
        <v>1124</v>
      </c>
      <c r="D16349" s="27" t="s">
        <v>1969</v>
      </c>
      <c r="F16349" s="27" t="s">
        <v>1970</v>
      </c>
      <c r="H16349" s="27" t="s">
        <v>1971</v>
      </c>
      <c r="J16349" s="27" t="s">
        <v>848</v>
      </c>
      <c r="L16349" s="27" t="s">
        <v>441</v>
      </c>
      <c r="N16349" s="27" t="s">
        <v>442</v>
      </c>
      <c r="P16349" s="27" t="s">
        <v>10777</v>
      </c>
      <c r="Q16349" s="26" t="str">
        <f>HYPERLINK("https://ictv.global/taxonomy/taxondetails?taxnode_id=202508840&amp;ictv_id=ICTV202008840","ICTV202008840")</f>
        <v>ICTV202008840</v>
      </c>
      <c r="R16349" t="s">
        <v>659</v>
      </c>
      <c r="S16349" t="s">
        <v>824</v>
      </c>
      <c r="T16349">
        <v>38</v>
      </c>
      <c r="U16349" s="26" t="str">
        <f t="shared" si="615"/>
        <v>2022.008P.Caulimoviridae_rename.zip</v>
      </c>
    </row>
    <row r="16350" spans="1:21">
      <c r="A16350">
        <v>16349</v>
      </c>
      <c r="B16350" s="27" t="s">
        <v>1124</v>
      </c>
      <c r="D16350" s="27" t="s">
        <v>1969</v>
      </c>
      <c r="F16350" s="27" t="s">
        <v>1970</v>
      </c>
      <c r="H16350" s="27" t="s">
        <v>1971</v>
      </c>
      <c r="J16350" s="27" t="s">
        <v>848</v>
      </c>
      <c r="L16350" s="27" t="s">
        <v>441</v>
      </c>
      <c r="N16350" s="27" t="s">
        <v>442</v>
      </c>
      <c r="P16350" s="27" t="s">
        <v>10778</v>
      </c>
      <c r="Q16350" s="26" t="str">
        <f>HYPERLINK("https://ictv.global/taxonomy/taxondetails?taxnode_id=202507427&amp;ictv_id=ICTV201907427","ICTV201907427")</f>
        <v>ICTV201907427</v>
      </c>
      <c r="R16350" t="s">
        <v>659</v>
      </c>
      <c r="S16350" t="s">
        <v>824</v>
      </c>
      <c r="T16350">
        <v>38</v>
      </c>
      <c r="U16350" s="26" t="str">
        <f t="shared" si="615"/>
        <v>2022.008P.Caulimoviridae_rename.zip</v>
      </c>
    </row>
    <row r="16351" spans="1:21">
      <c r="A16351">
        <v>16350</v>
      </c>
      <c r="B16351" s="27" t="s">
        <v>1124</v>
      </c>
      <c r="D16351" s="27" t="s">
        <v>1969</v>
      </c>
      <c r="F16351" s="27" t="s">
        <v>1970</v>
      </c>
      <c r="H16351" s="27" t="s">
        <v>1971</v>
      </c>
      <c r="J16351" s="27" t="s">
        <v>848</v>
      </c>
      <c r="L16351" s="27" t="s">
        <v>441</v>
      </c>
      <c r="N16351" s="27" t="s">
        <v>442</v>
      </c>
      <c r="P16351" s="27" t="s">
        <v>10779</v>
      </c>
      <c r="Q16351" s="26" t="str">
        <f>HYPERLINK("https://ictv.global/taxonomy/taxondetails?taxnode_id=202506641&amp;ictv_id=ICTV201856641","ICTV201856641")</f>
        <v>ICTV201856641</v>
      </c>
      <c r="R16351" t="s">
        <v>659</v>
      </c>
      <c r="S16351" t="s">
        <v>824</v>
      </c>
      <c r="T16351">
        <v>38</v>
      </c>
      <c r="U16351" s="26" t="str">
        <f t="shared" si="615"/>
        <v>2022.008P.Caulimoviridae_rename.zip</v>
      </c>
    </row>
    <row r="16352" spans="1:21">
      <c r="A16352">
        <v>16351</v>
      </c>
      <c r="B16352" s="27" t="s">
        <v>1124</v>
      </c>
      <c r="D16352" s="27" t="s">
        <v>1969</v>
      </c>
      <c r="F16352" s="27" t="s">
        <v>1970</v>
      </c>
      <c r="H16352" s="27" t="s">
        <v>1971</v>
      </c>
      <c r="J16352" s="27" t="s">
        <v>848</v>
      </c>
      <c r="L16352" s="27" t="s">
        <v>441</v>
      </c>
      <c r="N16352" s="27" t="s">
        <v>442</v>
      </c>
      <c r="P16352" s="27" t="s">
        <v>10780</v>
      </c>
      <c r="Q16352" s="26" t="str">
        <f>HYPERLINK("https://ictv.global/taxonomy/taxondetails?taxnode_id=202505766&amp;ictv_id=ICTV20175766","ICTV20175766")</f>
        <v>ICTV20175766</v>
      </c>
      <c r="R16352" t="s">
        <v>659</v>
      </c>
      <c r="S16352" t="s">
        <v>824</v>
      </c>
      <c r="T16352">
        <v>38</v>
      </c>
      <c r="U16352" s="26" t="str">
        <f t="shared" si="615"/>
        <v>2022.008P.Caulimoviridae_rename.zip</v>
      </c>
    </row>
    <row r="16353" spans="1:21">
      <c r="A16353">
        <v>16352</v>
      </c>
      <c r="B16353" s="27" t="s">
        <v>1124</v>
      </c>
      <c r="D16353" s="27" t="s">
        <v>1969</v>
      </c>
      <c r="F16353" s="27" t="s">
        <v>1970</v>
      </c>
      <c r="H16353" s="27" t="s">
        <v>1971</v>
      </c>
      <c r="J16353" s="27" t="s">
        <v>848</v>
      </c>
      <c r="L16353" s="27" t="s">
        <v>441</v>
      </c>
      <c r="N16353" s="27" t="s">
        <v>442</v>
      </c>
      <c r="P16353" s="27" t="s">
        <v>10781</v>
      </c>
      <c r="Q16353" s="26" t="str">
        <f>HYPERLINK("https://ictv.global/taxonomy/taxondetails?taxnode_id=202508836&amp;ictv_id=ICTV202008836","ICTV202008836")</f>
        <v>ICTV202008836</v>
      </c>
      <c r="R16353" t="s">
        <v>659</v>
      </c>
      <c r="S16353" t="s">
        <v>824</v>
      </c>
      <c r="T16353">
        <v>38</v>
      </c>
      <c r="U16353" s="26" t="str">
        <f t="shared" si="615"/>
        <v>2022.008P.Caulimoviridae_rename.zip</v>
      </c>
    </row>
    <row r="16354" spans="1:21">
      <c r="A16354">
        <v>16353</v>
      </c>
      <c r="B16354" s="27" t="s">
        <v>1124</v>
      </c>
      <c r="D16354" s="27" t="s">
        <v>1969</v>
      </c>
      <c r="F16354" s="27" t="s">
        <v>1970</v>
      </c>
      <c r="H16354" s="27" t="s">
        <v>1971</v>
      </c>
      <c r="J16354" s="27" t="s">
        <v>848</v>
      </c>
      <c r="L16354" s="27" t="s">
        <v>441</v>
      </c>
      <c r="N16354" s="27" t="s">
        <v>442</v>
      </c>
      <c r="P16354" s="27" t="s">
        <v>10782</v>
      </c>
      <c r="Q16354" s="26" t="str">
        <f>HYPERLINK("https://ictv.global/taxonomy/taxondetails?taxnode_id=202502831&amp;ictv_id=ICTV20152262","ICTV20152262")</f>
        <v>ICTV20152262</v>
      </c>
      <c r="R16354" t="s">
        <v>659</v>
      </c>
      <c r="S16354" t="s">
        <v>824</v>
      </c>
      <c r="T16354">
        <v>38</v>
      </c>
      <c r="U16354" s="26" t="str">
        <f t="shared" si="615"/>
        <v>2022.008P.Caulimoviridae_rename.zip</v>
      </c>
    </row>
    <row r="16355" spans="1:21">
      <c r="A16355">
        <v>16354</v>
      </c>
      <c r="B16355" s="27" t="s">
        <v>1124</v>
      </c>
      <c r="D16355" s="27" t="s">
        <v>1969</v>
      </c>
      <c r="F16355" s="27" t="s">
        <v>1970</v>
      </c>
      <c r="H16355" s="27" t="s">
        <v>1971</v>
      </c>
      <c r="J16355" s="27" t="s">
        <v>848</v>
      </c>
      <c r="L16355" s="27" t="s">
        <v>441</v>
      </c>
      <c r="N16355" s="27" t="s">
        <v>442</v>
      </c>
      <c r="P16355" s="27" t="s">
        <v>10783</v>
      </c>
      <c r="Q16355" s="26" t="str">
        <f>HYPERLINK("https://ictv.global/taxonomy/taxondetails?taxnode_id=202502825&amp;ictv_id=ICTV20141864","ICTV20141864")</f>
        <v>ICTV20141864</v>
      </c>
      <c r="R16355" t="s">
        <v>659</v>
      </c>
      <c r="S16355" t="s">
        <v>824</v>
      </c>
      <c r="T16355">
        <v>38</v>
      </c>
      <c r="U16355" s="26" t="str">
        <f t="shared" si="615"/>
        <v>2022.008P.Caulimoviridae_rename.zip</v>
      </c>
    </row>
    <row r="16356" spans="1:21">
      <c r="A16356">
        <v>16355</v>
      </c>
      <c r="B16356" s="27" t="s">
        <v>1124</v>
      </c>
      <c r="D16356" s="27" t="s">
        <v>1969</v>
      </c>
      <c r="F16356" s="27" t="s">
        <v>1970</v>
      </c>
      <c r="H16356" s="27" t="s">
        <v>1971</v>
      </c>
      <c r="J16356" s="27" t="s">
        <v>848</v>
      </c>
      <c r="L16356" s="27" t="s">
        <v>441</v>
      </c>
      <c r="N16356" s="27" t="s">
        <v>442</v>
      </c>
      <c r="P16356" s="27" t="s">
        <v>20618</v>
      </c>
      <c r="Q16356" s="26" t="str">
        <f>HYPERLINK("https://ictv.global/taxonomy/taxondetails?taxnode_id=202520221&amp;ictv_id=ICTV202420221","ICTV202420221")</f>
        <v>ICTV202420221</v>
      </c>
      <c r="R16356" t="s">
        <v>579</v>
      </c>
      <c r="S16356" t="s">
        <v>823</v>
      </c>
      <c r="T16356">
        <v>40</v>
      </c>
      <c r="U16356" s="26" t="str">
        <f>HYPERLINK("https://ictv.global/ictv/proposals/2024.005P.Caulimoviridae_3nsp.zip","2024.005P.Caulimoviridae_3nsp.zip")</f>
        <v>2024.005P.Caulimoviridae_3nsp.zip</v>
      </c>
    </row>
    <row r="16357" spans="1:21">
      <c r="A16357">
        <v>16356</v>
      </c>
      <c r="B16357" s="27" t="s">
        <v>1124</v>
      </c>
      <c r="D16357" s="27" t="s">
        <v>1969</v>
      </c>
      <c r="F16357" s="27" t="s">
        <v>1970</v>
      </c>
      <c r="H16357" s="27" t="s">
        <v>1971</v>
      </c>
      <c r="J16357" s="27" t="s">
        <v>848</v>
      </c>
      <c r="L16357" s="27" t="s">
        <v>441</v>
      </c>
      <c r="N16357" s="27" t="s">
        <v>464</v>
      </c>
      <c r="P16357" s="27" t="s">
        <v>10784</v>
      </c>
      <c r="Q16357" s="26" t="str">
        <f>HYPERLINK("https://ictv.global/taxonomy/taxondetails?taxnode_id=202502866&amp;ictv_id=ICTV20115423","ICTV20115423")</f>
        <v>ICTV20115423</v>
      </c>
      <c r="R16357" t="s">
        <v>659</v>
      </c>
      <c r="S16357" t="s">
        <v>824</v>
      </c>
      <c r="T16357">
        <v>38</v>
      </c>
      <c r="U16357" s="26" t="str">
        <f t="shared" ref="U16357:U16362" si="616">HYPERLINK("https://ictv.global/ictv/proposals/2022.008P.Caulimoviridae_rename.zip","2022.008P.Caulimoviridae_rename.zip")</f>
        <v>2022.008P.Caulimoviridae_rename.zip</v>
      </c>
    </row>
    <row r="16358" spans="1:21">
      <c r="A16358">
        <v>16357</v>
      </c>
      <c r="B16358" s="27" t="s">
        <v>1124</v>
      </c>
      <c r="D16358" s="27" t="s">
        <v>1969</v>
      </c>
      <c r="F16358" s="27" t="s">
        <v>1970</v>
      </c>
      <c r="H16358" s="27" t="s">
        <v>1971</v>
      </c>
      <c r="J16358" s="27" t="s">
        <v>848</v>
      </c>
      <c r="L16358" s="27" t="s">
        <v>441</v>
      </c>
      <c r="N16358" s="27" t="s">
        <v>464</v>
      </c>
      <c r="P16358" s="27" t="s">
        <v>10785</v>
      </c>
      <c r="Q16358" s="26" t="str">
        <f>HYPERLINK("https://ictv.global/taxonomy/taxondetails?taxnode_id=202502868&amp;ictv_id=ICTV20141879","ICTV20141879")</f>
        <v>ICTV20141879</v>
      </c>
      <c r="R16358" t="s">
        <v>659</v>
      </c>
      <c r="S16358" t="s">
        <v>824</v>
      </c>
      <c r="T16358">
        <v>38</v>
      </c>
      <c r="U16358" s="26" t="str">
        <f t="shared" si="616"/>
        <v>2022.008P.Caulimoviridae_rename.zip</v>
      </c>
    </row>
    <row r="16359" spans="1:21">
      <c r="A16359">
        <v>16358</v>
      </c>
      <c r="B16359" s="27" t="s">
        <v>1124</v>
      </c>
      <c r="D16359" s="27" t="s">
        <v>1969</v>
      </c>
      <c r="F16359" s="27" t="s">
        <v>1970</v>
      </c>
      <c r="H16359" s="27" t="s">
        <v>1971</v>
      </c>
      <c r="J16359" s="27" t="s">
        <v>848</v>
      </c>
      <c r="L16359" s="27" t="s">
        <v>441</v>
      </c>
      <c r="N16359" s="27" t="s">
        <v>464</v>
      </c>
      <c r="P16359" s="27" t="s">
        <v>10786</v>
      </c>
      <c r="Q16359" s="26" t="str">
        <f>HYPERLINK("https://ictv.global/taxonomy/taxondetails?taxnode_id=202502861&amp;ictv_id=ICTV19760662","ICTV19760662")</f>
        <v>ICTV19760662</v>
      </c>
      <c r="R16359" t="s">
        <v>659</v>
      </c>
      <c r="S16359" t="s">
        <v>824</v>
      </c>
      <c r="T16359">
        <v>38</v>
      </c>
      <c r="U16359" s="26" t="str">
        <f t="shared" si="616"/>
        <v>2022.008P.Caulimoviridae_rename.zip</v>
      </c>
    </row>
    <row r="16360" spans="1:21">
      <c r="A16360">
        <v>16359</v>
      </c>
      <c r="B16360" s="27" t="s">
        <v>1124</v>
      </c>
      <c r="D16360" s="27" t="s">
        <v>1969</v>
      </c>
      <c r="F16360" s="27" t="s">
        <v>1970</v>
      </c>
      <c r="H16360" s="27" t="s">
        <v>1971</v>
      </c>
      <c r="J16360" s="27" t="s">
        <v>848</v>
      </c>
      <c r="L16360" s="27" t="s">
        <v>441</v>
      </c>
      <c r="N16360" s="27" t="s">
        <v>464</v>
      </c>
      <c r="P16360" s="27" t="s">
        <v>10787</v>
      </c>
      <c r="Q16360" s="26" t="str">
        <f>HYPERLINK("https://ictv.global/taxonomy/taxondetails?taxnode_id=202502865&amp;ictv_id=ICTV19911562","ICTV19911562")</f>
        <v>ICTV19911562</v>
      </c>
      <c r="R16360" t="s">
        <v>659</v>
      </c>
      <c r="S16360" t="s">
        <v>824</v>
      </c>
      <c r="T16360">
        <v>38</v>
      </c>
      <c r="U16360" s="26" t="str">
        <f t="shared" si="616"/>
        <v>2022.008P.Caulimoviridae_rename.zip</v>
      </c>
    </row>
    <row r="16361" spans="1:21">
      <c r="A16361">
        <v>16360</v>
      </c>
      <c r="B16361" s="27" t="s">
        <v>1124</v>
      </c>
      <c r="D16361" s="27" t="s">
        <v>1969</v>
      </c>
      <c r="F16361" s="27" t="s">
        <v>1970</v>
      </c>
      <c r="H16361" s="27" t="s">
        <v>1971</v>
      </c>
      <c r="J16361" s="27" t="s">
        <v>848</v>
      </c>
      <c r="L16361" s="27" t="s">
        <v>441</v>
      </c>
      <c r="N16361" s="27" t="s">
        <v>464</v>
      </c>
      <c r="P16361" s="27" t="s">
        <v>10788</v>
      </c>
      <c r="Q16361" s="26" t="str">
        <f>HYPERLINK("https://ictv.global/taxonomy/taxondetails?taxnode_id=202502870&amp;ictv_id=ICTV19911567","ICTV19911567")</f>
        <v>ICTV19911567</v>
      </c>
      <c r="R16361" t="s">
        <v>659</v>
      </c>
      <c r="S16361" t="s">
        <v>824</v>
      </c>
      <c r="T16361">
        <v>38</v>
      </c>
      <c r="U16361" s="26" t="str">
        <f t="shared" si="616"/>
        <v>2022.008P.Caulimoviridae_rename.zip</v>
      </c>
    </row>
    <row r="16362" spans="1:21">
      <c r="A16362">
        <v>16361</v>
      </c>
      <c r="B16362" s="27" t="s">
        <v>1124</v>
      </c>
      <c r="D16362" s="27" t="s">
        <v>1969</v>
      </c>
      <c r="F16362" s="27" t="s">
        <v>1970</v>
      </c>
      <c r="H16362" s="27" t="s">
        <v>1971</v>
      </c>
      <c r="J16362" s="27" t="s">
        <v>848</v>
      </c>
      <c r="L16362" s="27" t="s">
        <v>441</v>
      </c>
      <c r="N16362" s="27" t="s">
        <v>464</v>
      </c>
      <c r="P16362" s="27" t="s">
        <v>10789</v>
      </c>
      <c r="Q16362" s="26" t="str">
        <f>HYPERLINK("https://ictv.global/taxonomy/taxondetails?taxnode_id=202502860&amp;ictv_id=ICTV20165247","ICTV20165247")</f>
        <v>ICTV20165247</v>
      </c>
      <c r="R16362" t="s">
        <v>659</v>
      </c>
      <c r="S16362" t="s">
        <v>824</v>
      </c>
      <c r="T16362">
        <v>38</v>
      </c>
      <c r="U16362" s="26" t="str">
        <f t="shared" si="616"/>
        <v>2022.008P.Caulimoviridae_rename.zip</v>
      </c>
    </row>
    <row r="16363" spans="1:21">
      <c r="A16363">
        <v>16362</v>
      </c>
      <c r="B16363" s="27" t="s">
        <v>1124</v>
      </c>
      <c r="D16363" s="27" t="s">
        <v>1969</v>
      </c>
      <c r="F16363" s="27" t="s">
        <v>1970</v>
      </c>
      <c r="H16363" s="27" t="s">
        <v>1971</v>
      </c>
      <c r="J16363" s="27" t="s">
        <v>848</v>
      </c>
      <c r="L16363" s="27" t="s">
        <v>441</v>
      </c>
      <c r="N16363" s="27" t="s">
        <v>464</v>
      </c>
      <c r="P16363" s="27" t="s">
        <v>10790</v>
      </c>
      <c r="Q16363" s="26" t="str">
        <f>HYPERLINK("https://ictv.global/taxonomy/taxondetails?taxnode_id=202515100&amp;ictv_id=ICTV202215100","ICTV202215100")</f>
        <v>ICTV202215100</v>
      </c>
      <c r="R16363" t="s">
        <v>659</v>
      </c>
      <c r="S16363" t="s">
        <v>823</v>
      </c>
      <c r="T16363">
        <v>38</v>
      </c>
      <c r="U16363" s="26" t="str">
        <f>HYPERLINK("https://ictv.global/ictv/proposals/2022.007P.Caulimoviridae_4ns.zip","2022.007P.Caulimoviridae_4ns.zip")</f>
        <v>2022.007P.Caulimoviridae_4ns.zip</v>
      </c>
    </row>
    <row r="16364" spans="1:21">
      <c r="A16364">
        <v>16363</v>
      </c>
      <c r="B16364" s="27" t="s">
        <v>1124</v>
      </c>
      <c r="D16364" s="27" t="s">
        <v>1969</v>
      </c>
      <c r="F16364" s="27" t="s">
        <v>1970</v>
      </c>
      <c r="H16364" s="27" t="s">
        <v>1971</v>
      </c>
      <c r="J16364" s="27" t="s">
        <v>848</v>
      </c>
      <c r="L16364" s="27" t="s">
        <v>441</v>
      </c>
      <c r="N16364" s="27" t="s">
        <v>464</v>
      </c>
      <c r="P16364" s="27" t="s">
        <v>10791</v>
      </c>
      <c r="Q16364" s="26" t="str">
        <f>HYPERLINK("https://ictv.global/taxonomy/taxondetails?taxnode_id=202506640&amp;ictv_id=ICTV201856640","ICTV201856640")</f>
        <v>ICTV201856640</v>
      </c>
      <c r="R16364" t="s">
        <v>659</v>
      </c>
      <c r="S16364" t="s">
        <v>824</v>
      </c>
      <c r="T16364">
        <v>38</v>
      </c>
      <c r="U16364" s="26" t="str">
        <f>HYPERLINK("https://ictv.global/ictv/proposals/2022.008P.Caulimoviridae_rename.zip","2022.008P.Caulimoviridae_rename.zip")</f>
        <v>2022.008P.Caulimoviridae_rename.zip</v>
      </c>
    </row>
    <row r="16365" spans="1:21">
      <c r="A16365">
        <v>16364</v>
      </c>
      <c r="B16365" s="27" t="s">
        <v>1124</v>
      </c>
      <c r="D16365" s="27" t="s">
        <v>1969</v>
      </c>
      <c r="F16365" s="27" t="s">
        <v>1970</v>
      </c>
      <c r="H16365" s="27" t="s">
        <v>1971</v>
      </c>
      <c r="J16365" s="27" t="s">
        <v>848</v>
      </c>
      <c r="L16365" s="27" t="s">
        <v>441</v>
      </c>
      <c r="N16365" s="27" t="s">
        <v>464</v>
      </c>
      <c r="P16365" s="27" t="s">
        <v>17832</v>
      </c>
      <c r="Q16365" s="26" t="str">
        <f>HYPERLINK("https://ictv.global/taxonomy/taxondetails?taxnode_id=202518295&amp;ictv_id=ICTV202318295","ICTV202318295")</f>
        <v>ICTV202318295</v>
      </c>
      <c r="R16365" t="s">
        <v>659</v>
      </c>
      <c r="S16365" t="s">
        <v>823</v>
      </c>
      <c r="T16365">
        <v>39</v>
      </c>
      <c r="U16365" s="26" t="str">
        <f>HYPERLINK("https://ictv.global/ictv/proposals/2023.017P.Caulimoviridae_6nsp.zip","2023.017P.Caulimoviridae_6nsp.zip")</f>
        <v>2023.017P.Caulimoviridae_6nsp.zip</v>
      </c>
    </row>
    <row r="16366" spans="1:21">
      <c r="A16366">
        <v>16365</v>
      </c>
      <c r="B16366" s="27" t="s">
        <v>1124</v>
      </c>
      <c r="D16366" s="27" t="s">
        <v>1969</v>
      </c>
      <c r="F16366" s="27" t="s">
        <v>1970</v>
      </c>
      <c r="H16366" s="27" t="s">
        <v>1971</v>
      </c>
      <c r="J16366" s="27" t="s">
        <v>848</v>
      </c>
      <c r="L16366" s="27" t="s">
        <v>441</v>
      </c>
      <c r="N16366" s="27" t="s">
        <v>464</v>
      </c>
      <c r="P16366" s="27" t="s">
        <v>10792</v>
      </c>
      <c r="Q16366" s="26" t="str">
        <f>HYPERLINK("https://ictv.global/taxonomy/taxondetails?taxnode_id=202502862&amp;ictv_id=ICTV19710153","ICTV19710153")</f>
        <v>ICTV19710153</v>
      </c>
      <c r="R16366" t="s">
        <v>659</v>
      </c>
      <c r="S16366" t="s">
        <v>824</v>
      </c>
      <c r="T16366">
        <v>38</v>
      </c>
      <c r="U16366" s="26" t="str">
        <f t="shared" ref="U16366:U16375" si="617">HYPERLINK("https://ictv.global/ictv/proposals/2022.008P.Caulimoviridae_rename.zip","2022.008P.Caulimoviridae_rename.zip")</f>
        <v>2022.008P.Caulimoviridae_rename.zip</v>
      </c>
    </row>
    <row r="16367" spans="1:21">
      <c r="A16367">
        <v>16366</v>
      </c>
      <c r="B16367" s="27" t="s">
        <v>1124</v>
      </c>
      <c r="D16367" s="27" t="s">
        <v>1969</v>
      </c>
      <c r="F16367" s="27" t="s">
        <v>1970</v>
      </c>
      <c r="H16367" s="27" t="s">
        <v>1971</v>
      </c>
      <c r="J16367" s="27" t="s">
        <v>848</v>
      </c>
      <c r="L16367" s="27" t="s">
        <v>441</v>
      </c>
      <c r="N16367" s="27" t="s">
        <v>464</v>
      </c>
      <c r="P16367" s="27" t="s">
        <v>10793</v>
      </c>
      <c r="Q16367" s="26" t="str">
        <f>HYPERLINK("https://ictv.global/taxonomy/taxondetails?taxnode_id=202502863&amp;ictv_id=ICTV19710154","ICTV19710154")</f>
        <v>ICTV19710154</v>
      </c>
      <c r="R16367" t="s">
        <v>659</v>
      </c>
      <c r="S16367" t="s">
        <v>824</v>
      </c>
      <c r="T16367">
        <v>38</v>
      </c>
      <c r="U16367" s="26" t="str">
        <f t="shared" si="617"/>
        <v>2022.008P.Caulimoviridae_rename.zip</v>
      </c>
    </row>
    <row r="16368" spans="1:21">
      <c r="A16368">
        <v>16367</v>
      </c>
      <c r="B16368" s="27" t="s">
        <v>1124</v>
      </c>
      <c r="D16368" s="27" t="s">
        <v>1969</v>
      </c>
      <c r="F16368" s="27" t="s">
        <v>1970</v>
      </c>
      <c r="H16368" s="27" t="s">
        <v>1971</v>
      </c>
      <c r="J16368" s="27" t="s">
        <v>848</v>
      </c>
      <c r="L16368" s="27" t="s">
        <v>441</v>
      </c>
      <c r="N16368" s="27" t="s">
        <v>464</v>
      </c>
      <c r="P16368" s="27" t="s">
        <v>10794</v>
      </c>
      <c r="Q16368" s="26" t="str">
        <f>HYPERLINK("https://ictv.global/taxonomy/taxondetails?taxnode_id=202502867&amp;ictv_id=ICTV19821173","ICTV19821173")</f>
        <v>ICTV19821173</v>
      </c>
      <c r="R16368" t="s">
        <v>659</v>
      </c>
      <c r="S16368" t="s">
        <v>824</v>
      </c>
      <c r="T16368">
        <v>38</v>
      </c>
      <c r="U16368" s="26" t="str">
        <f t="shared" si="617"/>
        <v>2022.008P.Caulimoviridae_rename.zip</v>
      </c>
    </row>
    <row r="16369" spans="1:21">
      <c r="A16369">
        <v>16368</v>
      </c>
      <c r="B16369" s="27" t="s">
        <v>1124</v>
      </c>
      <c r="D16369" s="27" t="s">
        <v>1969</v>
      </c>
      <c r="F16369" s="27" t="s">
        <v>1970</v>
      </c>
      <c r="H16369" s="27" t="s">
        <v>1971</v>
      </c>
      <c r="J16369" s="27" t="s">
        <v>848</v>
      </c>
      <c r="L16369" s="27" t="s">
        <v>441</v>
      </c>
      <c r="N16369" s="27" t="s">
        <v>464</v>
      </c>
      <c r="P16369" s="27" t="s">
        <v>10795</v>
      </c>
      <c r="Q16369" s="26" t="str">
        <f>HYPERLINK("https://ictv.global/taxonomy/taxondetails?taxnode_id=202502864&amp;ictv_id=ICTV19821172","ICTV19821172")</f>
        <v>ICTV19821172</v>
      </c>
      <c r="R16369" t="s">
        <v>659</v>
      </c>
      <c r="S16369" t="s">
        <v>824</v>
      </c>
      <c r="T16369">
        <v>38</v>
      </c>
      <c r="U16369" s="26" t="str">
        <f t="shared" si="617"/>
        <v>2022.008P.Caulimoviridae_rename.zip</v>
      </c>
    </row>
    <row r="16370" spans="1:21">
      <c r="A16370">
        <v>16369</v>
      </c>
      <c r="B16370" s="27" t="s">
        <v>1124</v>
      </c>
      <c r="D16370" s="27" t="s">
        <v>1969</v>
      </c>
      <c r="F16370" s="27" t="s">
        <v>1970</v>
      </c>
      <c r="H16370" s="27" t="s">
        <v>1971</v>
      </c>
      <c r="J16370" s="27" t="s">
        <v>848</v>
      </c>
      <c r="L16370" s="27" t="s">
        <v>441</v>
      </c>
      <c r="N16370" s="27" t="s">
        <v>464</v>
      </c>
      <c r="P16370" s="27" t="s">
        <v>10796</v>
      </c>
      <c r="Q16370" s="26" t="str">
        <f>HYPERLINK("https://ictv.global/taxonomy/taxondetails?taxnode_id=202502869&amp;ictv_id=ICTV19821174","ICTV19821174")</f>
        <v>ICTV19821174</v>
      </c>
      <c r="R16370" t="s">
        <v>659</v>
      </c>
      <c r="S16370" t="s">
        <v>824</v>
      </c>
      <c r="T16370">
        <v>38</v>
      </c>
      <c r="U16370" s="26" t="str">
        <f t="shared" si="617"/>
        <v>2022.008P.Caulimoviridae_rename.zip</v>
      </c>
    </row>
    <row r="16371" spans="1:21">
      <c r="A16371">
        <v>16370</v>
      </c>
      <c r="B16371" s="27" t="s">
        <v>1124</v>
      </c>
      <c r="D16371" s="27" t="s">
        <v>1969</v>
      </c>
      <c r="F16371" s="27" t="s">
        <v>1970</v>
      </c>
      <c r="H16371" s="27" t="s">
        <v>1971</v>
      </c>
      <c r="J16371" s="27" t="s">
        <v>848</v>
      </c>
      <c r="L16371" s="27" t="s">
        <v>441</v>
      </c>
      <c r="N16371" s="27" t="s">
        <v>190</v>
      </c>
      <c r="P16371" s="27" t="s">
        <v>10797</v>
      </c>
      <c r="Q16371" s="26" t="str">
        <f>HYPERLINK("https://ictv.global/taxonomy/taxondetails?taxnode_id=202502873&amp;ictv_id=ICTV20115435","ICTV20115435")</f>
        <v>ICTV20115435</v>
      </c>
      <c r="R16371" t="s">
        <v>659</v>
      </c>
      <c r="S16371" t="s">
        <v>824</v>
      </c>
      <c r="T16371">
        <v>38</v>
      </c>
      <c r="U16371" s="26" t="str">
        <f t="shared" si="617"/>
        <v>2022.008P.Caulimoviridae_rename.zip</v>
      </c>
    </row>
    <row r="16372" spans="1:21">
      <c r="A16372">
        <v>16371</v>
      </c>
      <c r="B16372" s="27" t="s">
        <v>1124</v>
      </c>
      <c r="D16372" s="27" t="s">
        <v>1969</v>
      </c>
      <c r="F16372" s="27" t="s">
        <v>1970</v>
      </c>
      <c r="H16372" s="27" t="s">
        <v>1971</v>
      </c>
      <c r="J16372" s="27" t="s">
        <v>848</v>
      </c>
      <c r="L16372" s="27" t="s">
        <v>441</v>
      </c>
      <c r="N16372" s="27" t="s">
        <v>190</v>
      </c>
      <c r="P16372" s="27" t="s">
        <v>10798</v>
      </c>
      <c r="Q16372" s="26" t="str">
        <f>HYPERLINK("https://ictv.global/taxonomy/taxondetails?taxnode_id=202508839&amp;ictv_id=ICTV202008839","ICTV202008839")</f>
        <v>ICTV202008839</v>
      </c>
      <c r="R16372" t="s">
        <v>659</v>
      </c>
      <c r="S16372" t="s">
        <v>824</v>
      </c>
      <c r="T16372">
        <v>38</v>
      </c>
      <c r="U16372" s="26" t="str">
        <f t="shared" si="617"/>
        <v>2022.008P.Caulimoviridae_rename.zip</v>
      </c>
    </row>
    <row r="16373" spans="1:21">
      <c r="A16373">
        <v>16372</v>
      </c>
      <c r="B16373" s="27" t="s">
        <v>1124</v>
      </c>
      <c r="D16373" s="27" t="s">
        <v>1969</v>
      </c>
      <c r="F16373" s="27" t="s">
        <v>1970</v>
      </c>
      <c r="H16373" s="27" t="s">
        <v>1971</v>
      </c>
      <c r="J16373" s="27" t="s">
        <v>848</v>
      </c>
      <c r="L16373" s="27" t="s">
        <v>441</v>
      </c>
      <c r="N16373" s="27" t="s">
        <v>190</v>
      </c>
      <c r="P16373" s="27" t="s">
        <v>10799</v>
      </c>
      <c r="Q16373" s="26" t="str">
        <f>HYPERLINK("https://ictv.global/taxonomy/taxondetails?taxnode_id=202502872&amp;ictv_id=ICTV19970897","ICTV19970897")</f>
        <v>ICTV19970897</v>
      </c>
      <c r="R16373" t="s">
        <v>659</v>
      </c>
      <c r="S16373" t="s">
        <v>824</v>
      </c>
      <c r="T16373">
        <v>38</v>
      </c>
      <c r="U16373" s="26" t="str">
        <f t="shared" si="617"/>
        <v>2022.008P.Caulimoviridae_rename.zip</v>
      </c>
    </row>
    <row r="16374" spans="1:21">
      <c r="A16374">
        <v>16373</v>
      </c>
      <c r="B16374" s="27" t="s">
        <v>1124</v>
      </c>
      <c r="D16374" s="27" t="s">
        <v>1969</v>
      </c>
      <c r="F16374" s="27" t="s">
        <v>1970</v>
      </c>
      <c r="H16374" s="27" t="s">
        <v>1971</v>
      </c>
      <c r="J16374" s="27" t="s">
        <v>848</v>
      </c>
      <c r="L16374" s="27" t="s">
        <v>441</v>
      </c>
      <c r="N16374" s="27" t="s">
        <v>1976</v>
      </c>
      <c r="P16374" s="27" t="s">
        <v>10800</v>
      </c>
      <c r="Q16374" s="26" t="str">
        <f>HYPERLINK("https://ictv.global/taxonomy/taxondetails?taxnode_id=202507423&amp;ictv_id=ICTV201907423","ICTV201907423")</f>
        <v>ICTV201907423</v>
      </c>
      <c r="R16374" t="s">
        <v>659</v>
      </c>
      <c r="S16374" t="s">
        <v>824</v>
      </c>
      <c r="T16374">
        <v>38</v>
      </c>
      <c r="U16374" s="26" t="str">
        <f t="shared" si="617"/>
        <v>2022.008P.Caulimoviridae_rename.zip</v>
      </c>
    </row>
    <row r="16375" spans="1:21">
      <c r="A16375">
        <v>16374</v>
      </c>
      <c r="B16375" s="27" t="s">
        <v>1124</v>
      </c>
      <c r="D16375" s="27" t="s">
        <v>1969</v>
      </c>
      <c r="F16375" s="27" t="s">
        <v>1970</v>
      </c>
      <c r="H16375" s="27" t="s">
        <v>1971</v>
      </c>
      <c r="J16375" s="27" t="s">
        <v>848</v>
      </c>
      <c r="L16375" s="27" t="s">
        <v>441</v>
      </c>
      <c r="N16375" s="27" t="s">
        <v>191</v>
      </c>
      <c r="P16375" s="27" t="s">
        <v>10801</v>
      </c>
      <c r="Q16375" s="26" t="str">
        <f>HYPERLINK("https://ictv.global/taxonomy/taxondetails?taxnode_id=202502875&amp;ictv_id=ICTV19981237","ICTV19981237")</f>
        <v>ICTV19981237</v>
      </c>
      <c r="R16375" t="s">
        <v>659</v>
      </c>
      <c r="S16375" t="s">
        <v>824</v>
      </c>
      <c r="T16375">
        <v>38</v>
      </c>
      <c r="U16375" s="26" t="str">
        <f t="shared" si="617"/>
        <v>2022.008P.Caulimoviridae_rename.zip</v>
      </c>
    </row>
    <row r="16376" spans="1:21">
      <c r="A16376">
        <v>16375</v>
      </c>
      <c r="B16376" s="27" t="s">
        <v>1124</v>
      </c>
      <c r="D16376" s="27" t="s">
        <v>1969</v>
      </c>
      <c r="F16376" s="27" t="s">
        <v>1970</v>
      </c>
      <c r="H16376" s="27" t="s">
        <v>1971</v>
      </c>
      <c r="J16376" s="27" t="s">
        <v>848</v>
      </c>
      <c r="L16376" s="27" t="s">
        <v>441</v>
      </c>
      <c r="N16376" s="27" t="s">
        <v>575</v>
      </c>
      <c r="P16376" s="27" t="s">
        <v>17833</v>
      </c>
      <c r="Q16376" s="26" t="str">
        <f>HYPERLINK("https://ictv.global/taxonomy/taxondetails?taxnode_id=202518296&amp;ictv_id=ICTV202318296","ICTV202318296")</f>
        <v>ICTV202318296</v>
      </c>
      <c r="R16376" t="s">
        <v>659</v>
      </c>
      <c r="S16376" t="s">
        <v>823</v>
      </c>
      <c r="T16376">
        <v>39</v>
      </c>
      <c r="U16376" s="26" t="str">
        <f>HYPERLINK("https://ictv.global/ictv/proposals/2023.017P.Caulimoviridae_6nsp.zip","2023.017P.Caulimoviridae_6nsp.zip")</f>
        <v>2023.017P.Caulimoviridae_6nsp.zip</v>
      </c>
    </row>
    <row r="16377" spans="1:21">
      <c r="A16377">
        <v>16376</v>
      </c>
      <c r="B16377" s="27" t="s">
        <v>1124</v>
      </c>
      <c r="D16377" s="27" t="s">
        <v>1969</v>
      </c>
      <c r="F16377" s="27" t="s">
        <v>1970</v>
      </c>
      <c r="H16377" s="27" t="s">
        <v>1971</v>
      </c>
      <c r="J16377" s="27" t="s">
        <v>848</v>
      </c>
      <c r="L16377" s="27" t="s">
        <v>441</v>
      </c>
      <c r="N16377" s="27" t="s">
        <v>575</v>
      </c>
      <c r="P16377" s="27" t="s">
        <v>10802</v>
      </c>
      <c r="Q16377" s="26" t="str">
        <f>HYPERLINK("https://ictv.global/taxonomy/taxondetails?taxnode_id=202502877&amp;ictv_id=ICTV20141896","ICTV20141896")</f>
        <v>ICTV20141896</v>
      </c>
      <c r="R16377" t="s">
        <v>659</v>
      </c>
      <c r="S16377" t="s">
        <v>824</v>
      </c>
      <c r="T16377">
        <v>38</v>
      </c>
      <c r="U16377" s="26" t="str">
        <f>HYPERLINK("https://ictv.global/ictv/proposals/2022.008P.Caulimoviridae_rename.zip","2022.008P.Caulimoviridae_rename.zip")</f>
        <v>2022.008P.Caulimoviridae_rename.zip</v>
      </c>
    </row>
    <row r="16378" spans="1:21">
      <c r="A16378">
        <v>16377</v>
      </c>
      <c r="B16378" s="27" t="s">
        <v>1124</v>
      </c>
      <c r="D16378" s="27" t="s">
        <v>1969</v>
      </c>
      <c r="F16378" s="27" t="s">
        <v>1970</v>
      </c>
      <c r="H16378" s="27" t="s">
        <v>1971</v>
      </c>
      <c r="J16378" s="27" t="s">
        <v>848</v>
      </c>
      <c r="L16378" s="27" t="s">
        <v>441</v>
      </c>
      <c r="N16378" s="27" t="s">
        <v>3603</v>
      </c>
      <c r="P16378" s="27" t="s">
        <v>10803</v>
      </c>
      <c r="Q16378" s="26" t="str">
        <f>HYPERLINK("https://ictv.global/taxonomy/taxondetails?taxnode_id=202506652&amp;ictv_id=ICTV201856652","ICTV201856652")</f>
        <v>ICTV201856652</v>
      </c>
      <c r="R16378" t="s">
        <v>659</v>
      </c>
      <c r="S16378" t="s">
        <v>824</v>
      </c>
      <c r="T16378">
        <v>38</v>
      </c>
      <c r="U16378" s="26" t="str">
        <f>HYPERLINK("https://ictv.global/ictv/proposals/2022.008P.Caulimoviridae_rename.zip","2022.008P.Caulimoviridae_rename.zip")</f>
        <v>2022.008P.Caulimoviridae_rename.zip</v>
      </c>
    </row>
    <row r="16379" spans="1:21">
      <c r="A16379">
        <v>16378</v>
      </c>
      <c r="B16379" s="27" t="s">
        <v>1124</v>
      </c>
      <c r="D16379" s="27" t="s">
        <v>1969</v>
      </c>
      <c r="F16379" s="27" t="s">
        <v>1970</v>
      </c>
      <c r="H16379" s="27" t="s">
        <v>1971</v>
      </c>
      <c r="J16379" s="27" t="s">
        <v>848</v>
      </c>
      <c r="L16379" s="27" t="s">
        <v>441</v>
      </c>
      <c r="N16379" s="27" t="s">
        <v>13</v>
      </c>
      <c r="P16379" s="27" t="s">
        <v>10804</v>
      </c>
      <c r="Q16379" s="26" t="str">
        <f>HYPERLINK("https://ictv.global/taxonomy/taxondetails?taxnode_id=202502879&amp;ictv_id=ICTV20115434","ICTV20115434")</f>
        <v>ICTV20115434</v>
      </c>
      <c r="R16379" t="s">
        <v>659</v>
      </c>
      <c r="S16379" t="s">
        <v>824</v>
      </c>
      <c r="T16379">
        <v>38</v>
      </c>
      <c r="U16379" s="26" t="str">
        <f>HYPERLINK("https://ictv.global/ictv/proposals/2022.008P.Caulimoviridae_rename.zip","2022.008P.Caulimoviridae_rename.zip")</f>
        <v>2022.008P.Caulimoviridae_rename.zip</v>
      </c>
    </row>
    <row r="16380" spans="1:21">
      <c r="A16380">
        <v>16379</v>
      </c>
      <c r="B16380" s="27" t="s">
        <v>1124</v>
      </c>
      <c r="D16380" s="27" t="s">
        <v>1969</v>
      </c>
      <c r="F16380" s="27" t="s">
        <v>1970</v>
      </c>
      <c r="H16380" s="27" t="s">
        <v>1971</v>
      </c>
      <c r="J16380" s="27" t="s">
        <v>848</v>
      </c>
      <c r="L16380" s="27" t="s">
        <v>441</v>
      </c>
      <c r="N16380" s="27" t="s">
        <v>13</v>
      </c>
      <c r="P16380" s="27" t="s">
        <v>10805</v>
      </c>
      <c r="Q16380" s="26" t="str">
        <f>HYPERLINK("https://ictv.global/taxonomy/taxondetails?taxnode_id=202502880&amp;ictv_id=ICTV20073411","ICTV20073411")</f>
        <v>ICTV20073411</v>
      </c>
      <c r="R16380" t="s">
        <v>659</v>
      </c>
      <c r="S16380" t="s">
        <v>824</v>
      </c>
      <c r="T16380">
        <v>38</v>
      </c>
      <c r="U16380" s="26" t="str">
        <f>HYPERLINK("https://ictv.global/ictv/proposals/2022.008P.Caulimoviridae_rename.zip","2022.008P.Caulimoviridae_rename.zip")</f>
        <v>2022.008P.Caulimoviridae_rename.zip</v>
      </c>
    </row>
    <row r="16381" spans="1:21">
      <c r="A16381">
        <v>16380</v>
      </c>
      <c r="B16381" s="27" t="s">
        <v>1124</v>
      </c>
      <c r="D16381" s="27" t="s">
        <v>1969</v>
      </c>
      <c r="F16381" s="27" t="s">
        <v>1970</v>
      </c>
      <c r="H16381" s="27" t="s">
        <v>1971</v>
      </c>
      <c r="J16381" s="27" t="s">
        <v>848</v>
      </c>
      <c r="L16381" s="27" t="s">
        <v>441</v>
      </c>
      <c r="N16381" s="27" t="s">
        <v>292</v>
      </c>
      <c r="P16381" s="27" t="s">
        <v>10806</v>
      </c>
      <c r="Q16381" s="26" t="str">
        <f>HYPERLINK("https://ictv.global/taxonomy/taxondetails?taxnode_id=202502883&amp;ictv_id=ICTV20115427","ICTV20115427")</f>
        <v>ICTV20115427</v>
      </c>
      <c r="R16381" t="s">
        <v>659</v>
      </c>
      <c r="S16381" t="s">
        <v>824</v>
      </c>
      <c r="T16381">
        <v>38</v>
      </c>
      <c r="U16381" s="26" t="str">
        <f>HYPERLINK("https://ictv.global/ictv/proposals/2022.008P.Caulimoviridae_rename.zip","2022.008P.Caulimoviridae_rename.zip")</f>
        <v>2022.008P.Caulimoviridae_rename.zip</v>
      </c>
    </row>
    <row r="16382" spans="1:21">
      <c r="A16382">
        <v>16381</v>
      </c>
      <c r="B16382" s="27" t="s">
        <v>1124</v>
      </c>
      <c r="D16382" s="27" t="s">
        <v>1969</v>
      </c>
      <c r="F16382" s="27" t="s">
        <v>1970</v>
      </c>
      <c r="H16382" s="27" t="s">
        <v>1971</v>
      </c>
      <c r="J16382" s="27" t="s">
        <v>848</v>
      </c>
      <c r="L16382" s="27" t="s">
        <v>441</v>
      </c>
      <c r="N16382" s="27" t="s">
        <v>292</v>
      </c>
      <c r="P16382" s="27" t="s">
        <v>10807</v>
      </c>
      <c r="Q16382" s="26" t="str">
        <f>HYPERLINK("https://ictv.global/taxonomy/taxondetails?taxnode_id=202515101&amp;ictv_id=ICTV202215101","ICTV202215101")</f>
        <v>ICTV202215101</v>
      </c>
      <c r="R16382" t="s">
        <v>659</v>
      </c>
      <c r="S16382" t="s">
        <v>823</v>
      </c>
      <c r="T16382">
        <v>38</v>
      </c>
      <c r="U16382" s="26" t="str">
        <f>HYPERLINK("https://ictv.global/ictv/proposals/2022.007P.Caulimoviridae_4ns.zip","2022.007P.Caulimoviridae_4ns.zip")</f>
        <v>2022.007P.Caulimoviridae_4ns.zip</v>
      </c>
    </row>
    <row r="16383" spans="1:21">
      <c r="A16383">
        <v>16382</v>
      </c>
      <c r="B16383" s="27" t="s">
        <v>1124</v>
      </c>
      <c r="D16383" s="27" t="s">
        <v>1969</v>
      </c>
      <c r="F16383" s="27" t="s">
        <v>1970</v>
      </c>
      <c r="H16383" s="27" t="s">
        <v>1971</v>
      </c>
      <c r="J16383" s="27" t="s">
        <v>848</v>
      </c>
      <c r="L16383" s="27" t="s">
        <v>441</v>
      </c>
      <c r="N16383" s="27" t="s">
        <v>292</v>
      </c>
      <c r="P16383" s="27" t="s">
        <v>17834</v>
      </c>
      <c r="Q16383" s="26" t="str">
        <f>HYPERLINK("https://ictv.global/taxonomy/taxondetails?taxnode_id=202518298&amp;ictv_id=ICTV202318298","ICTV202318298")</f>
        <v>ICTV202318298</v>
      </c>
      <c r="R16383" t="s">
        <v>659</v>
      </c>
      <c r="S16383" t="s">
        <v>823</v>
      </c>
      <c r="T16383">
        <v>39</v>
      </c>
      <c r="U16383" s="26" t="str">
        <f>HYPERLINK("https://ictv.global/ictv/proposals/2023.017P.Caulimoviridae_6nsp.zip","2023.017P.Caulimoviridae_6nsp.zip")</f>
        <v>2023.017P.Caulimoviridae_6nsp.zip</v>
      </c>
    </row>
    <row r="16384" spans="1:21">
      <c r="A16384">
        <v>16383</v>
      </c>
      <c r="B16384" s="27" t="s">
        <v>1124</v>
      </c>
      <c r="D16384" s="27" t="s">
        <v>1969</v>
      </c>
      <c r="F16384" s="27" t="s">
        <v>1970</v>
      </c>
      <c r="H16384" s="27" t="s">
        <v>1971</v>
      </c>
      <c r="J16384" s="27" t="s">
        <v>848</v>
      </c>
      <c r="L16384" s="27" t="s">
        <v>441</v>
      </c>
      <c r="N16384" s="27" t="s">
        <v>292</v>
      </c>
      <c r="P16384" s="27" t="s">
        <v>10808</v>
      </c>
      <c r="Q16384" s="26" t="str">
        <f>HYPERLINK("https://ictv.global/taxonomy/taxondetails?taxnode_id=202502885&amp;ictv_id=ICTV19911565","ICTV19911565")</f>
        <v>ICTV19911565</v>
      </c>
      <c r="R16384" t="s">
        <v>659</v>
      </c>
      <c r="S16384" t="s">
        <v>824</v>
      </c>
      <c r="T16384">
        <v>38</v>
      </c>
      <c r="U16384" s="26" t="str">
        <f>HYPERLINK("https://ictv.global/ictv/proposals/2022.008P.Caulimoviridae_rename.zip","2022.008P.Caulimoviridae_rename.zip")</f>
        <v>2022.008P.Caulimoviridae_rename.zip</v>
      </c>
    </row>
    <row r="16385" spans="1:21">
      <c r="A16385">
        <v>16384</v>
      </c>
      <c r="B16385" s="27" t="s">
        <v>1124</v>
      </c>
      <c r="D16385" s="27" t="s">
        <v>1969</v>
      </c>
      <c r="F16385" s="27" t="s">
        <v>1970</v>
      </c>
      <c r="H16385" s="27" t="s">
        <v>1971</v>
      </c>
      <c r="J16385" s="27" t="s">
        <v>848</v>
      </c>
      <c r="L16385" s="27" t="s">
        <v>441</v>
      </c>
      <c r="N16385" s="27" t="s">
        <v>292</v>
      </c>
      <c r="P16385" s="27" t="s">
        <v>10809</v>
      </c>
      <c r="Q16385" s="26" t="str">
        <f>HYPERLINK("https://ictv.global/taxonomy/taxondetails?taxnode_id=202502882&amp;ictv_id=ICTV19911557","ICTV19911557")</f>
        <v>ICTV19911557</v>
      </c>
      <c r="R16385" t="s">
        <v>659</v>
      </c>
      <c r="S16385" t="s">
        <v>824</v>
      </c>
      <c r="T16385">
        <v>38</v>
      </c>
      <c r="U16385" s="26" t="str">
        <f>HYPERLINK("https://ictv.global/ictv/proposals/2022.008P.Caulimoviridae_rename.zip","2022.008P.Caulimoviridae_rename.zip")</f>
        <v>2022.008P.Caulimoviridae_rename.zip</v>
      </c>
    </row>
    <row r="16386" spans="1:21">
      <c r="A16386">
        <v>16385</v>
      </c>
      <c r="B16386" s="27" t="s">
        <v>1124</v>
      </c>
      <c r="D16386" s="27" t="s">
        <v>1969</v>
      </c>
      <c r="F16386" s="27" t="s">
        <v>1970</v>
      </c>
      <c r="H16386" s="27" t="s">
        <v>1971</v>
      </c>
      <c r="J16386" s="27" t="s">
        <v>848</v>
      </c>
      <c r="L16386" s="27" t="s">
        <v>441</v>
      </c>
      <c r="N16386" s="27" t="s">
        <v>292</v>
      </c>
      <c r="P16386" s="27" t="s">
        <v>17835</v>
      </c>
      <c r="Q16386" s="26" t="str">
        <f>HYPERLINK("https://ictv.global/taxonomy/taxondetails?taxnode_id=202518297&amp;ictv_id=ICTV202318297","ICTV202318297")</f>
        <v>ICTV202318297</v>
      </c>
      <c r="R16386" t="s">
        <v>659</v>
      </c>
      <c r="S16386" t="s">
        <v>823</v>
      </c>
      <c r="T16386">
        <v>39</v>
      </c>
      <c r="U16386" s="26" t="str">
        <f>HYPERLINK("https://ictv.global/ictv/proposals/2023.017P.Caulimoviridae_6nsp.zip","2023.017P.Caulimoviridae_6nsp.zip")</f>
        <v>2023.017P.Caulimoviridae_6nsp.zip</v>
      </c>
    </row>
    <row r="16387" spans="1:21">
      <c r="A16387">
        <v>16386</v>
      </c>
      <c r="B16387" s="27" t="s">
        <v>1124</v>
      </c>
      <c r="D16387" s="27" t="s">
        <v>1969</v>
      </c>
      <c r="F16387" s="27" t="s">
        <v>1970</v>
      </c>
      <c r="H16387" s="27" t="s">
        <v>1971</v>
      </c>
      <c r="J16387" s="27" t="s">
        <v>848</v>
      </c>
      <c r="L16387" s="27" t="s">
        <v>441</v>
      </c>
      <c r="N16387" s="27" t="s">
        <v>292</v>
      </c>
      <c r="P16387" s="27" t="s">
        <v>10810</v>
      </c>
      <c r="Q16387" s="26" t="str">
        <f>HYPERLINK("https://ictv.global/taxonomy/taxondetails?taxnode_id=202502884&amp;ictv_id=ICTV19911564","ICTV19911564")</f>
        <v>ICTV19911564</v>
      </c>
      <c r="R16387" t="s">
        <v>659</v>
      </c>
      <c r="S16387" t="s">
        <v>824</v>
      </c>
      <c r="T16387">
        <v>38</v>
      </c>
      <c r="U16387" s="26" t="str">
        <f>HYPERLINK("https://ictv.global/ictv/proposals/2022.008P.Caulimoviridae_rename.zip","2022.008P.Caulimoviridae_rename.zip")</f>
        <v>2022.008P.Caulimoviridae_rename.zip</v>
      </c>
    </row>
    <row r="16388" spans="1:21">
      <c r="A16388">
        <v>16387</v>
      </c>
      <c r="B16388" s="27" t="s">
        <v>1124</v>
      </c>
      <c r="D16388" s="27" t="s">
        <v>1969</v>
      </c>
      <c r="F16388" s="27" t="s">
        <v>1970</v>
      </c>
      <c r="H16388" s="27" t="s">
        <v>1971</v>
      </c>
      <c r="J16388" s="27" t="s">
        <v>848</v>
      </c>
      <c r="L16388" s="27" t="s">
        <v>441</v>
      </c>
      <c r="N16388" s="27" t="s">
        <v>293</v>
      </c>
      <c r="P16388" s="27" t="s">
        <v>10811</v>
      </c>
      <c r="Q16388" s="26" t="str">
        <f>HYPERLINK("https://ictv.global/taxonomy/taxondetails?taxnode_id=202515102&amp;ictv_id=ICTV202215102","ICTV202215102")</f>
        <v>ICTV202215102</v>
      </c>
      <c r="R16388" t="s">
        <v>659</v>
      </c>
      <c r="S16388" t="s">
        <v>823</v>
      </c>
      <c r="T16388">
        <v>38</v>
      </c>
      <c r="U16388" s="26" t="str">
        <f>HYPERLINK("https://ictv.global/ictv/proposals/2022.007P.Caulimoviridae_4ns.zip","2022.007P.Caulimoviridae_4ns.zip")</f>
        <v>2022.007P.Caulimoviridae_4ns.zip</v>
      </c>
    </row>
    <row r="16389" spans="1:21">
      <c r="A16389">
        <v>16388</v>
      </c>
      <c r="B16389" s="27" t="s">
        <v>1124</v>
      </c>
      <c r="D16389" s="27" t="s">
        <v>1969</v>
      </c>
      <c r="F16389" s="27" t="s">
        <v>1970</v>
      </c>
      <c r="H16389" s="27" t="s">
        <v>1971</v>
      </c>
      <c r="J16389" s="27" t="s">
        <v>848</v>
      </c>
      <c r="L16389" s="27" t="s">
        <v>441</v>
      </c>
      <c r="N16389" s="27" t="s">
        <v>293</v>
      </c>
      <c r="P16389" s="27" t="s">
        <v>10812</v>
      </c>
      <c r="Q16389" s="26" t="str">
        <f>HYPERLINK("https://ictv.global/taxonomy/taxondetails?taxnode_id=202502887&amp;ictv_id=ICTV19952319","ICTV19952319")</f>
        <v>ICTV19952319</v>
      </c>
      <c r="R16389" t="s">
        <v>659</v>
      </c>
      <c r="S16389" t="s">
        <v>824</v>
      </c>
      <c r="T16389">
        <v>38</v>
      </c>
      <c r="U16389" s="26" t="str">
        <f>HYPERLINK("https://ictv.global/ictv/proposals/2022.008P.Caulimoviridae_rename.zip","2022.008P.Caulimoviridae_rename.zip")</f>
        <v>2022.008P.Caulimoviridae_rename.zip</v>
      </c>
    </row>
    <row r="16390" spans="1:21">
      <c r="A16390">
        <v>16389</v>
      </c>
      <c r="B16390" s="27" t="s">
        <v>1124</v>
      </c>
      <c r="D16390" s="27" t="s">
        <v>1969</v>
      </c>
      <c r="F16390" s="27" t="s">
        <v>1970</v>
      </c>
      <c r="H16390" s="27" t="s">
        <v>1971</v>
      </c>
      <c r="J16390" s="27" t="s">
        <v>848</v>
      </c>
      <c r="L16390" s="27" t="s">
        <v>441</v>
      </c>
      <c r="N16390" s="27" t="s">
        <v>1977</v>
      </c>
      <c r="P16390" s="27" t="s">
        <v>10813</v>
      </c>
      <c r="Q16390" s="26" t="str">
        <f>HYPERLINK("https://ictv.global/taxonomy/taxondetails?taxnode_id=202507425&amp;ictv_id=ICTV201907425","ICTV201907425")</f>
        <v>ICTV201907425</v>
      </c>
      <c r="R16390" t="s">
        <v>659</v>
      </c>
      <c r="S16390" t="s">
        <v>824</v>
      </c>
      <c r="T16390">
        <v>38</v>
      </c>
      <c r="U16390" s="26" t="str">
        <f>HYPERLINK("https://ictv.global/ictv/proposals/2022.008P.Caulimoviridae_rename.zip","2022.008P.Caulimoviridae_rename.zip")</f>
        <v>2022.008P.Caulimoviridae_rename.zip</v>
      </c>
    </row>
    <row r="16391" spans="1:21">
      <c r="A16391">
        <v>16390</v>
      </c>
      <c r="B16391" s="27" t="s">
        <v>1124</v>
      </c>
      <c r="D16391" s="27" t="s">
        <v>1969</v>
      </c>
      <c r="F16391" s="27" t="s">
        <v>1970</v>
      </c>
      <c r="H16391" s="27" t="s">
        <v>1971</v>
      </c>
      <c r="J16391" s="27" t="s">
        <v>848</v>
      </c>
      <c r="L16391" s="27" t="s">
        <v>368</v>
      </c>
      <c r="N16391" s="27" t="s">
        <v>252</v>
      </c>
      <c r="P16391" s="27" t="s">
        <v>17836</v>
      </c>
      <c r="Q16391" s="26" t="str">
        <f>HYPERLINK("https://ictv.global/taxonomy/taxondetails?taxnode_id=202503814&amp;ictv_id=ICTV20073962","ICTV20073962")</f>
        <v>ICTV20073962</v>
      </c>
      <c r="R16391" t="s">
        <v>584</v>
      </c>
      <c r="S16391" t="s">
        <v>824</v>
      </c>
      <c r="T16391">
        <v>39</v>
      </c>
      <c r="U16391" s="26" t="str">
        <f t="shared" ref="U16391:U16422" si="618">HYPERLINK("https://ictv.global/ictv/proposals/2023.033P.Pseudoviridae_Metaviridae_rename_sp.zip","2023.033P.Pseudoviridae_Metaviridae_rename_sp.zip")</f>
        <v>2023.033P.Pseudoviridae_Metaviridae_rename_sp.zip</v>
      </c>
    </row>
    <row r="16392" spans="1:21">
      <c r="A16392">
        <v>16391</v>
      </c>
      <c r="B16392" s="27" t="s">
        <v>1124</v>
      </c>
      <c r="D16392" s="27" t="s">
        <v>1969</v>
      </c>
      <c r="F16392" s="27" t="s">
        <v>1970</v>
      </c>
      <c r="H16392" s="27" t="s">
        <v>1971</v>
      </c>
      <c r="J16392" s="27" t="s">
        <v>848</v>
      </c>
      <c r="L16392" s="27" t="s">
        <v>368</v>
      </c>
      <c r="N16392" s="27" t="s">
        <v>252</v>
      </c>
      <c r="P16392" s="27" t="s">
        <v>17837</v>
      </c>
      <c r="Q16392" s="26" t="str">
        <f>HYPERLINK("https://ictv.global/taxonomy/taxondetails?taxnode_id=202503817&amp;ictv_id=ICTV19991095","ICTV19991095")</f>
        <v>ICTV19991095</v>
      </c>
      <c r="R16392" t="s">
        <v>584</v>
      </c>
      <c r="S16392" t="s">
        <v>824</v>
      </c>
      <c r="T16392">
        <v>39</v>
      </c>
      <c r="U16392" s="26" t="str">
        <f t="shared" si="618"/>
        <v>2023.033P.Pseudoviridae_Metaviridae_rename_sp.zip</v>
      </c>
    </row>
    <row r="16393" spans="1:21">
      <c r="A16393">
        <v>16392</v>
      </c>
      <c r="B16393" s="27" t="s">
        <v>1124</v>
      </c>
      <c r="D16393" s="27" t="s">
        <v>1969</v>
      </c>
      <c r="F16393" s="27" t="s">
        <v>1970</v>
      </c>
      <c r="H16393" s="27" t="s">
        <v>1971</v>
      </c>
      <c r="J16393" s="27" t="s">
        <v>848</v>
      </c>
      <c r="L16393" s="27" t="s">
        <v>368</v>
      </c>
      <c r="N16393" s="27" t="s">
        <v>252</v>
      </c>
      <c r="P16393" s="27" t="s">
        <v>17838</v>
      </c>
      <c r="Q16393" s="26" t="str">
        <f>HYPERLINK("https://ictv.global/taxonomy/taxondetails?taxnode_id=202503816&amp;ictv_id=ICTV19991094","ICTV19991094")</f>
        <v>ICTV19991094</v>
      </c>
      <c r="R16393" t="s">
        <v>584</v>
      </c>
      <c r="S16393" t="s">
        <v>824</v>
      </c>
      <c r="T16393">
        <v>39</v>
      </c>
      <c r="U16393" s="26" t="str">
        <f t="shared" si="618"/>
        <v>2023.033P.Pseudoviridae_Metaviridae_rename_sp.zip</v>
      </c>
    </row>
    <row r="16394" spans="1:21">
      <c r="A16394">
        <v>16393</v>
      </c>
      <c r="B16394" s="27" t="s">
        <v>1124</v>
      </c>
      <c r="D16394" s="27" t="s">
        <v>1969</v>
      </c>
      <c r="F16394" s="27" t="s">
        <v>1970</v>
      </c>
      <c r="H16394" s="27" t="s">
        <v>1971</v>
      </c>
      <c r="J16394" s="27" t="s">
        <v>848</v>
      </c>
      <c r="L16394" s="27" t="s">
        <v>368</v>
      </c>
      <c r="N16394" s="27" t="s">
        <v>252</v>
      </c>
      <c r="P16394" s="27" t="s">
        <v>17839</v>
      </c>
      <c r="Q16394" s="26" t="str">
        <f>HYPERLINK("https://ictv.global/taxonomy/taxondetails?taxnode_id=202503818&amp;ictv_id=ICTV19981721","ICTV19981721")</f>
        <v>ICTV19981721</v>
      </c>
      <c r="R16394" t="s">
        <v>584</v>
      </c>
      <c r="S16394" t="s">
        <v>824</v>
      </c>
      <c r="T16394">
        <v>39</v>
      </c>
      <c r="U16394" s="26" t="str">
        <f t="shared" si="618"/>
        <v>2023.033P.Pseudoviridae_Metaviridae_rename_sp.zip</v>
      </c>
    </row>
    <row r="16395" spans="1:21">
      <c r="A16395">
        <v>16394</v>
      </c>
      <c r="B16395" s="27" t="s">
        <v>1124</v>
      </c>
      <c r="D16395" s="27" t="s">
        <v>1969</v>
      </c>
      <c r="F16395" s="27" t="s">
        <v>1970</v>
      </c>
      <c r="H16395" s="27" t="s">
        <v>1971</v>
      </c>
      <c r="J16395" s="27" t="s">
        <v>848</v>
      </c>
      <c r="L16395" s="27" t="s">
        <v>368</v>
      </c>
      <c r="N16395" s="27" t="s">
        <v>252</v>
      </c>
      <c r="P16395" s="27" t="s">
        <v>17840</v>
      </c>
      <c r="Q16395" s="26" t="str">
        <f>HYPERLINK("https://ictv.global/taxonomy/taxondetails?taxnode_id=202503819&amp;ictv_id=ICTV20073967","ICTV20073967")</f>
        <v>ICTV20073967</v>
      </c>
      <c r="R16395" t="s">
        <v>584</v>
      </c>
      <c r="S16395" t="s">
        <v>824</v>
      </c>
      <c r="T16395">
        <v>39</v>
      </c>
      <c r="U16395" s="26" t="str">
        <f t="shared" si="618"/>
        <v>2023.033P.Pseudoviridae_Metaviridae_rename_sp.zip</v>
      </c>
    </row>
    <row r="16396" spans="1:21">
      <c r="A16396">
        <v>16395</v>
      </c>
      <c r="B16396" s="27" t="s">
        <v>1124</v>
      </c>
      <c r="D16396" s="27" t="s">
        <v>1969</v>
      </c>
      <c r="F16396" s="27" t="s">
        <v>1970</v>
      </c>
      <c r="H16396" s="27" t="s">
        <v>1971</v>
      </c>
      <c r="J16396" s="27" t="s">
        <v>848</v>
      </c>
      <c r="L16396" s="27" t="s">
        <v>368</v>
      </c>
      <c r="N16396" s="27" t="s">
        <v>252</v>
      </c>
      <c r="P16396" s="27" t="s">
        <v>17841</v>
      </c>
      <c r="Q16396" s="26" t="str">
        <f>HYPERLINK("https://ictv.global/taxonomy/taxondetails?taxnode_id=202503820&amp;ictv_id=ICTV20073968","ICTV20073968")</f>
        <v>ICTV20073968</v>
      </c>
      <c r="R16396" t="s">
        <v>584</v>
      </c>
      <c r="S16396" t="s">
        <v>824</v>
      </c>
      <c r="T16396">
        <v>39</v>
      </c>
      <c r="U16396" s="26" t="str">
        <f t="shared" si="618"/>
        <v>2023.033P.Pseudoviridae_Metaviridae_rename_sp.zip</v>
      </c>
    </row>
    <row r="16397" spans="1:21">
      <c r="A16397">
        <v>16396</v>
      </c>
      <c r="B16397" s="27" t="s">
        <v>1124</v>
      </c>
      <c r="D16397" s="27" t="s">
        <v>1969</v>
      </c>
      <c r="F16397" s="27" t="s">
        <v>1970</v>
      </c>
      <c r="H16397" s="27" t="s">
        <v>1971</v>
      </c>
      <c r="J16397" s="27" t="s">
        <v>848</v>
      </c>
      <c r="L16397" s="27" t="s">
        <v>368</v>
      </c>
      <c r="N16397" s="27" t="s">
        <v>252</v>
      </c>
      <c r="P16397" s="27" t="s">
        <v>17842</v>
      </c>
      <c r="Q16397" s="26" t="str">
        <f>HYPERLINK("https://ictv.global/taxonomy/taxondetails?taxnode_id=202503815&amp;ictv_id=ICTV19991093","ICTV19991093")</f>
        <v>ICTV19991093</v>
      </c>
      <c r="R16397" t="s">
        <v>584</v>
      </c>
      <c r="S16397" t="s">
        <v>824</v>
      </c>
      <c r="T16397">
        <v>39</v>
      </c>
      <c r="U16397" s="26" t="str">
        <f t="shared" si="618"/>
        <v>2023.033P.Pseudoviridae_Metaviridae_rename_sp.zip</v>
      </c>
    </row>
    <row r="16398" spans="1:21">
      <c r="A16398">
        <v>16397</v>
      </c>
      <c r="B16398" s="27" t="s">
        <v>1124</v>
      </c>
      <c r="D16398" s="27" t="s">
        <v>1969</v>
      </c>
      <c r="F16398" s="27" t="s">
        <v>1970</v>
      </c>
      <c r="H16398" s="27" t="s">
        <v>1971</v>
      </c>
      <c r="J16398" s="27" t="s">
        <v>848</v>
      </c>
      <c r="L16398" s="27" t="s">
        <v>368</v>
      </c>
      <c r="N16398" s="27" t="s">
        <v>252</v>
      </c>
      <c r="P16398" s="27" t="s">
        <v>17843</v>
      </c>
      <c r="Q16398" s="26" t="str">
        <f>HYPERLINK("https://ictv.global/taxonomy/taxondetails?taxnode_id=202503823&amp;ictv_id=ICTV19991097","ICTV19991097")</f>
        <v>ICTV19991097</v>
      </c>
      <c r="R16398" t="s">
        <v>584</v>
      </c>
      <c r="S16398" t="s">
        <v>824</v>
      </c>
      <c r="T16398">
        <v>39</v>
      </c>
      <c r="U16398" s="26" t="str">
        <f t="shared" si="618"/>
        <v>2023.033P.Pseudoviridae_Metaviridae_rename_sp.zip</v>
      </c>
    </row>
    <row r="16399" spans="1:21">
      <c r="A16399">
        <v>16398</v>
      </c>
      <c r="B16399" s="27" t="s">
        <v>1124</v>
      </c>
      <c r="D16399" s="27" t="s">
        <v>1969</v>
      </c>
      <c r="F16399" s="27" t="s">
        <v>1970</v>
      </c>
      <c r="H16399" s="27" t="s">
        <v>1971</v>
      </c>
      <c r="J16399" s="27" t="s">
        <v>848</v>
      </c>
      <c r="L16399" s="27" t="s">
        <v>368</v>
      </c>
      <c r="N16399" s="27" t="s">
        <v>252</v>
      </c>
      <c r="P16399" s="27" t="s">
        <v>17844</v>
      </c>
      <c r="Q16399" s="26" t="str">
        <f>HYPERLINK("https://ictv.global/taxonomy/taxondetails?taxnode_id=202503822&amp;ictv_id=ICTV20073970","ICTV20073970")</f>
        <v>ICTV20073970</v>
      </c>
      <c r="R16399" t="s">
        <v>584</v>
      </c>
      <c r="S16399" t="s">
        <v>824</v>
      </c>
      <c r="T16399">
        <v>39</v>
      </c>
      <c r="U16399" s="26" t="str">
        <f t="shared" si="618"/>
        <v>2023.033P.Pseudoviridae_Metaviridae_rename_sp.zip</v>
      </c>
    </row>
    <row r="16400" spans="1:21">
      <c r="A16400">
        <v>16399</v>
      </c>
      <c r="B16400" s="27" t="s">
        <v>1124</v>
      </c>
      <c r="D16400" s="27" t="s">
        <v>1969</v>
      </c>
      <c r="F16400" s="27" t="s">
        <v>1970</v>
      </c>
      <c r="H16400" s="27" t="s">
        <v>1971</v>
      </c>
      <c r="J16400" s="27" t="s">
        <v>848</v>
      </c>
      <c r="L16400" s="27" t="s">
        <v>368</v>
      </c>
      <c r="N16400" s="27" t="s">
        <v>252</v>
      </c>
      <c r="P16400" s="27" t="s">
        <v>17845</v>
      </c>
      <c r="Q16400" s="26" t="str">
        <f>HYPERLINK("https://ictv.global/taxonomy/taxondetails?taxnode_id=202503821&amp;ictv_id=ICTV20073969","ICTV20073969")</f>
        <v>ICTV20073969</v>
      </c>
      <c r="R16400" t="s">
        <v>584</v>
      </c>
      <c r="S16400" t="s">
        <v>824</v>
      </c>
      <c r="T16400">
        <v>39</v>
      </c>
      <c r="U16400" s="26" t="str">
        <f t="shared" si="618"/>
        <v>2023.033P.Pseudoviridae_Metaviridae_rename_sp.zip</v>
      </c>
    </row>
    <row r="16401" spans="1:21">
      <c r="A16401">
        <v>16400</v>
      </c>
      <c r="B16401" s="27" t="s">
        <v>1124</v>
      </c>
      <c r="D16401" s="27" t="s">
        <v>1969</v>
      </c>
      <c r="F16401" s="27" t="s">
        <v>1970</v>
      </c>
      <c r="H16401" s="27" t="s">
        <v>1971</v>
      </c>
      <c r="J16401" s="27" t="s">
        <v>848</v>
      </c>
      <c r="L16401" s="27" t="s">
        <v>368</v>
      </c>
      <c r="N16401" s="27" t="s">
        <v>254</v>
      </c>
      <c r="P16401" s="27" t="s">
        <v>17846</v>
      </c>
      <c r="Q16401" s="26" t="str">
        <f>HYPERLINK("https://ictv.global/taxonomy/taxondetails?taxnode_id=202503825&amp;ictv_id=ICTV20073972","ICTV20073972")</f>
        <v>ICTV20073972</v>
      </c>
      <c r="R16401" t="s">
        <v>584</v>
      </c>
      <c r="S16401" t="s">
        <v>824</v>
      </c>
      <c r="T16401">
        <v>39</v>
      </c>
      <c r="U16401" s="26" t="str">
        <f t="shared" si="618"/>
        <v>2023.033P.Pseudoviridae_Metaviridae_rename_sp.zip</v>
      </c>
    </row>
    <row r="16402" spans="1:21">
      <c r="A16402">
        <v>16401</v>
      </c>
      <c r="B16402" s="27" t="s">
        <v>1124</v>
      </c>
      <c r="D16402" s="27" t="s">
        <v>1969</v>
      </c>
      <c r="F16402" s="27" t="s">
        <v>1970</v>
      </c>
      <c r="H16402" s="27" t="s">
        <v>1971</v>
      </c>
      <c r="J16402" s="27" t="s">
        <v>848</v>
      </c>
      <c r="L16402" s="27" t="s">
        <v>368</v>
      </c>
      <c r="N16402" s="27" t="s">
        <v>254</v>
      </c>
      <c r="P16402" s="27" t="s">
        <v>17847</v>
      </c>
      <c r="Q16402" s="26" t="str">
        <f>HYPERLINK("https://ictv.global/taxonomy/taxondetails?taxnode_id=202503833&amp;ictv_id=ICTV20073980","ICTV20073980")</f>
        <v>ICTV20073980</v>
      </c>
      <c r="R16402" t="s">
        <v>584</v>
      </c>
      <c r="S16402" t="s">
        <v>824</v>
      </c>
      <c r="T16402">
        <v>39</v>
      </c>
      <c r="U16402" s="26" t="str">
        <f t="shared" si="618"/>
        <v>2023.033P.Pseudoviridae_Metaviridae_rename_sp.zip</v>
      </c>
    </row>
    <row r="16403" spans="1:21">
      <c r="A16403">
        <v>16402</v>
      </c>
      <c r="B16403" s="27" t="s">
        <v>1124</v>
      </c>
      <c r="D16403" s="27" t="s">
        <v>1969</v>
      </c>
      <c r="F16403" s="27" t="s">
        <v>1970</v>
      </c>
      <c r="H16403" s="27" t="s">
        <v>1971</v>
      </c>
      <c r="J16403" s="27" t="s">
        <v>848</v>
      </c>
      <c r="L16403" s="27" t="s">
        <v>368</v>
      </c>
      <c r="N16403" s="27" t="s">
        <v>254</v>
      </c>
      <c r="P16403" s="27" t="s">
        <v>17848</v>
      </c>
      <c r="Q16403" s="26" t="str">
        <f>HYPERLINK("https://ictv.global/taxonomy/taxondetails?taxnode_id=202503827&amp;ictv_id=ICTV19991098","ICTV19991098")</f>
        <v>ICTV19991098</v>
      </c>
      <c r="R16403" t="s">
        <v>584</v>
      </c>
      <c r="S16403" t="s">
        <v>824</v>
      </c>
      <c r="T16403">
        <v>39</v>
      </c>
      <c r="U16403" s="26" t="str">
        <f t="shared" si="618"/>
        <v>2023.033P.Pseudoviridae_Metaviridae_rename_sp.zip</v>
      </c>
    </row>
    <row r="16404" spans="1:21">
      <c r="A16404">
        <v>16403</v>
      </c>
      <c r="B16404" s="27" t="s">
        <v>1124</v>
      </c>
      <c r="D16404" s="27" t="s">
        <v>1969</v>
      </c>
      <c r="F16404" s="27" t="s">
        <v>1970</v>
      </c>
      <c r="H16404" s="27" t="s">
        <v>1971</v>
      </c>
      <c r="J16404" s="27" t="s">
        <v>848</v>
      </c>
      <c r="L16404" s="27" t="s">
        <v>368</v>
      </c>
      <c r="N16404" s="27" t="s">
        <v>254</v>
      </c>
      <c r="P16404" s="27" t="s">
        <v>17849</v>
      </c>
      <c r="Q16404" s="26" t="str">
        <f>HYPERLINK("https://ictv.global/taxonomy/taxondetails?taxnode_id=202503828&amp;ictv_id=ICTV19991092","ICTV19991092")</f>
        <v>ICTV19991092</v>
      </c>
      <c r="R16404" t="s">
        <v>584</v>
      </c>
      <c r="S16404" t="s">
        <v>824</v>
      </c>
      <c r="T16404">
        <v>39</v>
      </c>
      <c r="U16404" s="26" t="str">
        <f t="shared" si="618"/>
        <v>2023.033P.Pseudoviridae_Metaviridae_rename_sp.zip</v>
      </c>
    </row>
    <row r="16405" spans="1:21">
      <c r="A16405">
        <v>16404</v>
      </c>
      <c r="B16405" s="27" t="s">
        <v>1124</v>
      </c>
      <c r="D16405" s="27" t="s">
        <v>1969</v>
      </c>
      <c r="F16405" s="27" t="s">
        <v>1970</v>
      </c>
      <c r="H16405" s="27" t="s">
        <v>1971</v>
      </c>
      <c r="J16405" s="27" t="s">
        <v>848</v>
      </c>
      <c r="L16405" s="27" t="s">
        <v>368</v>
      </c>
      <c r="N16405" s="27" t="s">
        <v>254</v>
      </c>
      <c r="P16405" s="27" t="s">
        <v>17850</v>
      </c>
      <c r="Q16405" s="26" t="str">
        <f>HYPERLINK("https://ictv.global/taxonomy/taxondetails?taxnode_id=202503829&amp;ictv_id=ICTV19991099","ICTV19991099")</f>
        <v>ICTV19991099</v>
      </c>
      <c r="R16405" t="s">
        <v>584</v>
      </c>
      <c r="S16405" t="s">
        <v>824</v>
      </c>
      <c r="T16405">
        <v>39</v>
      </c>
      <c r="U16405" s="26" t="str">
        <f t="shared" si="618"/>
        <v>2023.033P.Pseudoviridae_Metaviridae_rename_sp.zip</v>
      </c>
    </row>
    <row r="16406" spans="1:21">
      <c r="A16406">
        <v>16405</v>
      </c>
      <c r="B16406" s="27" t="s">
        <v>1124</v>
      </c>
      <c r="D16406" s="27" t="s">
        <v>1969</v>
      </c>
      <c r="F16406" s="27" t="s">
        <v>1970</v>
      </c>
      <c r="H16406" s="27" t="s">
        <v>1971</v>
      </c>
      <c r="J16406" s="27" t="s">
        <v>848</v>
      </c>
      <c r="L16406" s="27" t="s">
        <v>368</v>
      </c>
      <c r="N16406" s="27" t="s">
        <v>254</v>
      </c>
      <c r="P16406" s="27" t="s">
        <v>17851</v>
      </c>
      <c r="Q16406" s="26" t="str">
        <f>HYPERLINK("https://ictv.global/taxonomy/taxondetails?taxnode_id=202503830&amp;ictv_id=ICTV20073977","ICTV20073977")</f>
        <v>ICTV20073977</v>
      </c>
      <c r="R16406" t="s">
        <v>584</v>
      </c>
      <c r="S16406" t="s">
        <v>824</v>
      </c>
      <c r="T16406">
        <v>39</v>
      </c>
      <c r="U16406" s="26" t="str">
        <f t="shared" si="618"/>
        <v>2023.033P.Pseudoviridae_Metaviridae_rename_sp.zip</v>
      </c>
    </row>
    <row r="16407" spans="1:21">
      <c r="A16407">
        <v>16406</v>
      </c>
      <c r="B16407" s="27" t="s">
        <v>1124</v>
      </c>
      <c r="D16407" s="27" t="s">
        <v>1969</v>
      </c>
      <c r="F16407" s="27" t="s">
        <v>1970</v>
      </c>
      <c r="H16407" s="27" t="s">
        <v>1971</v>
      </c>
      <c r="J16407" s="27" t="s">
        <v>848</v>
      </c>
      <c r="L16407" s="27" t="s">
        <v>368</v>
      </c>
      <c r="N16407" s="27" t="s">
        <v>254</v>
      </c>
      <c r="P16407" s="27" t="s">
        <v>17852</v>
      </c>
      <c r="Q16407" s="26" t="str">
        <f>HYPERLINK("https://ictv.global/taxonomy/taxondetails?taxnode_id=202503832&amp;ictv_id=ICTV19991100","ICTV19991100")</f>
        <v>ICTV19991100</v>
      </c>
      <c r="R16407" t="s">
        <v>584</v>
      </c>
      <c r="S16407" t="s">
        <v>824</v>
      </c>
      <c r="T16407">
        <v>39</v>
      </c>
      <c r="U16407" s="26" t="str">
        <f t="shared" si="618"/>
        <v>2023.033P.Pseudoviridae_Metaviridae_rename_sp.zip</v>
      </c>
    </row>
    <row r="16408" spans="1:21">
      <c r="A16408">
        <v>16407</v>
      </c>
      <c r="B16408" s="27" t="s">
        <v>1124</v>
      </c>
      <c r="D16408" s="27" t="s">
        <v>1969</v>
      </c>
      <c r="F16408" s="27" t="s">
        <v>1970</v>
      </c>
      <c r="H16408" s="27" t="s">
        <v>1971</v>
      </c>
      <c r="J16408" s="27" t="s">
        <v>848</v>
      </c>
      <c r="L16408" s="27" t="s">
        <v>368</v>
      </c>
      <c r="N16408" s="27" t="s">
        <v>254</v>
      </c>
      <c r="P16408" s="27" t="s">
        <v>17853</v>
      </c>
      <c r="Q16408" s="26" t="str">
        <f>HYPERLINK("https://ictv.global/taxonomy/taxondetails?taxnode_id=202503842&amp;ictv_id=ICTV19991107","ICTV19991107")</f>
        <v>ICTV19991107</v>
      </c>
      <c r="R16408" t="s">
        <v>584</v>
      </c>
      <c r="S16408" t="s">
        <v>824</v>
      </c>
      <c r="T16408">
        <v>39</v>
      </c>
      <c r="U16408" s="26" t="str">
        <f t="shared" si="618"/>
        <v>2023.033P.Pseudoviridae_Metaviridae_rename_sp.zip</v>
      </c>
    </row>
    <row r="16409" spans="1:21">
      <c r="A16409">
        <v>16408</v>
      </c>
      <c r="B16409" s="27" t="s">
        <v>1124</v>
      </c>
      <c r="D16409" s="27" t="s">
        <v>1969</v>
      </c>
      <c r="F16409" s="27" t="s">
        <v>1970</v>
      </c>
      <c r="H16409" s="27" t="s">
        <v>1971</v>
      </c>
      <c r="J16409" s="27" t="s">
        <v>848</v>
      </c>
      <c r="L16409" s="27" t="s">
        <v>368</v>
      </c>
      <c r="N16409" s="27" t="s">
        <v>254</v>
      </c>
      <c r="P16409" s="27" t="s">
        <v>17854</v>
      </c>
      <c r="Q16409" s="26" t="str">
        <f>HYPERLINK("https://ictv.global/taxonomy/taxondetails?taxnode_id=202503838&amp;ictv_id=ICTV20073985","ICTV20073985")</f>
        <v>ICTV20073985</v>
      </c>
      <c r="R16409" t="s">
        <v>584</v>
      </c>
      <c r="S16409" t="s">
        <v>824</v>
      </c>
      <c r="T16409">
        <v>39</v>
      </c>
      <c r="U16409" s="26" t="str">
        <f t="shared" si="618"/>
        <v>2023.033P.Pseudoviridae_Metaviridae_rename_sp.zip</v>
      </c>
    </row>
    <row r="16410" spans="1:21">
      <c r="A16410">
        <v>16409</v>
      </c>
      <c r="B16410" s="27" t="s">
        <v>1124</v>
      </c>
      <c r="D16410" s="27" t="s">
        <v>1969</v>
      </c>
      <c r="F16410" s="27" t="s">
        <v>1970</v>
      </c>
      <c r="H16410" s="27" t="s">
        <v>1971</v>
      </c>
      <c r="J16410" s="27" t="s">
        <v>848</v>
      </c>
      <c r="L16410" s="27" t="s">
        <v>368</v>
      </c>
      <c r="N16410" s="27" t="s">
        <v>254</v>
      </c>
      <c r="P16410" s="27" t="s">
        <v>17855</v>
      </c>
      <c r="Q16410" s="26" t="str">
        <f>HYPERLINK("https://ictv.global/taxonomy/taxondetails?taxnode_id=202503839&amp;ictv_id=ICTV19991104","ICTV19991104")</f>
        <v>ICTV19991104</v>
      </c>
      <c r="R16410" t="s">
        <v>584</v>
      </c>
      <c r="S16410" t="s">
        <v>824</v>
      </c>
      <c r="T16410">
        <v>39</v>
      </c>
      <c r="U16410" s="26" t="str">
        <f t="shared" si="618"/>
        <v>2023.033P.Pseudoviridae_Metaviridae_rename_sp.zip</v>
      </c>
    </row>
    <row r="16411" spans="1:21">
      <c r="A16411">
        <v>16410</v>
      </c>
      <c r="B16411" s="27" t="s">
        <v>1124</v>
      </c>
      <c r="D16411" s="27" t="s">
        <v>1969</v>
      </c>
      <c r="F16411" s="27" t="s">
        <v>1970</v>
      </c>
      <c r="H16411" s="27" t="s">
        <v>1971</v>
      </c>
      <c r="J16411" s="27" t="s">
        <v>848</v>
      </c>
      <c r="L16411" s="27" t="s">
        <v>368</v>
      </c>
      <c r="N16411" s="27" t="s">
        <v>254</v>
      </c>
      <c r="P16411" s="27" t="s">
        <v>17856</v>
      </c>
      <c r="Q16411" s="26" t="str">
        <f>HYPERLINK("https://ictv.global/taxonomy/taxondetails?taxnode_id=202503836&amp;ictv_id=ICTV19991102","ICTV19991102")</f>
        <v>ICTV19991102</v>
      </c>
      <c r="R16411" t="s">
        <v>584</v>
      </c>
      <c r="S16411" t="s">
        <v>824</v>
      </c>
      <c r="T16411">
        <v>39</v>
      </c>
      <c r="U16411" s="26" t="str">
        <f t="shared" si="618"/>
        <v>2023.033P.Pseudoviridae_Metaviridae_rename_sp.zip</v>
      </c>
    </row>
    <row r="16412" spans="1:21">
      <c r="A16412">
        <v>16411</v>
      </c>
      <c r="B16412" s="27" t="s">
        <v>1124</v>
      </c>
      <c r="D16412" s="27" t="s">
        <v>1969</v>
      </c>
      <c r="F16412" s="27" t="s">
        <v>1970</v>
      </c>
      <c r="H16412" s="27" t="s">
        <v>1971</v>
      </c>
      <c r="J16412" s="27" t="s">
        <v>848</v>
      </c>
      <c r="L16412" s="27" t="s">
        <v>368</v>
      </c>
      <c r="N16412" s="27" t="s">
        <v>254</v>
      </c>
      <c r="P16412" s="27" t="s">
        <v>17857</v>
      </c>
      <c r="Q16412" s="26" t="str">
        <f>HYPERLINK("https://ictv.global/taxonomy/taxondetails?taxnode_id=202503831&amp;ictv_id=ICTV20073978","ICTV20073978")</f>
        <v>ICTV20073978</v>
      </c>
      <c r="R16412" t="s">
        <v>584</v>
      </c>
      <c r="S16412" t="s">
        <v>824</v>
      </c>
      <c r="T16412">
        <v>39</v>
      </c>
      <c r="U16412" s="26" t="str">
        <f t="shared" si="618"/>
        <v>2023.033P.Pseudoviridae_Metaviridae_rename_sp.zip</v>
      </c>
    </row>
    <row r="16413" spans="1:21">
      <c r="A16413">
        <v>16412</v>
      </c>
      <c r="B16413" s="27" t="s">
        <v>1124</v>
      </c>
      <c r="D16413" s="27" t="s">
        <v>1969</v>
      </c>
      <c r="F16413" s="27" t="s">
        <v>1970</v>
      </c>
      <c r="H16413" s="27" t="s">
        <v>1971</v>
      </c>
      <c r="J16413" s="27" t="s">
        <v>848</v>
      </c>
      <c r="L16413" s="27" t="s">
        <v>368</v>
      </c>
      <c r="N16413" s="27" t="s">
        <v>254</v>
      </c>
      <c r="P16413" s="27" t="s">
        <v>17858</v>
      </c>
      <c r="Q16413" s="26" t="str">
        <f>HYPERLINK("https://ictv.global/taxonomy/taxondetails?taxnode_id=202503840&amp;ictv_id=ICTV19981722","ICTV19981722")</f>
        <v>ICTV19981722</v>
      </c>
      <c r="R16413" t="s">
        <v>584</v>
      </c>
      <c r="S16413" t="s">
        <v>824</v>
      </c>
      <c r="T16413">
        <v>39</v>
      </c>
      <c r="U16413" s="26" t="str">
        <f t="shared" si="618"/>
        <v>2023.033P.Pseudoviridae_Metaviridae_rename_sp.zip</v>
      </c>
    </row>
    <row r="16414" spans="1:21">
      <c r="A16414">
        <v>16413</v>
      </c>
      <c r="B16414" s="27" t="s">
        <v>1124</v>
      </c>
      <c r="D16414" s="27" t="s">
        <v>1969</v>
      </c>
      <c r="F16414" s="27" t="s">
        <v>1970</v>
      </c>
      <c r="H16414" s="27" t="s">
        <v>1971</v>
      </c>
      <c r="J16414" s="27" t="s">
        <v>848</v>
      </c>
      <c r="L16414" s="27" t="s">
        <v>368</v>
      </c>
      <c r="N16414" s="27" t="s">
        <v>254</v>
      </c>
      <c r="P16414" s="27" t="s">
        <v>17859</v>
      </c>
      <c r="Q16414" s="26" t="str">
        <f>HYPERLINK("https://ictv.global/taxonomy/taxondetails?taxnode_id=202503843&amp;ictv_id=ICTV20073990","ICTV20073990")</f>
        <v>ICTV20073990</v>
      </c>
      <c r="R16414" t="s">
        <v>584</v>
      </c>
      <c r="S16414" t="s">
        <v>824</v>
      </c>
      <c r="T16414">
        <v>39</v>
      </c>
      <c r="U16414" s="26" t="str">
        <f t="shared" si="618"/>
        <v>2023.033P.Pseudoviridae_Metaviridae_rename_sp.zip</v>
      </c>
    </row>
    <row r="16415" spans="1:21">
      <c r="A16415">
        <v>16414</v>
      </c>
      <c r="B16415" s="27" t="s">
        <v>1124</v>
      </c>
      <c r="D16415" s="27" t="s">
        <v>1969</v>
      </c>
      <c r="F16415" s="27" t="s">
        <v>1970</v>
      </c>
      <c r="H16415" s="27" t="s">
        <v>1971</v>
      </c>
      <c r="J16415" s="27" t="s">
        <v>848</v>
      </c>
      <c r="L16415" s="27" t="s">
        <v>368</v>
      </c>
      <c r="N16415" s="27" t="s">
        <v>254</v>
      </c>
      <c r="P16415" s="27" t="s">
        <v>17860</v>
      </c>
      <c r="Q16415" s="26" t="str">
        <f>HYPERLINK("https://ictv.global/taxonomy/taxondetails?taxnode_id=202503826&amp;ictv_id=ICTV20073973","ICTV20073973")</f>
        <v>ICTV20073973</v>
      </c>
      <c r="R16415" t="s">
        <v>584</v>
      </c>
      <c r="S16415" t="s">
        <v>824</v>
      </c>
      <c r="T16415">
        <v>39</v>
      </c>
      <c r="U16415" s="26" t="str">
        <f t="shared" si="618"/>
        <v>2023.033P.Pseudoviridae_Metaviridae_rename_sp.zip</v>
      </c>
    </row>
    <row r="16416" spans="1:21">
      <c r="A16416">
        <v>16415</v>
      </c>
      <c r="B16416" s="27" t="s">
        <v>1124</v>
      </c>
      <c r="D16416" s="27" t="s">
        <v>1969</v>
      </c>
      <c r="F16416" s="27" t="s">
        <v>1970</v>
      </c>
      <c r="H16416" s="27" t="s">
        <v>1971</v>
      </c>
      <c r="J16416" s="27" t="s">
        <v>848</v>
      </c>
      <c r="L16416" s="27" t="s">
        <v>368</v>
      </c>
      <c r="N16416" s="27" t="s">
        <v>254</v>
      </c>
      <c r="P16416" s="27" t="s">
        <v>17861</v>
      </c>
      <c r="Q16416" s="26" t="str">
        <f>HYPERLINK("https://ictv.global/taxonomy/taxondetails?taxnode_id=202503844&amp;ictv_id=ICTV19991108","ICTV19991108")</f>
        <v>ICTV19991108</v>
      </c>
      <c r="R16416" t="s">
        <v>584</v>
      </c>
      <c r="S16416" t="s">
        <v>824</v>
      </c>
      <c r="T16416">
        <v>39</v>
      </c>
      <c r="U16416" s="26" t="str">
        <f t="shared" si="618"/>
        <v>2023.033P.Pseudoviridae_Metaviridae_rename_sp.zip</v>
      </c>
    </row>
    <row r="16417" spans="1:21">
      <c r="A16417">
        <v>16416</v>
      </c>
      <c r="B16417" s="27" t="s">
        <v>1124</v>
      </c>
      <c r="D16417" s="27" t="s">
        <v>1969</v>
      </c>
      <c r="F16417" s="27" t="s">
        <v>1970</v>
      </c>
      <c r="H16417" s="27" t="s">
        <v>1971</v>
      </c>
      <c r="J16417" s="27" t="s">
        <v>848</v>
      </c>
      <c r="L16417" s="27" t="s">
        <v>368</v>
      </c>
      <c r="N16417" s="27" t="s">
        <v>254</v>
      </c>
      <c r="P16417" s="27" t="s">
        <v>17862</v>
      </c>
      <c r="Q16417" s="26" t="str">
        <f>HYPERLINK("https://ictv.global/taxonomy/taxondetails?taxnode_id=202503835&amp;ictv_id=ICTV20073982","ICTV20073982")</f>
        <v>ICTV20073982</v>
      </c>
      <c r="R16417" t="s">
        <v>584</v>
      </c>
      <c r="S16417" t="s">
        <v>824</v>
      </c>
      <c r="T16417">
        <v>39</v>
      </c>
      <c r="U16417" s="26" t="str">
        <f t="shared" si="618"/>
        <v>2023.033P.Pseudoviridae_Metaviridae_rename_sp.zip</v>
      </c>
    </row>
    <row r="16418" spans="1:21">
      <c r="A16418">
        <v>16417</v>
      </c>
      <c r="B16418" s="27" t="s">
        <v>1124</v>
      </c>
      <c r="D16418" s="27" t="s">
        <v>1969</v>
      </c>
      <c r="F16418" s="27" t="s">
        <v>1970</v>
      </c>
      <c r="H16418" s="27" t="s">
        <v>1971</v>
      </c>
      <c r="J16418" s="27" t="s">
        <v>848</v>
      </c>
      <c r="L16418" s="27" t="s">
        <v>368</v>
      </c>
      <c r="N16418" s="27" t="s">
        <v>254</v>
      </c>
      <c r="P16418" s="27" t="s">
        <v>17863</v>
      </c>
      <c r="Q16418" s="26" t="str">
        <f>HYPERLINK("https://ictv.global/taxonomy/taxondetails?taxnode_id=202503845&amp;ictv_id=ICTV19991109","ICTV19991109")</f>
        <v>ICTV19991109</v>
      </c>
      <c r="R16418" t="s">
        <v>584</v>
      </c>
      <c r="S16418" t="s">
        <v>824</v>
      </c>
      <c r="T16418">
        <v>39</v>
      </c>
      <c r="U16418" s="26" t="str">
        <f t="shared" si="618"/>
        <v>2023.033P.Pseudoviridae_Metaviridae_rename_sp.zip</v>
      </c>
    </row>
    <row r="16419" spans="1:21">
      <c r="A16419">
        <v>16418</v>
      </c>
      <c r="B16419" s="27" t="s">
        <v>1124</v>
      </c>
      <c r="D16419" s="27" t="s">
        <v>1969</v>
      </c>
      <c r="F16419" s="27" t="s">
        <v>1970</v>
      </c>
      <c r="H16419" s="27" t="s">
        <v>1971</v>
      </c>
      <c r="J16419" s="27" t="s">
        <v>848</v>
      </c>
      <c r="L16419" s="27" t="s">
        <v>368</v>
      </c>
      <c r="N16419" s="27" t="s">
        <v>254</v>
      </c>
      <c r="P16419" s="27" t="s">
        <v>17864</v>
      </c>
      <c r="Q16419" s="26" t="str">
        <f>HYPERLINK("https://ictv.global/taxonomy/taxondetails?taxnode_id=202503837&amp;ictv_id=ICTV19991103","ICTV19991103")</f>
        <v>ICTV19991103</v>
      </c>
      <c r="R16419" t="s">
        <v>584</v>
      </c>
      <c r="S16419" t="s">
        <v>824</v>
      </c>
      <c r="T16419">
        <v>39</v>
      </c>
      <c r="U16419" s="26" t="str">
        <f t="shared" si="618"/>
        <v>2023.033P.Pseudoviridae_Metaviridae_rename_sp.zip</v>
      </c>
    </row>
    <row r="16420" spans="1:21">
      <c r="A16420">
        <v>16419</v>
      </c>
      <c r="B16420" s="27" t="s">
        <v>1124</v>
      </c>
      <c r="D16420" s="27" t="s">
        <v>1969</v>
      </c>
      <c r="F16420" s="27" t="s">
        <v>1970</v>
      </c>
      <c r="H16420" s="27" t="s">
        <v>1971</v>
      </c>
      <c r="J16420" s="27" t="s">
        <v>848</v>
      </c>
      <c r="L16420" s="27" t="s">
        <v>368</v>
      </c>
      <c r="N16420" s="27" t="s">
        <v>254</v>
      </c>
      <c r="P16420" s="27" t="s">
        <v>17865</v>
      </c>
      <c r="Q16420" s="26" t="str">
        <f>HYPERLINK("https://ictv.global/taxonomy/taxondetails?taxnode_id=202503834&amp;ictv_id=ICTV19991101","ICTV19991101")</f>
        <v>ICTV19991101</v>
      </c>
      <c r="R16420" t="s">
        <v>584</v>
      </c>
      <c r="S16420" t="s">
        <v>824</v>
      </c>
      <c r="T16420">
        <v>39</v>
      </c>
      <c r="U16420" s="26" t="str">
        <f t="shared" si="618"/>
        <v>2023.033P.Pseudoviridae_Metaviridae_rename_sp.zip</v>
      </c>
    </row>
    <row r="16421" spans="1:21">
      <c r="A16421">
        <v>16420</v>
      </c>
      <c r="B16421" s="27" t="s">
        <v>1124</v>
      </c>
      <c r="D16421" s="27" t="s">
        <v>1969</v>
      </c>
      <c r="F16421" s="27" t="s">
        <v>1970</v>
      </c>
      <c r="H16421" s="27" t="s">
        <v>1971</v>
      </c>
      <c r="J16421" s="27" t="s">
        <v>848</v>
      </c>
      <c r="L16421" s="27" t="s">
        <v>368</v>
      </c>
      <c r="N16421" s="27" t="s">
        <v>254</v>
      </c>
      <c r="P16421" s="27" t="s">
        <v>17866</v>
      </c>
      <c r="Q16421" s="26" t="str">
        <f>HYPERLINK("https://ictv.global/taxonomy/taxondetails?taxnode_id=202503841&amp;ictv_id=ICTV19991106","ICTV19991106")</f>
        <v>ICTV19991106</v>
      </c>
      <c r="R16421" t="s">
        <v>584</v>
      </c>
      <c r="S16421" t="s">
        <v>824</v>
      </c>
      <c r="T16421">
        <v>39</v>
      </c>
      <c r="U16421" s="26" t="str">
        <f t="shared" si="618"/>
        <v>2023.033P.Pseudoviridae_Metaviridae_rename_sp.zip</v>
      </c>
    </row>
    <row r="16422" spans="1:21">
      <c r="A16422">
        <v>16421</v>
      </c>
      <c r="B16422" s="27" t="s">
        <v>1124</v>
      </c>
      <c r="D16422" s="27" t="s">
        <v>1969</v>
      </c>
      <c r="F16422" s="27" t="s">
        <v>1970</v>
      </c>
      <c r="H16422" s="27" t="s">
        <v>1971</v>
      </c>
      <c r="J16422" s="27" t="s">
        <v>848</v>
      </c>
      <c r="L16422" s="27" t="s">
        <v>465</v>
      </c>
      <c r="N16422" s="27" t="s">
        <v>466</v>
      </c>
      <c r="P16422" s="27" t="s">
        <v>17867</v>
      </c>
      <c r="Q16422" s="26" t="str">
        <f>HYPERLINK("https://ictv.global/taxonomy/taxondetails?taxnode_id=202504830&amp;ictv_id=ICTV20041900","ICTV20041900")</f>
        <v>ICTV20041900</v>
      </c>
      <c r="R16422" t="s">
        <v>584</v>
      </c>
      <c r="S16422" t="s">
        <v>824</v>
      </c>
      <c r="T16422">
        <v>39</v>
      </c>
      <c r="U16422" s="26" t="str">
        <f t="shared" si="618"/>
        <v>2023.033P.Pseudoviridae_Metaviridae_rename_sp.zip</v>
      </c>
    </row>
    <row r="16423" spans="1:21">
      <c r="A16423">
        <v>16422</v>
      </c>
      <c r="B16423" s="27" t="s">
        <v>1124</v>
      </c>
      <c r="D16423" s="27" t="s">
        <v>1969</v>
      </c>
      <c r="F16423" s="27" t="s">
        <v>1970</v>
      </c>
      <c r="H16423" s="27" t="s">
        <v>1971</v>
      </c>
      <c r="J16423" s="27" t="s">
        <v>848</v>
      </c>
      <c r="L16423" s="27" t="s">
        <v>465</v>
      </c>
      <c r="N16423" s="27" t="s">
        <v>466</v>
      </c>
      <c r="P16423" s="27" t="s">
        <v>17868</v>
      </c>
      <c r="Q16423" s="26" t="str">
        <f>HYPERLINK("https://ictv.global/taxonomy/taxondetails?taxnode_id=202504834&amp;ictv_id=ICTV19982385","ICTV19982385")</f>
        <v>ICTV19982385</v>
      </c>
      <c r="R16423" t="s">
        <v>584</v>
      </c>
      <c r="S16423" t="s">
        <v>824</v>
      </c>
      <c r="T16423">
        <v>39</v>
      </c>
      <c r="U16423" s="26" t="str">
        <f t="shared" ref="U16423:U16454" si="619">HYPERLINK("https://ictv.global/ictv/proposals/2023.033P.Pseudoviridae_Metaviridae_rename_sp.zip","2023.033P.Pseudoviridae_Metaviridae_rename_sp.zip")</f>
        <v>2023.033P.Pseudoviridae_Metaviridae_rename_sp.zip</v>
      </c>
    </row>
    <row r="16424" spans="1:21">
      <c r="A16424">
        <v>16423</v>
      </c>
      <c r="B16424" s="27" t="s">
        <v>1124</v>
      </c>
      <c r="D16424" s="27" t="s">
        <v>1969</v>
      </c>
      <c r="F16424" s="27" t="s">
        <v>1970</v>
      </c>
      <c r="H16424" s="27" t="s">
        <v>1971</v>
      </c>
      <c r="J16424" s="27" t="s">
        <v>848</v>
      </c>
      <c r="L16424" s="27" t="s">
        <v>465</v>
      </c>
      <c r="N16424" s="27" t="s">
        <v>466</v>
      </c>
      <c r="P16424" s="27" t="s">
        <v>17869</v>
      </c>
      <c r="Q16424" s="26" t="str">
        <f>HYPERLINK("https://ictv.global/taxonomy/taxondetails?taxnode_id=202504833&amp;ictv_id=ICTV19991519","ICTV19991519")</f>
        <v>ICTV19991519</v>
      </c>
      <c r="R16424" t="s">
        <v>584</v>
      </c>
      <c r="S16424" t="s">
        <v>824</v>
      </c>
      <c r="T16424">
        <v>39</v>
      </c>
      <c r="U16424" s="26" t="str">
        <f t="shared" si="619"/>
        <v>2023.033P.Pseudoviridae_Metaviridae_rename_sp.zip</v>
      </c>
    </row>
    <row r="16425" spans="1:21">
      <c r="A16425">
        <v>16424</v>
      </c>
      <c r="B16425" s="27" t="s">
        <v>1124</v>
      </c>
      <c r="D16425" s="27" t="s">
        <v>1969</v>
      </c>
      <c r="F16425" s="27" t="s">
        <v>1970</v>
      </c>
      <c r="H16425" s="27" t="s">
        <v>1971</v>
      </c>
      <c r="J16425" s="27" t="s">
        <v>848</v>
      </c>
      <c r="L16425" s="27" t="s">
        <v>465</v>
      </c>
      <c r="N16425" s="27" t="s">
        <v>466</v>
      </c>
      <c r="P16425" s="27" t="s">
        <v>17870</v>
      </c>
      <c r="Q16425" s="26" t="str">
        <f>HYPERLINK("https://ictv.global/taxonomy/taxondetails?taxnode_id=202504831&amp;ictv_id=ICTV20041901","ICTV20041901")</f>
        <v>ICTV20041901</v>
      </c>
      <c r="R16425" t="s">
        <v>584</v>
      </c>
      <c r="S16425" t="s">
        <v>824</v>
      </c>
      <c r="T16425">
        <v>39</v>
      </c>
      <c r="U16425" s="26" t="str">
        <f t="shared" si="619"/>
        <v>2023.033P.Pseudoviridae_Metaviridae_rename_sp.zip</v>
      </c>
    </row>
    <row r="16426" spans="1:21">
      <c r="A16426">
        <v>16425</v>
      </c>
      <c r="B16426" s="27" t="s">
        <v>1124</v>
      </c>
      <c r="D16426" s="27" t="s">
        <v>1969</v>
      </c>
      <c r="F16426" s="27" t="s">
        <v>1970</v>
      </c>
      <c r="H16426" s="27" t="s">
        <v>1971</v>
      </c>
      <c r="J16426" s="27" t="s">
        <v>848</v>
      </c>
      <c r="L16426" s="27" t="s">
        <v>465</v>
      </c>
      <c r="N16426" s="27" t="s">
        <v>466</v>
      </c>
      <c r="P16426" s="27" t="s">
        <v>17871</v>
      </c>
      <c r="Q16426" s="26" t="str">
        <f>HYPERLINK("https://ictv.global/taxonomy/taxondetails?taxnode_id=202504837&amp;ictv_id=ICTV19991522","ICTV19991522")</f>
        <v>ICTV19991522</v>
      </c>
      <c r="R16426" t="s">
        <v>584</v>
      </c>
      <c r="S16426" t="s">
        <v>824</v>
      </c>
      <c r="T16426">
        <v>39</v>
      </c>
      <c r="U16426" s="26" t="str">
        <f t="shared" si="619"/>
        <v>2023.033P.Pseudoviridae_Metaviridae_rename_sp.zip</v>
      </c>
    </row>
    <row r="16427" spans="1:21">
      <c r="A16427">
        <v>16426</v>
      </c>
      <c r="B16427" s="27" t="s">
        <v>1124</v>
      </c>
      <c r="D16427" s="27" t="s">
        <v>1969</v>
      </c>
      <c r="F16427" s="27" t="s">
        <v>1970</v>
      </c>
      <c r="H16427" s="27" t="s">
        <v>1971</v>
      </c>
      <c r="J16427" s="27" t="s">
        <v>848</v>
      </c>
      <c r="L16427" s="27" t="s">
        <v>465</v>
      </c>
      <c r="N16427" s="27" t="s">
        <v>466</v>
      </c>
      <c r="P16427" s="27" t="s">
        <v>17872</v>
      </c>
      <c r="Q16427" s="26" t="str">
        <f>HYPERLINK("https://ictv.global/taxonomy/taxondetails?taxnode_id=202504832&amp;ictv_id=ICTV20041902","ICTV20041902")</f>
        <v>ICTV20041902</v>
      </c>
      <c r="R16427" t="s">
        <v>584</v>
      </c>
      <c r="S16427" t="s">
        <v>824</v>
      </c>
      <c r="T16427">
        <v>39</v>
      </c>
      <c r="U16427" s="26" t="str">
        <f t="shared" si="619"/>
        <v>2023.033P.Pseudoviridae_Metaviridae_rename_sp.zip</v>
      </c>
    </row>
    <row r="16428" spans="1:21">
      <c r="A16428">
        <v>16427</v>
      </c>
      <c r="B16428" s="27" t="s">
        <v>1124</v>
      </c>
      <c r="D16428" s="27" t="s">
        <v>1969</v>
      </c>
      <c r="F16428" s="27" t="s">
        <v>1970</v>
      </c>
      <c r="H16428" s="27" t="s">
        <v>1971</v>
      </c>
      <c r="J16428" s="27" t="s">
        <v>848</v>
      </c>
      <c r="L16428" s="27" t="s">
        <v>465</v>
      </c>
      <c r="N16428" s="27" t="s">
        <v>466</v>
      </c>
      <c r="P16428" s="27" t="s">
        <v>17873</v>
      </c>
      <c r="Q16428" s="26" t="str">
        <f>HYPERLINK("https://ictv.global/taxonomy/taxondetails?taxnode_id=202504835&amp;ictv_id=ICTV19991521","ICTV19991521")</f>
        <v>ICTV19991521</v>
      </c>
      <c r="R16428" t="s">
        <v>584</v>
      </c>
      <c r="S16428" t="s">
        <v>824</v>
      </c>
      <c r="T16428">
        <v>39</v>
      </c>
      <c r="U16428" s="26" t="str">
        <f t="shared" si="619"/>
        <v>2023.033P.Pseudoviridae_Metaviridae_rename_sp.zip</v>
      </c>
    </row>
    <row r="16429" spans="1:21">
      <c r="A16429">
        <v>16428</v>
      </c>
      <c r="B16429" s="27" t="s">
        <v>1124</v>
      </c>
      <c r="D16429" s="27" t="s">
        <v>1969</v>
      </c>
      <c r="F16429" s="27" t="s">
        <v>1970</v>
      </c>
      <c r="H16429" s="27" t="s">
        <v>1971</v>
      </c>
      <c r="J16429" s="27" t="s">
        <v>848</v>
      </c>
      <c r="L16429" s="27" t="s">
        <v>465</v>
      </c>
      <c r="N16429" s="27" t="s">
        <v>466</v>
      </c>
      <c r="P16429" s="27" t="s">
        <v>17874</v>
      </c>
      <c r="Q16429" s="26" t="str">
        <f>HYPERLINK("https://ictv.global/taxonomy/taxondetails?taxnode_id=202504836&amp;ictv_id=ICTV20041906","ICTV20041906")</f>
        <v>ICTV20041906</v>
      </c>
      <c r="R16429" t="s">
        <v>584</v>
      </c>
      <c r="S16429" t="s">
        <v>824</v>
      </c>
      <c r="T16429">
        <v>39</v>
      </c>
      <c r="U16429" s="26" t="str">
        <f t="shared" si="619"/>
        <v>2023.033P.Pseudoviridae_Metaviridae_rename_sp.zip</v>
      </c>
    </row>
    <row r="16430" spans="1:21">
      <c r="A16430">
        <v>16429</v>
      </c>
      <c r="B16430" s="27" t="s">
        <v>1124</v>
      </c>
      <c r="D16430" s="27" t="s">
        <v>1969</v>
      </c>
      <c r="F16430" s="27" t="s">
        <v>1970</v>
      </c>
      <c r="H16430" s="27" t="s">
        <v>1971</v>
      </c>
      <c r="J16430" s="27" t="s">
        <v>848</v>
      </c>
      <c r="L16430" s="27" t="s">
        <v>465</v>
      </c>
      <c r="N16430" s="27" t="s">
        <v>417</v>
      </c>
      <c r="P16430" s="27" t="s">
        <v>17875</v>
      </c>
      <c r="Q16430" s="26" t="str">
        <f>HYPERLINK("https://ictv.global/taxonomy/taxondetails?taxnode_id=202504842&amp;ictv_id=ICTV19991523","ICTV19991523")</f>
        <v>ICTV19991523</v>
      </c>
      <c r="R16430" t="s">
        <v>584</v>
      </c>
      <c r="S16430" t="s">
        <v>824</v>
      </c>
      <c r="T16430">
        <v>39</v>
      </c>
      <c r="U16430" s="26" t="str">
        <f t="shared" si="619"/>
        <v>2023.033P.Pseudoviridae_Metaviridae_rename_sp.zip</v>
      </c>
    </row>
    <row r="16431" spans="1:21">
      <c r="A16431">
        <v>16430</v>
      </c>
      <c r="B16431" s="27" t="s">
        <v>1124</v>
      </c>
      <c r="D16431" s="27" t="s">
        <v>1969</v>
      </c>
      <c r="F16431" s="27" t="s">
        <v>1970</v>
      </c>
      <c r="H16431" s="27" t="s">
        <v>1971</v>
      </c>
      <c r="J16431" s="27" t="s">
        <v>848</v>
      </c>
      <c r="L16431" s="27" t="s">
        <v>465</v>
      </c>
      <c r="N16431" s="27" t="s">
        <v>417</v>
      </c>
      <c r="P16431" s="27" t="s">
        <v>17876</v>
      </c>
      <c r="Q16431" s="26" t="str">
        <f>HYPERLINK("https://ictv.global/taxonomy/taxondetails?taxnode_id=202504839&amp;ictv_id=ICTV20041908","ICTV20041908")</f>
        <v>ICTV20041908</v>
      </c>
      <c r="R16431" t="s">
        <v>584</v>
      </c>
      <c r="S16431" t="s">
        <v>824</v>
      </c>
      <c r="T16431">
        <v>39</v>
      </c>
      <c r="U16431" s="26" t="str">
        <f t="shared" si="619"/>
        <v>2023.033P.Pseudoviridae_Metaviridae_rename_sp.zip</v>
      </c>
    </row>
    <row r="16432" spans="1:21">
      <c r="A16432">
        <v>16431</v>
      </c>
      <c r="B16432" s="27" t="s">
        <v>1124</v>
      </c>
      <c r="D16432" s="27" t="s">
        <v>1969</v>
      </c>
      <c r="F16432" s="27" t="s">
        <v>1970</v>
      </c>
      <c r="H16432" s="27" t="s">
        <v>1971</v>
      </c>
      <c r="J16432" s="27" t="s">
        <v>848</v>
      </c>
      <c r="L16432" s="27" t="s">
        <v>465</v>
      </c>
      <c r="N16432" s="27" t="s">
        <v>417</v>
      </c>
      <c r="P16432" s="27" t="s">
        <v>17877</v>
      </c>
      <c r="Q16432" s="26" t="str">
        <f>HYPERLINK("https://ictv.global/taxonomy/taxondetails?taxnode_id=202504840&amp;ictv_id=ICTV20041909","ICTV20041909")</f>
        <v>ICTV20041909</v>
      </c>
      <c r="R16432" t="s">
        <v>584</v>
      </c>
      <c r="S16432" t="s">
        <v>824</v>
      </c>
      <c r="T16432">
        <v>39</v>
      </c>
      <c r="U16432" s="26" t="str">
        <f t="shared" si="619"/>
        <v>2023.033P.Pseudoviridae_Metaviridae_rename_sp.zip</v>
      </c>
    </row>
    <row r="16433" spans="1:21">
      <c r="A16433">
        <v>16432</v>
      </c>
      <c r="B16433" s="27" t="s">
        <v>1124</v>
      </c>
      <c r="D16433" s="27" t="s">
        <v>1969</v>
      </c>
      <c r="F16433" s="27" t="s">
        <v>1970</v>
      </c>
      <c r="H16433" s="27" t="s">
        <v>1971</v>
      </c>
      <c r="J16433" s="27" t="s">
        <v>848</v>
      </c>
      <c r="L16433" s="27" t="s">
        <v>465</v>
      </c>
      <c r="N16433" s="27" t="s">
        <v>417</v>
      </c>
      <c r="P16433" s="27" t="s">
        <v>17878</v>
      </c>
      <c r="Q16433" s="26" t="str">
        <f>HYPERLINK("https://ictv.global/taxonomy/taxondetails?taxnode_id=202504849&amp;ictv_id=ICTV20041918","ICTV20041918")</f>
        <v>ICTV20041918</v>
      </c>
      <c r="R16433" t="s">
        <v>584</v>
      </c>
      <c r="S16433" t="s">
        <v>824</v>
      </c>
      <c r="T16433">
        <v>39</v>
      </c>
      <c r="U16433" s="26" t="str">
        <f t="shared" si="619"/>
        <v>2023.033P.Pseudoviridae_Metaviridae_rename_sp.zip</v>
      </c>
    </row>
    <row r="16434" spans="1:21">
      <c r="A16434">
        <v>16433</v>
      </c>
      <c r="B16434" s="27" t="s">
        <v>1124</v>
      </c>
      <c r="D16434" s="27" t="s">
        <v>1969</v>
      </c>
      <c r="F16434" s="27" t="s">
        <v>1970</v>
      </c>
      <c r="H16434" s="27" t="s">
        <v>1971</v>
      </c>
      <c r="J16434" s="27" t="s">
        <v>848</v>
      </c>
      <c r="L16434" s="27" t="s">
        <v>465</v>
      </c>
      <c r="N16434" s="27" t="s">
        <v>417</v>
      </c>
      <c r="P16434" s="27" t="s">
        <v>17879</v>
      </c>
      <c r="Q16434" s="26" t="str">
        <f>HYPERLINK("https://ictv.global/taxonomy/taxondetails?taxnode_id=202504843&amp;ictv_id=ICTV20041912","ICTV20041912")</f>
        <v>ICTV20041912</v>
      </c>
      <c r="R16434" t="s">
        <v>584</v>
      </c>
      <c r="S16434" t="s">
        <v>824</v>
      </c>
      <c r="T16434">
        <v>39</v>
      </c>
      <c r="U16434" s="26" t="str">
        <f t="shared" si="619"/>
        <v>2023.033P.Pseudoviridae_Metaviridae_rename_sp.zip</v>
      </c>
    </row>
    <row r="16435" spans="1:21">
      <c r="A16435">
        <v>16434</v>
      </c>
      <c r="B16435" s="27" t="s">
        <v>1124</v>
      </c>
      <c r="D16435" s="27" t="s">
        <v>1969</v>
      </c>
      <c r="F16435" s="27" t="s">
        <v>1970</v>
      </c>
      <c r="H16435" s="27" t="s">
        <v>1971</v>
      </c>
      <c r="J16435" s="27" t="s">
        <v>848</v>
      </c>
      <c r="L16435" s="27" t="s">
        <v>465</v>
      </c>
      <c r="N16435" s="27" t="s">
        <v>417</v>
      </c>
      <c r="P16435" s="27" t="s">
        <v>17880</v>
      </c>
      <c r="Q16435" s="26" t="str">
        <f>HYPERLINK("https://ictv.global/taxonomy/taxondetails?taxnode_id=202504844&amp;ictv_id=ICTV20041913","ICTV20041913")</f>
        <v>ICTV20041913</v>
      </c>
      <c r="R16435" t="s">
        <v>584</v>
      </c>
      <c r="S16435" t="s">
        <v>824</v>
      </c>
      <c r="T16435">
        <v>39</v>
      </c>
      <c r="U16435" s="26" t="str">
        <f t="shared" si="619"/>
        <v>2023.033P.Pseudoviridae_Metaviridae_rename_sp.zip</v>
      </c>
    </row>
    <row r="16436" spans="1:21">
      <c r="A16436">
        <v>16435</v>
      </c>
      <c r="B16436" s="27" t="s">
        <v>1124</v>
      </c>
      <c r="D16436" s="27" t="s">
        <v>1969</v>
      </c>
      <c r="F16436" s="27" t="s">
        <v>1970</v>
      </c>
      <c r="H16436" s="27" t="s">
        <v>1971</v>
      </c>
      <c r="J16436" s="27" t="s">
        <v>848</v>
      </c>
      <c r="L16436" s="27" t="s">
        <v>465</v>
      </c>
      <c r="N16436" s="27" t="s">
        <v>417</v>
      </c>
      <c r="P16436" s="27" t="s">
        <v>17881</v>
      </c>
      <c r="Q16436" s="26" t="str">
        <f>HYPERLINK("https://ictv.global/taxonomy/taxondetails?taxnode_id=202504853&amp;ictv_id=ICTV19991529","ICTV19991529")</f>
        <v>ICTV19991529</v>
      </c>
      <c r="R16436" t="s">
        <v>584</v>
      </c>
      <c r="S16436" t="s">
        <v>824</v>
      </c>
      <c r="T16436">
        <v>39</v>
      </c>
      <c r="U16436" s="26" t="str">
        <f t="shared" si="619"/>
        <v>2023.033P.Pseudoviridae_Metaviridae_rename_sp.zip</v>
      </c>
    </row>
    <row r="16437" spans="1:21">
      <c r="A16437">
        <v>16436</v>
      </c>
      <c r="B16437" s="27" t="s">
        <v>1124</v>
      </c>
      <c r="D16437" s="27" t="s">
        <v>1969</v>
      </c>
      <c r="F16437" s="27" t="s">
        <v>1970</v>
      </c>
      <c r="H16437" s="27" t="s">
        <v>1971</v>
      </c>
      <c r="J16437" s="27" t="s">
        <v>848</v>
      </c>
      <c r="L16437" s="27" t="s">
        <v>465</v>
      </c>
      <c r="N16437" s="27" t="s">
        <v>417</v>
      </c>
      <c r="P16437" s="27" t="s">
        <v>17882</v>
      </c>
      <c r="Q16437" s="26" t="str">
        <f>HYPERLINK("https://ictv.global/taxonomy/taxondetails?taxnode_id=202504841&amp;ictv_id=ICTV20041910","ICTV20041910")</f>
        <v>ICTV20041910</v>
      </c>
      <c r="R16437" t="s">
        <v>584</v>
      </c>
      <c r="S16437" t="s">
        <v>824</v>
      </c>
      <c r="T16437">
        <v>39</v>
      </c>
      <c r="U16437" s="26" t="str">
        <f t="shared" si="619"/>
        <v>2023.033P.Pseudoviridae_Metaviridae_rename_sp.zip</v>
      </c>
    </row>
    <row r="16438" spans="1:21">
      <c r="A16438">
        <v>16437</v>
      </c>
      <c r="B16438" s="27" t="s">
        <v>1124</v>
      </c>
      <c r="D16438" s="27" t="s">
        <v>1969</v>
      </c>
      <c r="F16438" s="27" t="s">
        <v>1970</v>
      </c>
      <c r="H16438" s="27" t="s">
        <v>1971</v>
      </c>
      <c r="J16438" s="27" t="s">
        <v>848</v>
      </c>
      <c r="L16438" s="27" t="s">
        <v>465</v>
      </c>
      <c r="N16438" s="27" t="s">
        <v>417</v>
      </c>
      <c r="P16438" s="27" t="s">
        <v>17883</v>
      </c>
      <c r="Q16438" s="26" t="str">
        <f>HYPERLINK("https://ictv.global/taxonomy/taxondetails?taxnode_id=202504845&amp;ictv_id=ICTV20041914","ICTV20041914")</f>
        <v>ICTV20041914</v>
      </c>
      <c r="R16438" t="s">
        <v>584</v>
      </c>
      <c r="S16438" t="s">
        <v>824</v>
      </c>
      <c r="T16438">
        <v>39</v>
      </c>
      <c r="U16438" s="26" t="str">
        <f t="shared" si="619"/>
        <v>2023.033P.Pseudoviridae_Metaviridae_rename_sp.zip</v>
      </c>
    </row>
    <row r="16439" spans="1:21">
      <c r="A16439">
        <v>16438</v>
      </c>
      <c r="B16439" s="27" t="s">
        <v>1124</v>
      </c>
      <c r="D16439" s="27" t="s">
        <v>1969</v>
      </c>
      <c r="F16439" s="27" t="s">
        <v>1970</v>
      </c>
      <c r="H16439" s="27" t="s">
        <v>1971</v>
      </c>
      <c r="J16439" s="27" t="s">
        <v>848</v>
      </c>
      <c r="L16439" s="27" t="s">
        <v>465</v>
      </c>
      <c r="N16439" s="27" t="s">
        <v>417</v>
      </c>
      <c r="P16439" s="27" t="s">
        <v>17884</v>
      </c>
      <c r="Q16439" s="26" t="str">
        <f>HYPERLINK("https://ictv.global/taxonomy/taxondetails?taxnode_id=202504846&amp;ictv_id=ICTV19991524","ICTV19991524")</f>
        <v>ICTV19991524</v>
      </c>
      <c r="R16439" t="s">
        <v>584</v>
      </c>
      <c r="S16439" t="s">
        <v>824</v>
      </c>
      <c r="T16439">
        <v>39</v>
      </c>
      <c r="U16439" s="26" t="str">
        <f t="shared" si="619"/>
        <v>2023.033P.Pseudoviridae_Metaviridae_rename_sp.zip</v>
      </c>
    </row>
    <row r="16440" spans="1:21">
      <c r="A16440">
        <v>16439</v>
      </c>
      <c r="B16440" s="27" t="s">
        <v>1124</v>
      </c>
      <c r="D16440" s="27" t="s">
        <v>1969</v>
      </c>
      <c r="F16440" s="27" t="s">
        <v>1970</v>
      </c>
      <c r="H16440" s="27" t="s">
        <v>1971</v>
      </c>
      <c r="J16440" s="27" t="s">
        <v>848</v>
      </c>
      <c r="L16440" s="27" t="s">
        <v>465</v>
      </c>
      <c r="N16440" s="27" t="s">
        <v>417</v>
      </c>
      <c r="P16440" s="27" t="s">
        <v>17885</v>
      </c>
      <c r="Q16440" s="26" t="str">
        <f>HYPERLINK("https://ictv.global/taxonomy/taxondetails?taxnode_id=202504858&amp;ictv_id=ICTV20041927","ICTV20041927")</f>
        <v>ICTV20041927</v>
      </c>
      <c r="R16440" t="s">
        <v>584</v>
      </c>
      <c r="S16440" t="s">
        <v>824</v>
      </c>
      <c r="T16440">
        <v>39</v>
      </c>
      <c r="U16440" s="26" t="str">
        <f t="shared" si="619"/>
        <v>2023.033P.Pseudoviridae_Metaviridae_rename_sp.zip</v>
      </c>
    </row>
    <row r="16441" spans="1:21">
      <c r="A16441">
        <v>16440</v>
      </c>
      <c r="B16441" s="27" t="s">
        <v>1124</v>
      </c>
      <c r="D16441" s="27" t="s">
        <v>1969</v>
      </c>
      <c r="F16441" s="27" t="s">
        <v>1970</v>
      </c>
      <c r="H16441" s="27" t="s">
        <v>1971</v>
      </c>
      <c r="J16441" s="27" t="s">
        <v>848</v>
      </c>
      <c r="L16441" s="27" t="s">
        <v>465</v>
      </c>
      <c r="N16441" s="27" t="s">
        <v>417</v>
      </c>
      <c r="P16441" s="27" t="s">
        <v>17886</v>
      </c>
      <c r="Q16441" s="26" t="str">
        <f>HYPERLINK("https://ictv.global/taxonomy/taxondetails?taxnode_id=202504847&amp;ictv_id=ICTV19991525","ICTV19991525")</f>
        <v>ICTV19991525</v>
      </c>
      <c r="R16441" t="s">
        <v>584</v>
      </c>
      <c r="S16441" t="s">
        <v>824</v>
      </c>
      <c r="T16441">
        <v>39</v>
      </c>
      <c r="U16441" s="26" t="str">
        <f t="shared" si="619"/>
        <v>2023.033P.Pseudoviridae_Metaviridae_rename_sp.zip</v>
      </c>
    </row>
    <row r="16442" spans="1:21">
      <c r="A16442">
        <v>16441</v>
      </c>
      <c r="B16442" s="27" t="s">
        <v>1124</v>
      </c>
      <c r="D16442" s="27" t="s">
        <v>1969</v>
      </c>
      <c r="F16442" s="27" t="s">
        <v>1970</v>
      </c>
      <c r="H16442" s="27" t="s">
        <v>1971</v>
      </c>
      <c r="J16442" s="27" t="s">
        <v>848</v>
      </c>
      <c r="L16442" s="27" t="s">
        <v>465</v>
      </c>
      <c r="N16442" s="27" t="s">
        <v>417</v>
      </c>
      <c r="P16442" s="27" t="s">
        <v>17887</v>
      </c>
      <c r="Q16442" s="26" t="str">
        <f>HYPERLINK("https://ictv.global/taxonomy/taxondetails?taxnode_id=202504850&amp;ictv_id=ICTV20041919","ICTV20041919")</f>
        <v>ICTV20041919</v>
      </c>
      <c r="R16442" t="s">
        <v>584</v>
      </c>
      <c r="S16442" t="s">
        <v>824</v>
      </c>
      <c r="T16442">
        <v>39</v>
      </c>
      <c r="U16442" s="26" t="str">
        <f t="shared" si="619"/>
        <v>2023.033P.Pseudoviridae_Metaviridae_rename_sp.zip</v>
      </c>
    </row>
    <row r="16443" spans="1:21">
      <c r="A16443">
        <v>16442</v>
      </c>
      <c r="B16443" s="27" t="s">
        <v>1124</v>
      </c>
      <c r="D16443" s="27" t="s">
        <v>1969</v>
      </c>
      <c r="F16443" s="27" t="s">
        <v>1970</v>
      </c>
      <c r="H16443" s="27" t="s">
        <v>1971</v>
      </c>
      <c r="J16443" s="27" t="s">
        <v>848</v>
      </c>
      <c r="L16443" s="27" t="s">
        <v>465</v>
      </c>
      <c r="N16443" s="27" t="s">
        <v>417</v>
      </c>
      <c r="P16443" s="27" t="s">
        <v>17888</v>
      </c>
      <c r="Q16443" s="26" t="str">
        <f>HYPERLINK("https://ictv.global/taxonomy/taxondetails?taxnode_id=202504851&amp;ictv_id=ICTV19991527","ICTV19991527")</f>
        <v>ICTV19991527</v>
      </c>
      <c r="R16443" t="s">
        <v>584</v>
      </c>
      <c r="S16443" t="s">
        <v>824</v>
      </c>
      <c r="T16443">
        <v>39</v>
      </c>
      <c r="U16443" s="26" t="str">
        <f t="shared" si="619"/>
        <v>2023.033P.Pseudoviridae_Metaviridae_rename_sp.zip</v>
      </c>
    </row>
    <row r="16444" spans="1:21">
      <c r="A16444">
        <v>16443</v>
      </c>
      <c r="B16444" s="27" t="s">
        <v>1124</v>
      </c>
      <c r="D16444" s="27" t="s">
        <v>1969</v>
      </c>
      <c r="F16444" s="27" t="s">
        <v>1970</v>
      </c>
      <c r="H16444" s="27" t="s">
        <v>1971</v>
      </c>
      <c r="J16444" s="27" t="s">
        <v>848</v>
      </c>
      <c r="L16444" s="27" t="s">
        <v>465</v>
      </c>
      <c r="N16444" s="27" t="s">
        <v>417</v>
      </c>
      <c r="P16444" s="27" t="s">
        <v>17889</v>
      </c>
      <c r="Q16444" s="26" t="str">
        <f>HYPERLINK("https://ictv.global/taxonomy/taxondetails?taxnode_id=202504855&amp;ictv_id=ICTV19991531","ICTV19991531")</f>
        <v>ICTV19991531</v>
      </c>
      <c r="R16444" t="s">
        <v>584</v>
      </c>
      <c r="S16444" t="s">
        <v>824</v>
      </c>
      <c r="T16444">
        <v>39</v>
      </c>
      <c r="U16444" s="26" t="str">
        <f t="shared" si="619"/>
        <v>2023.033P.Pseudoviridae_Metaviridae_rename_sp.zip</v>
      </c>
    </row>
    <row r="16445" spans="1:21">
      <c r="A16445">
        <v>16444</v>
      </c>
      <c r="B16445" s="27" t="s">
        <v>1124</v>
      </c>
      <c r="D16445" s="27" t="s">
        <v>1969</v>
      </c>
      <c r="F16445" s="27" t="s">
        <v>1970</v>
      </c>
      <c r="H16445" s="27" t="s">
        <v>1971</v>
      </c>
      <c r="J16445" s="27" t="s">
        <v>848</v>
      </c>
      <c r="L16445" s="27" t="s">
        <v>465</v>
      </c>
      <c r="N16445" s="27" t="s">
        <v>417</v>
      </c>
      <c r="P16445" s="27" t="s">
        <v>17890</v>
      </c>
      <c r="Q16445" s="26" t="str">
        <f>HYPERLINK("https://ictv.global/taxonomy/taxondetails?taxnode_id=202504848&amp;ictv_id=ICTV19991526","ICTV19991526")</f>
        <v>ICTV19991526</v>
      </c>
      <c r="R16445" t="s">
        <v>584</v>
      </c>
      <c r="S16445" t="s">
        <v>824</v>
      </c>
      <c r="T16445">
        <v>39</v>
      </c>
      <c r="U16445" s="26" t="str">
        <f t="shared" si="619"/>
        <v>2023.033P.Pseudoviridae_Metaviridae_rename_sp.zip</v>
      </c>
    </row>
    <row r="16446" spans="1:21">
      <c r="A16446">
        <v>16445</v>
      </c>
      <c r="B16446" s="27" t="s">
        <v>1124</v>
      </c>
      <c r="D16446" s="27" t="s">
        <v>1969</v>
      </c>
      <c r="F16446" s="27" t="s">
        <v>1970</v>
      </c>
      <c r="H16446" s="27" t="s">
        <v>1971</v>
      </c>
      <c r="J16446" s="27" t="s">
        <v>848</v>
      </c>
      <c r="L16446" s="27" t="s">
        <v>465</v>
      </c>
      <c r="N16446" s="27" t="s">
        <v>417</v>
      </c>
      <c r="P16446" s="27" t="s">
        <v>17891</v>
      </c>
      <c r="Q16446" s="26" t="str">
        <f>HYPERLINK("https://ictv.global/taxonomy/taxondetails?taxnode_id=202504854&amp;ictv_id=ICTV19991530","ICTV19991530")</f>
        <v>ICTV19991530</v>
      </c>
      <c r="R16446" t="s">
        <v>584</v>
      </c>
      <c r="S16446" t="s">
        <v>824</v>
      </c>
      <c r="T16446">
        <v>39</v>
      </c>
      <c r="U16446" s="26" t="str">
        <f t="shared" si="619"/>
        <v>2023.033P.Pseudoviridae_Metaviridae_rename_sp.zip</v>
      </c>
    </row>
    <row r="16447" spans="1:21">
      <c r="A16447">
        <v>16446</v>
      </c>
      <c r="B16447" s="27" t="s">
        <v>1124</v>
      </c>
      <c r="D16447" s="27" t="s">
        <v>1969</v>
      </c>
      <c r="F16447" s="27" t="s">
        <v>1970</v>
      </c>
      <c r="H16447" s="27" t="s">
        <v>1971</v>
      </c>
      <c r="J16447" s="27" t="s">
        <v>848</v>
      </c>
      <c r="L16447" s="27" t="s">
        <v>465</v>
      </c>
      <c r="N16447" s="27" t="s">
        <v>417</v>
      </c>
      <c r="P16447" s="27" t="s">
        <v>17892</v>
      </c>
      <c r="Q16447" s="26" t="str">
        <f>HYPERLINK("https://ictv.global/taxonomy/taxondetails?taxnode_id=202504856&amp;ictv_id=ICTV19991532","ICTV19991532")</f>
        <v>ICTV19991532</v>
      </c>
      <c r="R16447" t="s">
        <v>584</v>
      </c>
      <c r="S16447" t="s">
        <v>824</v>
      </c>
      <c r="T16447">
        <v>39</v>
      </c>
      <c r="U16447" s="26" t="str">
        <f t="shared" si="619"/>
        <v>2023.033P.Pseudoviridae_Metaviridae_rename_sp.zip</v>
      </c>
    </row>
    <row r="16448" spans="1:21">
      <c r="A16448">
        <v>16447</v>
      </c>
      <c r="B16448" s="27" t="s">
        <v>1124</v>
      </c>
      <c r="D16448" s="27" t="s">
        <v>1969</v>
      </c>
      <c r="F16448" s="27" t="s">
        <v>1970</v>
      </c>
      <c r="H16448" s="27" t="s">
        <v>1971</v>
      </c>
      <c r="J16448" s="27" t="s">
        <v>848</v>
      </c>
      <c r="L16448" s="27" t="s">
        <v>465</v>
      </c>
      <c r="N16448" s="27" t="s">
        <v>417</v>
      </c>
      <c r="P16448" s="27" t="s">
        <v>17893</v>
      </c>
      <c r="Q16448" s="26" t="str">
        <f>HYPERLINK("https://ictv.global/taxonomy/taxondetails?taxnode_id=202504852&amp;ictv_id=ICTV19982386","ICTV19982386")</f>
        <v>ICTV19982386</v>
      </c>
      <c r="R16448" t="s">
        <v>584</v>
      </c>
      <c r="S16448" t="s">
        <v>824</v>
      </c>
      <c r="T16448">
        <v>39</v>
      </c>
      <c r="U16448" s="26" t="str">
        <f t="shared" si="619"/>
        <v>2023.033P.Pseudoviridae_Metaviridae_rename_sp.zip</v>
      </c>
    </row>
    <row r="16449" spans="1:21">
      <c r="A16449">
        <v>16448</v>
      </c>
      <c r="B16449" s="27" t="s">
        <v>1124</v>
      </c>
      <c r="D16449" s="27" t="s">
        <v>1969</v>
      </c>
      <c r="F16449" s="27" t="s">
        <v>1970</v>
      </c>
      <c r="H16449" s="27" t="s">
        <v>1971</v>
      </c>
      <c r="J16449" s="27" t="s">
        <v>848</v>
      </c>
      <c r="L16449" s="27" t="s">
        <v>465</v>
      </c>
      <c r="N16449" s="27" t="s">
        <v>417</v>
      </c>
      <c r="P16449" s="27" t="s">
        <v>17894</v>
      </c>
      <c r="Q16449" s="26" t="str">
        <f>HYPERLINK("https://ictv.global/taxonomy/taxondetails?taxnode_id=202504857&amp;ictv_id=ICTV19991533","ICTV19991533")</f>
        <v>ICTV19991533</v>
      </c>
      <c r="R16449" t="s">
        <v>584</v>
      </c>
      <c r="S16449" t="s">
        <v>824</v>
      </c>
      <c r="T16449">
        <v>39</v>
      </c>
      <c r="U16449" s="26" t="str">
        <f t="shared" si="619"/>
        <v>2023.033P.Pseudoviridae_Metaviridae_rename_sp.zip</v>
      </c>
    </row>
    <row r="16450" spans="1:21">
      <c r="A16450">
        <v>16449</v>
      </c>
      <c r="B16450" s="27" t="s">
        <v>1124</v>
      </c>
      <c r="D16450" s="27" t="s">
        <v>1969</v>
      </c>
      <c r="F16450" s="27" t="s">
        <v>1970</v>
      </c>
      <c r="H16450" s="27" t="s">
        <v>1971</v>
      </c>
      <c r="J16450" s="27" t="s">
        <v>848</v>
      </c>
      <c r="L16450" s="27" t="s">
        <v>465</v>
      </c>
      <c r="N16450" s="27" t="s">
        <v>185</v>
      </c>
      <c r="P16450" s="27" t="s">
        <v>17895</v>
      </c>
      <c r="Q16450" s="26" t="str">
        <f>HYPERLINK("https://ictv.global/taxonomy/taxondetails?taxnode_id=202504860&amp;ictv_id=ICTV20041928","ICTV20041928")</f>
        <v>ICTV20041928</v>
      </c>
      <c r="R16450" t="s">
        <v>584</v>
      </c>
      <c r="S16450" t="s">
        <v>824</v>
      </c>
      <c r="T16450">
        <v>39</v>
      </c>
      <c r="U16450" s="26" t="str">
        <f t="shared" si="619"/>
        <v>2023.033P.Pseudoviridae_Metaviridae_rename_sp.zip</v>
      </c>
    </row>
    <row r="16451" spans="1:21">
      <c r="A16451">
        <v>16450</v>
      </c>
      <c r="B16451" s="27" t="s">
        <v>1124</v>
      </c>
      <c r="D16451" s="27" t="s">
        <v>1969</v>
      </c>
      <c r="F16451" s="27" t="s">
        <v>1970</v>
      </c>
      <c r="H16451" s="27" t="s">
        <v>1971</v>
      </c>
      <c r="J16451" s="27" t="s">
        <v>848</v>
      </c>
      <c r="L16451" s="27" t="s">
        <v>465</v>
      </c>
      <c r="N16451" s="27" t="s">
        <v>185</v>
      </c>
      <c r="P16451" s="27" t="s">
        <v>17896</v>
      </c>
      <c r="Q16451" s="26" t="str">
        <f>HYPERLINK("https://ictv.global/taxonomy/taxondetails?taxnode_id=202504861&amp;ictv_id=ICTV20041929","ICTV20041929")</f>
        <v>ICTV20041929</v>
      </c>
      <c r="R16451" t="s">
        <v>584</v>
      </c>
      <c r="S16451" t="s">
        <v>824</v>
      </c>
      <c r="T16451">
        <v>39</v>
      </c>
      <c r="U16451" s="26" t="str">
        <f t="shared" si="619"/>
        <v>2023.033P.Pseudoviridae_Metaviridae_rename_sp.zip</v>
      </c>
    </row>
    <row r="16452" spans="1:21">
      <c r="A16452">
        <v>16451</v>
      </c>
      <c r="B16452" s="27" t="s">
        <v>1124</v>
      </c>
      <c r="D16452" s="27" t="s">
        <v>1969</v>
      </c>
      <c r="F16452" s="27" t="s">
        <v>1970</v>
      </c>
      <c r="H16452" s="27" t="s">
        <v>1971</v>
      </c>
      <c r="J16452" s="27" t="s">
        <v>848</v>
      </c>
      <c r="L16452" s="27" t="s">
        <v>465</v>
      </c>
      <c r="N16452" s="27" t="s">
        <v>185</v>
      </c>
      <c r="P16452" s="27" t="s">
        <v>17897</v>
      </c>
      <c r="Q16452" s="26" t="str">
        <f>HYPERLINK("https://ictv.global/taxonomy/taxondetails?taxnode_id=202504862&amp;ictv_id=ICTV20041930","ICTV20041930")</f>
        <v>ICTV20041930</v>
      </c>
      <c r="R16452" t="s">
        <v>584</v>
      </c>
      <c r="S16452" t="s">
        <v>824</v>
      </c>
      <c r="T16452">
        <v>39</v>
      </c>
      <c r="U16452" s="26" t="str">
        <f t="shared" si="619"/>
        <v>2023.033P.Pseudoviridae_Metaviridae_rename_sp.zip</v>
      </c>
    </row>
    <row r="16453" spans="1:21">
      <c r="A16453">
        <v>16452</v>
      </c>
      <c r="B16453" s="27" t="s">
        <v>1124</v>
      </c>
      <c r="D16453" s="27" t="s">
        <v>1969</v>
      </c>
      <c r="F16453" s="27" t="s">
        <v>1970</v>
      </c>
      <c r="H16453" s="27" t="s">
        <v>1971</v>
      </c>
      <c r="J16453" s="27" t="s">
        <v>848</v>
      </c>
      <c r="L16453" s="27" t="s">
        <v>465</v>
      </c>
      <c r="N16453" s="27" t="s">
        <v>185</v>
      </c>
      <c r="P16453" s="27" t="s">
        <v>17898</v>
      </c>
      <c r="Q16453" s="26" t="str">
        <f>HYPERLINK("https://ictv.global/taxonomy/taxondetails?taxnode_id=202504864&amp;ictv_id=ICTV20041932","ICTV20041932")</f>
        <v>ICTV20041932</v>
      </c>
      <c r="R16453" t="s">
        <v>584</v>
      </c>
      <c r="S16453" t="s">
        <v>824</v>
      </c>
      <c r="T16453">
        <v>39</v>
      </c>
      <c r="U16453" s="26" t="str">
        <f t="shared" si="619"/>
        <v>2023.033P.Pseudoviridae_Metaviridae_rename_sp.zip</v>
      </c>
    </row>
    <row r="16454" spans="1:21">
      <c r="A16454">
        <v>16453</v>
      </c>
      <c r="B16454" s="27" t="s">
        <v>1124</v>
      </c>
      <c r="D16454" s="27" t="s">
        <v>1969</v>
      </c>
      <c r="F16454" s="27" t="s">
        <v>1970</v>
      </c>
      <c r="H16454" s="27" t="s">
        <v>1971</v>
      </c>
      <c r="J16454" s="27" t="s">
        <v>848</v>
      </c>
      <c r="L16454" s="27" t="s">
        <v>465</v>
      </c>
      <c r="N16454" s="27" t="s">
        <v>185</v>
      </c>
      <c r="P16454" s="27" t="s">
        <v>17899</v>
      </c>
      <c r="Q16454" s="26" t="str">
        <f>HYPERLINK("https://ictv.global/taxonomy/taxondetails?taxnode_id=202504863&amp;ictv_id=ICTV20041931","ICTV20041931")</f>
        <v>ICTV20041931</v>
      </c>
      <c r="R16454" t="s">
        <v>584</v>
      </c>
      <c r="S16454" t="s">
        <v>824</v>
      </c>
      <c r="T16454">
        <v>39</v>
      </c>
      <c r="U16454" s="26" t="str">
        <f t="shared" si="619"/>
        <v>2023.033P.Pseudoviridae_Metaviridae_rename_sp.zip</v>
      </c>
    </row>
    <row r="16455" spans="1:21">
      <c r="A16455">
        <v>16454</v>
      </c>
      <c r="B16455" s="27" t="s">
        <v>1124</v>
      </c>
      <c r="D16455" s="27" t="s">
        <v>1969</v>
      </c>
      <c r="F16455" s="27" t="s">
        <v>1970</v>
      </c>
      <c r="H16455" s="27" t="s">
        <v>1971</v>
      </c>
      <c r="J16455" s="27" t="s">
        <v>848</v>
      </c>
      <c r="L16455" s="27" t="s">
        <v>132</v>
      </c>
      <c r="M16455" s="27" t="s">
        <v>133</v>
      </c>
      <c r="N16455" s="27" t="s">
        <v>134</v>
      </c>
      <c r="P16455" s="27" t="s">
        <v>17900</v>
      </c>
      <c r="Q16455" s="26" t="str">
        <f>HYPERLINK("https://ictv.global/taxonomy/taxondetails?taxnode_id=202504982&amp;ictv_id=ICTV19952066","ICTV19952066")</f>
        <v>ICTV19952066</v>
      </c>
      <c r="R16455" t="s">
        <v>584</v>
      </c>
      <c r="S16455" t="s">
        <v>824</v>
      </c>
      <c r="T16455">
        <v>39</v>
      </c>
      <c r="U16455" s="26" t="str">
        <f t="shared" ref="U16455:U16500" si="620">HYPERLINK("https://ictv.global/ictv/proposals/2023.009D.Retroviridae_68rensp.zip","2023.009D.Retroviridae_68rensp.zip")</f>
        <v>2023.009D.Retroviridae_68rensp.zip</v>
      </c>
    </row>
    <row r="16456" spans="1:21">
      <c r="A16456">
        <v>16455</v>
      </c>
      <c r="B16456" s="27" t="s">
        <v>1124</v>
      </c>
      <c r="D16456" s="27" t="s">
        <v>1969</v>
      </c>
      <c r="F16456" s="27" t="s">
        <v>1970</v>
      </c>
      <c r="H16456" s="27" t="s">
        <v>1971</v>
      </c>
      <c r="J16456" s="27" t="s">
        <v>848</v>
      </c>
      <c r="L16456" s="27" t="s">
        <v>132</v>
      </c>
      <c r="M16456" s="27" t="s">
        <v>133</v>
      </c>
      <c r="N16456" s="27" t="s">
        <v>134</v>
      </c>
      <c r="P16456" s="27" t="s">
        <v>17901</v>
      </c>
      <c r="Q16456" s="26" t="str">
        <f>HYPERLINK("https://ictv.global/taxonomy/taxondetails?taxnode_id=202504987&amp;ictv_id=ICTV19952070","ICTV19952070")</f>
        <v>ICTV19952070</v>
      </c>
      <c r="R16456" t="s">
        <v>584</v>
      </c>
      <c r="S16456" t="s">
        <v>824</v>
      </c>
      <c r="T16456">
        <v>39</v>
      </c>
      <c r="U16456" s="26" t="str">
        <f t="shared" si="620"/>
        <v>2023.009D.Retroviridae_68rensp.zip</v>
      </c>
    </row>
    <row r="16457" spans="1:21">
      <c r="A16457">
        <v>16456</v>
      </c>
      <c r="B16457" s="27" t="s">
        <v>1124</v>
      </c>
      <c r="D16457" s="27" t="s">
        <v>1969</v>
      </c>
      <c r="F16457" s="27" t="s">
        <v>1970</v>
      </c>
      <c r="H16457" s="27" t="s">
        <v>1971</v>
      </c>
      <c r="J16457" s="27" t="s">
        <v>848</v>
      </c>
      <c r="L16457" s="27" t="s">
        <v>132</v>
      </c>
      <c r="M16457" s="27" t="s">
        <v>133</v>
      </c>
      <c r="N16457" s="27" t="s">
        <v>134</v>
      </c>
      <c r="P16457" s="27" t="s">
        <v>17902</v>
      </c>
      <c r="Q16457" s="26" t="str">
        <f>HYPERLINK("https://ictv.global/taxonomy/taxondetails?taxnode_id=202504983&amp;ictv_id=ICTV19911431","ICTV19911431")</f>
        <v>ICTV19911431</v>
      </c>
      <c r="R16457" t="s">
        <v>584</v>
      </c>
      <c r="S16457" t="s">
        <v>824</v>
      </c>
      <c r="T16457">
        <v>39</v>
      </c>
      <c r="U16457" s="26" t="str">
        <f t="shared" si="620"/>
        <v>2023.009D.Retroviridae_68rensp.zip</v>
      </c>
    </row>
    <row r="16458" spans="1:21">
      <c r="A16458">
        <v>16457</v>
      </c>
      <c r="B16458" s="27" t="s">
        <v>1124</v>
      </c>
      <c r="D16458" s="27" t="s">
        <v>1969</v>
      </c>
      <c r="F16458" s="27" t="s">
        <v>1970</v>
      </c>
      <c r="H16458" s="27" t="s">
        <v>1971</v>
      </c>
      <c r="J16458" s="27" t="s">
        <v>848</v>
      </c>
      <c r="L16458" s="27" t="s">
        <v>132</v>
      </c>
      <c r="M16458" s="27" t="s">
        <v>133</v>
      </c>
      <c r="N16458" s="27" t="s">
        <v>134</v>
      </c>
      <c r="P16458" s="27" t="s">
        <v>17903</v>
      </c>
      <c r="Q16458" s="26" t="str">
        <f>HYPERLINK("https://ictv.global/taxonomy/taxondetails?taxnode_id=202504984&amp;ictv_id=ICTV19952068","ICTV19952068")</f>
        <v>ICTV19952068</v>
      </c>
      <c r="R16458" t="s">
        <v>584</v>
      </c>
      <c r="S16458" t="s">
        <v>824</v>
      </c>
      <c r="T16458">
        <v>39</v>
      </c>
      <c r="U16458" s="26" t="str">
        <f t="shared" si="620"/>
        <v>2023.009D.Retroviridae_68rensp.zip</v>
      </c>
    </row>
    <row r="16459" spans="1:21">
      <c r="A16459">
        <v>16458</v>
      </c>
      <c r="B16459" s="27" t="s">
        <v>1124</v>
      </c>
      <c r="D16459" s="27" t="s">
        <v>1969</v>
      </c>
      <c r="F16459" s="27" t="s">
        <v>1970</v>
      </c>
      <c r="H16459" s="27" t="s">
        <v>1971</v>
      </c>
      <c r="J16459" s="27" t="s">
        <v>848</v>
      </c>
      <c r="L16459" s="27" t="s">
        <v>132</v>
      </c>
      <c r="M16459" s="27" t="s">
        <v>133</v>
      </c>
      <c r="N16459" s="27" t="s">
        <v>134</v>
      </c>
      <c r="P16459" s="27" t="s">
        <v>17904</v>
      </c>
      <c r="Q16459" s="26" t="str">
        <f>HYPERLINK("https://ictv.global/taxonomy/taxondetails?taxnode_id=202504985&amp;ictv_id=ICTV19952069","ICTV19952069")</f>
        <v>ICTV19952069</v>
      </c>
      <c r="R16459" t="s">
        <v>584</v>
      </c>
      <c r="S16459" t="s">
        <v>824</v>
      </c>
      <c r="T16459">
        <v>39</v>
      </c>
      <c r="U16459" s="26" t="str">
        <f t="shared" si="620"/>
        <v>2023.009D.Retroviridae_68rensp.zip</v>
      </c>
    </row>
    <row r="16460" spans="1:21">
      <c r="A16460">
        <v>16459</v>
      </c>
      <c r="B16460" s="27" t="s">
        <v>1124</v>
      </c>
      <c r="D16460" s="27" t="s">
        <v>1969</v>
      </c>
      <c r="F16460" s="27" t="s">
        <v>1970</v>
      </c>
      <c r="H16460" s="27" t="s">
        <v>1971</v>
      </c>
      <c r="J16460" s="27" t="s">
        <v>848</v>
      </c>
      <c r="L16460" s="27" t="s">
        <v>132</v>
      </c>
      <c r="M16460" s="27" t="s">
        <v>133</v>
      </c>
      <c r="N16460" s="27" t="s">
        <v>134</v>
      </c>
      <c r="P16460" s="27" t="s">
        <v>17905</v>
      </c>
      <c r="Q16460" s="26" t="str">
        <f>HYPERLINK("https://ictv.global/taxonomy/taxondetails?taxnode_id=202504988&amp;ictv_id=ICTV19952071","ICTV19952071")</f>
        <v>ICTV19952071</v>
      </c>
      <c r="R16460" t="s">
        <v>584</v>
      </c>
      <c r="S16460" t="s">
        <v>824</v>
      </c>
      <c r="T16460">
        <v>39</v>
      </c>
      <c r="U16460" s="26" t="str">
        <f t="shared" si="620"/>
        <v>2023.009D.Retroviridae_68rensp.zip</v>
      </c>
    </row>
    <row r="16461" spans="1:21">
      <c r="A16461">
        <v>16460</v>
      </c>
      <c r="B16461" s="27" t="s">
        <v>1124</v>
      </c>
      <c r="D16461" s="27" t="s">
        <v>1969</v>
      </c>
      <c r="F16461" s="27" t="s">
        <v>1970</v>
      </c>
      <c r="H16461" s="27" t="s">
        <v>1971</v>
      </c>
      <c r="J16461" s="27" t="s">
        <v>848</v>
      </c>
      <c r="L16461" s="27" t="s">
        <v>132</v>
      </c>
      <c r="M16461" s="27" t="s">
        <v>133</v>
      </c>
      <c r="N16461" s="27" t="s">
        <v>134</v>
      </c>
      <c r="P16461" s="27" t="s">
        <v>17906</v>
      </c>
      <c r="Q16461" s="26" t="str">
        <f>HYPERLINK("https://ictv.global/taxonomy/taxondetails?taxnode_id=202504986&amp;ictv_id=ICTV19991603","ICTV19991603")</f>
        <v>ICTV19991603</v>
      </c>
      <c r="R16461" t="s">
        <v>584</v>
      </c>
      <c r="S16461" t="s">
        <v>824</v>
      </c>
      <c r="T16461">
        <v>39</v>
      </c>
      <c r="U16461" s="26" t="str">
        <f t="shared" si="620"/>
        <v>2023.009D.Retroviridae_68rensp.zip</v>
      </c>
    </row>
    <row r="16462" spans="1:21">
      <c r="A16462">
        <v>16461</v>
      </c>
      <c r="B16462" s="27" t="s">
        <v>1124</v>
      </c>
      <c r="D16462" s="27" t="s">
        <v>1969</v>
      </c>
      <c r="F16462" s="27" t="s">
        <v>1970</v>
      </c>
      <c r="H16462" s="27" t="s">
        <v>1971</v>
      </c>
      <c r="J16462" s="27" t="s">
        <v>848</v>
      </c>
      <c r="L16462" s="27" t="s">
        <v>132</v>
      </c>
      <c r="M16462" s="27" t="s">
        <v>133</v>
      </c>
      <c r="N16462" s="27" t="s">
        <v>134</v>
      </c>
      <c r="P16462" s="27" t="s">
        <v>17907</v>
      </c>
      <c r="Q16462" s="26" t="str">
        <f>HYPERLINK("https://ictv.global/taxonomy/taxondetails?taxnode_id=202504989&amp;ictv_id=ICTV19952072","ICTV19952072")</f>
        <v>ICTV19952072</v>
      </c>
      <c r="R16462" t="s">
        <v>584</v>
      </c>
      <c r="S16462" t="s">
        <v>824</v>
      </c>
      <c r="T16462">
        <v>39</v>
      </c>
      <c r="U16462" s="26" t="str">
        <f t="shared" si="620"/>
        <v>2023.009D.Retroviridae_68rensp.zip</v>
      </c>
    </row>
    <row r="16463" spans="1:21">
      <c r="A16463">
        <v>16462</v>
      </c>
      <c r="B16463" s="27" t="s">
        <v>1124</v>
      </c>
      <c r="D16463" s="27" t="s">
        <v>1969</v>
      </c>
      <c r="F16463" s="27" t="s">
        <v>1970</v>
      </c>
      <c r="H16463" s="27" t="s">
        <v>1971</v>
      </c>
      <c r="J16463" s="27" t="s">
        <v>848</v>
      </c>
      <c r="L16463" s="27" t="s">
        <v>132</v>
      </c>
      <c r="M16463" s="27" t="s">
        <v>133</v>
      </c>
      <c r="N16463" s="27" t="s">
        <v>134</v>
      </c>
      <c r="P16463" s="27" t="s">
        <v>17908</v>
      </c>
      <c r="Q16463" s="26" t="str">
        <f>HYPERLINK("https://ictv.global/taxonomy/taxondetails?taxnode_id=202504990&amp;ictv_id=ICTV19952073","ICTV19952073")</f>
        <v>ICTV19952073</v>
      </c>
      <c r="R16463" t="s">
        <v>584</v>
      </c>
      <c r="S16463" t="s">
        <v>824</v>
      </c>
      <c r="T16463">
        <v>39</v>
      </c>
      <c r="U16463" s="26" t="str">
        <f t="shared" si="620"/>
        <v>2023.009D.Retroviridae_68rensp.zip</v>
      </c>
    </row>
    <row r="16464" spans="1:21">
      <c r="A16464">
        <v>16463</v>
      </c>
      <c r="B16464" s="27" t="s">
        <v>1124</v>
      </c>
      <c r="D16464" s="27" t="s">
        <v>1969</v>
      </c>
      <c r="F16464" s="27" t="s">
        <v>1970</v>
      </c>
      <c r="H16464" s="27" t="s">
        <v>1971</v>
      </c>
      <c r="J16464" s="27" t="s">
        <v>848</v>
      </c>
      <c r="L16464" s="27" t="s">
        <v>132</v>
      </c>
      <c r="M16464" s="27" t="s">
        <v>133</v>
      </c>
      <c r="N16464" s="27" t="s">
        <v>182</v>
      </c>
      <c r="P16464" s="27" t="s">
        <v>17909</v>
      </c>
      <c r="Q16464" s="26" t="str">
        <f>HYPERLINK("https://ictv.global/taxonomy/taxondetails?taxnode_id=202504993&amp;ictv_id=ICTV19911458","ICTV19911458")</f>
        <v>ICTV19911458</v>
      </c>
      <c r="R16464" t="s">
        <v>584</v>
      </c>
      <c r="S16464" t="s">
        <v>824</v>
      </c>
      <c r="T16464">
        <v>39</v>
      </c>
      <c r="U16464" s="26" t="str">
        <f t="shared" si="620"/>
        <v>2023.009D.Retroviridae_68rensp.zip</v>
      </c>
    </row>
    <row r="16465" spans="1:21">
      <c r="A16465">
        <v>16464</v>
      </c>
      <c r="B16465" s="27" t="s">
        <v>1124</v>
      </c>
      <c r="D16465" s="27" t="s">
        <v>1969</v>
      </c>
      <c r="F16465" s="27" t="s">
        <v>1970</v>
      </c>
      <c r="H16465" s="27" t="s">
        <v>1971</v>
      </c>
      <c r="J16465" s="27" t="s">
        <v>848</v>
      </c>
      <c r="L16465" s="27" t="s">
        <v>132</v>
      </c>
      <c r="M16465" s="27" t="s">
        <v>133</v>
      </c>
      <c r="N16465" s="27" t="s">
        <v>182</v>
      </c>
      <c r="P16465" s="27" t="s">
        <v>17910</v>
      </c>
      <c r="Q16465" s="26" t="str">
        <f>HYPERLINK("https://ictv.global/taxonomy/taxondetails?taxnode_id=202504994&amp;ictv_id=ICTV19991609","ICTV19991609")</f>
        <v>ICTV19991609</v>
      </c>
      <c r="R16465" t="s">
        <v>584</v>
      </c>
      <c r="S16465" t="s">
        <v>824</v>
      </c>
      <c r="T16465">
        <v>39</v>
      </c>
      <c r="U16465" s="26" t="str">
        <f t="shared" si="620"/>
        <v>2023.009D.Retroviridae_68rensp.zip</v>
      </c>
    </row>
    <row r="16466" spans="1:21">
      <c r="A16466">
        <v>16465</v>
      </c>
      <c r="B16466" s="27" t="s">
        <v>1124</v>
      </c>
      <c r="D16466" s="27" t="s">
        <v>1969</v>
      </c>
      <c r="F16466" s="27" t="s">
        <v>1970</v>
      </c>
      <c r="H16466" s="27" t="s">
        <v>1971</v>
      </c>
      <c r="J16466" s="27" t="s">
        <v>848</v>
      </c>
      <c r="L16466" s="27" t="s">
        <v>132</v>
      </c>
      <c r="M16466" s="27" t="s">
        <v>133</v>
      </c>
      <c r="N16466" s="27" t="s">
        <v>182</v>
      </c>
      <c r="P16466" s="27" t="s">
        <v>17911</v>
      </c>
      <c r="Q16466" s="26" t="str">
        <f>HYPERLINK("https://ictv.global/taxonomy/taxondetails?taxnode_id=202504995&amp;ictv_id=ICTV19710207","ICTV19710207")</f>
        <v>ICTV19710207</v>
      </c>
      <c r="R16466" t="s">
        <v>584</v>
      </c>
      <c r="S16466" t="s">
        <v>824</v>
      </c>
      <c r="T16466">
        <v>39</v>
      </c>
      <c r="U16466" s="26" t="str">
        <f t="shared" si="620"/>
        <v>2023.009D.Retroviridae_68rensp.zip</v>
      </c>
    </row>
    <row r="16467" spans="1:21">
      <c r="A16467">
        <v>16466</v>
      </c>
      <c r="B16467" s="27" t="s">
        <v>1124</v>
      </c>
      <c r="D16467" s="27" t="s">
        <v>1969</v>
      </c>
      <c r="F16467" s="27" t="s">
        <v>1970</v>
      </c>
      <c r="H16467" s="27" t="s">
        <v>1971</v>
      </c>
      <c r="J16467" s="27" t="s">
        <v>848</v>
      </c>
      <c r="L16467" s="27" t="s">
        <v>132</v>
      </c>
      <c r="M16467" s="27" t="s">
        <v>133</v>
      </c>
      <c r="N16467" s="27" t="s">
        <v>182</v>
      </c>
      <c r="P16467" s="27" t="s">
        <v>17912</v>
      </c>
      <c r="Q16467" s="26" t="str">
        <f>HYPERLINK("https://ictv.global/taxonomy/taxondetails?taxnode_id=202504992&amp;ictv_id=ICTV19952113","ICTV19952113")</f>
        <v>ICTV19952113</v>
      </c>
      <c r="R16467" t="s">
        <v>584</v>
      </c>
      <c r="S16467" t="s">
        <v>824</v>
      </c>
      <c r="T16467">
        <v>39</v>
      </c>
      <c r="U16467" s="26" t="str">
        <f t="shared" si="620"/>
        <v>2023.009D.Retroviridae_68rensp.zip</v>
      </c>
    </row>
    <row r="16468" spans="1:21">
      <c r="A16468">
        <v>16467</v>
      </c>
      <c r="B16468" s="27" t="s">
        <v>1124</v>
      </c>
      <c r="D16468" s="27" t="s">
        <v>1969</v>
      </c>
      <c r="F16468" s="27" t="s">
        <v>1970</v>
      </c>
      <c r="H16468" s="27" t="s">
        <v>1971</v>
      </c>
      <c r="J16468" s="27" t="s">
        <v>848</v>
      </c>
      <c r="L16468" s="27" t="s">
        <v>132</v>
      </c>
      <c r="M16468" s="27" t="s">
        <v>133</v>
      </c>
      <c r="N16468" s="27" t="s">
        <v>182</v>
      </c>
      <c r="P16468" s="27" t="s">
        <v>17913</v>
      </c>
      <c r="Q16468" s="26" t="str">
        <f>HYPERLINK("https://ictv.global/taxonomy/taxondetails?taxnode_id=202504996&amp;ictv_id=ICTV19911460","ICTV19911460")</f>
        <v>ICTV19911460</v>
      </c>
      <c r="R16468" t="s">
        <v>584</v>
      </c>
      <c r="S16468" t="s">
        <v>824</v>
      </c>
      <c r="T16468">
        <v>39</v>
      </c>
      <c r="U16468" s="26" t="str">
        <f t="shared" si="620"/>
        <v>2023.009D.Retroviridae_68rensp.zip</v>
      </c>
    </row>
    <row r="16469" spans="1:21">
      <c r="A16469">
        <v>16468</v>
      </c>
      <c r="B16469" s="27" t="s">
        <v>1124</v>
      </c>
      <c r="D16469" s="27" t="s">
        <v>1969</v>
      </c>
      <c r="F16469" s="27" t="s">
        <v>1970</v>
      </c>
      <c r="H16469" s="27" t="s">
        <v>1971</v>
      </c>
      <c r="J16469" s="27" t="s">
        <v>848</v>
      </c>
      <c r="L16469" s="27" t="s">
        <v>132</v>
      </c>
      <c r="M16469" s="27" t="s">
        <v>133</v>
      </c>
      <c r="N16469" s="27" t="s">
        <v>204</v>
      </c>
      <c r="P16469" s="27" t="s">
        <v>17914</v>
      </c>
      <c r="Q16469" s="26" t="str">
        <f>HYPERLINK("https://ictv.global/taxonomy/taxondetails?taxnode_id=202504998&amp;ictv_id=ICTV19760530","ICTV19760530")</f>
        <v>ICTV19760530</v>
      </c>
      <c r="R16469" t="s">
        <v>584</v>
      </c>
      <c r="S16469" t="s">
        <v>824</v>
      </c>
      <c r="T16469">
        <v>39</v>
      </c>
      <c r="U16469" s="26" t="str">
        <f t="shared" si="620"/>
        <v>2023.009D.Retroviridae_68rensp.zip</v>
      </c>
    </row>
    <row r="16470" spans="1:21">
      <c r="A16470">
        <v>16469</v>
      </c>
      <c r="B16470" s="27" t="s">
        <v>1124</v>
      </c>
      <c r="D16470" s="27" t="s">
        <v>1969</v>
      </c>
      <c r="F16470" s="27" t="s">
        <v>1970</v>
      </c>
      <c r="H16470" s="27" t="s">
        <v>1971</v>
      </c>
      <c r="J16470" s="27" t="s">
        <v>848</v>
      </c>
      <c r="L16470" s="27" t="s">
        <v>132</v>
      </c>
      <c r="M16470" s="27" t="s">
        <v>133</v>
      </c>
      <c r="N16470" s="27" t="s">
        <v>204</v>
      </c>
      <c r="P16470" s="27" t="s">
        <v>17915</v>
      </c>
      <c r="Q16470" s="26" t="str">
        <f>HYPERLINK("https://ictv.global/taxonomy/taxondetails?taxnode_id=202504999&amp;ictv_id=ICTV19911434","ICTV19911434")</f>
        <v>ICTV19911434</v>
      </c>
      <c r="R16470" t="s">
        <v>584</v>
      </c>
      <c r="S16470" t="s">
        <v>824</v>
      </c>
      <c r="T16470">
        <v>39</v>
      </c>
      <c r="U16470" s="26" t="str">
        <f t="shared" si="620"/>
        <v>2023.009D.Retroviridae_68rensp.zip</v>
      </c>
    </row>
    <row r="16471" spans="1:21">
      <c r="A16471">
        <v>16470</v>
      </c>
      <c r="B16471" s="27" t="s">
        <v>1124</v>
      </c>
      <c r="D16471" s="27" t="s">
        <v>1969</v>
      </c>
      <c r="F16471" s="27" t="s">
        <v>1970</v>
      </c>
      <c r="H16471" s="27" t="s">
        <v>1971</v>
      </c>
      <c r="J16471" s="27" t="s">
        <v>848</v>
      </c>
      <c r="L16471" s="27" t="s">
        <v>132</v>
      </c>
      <c r="M16471" s="27" t="s">
        <v>133</v>
      </c>
      <c r="N16471" s="27" t="s">
        <v>204</v>
      </c>
      <c r="P16471" s="27" t="s">
        <v>17916</v>
      </c>
      <c r="Q16471" s="26" t="str">
        <f>HYPERLINK("https://ictv.global/taxonomy/taxondetails?taxnode_id=202505000&amp;ictv_id=ICTV19911435","ICTV19911435")</f>
        <v>ICTV19911435</v>
      </c>
      <c r="R16471" t="s">
        <v>584</v>
      </c>
      <c r="S16471" t="s">
        <v>824</v>
      </c>
      <c r="T16471">
        <v>39</v>
      </c>
      <c r="U16471" s="26" t="str">
        <f t="shared" si="620"/>
        <v>2023.009D.Retroviridae_68rensp.zip</v>
      </c>
    </row>
    <row r="16472" spans="1:21">
      <c r="A16472">
        <v>16471</v>
      </c>
      <c r="B16472" s="27" t="s">
        <v>1124</v>
      </c>
      <c r="D16472" s="27" t="s">
        <v>1969</v>
      </c>
      <c r="F16472" s="27" t="s">
        <v>1970</v>
      </c>
      <c r="H16472" s="27" t="s">
        <v>1971</v>
      </c>
      <c r="J16472" s="27" t="s">
        <v>848</v>
      </c>
      <c r="L16472" s="27" t="s">
        <v>132</v>
      </c>
      <c r="M16472" s="27" t="s">
        <v>133</v>
      </c>
      <c r="N16472" s="27" t="s">
        <v>204</v>
      </c>
      <c r="P16472" s="27" t="s">
        <v>17917</v>
      </c>
      <c r="Q16472" s="26" t="str">
        <f>HYPERLINK("https://ictv.global/taxonomy/taxondetails?taxnode_id=202505001&amp;ictv_id=ICTV19991616","ICTV19991616")</f>
        <v>ICTV19991616</v>
      </c>
      <c r="R16472" t="s">
        <v>584</v>
      </c>
      <c r="S16472" t="s">
        <v>824</v>
      </c>
      <c r="T16472">
        <v>39</v>
      </c>
      <c r="U16472" s="26" t="str">
        <f t="shared" si="620"/>
        <v>2023.009D.Retroviridae_68rensp.zip</v>
      </c>
    </row>
    <row r="16473" spans="1:21">
      <c r="A16473">
        <v>16472</v>
      </c>
      <c r="B16473" s="27" t="s">
        <v>1124</v>
      </c>
      <c r="D16473" s="27" t="s">
        <v>1969</v>
      </c>
      <c r="F16473" s="27" t="s">
        <v>1970</v>
      </c>
      <c r="H16473" s="27" t="s">
        <v>1971</v>
      </c>
      <c r="J16473" s="27" t="s">
        <v>848</v>
      </c>
      <c r="L16473" s="27" t="s">
        <v>132</v>
      </c>
      <c r="M16473" s="27" t="s">
        <v>133</v>
      </c>
      <c r="N16473" s="27" t="s">
        <v>205</v>
      </c>
      <c r="P16473" s="27" t="s">
        <v>17918</v>
      </c>
      <c r="Q16473" s="26" t="str">
        <f>HYPERLINK("https://ictv.global/taxonomy/taxondetails?taxnode_id=202505003&amp;ictv_id=ICTV19982466","ICTV19982466")</f>
        <v>ICTV19982466</v>
      </c>
      <c r="R16473" t="s">
        <v>584</v>
      </c>
      <c r="S16473" t="s">
        <v>824</v>
      </c>
      <c r="T16473">
        <v>39</v>
      </c>
      <c r="U16473" s="26" t="str">
        <f t="shared" si="620"/>
        <v>2023.009D.Retroviridae_68rensp.zip</v>
      </c>
    </row>
    <row r="16474" spans="1:21">
      <c r="A16474">
        <v>16473</v>
      </c>
      <c r="B16474" s="27" t="s">
        <v>1124</v>
      </c>
      <c r="D16474" s="27" t="s">
        <v>1969</v>
      </c>
      <c r="F16474" s="27" t="s">
        <v>1970</v>
      </c>
      <c r="H16474" s="27" t="s">
        <v>1971</v>
      </c>
      <c r="J16474" s="27" t="s">
        <v>848</v>
      </c>
      <c r="L16474" s="27" t="s">
        <v>132</v>
      </c>
      <c r="M16474" s="27" t="s">
        <v>133</v>
      </c>
      <c r="N16474" s="27" t="s">
        <v>205</v>
      </c>
      <c r="P16474" s="27" t="s">
        <v>17919</v>
      </c>
      <c r="Q16474" s="26" t="str">
        <f>HYPERLINK("https://ictv.global/taxonomy/taxondetails?taxnode_id=202505004&amp;ictv_id=ICTV19982467","ICTV19982467")</f>
        <v>ICTV19982467</v>
      </c>
      <c r="R16474" t="s">
        <v>584</v>
      </c>
      <c r="S16474" t="s">
        <v>824</v>
      </c>
      <c r="T16474">
        <v>39</v>
      </c>
      <c r="U16474" s="26" t="str">
        <f t="shared" si="620"/>
        <v>2023.009D.Retroviridae_68rensp.zip</v>
      </c>
    </row>
    <row r="16475" spans="1:21">
      <c r="A16475">
        <v>16474</v>
      </c>
      <c r="B16475" s="27" t="s">
        <v>1124</v>
      </c>
      <c r="D16475" s="27" t="s">
        <v>1969</v>
      </c>
      <c r="F16475" s="27" t="s">
        <v>1970</v>
      </c>
      <c r="H16475" s="27" t="s">
        <v>1971</v>
      </c>
      <c r="J16475" s="27" t="s">
        <v>848</v>
      </c>
      <c r="L16475" s="27" t="s">
        <v>132</v>
      </c>
      <c r="M16475" s="27" t="s">
        <v>133</v>
      </c>
      <c r="N16475" s="27" t="s">
        <v>205</v>
      </c>
      <c r="P16475" s="27" t="s">
        <v>17920</v>
      </c>
      <c r="Q16475" s="26" t="str">
        <f>HYPERLINK("https://ictv.global/taxonomy/taxondetails?taxnode_id=202505005&amp;ictv_id=ICTV19982468","ICTV19982468")</f>
        <v>ICTV19982468</v>
      </c>
      <c r="R16475" t="s">
        <v>584</v>
      </c>
      <c r="S16475" t="s">
        <v>824</v>
      </c>
      <c r="T16475">
        <v>39</v>
      </c>
      <c r="U16475" s="26" t="str">
        <f t="shared" si="620"/>
        <v>2023.009D.Retroviridae_68rensp.zip</v>
      </c>
    </row>
    <row r="16476" spans="1:21">
      <c r="A16476">
        <v>16475</v>
      </c>
      <c r="B16476" s="27" t="s">
        <v>1124</v>
      </c>
      <c r="D16476" s="27" t="s">
        <v>1969</v>
      </c>
      <c r="F16476" s="27" t="s">
        <v>1970</v>
      </c>
      <c r="H16476" s="27" t="s">
        <v>1971</v>
      </c>
      <c r="J16476" s="27" t="s">
        <v>848</v>
      </c>
      <c r="L16476" s="27" t="s">
        <v>132</v>
      </c>
      <c r="M16476" s="27" t="s">
        <v>133</v>
      </c>
      <c r="N16476" s="27" t="s">
        <v>206</v>
      </c>
      <c r="P16476" s="27" t="s">
        <v>17921</v>
      </c>
      <c r="Q16476" s="26" t="str">
        <f>HYPERLINK("https://ictv.global/taxonomy/taxondetails?taxnode_id=202505020&amp;ictv_id=ICTV19710196","ICTV19710196")</f>
        <v>ICTV19710196</v>
      </c>
      <c r="R16476" t="s">
        <v>584</v>
      </c>
      <c r="S16476" t="s">
        <v>824</v>
      </c>
      <c r="T16476">
        <v>39</v>
      </c>
      <c r="U16476" s="26" t="str">
        <f t="shared" si="620"/>
        <v>2023.009D.Retroviridae_68rensp.zip</v>
      </c>
    </row>
    <row r="16477" spans="1:21">
      <c r="A16477">
        <v>16476</v>
      </c>
      <c r="B16477" s="27" t="s">
        <v>1124</v>
      </c>
      <c r="D16477" s="27" t="s">
        <v>1969</v>
      </c>
      <c r="F16477" s="27" t="s">
        <v>1970</v>
      </c>
      <c r="H16477" s="27" t="s">
        <v>1971</v>
      </c>
      <c r="J16477" s="27" t="s">
        <v>848</v>
      </c>
      <c r="L16477" s="27" t="s">
        <v>132</v>
      </c>
      <c r="M16477" s="27" t="s">
        <v>133</v>
      </c>
      <c r="N16477" s="27" t="s">
        <v>206</v>
      </c>
      <c r="P16477" s="27" t="s">
        <v>17922</v>
      </c>
      <c r="Q16477" s="26" t="str">
        <f>HYPERLINK("https://ictv.global/taxonomy/taxondetails?taxnode_id=202505022&amp;ictv_id=ICTV19952104","ICTV19952104")</f>
        <v>ICTV19952104</v>
      </c>
      <c r="R16477" t="s">
        <v>584</v>
      </c>
      <c r="S16477" t="s">
        <v>824</v>
      </c>
      <c r="T16477">
        <v>39</v>
      </c>
      <c r="U16477" s="26" t="str">
        <f t="shared" si="620"/>
        <v>2023.009D.Retroviridae_68rensp.zip</v>
      </c>
    </row>
    <row r="16478" spans="1:21">
      <c r="A16478">
        <v>16477</v>
      </c>
      <c r="B16478" s="27" t="s">
        <v>1124</v>
      </c>
      <c r="D16478" s="27" t="s">
        <v>1969</v>
      </c>
      <c r="F16478" s="27" t="s">
        <v>1970</v>
      </c>
      <c r="H16478" s="27" t="s">
        <v>1971</v>
      </c>
      <c r="J16478" s="27" t="s">
        <v>848</v>
      </c>
      <c r="L16478" s="27" t="s">
        <v>132</v>
      </c>
      <c r="M16478" s="27" t="s">
        <v>133</v>
      </c>
      <c r="N16478" s="27" t="s">
        <v>206</v>
      </c>
      <c r="P16478" s="27" t="s">
        <v>17923</v>
      </c>
      <c r="Q16478" s="26" t="str">
        <f>HYPERLINK("https://ictv.global/taxonomy/taxondetails?taxnode_id=202505007&amp;ictv_id=ICTV19952089","ICTV19952089")</f>
        <v>ICTV19952089</v>
      </c>
      <c r="R16478" t="s">
        <v>584</v>
      </c>
      <c r="S16478" t="s">
        <v>824</v>
      </c>
      <c r="T16478">
        <v>39</v>
      </c>
      <c r="U16478" s="26" t="str">
        <f t="shared" si="620"/>
        <v>2023.009D.Retroviridae_68rensp.zip</v>
      </c>
    </row>
    <row r="16479" spans="1:21">
      <c r="A16479">
        <v>16478</v>
      </c>
      <c r="B16479" s="27" t="s">
        <v>1124</v>
      </c>
      <c r="D16479" s="27" t="s">
        <v>1969</v>
      </c>
      <c r="F16479" s="27" t="s">
        <v>1970</v>
      </c>
      <c r="H16479" s="27" t="s">
        <v>1971</v>
      </c>
      <c r="J16479" s="27" t="s">
        <v>848</v>
      </c>
      <c r="L16479" s="27" t="s">
        <v>132</v>
      </c>
      <c r="M16479" s="27" t="s">
        <v>133</v>
      </c>
      <c r="N16479" s="27" t="s">
        <v>206</v>
      </c>
      <c r="P16479" s="27" t="s">
        <v>17924</v>
      </c>
      <c r="Q16479" s="26" t="str">
        <f>HYPERLINK("https://ictv.global/taxonomy/taxondetails?taxnode_id=202505008&amp;ictv_id=ICTV19760533","ICTV19760533")</f>
        <v>ICTV19760533</v>
      </c>
      <c r="R16479" t="s">
        <v>584</v>
      </c>
      <c r="S16479" t="s">
        <v>824</v>
      </c>
      <c r="T16479">
        <v>39</v>
      </c>
      <c r="U16479" s="26" t="str">
        <f t="shared" si="620"/>
        <v>2023.009D.Retroviridae_68rensp.zip</v>
      </c>
    </row>
    <row r="16480" spans="1:21">
      <c r="A16480">
        <v>16479</v>
      </c>
      <c r="B16480" s="27" t="s">
        <v>1124</v>
      </c>
      <c r="D16480" s="27" t="s">
        <v>1969</v>
      </c>
      <c r="F16480" s="27" t="s">
        <v>1970</v>
      </c>
      <c r="H16480" s="27" t="s">
        <v>1971</v>
      </c>
      <c r="J16480" s="27" t="s">
        <v>848</v>
      </c>
      <c r="L16480" s="27" t="s">
        <v>132</v>
      </c>
      <c r="M16480" s="27" t="s">
        <v>133</v>
      </c>
      <c r="N16480" s="27" t="s">
        <v>206</v>
      </c>
      <c r="P16480" s="27" t="s">
        <v>17925</v>
      </c>
      <c r="Q16480" s="26" t="str">
        <f>HYPERLINK("https://ictv.global/taxonomy/taxondetails?taxnode_id=202505009&amp;ictv_id=ICTV19952091","ICTV19952091")</f>
        <v>ICTV19952091</v>
      </c>
      <c r="R16480" t="s">
        <v>584</v>
      </c>
      <c r="S16480" t="s">
        <v>824</v>
      </c>
      <c r="T16480">
        <v>39</v>
      </c>
      <c r="U16480" s="26" t="str">
        <f t="shared" si="620"/>
        <v>2023.009D.Retroviridae_68rensp.zip</v>
      </c>
    </row>
    <row r="16481" spans="1:21">
      <c r="A16481">
        <v>16480</v>
      </c>
      <c r="B16481" s="27" t="s">
        <v>1124</v>
      </c>
      <c r="D16481" s="27" t="s">
        <v>1969</v>
      </c>
      <c r="F16481" s="27" t="s">
        <v>1970</v>
      </c>
      <c r="H16481" s="27" t="s">
        <v>1971</v>
      </c>
      <c r="J16481" s="27" t="s">
        <v>848</v>
      </c>
      <c r="L16481" s="27" t="s">
        <v>132</v>
      </c>
      <c r="M16481" s="27" t="s">
        <v>133</v>
      </c>
      <c r="N16481" s="27" t="s">
        <v>206</v>
      </c>
      <c r="P16481" s="27" t="s">
        <v>17926</v>
      </c>
      <c r="Q16481" s="26" t="str">
        <f>HYPERLINK("https://ictv.global/taxonomy/taxondetails?taxnode_id=202505011&amp;ictv_id=ICTV19760534","ICTV19760534")</f>
        <v>ICTV19760534</v>
      </c>
      <c r="R16481" t="s">
        <v>584</v>
      </c>
      <c r="S16481" t="s">
        <v>824</v>
      </c>
      <c r="T16481">
        <v>39</v>
      </c>
      <c r="U16481" s="26" t="str">
        <f t="shared" si="620"/>
        <v>2023.009D.Retroviridae_68rensp.zip</v>
      </c>
    </row>
    <row r="16482" spans="1:21">
      <c r="A16482">
        <v>16481</v>
      </c>
      <c r="B16482" s="27" t="s">
        <v>1124</v>
      </c>
      <c r="D16482" s="27" t="s">
        <v>1969</v>
      </c>
      <c r="F16482" s="27" t="s">
        <v>1970</v>
      </c>
      <c r="H16482" s="27" t="s">
        <v>1971</v>
      </c>
      <c r="J16482" s="27" t="s">
        <v>848</v>
      </c>
      <c r="L16482" s="27" t="s">
        <v>132</v>
      </c>
      <c r="M16482" s="27" t="s">
        <v>133</v>
      </c>
      <c r="N16482" s="27" t="s">
        <v>206</v>
      </c>
      <c r="P16482" s="27" t="s">
        <v>17927</v>
      </c>
      <c r="Q16482" s="26" t="str">
        <f>HYPERLINK("https://ictv.global/taxonomy/taxondetails?taxnode_id=202505014&amp;ictv_id=ICTV19952097","ICTV19952097")</f>
        <v>ICTV19952097</v>
      </c>
      <c r="R16482" t="s">
        <v>584</v>
      </c>
      <c r="S16482" t="s">
        <v>824</v>
      </c>
      <c r="T16482">
        <v>39</v>
      </c>
      <c r="U16482" s="26" t="str">
        <f t="shared" si="620"/>
        <v>2023.009D.Retroviridae_68rensp.zip</v>
      </c>
    </row>
    <row r="16483" spans="1:21">
      <c r="A16483">
        <v>16482</v>
      </c>
      <c r="B16483" s="27" t="s">
        <v>1124</v>
      </c>
      <c r="D16483" s="27" t="s">
        <v>1969</v>
      </c>
      <c r="F16483" s="27" t="s">
        <v>1970</v>
      </c>
      <c r="H16483" s="27" t="s">
        <v>1971</v>
      </c>
      <c r="J16483" s="27" t="s">
        <v>848</v>
      </c>
      <c r="L16483" s="27" t="s">
        <v>132</v>
      </c>
      <c r="M16483" s="27" t="s">
        <v>133</v>
      </c>
      <c r="N16483" s="27" t="s">
        <v>206</v>
      </c>
      <c r="P16483" s="27" t="s">
        <v>17928</v>
      </c>
      <c r="Q16483" s="26" t="str">
        <f>HYPERLINK("https://ictv.global/taxonomy/taxondetails?taxnode_id=202505013&amp;ictv_id=ICTV19952096","ICTV19952096")</f>
        <v>ICTV19952096</v>
      </c>
      <c r="R16483" t="s">
        <v>584</v>
      </c>
      <c r="S16483" t="s">
        <v>824</v>
      </c>
      <c r="T16483">
        <v>39</v>
      </c>
      <c r="U16483" s="26" t="str">
        <f t="shared" si="620"/>
        <v>2023.009D.Retroviridae_68rensp.zip</v>
      </c>
    </row>
    <row r="16484" spans="1:21">
      <c r="A16484">
        <v>16483</v>
      </c>
      <c r="B16484" s="27" t="s">
        <v>1124</v>
      </c>
      <c r="D16484" s="27" t="s">
        <v>1969</v>
      </c>
      <c r="F16484" s="27" t="s">
        <v>1970</v>
      </c>
      <c r="H16484" s="27" t="s">
        <v>1971</v>
      </c>
      <c r="J16484" s="27" t="s">
        <v>848</v>
      </c>
      <c r="L16484" s="27" t="s">
        <v>132</v>
      </c>
      <c r="M16484" s="27" t="s">
        <v>133</v>
      </c>
      <c r="N16484" s="27" t="s">
        <v>206</v>
      </c>
      <c r="P16484" s="27" t="s">
        <v>17929</v>
      </c>
      <c r="Q16484" s="26" t="str">
        <f>HYPERLINK("https://ictv.global/taxonomy/taxondetails?taxnode_id=202505015&amp;ictv_id=ICTV19952098","ICTV19952098")</f>
        <v>ICTV19952098</v>
      </c>
      <c r="R16484" t="s">
        <v>584</v>
      </c>
      <c r="S16484" t="s">
        <v>824</v>
      </c>
      <c r="T16484">
        <v>39</v>
      </c>
      <c r="U16484" s="26" t="str">
        <f t="shared" si="620"/>
        <v>2023.009D.Retroviridae_68rensp.zip</v>
      </c>
    </row>
    <row r="16485" spans="1:21">
      <c r="A16485">
        <v>16484</v>
      </c>
      <c r="B16485" s="27" t="s">
        <v>1124</v>
      </c>
      <c r="D16485" s="27" t="s">
        <v>1969</v>
      </c>
      <c r="F16485" s="27" t="s">
        <v>1970</v>
      </c>
      <c r="H16485" s="27" t="s">
        <v>1971</v>
      </c>
      <c r="J16485" s="27" t="s">
        <v>848</v>
      </c>
      <c r="L16485" s="27" t="s">
        <v>132</v>
      </c>
      <c r="M16485" s="27" t="s">
        <v>133</v>
      </c>
      <c r="N16485" s="27" t="s">
        <v>206</v>
      </c>
      <c r="P16485" s="27" t="s">
        <v>17930</v>
      </c>
      <c r="Q16485" s="26" t="str">
        <f>HYPERLINK("https://ictv.global/taxonomy/taxondetails?taxnode_id=202505016&amp;ictv_id=ICTV20165425","ICTV20165425")</f>
        <v>ICTV20165425</v>
      </c>
      <c r="R16485" t="s">
        <v>584</v>
      </c>
      <c r="S16485" t="s">
        <v>824</v>
      </c>
      <c r="T16485">
        <v>39</v>
      </c>
      <c r="U16485" s="26" t="str">
        <f t="shared" si="620"/>
        <v>2023.009D.Retroviridae_68rensp.zip</v>
      </c>
    </row>
    <row r="16486" spans="1:21">
      <c r="A16486">
        <v>16485</v>
      </c>
      <c r="B16486" s="27" t="s">
        <v>1124</v>
      </c>
      <c r="D16486" s="27" t="s">
        <v>1969</v>
      </c>
      <c r="F16486" s="27" t="s">
        <v>1970</v>
      </c>
      <c r="H16486" s="27" t="s">
        <v>1971</v>
      </c>
      <c r="J16486" s="27" t="s">
        <v>848</v>
      </c>
      <c r="L16486" s="27" t="s">
        <v>132</v>
      </c>
      <c r="M16486" s="27" t="s">
        <v>133</v>
      </c>
      <c r="N16486" s="27" t="s">
        <v>206</v>
      </c>
      <c r="P16486" s="27" t="s">
        <v>17931</v>
      </c>
      <c r="Q16486" s="26" t="str">
        <f>HYPERLINK("https://ictv.global/taxonomy/taxondetails?taxnode_id=202505017&amp;ictv_id=ICTV19952099","ICTV19952099")</f>
        <v>ICTV19952099</v>
      </c>
      <c r="R16486" t="s">
        <v>584</v>
      </c>
      <c r="S16486" t="s">
        <v>824</v>
      </c>
      <c r="T16486">
        <v>39</v>
      </c>
      <c r="U16486" s="26" t="str">
        <f t="shared" si="620"/>
        <v>2023.009D.Retroviridae_68rensp.zip</v>
      </c>
    </row>
    <row r="16487" spans="1:21">
      <c r="A16487">
        <v>16486</v>
      </c>
      <c r="B16487" s="27" t="s">
        <v>1124</v>
      </c>
      <c r="D16487" s="27" t="s">
        <v>1969</v>
      </c>
      <c r="F16487" s="27" t="s">
        <v>1970</v>
      </c>
      <c r="H16487" s="27" t="s">
        <v>1971</v>
      </c>
      <c r="J16487" s="27" t="s">
        <v>848</v>
      </c>
      <c r="L16487" s="27" t="s">
        <v>132</v>
      </c>
      <c r="M16487" s="27" t="s">
        <v>133</v>
      </c>
      <c r="N16487" s="27" t="s">
        <v>206</v>
      </c>
      <c r="P16487" s="27" t="s">
        <v>17932</v>
      </c>
      <c r="Q16487" s="26" t="str">
        <f>HYPERLINK("https://ictv.global/taxonomy/taxondetails?taxnode_id=202505018&amp;ictv_id=ICTV19991630","ICTV19991630")</f>
        <v>ICTV19991630</v>
      </c>
      <c r="R16487" t="s">
        <v>584</v>
      </c>
      <c r="S16487" t="s">
        <v>824</v>
      </c>
      <c r="T16487">
        <v>39</v>
      </c>
      <c r="U16487" s="26" t="str">
        <f t="shared" si="620"/>
        <v>2023.009D.Retroviridae_68rensp.zip</v>
      </c>
    </row>
    <row r="16488" spans="1:21">
      <c r="A16488">
        <v>16487</v>
      </c>
      <c r="B16488" s="27" t="s">
        <v>1124</v>
      </c>
      <c r="D16488" s="27" t="s">
        <v>1969</v>
      </c>
      <c r="F16488" s="27" t="s">
        <v>1970</v>
      </c>
      <c r="H16488" s="27" t="s">
        <v>1971</v>
      </c>
      <c r="J16488" s="27" t="s">
        <v>848</v>
      </c>
      <c r="L16488" s="27" t="s">
        <v>132</v>
      </c>
      <c r="M16488" s="27" t="s">
        <v>133</v>
      </c>
      <c r="N16488" s="27" t="s">
        <v>206</v>
      </c>
      <c r="P16488" s="27" t="s">
        <v>17933</v>
      </c>
      <c r="Q16488" s="26" t="str">
        <f>HYPERLINK("https://ictv.global/taxonomy/taxondetails?taxnode_id=202505019&amp;ictv_id=ICTV19760537","ICTV19760537")</f>
        <v>ICTV19760537</v>
      </c>
      <c r="R16488" t="s">
        <v>584</v>
      </c>
      <c r="S16488" t="s">
        <v>824</v>
      </c>
      <c r="T16488">
        <v>39</v>
      </c>
      <c r="U16488" s="26" t="str">
        <f t="shared" si="620"/>
        <v>2023.009D.Retroviridae_68rensp.zip</v>
      </c>
    </row>
    <row r="16489" spans="1:21">
      <c r="A16489">
        <v>16488</v>
      </c>
      <c r="B16489" s="27" t="s">
        <v>1124</v>
      </c>
      <c r="D16489" s="27" t="s">
        <v>1969</v>
      </c>
      <c r="F16489" s="27" t="s">
        <v>1970</v>
      </c>
      <c r="H16489" s="27" t="s">
        <v>1971</v>
      </c>
      <c r="J16489" s="27" t="s">
        <v>848</v>
      </c>
      <c r="L16489" s="27" t="s">
        <v>132</v>
      </c>
      <c r="M16489" s="27" t="s">
        <v>133</v>
      </c>
      <c r="N16489" s="27" t="s">
        <v>206</v>
      </c>
      <c r="P16489" s="27" t="s">
        <v>17934</v>
      </c>
      <c r="Q16489" s="26" t="str">
        <f>HYPERLINK("https://ictv.global/taxonomy/taxondetails?taxnode_id=202505021&amp;ictv_id=ICTV19952103","ICTV19952103")</f>
        <v>ICTV19952103</v>
      </c>
      <c r="R16489" t="s">
        <v>584</v>
      </c>
      <c r="S16489" t="s">
        <v>824</v>
      </c>
      <c r="T16489">
        <v>39</v>
      </c>
      <c r="U16489" s="26" t="str">
        <f t="shared" si="620"/>
        <v>2023.009D.Retroviridae_68rensp.zip</v>
      </c>
    </row>
    <row r="16490" spans="1:21">
      <c r="A16490">
        <v>16489</v>
      </c>
      <c r="B16490" s="27" t="s">
        <v>1124</v>
      </c>
      <c r="D16490" s="27" t="s">
        <v>1969</v>
      </c>
      <c r="F16490" s="27" t="s">
        <v>1970</v>
      </c>
      <c r="H16490" s="27" t="s">
        <v>1971</v>
      </c>
      <c r="J16490" s="27" t="s">
        <v>848</v>
      </c>
      <c r="L16490" s="27" t="s">
        <v>132</v>
      </c>
      <c r="M16490" s="27" t="s">
        <v>133</v>
      </c>
      <c r="N16490" s="27" t="s">
        <v>206</v>
      </c>
      <c r="P16490" s="27" t="s">
        <v>17935</v>
      </c>
      <c r="Q16490" s="26" t="str">
        <f>HYPERLINK("https://ictv.global/taxonomy/taxondetails?taxnode_id=202505024&amp;ictv_id=ICTV19760540","ICTV19760540")</f>
        <v>ICTV19760540</v>
      </c>
      <c r="R16490" t="s">
        <v>584</v>
      </c>
      <c r="S16490" t="s">
        <v>824</v>
      </c>
      <c r="T16490">
        <v>39</v>
      </c>
      <c r="U16490" s="26" t="str">
        <f t="shared" si="620"/>
        <v>2023.009D.Retroviridae_68rensp.zip</v>
      </c>
    </row>
    <row r="16491" spans="1:21">
      <c r="A16491">
        <v>16490</v>
      </c>
      <c r="B16491" s="27" t="s">
        <v>1124</v>
      </c>
      <c r="D16491" s="27" t="s">
        <v>1969</v>
      </c>
      <c r="F16491" s="27" t="s">
        <v>1970</v>
      </c>
      <c r="H16491" s="27" t="s">
        <v>1971</v>
      </c>
      <c r="J16491" s="27" t="s">
        <v>848</v>
      </c>
      <c r="L16491" s="27" t="s">
        <v>132</v>
      </c>
      <c r="M16491" s="27" t="s">
        <v>133</v>
      </c>
      <c r="N16491" s="27" t="s">
        <v>345</v>
      </c>
      <c r="P16491" s="27" t="s">
        <v>17936</v>
      </c>
      <c r="Q16491" s="26" t="str">
        <f>HYPERLINK("https://ictv.global/taxonomy/taxondetails?taxnode_id=202505026&amp;ictv_id=ICTV19911437","ICTV19911437")</f>
        <v>ICTV19911437</v>
      </c>
      <c r="R16491" t="s">
        <v>584</v>
      </c>
      <c r="S16491" t="s">
        <v>824</v>
      </c>
      <c r="T16491">
        <v>39</v>
      </c>
      <c r="U16491" s="26" t="str">
        <f t="shared" si="620"/>
        <v>2023.009D.Retroviridae_68rensp.zip</v>
      </c>
    </row>
    <row r="16492" spans="1:21">
      <c r="A16492">
        <v>16491</v>
      </c>
      <c r="B16492" s="27" t="s">
        <v>1124</v>
      </c>
      <c r="D16492" s="27" t="s">
        <v>1969</v>
      </c>
      <c r="F16492" s="27" t="s">
        <v>1970</v>
      </c>
      <c r="H16492" s="27" t="s">
        <v>1971</v>
      </c>
      <c r="J16492" s="27" t="s">
        <v>848</v>
      </c>
      <c r="L16492" s="27" t="s">
        <v>132</v>
      </c>
      <c r="M16492" s="27" t="s">
        <v>133</v>
      </c>
      <c r="N16492" s="27" t="s">
        <v>345</v>
      </c>
      <c r="P16492" s="27" t="s">
        <v>17937</v>
      </c>
      <c r="Q16492" s="26" t="str">
        <f>HYPERLINK("https://ictv.global/taxonomy/taxondetails?taxnode_id=202505032&amp;ictv_id=ICTV20165426","ICTV20165426")</f>
        <v>ICTV20165426</v>
      </c>
      <c r="R16492" t="s">
        <v>584</v>
      </c>
      <c r="S16492" t="s">
        <v>824</v>
      </c>
      <c r="T16492">
        <v>39</v>
      </c>
      <c r="U16492" s="26" t="str">
        <f t="shared" si="620"/>
        <v>2023.009D.Retroviridae_68rensp.zip</v>
      </c>
    </row>
    <row r="16493" spans="1:21">
      <c r="A16493">
        <v>16492</v>
      </c>
      <c r="B16493" s="27" t="s">
        <v>1124</v>
      </c>
      <c r="D16493" s="27" t="s">
        <v>1969</v>
      </c>
      <c r="F16493" s="27" t="s">
        <v>1970</v>
      </c>
      <c r="H16493" s="27" t="s">
        <v>1971</v>
      </c>
      <c r="J16493" s="27" t="s">
        <v>848</v>
      </c>
      <c r="L16493" s="27" t="s">
        <v>132</v>
      </c>
      <c r="M16493" s="27" t="s">
        <v>133</v>
      </c>
      <c r="N16493" s="27" t="s">
        <v>345</v>
      </c>
      <c r="P16493" s="27" t="s">
        <v>17938</v>
      </c>
      <c r="Q16493" s="26" t="str">
        <f>HYPERLINK("https://ictv.global/taxonomy/taxondetails?taxnode_id=202505027&amp;ictv_id=ICTV19911438","ICTV19911438")</f>
        <v>ICTV19911438</v>
      </c>
      <c r="R16493" t="s">
        <v>584</v>
      </c>
      <c r="S16493" t="s">
        <v>824</v>
      </c>
      <c r="T16493">
        <v>39</v>
      </c>
      <c r="U16493" s="26" t="str">
        <f t="shared" si="620"/>
        <v>2023.009D.Retroviridae_68rensp.zip</v>
      </c>
    </row>
    <row r="16494" spans="1:21">
      <c r="A16494">
        <v>16493</v>
      </c>
      <c r="B16494" s="27" t="s">
        <v>1124</v>
      </c>
      <c r="D16494" s="27" t="s">
        <v>1969</v>
      </c>
      <c r="F16494" s="27" t="s">
        <v>1970</v>
      </c>
      <c r="H16494" s="27" t="s">
        <v>1971</v>
      </c>
      <c r="J16494" s="27" t="s">
        <v>848</v>
      </c>
      <c r="L16494" s="27" t="s">
        <v>132</v>
      </c>
      <c r="M16494" s="27" t="s">
        <v>133</v>
      </c>
      <c r="N16494" s="27" t="s">
        <v>345</v>
      </c>
      <c r="P16494" s="27" t="s">
        <v>17939</v>
      </c>
      <c r="Q16494" s="26" t="str">
        <f>HYPERLINK("https://ictv.global/taxonomy/taxondetails?taxnode_id=202505028&amp;ictv_id=ICTV19911439","ICTV19911439")</f>
        <v>ICTV19911439</v>
      </c>
      <c r="R16494" t="s">
        <v>584</v>
      </c>
      <c r="S16494" t="s">
        <v>824</v>
      </c>
      <c r="T16494">
        <v>39</v>
      </c>
      <c r="U16494" s="26" t="str">
        <f t="shared" si="620"/>
        <v>2023.009D.Retroviridae_68rensp.zip</v>
      </c>
    </row>
    <row r="16495" spans="1:21">
      <c r="A16495">
        <v>16494</v>
      </c>
      <c r="B16495" s="27" t="s">
        <v>1124</v>
      </c>
      <c r="D16495" s="27" t="s">
        <v>1969</v>
      </c>
      <c r="F16495" s="27" t="s">
        <v>1970</v>
      </c>
      <c r="H16495" s="27" t="s">
        <v>1971</v>
      </c>
      <c r="J16495" s="27" t="s">
        <v>848</v>
      </c>
      <c r="L16495" s="27" t="s">
        <v>132</v>
      </c>
      <c r="M16495" s="27" t="s">
        <v>133</v>
      </c>
      <c r="N16495" s="27" t="s">
        <v>345</v>
      </c>
      <c r="P16495" s="27" t="s">
        <v>17940</v>
      </c>
      <c r="Q16495" s="26" t="str">
        <f>HYPERLINK("https://ictv.global/taxonomy/taxondetails?taxnode_id=202505029&amp;ictv_id=ICTV20074654","ICTV20074654")</f>
        <v>ICTV20074654</v>
      </c>
      <c r="R16495" t="s">
        <v>584</v>
      </c>
      <c r="S16495" t="s">
        <v>824</v>
      </c>
      <c r="T16495">
        <v>39</v>
      </c>
      <c r="U16495" s="26" t="str">
        <f t="shared" si="620"/>
        <v>2023.009D.Retroviridae_68rensp.zip</v>
      </c>
    </row>
    <row r="16496" spans="1:21">
      <c r="A16496">
        <v>16495</v>
      </c>
      <c r="B16496" s="27" t="s">
        <v>1124</v>
      </c>
      <c r="D16496" s="27" t="s">
        <v>1969</v>
      </c>
      <c r="F16496" s="27" t="s">
        <v>1970</v>
      </c>
      <c r="H16496" s="27" t="s">
        <v>1971</v>
      </c>
      <c r="J16496" s="27" t="s">
        <v>848</v>
      </c>
      <c r="L16496" s="27" t="s">
        <v>132</v>
      </c>
      <c r="M16496" s="27" t="s">
        <v>133</v>
      </c>
      <c r="N16496" s="27" t="s">
        <v>345</v>
      </c>
      <c r="P16496" s="27" t="s">
        <v>17941</v>
      </c>
      <c r="Q16496" s="26" t="str">
        <f>HYPERLINK("https://ictv.global/taxonomy/taxondetails?taxnode_id=202505030&amp;ictv_id=ICTV19911441","ICTV19911441")</f>
        <v>ICTV19911441</v>
      </c>
      <c r="R16496" t="s">
        <v>584</v>
      </c>
      <c r="S16496" t="s">
        <v>824</v>
      </c>
      <c r="T16496">
        <v>39</v>
      </c>
      <c r="U16496" s="26" t="str">
        <f t="shared" si="620"/>
        <v>2023.009D.Retroviridae_68rensp.zip</v>
      </c>
    </row>
    <row r="16497" spans="1:21">
      <c r="A16497">
        <v>16496</v>
      </c>
      <c r="B16497" s="27" t="s">
        <v>1124</v>
      </c>
      <c r="D16497" s="27" t="s">
        <v>1969</v>
      </c>
      <c r="F16497" s="27" t="s">
        <v>1970</v>
      </c>
      <c r="H16497" s="27" t="s">
        <v>1971</v>
      </c>
      <c r="J16497" s="27" t="s">
        <v>848</v>
      </c>
      <c r="L16497" s="27" t="s">
        <v>132</v>
      </c>
      <c r="M16497" s="27" t="s">
        <v>133</v>
      </c>
      <c r="N16497" s="27" t="s">
        <v>345</v>
      </c>
      <c r="P16497" s="27" t="s">
        <v>17942</v>
      </c>
      <c r="Q16497" s="26" t="str">
        <f>HYPERLINK("https://ictv.global/taxonomy/taxondetails?taxnode_id=202505031&amp;ictv_id=ICTV19911442","ICTV19911442")</f>
        <v>ICTV19911442</v>
      </c>
      <c r="R16497" t="s">
        <v>584</v>
      </c>
      <c r="S16497" t="s">
        <v>824</v>
      </c>
      <c r="T16497">
        <v>39</v>
      </c>
      <c r="U16497" s="26" t="str">
        <f t="shared" si="620"/>
        <v>2023.009D.Retroviridae_68rensp.zip</v>
      </c>
    </row>
    <row r="16498" spans="1:21">
      <c r="A16498">
        <v>16497</v>
      </c>
      <c r="B16498" s="27" t="s">
        <v>1124</v>
      </c>
      <c r="D16498" s="27" t="s">
        <v>1969</v>
      </c>
      <c r="F16498" s="27" t="s">
        <v>1970</v>
      </c>
      <c r="H16498" s="27" t="s">
        <v>1971</v>
      </c>
      <c r="J16498" s="27" t="s">
        <v>848</v>
      </c>
      <c r="L16498" s="27" t="s">
        <v>132</v>
      </c>
      <c r="M16498" s="27" t="s">
        <v>133</v>
      </c>
      <c r="N16498" s="27" t="s">
        <v>345</v>
      </c>
      <c r="P16498" s="27" t="s">
        <v>17943</v>
      </c>
      <c r="Q16498" s="26" t="str">
        <f>HYPERLINK("https://ictv.global/taxonomy/taxondetails?taxnode_id=202505035&amp;ictv_id=ICTV19911444","ICTV19911444")</f>
        <v>ICTV19911444</v>
      </c>
      <c r="R16498" t="s">
        <v>584</v>
      </c>
      <c r="S16498" t="s">
        <v>824</v>
      </c>
      <c r="T16498">
        <v>39</v>
      </c>
      <c r="U16498" s="26" t="str">
        <f t="shared" si="620"/>
        <v>2023.009D.Retroviridae_68rensp.zip</v>
      </c>
    </row>
    <row r="16499" spans="1:21">
      <c r="A16499">
        <v>16498</v>
      </c>
      <c r="B16499" s="27" t="s">
        <v>1124</v>
      </c>
      <c r="D16499" s="27" t="s">
        <v>1969</v>
      </c>
      <c r="F16499" s="27" t="s">
        <v>1970</v>
      </c>
      <c r="H16499" s="27" t="s">
        <v>1971</v>
      </c>
      <c r="J16499" s="27" t="s">
        <v>848</v>
      </c>
      <c r="L16499" s="27" t="s">
        <v>132</v>
      </c>
      <c r="M16499" s="27" t="s">
        <v>133</v>
      </c>
      <c r="N16499" s="27" t="s">
        <v>345</v>
      </c>
      <c r="P16499" s="27" t="s">
        <v>17944</v>
      </c>
      <c r="Q16499" s="26" t="str">
        <f>HYPERLINK("https://ictv.global/taxonomy/taxondetails?taxnode_id=202505033&amp;ictv_id=ICTV19991644","ICTV19991644")</f>
        <v>ICTV19991644</v>
      </c>
      <c r="R16499" t="s">
        <v>584</v>
      </c>
      <c r="S16499" t="s">
        <v>824</v>
      </c>
      <c r="T16499">
        <v>39</v>
      </c>
      <c r="U16499" s="26" t="str">
        <f t="shared" si="620"/>
        <v>2023.009D.Retroviridae_68rensp.zip</v>
      </c>
    </row>
    <row r="16500" spans="1:21">
      <c r="A16500">
        <v>16499</v>
      </c>
      <c r="B16500" s="27" t="s">
        <v>1124</v>
      </c>
      <c r="D16500" s="27" t="s">
        <v>1969</v>
      </c>
      <c r="F16500" s="27" t="s">
        <v>1970</v>
      </c>
      <c r="H16500" s="27" t="s">
        <v>1971</v>
      </c>
      <c r="J16500" s="27" t="s">
        <v>848</v>
      </c>
      <c r="L16500" s="27" t="s">
        <v>132</v>
      </c>
      <c r="M16500" s="27" t="s">
        <v>133</v>
      </c>
      <c r="N16500" s="27" t="s">
        <v>345</v>
      </c>
      <c r="P16500" s="27" t="s">
        <v>17945</v>
      </c>
      <c r="Q16500" s="26" t="str">
        <f>HYPERLINK("https://ictv.global/taxonomy/taxondetails?taxnode_id=202505034&amp;ictv_id=ICTV19911443","ICTV19911443")</f>
        <v>ICTV19911443</v>
      </c>
      <c r="R16500" t="s">
        <v>584</v>
      </c>
      <c r="S16500" t="s">
        <v>824</v>
      </c>
      <c r="T16500">
        <v>39</v>
      </c>
      <c r="U16500" s="26" t="str">
        <f t="shared" si="620"/>
        <v>2023.009D.Retroviridae_68rensp.zip</v>
      </c>
    </row>
    <row r="16501" spans="1:21">
      <c r="A16501">
        <v>16500</v>
      </c>
      <c r="B16501" s="27" t="s">
        <v>1124</v>
      </c>
      <c r="D16501" s="27" t="s">
        <v>1969</v>
      </c>
      <c r="F16501" s="27" t="s">
        <v>1970</v>
      </c>
      <c r="H16501" s="27" t="s">
        <v>1971</v>
      </c>
      <c r="J16501" s="27" t="s">
        <v>848</v>
      </c>
      <c r="L16501" s="27" t="s">
        <v>132</v>
      </c>
      <c r="M16501" s="27" t="s">
        <v>294</v>
      </c>
      <c r="N16501" s="27" t="s">
        <v>851</v>
      </c>
      <c r="P16501" s="27" t="s">
        <v>18513</v>
      </c>
      <c r="Q16501" s="26" t="str">
        <f>HYPERLINK("https://ictv.global/taxonomy/taxondetails?taxnode_id=202505039&amp;ictv_id=ICTV19760541","ICTV19760541")</f>
        <v>ICTV19760541</v>
      </c>
      <c r="R16501" t="s">
        <v>584</v>
      </c>
      <c r="S16501" t="s">
        <v>824</v>
      </c>
      <c r="T16501">
        <v>39</v>
      </c>
      <c r="U16501" s="26" t="str">
        <f t="shared" ref="U16501:U16519" si="621">HYPERLINK("https://ictv.global/ictv/proposals/2023.009DX.Retroviridae_68rensp_Error_Correction.zip","2023.009DX.Retroviridae_68rensp_Error_Correction.zip")</f>
        <v>2023.009DX.Retroviridae_68rensp_Error_Correction.zip</v>
      </c>
    </row>
    <row r="16502" spans="1:21">
      <c r="A16502">
        <v>16501</v>
      </c>
      <c r="B16502" s="27" t="s">
        <v>1124</v>
      </c>
      <c r="D16502" s="27" t="s">
        <v>1969</v>
      </c>
      <c r="F16502" s="27" t="s">
        <v>1970</v>
      </c>
      <c r="H16502" s="27" t="s">
        <v>1971</v>
      </c>
      <c r="J16502" s="27" t="s">
        <v>848</v>
      </c>
      <c r="L16502" s="27" t="s">
        <v>132</v>
      </c>
      <c r="M16502" s="27" t="s">
        <v>294</v>
      </c>
      <c r="N16502" s="27" t="s">
        <v>852</v>
      </c>
      <c r="P16502" s="27" t="s">
        <v>18514</v>
      </c>
      <c r="Q16502" s="26" t="str">
        <f>HYPERLINK("https://ictv.global/taxonomy/taxondetails?taxnode_id=202505040&amp;ictv_id=ICTV20074662","ICTV20074662")</f>
        <v>ICTV20074662</v>
      </c>
      <c r="R16502" t="s">
        <v>584</v>
      </c>
      <c r="S16502" t="s">
        <v>824</v>
      </c>
      <c r="T16502">
        <v>39</v>
      </c>
      <c r="U16502" s="26" t="str">
        <f t="shared" si="621"/>
        <v>2023.009DX.Retroviridae_68rensp_Error_Correction.zip</v>
      </c>
    </row>
    <row r="16503" spans="1:21">
      <c r="A16503">
        <v>16502</v>
      </c>
      <c r="B16503" s="27" t="s">
        <v>1124</v>
      </c>
      <c r="D16503" s="27" t="s">
        <v>1969</v>
      </c>
      <c r="F16503" s="27" t="s">
        <v>1970</v>
      </c>
      <c r="H16503" s="27" t="s">
        <v>1971</v>
      </c>
      <c r="J16503" s="27" t="s">
        <v>848</v>
      </c>
      <c r="L16503" s="27" t="s">
        <v>132</v>
      </c>
      <c r="M16503" s="27" t="s">
        <v>294</v>
      </c>
      <c r="N16503" s="27" t="s">
        <v>853</v>
      </c>
      <c r="P16503" s="27" t="s">
        <v>18515</v>
      </c>
      <c r="Q16503" s="26" t="str">
        <f>HYPERLINK("https://ictv.global/taxonomy/taxondetails?taxnode_id=202505041&amp;ictv_id=ICTV19760542","ICTV19760542")</f>
        <v>ICTV19760542</v>
      </c>
      <c r="R16503" t="s">
        <v>584</v>
      </c>
      <c r="S16503" t="s">
        <v>824</v>
      </c>
      <c r="T16503">
        <v>39</v>
      </c>
      <c r="U16503" s="26" t="str">
        <f t="shared" si="621"/>
        <v>2023.009DX.Retroviridae_68rensp_Error_Correction.zip</v>
      </c>
    </row>
    <row r="16504" spans="1:21">
      <c r="A16504">
        <v>16503</v>
      </c>
      <c r="B16504" s="27" t="s">
        <v>1124</v>
      </c>
      <c r="D16504" s="27" t="s">
        <v>1969</v>
      </c>
      <c r="F16504" s="27" t="s">
        <v>1970</v>
      </c>
      <c r="H16504" s="27" t="s">
        <v>1971</v>
      </c>
      <c r="J16504" s="27" t="s">
        <v>848</v>
      </c>
      <c r="L16504" s="27" t="s">
        <v>132</v>
      </c>
      <c r="M16504" s="27" t="s">
        <v>294</v>
      </c>
      <c r="N16504" s="27" t="s">
        <v>854</v>
      </c>
      <c r="P16504" s="27" t="s">
        <v>18516</v>
      </c>
      <c r="Q16504" s="26" t="str">
        <f>HYPERLINK("https://ictv.global/taxonomy/taxondetails?taxnode_id=202505932&amp;ictv_id=ICTV20175932","ICTV20175932")</f>
        <v>ICTV20175932</v>
      </c>
      <c r="R16504" t="s">
        <v>584</v>
      </c>
      <c r="S16504" t="s">
        <v>824</v>
      </c>
      <c r="T16504">
        <v>39</v>
      </c>
      <c r="U16504" s="26" t="str">
        <f t="shared" si="621"/>
        <v>2023.009DX.Retroviridae_68rensp_Error_Correction.zip</v>
      </c>
    </row>
    <row r="16505" spans="1:21">
      <c r="A16505">
        <v>16504</v>
      </c>
      <c r="B16505" s="27" t="s">
        <v>1124</v>
      </c>
      <c r="D16505" s="27" t="s">
        <v>1969</v>
      </c>
      <c r="F16505" s="27" t="s">
        <v>1970</v>
      </c>
      <c r="H16505" s="27" t="s">
        <v>1971</v>
      </c>
      <c r="J16505" s="27" t="s">
        <v>848</v>
      </c>
      <c r="L16505" s="27" t="s">
        <v>132</v>
      </c>
      <c r="M16505" s="27" t="s">
        <v>294</v>
      </c>
      <c r="N16505" s="27" t="s">
        <v>855</v>
      </c>
      <c r="P16505" s="27" t="s">
        <v>18517</v>
      </c>
      <c r="Q16505" s="26" t="str">
        <f>HYPERLINK("https://ictv.global/taxonomy/taxondetails?taxnode_id=202505939&amp;ictv_id=ICTV20175939","ICTV20175939")</f>
        <v>ICTV20175939</v>
      </c>
      <c r="R16505" t="s">
        <v>584</v>
      </c>
      <c r="S16505" t="s">
        <v>824</v>
      </c>
      <c r="T16505">
        <v>39</v>
      </c>
      <c r="U16505" s="26" t="str">
        <f t="shared" si="621"/>
        <v>2023.009DX.Retroviridae_68rensp_Error_Correction.zip</v>
      </c>
    </row>
    <row r="16506" spans="1:21">
      <c r="A16506">
        <v>16505</v>
      </c>
      <c r="B16506" s="27" t="s">
        <v>1124</v>
      </c>
      <c r="D16506" s="27" t="s">
        <v>1969</v>
      </c>
      <c r="F16506" s="27" t="s">
        <v>1970</v>
      </c>
      <c r="H16506" s="27" t="s">
        <v>1971</v>
      </c>
      <c r="J16506" s="27" t="s">
        <v>848</v>
      </c>
      <c r="L16506" s="27" t="s">
        <v>132</v>
      </c>
      <c r="M16506" s="27" t="s">
        <v>294</v>
      </c>
      <c r="N16506" s="27" t="s">
        <v>855</v>
      </c>
      <c r="P16506" s="27" t="s">
        <v>18518</v>
      </c>
      <c r="Q16506" s="26" t="str">
        <f>HYPERLINK("https://ictv.global/taxonomy/taxondetails?taxnode_id=202505943&amp;ictv_id=ICTV20175943","ICTV20175943")</f>
        <v>ICTV20175943</v>
      </c>
      <c r="R16506" t="s">
        <v>584</v>
      </c>
      <c r="S16506" t="s">
        <v>824</v>
      </c>
      <c r="T16506">
        <v>39</v>
      </c>
      <c r="U16506" s="26" t="str">
        <f t="shared" si="621"/>
        <v>2023.009DX.Retroviridae_68rensp_Error_Correction.zip</v>
      </c>
    </row>
    <row r="16507" spans="1:21">
      <c r="A16507">
        <v>16506</v>
      </c>
      <c r="B16507" s="27" t="s">
        <v>1124</v>
      </c>
      <c r="D16507" s="27" t="s">
        <v>1969</v>
      </c>
      <c r="F16507" s="27" t="s">
        <v>1970</v>
      </c>
      <c r="H16507" s="27" t="s">
        <v>1971</v>
      </c>
      <c r="J16507" s="27" t="s">
        <v>848</v>
      </c>
      <c r="L16507" s="27" t="s">
        <v>132</v>
      </c>
      <c r="M16507" s="27" t="s">
        <v>294</v>
      </c>
      <c r="N16507" s="27" t="s">
        <v>855</v>
      </c>
      <c r="P16507" s="27" t="s">
        <v>18519</v>
      </c>
      <c r="Q16507" s="26" t="str">
        <f>HYPERLINK("https://ictv.global/taxonomy/taxondetails?taxnode_id=202505936&amp;ictv_id=ICTV20175936","ICTV20175936")</f>
        <v>ICTV20175936</v>
      </c>
      <c r="R16507" t="s">
        <v>584</v>
      </c>
      <c r="S16507" t="s">
        <v>824</v>
      </c>
      <c r="T16507">
        <v>39</v>
      </c>
      <c r="U16507" s="26" t="str">
        <f t="shared" si="621"/>
        <v>2023.009DX.Retroviridae_68rensp_Error_Correction.zip</v>
      </c>
    </row>
    <row r="16508" spans="1:21">
      <c r="A16508">
        <v>16507</v>
      </c>
      <c r="B16508" s="27" t="s">
        <v>1124</v>
      </c>
      <c r="D16508" s="27" t="s">
        <v>1969</v>
      </c>
      <c r="F16508" s="27" t="s">
        <v>1970</v>
      </c>
      <c r="H16508" s="27" t="s">
        <v>1971</v>
      </c>
      <c r="J16508" s="27" t="s">
        <v>848</v>
      </c>
      <c r="L16508" s="27" t="s">
        <v>132</v>
      </c>
      <c r="M16508" s="27" t="s">
        <v>294</v>
      </c>
      <c r="N16508" s="27" t="s">
        <v>855</v>
      </c>
      <c r="P16508" s="27" t="s">
        <v>18520</v>
      </c>
      <c r="Q16508" s="26" t="str">
        <f>HYPERLINK("https://ictv.global/taxonomy/taxondetails?taxnode_id=202505038&amp;ictv_id=ICTV20074660","ICTV20074660")</f>
        <v>ICTV20074660</v>
      </c>
      <c r="R16508" t="s">
        <v>584</v>
      </c>
      <c r="S16508" t="s">
        <v>824</v>
      </c>
      <c r="T16508">
        <v>39</v>
      </c>
      <c r="U16508" s="26" t="str">
        <f t="shared" si="621"/>
        <v>2023.009DX.Retroviridae_68rensp_Error_Correction.zip</v>
      </c>
    </row>
    <row r="16509" spans="1:21">
      <c r="A16509">
        <v>16508</v>
      </c>
      <c r="B16509" s="27" t="s">
        <v>1124</v>
      </c>
      <c r="D16509" s="27" t="s">
        <v>1969</v>
      </c>
      <c r="F16509" s="27" t="s">
        <v>1970</v>
      </c>
      <c r="H16509" s="27" t="s">
        <v>1971</v>
      </c>
      <c r="J16509" s="27" t="s">
        <v>848</v>
      </c>
      <c r="L16509" s="27" t="s">
        <v>132</v>
      </c>
      <c r="M16509" s="27" t="s">
        <v>294</v>
      </c>
      <c r="N16509" s="27" t="s">
        <v>855</v>
      </c>
      <c r="P16509" s="27" t="s">
        <v>18521</v>
      </c>
      <c r="Q16509" s="26" t="str">
        <f>HYPERLINK("https://ictv.global/taxonomy/taxondetails?taxnode_id=202505942&amp;ictv_id=ICTV20175942","ICTV20175942")</f>
        <v>ICTV20175942</v>
      </c>
      <c r="R16509" t="s">
        <v>584</v>
      </c>
      <c r="S16509" t="s">
        <v>824</v>
      </c>
      <c r="T16509">
        <v>39</v>
      </c>
      <c r="U16509" s="26" t="str">
        <f t="shared" si="621"/>
        <v>2023.009DX.Retroviridae_68rensp_Error_Correction.zip</v>
      </c>
    </row>
    <row r="16510" spans="1:21">
      <c r="A16510">
        <v>16509</v>
      </c>
      <c r="B16510" s="27" t="s">
        <v>1124</v>
      </c>
      <c r="D16510" s="27" t="s">
        <v>1969</v>
      </c>
      <c r="F16510" s="27" t="s">
        <v>1970</v>
      </c>
      <c r="H16510" s="27" t="s">
        <v>1971</v>
      </c>
      <c r="J16510" s="27" t="s">
        <v>848</v>
      </c>
      <c r="L16510" s="27" t="s">
        <v>132</v>
      </c>
      <c r="M16510" s="27" t="s">
        <v>294</v>
      </c>
      <c r="N16510" s="27" t="s">
        <v>855</v>
      </c>
      <c r="P16510" s="27" t="s">
        <v>18522</v>
      </c>
      <c r="Q16510" s="26" t="str">
        <f>HYPERLINK("https://ictv.global/taxonomy/taxondetails?taxnode_id=202505042&amp;ictv_id=ICTV20074664","ICTV20074664")</f>
        <v>ICTV20074664</v>
      </c>
      <c r="R16510" t="s">
        <v>584</v>
      </c>
      <c r="S16510" t="s">
        <v>824</v>
      </c>
      <c r="T16510">
        <v>39</v>
      </c>
      <c r="U16510" s="26" t="str">
        <f t="shared" si="621"/>
        <v>2023.009DX.Retroviridae_68rensp_Error_Correction.zip</v>
      </c>
    </row>
    <row r="16511" spans="1:21">
      <c r="A16511">
        <v>16510</v>
      </c>
      <c r="B16511" s="27" t="s">
        <v>1124</v>
      </c>
      <c r="D16511" s="27" t="s">
        <v>1969</v>
      </c>
      <c r="F16511" s="27" t="s">
        <v>1970</v>
      </c>
      <c r="H16511" s="27" t="s">
        <v>1971</v>
      </c>
      <c r="J16511" s="27" t="s">
        <v>848</v>
      </c>
      <c r="L16511" s="27" t="s">
        <v>132</v>
      </c>
      <c r="M16511" s="27" t="s">
        <v>294</v>
      </c>
      <c r="N16511" s="27" t="s">
        <v>855</v>
      </c>
      <c r="P16511" s="27" t="s">
        <v>18523</v>
      </c>
      <c r="Q16511" s="26" t="str">
        <f>HYPERLINK("https://ictv.global/taxonomy/taxondetails?taxnode_id=202506445&amp;ictv_id=ICTV201856445","ICTV201856445")</f>
        <v>ICTV201856445</v>
      </c>
      <c r="R16511" t="s">
        <v>584</v>
      </c>
      <c r="S16511" t="s">
        <v>824</v>
      </c>
      <c r="T16511">
        <v>39</v>
      </c>
      <c r="U16511" s="26" t="str">
        <f t="shared" si="621"/>
        <v>2023.009DX.Retroviridae_68rensp_Error_Correction.zip</v>
      </c>
    </row>
    <row r="16512" spans="1:21">
      <c r="A16512">
        <v>16511</v>
      </c>
      <c r="B16512" s="27" t="s">
        <v>1124</v>
      </c>
      <c r="D16512" s="27" t="s">
        <v>1969</v>
      </c>
      <c r="F16512" s="27" t="s">
        <v>1970</v>
      </c>
      <c r="H16512" s="27" t="s">
        <v>1971</v>
      </c>
      <c r="J16512" s="27" t="s">
        <v>848</v>
      </c>
      <c r="L16512" s="27" t="s">
        <v>132</v>
      </c>
      <c r="M16512" s="27" t="s">
        <v>294</v>
      </c>
      <c r="N16512" s="27" t="s">
        <v>855</v>
      </c>
      <c r="P16512" s="27" t="s">
        <v>18524</v>
      </c>
      <c r="Q16512" s="26" t="str">
        <f>HYPERLINK("https://ictv.global/taxonomy/taxondetails?taxnode_id=202505937&amp;ictv_id=ICTV20175937","ICTV20175937")</f>
        <v>ICTV20175937</v>
      </c>
      <c r="R16512" t="s">
        <v>584</v>
      </c>
      <c r="S16512" t="s">
        <v>824</v>
      </c>
      <c r="T16512">
        <v>39</v>
      </c>
      <c r="U16512" s="26" t="str">
        <f t="shared" si="621"/>
        <v>2023.009DX.Retroviridae_68rensp_Error_Correction.zip</v>
      </c>
    </row>
    <row r="16513" spans="1:21">
      <c r="A16513">
        <v>16512</v>
      </c>
      <c r="B16513" s="27" t="s">
        <v>1124</v>
      </c>
      <c r="D16513" s="27" t="s">
        <v>1969</v>
      </c>
      <c r="F16513" s="27" t="s">
        <v>1970</v>
      </c>
      <c r="H16513" s="27" t="s">
        <v>1971</v>
      </c>
      <c r="J16513" s="27" t="s">
        <v>848</v>
      </c>
      <c r="L16513" s="27" t="s">
        <v>132</v>
      </c>
      <c r="M16513" s="27" t="s">
        <v>294</v>
      </c>
      <c r="N16513" s="27" t="s">
        <v>855</v>
      </c>
      <c r="P16513" s="27" t="s">
        <v>18525</v>
      </c>
      <c r="Q16513" s="26" t="str">
        <f>HYPERLINK("https://ictv.global/taxonomy/taxondetails?taxnode_id=202505938&amp;ictv_id=ICTV20175938","ICTV20175938")</f>
        <v>ICTV20175938</v>
      </c>
      <c r="R16513" t="s">
        <v>584</v>
      </c>
      <c r="S16513" t="s">
        <v>824</v>
      </c>
      <c r="T16513">
        <v>39</v>
      </c>
      <c r="U16513" s="26" t="str">
        <f t="shared" si="621"/>
        <v>2023.009DX.Retroviridae_68rensp_Error_Correction.zip</v>
      </c>
    </row>
    <row r="16514" spans="1:21">
      <c r="A16514">
        <v>16513</v>
      </c>
      <c r="B16514" s="27" t="s">
        <v>1124</v>
      </c>
      <c r="D16514" s="27" t="s">
        <v>1969</v>
      </c>
      <c r="F16514" s="27" t="s">
        <v>1970</v>
      </c>
      <c r="H16514" s="27" t="s">
        <v>1971</v>
      </c>
      <c r="J16514" s="27" t="s">
        <v>848</v>
      </c>
      <c r="L16514" s="27" t="s">
        <v>132</v>
      </c>
      <c r="M16514" s="27" t="s">
        <v>294</v>
      </c>
      <c r="N16514" s="27" t="s">
        <v>855</v>
      </c>
      <c r="P16514" s="27" t="s">
        <v>18526</v>
      </c>
      <c r="Q16514" s="26" t="str">
        <f>HYPERLINK("https://ictv.global/taxonomy/taxondetails?taxnode_id=202505043&amp;ictv_id=ICTV20026748","ICTV20026748")</f>
        <v>ICTV20026748</v>
      </c>
      <c r="R16514" t="s">
        <v>584</v>
      </c>
      <c r="S16514" t="s">
        <v>824</v>
      </c>
      <c r="T16514">
        <v>39</v>
      </c>
      <c r="U16514" s="26" t="str">
        <f t="shared" si="621"/>
        <v>2023.009DX.Retroviridae_68rensp_Error_Correction.zip</v>
      </c>
    </row>
    <row r="16515" spans="1:21">
      <c r="A16515">
        <v>16514</v>
      </c>
      <c r="B16515" s="27" t="s">
        <v>1124</v>
      </c>
      <c r="D16515" s="27" t="s">
        <v>1969</v>
      </c>
      <c r="F16515" s="27" t="s">
        <v>1970</v>
      </c>
      <c r="H16515" s="27" t="s">
        <v>1971</v>
      </c>
      <c r="J16515" s="27" t="s">
        <v>848</v>
      </c>
      <c r="L16515" s="27" t="s">
        <v>132</v>
      </c>
      <c r="M16515" s="27" t="s">
        <v>294</v>
      </c>
      <c r="N16515" s="27" t="s">
        <v>855</v>
      </c>
      <c r="P16515" s="27" t="s">
        <v>18527</v>
      </c>
      <c r="Q16515" s="26" t="str">
        <f>HYPERLINK("https://ictv.global/taxonomy/taxondetails?taxnode_id=202505935&amp;ictv_id=ICTV20175935","ICTV20175935")</f>
        <v>ICTV20175935</v>
      </c>
      <c r="R16515" t="s">
        <v>584</v>
      </c>
      <c r="S16515" t="s">
        <v>824</v>
      </c>
      <c r="T16515">
        <v>39</v>
      </c>
      <c r="U16515" s="26" t="str">
        <f t="shared" si="621"/>
        <v>2023.009DX.Retroviridae_68rensp_Error_Correction.zip</v>
      </c>
    </row>
    <row r="16516" spans="1:21">
      <c r="A16516">
        <v>16515</v>
      </c>
      <c r="B16516" s="27" t="s">
        <v>1124</v>
      </c>
      <c r="D16516" s="27" t="s">
        <v>1969</v>
      </c>
      <c r="F16516" s="27" t="s">
        <v>1970</v>
      </c>
      <c r="H16516" s="27" t="s">
        <v>1971</v>
      </c>
      <c r="J16516" s="27" t="s">
        <v>848</v>
      </c>
      <c r="L16516" s="27" t="s">
        <v>132</v>
      </c>
      <c r="M16516" s="27" t="s">
        <v>294</v>
      </c>
      <c r="N16516" s="27" t="s">
        <v>855</v>
      </c>
      <c r="P16516" s="27" t="s">
        <v>18528</v>
      </c>
      <c r="Q16516" s="26" t="str">
        <f>HYPERLINK("https://ictv.global/taxonomy/taxondetails?taxnode_id=202505941&amp;ictv_id=ICTV20175941","ICTV20175941")</f>
        <v>ICTV20175941</v>
      </c>
      <c r="R16516" t="s">
        <v>584</v>
      </c>
      <c r="S16516" t="s">
        <v>824</v>
      </c>
      <c r="T16516">
        <v>39</v>
      </c>
      <c r="U16516" s="26" t="str">
        <f t="shared" si="621"/>
        <v>2023.009DX.Retroviridae_68rensp_Error_Correction.zip</v>
      </c>
    </row>
    <row r="16517" spans="1:21">
      <c r="A16517">
        <v>16516</v>
      </c>
      <c r="B16517" s="27" t="s">
        <v>1124</v>
      </c>
      <c r="D16517" s="27" t="s">
        <v>1969</v>
      </c>
      <c r="F16517" s="27" t="s">
        <v>1970</v>
      </c>
      <c r="H16517" s="27" t="s">
        <v>1971</v>
      </c>
      <c r="J16517" s="27" t="s">
        <v>848</v>
      </c>
      <c r="L16517" s="27" t="s">
        <v>132</v>
      </c>
      <c r="M16517" s="27" t="s">
        <v>294</v>
      </c>
      <c r="N16517" s="27" t="s">
        <v>855</v>
      </c>
      <c r="P16517" s="27" t="s">
        <v>18529</v>
      </c>
      <c r="Q16517" s="26" t="str">
        <f>HYPERLINK("https://ictv.global/taxonomy/taxondetails?taxnode_id=202505934&amp;ictv_id=ICTV20175934","ICTV20175934")</f>
        <v>ICTV20175934</v>
      </c>
      <c r="R16517" t="s">
        <v>584</v>
      </c>
      <c r="S16517" t="s">
        <v>824</v>
      </c>
      <c r="T16517">
        <v>39</v>
      </c>
      <c r="U16517" s="26" t="str">
        <f t="shared" si="621"/>
        <v>2023.009DX.Retroviridae_68rensp_Error_Correction.zip</v>
      </c>
    </row>
    <row r="16518" spans="1:21">
      <c r="A16518">
        <v>16517</v>
      </c>
      <c r="B16518" s="27" t="s">
        <v>1124</v>
      </c>
      <c r="D16518" s="27" t="s">
        <v>1969</v>
      </c>
      <c r="F16518" s="27" t="s">
        <v>1970</v>
      </c>
      <c r="H16518" s="27" t="s">
        <v>1971</v>
      </c>
      <c r="J16518" s="27" t="s">
        <v>848</v>
      </c>
      <c r="L16518" s="27" t="s">
        <v>132</v>
      </c>
      <c r="M16518" s="27" t="s">
        <v>294</v>
      </c>
      <c r="N16518" s="27" t="s">
        <v>855</v>
      </c>
      <c r="P16518" s="27" t="s">
        <v>18530</v>
      </c>
      <c r="Q16518" s="26" t="str">
        <f>HYPERLINK("https://ictv.global/taxonomy/taxondetails?taxnode_id=202505940&amp;ictv_id=ICTV20175940","ICTV20175940")</f>
        <v>ICTV20175940</v>
      </c>
      <c r="R16518" t="s">
        <v>584</v>
      </c>
      <c r="S16518" t="s">
        <v>824</v>
      </c>
      <c r="T16518">
        <v>39</v>
      </c>
      <c r="U16518" s="26" t="str">
        <f t="shared" si="621"/>
        <v>2023.009DX.Retroviridae_68rensp_Error_Correction.zip</v>
      </c>
    </row>
    <row r="16519" spans="1:21">
      <c r="A16519">
        <v>16518</v>
      </c>
      <c r="B16519" s="27" t="s">
        <v>1124</v>
      </c>
      <c r="D16519" s="27" t="s">
        <v>1969</v>
      </c>
      <c r="F16519" s="27" t="s">
        <v>1970</v>
      </c>
      <c r="H16519" s="27" t="s">
        <v>1971</v>
      </c>
      <c r="J16519" s="27" t="s">
        <v>848</v>
      </c>
      <c r="L16519" s="27" t="s">
        <v>132</v>
      </c>
      <c r="M16519" s="27" t="s">
        <v>294</v>
      </c>
      <c r="N16519" s="27" t="s">
        <v>855</v>
      </c>
      <c r="P16519" s="27" t="s">
        <v>18531</v>
      </c>
      <c r="Q16519" s="26" t="str">
        <f>HYPERLINK("https://ictv.global/taxonomy/taxondetails?taxnode_id=202505944&amp;ictv_id=ICTV20175944","ICTV20175944")</f>
        <v>ICTV20175944</v>
      </c>
      <c r="R16519" t="s">
        <v>584</v>
      </c>
      <c r="S16519" t="s">
        <v>824</v>
      </c>
      <c r="T16519">
        <v>39</v>
      </c>
      <c r="U16519" s="26" t="str">
        <f t="shared" si="621"/>
        <v>2023.009DX.Retroviridae_68rensp_Error_Correction.zip</v>
      </c>
    </row>
    <row r="16520" spans="1:21">
      <c r="A16520">
        <v>16519</v>
      </c>
      <c r="B16520" s="27" t="s">
        <v>1124</v>
      </c>
      <c r="J16520" s="27" t="s">
        <v>20619</v>
      </c>
      <c r="L16520" s="27" t="s">
        <v>20620</v>
      </c>
      <c r="N16520" s="27" t="s">
        <v>714</v>
      </c>
      <c r="P16520" s="27" t="s">
        <v>20621</v>
      </c>
      <c r="Q16520" s="26" t="str">
        <f>HYPERLINK("https://ictv.global/taxonomy/taxondetails?taxnode_id=202505360&amp;ictv_id=ICTV20154648","ICTV20154648")</f>
        <v>ICTV20154648</v>
      </c>
      <c r="R16520" t="s">
        <v>581</v>
      </c>
      <c r="S16520" t="s">
        <v>824</v>
      </c>
      <c r="T16520">
        <v>40</v>
      </c>
      <c r="U16520" s="26" t="str">
        <f t="shared" ref="U16520:U16526" si="622">HYPERLINK("https://ictv.global/ictv/proposals/2024.021P.Riboviria_1nord.zip","2024.021P.Riboviria_1nord.zip")</f>
        <v>2024.021P.Riboviria_1nord.zip</v>
      </c>
    </row>
    <row r="16521" spans="1:21">
      <c r="A16521">
        <v>16520</v>
      </c>
      <c r="B16521" s="27" t="s">
        <v>1124</v>
      </c>
      <c r="J16521" s="27" t="s">
        <v>20619</v>
      </c>
      <c r="L16521" s="27" t="s">
        <v>705</v>
      </c>
      <c r="N16521" s="27" t="s">
        <v>706</v>
      </c>
      <c r="P16521" s="27" t="s">
        <v>17951</v>
      </c>
      <c r="Q16521" s="26" t="str">
        <f>HYPERLINK("https://ictv.global/taxonomy/taxondetails?taxnode_id=202505047&amp;ictv_id=ICTV20154619","ICTV20154619")</f>
        <v>ICTV20154619</v>
      </c>
      <c r="R16521" t="s">
        <v>581</v>
      </c>
      <c r="S16521" t="s">
        <v>22763</v>
      </c>
      <c r="T16521">
        <v>40</v>
      </c>
      <c r="U16521" s="26" t="str">
        <f t="shared" si="622"/>
        <v>2024.021P.Riboviria_1nord.zip</v>
      </c>
    </row>
    <row r="16522" spans="1:21">
      <c r="A16522">
        <v>16521</v>
      </c>
      <c r="B16522" s="27" t="s">
        <v>1124</v>
      </c>
      <c r="J16522" s="27" t="s">
        <v>20619</v>
      </c>
      <c r="L16522" s="27" t="s">
        <v>20622</v>
      </c>
      <c r="N16522" s="27" t="s">
        <v>716</v>
      </c>
      <c r="P16522" s="27" t="s">
        <v>20623</v>
      </c>
      <c r="Q16522" s="26" t="str">
        <f>HYPERLINK("https://ictv.global/taxonomy/taxondetails?taxnode_id=202505393&amp;ictv_id=ICTV20154650","ICTV20154650")</f>
        <v>ICTV20154650</v>
      </c>
      <c r="R16522" t="s">
        <v>581</v>
      </c>
      <c r="S16522" t="s">
        <v>824</v>
      </c>
      <c r="T16522">
        <v>40</v>
      </c>
      <c r="U16522" s="26" t="str">
        <f t="shared" si="622"/>
        <v>2024.021P.Riboviria_1nord.zip</v>
      </c>
    </row>
    <row r="16523" spans="1:21">
      <c r="A16523">
        <v>16522</v>
      </c>
      <c r="B16523" s="27" t="s">
        <v>1124</v>
      </c>
      <c r="L16523" s="27" t="s">
        <v>20624</v>
      </c>
      <c r="N16523" s="27" t="s">
        <v>711</v>
      </c>
      <c r="P16523" s="27" t="s">
        <v>20625</v>
      </c>
      <c r="Q16523" s="26" t="str">
        <f>HYPERLINK("https://ictv.global/taxonomy/taxondetails?taxnode_id=202505333&amp;ictv_id=ICTV20154642","ICTV20154642")</f>
        <v>ICTV20154642</v>
      </c>
      <c r="R16523" t="s">
        <v>581</v>
      </c>
      <c r="S16523" t="s">
        <v>824</v>
      </c>
      <c r="T16523">
        <v>40</v>
      </c>
      <c r="U16523" s="26" t="str">
        <f t="shared" si="622"/>
        <v>2024.021P.Riboviria_1nord.zip</v>
      </c>
    </row>
    <row r="16524" spans="1:21">
      <c r="A16524">
        <v>16523</v>
      </c>
      <c r="B16524" s="27" t="s">
        <v>1124</v>
      </c>
      <c r="L16524" s="27" t="s">
        <v>20624</v>
      </c>
      <c r="N16524" s="27" t="s">
        <v>711</v>
      </c>
      <c r="P16524" s="27" t="s">
        <v>20626</v>
      </c>
      <c r="Q16524" s="26" t="str">
        <f>HYPERLINK("https://ictv.global/taxonomy/taxondetails?taxnode_id=202505334&amp;ictv_id=ICTV20154643","ICTV20154643")</f>
        <v>ICTV20154643</v>
      </c>
      <c r="R16524" t="s">
        <v>581</v>
      </c>
      <c r="S16524" t="s">
        <v>824</v>
      </c>
      <c r="T16524">
        <v>40</v>
      </c>
      <c r="U16524" s="26" t="str">
        <f t="shared" si="622"/>
        <v>2024.021P.Riboviria_1nord.zip</v>
      </c>
    </row>
    <row r="16525" spans="1:21">
      <c r="A16525">
        <v>16524</v>
      </c>
      <c r="B16525" s="27" t="s">
        <v>1124</v>
      </c>
      <c r="L16525" s="27" t="s">
        <v>20624</v>
      </c>
      <c r="N16525" s="27" t="s">
        <v>711</v>
      </c>
      <c r="P16525" s="27" t="s">
        <v>20627</v>
      </c>
      <c r="Q16525" s="26" t="str">
        <f>HYPERLINK("https://ictv.global/taxonomy/taxondetails?taxnode_id=202505335&amp;ictv_id=ICTV20154644","ICTV20154644")</f>
        <v>ICTV20154644</v>
      </c>
      <c r="R16525" t="s">
        <v>581</v>
      </c>
      <c r="S16525" t="s">
        <v>824</v>
      </c>
      <c r="T16525">
        <v>40</v>
      </c>
      <c r="U16525" s="26" t="str">
        <f t="shared" si="622"/>
        <v>2024.021P.Riboviria_1nord.zip</v>
      </c>
    </row>
    <row r="16526" spans="1:21">
      <c r="A16526">
        <v>16525</v>
      </c>
      <c r="B16526" s="27" t="s">
        <v>1124</v>
      </c>
      <c r="L16526" s="27" t="s">
        <v>20624</v>
      </c>
      <c r="N16526" s="27" t="s">
        <v>712</v>
      </c>
      <c r="P16526" s="27" t="s">
        <v>20628</v>
      </c>
      <c r="Q16526" s="26" t="str">
        <f>HYPERLINK("https://ictv.global/taxonomy/taxondetails?taxnode_id=202505337&amp;ictv_id=ICTV20154646","ICTV20154646")</f>
        <v>ICTV20154646</v>
      </c>
      <c r="R16526" t="s">
        <v>581</v>
      </c>
      <c r="S16526" t="s">
        <v>824</v>
      </c>
      <c r="T16526">
        <v>40</v>
      </c>
      <c r="U16526" s="26" t="str">
        <f t="shared" si="622"/>
        <v>2024.021P.Riboviria_1nord.zip</v>
      </c>
    </row>
    <row r="16527" spans="1:21">
      <c r="A16527">
        <v>16526</v>
      </c>
      <c r="B16527" s="27" t="s">
        <v>3604</v>
      </c>
      <c r="L16527" s="27" t="s">
        <v>3605</v>
      </c>
      <c r="N16527" s="27" t="s">
        <v>3606</v>
      </c>
      <c r="P16527" s="27" t="s">
        <v>3607</v>
      </c>
      <c r="Q16527" s="26" t="str">
        <f>HYPERLINK("https://ictv.global/taxonomy/taxondetails?taxnode_id=202509310&amp;ictv_id=ICTV202009310","ICTV202009310")</f>
        <v>ICTV202009310</v>
      </c>
      <c r="R16527" t="s">
        <v>580</v>
      </c>
      <c r="S16527" t="s">
        <v>823</v>
      </c>
      <c r="T16527">
        <v>36</v>
      </c>
      <c r="U16527" s="26" t="str">
        <f t="shared" ref="U16527:U16533" si="623">HYPERLINK("https://ictv.global/ictv/proposals/2020.012D.R.Ribozyviria.zip","2020.012D.R.Ribozyviria.zip")</f>
        <v>2020.012D.R.Ribozyviria.zip</v>
      </c>
    </row>
    <row r="16528" spans="1:21">
      <c r="A16528">
        <v>16527</v>
      </c>
      <c r="B16528" s="27" t="s">
        <v>3604</v>
      </c>
      <c r="L16528" s="27" t="s">
        <v>3605</v>
      </c>
      <c r="N16528" s="27" t="s">
        <v>3608</v>
      </c>
      <c r="P16528" s="27" t="s">
        <v>3609</v>
      </c>
      <c r="Q16528" s="26" t="str">
        <f>HYPERLINK("https://ictv.global/taxonomy/taxondetails?taxnode_id=202509312&amp;ictv_id=ICTV202009312","ICTV202009312")</f>
        <v>ICTV202009312</v>
      </c>
      <c r="R16528" t="s">
        <v>580</v>
      </c>
      <c r="S16528" t="s">
        <v>823</v>
      </c>
      <c r="T16528">
        <v>36</v>
      </c>
      <c r="U16528" s="26" t="str">
        <f t="shared" si="623"/>
        <v>2020.012D.R.Ribozyviria.zip</v>
      </c>
    </row>
    <row r="16529" spans="1:21">
      <c r="A16529">
        <v>16528</v>
      </c>
      <c r="B16529" s="27" t="s">
        <v>3604</v>
      </c>
      <c r="L16529" s="27" t="s">
        <v>3605</v>
      </c>
      <c r="N16529" s="27" t="s">
        <v>3610</v>
      </c>
      <c r="P16529" s="27" t="s">
        <v>3611</v>
      </c>
      <c r="Q16529" s="26" t="str">
        <f>HYPERLINK("https://ictv.global/taxonomy/taxondetails?taxnode_id=202509304&amp;ictv_id=ICTV202009304","ICTV202009304")</f>
        <v>ICTV202009304</v>
      </c>
      <c r="R16529" t="s">
        <v>580</v>
      </c>
      <c r="S16529" t="s">
        <v>823</v>
      </c>
      <c r="T16529">
        <v>36</v>
      </c>
      <c r="U16529" s="26" t="str">
        <f t="shared" si="623"/>
        <v>2020.012D.R.Ribozyviria.zip</v>
      </c>
    </row>
    <row r="16530" spans="1:21">
      <c r="A16530">
        <v>16529</v>
      </c>
      <c r="B16530" s="27" t="s">
        <v>3604</v>
      </c>
      <c r="L16530" s="27" t="s">
        <v>3605</v>
      </c>
      <c r="N16530" s="27" t="s">
        <v>3612</v>
      </c>
      <c r="P16530" s="27" t="s">
        <v>3613</v>
      </c>
      <c r="Q16530" s="26" t="str">
        <f>HYPERLINK("https://ictv.global/taxonomy/taxondetails?taxnode_id=202509302&amp;ictv_id=ICTV202009302","ICTV202009302")</f>
        <v>ICTV202009302</v>
      </c>
      <c r="R16530" t="s">
        <v>580</v>
      </c>
      <c r="S16530" t="s">
        <v>823</v>
      </c>
      <c r="T16530">
        <v>36</v>
      </c>
      <c r="U16530" s="26" t="str">
        <f t="shared" si="623"/>
        <v>2020.012D.R.Ribozyviria.zip</v>
      </c>
    </row>
    <row r="16531" spans="1:21">
      <c r="A16531">
        <v>16530</v>
      </c>
      <c r="B16531" s="27" t="s">
        <v>3604</v>
      </c>
      <c r="L16531" s="27" t="s">
        <v>3605</v>
      </c>
      <c r="N16531" s="27" t="s">
        <v>3614</v>
      </c>
      <c r="P16531" s="27" t="s">
        <v>3615</v>
      </c>
      <c r="Q16531" s="26" t="str">
        <f>HYPERLINK("https://ictv.global/taxonomy/taxondetails?taxnode_id=202509306&amp;ictv_id=ICTV202009306","ICTV202009306")</f>
        <v>ICTV202009306</v>
      </c>
      <c r="R16531" t="s">
        <v>580</v>
      </c>
      <c r="S16531" t="s">
        <v>823</v>
      </c>
      <c r="T16531">
        <v>36</v>
      </c>
      <c r="U16531" s="26" t="str">
        <f t="shared" si="623"/>
        <v>2020.012D.R.Ribozyviria.zip</v>
      </c>
    </row>
    <row r="16532" spans="1:21">
      <c r="A16532">
        <v>16531</v>
      </c>
      <c r="B16532" s="27" t="s">
        <v>3604</v>
      </c>
      <c r="L16532" s="27" t="s">
        <v>3605</v>
      </c>
      <c r="N16532" s="27" t="s">
        <v>303</v>
      </c>
      <c r="P16532" s="27" t="s">
        <v>3616</v>
      </c>
      <c r="Q16532" s="26" t="str">
        <f>HYPERLINK("https://ictv.global/taxonomy/taxondetails?taxnode_id=202509299&amp;ictv_id=ICTV202009299","ICTV202009299")</f>
        <v>ICTV202009299</v>
      </c>
      <c r="R16532" t="s">
        <v>580</v>
      </c>
      <c r="S16532" t="s">
        <v>823</v>
      </c>
      <c r="T16532">
        <v>36</v>
      </c>
      <c r="U16532" s="26" t="str">
        <f t="shared" si="623"/>
        <v>2020.012D.R.Ribozyviria.zip</v>
      </c>
    </row>
    <row r="16533" spans="1:21">
      <c r="A16533">
        <v>16532</v>
      </c>
      <c r="B16533" s="27" t="s">
        <v>3604</v>
      </c>
      <c r="L16533" s="27" t="s">
        <v>3605</v>
      </c>
      <c r="N16533" s="27" t="s">
        <v>303</v>
      </c>
      <c r="P16533" s="27" t="s">
        <v>3617</v>
      </c>
      <c r="Q16533" s="26" t="str">
        <f>HYPERLINK("https://ictv.global/taxonomy/taxondetails?taxnode_id=202509298&amp;ictv_id=ICTV202009298","ICTV202009298")</f>
        <v>ICTV202009298</v>
      </c>
      <c r="R16533" t="s">
        <v>580</v>
      </c>
      <c r="S16533" t="s">
        <v>823</v>
      </c>
      <c r="T16533">
        <v>36</v>
      </c>
      <c r="U16533" s="26" t="str">
        <f t="shared" si="623"/>
        <v>2020.012D.R.Ribozyviria.zip</v>
      </c>
    </row>
    <row r="16534" spans="1:21">
      <c r="A16534">
        <v>16533</v>
      </c>
      <c r="B16534" s="27" t="s">
        <v>3604</v>
      </c>
      <c r="L16534" s="27" t="s">
        <v>3605</v>
      </c>
      <c r="N16534" s="27" t="s">
        <v>303</v>
      </c>
      <c r="P16534" s="27" t="s">
        <v>3618</v>
      </c>
      <c r="Q16534" s="26" t="str">
        <f>HYPERLINK("https://ictv.global/taxonomy/taxondetails?taxnode_id=202505348&amp;ictv_id=ICTV19931851","ICTV19931851")</f>
        <v>ICTV19931851</v>
      </c>
      <c r="R16534" t="s">
        <v>580</v>
      </c>
      <c r="S16534" t="s">
        <v>22766</v>
      </c>
      <c r="T16534">
        <v>36</v>
      </c>
      <c r="U16534" s="26" t="str">
        <f>HYPERLINK("https://ictv.global/ictv/proposals/2020.001G.R.Abolish_type_species.pdf","2020.001G.R.Abolish_type_species.pdf")</f>
        <v>2020.001G.R.Abolish_type_species.pdf</v>
      </c>
    </row>
    <row r="16535" spans="1:21">
      <c r="A16535">
        <v>16534</v>
      </c>
      <c r="B16535" s="27" t="s">
        <v>3604</v>
      </c>
      <c r="L16535" s="27" t="s">
        <v>3605</v>
      </c>
      <c r="N16535" s="27" t="s">
        <v>303</v>
      </c>
      <c r="P16535" s="27" t="s">
        <v>3619</v>
      </c>
      <c r="Q16535" s="26" t="str">
        <f>HYPERLINK("https://ictv.global/taxonomy/taxondetails?taxnode_id=202509294&amp;ictv_id=ICTV202009294","ICTV202009294")</f>
        <v>ICTV202009294</v>
      </c>
      <c r="R16535" t="s">
        <v>580</v>
      </c>
      <c r="S16535" t="s">
        <v>823</v>
      </c>
      <c r="T16535">
        <v>36</v>
      </c>
      <c r="U16535" s="26" t="str">
        <f t="shared" ref="U16535:U16540" si="624">HYPERLINK("https://ictv.global/ictv/proposals/2020.012D.R.Ribozyviria.zip","2020.012D.R.Ribozyviria.zip")</f>
        <v>2020.012D.R.Ribozyviria.zip</v>
      </c>
    </row>
    <row r="16536" spans="1:21">
      <c r="A16536">
        <v>16535</v>
      </c>
      <c r="B16536" s="27" t="s">
        <v>3604</v>
      </c>
      <c r="L16536" s="27" t="s">
        <v>3605</v>
      </c>
      <c r="N16536" s="27" t="s">
        <v>303</v>
      </c>
      <c r="P16536" s="27" t="s">
        <v>3620</v>
      </c>
      <c r="Q16536" s="26" t="str">
        <f>HYPERLINK("https://ictv.global/taxonomy/taxondetails?taxnode_id=202509295&amp;ictv_id=ICTV202009295","ICTV202009295")</f>
        <v>ICTV202009295</v>
      </c>
      <c r="R16536" t="s">
        <v>580</v>
      </c>
      <c r="S16536" t="s">
        <v>823</v>
      </c>
      <c r="T16536">
        <v>36</v>
      </c>
      <c r="U16536" s="26" t="str">
        <f t="shared" si="624"/>
        <v>2020.012D.R.Ribozyviria.zip</v>
      </c>
    </row>
    <row r="16537" spans="1:21">
      <c r="A16537">
        <v>16536</v>
      </c>
      <c r="B16537" s="27" t="s">
        <v>3604</v>
      </c>
      <c r="L16537" s="27" t="s">
        <v>3605</v>
      </c>
      <c r="N16537" s="27" t="s">
        <v>303</v>
      </c>
      <c r="P16537" s="27" t="s">
        <v>3621</v>
      </c>
      <c r="Q16537" s="26" t="str">
        <f>HYPERLINK("https://ictv.global/taxonomy/taxondetails?taxnode_id=202509300&amp;ictv_id=ICTV202009300","ICTV202009300")</f>
        <v>ICTV202009300</v>
      </c>
      <c r="R16537" t="s">
        <v>580</v>
      </c>
      <c r="S16537" t="s">
        <v>823</v>
      </c>
      <c r="T16537">
        <v>36</v>
      </c>
      <c r="U16537" s="26" t="str">
        <f t="shared" si="624"/>
        <v>2020.012D.R.Ribozyviria.zip</v>
      </c>
    </row>
    <row r="16538" spans="1:21">
      <c r="A16538">
        <v>16537</v>
      </c>
      <c r="B16538" s="27" t="s">
        <v>3604</v>
      </c>
      <c r="L16538" s="27" t="s">
        <v>3605</v>
      </c>
      <c r="N16538" s="27" t="s">
        <v>303</v>
      </c>
      <c r="P16538" s="27" t="s">
        <v>3622</v>
      </c>
      <c r="Q16538" s="26" t="str">
        <f>HYPERLINK("https://ictv.global/taxonomy/taxondetails?taxnode_id=202509296&amp;ictv_id=ICTV202009296","ICTV202009296")</f>
        <v>ICTV202009296</v>
      </c>
      <c r="R16538" t="s">
        <v>580</v>
      </c>
      <c r="S16538" t="s">
        <v>823</v>
      </c>
      <c r="T16538">
        <v>36</v>
      </c>
      <c r="U16538" s="26" t="str">
        <f t="shared" si="624"/>
        <v>2020.012D.R.Ribozyviria.zip</v>
      </c>
    </row>
    <row r="16539" spans="1:21">
      <c r="A16539">
        <v>16538</v>
      </c>
      <c r="B16539" s="27" t="s">
        <v>3604</v>
      </c>
      <c r="L16539" s="27" t="s">
        <v>3605</v>
      </c>
      <c r="N16539" s="27" t="s">
        <v>303</v>
      </c>
      <c r="P16539" s="27" t="s">
        <v>3623</v>
      </c>
      <c r="Q16539" s="26" t="str">
        <f>HYPERLINK("https://ictv.global/taxonomy/taxondetails?taxnode_id=202509297&amp;ictv_id=ICTV202009297","ICTV202009297")</f>
        <v>ICTV202009297</v>
      </c>
      <c r="R16539" t="s">
        <v>580</v>
      </c>
      <c r="S16539" t="s">
        <v>823</v>
      </c>
      <c r="T16539">
        <v>36</v>
      </c>
      <c r="U16539" s="26" t="str">
        <f t="shared" si="624"/>
        <v>2020.012D.R.Ribozyviria.zip</v>
      </c>
    </row>
    <row r="16540" spans="1:21">
      <c r="A16540">
        <v>16539</v>
      </c>
      <c r="B16540" s="27" t="s">
        <v>3604</v>
      </c>
      <c r="L16540" s="27" t="s">
        <v>3605</v>
      </c>
      <c r="N16540" s="27" t="s">
        <v>3624</v>
      </c>
      <c r="P16540" s="27" t="s">
        <v>3625</v>
      </c>
      <c r="Q16540" s="26" t="str">
        <f>HYPERLINK("https://ictv.global/taxonomy/taxondetails?taxnode_id=202509308&amp;ictv_id=ICTV202009308","ICTV202009308")</f>
        <v>ICTV202009308</v>
      </c>
      <c r="R16540" t="s">
        <v>580</v>
      </c>
      <c r="S16540" t="s">
        <v>823</v>
      </c>
      <c r="T16540">
        <v>36</v>
      </c>
      <c r="U16540" s="26" t="str">
        <f t="shared" si="624"/>
        <v>2020.012D.R.Ribozyviria.zip</v>
      </c>
    </row>
    <row r="16541" spans="1:21">
      <c r="A16541">
        <v>16540</v>
      </c>
      <c r="B16541" s="27" t="s">
        <v>3604</v>
      </c>
      <c r="L16541" s="27" t="s">
        <v>3605</v>
      </c>
      <c r="N16541" s="27" t="s">
        <v>17952</v>
      </c>
      <c r="P16541" s="27" t="s">
        <v>17953</v>
      </c>
      <c r="Q16541" s="26" t="str">
        <f>HYPERLINK("https://ictv.global/taxonomy/taxondetails?taxnode_id=202518995&amp;ictv_id=ICTV202318995","ICTV202318995")</f>
        <v>ICTV202318995</v>
      </c>
      <c r="R16541" t="s">
        <v>580</v>
      </c>
      <c r="S16541" t="s">
        <v>823</v>
      </c>
      <c r="T16541">
        <v>39</v>
      </c>
      <c r="U16541" s="26" t="str">
        <f t="shared" ref="U16541:U16546" si="625">HYPERLINK("https://ictv.global/ictv/proposals/2023.026M.Kolmioviridae_3ng_6nsp.zip","2023.026M.Kolmioviridae_3ng_6nsp.zip")</f>
        <v>2023.026M.Kolmioviridae_3ng_6nsp.zip</v>
      </c>
    </row>
    <row r="16542" spans="1:21">
      <c r="A16542">
        <v>16541</v>
      </c>
      <c r="B16542" s="27" t="s">
        <v>3604</v>
      </c>
      <c r="L16542" s="27" t="s">
        <v>3605</v>
      </c>
      <c r="N16542" s="27" t="s">
        <v>17954</v>
      </c>
      <c r="P16542" s="27" t="s">
        <v>17955</v>
      </c>
      <c r="Q16542" s="26" t="str">
        <f>HYPERLINK("https://ictv.global/taxonomy/taxondetails?taxnode_id=202518990&amp;ictv_id=ICTV202318990","ICTV202318990")</f>
        <v>ICTV202318990</v>
      </c>
      <c r="R16542" t="s">
        <v>580</v>
      </c>
      <c r="S16542" t="s">
        <v>823</v>
      </c>
      <c r="T16542">
        <v>39</v>
      </c>
      <c r="U16542" s="26" t="str">
        <f t="shared" si="625"/>
        <v>2023.026M.Kolmioviridae_3ng_6nsp.zip</v>
      </c>
    </row>
    <row r="16543" spans="1:21">
      <c r="A16543">
        <v>16542</v>
      </c>
      <c r="B16543" s="27" t="s">
        <v>3604</v>
      </c>
      <c r="L16543" s="27" t="s">
        <v>3605</v>
      </c>
      <c r="N16543" s="27" t="s">
        <v>17954</v>
      </c>
      <c r="P16543" s="27" t="s">
        <v>17956</v>
      </c>
      <c r="Q16543" s="26" t="str">
        <f>HYPERLINK("https://ictv.global/taxonomy/taxondetails?taxnode_id=202518991&amp;ictv_id=ICTV202318991","ICTV202318991")</f>
        <v>ICTV202318991</v>
      </c>
      <c r="R16543" t="s">
        <v>580</v>
      </c>
      <c r="S16543" t="s">
        <v>823</v>
      </c>
      <c r="T16543">
        <v>39</v>
      </c>
      <c r="U16543" s="26" t="str">
        <f t="shared" si="625"/>
        <v>2023.026M.Kolmioviridae_3ng_6nsp.zip</v>
      </c>
    </row>
    <row r="16544" spans="1:21">
      <c r="A16544">
        <v>16543</v>
      </c>
      <c r="B16544" s="27" t="s">
        <v>3604</v>
      </c>
      <c r="L16544" s="27" t="s">
        <v>3605</v>
      </c>
      <c r="N16544" s="27" t="s">
        <v>17954</v>
      </c>
      <c r="P16544" s="27" t="s">
        <v>17957</v>
      </c>
      <c r="Q16544" s="26" t="str">
        <f>HYPERLINK("https://ictv.global/taxonomy/taxondetails?taxnode_id=202518992&amp;ictv_id=ICTV202318992","ICTV202318992")</f>
        <v>ICTV202318992</v>
      </c>
      <c r="R16544" t="s">
        <v>580</v>
      </c>
      <c r="S16544" t="s">
        <v>823</v>
      </c>
      <c r="T16544">
        <v>39</v>
      </c>
      <c r="U16544" s="26" t="str">
        <f t="shared" si="625"/>
        <v>2023.026M.Kolmioviridae_3ng_6nsp.zip</v>
      </c>
    </row>
    <row r="16545" spans="1:21">
      <c r="A16545">
        <v>16544</v>
      </c>
      <c r="B16545" s="27" t="s">
        <v>3604</v>
      </c>
      <c r="L16545" s="27" t="s">
        <v>3605</v>
      </c>
      <c r="N16545" s="27" t="s">
        <v>17958</v>
      </c>
      <c r="P16545" s="27" t="s">
        <v>17959</v>
      </c>
      <c r="Q16545" s="26" t="str">
        <f>HYPERLINK("https://ictv.global/taxonomy/taxondetails?taxnode_id=202518994&amp;ictv_id=ICTV202318994","ICTV202318994")</f>
        <v>ICTV202318994</v>
      </c>
      <c r="R16545" t="s">
        <v>580</v>
      </c>
      <c r="S16545" t="s">
        <v>823</v>
      </c>
      <c r="T16545">
        <v>39</v>
      </c>
      <c r="U16545" s="26" t="str">
        <f t="shared" si="625"/>
        <v>2023.026M.Kolmioviridae_3ng_6nsp.zip</v>
      </c>
    </row>
    <row r="16546" spans="1:21">
      <c r="A16546">
        <v>16545</v>
      </c>
      <c r="B16546" s="27" t="s">
        <v>3604</v>
      </c>
      <c r="L16546" s="27" t="s">
        <v>3605</v>
      </c>
      <c r="N16546" s="27" t="s">
        <v>3626</v>
      </c>
      <c r="P16546" s="27" t="s">
        <v>17960</v>
      </c>
      <c r="Q16546" s="26" t="str">
        <f>HYPERLINK("https://ictv.global/taxonomy/taxondetails?taxnode_id=202518993&amp;ictv_id=ICTV202318993","ICTV202318993")</f>
        <v>ICTV202318993</v>
      </c>
      <c r="R16546" t="s">
        <v>580</v>
      </c>
      <c r="S16546" t="s">
        <v>823</v>
      </c>
      <c r="T16546">
        <v>39</v>
      </c>
      <c r="U16546" s="26" t="str">
        <f t="shared" si="625"/>
        <v>2023.026M.Kolmioviridae_3ng_6nsp.zip</v>
      </c>
    </row>
    <row r="16547" spans="1:21">
      <c r="A16547">
        <v>16546</v>
      </c>
      <c r="B16547" s="27" t="s">
        <v>3604</v>
      </c>
      <c r="L16547" s="27" t="s">
        <v>3605</v>
      </c>
      <c r="N16547" s="27" t="s">
        <v>3626</v>
      </c>
      <c r="P16547" s="27" t="s">
        <v>3627</v>
      </c>
      <c r="Q16547" s="26" t="str">
        <f>HYPERLINK("https://ictv.global/taxonomy/taxondetails?taxnode_id=202509314&amp;ictv_id=ICTV202009314","ICTV202009314")</f>
        <v>ICTV202009314</v>
      </c>
      <c r="R16547" t="s">
        <v>580</v>
      </c>
      <c r="S16547" t="s">
        <v>823</v>
      </c>
      <c r="T16547">
        <v>36</v>
      </c>
      <c r="U16547" s="26" t="str">
        <f>HYPERLINK("https://ictv.global/ictv/proposals/2020.012D.R.Ribozyviria.zip","2020.012D.R.Ribozyviria.zip")</f>
        <v>2020.012D.R.Ribozyviria.zip</v>
      </c>
    </row>
    <row r="16548" spans="1:21">
      <c r="A16548">
        <v>16547</v>
      </c>
      <c r="B16548" s="27" t="s">
        <v>20629</v>
      </c>
      <c r="D16548" s="27" t="s">
        <v>2005</v>
      </c>
      <c r="F16548" s="27" t="s">
        <v>2006</v>
      </c>
      <c r="H16548" s="27" t="s">
        <v>2007</v>
      </c>
      <c r="J16548" s="27" t="s">
        <v>21213</v>
      </c>
      <c r="L16548" s="27" t="s">
        <v>21214</v>
      </c>
      <c r="N16548" s="27" t="s">
        <v>21215</v>
      </c>
      <c r="P16548" s="27" t="s">
        <v>21216</v>
      </c>
      <c r="Q16548" s="26" t="str">
        <f>HYPERLINK("https://ictv.global/taxonomy/taxondetails?taxnode_id=202522123&amp;ictv_id=ICTV202522123","ICTV202522123")</f>
        <v>ICTV202522123</v>
      </c>
      <c r="R16548" t="s">
        <v>579</v>
      </c>
      <c r="S16548" t="s">
        <v>823</v>
      </c>
      <c r="T16548">
        <v>41</v>
      </c>
      <c r="U16548" s="26" t="str">
        <f>HYPERLINK("https://ictv.global/ictv/proposals/2025.003A.Tailless_icosahedral_2nf.zip","2025.003A.Tailless_icosahedral_2nf.zip")</f>
        <v>2025.003A.Tailless_icosahedral_2nf.zip</v>
      </c>
    </row>
    <row r="16549" spans="1:21">
      <c r="A16549">
        <v>16548</v>
      </c>
      <c r="B16549" s="27" t="s">
        <v>20629</v>
      </c>
      <c r="D16549" s="27" t="s">
        <v>2005</v>
      </c>
      <c r="F16549" s="27" t="s">
        <v>2006</v>
      </c>
      <c r="H16549" s="27" t="s">
        <v>2007</v>
      </c>
      <c r="J16549" s="27" t="s">
        <v>2008</v>
      </c>
      <c r="L16549" s="27" t="s">
        <v>18197</v>
      </c>
      <c r="N16549" s="27" t="s">
        <v>3643</v>
      </c>
      <c r="P16549" s="27" t="s">
        <v>3644</v>
      </c>
      <c r="Q16549" s="26" t="str">
        <f>HYPERLINK("https://ictv.global/taxonomy/taxondetails?taxnode_id=202505064&amp;ictv_id=ICTV20143660","ICTV20143660")</f>
        <v>ICTV20143660</v>
      </c>
      <c r="R16549" t="s">
        <v>579</v>
      </c>
      <c r="S16549" t="s">
        <v>22763</v>
      </c>
      <c r="T16549">
        <v>40</v>
      </c>
      <c r="U16549" s="26" t="str">
        <f t="shared" ref="U16549:U16557" si="626">HYPERLINK("https://ictv.global/ictv/proposals/2024.010D.Varidnaviria_reorg.zip","2024.010D.Varidnaviria_reorg.zip")</f>
        <v>2024.010D.Varidnaviria_reorg.zip</v>
      </c>
    </row>
    <row r="16550" spans="1:21">
      <c r="A16550">
        <v>16549</v>
      </c>
      <c r="B16550" s="27" t="s">
        <v>20629</v>
      </c>
      <c r="D16550" s="27" t="s">
        <v>2005</v>
      </c>
      <c r="F16550" s="27" t="s">
        <v>2006</v>
      </c>
      <c r="H16550" s="27" t="s">
        <v>2007</v>
      </c>
      <c r="J16550" s="27" t="s">
        <v>2008</v>
      </c>
      <c r="L16550" s="27" t="s">
        <v>18197</v>
      </c>
      <c r="N16550" s="27" t="s">
        <v>3643</v>
      </c>
      <c r="P16550" s="27" t="s">
        <v>10894</v>
      </c>
      <c r="Q16550" s="26" t="str">
        <f>HYPERLINK("https://ictv.global/taxonomy/taxondetails?taxnode_id=202505065&amp;ictv_id=ICTV20143659","ICTV20143659")</f>
        <v>ICTV20143659</v>
      </c>
      <c r="R16550" t="s">
        <v>579</v>
      </c>
      <c r="S16550" t="s">
        <v>22763</v>
      </c>
      <c r="T16550">
        <v>40</v>
      </c>
      <c r="U16550" s="26" t="str">
        <f t="shared" si="626"/>
        <v>2024.010D.Varidnaviria_reorg.zip</v>
      </c>
    </row>
    <row r="16551" spans="1:21">
      <c r="A16551">
        <v>16550</v>
      </c>
      <c r="B16551" s="27" t="s">
        <v>20629</v>
      </c>
      <c r="D16551" s="27" t="s">
        <v>2005</v>
      </c>
      <c r="F16551" s="27" t="s">
        <v>2006</v>
      </c>
      <c r="H16551" s="27" t="s">
        <v>2007</v>
      </c>
      <c r="J16551" s="27" t="s">
        <v>2008</v>
      </c>
      <c r="L16551" s="27" t="s">
        <v>3645</v>
      </c>
      <c r="N16551" s="27" t="s">
        <v>3646</v>
      </c>
      <c r="P16551" s="27" t="s">
        <v>18198</v>
      </c>
      <c r="Q16551" s="26" t="str">
        <f>HYPERLINK("https://ictv.global/taxonomy/taxondetails?taxnode_id=202511860&amp;ictv_id=ICTV202011860","ICTV202011860")</f>
        <v>ICTV202011860</v>
      </c>
      <c r="R16551" t="s">
        <v>579</v>
      </c>
      <c r="S16551" t="s">
        <v>22763</v>
      </c>
      <c r="T16551">
        <v>40</v>
      </c>
      <c r="U16551" s="26" t="str">
        <f t="shared" si="626"/>
        <v>2024.010D.Varidnaviria_reorg.zip</v>
      </c>
    </row>
    <row r="16552" spans="1:21">
      <c r="A16552">
        <v>16551</v>
      </c>
      <c r="B16552" s="27" t="s">
        <v>20629</v>
      </c>
      <c r="D16552" s="27" t="s">
        <v>2005</v>
      </c>
      <c r="F16552" s="27" t="s">
        <v>2006</v>
      </c>
      <c r="H16552" s="27" t="s">
        <v>2007</v>
      </c>
      <c r="J16552" s="27" t="s">
        <v>2008</v>
      </c>
      <c r="L16552" s="27" t="s">
        <v>3645</v>
      </c>
      <c r="N16552" s="27" t="s">
        <v>3646</v>
      </c>
      <c r="P16552" s="27" t="s">
        <v>18199</v>
      </c>
      <c r="Q16552" s="26" t="str">
        <f>HYPERLINK("https://ictv.global/taxonomy/taxondetails?taxnode_id=202511861&amp;ictv_id=ICTV202011861","ICTV202011861")</f>
        <v>ICTV202011861</v>
      </c>
      <c r="R16552" t="s">
        <v>579</v>
      </c>
      <c r="S16552" t="s">
        <v>22763</v>
      </c>
      <c r="T16552">
        <v>40</v>
      </c>
      <c r="U16552" s="26" t="str">
        <f t="shared" si="626"/>
        <v>2024.010D.Varidnaviria_reorg.zip</v>
      </c>
    </row>
    <row r="16553" spans="1:21">
      <c r="A16553">
        <v>16552</v>
      </c>
      <c r="B16553" s="27" t="s">
        <v>20629</v>
      </c>
      <c r="D16553" s="27" t="s">
        <v>2005</v>
      </c>
      <c r="F16553" s="27" t="s">
        <v>2006</v>
      </c>
      <c r="H16553" s="27" t="s">
        <v>2007</v>
      </c>
      <c r="J16553" s="27" t="s">
        <v>2008</v>
      </c>
      <c r="L16553" s="27" t="s">
        <v>3645</v>
      </c>
      <c r="N16553" s="27" t="s">
        <v>3646</v>
      </c>
      <c r="P16553" s="27" t="s">
        <v>18200</v>
      </c>
      <c r="Q16553" s="26" t="str">
        <f>HYPERLINK("https://ictv.global/taxonomy/taxondetails?taxnode_id=202505062&amp;ictv_id=ICTV20143662","ICTV20143662")</f>
        <v>ICTV20143662</v>
      </c>
      <c r="R16553" t="s">
        <v>579</v>
      </c>
      <c r="S16553" t="s">
        <v>22763</v>
      </c>
      <c r="T16553">
        <v>40</v>
      </c>
      <c r="U16553" s="26" t="str">
        <f t="shared" si="626"/>
        <v>2024.010D.Varidnaviria_reorg.zip</v>
      </c>
    </row>
    <row r="16554" spans="1:21">
      <c r="A16554">
        <v>16553</v>
      </c>
      <c r="B16554" s="27" t="s">
        <v>20629</v>
      </c>
      <c r="D16554" s="27" t="s">
        <v>2005</v>
      </c>
      <c r="F16554" s="27" t="s">
        <v>2006</v>
      </c>
      <c r="H16554" s="27" t="s">
        <v>2007</v>
      </c>
      <c r="J16554" s="27" t="s">
        <v>2008</v>
      </c>
      <c r="L16554" s="27" t="s">
        <v>577</v>
      </c>
      <c r="N16554" s="27" t="s">
        <v>578</v>
      </c>
      <c r="P16554" s="27" t="s">
        <v>18201</v>
      </c>
      <c r="Q16554" s="26" t="str">
        <f>HYPERLINK("https://ictv.global/taxonomy/taxondetails?taxnode_id=202505057&amp;ictv_id=ICTV20143666","ICTV20143666")</f>
        <v>ICTV20143666</v>
      </c>
      <c r="R16554" t="s">
        <v>579</v>
      </c>
      <c r="S16554" t="s">
        <v>22763</v>
      </c>
      <c r="T16554">
        <v>40</v>
      </c>
      <c r="U16554" s="26" t="str">
        <f t="shared" si="626"/>
        <v>2024.010D.Varidnaviria_reorg.zip</v>
      </c>
    </row>
    <row r="16555" spans="1:21">
      <c r="A16555">
        <v>16554</v>
      </c>
      <c r="B16555" s="27" t="s">
        <v>20629</v>
      </c>
      <c r="D16555" s="27" t="s">
        <v>2005</v>
      </c>
      <c r="F16555" s="27" t="s">
        <v>2006</v>
      </c>
      <c r="H16555" s="27" t="s">
        <v>2007</v>
      </c>
      <c r="J16555" s="27" t="s">
        <v>2008</v>
      </c>
      <c r="L16555" s="27" t="s">
        <v>577</v>
      </c>
      <c r="N16555" s="27" t="s">
        <v>578</v>
      </c>
      <c r="P16555" s="27" t="s">
        <v>18202</v>
      </c>
      <c r="Q16555" s="26" t="str">
        <f>HYPERLINK("https://ictv.global/taxonomy/taxondetails?taxnode_id=202505058&amp;ictv_id=ICTV20143665","ICTV20143665")</f>
        <v>ICTV20143665</v>
      </c>
      <c r="R16555" t="s">
        <v>579</v>
      </c>
      <c r="S16555" t="s">
        <v>22763</v>
      </c>
      <c r="T16555">
        <v>40</v>
      </c>
      <c r="U16555" s="26" t="str">
        <f t="shared" si="626"/>
        <v>2024.010D.Varidnaviria_reorg.zip</v>
      </c>
    </row>
    <row r="16556" spans="1:21">
      <c r="A16556">
        <v>16555</v>
      </c>
      <c r="B16556" s="27" t="s">
        <v>20629</v>
      </c>
      <c r="D16556" s="27" t="s">
        <v>2005</v>
      </c>
      <c r="F16556" s="27" t="s">
        <v>2006</v>
      </c>
      <c r="H16556" s="27" t="s">
        <v>2007</v>
      </c>
      <c r="J16556" s="27" t="s">
        <v>2008</v>
      </c>
      <c r="L16556" s="27" t="s">
        <v>577</v>
      </c>
      <c r="N16556" s="27" t="s">
        <v>578</v>
      </c>
      <c r="P16556" s="27" t="s">
        <v>18203</v>
      </c>
      <c r="Q16556" s="26" t="str">
        <f>HYPERLINK("https://ictv.global/taxonomy/taxondetails?taxnode_id=202505059&amp;ictv_id=ICTV20143664","ICTV20143664")</f>
        <v>ICTV20143664</v>
      </c>
      <c r="R16556" t="s">
        <v>579</v>
      </c>
      <c r="S16556" t="s">
        <v>22763</v>
      </c>
      <c r="T16556">
        <v>40</v>
      </c>
      <c r="U16556" s="26" t="str">
        <f t="shared" si="626"/>
        <v>2024.010D.Varidnaviria_reorg.zip</v>
      </c>
    </row>
    <row r="16557" spans="1:21">
      <c r="A16557">
        <v>16556</v>
      </c>
      <c r="B16557" s="27" t="s">
        <v>20629</v>
      </c>
      <c r="D16557" s="27" t="s">
        <v>2005</v>
      </c>
      <c r="F16557" s="27" t="s">
        <v>2006</v>
      </c>
      <c r="H16557" s="27" t="s">
        <v>2007</v>
      </c>
      <c r="J16557" s="27" t="s">
        <v>2008</v>
      </c>
      <c r="L16557" s="27" t="s">
        <v>577</v>
      </c>
      <c r="N16557" s="27" t="s">
        <v>578</v>
      </c>
      <c r="P16557" s="27" t="s">
        <v>18204</v>
      </c>
      <c r="Q16557" s="26" t="str">
        <f>HYPERLINK("https://ictv.global/taxonomy/taxondetails?taxnode_id=202505060&amp;ictv_id=ICTV20165429","ICTV20165429")</f>
        <v>ICTV20165429</v>
      </c>
      <c r="R16557" t="s">
        <v>579</v>
      </c>
      <c r="S16557" t="s">
        <v>22763</v>
      </c>
      <c r="T16557">
        <v>40</v>
      </c>
      <c r="U16557" s="26" t="str">
        <f t="shared" si="626"/>
        <v>2024.010D.Varidnaviria_reorg.zip</v>
      </c>
    </row>
    <row r="16558" spans="1:21">
      <c r="A16558">
        <v>16557</v>
      </c>
      <c r="B16558" s="27" t="s">
        <v>20629</v>
      </c>
      <c r="D16558" s="27" t="s">
        <v>2005</v>
      </c>
      <c r="F16558" s="27" t="s">
        <v>2006</v>
      </c>
      <c r="H16558" s="27" t="s">
        <v>2007</v>
      </c>
      <c r="J16558" s="27" t="s">
        <v>21209</v>
      </c>
      <c r="L16558" s="27" t="s">
        <v>21210</v>
      </c>
      <c r="N16558" s="27" t="s">
        <v>21211</v>
      </c>
      <c r="P16558" s="27" t="s">
        <v>21212</v>
      </c>
      <c r="Q16558" s="26" t="str">
        <f>HYPERLINK("https://ictv.global/taxonomy/taxondetails?taxnode_id=202522122&amp;ictv_id=ICTV202522122","ICTV202522122")</f>
        <v>ICTV202522122</v>
      </c>
      <c r="R16558" t="s">
        <v>579</v>
      </c>
      <c r="S16558" t="s">
        <v>823</v>
      </c>
      <c r="T16558">
        <v>41</v>
      </c>
      <c r="U16558" s="26" t="str">
        <f>HYPERLINK("https://ictv.global/ictv/proposals/2025.003A.Tailless_icosahedral_2nf.zip","2025.003A.Tailless_icosahedral_2nf.zip")</f>
        <v>2025.003A.Tailless_icosahedral_2nf.zip</v>
      </c>
    </row>
    <row r="16559" spans="1:21">
      <c r="A16559">
        <v>16558</v>
      </c>
      <c r="B16559" s="27" t="s">
        <v>1980</v>
      </c>
      <c r="D16559" s="27" t="s">
        <v>20630</v>
      </c>
      <c r="F16559" s="27" t="s">
        <v>20631</v>
      </c>
      <c r="H16559" s="27" t="s">
        <v>10863</v>
      </c>
      <c r="J16559" s="27" t="s">
        <v>10864</v>
      </c>
      <c r="L16559" s="27" t="s">
        <v>2010</v>
      </c>
      <c r="N16559" s="27" t="s">
        <v>2011</v>
      </c>
      <c r="P16559" s="27" t="s">
        <v>10865</v>
      </c>
      <c r="Q16559" s="26" t="str">
        <f>HYPERLINK("https://ictv.global/taxonomy/taxondetails?taxnode_id=202507848&amp;ictv_id=ICTV201907848","ICTV201907848")</f>
        <v>ICTV201907848</v>
      </c>
      <c r="R16559" t="s">
        <v>582</v>
      </c>
      <c r="S16559" t="s">
        <v>22763</v>
      </c>
      <c r="T16559">
        <v>40</v>
      </c>
      <c r="U16559" s="26" t="str">
        <f t="shared" ref="U16559:U16566" si="627">HYPERLINK("https://ictv.global/ictv/proposals/2024.010D.Varidnaviria_reorg.zip","2024.010D.Varidnaviria_reorg.zip")</f>
        <v>2024.010D.Varidnaviria_reorg.zip</v>
      </c>
    </row>
    <row r="16560" spans="1:21">
      <c r="A16560">
        <v>16559</v>
      </c>
      <c r="B16560" s="27" t="s">
        <v>1980</v>
      </c>
      <c r="D16560" s="27" t="s">
        <v>20630</v>
      </c>
      <c r="F16560" s="27" t="s">
        <v>20631</v>
      </c>
      <c r="H16560" s="27" t="s">
        <v>20632</v>
      </c>
      <c r="J16560" s="27" t="s">
        <v>10866</v>
      </c>
      <c r="L16560" s="27" t="s">
        <v>10867</v>
      </c>
      <c r="N16560" s="27" t="s">
        <v>10868</v>
      </c>
      <c r="P16560" s="27" t="s">
        <v>10869</v>
      </c>
      <c r="Q16560" s="26" t="str">
        <f>HYPERLINK("https://ictv.global/taxonomy/taxondetails?taxnode_id=202514311&amp;ictv_id=ICTV202214311","ICTV202214311")</f>
        <v>ICTV202214311</v>
      </c>
      <c r="R16560" t="s">
        <v>579</v>
      </c>
      <c r="S16560" t="s">
        <v>22763</v>
      </c>
      <c r="T16560">
        <v>40</v>
      </c>
      <c r="U16560" s="26" t="str">
        <f t="shared" si="627"/>
        <v>2024.010D.Varidnaviria_reorg.zip</v>
      </c>
    </row>
    <row r="16561" spans="1:21">
      <c r="A16561">
        <v>16560</v>
      </c>
      <c r="B16561" s="27" t="s">
        <v>1980</v>
      </c>
      <c r="D16561" s="27" t="s">
        <v>20630</v>
      </c>
      <c r="F16561" s="27" t="s">
        <v>20631</v>
      </c>
      <c r="H16561" s="27" t="s">
        <v>20632</v>
      </c>
      <c r="J16561" s="27" t="s">
        <v>10866</v>
      </c>
      <c r="L16561" s="27" t="s">
        <v>10867</v>
      </c>
      <c r="N16561" s="27" t="s">
        <v>10868</v>
      </c>
      <c r="P16561" s="27" t="s">
        <v>10870</v>
      </c>
      <c r="Q16561" s="26" t="str">
        <f>HYPERLINK("https://ictv.global/taxonomy/taxondetails?taxnode_id=202514310&amp;ictv_id=ICTV202214310","ICTV202214310")</f>
        <v>ICTV202214310</v>
      </c>
      <c r="R16561" t="s">
        <v>579</v>
      </c>
      <c r="S16561" t="s">
        <v>22763</v>
      </c>
      <c r="T16561">
        <v>40</v>
      </c>
      <c r="U16561" s="26" t="str">
        <f t="shared" si="627"/>
        <v>2024.010D.Varidnaviria_reorg.zip</v>
      </c>
    </row>
    <row r="16562" spans="1:21">
      <c r="A16562">
        <v>16561</v>
      </c>
      <c r="B16562" s="27" t="s">
        <v>1980</v>
      </c>
      <c r="D16562" s="27" t="s">
        <v>20630</v>
      </c>
      <c r="F16562" s="27" t="s">
        <v>20631</v>
      </c>
      <c r="H16562" s="27" t="s">
        <v>20632</v>
      </c>
      <c r="J16562" s="27" t="s">
        <v>2001</v>
      </c>
      <c r="L16562" s="27" t="s">
        <v>567</v>
      </c>
      <c r="N16562" s="27" t="s">
        <v>568</v>
      </c>
      <c r="P16562" s="27" t="s">
        <v>18088</v>
      </c>
      <c r="Q16562" s="26" t="str">
        <f>HYPERLINK("https://ictv.global/taxonomy/taxondetails?taxnode_id=202505329&amp;ictv_id=ICTV20133576","ICTV20133576")</f>
        <v>ICTV20133576</v>
      </c>
      <c r="R16562" t="s">
        <v>579</v>
      </c>
      <c r="S16562" t="s">
        <v>22763</v>
      </c>
      <c r="T16562">
        <v>40</v>
      </c>
      <c r="U16562" s="26" t="str">
        <f t="shared" si="627"/>
        <v>2024.010D.Varidnaviria_reorg.zip</v>
      </c>
    </row>
    <row r="16563" spans="1:21">
      <c r="A16563">
        <v>16562</v>
      </c>
      <c r="B16563" s="27" t="s">
        <v>1980</v>
      </c>
      <c r="D16563" s="27" t="s">
        <v>20630</v>
      </c>
      <c r="F16563" s="27" t="s">
        <v>20631</v>
      </c>
      <c r="H16563" s="27" t="s">
        <v>20632</v>
      </c>
      <c r="J16563" s="27" t="s">
        <v>2001</v>
      </c>
      <c r="L16563" s="27" t="s">
        <v>567</v>
      </c>
      <c r="N16563" s="27" t="s">
        <v>568</v>
      </c>
      <c r="P16563" s="27" t="s">
        <v>18089</v>
      </c>
      <c r="Q16563" s="26" t="str">
        <f>HYPERLINK("https://ictv.global/taxonomy/taxondetails?taxnode_id=202505328&amp;ictv_id=ICTV20133575","ICTV20133575")</f>
        <v>ICTV20133575</v>
      </c>
      <c r="R16563" t="s">
        <v>579</v>
      </c>
      <c r="S16563" t="s">
        <v>22763</v>
      </c>
      <c r="T16563">
        <v>40</v>
      </c>
      <c r="U16563" s="26" t="str">
        <f t="shared" si="627"/>
        <v>2024.010D.Varidnaviria_reorg.zip</v>
      </c>
    </row>
    <row r="16564" spans="1:21">
      <c r="A16564">
        <v>16563</v>
      </c>
      <c r="B16564" s="27" t="s">
        <v>1980</v>
      </c>
      <c r="D16564" s="27" t="s">
        <v>20630</v>
      </c>
      <c r="F16564" s="27" t="s">
        <v>20631</v>
      </c>
      <c r="H16564" s="27" t="s">
        <v>20632</v>
      </c>
      <c r="J16564" s="27" t="s">
        <v>10871</v>
      </c>
      <c r="L16564" s="27" t="s">
        <v>10872</v>
      </c>
      <c r="N16564" s="27" t="s">
        <v>10873</v>
      </c>
      <c r="P16564" s="27" t="s">
        <v>10874</v>
      </c>
      <c r="Q16564" s="26" t="str">
        <f>HYPERLINK("https://ictv.global/taxonomy/taxondetails?taxnode_id=202514298&amp;ictv_id=ICTV202214298","ICTV202214298")</f>
        <v>ICTV202214298</v>
      </c>
      <c r="R16564" t="s">
        <v>579</v>
      </c>
      <c r="S16564" t="s">
        <v>22763</v>
      </c>
      <c r="T16564">
        <v>40</v>
      </c>
      <c r="U16564" s="26" t="str">
        <f t="shared" si="627"/>
        <v>2024.010D.Varidnaviria_reorg.zip</v>
      </c>
    </row>
    <row r="16565" spans="1:21">
      <c r="A16565">
        <v>16564</v>
      </c>
      <c r="B16565" s="27" t="s">
        <v>1980</v>
      </c>
      <c r="D16565" s="27" t="s">
        <v>20630</v>
      </c>
      <c r="F16565" s="27" t="s">
        <v>20631</v>
      </c>
      <c r="H16565" s="27" t="s">
        <v>20632</v>
      </c>
      <c r="J16565" s="27" t="s">
        <v>10871</v>
      </c>
      <c r="L16565" s="27" t="s">
        <v>10872</v>
      </c>
      <c r="N16565" s="27" t="s">
        <v>10875</v>
      </c>
      <c r="P16565" s="27" t="s">
        <v>10876</v>
      </c>
      <c r="Q16565" s="26" t="str">
        <f>HYPERLINK("https://ictv.global/taxonomy/taxondetails?taxnode_id=202514300&amp;ictv_id=ICTV202214300","ICTV202214300")</f>
        <v>ICTV202214300</v>
      </c>
      <c r="R16565" t="s">
        <v>579</v>
      </c>
      <c r="S16565" t="s">
        <v>22763</v>
      </c>
      <c r="T16565">
        <v>40</v>
      </c>
      <c r="U16565" s="26" t="str">
        <f t="shared" si="627"/>
        <v>2024.010D.Varidnaviria_reorg.zip</v>
      </c>
    </row>
    <row r="16566" spans="1:21">
      <c r="A16566">
        <v>16565</v>
      </c>
      <c r="B16566" s="27" t="s">
        <v>1980</v>
      </c>
      <c r="D16566" s="27" t="s">
        <v>20630</v>
      </c>
      <c r="F16566" s="27" t="s">
        <v>20631</v>
      </c>
      <c r="H16566" s="27" t="s">
        <v>20632</v>
      </c>
      <c r="J16566" s="27" t="s">
        <v>10871</v>
      </c>
      <c r="L16566" s="27" t="s">
        <v>10872</v>
      </c>
      <c r="N16566" s="27" t="s">
        <v>10875</v>
      </c>
      <c r="P16566" s="27" t="s">
        <v>10877</v>
      </c>
      <c r="Q16566" s="26" t="str">
        <f>HYPERLINK("https://ictv.global/taxonomy/taxondetails?taxnode_id=202514299&amp;ictv_id=ICTV202214299","ICTV202214299")</f>
        <v>ICTV202214299</v>
      </c>
      <c r="R16566" t="s">
        <v>579</v>
      </c>
      <c r="S16566" t="s">
        <v>22763</v>
      </c>
      <c r="T16566">
        <v>40</v>
      </c>
      <c r="U16566" s="26" t="str">
        <f t="shared" si="627"/>
        <v>2024.010D.Varidnaviria_reorg.zip</v>
      </c>
    </row>
    <row r="16567" spans="1:21">
      <c r="A16567">
        <v>16566</v>
      </c>
      <c r="B16567" s="27" t="s">
        <v>1980</v>
      </c>
      <c r="D16567" s="27" t="s">
        <v>20630</v>
      </c>
      <c r="F16567" s="27" t="s">
        <v>20631</v>
      </c>
      <c r="H16567" s="27" t="s">
        <v>20632</v>
      </c>
      <c r="J16567" s="27" t="s">
        <v>2004</v>
      </c>
      <c r="L16567" s="27" t="s">
        <v>20633</v>
      </c>
      <c r="N16567" s="27" t="s">
        <v>20634</v>
      </c>
      <c r="P16567" s="27" t="s">
        <v>20635</v>
      </c>
      <c r="Q16567" s="26" t="str">
        <f>HYPERLINK("https://ictv.global/taxonomy/taxondetails?taxnode_id=202520870&amp;ictv_id=ICTV202420870","ICTV202420870")</f>
        <v>ICTV202420870</v>
      </c>
      <c r="R16567" t="s">
        <v>579</v>
      </c>
      <c r="S16567" t="s">
        <v>823</v>
      </c>
      <c r="T16567">
        <v>40</v>
      </c>
      <c r="U16567" s="26" t="str">
        <f t="shared" ref="U16567:U16578" si="628">HYPERLINK("https://ictv.global/ictv/proposals/2024.038B.Vinavirales_3nf_1mf_7ng_5ns_3ms.zip","2024.038B.Vinavirales_3nf_1mf_7ng_5ns_3ms.zip")</f>
        <v>2024.038B.Vinavirales_3nf_1mf_7ng_5ns_3ms.zip</v>
      </c>
    </row>
    <row r="16568" spans="1:21">
      <c r="A16568">
        <v>16567</v>
      </c>
      <c r="B16568" s="27" t="s">
        <v>1980</v>
      </c>
      <c r="D16568" s="27" t="s">
        <v>20630</v>
      </c>
      <c r="F16568" s="27" t="s">
        <v>20631</v>
      </c>
      <c r="H16568" s="27" t="s">
        <v>20632</v>
      </c>
      <c r="J16568" s="27" t="s">
        <v>2004</v>
      </c>
      <c r="L16568" s="27" t="s">
        <v>20633</v>
      </c>
      <c r="N16568" s="27" t="s">
        <v>20636</v>
      </c>
      <c r="P16568" s="27" t="s">
        <v>20637</v>
      </c>
      <c r="Q16568" s="26" t="str">
        <f>HYPERLINK("https://ictv.global/taxonomy/taxondetails?taxnode_id=202520871&amp;ictv_id=ICTV202420871","ICTV202420871")</f>
        <v>ICTV202420871</v>
      </c>
      <c r="R16568" t="s">
        <v>579</v>
      </c>
      <c r="S16568" t="s">
        <v>823</v>
      </c>
      <c r="T16568">
        <v>40</v>
      </c>
      <c r="U16568" s="26" t="str">
        <f t="shared" si="628"/>
        <v>2024.038B.Vinavirales_3nf_1mf_7ng_5ns_3ms.zip</v>
      </c>
    </row>
    <row r="16569" spans="1:21">
      <c r="A16569">
        <v>16568</v>
      </c>
      <c r="B16569" s="27" t="s">
        <v>1980</v>
      </c>
      <c r="D16569" s="27" t="s">
        <v>20630</v>
      </c>
      <c r="F16569" s="27" t="s">
        <v>20631</v>
      </c>
      <c r="H16569" s="27" t="s">
        <v>20632</v>
      </c>
      <c r="J16569" s="27" t="s">
        <v>2004</v>
      </c>
      <c r="L16569" s="27" t="s">
        <v>3637</v>
      </c>
      <c r="N16569" s="27" t="s">
        <v>20638</v>
      </c>
      <c r="P16569" s="27" t="s">
        <v>20639</v>
      </c>
      <c r="Q16569" s="26" t="str">
        <f>HYPERLINK("https://ictv.global/taxonomy/taxondetails?taxnode_id=202509492&amp;ictv_id=ICTV202009492","ICTV202009492")</f>
        <v>ICTV202009492</v>
      </c>
      <c r="R16569" t="s">
        <v>579</v>
      </c>
      <c r="S16569" t="s">
        <v>22764</v>
      </c>
      <c r="T16569">
        <v>40</v>
      </c>
      <c r="U16569" s="26" t="str">
        <f t="shared" si="628"/>
        <v>2024.038B.Vinavirales_3nf_1mf_7ng_5ns_3ms.zip</v>
      </c>
    </row>
    <row r="16570" spans="1:21">
      <c r="A16570">
        <v>16569</v>
      </c>
      <c r="B16570" s="27" t="s">
        <v>1980</v>
      </c>
      <c r="D16570" s="27" t="s">
        <v>20630</v>
      </c>
      <c r="F16570" s="27" t="s">
        <v>20631</v>
      </c>
      <c r="H16570" s="27" t="s">
        <v>20632</v>
      </c>
      <c r="J16570" s="27" t="s">
        <v>2004</v>
      </c>
      <c r="L16570" s="27" t="s">
        <v>3637</v>
      </c>
      <c r="N16570" s="27" t="s">
        <v>3638</v>
      </c>
      <c r="P16570" s="27" t="s">
        <v>3639</v>
      </c>
      <c r="Q16570" s="26" t="str">
        <f>HYPERLINK("https://ictv.global/taxonomy/taxondetails?taxnode_id=202509497&amp;ictv_id=ICTV202009497","ICTV202009497")</f>
        <v>ICTV202009497</v>
      </c>
      <c r="R16570" t="s">
        <v>579</v>
      </c>
      <c r="S16570" t="s">
        <v>22763</v>
      </c>
      <c r="T16570">
        <v>40</v>
      </c>
      <c r="U16570" s="26" t="str">
        <f t="shared" si="628"/>
        <v>2024.038B.Vinavirales_3nf_1mf_7ng_5ns_3ms.zip</v>
      </c>
    </row>
    <row r="16571" spans="1:21">
      <c r="A16571">
        <v>16570</v>
      </c>
      <c r="B16571" s="27" t="s">
        <v>1980</v>
      </c>
      <c r="D16571" s="27" t="s">
        <v>20630</v>
      </c>
      <c r="F16571" s="27" t="s">
        <v>20631</v>
      </c>
      <c r="H16571" s="27" t="s">
        <v>20632</v>
      </c>
      <c r="J16571" s="27" t="s">
        <v>2004</v>
      </c>
      <c r="L16571" s="27" t="s">
        <v>3637</v>
      </c>
      <c r="N16571" s="27" t="s">
        <v>20640</v>
      </c>
      <c r="P16571" s="27" t="s">
        <v>20641</v>
      </c>
      <c r="Q16571" s="26" t="str">
        <f>HYPERLINK("https://ictv.global/taxonomy/taxondetails?taxnode_id=202509493&amp;ictv_id=ICTV202009493","ICTV202009493")</f>
        <v>ICTV202009493</v>
      </c>
      <c r="R16571" t="s">
        <v>579</v>
      </c>
      <c r="S16571" t="s">
        <v>22764</v>
      </c>
      <c r="T16571">
        <v>40</v>
      </c>
      <c r="U16571" s="26" t="str">
        <f t="shared" si="628"/>
        <v>2024.038B.Vinavirales_3nf_1mf_7ng_5ns_3ms.zip</v>
      </c>
    </row>
    <row r="16572" spans="1:21">
      <c r="A16572">
        <v>16571</v>
      </c>
      <c r="B16572" s="27" t="s">
        <v>1980</v>
      </c>
      <c r="D16572" s="27" t="s">
        <v>20630</v>
      </c>
      <c r="F16572" s="27" t="s">
        <v>20631</v>
      </c>
      <c r="H16572" s="27" t="s">
        <v>20632</v>
      </c>
      <c r="J16572" s="27" t="s">
        <v>2004</v>
      </c>
      <c r="L16572" s="27" t="s">
        <v>3637</v>
      </c>
      <c r="N16572" s="27" t="s">
        <v>3641</v>
      </c>
      <c r="P16572" s="27" t="s">
        <v>3640</v>
      </c>
      <c r="Q16572" s="26" t="str">
        <f>HYPERLINK("https://ictv.global/taxonomy/taxondetails?taxnode_id=202509495&amp;ictv_id=ICTV202009495","ICTV202009495")</f>
        <v>ICTV202009495</v>
      </c>
      <c r="R16572" t="s">
        <v>579</v>
      </c>
      <c r="S16572" t="s">
        <v>22763</v>
      </c>
      <c r="T16572">
        <v>40</v>
      </c>
      <c r="U16572" s="26" t="str">
        <f t="shared" si="628"/>
        <v>2024.038B.Vinavirales_3nf_1mf_7ng_5ns_3ms.zip</v>
      </c>
    </row>
    <row r="16573" spans="1:21">
      <c r="A16573">
        <v>16572</v>
      </c>
      <c r="B16573" s="27" t="s">
        <v>1980</v>
      </c>
      <c r="D16573" s="27" t="s">
        <v>20630</v>
      </c>
      <c r="F16573" s="27" t="s">
        <v>20631</v>
      </c>
      <c r="H16573" s="27" t="s">
        <v>20632</v>
      </c>
      <c r="J16573" s="27" t="s">
        <v>2004</v>
      </c>
      <c r="L16573" s="27" t="s">
        <v>3637</v>
      </c>
      <c r="N16573" s="27" t="s">
        <v>3641</v>
      </c>
      <c r="P16573" s="27" t="s">
        <v>3642</v>
      </c>
      <c r="Q16573" s="26" t="str">
        <f>HYPERLINK("https://ictv.global/taxonomy/taxondetails?taxnode_id=202509494&amp;ictv_id=ICTV202009494","ICTV202009494")</f>
        <v>ICTV202009494</v>
      </c>
      <c r="R16573" t="s">
        <v>579</v>
      </c>
      <c r="S16573" t="s">
        <v>22763</v>
      </c>
      <c r="T16573">
        <v>40</v>
      </c>
      <c r="U16573" s="26" t="str">
        <f t="shared" si="628"/>
        <v>2024.038B.Vinavirales_3nf_1mf_7ng_5ns_3ms.zip</v>
      </c>
    </row>
    <row r="16574" spans="1:21">
      <c r="A16574">
        <v>16573</v>
      </c>
      <c r="B16574" s="27" t="s">
        <v>1980</v>
      </c>
      <c r="D16574" s="27" t="s">
        <v>20630</v>
      </c>
      <c r="F16574" s="27" t="s">
        <v>20631</v>
      </c>
      <c r="H16574" s="27" t="s">
        <v>20632</v>
      </c>
      <c r="J16574" s="27" t="s">
        <v>2004</v>
      </c>
      <c r="L16574" s="27" t="s">
        <v>455</v>
      </c>
      <c r="N16574" s="27" t="s">
        <v>20642</v>
      </c>
      <c r="P16574" s="27" t="s">
        <v>20643</v>
      </c>
      <c r="Q16574" s="26" t="str">
        <f>HYPERLINK("https://ictv.global/taxonomy/taxondetails?taxnode_id=202506992&amp;ictv_id=ICTV201856992","ICTV201856992")</f>
        <v>ICTV201856992</v>
      </c>
      <c r="R16574" t="s">
        <v>579</v>
      </c>
      <c r="S16574" t="s">
        <v>824</v>
      </c>
      <c r="T16574">
        <v>40</v>
      </c>
      <c r="U16574" s="26" t="str">
        <f t="shared" si="628"/>
        <v>2024.038B.Vinavirales_3nf_1mf_7ng_5ns_3ms.zip</v>
      </c>
    </row>
    <row r="16575" spans="1:21">
      <c r="A16575">
        <v>16574</v>
      </c>
      <c r="B16575" s="27" t="s">
        <v>1980</v>
      </c>
      <c r="D16575" s="27" t="s">
        <v>20630</v>
      </c>
      <c r="F16575" s="27" t="s">
        <v>20631</v>
      </c>
      <c r="H16575" s="27" t="s">
        <v>20632</v>
      </c>
      <c r="J16575" s="27" t="s">
        <v>2004</v>
      </c>
      <c r="L16575" s="27" t="s">
        <v>455</v>
      </c>
      <c r="N16575" s="27" t="s">
        <v>20642</v>
      </c>
      <c r="P16575" s="27" t="s">
        <v>20644</v>
      </c>
      <c r="Q16575" s="26" t="str">
        <f>HYPERLINK("https://ictv.global/taxonomy/taxondetails?taxnode_id=202503037&amp;ictv_id=ICTV19710216","ICTV19710216")</f>
        <v>ICTV19710216</v>
      </c>
      <c r="R16575" t="s">
        <v>579</v>
      </c>
      <c r="S16575" t="s">
        <v>824</v>
      </c>
      <c r="T16575">
        <v>40</v>
      </c>
      <c r="U16575" s="26" t="str">
        <f t="shared" si="628"/>
        <v>2024.038B.Vinavirales_3nf_1mf_7ng_5ns_3ms.zip</v>
      </c>
    </row>
    <row r="16576" spans="1:21">
      <c r="A16576">
        <v>16575</v>
      </c>
      <c r="B16576" s="27" t="s">
        <v>1980</v>
      </c>
      <c r="D16576" s="27" t="s">
        <v>20630</v>
      </c>
      <c r="F16576" s="27" t="s">
        <v>20631</v>
      </c>
      <c r="H16576" s="27" t="s">
        <v>20632</v>
      </c>
      <c r="J16576" s="27" t="s">
        <v>2004</v>
      </c>
      <c r="L16576" s="27" t="s">
        <v>20645</v>
      </c>
      <c r="N16576" s="27" t="s">
        <v>20646</v>
      </c>
      <c r="P16576" s="27" t="s">
        <v>20647</v>
      </c>
      <c r="Q16576" s="26" t="str">
        <f>HYPERLINK("https://ictv.global/taxonomy/taxondetails?taxnode_id=202520868&amp;ictv_id=ICTV202420868","ICTV202420868")</f>
        <v>ICTV202420868</v>
      </c>
      <c r="R16576" t="s">
        <v>579</v>
      </c>
      <c r="S16576" t="s">
        <v>823</v>
      </c>
      <c r="T16576">
        <v>40</v>
      </c>
      <c r="U16576" s="26" t="str">
        <f t="shared" si="628"/>
        <v>2024.038B.Vinavirales_3nf_1mf_7ng_5ns_3ms.zip</v>
      </c>
    </row>
    <row r="16577" spans="1:21">
      <c r="A16577">
        <v>16576</v>
      </c>
      <c r="B16577" s="27" t="s">
        <v>1980</v>
      </c>
      <c r="D16577" s="27" t="s">
        <v>20630</v>
      </c>
      <c r="F16577" s="27" t="s">
        <v>20631</v>
      </c>
      <c r="H16577" s="27" t="s">
        <v>20632</v>
      </c>
      <c r="J16577" s="27" t="s">
        <v>2004</v>
      </c>
      <c r="L16577" s="27" t="s">
        <v>20645</v>
      </c>
      <c r="N16577" s="27" t="s">
        <v>20648</v>
      </c>
      <c r="P16577" s="27" t="s">
        <v>20649</v>
      </c>
      <c r="Q16577" s="26" t="str">
        <f>HYPERLINK("https://ictv.global/taxonomy/taxondetails?taxnode_id=202520869&amp;ictv_id=ICTV202420869","ICTV202420869")</f>
        <v>ICTV202420869</v>
      </c>
      <c r="R16577" t="s">
        <v>579</v>
      </c>
      <c r="S16577" t="s">
        <v>823</v>
      </c>
      <c r="T16577">
        <v>40</v>
      </c>
      <c r="U16577" s="26" t="str">
        <f t="shared" si="628"/>
        <v>2024.038B.Vinavirales_3nf_1mf_7ng_5ns_3ms.zip</v>
      </c>
    </row>
    <row r="16578" spans="1:21">
      <c r="A16578">
        <v>16577</v>
      </c>
      <c r="B16578" s="27" t="s">
        <v>1980</v>
      </c>
      <c r="D16578" s="27" t="s">
        <v>20630</v>
      </c>
      <c r="F16578" s="27" t="s">
        <v>20631</v>
      </c>
      <c r="H16578" s="27" t="s">
        <v>20632</v>
      </c>
      <c r="J16578" s="27" t="s">
        <v>2004</v>
      </c>
      <c r="L16578" s="27" t="s">
        <v>20650</v>
      </c>
      <c r="N16578" s="27" t="s">
        <v>20651</v>
      </c>
      <c r="P16578" s="27" t="s">
        <v>20652</v>
      </c>
      <c r="Q16578" s="26" t="str">
        <f>HYPERLINK("https://ictv.global/taxonomy/taxondetails?taxnode_id=202520872&amp;ictv_id=ICTV202420872","ICTV202420872")</f>
        <v>ICTV202420872</v>
      </c>
      <c r="R16578" t="s">
        <v>579</v>
      </c>
      <c r="S16578" t="s">
        <v>823</v>
      </c>
      <c r="T16578">
        <v>40</v>
      </c>
      <c r="U16578" s="26" t="str">
        <f t="shared" si="628"/>
        <v>2024.038B.Vinavirales_3nf_1mf_7ng_5ns_3ms.zip</v>
      </c>
    </row>
    <row r="16579" spans="1:21">
      <c r="A16579">
        <v>16578</v>
      </c>
      <c r="B16579" s="27" t="s">
        <v>1980</v>
      </c>
      <c r="D16579" s="27" t="s">
        <v>1981</v>
      </c>
      <c r="F16579" s="27" t="s">
        <v>1982</v>
      </c>
      <c r="H16579" s="27" t="s">
        <v>1983</v>
      </c>
      <c r="J16579" s="27" t="s">
        <v>1984</v>
      </c>
      <c r="L16579" s="27" t="s">
        <v>328</v>
      </c>
      <c r="N16579" s="27" t="s">
        <v>329</v>
      </c>
      <c r="O16579" s="27" t="s">
        <v>20841</v>
      </c>
      <c r="P16579" s="27" t="s">
        <v>21592</v>
      </c>
      <c r="Q16579" s="26" t="str">
        <f>HYPERLINK("https://ictv.global/taxonomy/taxondetails?taxnode_id=202522458&amp;ictv_id=ICTV202522458","ICTV202522458")</f>
        <v>ICTV202522458</v>
      </c>
      <c r="R16579" t="s">
        <v>579</v>
      </c>
      <c r="S16579" t="s">
        <v>823</v>
      </c>
      <c r="T16579">
        <v>41</v>
      </c>
      <c r="U16579" s="26" t="str">
        <f t="shared" ref="U16579:U16598" si="629">HYPERLINK("https://ictv.global/ictv/proposals/2025.010F.Chlorovirus_3ngen_16nsp_2mergesp.zip","2025.010F.Chlorovirus_3ngen_16nsp_2mergesp.zip")</f>
        <v>2025.010F.Chlorovirus_3ngen_16nsp_2mergesp.zip</v>
      </c>
    </row>
    <row r="16580" spans="1:21">
      <c r="A16580">
        <v>16579</v>
      </c>
      <c r="B16580" s="27" t="s">
        <v>1980</v>
      </c>
      <c r="D16580" s="27" t="s">
        <v>1981</v>
      </c>
      <c r="F16580" s="27" t="s">
        <v>1982</v>
      </c>
      <c r="H16580" s="27" t="s">
        <v>1983</v>
      </c>
      <c r="J16580" s="27" t="s">
        <v>1984</v>
      </c>
      <c r="L16580" s="27" t="s">
        <v>328</v>
      </c>
      <c r="N16580" s="27" t="s">
        <v>329</v>
      </c>
      <c r="O16580" s="27" t="s">
        <v>20841</v>
      </c>
      <c r="P16580" s="27" t="s">
        <v>21593</v>
      </c>
      <c r="Q16580" s="26" t="str">
        <f>HYPERLINK("https://ictv.global/taxonomy/taxondetails?taxnode_id=202522459&amp;ictv_id=ICTV202522459","ICTV202522459")</f>
        <v>ICTV202522459</v>
      </c>
      <c r="R16580" t="s">
        <v>579</v>
      </c>
      <c r="S16580" t="s">
        <v>823</v>
      </c>
      <c r="T16580">
        <v>41</v>
      </c>
      <c r="U16580" s="26" t="str">
        <f t="shared" si="629"/>
        <v>2025.010F.Chlorovirus_3ngen_16nsp_2mergesp.zip</v>
      </c>
    </row>
    <row r="16581" spans="1:21">
      <c r="A16581">
        <v>16580</v>
      </c>
      <c r="B16581" s="27" t="s">
        <v>1980</v>
      </c>
      <c r="D16581" s="27" t="s">
        <v>1981</v>
      </c>
      <c r="F16581" s="27" t="s">
        <v>1982</v>
      </c>
      <c r="H16581" s="27" t="s">
        <v>1983</v>
      </c>
      <c r="J16581" s="27" t="s">
        <v>1984</v>
      </c>
      <c r="L16581" s="27" t="s">
        <v>328</v>
      </c>
      <c r="N16581" s="27" t="s">
        <v>329</v>
      </c>
      <c r="O16581" s="27" t="s">
        <v>20841</v>
      </c>
      <c r="P16581" s="27" t="s">
        <v>21590</v>
      </c>
      <c r="Q16581" s="26" t="str">
        <f>HYPERLINK("https://ictv.global/taxonomy/taxondetails?taxnode_id=202522456&amp;ictv_id=ICTV202522456","ICTV202522456")</f>
        <v>ICTV202522456</v>
      </c>
      <c r="R16581" t="s">
        <v>579</v>
      </c>
      <c r="S16581" t="s">
        <v>823</v>
      </c>
      <c r="T16581">
        <v>41</v>
      </c>
      <c r="U16581" s="26" t="str">
        <f t="shared" si="629"/>
        <v>2025.010F.Chlorovirus_3ngen_16nsp_2mergesp.zip</v>
      </c>
    </row>
    <row r="16582" spans="1:21">
      <c r="A16582">
        <v>16581</v>
      </c>
      <c r="B16582" s="27" t="s">
        <v>1980</v>
      </c>
      <c r="D16582" s="27" t="s">
        <v>1981</v>
      </c>
      <c r="F16582" s="27" t="s">
        <v>1982</v>
      </c>
      <c r="H16582" s="27" t="s">
        <v>1983</v>
      </c>
      <c r="J16582" s="27" t="s">
        <v>1984</v>
      </c>
      <c r="L16582" s="27" t="s">
        <v>328</v>
      </c>
      <c r="N16582" s="27" t="s">
        <v>329</v>
      </c>
      <c r="O16582" s="27" t="s">
        <v>20841</v>
      </c>
      <c r="P16582" s="27" t="s">
        <v>17961</v>
      </c>
      <c r="Q16582" s="26" t="str">
        <f>HYPERLINK("https://ictv.global/taxonomy/taxondetails?taxnode_id=202504305&amp;ictv_id=ICTV19911075","ICTV19911075")</f>
        <v>ICTV19911075</v>
      </c>
      <c r="R16582" t="s">
        <v>579</v>
      </c>
      <c r="S16582" t="s">
        <v>22771</v>
      </c>
      <c r="T16582">
        <v>41</v>
      </c>
      <c r="U16582" s="26" t="str">
        <f t="shared" si="629"/>
        <v>2025.010F.Chlorovirus_3ngen_16nsp_2mergesp.zip</v>
      </c>
    </row>
    <row r="16583" spans="1:21">
      <c r="A16583">
        <v>16582</v>
      </c>
      <c r="B16583" s="27" t="s">
        <v>1980</v>
      </c>
      <c r="D16583" s="27" t="s">
        <v>1981</v>
      </c>
      <c r="F16583" s="27" t="s">
        <v>1982</v>
      </c>
      <c r="H16583" s="27" t="s">
        <v>1983</v>
      </c>
      <c r="J16583" s="27" t="s">
        <v>1984</v>
      </c>
      <c r="L16583" s="27" t="s">
        <v>328</v>
      </c>
      <c r="N16583" s="27" t="s">
        <v>329</v>
      </c>
      <c r="O16583" s="27" t="s">
        <v>20841</v>
      </c>
      <c r="P16583" s="27" t="s">
        <v>21589</v>
      </c>
      <c r="Q16583" s="26" t="str">
        <f>HYPERLINK("https://ictv.global/taxonomy/taxondetails?taxnode_id=202522455&amp;ictv_id=ICTV202522455","ICTV202522455")</f>
        <v>ICTV202522455</v>
      </c>
      <c r="R16583" t="s">
        <v>579</v>
      </c>
      <c r="S16583" t="s">
        <v>823</v>
      </c>
      <c r="T16583">
        <v>41</v>
      </c>
      <c r="U16583" s="26" t="str">
        <f t="shared" si="629"/>
        <v>2025.010F.Chlorovirus_3ngen_16nsp_2mergesp.zip</v>
      </c>
    </row>
    <row r="16584" spans="1:21">
      <c r="A16584">
        <v>16583</v>
      </c>
      <c r="B16584" s="27" t="s">
        <v>1980</v>
      </c>
      <c r="D16584" s="27" t="s">
        <v>1981</v>
      </c>
      <c r="F16584" s="27" t="s">
        <v>1982</v>
      </c>
      <c r="H16584" s="27" t="s">
        <v>1983</v>
      </c>
      <c r="J16584" s="27" t="s">
        <v>1984</v>
      </c>
      <c r="L16584" s="27" t="s">
        <v>328</v>
      </c>
      <c r="N16584" s="27" t="s">
        <v>329</v>
      </c>
      <c r="O16584" s="27" t="s">
        <v>20841</v>
      </c>
      <c r="P16584" s="27" t="s">
        <v>21591</v>
      </c>
      <c r="Q16584" s="26" t="str">
        <f>HYPERLINK("https://ictv.global/taxonomy/taxondetails?taxnode_id=202522457&amp;ictv_id=ICTV202522457","ICTV202522457")</f>
        <v>ICTV202522457</v>
      </c>
      <c r="R16584" t="s">
        <v>579</v>
      </c>
      <c r="S16584" t="s">
        <v>823</v>
      </c>
      <c r="T16584">
        <v>41</v>
      </c>
      <c r="U16584" s="26" t="str">
        <f t="shared" si="629"/>
        <v>2025.010F.Chlorovirus_3ngen_16nsp_2mergesp.zip</v>
      </c>
    </row>
    <row r="16585" spans="1:21">
      <c r="A16585">
        <v>16584</v>
      </c>
      <c r="B16585" s="27" t="s">
        <v>1980</v>
      </c>
      <c r="D16585" s="27" t="s">
        <v>1981</v>
      </c>
      <c r="F16585" s="27" t="s">
        <v>1982</v>
      </c>
      <c r="H16585" s="27" t="s">
        <v>1983</v>
      </c>
      <c r="J16585" s="27" t="s">
        <v>1984</v>
      </c>
      <c r="L16585" s="27" t="s">
        <v>328</v>
      </c>
      <c r="N16585" s="27" t="s">
        <v>329</v>
      </c>
      <c r="O16585" s="27" t="s">
        <v>20841</v>
      </c>
      <c r="P16585" s="27" t="s">
        <v>17964</v>
      </c>
      <c r="Q16585" s="26" t="str">
        <f>HYPERLINK("https://ictv.global/taxonomy/taxondetails?taxnode_id=202504295&amp;ictv_id=ICTV19900812","ICTV19900812")</f>
        <v>ICTV19900812</v>
      </c>
      <c r="R16585" t="s">
        <v>579</v>
      </c>
      <c r="S16585" t="s">
        <v>22771</v>
      </c>
      <c r="T16585">
        <v>41</v>
      </c>
      <c r="U16585" s="26" t="str">
        <f t="shared" si="629"/>
        <v>2025.010F.Chlorovirus_3ngen_16nsp_2mergesp.zip</v>
      </c>
    </row>
    <row r="16586" spans="1:21">
      <c r="A16586">
        <v>16585</v>
      </c>
      <c r="B16586" s="27" t="s">
        <v>1980</v>
      </c>
      <c r="D16586" s="27" t="s">
        <v>1981</v>
      </c>
      <c r="F16586" s="27" t="s">
        <v>1982</v>
      </c>
      <c r="H16586" s="27" t="s">
        <v>1983</v>
      </c>
      <c r="J16586" s="27" t="s">
        <v>1984</v>
      </c>
      <c r="L16586" s="27" t="s">
        <v>328</v>
      </c>
      <c r="N16586" s="27" t="s">
        <v>329</v>
      </c>
      <c r="O16586" s="27" t="s">
        <v>20842</v>
      </c>
      <c r="P16586" s="27" t="s">
        <v>21595</v>
      </c>
      <c r="Q16586" s="26" t="str">
        <f>HYPERLINK("https://ictv.global/taxonomy/taxondetails?taxnode_id=202522461&amp;ictv_id=ICTV202522461","ICTV202522461")</f>
        <v>ICTV202522461</v>
      </c>
      <c r="R16586" t="s">
        <v>579</v>
      </c>
      <c r="S16586" t="s">
        <v>823</v>
      </c>
      <c r="T16586">
        <v>41</v>
      </c>
      <c r="U16586" s="26" t="str">
        <f t="shared" si="629"/>
        <v>2025.010F.Chlorovirus_3ngen_16nsp_2mergesp.zip</v>
      </c>
    </row>
    <row r="16587" spans="1:21">
      <c r="A16587">
        <v>16586</v>
      </c>
      <c r="B16587" s="27" t="s">
        <v>1980</v>
      </c>
      <c r="D16587" s="27" t="s">
        <v>1981</v>
      </c>
      <c r="F16587" s="27" t="s">
        <v>1982</v>
      </c>
      <c r="H16587" s="27" t="s">
        <v>1983</v>
      </c>
      <c r="J16587" s="27" t="s">
        <v>1984</v>
      </c>
      <c r="L16587" s="27" t="s">
        <v>328</v>
      </c>
      <c r="N16587" s="27" t="s">
        <v>329</v>
      </c>
      <c r="O16587" s="27" t="s">
        <v>20842</v>
      </c>
      <c r="P16587" s="27" t="s">
        <v>17962</v>
      </c>
      <c r="Q16587" s="26" t="str">
        <f>HYPERLINK("https://ictv.global/taxonomy/taxondetails?taxnode_id=202504296&amp;ictv_id=ICTV19911049","ICTV19911049")</f>
        <v>ICTV19911049</v>
      </c>
      <c r="R16587" t="s">
        <v>579</v>
      </c>
      <c r="S16587" t="s">
        <v>22763</v>
      </c>
      <c r="T16587">
        <v>41</v>
      </c>
      <c r="U16587" s="26" t="str">
        <f t="shared" si="629"/>
        <v>2025.010F.Chlorovirus_3ngen_16nsp_2mergesp.zip</v>
      </c>
    </row>
    <row r="16588" spans="1:21">
      <c r="A16588">
        <v>16587</v>
      </c>
      <c r="B16588" s="27" t="s">
        <v>1980</v>
      </c>
      <c r="D16588" s="27" t="s">
        <v>1981</v>
      </c>
      <c r="F16588" s="27" t="s">
        <v>1982</v>
      </c>
      <c r="H16588" s="27" t="s">
        <v>1983</v>
      </c>
      <c r="J16588" s="27" t="s">
        <v>1984</v>
      </c>
      <c r="L16588" s="27" t="s">
        <v>328</v>
      </c>
      <c r="N16588" s="27" t="s">
        <v>329</v>
      </c>
      <c r="O16588" s="27" t="s">
        <v>20842</v>
      </c>
      <c r="P16588" s="27" t="s">
        <v>21594</v>
      </c>
      <c r="Q16588" s="26" t="str">
        <f>HYPERLINK("https://ictv.global/taxonomy/taxondetails?taxnode_id=202522460&amp;ictv_id=ICTV202522460","ICTV202522460")</f>
        <v>ICTV202522460</v>
      </c>
      <c r="R16588" t="s">
        <v>579</v>
      </c>
      <c r="S16588" t="s">
        <v>823</v>
      </c>
      <c r="T16588">
        <v>41</v>
      </c>
      <c r="U16588" s="26" t="str">
        <f t="shared" si="629"/>
        <v>2025.010F.Chlorovirus_3ngen_16nsp_2mergesp.zip</v>
      </c>
    </row>
    <row r="16589" spans="1:21">
      <c r="A16589">
        <v>16588</v>
      </c>
      <c r="B16589" s="27" t="s">
        <v>1980</v>
      </c>
      <c r="D16589" s="27" t="s">
        <v>1981</v>
      </c>
      <c r="F16589" s="27" t="s">
        <v>1982</v>
      </c>
      <c r="H16589" s="27" t="s">
        <v>1983</v>
      </c>
      <c r="J16589" s="27" t="s">
        <v>1984</v>
      </c>
      <c r="L16589" s="27" t="s">
        <v>328</v>
      </c>
      <c r="N16589" s="27" t="s">
        <v>329</v>
      </c>
      <c r="O16589" s="27" t="s">
        <v>20840</v>
      </c>
      <c r="P16589" s="27" t="s">
        <v>21599</v>
      </c>
      <c r="Q16589" s="26" t="str">
        <f>HYPERLINK("https://ictv.global/taxonomy/taxondetails?taxnode_id=202522465&amp;ictv_id=ICTV202522465","ICTV202522465")</f>
        <v>ICTV202522465</v>
      </c>
      <c r="R16589" t="s">
        <v>579</v>
      </c>
      <c r="S16589" t="s">
        <v>823</v>
      </c>
      <c r="T16589">
        <v>41</v>
      </c>
      <c r="U16589" s="26" t="str">
        <f t="shared" si="629"/>
        <v>2025.010F.Chlorovirus_3ngen_16nsp_2mergesp.zip</v>
      </c>
    </row>
    <row r="16590" spans="1:21">
      <c r="A16590">
        <v>16589</v>
      </c>
      <c r="B16590" s="27" t="s">
        <v>1980</v>
      </c>
      <c r="D16590" s="27" t="s">
        <v>1981</v>
      </c>
      <c r="F16590" s="27" t="s">
        <v>1982</v>
      </c>
      <c r="H16590" s="27" t="s">
        <v>1983</v>
      </c>
      <c r="J16590" s="27" t="s">
        <v>1984</v>
      </c>
      <c r="L16590" s="27" t="s">
        <v>328</v>
      </c>
      <c r="N16590" s="27" t="s">
        <v>329</v>
      </c>
      <c r="O16590" s="27" t="s">
        <v>20840</v>
      </c>
      <c r="P16590" s="27" t="s">
        <v>21601</v>
      </c>
      <c r="Q16590" s="26" t="str">
        <f>HYPERLINK("https://ictv.global/taxonomy/taxondetails?taxnode_id=202522467&amp;ictv_id=ICTV202522467","ICTV202522467")</f>
        <v>ICTV202522467</v>
      </c>
      <c r="R16590" t="s">
        <v>579</v>
      </c>
      <c r="S16590" t="s">
        <v>823</v>
      </c>
      <c r="T16590">
        <v>41</v>
      </c>
      <c r="U16590" s="26" t="str">
        <f t="shared" si="629"/>
        <v>2025.010F.Chlorovirus_3ngen_16nsp_2mergesp.zip</v>
      </c>
    </row>
    <row r="16591" spans="1:21">
      <c r="A16591">
        <v>16590</v>
      </c>
      <c r="B16591" s="27" t="s">
        <v>1980</v>
      </c>
      <c r="D16591" s="27" t="s">
        <v>1981</v>
      </c>
      <c r="F16591" s="27" t="s">
        <v>1982</v>
      </c>
      <c r="H16591" s="27" t="s">
        <v>1983</v>
      </c>
      <c r="J16591" s="27" t="s">
        <v>1984</v>
      </c>
      <c r="L16591" s="27" t="s">
        <v>328</v>
      </c>
      <c r="N16591" s="27" t="s">
        <v>329</v>
      </c>
      <c r="O16591" s="27" t="s">
        <v>20840</v>
      </c>
      <c r="P16591" s="27" t="s">
        <v>21598</v>
      </c>
      <c r="Q16591" s="26" t="str">
        <f>HYPERLINK("https://ictv.global/taxonomy/taxondetails?taxnode_id=202522464&amp;ictv_id=ICTV202522464","ICTV202522464")</f>
        <v>ICTV202522464</v>
      </c>
      <c r="R16591" t="s">
        <v>579</v>
      </c>
      <c r="S16591" t="s">
        <v>823</v>
      </c>
      <c r="T16591">
        <v>41</v>
      </c>
      <c r="U16591" s="26" t="str">
        <f t="shared" si="629"/>
        <v>2025.010F.Chlorovirus_3ngen_16nsp_2mergesp.zip</v>
      </c>
    </row>
    <row r="16592" spans="1:21">
      <c r="A16592">
        <v>16591</v>
      </c>
      <c r="B16592" s="27" t="s">
        <v>1980</v>
      </c>
      <c r="D16592" s="27" t="s">
        <v>1981</v>
      </c>
      <c r="F16592" s="27" t="s">
        <v>1982</v>
      </c>
      <c r="H16592" s="27" t="s">
        <v>1983</v>
      </c>
      <c r="J16592" s="27" t="s">
        <v>1984</v>
      </c>
      <c r="L16592" s="27" t="s">
        <v>328</v>
      </c>
      <c r="N16592" s="27" t="s">
        <v>329</v>
      </c>
      <c r="O16592" s="27" t="s">
        <v>20840</v>
      </c>
      <c r="P16592" s="27" t="s">
        <v>21597</v>
      </c>
      <c r="Q16592" s="26" t="str">
        <f>HYPERLINK("https://ictv.global/taxonomy/taxondetails?taxnode_id=202522463&amp;ictv_id=ICTV202522463","ICTV202522463")</f>
        <v>ICTV202522463</v>
      </c>
      <c r="R16592" t="s">
        <v>579</v>
      </c>
      <c r="S16592" t="s">
        <v>823</v>
      </c>
      <c r="T16592">
        <v>41</v>
      </c>
      <c r="U16592" s="26" t="str">
        <f t="shared" si="629"/>
        <v>2025.010F.Chlorovirus_3ngen_16nsp_2mergesp.zip</v>
      </c>
    </row>
    <row r="16593" spans="1:21">
      <c r="A16593">
        <v>16592</v>
      </c>
      <c r="B16593" s="27" t="s">
        <v>1980</v>
      </c>
      <c r="D16593" s="27" t="s">
        <v>1981</v>
      </c>
      <c r="F16593" s="27" t="s">
        <v>1982</v>
      </c>
      <c r="H16593" s="27" t="s">
        <v>1983</v>
      </c>
      <c r="J16593" s="27" t="s">
        <v>1984</v>
      </c>
      <c r="L16593" s="27" t="s">
        <v>328</v>
      </c>
      <c r="N16593" s="27" t="s">
        <v>329</v>
      </c>
      <c r="O16593" s="27" t="s">
        <v>20840</v>
      </c>
      <c r="P16593" s="27" t="s">
        <v>17963</v>
      </c>
      <c r="Q16593" s="26" t="str">
        <f>HYPERLINK("https://ictv.global/taxonomy/taxondetails?taxnode_id=202504293&amp;ictv_id=ICTV20115354","ICTV20115354")</f>
        <v>ICTV20115354</v>
      </c>
      <c r="R16593" t="s">
        <v>579</v>
      </c>
      <c r="S16593" t="s">
        <v>22763</v>
      </c>
      <c r="T16593">
        <v>41</v>
      </c>
      <c r="U16593" s="26" t="str">
        <f t="shared" si="629"/>
        <v>2025.010F.Chlorovirus_3ngen_16nsp_2mergesp.zip</v>
      </c>
    </row>
    <row r="16594" spans="1:21">
      <c r="A16594">
        <v>16593</v>
      </c>
      <c r="B16594" s="27" t="s">
        <v>1980</v>
      </c>
      <c r="D16594" s="27" t="s">
        <v>1981</v>
      </c>
      <c r="F16594" s="27" t="s">
        <v>1982</v>
      </c>
      <c r="H16594" s="27" t="s">
        <v>1983</v>
      </c>
      <c r="J16594" s="27" t="s">
        <v>1984</v>
      </c>
      <c r="L16594" s="27" t="s">
        <v>328</v>
      </c>
      <c r="N16594" s="27" t="s">
        <v>329</v>
      </c>
      <c r="O16594" s="27" t="s">
        <v>20840</v>
      </c>
      <c r="P16594" s="27" t="s">
        <v>21603</v>
      </c>
      <c r="Q16594" s="26" t="str">
        <f>HYPERLINK("https://ictv.global/taxonomy/taxondetails?taxnode_id=202522469&amp;ictv_id=ICTV202522469","ICTV202522469")</f>
        <v>ICTV202522469</v>
      </c>
      <c r="R16594" t="s">
        <v>579</v>
      </c>
      <c r="S16594" t="s">
        <v>823</v>
      </c>
      <c r="T16594">
        <v>41</v>
      </c>
      <c r="U16594" s="26" t="str">
        <f t="shared" si="629"/>
        <v>2025.010F.Chlorovirus_3ngen_16nsp_2mergesp.zip</v>
      </c>
    </row>
    <row r="16595" spans="1:21">
      <c r="A16595">
        <v>16594</v>
      </c>
      <c r="B16595" s="27" t="s">
        <v>1980</v>
      </c>
      <c r="D16595" s="27" t="s">
        <v>1981</v>
      </c>
      <c r="F16595" s="27" t="s">
        <v>1982</v>
      </c>
      <c r="H16595" s="27" t="s">
        <v>1983</v>
      </c>
      <c r="J16595" s="27" t="s">
        <v>1984</v>
      </c>
      <c r="L16595" s="27" t="s">
        <v>328</v>
      </c>
      <c r="N16595" s="27" t="s">
        <v>329</v>
      </c>
      <c r="O16595" s="27" t="s">
        <v>20840</v>
      </c>
      <c r="P16595" s="27" t="s">
        <v>21604</v>
      </c>
      <c r="Q16595" s="26" t="str">
        <f>HYPERLINK("https://ictv.global/taxonomy/taxondetails?taxnode_id=202522470&amp;ictv_id=ICTV202522470","ICTV202522470")</f>
        <v>ICTV202522470</v>
      </c>
      <c r="R16595" t="s">
        <v>579</v>
      </c>
      <c r="S16595" t="s">
        <v>823</v>
      </c>
      <c r="T16595">
        <v>41</v>
      </c>
      <c r="U16595" s="26" t="str">
        <f t="shared" si="629"/>
        <v>2025.010F.Chlorovirus_3ngen_16nsp_2mergesp.zip</v>
      </c>
    </row>
    <row r="16596" spans="1:21">
      <c r="A16596">
        <v>16595</v>
      </c>
      <c r="B16596" s="27" t="s">
        <v>1980</v>
      </c>
      <c r="D16596" s="27" t="s">
        <v>1981</v>
      </c>
      <c r="F16596" s="27" t="s">
        <v>1982</v>
      </c>
      <c r="H16596" s="27" t="s">
        <v>1983</v>
      </c>
      <c r="J16596" s="27" t="s">
        <v>1984</v>
      </c>
      <c r="L16596" s="27" t="s">
        <v>328</v>
      </c>
      <c r="N16596" s="27" t="s">
        <v>329</v>
      </c>
      <c r="O16596" s="27" t="s">
        <v>20840</v>
      </c>
      <c r="P16596" s="27" t="s">
        <v>21602</v>
      </c>
      <c r="Q16596" s="26" t="str">
        <f>HYPERLINK("https://ictv.global/taxonomy/taxondetails?taxnode_id=202522468&amp;ictv_id=ICTV202522468","ICTV202522468")</f>
        <v>ICTV202522468</v>
      </c>
      <c r="R16596" t="s">
        <v>579</v>
      </c>
      <c r="S16596" t="s">
        <v>823</v>
      </c>
      <c r="T16596">
        <v>41</v>
      </c>
      <c r="U16596" s="26" t="str">
        <f t="shared" si="629"/>
        <v>2025.010F.Chlorovirus_3ngen_16nsp_2mergesp.zip</v>
      </c>
    </row>
    <row r="16597" spans="1:21">
      <c r="A16597">
        <v>16596</v>
      </c>
      <c r="B16597" s="27" t="s">
        <v>1980</v>
      </c>
      <c r="D16597" s="27" t="s">
        <v>1981</v>
      </c>
      <c r="F16597" s="27" t="s">
        <v>1982</v>
      </c>
      <c r="H16597" s="27" t="s">
        <v>1983</v>
      </c>
      <c r="J16597" s="27" t="s">
        <v>1984</v>
      </c>
      <c r="L16597" s="27" t="s">
        <v>328</v>
      </c>
      <c r="N16597" s="27" t="s">
        <v>329</v>
      </c>
      <c r="O16597" s="27" t="s">
        <v>20840</v>
      </c>
      <c r="P16597" s="27" t="s">
        <v>21596</v>
      </c>
      <c r="Q16597" s="26" t="str">
        <f>HYPERLINK("https://ictv.global/taxonomy/taxondetails?taxnode_id=202522462&amp;ictv_id=ICTV202522462","ICTV202522462")</f>
        <v>ICTV202522462</v>
      </c>
      <c r="R16597" t="s">
        <v>579</v>
      </c>
      <c r="S16597" t="s">
        <v>823</v>
      </c>
      <c r="T16597">
        <v>41</v>
      </c>
      <c r="U16597" s="26" t="str">
        <f t="shared" si="629"/>
        <v>2025.010F.Chlorovirus_3ngen_16nsp_2mergesp.zip</v>
      </c>
    </row>
    <row r="16598" spans="1:21">
      <c r="A16598">
        <v>16597</v>
      </c>
      <c r="B16598" s="27" t="s">
        <v>1980</v>
      </c>
      <c r="D16598" s="27" t="s">
        <v>1981</v>
      </c>
      <c r="F16598" s="27" t="s">
        <v>1982</v>
      </c>
      <c r="H16598" s="27" t="s">
        <v>1983</v>
      </c>
      <c r="J16598" s="27" t="s">
        <v>1984</v>
      </c>
      <c r="L16598" s="27" t="s">
        <v>328</v>
      </c>
      <c r="N16598" s="27" t="s">
        <v>329</v>
      </c>
      <c r="O16598" s="27" t="s">
        <v>20840</v>
      </c>
      <c r="P16598" s="27" t="s">
        <v>21600</v>
      </c>
      <c r="Q16598" s="26" t="str">
        <f>HYPERLINK("https://ictv.global/taxonomy/taxondetails?taxnode_id=202522466&amp;ictv_id=ICTV202522466","ICTV202522466")</f>
        <v>ICTV202522466</v>
      </c>
      <c r="R16598" t="s">
        <v>579</v>
      </c>
      <c r="S16598" t="s">
        <v>823</v>
      </c>
      <c r="T16598">
        <v>41</v>
      </c>
      <c r="U16598" s="26" t="str">
        <f t="shared" si="629"/>
        <v>2025.010F.Chlorovirus_3ngen_16nsp_2mergesp.zip</v>
      </c>
    </row>
    <row r="16599" spans="1:21">
      <c r="A16599">
        <v>16598</v>
      </c>
      <c r="B16599" s="27" t="s">
        <v>1980</v>
      </c>
      <c r="D16599" s="27" t="s">
        <v>1981</v>
      </c>
      <c r="F16599" s="27" t="s">
        <v>1982</v>
      </c>
      <c r="H16599" s="27" t="s">
        <v>1983</v>
      </c>
      <c r="J16599" s="27" t="s">
        <v>1984</v>
      </c>
      <c r="L16599" s="27" t="s">
        <v>328</v>
      </c>
      <c r="N16599" s="27" t="s">
        <v>211</v>
      </c>
      <c r="P16599" s="27" t="s">
        <v>17965</v>
      </c>
      <c r="Q16599" s="26" t="str">
        <f>HYPERLINK("https://ictv.global/taxonomy/taxondetails?taxnode_id=202504313&amp;ictv_id=ICTV20041586","ICTV20041586")</f>
        <v>ICTV20041586</v>
      </c>
      <c r="R16599" t="s">
        <v>579</v>
      </c>
      <c r="S16599" t="s">
        <v>824</v>
      </c>
      <c r="T16599">
        <v>39</v>
      </c>
      <c r="U16599" s="26" t="str">
        <f t="shared" ref="U16599:U16606" si="630">HYPERLINK("https://ictv.global/ictv/proposals/2023.010F.Phycodnaviridae_abolish19sp_spren.zip","2023.010F.Phycodnaviridae_abolish19sp_spren.zip")</f>
        <v>2023.010F.Phycodnaviridae_abolish19sp_spren.zip</v>
      </c>
    </row>
    <row r="16600" spans="1:21">
      <c r="A16600">
        <v>16599</v>
      </c>
      <c r="B16600" s="27" t="s">
        <v>1980</v>
      </c>
      <c r="D16600" s="27" t="s">
        <v>1981</v>
      </c>
      <c r="F16600" s="27" t="s">
        <v>1982</v>
      </c>
      <c r="H16600" s="27" t="s">
        <v>1983</v>
      </c>
      <c r="J16600" s="27" t="s">
        <v>1984</v>
      </c>
      <c r="L16600" s="27" t="s">
        <v>328</v>
      </c>
      <c r="N16600" s="27" t="s">
        <v>223</v>
      </c>
      <c r="P16600" s="27" t="s">
        <v>17966</v>
      </c>
      <c r="Q16600" s="26" t="str">
        <f>HYPERLINK("https://ictv.global/taxonomy/taxondetails?taxnode_id=202504319&amp;ictv_id=ICTV19991236","ICTV19991236")</f>
        <v>ICTV19991236</v>
      </c>
      <c r="R16600" t="s">
        <v>579</v>
      </c>
      <c r="S16600" t="s">
        <v>824</v>
      </c>
      <c r="T16600">
        <v>39</v>
      </c>
      <c r="U16600" s="26" t="str">
        <f t="shared" si="630"/>
        <v>2023.010F.Phycodnaviridae_abolish19sp_spren.zip</v>
      </c>
    </row>
    <row r="16601" spans="1:21">
      <c r="A16601">
        <v>16600</v>
      </c>
      <c r="B16601" s="27" t="s">
        <v>1980</v>
      </c>
      <c r="D16601" s="27" t="s">
        <v>1981</v>
      </c>
      <c r="F16601" s="27" t="s">
        <v>1982</v>
      </c>
      <c r="H16601" s="27" t="s">
        <v>1983</v>
      </c>
      <c r="J16601" s="27" t="s">
        <v>1984</v>
      </c>
      <c r="L16601" s="27" t="s">
        <v>328</v>
      </c>
      <c r="N16601" s="27" t="s">
        <v>223</v>
      </c>
      <c r="P16601" s="27" t="s">
        <v>17967</v>
      </c>
      <c r="Q16601" s="26" t="str">
        <f>HYPERLINK("https://ictv.global/taxonomy/taxondetails?taxnode_id=202504318&amp;ictv_id=ICTV19991235","ICTV19991235")</f>
        <v>ICTV19991235</v>
      </c>
      <c r="R16601" t="s">
        <v>579</v>
      </c>
      <c r="S16601" t="s">
        <v>824</v>
      </c>
      <c r="T16601">
        <v>39</v>
      </c>
      <c r="U16601" s="26" t="str">
        <f t="shared" si="630"/>
        <v>2023.010F.Phycodnaviridae_abolish19sp_spren.zip</v>
      </c>
    </row>
    <row r="16602" spans="1:21">
      <c r="A16602">
        <v>16601</v>
      </c>
      <c r="B16602" s="27" t="s">
        <v>1980</v>
      </c>
      <c r="D16602" s="27" t="s">
        <v>1981</v>
      </c>
      <c r="F16602" s="27" t="s">
        <v>1982</v>
      </c>
      <c r="H16602" s="27" t="s">
        <v>1983</v>
      </c>
      <c r="J16602" s="27" t="s">
        <v>1984</v>
      </c>
      <c r="L16602" s="27" t="s">
        <v>328</v>
      </c>
      <c r="N16602" s="27" t="s">
        <v>223</v>
      </c>
      <c r="P16602" s="27" t="s">
        <v>17968</v>
      </c>
      <c r="Q16602" s="26" t="str">
        <f>HYPERLINK("https://ictv.global/taxonomy/taxondetails?taxnode_id=202504316&amp;ictv_id=ICTV19981929","ICTV19981929")</f>
        <v>ICTV19981929</v>
      </c>
      <c r="R16602" t="s">
        <v>579</v>
      </c>
      <c r="S16602" t="s">
        <v>824</v>
      </c>
      <c r="T16602">
        <v>39</v>
      </c>
      <c r="U16602" s="26" t="str">
        <f t="shared" si="630"/>
        <v>2023.010F.Phycodnaviridae_abolish19sp_spren.zip</v>
      </c>
    </row>
    <row r="16603" spans="1:21">
      <c r="A16603">
        <v>16602</v>
      </c>
      <c r="B16603" s="27" t="s">
        <v>1980</v>
      </c>
      <c r="D16603" s="27" t="s">
        <v>1981</v>
      </c>
      <c r="F16603" s="27" t="s">
        <v>1982</v>
      </c>
      <c r="H16603" s="27" t="s">
        <v>1983</v>
      </c>
      <c r="J16603" s="27" t="s">
        <v>1984</v>
      </c>
      <c r="L16603" s="27" t="s">
        <v>328</v>
      </c>
      <c r="N16603" s="27" t="s">
        <v>227</v>
      </c>
      <c r="P16603" s="27" t="s">
        <v>17969</v>
      </c>
      <c r="Q16603" s="26" t="str">
        <f>HYPERLINK("https://ictv.global/taxonomy/taxondetails?taxnode_id=202504325&amp;ictv_id=ICTV19981930","ICTV19981930")</f>
        <v>ICTV19981930</v>
      </c>
      <c r="R16603" t="s">
        <v>579</v>
      </c>
      <c r="S16603" t="s">
        <v>824</v>
      </c>
      <c r="T16603">
        <v>39</v>
      </c>
      <c r="U16603" s="26" t="str">
        <f t="shared" si="630"/>
        <v>2023.010F.Phycodnaviridae_abolish19sp_spren.zip</v>
      </c>
    </row>
    <row r="16604" spans="1:21">
      <c r="A16604">
        <v>16603</v>
      </c>
      <c r="B16604" s="27" t="s">
        <v>1980</v>
      </c>
      <c r="D16604" s="27" t="s">
        <v>1981</v>
      </c>
      <c r="F16604" s="27" t="s">
        <v>1982</v>
      </c>
      <c r="H16604" s="27" t="s">
        <v>1983</v>
      </c>
      <c r="J16604" s="27" t="s">
        <v>1984</v>
      </c>
      <c r="L16604" s="27" t="s">
        <v>328</v>
      </c>
      <c r="N16604" s="27" t="s">
        <v>227</v>
      </c>
      <c r="P16604" s="27" t="s">
        <v>17970</v>
      </c>
      <c r="Q16604" s="26" t="str">
        <f>HYPERLINK("https://ictv.global/taxonomy/taxondetails?taxnode_id=202504326&amp;ictv_id=ICTV20115355","ICTV20115355")</f>
        <v>ICTV20115355</v>
      </c>
      <c r="R16604" t="s">
        <v>579</v>
      </c>
      <c r="S16604" t="s">
        <v>824</v>
      </c>
      <c r="T16604">
        <v>39</v>
      </c>
      <c r="U16604" s="26" t="str">
        <f t="shared" si="630"/>
        <v>2023.010F.Phycodnaviridae_abolish19sp_spren.zip</v>
      </c>
    </row>
    <row r="16605" spans="1:21">
      <c r="A16605">
        <v>16604</v>
      </c>
      <c r="B16605" s="27" t="s">
        <v>1980</v>
      </c>
      <c r="D16605" s="27" t="s">
        <v>1981</v>
      </c>
      <c r="F16605" s="27" t="s">
        <v>1982</v>
      </c>
      <c r="H16605" s="27" t="s">
        <v>1983</v>
      </c>
      <c r="J16605" s="27" t="s">
        <v>1984</v>
      </c>
      <c r="L16605" s="27" t="s">
        <v>328</v>
      </c>
      <c r="N16605" s="27" t="s">
        <v>228</v>
      </c>
      <c r="P16605" s="27" t="s">
        <v>17971</v>
      </c>
      <c r="Q16605" s="26" t="str">
        <f>HYPERLINK("https://ictv.global/taxonomy/taxondetails?taxnode_id=202504328&amp;ictv_id=ICTV20074185","ICTV20074185")</f>
        <v>ICTV20074185</v>
      </c>
      <c r="R16605" t="s">
        <v>579</v>
      </c>
      <c r="S16605" t="s">
        <v>824</v>
      </c>
      <c r="T16605">
        <v>39</v>
      </c>
      <c r="U16605" s="26" t="str">
        <f t="shared" si="630"/>
        <v>2023.010F.Phycodnaviridae_abolish19sp_spren.zip</v>
      </c>
    </row>
    <row r="16606" spans="1:21">
      <c r="A16606">
        <v>16605</v>
      </c>
      <c r="B16606" s="27" t="s">
        <v>1980</v>
      </c>
      <c r="D16606" s="27" t="s">
        <v>1981</v>
      </c>
      <c r="F16606" s="27" t="s">
        <v>1982</v>
      </c>
      <c r="H16606" s="27" t="s">
        <v>1983</v>
      </c>
      <c r="J16606" s="27" t="s">
        <v>1984</v>
      </c>
      <c r="L16606" s="27" t="s">
        <v>328</v>
      </c>
      <c r="N16606" s="27" t="s">
        <v>229</v>
      </c>
      <c r="P16606" s="27" t="s">
        <v>17972</v>
      </c>
      <c r="Q16606" s="26" t="str">
        <f>HYPERLINK("https://ictv.global/taxonomy/taxondetails?taxnode_id=202504330&amp;ictv_id=ICTV20041598","ICTV20041598")</f>
        <v>ICTV20041598</v>
      </c>
      <c r="R16606" t="s">
        <v>579</v>
      </c>
      <c r="S16606" t="s">
        <v>824</v>
      </c>
      <c r="T16606">
        <v>39</v>
      </c>
      <c r="U16606" s="26" t="str">
        <f t="shared" si="630"/>
        <v>2023.010F.Phycodnaviridae_abolish19sp_spren.zip</v>
      </c>
    </row>
    <row r="16607" spans="1:21">
      <c r="A16607">
        <v>16606</v>
      </c>
      <c r="B16607" s="27" t="s">
        <v>1980</v>
      </c>
      <c r="D16607" s="27" t="s">
        <v>1981</v>
      </c>
      <c r="F16607" s="27" t="s">
        <v>1982</v>
      </c>
      <c r="H16607" s="27" t="s">
        <v>1983</v>
      </c>
      <c r="J16607" s="27" t="s">
        <v>1985</v>
      </c>
      <c r="K16607" s="27" t="s">
        <v>20822</v>
      </c>
      <c r="L16607" s="27" t="s">
        <v>445</v>
      </c>
      <c r="M16607" s="27" t="s">
        <v>10824</v>
      </c>
      <c r="N16607" s="27" t="s">
        <v>10825</v>
      </c>
      <c r="P16607" s="27" t="s">
        <v>10826</v>
      </c>
      <c r="Q16607" s="26" t="str">
        <f>HYPERLINK("https://ictv.global/taxonomy/taxondetails?taxnode_id=202503888&amp;ictv_id=ICTV20125705","ICTV20125705")</f>
        <v>ICTV20125705</v>
      </c>
      <c r="R16607" t="s">
        <v>579</v>
      </c>
      <c r="S16607" t="s">
        <v>22763</v>
      </c>
      <c r="T16607">
        <v>41</v>
      </c>
      <c r="U16607" s="26" t="str">
        <f t="shared" ref="U16607:U16637" si="631">HYPERLINK("https://ictv.global/ictv/proposals/2025.011F.Imitervirales_newtaxa.zip","2025.011F.Imitervirales_newtaxa.zip")</f>
        <v>2025.011F.Imitervirales_newtaxa.zip</v>
      </c>
    </row>
    <row r="16608" spans="1:21">
      <c r="A16608">
        <v>16607</v>
      </c>
      <c r="B16608" s="27" t="s">
        <v>1980</v>
      </c>
      <c r="D16608" s="27" t="s">
        <v>1981</v>
      </c>
      <c r="F16608" s="27" t="s">
        <v>1982</v>
      </c>
      <c r="H16608" s="27" t="s">
        <v>1983</v>
      </c>
      <c r="J16608" s="27" t="s">
        <v>1985</v>
      </c>
      <c r="K16608" s="27" t="s">
        <v>20822</v>
      </c>
      <c r="L16608" s="27" t="s">
        <v>445</v>
      </c>
      <c r="M16608" s="27" t="s">
        <v>10827</v>
      </c>
      <c r="N16608" s="27" t="s">
        <v>21622</v>
      </c>
      <c r="P16608" s="27" t="s">
        <v>21623</v>
      </c>
      <c r="Q16608" s="26" t="str">
        <f>HYPERLINK("https://ictv.global/taxonomy/taxondetails?taxnode_id=202522487&amp;ictv_id=ICTV202522487","ICTV202522487")</f>
        <v>ICTV202522487</v>
      </c>
      <c r="R16608" t="s">
        <v>579</v>
      </c>
      <c r="S16608" t="s">
        <v>823</v>
      </c>
      <c r="T16608">
        <v>41</v>
      </c>
      <c r="U16608" s="26" t="str">
        <f t="shared" si="631"/>
        <v>2025.011F.Imitervirales_newtaxa.zip</v>
      </c>
    </row>
    <row r="16609" spans="1:21">
      <c r="A16609">
        <v>16608</v>
      </c>
      <c r="B16609" s="27" t="s">
        <v>1980</v>
      </c>
      <c r="D16609" s="27" t="s">
        <v>1981</v>
      </c>
      <c r="F16609" s="27" t="s">
        <v>1982</v>
      </c>
      <c r="H16609" s="27" t="s">
        <v>1983</v>
      </c>
      <c r="J16609" s="27" t="s">
        <v>1985</v>
      </c>
      <c r="K16609" s="27" t="s">
        <v>20822</v>
      </c>
      <c r="L16609" s="27" t="s">
        <v>445</v>
      </c>
      <c r="M16609" s="27" t="s">
        <v>10827</v>
      </c>
      <c r="N16609" s="27" t="s">
        <v>10828</v>
      </c>
      <c r="P16609" s="27" t="s">
        <v>10829</v>
      </c>
      <c r="Q16609" s="26" t="str">
        <f>HYPERLINK("https://ictv.global/taxonomy/taxondetails?taxnode_id=202515044&amp;ictv_id=ICTV202215044","ICTV202215044")</f>
        <v>ICTV202215044</v>
      </c>
      <c r="R16609" t="s">
        <v>579</v>
      </c>
      <c r="S16609" t="s">
        <v>22763</v>
      </c>
      <c r="T16609">
        <v>41</v>
      </c>
      <c r="U16609" s="26" t="str">
        <f t="shared" si="631"/>
        <v>2025.011F.Imitervirales_newtaxa.zip</v>
      </c>
    </row>
    <row r="16610" spans="1:21">
      <c r="A16610">
        <v>16609</v>
      </c>
      <c r="B16610" s="27" t="s">
        <v>1980</v>
      </c>
      <c r="D16610" s="27" t="s">
        <v>1981</v>
      </c>
      <c r="F16610" s="27" t="s">
        <v>1982</v>
      </c>
      <c r="H16610" s="27" t="s">
        <v>1983</v>
      </c>
      <c r="J16610" s="27" t="s">
        <v>1985</v>
      </c>
      <c r="K16610" s="27" t="s">
        <v>20822</v>
      </c>
      <c r="L16610" s="27" t="s">
        <v>445</v>
      </c>
      <c r="M16610" s="27" t="s">
        <v>10827</v>
      </c>
      <c r="N16610" s="27" t="s">
        <v>10830</v>
      </c>
      <c r="P16610" s="27" t="s">
        <v>10831</v>
      </c>
      <c r="Q16610" s="26" t="str">
        <f>HYPERLINK("https://ictv.global/taxonomy/taxondetails?taxnode_id=202515045&amp;ictv_id=ICTV202215045","ICTV202215045")</f>
        <v>ICTV202215045</v>
      </c>
      <c r="R16610" t="s">
        <v>579</v>
      </c>
      <c r="S16610" t="s">
        <v>22763</v>
      </c>
      <c r="T16610">
        <v>41</v>
      </c>
      <c r="U16610" s="26" t="str">
        <f t="shared" si="631"/>
        <v>2025.011F.Imitervirales_newtaxa.zip</v>
      </c>
    </row>
    <row r="16611" spans="1:21">
      <c r="A16611">
        <v>16610</v>
      </c>
      <c r="B16611" s="27" t="s">
        <v>1980</v>
      </c>
      <c r="D16611" s="27" t="s">
        <v>1981</v>
      </c>
      <c r="F16611" s="27" t="s">
        <v>1982</v>
      </c>
      <c r="H16611" s="27" t="s">
        <v>1983</v>
      </c>
      <c r="J16611" s="27" t="s">
        <v>1985</v>
      </c>
      <c r="K16611" s="27" t="s">
        <v>20822</v>
      </c>
      <c r="L16611" s="27" t="s">
        <v>445</v>
      </c>
      <c r="M16611" s="27" t="s">
        <v>10827</v>
      </c>
      <c r="N16611" s="27" t="s">
        <v>10832</v>
      </c>
      <c r="P16611" s="27" t="s">
        <v>10833</v>
      </c>
      <c r="Q16611" s="26" t="str">
        <f>HYPERLINK("https://ictv.global/taxonomy/taxondetails?taxnode_id=202515046&amp;ictv_id=ICTV202215046","ICTV202215046")</f>
        <v>ICTV202215046</v>
      </c>
      <c r="R16611" t="s">
        <v>579</v>
      </c>
      <c r="S16611" t="s">
        <v>22763</v>
      </c>
      <c r="T16611">
        <v>41</v>
      </c>
      <c r="U16611" s="26" t="str">
        <f t="shared" si="631"/>
        <v>2025.011F.Imitervirales_newtaxa.zip</v>
      </c>
    </row>
    <row r="16612" spans="1:21">
      <c r="A16612">
        <v>16611</v>
      </c>
      <c r="B16612" s="27" t="s">
        <v>1980</v>
      </c>
      <c r="D16612" s="27" t="s">
        <v>1981</v>
      </c>
      <c r="F16612" s="27" t="s">
        <v>1982</v>
      </c>
      <c r="H16612" s="27" t="s">
        <v>1983</v>
      </c>
      <c r="J16612" s="27" t="s">
        <v>1985</v>
      </c>
      <c r="K16612" s="27" t="s">
        <v>20822</v>
      </c>
      <c r="L16612" s="27" t="s">
        <v>445</v>
      </c>
      <c r="M16612" s="27" t="s">
        <v>10834</v>
      </c>
      <c r="N16612" s="27" t="s">
        <v>10835</v>
      </c>
      <c r="P16612" s="27" t="s">
        <v>10836</v>
      </c>
      <c r="Q16612" s="26" t="str">
        <f>HYPERLINK("https://ictv.global/taxonomy/taxondetails?taxnode_id=202515047&amp;ictv_id=ICTV202215047","ICTV202215047")</f>
        <v>ICTV202215047</v>
      </c>
      <c r="R16612" t="s">
        <v>579</v>
      </c>
      <c r="S16612" t="s">
        <v>22763</v>
      </c>
      <c r="T16612">
        <v>41</v>
      </c>
      <c r="U16612" s="26" t="str">
        <f t="shared" si="631"/>
        <v>2025.011F.Imitervirales_newtaxa.zip</v>
      </c>
    </row>
    <row r="16613" spans="1:21">
      <c r="A16613">
        <v>16612</v>
      </c>
      <c r="B16613" s="27" t="s">
        <v>1980</v>
      </c>
      <c r="D16613" s="27" t="s">
        <v>1981</v>
      </c>
      <c r="F16613" s="27" t="s">
        <v>1982</v>
      </c>
      <c r="H16613" s="27" t="s">
        <v>1983</v>
      </c>
      <c r="J16613" s="27" t="s">
        <v>1985</v>
      </c>
      <c r="K16613" s="27" t="s">
        <v>20822</v>
      </c>
      <c r="L16613" s="27" t="s">
        <v>445</v>
      </c>
      <c r="M16613" s="27" t="s">
        <v>10834</v>
      </c>
      <c r="N16613" s="27" t="s">
        <v>10837</v>
      </c>
      <c r="P16613" s="27" t="s">
        <v>10838</v>
      </c>
      <c r="Q16613" s="26" t="str">
        <f>HYPERLINK("https://ictv.global/taxonomy/taxondetails?taxnode_id=202515048&amp;ictv_id=ICTV202215048","ICTV202215048")</f>
        <v>ICTV202215048</v>
      </c>
      <c r="R16613" t="s">
        <v>579</v>
      </c>
      <c r="S16613" t="s">
        <v>22763</v>
      </c>
      <c r="T16613">
        <v>41</v>
      </c>
      <c r="U16613" s="26" t="str">
        <f t="shared" si="631"/>
        <v>2025.011F.Imitervirales_newtaxa.zip</v>
      </c>
    </row>
    <row r="16614" spans="1:21">
      <c r="A16614">
        <v>16613</v>
      </c>
      <c r="B16614" s="27" t="s">
        <v>1980</v>
      </c>
      <c r="D16614" s="27" t="s">
        <v>1981</v>
      </c>
      <c r="F16614" s="27" t="s">
        <v>1982</v>
      </c>
      <c r="H16614" s="27" t="s">
        <v>1983</v>
      </c>
      <c r="J16614" s="27" t="s">
        <v>1985</v>
      </c>
      <c r="K16614" s="27" t="s">
        <v>20822</v>
      </c>
      <c r="L16614" s="27" t="s">
        <v>445</v>
      </c>
      <c r="M16614" s="27" t="s">
        <v>10834</v>
      </c>
      <c r="N16614" s="27" t="s">
        <v>10837</v>
      </c>
      <c r="P16614" s="27" t="s">
        <v>21626</v>
      </c>
      <c r="Q16614" s="26" t="str">
        <f>HYPERLINK("https://ictv.global/taxonomy/taxondetails?taxnode_id=202522490&amp;ictv_id=ICTV202522490","ICTV202522490")</f>
        <v>ICTV202522490</v>
      </c>
      <c r="R16614" t="s">
        <v>579</v>
      </c>
      <c r="S16614" t="s">
        <v>823</v>
      </c>
      <c r="T16614">
        <v>41</v>
      </c>
      <c r="U16614" s="26" t="str">
        <f t="shared" si="631"/>
        <v>2025.011F.Imitervirales_newtaxa.zip</v>
      </c>
    </row>
    <row r="16615" spans="1:21">
      <c r="A16615">
        <v>16614</v>
      </c>
      <c r="B16615" s="27" t="s">
        <v>1980</v>
      </c>
      <c r="D16615" s="27" t="s">
        <v>1981</v>
      </c>
      <c r="F16615" s="27" t="s">
        <v>1982</v>
      </c>
      <c r="H16615" s="27" t="s">
        <v>1983</v>
      </c>
      <c r="J16615" s="27" t="s">
        <v>1985</v>
      </c>
      <c r="K16615" s="27" t="s">
        <v>20822</v>
      </c>
      <c r="L16615" s="27" t="s">
        <v>445</v>
      </c>
      <c r="M16615" s="27" t="s">
        <v>10834</v>
      </c>
      <c r="N16615" s="27" t="s">
        <v>10837</v>
      </c>
      <c r="P16615" s="27" t="s">
        <v>10839</v>
      </c>
      <c r="Q16615" s="26" t="str">
        <f>HYPERLINK("https://ictv.global/taxonomy/taxondetails?taxnode_id=202515049&amp;ictv_id=ICTV202215049","ICTV202215049")</f>
        <v>ICTV202215049</v>
      </c>
      <c r="R16615" t="s">
        <v>579</v>
      </c>
      <c r="S16615" t="s">
        <v>22763</v>
      </c>
      <c r="T16615">
        <v>41</v>
      </c>
      <c r="U16615" s="26" t="str">
        <f t="shared" si="631"/>
        <v>2025.011F.Imitervirales_newtaxa.zip</v>
      </c>
    </row>
    <row r="16616" spans="1:21">
      <c r="A16616">
        <v>16615</v>
      </c>
      <c r="B16616" s="27" t="s">
        <v>1980</v>
      </c>
      <c r="D16616" s="27" t="s">
        <v>1981</v>
      </c>
      <c r="F16616" s="27" t="s">
        <v>1982</v>
      </c>
      <c r="H16616" s="27" t="s">
        <v>1983</v>
      </c>
      <c r="J16616" s="27" t="s">
        <v>1985</v>
      </c>
      <c r="K16616" s="27" t="s">
        <v>20822</v>
      </c>
      <c r="L16616" s="27" t="s">
        <v>445</v>
      </c>
      <c r="M16616" s="27" t="s">
        <v>10834</v>
      </c>
      <c r="N16616" s="27" t="s">
        <v>10837</v>
      </c>
      <c r="P16616" s="27" t="s">
        <v>10840</v>
      </c>
      <c r="Q16616" s="26" t="str">
        <f>HYPERLINK("https://ictv.global/taxonomy/taxondetails?taxnode_id=202515050&amp;ictv_id=ICTV202215050","ICTV202215050")</f>
        <v>ICTV202215050</v>
      </c>
      <c r="R16616" t="s">
        <v>579</v>
      </c>
      <c r="S16616" t="s">
        <v>22763</v>
      </c>
      <c r="T16616">
        <v>41</v>
      </c>
      <c r="U16616" s="26" t="str">
        <f t="shared" si="631"/>
        <v>2025.011F.Imitervirales_newtaxa.zip</v>
      </c>
    </row>
    <row r="16617" spans="1:21">
      <c r="A16617">
        <v>16616</v>
      </c>
      <c r="B16617" s="27" t="s">
        <v>1980</v>
      </c>
      <c r="D16617" s="27" t="s">
        <v>1981</v>
      </c>
      <c r="F16617" s="27" t="s">
        <v>1982</v>
      </c>
      <c r="H16617" s="27" t="s">
        <v>1983</v>
      </c>
      <c r="J16617" s="27" t="s">
        <v>1985</v>
      </c>
      <c r="K16617" s="27" t="s">
        <v>20822</v>
      </c>
      <c r="L16617" s="27" t="s">
        <v>445</v>
      </c>
      <c r="M16617" s="27" t="s">
        <v>10834</v>
      </c>
      <c r="N16617" s="27" t="s">
        <v>446</v>
      </c>
      <c r="P16617" s="27" t="s">
        <v>10848</v>
      </c>
      <c r="Q16617" s="26" t="str">
        <f>HYPERLINK("https://ictv.global/taxonomy/taxondetails?taxnode_id=202503890&amp;ictv_id=ICTV20042222","ICTV20042222")</f>
        <v>ICTV20042222</v>
      </c>
      <c r="R16617" t="s">
        <v>579</v>
      </c>
      <c r="S16617" t="s">
        <v>22763</v>
      </c>
      <c r="T16617">
        <v>41</v>
      </c>
      <c r="U16617" s="26" t="str">
        <f t="shared" si="631"/>
        <v>2025.011F.Imitervirales_newtaxa.zip</v>
      </c>
    </row>
    <row r="16618" spans="1:21">
      <c r="A16618">
        <v>16617</v>
      </c>
      <c r="B16618" s="27" t="s">
        <v>1980</v>
      </c>
      <c r="D16618" s="27" t="s">
        <v>1981</v>
      </c>
      <c r="F16618" s="27" t="s">
        <v>1982</v>
      </c>
      <c r="H16618" s="27" t="s">
        <v>1983</v>
      </c>
      <c r="J16618" s="27" t="s">
        <v>1985</v>
      </c>
      <c r="K16618" s="27" t="s">
        <v>20822</v>
      </c>
      <c r="L16618" s="27" t="s">
        <v>445</v>
      </c>
      <c r="M16618" s="27" t="s">
        <v>10834</v>
      </c>
      <c r="N16618" s="27" t="s">
        <v>446</v>
      </c>
      <c r="P16618" s="27" t="s">
        <v>10849</v>
      </c>
      <c r="Q16618" s="26" t="str">
        <f>HYPERLINK("https://ictv.global/taxonomy/taxondetails?taxnode_id=202515051&amp;ictv_id=ICTV202215051","ICTV202215051")</f>
        <v>ICTV202215051</v>
      </c>
      <c r="R16618" t="s">
        <v>579</v>
      </c>
      <c r="S16618" t="s">
        <v>22763</v>
      </c>
      <c r="T16618">
        <v>41</v>
      </c>
      <c r="U16618" s="26" t="str">
        <f t="shared" si="631"/>
        <v>2025.011F.Imitervirales_newtaxa.zip</v>
      </c>
    </row>
    <row r="16619" spans="1:21">
      <c r="A16619">
        <v>16618</v>
      </c>
      <c r="B16619" s="27" t="s">
        <v>1980</v>
      </c>
      <c r="D16619" s="27" t="s">
        <v>1981</v>
      </c>
      <c r="F16619" s="27" t="s">
        <v>1982</v>
      </c>
      <c r="H16619" s="27" t="s">
        <v>1983</v>
      </c>
      <c r="J16619" s="27" t="s">
        <v>1985</v>
      </c>
      <c r="K16619" s="27" t="s">
        <v>20822</v>
      </c>
      <c r="L16619" s="27" t="s">
        <v>445</v>
      </c>
      <c r="M16619" s="27" t="s">
        <v>10834</v>
      </c>
      <c r="N16619" s="27" t="s">
        <v>10841</v>
      </c>
      <c r="P16619" s="27" t="s">
        <v>10842</v>
      </c>
      <c r="Q16619" s="26" t="str">
        <f>HYPERLINK("https://ictv.global/taxonomy/taxondetails?taxnode_id=202515052&amp;ictv_id=ICTV202215052","ICTV202215052")</f>
        <v>ICTV202215052</v>
      </c>
      <c r="R16619" t="s">
        <v>579</v>
      </c>
      <c r="S16619" t="s">
        <v>22763</v>
      </c>
      <c r="T16619">
        <v>41</v>
      </c>
      <c r="U16619" s="26" t="str">
        <f t="shared" si="631"/>
        <v>2025.011F.Imitervirales_newtaxa.zip</v>
      </c>
    </row>
    <row r="16620" spans="1:21">
      <c r="A16620">
        <v>16619</v>
      </c>
      <c r="B16620" s="27" t="s">
        <v>1980</v>
      </c>
      <c r="D16620" s="27" t="s">
        <v>1981</v>
      </c>
      <c r="F16620" s="27" t="s">
        <v>1982</v>
      </c>
      <c r="H16620" s="27" t="s">
        <v>1983</v>
      </c>
      <c r="J16620" s="27" t="s">
        <v>1985</v>
      </c>
      <c r="K16620" s="27" t="s">
        <v>20822</v>
      </c>
      <c r="L16620" s="27" t="s">
        <v>445</v>
      </c>
      <c r="M16620" s="27" t="s">
        <v>10834</v>
      </c>
      <c r="N16620" s="27" t="s">
        <v>10841</v>
      </c>
      <c r="P16620" s="27" t="s">
        <v>10843</v>
      </c>
      <c r="Q16620" s="26" t="str">
        <f>HYPERLINK("https://ictv.global/taxonomy/taxondetails?taxnode_id=202515053&amp;ictv_id=ICTV202215053","ICTV202215053")</f>
        <v>ICTV202215053</v>
      </c>
      <c r="R16620" t="s">
        <v>579</v>
      </c>
      <c r="S16620" t="s">
        <v>22763</v>
      </c>
      <c r="T16620">
        <v>41</v>
      </c>
      <c r="U16620" s="26" t="str">
        <f t="shared" si="631"/>
        <v>2025.011F.Imitervirales_newtaxa.zip</v>
      </c>
    </row>
    <row r="16621" spans="1:21">
      <c r="A16621">
        <v>16620</v>
      </c>
      <c r="B16621" s="27" t="s">
        <v>1980</v>
      </c>
      <c r="D16621" s="27" t="s">
        <v>1981</v>
      </c>
      <c r="F16621" s="27" t="s">
        <v>1982</v>
      </c>
      <c r="H16621" s="27" t="s">
        <v>1983</v>
      </c>
      <c r="J16621" s="27" t="s">
        <v>1985</v>
      </c>
      <c r="K16621" s="27" t="s">
        <v>20822</v>
      </c>
      <c r="L16621" s="27" t="s">
        <v>445</v>
      </c>
      <c r="M16621" s="27" t="s">
        <v>10834</v>
      </c>
      <c r="N16621" s="27" t="s">
        <v>10841</v>
      </c>
      <c r="P16621" s="27" t="s">
        <v>21625</v>
      </c>
      <c r="Q16621" s="26" t="str">
        <f>HYPERLINK("https://ictv.global/taxonomy/taxondetails?taxnode_id=202522489&amp;ictv_id=ICTV202522489","ICTV202522489")</f>
        <v>ICTV202522489</v>
      </c>
      <c r="R16621" t="s">
        <v>579</v>
      </c>
      <c r="S16621" t="s">
        <v>823</v>
      </c>
      <c r="T16621">
        <v>41</v>
      </c>
      <c r="U16621" s="26" t="str">
        <f t="shared" si="631"/>
        <v>2025.011F.Imitervirales_newtaxa.zip</v>
      </c>
    </row>
    <row r="16622" spans="1:21">
      <c r="A16622">
        <v>16621</v>
      </c>
      <c r="B16622" s="27" t="s">
        <v>1980</v>
      </c>
      <c r="D16622" s="27" t="s">
        <v>1981</v>
      </c>
      <c r="F16622" s="27" t="s">
        <v>1982</v>
      </c>
      <c r="H16622" s="27" t="s">
        <v>1983</v>
      </c>
      <c r="J16622" s="27" t="s">
        <v>1985</v>
      </c>
      <c r="K16622" s="27" t="s">
        <v>20822</v>
      </c>
      <c r="L16622" s="27" t="s">
        <v>445</v>
      </c>
      <c r="M16622" s="27" t="s">
        <v>10834</v>
      </c>
      <c r="N16622" s="27" t="s">
        <v>10841</v>
      </c>
      <c r="P16622" s="27" t="s">
        <v>21624</v>
      </c>
      <c r="Q16622" s="26" t="str">
        <f>HYPERLINK("https://ictv.global/taxonomy/taxondetails?taxnode_id=202522488&amp;ictv_id=ICTV202522488","ICTV202522488")</f>
        <v>ICTV202522488</v>
      </c>
      <c r="R16622" t="s">
        <v>579</v>
      </c>
      <c r="S16622" t="s">
        <v>823</v>
      </c>
      <c r="T16622">
        <v>41</v>
      </c>
      <c r="U16622" s="26" t="str">
        <f t="shared" si="631"/>
        <v>2025.011F.Imitervirales_newtaxa.zip</v>
      </c>
    </row>
    <row r="16623" spans="1:21">
      <c r="A16623">
        <v>16622</v>
      </c>
      <c r="B16623" s="27" t="s">
        <v>1980</v>
      </c>
      <c r="D16623" s="27" t="s">
        <v>1981</v>
      </c>
      <c r="F16623" s="27" t="s">
        <v>1982</v>
      </c>
      <c r="H16623" s="27" t="s">
        <v>1983</v>
      </c>
      <c r="J16623" s="27" t="s">
        <v>1985</v>
      </c>
      <c r="K16623" s="27" t="s">
        <v>20822</v>
      </c>
      <c r="L16623" s="27" t="s">
        <v>445</v>
      </c>
      <c r="M16623" s="27" t="s">
        <v>10834</v>
      </c>
      <c r="N16623" s="27" t="s">
        <v>10841</v>
      </c>
      <c r="P16623" s="27" t="s">
        <v>10844</v>
      </c>
      <c r="Q16623" s="26" t="str">
        <f>HYPERLINK("https://ictv.global/taxonomy/taxondetails?taxnode_id=202515054&amp;ictv_id=ICTV202215054","ICTV202215054")</f>
        <v>ICTV202215054</v>
      </c>
      <c r="R16623" t="s">
        <v>579</v>
      </c>
      <c r="S16623" t="s">
        <v>22763</v>
      </c>
      <c r="T16623">
        <v>41</v>
      </c>
      <c r="U16623" s="26" t="str">
        <f t="shared" si="631"/>
        <v>2025.011F.Imitervirales_newtaxa.zip</v>
      </c>
    </row>
    <row r="16624" spans="1:21">
      <c r="A16624">
        <v>16623</v>
      </c>
      <c r="B16624" s="27" t="s">
        <v>1980</v>
      </c>
      <c r="D16624" s="27" t="s">
        <v>1981</v>
      </c>
      <c r="F16624" s="27" t="s">
        <v>1982</v>
      </c>
      <c r="H16624" s="27" t="s">
        <v>1983</v>
      </c>
      <c r="J16624" s="27" t="s">
        <v>1985</v>
      </c>
      <c r="K16624" s="27" t="s">
        <v>20822</v>
      </c>
      <c r="L16624" s="27" t="s">
        <v>445</v>
      </c>
      <c r="M16624" s="27" t="s">
        <v>10834</v>
      </c>
      <c r="N16624" s="27" t="s">
        <v>10845</v>
      </c>
      <c r="P16624" s="27" t="s">
        <v>10846</v>
      </c>
      <c r="Q16624" s="26" t="str">
        <f>HYPERLINK("https://ictv.global/taxonomy/taxondetails?taxnode_id=202515055&amp;ictv_id=ICTV202215055","ICTV202215055")</f>
        <v>ICTV202215055</v>
      </c>
      <c r="R16624" t="s">
        <v>579</v>
      </c>
      <c r="S16624" t="s">
        <v>22763</v>
      </c>
      <c r="T16624">
        <v>41</v>
      </c>
      <c r="U16624" s="26" t="str">
        <f t="shared" si="631"/>
        <v>2025.011F.Imitervirales_newtaxa.zip</v>
      </c>
    </row>
    <row r="16625" spans="1:21">
      <c r="A16625">
        <v>16624</v>
      </c>
      <c r="B16625" s="27" t="s">
        <v>1980</v>
      </c>
      <c r="D16625" s="27" t="s">
        <v>1981</v>
      </c>
      <c r="F16625" s="27" t="s">
        <v>1982</v>
      </c>
      <c r="H16625" s="27" t="s">
        <v>1983</v>
      </c>
      <c r="J16625" s="27" t="s">
        <v>1985</v>
      </c>
      <c r="K16625" s="27" t="s">
        <v>20822</v>
      </c>
      <c r="L16625" s="27" t="s">
        <v>445</v>
      </c>
      <c r="M16625" s="27" t="s">
        <v>10834</v>
      </c>
      <c r="N16625" s="27" t="s">
        <v>10845</v>
      </c>
      <c r="P16625" s="27" t="s">
        <v>10847</v>
      </c>
      <c r="Q16625" s="26" t="str">
        <f>HYPERLINK("https://ictv.global/taxonomy/taxondetails?taxnode_id=202515056&amp;ictv_id=ICTV202215056","ICTV202215056")</f>
        <v>ICTV202215056</v>
      </c>
      <c r="R16625" t="s">
        <v>579</v>
      </c>
      <c r="S16625" t="s">
        <v>22763</v>
      </c>
      <c r="T16625">
        <v>41</v>
      </c>
      <c r="U16625" s="26" t="str">
        <f t="shared" si="631"/>
        <v>2025.011F.Imitervirales_newtaxa.zip</v>
      </c>
    </row>
    <row r="16626" spans="1:21">
      <c r="A16626">
        <v>16625</v>
      </c>
      <c r="B16626" s="27" t="s">
        <v>1980</v>
      </c>
      <c r="D16626" s="27" t="s">
        <v>1981</v>
      </c>
      <c r="F16626" s="27" t="s">
        <v>1982</v>
      </c>
      <c r="H16626" s="27" t="s">
        <v>1983</v>
      </c>
      <c r="J16626" s="27" t="s">
        <v>1985</v>
      </c>
      <c r="K16626" s="27" t="s">
        <v>20983</v>
      </c>
      <c r="L16626" s="27" t="s">
        <v>10814</v>
      </c>
      <c r="N16626" s="27" t="s">
        <v>21627</v>
      </c>
      <c r="P16626" s="27" t="s">
        <v>21628</v>
      </c>
      <c r="Q16626" s="26" t="str">
        <f>HYPERLINK("https://ictv.global/taxonomy/taxondetails?taxnode_id=202522491&amp;ictv_id=ICTV202522491","ICTV202522491")</f>
        <v>ICTV202522491</v>
      </c>
      <c r="R16626" t="s">
        <v>579</v>
      </c>
      <c r="S16626" t="s">
        <v>823</v>
      </c>
      <c r="T16626">
        <v>41</v>
      </c>
      <c r="U16626" s="26" t="str">
        <f t="shared" si="631"/>
        <v>2025.011F.Imitervirales_newtaxa.zip</v>
      </c>
    </row>
    <row r="16627" spans="1:21">
      <c r="A16627">
        <v>16626</v>
      </c>
      <c r="B16627" s="27" t="s">
        <v>1980</v>
      </c>
      <c r="D16627" s="27" t="s">
        <v>1981</v>
      </c>
      <c r="F16627" s="27" t="s">
        <v>1982</v>
      </c>
      <c r="H16627" s="27" t="s">
        <v>1983</v>
      </c>
      <c r="J16627" s="27" t="s">
        <v>1985</v>
      </c>
      <c r="K16627" s="27" t="s">
        <v>20983</v>
      </c>
      <c r="L16627" s="27" t="s">
        <v>10814</v>
      </c>
      <c r="N16627" s="27" t="s">
        <v>10815</v>
      </c>
      <c r="P16627" s="27" t="s">
        <v>10816</v>
      </c>
      <c r="Q16627" s="26" t="str">
        <f>HYPERLINK("https://ictv.global/taxonomy/taxondetails?taxnode_id=202515039&amp;ictv_id=ICTV202215039","ICTV202215039")</f>
        <v>ICTV202215039</v>
      </c>
      <c r="R16627" t="s">
        <v>579</v>
      </c>
      <c r="S16627" t="s">
        <v>22763</v>
      </c>
      <c r="T16627">
        <v>41</v>
      </c>
      <c r="U16627" s="26" t="str">
        <f t="shared" si="631"/>
        <v>2025.011F.Imitervirales_newtaxa.zip</v>
      </c>
    </row>
    <row r="16628" spans="1:21">
      <c r="A16628">
        <v>16627</v>
      </c>
      <c r="B16628" s="27" t="s">
        <v>1980</v>
      </c>
      <c r="D16628" s="27" t="s">
        <v>1981</v>
      </c>
      <c r="F16628" s="27" t="s">
        <v>1982</v>
      </c>
      <c r="H16628" s="27" t="s">
        <v>1983</v>
      </c>
      <c r="J16628" s="27" t="s">
        <v>1985</v>
      </c>
      <c r="K16628" s="27" t="s">
        <v>20983</v>
      </c>
      <c r="L16628" s="27" t="s">
        <v>10814</v>
      </c>
      <c r="N16628" s="27" t="s">
        <v>10817</v>
      </c>
      <c r="P16628" s="27" t="s">
        <v>10818</v>
      </c>
      <c r="Q16628" s="26" t="str">
        <f>HYPERLINK("https://ictv.global/taxonomy/taxondetails?taxnode_id=202515040&amp;ictv_id=ICTV202215040","ICTV202215040")</f>
        <v>ICTV202215040</v>
      </c>
      <c r="R16628" t="s">
        <v>579</v>
      </c>
      <c r="S16628" t="s">
        <v>22763</v>
      </c>
      <c r="T16628">
        <v>41</v>
      </c>
      <c r="U16628" s="26" t="str">
        <f t="shared" si="631"/>
        <v>2025.011F.Imitervirales_newtaxa.zip</v>
      </c>
    </row>
    <row r="16629" spans="1:21">
      <c r="A16629">
        <v>16628</v>
      </c>
      <c r="B16629" s="27" t="s">
        <v>1980</v>
      </c>
      <c r="D16629" s="27" t="s">
        <v>1981</v>
      </c>
      <c r="F16629" s="27" t="s">
        <v>1982</v>
      </c>
      <c r="H16629" s="27" t="s">
        <v>1983</v>
      </c>
      <c r="J16629" s="27" t="s">
        <v>1985</v>
      </c>
      <c r="K16629" s="27" t="s">
        <v>20983</v>
      </c>
      <c r="L16629" s="27" t="s">
        <v>10814</v>
      </c>
      <c r="N16629" s="27" t="s">
        <v>21629</v>
      </c>
      <c r="P16629" s="27" t="s">
        <v>21630</v>
      </c>
      <c r="Q16629" s="26" t="str">
        <f>HYPERLINK("https://ictv.global/taxonomy/taxondetails?taxnode_id=202522492&amp;ictv_id=ICTV202522492","ICTV202522492")</f>
        <v>ICTV202522492</v>
      </c>
      <c r="R16629" t="s">
        <v>579</v>
      </c>
      <c r="S16629" t="s">
        <v>823</v>
      </c>
      <c r="T16629">
        <v>41</v>
      </c>
      <c r="U16629" s="26" t="str">
        <f t="shared" si="631"/>
        <v>2025.011F.Imitervirales_newtaxa.zip</v>
      </c>
    </row>
    <row r="16630" spans="1:21">
      <c r="A16630">
        <v>16629</v>
      </c>
      <c r="B16630" s="27" t="s">
        <v>1980</v>
      </c>
      <c r="D16630" s="27" t="s">
        <v>1981</v>
      </c>
      <c r="F16630" s="27" t="s">
        <v>1982</v>
      </c>
      <c r="H16630" s="27" t="s">
        <v>1983</v>
      </c>
      <c r="J16630" s="27" t="s">
        <v>1985</v>
      </c>
      <c r="K16630" s="27" t="s">
        <v>20983</v>
      </c>
      <c r="L16630" s="27" t="s">
        <v>10819</v>
      </c>
      <c r="N16630" s="27" t="s">
        <v>21633</v>
      </c>
      <c r="P16630" s="27" t="s">
        <v>21634</v>
      </c>
      <c r="Q16630" s="26" t="str">
        <f>HYPERLINK("https://ictv.global/taxonomy/taxondetails?taxnode_id=202522495&amp;ictv_id=ICTV202522495","ICTV202522495")</f>
        <v>ICTV202522495</v>
      </c>
      <c r="R16630" t="s">
        <v>579</v>
      </c>
      <c r="S16630" t="s">
        <v>823</v>
      </c>
      <c r="T16630">
        <v>41</v>
      </c>
      <c r="U16630" s="26" t="str">
        <f t="shared" si="631"/>
        <v>2025.011F.Imitervirales_newtaxa.zip</v>
      </c>
    </row>
    <row r="16631" spans="1:21">
      <c r="A16631">
        <v>16630</v>
      </c>
      <c r="B16631" s="27" t="s">
        <v>1980</v>
      </c>
      <c r="D16631" s="27" t="s">
        <v>1981</v>
      </c>
      <c r="F16631" s="27" t="s">
        <v>1982</v>
      </c>
      <c r="H16631" s="27" t="s">
        <v>1983</v>
      </c>
      <c r="J16631" s="27" t="s">
        <v>1985</v>
      </c>
      <c r="K16631" s="27" t="s">
        <v>20983</v>
      </c>
      <c r="L16631" s="27" t="s">
        <v>10819</v>
      </c>
      <c r="N16631" s="27" t="s">
        <v>10820</v>
      </c>
      <c r="P16631" s="27" t="s">
        <v>21631</v>
      </c>
      <c r="Q16631" s="26" t="str">
        <f>HYPERLINK("https://ictv.global/taxonomy/taxondetails?taxnode_id=202522493&amp;ictv_id=ICTV202522493","ICTV202522493")</f>
        <v>ICTV202522493</v>
      </c>
      <c r="R16631" t="s">
        <v>579</v>
      </c>
      <c r="S16631" t="s">
        <v>823</v>
      </c>
      <c r="T16631">
        <v>41</v>
      </c>
      <c r="U16631" s="26" t="str">
        <f t="shared" si="631"/>
        <v>2025.011F.Imitervirales_newtaxa.zip</v>
      </c>
    </row>
    <row r="16632" spans="1:21">
      <c r="A16632">
        <v>16631</v>
      </c>
      <c r="B16632" s="27" t="s">
        <v>1980</v>
      </c>
      <c r="D16632" s="27" t="s">
        <v>1981</v>
      </c>
      <c r="F16632" s="27" t="s">
        <v>1982</v>
      </c>
      <c r="H16632" s="27" t="s">
        <v>1983</v>
      </c>
      <c r="J16632" s="27" t="s">
        <v>1985</v>
      </c>
      <c r="K16632" s="27" t="s">
        <v>20983</v>
      </c>
      <c r="L16632" s="27" t="s">
        <v>10819</v>
      </c>
      <c r="N16632" s="27" t="s">
        <v>10820</v>
      </c>
      <c r="P16632" s="27" t="s">
        <v>10821</v>
      </c>
      <c r="Q16632" s="26" t="str">
        <f>HYPERLINK("https://ictv.global/taxonomy/taxondetails?taxnode_id=202515041&amp;ictv_id=ICTV202215041","ICTV202215041")</f>
        <v>ICTV202215041</v>
      </c>
      <c r="R16632" t="s">
        <v>579</v>
      </c>
      <c r="S16632" t="s">
        <v>22763</v>
      </c>
      <c r="T16632">
        <v>41</v>
      </c>
      <c r="U16632" s="26" t="str">
        <f t="shared" si="631"/>
        <v>2025.011F.Imitervirales_newtaxa.zip</v>
      </c>
    </row>
    <row r="16633" spans="1:21">
      <c r="A16633">
        <v>16632</v>
      </c>
      <c r="B16633" s="27" t="s">
        <v>1980</v>
      </c>
      <c r="D16633" s="27" t="s">
        <v>1981</v>
      </c>
      <c r="F16633" s="27" t="s">
        <v>1982</v>
      </c>
      <c r="H16633" s="27" t="s">
        <v>1983</v>
      </c>
      <c r="J16633" s="27" t="s">
        <v>1985</v>
      </c>
      <c r="K16633" s="27" t="s">
        <v>20983</v>
      </c>
      <c r="L16633" s="27" t="s">
        <v>10819</v>
      </c>
      <c r="N16633" s="27" t="s">
        <v>10820</v>
      </c>
      <c r="P16633" s="27" t="s">
        <v>21632</v>
      </c>
      <c r="Q16633" s="26" t="str">
        <f>HYPERLINK("https://ictv.global/taxonomy/taxondetails?taxnode_id=202522494&amp;ictv_id=ICTV202522494","ICTV202522494")</f>
        <v>ICTV202522494</v>
      </c>
      <c r="R16633" t="s">
        <v>579</v>
      </c>
      <c r="S16633" t="s">
        <v>823</v>
      </c>
      <c r="T16633">
        <v>41</v>
      </c>
      <c r="U16633" s="26" t="str">
        <f t="shared" si="631"/>
        <v>2025.011F.Imitervirales_newtaxa.zip</v>
      </c>
    </row>
    <row r="16634" spans="1:21">
      <c r="A16634">
        <v>16633</v>
      </c>
      <c r="B16634" s="27" t="s">
        <v>1980</v>
      </c>
      <c r="D16634" s="27" t="s">
        <v>1981</v>
      </c>
      <c r="F16634" s="27" t="s">
        <v>1982</v>
      </c>
      <c r="H16634" s="27" t="s">
        <v>1983</v>
      </c>
      <c r="J16634" s="27" t="s">
        <v>1985</v>
      </c>
      <c r="K16634" s="27" t="s">
        <v>20983</v>
      </c>
      <c r="L16634" s="27" t="s">
        <v>10819</v>
      </c>
      <c r="N16634" s="27" t="s">
        <v>10820</v>
      </c>
      <c r="P16634" s="27" t="s">
        <v>10822</v>
      </c>
      <c r="Q16634" s="26" t="str">
        <f>HYPERLINK("https://ictv.global/taxonomy/taxondetails?taxnode_id=202515042&amp;ictv_id=ICTV202215042","ICTV202215042")</f>
        <v>ICTV202215042</v>
      </c>
      <c r="R16634" t="s">
        <v>579</v>
      </c>
      <c r="S16634" t="s">
        <v>22763</v>
      </c>
      <c r="T16634">
        <v>41</v>
      </c>
      <c r="U16634" s="26" t="str">
        <f t="shared" si="631"/>
        <v>2025.011F.Imitervirales_newtaxa.zip</v>
      </c>
    </row>
    <row r="16635" spans="1:21">
      <c r="A16635">
        <v>16634</v>
      </c>
      <c r="B16635" s="27" t="s">
        <v>1980</v>
      </c>
      <c r="D16635" s="27" t="s">
        <v>1981</v>
      </c>
      <c r="F16635" s="27" t="s">
        <v>1982</v>
      </c>
      <c r="H16635" s="27" t="s">
        <v>1983</v>
      </c>
      <c r="J16635" s="27" t="s">
        <v>1985</v>
      </c>
      <c r="K16635" s="27" t="s">
        <v>20983</v>
      </c>
      <c r="L16635" s="27" t="s">
        <v>10819</v>
      </c>
      <c r="N16635" s="27" t="s">
        <v>10820</v>
      </c>
      <c r="P16635" s="27" t="s">
        <v>10823</v>
      </c>
      <c r="Q16635" s="26" t="str">
        <f>HYPERLINK("https://ictv.global/taxonomy/taxondetails?taxnode_id=202515043&amp;ictv_id=ICTV202215043","ICTV202215043")</f>
        <v>ICTV202215043</v>
      </c>
      <c r="R16635" t="s">
        <v>579</v>
      </c>
      <c r="S16635" t="s">
        <v>22763</v>
      </c>
      <c r="T16635">
        <v>41</v>
      </c>
      <c r="U16635" s="26" t="str">
        <f t="shared" si="631"/>
        <v>2025.011F.Imitervirales_newtaxa.zip</v>
      </c>
    </row>
    <row r="16636" spans="1:21">
      <c r="A16636">
        <v>16635</v>
      </c>
      <c r="B16636" s="27" t="s">
        <v>1980</v>
      </c>
      <c r="D16636" s="27" t="s">
        <v>1981</v>
      </c>
      <c r="F16636" s="27" t="s">
        <v>1982</v>
      </c>
      <c r="H16636" s="27" t="s">
        <v>1983</v>
      </c>
      <c r="J16636" s="27" t="s">
        <v>1985</v>
      </c>
      <c r="K16636" s="27" t="s">
        <v>20983</v>
      </c>
      <c r="L16636" s="27" t="s">
        <v>10850</v>
      </c>
      <c r="N16636" s="27" t="s">
        <v>10851</v>
      </c>
      <c r="P16636" s="27" t="s">
        <v>10852</v>
      </c>
      <c r="Q16636" s="26" t="str">
        <f>HYPERLINK("https://ictv.global/taxonomy/taxondetails?taxnode_id=202515057&amp;ictv_id=ICTV202215057","ICTV202215057")</f>
        <v>ICTV202215057</v>
      </c>
      <c r="R16636" t="s">
        <v>579</v>
      </c>
      <c r="S16636" t="s">
        <v>22763</v>
      </c>
      <c r="T16636">
        <v>41</v>
      </c>
      <c r="U16636" s="26" t="str">
        <f t="shared" si="631"/>
        <v>2025.011F.Imitervirales_newtaxa.zip</v>
      </c>
    </row>
    <row r="16637" spans="1:21">
      <c r="A16637">
        <v>16636</v>
      </c>
      <c r="B16637" s="27" t="s">
        <v>1980</v>
      </c>
      <c r="D16637" s="27" t="s">
        <v>1981</v>
      </c>
      <c r="F16637" s="27" t="s">
        <v>1982</v>
      </c>
      <c r="H16637" s="27" t="s">
        <v>1983</v>
      </c>
      <c r="J16637" s="27" t="s">
        <v>1985</v>
      </c>
      <c r="K16637" s="27" t="s">
        <v>20983</v>
      </c>
      <c r="L16637" s="27" t="s">
        <v>10850</v>
      </c>
      <c r="N16637" s="27" t="s">
        <v>10853</v>
      </c>
      <c r="P16637" s="27" t="s">
        <v>10854</v>
      </c>
      <c r="Q16637" s="26" t="str">
        <f>HYPERLINK("https://ictv.global/taxonomy/taxondetails?taxnode_id=202515058&amp;ictv_id=ICTV202215058","ICTV202215058")</f>
        <v>ICTV202215058</v>
      </c>
      <c r="R16637" t="s">
        <v>579</v>
      </c>
      <c r="S16637" t="s">
        <v>22763</v>
      </c>
      <c r="T16637">
        <v>41</v>
      </c>
      <c r="U16637" s="26" t="str">
        <f t="shared" si="631"/>
        <v>2025.011F.Imitervirales_newtaxa.zip</v>
      </c>
    </row>
    <row r="16638" spans="1:21">
      <c r="A16638">
        <v>16637</v>
      </c>
      <c r="B16638" s="27" t="s">
        <v>1980</v>
      </c>
      <c r="D16638" s="27" t="s">
        <v>1981</v>
      </c>
      <c r="F16638" s="27" t="s">
        <v>1982</v>
      </c>
      <c r="H16638" s="27" t="s">
        <v>1983</v>
      </c>
      <c r="J16638" s="27" t="s">
        <v>1986</v>
      </c>
      <c r="K16638" s="27" t="s">
        <v>20653</v>
      </c>
      <c r="L16638" s="27" t="s">
        <v>20654</v>
      </c>
      <c r="N16638" s="27" t="s">
        <v>20655</v>
      </c>
      <c r="P16638" s="27" t="s">
        <v>20656</v>
      </c>
      <c r="Q16638" s="26" t="str">
        <f>HYPERLINK("https://ictv.global/taxonomy/taxondetails?taxnode_id=202520217&amp;ictv_id=ICTV202420217","ICTV202420217")</f>
        <v>ICTV202420217</v>
      </c>
      <c r="R16638" t="s">
        <v>579</v>
      </c>
      <c r="S16638" t="s">
        <v>823</v>
      </c>
      <c r="T16638">
        <v>40</v>
      </c>
      <c r="U16638" s="26" t="str">
        <f t="shared" ref="U16638:U16644" si="632">HYPERLINK("https://ictv.global/ictv/proposals/2024.005F.Pimascovirales_reorg.zip","2024.005F.Pimascovirales_reorg.zip")</f>
        <v>2024.005F.Pimascovirales_reorg.zip</v>
      </c>
    </row>
    <row r="16639" spans="1:21">
      <c r="A16639">
        <v>16638</v>
      </c>
      <c r="B16639" s="27" t="s">
        <v>1980</v>
      </c>
      <c r="D16639" s="27" t="s">
        <v>1981</v>
      </c>
      <c r="F16639" s="27" t="s">
        <v>1982</v>
      </c>
      <c r="H16639" s="27" t="s">
        <v>1983</v>
      </c>
      <c r="J16639" s="27" t="s">
        <v>1986</v>
      </c>
      <c r="K16639" s="27" t="s">
        <v>20653</v>
      </c>
      <c r="L16639" s="27" t="s">
        <v>18002</v>
      </c>
      <c r="N16639" s="27" t="s">
        <v>18003</v>
      </c>
      <c r="P16639" s="27" t="s">
        <v>18004</v>
      </c>
      <c r="Q16639" s="26" t="str">
        <f>HYPERLINK("https://ictv.global/taxonomy/taxondetails?taxnode_id=202518023&amp;ictv_id=ICTV202318023","ICTV202318023")</f>
        <v>ICTV202318023</v>
      </c>
      <c r="R16639" t="s">
        <v>579</v>
      </c>
      <c r="S16639" t="s">
        <v>22763</v>
      </c>
      <c r="T16639">
        <v>40</v>
      </c>
      <c r="U16639" s="26" t="str">
        <f t="shared" si="632"/>
        <v>2024.005F.Pimascovirales_reorg.zip</v>
      </c>
    </row>
    <row r="16640" spans="1:21">
      <c r="A16640">
        <v>16639</v>
      </c>
      <c r="B16640" s="27" t="s">
        <v>1980</v>
      </c>
      <c r="D16640" s="27" t="s">
        <v>1981</v>
      </c>
      <c r="F16640" s="27" t="s">
        <v>1982</v>
      </c>
      <c r="H16640" s="27" t="s">
        <v>1983</v>
      </c>
      <c r="J16640" s="27" t="s">
        <v>1986</v>
      </c>
      <c r="K16640" s="27" t="s">
        <v>20653</v>
      </c>
      <c r="L16640" s="27" t="s">
        <v>18005</v>
      </c>
      <c r="M16640" s="27" t="s">
        <v>20657</v>
      </c>
      <c r="N16640" s="27" t="s">
        <v>17973</v>
      </c>
      <c r="P16640" s="27" t="s">
        <v>20658</v>
      </c>
      <c r="Q16640" s="26" t="str">
        <f>HYPERLINK("https://ictv.global/taxonomy/taxondetails?taxnode_id=202518019&amp;ictv_id=ICTV202318019","ICTV202318019")</f>
        <v>ICTV202318019</v>
      </c>
      <c r="R16640" t="s">
        <v>579</v>
      </c>
      <c r="S16640" t="s">
        <v>824</v>
      </c>
      <c r="T16640">
        <v>40</v>
      </c>
      <c r="U16640" s="26" t="str">
        <f t="shared" si="632"/>
        <v>2024.005F.Pimascovirales_reorg.zip</v>
      </c>
    </row>
    <row r="16641" spans="1:21">
      <c r="A16641">
        <v>16640</v>
      </c>
      <c r="B16641" s="27" t="s">
        <v>1980</v>
      </c>
      <c r="D16641" s="27" t="s">
        <v>1981</v>
      </c>
      <c r="F16641" s="27" t="s">
        <v>1982</v>
      </c>
      <c r="H16641" s="27" t="s">
        <v>1983</v>
      </c>
      <c r="J16641" s="27" t="s">
        <v>1986</v>
      </c>
      <c r="K16641" s="27" t="s">
        <v>20653</v>
      </c>
      <c r="L16641" s="27" t="s">
        <v>18005</v>
      </c>
      <c r="M16641" s="27" t="s">
        <v>20657</v>
      </c>
      <c r="N16641" s="27" t="s">
        <v>17973</v>
      </c>
      <c r="P16641" s="27" t="s">
        <v>17974</v>
      </c>
      <c r="Q16641" s="26" t="str">
        <f>HYPERLINK("https://ictv.global/taxonomy/taxondetails?taxnode_id=202518020&amp;ictv_id=ICTV202318020","ICTV202318020")</f>
        <v>ICTV202318020</v>
      </c>
      <c r="R16641" t="s">
        <v>579</v>
      </c>
      <c r="S16641" t="s">
        <v>22772</v>
      </c>
      <c r="T16641">
        <v>40</v>
      </c>
      <c r="U16641" s="26" t="str">
        <f t="shared" si="632"/>
        <v>2024.005F.Pimascovirales_reorg.zip</v>
      </c>
    </row>
    <row r="16642" spans="1:21">
      <c r="A16642">
        <v>16641</v>
      </c>
      <c r="B16642" s="27" t="s">
        <v>1980</v>
      </c>
      <c r="D16642" s="27" t="s">
        <v>1981</v>
      </c>
      <c r="F16642" s="27" t="s">
        <v>1982</v>
      </c>
      <c r="H16642" s="27" t="s">
        <v>1983</v>
      </c>
      <c r="J16642" s="27" t="s">
        <v>1986</v>
      </c>
      <c r="K16642" s="27" t="s">
        <v>20653</v>
      </c>
      <c r="L16642" s="27" t="s">
        <v>18005</v>
      </c>
      <c r="M16642" s="27" t="s">
        <v>20657</v>
      </c>
      <c r="N16642" s="27" t="s">
        <v>17973</v>
      </c>
      <c r="P16642" s="27" t="s">
        <v>20659</v>
      </c>
      <c r="Q16642" s="26" t="str">
        <f>HYPERLINK("https://ictv.global/taxonomy/taxondetails?taxnode_id=202518021&amp;ictv_id=ICTV202318021","ICTV202318021")</f>
        <v>ICTV202318021</v>
      </c>
      <c r="R16642" t="s">
        <v>579</v>
      </c>
      <c r="S16642" t="s">
        <v>824</v>
      </c>
      <c r="T16642">
        <v>40</v>
      </c>
      <c r="U16642" s="26" t="str">
        <f t="shared" si="632"/>
        <v>2024.005F.Pimascovirales_reorg.zip</v>
      </c>
    </row>
    <row r="16643" spans="1:21">
      <c r="A16643">
        <v>16642</v>
      </c>
      <c r="B16643" s="27" t="s">
        <v>1980</v>
      </c>
      <c r="D16643" s="27" t="s">
        <v>1981</v>
      </c>
      <c r="F16643" s="27" t="s">
        <v>1982</v>
      </c>
      <c r="H16643" s="27" t="s">
        <v>1983</v>
      </c>
      <c r="J16643" s="27" t="s">
        <v>1986</v>
      </c>
      <c r="K16643" s="27" t="s">
        <v>20653</v>
      </c>
      <c r="L16643" s="27" t="s">
        <v>18005</v>
      </c>
      <c r="M16643" s="27" t="s">
        <v>20657</v>
      </c>
      <c r="N16643" s="27" t="s">
        <v>17973</v>
      </c>
      <c r="P16643" s="27" t="s">
        <v>17975</v>
      </c>
      <c r="Q16643" s="26" t="str">
        <f>HYPERLINK("https://ictv.global/taxonomy/taxondetails?taxnode_id=202518022&amp;ictv_id=ICTV202318022","ICTV202318022")</f>
        <v>ICTV202318022</v>
      </c>
      <c r="R16643" t="s">
        <v>579</v>
      </c>
      <c r="S16643" t="s">
        <v>22772</v>
      </c>
      <c r="T16643">
        <v>40</v>
      </c>
      <c r="U16643" s="26" t="str">
        <f t="shared" si="632"/>
        <v>2024.005F.Pimascovirales_reorg.zip</v>
      </c>
    </row>
    <row r="16644" spans="1:21">
      <c r="A16644">
        <v>16643</v>
      </c>
      <c r="B16644" s="27" t="s">
        <v>1980</v>
      </c>
      <c r="D16644" s="27" t="s">
        <v>1981</v>
      </c>
      <c r="F16644" s="27" t="s">
        <v>1982</v>
      </c>
      <c r="H16644" s="27" t="s">
        <v>1983</v>
      </c>
      <c r="J16644" s="27" t="s">
        <v>1986</v>
      </c>
      <c r="K16644" s="27" t="s">
        <v>20653</v>
      </c>
      <c r="L16644" s="27" t="s">
        <v>18005</v>
      </c>
      <c r="M16644" s="27" t="s">
        <v>20660</v>
      </c>
      <c r="N16644" s="27" t="s">
        <v>18006</v>
      </c>
      <c r="P16644" s="27" t="s">
        <v>18007</v>
      </c>
      <c r="Q16644" s="26" t="str">
        <f>HYPERLINK("https://ictv.global/taxonomy/taxondetails?taxnode_id=202518024&amp;ictv_id=ICTV202318024","ICTV202318024")</f>
        <v>ICTV202318024</v>
      </c>
      <c r="R16644" t="s">
        <v>579</v>
      </c>
      <c r="S16644" t="s">
        <v>22763</v>
      </c>
      <c r="T16644">
        <v>40</v>
      </c>
      <c r="U16644" s="26" t="str">
        <f t="shared" si="632"/>
        <v>2024.005F.Pimascovirales_reorg.zip</v>
      </c>
    </row>
    <row r="16645" spans="1:21">
      <c r="A16645">
        <v>16644</v>
      </c>
      <c r="B16645" s="27" t="s">
        <v>1980</v>
      </c>
      <c r="D16645" s="27" t="s">
        <v>1981</v>
      </c>
      <c r="F16645" s="27" t="s">
        <v>1982</v>
      </c>
      <c r="H16645" s="27" t="s">
        <v>1983</v>
      </c>
      <c r="J16645" s="27" t="s">
        <v>1986</v>
      </c>
      <c r="K16645" s="27" t="s">
        <v>20653</v>
      </c>
      <c r="L16645" s="27" t="s">
        <v>18005</v>
      </c>
      <c r="M16645" s="27" t="s">
        <v>20660</v>
      </c>
      <c r="N16645" s="27" t="s">
        <v>18006</v>
      </c>
      <c r="P16645" s="27" t="s">
        <v>20990</v>
      </c>
      <c r="Q16645" s="26" t="str">
        <f>HYPERLINK("https://ictv.global/taxonomy/taxondetails?taxnode_id=202518025&amp;ictv_id=ICTV202318025","ICTV202318025")</f>
        <v>ICTV202318025</v>
      </c>
      <c r="R16645" t="s">
        <v>579</v>
      </c>
      <c r="S16645" t="s">
        <v>824</v>
      </c>
      <c r="T16645">
        <v>41</v>
      </c>
      <c r="U16645" s="26" t="str">
        <f>HYPERLINK("https://ictv.global/ictv/proposals/2025.003F.Alphapithovirus_spren.zip","2025.003F.Alphapithovirus_spren.zip")</f>
        <v>2025.003F.Alphapithovirus_spren.zip</v>
      </c>
    </row>
    <row r="16646" spans="1:21">
      <c r="A16646">
        <v>16645</v>
      </c>
      <c r="B16646" s="27" t="s">
        <v>1980</v>
      </c>
      <c r="D16646" s="27" t="s">
        <v>1981</v>
      </c>
      <c r="F16646" s="27" t="s">
        <v>1982</v>
      </c>
      <c r="H16646" s="27" t="s">
        <v>1983</v>
      </c>
      <c r="J16646" s="27" t="s">
        <v>1986</v>
      </c>
      <c r="L16646" s="27" t="s">
        <v>399</v>
      </c>
      <c r="N16646" s="27" t="s">
        <v>400</v>
      </c>
      <c r="P16646" s="27" t="s">
        <v>10855</v>
      </c>
      <c r="Q16646" s="26" t="str">
        <f>HYPERLINK("https://ictv.global/taxonomy/taxondetails?taxnode_id=202502610&amp;ictv_id=ICTV19990547","ICTV19990547")</f>
        <v>ICTV19990547</v>
      </c>
      <c r="R16646" t="s">
        <v>579</v>
      </c>
      <c r="S16646" t="s">
        <v>824</v>
      </c>
      <c r="T16646">
        <v>38</v>
      </c>
      <c r="U16646" s="26" t="str">
        <f>HYPERLINK("https://ictv.global/ictv/proposals/2022.007D.Ascoviridae_4rensp.zip","2022.007D.Ascoviridae_4rensp.zip")</f>
        <v>2022.007D.Ascoviridae_4rensp.zip</v>
      </c>
    </row>
    <row r="16647" spans="1:21">
      <c r="A16647">
        <v>16646</v>
      </c>
      <c r="B16647" s="27" t="s">
        <v>1980</v>
      </c>
      <c r="D16647" s="27" t="s">
        <v>1981</v>
      </c>
      <c r="F16647" s="27" t="s">
        <v>1982</v>
      </c>
      <c r="H16647" s="27" t="s">
        <v>1983</v>
      </c>
      <c r="J16647" s="27" t="s">
        <v>1986</v>
      </c>
      <c r="L16647" s="27" t="s">
        <v>399</v>
      </c>
      <c r="N16647" s="27" t="s">
        <v>400</v>
      </c>
      <c r="P16647" s="27" t="s">
        <v>10856</v>
      </c>
      <c r="Q16647" s="26" t="str">
        <f>HYPERLINK("https://ictv.global/taxonomy/taxondetails?taxnode_id=202502611&amp;ictv_id=ICTV19980886","ICTV19980886")</f>
        <v>ICTV19980886</v>
      </c>
      <c r="R16647" t="s">
        <v>579</v>
      </c>
      <c r="S16647" t="s">
        <v>824</v>
      </c>
      <c r="T16647">
        <v>38</v>
      </c>
      <c r="U16647" s="26" t="str">
        <f>HYPERLINK("https://ictv.global/ictv/proposals/2022.007D.Ascoviridae_4rensp.zip","2022.007D.Ascoviridae_4rensp.zip")</f>
        <v>2022.007D.Ascoviridae_4rensp.zip</v>
      </c>
    </row>
    <row r="16648" spans="1:21">
      <c r="A16648">
        <v>16647</v>
      </c>
      <c r="B16648" s="27" t="s">
        <v>1980</v>
      </c>
      <c r="D16648" s="27" t="s">
        <v>1981</v>
      </c>
      <c r="F16648" s="27" t="s">
        <v>1982</v>
      </c>
      <c r="H16648" s="27" t="s">
        <v>1983</v>
      </c>
      <c r="J16648" s="27" t="s">
        <v>1986</v>
      </c>
      <c r="L16648" s="27" t="s">
        <v>399</v>
      </c>
      <c r="N16648" s="27" t="s">
        <v>400</v>
      </c>
      <c r="P16648" s="27" t="s">
        <v>10857</v>
      </c>
      <c r="Q16648" s="26" t="str">
        <f>HYPERLINK("https://ictv.global/taxonomy/taxondetails?taxnode_id=202502612&amp;ictv_id=ICTV19980887","ICTV19980887")</f>
        <v>ICTV19980887</v>
      </c>
      <c r="R16648" t="s">
        <v>579</v>
      </c>
      <c r="S16648" t="s">
        <v>824</v>
      </c>
      <c r="T16648">
        <v>38</v>
      </c>
      <c r="U16648" s="26" t="str">
        <f>HYPERLINK("https://ictv.global/ictv/proposals/2022.007D.Ascoviridae_4rensp.zip","2022.007D.Ascoviridae_4rensp.zip")</f>
        <v>2022.007D.Ascoviridae_4rensp.zip</v>
      </c>
    </row>
    <row r="16649" spans="1:21">
      <c r="A16649">
        <v>16648</v>
      </c>
      <c r="B16649" s="27" t="s">
        <v>1980</v>
      </c>
      <c r="D16649" s="27" t="s">
        <v>1981</v>
      </c>
      <c r="F16649" s="27" t="s">
        <v>1982</v>
      </c>
      <c r="H16649" s="27" t="s">
        <v>1983</v>
      </c>
      <c r="J16649" s="27" t="s">
        <v>1986</v>
      </c>
      <c r="L16649" s="27" t="s">
        <v>399</v>
      </c>
      <c r="N16649" s="27" t="s">
        <v>658</v>
      </c>
      <c r="P16649" s="27" t="s">
        <v>10858</v>
      </c>
      <c r="Q16649" s="26" t="str">
        <f>HYPERLINK("https://ictv.global/taxonomy/taxondetails?taxnode_id=202502614&amp;ictv_id=ICTV19980885","ICTV19980885")</f>
        <v>ICTV19980885</v>
      </c>
      <c r="R16649" t="s">
        <v>579</v>
      </c>
      <c r="S16649" t="s">
        <v>824</v>
      </c>
      <c r="T16649">
        <v>38</v>
      </c>
      <c r="U16649" s="26" t="str">
        <f>HYPERLINK("https://ictv.global/ictv/proposals/2022.007D.Ascoviridae_4rensp.zip","2022.007D.Ascoviridae_4rensp.zip")</f>
        <v>2022.007D.Ascoviridae_4rensp.zip</v>
      </c>
    </row>
    <row r="16650" spans="1:21">
      <c r="A16650">
        <v>16649</v>
      </c>
      <c r="B16650" s="27" t="s">
        <v>1980</v>
      </c>
      <c r="D16650" s="27" t="s">
        <v>1981</v>
      </c>
      <c r="F16650" s="27" t="s">
        <v>1982</v>
      </c>
      <c r="H16650" s="27" t="s">
        <v>1983</v>
      </c>
      <c r="J16650" s="27" t="s">
        <v>1986</v>
      </c>
      <c r="L16650" s="27" t="s">
        <v>343</v>
      </c>
      <c r="M16650" s="27" t="s">
        <v>749</v>
      </c>
      <c r="N16650" s="27" t="s">
        <v>244</v>
      </c>
      <c r="P16650" s="27" t="s">
        <v>17976</v>
      </c>
      <c r="Q16650" s="26" t="str">
        <f>HYPERLINK("https://ictv.global/taxonomy/taxondetails?taxnode_id=202508875&amp;ictv_id=ICTV202008875","ICTV202008875")</f>
        <v>ICTV202008875</v>
      </c>
      <c r="R16650" t="s">
        <v>579</v>
      </c>
      <c r="S16650" t="s">
        <v>824</v>
      </c>
      <c r="T16650">
        <v>39</v>
      </c>
      <c r="U16650" s="26" t="str">
        <f>HYPERLINK("https://ictv.global/ictv/proposals/2023.012D.Iridoviridae_22renam.zip","2023.012D.Iridoviridae_22renam.zip")</f>
        <v>2023.012D.Iridoviridae_22renam.zip</v>
      </c>
    </row>
    <row r="16651" spans="1:21">
      <c r="A16651">
        <v>16650</v>
      </c>
      <c r="B16651" s="27" t="s">
        <v>1980</v>
      </c>
      <c r="D16651" s="27" t="s">
        <v>1981</v>
      </c>
      <c r="F16651" s="27" t="s">
        <v>1982</v>
      </c>
      <c r="H16651" s="27" t="s">
        <v>1983</v>
      </c>
      <c r="J16651" s="27" t="s">
        <v>1986</v>
      </c>
      <c r="L16651" s="27" t="s">
        <v>343</v>
      </c>
      <c r="M16651" s="27" t="s">
        <v>749</v>
      </c>
      <c r="N16651" s="27" t="s">
        <v>244</v>
      </c>
      <c r="P16651" s="27" t="s">
        <v>17977</v>
      </c>
      <c r="Q16651" s="26" t="str">
        <f>HYPERLINK("https://ictv.global/taxonomy/taxondetails?taxnode_id=202506332&amp;ictv_id=ICTV201856332","ICTV201856332")</f>
        <v>ICTV201856332</v>
      </c>
      <c r="R16651" t="s">
        <v>579</v>
      </c>
      <c r="S16651" t="s">
        <v>824</v>
      </c>
      <c r="T16651">
        <v>39</v>
      </c>
      <c r="U16651" s="26" t="str">
        <f>HYPERLINK("https://ictv.global/ictv/proposals/2023.012D.Iridoviridae_22renam.zip","2023.012D.Iridoviridae_22renam.zip")</f>
        <v>2023.012D.Iridoviridae_22renam.zip</v>
      </c>
    </row>
    <row r="16652" spans="1:21">
      <c r="A16652">
        <v>16651</v>
      </c>
      <c r="B16652" s="27" t="s">
        <v>1980</v>
      </c>
      <c r="D16652" s="27" t="s">
        <v>1981</v>
      </c>
      <c r="F16652" s="27" t="s">
        <v>1982</v>
      </c>
      <c r="H16652" s="27" t="s">
        <v>1983</v>
      </c>
      <c r="J16652" s="27" t="s">
        <v>1986</v>
      </c>
      <c r="L16652" s="27" t="s">
        <v>343</v>
      </c>
      <c r="M16652" s="27" t="s">
        <v>749</v>
      </c>
      <c r="N16652" s="27" t="s">
        <v>244</v>
      </c>
      <c r="P16652" s="27" t="s">
        <v>17978</v>
      </c>
      <c r="Q16652" s="26" t="str">
        <f>HYPERLINK("https://ictv.global/taxonomy/taxondetails?taxnode_id=202503728&amp;ictv_id=ICTV19991065","ICTV19991065")</f>
        <v>ICTV19991065</v>
      </c>
      <c r="R16652" t="s">
        <v>579</v>
      </c>
      <c r="S16652" t="s">
        <v>824</v>
      </c>
      <c r="T16652">
        <v>39</v>
      </c>
      <c r="U16652" s="26" t="str">
        <f>HYPERLINK("https://ictv.global/ictv/proposals/2023.012D.Iridoviridae_22renam.zip","2023.012D.Iridoviridae_22renam.zip")</f>
        <v>2023.012D.Iridoviridae_22renam.zip</v>
      </c>
    </row>
    <row r="16653" spans="1:21">
      <c r="A16653">
        <v>16652</v>
      </c>
      <c r="B16653" s="27" t="s">
        <v>1980</v>
      </c>
      <c r="D16653" s="27" t="s">
        <v>1981</v>
      </c>
      <c r="F16653" s="27" t="s">
        <v>1982</v>
      </c>
      <c r="H16653" s="27" t="s">
        <v>1983</v>
      </c>
      <c r="J16653" s="27" t="s">
        <v>1986</v>
      </c>
      <c r="L16653" s="27" t="s">
        <v>343</v>
      </c>
      <c r="M16653" s="27" t="s">
        <v>749</v>
      </c>
      <c r="N16653" s="27" t="s">
        <v>244</v>
      </c>
      <c r="P16653" s="27" t="s">
        <v>17979</v>
      </c>
      <c r="Q16653" s="26" t="str">
        <f>HYPERLINK("https://ictv.global/taxonomy/taxondetails?taxnode_id=202506333&amp;ictv_id=ICTV201856333","ICTV201856333")</f>
        <v>ICTV201856333</v>
      </c>
      <c r="R16653" t="s">
        <v>579</v>
      </c>
      <c r="S16653" t="s">
        <v>824</v>
      </c>
      <c r="T16653">
        <v>39</v>
      </c>
      <c r="U16653" s="26" t="str">
        <f>HYPERLINK("https://ictv.global/ictv/proposals/2023.012D.Iridoviridae_22renam.zip","2023.012D.Iridoviridae_22renam.zip")</f>
        <v>2023.012D.Iridoviridae_22renam.zip</v>
      </c>
    </row>
    <row r="16654" spans="1:21">
      <c r="A16654">
        <v>16653</v>
      </c>
      <c r="B16654" s="27" t="s">
        <v>1980</v>
      </c>
      <c r="D16654" s="27" t="s">
        <v>1981</v>
      </c>
      <c r="F16654" s="27" t="s">
        <v>1982</v>
      </c>
      <c r="H16654" s="27" t="s">
        <v>1983</v>
      </c>
      <c r="J16654" s="27" t="s">
        <v>1986</v>
      </c>
      <c r="L16654" s="27" t="s">
        <v>343</v>
      </c>
      <c r="M16654" s="27" t="s">
        <v>749</v>
      </c>
      <c r="N16654" s="27" t="s">
        <v>245</v>
      </c>
      <c r="P16654" s="27" t="s">
        <v>17980</v>
      </c>
      <c r="Q16654" s="26" t="str">
        <f>HYPERLINK("https://ictv.global/taxonomy/taxondetails?taxnode_id=202506331&amp;ictv_id=ICTV201856331","ICTV201856331")</f>
        <v>ICTV201856331</v>
      </c>
      <c r="R16654" t="s">
        <v>579</v>
      </c>
      <c r="S16654" t="s">
        <v>824</v>
      </c>
      <c r="T16654">
        <v>39</v>
      </c>
      <c r="U16654" s="26" t="str">
        <f>HYPERLINK("https://ictv.global/ictv/proposals/2023.012D.Iridoviridae_22renam.zip","2023.012D.Iridoviridae_22renam.zip")</f>
        <v>2023.012D.Iridoviridae_22renam.zip</v>
      </c>
    </row>
    <row r="16655" spans="1:21">
      <c r="A16655">
        <v>16654</v>
      </c>
      <c r="B16655" s="27" t="s">
        <v>1980</v>
      </c>
      <c r="D16655" s="27" t="s">
        <v>1981</v>
      </c>
      <c r="F16655" s="27" t="s">
        <v>1982</v>
      </c>
      <c r="H16655" s="27" t="s">
        <v>1983</v>
      </c>
      <c r="J16655" s="27" t="s">
        <v>1986</v>
      </c>
      <c r="L16655" s="27" t="s">
        <v>343</v>
      </c>
      <c r="M16655" s="27" t="s">
        <v>749</v>
      </c>
      <c r="N16655" s="27" t="s">
        <v>245</v>
      </c>
      <c r="P16655" s="27" t="s">
        <v>18532</v>
      </c>
      <c r="Q16655" s="26" t="str">
        <f>HYPERLINK("https://ictv.global/taxonomy/taxondetails?taxnode_id=202503730&amp;ictv_id=ICTV20041352","ICTV20041352")</f>
        <v>ICTV20041352</v>
      </c>
      <c r="R16655" t="s">
        <v>579</v>
      </c>
      <c r="S16655" t="s">
        <v>824</v>
      </c>
      <c r="T16655">
        <v>39</v>
      </c>
      <c r="U16655" s="26" t="str">
        <f>HYPERLINK("https://ictv.global/ictv/proposals/2023.012DX.Iridoviridae_22renam_Error_Correction.zip","2023.012DX.Iridoviridae_22renam_Error_Correction.zip")</f>
        <v>2023.012DX.Iridoviridae_22renam_Error_Correction.zip</v>
      </c>
    </row>
    <row r="16656" spans="1:21">
      <c r="A16656">
        <v>16655</v>
      </c>
      <c r="B16656" s="27" t="s">
        <v>1980</v>
      </c>
      <c r="D16656" s="27" t="s">
        <v>1981</v>
      </c>
      <c r="F16656" s="27" t="s">
        <v>1982</v>
      </c>
      <c r="H16656" s="27" t="s">
        <v>1983</v>
      </c>
      <c r="J16656" s="27" t="s">
        <v>1986</v>
      </c>
      <c r="L16656" s="27" t="s">
        <v>343</v>
      </c>
      <c r="M16656" s="27" t="s">
        <v>749</v>
      </c>
      <c r="N16656" s="27" t="s">
        <v>246</v>
      </c>
      <c r="P16656" s="27" t="s">
        <v>17981</v>
      </c>
      <c r="Q16656" s="26" t="str">
        <f>HYPERLINK("https://ictv.global/taxonomy/taxondetails?taxnode_id=202505861&amp;ictv_id=ICTV20175861","ICTV20175861")</f>
        <v>ICTV20175861</v>
      </c>
      <c r="R16656" t="s">
        <v>579</v>
      </c>
      <c r="S16656" t="s">
        <v>824</v>
      </c>
      <c r="T16656">
        <v>39</v>
      </c>
      <c r="U16656" s="26" t="str">
        <f t="shared" ref="U16656:U16662" si="633">HYPERLINK("https://ictv.global/ictv/proposals/2023.012D.Iridoviridae_22renam.zip","2023.012D.Iridoviridae_22renam.zip")</f>
        <v>2023.012D.Iridoviridae_22renam.zip</v>
      </c>
    </row>
    <row r="16657" spans="1:21">
      <c r="A16657">
        <v>16656</v>
      </c>
      <c r="B16657" s="27" t="s">
        <v>1980</v>
      </c>
      <c r="D16657" s="27" t="s">
        <v>1981</v>
      </c>
      <c r="F16657" s="27" t="s">
        <v>1982</v>
      </c>
      <c r="H16657" s="27" t="s">
        <v>1983</v>
      </c>
      <c r="J16657" s="27" t="s">
        <v>1986</v>
      </c>
      <c r="L16657" s="27" t="s">
        <v>343</v>
      </c>
      <c r="M16657" s="27" t="s">
        <v>749</v>
      </c>
      <c r="N16657" s="27" t="s">
        <v>246</v>
      </c>
      <c r="P16657" s="27" t="s">
        <v>17982</v>
      </c>
      <c r="Q16657" s="26" t="str">
        <f>HYPERLINK("https://ictv.global/taxonomy/taxondetails?taxnode_id=202503732&amp;ictv_id=ICTV20041353","ICTV20041353")</f>
        <v>ICTV20041353</v>
      </c>
      <c r="R16657" t="s">
        <v>579</v>
      </c>
      <c r="S16657" t="s">
        <v>824</v>
      </c>
      <c r="T16657">
        <v>39</v>
      </c>
      <c r="U16657" s="26" t="str">
        <f t="shared" si="633"/>
        <v>2023.012D.Iridoviridae_22renam.zip</v>
      </c>
    </row>
    <row r="16658" spans="1:21">
      <c r="A16658">
        <v>16657</v>
      </c>
      <c r="B16658" s="27" t="s">
        <v>1980</v>
      </c>
      <c r="D16658" s="27" t="s">
        <v>1981</v>
      </c>
      <c r="F16658" s="27" t="s">
        <v>1982</v>
      </c>
      <c r="H16658" s="27" t="s">
        <v>1983</v>
      </c>
      <c r="J16658" s="27" t="s">
        <v>1986</v>
      </c>
      <c r="L16658" s="27" t="s">
        <v>343</v>
      </c>
      <c r="M16658" s="27" t="s">
        <v>749</v>
      </c>
      <c r="N16658" s="27" t="s">
        <v>246</v>
      </c>
      <c r="P16658" s="27" t="s">
        <v>17983</v>
      </c>
      <c r="Q16658" s="26" t="str">
        <f>HYPERLINK("https://ictv.global/taxonomy/taxondetails?taxnode_id=202503738&amp;ictv_id=ICTV20165404","ICTV20165404")</f>
        <v>ICTV20165404</v>
      </c>
      <c r="R16658" t="s">
        <v>579</v>
      </c>
      <c r="S16658" t="s">
        <v>824</v>
      </c>
      <c r="T16658">
        <v>39</v>
      </c>
      <c r="U16658" s="26" t="str">
        <f t="shared" si="633"/>
        <v>2023.012D.Iridoviridae_22renam.zip</v>
      </c>
    </row>
    <row r="16659" spans="1:21">
      <c r="A16659">
        <v>16658</v>
      </c>
      <c r="B16659" s="27" t="s">
        <v>1980</v>
      </c>
      <c r="D16659" s="27" t="s">
        <v>1981</v>
      </c>
      <c r="F16659" s="27" t="s">
        <v>1982</v>
      </c>
      <c r="H16659" s="27" t="s">
        <v>1983</v>
      </c>
      <c r="J16659" s="27" t="s">
        <v>1986</v>
      </c>
      <c r="L16659" s="27" t="s">
        <v>343</v>
      </c>
      <c r="M16659" s="27" t="s">
        <v>749</v>
      </c>
      <c r="N16659" s="27" t="s">
        <v>246</v>
      </c>
      <c r="P16659" s="27" t="s">
        <v>17984</v>
      </c>
      <c r="Q16659" s="26" t="str">
        <f>HYPERLINK("https://ictv.global/taxonomy/taxondetails?taxnode_id=202509549&amp;ictv_id=ICTV202009549","ICTV202009549")</f>
        <v>ICTV202009549</v>
      </c>
      <c r="R16659" t="s">
        <v>579</v>
      </c>
      <c r="S16659" t="s">
        <v>824</v>
      </c>
      <c r="T16659">
        <v>39</v>
      </c>
      <c r="U16659" s="26" t="str">
        <f t="shared" si="633"/>
        <v>2023.012D.Iridoviridae_22renam.zip</v>
      </c>
    </row>
    <row r="16660" spans="1:21">
      <c r="A16660">
        <v>16659</v>
      </c>
      <c r="B16660" s="27" t="s">
        <v>1980</v>
      </c>
      <c r="D16660" s="27" t="s">
        <v>1981</v>
      </c>
      <c r="F16660" s="27" t="s">
        <v>1982</v>
      </c>
      <c r="H16660" s="27" t="s">
        <v>1983</v>
      </c>
      <c r="J16660" s="27" t="s">
        <v>1986</v>
      </c>
      <c r="L16660" s="27" t="s">
        <v>343</v>
      </c>
      <c r="M16660" s="27" t="s">
        <v>749</v>
      </c>
      <c r="N16660" s="27" t="s">
        <v>246</v>
      </c>
      <c r="P16660" s="27" t="s">
        <v>17985</v>
      </c>
      <c r="Q16660" s="26" t="str">
        <f>HYPERLINK("https://ictv.global/taxonomy/taxondetails?taxnode_id=202503737&amp;ictv_id=ICTV20041358","ICTV20041358")</f>
        <v>ICTV20041358</v>
      </c>
      <c r="R16660" t="s">
        <v>579</v>
      </c>
      <c r="S16660" t="s">
        <v>824</v>
      </c>
      <c r="T16660">
        <v>39</v>
      </c>
      <c r="U16660" s="26" t="str">
        <f t="shared" si="633"/>
        <v>2023.012D.Iridoviridae_22renam.zip</v>
      </c>
    </row>
    <row r="16661" spans="1:21">
      <c r="A16661">
        <v>16660</v>
      </c>
      <c r="B16661" s="27" t="s">
        <v>1980</v>
      </c>
      <c r="D16661" s="27" t="s">
        <v>1981</v>
      </c>
      <c r="F16661" s="27" t="s">
        <v>1982</v>
      </c>
      <c r="H16661" s="27" t="s">
        <v>1983</v>
      </c>
      <c r="J16661" s="27" t="s">
        <v>1986</v>
      </c>
      <c r="L16661" s="27" t="s">
        <v>343</v>
      </c>
      <c r="M16661" s="27" t="s">
        <v>749</v>
      </c>
      <c r="N16661" s="27" t="s">
        <v>246</v>
      </c>
      <c r="P16661" s="27" t="s">
        <v>17986</v>
      </c>
      <c r="Q16661" s="26" t="str">
        <f>HYPERLINK("https://ictv.global/taxonomy/taxondetails?taxnode_id=202503734&amp;ictv_id=ICTV20041355","ICTV20041355")</f>
        <v>ICTV20041355</v>
      </c>
      <c r="R16661" t="s">
        <v>579</v>
      </c>
      <c r="S16661" t="s">
        <v>824</v>
      </c>
      <c r="T16661">
        <v>39</v>
      </c>
      <c r="U16661" s="26" t="str">
        <f t="shared" si="633"/>
        <v>2023.012D.Iridoviridae_22renam.zip</v>
      </c>
    </row>
    <row r="16662" spans="1:21">
      <c r="A16662">
        <v>16661</v>
      </c>
      <c r="B16662" s="27" t="s">
        <v>1980</v>
      </c>
      <c r="D16662" s="27" t="s">
        <v>1981</v>
      </c>
      <c r="F16662" s="27" t="s">
        <v>1982</v>
      </c>
      <c r="H16662" s="27" t="s">
        <v>1983</v>
      </c>
      <c r="J16662" s="27" t="s">
        <v>1986</v>
      </c>
      <c r="L16662" s="27" t="s">
        <v>343</v>
      </c>
      <c r="M16662" s="27" t="s">
        <v>749</v>
      </c>
      <c r="N16662" s="27" t="s">
        <v>246</v>
      </c>
      <c r="P16662" s="27" t="s">
        <v>17987</v>
      </c>
      <c r="Q16662" s="26" t="str">
        <f>HYPERLINK("https://ictv.global/taxonomy/taxondetails?taxnode_id=202503736&amp;ictv_id=ICTV19810474","ICTV19810474")</f>
        <v>ICTV19810474</v>
      </c>
      <c r="R16662" t="s">
        <v>579</v>
      </c>
      <c r="S16662" t="s">
        <v>824</v>
      </c>
      <c r="T16662">
        <v>39</v>
      </c>
      <c r="U16662" s="26" t="str">
        <f t="shared" si="633"/>
        <v>2023.012D.Iridoviridae_22renam.zip</v>
      </c>
    </row>
    <row r="16663" spans="1:21">
      <c r="A16663">
        <v>16662</v>
      </c>
      <c r="B16663" s="27" t="s">
        <v>1980</v>
      </c>
      <c r="D16663" s="27" t="s">
        <v>1981</v>
      </c>
      <c r="F16663" s="27" t="s">
        <v>1982</v>
      </c>
      <c r="H16663" s="27" t="s">
        <v>1983</v>
      </c>
      <c r="J16663" s="27" t="s">
        <v>1986</v>
      </c>
      <c r="L16663" s="27" t="s">
        <v>343</v>
      </c>
      <c r="M16663" s="27" t="s">
        <v>750</v>
      </c>
      <c r="N16663" s="27" t="s">
        <v>21217</v>
      </c>
      <c r="P16663" s="27" t="s">
        <v>21218</v>
      </c>
      <c r="Q16663" s="26" t="str">
        <f>HYPERLINK("https://ictv.global/taxonomy/taxondetails?taxnode_id=202522124&amp;ictv_id=ICTV202522124","ICTV202522124")</f>
        <v>ICTV202522124</v>
      </c>
      <c r="R16663" t="s">
        <v>579</v>
      </c>
      <c r="S16663" t="s">
        <v>823</v>
      </c>
      <c r="T16663">
        <v>41</v>
      </c>
      <c r="U16663" s="26" t="str">
        <f>HYPERLINK("https://ictv.global/ictv/proposals/2025.003D.Iridoviridae_1ng_1ns.zip","2025.003D.Iridoviridae_1ng_1ns.zip")</f>
        <v>2025.003D.Iridoviridae_1ng_1ns.zip</v>
      </c>
    </row>
    <row r="16664" spans="1:21">
      <c r="A16664">
        <v>16663</v>
      </c>
      <c r="B16664" s="27" t="s">
        <v>1980</v>
      </c>
      <c r="D16664" s="27" t="s">
        <v>1981</v>
      </c>
      <c r="F16664" s="27" t="s">
        <v>1982</v>
      </c>
      <c r="H16664" s="27" t="s">
        <v>1983</v>
      </c>
      <c r="J16664" s="27" t="s">
        <v>1986</v>
      </c>
      <c r="L16664" s="27" t="s">
        <v>343</v>
      </c>
      <c r="M16664" s="27" t="s">
        <v>750</v>
      </c>
      <c r="N16664" s="27" t="s">
        <v>344</v>
      </c>
      <c r="P16664" s="27" t="s">
        <v>17988</v>
      </c>
      <c r="Q16664" s="26" t="str">
        <f>HYPERLINK("https://ictv.global/taxonomy/taxondetails?taxnode_id=202503741&amp;ictv_id=ICTV19760245","ICTV19760245")</f>
        <v>ICTV19760245</v>
      </c>
      <c r="R16664" t="s">
        <v>579</v>
      </c>
      <c r="S16664" t="s">
        <v>824</v>
      </c>
      <c r="T16664">
        <v>39</v>
      </c>
      <c r="U16664" s="26" t="str">
        <f t="shared" ref="U16664:U16672" si="634">HYPERLINK("https://ictv.global/ictv/proposals/2023.012D.Iridoviridae_22renam.zip","2023.012D.Iridoviridae_22renam.zip")</f>
        <v>2023.012D.Iridoviridae_22renam.zip</v>
      </c>
    </row>
    <row r="16665" spans="1:21">
      <c r="A16665">
        <v>16664</v>
      </c>
      <c r="B16665" s="27" t="s">
        <v>1980</v>
      </c>
      <c r="D16665" s="27" t="s">
        <v>1981</v>
      </c>
      <c r="F16665" s="27" t="s">
        <v>1982</v>
      </c>
      <c r="H16665" s="27" t="s">
        <v>1983</v>
      </c>
      <c r="J16665" s="27" t="s">
        <v>1986</v>
      </c>
      <c r="L16665" s="27" t="s">
        <v>343</v>
      </c>
      <c r="M16665" s="27" t="s">
        <v>750</v>
      </c>
      <c r="N16665" s="27" t="s">
        <v>344</v>
      </c>
      <c r="P16665" s="27" t="s">
        <v>17989</v>
      </c>
      <c r="Q16665" s="26" t="str">
        <f>HYPERLINK("https://ictv.global/taxonomy/taxondetails?taxnode_id=202506338&amp;ictv_id=ICTV201856338","ICTV201856338")</f>
        <v>ICTV201856338</v>
      </c>
      <c r="R16665" t="s">
        <v>579</v>
      </c>
      <c r="S16665" t="s">
        <v>824</v>
      </c>
      <c r="T16665">
        <v>39</v>
      </c>
      <c r="U16665" s="26" t="str">
        <f t="shared" si="634"/>
        <v>2023.012D.Iridoviridae_22renam.zip</v>
      </c>
    </row>
    <row r="16666" spans="1:21">
      <c r="A16666">
        <v>16665</v>
      </c>
      <c r="B16666" s="27" t="s">
        <v>1980</v>
      </c>
      <c r="D16666" s="27" t="s">
        <v>1981</v>
      </c>
      <c r="F16666" s="27" t="s">
        <v>1982</v>
      </c>
      <c r="H16666" s="27" t="s">
        <v>1983</v>
      </c>
      <c r="J16666" s="27" t="s">
        <v>1986</v>
      </c>
      <c r="L16666" s="27" t="s">
        <v>343</v>
      </c>
      <c r="M16666" s="27" t="s">
        <v>750</v>
      </c>
      <c r="N16666" s="27" t="s">
        <v>344</v>
      </c>
      <c r="P16666" s="27" t="s">
        <v>17990</v>
      </c>
      <c r="Q16666" s="26" t="str">
        <f>HYPERLINK("https://ictv.global/taxonomy/taxondetails?taxnode_id=202506335&amp;ictv_id=ICTV201856335","ICTV201856335")</f>
        <v>ICTV201856335</v>
      </c>
      <c r="R16666" t="s">
        <v>579</v>
      </c>
      <c r="S16666" t="s">
        <v>824</v>
      </c>
      <c r="T16666">
        <v>39</v>
      </c>
      <c r="U16666" s="26" t="str">
        <f t="shared" si="634"/>
        <v>2023.012D.Iridoviridae_22renam.zip</v>
      </c>
    </row>
    <row r="16667" spans="1:21">
      <c r="A16667">
        <v>16666</v>
      </c>
      <c r="B16667" s="27" t="s">
        <v>1980</v>
      </c>
      <c r="D16667" s="27" t="s">
        <v>1981</v>
      </c>
      <c r="F16667" s="27" t="s">
        <v>1982</v>
      </c>
      <c r="H16667" s="27" t="s">
        <v>1983</v>
      </c>
      <c r="J16667" s="27" t="s">
        <v>1986</v>
      </c>
      <c r="L16667" s="27" t="s">
        <v>343</v>
      </c>
      <c r="M16667" s="27" t="s">
        <v>750</v>
      </c>
      <c r="N16667" s="27" t="s">
        <v>344</v>
      </c>
      <c r="P16667" s="27" t="s">
        <v>17991</v>
      </c>
      <c r="Q16667" s="26" t="str">
        <f>HYPERLINK("https://ictv.global/taxonomy/taxondetails?taxnode_id=202506337&amp;ictv_id=ICTV201856337","ICTV201856337")</f>
        <v>ICTV201856337</v>
      </c>
      <c r="R16667" t="s">
        <v>579</v>
      </c>
      <c r="S16667" t="s">
        <v>824</v>
      </c>
      <c r="T16667">
        <v>39</v>
      </c>
      <c r="U16667" s="26" t="str">
        <f t="shared" si="634"/>
        <v>2023.012D.Iridoviridae_22renam.zip</v>
      </c>
    </row>
    <row r="16668" spans="1:21">
      <c r="A16668">
        <v>16667</v>
      </c>
      <c r="B16668" s="27" t="s">
        <v>1980</v>
      </c>
      <c r="D16668" s="27" t="s">
        <v>1981</v>
      </c>
      <c r="F16668" s="27" t="s">
        <v>1982</v>
      </c>
      <c r="H16668" s="27" t="s">
        <v>1983</v>
      </c>
      <c r="J16668" s="27" t="s">
        <v>1986</v>
      </c>
      <c r="L16668" s="27" t="s">
        <v>343</v>
      </c>
      <c r="M16668" s="27" t="s">
        <v>750</v>
      </c>
      <c r="N16668" s="27" t="s">
        <v>344</v>
      </c>
      <c r="P16668" s="27" t="s">
        <v>17992</v>
      </c>
      <c r="Q16668" s="26" t="str">
        <f>HYPERLINK("https://ictv.global/taxonomy/taxondetails?taxnode_id=202506336&amp;ictv_id=ICTV201856336","ICTV201856336")</f>
        <v>ICTV201856336</v>
      </c>
      <c r="R16668" t="s">
        <v>579</v>
      </c>
      <c r="S16668" t="s">
        <v>824</v>
      </c>
      <c r="T16668">
        <v>39</v>
      </c>
      <c r="U16668" s="26" t="str">
        <f t="shared" si="634"/>
        <v>2023.012D.Iridoviridae_22renam.zip</v>
      </c>
    </row>
    <row r="16669" spans="1:21">
      <c r="A16669">
        <v>16668</v>
      </c>
      <c r="B16669" s="27" t="s">
        <v>1980</v>
      </c>
      <c r="D16669" s="27" t="s">
        <v>1981</v>
      </c>
      <c r="F16669" s="27" t="s">
        <v>1982</v>
      </c>
      <c r="H16669" s="27" t="s">
        <v>1983</v>
      </c>
      <c r="J16669" s="27" t="s">
        <v>1986</v>
      </c>
      <c r="L16669" s="27" t="s">
        <v>343</v>
      </c>
      <c r="M16669" s="27" t="s">
        <v>750</v>
      </c>
      <c r="N16669" s="27" t="s">
        <v>3628</v>
      </c>
      <c r="P16669" s="27" t="s">
        <v>17993</v>
      </c>
      <c r="Q16669" s="26" t="str">
        <f>HYPERLINK("https://ictv.global/taxonomy/taxondetails?taxnode_id=202509576&amp;ictv_id=ICTV202009576","ICTV202009576")</f>
        <v>ICTV202009576</v>
      </c>
      <c r="R16669" t="s">
        <v>579</v>
      </c>
      <c r="S16669" t="s">
        <v>824</v>
      </c>
      <c r="T16669">
        <v>39</v>
      </c>
      <c r="U16669" s="26" t="str">
        <f t="shared" si="634"/>
        <v>2023.012D.Iridoviridae_22renam.zip</v>
      </c>
    </row>
    <row r="16670" spans="1:21">
      <c r="A16670">
        <v>16669</v>
      </c>
      <c r="B16670" s="27" t="s">
        <v>1980</v>
      </c>
      <c r="D16670" s="27" t="s">
        <v>1981</v>
      </c>
      <c r="F16670" s="27" t="s">
        <v>1982</v>
      </c>
      <c r="H16670" s="27" t="s">
        <v>1983</v>
      </c>
      <c r="J16670" s="27" t="s">
        <v>1986</v>
      </c>
      <c r="L16670" s="27" t="s">
        <v>343</v>
      </c>
      <c r="M16670" s="27" t="s">
        <v>750</v>
      </c>
      <c r="N16670" s="27" t="s">
        <v>1441</v>
      </c>
      <c r="P16670" s="27" t="s">
        <v>17994</v>
      </c>
      <c r="Q16670" s="26" t="str">
        <f>HYPERLINK("https://ictv.global/taxonomy/taxondetails?taxnode_id=202506295&amp;ictv_id=ICTV201856295","ICTV201856295")</f>
        <v>ICTV201856295</v>
      </c>
      <c r="R16670" t="s">
        <v>579</v>
      </c>
      <c r="S16670" t="s">
        <v>824</v>
      </c>
      <c r="T16670">
        <v>39</v>
      </c>
      <c r="U16670" s="26" t="str">
        <f t="shared" si="634"/>
        <v>2023.012D.Iridoviridae_22renam.zip</v>
      </c>
    </row>
    <row r="16671" spans="1:21">
      <c r="A16671">
        <v>16670</v>
      </c>
      <c r="B16671" s="27" t="s">
        <v>1980</v>
      </c>
      <c r="D16671" s="27" t="s">
        <v>1981</v>
      </c>
      <c r="F16671" s="27" t="s">
        <v>1982</v>
      </c>
      <c r="H16671" s="27" t="s">
        <v>1983</v>
      </c>
      <c r="J16671" s="27" t="s">
        <v>1986</v>
      </c>
      <c r="L16671" s="27" t="s">
        <v>343</v>
      </c>
      <c r="M16671" s="27" t="s">
        <v>750</v>
      </c>
      <c r="N16671" s="27" t="s">
        <v>247</v>
      </c>
      <c r="P16671" s="27" t="s">
        <v>17995</v>
      </c>
      <c r="Q16671" s="26" t="str">
        <f>HYPERLINK("https://ictv.global/taxonomy/taxondetails?taxnode_id=202506334&amp;ictv_id=ICTV201856334","ICTV201856334")</f>
        <v>ICTV201856334</v>
      </c>
      <c r="R16671" t="s">
        <v>579</v>
      </c>
      <c r="S16671" t="s">
        <v>824</v>
      </c>
      <c r="T16671">
        <v>39</v>
      </c>
      <c r="U16671" s="26" t="str">
        <f t="shared" si="634"/>
        <v>2023.012D.Iridoviridae_22renam.zip</v>
      </c>
    </row>
    <row r="16672" spans="1:21">
      <c r="A16672">
        <v>16671</v>
      </c>
      <c r="B16672" s="27" t="s">
        <v>1980</v>
      </c>
      <c r="D16672" s="27" t="s">
        <v>1981</v>
      </c>
      <c r="F16672" s="27" t="s">
        <v>1982</v>
      </c>
      <c r="H16672" s="27" t="s">
        <v>1983</v>
      </c>
      <c r="J16672" s="27" t="s">
        <v>1986</v>
      </c>
      <c r="L16672" s="27" t="s">
        <v>343</v>
      </c>
      <c r="M16672" s="27" t="s">
        <v>750</v>
      </c>
      <c r="N16672" s="27" t="s">
        <v>247</v>
      </c>
      <c r="P16672" s="27" t="s">
        <v>17996</v>
      </c>
      <c r="Q16672" s="26" t="str">
        <f>HYPERLINK("https://ictv.global/taxonomy/taxondetails?taxnode_id=202503744&amp;ictv_id=ICTV19840548","ICTV19840548")</f>
        <v>ICTV19840548</v>
      </c>
      <c r="R16672" t="s">
        <v>579</v>
      </c>
      <c r="S16672" t="s">
        <v>824</v>
      </c>
      <c r="T16672">
        <v>39</v>
      </c>
      <c r="U16672" s="26" t="str">
        <f t="shared" si="634"/>
        <v>2023.012D.Iridoviridae_22renam.zip</v>
      </c>
    </row>
    <row r="16673" spans="1:21">
      <c r="A16673">
        <v>16672</v>
      </c>
      <c r="B16673" s="27" t="s">
        <v>1980</v>
      </c>
      <c r="D16673" s="27" t="s">
        <v>1981</v>
      </c>
      <c r="F16673" s="27" t="s">
        <v>1982</v>
      </c>
      <c r="H16673" s="27" t="s">
        <v>1983</v>
      </c>
      <c r="J16673" s="27" t="s">
        <v>1986</v>
      </c>
      <c r="L16673" s="27" t="s">
        <v>512</v>
      </c>
      <c r="N16673" s="27" t="s">
        <v>17997</v>
      </c>
      <c r="P16673" s="27" t="s">
        <v>17998</v>
      </c>
      <c r="Q16673" s="26" t="str">
        <f>HYPERLINK("https://ictv.global/taxonomy/taxondetails?taxnode_id=202503805&amp;ictv_id=ICTV20133587","ICTV20133587")</f>
        <v>ICTV20133587</v>
      </c>
      <c r="R16673" t="s">
        <v>579</v>
      </c>
      <c r="S16673" t="s">
        <v>22764</v>
      </c>
      <c r="T16673">
        <v>39</v>
      </c>
      <c r="U16673" s="26" t="str">
        <f>HYPERLINK("https://ictv.global/ictv/proposals/2023.004F.Marseilleviridae_1newgen_spren.zip","2023.004F.Marseilleviridae_1newgen_spren.zip")</f>
        <v>2023.004F.Marseilleviridae_1newgen_spren.zip</v>
      </c>
    </row>
    <row r="16674" spans="1:21">
      <c r="A16674">
        <v>16673</v>
      </c>
      <c r="B16674" s="27" t="s">
        <v>1980</v>
      </c>
      <c r="D16674" s="27" t="s">
        <v>1981</v>
      </c>
      <c r="F16674" s="27" t="s">
        <v>1982</v>
      </c>
      <c r="H16674" s="27" t="s">
        <v>1983</v>
      </c>
      <c r="J16674" s="27" t="s">
        <v>1986</v>
      </c>
      <c r="L16674" s="27" t="s">
        <v>512</v>
      </c>
      <c r="N16674" s="27" t="s">
        <v>17997</v>
      </c>
      <c r="P16674" s="27" t="s">
        <v>17999</v>
      </c>
      <c r="Q16674" s="26" t="str">
        <f>HYPERLINK("https://ictv.global/taxonomy/taxondetails?taxnode_id=202503806&amp;ictv_id=ICTV20133588","ICTV20133588")</f>
        <v>ICTV20133588</v>
      </c>
      <c r="R16674" t="s">
        <v>579</v>
      </c>
      <c r="S16674" t="s">
        <v>22764</v>
      </c>
      <c r="T16674">
        <v>39</v>
      </c>
      <c r="U16674" s="26" t="str">
        <f>HYPERLINK("https://ictv.global/ictv/proposals/2023.004F.Marseilleviridae_1newgen_spren.zip","2023.004F.Marseilleviridae_1newgen_spren.zip")</f>
        <v>2023.004F.Marseilleviridae_1newgen_spren.zip</v>
      </c>
    </row>
    <row r="16675" spans="1:21">
      <c r="A16675">
        <v>16674</v>
      </c>
      <c r="B16675" s="27" t="s">
        <v>1980</v>
      </c>
      <c r="D16675" s="27" t="s">
        <v>1981</v>
      </c>
      <c r="F16675" s="27" t="s">
        <v>1982</v>
      </c>
      <c r="H16675" s="27" t="s">
        <v>1983</v>
      </c>
      <c r="J16675" s="27" t="s">
        <v>1986</v>
      </c>
      <c r="L16675" s="27" t="s">
        <v>512</v>
      </c>
      <c r="N16675" s="27" t="s">
        <v>513</v>
      </c>
      <c r="P16675" s="27" t="s">
        <v>18000</v>
      </c>
      <c r="Q16675" s="26" t="str">
        <f>HYPERLINK("https://ictv.global/taxonomy/taxondetails?taxnode_id=202503802&amp;ictv_id=ICTV20133584","ICTV20133584")</f>
        <v>ICTV20133584</v>
      </c>
      <c r="R16675" t="s">
        <v>579</v>
      </c>
      <c r="S16675" t="s">
        <v>824</v>
      </c>
      <c r="T16675">
        <v>39</v>
      </c>
      <c r="U16675" s="26" t="str">
        <f>HYPERLINK("https://ictv.global/ictv/proposals/2023.004F.Marseilleviridae_1newgen_spren.zip","2023.004F.Marseilleviridae_1newgen_spren.zip")</f>
        <v>2023.004F.Marseilleviridae_1newgen_spren.zip</v>
      </c>
    </row>
    <row r="16676" spans="1:21">
      <c r="A16676">
        <v>16675</v>
      </c>
      <c r="B16676" s="27" t="s">
        <v>1980</v>
      </c>
      <c r="D16676" s="27" t="s">
        <v>1981</v>
      </c>
      <c r="F16676" s="27" t="s">
        <v>1982</v>
      </c>
      <c r="H16676" s="27" t="s">
        <v>1983</v>
      </c>
      <c r="J16676" s="27" t="s">
        <v>1986</v>
      </c>
      <c r="L16676" s="27" t="s">
        <v>512</v>
      </c>
      <c r="N16676" s="27" t="s">
        <v>513</v>
      </c>
      <c r="P16676" s="27" t="s">
        <v>18001</v>
      </c>
      <c r="Q16676" s="26" t="str">
        <f>HYPERLINK("https://ictv.global/taxonomy/taxondetails?taxnode_id=202503803&amp;ictv_id=ICTV20133585","ICTV20133585")</f>
        <v>ICTV20133585</v>
      </c>
      <c r="R16676" t="s">
        <v>579</v>
      </c>
      <c r="S16676" t="s">
        <v>824</v>
      </c>
      <c r="T16676">
        <v>39</v>
      </c>
      <c r="U16676" s="26" t="str">
        <f>HYPERLINK("https://ictv.global/ictv/proposals/2023.004F.Marseilleviridae_1newgen_spren.zip","2023.004F.Marseilleviridae_1newgen_spren.zip")</f>
        <v>2023.004F.Marseilleviridae_1newgen_spren.zip</v>
      </c>
    </row>
    <row r="16677" spans="1:21">
      <c r="A16677">
        <v>16676</v>
      </c>
      <c r="B16677" s="27" t="s">
        <v>1980</v>
      </c>
      <c r="D16677" s="27" t="s">
        <v>1981</v>
      </c>
      <c r="F16677" s="27" t="s">
        <v>1982</v>
      </c>
      <c r="H16677" s="27" t="s">
        <v>1983</v>
      </c>
      <c r="L16677" s="27" t="s">
        <v>10859</v>
      </c>
      <c r="N16677" s="27" t="s">
        <v>10860</v>
      </c>
      <c r="P16677" s="27" t="s">
        <v>10861</v>
      </c>
      <c r="Q16677" s="26" t="str">
        <f>HYPERLINK("https://ictv.global/taxonomy/taxondetails?taxnode_id=202515061&amp;ictv_id=ICTV202215061","ICTV202215061")</f>
        <v>ICTV202215061</v>
      </c>
      <c r="R16677" t="s">
        <v>579</v>
      </c>
      <c r="S16677" t="s">
        <v>823</v>
      </c>
      <c r="T16677">
        <v>38</v>
      </c>
      <c r="U16677" s="26" t="str">
        <f>HYPERLINK("https://ictv.global/ictv/proposals/2022.005F.Mamonoviridae_newfam.zip","2022.005F.Mamonoviridae_newfam.zip")</f>
        <v>2022.005F.Mamonoviridae_newfam.zip</v>
      </c>
    </row>
    <row r="16678" spans="1:21">
      <c r="A16678">
        <v>16677</v>
      </c>
      <c r="B16678" s="27" t="s">
        <v>1980</v>
      </c>
      <c r="D16678" s="27" t="s">
        <v>1981</v>
      </c>
      <c r="F16678" s="27" t="s">
        <v>1982</v>
      </c>
      <c r="H16678" s="27" t="s">
        <v>1983</v>
      </c>
      <c r="L16678" s="27" t="s">
        <v>10859</v>
      </c>
      <c r="N16678" s="27" t="s">
        <v>10860</v>
      </c>
      <c r="P16678" s="27" t="s">
        <v>10862</v>
      </c>
      <c r="Q16678" s="26" t="str">
        <f>HYPERLINK("https://ictv.global/taxonomy/taxondetails?taxnode_id=202515062&amp;ictv_id=ICTV202215062","ICTV202215062")</f>
        <v>ICTV202215062</v>
      </c>
      <c r="R16678" t="s">
        <v>579</v>
      </c>
      <c r="S16678" t="s">
        <v>823</v>
      </c>
      <c r="T16678">
        <v>38</v>
      </c>
      <c r="U16678" s="26" t="str">
        <f>HYPERLINK("https://ictv.global/ictv/proposals/2022.005F.Mamonoviridae_newfam.zip","2022.005F.Mamonoviridae_newfam.zip")</f>
        <v>2022.005F.Mamonoviridae_newfam.zip</v>
      </c>
    </row>
    <row r="16679" spans="1:21">
      <c r="A16679">
        <v>16678</v>
      </c>
      <c r="B16679" s="27" t="s">
        <v>1980</v>
      </c>
      <c r="D16679" s="27" t="s">
        <v>1981</v>
      </c>
      <c r="F16679" s="27" t="s">
        <v>1982</v>
      </c>
      <c r="H16679" s="27" t="s">
        <v>20661</v>
      </c>
      <c r="L16679" s="27" t="s">
        <v>10891</v>
      </c>
      <c r="N16679" s="27" t="s">
        <v>10892</v>
      </c>
      <c r="P16679" s="27" t="s">
        <v>10893</v>
      </c>
      <c r="Q16679" s="26" t="str">
        <f>HYPERLINK("https://ictv.global/taxonomy/taxondetails?taxnode_id=202512530&amp;ictv_id=ICTV202112530","ICTV202112530")</f>
        <v>ICTV202112530</v>
      </c>
      <c r="R16679" t="s">
        <v>579</v>
      </c>
      <c r="S16679" t="s">
        <v>22763</v>
      </c>
      <c r="T16679">
        <v>40</v>
      </c>
      <c r="U16679" s="26" t="str">
        <f>HYPERLINK("https://ictv.global/ictv/proposals/2024.010D.Varidnaviria_reorg.zip","2024.010D.Varidnaviria_reorg.zip")</f>
        <v>2024.010D.Varidnaviria_reorg.zip</v>
      </c>
    </row>
    <row r="16680" spans="1:21">
      <c r="A16680">
        <v>16679</v>
      </c>
      <c r="B16680" s="27" t="s">
        <v>1980</v>
      </c>
      <c r="D16680" s="27" t="s">
        <v>1981</v>
      </c>
      <c r="F16680" s="27" t="s">
        <v>1982</v>
      </c>
      <c r="H16680" s="27" t="s">
        <v>1987</v>
      </c>
      <c r="J16680" s="27" t="s">
        <v>1988</v>
      </c>
      <c r="L16680" s="27" t="s">
        <v>173</v>
      </c>
      <c r="N16680" s="27" t="s">
        <v>174</v>
      </c>
      <c r="P16680" s="27" t="s">
        <v>20662</v>
      </c>
      <c r="Q16680" s="26" t="str">
        <f>HYPERLINK("https://ictv.global/taxonomy/taxondetails?taxnode_id=202502618&amp;ictv_id=ICTV19810440","ICTV19810440")</f>
        <v>ICTV19810440</v>
      </c>
      <c r="R16680" t="s">
        <v>579</v>
      </c>
      <c r="S16680" t="s">
        <v>824</v>
      </c>
      <c r="T16680">
        <v>40</v>
      </c>
      <c r="U16680" s="26" t="str">
        <f>HYPERLINK("https://ictv.global/ictv/proposals/2024.010D.Varidnaviria_reorg.zip","2024.010D.Varidnaviria_reorg.zip")</f>
        <v>2024.010D.Varidnaviria_reorg.zip</v>
      </c>
    </row>
    <row r="16681" spans="1:21">
      <c r="A16681">
        <v>16680</v>
      </c>
      <c r="B16681" s="27" t="s">
        <v>1980</v>
      </c>
      <c r="D16681" s="27" t="s">
        <v>1981</v>
      </c>
      <c r="F16681" s="27" t="s">
        <v>1982</v>
      </c>
      <c r="H16681" s="27" t="s">
        <v>1987</v>
      </c>
      <c r="J16681" s="27" t="s">
        <v>1989</v>
      </c>
      <c r="L16681" s="27" t="s">
        <v>457</v>
      </c>
      <c r="M16681" s="27" t="s">
        <v>458</v>
      </c>
      <c r="N16681" s="27" t="s">
        <v>459</v>
      </c>
      <c r="P16681" s="27" t="s">
        <v>18008</v>
      </c>
      <c r="Q16681" s="26" t="str">
        <f>HYPERLINK("https://ictv.global/taxonomy/taxondetails?taxnode_id=202504740&amp;ictv_id=ICTV19710267","ICTV19710267")</f>
        <v>ICTV19710267</v>
      </c>
      <c r="R16681" t="s">
        <v>579</v>
      </c>
      <c r="S16681" t="s">
        <v>824</v>
      </c>
      <c r="T16681">
        <v>39</v>
      </c>
      <c r="U16681" s="26" t="str">
        <f t="shared" ref="U16681:U16712" si="635">HYPERLINK("https://ictv.global/ictv/proposals/2023.017D.Poxviridae_55renam.zip","2023.017D.Poxviridae_55renam.zip")</f>
        <v>2023.017D.Poxviridae_55renam.zip</v>
      </c>
    </row>
    <row r="16682" spans="1:21">
      <c r="A16682">
        <v>16681</v>
      </c>
      <c r="B16682" s="27" t="s">
        <v>1980</v>
      </c>
      <c r="D16682" s="27" t="s">
        <v>1981</v>
      </c>
      <c r="F16682" s="27" t="s">
        <v>1982</v>
      </c>
      <c r="H16682" s="27" t="s">
        <v>1987</v>
      </c>
      <c r="J16682" s="27" t="s">
        <v>1989</v>
      </c>
      <c r="L16682" s="27" t="s">
        <v>457</v>
      </c>
      <c r="M16682" s="27" t="s">
        <v>458</v>
      </c>
      <c r="N16682" s="27" t="s">
        <v>459</v>
      </c>
      <c r="P16682" s="27" t="s">
        <v>18009</v>
      </c>
      <c r="Q16682" s="26" t="str">
        <f>HYPERLINK("https://ictv.global/taxonomy/taxondetails?taxnode_id=202507141&amp;ictv_id=ICTV201907141","ICTV201907141")</f>
        <v>ICTV201907141</v>
      </c>
      <c r="R16682" t="s">
        <v>579</v>
      </c>
      <c r="S16682" t="s">
        <v>824</v>
      </c>
      <c r="T16682">
        <v>39</v>
      </c>
      <c r="U16682" s="26" t="str">
        <f t="shared" si="635"/>
        <v>2023.017D.Poxviridae_55renam.zip</v>
      </c>
    </row>
    <row r="16683" spans="1:21">
      <c r="A16683">
        <v>16682</v>
      </c>
      <c r="B16683" s="27" t="s">
        <v>1980</v>
      </c>
      <c r="D16683" s="27" t="s">
        <v>1981</v>
      </c>
      <c r="F16683" s="27" t="s">
        <v>1982</v>
      </c>
      <c r="H16683" s="27" t="s">
        <v>1987</v>
      </c>
      <c r="J16683" s="27" t="s">
        <v>1989</v>
      </c>
      <c r="L16683" s="27" t="s">
        <v>457</v>
      </c>
      <c r="M16683" s="27" t="s">
        <v>458</v>
      </c>
      <c r="N16683" s="27" t="s">
        <v>459</v>
      </c>
      <c r="P16683" s="27" t="s">
        <v>18010</v>
      </c>
      <c r="Q16683" s="26" t="str">
        <f>HYPERLINK("https://ictv.global/taxonomy/taxondetails?taxnode_id=202504741&amp;ictv_id=ICTV19710270","ICTV19710270")</f>
        <v>ICTV19710270</v>
      </c>
      <c r="R16683" t="s">
        <v>579</v>
      </c>
      <c r="S16683" t="s">
        <v>824</v>
      </c>
      <c r="T16683">
        <v>39</v>
      </c>
      <c r="U16683" s="26" t="str">
        <f t="shared" si="635"/>
        <v>2023.017D.Poxviridae_55renam.zip</v>
      </c>
    </row>
    <row r="16684" spans="1:21">
      <c r="A16684">
        <v>16683</v>
      </c>
      <c r="B16684" s="27" t="s">
        <v>1980</v>
      </c>
      <c r="D16684" s="27" t="s">
        <v>1981</v>
      </c>
      <c r="F16684" s="27" t="s">
        <v>1982</v>
      </c>
      <c r="H16684" s="27" t="s">
        <v>1987</v>
      </c>
      <c r="J16684" s="27" t="s">
        <v>1989</v>
      </c>
      <c r="L16684" s="27" t="s">
        <v>457</v>
      </c>
      <c r="M16684" s="27" t="s">
        <v>458</v>
      </c>
      <c r="N16684" s="27" t="s">
        <v>459</v>
      </c>
      <c r="P16684" s="27" t="s">
        <v>18011</v>
      </c>
      <c r="Q16684" s="26" t="str">
        <f>HYPERLINK("https://ictv.global/taxonomy/taxondetails?taxnode_id=202507142&amp;ictv_id=ICTV201907142","ICTV201907142")</f>
        <v>ICTV201907142</v>
      </c>
      <c r="R16684" t="s">
        <v>579</v>
      </c>
      <c r="S16684" t="s">
        <v>824</v>
      </c>
      <c r="T16684">
        <v>39</v>
      </c>
      <c r="U16684" s="26" t="str">
        <f t="shared" si="635"/>
        <v>2023.017D.Poxviridae_55renam.zip</v>
      </c>
    </row>
    <row r="16685" spans="1:21">
      <c r="A16685">
        <v>16684</v>
      </c>
      <c r="B16685" s="27" t="s">
        <v>1980</v>
      </c>
      <c r="D16685" s="27" t="s">
        <v>1981</v>
      </c>
      <c r="F16685" s="27" t="s">
        <v>1982</v>
      </c>
      <c r="H16685" s="27" t="s">
        <v>1987</v>
      </c>
      <c r="J16685" s="27" t="s">
        <v>1989</v>
      </c>
      <c r="L16685" s="27" t="s">
        <v>457</v>
      </c>
      <c r="M16685" s="27" t="s">
        <v>458</v>
      </c>
      <c r="N16685" s="27" t="s">
        <v>459</v>
      </c>
      <c r="P16685" s="27" t="s">
        <v>18012</v>
      </c>
      <c r="Q16685" s="26" t="str">
        <f>HYPERLINK("https://ictv.global/taxonomy/taxondetails?taxnode_id=202504744&amp;ictv_id=ICTV19710282","ICTV19710282")</f>
        <v>ICTV19710282</v>
      </c>
      <c r="R16685" t="s">
        <v>579</v>
      </c>
      <c r="S16685" t="s">
        <v>824</v>
      </c>
      <c r="T16685">
        <v>39</v>
      </c>
      <c r="U16685" s="26" t="str">
        <f t="shared" si="635"/>
        <v>2023.017D.Poxviridae_55renam.zip</v>
      </c>
    </row>
    <row r="16686" spans="1:21">
      <c r="A16686">
        <v>16685</v>
      </c>
      <c r="B16686" s="27" t="s">
        <v>1980</v>
      </c>
      <c r="D16686" s="27" t="s">
        <v>1981</v>
      </c>
      <c r="F16686" s="27" t="s">
        <v>1982</v>
      </c>
      <c r="H16686" s="27" t="s">
        <v>1987</v>
      </c>
      <c r="J16686" s="27" t="s">
        <v>1989</v>
      </c>
      <c r="L16686" s="27" t="s">
        <v>457</v>
      </c>
      <c r="M16686" s="27" t="s">
        <v>458</v>
      </c>
      <c r="N16686" s="27" t="s">
        <v>459</v>
      </c>
      <c r="P16686" s="27" t="s">
        <v>18013</v>
      </c>
      <c r="Q16686" s="26" t="str">
        <f>HYPERLINK("https://ictv.global/taxonomy/taxondetails?taxnode_id=202504746&amp;ictv_id=ICTV19760450","ICTV19760450")</f>
        <v>ICTV19760450</v>
      </c>
      <c r="R16686" t="s">
        <v>579</v>
      </c>
      <c r="S16686" t="s">
        <v>824</v>
      </c>
      <c r="T16686">
        <v>39</v>
      </c>
      <c r="U16686" s="26" t="str">
        <f t="shared" si="635"/>
        <v>2023.017D.Poxviridae_55renam.zip</v>
      </c>
    </row>
    <row r="16687" spans="1:21">
      <c r="A16687">
        <v>16686</v>
      </c>
      <c r="B16687" s="27" t="s">
        <v>1980</v>
      </c>
      <c r="D16687" s="27" t="s">
        <v>1981</v>
      </c>
      <c r="F16687" s="27" t="s">
        <v>1982</v>
      </c>
      <c r="H16687" s="27" t="s">
        <v>1987</v>
      </c>
      <c r="J16687" s="27" t="s">
        <v>1989</v>
      </c>
      <c r="L16687" s="27" t="s">
        <v>457</v>
      </c>
      <c r="M16687" s="27" t="s">
        <v>458</v>
      </c>
      <c r="N16687" s="27" t="s">
        <v>459</v>
      </c>
      <c r="P16687" s="27" t="s">
        <v>18014</v>
      </c>
      <c r="Q16687" s="26" t="str">
        <f>HYPERLINK("https://ictv.global/taxonomy/taxondetails?taxnode_id=202504749&amp;ictv_id=ICTV19710292","ICTV19710292")</f>
        <v>ICTV19710292</v>
      </c>
      <c r="R16687" t="s">
        <v>579</v>
      </c>
      <c r="S16687" t="s">
        <v>824</v>
      </c>
      <c r="T16687">
        <v>39</v>
      </c>
      <c r="U16687" s="26" t="str">
        <f t="shared" si="635"/>
        <v>2023.017D.Poxviridae_55renam.zip</v>
      </c>
    </row>
    <row r="16688" spans="1:21">
      <c r="A16688">
        <v>16687</v>
      </c>
      <c r="B16688" s="27" t="s">
        <v>1980</v>
      </c>
      <c r="D16688" s="27" t="s">
        <v>1981</v>
      </c>
      <c r="F16688" s="27" t="s">
        <v>1982</v>
      </c>
      <c r="H16688" s="27" t="s">
        <v>1987</v>
      </c>
      <c r="J16688" s="27" t="s">
        <v>1989</v>
      </c>
      <c r="L16688" s="27" t="s">
        <v>457</v>
      </c>
      <c r="M16688" s="27" t="s">
        <v>458</v>
      </c>
      <c r="N16688" s="27" t="s">
        <v>152</v>
      </c>
      <c r="P16688" s="27" t="s">
        <v>18015</v>
      </c>
      <c r="Q16688" s="26" t="str">
        <f>HYPERLINK("https://ictv.global/taxonomy/taxondetails?taxnode_id=202504751&amp;ictv_id=ICTV19710271","ICTV19710271")</f>
        <v>ICTV19710271</v>
      </c>
      <c r="R16688" t="s">
        <v>579</v>
      </c>
      <c r="S16688" t="s">
        <v>824</v>
      </c>
      <c r="T16688">
        <v>39</v>
      </c>
      <c r="U16688" s="26" t="str">
        <f t="shared" si="635"/>
        <v>2023.017D.Poxviridae_55renam.zip</v>
      </c>
    </row>
    <row r="16689" spans="1:21">
      <c r="A16689">
        <v>16688</v>
      </c>
      <c r="B16689" s="27" t="s">
        <v>1980</v>
      </c>
      <c r="D16689" s="27" t="s">
        <v>1981</v>
      </c>
      <c r="F16689" s="27" t="s">
        <v>1982</v>
      </c>
      <c r="H16689" s="27" t="s">
        <v>1987</v>
      </c>
      <c r="J16689" s="27" t="s">
        <v>1989</v>
      </c>
      <c r="L16689" s="27" t="s">
        <v>457</v>
      </c>
      <c r="M16689" s="27" t="s">
        <v>458</v>
      </c>
      <c r="N16689" s="27" t="s">
        <v>152</v>
      </c>
      <c r="P16689" s="27" t="s">
        <v>18016</v>
      </c>
      <c r="Q16689" s="26" t="str">
        <f>HYPERLINK("https://ictv.global/taxonomy/taxondetails?taxnode_id=202504752&amp;ictv_id=ICTV19710276","ICTV19710276")</f>
        <v>ICTV19710276</v>
      </c>
      <c r="R16689" t="s">
        <v>579</v>
      </c>
      <c r="S16689" t="s">
        <v>824</v>
      </c>
      <c r="T16689">
        <v>39</v>
      </c>
      <c r="U16689" s="26" t="str">
        <f t="shared" si="635"/>
        <v>2023.017D.Poxviridae_55renam.zip</v>
      </c>
    </row>
    <row r="16690" spans="1:21">
      <c r="A16690">
        <v>16689</v>
      </c>
      <c r="B16690" s="27" t="s">
        <v>1980</v>
      </c>
      <c r="D16690" s="27" t="s">
        <v>1981</v>
      </c>
      <c r="F16690" s="27" t="s">
        <v>1982</v>
      </c>
      <c r="H16690" s="27" t="s">
        <v>1987</v>
      </c>
      <c r="J16690" s="27" t="s">
        <v>1989</v>
      </c>
      <c r="L16690" s="27" t="s">
        <v>457</v>
      </c>
      <c r="M16690" s="27" t="s">
        <v>458</v>
      </c>
      <c r="N16690" s="27" t="s">
        <v>152</v>
      </c>
      <c r="P16690" s="27" t="s">
        <v>18017</v>
      </c>
      <c r="Q16690" s="26" t="str">
        <f>HYPERLINK("https://ictv.global/taxonomy/taxondetails?taxnode_id=202504753&amp;ictv_id=ICTV19710286","ICTV19710286")</f>
        <v>ICTV19710286</v>
      </c>
      <c r="R16690" t="s">
        <v>579</v>
      </c>
      <c r="S16690" t="s">
        <v>824</v>
      </c>
      <c r="T16690">
        <v>39</v>
      </c>
      <c r="U16690" s="26" t="str">
        <f t="shared" si="635"/>
        <v>2023.017D.Poxviridae_55renam.zip</v>
      </c>
    </row>
    <row r="16691" spans="1:21">
      <c r="A16691">
        <v>16690</v>
      </c>
      <c r="B16691" s="27" t="s">
        <v>1980</v>
      </c>
      <c r="D16691" s="27" t="s">
        <v>1981</v>
      </c>
      <c r="F16691" s="27" t="s">
        <v>1982</v>
      </c>
      <c r="H16691" s="27" t="s">
        <v>1987</v>
      </c>
      <c r="J16691" s="27" t="s">
        <v>1989</v>
      </c>
      <c r="L16691" s="27" t="s">
        <v>457</v>
      </c>
      <c r="M16691" s="27" t="s">
        <v>458</v>
      </c>
      <c r="N16691" s="27" t="s">
        <v>814</v>
      </c>
      <c r="P16691" s="27" t="s">
        <v>18018</v>
      </c>
      <c r="Q16691" s="26" t="str">
        <f>HYPERLINK("https://ictv.global/taxonomy/taxondetails?taxnode_id=202507143&amp;ictv_id=ICTV201907143","ICTV201907143")</f>
        <v>ICTV201907143</v>
      </c>
      <c r="R16691" t="s">
        <v>579</v>
      </c>
      <c r="S16691" t="s">
        <v>824</v>
      </c>
      <c r="T16691">
        <v>39</v>
      </c>
      <c r="U16691" s="26" t="str">
        <f t="shared" si="635"/>
        <v>2023.017D.Poxviridae_55renam.zip</v>
      </c>
    </row>
    <row r="16692" spans="1:21">
      <c r="A16692">
        <v>16691</v>
      </c>
      <c r="B16692" s="27" t="s">
        <v>1980</v>
      </c>
      <c r="D16692" s="27" t="s">
        <v>1981</v>
      </c>
      <c r="F16692" s="27" t="s">
        <v>1982</v>
      </c>
      <c r="H16692" s="27" t="s">
        <v>1987</v>
      </c>
      <c r="J16692" s="27" t="s">
        <v>1989</v>
      </c>
      <c r="L16692" s="27" t="s">
        <v>457</v>
      </c>
      <c r="M16692" s="27" t="s">
        <v>458</v>
      </c>
      <c r="N16692" s="27" t="s">
        <v>814</v>
      </c>
      <c r="P16692" s="27" t="s">
        <v>18019</v>
      </c>
      <c r="Q16692" s="26" t="str">
        <f>HYPERLINK("https://ictv.global/taxonomy/taxondetails?taxnode_id=202504755&amp;ictv_id=ICTV20165422","ICTV20165422")</f>
        <v>ICTV20165422</v>
      </c>
      <c r="R16692" t="s">
        <v>579</v>
      </c>
      <c r="S16692" t="s">
        <v>824</v>
      </c>
      <c r="T16692">
        <v>39</v>
      </c>
      <c r="U16692" s="26" t="str">
        <f t="shared" si="635"/>
        <v>2023.017D.Poxviridae_55renam.zip</v>
      </c>
    </row>
    <row r="16693" spans="1:21">
      <c r="A16693">
        <v>16692</v>
      </c>
      <c r="B16693" s="27" t="s">
        <v>1980</v>
      </c>
      <c r="D16693" s="27" t="s">
        <v>1981</v>
      </c>
      <c r="F16693" s="27" t="s">
        <v>1982</v>
      </c>
      <c r="H16693" s="27" t="s">
        <v>1987</v>
      </c>
      <c r="J16693" s="27" t="s">
        <v>1989</v>
      </c>
      <c r="L16693" s="27" t="s">
        <v>457</v>
      </c>
      <c r="M16693" s="27" t="s">
        <v>458</v>
      </c>
      <c r="N16693" s="27" t="s">
        <v>356</v>
      </c>
      <c r="P16693" s="27" t="s">
        <v>18020</v>
      </c>
      <c r="Q16693" s="26" t="str">
        <f>HYPERLINK("https://ictv.global/taxonomy/taxondetails?taxnode_id=202504757&amp;ictv_id=ICTV20084634","ICTV20084634")</f>
        <v>ICTV20084634</v>
      </c>
      <c r="R16693" t="s">
        <v>579</v>
      </c>
      <c r="S16693" t="s">
        <v>824</v>
      </c>
      <c r="T16693">
        <v>39</v>
      </c>
      <c r="U16693" s="26" t="str">
        <f t="shared" si="635"/>
        <v>2023.017D.Poxviridae_55renam.zip</v>
      </c>
    </row>
    <row r="16694" spans="1:21">
      <c r="A16694">
        <v>16693</v>
      </c>
      <c r="B16694" s="27" t="s">
        <v>1980</v>
      </c>
      <c r="D16694" s="27" t="s">
        <v>1981</v>
      </c>
      <c r="F16694" s="27" t="s">
        <v>1982</v>
      </c>
      <c r="H16694" s="27" t="s">
        <v>1987</v>
      </c>
      <c r="J16694" s="27" t="s">
        <v>1989</v>
      </c>
      <c r="L16694" s="27" t="s">
        <v>457</v>
      </c>
      <c r="M16694" s="27" t="s">
        <v>458</v>
      </c>
      <c r="N16694" s="27" t="s">
        <v>107</v>
      </c>
      <c r="P16694" s="27" t="s">
        <v>18021</v>
      </c>
      <c r="Q16694" s="26" t="str">
        <f>HYPERLINK("https://ictv.global/taxonomy/taxondetails?taxnode_id=202504759&amp;ictv_id=ICTV20115667","ICTV20115667")</f>
        <v>ICTV20115667</v>
      </c>
      <c r="R16694" t="s">
        <v>579</v>
      </c>
      <c r="S16694" t="s">
        <v>824</v>
      </c>
      <c r="T16694">
        <v>39</v>
      </c>
      <c r="U16694" s="26" t="str">
        <f t="shared" si="635"/>
        <v>2023.017D.Poxviridae_55renam.zip</v>
      </c>
    </row>
    <row r="16695" spans="1:21">
      <c r="A16695">
        <v>16694</v>
      </c>
      <c r="B16695" s="27" t="s">
        <v>1980</v>
      </c>
      <c r="D16695" s="27" t="s">
        <v>1981</v>
      </c>
      <c r="F16695" s="27" t="s">
        <v>1982</v>
      </c>
      <c r="H16695" s="27" t="s">
        <v>1987</v>
      </c>
      <c r="J16695" s="27" t="s">
        <v>1989</v>
      </c>
      <c r="L16695" s="27" t="s">
        <v>457</v>
      </c>
      <c r="M16695" s="27" t="s">
        <v>458</v>
      </c>
      <c r="N16695" s="27" t="s">
        <v>151</v>
      </c>
      <c r="P16695" s="27" t="s">
        <v>18022</v>
      </c>
      <c r="Q16695" s="26" t="str">
        <f>HYPERLINK("https://ictv.global/taxonomy/taxondetails?taxnode_id=202504762&amp;ictv_id=ICTV19710280","ICTV19710280")</f>
        <v>ICTV19710280</v>
      </c>
      <c r="R16695" t="s">
        <v>579</v>
      </c>
      <c r="S16695" t="s">
        <v>824</v>
      </c>
      <c r="T16695">
        <v>39</v>
      </c>
      <c r="U16695" s="26" t="str">
        <f t="shared" si="635"/>
        <v>2023.017D.Poxviridae_55renam.zip</v>
      </c>
    </row>
    <row r="16696" spans="1:21">
      <c r="A16696">
        <v>16695</v>
      </c>
      <c r="B16696" s="27" t="s">
        <v>1980</v>
      </c>
      <c r="D16696" s="27" t="s">
        <v>1981</v>
      </c>
      <c r="F16696" s="27" t="s">
        <v>1982</v>
      </c>
      <c r="H16696" s="27" t="s">
        <v>1987</v>
      </c>
      <c r="J16696" s="27" t="s">
        <v>1989</v>
      </c>
      <c r="L16696" s="27" t="s">
        <v>457</v>
      </c>
      <c r="M16696" s="27" t="s">
        <v>458</v>
      </c>
      <c r="N16696" s="27" t="s">
        <v>151</v>
      </c>
      <c r="P16696" s="27" t="s">
        <v>18023</v>
      </c>
      <c r="Q16696" s="26" t="str">
        <f>HYPERLINK("https://ictv.global/taxonomy/taxondetails?taxnode_id=202504763&amp;ictv_id=ICTV19710283","ICTV19710283")</f>
        <v>ICTV19710283</v>
      </c>
      <c r="R16696" t="s">
        <v>579</v>
      </c>
      <c r="S16696" t="s">
        <v>824</v>
      </c>
      <c r="T16696">
        <v>39</v>
      </c>
      <c r="U16696" s="26" t="str">
        <f t="shared" si="635"/>
        <v>2023.017D.Poxviridae_55renam.zip</v>
      </c>
    </row>
    <row r="16697" spans="1:21">
      <c r="A16697">
        <v>16696</v>
      </c>
      <c r="B16697" s="27" t="s">
        <v>1980</v>
      </c>
      <c r="D16697" s="27" t="s">
        <v>1981</v>
      </c>
      <c r="F16697" s="27" t="s">
        <v>1982</v>
      </c>
      <c r="H16697" s="27" t="s">
        <v>1987</v>
      </c>
      <c r="J16697" s="27" t="s">
        <v>1989</v>
      </c>
      <c r="L16697" s="27" t="s">
        <v>457</v>
      </c>
      <c r="M16697" s="27" t="s">
        <v>458</v>
      </c>
      <c r="N16697" s="27" t="s">
        <v>151</v>
      </c>
      <c r="P16697" s="27" t="s">
        <v>18024</v>
      </c>
      <c r="Q16697" s="26" t="str">
        <f>HYPERLINK("https://ictv.global/taxonomy/taxondetails?taxnode_id=202504764&amp;ictv_id=ICTV19710288","ICTV19710288")</f>
        <v>ICTV19710288</v>
      </c>
      <c r="R16697" t="s">
        <v>579</v>
      </c>
      <c r="S16697" t="s">
        <v>824</v>
      </c>
      <c r="T16697">
        <v>39</v>
      </c>
      <c r="U16697" s="26" t="str">
        <f t="shared" si="635"/>
        <v>2023.017D.Poxviridae_55renam.zip</v>
      </c>
    </row>
    <row r="16698" spans="1:21">
      <c r="A16698">
        <v>16697</v>
      </c>
      <c r="B16698" s="27" t="s">
        <v>1980</v>
      </c>
      <c r="D16698" s="27" t="s">
        <v>1981</v>
      </c>
      <c r="F16698" s="27" t="s">
        <v>1982</v>
      </c>
      <c r="H16698" s="27" t="s">
        <v>1987</v>
      </c>
      <c r="J16698" s="27" t="s">
        <v>1989</v>
      </c>
      <c r="L16698" s="27" t="s">
        <v>457</v>
      </c>
      <c r="M16698" s="27" t="s">
        <v>458</v>
      </c>
      <c r="N16698" s="27" t="s">
        <v>1990</v>
      </c>
      <c r="P16698" s="27" t="s">
        <v>18025</v>
      </c>
      <c r="Q16698" s="26" t="str">
        <f>HYPERLINK("https://ictv.global/taxonomy/taxondetails?taxnode_id=202507146&amp;ictv_id=ICTV201907146","ICTV201907146")</f>
        <v>ICTV201907146</v>
      </c>
      <c r="R16698" t="s">
        <v>579</v>
      </c>
      <c r="S16698" t="s">
        <v>824</v>
      </c>
      <c r="T16698">
        <v>39</v>
      </c>
      <c r="U16698" s="26" t="str">
        <f t="shared" si="635"/>
        <v>2023.017D.Poxviridae_55renam.zip</v>
      </c>
    </row>
    <row r="16699" spans="1:21">
      <c r="A16699">
        <v>16698</v>
      </c>
      <c r="B16699" s="27" t="s">
        <v>1980</v>
      </c>
      <c r="D16699" s="27" t="s">
        <v>1981</v>
      </c>
      <c r="F16699" s="27" t="s">
        <v>1982</v>
      </c>
      <c r="H16699" s="27" t="s">
        <v>1987</v>
      </c>
      <c r="J16699" s="27" t="s">
        <v>1989</v>
      </c>
      <c r="L16699" s="27" t="s">
        <v>457</v>
      </c>
      <c r="M16699" s="27" t="s">
        <v>458</v>
      </c>
      <c r="N16699" s="27" t="s">
        <v>1990</v>
      </c>
      <c r="P16699" s="27" t="s">
        <v>18026</v>
      </c>
      <c r="Q16699" s="26" t="str">
        <f>HYPERLINK("https://ictv.global/taxonomy/taxondetails?taxnode_id=202507145&amp;ictv_id=ICTV201907145","ICTV201907145")</f>
        <v>ICTV201907145</v>
      </c>
      <c r="R16699" t="s">
        <v>579</v>
      </c>
      <c r="S16699" t="s">
        <v>824</v>
      </c>
      <c r="T16699">
        <v>39</v>
      </c>
      <c r="U16699" s="26" t="str">
        <f t="shared" si="635"/>
        <v>2023.017D.Poxviridae_55renam.zip</v>
      </c>
    </row>
    <row r="16700" spans="1:21">
      <c r="A16700">
        <v>16699</v>
      </c>
      <c r="B16700" s="27" t="s">
        <v>1980</v>
      </c>
      <c r="D16700" s="27" t="s">
        <v>1981</v>
      </c>
      <c r="F16700" s="27" t="s">
        <v>1982</v>
      </c>
      <c r="H16700" s="27" t="s">
        <v>1987</v>
      </c>
      <c r="J16700" s="27" t="s">
        <v>1989</v>
      </c>
      <c r="L16700" s="27" t="s">
        <v>457</v>
      </c>
      <c r="M16700" s="27" t="s">
        <v>458</v>
      </c>
      <c r="N16700" s="27" t="s">
        <v>150</v>
      </c>
      <c r="P16700" s="27" t="s">
        <v>18027</v>
      </c>
      <c r="Q16700" s="26" t="str">
        <f>HYPERLINK("https://ictv.global/taxonomy/taxondetails?taxnode_id=202504766&amp;ictv_id=ICTV19710278","ICTV19710278")</f>
        <v>ICTV19710278</v>
      </c>
      <c r="R16700" t="s">
        <v>579</v>
      </c>
      <c r="S16700" t="s">
        <v>824</v>
      </c>
      <c r="T16700">
        <v>39</v>
      </c>
      <c r="U16700" s="26" t="str">
        <f t="shared" si="635"/>
        <v>2023.017D.Poxviridae_55renam.zip</v>
      </c>
    </row>
    <row r="16701" spans="1:21">
      <c r="A16701">
        <v>16700</v>
      </c>
      <c r="B16701" s="27" t="s">
        <v>1980</v>
      </c>
      <c r="D16701" s="27" t="s">
        <v>1981</v>
      </c>
      <c r="F16701" s="27" t="s">
        <v>1982</v>
      </c>
      <c r="H16701" s="27" t="s">
        <v>1987</v>
      </c>
      <c r="J16701" s="27" t="s">
        <v>1989</v>
      </c>
      <c r="L16701" s="27" t="s">
        <v>457</v>
      </c>
      <c r="M16701" s="27" t="s">
        <v>458</v>
      </c>
      <c r="N16701" s="27" t="s">
        <v>1991</v>
      </c>
      <c r="P16701" s="27" t="s">
        <v>18028</v>
      </c>
      <c r="Q16701" s="26" t="str">
        <f>HYPERLINK("https://ictv.global/taxonomy/taxondetails?taxnode_id=202507148&amp;ictv_id=ICTV201907148","ICTV201907148")</f>
        <v>ICTV201907148</v>
      </c>
      <c r="R16701" t="s">
        <v>579</v>
      </c>
      <c r="S16701" t="s">
        <v>824</v>
      </c>
      <c r="T16701">
        <v>39</v>
      </c>
      <c r="U16701" s="26" t="str">
        <f t="shared" si="635"/>
        <v>2023.017D.Poxviridae_55renam.zip</v>
      </c>
    </row>
    <row r="16702" spans="1:21">
      <c r="A16702">
        <v>16701</v>
      </c>
      <c r="B16702" s="27" t="s">
        <v>1980</v>
      </c>
      <c r="D16702" s="27" t="s">
        <v>1981</v>
      </c>
      <c r="F16702" s="27" t="s">
        <v>1982</v>
      </c>
      <c r="H16702" s="27" t="s">
        <v>1987</v>
      </c>
      <c r="J16702" s="27" t="s">
        <v>1989</v>
      </c>
      <c r="L16702" s="27" t="s">
        <v>457</v>
      </c>
      <c r="M16702" s="27" t="s">
        <v>458</v>
      </c>
      <c r="N16702" s="27" t="s">
        <v>296</v>
      </c>
      <c r="P16702" s="27" t="s">
        <v>18029</v>
      </c>
      <c r="Q16702" s="26" t="str">
        <f>HYPERLINK("https://ictv.global/taxonomy/taxondetails?taxnode_id=202507149&amp;ictv_id=ICTV201907149","ICTV201907149")</f>
        <v>ICTV201907149</v>
      </c>
      <c r="R16702" t="s">
        <v>579</v>
      </c>
      <c r="S16702" t="s">
        <v>824</v>
      </c>
      <c r="T16702">
        <v>39</v>
      </c>
      <c r="U16702" s="26" t="str">
        <f t="shared" si="635"/>
        <v>2023.017D.Poxviridae_55renam.zip</v>
      </c>
    </row>
    <row r="16703" spans="1:21">
      <c r="A16703">
        <v>16702</v>
      </c>
      <c r="B16703" s="27" t="s">
        <v>1980</v>
      </c>
      <c r="D16703" s="27" t="s">
        <v>1981</v>
      </c>
      <c r="F16703" s="27" t="s">
        <v>1982</v>
      </c>
      <c r="H16703" s="27" t="s">
        <v>1987</v>
      </c>
      <c r="J16703" s="27" t="s">
        <v>1989</v>
      </c>
      <c r="L16703" s="27" t="s">
        <v>457</v>
      </c>
      <c r="M16703" s="27" t="s">
        <v>458</v>
      </c>
      <c r="N16703" s="27" t="s">
        <v>296</v>
      </c>
      <c r="P16703" s="27" t="s">
        <v>18030</v>
      </c>
      <c r="Q16703" s="26" t="str">
        <f>HYPERLINK("https://ictv.global/taxonomy/taxondetails?taxnode_id=202507150&amp;ictv_id=ICTV201907150","ICTV201907150")</f>
        <v>ICTV201907150</v>
      </c>
      <c r="R16703" t="s">
        <v>579</v>
      </c>
      <c r="S16703" t="s">
        <v>824</v>
      </c>
      <c r="T16703">
        <v>39</v>
      </c>
      <c r="U16703" s="26" t="str">
        <f t="shared" si="635"/>
        <v>2023.017D.Poxviridae_55renam.zip</v>
      </c>
    </row>
    <row r="16704" spans="1:21">
      <c r="A16704">
        <v>16703</v>
      </c>
      <c r="B16704" s="27" t="s">
        <v>1980</v>
      </c>
      <c r="D16704" s="27" t="s">
        <v>1981</v>
      </c>
      <c r="F16704" s="27" t="s">
        <v>1982</v>
      </c>
      <c r="H16704" s="27" t="s">
        <v>1987</v>
      </c>
      <c r="J16704" s="27" t="s">
        <v>1989</v>
      </c>
      <c r="L16704" s="27" t="s">
        <v>457</v>
      </c>
      <c r="M16704" s="27" t="s">
        <v>458</v>
      </c>
      <c r="N16704" s="27" t="s">
        <v>296</v>
      </c>
      <c r="P16704" s="27" t="s">
        <v>18031</v>
      </c>
      <c r="Q16704" s="26" t="str">
        <f>HYPERLINK("https://ictv.global/taxonomy/taxondetails?taxnode_id=202504768&amp;ictv_id=ICTV19710266","ICTV19710266")</f>
        <v>ICTV19710266</v>
      </c>
      <c r="R16704" t="s">
        <v>579</v>
      </c>
      <c r="S16704" t="s">
        <v>824</v>
      </c>
      <c r="T16704">
        <v>39</v>
      </c>
      <c r="U16704" s="26" t="str">
        <f t="shared" si="635"/>
        <v>2023.017D.Poxviridae_55renam.zip</v>
      </c>
    </row>
    <row r="16705" spans="1:21">
      <c r="A16705">
        <v>16704</v>
      </c>
      <c r="B16705" s="27" t="s">
        <v>1980</v>
      </c>
      <c r="D16705" s="27" t="s">
        <v>1981</v>
      </c>
      <c r="F16705" s="27" t="s">
        <v>1982</v>
      </c>
      <c r="H16705" s="27" t="s">
        <v>1987</v>
      </c>
      <c r="J16705" s="27" t="s">
        <v>1989</v>
      </c>
      <c r="L16705" s="27" t="s">
        <v>457</v>
      </c>
      <c r="M16705" s="27" t="s">
        <v>458</v>
      </c>
      <c r="N16705" s="27" t="s">
        <v>296</v>
      </c>
      <c r="P16705" s="27" t="s">
        <v>18032</v>
      </c>
      <c r="Q16705" s="26" t="str">
        <f>HYPERLINK("https://ictv.global/taxonomy/taxondetails?taxnode_id=202504769&amp;ictv_id=ICTV19710269","ICTV19710269")</f>
        <v>ICTV19710269</v>
      </c>
      <c r="R16705" t="s">
        <v>579</v>
      </c>
      <c r="S16705" t="s">
        <v>824</v>
      </c>
      <c r="T16705">
        <v>39</v>
      </c>
      <c r="U16705" s="26" t="str">
        <f t="shared" si="635"/>
        <v>2023.017D.Poxviridae_55renam.zip</v>
      </c>
    </row>
    <row r="16706" spans="1:21">
      <c r="A16706">
        <v>16705</v>
      </c>
      <c r="B16706" s="27" t="s">
        <v>1980</v>
      </c>
      <c r="D16706" s="27" t="s">
        <v>1981</v>
      </c>
      <c r="F16706" s="27" t="s">
        <v>1982</v>
      </c>
      <c r="H16706" s="27" t="s">
        <v>1987</v>
      </c>
      <c r="J16706" s="27" t="s">
        <v>1989</v>
      </c>
      <c r="L16706" s="27" t="s">
        <v>457</v>
      </c>
      <c r="M16706" s="27" t="s">
        <v>458</v>
      </c>
      <c r="N16706" s="27" t="s">
        <v>296</v>
      </c>
      <c r="P16706" s="27" t="s">
        <v>18033</v>
      </c>
      <c r="Q16706" s="26" t="str">
        <f>HYPERLINK("https://ictv.global/taxonomy/taxondetails?taxnode_id=202504770&amp;ictv_id=ICTV19710274","ICTV19710274")</f>
        <v>ICTV19710274</v>
      </c>
      <c r="R16706" t="s">
        <v>579</v>
      </c>
      <c r="S16706" t="s">
        <v>824</v>
      </c>
      <c r="T16706">
        <v>39</v>
      </c>
      <c r="U16706" s="26" t="str">
        <f t="shared" si="635"/>
        <v>2023.017D.Poxviridae_55renam.zip</v>
      </c>
    </row>
    <row r="16707" spans="1:21">
      <c r="A16707">
        <v>16706</v>
      </c>
      <c r="B16707" s="27" t="s">
        <v>1980</v>
      </c>
      <c r="D16707" s="27" t="s">
        <v>1981</v>
      </c>
      <c r="F16707" s="27" t="s">
        <v>1982</v>
      </c>
      <c r="H16707" s="27" t="s">
        <v>1987</v>
      </c>
      <c r="J16707" s="27" t="s">
        <v>1989</v>
      </c>
      <c r="L16707" s="27" t="s">
        <v>457</v>
      </c>
      <c r="M16707" s="27" t="s">
        <v>458</v>
      </c>
      <c r="N16707" s="27" t="s">
        <v>296</v>
      </c>
      <c r="P16707" s="27" t="s">
        <v>18034</v>
      </c>
      <c r="Q16707" s="26" t="str">
        <f>HYPERLINK("https://ictv.global/taxonomy/taxondetails?taxnode_id=202504771&amp;ictv_id=ICTV19710279","ICTV19710279")</f>
        <v>ICTV19710279</v>
      </c>
      <c r="R16707" t="s">
        <v>579</v>
      </c>
      <c r="S16707" t="s">
        <v>824</v>
      </c>
      <c r="T16707">
        <v>39</v>
      </c>
      <c r="U16707" s="26" t="str">
        <f t="shared" si="635"/>
        <v>2023.017D.Poxviridae_55renam.zip</v>
      </c>
    </row>
    <row r="16708" spans="1:21">
      <c r="A16708">
        <v>16707</v>
      </c>
      <c r="B16708" s="27" t="s">
        <v>1980</v>
      </c>
      <c r="D16708" s="27" t="s">
        <v>1981</v>
      </c>
      <c r="F16708" s="27" t="s">
        <v>1982</v>
      </c>
      <c r="H16708" s="27" t="s">
        <v>1987</v>
      </c>
      <c r="J16708" s="27" t="s">
        <v>1989</v>
      </c>
      <c r="L16708" s="27" t="s">
        <v>457</v>
      </c>
      <c r="M16708" s="27" t="s">
        <v>458</v>
      </c>
      <c r="N16708" s="27" t="s">
        <v>296</v>
      </c>
      <c r="P16708" s="27" t="s">
        <v>18035</v>
      </c>
      <c r="Q16708" s="26" t="str">
        <f>HYPERLINK("https://ictv.global/taxonomy/taxondetails?taxnode_id=202504772&amp;ictv_id=ICTV19790736","ICTV19790736")</f>
        <v>ICTV19790736</v>
      </c>
      <c r="R16708" t="s">
        <v>579</v>
      </c>
      <c r="S16708" t="s">
        <v>824</v>
      </c>
      <c r="T16708">
        <v>39</v>
      </c>
      <c r="U16708" s="26" t="str">
        <f t="shared" si="635"/>
        <v>2023.017D.Poxviridae_55renam.zip</v>
      </c>
    </row>
    <row r="16709" spans="1:21">
      <c r="A16709">
        <v>16708</v>
      </c>
      <c r="B16709" s="27" t="s">
        <v>1980</v>
      </c>
      <c r="D16709" s="27" t="s">
        <v>1981</v>
      </c>
      <c r="F16709" s="27" t="s">
        <v>1982</v>
      </c>
      <c r="H16709" s="27" t="s">
        <v>1987</v>
      </c>
      <c r="J16709" s="27" t="s">
        <v>1989</v>
      </c>
      <c r="L16709" s="27" t="s">
        <v>457</v>
      </c>
      <c r="M16709" s="27" t="s">
        <v>458</v>
      </c>
      <c r="N16709" s="27" t="s">
        <v>296</v>
      </c>
      <c r="P16709" s="27" t="s">
        <v>18036</v>
      </c>
      <c r="Q16709" s="26" t="str">
        <f>HYPERLINK("https://ictv.global/taxonomy/taxondetails?taxnode_id=202504773&amp;ictv_id=ICTV20115666","ICTV20115666")</f>
        <v>ICTV20115666</v>
      </c>
      <c r="R16709" t="s">
        <v>579</v>
      </c>
      <c r="S16709" t="s">
        <v>824</v>
      </c>
      <c r="T16709">
        <v>39</v>
      </c>
      <c r="U16709" s="26" t="str">
        <f t="shared" si="635"/>
        <v>2023.017D.Poxviridae_55renam.zip</v>
      </c>
    </row>
    <row r="16710" spans="1:21">
      <c r="A16710">
        <v>16709</v>
      </c>
      <c r="B16710" s="27" t="s">
        <v>1980</v>
      </c>
      <c r="D16710" s="27" t="s">
        <v>1981</v>
      </c>
      <c r="F16710" s="27" t="s">
        <v>1982</v>
      </c>
      <c r="H16710" s="27" t="s">
        <v>1987</v>
      </c>
      <c r="J16710" s="27" t="s">
        <v>1989</v>
      </c>
      <c r="L16710" s="27" t="s">
        <v>457</v>
      </c>
      <c r="M16710" s="27" t="s">
        <v>458</v>
      </c>
      <c r="N16710" s="27" t="s">
        <v>296</v>
      </c>
      <c r="P16710" s="27" t="s">
        <v>18037</v>
      </c>
      <c r="Q16710" s="26" t="str">
        <f>HYPERLINK("https://ictv.global/taxonomy/taxondetails?taxnode_id=202504774&amp;ictv_id=ICTV19911345","ICTV19911345")</f>
        <v>ICTV19911345</v>
      </c>
      <c r="R16710" t="s">
        <v>579</v>
      </c>
      <c r="S16710" t="s">
        <v>824</v>
      </c>
      <c r="T16710">
        <v>39</v>
      </c>
      <c r="U16710" s="26" t="str">
        <f t="shared" si="635"/>
        <v>2023.017D.Poxviridae_55renam.zip</v>
      </c>
    </row>
    <row r="16711" spans="1:21">
      <c r="A16711">
        <v>16710</v>
      </c>
      <c r="B16711" s="27" t="s">
        <v>1980</v>
      </c>
      <c r="D16711" s="27" t="s">
        <v>1981</v>
      </c>
      <c r="F16711" s="27" t="s">
        <v>1982</v>
      </c>
      <c r="H16711" s="27" t="s">
        <v>1987</v>
      </c>
      <c r="J16711" s="27" t="s">
        <v>1989</v>
      </c>
      <c r="L16711" s="27" t="s">
        <v>457</v>
      </c>
      <c r="M16711" s="27" t="s">
        <v>458</v>
      </c>
      <c r="N16711" s="27" t="s">
        <v>296</v>
      </c>
      <c r="P16711" s="27" t="s">
        <v>18038</v>
      </c>
      <c r="Q16711" s="26" t="str">
        <f>HYPERLINK("https://ictv.global/taxonomy/taxondetails?taxnode_id=202504775&amp;ictv_id=ICTV19911346","ICTV19911346")</f>
        <v>ICTV19911346</v>
      </c>
      <c r="R16711" t="s">
        <v>579</v>
      </c>
      <c r="S16711" t="s">
        <v>824</v>
      </c>
      <c r="T16711">
        <v>39</v>
      </c>
      <c r="U16711" s="26" t="str">
        <f t="shared" si="635"/>
        <v>2023.017D.Poxviridae_55renam.zip</v>
      </c>
    </row>
    <row r="16712" spans="1:21">
      <c r="A16712">
        <v>16711</v>
      </c>
      <c r="B16712" s="27" t="s">
        <v>1980</v>
      </c>
      <c r="D16712" s="27" t="s">
        <v>1981</v>
      </c>
      <c r="F16712" s="27" t="s">
        <v>1982</v>
      </c>
      <c r="H16712" s="27" t="s">
        <v>1987</v>
      </c>
      <c r="J16712" s="27" t="s">
        <v>1989</v>
      </c>
      <c r="L16712" s="27" t="s">
        <v>457</v>
      </c>
      <c r="M16712" s="27" t="s">
        <v>458</v>
      </c>
      <c r="N16712" s="27" t="s">
        <v>296</v>
      </c>
      <c r="P16712" s="27" t="s">
        <v>18039</v>
      </c>
      <c r="Q16712" s="26" t="str">
        <f>HYPERLINK("https://ictv.global/taxonomy/taxondetails?taxnode_id=202504776&amp;ictv_id=ICTV19710294","ICTV19710294")</f>
        <v>ICTV19710294</v>
      </c>
      <c r="R16712" t="s">
        <v>579</v>
      </c>
      <c r="S16712" t="s">
        <v>824</v>
      </c>
      <c r="T16712">
        <v>39</v>
      </c>
      <c r="U16712" s="26" t="str">
        <f t="shared" si="635"/>
        <v>2023.017D.Poxviridae_55renam.zip</v>
      </c>
    </row>
    <row r="16713" spans="1:21">
      <c r="A16713">
        <v>16712</v>
      </c>
      <c r="B16713" s="27" t="s">
        <v>1980</v>
      </c>
      <c r="D16713" s="27" t="s">
        <v>1981</v>
      </c>
      <c r="F16713" s="27" t="s">
        <v>1982</v>
      </c>
      <c r="H16713" s="27" t="s">
        <v>1987</v>
      </c>
      <c r="J16713" s="27" t="s">
        <v>1989</v>
      </c>
      <c r="L16713" s="27" t="s">
        <v>457</v>
      </c>
      <c r="M16713" s="27" t="s">
        <v>458</v>
      </c>
      <c r="N16713" s="27" t="s">
        <v>296</v>
      </c>
      <c r="P16713" s="27" t="s">
        <v>18040</v>
      </c>
      <c r="Q16713" s="26" t="str">
        <f>HYPERLINK("https://ictv.global/taxonomy/taxondetails?taxnode_id=202504777&amp;ictv_id=ICTV19951964","ICTV19951964")</f>
        <v>ICTV19951964</v>
      </c>
      <c r="R16713" t="s">
        <v>579</v>
      </c>
      <c r="S16713" t="s">
        <v>824</v>
      </c>
      <c r="T16713">
        <v>39</v>
      </c>
      <c r="U16713" s="26" t="str">
        <f t="shared" ref="U16713:U16735" si="636">HYPERLINK("https://ictv.global/ictv/proposals/2023.017D.Poxviridae_55renam.zip","2023.017D.Poxviridae_55renam.zip")</f>
        <v>2023.017D.Poxviridae_55renam.zip</v>
      </c>
    </row>
    <row r="16714" spans="1:21">
      <c r="A16714">
        <v>16713</v>
      </c>
      <c r="B16714" s="27" t="s">
        <v>1980</v>
      </c>
      <c r="D16714" s="27" t="s">
        <v>1981</v>
      </c>
      <c r="F16714" s="27" t="s">
        <v>1982</v>
      </c>
      <c r="H16714" s="27" t="s">
        <v>1987</v>
      </c>
      <c r="J16714" s="27" t="s">
        <v>1989</v>
      </c>
      <c r="L16714" s="27" t="s">
        <v>457</v>
      </c>
      <c r="M16714" s="27" t="s">
        <v>458</v>
      </c>
      <c r="N16714" s="27" t="s">
        <v>1992</v>
      </c>
      <c r="P16714" s="27" t="s">
        <v>18041</v>
      </c>
      <c r="Q16714" s="26" t="str">
        <f>HYPERLINK("https://ictv.global/taxonomy/taxondetails?taxnode_id=202507152&amp;ictv_id=ICTV201907152","ICTV201907152")</f>
        <v>ICTV201907152</v>
      </c>
      <c r="R16714" t="s">
        <v>579</v>
      </c>
      <c r="S16714" t="s">
        <v>824</v>
      </c>
      <c r="T16714">
        <v>39</v>
      </c>
      <c r="U16714" s="26" t="str">
        <f t="shared" si="636"/>
        <v>2023.017D.Poxviridae_55renam.zip</v>
      </c>
    </row>
    <row r="16715" spans="1:21">
      <c r="A16715">
        <v>16714</v>
      </c>
      <c r="B16715" s="27" t="s">
        <v>1980</v>
      </c>
      <c r="D16715" s="27" t="s">
        <v>1981</v>
      </c>
      <c r="F16715" s="27" t="s">
        <v>1982</v>
      </c>
      <c r="H16715" s="27" t="s">
        <v>1987</v>
      </c>
      <c r="J16715" s="27" t="s">
        <v>1989</v>
      </c>
      <c r="L16715" s="27" t="s">
        <v>457</v>
      </c>
      <c r="M16715" s="27" t="s">
        <v>458</v>
      </c>
      <c r="N16715" s="27" t="s">
        <v>297</v>
      </c>
      <c r="P16715" s="27" t="s">
        <v>18042</v>
      </c>
      <c r="Q16715" s="26" t="str">
        <f>HYPERLINK("https://ictv.global/taxonomy/taxondetails?taxnode_id=202504779&amp;ictv_id=ICTV19710263","ICTV19710263")</f>
        <v>ICTV19710263</v>
      </c>
      <c r="R16715" t="s">
        <v>579</v>
      </c>
      <c r="S16715" t="s">
        <v>824</v>
      </c>
      <c r="T16715">
        <v>39</v>
      </c>
      <c r="U16715" s="26" t="str">
        <f t="shared" si="636"/>
        <v>2023.017D.Poxviridae_55renam.zip</v>
      </c>
    </row>
    <row r="16716" spans="1:21">
      <c r="A16716">
        <v>16715</v>
      </c>
      <c r="B16716" s="27" t="s">
        <v>1980</v>
      </c>
      <c r="D16716" s="27" t="s">
        <v>1981</v>
      </c>
      <c r="F16716" s="27" t="s">
        <v>1982</v>
      </c>
      <c r="H16716" s="27" t="s">
        <v>1987</v>
      </c>
      <c r="J16716" s="27" t="s">
        <v>1989</v>
      </c>
      <c r="L16716" s="27" t="s">
        <v>457</v>
      </c>
      <c r="M16716" s="27" t="s">
        <v>458</v>
      </c>
      <c r="N16716" s="27" t="s">
        <v>297</v>
      </c>
      <c r="P16716" s="27" t="s">
        <v>18043</v>
      </c>
      <c r="Q16716" s="26" t="str">
        <f>HYPERLINK("https://ictv.global/taxonomy/taxondetails?taxnode_id=202504780&amp;ictv_id=ICTV19710281","ICTV19710281")</f>
        <v>ICTV19710281</v>
      </c>
      <c r="R16716" t="s">
        <v>579</v>
      </c>
      <c r="S16716" t="s">
        <v>824</v>
      </c>
      <c r="T16716">
        <v>39</v>
      </c>
      <c r="U16716" s="26" t="str">
        <f t="shared" si="636"/>
        <v>2023.017D.Poxviridae_55renam.zip</v>
      </c>
    </row>
    <row r="16717" spans="1:21">
      <c r="A16717">
        <v>16716</v>
      </c>
      <c r="B16717" s="27" t="s">
        <v>1980</v>
      </c>
      <c r="D16717" s="27" t="s">
        <v>1981</v>
      </c>
      <c r="F16717" s="27" t="s">
        <v>1982</v>
      </c>
      <c r="H16717" s="27" t="s">
        <v>1987</v>
      </c>
      <c r="J16717" s="27" t="s">
        <v>1989</v>
      </c>
      <c r="L16717" s="27" t="s">
        <v>457</v>
      </c>
      <c r="M16717" s="27" t="s">
        <v>458</v>
      </c>
      <c r="N16717" s="27" t="s">
        <v>297</v>
      </c>
      <c r="P16717" s="27" t="s">
        <v>18044</v>
      </c>
      <c r="Q16717" s="26" t="str">
        <f>HYPERLINK("https://ictv.global/taxonomy/taxondetails?taxnode_id=202504782&amp;ictv_id=ICTV19710277","ICTV19710277")</f>
        <v>ICTV19710277</v>
      </c>
      <c r="R16717" t="s">
        <v>579</v>
      </c>
      <c r="S16717" t="s">
        <v>824</v>
      </c>
      <c r="T16717">
        <v>39</v>
      </c>
      <c r="U16717" s="26" t="str">
        <f t="shared" si="636"/>
        <v>2023.017D.Poxviridae_55renam.zip</v>
      </c>
    </row>
    <row r="16718" spans="1:21">
      <c r="A16718">
        <v>16717</v>
      </c>
      <c r="B16718" s="27" t="s">
        <v>1980</v>
      </c>
      <c r="D16718" s="27" t="s">
        <v>1981</v>
      </c>
      <c r="F16718" s="27" t="s">
        <v>1982</v>
      </c>
      <c r="H16718" s="27" t="s">
        <v>1987</v>
      </c>
      <c r="J16718" s="27" t="s">
        <v>1989</v>
      </c>
      <c r="L16718" s="27" t="s">
        <v>457</v>
      </c>
      <c r="M16718" s="27" t="s">
        <v>458</v>
      </c>
      <c r="N16718" s="27" t="s">
        <v>297</v>
      </c>
      <c r="P16718" s="27" t="s">
        <v>18045</v>
      </c>
      <c r="Q16718" s="26" t="str">
        <f>HYPERLINK("https://ictv.global/taxonomy/taxondetails?taxnode_id=202504781&amp;ictv_id=ICTV19951967","ICTV19951967")</f>
        <v>ICTV19951967</v>
      </c>
      <c r="R16718" t="s">
        <v>579</v>
      </c>
      <c r="S16718" t="s">
        <v>824</v>
      </c>
      <c r="T16718">
        <v>39</v>
      </c>
      <c r="U16718" s="26" t="str">
        <f t="shared" si="636"/>
        <v>2023.017D.Poxviridae_55renam.zip</v>
      </c>
    </row>
    <row r="16719" spans="1:21">
      <c r="A16719">
        <v>16718</v>
      </c>
      <c r="B16719" s="27" t="s">
        <v>1980</v>
      </c>
      <c r="D16719" s="27" t="s">
        <v>1981</v>
      </c>
      <c r="F16719" s="27" t="s">
        <v>1982</v>
      </c>
      <c r="H16719" s="27" t="s">
        <v>1987</v>
      </c>
      <c r="J16719" s="27" t="s">
        <v>1989</v>
      </c>
      <c r="L16719" s="27" t="s">
        <v>457</v>
      </c>
      <c r="M16719" s="27" t="s">
        <v>458</v>
      </c>
      <c r="N16719" s="27" t="s">
        <v>297</v>
      </c>
      <c r="P16719" s="27" t="s">
        <v>18046</v>
      </c>
      <c r="Q16719" s="26" t="str">
        <f>HYPERLINK("https://ictv.global/taxonomy/taxondetails?taxnode_id=202507153&amp;ictv_id=ICTV201907153","ICTV201907153")</f>
        <v>ICTV201907153</v>
      </c>
      <c r="R16719" t="s">
        <v>579</v>
      </c>
      <c r="S16719" t="s">
        <v>824</v>
      </c>
      <c r="T16719">
        <v>39</v>
      </c>
      <c r="U16719" s="26" t="str">
        <f t="shared" si="636"/>
        <v>2023.017D.Poxviridae_55renam.zip</v>
      </c>
    </row>
    <row r="16720" spans="1:21">
      <c r="A16720">
        <v>16719</v>
      </c>
      <c r="B16720" s="27" t="s">
        <v>1980</v>
      </c>
      <c r="D16720" s="27" t="s">
        <v>1981</v>
      </c>
      <c r="F16720" s="27" t="s">
        <v>1982</v>
      </c>
      <c r="H16720" s="27" t="s">
        <v>1987</v>
      </c>
      <c r="J16720" s="27" t="s">
        <v>1989</v>
      </c>
      <c r="L16720" s="27" t="s">
        <v>457</v>
      </c>
      <c r="M16720" s="27" t="s">
        <v>458</v>
      </c>
      <c r="N16720" s="27" t="s">
        <v>1993</v>
      </c>
      <c r="P16720" s="27" t="s">
        <v>18047</v>
      </c>
      <c r="Q16720" s="26" t="str">
        <f>HYPERLINK("https://ictv.global/taxonomy/taxondetails?taxnode_id=202504786&amp;ictv_id=ICTV20165423","ICTV20165423")</f>
        <v>ICTV20165423</v>
      </c>
      <c r="R16720" t="s">
        <v>579</v>
      </c>
      <c r="S16720" t="s">
        <v>824</v>
      </c>
      <c r="T16720">
        <v>39</v>
      </c>
      <c r="U16720" s="26" t="str">
        <f t="shared" si="636"/>
        <v>2023.017D.Poxviridae_55renam.zip</v>
      </c>
    </row>
    <row r="16721" spans="1:21">
      <c r="A16721">
        <v>16720</v>
      </c>
      <c r="B16721" s="27" t="s">
        <v>1980</v>
      </c>
      <c r="D16721" s="27" t="s">
        <v>1981</v>
      </c>
      <c r="F16721" s="27" t="s">
        <v>1982</v>
      </c>
      <c r="H16721" s="27" t="s">
        <v>1987</v>
      </c>
      <c r="J16721" s="27" t="s">
        <v>1989</v>
      </c>
      <c r="L16721" s="27" t="s">
        <v>457</v>
      </c>
      <c r="M16721" s="27" t="s">
        <v>458</v>
      </c>
      <c r="N16721" s="27" t="s">
        <v>1994</v>
      </c>
      <c r="P16721" s="27" t="s">
        <v>18048</v>
      </c>
      <c r="Q16721" s="26" t="str">
        <f>HYPERLINK("https://ictv.global/taxonomy/taxondetails?taxnode_id=202507156&amp;ictv_id=ICTV201907156","ICTV201907156")</f>
        <v>ICTV201907156</v>
      </c>
      <c r="R16721" t="s">
        <v>579</v>
      </c>
      <c r="S16721" t="s">
        <v>824</v>
      </c>
      <c r="T16721">
        <v>39</v>
      </c>
      <c r="U16721" s="26" t="str">
        <f t="shared" si="636"/>
        <v>2023.017D.Poxviridae_55renam.zip</v>
      </c>
    </row>
    <row r="16722" spans="1:21">
      <c r="A16722">
        <v>16721</v>
      </c>
      <c r="B16722" s="27" t="s">
        <v>1980</v>
      </c>
      <c r="D16722" s="27" t="s">
        <v>1981</v>
      </c>
      <c r="F16722" s="27" t="s">
        <v>1982</v>
      </c>
      <c r="H16722" s="27" t="s">
        <v>1987</v>
      </c>
      <c r="J16722" s="27" t="s">
        <v>1989</v>
      </c>
      <c r="L16722" s="27" t="s">
        <v>457</v>
      </c>
      <c r="M16722" s="27" t="s">
        <v>458</v>
      </c>
      <c r="N16722" s="27" t="s">
        <v>1995</v>
      </c>
      <c r="P16722" s="27" t="s">
        <v>18049</v>
      </c>
      <c r="Q16722" s="26" t="str">
        <f>HYPERLINK("https://ictv.global/taxonomy/taxondetails?taxnode_id=202504787&amp;ictv_id=ICTV19991488","ICTV19991488")</f>
        <v>ICTV19991488</v>
      </c>
      <c r="R16722" t="s">
        <v>579</v>
      </c>
      <c r="S16722" t="s">
        <v>824</v>
      </c>
      <c r="T16722">
        <v>39</v>
      </c>
      <c r="U16722" s="26" t="str">
        <f t="shared" si="636"/>
        <v>2023.017D.Poxviridae_55renam.zip</v>
      </c>
    </row>
    <row r="16723" spans="1:21">
      <c r="A16723">
        <v>16722</v>
      </c>
      <c r="B16723" s="27" t="s">
        <v>1980</v>
      </c>
      <c r="D16723" s="27" t="s">
        <v>1981</v>
      </c>
      <c r="F16723" s="27" t="s">
        <v>1982</v>
      </c>
      <c r="H16723" s="27" t="s">
        <v>1987</v>
      </c>
      <c r="J16723" s="27" t="s">
        <v>1989</v>
      </c>
      <c r="L16723" s="27" t="s">
        <v>457</v>
      </c>
      <c r="M16723" s="27" t="s">
        <v>458</v>
      </c>
      <c r="N16723" s="27" t="s">
        <v>298</v>
      </c>
      <c r="P16723" s="27" t="s">
        <v>18050</v>
      </c>
      <c r="Q16723" s="26" t="str">
        <f>HYPERLINK("https://ictv.global/taxonomy/taxondetails?taxnode_id=202504784&amp;ictv_id=ICTV19710290","ICTV19710290")</f>
        <v>ICTV19710290</v>
      </c>
      <c r="R16723" t="s">
        <v>579</v>
      </c>
      <c r="S16723" t="s">
        <v>824</v>
      </c>
      <c r="T16723">
        <v>39</v>
      </c>
      <c r="U16723" s="26" t="str">
        <f t="shared" si="636"/>
        <v>2023.017D.Poxviridae_55renam.zip</v>
      </c>
    </row>
    <row r="16724" spans="1:21">
      <c r="A16724">
        <v>16723</v>
      </c>
      <c r="B16724" s="27" t="s">
        <v>1980</v>
      </c>
      <c r="D16724" s="27" t="s">
        <v>1981</v>
      </c>
      <c r="F16724" s="27" t="s">
        <v>1982</v>
      </c>
      <c r="H16724" s="27" t="s">
        <v>1987</v>
      </c>
      <c r="J16724" s="27" t="s">
        <v>1989</v>
      </c>
      <c r="L16724" s="27" t="s">
        <v>457</v>
      </c>
      <c r="M16724" s="27" t="s">
        <v>458</v>
      </c>
      <c r="N16724" s="27" t="s">
        <v>1996</v>
      </c>
      <c r="P16724" s="27" t="s">
        <v>18051</v>
      </c>
      <c r="Q16724" s="26" t="str">
        <f>HYPERLINK("https://ictv.global/taxonomy/taxondetails?taxnode_id=202507159&amp;ictv_id=ICTV201907159","ICTV201907159")</f>
        <v>ICTV201907159</v>
      </c>
      <c r="R16724" t="s">
        <v>579</v>
      </c>
      <c r="S16724" t="s">
        <v>824</v>
      </c>
      <c r="T16724">
        <v>39</v>
      </c>
      <c r="U16724" s="26" t="str">
        <f t="shared" si="636"/>
        <v>2023.017D.Poxviridae_55renam.zip</v>
      </c>
    </row>
    <row r="16725" spans="1:21">
      <c r="A16725">
        <v>16724</v>
      </c>
      <c r="B16725" s="27" t="s">
        <v>1980</v>
      </c>
      <c r="D16725" s="27" t="s">
        <v>1981</v>
      </c>
      <c r="F16725" s="27" t="s">
        <v>1982</v>
      </c>
      <c r="H16725" s="27" t="s">
        <v>1987</v>
      </c>
      <c r="J16725" s="27" t="s">
        <v>1989</v>
      </c>
      <c r="L16725" s="27" t="s">
        <v>457</v>
      </c>
      <c r="M16725" s="27" t="s">
        <v>458</v>
      </c>
      <c r="N16725" s="27" t="s">
        <v>198</v>
      </c>
      <c r="P16725" s="27" t="s">
        <v>18052</v>
      </c>
      <c r="Q16725" s="26" t="str">
        <f>HYPERLINK("https://ictv.global/taxonomy/taxondetails?taxnode_id=202504789&amp;ictv_id=ICTV19710291","ICTV19710291")</f>
        <v>ICTV19710291</v>
      </c>
      <c r="R16725" t="s">
        <v>579</v>
      </c>
      <c r="S16725" t="s">
        <v>824</v>
      </c>
      <c r="T16725">
        <v>39</v>
      </c>
      <c r="U16725" s="26" t="str">
        <f t="shared" si="636"/>
        <v>2023.017D.Poxviridae_55renam.zip</v>
      </c>
    </row>
    <row r="16726" spans="1:21">
      <c r="A16726">
        <v>16725</v>
      </c>
      <c r="B16726" s="27" t="s">
        <v>1980</v>
      </c>
      <c r="D16726" s="27" t="s">
        <v>1981</v>
      </c>
      <c r="F16726" s="27" t="s">
        <v>1982</v>
      </c>
      <c r="H16726" s="27" t="s">
        <v>1987</v>
      </c>
      <c r="J16726" s="27" t="s">
        <v>1989</v>
      </c>
      <c r="L16726" s="27" t="s">
        <v>457</v>
      </c>
      <c r="M16726" s="27" t="s">
        <v>458</v>
      </c>
      <c r="N16726" s="27" t="s">
        <v>198</v>
      </c>
      <c r="P16726" s="27" t="s">
        <v>18053</v>
      </c>
      <c r="Q16726" s="26" t="str">
        <f>HYPERLINK("https://ictv.global/taxonomy/taxondetails?taxnode_id=202504790&amp;ictv_id=ICTV19760500","ICTV19760500")</f>
        <v>ICTV19760500</v>
      </c>
      <c r="R16726" t="s">
        <v>579</v>
      </c>
      <c r="S16726" t="s">
        <v>824</v>
      </c>
      <c r="T16726">
        <v>39</v>
      </c>
      <c r="U16726" s="26" t="str">
        <f t="shared" si="636"/>
        <v>2023.017D.Poxviridae_55renam.zip</v>
      </c>
    </row>
    <row r="16727" spans="1:21">
      <c r="A16727">
        <v>16726</v>
      </c>
      <c r="B16727" s="27" t="s">
        <v>1980</v>
      </c>
      <c r="D16727" s="27" t="s">
        <v>1981</v>
      </c>
      <c r="F16727" s="27" t="s">
        <v>1982</v>
      </c>
      <c r="H16727" s="27" t="s">
        <v>1987</v>
      </c>
      <c r="J16727" s="27" t="s">
        <v>1989</v>
      </c>
      <c r="L16727" s="27" t="s">
        <v>457</v>
      </c>
      <c r="M16727" s="27" t="s">
        <v>199</v>
      </c>
      <c r="N16727" s="27" t="s">
        <v>401</v>
      </c>
      <c r="P16727" s="27" t="s">
        <v>18054</v>
      </c>
      <c r="Q16727" s="26" t="str">
        <f>HYPERLINK("https://ictv.global/taxonomy/taxondetails?taxnode_id=202504793&amp;ictv_id=ICTV19760460","ICTV19760460")</f>
        <v>ICTV19760460</v>
      </c>
      <c r="R16727" t="s">
        <v>579</v>
      </c>
      <c r="S16727" t="s">
        <v>824</v>
      </c>
      <c r="T16727">
        <v>39</v>
      </c>
      <c r="U16727" s="26" t="str">
        <f t="shared" si="636"/>
        <v>2023.017D.Poxviridae_55renam.zip</v>
      </c>
    </row>
    <row r="16728" spans="1:21">
      <c r="A16728">
        <v>16727</v>
      </c>
      <c r="B16728" s="27" t="s">
        <v>1980</v>
      </c>
      <c r="D16728" s="27" t="s">
        <v>1981</v>
      </c>
      <c r="F16728" s="27" t="s">
        <v>1982</v>
      </c>
      <c r="H16728" s="27" t="s">
        <v>1987</v>
      </c>
      <c r="J16728" s="27" t="s">
        <v>1989</v>
      </c>
      <c r="L16728" s="27" t="s">
        <v>457</v>
      </c>
      <c r="M16728" s="27" t="s">
        <v>199</v>
      </c>
      <c r="N16728" s="27" t="s">
        <v>401</v>
      </c>
      <c r="P16728" s="27" t="s">
        <v>18055</v>
      </c>
      <c r="Q16728" s="26" t="str">
        <f>HYPERLINK("https://ictv.global/taxonomy/taxondetails?taxnode_id=202504799&amp;ictv_id=ICTV19760476","ICTV19760476")</f>
        <v>ICTV19760476</v>
      </c>
      <c r="R16728" t="s">
        <v>579</v>
      </c>
      <c r="S16728" t="s">
        <v>824</v>
      </c>
      <c r="T16728">
        <v>39</v>
      </c>
      <c r="U16728" s="26" t="str">
        <f t="shared" si="636"/>
        <v>2023.017D.Poxviridae_55renam.zip</v>
      </c>
    </row>
    <row r="16729" spans="1:21">
      <c r="A16729">
        <v>16728</v>
      </c>
      <c r="B16729" s="27" t="s">
        <v>1980</v>
      </c>
      <c r="D16729" s="27" t="s">
        <v>1981</v>
      </c>
      <c r="F16729" s="27" t="s">
        <v>1982</v>
      </c>
      <c r="H16729" s="27" t="s">
        <v>1987</v>
      </c>
      <c r="J16729" s="27" t="s">
        <v>1989</v>
      </c>
      <c r="L16729" s="27" t="s">
        <v>457</v>
      </c>
      <c r="M16729" s="27" t="s">
        <v>199</v>
      </c>
      <c r="N16729" s="27" t="s">
        <v>177</v>
      </c>
      <c r="P16729" s="27" t="s">
        <v>18056</v>
      </c>
      <c r="Q16729" s="26" t="str">
        <f>HYPERLINK("https://ictv.global/taxonomy/taxondetails?taxnode_id=202504802&amp;ictv_id=ICTV20143431","ICTV20143431")</f>
        <v>ICTV20143431</v>
      </c>
      <c r="R16729" t="s">
        <v>579</v>
      </c>
      <c r="S16729" t="s">
        <v>824</v>
      </c>
      <c r="T16729">
        <v>39</v>
      </c>
      <c r="U16729" s="26" t="str">
        <f t="shared" si="636"/>
        <v>2023.017D.Poxviridae_55renam.zip</v>
      </c>
    </row>
    <row r="16730" spans="1:21">
      <c r="A16730">
        <v>16729</v>
      </c>
      <c r="B16730" s="27" t="s">
        <v>1980</v>
      </c>
      <c r="D16730" s="27" t="s">
        <v>1981</v>
      </c>
      <c r="F16730" s="27" t="s">
        <v>1982</v>
      </c>
      <c r="H16730" s="27" t="s">
        <v>1987</v>
      </c>
      <c r="J16730" s="27" t="s">
        <v>1989</v>
      </c>
      <c r="L16730" s="27" t="s">
        <v>457</v>
      </c>
      <c r="M16730" s="27" t="s">
        <v>199</v>
      </c>
      <c r="N16730" s="27" t="s">
        <v>177</v>
      </c>
      <c r="P16730" s="27" t="s">
        <v>18057</v>
      </c>
      <c r="Q16730" s="26" t="str">
        <f>HYPERLINK("https://ictv.global/taxonomy/taxondetails?taxnode_id=202504803&amp;ictv_id=ICTV19760459","ICTV19760459")</f>
        <v>ICTV19760459</v>
      </c>
      <c r="R16730" t="s">
        <v>579</v>
      </c>
      <c r="S16730" t="s">
        <v>824</v>
      </c>
      <c r="T16730">
        <v>39</v>
      </c>
      <c r="U16730" s="26" t="str">
        <f t="shared" si="636"/>
        <v>2023.017D.Poxviridae_55renam.zip</v>
      </c>
    </row>
    <row r="16731" spans="1:21">
      <c r="A16731">
        <v>16730</v>
      </c>
      <c r="B16731" s="27" t="s">
        <v>1980</v>
      </c>
      <c r="D16731" s="27" t="s">
        <v>1981</v>
      </c>
      <c r="F16731" s="27" t="s">
        <v>1982</v>
      </c>
      <c r="H16731" s="27" t="s">
        <v>1987</v>
      </c>
      <c r="J16731" s="27" t="s">
        <v>1989</v>
      </c>
      <c r="L16731" s="27" t="s">
        <v>457</v>
      </c>
      <c r="M16731" s="27" t="s">
        <v>199</v>
      </c>
      <c r="N16731" s="27" t="s">
        <v>177</v>
      </c>
      <c r="P16731" s="27" t="s">
        <v>18058</v>
      </c>
      <c r="Q16731" s="26" t="str">
        <f>HYPERLINK("https://ictv.global/taxonomy/taxondetails?taxnode_id=202504805&amp;ictv_id=ICTV19760466","ICTV19760466")</f>
        <v>ICTV19760466</v>
      </c>
      <c r="R16731" t="s">
        <v>579</v>
      </c>
      <c r="S16731" t="s">
        <v>824</v>
      </c>
      <c r="T16731">
        <v>39</v>
      </c>
      <c r="U16731" s="26" t="str">
        <f t="shared" si="636"/>
        <v>2023.017D.Poxviridae_55renam.zip</v>
      </c>
    </row>
    <row r="16732" spans="1:21">
      <c r="A16732">
        <v>16731</v>
      </c>
      <c r="B16732" s="27" t="s">
        <v>1980</v>
      </c>
      <c r="D16732" s="27" t="s">
        <v>1981</v>
      </c>
      <c r="F16732" s="27" t="s">
        <v>1982</v>
      </c>
      <c r="H16732" s="27" t="s">
        <v>1987</v>
      </c>
      <c r="J16732" s="27" t="s">
        <v>1989</v>
      </c>
      <c r="L16732" s="27" t="s">
        <v>457</v>
      </c>
      <c r="M16732" s="27" t="s">
        <v>199</v>
      </c>
      <c r="N16732" s="27" t="s">
        <v>177</v>
      </c>
      <c r="P16732" s="27" t="s">
        <v>18059</v>
      </c>
      <c r="Q16732" s="26" t="str">
        <f>HYPERLINK("https://ictv.global/taxonomy/taxondetails?taxnode_id=202504808&amp;ictv_id=ICTV19991505","ICTV19991505")</f>
        <v>ICTV19991505</v>
      </c>
      <c r="R16732" t="s">
        <v>579</v>
      </c>
      <c r="S16732" t="s">
        <v>824</v>
      </c>
      <c r="T16732">
        <v>39</v>
      </c>
      <c r="U16732" s="26" t="str">
        <f t="shared" si="636"/>
        <v>2023.017D.Poxviridae_55renam.zip</v>
      </c>
    </row>
    <row r="16733" spans="1:21">
      <c r="A16733">
        <v>16732</v>
      </c>
      <c r="B16733" s="27" t="s">
        <v>1980</v>
      </c>
      <c r="D16733" s="27" t="s">
        <v>1981</v>
      </c>
      <c r="F16733" s="27" t="s">
        <v>1982</v>
      </c>
      <c r="H16733" s="27" t="s">
        <v>1987</v>
      </c>
      <c r="J16733" s="27" t="s">
        <v>1989</v>
      </c>
      <c r="L16733" s="27" t="s">
        <v>457</v>
      </c>
      <c r="M16733" s="27" t="s">
        <v>199</v>
      </c>
      <c r="N16733" s="27" t="s">
        <v>177</v>
      </c>
      <c r="P16733" s="27" t="s">
        <v>18060</v>
      </c>
      <c r="Q16733" s="26" t="str">
        <f>HYPERLINK("https://ictv.global/taxonomy/taxondetails?taxnode_id=202504809&amp;ictv_id=ICTV20143432","ICTV20143432")</f>
        <v>ICTV20143432</v>
      </c>
      <c r="R16733" t="s">
        <v>579</v>
      </c>
      <c r="S16733" t="s">
        <v>824</v>
      </c>
      <c r="T16733">
        <v>39</v>
      </c>
      <c r="U16733" s="26" t="str">
        <f t="shared" si="636"/>
        <v>2023.017D.Poxviridae_55renam.zip</v>
      </c>
    </row>
    <row r="16734" spans="1:21">
      <c r="A16734">
        <v>16733</v>
      </c>
      <c r="B16734" s="27" t="s">
        <v>1980</v>
      </c>
      <c r="D16734" s="27" t="s">
        <v>1981</v>
      </c>
      <c r="F16734" s="27" t="s">
        <v>1982</v>
      </c>
      <c r="H16734" s="27" t="s">
        <v>1987</v>
      </c>
      <c r="J16734" s="27" t="s">
        <v>1989</v>
      </c>
      <c r="L16734" s="27" t="s">
        <v>457</v>
      </c>
      <c r="M16734" s="27" t="s">
        <v>199</v>
      </c>
      <c r="N16734" s="27" t="s">
        <v>177</v>
      </c>
      <c r="P16734" s="27" t="s">
        <v>18061</v>
      </c>
      <c r="Q16734" s="26" t="str">
        <f>HYPERLINK("https://ictv.global/taxonomy/taxondetails?taxnode_id=202504813&amp;ictv_id=ICTV20143433","ICTV20143433")</f>
        <v>ICTV20143433</v>
      </c>
      <c r="R16734" t="s">
        <v>579</v>
      </c>
      <c r="S16734" t="s">
        <v>824</v>
      </c>
      <c r="T16734">
        <v>39</v>
      </c>
      <c r="U16734" s="26" t="str">
        <f t="shared" si="636"/>
        <v>2023.017D.Poxviridae_55renam.zip</v>
      </c>
    </row>
    <row r="16735" spans="1:21">
      <c r="A16735">
        <v>16734</v>
      </c>
      <c r="B16735" s="27" t="s">
        <v>1980</v>
      </c>
      <c r="D16735" s="27" t="s">
        <v>1981</v>
      </c>
      <c r="F16735" s="27" t="s">
        <v>1982</v>
      </c>
      <c r="H16735" s="27" t="s">
        <v>1987</v>
      </c>
      <c r="J16735" s="27" t="s">
        <v>1989</v>
      </c>
      <c r="L16735" s="27" t="s">
        <v>457</v>
      </c>
      <c r="M16735" s="27" t="s">
        <v>199</v>
      </c>
      <c r="N16735" s="27" t="s">
        <v>1997</v>
      </c>
      <c r="P16735" s="27" t="s">
        <v>18062</v>
      </c>
      <c r="Q16735" s="26" t="str">
        <f>HYPERLINK("https://ictv.global/taxonomy/taxondetails?taxnode_id=202504826&amp;ictv_id=ICTV20095322","ICTV20095322")</f>
        <v>ICTV20095322</v>
      </c>
      <c r="R16735" t="s">
        <v>579</v>
      </c>
      <c r="S16735" t="s">
        <v>824</v>
      </c>
      <c r="T16735">
        <v>39</v>
      </c>
      <c r="U16735" s="26" t="str">
        <f t="shared" si="636"/>
        <v>2023.017D.Poxviridae_55renam.zip</v>
      </c>
    </row>
    <row r="16736" spans="1:21">
      <c r="A16736">
        <v>16735</v>
      </c>
      <c r="B16736" s="27" t="s">
        <v>1980</v>
      </c>
      <c r="D16736" s="27" t="s">
        <v>1981</v>
      </c>
      <c r="F16736" s="27" t="s">
        <v>1982</v>
      </c>
      <c r="H16736" s="27" t="s">
        <v>1987</v>
      </c>
      <c r="J16736" s="27" t="s">
        <v>1989</v>
      </c>
      <c r="L16736" s="27" t="s">
        <v>457</v>
      </c>
      <c r="M16736" s="27" t="s">
        <v>199</v>
      </c>
      <c r="N16736" s="27" t="s">
        <v>18063</v>
      </c>
      <c r="P16736" s="27" t="s">
        <v>18064</v>
      </c>
      <c r="Q16736" s="26" t="str">
        <f>HYPERLINK("https://ictv.global/taxonomy/taxondetails?taxnode_id=202504825&amp;ictv_id=ICTV20074499","ICTV20074499")</f>
        <v>ICTV20074499</v>
      </c>
      <c r="R16736" t="s">
        <v>579</v>
      </c>
      <c r="S16736" t="s">
        <v>22764</v>
      </c>
      <c r="T16736">
        <v>39</v>
      </c>
      <c r="U16736" s="26" t="str">
        <f>HYPERLINK("https://ictv.global/ictv/proposals/2023.016D.Poxviridae_1ng.zip","2023.016D.Poxviridae_1ng.zip")</f>
        <v>2023.016D.Poxviridae_1ng.zip</v>
      </c>
    </row>
    <row r="16737" spans="1:21">
      <c r="A16737">
        <v>16736</v>
      </c>
      <c r="B16737" s="27" t="s">
        <v>1980</v>
      </c>
      <c r="D16737" s="27" t="s">
        <v>1981</v>
      </c>
      <c r="F16737" s="27" t="s">
        <v>1998</v>
      </c>
      <c r="G16737" s="27" t="s">
        <v>20663</v>
      </c>
      <c r="H16737" s="27" t="s">
        <v>20664</v>
      </c>
      <c r="J16737" s="27" t="s">
        <v>20665</v>
      </c>
      <c r="L16737" s="27" t="s">
        <v>20666</v>
      </c>
      <c r="N16737" s="27" t="s">
        <v>20667</v>
      </c>
      <c r="P16737" s="27" t="s">
        <v>20668</v>
      </c>
      <c r="Q16737" s="26" t="str">
        <f>HYPERLINK("https://ictv.global/taxonomy/taxondetails?taxnode_id=202520461&amp;ictv_id=ICTV202420461","ICTV202420461")</f>
        <v>ICTV202420461</v>
      </c>
      <c r="R16737" t="s">
        <v>579</v>
      </c>
      <c r="S16737" t="s">
        <v>823</v>
      </c>
      <c r="T16737">
        <v>40</v>
      </c>
      <c r="U16737" s="26" t="str">
        <f t="shared" ref="U16737:U16742" si="637">HYPERLINK("https://ictv.global/ictv/proposals/2024.010D.Varidnaviria_reorg.zip","2024.010D.Varidnaviria_reorg.zip")</f>
        <v>2024.010D.Varidnaviria_reorg.zip</v>
      </c>
    </row>
    <row r="16738" spans="1:21">
      <c r="A16738">
        <v>16737</v>
      </c>
      <c r="B16738" s="27" t="s">
        <v>1980</v>
      </c>
      <c r="D16738" s="27" t="s">
        <v>1981</v>
      </c>
      <c r="F16738" s="27" t="s">
        <v>1998</v>
      </c>
      <c r="G16738" s="27" t="s">
        <v>20663</v>
      </c>
      <c r="H16738" s="27" t="s">
        <v>20669</v>
      </c>
      <c r="J16738" s="27" t="s">
        <v>2003</v>
      </c>
      <c r="L16738" s="27" t="s">
        <v>394</v>
      </c>
      <c r="N16738" s="27" t="s">
        <v>335</v>
      </c>
      <c r="P16738" s="27" t="s">
        <v>18090</v>
      </c>
      <c r="Q16738" s="26" t="str">
        <f>HYPERLINK("https://ictv.global/taxonomy/taxondetails?taxnode_id=202517883&amp;ictv_id=ICTV202317883","ICTV202317883")</f>
        <v>ICTV202317883</v>
      </c>
      <c r="R16738" t="s">
        <v>579</v>
      </c>
      <c r="S16738" t="s">
        <v>22763</v>
      </c>
      <c r="T16738">
        <v>40</v>
      </c>
      <c r="U16738" s="26" t="str">
        <f t="shared" si="637"/>
        <v>2024.010D.Varidnaviria_reorg.zip</v>
      </c>
    </row>
    <row r="16739" spans="1:21">
      <c r="A16739">
        <v>16738</v>
      </c>
      <c r="B16739" s="27" t="s">
        <v>1980</v>
      </c>
      <c r="D16739" s="27" t="s">
        <v>1981</v>
      </c>
      <c r="F16739" s="27" t="s">
        <v>1998</v>
      </c>
      <c r="G16739" s="27" t="s">
        <v>20663</v>
      </c>
      <c r="H16739" s="27" t="s">
        <v>20669</v>
      </c>
      <c r="J16739" s="27" t="s">
        <v>2003</v>
      </c>
      <c r="L16739" s="27" t="s">
        <v>394</v>
      </c>
      <c r="N16739" s="27" t="s">
        <v>335</v>
      </c>
      <c r="P16739" s="27" t="s">
        <v>18091</v>
      </c>
      <c r="Q16739" s="26" t="str">
        <f>HYPERLINK("https://ictv.global/taxonomy/taxondetails?taxnode_id=202502398&amp;ictv_id=ICTV20151732","ICTV20151732")</f>
        <v>ICTV20151732</v>
      </c>
      <c r="R16739" t="s">
        <v>579</v>
      </c>
      <c r="S16739" t="s">
        <v>22763</v>
      </c>
      <c r="T16739">
        <v>40</v>
      </c>
      <c r="U16739" s="26" t="str">
        <f t="shared" si="637"/>
        <v>2024.010D.Varidnaviria_reorg.zip</v>
      </c>
    </row>
    <row r="16740" spans="1:21">
      <c r="A16740">
        <v>16739</v>
      </c>
      <c r="B16740" s="27" t="s">
        <v>1980</v>
      </c>
      <c r="D16740" s="27" t="s">
        <v>1981</v>
      </c>
      <c r="F16740" s="27" t="s">
        <v>1998</v>
      </c>
      <c r="G16740" s="27" t="s">
        <v>20663</v>
      </c>
      <c r="H16740" s="27" t="s">
        <v>20669</v>
      </c>
      <c r="J16740" s="27" t="s">
        <v>2003</v>
      </c>
      <c r="L16740" s="27" t="s">
        <v>394</v>
      </c>
      <c r="N16740" s="27" t="s">
        <v>335</v>
      </c>
      <c r="P16740" s="27" t="s">
        <v>18092</v>
      </c>
      <c r="Q16740" s="26" t="str">
        <f>HYPERLINK("https://ictv.global/taxonomy/taxondetails?taxnode_id=202502405&amp;ictv_id=ICTV19990507","ICTV19990507")</f>
        <v>ICTV19990507</v>
      </c>
      <c r="R16740" t="s">
        <v>579</v>
      </c>
      <c r="S16740" t="s">
        <v>22763</v>
      </c>
      <c r="T16740">
        <v>40</v>
      </c>
      <c r="U16740" s="26" t="str">
        <f t="shared" si="637"/>
        <v>2024.010D.Varidnaviria_reorg.zip</v>
      </c>
    </row>
    <row r="16741" spans="1:21">
      <c r="A16741">
        <v>16740</v>
      </c>
      <c r="B16741" s="27" t="s">
        <v>1980</v>
      </c>
      <c r="D16741" s="27" t="s">
        <v>1981</v>
      </c>
      <c r="F16741" s="27" t="s">
        <v>1998</v>
      </c>
      <c r="G16741" s="27" t="s">
        <v>20663</v>
      </c>
      <c r="H16741" s="27" t="s">
        <v>20669</v>
      </c>
      <c r="J16741" s="27" t="s">
        <v>2003</v>
      </c>
      <c r="L16741" s="27" t="s">
        <v>394</v>
      </c>
      <c r="N16741" s="27" t="s">
        <v>335</v>
      </c>
      <c r="P16741" s="27" t="s">
        <v>18093</v>
      </c>
      <c r="Q16741" s="26" t="str">
        <f>HYPERLINK("https://ictv.global/taxonomy/taxondetails?taxnode_id=202517880&amp;ictv_id=ICTV202317880","ICTV202317880")</f>
        <v>ICTV202317880</v>
      </c>
      <c r="R16741" t="s">
        <v>579</v>
      </c>
      <c r="S16741" t="s">
        <v>22763</v>
      </c>
      <c r="T16741">
        <v>40</v>
      </c>
      <c r="U16741" s="26" t="str">
        <f t="shared" si="637"/>
        <v>2024.010D.Varidnaviria_reorg.zip</v>
      </c>
    </row>
    <row r="16742" spans="1:21">
      <c r="A16742">
        <v>16741</v>
      </c>
      <c r="B16742" s="27" t="s">
        <v>1980</v>
      </c>
      <c r="D16742" s="27" t="s">
        <v>1981</v>
      </c>
      <c r="F16742" s="27" t="s">
        <v>1998</v>
      </c>
      <c r="G16742" s="27" t="s">
        <v>20663</v>
      </c>
      <c r="H16742" s="27" t="s">
        <v>20669</v>
      </c>
      <c r="J16742" s="27" t="s">
        <v>2003</v>
      </c>
      <c r="L16742" s="27" t="s">
        <v>394</v>
      </c>
      <c r="N16742" s="27" t="s">
        <v>335</v>
      </c>
      <c r="P16742" s="27" t="s">
        <v>18094</v>
      </c>
      <c r="Q16742" s="26" t="str">
        <f>HYPERLINK("https://ictv.global/taxonomy/taxondetails?taxnode_id=202517882&amp;ictv_id=ICTV202317882","ICTV202317882")</f>
        <v>ICTV202317882</v>
      </c>
      <c r="R16742" t="s">
        <v>579</v>
      </c>
      <c r="S16742" t="s">
        <v>22763</v>
      </c>
      <c r="T16742">
        <v>40</v>
      </c>
      <c r="U16742" s="26" t="str">
        <f t="shared" si="637"/>
        <v>2024.010D.Varidnaviria_reorg.zip</v>
      </c>
    </row>
    <row r="16743" spans="1:21">
      <c r="A16743">
        <v>16742</v>
      </c>
      <c r="B16743" s="27" t="s">
        <v>1980</v>
      </c>
      <c r="D16743" s="27" t="s">
        <v>1981</v>
      </c>
      <c r="F16743" s="27" t="s">
        <v>1998</v>
      </c>
      <c r="G16743" s="27" t="s">
        <v>20663</v>
      </c>
      <c r="H16743" s="27" t="s">
        <v>20669</v>
      </c>
      <c r="J16743" s="27" t="s">
        <v>2003</v>
      </c>
      <c r="L16743" s="27" t="s">
        <v>394</v>
      </c>
      <c r="N16743" s="27" t="s">
        <v>335</v>
      </c>
      <c r="P16743" s="27" t="s">
        <v>20670</v>
      </c>
      <c r="Q16743" s="26" t="str">
        <f>HYPERLINK("https://ictv.global/taxonomy/taxondetails?taxnode_id=202520139&amp;ictv_id=ICTV202420139","ICTV202420139")</f>
        <v>ICTV202420139</v>
      </c>
      <c r="R16743" t="s">
        <v>579</v>
      </c>
      <c r="S16743" t="s">
        <v>823</v>
      </c>
      <c r="T16743">
        <v>40</v>
      </c>
      <c r="U16743" s="26" t="str">
        <f>HYPERLINK("https://ictv.global/ictv/proposals/2024.004D.Adenoviridae_16ns.zip","2024.004D.Adenoviridae_16ns.zip")</f>
        <v>2024.004D.Adenoviridae_16ns.zip</v>
      </c>
    </row>
    <row r="16744" spans="1:21">
      <c r="A16744">
        <v>16743</v>
      </c>
      <c r="B16744" s="27" t="s">
        <v>1980</v>
      </c>
      <c r="D16744" s="27" t="s">
        <v>1981</v>
      </c>
      <c r="F16744" s="27" t="s">
        <v>1998</v>
      </c>
      <c r="G16744" s="27" t="s">
        <v>20663</v>
      </c>
      <c r="H16744" s="27" t="s">
        <v>20669</v>
      </c>
      <c r="J16744" s="27" t="s">
        <v>2003</v>
      </c>
      <c r="L16744" s="27" t="s">
        <v>394</v>
      </c>
      <c r="N16744" s="27" t="s">
        <v>335</v>
      </c>
      <c r="P16744" s="27" t="s">
        <v>21247</v>
      </c>
      <c r="Q16744" s="26" t="str">
        <f>HYPERLINK("https://ictv.global/taxonomy/taxondetails?taxnode_id=202522151&amp;ictv_id=ICTV202522151","ICTV202522151")</f>
        <v>ICTV202522151</v>
      </c>
      <c r="R16744" t="s">
        <v>579</v>
      </c>
      <c r="S16744" t="s">
        <v>823</v>
      </c>
      <c r="T16744">
        <v>41</v>
      </c>
      <c r="U16744" s="26" t="str">
        <f>HYPERLINK("https://ictv.global/ictv/proposals/2025.004D.Adenoviridae_20ns.zip","2025.004D.Adenoviridae_20ns.zip")</f>
        <v>2025.004D.Adenoviridae_20ns.zip</v>
      </c>
    </row>
    <row r="16745" spans="1:21">
      <c r="A16745">
        <v>16744</v>
      </c>
      <c r="B16745" s="27" t="s">
        <v>1980</v>
      </c>
      <c r="D16745" s="27" t="s">
        <v>1981</v>
      </c>
      <c r="F16745" s="27" t="s">
        <v>1998</v>
      </c>
      <c r="G16745" s="27" t="s">
        <v>20663</v>
      </c>
      <c r="H16745" s="27" t="s">
        <v>20669</v>
      </c>
      <c r="J16745" s="27" t="s">
        <v>2003</v>
      </c>
      <c r="L16745" s="27" t="s">
        <v>394</v>
      </c>
      <c r="N16745" s="27" t="s">
        <v>335</v>
      </c>
      <c r="P16745" s="27" t="s">
        <v>18095</v>
      </c>
      <c r="Q16745" s="26" t="str">
        <f>HYPERLINK("https://ictv.global/taxonomy/taxondetails?taxnode_id=202502406&amp;ictv_id=ICTV20151733","ICTV20151733")</f>
        <v>ICTV20151733</v>
      </c>
      <c r="R16745" t="s">
        <v>579</v>
      </c>
      <c r="S16745" t="s">
        <v>22763</v>
      </c>
      <c r="T16745">
        <v>40</v>
      </c>
      <c r="U16745" s="26" t="str">
        <f t="shared" ref="U16745:U16755" si="638">HYPERLINK("https://ictv.global/ictv/proposals/2024.010D.Varidnaviria_reorg.zip","2024.010D.Varidnaviria_reorg.zip")</f>
        <v>2024.010D.Varidnaviria_reorg.zip</v>
      </c>
    </row>
    <row r="16746" spans="1:21">
      <c r="A16746">
        <v>16745</v>
      </c>
      <c r="B16746" s="27" t="s">
        <v>1980</v>
      </c>
      <c r="D16746" s="27" t="s">
        <v>1981</v>
      </c>
      <c r="F16746" s="27" t="s">
        <v>1998</v>
      </c>
      <c r="G16746" s="27" t="s">
        <v>20663</v>
      </c>
      <c r="H16746" s="27" t="s">
        <v>20669</v>
      </c>
      <c r="J16746" s="27" t="s">
        <v>2003</v>
      </c>
      <c r="L16746" s="27" t="s">
        <v>394</v>
      </c>
      <c r="N16746" s="27" t="s">
        <v>335</v>
      </c>
      <c r="P16746" s="27" t="s">
        <v>18096</v>
      </c>
      <c r="Q16746" s="26" t="str">
        <f>HYPERLINK("https://ictv.global/taxonomy/taxondetails?taxnode_id=202505653&amp;ictv_id=ICTV20175653","ICTV20175653")</f>
        <v>ICTV20175653</v>
      </c>
      <c r="R16746" t="s">
        <v>579</v>
      </c>
      <c r="S16746" t="s">
        <v>22763</v>
      </c>
      <c r="T16746">
        <v>40</v>
      </c>
      <c r="U16746" s="26" t="str">
        <f t="shared" si="638"/>
        <v>2024.010D.Varidnaviria_reorg.zip</v>
      </c>
    </row>
    <row r="16747" spans="1:21">
      <c r="A16747">
        <v>16746</v>
      </c>
      <c r="B16747" s="27" t="s">
        <v>1980</v>
      </c>
      <c r="D16747" s="27" t="s">
        <v>1981</v>
      </c>
      <c r="F16747" s="27" t="s">
        <v>1998</v>
      </c>
      <c r="G16747" s="27" t="s">
        <v>20663</v>
      </c>
      <c r="H16747" s="27" t="s">
        <v>20669</v>
      </c>
      <c r="J16747" s="27" t="s">
        <v>2003</v>
      </c>
      <c r="L16747" s="27" t="s">
        <v>394</v>
      </c>
      <c r="N16747" s="27" t="s">
        <v>335</v>
      </c>
      <c r="P16747" s="27" t="s">
        <v>18097</v>
      </c>
      <c r="Q16747" s="26" t="str">
        <f>HYPERLINK("https://ictv.global/taxonomy/taxondetails?taxnode_id=202502399&amp;ictv_id=ICTV20093005","ICTV20093005")</f>
        <v>ICTV20093005</v>
      </c>
      <c r="R16747" t="s">
        <v>579</v>
      </c>
      <c r="S16747" t="s">
        <v>22763</v>
      </c>
      <c r="T16747">
        <v>40</v>
      </c>
      <c r="U16747" s="26" t="str">
        <f t="shared" si="638"/>
        <v>2024.010D.Varidnaviria_reorg.zip</v>
      </c>
    </row>
    <row r="16748" spans="1:21">
      <c r="A16748">
        <v>16747</v>
      </c>
      <c r="B16748" s="27" t="s">
        <v>1980</v>
      </c>
      <c r="D16748" s="27" t="s">
        <v>1981</v>
      </c>
      <c r="F16748" s="27" t="s">
        <v>1998</v>
      </c>
      <c r="G16748" s="27" t="s">
        <v>20663</v>
      </c>
      <c r="H16748" s="27" t="s">
        <v>20669</v>
      </c>
      <c r="J16748" s="27" t="s">
        <v>2003</v>
      </c>
      <c r="L16748" s="27" t="s">
        <v>394</v>
      </c>
      <c r="N16748" s="27" t="s">
        <v>335</v>
      </c>
      <c r="P16748" s="27" t="s">
        <v>18098</v>
      </c>
      <c r="Q16748" s="26" t="str">
        <f>HYPERLINK("https://ictv.global/taxonomy/taxondetails?taxnode_id=202502403&amp;ictv_id=ICTV19990505","ICTV19990505")</f>
        <v>ICTV19990505</v>
      </c>
      <c r="R16748" t="s">
        <v>579</v>
      </c>
      <c r="S16748" t="s">
        <v>22763</v>
      </c>
      <c r="T16748">
        <v>40</v>
      </c>
      <c r="U16748" s="26" t="str">
        <f t="shared" si="638"/>
        <v>2024.010D.Varidnaviria_reorg.zip</v>
      </c>
    </row>
    <row r="16749" spans="1:21">
      <c r="A16749">
        <v>16748</v>
      </c>
      <c r="B16749" s="27" t="s">
        <v>1980</v>
      </c>
      <c r="D16749" s="27" t="s">
        <v>1981</v>
      </c>
      <c r="F16749" s="27" t="s">
        <v>1998</v>
      </c>
      <c r="G16749" s="27" t="s">
        <v>20663</v>
      </c>
      <c r="H16749" s="27" t="s">
        <v>20669</v>
      </c>
      <c r="J16749" s="27" t="s">
        <v>2003</v>
      </c>
      <c r="L16749" s="27" t="s">
        <v>394</v>
      </c>
      <c r="N16749" s="27" t="s">
        <v>335</v>
      </c>
      <c r="P16749" s="27" t="s">
        <v>18099</v>
      </c>
      <c r="Q16749" s="26" t="str">
        <f>HYPERLINK("https://ictv.global/taxonomy/taxondetails?taxnode_id=202502407&amp;ictv_id=ICTV20115688","ICTV20115688")</f>
        <v>ICTV20115688</v>
      </c>
      <c r="R16749" t="s">
        <v>579</v>
      </c>
      <c r="S16749" t="s">
        <v>22763</v>
      </c>
      <c r="T16749">
        <v>40</v>
      </c>
      <c r="U16749" s="26" t="str">
        <f t="shared" si="638"/>
        <v>2024.010D.Varidnaviria_reorg.zip</v>
      </c>
    </row>
    <row r="16750" spans="1:21">
      <c r="A16750">
        <v>16749</v>
      </c>
      <c r="B16750" s="27" t="s">
        <v>1980</v>
      </c>
      <c r="D16750" s="27" t="s">
        <v>1981</v>
      </c>
      <c r="F16750" s="27" t="s">
        <v>1998</v>
      </c>
      <c r="G16750" s="27" t="s">
        <v>20663</v>
      </c>
      <c r="H16750" s="27" t="s">
        <v>20669</v>
      </c>
      <c r="J16750" s="27" t="s">
        <v>2003</v>
      </c>
      <c r="L16750" s="27" t="s">
        <v>394</v>
      </c>
      <c r="N16750" s="27" t="s">
        <v>335</v>
      </c>
      <c r="P16750" s="27" t="s">
        <v>18100</v>
      </c>
      <c r="Q16750" s="26" t="str">
        <f>HYPERLINK("https://ictv.global/taxonomy/taxondetails?taxnode_id=202502408&amp;ictv_id=ICTV20151734","ICTV20151734")</f>
        <v>ICTV20151734</v>
      </c>
      <c r="R16750" t="s">
        <v>579</v>
      </c>
      <c r="S16750" t="s">
        <v>22763</v>
      </c>
      <c r="T16750">
        <v>40</v>
      </c>
      <c r="U16750" s="26" t="str">
        <f t="shared" si="638"/>
        <v>2024.010D.Varidnaviria_reorg.zip</v>
      </c>
    </row>
    <row r="16751" spans="1:21">
      <c r="A16751">
        <v>16750</v>
      </c>
      <c r="B16751" s="27" t="s">
        <v>1980</v>
      </c>
      <c r="D16751" s="27" t="s">
        <v>1981</v>
      </c>
      <c r="F16751" s="27" t="s">
        <v>1998</v>
      </c>
      <c r="G16751" s="27" t="s">
        <v>20663</v>
      </c>
      <c r="H16751" s="27" t="s">
        <v>20669</v>
      </c>
      <c r="J16751" s="27" t="s">
        <v>2003</v>
      </c>
      <c r="L16751" s="27" t="s">
        <v>394</v>
      </c>
      <c r="N16751" s="27" t="s">
        <v>335</v>
      </c>
      <c r="P16751" s="27" t="s">
        <v>18101</v>
      </c>
      <c r="Q16751" s="26" t="str">
        <f>HYPERLINK("https://ictv.global/taxonomy/taxondetails?taxnode_id=202502409&amp;ictv_id=ICTV20151735","ICTV20151735")</f>
        <v>ICTV20151735</v>
      </c>
      <c r="R16751" t="s">
        <v>579</v>
      </c>
      <c r="S16751" t="s">
        <v>22763</v>
      </c>
      <c r="T16751">
        <v>40</v>
      </c>
      <c r="U16751" s="26" t="str">
        <f t="shared" si="638"/>
        <v>2024.010D.Varidnaviria_reorg.zip</v>
      </c>
    </row>
    <row r="16752" spans="1:21">
      <c r="A16752">
        <v>16751</v>
      </c>
      <c r="B16752" s="27" t="s">
        <v>1980</v>
      </c>
      <c r="D16752" s="27" t="s">
        <v>1981</v>
      </c>
      <c r="F16752" s="27" t="s">
        <v>1998</v>
      </c>
      <c r="G16752" s="27" t="s">
        <v>20663</v>
      </c>
      <c r="H16752" s="27" t="s">
        <v>20669</v>
      </c>
      <c r="J16752" s="27" t="s">
        <v>2003</v>
      </c>
      <c r="L16752" s="27" t="s">
        <v>394</v>
      </c>
      <c r="N16752" s="27" t="s">
        <v>335</v>
      </c>
      <c r="P16752" s="27" t="s">
        <v>18102</v>
      </c>
      <c r="Q16752" s="26" t="str">
        <f>HYPERLINK("https://ictv.global/taxonomy/taxondetails?taxnode_id=202517881&amp;ictv_id=ICTV202317881","ICTV202317881")</f>
        <v>ICTV202317881</v>
      </c>
      <c r="R16752" t="s">
        <v>579</v>
      </c>
      <c r="S16752" t="s">
        <v>22763</v>
      </c>
      <c r="T16752">
        <v>40</v>
      </c>
      <c r="U16752" s="26" t="str">
        <f t="shared" si="638"/>
        <v>2024.010D.Varidnaviria_reorg.zip</v>
      </c>
    </row>
    <row r="16753" spans="1:21">
      <c r="A16753">
        <v>16752</v>
      </c>
      <c r="B16753" s="27" t="s">
        <v>1980</v>
      </c>
      <c r="D16753" s="27" t="s">
        <v>1981</v>
      </c>
      <c r="F16753" s="27" t="s">
        <v>1998</v>
      </c>
      <c r="G16753" s="27" t="s">
        <v>20663</v>
      </c>
      <c r="H16753" s="27" t="s">
        <v>20669</v>
      </c>
      <c r="J16753" s="27" t="s">
        <v>2003</v>
      </c>
      <c r="L16753" s="27" t="s">
        <v>394</v>
      </c>
      <c r="N16753" s="27" t="s">
        <v>335</v>
      </c>
      <c r="P16753" s="27" t="s">
        <v>18103</v>
      </c>
      <c r="Q16753" s="26" t="str">
        <f>HYPERLINK("https://ictv.global/taxonomy/taxondetails?taxnode_id=202502404&amp;ictv_id=ICTV19990506","ICTV19990506")</f>
        <v>ICTV19990506</v>
      </c>
      <c r="R16753" t="s">
        <v>579</v>
      </c>
      <c r="S16753" t="s">
        <v>22763</v>
      </c>
      <c r="T16753">
        <v>40</v>
      </c>
      <c r="U16753" s="26" t="str">
        <f t="shared" si="638"/>
        <v>2024.010D.Varidnaviria_reorg.zip</v>
      </c>
    </row>
    <row r="16754" spans="1:21">
      <c r="A16754">
        <v>16753</v>
      </c>
      <c r="B16754" s="27" t="s">
        <v>1980</v>
      </c>
      <c r="D16754" s="27" t="s">
        <v>1981</v>
      </c>
      <c r="F16754" s="27" t="s">
        <v>1998</v>
      </c>
      <c r="G16754" s="27" t="s">
        <v>20663</v>
      </c>
      <c r="H16754" s="27" t="s">
        <v>20669</v>
      </c>
      <c r="J16754" s="27" t="s">
        <v>2003</v>
      </c>
      <c r="L16754" s="27" t="s">
        <v>394</v>
      </c>
      <c r="N16754" s="27" t="s">
        <v>335</v>
      </c>
      <c r="P16754" s="27" t="s">
        <v>18104</v>
      </c>
      <c r="Q16754" s="26" t="str">
        <f>HYPERLINK("https://ictv.global/taxonomy/taxondetails?taxnode_id=202502402&amp;ictv_id=ICTV19990504","ICTV19990504")</f>
        <v>ICTV19990504</v>
      </c>
      <c r="R16754" t="s">
        <v>579</v>
      </c>
      <c r="S16754" t="s">
        <v>22763</v>
      </c>
      <c r="T16754">
        <v>40</v>
      </c>
      <c r="U16754" s="26" t="str">
        <f t="shared" si="638"/>
        <v>2024.010D.Varidnaviria_reorg.zip</v>
      </c>
    </row>
    <row r="16755" spans="1:21">
      <c r="A16755">
        <v>16754</v>
      </c>
      <c r="B16755" s="27" t="s">
        <v>1980</v>
      </c>
      <c r="D16755" s="27" t="s">
        <v>1981</v>
      </c>
      <c r="F16755" s="27" t="s">
        <v>1998</v>
      </c>
      <c r="G16755" s="27" t="s">
        <v>20663</v>
      </c>
      <c r="H16755" s="27" t="s">
        <v>20669</v>
      </c>
      <c r="J16755" s="27" t="s">
        <v>2003</v>
      </c>
      <c r="L16755" s="27" t="s">
        <v>394</v>
      </c>
      <c r="N16755" s="27" t="s">
        <v>335</v>
      </c>
      <c r="P16755" s="27" t="s">
        <v>10890</v>
      </c>
      <c r="Q16755" s="26" t="str">
        <f>HYPERLINK("https://ictv.global/taxonomy/taxondetails?taxnode_id=202513423&amp;ictv_id=ICTV202113423","ICTV202113423")</f>
        <v>ICTV202113423</v>
      </c>
      <c r="R16755" t="s">
        <v>579</v>
      </c>
      <c r="S16755" t="s">
        <v>22763</v>
      </c>
      <c r="T16755">
        <v>40</v>
      </c>
      <c r="U16755" s="26" t="str">
        <f t="shared" si="638"/>
        <v>2024.010D.Varidnaviria_reorg.zip</v>
      </c>
    </row>
    <row r="16756" spans="1:21">
      <c r="A16756">
        <v>16755</v>
      </c>
      <c r="B16756" s="27" t="s">
        <v>1980</v>
      </c>
      <c r="D16756" s="27" t="s">
        <v>1981</v>
      </c>
      <c r="F16756" s="27" t="s">
        <v>1998</v>
      </c>
      <c r="G16756" s="27" t="s">
        <v>20663</v>
      </c>
      <c r="H16756" s="27" t="s">
        <v>20669</v>
      </c>
      <c r="J16756" s="27" t="s">
        <v>2003</v>
      </c>
      <c r="L16756" s="27" t="s">
        <v>394</v>
      </c>
      <c r="N16756" s="27" t="s">
        <v>335</v>
      </c>
      <c r="P16756" s="27" t="s">
        <v>20671</v>
      </c>
      <c r="Q16756" s="26" t="str">
        <f>HYPERLINK("https://ictv.global/taxonomy/taxondetails?taxnode_id=202520137&amp;ictv_id=ICTV202420137","ICTV202420137")</f>
        <v>ICTV202420137</v>
      </c>
      <c r="R16756" t="s">
        <v>579</v>
      </c>
      <c r="S16756" t="s">
        <v>823</v>
      </c>
      <c r="T16756">
        <v>40</v>
      </c>
      <c r="U16756" s="26" t="str">
        <f>HYPERLINK("https://ictv.global/ictv/proposals/2024.004D.Adenoviridae_16ns.zip","2024.004D.Adenoviridae_16ns.zip")</f>
        <v>2024.004D.Adenoviridae_16ns.zip</v>
      </c>
    </row>
    <row r="16757" spans="1:21">
      <c r="A16757">
        <v>16756</v>
      </c>
      <c r="B16757" s="27" t="s">
        <v>1980</v>
      </c>
      <c r="D16757" s="27" t="s">
        <v>1981</v>
      </c>
      <c r="F16757" s="27" t="s">
        <v>1998</v>
      </c>
      <c r="G16757" s="27" t="s">
        <v>20663</v>
      </c>
      <c r="H16757" s="27" t="s">
        <v>20669</v>
      </c>
      <c r="J16757" s="27" t="s">
        <v>2003</v>
      </c>
      <c r="L16757" s="27" t="s">
        <v>394</v>
      </c>
      <c r="N16757" s="27" t="s">
        <v>335</v>
      </c>
      <c r="P16757" s="27" t="s">
        <v>20672</v>
      </c>
      <c r="Q16757" s="26" t="str">
        <f>HYPERLINK("https://ictv.global/taxonomy/taxondetails?taxnode_id=202520136&amp;ictv_id=ICTV202420136","ICTV202420136")</f>
        <v>ICTV202420136</v>
      </c>
      <c r="R16757" t="s">
        <v>579</v>
      </c>
      <c r="S16757" t="s">
        <v>823</v>
      </c>
      <c r="T16757">
        <v>40</v>
      </c>
      <c r="U16757" s="26" t="str">
        <f>HYPERLINK("https://ictv.global/ictv/proposals/2024.004D.Adenoviridae_16ns.zip","2024.004D.Adenoviridae_16ns.zip")</f>
        <v>2024.004D.Adenoviridae_16ns.zip</v>
      </c>
    </row>
    <row r="16758" spans="1:21">
      <c r="A16758">
        <v>16757</v>
      </c>
      <c r="B16758" s="27" t="s">
        <v>1980</v>
      </c>
      <c r="D16758" s="27" t="s">
        <v>1981</v>
      </c>
      <c r="F16758" s="27" t="s">
        <v>1998</v>
      </c>
      <c r="G16758" s="27" t="s">
        <v>20663</v>
      </c>
      <c r="H16758" s="27" t="s">
        <v>20669</v>
      </c>
      <c r="J16758" s="27" t="s">
        <v>2003</v>
      </c>
      <c r="L16758" s="27" t="s">
        <v>394</v>
      </c>
      <c r="N16758" s="27" t="s">
        <v>335</v>
      </c>
      <c r="P16758" s="27" t="s">
        <v>20673</v>
      </c>
      <c r="Q16758" s="26" t="str">
        <f>HYPERLINK("https://ictv.global/taxonomy/taxondetails?taxnode_id=202520135&amp;ictv_id=ICTV202420135","ICTV202420135")</f>
        <v>ICTV202420135</v>
      </c>
      <c r="R16758" t="s">
        <v>579</v>
      </c>
      <c r="S16758" t="s">
        <v>823</v>
      </c>
      <c r="T16758">
        <v>40</v>
      </c>
      <c r="U16758" s="26" t="str">
        <f>HYPERLINK("https://ictv.global/ictv/proposals/2024.004D.Adenoviridae_16ns.zip","2024.004D.Adenoviridae_16ns.zip")</f>
        <v>2024.004D.Adenoviridae_16ns.zip</v>
      </c>
    </row>
    <row r="16759" spans="1:21">
      <c r="A16759">
        <v>16758</v>
      </c>
      <c r="B16759" s="27" t="s">
        <v>1980</v>
      </c>
      <c r="D16759" s="27" t="s">
        <v>1981</v>
      </c>
      <c r="F16759" s="27" t="s">
        <v>1998</v>
      </c>
      <c r="G16759" s="27" t="s">
        <v>20663</v>
      </c>
      <c r="H16759" s="27" t="s">
        <v>20669</v>
      </c>
      <c r="J16759" s="27" t="s">
        <v>2003</v>
      </c>
      <c r="L16759" s="27" t="s">
        <v>394</v>
      </c>
      <c r="N16759" s="27" t="s">
        <v>335</v>
      </c>
      <c r="P16759" s="27" t="s">
        <v>18105</v>
      </c>
      <c r="Q16759" s="26" t="str">
        <f>HYPERLINK("https://ictv.global/taxonomy/taxondetails?taxnode_id=202517886&amp;ictv_id=ICTV202317886","ICTV202317886")</f>
        <v>ICTV202317886</v>
      </c>
      <c r="R16759" t="s">
        <v>579</v>
      </c>
      <c r="S16759" t="s">
        <v>22763</v>
      </c>
      <c r="T16759">
        <v>40</v>
      </c>
      <c r="U16759" s="26" t="str">
        <f>HYPERLINK("https://ictv.global/ictv/proposals/2024.010D.Varidnaviria_reorg.zip","2024.010D.Varidnaviria_reorg.zip")</f>
        <v>2024.010D.Varidnaviria_reorg.zip</v>
      </c>
    </row>
    <row r="16760" spans="1:21">
      <c r="A16760">
        <v>16759</v>
      </c>
      <c r="B16760" s="27" t="s">
        <v>1980</v>
      </c>
      <c r="D16760" s="27" t="s">
        <v>1981</v>
      </c>
      <c r="F16760" s="27" t="s">
        <v>1998</v>
      </c>
      <c r="G16760" s="27" t="s">
        <v>20663</v>
      </c>
      <c r="H16760" s="27" t="s">
        <v>20669</v>
      </c>
      <c r="J16760" s="27" t="s">
        <v>2003</v>
      </c>
      <c r="L16760" s="27" t="s">
        <v>394</v>
      </c>
      <c r="N16760" s="27" t="s">
        <v>335</v>
      </c>
      <c r="P16760" s="27" t="s">
        <v>18106</v>
      </c>
      <c r="Q16760" s="26" t="str">
        <f>HYPERLINK("https://ictv.global/taxonomy/taxondetails?taxnode_id=202502401&amp;ictv_id=ICTV19950367","ICTV19950367")</f>
        <v>ICTV19950367</v>
      </c>
      <c r="R16760" t="s">
        <v>579</v>
      </c>
      <c r="S16760" t="s">
        <v>22763</v>
      </c>
      <c r="T16760">
        <v>40</v>
      </c>
      <c r="U16760" s="26" t="str">
        <f>HYPERLINK("https://ictv.global/ictv/proposals/2024.010D.Varidnaviria_reorg.zip","2024.010D.Varidnaviria_reorg.zip")</f>
        <v>2024.010D.Varidnaviria_reorg.zip</v>
      </c>
    </row>
    <row r="16761" spans="1:21">
      <c r="A16761">
        <v>16760</v>
      </c>
      <c r="B16761" s="27" t="s">
        <v>1980</v>
      </c>
      <c r="D16761" s="27" t="s">
        <v>1981</v>
      </c>
      <c r="F16761" s="27" t="s">
        <v>1998</v>
      </c>
      <c r="G16761" s="27" t="s">
        <v>20663</v>
      </c>
      <c r="H16761" s="27" t="s">
        <v>20669</v>
      </c>
      <c r="J16761" s="27" t="s">
        <v>2003</v>
      </c>
      <c r="L16761" s="27" t="s">
        <v>394</v>
      </c>
      <c r="N16761" s="27" t="s">
        <v>335</v>
      </c>
      <c r="P16761" s="27" t="s">
        <v>20674</v>
      </c>
      <c r="Q16761" s="26" t="str">
        <f>HYPERLINK("https://ictv.global/taxonomy/taxondetails?taxnode_id=202520138&amp;ictv_id=ICTV202420138","ICTV202420138")</f>
        <v>ICTV202420138</v>
      </c>
      <c r="R16761" t="s">
        <v>579</v>
      </c>
      <c r="S16761" t="s">
        <v>823</v>
      </c>
      <c r="T16761">
        <v>40</v>
      </c>
      <c r="U16761" s="26" t="str">
        <f>HYPERLINK("https://ictv.global/ictv/proposals/2024.004D.Adenoviridae_16ns.zip","2024.004D.Adenoviridae_16ns.zip")</f>
        <v>2024.004D.Adenoviridae_16ns.zip</v>
      </c>
    </row>
    <row r="16762" spans="1:21">
      <c r="A16762">
        <v>16761</v>
      </c>
      <c r="B16762" s="27" t="s">
        <v>1980</v>
      </c>
      <c r="D16762" s="27" t="s">
        <v>1981</v>
      </c>
      <c r="F16762" s="27" t="s">
        <v>1998</v>
      </c>
      <c r="G16762" s="27" t="s">
        <v>20663</v>
      </c>
      <c r="H16762" s="27" t="s">
        <v>20669</v>
      </c>
      <c r="J16762" s="27" t="s">
        <v>2003</v>
      </c>
      <c r="L16762" s="27" t="s">
        <v>394</v>
      </c>
      <c r="N16762" s="27" t="s">
        <v>335</v>
      </c>
      <c r="P16762" s="27" t="s">
        <v>18107</v>
      </c>
      <c r="Q16762" s="26" t="str">
        <f>HYPERLINK("https://ictv.global/taxonomy/taxondetails?taxnode_id=202505654&amp;ictv_id=ICTV20175654","ICTV20175654")</f>
        <v>ICTV20175654</v>
      </c>
      <c r="R16762" t="s">
        <v>579</v>
      </c>
      <c r="S16762" t="s">
        <v>22763</v>
      </c>
      <c r="T16762">
        <v>40</v>
      </c>
      <c r="U16762" s="26" t="str">
        <f t="shared" ref="U16762:U16774" si="639">HYPERLINK("https://ictv.global/ictv/proposals/2024.010D.Varidnaviria_reorg.zip","2024.010D.Varidnaviria_reorg.zip")</f>
        <v>2024.010D.Varidnaviria_reorg.zip</v>
      </c>
    </row>
    <row r="16763" spans="1:21">
      <c r="A16763">
        <v>16762</v>
      </c>
      <c r="B16763" s="27" t="s">
        <v>1980</v>
      </c>
      <c r="D16763" s="27" t="s">
        <v>1981</v>
      </c>
      <c r="F16763" s="27" t="s">
        <v>1998</v>
      </c>
      <c r="G16763" s="27" t="s">
        <v>20663</v>
      </c>
      <c r="H16763" s="27" t="s">
        <v>20669</v>
      </c>
      <c r="J16763" s="27" t="s">
        <v>2003</v>
      </c>
      <c r="L16763" s="27" t="s">
        <v>394</v>
      </c>
      <c r="N16763" s="27" t="s">
        <v>335</v>
      </c>
      <c r="P16763" s="27" t="s">
        <v>18108</v>
      </c>
      <c r="Q16763" s="26" t="str">
        <f>HYPERLINK("https://ictv.global/taxonomy/taxondetails?taxnode_id=202507192&amp;ictv_id=ICTV201907192","ICTV201907192")</f>
        <v>ICTV201907192</v>
      </c>
      <c r="R16763" t="s">
        <v>579</v>
      </c>
      <c r="S16763" t="s">
        <v>22763</v>
      </c>
      <c r="T16763">
        <v>40</v>
      </c>
      <c r="U16763" s="26" t="str">
        <f t="shared" si="639"/>
        <v>2024.010D.Varidnaviria_reorg.zip</v>
      </c>
    </row>
    <row r="16764" spans="1:21">
      <c r="A16764">
        <v>16763</v>
      </c>
      <c r="B16764" s="27" t="s">
        <v>1980</v>
      </c>
      <c r="D16764" s="27" t="s">
        <v>1981</v>
      </c>
      <c r="F16764" s="27" t="s">
        <v>1998</v>
      </c>
      <c r="G16764" s="27" t="s">
        <v>20663</v>
      </c>
      <c r="H16764" s="27" t="s">
        <v>20669</v>
      </c>
      <c r="J16764" s="27" t="s">
        <v>2003</v>
      </c>
      <c r="L16764" s="27" t="s">
        <v>394</v>
      </c>
      <c r="N16764" s="27" t="s">
        <v>335</v>
      </c>
      <c r="P16764" s="27" t="s">
        <v>18109</v>
      </c>
      <c r="Q16764" s="26" t="str">
        <f>HYPERLINK("https://ictv.global/taxonomy/taxondetails?taxnode_id=202517884&amp;ictv_id=ICTV202317884","ICTV202317884")</f>
        <v>ICTV202317884</v>
      </c>
      <c r="R16764" t="s">
        <v>579</v>
      </c>
      <c r="S16764" t="s">
        <v>22763</v>
      </c>
      <c r="T16764">
        <v>40</v>
      </c>
      <c r="U16764" s="26" t="str">
        <f t="shared" si="639"/>
        <v>2024.010D.Varidnaviria_reorg.zip</v>
      </c>
    </row>
    <row r="16765" spans="1:21">
      <c r="A16765">
        <v>16764</v>
      </c>
      <c r="B16765" s="27" t="s">
        <v>1980</v>
      </c>
      <c r="D16765" s="27" t="s">
        <v>1981</v>
      </c>
      <c r="F16765" s="27" t="s">
        <v>1998</v>
      </c>
      <c r="G16765" s="27" t="s">
        <v>20663</v>
      </c>
      <c r="H16765" s="27" t="s">
        <v>20669</v>
      </c>
      <c r="J16765" s="27" t="s">
        <v>2003</v>
      </c>
      <c r="L16765" s="27" t="s">
        <v>394</v>
      </c>
      <c r="N16765" s="27" t="s">
        <v>335</v>
      </c>
      <c r="P16765" s="27" t="s">
        <v>18110</v>
      </c>
      <c r="Q16765" s="26" t="str">
        <f>HYPERLINK("https://ictv.global/taxonomy/taxondetails?taxnode_id=202517885&amp;ictv_id=ICTV202317885","ICTV202317885")</f>
        <v>ICTV202317885</v>
      </c>
      <c r="R16765" t="s">
        <v>579</v>
      </c>
      <c r="S16765" t="s">
        <v>22763</v>
      </c>
      <c r="T16765">
        <v>40</v>
      </c>
      <c r="U16765" s="26" t="str">
        <f t="shared" si="639"/>
        <v>2024.010D.Varidnaviria_reorg.zip</v>
      </c>
    </row>
    <row r="16766" spans="1:21">
      <c r="A16766">
        <v>16765</v>
      </c>
      <c r="B16766" s="27" t="s">
        <v>1980</v>
      </c>
      <c r="D16766" s="27" t="s">
        <v>1981</v>
      </c>
      <c r="F16766" s="27" t="s">
        <v>1998</v>
      </c>
      <c r="G16766" s="27" t="s">
        <v>20663</v>
      </c>
      <c r="H16766" s="27" t="s">
        <v>20669</v>
      </c>
      <c r="J16766" s="27" t="s">
        <v>2003</v>
      </c>
      <c r="L16766" s="27" t="s">
        <v>394</v>
      </c>
      <c r="N16766" s="27" t="s">
        <v>335</v>
      </c>
      <c r="P16766" s="27" t="s">
        <v>18111</v>
      </c>
      <c r="Q16766" s="26" t="str">
        <f>HYPERLINK("https://ictv.global/taxonomy/taxondetails?taxnode_id=202502400&amp;ictv_id=ICTV19750104","ICTV19750104")</f>
        <v>ICTV19750104</v>
      </c>
      <c r="R16766" t="s">
        <v>579</v>
      </c>
      <c r="S16766" t="s">
        <v>22763</v>
      </c>
      <c r="T16766">
        <v>40</v>
      </c>
      <c r="U16766" s="26" t="str">
        <f t="shared" si="639"/>
        <v>2024.010D.Varidnaviria_reorg.zip</v>
      </c>
    </row>
    <row r="16767" spans="1:21">
      <c r="A16767">
        <v>16766</v>
      </c>
      <c r="B16767" s="27" t="s">
        <v>1980</v>
      </c>
      <c r="D16767" s="27" t="s">
        <v>1981</v>
      </c>
      <c r="F16767" s="27" t="s">
        <v>1998</v>
      </c>
      <c r="G16767" s="27" t="s">
        <v>20663</v>
      </c>
      <c r="H16767" s="27" t="s">
        <v>20669</v>
      </c>
      <c r="J16767" s="27" t="s">
        <v>2003</v>
      </c>
      <c r="L16767" s="27" t="s">
        <v>394</v>
      </c>
      <c r="N16767" s="27" t="s">
        <v>18112</v>
      </c>
      <c r="P16767" s="27" t="s">
        <v>18113</v>
      </c>
      <c r="Q16767" s="26" t="str">
        <f>HYPERLINK("https://ictv.global/taxonomy/taxondetails?taxnode_id=202502395&amp;ictv_id=ICTV20165220","ICTV20165220")</f>
        <v>ICTV20165220</v>
      </c>
      <c r="R16767" t="s">
        <v>579</v>
      </c>
      <c r="S16767" t="s">
        <v>22763</v>
      </c>
      <c r="T16767">
        <v>40</v>
      </c>
      <c r="U16767" s="26" t="str">
        <f t="shared" si="639"/>
        <v>2024.010D.Varidnaviria_reorg.zip</v>
      </c>
    </row>
    <row r="16768" spans="1:21">
      <c r="A16768">
        <v>16767</v>
      </c>
      <c r="B16768" s="27" t="s">
        <v>1980</v>
      </c>
      <c r="D16768" s="27" t="s">
        <v>1981</v>
      </c>
      <c r="F16768" s="27" t="s">
        <v>1998</v>
      </c>
      <c r="G16768" s="27" t="s">
        <v>20663</v>
      </c>
      <c r="H16768" s="27" t="s">
        <v>20669</v>
      </c>
      <c r="J16768" s="27" t="s">
        <v>2003</v>
      </c>
      <c r="L16768" s="27" t="s">
        <v>394</v>
      </c>
      <c r="N16768" s="27" t="s">
        <v>18112</v>
      </c>
      <c r="P16768" s="27" t="s">
        <v>18114</v>
      </c>
      <c r="Q16768" s="26" t="str">
        <f>HYPERLINK("https://ictv.global/taxonomy/taxondetails?taxnode_id=202502390&amp;ictv_id=ICTV20025536","ICTV20025536")</f>
        <v>ICTV20025536</v>
      </c>
      <c r="R16768" t="s">
        <v>579</v>
      </c>
      <c r="S16768" t="s">
        <v>22763</v>
      </c>
      <c r="T16768">
        <v>40</v>
      </c>
      <c r="U16768" s="26" t="str">
        <f t="shared" si="639"/>
        <v>2024.010D.Varidnaviria_reorg.zip</v>
      </c>
    </row>
    <row r="16769" spans="1:21">
      <c r="A16769">
        <v>16768</v>
      </c>
      <c r="B16769" s="27" t="s">
        <v>1980</v>
      </c>
      <c r="D16769" s="27" t="s">
        <v>1981</v>
      </c>
      <c r="F16769" s="27" t="s">
        <v>1998</v>
      </c>
      <c r="G16769" s="27" t="s">
        <v>20663</v>
      </c>
      <c r="H16769" s="27" t="s">
        <v>20669</v>
      </c>
      <c r="J16769" s="27" t="s">
        <v>2003</v>
      </c>
      <c r="L16769" s="27" t="s">
        <v>394</v>
      </c>
      <c r="N16769" s="27" t="s">
        <v>18112</v>
      </c>
      <c r="P16769" s="27" t="s">
        <v>18115</v>
      </c>
      <c r="Q16769" s="26" t="str">
        <f>HYPERLINK("https://ictv.global/taxonomy/taxondetails?taxnode_id=202517875&amp;ictv_id=ICTV202317875","ICTV202317875")</f>
        <v>ICTV202317875</v>
      </c>
      <c r="R16769" t="s">
        <v>579</v>
      </c>
      <c r="S16769" t="s">
        <v>22763</v>
      </c>
      <c r="T16769">
        <v>40</v>
      </c>
      <c r="U16769" s="26" t="str">
        <f t="shared" si="639"/>
        <v>2024.010D.Varidnaviria_reorg.zip</v>
      </c>
    </row>
    <row r="16770" spans="1:21">
      <c r="A16770">
        <v>16769</v>
      </c>
      <c r="B16770" s="27" t="s">
        <v>1980</v>
      </c>
      <c r="D16770" s="27" t="s">
        <v>1981</v>
      </c>
      <c r="F16770" s="27" t="s">
        <v>1998</v>
      </c>
      <c r="G16770" s="27" t="s">
        <v>20663</v>
      </c>
      <c r="H16770" s="27" t="s">
        <v>20669</v>
      </c>
      <c r="J16770" s="27" t="s">
        <v>2003</v>
      </c>
      <c r="L16770" s="27" t="s">
        <v>394</v>
      </c>
      <c r="N16770" s="27" t="s">
        <v>18112</v>
      </c>
      <c r="P16770" s="27" t="s">
        <v>18116</v>
      </c>
      <c r="Q16770" s="26" t="str">
        <f>HYPERLINK("https://ictv.global/taxonomy/taxondetails?taxnode_id=202509160&amp;ictv_id=ICTV202009160","ICTV202009160")</f>
        <v>ICTV202009160</v>
      </c>
      <c r="R16770" t="s">
        <v>579</v>
      </c>
      <c r="S16770" t="s">
        <v>22763</v>
      </c>
      <c r="T16770">
        <v>40</v>
      </c>
      <c r="U16770" s="26" t="str">
        <f t="shared" si="639"/>
        <v>2024.010D.Varidnaviria_reorg.zip</v>
      </c>
    </row>
    <row r="16771" spans="1:21">
      <c r="A16771">
        <v>16770</v>
      </c>
      <c r="B16771" s="27" t="s">
        <v>1980</v>
      </c>
      <c r="D16771" s="27" t="s">
        <v>1981</v>
      </c>
      <c r="F16771" s="27" t="s">
        <v>1998</v>
      </c>
      <c r="G16771" s="27" t="s">
        <v>20663</v>
      </c>
      <c r="H16771" s="27" t="s">
        <v>20669</v>
      </c>
      <c r="J16771" s="27" t="s">
        <v>2003</v>
      </c>
      <c r="L16771" s="27" t="s">
        <v>394</v>
      </c>
      <c r="N16771" s="27" t="s">
        <v>18112</v>
      </c>
      <c r="P16771" s="27" t="s">
        <v>18117</v>
      </c>
      <c r="Q16771" s="26" t="str">
        <f>HYPERLINK("https://ictv.global/taxonomy/taxondetails?taxnode_id=202517876&amp;ictv_id=ICTV202317876","ICTV202317876")</f>
        <v>ICTV202317876</v>
      </c>
      <c r="R16771" t="s">
        <v>579</v>
      </c>
      <c r="S16771" t="s">
        <v>22763</v>
      </c>
      <c r="T16771">
        <v>40</v>
      </c>
      <c r="U16771" s="26" t="str">
        <f t="shared" si="639"/>
        <v>2024.010D.Varidnaviria_reorg.zip</v>
      </c>
    </row>
    <row r="16772" spans="1:21">
      <c r="A16772">
        <v>16771</v>
      </c>
      <c r="B16772" s="27" t="s">
        <v>1980</v>
      </c>
      <c r="D16772" s="27" t="s">
        <v>1981</v>
      </c>
      <c r="F16772" s="27" t="s">
        <v>1998</v>
      </c>
      <c r="G16772" s="27" t="s">
        <v>20663</v>
      </c>
      <c r="H16772" s="27" t="s">
        <v>20669</v>
      </c>
      <c r="J16772" s="27" t="s">
        <v>2003</v>
      </c>
      <c r="L16772" s="27" t="s">
        <v>394</v>
      </c>
      <c r="N16772" s="27" t="s">
        <v>18112</v>
      </c>
      <c r="P16772" s="27" t="s">
        <v>18118</v>
      </c>
      <c r="Q16772" s="26" t="str">
        <f>HYPERLINK("https://ictv.global/taxonomy/taxondetails?taxnode_id=202505652&amp;ictv_id=ICTV20175652","ICTV20175652")</f>
        <v>ICTV20175652</v>
      </c>
      <c r="R16772" t="s">
        <v>579</v>
      </c>
      <c r="S16772" t="s">
        <v>22763</v>
      </c>
      <c r="T16772">
        <v>40</v>
      </c>
      <c r="U16772" s="26" t="str">
        <f t="shared" si="639"/>
        <v>2024.010D.Varidnaviria_reorg.zip</v>
      </c>
    </row>
    <row r="16773" spans="1:21">
      <c r="A16773">
        <v>16772</v>
      </c>
      <c r="B16773" s="27" t="s">
        <v>1980</v>
      </c>
      <c r="D16773" s="27" t="s">
        <v>1981</v>
      </c>
      <c r="F16773" s="27" t="s">
        <v>1998</v>
      </c>
      <c r="G16773" s="27" t="s">
        <v>20663</v>
      </c>
      <c r="H16773" s="27" t="s">
        <v>20669</v>
      </c>
      <c r="J16773" s="27" t="s">
        <v>2003</v>
      </c>
      <c r="L16773" s="27" t="s">
        <v>394</v>
      </c>
      <c r="N16773" s="27" t="s">
        <v>18112</v>
      </c>
      <c r="P16773" s="27" t="s">
        <v>18119</v>
      </c>
      <c r="Q16773" s="26" t="str">
        <f>HYPERLINK("https://ictv.global/taxonomy/taxondetails?taxnode_id=202509161&amp;ictv_id=ICTV202009161","ICTV202009161")</f>
        <v>ICTV202009161</v>
      </c>
      <c r="R16773" t="s">
        <v>579</v>
      </c>
      <c r="S16773" t="s">
        <v>22763</v>
      </c>
      <c r="T16773">
        <v>40</v>
      </c>
      <c r="U16773" s="26" t="str">
        <f t="shared" si="639"/>
        <v>2024.010D.Varidnaviria_reorg.zip</v>
      </c>
    </row>
    <row r="16774" spans="1:21">
      <c r="A16774">
        <v>16773</v>
      </c>
      <c r="B16774" s="27" t="s">
        <v>1980</v>
      </c>
      <c r="D16774" s="27" t="s">
        <v>1981</v>
      </c>
      <c r="F16774" s="27" t="s">
        <v>1998</v>
      </c>
      <c r="G16774" s="27" t="s">
        <v>20663</v>
      </c>
      <c r="H16774" s="27" t="s">
        <v>20669</v>
      </c>
      <c r="J16774" s="27" t="s">
        <v>2003</v>
      </c>
      <c r="L16774" s="27" t="s">
        <v>394</v>
      </c>
      <c r="N16774" s="27" t="s">
        <v>18112</v>
      </c>
      <c r="P16774" s="27" t="s">
        <v>18120</v>
      </c>
      <c r="Q16774" s="26" t="str">
        <f>HYPERLINK("https://ictv.global/taxonomy/taxondetails?taxnode_id=202502391&amp;ictv_id=ICTV20025537","ICTV20025537")</f>
        <v>ICTV20025537</v>
      </c>
      <c r="R16774" t="s">
        <v>579</v>
      </c>
      <c r="S16774" t="s">
        <v>22763</v>
      </c>
      <c r="T16774">
        <v>40</v>
      </c>
      <c r="U16774" s="26" t="str">
        <f t="shared" si="639"/>
        <v>2024.010D.Varidnaviria_reorg.zip</v>
      </c>
    </row>
    <row r="16775" spans="1:21">
      <c r="A16775">
        <v>16774</v>
      </c>
      <c r="B16775" s="27" t="s">
        <v>1980</v>
      </c>
      <c r="D16775" s="27" t="s">
        <v>1981</v>
      </c>
      <c r="F16775" s="27" t="s">
        <v>1998</v>
      </c>
      <c r="G16775" s="27" t="s">
        <v>20663</v>
      </c>
      <c r="H16775" s="27" t="s">
        <v>20669</v>
      </c>
      <c r="J16775" s="27" t="s">
        <v>2003</v>
      </c>
      <c r="L16775" s="27" t="s">
        <v>394</v>
      </c>
      <c r="N16775" s="27" t="s">
        <v>18112</v>
      </c>
      <c r="P16775" s="27" t="s">
        <v>20675</v>
      </c>
      <c r="Q16775" s="26" t="str">
        <f>HYPERLINK("https://ictv.global/taxonomy/taxondetails?taxnode_id=202520140&amp;ictv_id=ICTV202420140","ICTV202420140")</f>
        <v>ICTV202420140</v>
      </c>
      <c r="R16775" t="s">
        <v>579</v>
      </c>
      <c r="S16775" t="s">
        <v>823</v>
      </c>
      <c r="T16775">
        <v>40</v>
      </c>
      <c r="U16775" s="26" t="str">
        <f>HYPERLINK("https://ictv.global/ictv/proposals/2024.004D.Adenoviridae_16ns.zip","2024.004D.Adenoviridae_16ns.zip")</f>
        <v>2024.004D.Adenoviridae_16ns.zip</v>
      </c>
    </row>
    <row r="16776" spans="1:21">
      <c r="A16776">
        <v>16775</v>
      </c>
      <c r="B16776" s="27" t="s">
        <v>1980</v>
      </c>
      <c r="D16776" s="27" t="s">
        <v>1981</v>
      </c>
      <c r="F16776" s="27" t="s">
        <v>1998</v>
      </c>
      <c r="G16776" s="27" t="s">
        <v>20663</v>
      </c>
      <c r="H16776" s="27" t="s">
        <v>20669</v>
      </c>
      <c r="J16776" s="27" t="s">
        <v>2003</v>
      </c>
      <c r="L16776" s="27" t="s">
        <v>394</v>
      </c>
      <c r="N16776" s="27" t="s">
        <v>18112</v>
      </c>
      <c r="P16776" s="27" t="s">
        <v>18121</v>
      </c>
      <c r="Q16776" s="26" t="str">
        <f>HYPERLINK("https://ictv.global/taxonomy/taxondetails?taxnode_id=202517877&amp;ictv_id=ICTV202317877","ICTV202317877")</f>
        <v>ICTV202317877</v>
      </c>
      <c r="R16776" t="s">
        <v>579</v>
      </c>
      <c r="S16776" t="s">
        <v>22763</v>
      </c>
      <c r="T16776">
        <v>40</v>
      </c>
      <c r="U16776" s="26" t="str">
        <f t="shared" ref="U16776:U16783" si="640">HYPERLINK("https://ictv.global/ictv/proposals/2024.010D.Varidnaviria_reorg.zip","2024.010D.Varidnaviria_reorg.zip")</f>
        <v>2024.010D.Varidnaviria_reorg.zip</v>
      </c>
    </row>
    <row r="16777" spans="1:21">
      <c r="A16777">
        <v>16776</v>
      </c>
      <c r="B16777" s="27" t="s">
        <v>1980</v>
      </c>
      <c r="D16777" s="27" t="s">
        <v>1981</v>
      </c>
      <c r="F16777" s="27" t="s">
        <v>1998</v>
      </c>
      <c r="G16777" s="27" t="s">
        <v>20663</v>
      </c>
      <c r="H16777" s="27" t="s">
        <v>20669</v>
      </c>
      <c r="J16777" s="27" t="s">
        <v>2003</v>
      </c>
      <c r="L16777" s="27" t="s">
        <v>394</v>
      </c>
      <c r="N16777" s="27" t="s">
        <v>18112</v>
      </c>
      <c r="P16777" s="27" t="s">
        <v>18122</v>
      </c>
      <c r="Q16777" s="26" t="str">
        <f>HYPERLINK("https://ictv.global/taxonomy/taxondetails?taxnode_id=202502392&amp;ictv_id=ICTV20165219","ICTV20165219")</f>
        <v>ICTV20165219</v>
      </c>
      <c r="R16777" t="s">
        <v>579</v>
      </c>
      <c r="S16777" t="s">
        <v>22763</v>
      </c>
      <c r="T16777">
        <v>40</v>
      </c>
      <c r="U16777" s="26" t="str">
        <f t="shared" si="640"/>
        <v>2024.010D.Varidnaviria_reorg.zip</v>
      </c>
    </row>
    <row r="16778" spans="1:21">
      <c r="A16778">
        <v>16777</v>
      </c>
      <c r="B16778" s="27" t="s">
        <v>1980</v>
      </c>
      <c r="D16778" s="27" t="s">
        <v>1981</v>
      </c>
      <c r="F16778" s="27" t="s">
        <v>1998</v>
      </c>
      <c r="G16778" s="27" t="s">
        <v>20663</v>
      </c>
      <c r="H16778" s="27" t="s">
        <v>20669</v>
      </c>
      <c r="J16778" s="27" t="s">
        <v>2003</v>
      </c>
      <c r="L16778" s="27" t="s">
        <v>394</v>
      </c>
      <c r="N16778" s="27" t="s">
        <v>18112</v>
      </c>
      <c r="P16778" s="27" t="s">
        <v>18123</v>
      </c>
      <c r="Q16778" s="26" t="str">
        <f>HYPERLINK("https://ictv.global/taxonomy/taxondetails?taxnode_id=202517879&amp;ictv_id=ICTV202317879","ICTV202317879")</f>
        <v>ICTV202317879</v>
      </c>
      <c r="R16778" t="s">
        <v>579</v>
      </c>
      <c r="S16778" t="s">
        <v>22763</v>
      </c>
      <c r="T16778">
        <v>40</v>
      </c>
      <c r="U16778" s="26" t="str">
        <f t="shared" si="640"/>
        <v>2024.010D.Varidnaviria_reorg.zip</v>
      </c>
    </row>
    <row r="16779" spans="1:21">
      <c r="A16779">
        <v>16778</v>
      </c>
      <c r="B16779" s="27" t="s">
        <v>1980</v>
      </c>
      <c r="D16779" s="27" t="s">
        <v>1981</v>
      </c>
      <c r="F16779" s="27" t="s">
        <v>1998</v>
      </c>
      <c r="G16779" s="27" t="s">
        <v>20663</v>
      </c>
      <c r="H16779" s="27" t="s">
        <v>20669</v>
      </c>
      <c r="J16779" s="27" t="s">
        <v>2003</v>
      </c>
      <c r="L16779" s="27" t="s">
        <v>394</v>
      </c>
      <c r="N16779" s="27" t="s">
        <v>18112</v>
      </c>
      <c r="P16779" s="27" t="s">
        <v>18124</v>
      </c>
      <c r="Q16779" s="26" t="str">
        <f>HYPERLINK("https://ictv.global/taxonomy/taxondetails?taxnode_id=202517873&amp;ictv_id=ICTV202317873","ICTV202317873")</f>
        <v>ICTV202317873</v>
      </c>
      <c r="R16779" t="s">
        <v>579</v>
      </c>
      <c r="S16779" t="s">
        <v>22763</v>
      </c>
      <c r="T16779">
        <v>40</v>
      </c>
      <c r="U16779" s="26" t="str">
        <f t="shared" si="640"/>
        <v>2024.010D.Varidnaviria_reorg.zip</v>
      </c>
    </row>
    <row r="16780" spans="1:21">
      <c r="A16780">
        <v>16779</v>
      </c>
      <c r="B16780" s="27" t="s">
        <v>1980</v>
      </c>
      <c r="D16780" s="27" t="s">
        <v>1981</v>
      </c>
      <c r="F16780" s="27" t="s">
        <v>1998</v>
      </c>
      <c r="G16780" s="27" t="s">
        <v>20663</v>
      </c>
      <c r="H16780" s="27" t="s">
        <v>20669</v>
      </c>
      <c r="J16780" s="27" t="s">
        <v>2003</v>
      </c>
      <c r="L16780" s="27" t="s">
        <v>394</v>
      </c>
      <c r="N16780" s="27" t="s">
        <v>18112</v>
      </c>
      <c r="P16780" s="27" t="s">
        <v>18125</v>
      </c>
      <c r="Q16780" s="26" t="str">
        <f>HYPERLINK("https://ictv.global/taxonomy/taxondetails?taxnode_id=202502393&amp;ictv_id=ICTV20025538","ICTV20025538")</f>
        <v>ICTV20025538</v>
      </c>
      <c r="R16780" t="s">
        <v>579</v>
      </c>
      <c r="S16780" t="s">
        <v>22763</v>
      </c>
      <c r="T16780">
        <v>40</v>
      </c>
      <c r="U16780" s="26" t="str">
        <f t="shared" si="640"/>
        <v>2024.010D.Varidnaviria_reorg.zip</v>
      </c>
    </row>
    <row r="16781" spans="1:21">
      <c r="A16781">
        <v>16780</v>
      </c>
      <c r="B16781" s="27" t="s">
        <v>1980</v>
      </c>
      <c r="D16781" s="27" t="s">
        <v>1981</v>
      </c>
      <c r="F16781" s="27" t="s">
        <v>1998</v>
      </c>
      <c r="G16781" s="27" t="s">
        <v>20663</v>
      </c>
      <c r="H16781" s="27" t="s">
        <v>20669</v>
      </c>
      <c r="J16781" s="27" t="s">
        <v>2003</v>
      </c>
      <c r="L16781" s="27" t="s">
        <v>394</v>
      </c>
      <c r="N16781" s="27" t="s">
        <v>18112</v>
      </c>
      <c r="P16781" s="27" t="s">
        <v>18126</v>
      </c>
      <c r="Q16781" s="26" t="str">
        <f>HYPERLINK("https://ictv.global/taxonomy/taxondetails?taxnode_id=202517878&amp;ictv_id=ICTV202317878","ICTV202317878")</f>
        <v>ICTV202317878</v>
      </c>
      <c r="R16781" t="s">
        <v>579</v>
      </c>
      <c r="S16781" t="s">
        <v>22763</v>
      </c>
      <c r="T16781">
        <v>40</v>
      </c>
      <c r="U16781" s="26" t="str">
        <f t="shared" si="640"/>
        <v>2024.010D.Varidnaviria_reorg.zip</v>
      </c>
    </row>
    <row r="16782" spans="1:21">
      <c r="A16782">
        <v>16781</v>
      </c>
      <c r="B16782" s="27" t="s">
        <v>1980</v>
      </c>
      <c r="D16782" s="27" t="s">
        <v>1981</v>
      </c>
      <c r="F16782" s="27" t="s">
        <v>1998</v>
      </c>
      <c r="G16782" s="27" t="s">
        <v>20663</v>
      </c>
      <c r="H16782" s="27" t="s">
        <v>20669</v>
      </c>
      <c r="J16782" s="27" t="s">
        <v>2003</v>
      </c>
      <c r="L16782" s="27" t="s">
        <v>394</v>
      </c>
      <c r="N16782" s="27" t="s">
        <v>18112</v>
      </c>
      <c r="P16782" s="27" t="s">
        <v>18127</v>
      </c>
      <c r="Q16782" s="26" t="str">
        <f>HYPERLINK("https://ictv.global/taxonomy/taxondetails?taxnode_id=202502396&amp;ictv_id=ICTV20083334","ICTV20083334")</f>
        <v>ICTV20083334</v>
      </c>
      <c r="R16782" t="s">
        <v>579</v>
      </c>
      <c r="S16782" t="s">
        <v>22763</v>
      </c>
      <c r="T16782">
        <v>40</v>
      </c>
      <c r="U16782" s="26" t="str">
        <f t="shared" si="640"/>
        <v>2024.010D.Varidnaviria_reorg.zip</v>
      </c>
    </row>
    <row r="16783" spans="1:21">
      <c r="A16783">
        <v>16782</v>
      </c>
      <c r="B16783" s="27" t="s">
        <v>1980</v>
      </c>
      <c r="D16783" s="27" t="s">
        <v>1981</v>
      </c>
      <c r="F16783" s="27" t="s">
        <v>1998</v>
      </c>
      <c r="G16783" s="27" t="s">
        <v>20663</v>
      </c>
      <c r="H16783" s="27" t="s">
        <v>20669</v>
      </c>
      <c r="J16783" s="27" t="s">
        <v>2003</v>
      </c>
      <c r="L16783" s="27" t="s">
        <v>394</v>
      </c>
      <c r="N16783" s="27" t="s">
        <v>18112</v>
      </c>
      <c r="P16783" s="27" t="s">
        <v>18128</v>
      </c>
      <c r="Q16783" s="26" t="str">
        <f>HYPERLINK("https://ictv.global/taxonomy/taxondetails?taxnode_id=202517874&amp;ictv_id=ICTV202317874","ICTV202317874")</f>
        <v>ICTV202317874</v>
      </c>
      <c r="R16783" t="s">
        <v>579</v>
      </c>
      <c r="S16783" t="s">
        <v>22763</v>
      </c>
      <c r="T16783">
        <v>40</v>
      </c>
      <c r="U16783" s="26" t="str">
        <f t="shared" si="640"/>
        <v>2024.010D.Varidnaviria_reorg.zip</v>
      </c>
    </row>
    <row r="16784" spans="1:21">
      <c r="A16784">
        <v>16783</v>
      </c>
      <c r="B16784" s="27" t="s">
        <v>1980</v>
      </c>
      <c r="D16784" s="27" t="s">
        <v>1981</v>
      </c>
      <c r="F16784" s="27" t="s">
        <v>1998</v>
      </c>
      <c r="G16784" s="27" t="s">
        <v>20663</v>
      </c>
      <c r="H16784" s="27" t="s">
        <v>20669</v>
      </c>
      <c r="J16784" s="27" t="s">
        <v>2003</v>
      </c>
      <c r="L16784" s="27" t="s">
        <v>394</v>
      </c>
      <c r="N16784" s="27" t="s">
        <v>18112</v>
      </c>
      <c r="P16784" s="27" t="s">
        <v>20676</v>
      </c>
      <c r="Q16784" s="26" t="str">
        <f>HYPERLINK("https://ictv.global/taxonomy/taxondetails?taxnode_id=202520142&amp;ictv_id=ICTV202420142","ICTV202420142")</f>
        <v>ICTV202420142</v>
      </c>
      <c r="R16784" t="s">
        <v>579</v>
      </c>
      <c r="S16784" t="s">
        <v>823</v>
      </c>
      <c r="T16784">
        <v>40</v>
      </c>
      <c r="U16784" s="26" t="str">
        <f>HYPERLINK("https://ictv.global/ictv/proposals/2024.004D.Adenoviridae_16ns.zip","2024.004D.Adenoviridae_16ns.zip")</f>
        <v>2024.004D.Adenoviridae_16ns.zip</v>
      </c>
    </row>
    <row r="16785" spans="1:21">
      <c r="A16785">
        <v>16784</v>
      </c>
      <c r="B16785" s="27" t="s">
        <v>1980</v>
      </c>
      <c r="D16785" s="27" t="s">
        <v>1981</v>
      </c>
      <c r="F16785" s="27" t="s">
        <v>1998</v>
      </c>
      <c r="G16785" s="27" t="s">
        <v>20663</v>
      </c>
      <c r="H16785" s="27" t="s">
        <v>20669</v>
      </c>
      <c r="J16785" s="27" t="s">
        <v>2003</v>
      </c>
      <c r="L16785" s="27" t="s">
        <v>394</v>
      </c>
      <c r="N16785" s="27" t="s">
        <v>18112</v>
      </c>
      <c r="P16785" s="27" t="s">
        <v>18129</v>
      </c>
      <c r="Q16785" s="26" t="str">
        <f>HYPERLINK("https://ictv.global/taxonomy/taxondetails?taxnode_id=202502394&amp;ictv_id=ICTV20025539","ICTV20025539")</f>
        <v>ICTV20025539</v>
      </c>
      <c r="R16785" t="s">
        <v>579</v>
      </c>
      <c r="S16785" t="s">
        <v>22763</v>
      </c>
      <c r="T16785">
        <v>40</v>
      </c>
      <c r="U16785" s="26" t="str">
        <f>HYPERLINK("https://ictv.global/ictv/proposals/2024.010D.Varidnaviria_reorg.zip","2024.010D.Varidnaviria_reorg.zip")</f>
        <v>2024.010D.Varidnaviria_reorg.zip</v>
      </c>
    </row>
    <row r="16786" spans="1:21">
      <c r="A16786">
        <v>16785</v>
      </c>
      <c r="B16786" s="27" t="s">
        <v>1980</v>
      </c>
      <c r="D16786" s="27" t="s">
        <v>1981</v>
      </c>
      <c r="F16786" s="27" t="s">
        <v>1998</v>
      </c>
      <c r="G16786" s="27" t="s">
        <v>20663</v>
      </c>
      <c r="H16786" s="27" t="s">
        <v>20669</v>
      </c>
      <c r="J16786" s="27" t="s">
        <v>2003</v>
      </c>
      <c r="L16786" s="27" t="s">
        <v>394</v>
      </c>
      <c r="N16786" s="27" t="s">
        <v>18112</v>
      </c>
      <c r="P16786" s="27" t="s">
        <v>20677</v>
      </c>
      <c r="Q16786" s="26" t="str">
        <f>HYPERLINK("https://ictv.global/taxonomy/taxondetails?taxnode_id=202520141&amp;ictv_id=ICTV202420141","ICTV202420141")</f>
        <v>ICTV202420141</v>
      </c>
      <c r="R16786" t="s">
        <v>579</v>
      </c>
      <c r="S16786" t="s">
        <v>823</v>
      </c>
      <c r="T16786">
        <v>40</v>
      </c>
      <c r="U16786" s="26" t="str">
        <f>HYPERLINK("https://ictv.global/ictv/proposals/2024.004D.Adenoviridae_16ns.zip","2024.004D.Adenoviridae_16ns.zip")</f>
        <v>2024.004D.Adenoviridae_16ns.zip</v>
      </c>
    </row>
    <row r="16787" spans="1:21">
      <c r="A16787">
        <v>16786</v>
      </c>
      <c r="B16787" s="27" t="s">
        <v>1980</v>
      </c>
      <c r="D16787" s="27" t="s">
        <v>1981</v>
      </c>
      <c r="F16787" s="27" t="s">
        <v>1998</v>
      </c>
      <c r="G16787" s="27" t="s">
        <v>20663</v>
      </c>
      <c r="H16787" s="27" t="s">
        <v>20669</v>
      </c>
      <c r="J16787" s="27" t="s">
        <v>2003</v>
      </c>
      <c r="L16787" s="27" t="s">
        <v>394</v>
      </c>
      <c r="N16787" s="27" t="s">
        <v>18112</v>
      </c>
      <c r="P16787" s="27" t="s">
        <v>20678</v>
      </c>
      <c r="Q16787" s="26" t="str">
        <f>HYPERLINK("https://ictv.global/taxonomy/taxondetails?taxnode_id=202520143&amp;ictv_id=ICTV202420143","ICTV202420143")</f>
        <v>ICTV202420143</v>
      </c>
      <c r="R16787" t="s">
        <v>579</v>
      </c>
      <c r="S16787" t="s">
        <v>823</v>
      </c>
      <c r="T16787">
        <v>40</v>
      </c>
      <c r="U16787" s="26" t="str">
        <f>HYPERLINK("https://ictv.global/ictv/proposals/2024.004D.Adenoviridae_16ns.zip","2024.004D.Adenoviridae_16ns.zip")</f>
        <v>2024.004D.Adenoviridae_16ns.zip</v>
      </c>
    </row>
    <row r="16788" spans="1:21">
      <c r="A16788">
        <v>16787</v>
      </c>
      <c r="B16788" s="27" t="s">
        <v>1980</v>
      </c>
      <c r="D16788" s="27" t="s">
        <v>1981</v>
      </c>
      <c r="F16788" s="27" t="s">
        <v>1998</v>
      </c>
      <c r="G16788" s="27" t="s">
        <v>20663</v>
      </c>
      <c r="H16788" s="27" t="s">
        <v>20669</v>
      </c>
      <c r="J16788" s="27" t="s">
        <v>2003</v>
      </c>
      <c r="L16788" s="27" t="s">
        <v>394</v>
      </c>
      <c r="N16788" s="27" t="s">
        <v>239</v>
      </c>
      <c r="P16788" s="27" t="s">
        <v>18130</v>
      </c>
      <c r="Q16788" s="26" t="str">
        <f>HYPERLINK("https://ictv.global/taxonomy/taxondetails?taxnode_id=202502411&amp;ictv_id=ICTV20093012","ICTV20093012")</f>
        <v>ICTV20093012</v>
      </c>
      <c r="R16788" t="s">
        <v>579</v>
      </c>
      <c r="S16788" t="s">
        <v>22763</v>
      </c>
      <c r="T16788">
        <v>40</v>
      </c>
      <c r="U16788" s="26" t="str">
        <f>HYPERLINK("https://ictv.global/ictv/proposals/2024.010D.Varidnaviria_reorg.zip","2024.010D.Varidnaviria_reorg.zip")</f>
        <v>2024.010D.Varidnaviria_reorg.zip</v>
      </c>
    </row>
    <row r="16789" spans="1:21">
      <c r="A16789">
        <v>16788</v>
      </c>
      <c r="B16789" s="27" t="s">
        <v>1980</v>
      </c>
      <c r="D16789" s="27" t="s">
        <v>1981</v>
      </c>
      <c r="F16789" s="27" t="s">
        <v>1998</v>
      </c>
      <c r="G16789" s="27" t="s">
        <v>20663</v>
      </c>
      <c r="H16789" s="27" t="s">
        <v>20669</v>
      </c>
      <c r="J16789" s="27" t="s">
        <v>2003</v>
      </c>
      <c r="L16789" s="27" t="s">
        <v>394</v>
      </c>
      <c r="N16789" s="27" t="s">
        <v>350</v>
      </c>
      <c r="P16789" s="27" t="s">
        <v>18131</v>
      </c>
      <c r="Q16789" s="26" t="str">
        <f>HYPERLINK("https://ictv.global/taxonomy/taxondetails?taxnode_id=202502422&amp;ictv_id=ICTV19990514","ICTV19990514")</f>
        <v>ICTV19990514</v>
      </c>
      <c r="R16789" t="s">
        <v>579</v>
      </c>
      <c r="S16789" t="s">
        <v>22763</v>
      </c>
      <c r="T16789">
        <v>40</v>
      </c>
      <c r="U16789" s="26" t="str">
        <f>HYPERLINK("https://ictv.global/ictv/proposals/2024.010D.Varidnaviria_reorg.zip","2024.010D.Varidnaviria_reorg.zip")</f>
        <v>2024.010D.Varidnaviria_reorg.zip</v>
      </c>
    </row>
    <row r="16790" spans="1:21">
      <c r="A16790">
        <v>16789</v>
      </c>
      <c r="B16790" s="27" t="s">
        <v>1980</v>
      </c>
      <c r="D16790" s="27" t="s">
        <v>1981</v>
      </c>
      <c r="F16790" s="27" t="s">
        <v>1998</v>
      </c>
      <c r="G16790" s="27" t="s">
        <v>20663</v>
      </c>
      <c r="H16790" s="27" t="s">
        <v>20669</v>
      </c>
      <c r="J16790" s="27" t="s">
        <v>2003</v>
      </c>
      <c r="L16790" s="27" t="s">
        <v>394</v>
      </c>
      <c r="N16790" s="27" t="s">
        <v>350</v>
      </c>
      <c r="P16790" s="27" t="s">
        <v>18132</v>
      </c>
      <c r="Q16790" s="26" t="str">
        <f>HYPERLINK("https://ictv.global/taxonomy/taxondetails?taxnode_id=202507194&amp;ictv_id=ICTV201907194","ICTV201907194")</f>
        <v>ICTV201907194</v>
      </c>
      <c r="R16790" t="s">
        <v>579</v>
      </c>
      <c r="S16790" t="s">
        <v>22763</v>
      </c>
      <c r="T16790">
        <v>40</v>
      </c>
      <c r="U16790" s="26" t="str">
        <f>HYPERLINK("https://ictv.global/ictv/proposals/2024.010D.Varidnaviria_reorg.zip","2024.010D.Varidnaviria_reorg.zip")</f>
        <v>2024.010D.Varidnaviria_reorg.zip</v>
      </c>
    </row>
    <row r="16791" spans="1:21">
      <c r="A16791">
        <v>16790</v>
      </c>
      <c r="B16791" s="27" t="s">
        <v>1980</v>
      </c>
      <c r="D16791" s="27" t="s">
        <v>1981</v>
      </c>
      <c r="F16791" s="27" t="s">
        <v>1998</v>
      </c>
      <c r="G16791" s="27" t="s">
        <v>20663</v>
      </c>
      <c r="H16791" s="27" t="s">
        <v>20669</v>
      </c>
      <c r="J16791" s="27" t="s">
        <v>2003</v>
      </c>
      <c r="L16791" s="27" t="s">
        <v>394</v>
      </c>
      <c r="N16791" s="27" t="s">
        <v>350</v>
      </c>
      <c r="P16791" s="27" t="s">
        <v>21231</v>
      </c>
      <c r="Q16791" s="26" t="str">
        <f>HYPERLINK("https://ictv.global/taxonomy/taxondetails?taxnode_id=202522135&amp;ictv_id=ICTV202522135","ICTV202522135")</f>
        <v>ICTV202522135</v>
      </c>
      <c r="R16791" t="s">
        <v>579</v>
      </c>
      <c r="S16791" t="s">
        <v>823</v>
      </c>
      <c r="T16791">
        <v>41</v>
      </c>
      <c r="U16791" s="26" t="str">
        <f>HYPERLINK("https://ictv.global/ictv/proposals/2025.004D.Adenoviridae_20ns.zip","2025.004D.Adenoviridae_20ns.zip")</f>
        <v>2025.004D.Adenoviridae_20ns.zip</v>
      </c>
    </row>
    <row r="16792" spans="1:21">
      <c r="A16792">
        <v>16791</v>
      </c>
      <c r="B16792" s="27" t="s">
        <v>1980</v>
      </c>
      <c r="D16792" s="27" t="s">
        <v>1981</v>
      </c>
      <c r="F16792" s="27" t="s">
        <v>1998</v>
      </c>
      <c r="G16792" s="27" t="s">
        <v>20663</v>
      </c>
      <c r="H16792" s="27" t="s">
        <v>20669</v>
      </c>
      <c r="J16792" s="27" t="s">
        <v>2003</v>
      </c>
      <c r="L16792" s="27" t="s">
        <v>394</v>
      </c>
      <c r="N16792" s="27" t="s">
        <v>350</v>
      </c>
      <c r="P16792" s="27" t="s">
        <v>18133</v>
      </c>
      <c r="Q16792" s="26" t="str">
        <f>HYPERLINK("https://ictv.global/taxonomy/taxondetails?taxnode_id=202502443&amp;ictv_id=ICTV20165225","ICTV20165225")</f>
        <v>ICTV20165225</v>
      </c>
      <c r="R16792" t="s">
        <v>579</v>
      </c>
      <c r="S16792" t="s">
        <v>22763</v>
      </c>
      <c r="T16792">
        <v>40</v>
      </c>
      <c r="U16792" s="26" t="str">
        <f>HYPERLINK("https://ictv.global/ictv/proposals/2024.010D.Varidnaviria_reorg.zip","2024.010D.Varidnaviria_reorg.zip")</f>
        <v>2024.010D.Varidnaviria_reorg.zip</v>
      </c>
    </row>
    <row r="16793" spans="1:21">
      <c r="A16793">
        <v>16792</v>
      </c>
      <c r="B16793" s="27" t="s">
        <v>1980</v>
      </c>
      <c r="D16793" s="27" t="s">
        <v>1981</v>
      </c>
      <c r="F16793" s="27" t="s">
        <v>1998</v>
      </c>
      <c r="G16793" s="27" t="s">
        <v>20663</v>
      </c>
      <c r="H16793" s="27" t="s">
        <v>20669</v>
      </c>
      <c r="J16793" s="27" t="s">
        <v>2003</v>
      </c>
      <c r="L16793" s="27" t="s">
        <v>394</v>
      </c>
      <c r="N16793" s="27" t="s">
        <v>350</v>
      </c>
      <c r="P16793" s="27" t="s">
        <v>21243</v>
      </c>
      <c r="Q16793" s="26" t="str">
        <f>HYPERLINK("https://ictv.global/taxonomy/taxondetails?taxnode_id=202522147&amp;ictv_id=ICTV202522147","ICTV202522147")</f>
        <v>ICTV202522147</v>
      </c>
      <c r="R16793" t="s">
        <v>579</v>
      </c>
      <c r="S16793" t="s">
        <v>823</v>
      </c>
      <c r="T16793">
        <v>41</v>
      </c>
      <c r="U16793" s="26" t="str">
        <f>HYPERLINK("https://ictv.global/ictv/proposals/2025.004D.Adenoviridae_20ns.zip","2025.004D.Adenoviridae_20ns.zip")</f>
        <v>2025.004D.Adenoviridae_20ns.zip</v>
      </c>
    </row>
    <row r="16794" spans="1:21">
      <c r="A16794">
        <v>16793</v>
      </c>
      <c r="B16794" s="27" t="s">
        <v>1980</v>
      </c>
      <c r="D16794" s="27" t="s">
        <v>1981</v>
      </c>
      <c r="F16794" s="27" t="s">
        <v>1998</v>
      </c>
      <c r="G16794" s="27" t="s">
        <v>20663</v>
      </c>
      <c r="H16794" s="27" t="s">
        <v>20669</v>
      </c>
      <c r="J16794" s="27" t="s">
        <v>2003</v>
      </c>
      <c r="L16794" s="27" t="s">
        <v>394</v>
      </c>
      <c r="N16794" s="27" t="s">
        <v>350</v>
      </c>
      <c r="P16794" s="27" t="s">
        <v>20679</v>
      </c>
      <c r="Q16794" s="26" t="str">
        <f>HYPERLINK("https://ictv.global/taxonomy/taxondetails?taxnode_id=202520134&amp;ictv_id=ICTV202420134","ICTV202420134")</f>
        <v>ICTV202420134</v>
      </c>
      <c r="R16794" t="s">
        <v>579</v>
      </c>
      <c r="S16794" t="s">
        <v>823</v>
      </c>
      <c r="T16794">
        <v>40</v>
      </c>
      <c r="U16794" s="26" t="str">
        <f>HYPERLINK("https://ictv.global/ictv/proposals/2024.004D.Adenoviridae_16ns.zip","2024.004D.Adenoviridae_16ns.zip")</f>
        <v>2024.004D.Adenoviridae_16ns.zip</v>
      </c>
    </row>
    <row r="16795" spans="1:21">
      <c r="A16795">
        <v>16794</v>
      </c>
      <c r="B16795" s="27" t="s">
        <v>1980</v>
      </c>
      <c r="D16795" s="27" t="s">
        <v>1981</v>
      </c>
      <c r="F16795" s="27" t="s">
        <v>1998</v>
      </c>
      <c r="G16795" s="27" t="s">
        <v>20663</v>
      </c>
      <c r="H16795" s="27" t="s">
        <v>20669</v>
      </c>
      <c r="J16795" s="27" t="s">
        <v>2003</v>
      </c>
      <c r="L16795" s="27" t="s">
        <v>394</v>
      </c>
      <c r="N16795" s="27" t="s">
        <v>350</v>
      </c>
      <c r="P16795" s="27" t="s">
        <v>20870</v>
      </c>
      <c r="Q16795" s="26" t="str">
        <f>HYPERLINK("https://ictv.global/taxonomy/taxondetails?taxnode_id=202507195&amp;ictv_id=ICTV201907195","ICTV201907195")</f>
        <v>ICTV201907195</v>
      </c>
      <c r="R16795" t="s">
        <v>579</v>
      </c>
      <c r="S16795" t="s">
        <v>824</v>
      </c>
      <c r="T16795">
        <v>41</v>
      </c>
      <c r="U16795" s="26" t="str">
        <f>HYPERLINK("https://ictv.global/ictv/proposals/2025.004D.Adenoviridae_20ns.zip","2025.004D.Adenoviridae_20ns.zip")</f>
        <v>2025.004D.Adenoviridae_20ns.zip</v>
      </c>
    </row>
    <row r="16796" spans="1:21">
      <c r="A16796">
        <v>16795</v>
      </c>
      <c r="B16796" s="27" t="s">
        <v>1980</v>
      </c>
      <c r="D16796" s="27" t="s">
        <v>1981</v>
      </c>
      <c r="F16796" s="27" t="s">
        <v>1998</v>
      </c>
      <c r="G16796" s="27" t="s">
        <v>20663</v>
      </c>
      <c r="H16796" s="27" t="s">
        <v>20669</v>
      </c>
      <c r="J16796" s="27" t="s">
        <v>2003</v>
      </c>
      <c r="L16796" s="27" t="s">
        <v>394</v>
      </c>
      <c r="N16796" s="27" t="s">
        <v>350</v>
      </c>
      <c r="P16796" s="27" t="s">
        <v>21230</v>
      </c>
      <c r="Q16796" s="26" t="str">
        <f>HYPERLINK("https://ictv.global/taxonomy/taxondetails?taxnode_id=202522134&amp;ictv_id=ICTV202522134","ICTV202522134")</f>
        <v>ICTV202522134</v>
      </c>
      <c r="R16796" t="s">
        <v>579</v>
      </c>
      <c r="S16796" t="s">
        <v>823</v>
      </c>
      <c r="T16796">
        <v>41</v>
      </c>
      <c r="U16796" s="26" t="str">
        <f>HYPERLINK("https://ictv.global/ictv/proposals/2025.004D.Adenoviridae_20ns.zip","2025.004D.Adenoviridae_20ns.zip")</f>
        <v>2025.004D.Adenoviridae_20ns.zip</v>
      </c>
    </row>
    <row r="16797" spans="1:21">
      <c r="A16797">
        <v>16796</v>
      </c>
      <c r="B16797" s="27" t="s">
        <v>1980</v>
      </c>
      <c r="D16797" s="27" t="s">
        <v>1981</v>
      </c>
      <c r="F16797" s="27" t="s">
        <v>1998</v>
      </c>
      <c r="G16797" s="27" t="s">
        <v>20663</v>
      </c>
      <c r="H16797" s="27" t="s">
        <v>20669</v>
      </c>
      <c r="J16797" s="27" t="s">
        <v>2003</v>
      </c>
      <c r="L16797" s="27" t="s">
        <v>394</v>
      </c>
      <c r="N16797" s="27" t="s">
        <v>350</v>
      </c>
      <c r="P16797" s="27" t="s">
        <v>18134</v>
      </c>
      <c r="Q16797" s="26" t="str">
        <f>HYPERLINK("https://ictv.global/taxonomy/taxondetails?taxnode_id=202502423&amp;ictv_id=ICTV19990515","ICTV19990515")</f>
        <v>ICTV19990515</v>
      </c>
      <c r="R16797" t="s">
        <v>579</v>
      </c>
      <c r="S16797" t="s">
        <v>22763</v>
      </c>
      <c r="T16797">
        <v>40</v>
      </c>
      <c r="U16797" s="26" t="str">
        <f t="shared" ref="U16797:U16803" si="641">HYPERLINK("https://ictv.global/ictv/proposals/2024.010D.Varidnaviria_reorg.zip","2024.010D.Varidnaviria_reorg.zip")</f>
        <v>2024.010D.Varidnaviria_reorg.zip</v>
      </c>
    </row>
    <row r="16798" spans="1:21">
      <c r="A16798">
        <v>16797</v>
      </c>
      <c r="B16798" s="27" t="s">
        <v>1980</v>
      </c>
      <c r="D16798" s="27" t="s">
        <v>1981</v>
      </c>
      <c r="F16798" s="27" t="s">
        <v>1998</v>
      </c>
      <c r="G16798" s="27" t="s">
        <v>20663</v>
      </c>
      <c r="H16798" s="27" t="s">
        <v>20669</v>
      </c>
      <c r="J16798" s="27" t="s">
        <v>2003</v>
      </c>
      <c r="L16798" s="27" t="s">
        <v>394</v>
      </c>
      <c r="N16798" s="27" t="s">
        <v>350</v>
      </c>
      <c r="P16798" s="27" t="s">
        <v>18135</v>
      </c>
      <c r="Q16798" s="26" t="str">
        <f>HYPERLINK("https://ictv.global/taxonomy/taxondetails?taxnode_id=202502417&amp;ictv_id=ICTV19990510","ICTV19990510")</f>
        <v>ICTV19990510</v>
      </c>
      <c r="R16798" t="s">
        <v>579</v>
      </c>
      <c r="S16798" t="s">
        <v>22763</v>
      </c>
      <c r="T16798">
        <v>40</v>
      </c>
      <c r="U16798" s="26" t="str">
        <f t="shared" si="641"/>
        <v>2024.010D.Varidnaviria_reorg.zip</v>
      </c>
    </row>
    <row r="16799" spans="1:21">
      <c r="A16799">
        <v>16798</v>
      </c>
      <c r="B16799" s="27" t="s">
        <v>1980</v>
      </c>
      <c r="D16799" s="27" t="s">
        <v>1981</v>
      </c>
      <c r="F16799" s="27" t="s">
        <v>1998</v>
      </c>
      <c r="G16799" s="27" t="s">
        <v>20663</v>
      </c>
      <c r="H16799" s="27" t="s">
        <v>20669</v>
      </c>
      <c r="J16799" s="27" t="s">
        <v>2003</v>
      </c>
      <c r="L16799" s="27" t="s">
        <v>394</v>
      </c>
      <c r="N16799" s="27" t="s">
        <v>350</v>
      </c>
      <c r="P16799" s="27" t="s">
        <v>18136</v>
      </c>
      <c r="Q16799" s="26" t="str">
        <f>HYPERLINK("https://ictv.global/taxonomy/taxondetails?taxnode_id=202502415&amp;ictv_id=ICTV19810183","ICTV19810183")</f>
        <v>ICTV19810183</v>
      </c>
      <c r="R16799" t="s">
        <v>579</v>
      </c>
      <c r="S16799" t="s">
        <v>22763</v>
      </c>
      <c r="T16799">
        <v>40</v>
      </c>
      <c r="U16799" s="26" t="str">
        <f t="shared" si="641"/>
        <v>2024.010D.Varidnaviria_reorg.zip</v>
      </c>
    </row>
    <row r="16800" spans="1:21">
      <c r="A16800">
        <v>16799</v>
      </c>
      <c r="B16800" s="27" t="s">
        <v>1980</v>
      </c>
      <c r="D16800" s="27" t="s">
        <v>1981</v>
      </c>
      <c r="F16800" s="27" t="s">
        <v>1998</v>
      </c>
      <c r="G16800" s="27" t="s">
        <v>20663</v>
      </c>
      <c r="H16800" s="27" t="s">
        <v>20669</v>
      </c>
      <c r="J16800" s="27" t="s">
        <v>2003</v>
      </c>
      <c r="L16800" s="27" t="s">
        <v>394</v>
      </c>
      <c r="N16800" s="27" t="s">
        <v>350</v>
      </c>
      <c r="P16800" s="27" t="s">
        <v>18137</v>
      </c>
      <c r="Q16800" s="26" t="str">
        <f>HYPERLINK("https://ictv.global/taxonomy/taxondetails?taxnode_id=202502416&amp;ictv_id=ICTV19810185","ICTV19810185")</f>
        <v>ICTV19810185</v>
      </c>
      <c r="R16800" t="s">
        <v>579</v>
      </c>
      <c r="S16800" t="s">
        <v>22763</v>
      </c>
      <c r="T16800">
        <v>40</v>
      </c>
      <c r="U16800" s="26" t="str">
        <f t="shared" si="641"/>
        <v>2024.010D.Varidnaviria_reorg.zip</v>
      </c>
    </row>
    <row r="16801" spans="1:21">
      <c r="A16801">
        <v>16800</v>
      </c>
      <c r="B16801" s="27" t="s">
        <v>1980</v>
      </c>
      <c r="D16801" s="27" t="s">
        <v>1981</v>
      </c>
      <c r="F16801" s="27" t="s">
        <v>1998</v>
      </c>
      <c r="G16801" s="27" t="s">
        <v>20663</v>
      </c>
      <c r="H16801" s="27" t="s">
        <v>20669</v>
      </c>
      <c r="J16801" s="27" t="s">
        <v>2003</v>
      </c>
      <c r="L16801" s="27" t="s">
        <v>394</v>
      </c>
      <c r="N16801" s="27" t="s">
        <v>350</v>
      </c>
      <c r="P16801" s="27" t="s">
        <v>18138</v>
      </c>
      <c r="Q16801" s="26" t="str">
        <f>HYPERLINK("https://ictv.global/taxonomy/taxondetails?taxnode_id=202502432&amp;ictv_id=ICTV19990521","ICTV19990521")</f>
        <v>ICTV19990521</v>
      </c>
      <c r="R16801" t="s">
        <v>579</v>
      </c>
      <c r="S16801" t="s">
        <v>22763</v>
      </c>
      <c r="T16801">
        <v>40</v>
      </c>
      <c r="U16801" s="26" t="str">
        <f t="shared" si="641"/>
        <v>2024.010D.Varidnaviria_reorg.zip</v>
      </c>
    </row>
    <row r="16802" spans="1:21">
      <c r="A16802">
        <v>16801</v>
      </c>
      <c r="B16802" s="27" t="s">
        <v>1980</v>
      </c>
      <c r="D16802" s="27" t="s">
        <v>1981</v>
      </c>
      <c r="F16802" s="27" t="s">
        <v>1998</v>
      </c>
      <c r="G16802" s="27" t="s">
        <v>20663</v>
      </c>
      <c r="H16802" s="27" t="s">
        <v>20669</v>
      </c>
      <c r="J16802" s="27" t="s">
        <v>2003</v>
      </c>
      <c r="L16802" s="27" t="s">
        <v>394</v>
      </c>
      <c r="N16802" s="27" t="s">
        <v>350</v>
      </c>
      <c r="P16802" s="27" t="s">
        <v>18139</v>
      </c>
      <c r="Q16802" s="26" t="str">
        <f>HYPERLINK("https://ictv.global/taxonomy/taxondetails?taxnode_id=202502424&amp;ictv_id=ICTV19990516","ICTV19990516")</f>
        <v>ICTV19990516</v>
      </c>
      <c r="R16802" t="s">
        <v>579</v>
      </c>
      <c r="S16802" t="s">
        <v>22763</v>
      </c>
      <c r="T16802">
        <v>40</v>
      </c>
      <c r="U16802" s="26" t="str">
        <f t="shared" si="641"/>
        <v>2024.010D.Varidnaviria_reorg.zip</v>
      </c>
    </row>
    <row r="16803" spans="1:21">
      <c r="A16803">
        <v>16802</v>
      </c>
      <c r="B16803" s="27" t="s">
        <v>1980</v>
      </c>
      <c r="D16803" s="27" t="s">
        <v>1981</v>
      </c>
      <c r="F16803" s="27" t="s">
        <v>1998</v>
      </c>
      <c r="G16803" s="27" t="s">
        <v>20663</v>
      </c>
      <c r="H16803" s="27" t="s">
        <v>20669</v>
      </c>
      <c r="J16803" s="27" t="s">
        <v>2003</v>
      </c>
      <c r="L16803" s="27" t="s">
        <v>394</v>
      </c>
      <c r="N16803" s="27" t="s">
        <v>350</v>
      </c>
      <c r="P16803" s="27" t="s">
        <v>18140</v>
      </c>
      <c r="Q16803" s="26" t="str">
        <f>HYPERLINK("https://ictv.global/taxonomy/taxondetails?taxnode_id=202502418&amp;ictv_id=ICTV19990511","ICTV19990511")</f>
        <v>ICTV19990511</v>
      </c>
      <c r="R16803" t="s">
        <v>579</v>
      </c>
      <c r="S16803" t="s">
        <v>22763</v>
      </c>
      <c r="T16803">
        <v>40</v>
      </c>
      <c r="U16803" s="26" t="str">
        <f t="shared" si="641"/>
        <v>2024.010D.Varidnaviria_reorg.zip</v>
      </c>
    </row>
    <row r="16804" spans="1:21">
      <c r="A16804">
        <v>16803</v>
      </c>
      <c r="B16804" s="27" t="s">
        <v>1980</v>
      </c>
      <c r="D16804" s="27" t="s">
        <v>1981</v>
      </c>
      <c r="F16804" s="27" t="s">
        <v>1998</v>
      </c>
      <c r="G16804" s="27" t="s">
        <v>20663</v>
      </c>
      <c r="H16804" s="27" t="s">
        <v>20669</v>
      </c>
      <c r="J16804" s="27" t="s">
        <v>2003</v>
      </c>
      <c r="L16804" s="27" t="s">
        <v>394</v>
      </c>
      <c r="N16804" s="27" t="s">
        <v>350</v>
      </c>
      <c r="P16804" s="27" t="s">
        <v>20680</v>
      </c>
      <c r="Q16804" s="26" t="str">
        <f>HYPERLINK("https://ictv.global/taxonomy/taxondetails?taxnode_id=202520129&amp;ictv_id=ICTV202420129","ICTV202420129")</f>
        <v>ICTV202420129</v>
      </c>
      <c r="R16804" t="s">
        <v>579</v>
      </c>
      <c r="S16804" t="s">
        <v>823</v>
      </c>
      <c r="T16804">
        <v>40</v>
      </c>
      <c r="U16804" s="26" t="str">
        <f>HYPERLINK("https://ictv.global/ictv/proposals/2024.004D.Adenoviridae_16ns.zip","2024.004D.Adenoviridae_16ns.zip")</f>
        <v>2024.004D.Adenoviridae_16ns.zip</v>
      </c>
    </row>
    <row r="16805" spans="1:21">
      <c r="A16805">
        <v>16804</v>
      </c>
      <c r="B16805" s="27" t="s">
        <v>1980</v>
      </c>
      <c r="D16805" s="27" t="s">
        <v>1981</v>
      </c>
      <c r="F16805" s="27" t="s">
        <v>1998</v>
      </c>
      <c r="G16805" s="27" t="s">
        <v>20663</v>
      </c>
      <c r="H16805" s="27" t="s">
        <v>20669</v>
      </c>
      <c r="J16805" s="27" t="s">
        <v>2003</v>
      </c>
      <c r="L16805" s="27" t="s">
        <v>394</v>
      </c>
      <c r="N16805" s="27" t="s">
        <v>350</v>
      </c>
      <c r="P16805" s="27" t="s">
        <v>20681</v>
      </c>
      <c r="Q16805" s="26" t="str">
        <f>HYPERLINK("https://ictv.global/taxonomy/taxondetails?taxnode_id=202520132&amp;ictv_id=ICTV202420132","ICTV202420132")</f>
        <v>ICTV202420132</v>
      </c>
      <c r="R16805" t="s">
        <v>579</v>
      </c>
      <c r="S16805" t="s">
        <v>823</v>
      </c>
      <c r="T16805">
        <v>40</v>
      </c>
      <c r="U16805" s="26" t="str">
        <f>HYPERLINK("https://ictv.global/ictv/proposals/2024.004D.Adenoviridae_16ns.zip","2024.004D.Adenoviridae_16ns.zip")</f>
        <v>2024.004D.Adenoviridae_16ns.zip</v>
      </c>
    </row>
    <row r="16806" spans="1:21">
      <c r="A16806">
        <v>16805</v>
      </c>
      <c r="B16806" s="27" t="s">
        <v>1980</v>
      </c>
      <c r="D16806" s="27" t="s">
        <v>1981</v>
      </c>
      <c r="F16806" s="27" t="s">
        <v>1998</v>
      </c>
      <c r="G16806" s="27" t="s">
        <v>20663</v>
      </c>
      <c r="H16806" s="27" t="s">
        <v>20669</v>
      </c>
      <c r="J16806" s="27" t="s">
        <v>2003</v>
      </c>
      <c r="L16806" s="27" t="s">
        <v>394</v>
      </c>
      <c r="N16806" s="27" t="s">
        <v>350</v>
      </c>
      <c r="P16806" s="27" t="s">
        <v>18141</v>
      </c>
      <c r="Q16806" s="26" t="str">
        <f>HYPERLINK("https://ictv.global/taxonomy/taxondetails?taxnode_id=202509162&amp;ictv_id=ICTV202009162","ICTV202009162")</f>
        <v>ICTV202009162</v>
      </c>
      <c r="R16806" t="s">
        <v>579</v>
      </c>
      <c r="S16806" t="s">
        <v>22763</v>
      </c>
      <c r="T16806">
        <v>40</v>
      </c>
      <c r="U16806" s="26" t="str">
        <f t="shared" ref="U16806:U16813" si="642">HYPERLINK("https://ictv.global/ictv/proposals/2024.010D.Varidnaviria_reorg.zip","2024.010D.Varidnaviria_reorg.zip")</f>
        <v>2024.010D.Varidnaviria_reorg.zip</v>
      </c>
    </row>
    <row r="16807" spans="1:21">
      <c r="A16807">
        <v>16806</v>
      </c>
      <c r="B16807" s="27" t="s">
        <v>1980</v>
      </c>
      <c r="D16807" s="27" t="s">
        <v>1981</v>
      </c>
      <c r="F16807" s="27" t="s">
        <v>1998</v>
      </c>
      <c r="G16807" s="27" t="s">
        <v>20663</v>
      </c>
      <c r="H16807" s="27" t="s">
        <v>20669</v>
      </c>
      <c r="J16807" s="27" t="s">
        <v>2003</v>
      </c>
      <c r="L16807" s="27" t="s">
        <v>394</v>
      </c>
      <c r="N16807" s="27" t="s">
        <v>350</v>
      </c>
      <c r="P16807" s="27" t="s">
        <v>18142</v>
      </c>
      <c r="Q16807" s="26" t="str">
        <f>HYPERLINK("https://ictv.global/taxonomy/taxondetails?taxnode_id=202505660&amp;ictv_id=ICTV20175660","ICTV20175660")</f>
        <v>ICTV20175660</v>
      </c>
      <c r="R16807" t="s">
        <v>579</v>
      </c>
      <c r="S16807" t="s">
        <v>22763</v>
      </c>
      <c r="T16807">
        <v>40</v>
      </c>
      <c r="U16807" s="26" t="str">
        <f t="shared" si="642"/>
        <v>2024.010D.Varidnaviria_reorg.zip</v>
      </c>
    </row>
    <row r="16808" spans="1:21">
      <c r="A16808">
        <v>16807</v>
      </c>
      <c r="B16808" s="27" t="s">
        <v>1980</v>
      </c>
      <c r="D16808" s="27" t="s">
        <v>1981</v>
      </c>
      <c r="F16808" s="27" t="s">
        <v>1998</v>
      </c>
      <c r="G16808" s="27" t="s">
        <v>20663</v>
      </c>
      <c r="H16808" s="27" t="s">
        <v>20669</v>
      </c>
      <c r="J16808" s="27" t="s">
        <v>2003</v>
      </c>
      <c r="L16808" s="27" t="s">
        <v>394</v>
      </c>
      <c r="N16808" s="27" t="s">
        <v>350</v>
      </c>
      <c r="P16808" s="27" t="s">
        <v>18143</v>
      </c>
      <c r="Q16808" s="26" t="str">
        <f>HYPERLINK("https://ictv.global/taxonomy/taxondetails?taxnode_id=202517889&amp;ictv_id=ICTV202317889","ICTV202317889")</f>
        <v>ICTV202317889</v>
      </c>
      <c r="R16808" t="s">
        <v>579</v>
      </c>
      <c r="S16808" t="s">
        <v>22763</v>
      </c>
      <c r="T16808">
        <v>40</v>
      </c>
      <c r="U16808" s="26" t="str">
        <f t="shared" si="642"/>
        <v>2024.010D.Varidnaviria_reorg.zip</v>
      </c>
    </row>
    <row r="16809" spans="1:21">
      <c r="A16809">
        <v>16808</v>
      </c>
      <c r="B16809" s="27" t="s">
        <v>1980</v>
      </c>
      <c r="D16809" s="27" t="s">
        <v>1981</v>
      </c>
      <c r="F16809" s="27" t="s">
        <v>1998</v>
      </c>
      <c r="G16809" s="27" t="s">
        <v>20663</v>
      </c>
      <c r="H16809" s="27" t="s">
        <v>20669</v>
      </c>
      <c r="J16809" s="27" t="s">
        <v>2003</v>
      </c>
      <c r="L16809" s="27" t="s">
        <v>394</v>
      </c>
      <c r="N16809" s="27" t="s">
        <v>350</v>
      </c>
      <c r="P16809" s="27" t="s">
        <v>18144</v>
      </c>
      <c r="Q16809" s="26" t="str">
        <f>HYPERLINK("https://ictv.global/taxonomy/taxondetails?taxnode_id=202502444&amp;ictv_id=ICTV20165226","ICTV20165226")</f>
        <v>ICTV20165226</v>
      </c>
      <c r="R16809" t="s">
        <v>579</v>
      </c>
      <c r="S16809" t="s">
        <v>22763</v>
      </c>
      <c r="T16809">
        <v>40</v>
      </c>
      <c r="U16809" s="26" t="str">
        <f t="shared" si="642"/>
        <v>2024.010D.Varidnaviria_reorg.zip</v>
      </c>
    </row>
    <row r="16810" spans="1:21">
      <c r="A16810">
        <v>16809</v>
      </c>
      <c r="B16810" s="27" t="s">
        <v>1980</v>
      </c>
      <c r="D16810" s="27" t="s">
        <v>1981</v>
      </c>
      <c r="F16810" s="27" t="s">
        <v>1998</v>
      </c>
      <c r="G16810" s="27" t="s">
        <v>20663</v>
      </c>
      <c r="H16810" s="27" t="s">
        <v>20669</v>
      </c>
      <c r="J16810" s="27" t="s">
        <v>2003</v>
      </c>
      <c r="L16810" s="27" t="s">
        <v>394</v>
      </c>
      <c r="N16810" s="27" t="s">
        <v>350</v>
      </c>
      <c r="P16810" s="27" t="s">
        <v>18145</v>
      </c>
      <c r="Q16810" s="26" t="str">
        <f>HYPERLINK("https://ictv.global/taxonomy/taxondetails?taxnode_id=202502431&amp;ictv_id=ICTV20093027","ICTV20093027")</f>
        <v>ICTV20093027</v>
      </c>
      <c r="R16810" t="s">
        <v>579</v>
      </c>
      <c r="S16810" t="s">
        <v>22763</v>
      </c>
      <c r="T16810">
        <v>40</v>
      </c>
      <c r="U16810" s="26" t="str">
        <f t="shared" si="642"/>
        <v>2024.010D.Varidnaviria_reorg.zip</v>
      </c>
    </row>
    <row r="16811" spans="1:21">
      <c r="A16811">
        <v>16810</v>
      </c>
      <c r="B16811" s="27" t="s">
        <v>1980</v>
      </c>
      <c r="D16811" s="27" t="s">
        <v>1981</v>
      </c>
      <c r="F16811" s="27" t="s">
        <v>1998</v>
      </c>
      <c r="G16811" s="27" t="s">
        <v>20663</v>
      </c>
      <c r="H16811" s="27" t="s">
        <v>20669</v>
      </c>
      <c r="J16811" s="27" t="s">
        <v>2003</v>
      </c>
      <c r="L16811" s="27" t="s">
        <v>394</v>
      </c>
      <c r="N16811" s="27" t="s">
        <v>350</v>
      </c>
      <c r="P16811" s="27" t="s">
        <v>18146</v>
      </c>
      <c r="Q16811" s="26" t="str">
        <f>HYPERLINK("https://ictv.global/taxonomy/taxondetails?taxnode_id=202502441&amp;ictv_id=ICTV20151765","ICTV20151765")</f>
        <v>ICTV20151765</v>
      </c>
      <c r="R16811" t="s">
        <v>579</v>
      </c>
      <c r="S16811" t="s">
        <v>22763</v>
      </c>
      <c r="T16811">
        <v>40</v>
      </c>
      <c r="U16811" s="26" t="str">
        <f t="shared" si="642"/>
        <v>2024.010D.Varidnaviria_reorg.zip</v>
      </c>
    </row>
    <row r="16812" spans="1:21">
      <c r="A16812">
        <v>16811</v>
      </c>
      <c r="B16812" s="27" t="s">
        <v>1980</v>
      </c>
      <c r="D16812" s="27" t="s">
        <v>1981</v>
      </c>
      <c r="F16812" s="27" t="s">
        <v>1998</v>
      </c>
      <c r="G16812" s="27" t="s">
        <v>20663</v>
      </c>
      <c r="H16812" s="27" t="s">
        <v>20669</v>
      </c>
      <c r="J16812" s="27" t="s">
        <v>2003</v>
      </c>
      <c r="L16812" s="27" t="s">
        <v>394</v>
      </c>
      <c r="N16812" s="27" t="s">
        <v>350</v>
      </c>
      <c r="P16812" s="27" t="s">
        <v>18147</v>
      </c>
      <c r="Q16812" s="26" t="str">
        <f>HYPERLINK("https://ictv.global/taxonomy/taxondetails?taxnode_id=202505661&amp;ictv_id=ICTV20175661","ICTV20175661")</f>
        <v>ICTV20175661</v>
      </c>
      <c r="R16812" t="s">
        <v>579</v>
      </c>
      <c r="S16812" t="s">
        <v>22763</v>
      </c>
      <c r="T16812">
        <v>40</v>
      </c>
      <c r="U16812" s="26" t="str">
        <f t="shared" si="642"/>
        <v>2024.010D.Varidnaviria_reorg.zip</v>
      </c>
    </row>
    <row r="16813" spans="1:21">
      <c r="A16813">
        <v>16812</v>
      </c>
      <c r="B16813" s="27" t="s">
        <v>1980</v>
      </c>
      <c r="D16813" s="27" t="s">
        <v>1981</v>
      </c>
      <c r="F16813" s="27" t="s">
        <v>1998</v>
      </c>
      <c r="G16813" s="27" t="s">
        <v>20663</v>
      </c>
      <c r="H16813" s="27" t="s">
        <v>20669</v>
      </c>
      <c r="J16813" s="27" t="s">
        <v>2003</v>
      </c>
      <c r="L16813" s="27" t="s">
        <v>394</v>
      </c>
      <c r="N16813" s="27" t="s">
        <v>350</v>
      </c>
      <c r="P16813" s="27" t="s">
        <v>18148</v>
      </c>
      <c r="Q16813" s="26" t="str">
        <f>HYPERLINK("https://ictv.global/taxonomy/taxondetails?taxnode_id=202502419&amp;ictv_id=ICTV20165221","ICTV20165221")</f>
        <v>ICTV20165221</v>
      </c>
      <c r="R16813" t="s">
        <v>579</v>
      </c>
      <c r="S16813" t="s">
        <v>22763</v>
      </c>
      <c r="T16813">
        <v>40</v>
      </c>
      <c r="U16813" s="26" t="str">
        <f t="shared" si="642"/>
        <v>2024.010D.Varidnaviria_reorg.zip</v>
      </c>
    </row>
    <row r="16814" spans="1:21">
      <c r="A16814">
        <v>16813</v>
      </c>
      <c r="B16814" s="27" t="s">
        <v>1980</v>
      </c>
      <c r="D16814" s="27" t="s">
        <v>1981</v>
      </c>
      <c r="F16814" s="27" t="s">
        <v>1998</v>
      </c>
      <c r="G16814" s="27" t="s">
        <v>20663</v>
      </c>
      <c r="H16814" s="27" t="s">
        <v>20669</v>
      </c>
      <c r="J16814" s="27" t="s">
        <v>2003</v>
      </c>
      <c r="L16814" s="27" t="s">
        <v>394</v>
      </c>
      <c r="N16814" s="27" t="s">
        <v>350</v>
      </c>
      <c r="P16814" s="27" t="s">
        <v>20682</v>
      </c>
      <c r="Q16814" s="26" t="str">
        <f>HYPERLINK("https://ictv.global/taxonomy/taxondetails?taxnode_id=202520131&amp;ictv_id=ICTV202420131","ICTV202420131")</f>
        <v>ICTV202420131</v>
      </c>
      <c r="R16814" t="s">
        <v>579</v>
      </c>
      <c r="S16814" t="s">
        <v>823</v>
      </c>
      <c r="T16814">
        <v>40</v>
      </c>
      <c r="U16814" s="26" t="str">
        <f>HYPERLINK("https://ictv.global/ictv/proposals/2024.004D.Adenoviridae_16ns.zip","2024.004D.Adenoviridae_16ns.zip")</f>
        <v>2024.004D.Adenoviridae_16ns.zip</v>
      </c>
    </row>
    <row r="16815" spans="1:21">
      <c r="A16815">
        <v>16814</v>
      </c>
      <c r="B16815" s="27" t="s">
        <v>1980</v>
      </c>
      <c r="D16815" s="27" t="s">
        <v>1981</v>
      </c>
      <c r="F16815" s="27" t="s">
        <v>1998</v>
      </c>
      <c r="G16815" s="27" t="s">
        <v>20663</v>
      </c>
      <c r="H16815" s="27" t="s">
        <v>20669</v>
      </c>
      <c r="J16815" s="27" t="s">
        <v>2003</v>
      </c>
      <c r="L16815" s="27" t="s">
        <v>394</v>
      </c>
      <c r="N16815" s="27" t="s">
        <v>350</v>
      </c>
      <c r="P16815" s="27" t="s">
        <v>18149</v>
      </c>
      <c r="Q16815" s="26" t="str">
        <f>HYPERLINK("https://ictv.global/taxonomy/taxondetails?taxnode_id=202517891&amp;ictv_id=ICTV202317891","ICTV202317891")</f>
        <v>ICTV202317891</v>
      </c>
      <c r="R16815" t="s">
        <v>579</v>
      </c>
      <c r="S16815" t="s">
        <v>22763</v>
      </c>
      <c r="T16815">
        <v>40</v>
      </c>
      <c r="U16815" s="26" t="str">
        <f>HYPERLINK("https://ictv.global/ictv/proposals/2024.010D.Varidnaviria_reorg.zip","2024.010D.Varidnaviria_reorg.zip")</f>
        <v>2024.010D.Varidnaviria_reorg.zip</v>
      </c>
    </row>
    <row r="16816" spans="1:21">
      <c r="A16816">
        <v>16815</v>
      </c>
      <c r="B16816" s="27" t="s">
        <v>1980</v>
      </c>
      <c r="D16816" s="27" t="s">
        <v>1981</v>
      </c>
      <c r="F16816" s="27" t="s">
        <v>1998</v>
      </c>
      <c r="G16816" s="27" t="s">
        <v>20663</v>
      </c>
      <c r="H16816" s="27" t="s">
        <v>20669</v>
      </c>
      <c r="J16816" s="27" t="s">
        <v>2003</v>
      </c>
      <c r="L16816" s="27" t="s">
        <v>394</v>
      </c>
      <c r="N16816" s="27" t="s">
        <v>350</v>
      </c>
      <c r="P16816" s="27" t="s">
        <v>18150</v>
      </c>
      <c r="Q16816" s="26" t="str">
        <f>HYPERLINK("https://ictv.global/taxonomy/taxondetails?taxnode_id=202502425&amp;ictv_id=ICTV19990517","ICTV19990517")</f>
        <v>ICTV19990517</v>
      </c>
      <c r="R16816" t="s">
        <v>579</v>
      </c>
      <c r="S16816" t="s">
        <v>22763</v>
      </c>
      <c r="T16816">
        <v>40</v>
      </c>
      <c r="U16816" s="26" t="str">
        <f>HYPERLINK("https://ictv.global/ictv/proposals/2024.010D.Varidnaviria_reorg.zip","2024.010D.Varidnaviria_reorg.zip")</f>
        <v>2024.010D.Varidnaviria_reorg.zip</v>
      </c>
    </row>
    <row r="16817" spans="1:21">
      <c r="A16817">
        <v>16816</v>
      </c>
      <c r="B16817" s="27" t="s">
        <v>1980</v>
      </c>
      <c r="D16817" s="27" t="s">
        <v>1981</v>
      </c>
      <c r="F16817" s="27" t="s">
        <v>1998</v>
      </c>
      <c r="G16817" s="27" t="s">
        <v>20663</v>
      </c>
      <c r="H16817" s="27" t="s">
        <v>20669</v>
      </c>
      <c r="J16817" s="27" t="s">
        <v>2003</v>
      </c>
      <c r="L16817" s="27" t="s">
        <v>394</v>
      </c>
      <c r="N16817" s="27" t="s">
        <v>350</v>
      </c>
      <c r="P16817" s="27" t="s">
        <v>18151</v>
      </c>
      <c r="Q16817" s="26" t="str">
        <f>HYPERLINK("https://ictv.global/taxonomy/taxondetails?taxnode_id=202507193&amp;ictv_id=ICTV201907193","ICTV201907193")</f>
        <v>ICTV201907193</v>
      </c>
      <c r="R16817" t="s">
        <v>579</v>
      </c>
      <c r="S16817" t="s">
        <v>22763</v>
      </c>
      <c r="T16817">
        <v>40</v>
      </c>
      <c r="U16817" s="26" t="str">
        <f>HYPERLINK("https://ictv.global/ictv/proposals/2024.010D.Varidnaviria_reorg.zip","2024.010D.Varidnaviria_reorg.zip")</f>
        <v>2024.010D.Varidnaviria_reorg.zip</v>
      </c>
    </row>
    <row r="16818" spans="1:21">
      <c r="A16818">
        <v>16817</v>
      </c>
      <c r="B16818" s="27" t="s">
        <v>1980</v>
      </c>
      <c r="D16818" s="27" t="s">
        <v>1981</v>
      </c>
      <c r="F16818" s="27" t="s">
        <v>1998</v>
      </c>
      <c r="G16818" s="27" t="s">
        <v>20663</v>
      </c>
      <c r="H16818" s="27" t="s">
        <v>20669</v>
      </c>
      <c r="J16818" s="27" t="s">
        <v>2003</v>
      </c>
      <c r="L16818" s="27" t="s">
        <v>394</v>
      </c>
      <c r="N16818" s="27" t="s">
        <v>350</v>
      </c>
      <c r="P16818" s="27" t="s">
        <v>21235</v>
      </c>
      <c r="Q16818" s="26" t="str">
        <f>HYPERLINK("https://ictv.global/taxonomy/taxondetails?taxnode_id=202522139&amp;ictv_id=ICTV202522139","ICTV202522139")</f>
        <v>ICTV202522139</v>
      </c>
      <c r="R16818" t="s">
        <v>579</v>
      </c>
      <c r="S16818" t="s">
        <v>823</v>
      </c>
      <c r="T16818">
        <v>41</v>
      </c>
      <c r="U16818" s="26" t="str">
        <f>HYPERLINK("https://ictv.global/ictv/proposals/2025.004D.Adenoviridae_20ns.zip","2025.004D.Adenoviridae_20ns.zip")</f>
        <v>2025.004D.Adenoviridae_20ns.zip</v>
      </c>
    </row>
    <row r="16819" spans="1:21">
      <c r="A16819">
        <v>16818</v>
      </c>
      <c r="B16819" s="27" t="s">
        <v>1980</v>
      </c>
      <c r="D16819" s="27" t="s">
        <v>1981</v>
      </c>
      <c r="F16819" s="27" t="s">
        <v>1998</v>
      </c>
      <c r="G16819" s="27" t="s">
        <v>20663</v>
      </c>
      <c r="H16819" s="27" t="s">
        <v>20669</v>
      </c>
      <c r="J16819" s="27" t="s">
        <v>2003</v>
      </c>
      <c r="L16819" s="27" t="s">
        <v>394</v>
      </c>
      <c r="N16819" s="27" t="s">
        <v>350</v>
      </c>
      <c r="P16819" s="27" t="s">
        <v>18152</v>
      </c>
      <c r="Q16819" s="26" t="str">
        <f>HYPERLINK("https://ictv.global/taxonomy/taxondetails?taxnode_id=202502429&amp;ictv_id=ICTV19760121","ICTV19760121")</f>
        <v>ICTV19760121</v>
      </c>
      <c r="R16819" t="s">
        <v>579</v>
      </c>
      <c r="S16819" t="s">
        <v>22763</v>
      </c>
      <c r="T16819">
        <v>40</v>
      </c>
      <c r="U16819" s="26" t="str">
        <f>HYPERLINK("https://ictv.global/ictv/proposals/2024.010D.Varidnaviria_reorg.zip","2024.010D.Varidnaviria_reorg.zip")</f>
        <v>2024.010D.Varidnaviria_reorg.zip</v>
      </c>
    </row>
    <row r="16820" spans="1:21">
      <c r="A16820">
        <v>16819</v>
      </c>
      <c r="B16820" s="27" t="s">
        <v>1980</v>
      </c>
      <c r="D16820" s="27" t="s">
        <v>1981</v>
      </c>
      <c r="F16820" s="27" t="s">
        <v>1998</v>
      </c>
      <c r="G16820" s="27" t="s">
        <v>20663</v>
      </c>
      <c r="H16820" s="27" t="s">
        <v>20669</v>
      </c>
      <c r="J16820" s="27" t="s">
        <v>2003</v>
      </c>
      <c r="L16820" s="27" t="s">
        <v>394</v>
      </c>
      <c r="N16820" s="27" t="s">
        <v>350</v>
      </c>
      <c r="P16820" s="27" t="s">
        <v>21237</v>
      </c>
      <c r="Q16820" s="26" t="str">
        <f>HYPERLINK("https://ictv.global/taxonomy/taxondetails?taxnode_id=202522141&amp;ictv_id=ICTV202522141","ICTV202522141")</f>
        <v>ICTV202522141</v>
      </c>
      <c r="R16820" t="s">
        <v>579</v>
      </c>
      <c r="S16820" t="s">
        <v>823</v>
      </c>
      <c r="T16820">
        <v>41</v>
      </c>
      <c r="U16820" s="26" t="str">
        <f>HYPERLINK("https://ictv.global/ictv/proposals/2025.004D.Adenoviridae_20ns.zip","2025.004D.Adenoviridae_20ns.zip")</f>
        <v>2025.004D.Adenoviridae_20ns.zip</v>
      </c>
    </row>
    <row r="16821" spans="1:21">
      <c r="A16821">
        <v>16820</v>
      </c>
      <c r="B16821" s="27" t="s">
        <v>1980</v>
      </c>
      <c r="D16821" s="27" t="s">
        <v>1981</v>
      </c>
      <c r="F16821" s="27" t="s">
        <v>1998</v>
      </c>
      <c r="G16821" s="27" t="s">
        <v>20663</v>
      </c>
      <c r="H16821" s="27" t="s">
        <v>20669</v>
      </c>
      <c r="J16821" s="27" t="s">
        <v>2003</v>
      </c>
      <c r="L16821" s="27" t="s">
        <v>394</v>
      </c>
      <c r="N16821" s="27" t="s">
        <v>350</v>
      </c>
      <c r="P16821" s="27" t="s">
        <v>18153</v>
      </c>
      <c r="Q16821" s="26" t="str">
        <f>HYPERLINK("https://ictv.global/taxonomy/taxondetails?taxnode_id=202502420&amp;ictv_id=ICTV19760118","ICTV19760118")</f>
        <v>ICTV19760118</v>
      </c>
      <c r="R16821" t="s">
        <v>579</v>
      </c>
      <c r="S16821" t="s">
        <v>22763</v>
      </c>
      <c r="T16821">
        <v>40</v>
      </c>
      <c r="U16821" s="26" t="str">
        <f>HYPERLINK("https://ictv.global/ictv/proposals/2024.010D.Varidnaviria_reorg.zip","2024.010D.Varidnaviria_reorg.zip")</f>
        <v>2024.010D.Varidnaviria_reorg.zip</v>
      </c>
    </row>
    <row r="16822" spans="1:21">
      <c r="A16822">
        <v>16821</v>
      </c>
      <c r="B16822" s="27" t="s">
        <v>1980</v>
      </c>
      <c r="D16822" s="27" t="s">
        <v>1981</v>
      </c>
      <c r="F16822" s="27" t="s">
        <v>1998</v>
      </c>
      <c r="G16822" s="27" t="s">
        <v>20663</v>
      </c>
      <c r="H16822" s="27" t="s">
        <v>20669</v>
      </c>
      <c r="J16822" s="27" t="s">
        <v>2003</v>
      </c>
      <c r="L16822" s="27" t="s">
        <v>394</v>
      </c>
      <c r="N16822" s="27" t="s">
        <v>350</v>
      </c>
      <c r="P16822" s="27" t="s">
        <v>18154</v>
      </c>
      <c r="Q16822" s="26" t="str">
        <f>HYPERLINK("https://ictv.global/taxonomy/taxondetails?taxnode_id=202502421&amp;ictv_id=ICTV19990513","ICTV19990513")</f>
        <v>ICTV19990513</v>
      </c>
      <c r="R16822" t="s">
        <v>579</v>
      </c>
      <c r="S16822" t="s">
        <v>22763</v>
      </c>
      <c r="T16822">
        <v>40</v>
      </c>
      <c r="U16822" s="26" t="str">
        <f>HYPERLINK("https://ictv.global/ictv/proposals/2024.010D.Varidnaviria_reorg.zip","2024.010D.Varidnaviria_reorg.zip")</f>
        <v>2024.010D.Varidnaviria_reorg.zip</v>
      </c>
    </row>
    <row r="16823" spans="1:21">
      <c r="A16823">
        <v>16822</v>
      </c>
      <c r="B16823" s="27" t="s">
        <v>1980</v>
      </c>
      <c r="D16823" s="27" t="s">
        <v>1981</v>
      </c>
      <c r="F16823" s="27" t="s">
        <v>1998</v>
      </c>
      <c r="G16823" s="27" t="s">
        <v>20663</v>
      </c>
      <c r="H16823" s="27" t="s">
        <v>20669</v>
      </c>
      <c r="J16823" s="27" t="s">
        <v>2003</v>
      </c>
      <c r="L16823" s="27" t="s">
        <v>394</v>
      </c>
      <c r="N16823" s="27" t="s">
        <v>350</v>
      </c>
      <c r="P16823" s="27" t="s">
        <v>18155</v>
      </c>
      <c r="Q16823" s="26" t="str">
        <f>HYPERLINK("https://ictv.global/taxonomy/taxondetails?taxnode_id=202502426&amp;ictv_id=ICTV19990518","ICTV19990518")</f>
        <v>ICTV19990518</v>
      </c>
      <c r="R16823" t="s">
        <v>579</v>
      </c>
      <c r="S16823" t="s">
        <v>22763</v>
      </c>
      <c r="T16823">
        <v>40</v>
      </c>
      <c r="U16823" s="26" t="str">
        <f>HYPERLINK("https://ictv.global/ictv/proposals/2024.010D.Varidnaviria_reorg.zip","2024.010D.Varidnaviria_reorg.zip")</f>
        <v>2024.010D.Varidnaviria_reorg.zip</v>
      </c>
    </row>
    <row r="16824" spans="1:21">
      <c r="A16824">
        <v>16823</v>
      </c>
      <c r="B16824" s="27" t="s">
        <v>1980</v>
      </c>
      <c r="D16824" s="27" t="s">
        <v>1981</v>
      </c>
      <c r="F16824" s="27" t="s">
        <v>1998</v>
      </c>
      <c r="G16824" s="27" t="s">
        <v>20663</v>
      </c>
      <c r="H16824" s="27" t="s">
        <v>20669</v>
      </c>
      <c r="J16824" s="27" t="s">
        <v>2003</v>
      </c>
      <c r="L16824" s="27" t="s">
        <v>394</v>
      </c>
      <c r="N16824" s="27" t="s">
        <v>350</v>
      </c>
      <c r="P16824" s="27" t="s">
        <v>18156</v>
      </c>
      <c r="Q16824" s="26" t="str">
        <f>HYPERLINK("https://ictv.global/taxonomy/taxondetails?taxnode_id=202502427&amp;ictv_id=ICTV19990519","ICTV19990519")</f>
        <v>ICTV19990519</v>
      </c>
      <c r="R16824" t="s">
        <v>579</v>
      </c>
      <c r="S16824" t="s">
        <v>22763</v>
      </c>
      <c r="T16824">
        <v>40</v>
      </c>
      <c r="U16824" s="26" t="str">
        <f>HYPERLINK("https://ictv.global/ictv/proposals/2024.010D.Varidnaviria_reorg.zip","2024.010D.Varidnaviria_reorg.zip")</f>
        <v>2024.010D.Varidnaviria_reorg.zip</v>
      </c>
    </row>
    <row r="16825" spans="1:21">
      <c r="A16825">
        <v>16824</v>
      </c>
      <c r="B16825" s="27" t="s">
        <v>1980</v>
      </c>
      <c r="D16825" s="27" t="s">
        <v>1981</v>
      </c>
      <c r="F16825" s="27" t="s">
        <v>1998</v>
      </c>
      <c r="G16825" s="27" t="s">
        <v>20663</v>
      </c>
      <c r="H16825" s="27" t="s">
        <v>20669</v>
      </c>
      <c r="J16825" s="27" t="s">
        <v>2003</v>
      </c>
      <c r="L16825" s="27" t="s">
        <v>394</v>
      </c>
      <c r="N16825" s="27" t="s">
        <v>350</v>
      </c>
      <c r="P16825" s="27" t="s">
        <v>21239</v>
      </c>
      <c r="Q16825" s="26" t="str">
        <f>HYPERLINK("https://ictv.global/taxonomy/taxondetails?taxnode_id=202522143&amp;ictv_id=ICTV202522143","ICTV202522143")</f>
        <v>ICTV202522143</v>
      </c>
      <c r="R16825" t="s">
        <v>579</v>
      </c>
      <c r="S16825" t="s">
        <v>823</v>
      </c>
      <c r="T16825">
        <v>41</v>
      </c>
      <c r="U16825" s="26" t="str">
        <f>HYPERLINK("https://ictv.global/ictv/proposals/2025.004D.Adenoviridae_20ns.zip","2025.004D.Adenoviridae_20ns.zip")</f>
        <v>2025.004D.Adenoviridae_20ns.zip</v>
      </c>
    </row>
    <row r="16826" spans="1:21">
      <c r="A16826">
        <v>16825</v>
      </c>
      <c r="B16826" s="27" t="s">
        <v>1980</v>
      </c>
      <c r="D16826" s="27" t="s">
        <v>1981</v>
      </c>
      <c r="F16826" s="27" t="s">
        <v>1998</v>
      </c>
      <c r="G16826" s="27" t="s">
        <v>20663</v>
      </c>
      <c r="H16826" s="27" t="s">
        <v>20669</v>
      </c>
      <c r="J16826" s="27" t="s">
        <v>2003</v>
      </c>
      <c r="L16826" s="27" t="s">
        <v>394</v>
      </c>
      <c r="N16826" s="27" t="s">
        <v>350</v>
      </c>
      <c r="P16826" s="27" t="s">
        <v>18157</v>
      </c>
      <c r="Q16826" s="26" t="str">
        <f>HYPERLINK("https://ictv.global/taxonomy/taxondetails?taxnode_id=202505662&amp;ictv_id=ICTV20175662","ICTV20175662")</f>
        <v>ICTV20175662</v>
      </c>
      <c r="R16826" t="s">
        <v>579</v>
      </c>
      <c r="S16826" t="s">
        <v>22763</v>
      </c>
      <c r="T16826">
        <v>40</v>
      </c>
      <c r="U16826" s="26" t="str">
        <f>HYPERLINK("https://ictv.global/ictv/proposals/2024.010D.Varidnaviria_reorg.zip","2024.010D.Varidnaviria_reorg.zip")</f>
        <v>2024.010D.Varidnaviria_reorg.zip</v>
      </c>
    </row>
    <row r="16827" spans="1:21">
      <c r="A16827">
        <v>16826</v>
      </c>
      <c r="B16827" s="27" t="s">
        <v>1980</v>
      </c>
      <c r="D16827" s="27" t="s">
        <v>1981</v>
      </c>
      <c r="F16827" s="27" t="s">
        <v>1998</v>
      </c>
      <c r="G16827" s="27" t="s">
        <v>20663</v>
      </c>
      <c r="H16827" s="27" t="s">
        <v>20669</v>
      </c>
      <c r="J16827" s="27" t="s">
        <v>2003</v>
      </c>
      <c r="L16827" s="27" t="s">
        <v>394</v>
      </c>
      <c r="N16827" s="27" t="s">
        <v>350</v>
      </c>
      <c r="P16827" s="27" t="s">
        <v>20683</v>
      </c>
      <c r="Q16827" s="26" t="str">
        <f>HYPERLINK("https://ictv.global/taxonomy/taxondetails?taxnode_id=202520133&amp;ictv_id=ICTV202420133","ICTV202420133")</f>
        <v>ICTV202420133</v>
      </c>
      <c r="R16827" t="s">
        <v>579</v>
      </c>
      <c r="S16827" t="s">
        <v>823</v>
      </c>
      <c r="T16827">
        <v>40</v>
      </c>
      <c r="U16827" s="26" t="str">
        <f>HYPERLINK("https://ictv.global/ictv/proposals/2024.004D.Adenoviridae_16ns.zip","2024.004D.Adenoviridae_16ns.zip")</f>
        <v>2024.004D.Adenoviridae_16ns.zip</v>
      </c>
    </row>
    <row r="16828" spans="1:21">
      <c r="A16828">
        <v>16827</v>
      </c>
      <c r="B16828" s="27" t="s">
        <v>1980</v>
      </c>
      <c r="D16828" s="27" t="s">
        <v>1981</v>
      </c>
      <c r="F16828" s="27" t="s">
        <v>1998</v>
      </c>
      <c r="G16828" s="27" t="s">
        <v>20663</v>
      </c>
      <c r="H16828" s="27" t="s">
        <v>20669</v>
      </c>
      <c r="J16828" s="27" t="s">
        <v>2003</v>
      </c>
      <c r="L16828" s="27" t="s">
        <v>394</v>
      </c>
      <c r="N16828" s="27" t="s">
        <v>350</v>
      </c>
      <c r="P16828" s="27" t="s">
        <v>21233</v>
      </c>
      <c r="Q16828" s="26" t="str">
        <f>HYPERLINK("https://ictv.global/taxonomy/taxondetails?taxnode_id=202522137&amp;ictv_id=ICTV202522137","ICTV202522137")</f>
        <v>ICTV202522137</v>
      </c>
      <c r="R16828" t="s">
        <v>579</v>
      </c>
      <c r="S16828" t="s">
        <v>823</v>
      </c>
      <c r="T16828">
        <v>41</v>
      </c>
      <c r="U16828" s="26" t="str">
        <f>HYPERLINK("https://ictv.global/ictv/proposals/2025.004D.Adenoviridae_20ns.zip","2025.004D.Adenoviridae_20ns.zip")</f>
        <v>2025.004D.Adenoviridae_20ns.zip</v>
      </c>
    </row>
    <row r="16829" spans="1:21">
      <c r="A16829">
        <v>16828</v>
      </c>
      <c r="B16829" s="27" t="s">
        <v>1980</v>
      </c>
      <c r="D16829" s="27" t="s">
        <v>1981</v>
      </c>
      <c r="F16829" s="27" t="s">
        <v>1998</v>
      </c>
      <c r="G16829" s="27" t="s">
        <v>20663</v>
      </c>
      <c r="H16829" s="27" t="s">
        <v>20669</v>
      </c>
      <c r="J16829" s="27" t="s">
        <v>2003</v>
      </c>
      <c r="L16829" s="27" t="s">
        <v>394</v>
      </c>
      <c r="N16829" s="27" t="s">
        <v>350</v>
      </c>
      <c r="P16829" s="27" t="s">
        <v>21242</v>
      </c>
      <c r="Q16829" s="26" t="str">
        <f>HYPERLINK("https://ictv.global/taxonomy/taxondetails?taxnode_id=202522146&amp;ictv_id=ICTV202522146","ICTV202522146")</f>
        <v>ICTV202522146</v>
      </c>
      <c r="R16829" t="s">
        <v>579</v>
      </c>
      <c r="S16829" t="s">
        <v>823</v>
      </c>
      <c r="T16829">
        <v>41</v>
      </c>
      <c r="U16829" s="26" t="str">
        <f>HYPERLINK("https://ictv.global/ictv/proposals/2025.004D.Adenoviridae_20ns.zip","2025.004D.Adenoviridae_20ns.zip")</f>
        <v>2025.004D.Adenoviridae_20ns.zip</v>
      </c>
    </row>
    <row r="16830" spans="1:21">
      <c r="A16830">
        <v>16829</v>
      </c>
      <c r="B16830" s="27" t="s">
        <v>1980</v>
      </c>
      <c r="D16830" s="27" t="s">
        <v>1981</v>
      </c>
      <c r="F16830" s="27" t="s">
        <v>1998</v>
      </c>
      <c r="G16830" s="27" t="s">
        <v>20663</v>
      </c>
      <c r="H16830" s="27" t="s">
        <v>20669</v>
      </c>
      <c r="J16830" s="27" t="s">
        <v>2003</v>
      </c>
      <c r="L16830" s="27" t="s">
        <v>394</v>
      </c>
      <c r="N16830" s="27" t="s">
        <v>350</v>
      </c>
      <c r="P16830" s="27" t="s">
        <v>18158</v>
      </c>
      <c r="Q16830" s="26" t="str">
        <f>HYPERLINK("https://ictv.global/taxonomy/taxondetails?taxnode_id=202505657&amp;ictv_id=ICTV20175657","ICTV20175657")</f>
        <v>ICTV20175657</v>
      </c>
      <c r="R16830" t="s">
        <v>579</v>
      </c>
      <c r="S16830" t="s">
        <v>22763</v>
      </c>
      <c r="T16830">
        <v>40</v>
      </c>
      <c r="U16830" s="26" t="str">
        <f>HYPERLINK("https://ictv.global/ictv/proposals/2024.010D.Varidnaviria_reorg.zip","2024.010D.Varidnaviria_reorg.zip")</f>
        <v>2024.010D.Varidnaviria_reorg.zip</v>
      </c>
    </row>
    <row r="16831" spans="1:21">
      <c r="A16831">
        <v>16830</v>
      </c>
      <c r="B16831" s="27" t="s">
        <v>1980</v>
      </c>
      <c r="D16831" s="27" t="s">
        <v>1981</v>
      </c>
      <c r="F16831" s="27" t="s">
        <v>1998</v>
      </c>
      <c r="G16831" s="27" t="s">
        <v>20663</v>
      </c>
      <c r="H16831" s="27" t="s">
        <v>20669</v>
      </c>
      <c r="J16831" s="27" t="s">
        <v>2003</v>
      </c>
      <c r="L16831" s="27" t="s">
        <v>394</v>
      </c>
      <c r="N16831" s="27" t="s">
        <v>350</v>
      </c>
      <c r="P16831" s="27" t="s">
        <v>21228</v>
      </c>
      <c r="Q16831" s="26" t="str">
        <f>HYPERLINK("https://ictv.global/taxonomy/taxondetails?taxnode_id=202522132&amp;ictv_id=ICTV202522132","ICTV202522132")</f>
        <v>ICTV202522132</v>
      </c>
      <c r="R16831" t="s">
        <v>579</v>
      </c>
      <c r="S16831" t="s">
        <v>823</v>
      </c>
      <c r="T16831">
        <v>41</v>
      </c>
      <c r="U16831" s="26" t="str">
        <f>HYPERLINK("https://ictv.global/ictv/proposals/2025.004D.Adenoviridae_20ns.zip","2025.004D.Adenoviridae_20ns.zip")</f>
        <v>2025.004D.Adenoviridae_20ns.zip</v>
      </c>
    </row>
    <row r="16832" spans="1:21">
      <c r="A16832">
        <v>16831</v>
      </c>
      <c r="B16832" s="27" t="s">
        <v>1980</v>
      </c>
      <c r="D16832" s="27" t="s">
        <v>1981</v>
      </c>
      <c r="F16832" s="27" t="s">
        <v>1998</v>
      </c>
      <c r="G16832" s="27" t="s">
        <v>20663</v>
      </c>
      <c r="H16832" s="27" t="s">
        <v>20669</v>
      </c>
      <c r="J16832" s="27" t="s">
        <v>2003</v>
      </c>
      <c r="L16832" s="27" t="s">
        <v>394</v>
      </c>
      <c r="N16832" s="27" t="s">
        <v>350</v>
      </c>
      <c r="P16832" s="27" t="s">
        <v>21238</v>
      </c>
      <c r="Q16832" s="26" t="str">
        <f>HYPERLINK("https://ictv.global/taxonomy/taxondetails?taxnode_id=202522142&amp;ictv_id=ICTV202522142","ICTV202522142")</f>
        <v>ICTV202522142</v>
      </c>
      <c r="R16832" t="s">
        <v>579</v>
      </c>
      <c r="S16832" t="s">
        <v>823</v>
      </c>
      <c r="T16832">
        <v>41</v>
      </c>
      <c r="U16832" s="26" t="str">
        <f>HYPERLINK("https://ictv.global/ictv/proposals/2025.004D.Adenoviridae_20ns.zip","2025.004D.Adenoviridae_20ns.zip")</f>
        <v>2025.004D.Adenoviridae_20ns.zip</v>
      </c>
    </row>
    <row r="16833" spans="1:21">
      <c r="A16833">
        <v>16832</v>
      </c>
      <c r="B16833" s="27" t="s">
        <v>1980</v>
      </c>
      <c r="D16833" s="27" t="s">
        <v>1981</v>
      </c>
      <c r="F16833" s="27" t="s">
        <v>1998</v>
      </c>
      <c r="G16833" s="27" t="s">
        <v>20663</v>
      </c>
      <c r="H16833" s="27" t="s">
        <v>20669</v>
      </c>
      <c r="J16833" s="27" t="s">
        <v>2003</v>
      </c>
      <c r="L16833" s="27" t="s">
        <v>394</v>
      </c>
      <c r="N16833" s="27" t="s">
        <v>350</v>
      </c>
      <c r="P16833" s="27" t="s">
        <v>18159</v>
      </c>
      <c r="Q16833" s="26" t="str">
        <f>HYPERLINK("https://ictv.global/taxonomy/taxondetails?taxnode_id=202517890&amp;ictv_id=ICTV202317890","ICTV202317890")</f>
        <v>ICTV202317890</v>
      </c>
      <c r="R16833" t="s">
        <v>579</v>
      </c>
      <c r="S16833" t="s">
        <v>22763</v>
      </c>
      <c r="T16833">
        <v>40</v>
      </c>
      <c r="U16833" s="26" t="str">
        <f>HYPERLINK("https://ictv.global/ictv/proposals/2024.010D.Varidnaviria_reorg.zip","2024.010D.Varidnaviria_reorg.zip")</f>
        <v>2024.010D.Varidnaviria_reorg.zip</v>
      </c>
    </row>
    <row r="16834" spans="1:21">
      <c r="A16834">
        <v>16833</v>
      </c>
      <c r="B16834" s="27" t="s">
        <v>1980</v>
      </c>
      <c r="D16834" s="27" t="s">
        <v>1981</v>
      </c>
      <c r="F16834" s="27" t="s">
        <v>1998</v>
      </c>
      <c r="G16834" s="27" t="s">
        <v>20663</v>
      </c>
      <c r="H16834" s="27" t="s">
        <v>20669</v>
      </c>
      <c r="J16834" s="27" t="s">
        <v>2003</v>
      </c>
      <c r="L16834" s="27" t="s">
        <v>394</v>
      </c>
      <c r="N16834" s="27" t="s">
        <v>350</v>
      </c>
      <c r="P16834" s="27" t="s">
        <v>18160</v>
      </c>
      <c r="Q16834" s="26" t="str">
        <f>HYPERLINK("https://ictv.global/taxonomy/taxondetails?taxnode_id=202502440&amp;ictv_id=ICTV20151764","ICTV20151764")</f>
        <v>ICTV20151764</v>
      </c>
      <c r="R16834" t="s">
        <v>579</v>
      </c>
      <c r="S16834" t="s">
        <v>22763</v>
      </c>
      <c r="T16834">
        <v>40</v>
      </c>
      <c r="U16834" s="26" t="str">
        <f>HYPERLINK("https://ictv.global/ictv/proposals/2024.010D.Varidnaviria_reorg.zip","2024.010D.Varidnaviria_reorg.zip")</f>
        <v>2024.010D.Varidnaviria_reorg.zip</v>
      </c>
    </row>
    <row r="16835" spans="1:21">
      <c r="A16835">
        <v>16834</v>
      </c>
      <c r="B16835" s="27" t="s">
        <v>1980</v>
      </c>
      <c r="D16835" s="27" t="s">
        <v>1981</v>
      </c>
      <c r="F16835" s="27" t="s">
        <v>1998</v>
      </c>
      <c r="G16835" s="27" t="s">
        <v>20663</v>
      </c>
      <c r="H16835" s="27" t="s">
        <v>20669</v>
      </c>
      <c r="J16835" s="27" t="s">
        <v>2003</v>
      </c>
      <c r="L16835" s="27" t="s">
        <v>394</v>
      </c>
      <c r="N16835" s="27" t="s">
        <v>350</v>
      </c>
      <c r="P16835" s="27" t="s">
        <v>18161</v>
      </c>
      <c r="Q16835" s="26" t="str">
        <f>HYPERLINK("https://ictv.global/taxonomy/taxondetails?taxnode_id=202502442&amp;ictv_id=ICTV20165224","ICTV20165224")</f>
        <v>ICTV20165224</v>
      </c>
      <c r="R16835" t="s">
        <v>579</v>
      </c>
      <c r="S16835" t="s">
        <v>22763</v>
      </c>
      <c r="T16835">
        <v>40</v>
      </c>
      <c r="U16835" s="26" t="str">
        <f>HYPERLINK("https://ictv.global/ictv/proposals/2024.010D.Varidnaviria_reorg.zip","2024.010D.Varidnaviria_reorg.zip")</f>
        <v>2024.010D.Varidnaviria_reorg.zip</v>
      </c>
    </row>
    <row r="16836" spans="1:21">
      <c r="A16836">
        <v>16835</v>
      </c>
      <c r="B16836" s="27" t="s">
        <v>1980</v>
      </c>
      <c r="D16836" s="27" t="s">
        <v>1981</v>
      </c>
      <c r="F16836" s="27" t="s">
        <v>1998</v>
      </c>
      <c r="G16836" s="27" t="s">
        <v>20663</v>
      </c>
      <c r="H16836" s="27" t="s">
        <v>20669</v>
      </c>
      <c r="J16836" s="27" t="s">
        <v>2003</v>
      </c>
      <c r="L16836" s="27" t="s">
        <v>394</v>
      </c>
      <c r="N16836" s="27" t="s">
        <v>350</v>
      </c>
      <c r="P16836" s="27" t="s">
        <v>18162</v>
      </c>
      <c r="Q16836" s="26" t="str">
        <f>HYPERLINK("https://ictv.global/taxonomy/taxondetails?taxnode_id=202505659&amp;ictv_id=ICTV20175659","ICTV20175659")</f>
        <v>ICTV20175659</v>
      </c>
      <c r="R16836" t="s">
        <v>579</v>
      </c>
      <c r="S16836" t="s">
        <v>22763</v>
      </c>
      <c r="T16836">
        <v>40</v>
      </c>
      <c r="U16836" s="26" t="str">
        <f>HYPERLINK("https://ictv.global/ictv/proposals/2024.010D.Varidnaviria_reorg.zip","2024.010D.Varidnaviria_reorg.zip")</f>
        <v>2024.010D.Varidnaviria_reorg.zip</v>
      </c>
    </row>
    <row r="16837" spans="1:21">
      <c r="A16837">
        <v>16836</v>
      </c>
      <c r="B16837" s="27" t="s">
        <v>1980</v>
      </c>
      <c r="D16837" s="27" t="s">
        <v>1981</v>
      </c>
      <c r="F16837" s="27" t="s">
        <v>1998</v>
      </c>
      <c r="G16837" s="27" t="s">
        <v>20663</v>
      </c>
      <c r="H16837" s="27" t="s">
        <v>20669</v>
      </c>
      <c r="J16837" s="27" t="s">
        <v>2003</v>
      </c>
      <c r="L16837" s="27" t="s">
        <v>394</v>
      </c>
      <c r="N16837" s="27" t="s">
        <v>350</v>
      </c>
      <c r="P16837" s="27" t="s">
        <v>20684</v>
      </c>
      <c r="Q16837" s="26" t="str">
        <f>HYPERLINK("https://ictv.global/taxonomy/taxondetails?taxnode_id=202520128&amp;ictv_id=ICTV202420128","ICTV202420128")</f>
        <v>ICTV202420128</v>
      </c>
      <c r="R16837" t="s">
        <v>579</v>
      </c>
      <c r="S16837" t="s">
        <v>823</v>
      </c>
      <c r="T16837">
        <v>40</v>
      </c>
      <c r="U16837" s="26" t="str">
        <f>HYPERLINK("https://ictv.global/ictv/proposals/2024.004D.Adenoviridae_16ns.zip","2024.004D.Adenoviridae_16ns.zip")</f>
        <v>2024.004D.Adenoviridae_16ns.zip</v>
      </c>
    </row>
    <row r="16838" spans="1:21">
      <c r="A16838">
        <v>16837</v>
      </c>
      <c r="B16838" s="27" t="s">
        <v>1980</v>
      </c>
      <c r="D16838" s="27" t="s">
        <v>1981</v>
      </c>
      <c r="F16838" s="27" t="s">
        <v>1998</v>
      </c>
      <c r="G16838" s="27" t="s">
        <v>20663</v>
      </c>
      <c r="H16838" s="27" t="s">
        <v>20669</v>
      </c>
      <c r="J16838" s="27" t="s">
        <v>2003</v>
      </c>
      <c r="L16838" s="27" t="s">
        <v>394</v>
      </c>
      <c r="N16838" s="27" t="s">
        <v>350</v>
      </c>
      <c r="P16838" s="27" t="s">
        <v>21234</v>
      </c>
      <c r="Q16838" s="26" t="str">
        <f>HYPERLINK("https://ictv.global/taxonomy/taxondetails?taxnode_id=202522138&amp;ictv_id=ICTV202522138","ICTV202522138")</f>
        <v>ICTV202522138</v>
      </c>
      <c r="R16838" t="s">
        <v>579</v>
      </c>
      <c r="S16838" t="s">
        <v>823</v>
      </c>
      <c r="T16838">
        <v>41</v>
      </c>
      <c r="U16838" s="26" t="str">
        <f>HYPERLINK("https://ictv.global/ictv/proposals/2025.004D.Adenoviridae_20ns.zip","2025.004D.Adenoviridae_20ns.zip")</f>
        <v>2025.004D.Adenoviridae_20ns.zip</v>
      </c>
    </row>
    <row r="16839" spans="1:21">
      <c r="A16839">
        <v>16838</v>
      </c>
      <c r="B16839" s="27" t="s">
        <v>1980</v>
      </c>
      <c r="D16839" s="27" t="s">
        <v>1981</v>
      </c>
      <c r="F16839" s="27" t="s">
        <v>1998</v>
      </c>
      <c r="G16839" s="27" t="s">
        <v>20663</v>
      </c>
      <c r="H16839" s="27" t="s">
        <v>20669</v>
      </c>
      <c r="J16839" s="27" t="s">
        <v>2003</v>
      </c>
      <c r="L16839" s="27" t="s">
        <v>394</v>
      </c>
      <c r="N16839" s="27" t="s">
        <v>350</v>
      </c>
      <c r="P16839" s="27" t="s">
        <v>18163</v>
      </c>
      <c r="Q16839" s="26" t="str">
        <f>HYPERLINK("https://ictv.global/taxonomy/taxondetails?taxnode_id=202505656&amp;ictv_id=ICTV20175656","ICTV20175656")</f>
        <v>ICTV20175656</v>
      </c>
      <c r="R16839" t="s">
        <v>579</v>
      </c>
      <c r="S16839" t="s">
        <v>22763</v>
      </c>
      <c r="T16839">
        <v>40</v>
      </c>
      <c r="U16839" s="26" t="str">
        <f>HYPERLINK("https://ictv.global/ictv/proposals/2024.010D.Varidnaviria_reorg.zip","2024.010D.Varidnaviria_reorg.zip")</f>
        <v>2024.010D.Varidnaviria_reorg.zip</v>
      </c>
    </row>
    <row r="16840" spans="1:21">
      <c r="A16840">
        <v>16839</v>
      </c>
      <c r="B16840" s="27" t="s">
        <v>1980</v>
      </c>
      <c r="D16840" s="27" t="s">
        <v>1981</v>
      </c>
      <c r="F16840" s="27" t="s">
        <v>1998</v>
      </c>
      <c r="G16840" s="27" t="s">
        <v>20663</v>
      </c>
      <c r="H16840" s="27" t="s">
        <v>20669</v>
      </c>
      <c r="J16840" s="27" t="s">
        <v>2003</v>
      </c>
      <c r="L16840" s="27" t="s">
        <v>394</v>
      </c>
      <c r="N16840" s="27" t="s">
        <v>350</v>
      </c>
      <c r="P16840" s="27" t="s">
        <v>18164</v>
      </c>
      <c r="Q16840" s="26" t="str">
        <f>HYPERLINK("https://ictv.global/taxonomy/taxondetails?taxnode_id=202502430&amp;ictv_id=ICTV20115691","ICTV20115691")</f>
        <v>ICTV20115691</v>
      </c>
      <c r="R16840" t="s">
        <v>579</v>
      </c>
      <c r="S16840" t="s">
        <v>22763</v>
      </c>
      <c r="T16840">
        <v>40</v>
      </c>
      <c r="U16840" s="26" t="str">
        <f>HYPERLINK("https://ictv.global/ictv/proposals/2024.010D.Varidnaviria_reorg.zip","2024.010D.Varidnaviria_reorg.zip")</f>
        <v>2024.010D.Varidnaviria_reorg.zip</v>
      </c>
    </row>
    <row r="16841" spans="1:21">
      <c r="A16841">
        <v>16840</v>
      </c>
      <c r="B16841" s="27" t="s">
        <v>1980</v>
      </c>
      <c r="D16841" s="27" t="s">
        <v>1981</v>
      </c>
      <c r="F16841" s="27" t="s">
        <v>1998</v>
      </c>
      <c r="G16841" s="27" t="s">
        <v>20663</v>
      </c>
      <c r="H16841" s="27" t="s">
        <v>20669</v>
      </c>
      <c r="J16841" s="27" t="s">
        <v>2003</v>
      </c>
      <c r="L16841" s="27" t="s">
        <v>394</v>
      </c>
      <c r="N16841" s="27" t="s">
        <v>350</v>
      </c>
      <c r="P16841" s="27" t="s">
        <v>18165</v>
      </c>
      <c r="Q16841" s="26" t="str">
        <f>HYPERLINK("https://ictv.global/taxonomy/taxondetails?taxnode_id=202502413&amp;ictv_id=ICTV20115620","ICTV20115620")</f>
        <v>ICTV20115620</v>
      </c>
      <c r="R16841" t="s">
        <v>579</v>
      </c>
      <c r="S16841" t="s">
        <v>22763</v>
      </c>
      <c r="T16841">
        <v>40</v>
      </c>
      <c r="U16841" s="26" t="str">
        <f>HYPERLINK("https://ictv.global/ictv/proposals/2024.010D.Varidnaviria_reorg.zip","2024.010D.Varidnaviria_reorg.zip")</f>
        <v>2024.010D.Varidnaviria_reorg.zip</v>
      </c>
    </row>
    <row r="16842" spans="1:21">
      <c r="A16842">
        <v>16841</v>
      </c>
      <c r="B16842" s="27" t="s">
        <v>1980</v>
      </c>
      <c r="D16842" s="27" t="s">
        <v>1981</v>
      </c>
      <c r="F16842" s="27" t="s">
        <v>1998</v>
      </c>
      <c r="G16842" s="27" t="s">
        <v>20663</v>
      </c>
      <c r="H16842" s="27" t="s">
        <v>20669</v>
      </c>
      <c r="J16842" s="27" t="s">
        <v>2003</v>
      </c>
      <c r="L16842" s="27" t="s">
        <v>394</v>
      </c>
      <c r="N16842" s="27" t="s">
        <v>350</v>
      </c>
      <c r="P16842" s="27" t="s">
        <v>21240</v>
      </c>
      <c r="Q16842" s="26" t="str">
        <f>HYPERLINK("https://ictv.global/taxonomy/taxondetails?taxnode_id=202522144&amp;ictv_id=ICTV202522144","ICTV202522144")</f>
        <v>ICTV202522144</v>
      </c>
      <c r="R16842" t="s">
        <v>579</v>
      </c>
      <c r="S16842" t="s">
        <v>823</v>
      </c>
      <c r="T16842">
        <v>41</v>
      </c>
      <c r="U16842" s="26" t="str">
        <f>HYPERLINK("https://ictv.global/ictv/proposals/2025.004D.Adenoviridae_20ns.zip","2025.004D.Adenoviridae_20ns.zip")</f>
        <v>2025.004D.Adenoviridae_20ns.zip</v>
      </c>
    </row>
    <row r="16843" spans="1:21">
      <c r="A16843">
        <v>16842</v>
      </c>
      <c r="B16843" s="27" t="s">
        <v>1980</v>
      </c>
      <c r="D16843" s="27" t="s">
        <v>1981</v>
      </c>
      <c r="F16843" s="27" t="s">
        <v>1998</v>
      </c>
      <c r="G16843" s="27" t="s">
        <v>20663</v>
      </c>
      <c r="H16843" s="27" t="s">
        <v>20669</v>
      </c>
      <c r="J16843" s="27" t="s">
        <v>2003</v>
      </c>
      <c r="L16843" s="27" t="s">
        <v>394</v>
      </c>
      <c r="N16843" s="27" t="s">
        <v>350</v>
      </c>
      <c r="P16843" s="27" t="s">
        <v>18166</v>
      </c>
      <c r="Q16843" s="26" t="str">
        <f>HYPERLINK("https://ictv.global/taxonomy/taxondetails?taxnode_id=202502438&amp;ictv_id=ICTV20165223","ICTV20165223")</f>
        <v>ICTV20165223</v>
      </c>
      <c r="R16843" t="s">
        <v>579</v>
      </c>
      <c r="S16843" t="s">
        <v>22763</v>
      </c>
      <c r="T16843">
        <v>40</v>
      </c>
      <c r="U16843" s="26" t="str">
        <f>HYPERLINK("https://ictv.global/ictv/proposals/2024.010D.Varidnaviria_reorg.zip","2024.010D.Varidnaviria_reorg.zip")</f>
        <v>2024.010D.Varidnaviria_reorg.zip</v>
      </c>
    </row>
    <row r="16844" spans="1:21">
      <c r="A16844">
        <v>16843</v>
      </c>
      <c r="B16844" s="27" t="s">
        <v>1980</v>
      </c>
      <c r="D16844" s="27" t="s">
        <v>1981</v>
      </c>
      <c r="F16844" s="27" t="s">
        <v>1998</v>
      </c>
      <c r="G16844" s="27" t="s">
        <v>20663</v>
      </c>
      <c r="H16844" s="27" t="s">
        <v>20669</v>
      </c>
      <c r="J16844" s="27" t="s">
        <v>2003</v>
      </c>
      <c r="L16844" s="27" t="s">
        <v>394</v>
      </c>
      <c r="N16844" s="27" t="s">
        <v>350</v>
      </c>
      <c r="P16844" s="27" t="s">
        <v>18167</v>
      </c>
      <c r="Q16844" s="26" t="str">
        <f>HYPERLINK("https://ictv.global/taxonomy/taxondetails?taxnode_id=202507196&amp;ictv_id=ICTV201907196","ICTV201907196")</f>
        <v>ICTV201907196</v>
      </c>
      <c r="R16844" t="s">
        <v>579</v>
      </c>
      <c r="S16844" t="s">
        <v>22763</v>
      </c>
      <c r="T16844">
        <v>40</v>
      </c>
      <c r="U16844" s="26" t="str">
        <f>HYPERLINK("https://ictv.global/ictv/proposals/2024.010D.Varidnaviria_reorg.zip","2024.010D.Varidnaviria_reorg.zip")</f>
        <v>2024.010D.Varidnaviria_reorg.zip</v>
      </c>
    </row>
    <row r="16845" spans="1:21">
      <c r="A16845">
        <v>16844</v>
      </c>
      <c r="B16845" s="27" t="s">
        <v>1980</v>
      </c>
      <c r="D16845" s="27" t="s">
        <v>1981</v>
      </c>
      <c r="F16845" s="27" t="s">
        <v>1998</v>
      </c>
      <c r="G16845" s="27" t="s">
        <v>20663</v>
      </c>
      <c r="H16845" s="27" t="s">
        <v>20669</v>
      </c>
      <c r="J16845" s="27" t="s">
        <v>2003</v>
      </c>
      <c r="L16845" s="27" t="s">
        <v>394</v>
      </c>
      <c r="N16845" s="27" t="s">
        <v>350</v>
      </c>
      <c r="P16845" s="27" t="s">
        <v>18168</v>
      </c>
      <c r="Q16845" s="26" t="str">
        <f>HYPERLINK("https://ictv.global/taxonomy/taxondetails?taxnode_id=202502433&amp;ictv_id=ICTV19810230","ICTV19810230")</f>
        <v>ICTV19810230</v>
      </c>
      <c r="R16845" t="s">
        <v>579</v>
      </c>
      <c r="S16845" t="s">
        <v>22763</v>
      </c>
      <c r="T16845">
        <v>40</v>
      </c>
      <c r="U16845" s="26" t="str">
        <f>HYPERLINK("https://ictv.global/ictv/proposals/2024.010D.Varidnaviria_reorg.zip","2024.010D.Varidnaviria_reorg.zip")</f>
        <v>2024.010D.Varidnaviria_reorg.zip</v>
      </c>
    </row>
    <row r="16846" spans="1:21">
      <c r="A16846">
        <v>16845</v>
      </c>
      <c r="B16846" s="27" t="s">
        <v>1980</v>
      </c>
      <c r="D16846" s="27" t="s">
        <v>1981</v>
      </c>
      <c r="F16846" s="27" t="s">
        <v>1998</v>
      </c>
      <c r="G16846" s="27" t="s">
        <v>20663</v>
      </c>
      <c r="H16846" s="27" t="s">
        <v>20669</v>
      </c>
      <c r="J16846" s="27" t="s">
        <v>2003</v>
      </c>
      <c r="L16846" s="27" t="s">
        <v>394</v>
      </c>
      <c r="N16846" s="27" t="s">
        <v>350</v>
      </c>
      <c r="P16846" s="27" t="s">
        <v>18169</v>
      </c>
      <c r="Q16846" s="26" t="str">
        <f>HYPERLINK("https://ictv.global/taxonomy/taxondetails?taxnode_id=202517887&amp;ictv_id=ICTV202317887","ICTV202317887")</f>
        <v>ICTV202317887</v>
      </c>
      <c r="R16846" t="s">
        <v>579</v>
      </c>
      <c r="S16846" t="s">
        <v>22763</v>
      </c>
      <c r="T16846">
        <v>40</v>
      </c>
      <c r="U16846" s="26" t="str">
        <f>HYPERLINK("https://ictv.global/ictv/proposals/2024.010D.Varidnaviria_reorg.zip","2024.010D.Varidnaviria_reorg.zip")</f>
        <v>2024.010D.Varidnaviria_reorg.zip</v>
      </c>
    </row>
    <row r="16847" spans="1:21">
      <c r="A16847">
        <v>16846</v>
      </c>
      <c r="B16847" s="27" t="s">
        <v>1980</v>
      </c>
      <c r="D16847" s="27" t="s">
        <v>1981</v>
      </c>
      <c r="F16847" s="27" t="s">
        <v>1998</v>
      </c>
      <c r="G16847" s="27" t="s">
        <v>20663</v>
      </c>
      <c r="H16847" s="27" t="s">
        <v>20669</v>
      </c>
      <c r="J16847" s="27" t="s">
        <v>2003</v>
      </c>
      <c r="L16847" s="27" t="s">
        <v>394</v>
      </c>
      <c r="N16847" s="27" t="s">
        <v>350</v>
      </c>
      <c r="P16847" s="27" t="s">
        <v>18170</v>
      </c>
      <c r="Q16847" s="26" t="str">
        <f>HYPERLINK("https://ictv.global/taxonomy/taxondetails?taxnode_id=202502414&amp;ictv_id=ICTV20115690","ICTV20115690")</f>
        <v>ICTV20115690</v>
      </c>
      <c r="R16847" t="s">
        <v>579</v>
      </c>
      <c r="S16847" t="s">
        <v>22763</v>
      </c>
      <c r="T16847">
        <v>40</v>
      </c>
      <c r="U16847" s="26" t="str">
        <f>HYPERLINK("https://ictv.global/ictv/proposals/2024.010D.Varidnaviria_reorg.zip","2024.010D.Varidnaviria_reorg.zip")</f>
        <v>2024.010D.Varidnaviria_reorg.zip</v>
      </c>
    </row>
    <row r="16848" spans="1:21">
      <c r="A16848">
        <v>16847</v>
      </c>
      <c r="B16848" s="27" t="s">
        <v>1980</v>
      </c>
      <c r="D16848" s="27" t="s">
        <v>1981</v>
      </c>
      <c r="F16848" s="27" t="s">
        <v>1998</v>
      </c>
      <c r="G16848" s="27" t="s">
        <v>20663</v>
      </c>
      <c r="H16848" s="27" t="s">
        <v>20669</v>
      </c>
      <c r="J16848" s="27" t="s">
        <v>2003</v>
      </c>
      <c r="L16848" s="27" t="s">
        <v>394</v>
      </c>
      <c r="N16848" s="27" t="s">
        <v>350</v>
      </c>
      <c r="P16848" s="27" t="s">
        <v>21229</v>
      </c>
      <c r="Q16848" s="26" t="str">
        <f>HYPERLINK("https://ictv.global/taxonomy/taxondetails?taxnode_id=202522133&amp;ictv_id=ICTV202522133","ICTV202522133")</f>
        <v>ICTV202522133</v>
      </c>
      <c r="R16848" t="s">
        <v>579</v>
      </c>
      <c r="S16848" t="s">
        <v>823</v>
      </c>
      <c r="T16848">
        <v>41</v>
      </c>
      <c r="U16848" s="26" t="str">
        <f>HYPERLINK("https://ictv.global/ictv/proposals/2025.004D.Adenoviridae_20ns.zip","2025.004D.Adenoviridae_20ns.zip")</f>
        <v>2025.004D.Adenoviridae_20ns.zip</v>
      </c>
    </row>
    <row r="16849" spans="1:21">
      <c r="A16849">
        <v>16848</v>
      </c>
      <c r="B16849" s="27" t="s">
        <v>1980</v>
      </c>
      <c r="D16849" s="27" t="s">
        <v>1981</v>
      </c>
      <c r="F16849" s="27" t="s">
        <v>1998</v>
      </c>
      <c r="G16849" s="27" t="s">
        <v>20663</v>
      </c>
      <c r="H16849" s="27" t="s">
        <v>20669</v>
      </c>
      <c r="J16849" s="27" t="s">
        <v>2003</v>
      </c>
      <c r="L16849" s="27" t="s">
        <v>394</v>
      </c>
      <c r="N16849" s="27" t="s">
        <v>350</v>
      </c>
      <c r="P16849" s="27" t="s">
        <v>18171</v>
      </c>
      <c r="Q16849" s="26" t="str">
        <f>HYPERLINK("https://ictv.global/taxonomy/taxondetails?taxnode_id=202502436&amp;ictv_id=ICTV19810238","ICTV19810238")</f>
        <v>ICTV19810238</v>
      </c>
      <c r="R16849" t="s">
        <v>579</v>
      </c>
      <c r="S16849" t="s">
        <v>22763</v>
      </c>
      <c r="T16849">
        <v>40</v>
      </c>
      <c r="U16849" s="26" t="str">
        <f>HYPERLINK("https://ictv.global/ictv/proposals/2024.010D.Varidnaviria_reorg.zip","2024.010D.Varidnaviria_reorg.zip")</f>
        <v>2024.010D.Varidnaviria_reorg.zip</v>
      </c>
    </row>
    <row r="16850" spans="1:21">
      <c r="A16850">
        <v>16849</v>
      </c>
      <c r="B16850" s="27" t="s">
        <v>1980</v>
      </c>
      <c r="D16850" s="27" t="s">
        <v>1981</v>
      </c>
      <c r="F16850" s="27" t="s">
        <v>1998</v>
      </c>
      <c r="G16850" s="27" t="s">
        <v>20663</v>
      </c>
      <c r="H16850" s="27" t="s">
        <v>20669</v>
      </c>
      <c r="J16850" s="27" t="s">
        <v>2003</v>
      </c>
      <c r="L16850" s="27" t="s">
        <v>394</v>
      </c>
      <c r="N16850" s="27" t="s">
        <v>350</v>
      </c>
      <c r="P16850" s="27" t="s">
        <v>18172</v>
      </c>
      <c r="Q16850" s="26" t="str">
        <f>HYPERLINK("https://ictv.global/taxonomy/taxondetails?taxnode_id=202502437&amp;ictv_id=ICTV19950451","ICTV19950451")</f>
        <v>ICTV19950451</v>
      </c>
      <c r="R16850" t="s">
        <v>579</v>
      </c>
      <c r="S16850" t="s">
        <v>22763</v>
      </c>
      <c r="T16850">
        <v>40</v>
      </c>
      <c r="U16850" s="26" t="str">
        <f>HYPERLINK("https://ictv.global/ictv/proposals/2024.010D.Varidnaviria_reorg.zip","2024.010D.Varidnaviria_reorg.zip")</f>
        <v>2024.010D.Varidnaviria_reorg.zip</v>
      </c>
    </row>
    <row r="16851" spans="1:21">
      <c r="A16851">
        <v>16850</v>
      </c>
      <c r="B16851" s="27" t="s">
        <v>1980</v>
      </c>
      <c r="D16851" s="27" t="s">
        <v>1981</v>
      </c>
      <c r="F16851" s="27" t="s">
        <v>1998</v>
      </c>
      <c r="G16851" s="27" t="s">
        <v>20663</v>
      </c>
      <c r="H16851" s="27" t="s">
        <v>20669</v>
      </c>
      <c r="J16851" s="27" t="s">
        <v>2003</v>
      </c>
      <c r="L16851" s="27" t="s">
        <v>394</v>
      </c>
      <c r="N16851" s="27" t="s">
        <v>350</v>
      </c>
      <c r="P16851" s="27" t="s">
        <v>18173</v>
      </c>
      <c r="Q16851" s="26" t="str">
        <f>HYPERLINK("https://ictv.global/taxonomy/taxondetails?taxnode_id=202502435&amp;ictv_id=ICTV19990523","ICTV19990523")</f>
        <v>ICTV19990523</v>
      </c>
      <c r="R16851" t="s">
        <v>579</v>
      </c>
      <c r="S16851" t="s">
        <v>22763</v>
      </c>
      <c r="T16851">
        <v>40</v>
      </c>
      <c r="U16851" s="26" t="str">
        <f>HYPERLINK("https://ictv.global/ictv/proposals/2024.010D.Varidnaviria_reorg.zip","2024.010D.Varidnaviria_reorg.zip")</f>
        <v>2024.010D.Varidnaviria_reorg.zip</v>
      </c>
    </row>
    <row r="16852" spans="1:21">
      <c r="A16852">
        <v>16851</v>
      </c>
      <c r="B16852" s="27" t="s">
        <v>1980</v>
      </c>
      <c r="D16852" s="27" t="s">
        <v>1981</v>
      </c>
      <c r="F16852" s="27" t="s">
        <v>1998</v>
      </c>
      <c r="G16852" s="27" t="s">
        <v>20663</v>
      </c>
      <c r="H16852" s="27" t="s">
        <v>20669</v>
      </c>
      <c r="J16852" s="27" t="s">
        <v>2003</v>
      </c>
      <c r="L16852" s="27" t="s">
        <v>394</v>
      </c>
      <c r="N16852" s="27" t="s">
        <v>350</v>
      </c>
      <c r="P16852" s="27" t="s">
        <v>21241</v>
      </c>
      <c r="Q16852" s="26" t="str">
        <f>HYPERLINK("https://ictv.global/taxonomy/taxondetails?taxnode_id=202522145&amp;ictv_id=ICTV202522145","ICTV202522145")</f>
        <v>ICTV202522145</v>
      </c>
      <c r="R16852" t="s">
        <v>579</v>
      </c>
      <c r="S16852" t="s">
        <v>823</v>
      </c>
      <c r="T16852">
        <v>41</v>
      </c>
      <c r="U16852" s="26" t="str">
        <f>HYPERLINK("https://ictv.global/ictv/proposals/2025.004D.Adenoviridae_20ns.zip","2025.004D.Adenoviridae_20ns.zip")</f>
        <v>2025.004D.Adenoviridae_20ns.zip</v>
      </c>
    </row>
    <row r="16853" spans="1:21">
      <c r="A16853">
        <v>16852</v>
      </c>
      <c r="B16853" s="27" t="s">
        <v>1980</v>
      </c>
      <c r="D16853" s="27" t="s">
        <v>1981</v>
      </c>
      <c r="F16853" s="27" t="s">
        <v>1998</v>
      </c>
      <c r="G16853" s="27" t="s">
        <v>20663</v>
      </c>
      <c r="H16853" s="27" t="s">
        <v>20669</v>
      </c>
      <c r="J16853" s="27" t="s">
        <v>2003</v>
      </c>
      <c r="L16853" s="27" t="s">
        <v>394</v>
      </c>
      <c r="N16853" s="27" t="s">
        <v>350</v>
      </c>
      <c r="P16853" s="27" t="s">
        <v>18174</v>
      </c>
      <c r="Q16853" s="26" t="str">
        <f>HYPERLINK("https://ictv.global/taxonomy/taxondetails?taxnode_id=202505658&amp;ictv_id=ICTV20175658","ICTV20175658")</f>
        <v>ICTV20175658</v>
      </c>
      <c r="R16853" t="s">
        <v>579</v>
      </c>
      <c r="S16853" t="s">
        <v>22763</v>
      </c>
      <c r="T16853">
        <v>40</v>
      </c>
      <c r="U16853" s="26" t="str">
        <f>HYPERLINK("https://ictv.global/ictv/proposals/2024.010D.Varidnaviria_reorg.zip","2024.010D.Varidnaviria_reorg.zip")</f>
        <v>2024.010D.Varidnaviria_reorg.zip</v>
      </c>
    </row>
    <row r="16854" spans="1:21">
      <c r="A16854">
        <v>16853</v>
      </c>
      <c r="B16854" s="27" t="s">
        <v>1980</v>
      </c>
      <c r="D16854" s="27" t="s">
        <v>1981</v>
      </c>
      <c r="F16854" s="27" t="s">
        <v>1998</v>
      </c>
      <c r="G16854" s="27" t="s">
        <v>20663</v>
      </c>
      <c r="H16854" s="27" t="s">
        <v>20669</v>
      </c>
      <c r="J16854" s="27" t="s">
        <v>2003</v>
      </c>
      <c r="L16854" s="27" t="s">
        <v>394</v>
      </c>
      <c r="N16854" s="27" t="s">
        <v>350</v>
      </c>
      <c r="P16854" s="27" t="s">
        <v>21236</v>
      </c>
      <c r="Q16854" s="26" t="str">
        <f>HYPERLINK("https://ictv.global/taxonomy/taxondetails?taxnode_id=202522140&amp;ictv_id=ICTV202522140","ICTV202522140")</f>
        <v>ICTV202522140</v>
      </c>
      <c r="R16854" t="s">
        <v>579</v>
      </c>
      <c r="S16854" t="s">
        <v>823</v>
      </c>
      <c r="T16854">
        <v>41</v>
      </c>
      <c r="U16854" s="26" t="str">
        <f>HYPERLINK("https://ictv.global/ictv/proposals/2025.004D.Adenoviridae_20ns.zip","2025.004D.Adenoviridae_20ns.zip")</f>
        <v>2025.004D.Adenoviridae_20ns.zip</v>
      </c>
    </row>
    <row r="16855" spans="1:21">
      <c r="A16855">
        <v>16854</v>
      </c>
      <c r="B16855" s="27" t="s">
        <v>1980</v>
      </c>
      <c r="D16855" s="27" t="s">
        <v>1981</v>
      </c>
      <c r="F16855" s="27" t="s">
        <v>1998</v>
      </c>
      <c r="G16855" s="27" t="s">
        <v>20663</v>
      </c>
      <c r="H16855" s="27" t="s">
        <v>20669</v>
      </c>
      <c r="J16855" s="27" t="s">
        <v>2003</v>
      </c>
      <c r="L16855" s="27" t="s">
        <v>394</v>
      </c>
      <c r="N16855" s="27" t="s">
        <v>350</v>
      </c>
      <c r="P16855" s="27" t="s">
        <v>18175</v>
      </c>
      <c r="Q16855" s="26" t="str">
        <f>HYPERLINK("https://ictv.global/taxonomy/taxondetails?taxnode_id=202502446&amp;ictv_id=ICTV20165228","ICTV20165228")</f>
        <v>ICTV20165228</v>
      </c>
      <c r="R16855" t="s">
        <v>579</v>
      </c>
      <c r="S16855" t="s">
        <v>22763</v>
      </c>
      <c r="T16855">
        <v>40</v>
      </c>
      <c r="U16855" s="26" t="str">
        <f>HYPERLINK("https://ictv.global/ictv/proposals/2024.010D.Varidnaviria_reorg.zip","2024.010D.Varidnaviria_reorg.zip")</f>
        <v>2024.010D.Varidnaviria_reorg.zip</v>
      </c>
    </row>
    <row r="16856" spans="1:21">
      <c r="A16856">
        <v>16855</v>
      </c>
      <c r="B16856" s="27" t="s">
        <v>1980</v>
      </c>
      <c r="D16856" s="27" t="s">
        <v>1981</v>
      </c>
      <c r="F16856" s="27" t="s">
        <v>1998</v>
      </c>
      <c r="G16856" s="27" t="s">
        <v>20663</v>
      </c>
      <c r="H16856" s="27" t="s">
        <v>20669</v>
      </c>
      <c r="J16856" s="27" t="s">
        <v>2003</v>
      </c>
      <c r="L16856" s="27" t="s">
        <v>394</v>
      </c>
      <c r="N16856" s="27" t="s">
        <v>350</v>
      </c>
      <c r="P16856" s="27" t="s">
        <v>20848</v>
      </c>
      <c r="Q16856" s="26" t="str">
        <f>HYPERLINK("https://ictv.global/taxonomy/taxondetails?taxnode_id=202505655&amp;ictv_id=ICTV20175655","ICTV20175655")</f>
        <v>ICTV20175655</v>
      </c>
      <c r="R16856" t="s">
        <v>579</v>
      </c>
      <c r="S16856" t="s">
        <v>824</v>
      </c>
      <c r="T16856">
        <v>41</v>
      </c>
      <c r="U16856" s="26" t="str">
        <f>HYPERLINK("https://ictv.global/ictv/proposals/2025.004D.Adenoviridae_20ns.zip","2025.004D.Adenoviridae_20ns.zip")</f>
        <v>2025.004D.Adenoviridae_20ns.zip</v>
      </c>
    </row>
    <row r="16857" spans="1:21">
      <c r="A16857">
        <v>16856</v>
      </c>
      <c r="B16857" s="27" t="s">
        <v>1980</v>
      </c>
      <c r="D16857" s="27" t="s">
        <v>1981</v>
      </c>
      <c r="F16857" s="27" t="s">
        <v>1998</v>
      </c>
      <c r="G16857" s="27" t="s">
        <v>20663</v>
      </c>
      <c r="H16857" s="27" t="s">
        <v>20669</v>
      </c>
      <c r="J16857" s="27" t="s">
        <v>2003</v>
      </c>
      <c r="L16857" s="27" t="s">
        <v>394</v>
      </c>
      <c r="N16857" s="27" t="s">
        <v>350</v>
      </c>
      <c r="P16857" s="27" t="s">
        <v>18176</v>
      </c>
      <c r="Q16857" s="26" t="str">
        <f>HYPERLINK("https://ictv.global/taxonomy/taxondetails?taxnode_id=202502428&amp;ictv_id=ICTV20093025","ICTV20093025")</f>
        <v>ICTV20093025</v>
      </c>
      <c r="R16857" t="s">
        <v>579</v>
      </c>
      <c r="S16857" t="s">
        <v>22763</v>
      </c>
      <c r="T16857">
        <v>40</v>
      </c>
      <c r="U16857" s="26" t="str">
        <f>HYPERLINK("https://ictv.global/ictv/proposals/2024.010D.Varidnaviria_reorg.zip","2024.010D.Varidnaviria_reorg.zip")</f>
        <v>2024.010D.Varidnaviria_reorg.zip</v>
      </c>
    </row>
    <row r="16858" spans="1:21">
      <c r="A16858">
        <v>16857</v>
      </c>
      <c r="B16858" s="27" t="s">
        <v>1980</v>
      </c>
      <c r="D16858" s="27" t="s">
        <v>1981</v>
      </c>
      <c r="F16858" s="27" t="s">
        <v>1998</v>
      </c>
      <c r="G16858" s="27" t="s">
        <v>20663</v>
      </c>
      <c r="H16858" s="27" t="s">
        <v>20669</v>
      </c>
      <c r="J16858" s="27" t="s">
        <v>2003</v>
      </c>
      <c r="L16858" s="27" t="s">
        <v>394</v>
      </c>
      <c r="N16858" s="27" t="s">
        <v>350</v>
      </c>
      <c r="P16858" s="27" t="s">
        <v>21232</v>
      </c>
      <c r="Q16858" s="26" t="str">
        <f>HYPERLINK("https://ictv.global/taxonomy/taxondetails?taxnode_id=202522136&amp;ictv_id=ICTV202522136","ICTV202522136")</f>
        <v>ICTV202522136</v>
      </c>
      <c r="R16858" t="s">
        <v>579</v>
      </c>
      <c r="S16858" t="s">
        <v>823</v>
      </c>
      <c r="T16858">
        <v>41</v>
      </c>
      <c r="U16858" s="26" t="str">
        <f>HYPERLINK("https://ictv.global/ictv/proposals/2025.004D.Adenoviridae_20ns.zip","2025.004D.Adenoviridae_20ns.zip")</f>
        <v>2025.004D.Adenoviridae_20ns.zip</v>
      </c>
    </row>
    <row r="16859" spans="1:21">
      <c r="A16859">
        <v>16858</v>
      </c>
      <c r="B16859" s="27" t="s">
        <v>1980</v>
      </c>
      <c r="D16859" s="27" t="s">
        <v>1981</v>
      </c>
      <c r="F16859" s="27" t="s">
        <v>1998</v>
      </c>
      <c r="G16859" s="27" t="s">
        <v>20663</v>
      </c>
      <c r="H16859" s="27" t="s">
        <v>20669</v>
      </c>
      <c r="J16859" s="27" t="s">
        <v>2003</v>
      </c>
      <c r="L16859" s="27" t="s">
        <v>394</v>
      </c>
      <c r="N16859" s="27" t="s">
        <v>350</v>
      </c>
      <c r="P16859" s="27" t="s">
        <v>18177</v>
      </c>
      <c r="Q16859" s="26" t="str">
        <f>HYPERLINK("https://ictv.global/taxonomy/taxondetails?taxnode_id=202505663&amp;ictv_id=ICTV20175663","ICTV20175663")</f>
        <v>ICTV20175663</v>
      </c>
      <c r="R16859" t="s">
        <v>579</v>
      </c>
      <c r="S16859" t="s">
        <v>22763</v>
      </c>
      <c r="T16859">
        <v>40</v>
      </c>
      <c r="U16859" s="26" t="str">
        <f t="shared" ref="U16859:U16866" si="643">HYPERLINK("https://ictv.global/ictv/proposals/2024.010D.Varidnaviria_reorg.zip","2024.010D.Varidnaviria_reorg.zip")</f>
        <v>2024.010D.Varidnaviria_reorg.zip</v>
      </c>
    </row>
    <row r="16860" spans="1:21">
      <c r="A16860">
        <v>16859</v>
      </c>
      <c r="B16860" s="27" t="s">
        <v>1980</v>
      </c>
      <c r="D16860" s="27" t="s">
        <v>1981</v>
      </c>
      <c r="F16860" s="27" t="s">
        <v>1998</v>
      </c>
      <c r="G16860" s="27" t="s">
        <v>20663</v>
      </c>
      <c r="H16860" s="27" t="s">
        <v>20669</v>
      </c>
      <c r="J16860" s="27" t="s">
        <v>2003</v>
      </c>
      <c r="L16860" s="27" t="s">
        <v>394</v>
      </c>
      <c r="N16860" s="27" t="s">
        <v>350</v>
      </c>
      <c r="P16860" s="27" t="s">
        <v>18178</v>
      </c>
      <c r="Q16860" s="26" t="str">
        <f>HYPERLINK("https://ictv.global/taxonomy/taxondetails?taxnode_id=202502439&amp;ictv_id=ICTV20083359","ICTV20083359")</f>
        <v>ICTV20083359</v>
      </c>
      <c r="R16860" t="s">
        <v>579</v>
      </c>
      <c r="S16860" t="s">
        <v>22763</v>
      </c>
      <c r="T16860">
        <v>40</v>
      </c>
      <c r="U16860" s="26" t="str">
        <f t="shared" si="643"/>
        <v>2024.010D.Varidnaviria_reorg.zip</v>
      </c>
    </row>
    <row r="16861" spans="1:21">
      <c r="A16861">
        <v>16860</v>
      </c>
      <c r="B16861" s="27" t="s">
        <v>1980</v>
      </c>
      <c r="D16861" s="27" t="s">
        <v>1981</v>
      </c>
      <c r="F16861" s="27" t="s">
        <v>1998</v>
      </c>
      <c r="G16861" s="27" t="s">
        <v>20663</v>
      </c>
      <c r="H16861" s="27" t="s">
        <v>20669</v>
      </c>
      <c r="J16861" s="27" t="s">
        <v>2003</v>
      </c>
      <c r="L16861" s="27" t="s">
        <v>394</v>
      </c>
      <c r="N16861" s="27" t="s">
        <v>350</v>
      </c>
      <c r="P16861" s="27" t="s">
        <v>18179</v>
      </c>
      <c r="Q16861" s="26" t="str">
        <f>HYPERLINK("https://ictv.global/taxonomy/taxondetails?taxnode_id=202502445&amp;ictv_id=ICTV20165227","ICTV20165227")</f>
        <v>ICTV20165227</v>
      </c>
      <c r="R16861" t="s">
        <v>579</v>
      </c>
      <c r="S16861" t="s">
        <v>22763</v>
      </c>
      <c r="T16861">
        <v>40</v>
      </c>
      <c r="U16861" s="26" t="str">
        <f t="shared" si="643"/>
        <v>2024.010D.Varidnaviria_reorg.zip</v>
      </c>
    </row>
    <row r="16862" spans="1:21">
      <c r="A16862">
        <v>16861</v>
      </c>
      <c r="B16862" s="27" t="s">
        <v>1980</v>
      </c>
      <c r="D16862" s="27" t="s">
        <v>1981</v>
      </c>
      <c r="F16862" s="27" t="s">
        <v>1998</v>
      </c>
      <c r="G16862" s="27" t="s">
        <v>20663</v>
      </c>
      <c r="H16862" s="27" t="s">
        <v>20669</v>
      </c>
      <c r="J16862" s="27" t="s">
        <v>2003</v>
      </c>
      <c r="L16862" s="27" t="s">
        <v>394</v>
      </c>
      <c r="N16862" s="27" t="s">
        <v>350</v>
      </c>
      <c r="P16862" s="27" t="s">
        <v>18180</v>
      </c>
      <c r="Q16862" s="26" t="str">
        <f>HYPERLINK("https://ictv.global/taxonomy/taxondetails?taxnode_id=202502434&amp;ictv_id=ICTV20165222","ICTV20165222")</f>
        <v>ICTV20165222</v>
      </c>
      <c r="R16862" t="s">
        <v>579</v>
      </c>
      <c r="S16862" t="s">
        <v>22763</v>
      </c>
      <c r="T16862">
        <v>40</v>
      </c>
      <c r="U16862" s="26" t="str">
        <f t="shared" si="643"/>
        <v>2024.010D.Varidnaviria_reorg.zip</v>
      </c>
    </row>
    <row r="16863" spans="1:21">
      <c r="A16863">
        <v>16862</v>
      </c>
      <c r="B16863" s="27" t="s">
        <v>1980</v>
      </c>
      <c r="D16863" s="27" t="s">
        <v>1981</v>
      </c>
      <c r="F16863" s="27" t="s">
        <v>1998</v>
      </c>
      <c r="G16863" s="27" t="s">
        <v>20663</v>
      </c>
      <c r="H16863" s="27" t="s">
        <v>20669</v>
      </c>
      <c r="J16863" s="27" t="s">
        <v>2003</v>
      </c>
      <c r="L16863" s="27" t="s">
        <v>394</v>
      </c>
      <c r="N16863" s="27" t="s">
        <v>350</v>
      </c>
      <c r="P16863" s="27" t="s">
        <v>18181</v>
      </c>
      <c r="Q16863" s="26" t="str">
        <f>HYPERLINK("https://ictv.global/taxonomy/taxondetails?taxnode_id=202517888&amp;ictv_id=ICTV202317888","ICTV202317888")</f>
        <v>ICTV202317888</v>
      </c>
      <c r="R16863" t="s">
        <v>579</v>
      </c>
      <c r="S16863" t="s">
        <v>22763</v>
      </c>
      <c r="T16863">
        <v>40</v>
      </c>
      <c r="U16863" s="26" t="str">
        <f t="shared" si="643"/>
        <v>2024.010D.Varidnaviria_reorg.zip</v>
      </c>
    </row>
    <row r="16864" spans="1:21">
      <c r="A16864">
        <v>16863</v>
      </c>
      <c r="B16864" s="27" t="s">
        <v>1980</v>
      </c>
      <c r="D16864" s="27" t="s">
        <v>1981</v>
      </c>
      <c r="F16864" s="27" t="s">
        <v>1998</v>
      </c>
      <c r="G16864" s="27" t="s">
        <v>20663</v>
      </c>
      <c r="H16864" s="27" t="s">
        <v>20669</v>
      </c>
      <c r="J16864" s="27" t="s">
        <v>2003</v>
      </c>
      <c r="L16864" s="27" t="s">
        <v>394</v>
      </c>
      <c r="N16864" s="27" t="s">
        <v>350</v>
      </c>
      <c r="P16864" s="27" t="s">
        <v>18182</v>
      </c>
      <c r="Q16864" s="26" t="str">
        <f>HYPERLINK("https://ictv.global/taxonomy/taxondetails?taxnode_id=202502447&amp;ictv_id=ICTV20165229","ICTV20165229")</f>
        <v>ICTV20165229</v>
      </c>
      <c r="R16864" t="s">
        <v>579</v>
      </c>
      <c r="S16864" t="s">
        <v>22763</v>
      </c>
      <c r="T16864">
        <v>40</v>
      </c>
      <c r="U16864" s="26" t="str">
        <f t="shared" si="643"/>
        <v>2024.010D.Varidnaviria_reorg.zip</v>
      </c>
    </row>
    <row r="16865" spans="1:21">
      <c r="A16865">
        <v>16864</v>
      </c>
      <c r="B16865" s="27" t="s">
        <v>1980</v>
      </c>
      <c r="D16865" s="27" t="s">
        <v>1981</v>
      </c>
      <c r="F16865" s="27" t="s">
        <v>1998</v>
      </c>
      <c r="G16865" s="27" t="s">
        <v>20663</v>
      </c>
      <c r="H16865" s="27" t="s">
        <v>20669</v>
      </c>
      <c r="J16865" s="27" t="s">
        <v>2003</v>
      </c>
      <c r="L16865" s="27" t="s">
        <v>394</v>
      </c>
      <c r="N16865" s="27" t="s">
        <v>350</v>
      </c>
      <c r="P16865" s="27" t="s">
        <v>18183</v>
      </c>
      <c r="Q16865" s="26" t="str">
        <f>HYPERLINK("https://ictv.global/taxonomy/taxondetails?taxnode_id=202502448&amp;ictv_id=ICTV19950480","ICTV19950480")</f>
        <v>ICTV19950480</v>
      </c>
      <c r="R16865" t="s">
        <v>579</v>
      </c>
      <c r="S16865" t="s">
        <v>22763</v>
      </c>
      <c r="T16865">
        <v>40</v>
      </c>
      <c r="U16865" s="26" t="str">
        <f t="shared" si="643"/>
        <v>2024.010D.Varidnaviria_reorg.zip</v>
      </c>
    </row>
    <row r="16866" spans="1:21">
      <c r="A16866">
        <v>16865</v>
      </c>
      <c r="B16866" s="27" t="s">
        <v>1980</v>
      </c>
      <c r="D16866" s="27" t="s">
        <v>1981</v>
      </c>
      <c r="F16866" s="27" t="s">
        <v>1998</v>
      </c>
      <c r="G16866" s="27" t="s">
        <v>20663</v>
      </c>
      <c r="H16866" s="27" t="s">
        <v>20669</v>
      </c>
      <c r="J16866" s="27" t="s">
        <v>2003</v>
      </c>
      <c r="L16866" s="27" t="s">
        <v>394</v>
      </c>
      <c r="N16866" s="27" t="s">
        <v>350</v>
      </c>
      <c r="P16866" s="27" t="s">
        <v>18184</v>
      </c>
      <c r="Q16866" s="26" t="str">
        <f>HYPERLINK("https://ictv.global/taxonomy/taxondetails?taxnode_id=202507197&amp;ictv_id=ICTV201907197","ICTV201907197")</f>
        <v>ICTV201907197</v>
      </c>
      <c r="R16866" t="s">
        <v>579</v>
      </c>
      <c r="S16866" t="s">
        <v>22763</v>
      </c>
      <c r="T16866">
        <v>40</v>
      </c>
      <c r="U16866" s="26" t="str">
        <f t="shared" si="643"/>
        <v>2024.010D.Varidnaviria_reorg.zip</v>
      </c>
    </row>
    <row r="16867" spans="1:21">
      <c r="A16867">
        <v>16866</v>
      </c>
      <c r="B16867" s="27" t="s">
        <v>1980</v>
      </c>
      <c r="D16867" s="27" t="s">
        <v>1981</v>
      </c>
      <c r="F16867" s="27" t="s">
        <v>1998</v>
      </c>
      <c r="G16867" s="27" t="s">
        <v>20663</v>
      </c>
      <c r="H16867" s="27" t="s">
        <v>20669</v>
      </c>
      <c r="J16867" s="27" t="s">
        <v>2003</v>
      </c>
      <c r="L16867" s="27" t="s">
        <v>394</v>
      </c>
      <c r="N16867" s="27" t="s">
        <v>350</v>
      </c>
      <c r="P16867" s="27" t="s">
        <v>20685</v>
      </c>
      <c r="Q16867" s="26" t="str">
        <f>HYPERLINK("https://ictv.global/taxonomy/taxondetails?taxnode_id=202520130&amp;ictv_id=ICTV202420130","ICTV202420130")</f>
        <v>ICTV202420130</v>
      </c>
      <c r="R16867" t="s">
        <v>579</v>
      </c>
      <c r="S16867" t="s">
        <v>823</v>
      </c>
      <c r="T16867">
        <v>40</v>
      </c>
      <c r="U16867" s="26" t="str">
        <f>HYPERLINK("https://ictv.global/ictv/proposals/2024.004D.Adenoviridae_16ns.zip","2024.004D.Adenoviridae_16ns.zip")</f>
        <v>2024.004D.Adenoviridae_16ns.zip</v>
      </c>
    </row>
    <row r="16868" spans="1:21">
      <c r="A16868">
        <v>16867</v>
      </c>
      <c r="B16868" s="27" t="s">
        <v>1980</v>
      </c>
      <c r="D16868" s="27" t="s">
        <v>1981</v>
      </c>
      <c r="F16868" s="27" t="s">
        <v>1998</v>
      </c>
      <c r="G16868" s="27" t="s">
        <v>20663</v>
      </c>
      <c r="H16868" s="27" t="s">
        <v>20669</v>
      </c>
      <c r="J16868" s="27" t="s">
        <v>2003</v>
      </c>
      <c r="L16868" s="27" t="s">
        <v>394</v>
      </c>
      <c r="N16868" s="27" t="s">
        <v>179</v>
      </c>
      <c r="P16868" s="27" t="s">
        <v>18185</v>
      </c>
      <c r="Q16868" s="26" t="str">
        <f>HYPERLINK("https://ictv.global/taxonomy/taxondetails?taxnode_id=202517893&amp;ictv_id=ICTV202317893","ICTV202317893")</f>
        <v>ICTV202317893</v>
      </c>
      <c r="R16868" t="s">
        <v>579</v>
      </c>
      <c r="S16868" t="s">
        <v>22763</v>
      </c>
      <c r="T16868">
        <v>40</v>
      </c>
      <c r="U16868" s="26" t="str">
        <f>HYPERLINK("https://ictv.global/ictv/proposals/2024.010D.Varidnaviria_reorg.zip","2024.010D.Varidnaviria_reorg.zip")</f>
        <v>2024.010D.Varidnaviria_reorg.zip</v>
      </c>
    </row>
    <row r="16869" spans="1:21">
      <c r="A16869">
        <v>16868</v>
      </c>
      <c r="B16869" s="27" t="s">
        <v>1980</v>
      </c>
      <c r="D16869" s="27" t="s">
        <v>1981</v>
      </c>
      <c r="F16869" s="27" t="s">
        <v>1998</v>
      </c>
      <c r="G16869" s="27" t="s">
        <v>20663</v>
      </c>
      <c r="H16869" s="27" t="s">
        <v>20669</v>
      </c>
      <c r="J16869" s="27" t="s">
        <v>2003</v>
      </c>
      <c r="L16869" s="27" t="s">
        <v>394</v>
      </c>
      <c r="N16869" s="27" t="s">
        <v>179</v>
      </c>
      <c r="P16869" s="27" t="s">
        <v>18186</v>
      </c>
      <c r="Q16869" s="26" t="str">
        <f>HYPERLINK("https://ictv.global/taxonomy/taxondetails?taxnode_id=202517892&amp;ictv_id=ICTV202317892","ICTV202317892")</f>
        <v>ICTV202317892</v>
      </c>
      <c r="R16869" t="s">
        <v>579</v>
      </c>
      <c r="S16869" t="s">
        <v>22763</v>
      </c>
      <c r="T16869">
        <v>40</v>
      </c>
      <c r="U16869" s="26" t="str">
        <f>HYPERLINK("https://ictv.global/ictv/proposals/2024.010D.Varidnaviria_reorg.zip","2024.010D.Varidnaviria_reorg.zip")</f>
        <v>2024.010D.Varidnaviria_reorg.zip</v>
      </c>
    </row>
    <row r="16870" spans="1:21">
      <c r="A16870">
        <v>16869</v>
      </c>
      <c r="B16870" s="27" t="s">
        <v>1980</v>
      </c>
      <c r="D16870" s="27" t="s">
        <v>1981</v>
      </c>
      <c r="F16870" s="27" t="s">
        <v>1998</v>
      </c>
      <c r="G16870" s="27" t="s">
        <v>20663</v>
      </c>
      <c r="H16870" s="27" t="s">
        <v>20669</v>
      </c>
      <c r="J16870" s="27" t="s">
        <v>2003</v>
      </c>
      <c r="L16870" s="27" t="s">
        <v>394</v>
      </c>
      <c r="N16870" s="27" t="s">
        <v>179</v>
      </c>
      <c r="P16870" s="27" t="s">
        <v>21244</v>
      </c>
      <c r="Q16870" s="26" t="str">
        <f>HYPERLINK("https://ictv.global/taxonomy/taxondetails?taxnode_id=202522148&amp;ictv_id=ICTV202522148","ICTV202522148")</f>
        <v>ICTV202522148</v>
      </c>
      <c r="R16870" t="s">
        <v>579</v>
      </c>
      <c r="S16870" t="s">
        <v>823</v>
      </c>
      <c r="T16870">
        <v>41</v>
      </c>
      <c r="U16870" s="26" t="str">
        <f>HYPERLINK("https://ictv.global/ictv/proposals/2025.004D.Adenoviridae_20ns.zip","2025.004D.Adenoviridae_20ns.zip")</f>
        <v>2025.004D.Adenoviridae_20ns.zip</v>
      </c>
    </row>
    <row r="16871" spans="1:21">
      <c r="A16871">
        <v>16870</v>
      </c>
      <c r="B16871" s="27" t="s">
        <v>1980</v>
      </c>
      <c r="D16871" s="27" t="s">
        <v>1981</v>
      </c>
      <c r="F16871" s="27" t="s">
        <v>1998</v>
      </c>
      <c r="G16871" s="27" t="s">
        <v>20663</v>
      </c>
      <c r="H16871" s="27" t="s">
        <v>20669</v>
      </c>
      <c r="J16871" s="27" t="s">
        <v>2003</v>
      </c>
      <c r="L16871" s="27" t="s">
        <v>394</v>
      </c>
      <c r="N16871" s="27" t="s">
        <v>179</v>
      </c>
      <c r="P16871" s="27" t="s">
        <v>21246</v>
      </c>
      <c r="Q16871" s="26" t="str">
        <f>HYPERLINK("https://ictv.global/taxonomy/taxondetails?taxnode_id=202522150&amp;ictv_id=ICTV202522150","ICTV202522150")</f>
        <v>ICTV202522150</v>
      </c>
      <c r="R16871" t="s">
        <v>579</v>
      </c>
      <c r="S16871" t="s">
        <v>823</v>
      </c>
      <c r="T16871">
        <v>41</v>
      </c>
      <c r="U16871" s="26" t="str">
        <f>HYPERLINK("https://ictv.global/ictv/proposals/2025.004D.Adenoviridae_20ns.zip","2025.004D.Adenoviridae_20ns.zip")</f>
        <v>2025.004D.Adenoviridae_20ns.zip</v>
      </c>
    </row>
    <row r="16872" spans="1:21">
      <c r="A16872">
        <v>16871</v>
      </c>
      <c r="B16872" s="27" t="s">
        <v>1980</v>
      </c>
      <c r="D16872" s="27" t="s">
        <v>1981</v>
      </c>
      <c r="F16872" s="27" t="s">
        <v>1998</v>
      </c>
      <c r="G16872" s="27" t="s">
        <v>20663</v>
      </c>
      <c r="H16872" s="27" t="s">
        <v>20669</v>
      </c>
      <c r="J16872" s="27" t="s">
        <v>2003</v>
      </c>
      <c r="L16872" s="27" t="s">
        <v>394</v>
      </c>
      <c r="N16872" s="27" t="s">
        <v>179</v>
      </c>
      <c r="P16872" s="27" t="s">
        <v>18187</v>
      </c>
      <c r="Q16872" s="26" t="str">
        <f>HYPERLINK("https://ictv.global/taxonomy/taxondetails?taxnode_id=202502455&amp;ictv_id=ICTV20025566","ICTV20025566")</f>
        <v>ICTV20025566</v>
      </c>
      <c r="R16872" t="s">
        <v>579</v>
      </c>
      <c r="S16872" t="s">
        <v>22763</v>
      </c>
      <c r="T16872">
        <v>40</v>
      </c>
      <c r="U16872" s="26" t="str">
        <f t="shared" ref="U16872:U16878" si="644">HYPERLINK("https://ictv.global/ictv/proposals/2024.010D.Varidnaviria_reorg.zip","2024.010D.Varidnaviria_reorg.zip")</f>
        <v>2024.010D.Varidnaviria_reorg.zip</v>
      </c>
    </row>
    <row r="16873" spans="1:21">
      <c r="A16873">
        <v>16872</v>
      </c>
      <c r="B16873" s="27" t="s">
        <v>1980</v>
      </c>
      <c r="D16873" s="27" t="s">
        <v>1981</v>
      </c>
      <c r="F16873" s="27" t="s">
        <v>1998</v>
      </c>
      <c r="G16873" s="27" t="s">
        <v>20663</v>
      </c>
      <c r="H16873" s="27" t="s">
        <v>20669</v>
      </c>
      <c r="J16873" s="27" t="s">
        <v>2003</v>
      </c>
      <c r="L16873" s="27" t="s">
        <v>394</v>
      </c>
      <c r="N16873" s="27" t="s">
        <v>179</v>
      </c>
      <c r="P16873" s="27" t="s">
        <v>18188</v>
      </c>
      <c r="Q16873" s="26" t="str">
        <f>HYPERLINK("https://ictv.global/taxonomy/taxondetails?taxnode_id=202502451&amp;ictv_id=ICTV20115692","ICTV20115692")</f>
        <v>ICTV20115692</v>
      </c>
      <c r="R16873" t="s">
        <v>579</v>
      </c>
      <c r="S16873" t="s">
        <v>22763</v>
      </c>
      <c r="T16873">
        <v>40</v>
      </c>
      <c r="U16873" s="26" t="str">
        <f t="shared" si="644"/>
        <v>2024.010D.Varidnaviria_reorg.zip</v>
      </c>
    </row>
    <row r="16874" spans="1:21">
      <c r="A16874">
        <v>16873</v>
      </c>
      <c r="B16874" s="27" t="s">
        <v>1980</v>
      </c>
      <c r="D16874" s="27" t="s">
        <v>1981</v>
      </c>
      <c r="F16874" s="27" t="s">
        <v>1998</v>
      </c>
      <c r="G16874" s="27" t="s">
        <v>20663</v>
      </c>
      <c r="H16874" s="27" t="s">
        <v>20669</v>
      </c>
      <c r="J16874" s="27" t="s">
        <v>2003</v>
      </c>
      <c r="L16874" s="27" t="s">
        <v>394</v>
      </c>
      <c r="N16874" s="27" t="s">
        <v>179</v>
      </c>
      <c r="P16874" s="27" t="s">
        <v>18189</v>
      </c>
      <c r="Q16874" s="26" t="str">
        <f>HYPERLINK("https://ictv.global/taxonomy/taxondetails?taxnode_id=202502450&amp;ictv_id=ICTV20025565","ICTV20025565")</f>
        <v>ICTV20025565</v>
      </c>
      <c r="R16874" t="s">
        <v>579</v>
      </c>
      <c r="S16874" t="s">
        <v>22763</v>
      </c>
      <c r="T16874">
        <v>40</v>
      </c>
      <c r="U16874" s="26" t="str">
        <f t="shared" si="644"/>
        <v>2024.010D.Varidnaviria_reorg.zip</v>
      </c>
    </row>
    <row r="16875" spans="1:21">
      <c r="A16875">
        <v>16874</v>
      </c>
      <c r="B16875" s="27" t="s">
        <v>1980</v>
      </c>
      <c r="D16875" s="27" t="s">
        <v>1981</v>
      </c>
      <c r="F16875" s="27" t="s">
        <v>1998</v>
      </c>
      <c r="G16875" s="27" t="s">
        <v>20663</v>
      </c>
      <c r="H16875" s="27" t="s">
        <v>20669</v>
      </c>
      <c r="J16875" s="27" t="s">
        <v>2003</v>
      </c>
      <c r="L16875" s="27" t="s">
        <v>394</v>
      </c>
      <c r="N16875" s="27" t="s">
        <v>179</v>
      </c>
      <c r="P16875" s="27" t="s">
        <v>18190</v>
      </c>
      <c r="Q16875" s="26" t="str">
        <f>HYPERLINK("https://ictv.global/taxonomy/taxondetails?taxnode_id=202502453&amp;ictv_id=ICTV20093036","ICTV20093036")</f>
        <v>ICTV20093036</v>
      </c>
      <c r="R16875" t="s">
        <v>579</v>
      </c>
      <c r="S16875" t="s">
        <v>22763</v>
      </c>
      <c r="T16875">
        <v>40</v>
      </c>
      <c r="U16875" s="26" t="str">
        <f t="shared" si="644"/>
        <v>2024.010D.Varidnaviria_reorg.zip</v>
      </c>
    </row>
    <row r="16876" spans="1:21">
      <c r="A16876">
        <v>16875</v>
      </c>
      <c r="B16876" s="27" t="s">
        <v>1980</v>
      </c>
      <c r="D16876" s="27" t="s">
        <v>1981</v>
      </c>
      <c r="F16876" s="27" t="s">
        <v>1998</v>
      </c>
      <c r="G16876" s="27" t="s">
        <v>20663</v>
      </c>
      <c r="H16876" s="27" t="s">
        <v>20669</v>
      </c>
      <c r="J16876" s="27" t="s">
        <v>2003</v>
      </c>
      <c r="L16876" s="27" t="s">
        <v>394</v>
      </c>
      <c r="N16876" s="27" t="s">
        <v>179</v>
      </c>
      <c r="P16876" s="27" t="s">
        <v>18191</v>
      </c>
      <c r="Q16876" s="26" t="str">
        <f>HYPERLINK("https://ictv.global/taxonomy/taxondetails?taxnode_id=202509164&amp;ictv_id=ICTV202009164","ICTV202009164")</f>
        <v>ICTV202009164</v>
      </c>
      <c r="R16876" t="s">
        <v>579</v>
      </c>
      <c r="S16876" t="s">
        <v>22763</v>
      </c>
      <c r="T16876">
        <v>40</v>
      </c>
      <c r="U16876" s="26" t="str">
        <f t="shared" si="644"/>
        <v>2024.010D.Varidnaviria_reorg.zip</v>
      </c>
    </row>
    <row r="16877" spans="1:21">
      <c r="A16877">
        <v>16876</v>
      </c>
      <c r="B16877" s="27" t="s">
        <v>1980</v>
      </c>
      <c r="D16877" s="27" t="s">
        <v>1981</v>
      </c>
      <c r="F16877" s="27" t="s">
        <v>1998</v>
      </c>
      <c r="G16877" s="27" t="s">
        <v>20663</v>
      </c>
      <c r="H16877" s="27" t="s">
        <v>20669</v>
      </c>
      <c r="J16877" s="27" t="s">
        <v>2003</v>
      </c>
      <c r="L16877" s="27" t="s">
        <v>394</v>
      </c>
      <c r="N16877" s="27" t="s">
        <v>179</v>
      </c>
      <c r="P16877" s="27" t="s">
        <v>18192</v>
      </c>
      <c r="Q16877" s="26" t="str">
        <f>HYPERLINK("https://ictv.global/taxonomy/taxondetails?taxnode_id=202502452&amp;ictv_id=ICTV20165230","ICTV20165230")</f>
        <v>ICTV20165230</v>
      </c>
      <c r="R16877" t="s">
        <v>579</v>
      </c>
      <c r="S16877" t="s">
        <v>22763</v>
      </c>
      <c r="T16877">
        <v>40</v>
      </c>
      <c r="U16877" s="26" t="str">
        <f t="shared" si="644"/>
        <v>2024.010D.Varidnaviria_reorg.zip</v>
      </c>
    </row>
    <row r="16878" spans="1:21">
      <c r="A16878">
        <v>16877</v>
      </c>
      <c r="B16878" s="27" t="s">
        <v>1980</v>
      </c>
      <c r="D16878" s="27" t="s">
        <v>1981</v>
      </c>
      <c r="F16878" s="27" t="s">
        <v>1998</v>
      </c>
      <c r="G16878" s="27" t="s">
        <v>20663</v>
      </c>
      <c r="H16878" s="27" t="s">
        <v>20669</v>
      </c>
      <c r="J16878" s="27" t="s">
        <v>2003</v>
      </c>
      <c r="L16878" s="27" t="s">
        <v>394</v>
      </c>
      <c r="N16878" s="27" t="s">
        <v>179</v>
      </c>
      <c r="P16878" s="27" t="s">
        <v>18193</v>
      </c>
      <c r="Q16878" s="26" t="str">
        <f>HYPERLINK("https://ictv.global/taxonomy/taxondetails?taxnode_id=202502454&amp;ictv_id=ICTV20125930","ICTV20125930")</f>
        <v>ICTV20125930</v>
      </c>
      <c r="R16878" t="s">
        <v>579</v>
      </c>
      <c r="S16878" t="s">
        <v>22763</v>
      </c>
      <c r="T16878">
        <v>40</v>
      </c>
      <c r="U16878" s="26" t="str">
        <f t="shared" si="644"/>
        <v>2024.010D.Varidnaviria_reorg.zip</v>
      </c>
    </row>
    <row r="16879" spans="1:21">
      <c r="A16879">
        <v>16878</v>
      </c>
      <c r="B16879" s="27" t="s">
        <v>1980</v>
      </c>
      <c r="D16879" s="27" t="s">
        <v>1981</v>
      </c>
      <c r="F16879" s="27" t="s">
        <v>1998</v>
      </c>
      <c r="G16879" s="27" t="s">
        <v>20663</v>
      </c>
      <c r="H16879" s="27" t="s">
        <v>20669</v>
      </c>
      <c r="J16879" s="27" t="s">
        <v>2003</v>
      </c>
      <c r="L16879" s="27" t="s">
        <v>394</v>
      </c>
      <c r="N16879" s="27" t="s">
        <v>179</v>
      </c>
      <c r="P16879" s="27" t="s">
        <v>21245</v>
      </c>
      <c r="Q16879" s="26" t="str">
        <f>HYPERLINK("https://ictv.global/taxonomy/taxondetails?taxnode_id=202522149&amp;ictv_id=ICTV202522149","ICTV202522149")</f>
        <v>ICTV202522149</v>
      </c>
      <c r="R16879" t="s">
        <v>579</v>
      </c>
      <c r="S16879" t="s">
        <v>823</v>
      </c>
      <c r="T16879">
        <v>41</v>
      </c>
      <c r="U16879" s="26" t="str">
        <f>HYPERLINK("https://ictv.global/ictv/proposals/2025.004D.Adenoviridae_20ns.zip","2025.004D.Adenoviridae_20ns.zip")</f>
        <v>2025.004D.Adenoviridae_20ns.zip</v>
      </c>
    </row>
    <row r="16880" spans="1:21">
      <c r="A16880">
        <v>16879</v>
      </c>
      <c r="B16880" s="27" t="s">
        <v>1980</v>
      </c>
      <c r="D16880" s="27" t="s">
        <v>1981</v>
      </c>
      <c r="F16880" s="27" t="s">
        <v>1998</v>
      </c>
      <c r="G16880" s="27" t="s">
        <v>20663</v>
      </c>
      <c r="H16880" s="27" t="s">
        <v>20669</v>
      </c>
      <c r="J16880" s="27" t="s">
        <v>2003</v>
      </c>
      <c r="L16880" s="27" t="s">
        <v>394</v>
      </c>
      <c r="N16880" s="27" t="s">
        <v>179</v>
      </c>
      <c r="P16880" s="27" t="s">
        <v>18194</v>
      </c>
      <c r="Q16880" s="26" t="str">
        <f>HYPERLINK("https://ictv.global/taxonomy/taxondetails?taxnode_id=202517894&amp;ictv_id=ICTV202317894","ICTV202317894")</f>
        <v>ICTV202317894</v>
      </c>
      <c r="R16880" t="s">
        <v>579</v>
      </c>
      <c r="S16880" t="s">
        <v>22763</v>
      </c>
      <c r="T16880">
        <v>40</v>
      </c>
      <c r="U16880" s="26" t="str">
        <f t="shared" ref="U16880:U16904" si="645">HYPERLINK("https://ictv.global/ictv/proposals/2024.010D.Varidnaviria_reorg.zip","2024.010D.Varidnaviria_reorg.zip")</f>
        <v>2024.010D.Varidnaviria_reorg.zip</v>
      </c>
    </row>
    <row r="16881" spans="1:21">
      <c r="A16881">
        <v>16880</v>
      </c>
      <c r="B16881" s="27" t="s">
        <v>1980</v>
      </c>
      <c r="D16881" s="27" t="s">
        <v>1981</v>
      </c>
      <c r="F16881" s="27" t="s">
        <v>1998</v>
      </c>
      <c r="G16881" s="27" t="s">
        <v>20663</v>
      </c>
      <c r="H16881" s="27" t="s">
        <v>20669</v>
      </c>
      <c r="J16881" s="27" t="s">
        <v>2003</v>
      </c>
      <c r="L16881" s="27" t="s">
        <v>394</v>
      </c>
      <c r="N16881" s="27" t="s">
        <v>179</v>
      </c>
      <c r="P16881" s="27" t="s">
        <v>18195</v>
      </c>
      <c r="Q16881" s="26" t="str">
        <f>HYPERLINK("https://ictv.global/taxonomy/taxondetails?taxnode_id=202509163&amp;ictv_id=ICTV202009163","ICTV202009163")</f>
        <v>ICTV202009163</v>
      </c>
      <c r="R16881" t="s">
        <v>579</v>
      </c>
      <c r="S16881" t="s">
        <v>22763</v>
      </c>
      <c r="T16881">
        <v>40</v>
      </c>
      <c r="U16881" s="26" t="str">
        <f t="shared" si="645"/>
        <v>2024.010D.Varidnaviria_reorg.zip</v>
      </c>
    </row>
    <row r="16882" spans="1:21">
      <c r="A16882">
        <v>16881</v>
      </c>
      <c r="B16882" s="27" t="s">
        <v>1980</v>
      </c>
      <c r="D16882" s="27" t="s">
        <v>1981</v>
      </c>
      <c r="F16882" s="27" t="s">
        <v>1998</v>
      </c>
      <c r="G16882" s="27" t="s">
        <v>20663</v>
      </c>
      <c r="H16882" s="27" t="s">
        <v>20669</v>
      </c>
      <c r="J16882" s="27" t="s">
        <v>2003</v>
      </c>
      <c r="L16882" s="27" t="s">
        <v>394</v>
      </c>
      <c r="N16882" s="27" t="s">
        <v>3636</v>
      </c>
      <c r="P16882" s="27" t="s">
        <v>18196</v>
      </c>
      <c r="Q16882" s="26" t="str">
        <f>HYPERLINK("https://ictv.global/taxonomy/taxondetails?taxnode_id=202509166&amp;ictv_id=ICTV202009166","ICTV202009166")</f>
        <v>ICTV202009166</v>
      </c>
      <c r="R16882" t="s">
        <v>579</v>
      </c>
      <c r="S16882" t="s">
        <v>22763</v>
      </c>
      <c r="T16882">
        <v>40</v>
      </c>
      <c r="U16882" s="26" t="str">
        <f t="shared" si="645"/>
        <v>2024.010D.Varidnaviria_reorg.zip</v>
      </c>
    </row>
    <row r="16883" spans="1:21">
      <c r="A16883">
        <v>16882</v>
      </c>
      <c r="B16883" s="27" t="s">
        <v>1980</v>
      </c>
      <c r="D16883" s="27" t="s">
        <v>1981</v>
      </c>
      <c r="F16883" s="27" t="s">
        <v>1998</v>
      </c>
      <c r="G16883" s="27" t="s">
        <v>20663</v>
      </c>
      <c r="H16883" s="27" t="s">
        <v>3629</v>
      </c>
      <c r="J16883" s="27" t="s">
        <v>20686</v>
      </c>
      <c r="L16883" s="27" t="s">
        <v>20687</v>
      </c>
      <c r="N16883" s="27" t="s">
        <v>3630</v>
      </c>
      <c r="P16883" s="27" t="s">
        <v>3631</v>
      </c>
      <c r="Q16883" s="26" t="str">
        <f>HYPERLINK("https://ictv.global/taxonomy/taxondetails?taxnode_id=202508815&amp;ictv_id=ICTV202008815","ICTV202008815")</f>
        <v>ICTV202008815</v>
      </c>
      <c r="R16883" t="s">
        <v>579</v>
      </c>
      <c r="S16883" t="s">
        <v>824</v>
      </c>
      <c r="T16883">
        <v>40</v>
      </c>
      <c r="U16883" s="26" t="str">
        <f t="shared" si="645"/>
        <v>2024.010D.Varidnaviria_reorg.zip</v>
      </c>
    </row>
    <row r="16884" spans="1:21">
      <c r="A16884">
        <v>16883</v>
      </c>
      <c r="B16884" s="27" t="s">
        <v>1980</v>
      </c>
      <c r="D16884" s="27" t="s">
        <v>1981</v>
      </c>
      <c r="F16884" s="27" t="s">
        <v>1998</v>
      </c>
      <c r="G16884" s="27" t="s">
        <v>20663</v>
      </c>
      <c r="H16884" s="27" t="s">
        <v>3629</v>
      </c>
      <c r="J16884" s="27" t="s">
        <v>20686</v>
      </c>
      <c r="L16884" s="27" t="s">
        <v>20687</v>
      </c>
      <c r="N16884" s="27" t="s">
        <v>3632</v>
      </c>
      <c r="P16884" s="27" t="s">
        <v>3633</v>
      </c>
      <c r="Q16884" s="26" t="str">
        <f>HYPERLINK("https://ictv.global/taxonomy/taxondetails?taxnode_id=202508817&amp;ictv_id=ICTV202008817","ICTV202008817")</f>
        <v>ICTV202008817</v>
      </c>
      <c r="R16884" t="s">
        <v>579</v>
      </c>
      <c r="S16884" t="s">
        <v>824</v>
      </c>
      <c r="T16884">
        <v>40</v>
      </c>
      <c r="U16884" s="26" t="str">
        <f t="shared" si="645"/>
        <v>2024.010D.Varidnaviria_reorg.zip</v>
      </c>
    </row>
    <row r="16885" spans="1:21">
      <c r="A16885">
        <v>16884</v>
      </c>
      <c r="B16885" s="27" t="s">
        <v>1980</v>
      </c>
      <c r="D16885" s="27" t="s">
        <v>1981</v>
      </c>
      <c r="F16885" s="27" t="s">
        <v>1998</v>
      </c>
      <c r="G16885" s="27" t="s">
        <v>20663</v>
      </c>
      <c r="H16885" s="27" t="s">
        <v>20688</v>
      </c>
      <c r="J16885" s="27" t="s">
        <v>18065</v>
      </c>
      <c r="L16885" s="27" t="s">
        <v>18066</v>
      </c>
      <c r="N16885" s="27" t="s">
        <v>18067</v>
      </c>
      <c r="P16885" s="27" t="s">
        <v>18068</v>
      </c>
      <c r="Q16885" s="26" t="str">
        <f>HYPERLINK("https://ictv.global/taxonomy/taxondetails?taxnode_id=202517932&amp;ictv_id=ICTV202317932","ICTV202317932")</f>
        <v>ICTV202317932</v>
      </c>
      <c r="R16885" t="s">
        <v>579</v>
      </c>
      <c r="S16885" t="s">
        <v>22764</v>
      </c>
      <c r="T16885">
        <v>40</v>
      </c>
      <c r="U16885" s="26" t="str">
        <f t="shared" si="645"/>
        <v>2024.010D.Varidnaviria_reorg.zip</v>
      </c>
    </row>
    <row r="16886" spans="1:21">
      <c r="A16886">
        <v>16885</v>
      </c>
      <c r="B16886" s="27" t="s">
        <v>1980</v>
      </c>
      <c r="D16886" s="27" t="s">
        <v>1981</v>
      </c>
      <c r="F16886" s="27" t="s">
        <v>1998</v>
      </c>
      <c r="G16886" s="27" t="s">
        <v>20663</v>
      </c>
      <c r="H16886" s="27" t="s">
        <v>20688</v>
      </c>
      <c r="J16886" s="27" t="s">
        <v>18069</v>
      </c>
      <c r="L16886" s="27" t="s">
        <v>18070</v>
      </c>
      <c r="N16886" s="27" t="s">
        <v>665</v>
      </c>
      <c r="P16886" s="27" t="s">
        <v>18071</v>
      </c>
      <c r="Q16886" s="26" t="str">
        <f>HYPERLINK("https://ictv.global/taxonomy/taxondetails?taxnode_id=202503747&amp;ictv_id=ICTV20154637","ICTV20154637")</f>
        <v>ICTV20154637</v>
      </c>
      <c r="R16886" t="s">
        <v>579</v>
      </c>
      <c r="S16886" t="s">
        <v>22764</v>
      </c>
      <c r="T16886">
        <v>40</v>
      </c>
      <c r="U16886" s="26" t="str">
        <f t="shared" si="645"/>
        <v>2024.010D.Varidnaviria_reorg.zip</v>
      </c>
    </row>
    <row r="16887" spans="1:21">
      <c r="A16887">
        <v>16886</v>
      </c>
      <c r="B16887" s="27" t="s">
        <v>1980</v>
      </c>
      <c r="D16887" s="27" t="s">
        <v>1981</v>
      </c>
      <c r="F16887" s="27" t="s">
        <v>1998</v>
      </c>
      <c r="G16887" s="27" t="s">
        <v>20663</v>
      </c>
      <c r="H16887" s="27" t="s">
        <v>20688</v>
      </c>
      <c r="J16887" s="27" t="s">
        <v>18072</v>
      </c>
      <c r="L16887" s="27" t="s">
        <v>18073</v>
      </c>
      <c r="N16887" s="27" t="s">
        <v>666</v>
      </c>
      <c r="P16887" s="27" t="s">
        <v>18074</v>
      </c>
      <c r="Q16887" s="26" t="str">
        <f>HYPERLINK("https://ictv.global/taxonomy/taxondetails?taxnode_id=202503749&amp;ictv_id=ICTV20154634","ICTV20154634")</f>
        <v>ICTV20154634</v>
      </c>
      <c r="R16887" t="s">
        <v>579</v>
      </c>
      <c r="S16887" t="s">
        <v>22764</v>
      </c>
      <c r="T16887">
        <v>40</v>
      </c>
      <c r="U16887" s="26" t="str">
        <f t="shared" si="645"/>
        <v>2024.010D.Varidnaviria_reorg.zip</v>
      </c>
    </row>
    <row r="16888" spans="1:21">
      <c r="A16888">
        <v>16887</v>
      </c>
      <c r="B16888" s="27" t="s">
        <v>1980</v>
      </c>
      <c r="D16888" s="27" t="s">
        <v>1981</v>
      </c>
      <c r="F16888" s="27" t="s">
        <v>1998</v>
      </c>
      <c r="G16888" s="27" t="s">
        <v>20663</v>
      </c>
      <c r="H16888" s="27" t="s">
        <v>20688</v>
      </c>
      <c r="J16888" s="27" t="s">
        <v>18072</v>
      </c>
      <c r="L16888" s="27" t="s">
        <v>18073</v>
      </c>
      <c r="N16888" s="27" t="s">
        <v>666</v>
      </c>
      <c r="P16888" s="27" t="s">
        <v>18075</v>
      </c>
      <c r="Q16888" s="26" t="str">
        <f>HYPERLINK("https://ictv.global/taxonomy/taxondetails?taxnode_id=202503750&amp;ictv_id=ICTV20154635","ICTV20154635")</f>
        <v>ICTV20154635</v>
      </c>
      <c r="R16888" t="s">
        <v>579</v>
      </c>
      <c r="S16888" t="s">
        <v>22764</v>
      </c>
      <c r="T16888">
        <v>40</v>
      </c>
      <c r="U16888" s="26" t="str">
        <f t="shared" si="645"/>
        <v>2024.010D.Varidnaviria_reorg.zip</v>
      </c>
    </row>
    <row r="16889" spans="1:21">
      <c r="A16889">
        <v>16888</v>
      </c>
      <c r="B16889" s="27" t="s">
        <v>1980</v>
      </c>
      <c r="D16889" s="27" t="s">
        <v>1981</v>
      </c>
      <c r="F16889" s="27" t="s">
        <v>1998</v>
      </c>
      <c r="G16889" s="27" t="s">
        <v>20663</v>
      </c>
      <c r="H16889" s="27" t="s">
        <v>20688</v>
      </c>
      <c r="J16889" s="27" t="s">
        <v>1999</v>
      </c>
      <c r="L16889" s="27" t="s">
        <v>18076</v>
      </c>
      <c r="N16889" s="27" t="s">
        <v>18077</v>
      </c>
      <c r="P16889" s="27" t="s">
        <v>18078</v>
      </c>
      <c r="Q16889" s="26" t="str">
        <f>HYPERLINK("https://ictv.global/taxonomy/taxondetails?taxnode_id=202517930&amp;ictv_id=ICTV202317930","ICTV202317930")</f>
        <v>ICTV202317930</v>
      </c>
      <c r="R16889" t="s">
        <v>579</v>
      </c>
      <c r="S16889" t="s">
        <v>22764</v>
      </c>
      <c r="T16889">
        <v>40</v>
      </c>
      <c r="U16889" s="26" t="str">
        <f t="shared" si="645"/>
        <v>2024.010D.Varidnaviria_reorg.zip</v>
      </c>
    </row>
    <row r="16890" spans="1:21">
      <c r="A16890">
        <v>16889</v>
      </c>
      <c r="B16890" s="27" t="s">
        <v>1980</v>
      </c>
      <c r="D16890" s="27" t="s">
        <v>1981</v>
      </c>
      <c r="F16890" s="27" t="s">
        <v>1998</v>
      </c>
      <c r="G16890" s="27" t="s">
        <v>20663</v>
      </c>
      <c r="H16890" s="27" t="s">
        <v>20688</v>
      </c>
      <c r="J16890" s="27" t="s">
        <v>1999</v>
      </c>
      <c r="L16890" s="27" t="s">
        <v>18079</v>
      </c>
      <c r="N16890" s="27" t="s">
        <v>18080</v>
      </c>
      <c r="P16890" s="27" t="s">
        <v>18081</v>
      </c>
      <c r="Q16890" s="26" t="str">
        <f>HYPERLINK("https://ictv.global/taxonomy/taxondetails?taxnode_id=202517928&amp;ictv_id=ICTV202317928","ICTV202317928")</f>
        <v>ICTV202317928</v>
      </c>
      <c r="R16890" t="s">
        <v>579</v>
      </c>
      <c r="S16890" t="s">
        <v>22764</v>
      </c>
      <c r="T16890">
        <v>40</v>
      </c>
      <c r="U16890" s="26" t="str">
        <f t="shared" si="645"/>
        <v>2024.010D.Varidnaviria_reorg.zip</v>
      </c>
    </row>
    <row r="16891" spans="1:21">
      <c r="A16891">
        <v>16890</v>
      </c>
      <c r="B16891" s="27" t="s">
        <v>1980</v>
      </c>
      <c r="D16891" s="27" t="s">
        <v>1981</v>
      </c>
      <c r="F16891" s="27" t="s">
        <v>1998</v>
      </c>
      <c r="G16891" s="27" t="s">
        <v>20663</v>
      </c>
      <c r="H16891" s="27" t="s">
        <v>20688</v>
      </c>
      <c r="J16891" s="27" t="s">
        <v>1999</v>
      </c>
      <c r="L16891" s="27" t="s">
        <v>18082</v>
      </c>
      <c r="N16891" s="27" t="s">
        <v>18083</v>
      </c>
      <c r="P16891" s="27" t="s">
        <v>18084</v>
      </c>
      <c r="Q16891" s="26" t="str">
        <f>HYPERLINK("https://ictv.global/taxonomy/taxondetails?taxnode_id=202517931&amp;ictv_id=ICTV202317931","ICTV202317931")</f>
        <v>ICTV202317931</v>
      </c>
      <c r="R16891" t="s">
        <v>579</v>
      </c>
      <c r="S16891" t="s">
        <v>22764</v>
      </c>
      <c r="T16891">
        <v>40</v>
      </c>
      <c r="U16891" s="26" t="str">
        <f t="shared" si="645"/>
        <v>2024.010D.Varidnaviria_reorg.zip</v>
      </c>
    </row>
    <row r="16892" spans="1:21">
      <c r="A16892">
        <v>16891</v>
      </c>
      <c r="B16892" s="27" t="s">
        <v>1980</v>
      </c>
      <c r="D16892" s="27" t="s">
        <v>1981</v>
      </c>
      <c r="F16892" s="27" t="s">
        <v>1998</v>
      </c>
      <c r="G16892" s="27" t="s">
        <v>20663</v>
      </c>
      <c r="H16892" s="27" t="s">
        <v>20688</v>
      </c>
      <c r="J16892" s="27" t="s">
        <v>1999</v>
      </c>
      <c r="L16892" s="27" t="s">
        <v>18085</v>
      </c>
      <c r="N16892" s="27" t="s">
        <v>18086</v>
      </c>
      <c r="P16892" s="27" t="s">
        <v>18087</v>
      </c>
      <c r="Q16892" s="26" t="str">
        <f>HYPERLINK("https://ictv.global/taxonomy/taxondetails?taxnode_id=202517929&amp;ictv_id=ICTV202317929","ICTV202317929")</f>
        <v>ICTV202317929</v>
      </c>
      <c r="R16892" t="s">
        <v>579</v>
      </c>
      <c r="S16892" t="s">
        <v>22764</v>
      </c>
      <c r="T16892">
        <v>40</v>
      </c>
      <c r="U16892" s="26" t="str">
        <f t="shared" si="645"/>
        <v>2024.010D.Varidnaviria_reorg.zip</v>
      </c>
    </row>
    <row r="16893" spans="1:21">
      <c r="A16893">
        <v>16892</v>
      </c>
      <c r="B16893" s="27" t="s">
        <v>1980</v>
      </c>
      <c r="D16893" s="27" t="s">
        <v>1981</v>
      </c>
      <c r="F16893" s="27" t="s">
        <v>1998</v>
      </c>
      <c r="G16893" s="27" t="s">
        <v>20689</v>
      </c>
      <c r="H16893" s="27" t="s">
        <v>2000</v>
      </c>
      <c r="J16893" s="27" t="s">
        <v>2002</v>
      </c>
      <c r="L16893" s="27" t="s">
        <v>357</v>
      </c>
      <c r="N16893" s="27" t="s">
        <v>926</v>
      </c>
      <c r="P16893" s="27" t="s">
        <v>10878</v>
      </c>
      <c r="Q16893" s="26" t="str">
        <f>HYPERLINK("https://ictv.global/taxonomy/taxondetails?taxnode_id=202505994&amp;ictv_id=ICTV20175994","ICTV20175994")</f>
        <v>ICTV20175994</v>
      </c>
      <c r="R16893" t="s">
        <v>579</v>
      </c>
      <c r="S16893" t="s">
        <v>22763</v>
      </c>
      <c r="T16893">
        <v>40</v>
      </c>
      <c r="U16893" s="26" t="str">
        <f t="shared" si="645"/>
        <v>2024.010D.Varidnaviria_reorg.zip</v>
      </c>
    </row>
    <row r="16894" spans="1:21">
      <c r="A16894">
        <v>16893</v>
      </c>
      <c r="B16894" s="27" t="s">
        <v>1980</v>
      </c>
      <c r="D16894" s="27" t="s">
        <v>1981</v>
      </c>
      <c r="F16894" s="27" t="s">
        <v>1998</v>
      </c>
      <c r="G16894" s="27" t="s">
        <v>20689</v>
      </c>
      <c r="H16894" s="27" t="s">
        <v>2000</v>
      </c>
      <c r="J16894" s="27" t="s">
        <v>2002</v>
      </c>
      <c r="L16894" s="27" t="s">
        <v>357</v>
      </c>
      <c r="N16894" s="27" t="s">
        <v>926</v>
      </c>
      <c r="P16894" s="27" t="s">
        <v>10879</v>
      </c>
      <c r="Q16894" s="26" t="str">
        <f>HYPERLINK("https://ictv.global/taxonomy/taxondetails?taxnode_id=202505076&amp;ictv_id=ICTV19780637","ICTV19780637")</f>
        <v>ICTV19780637</v>
      </c>
      <c r="R16894" t="s">
        <v>579</v>
      </c>
      <c r="S16894" t="s">
        <v>22763</v>
      </c>
      <c r="T16894">
        <v>40</v>
      </c>
      <c r="U16894" s="26" t="str">
        <f t="shared" si="645"/>
        <v>2024.010D.Varidnaviria_reorg.zip</v>
      </c>
    </row>
    <row r="16895" spans="1:21">
      <c r="A16895">
        <v>16894</v>
      </c>
      <c r="B16895" s="27" t="s">
        <v>1980</v>
      </c>
      <c r="D16895" s="27" t="s">
        <v>1981</v>
      </c>
      <c r="F16895" s="27" t="s">
        <v>1998</v>
      </c>
      <c r="G16895" s="27" t="s">
        <v>20689</v>
      </c>
      <c r="H16895" s="27" t="s">
        <v>2000</v>
      </c>
      <c r="J16895" s="27" t="s">
        <v>2002</v>
      </c>
      <c r="L16895" s="27" t="s">
        <v>357</v>
      </c>
      <c r="N16895" s="27" t="s">
        <v>927</v>
      </c>
      <c r="P16895" s="27" t="s">
        <v>10880</v>
      </c>
      <c r="Q16895" s="26" t="str">
        <f>HYPERLINK("https://ictv.global/taxonomy/taxondetails?taxnode_id=202505074&amp;ictv_id=ICTV19790856","ICTV19790856")</f>
        <v>ICTV19790856</v>
      </c>
      <c r="R16895" t="s">
        <v>579</v>
      </c>
      <c r="S16895" t="s">
        <v>22763</v>
      </c>
      <c r="T16895">
        <v>40</v>
      </c>
      <c r="U16895" s="26" t="str">
        <f t="shared" si="645"/>
        <v>2024.010D.Varidnaviria_reorg.zip</v>
      </c>
    </row>
    <row r="16896" spans="1:21">
      <c r="A16896">
        <v>16895</v>
      </c>
      <c r="B16896" s="27" t="s">
        <v>1980</v>
      </c>
      <c r="D16896" s="27" t="s">
        <v>1981</v>
      </c>
      <c r="F16896" s="27" t="s">
        <v>1998</v>
      </c>
      <c r="G16896" s="27" t="s">
        <v>20689</v>
      </c>
      <c r="H16896" s="27" t="s">
        <v>2000</v>
      </c>
      <c r="J16896" s="27" t="s">
        <v>2002</v>
      </c>
      <c r="L16896" s="27" t="s">
        <v>357</v>
      </c>
      <c r="N16896" s="27" t="s">
        <v>927</v>
      </c>
      <c r="P16896" s="27" t="s">
        <v>10881</v>
      </c>
      <c r="Q16896" s="26" t="str">
        <f>HYPERLINK("https://ictv.global/taxonomy/taxondetails?taxnode_id=202505075&amp;ictv_id=ICTV20074674","ICTV20074674")</f>
        <v>ICTV20074674</v>
      </c>
      <c r="R16896" t="s">
        <v>579</v>
      </c>
      <c r="S16896" t="s">
        <v>22763</v>
      </c>
      <c r="T16896">
        <v>40</v>
      </c>
      <c r="U16896" s="26" t="str">
        <f t="shared" si="645"/>
        <v>2024.010D.Varidnaviria_reorg.zip</v>
      </c>
    </row>
    <row r="16897" spans="1:21">
      <c r="A16897">
        <v>16896</v>
      </c>
      <c r="B16897" s="27" t="s">
        <v>1980</v>
      </c>
      <c r="D16897" s="27" t="s">
        <v>1981</v>
      </c>
      <c r="F16897" s="27" t="s">
        <v>1998</v>
      </c>
      <c r="G16897" s="27" t="s">
        <v>20689</v>
      </c>
      <c r="H16897" s="27" t="s">
        <v>2000</v>
      </c>
      <c r="J16897" s="27" t="s">
        <v>2002</v>
      </c>
      <c r="L16897" s="27" t="s">
        <v>357</v>
      </c>
      <c r="N16897" s="27" t="s">
        <v>927</v>
      </c>
      <c r="P16897" s="27" t="s">
        <v>10882</v>
      </c>
      <c r="Q16897" s="26" t="str">
        <f>HYPERLINK("https://ictv.global/taxonomy/taxondetails?taxnode_id=202505995&amp;ictv_id=ICTV20175995","ICTV20175995")</f>
        <v>ICTV20175995</v>
      </c>
      <c r="R16897" t="s">
        <v>579</v>
      </c>
      <c r="S16897" t="s">
        <v>22763</v>
      </c>
      <c r="T16897">
        <v>40</v>
      </c>
      <c r="U16897" s="26" t="str">
        <f t="shared" si="645"/>
        <v>2024.010D.Varidnaviria_reorg.zip</v>
      </c>
    </row>
    <row r="16898" spans="1:21">
      <c r="A16898">
        <v>16897</v>
      </c>
      <c r="B16898" s="27" t="s">
        <v>1980</v>
      </c>
      <c r="D16898" s="27" t="s">
        <v>1981</v>
      </c>
      <c r="F16898" s="27" t="s">
        <v>1998</v>
      </c>
      <c r="G16898" s="27" t="s">
        <v>20689</v>
      </c>
      <c r="H16898" s="27" t="s">
        <v>2000</v>
      </c>
      <c r="J16898" s="27" t="s">
        <v>2002</v>
      </c>
      <c r="L16898" s="27" t="s">
        <v>357</v>
      </c>
      <c r="N16898" s="27" t="s">
        <v>927</v>
      </c>
      <c r="P16898" s="27" t="s">
        <v>10883</v>
      </c>
      <c r="Q16898" s="26" t="str">
        <f>HYPERLINK("https://ictv.global/taxonomy/taxondetails?taxnode_id=202513210&amp;ictv_id=ICTV202113210","ICTV202113210")</f>
        <v>ICTV202113210</v>
      </c>
      <c r="R16898" t="s">
        <v>579</v>
      </c>
      <c r="S16898" t="s">
        <v>22763</v>
      </c>
      <c r="T16898">
        <v>40</v>
      </c>
      <c r="U16898" s="26" t="str">
        <f t="shared" si="645"/>
        <v>2024.010D.Varidnaviria_reorg.zip</v>
      </c>
    </row>
    <row r="16899" spans="1:21">
      <c r="A16899">
        <v>16898</v>
      </c>
      <c r="B16899" s="27" t="s">
        <v>1980</v>
      </c>
      <c r="D16899" s="27" t="s">
        <v>1981</v>
      </c>
      <c r="F16899" s="27" t="s">
        <v>1998</v>
      </c>
      <c r="G16899" s="27" t="s">
        <v>20689</v>
      </c>
      <c r="H16899" s="27" t="s">
        <v>2000</v>
      </c>
      <c r="J16899" s="27" t="s">
        <v>2002</v>
      </c>
      <c r="L16899" s="27" t="s">
        <v>357</v>
      </c>
      <c r="N16899" s="27" t="s">
        <v>927</v>
      </c>
      <c r="P16899" s="27" t="s">
        <v>10884</v>
      </c>
      <c r="Q16899" s="26" t="str">
        <f>HYPERLINK("https://ictv.global/taxonomy/taxondetails?taxnode_id=202513211&amp;ictv_id=ICTV202113211","ICTV202113211")</f>
        <v>ICTV202113211</v>
      </c>
      <c r="R16899" t="s">
        <v>579</v>
      </c>
      <c r="S16899" t="s">
        <v>22763</v>
      </c>
      <c r="T16899">
        <v>40</v>
      </c>
      <c r="U16899" s="26" t="str">
        <f t="shared" si="645"/>
        <v>2024.010D.Varidnaviria_reorg.zip</v>
      </c>
    </row>
    <row r="16900" spans="1:21">
      <c r="A16900">
        <v>16899</v>
      </c>
      <c r="B16900" s="27" t="s">
        <v>1980</v>
      </c>
      <c r="D16900" s="27" t="s">
        <v>1981</v>
      </c>
      <c r="F16900" s="27" t="s">
        <v>1998</v>
      </c>
      <c r="G16900" s="27" t="s">
        <v>20689</v>
      </c>
      <c r="H16900" s="27" t="s">
        <v>2000</v>
      </c>
      <c r="J16900" s="27" t="s">
        <v>2002</v>
      </c>
      <c r="L16900" s="27" t="s">
        <v>357</v>
      </c>
      <c r="N16900" s="27" t="s">
        <v>927</v>
      </c>
      <c r="P16900" s="27" t="s">
        <v>10885</v>
      </c>
      <c r="Q16900" s="26" t="str">
        <f>HYPERLINK("https://ictv.global/taxonomy/taxondetails?taxnode_id=202505996&amp;ictv_id=ICTV20175996","ICTV20175996")</f>
        <v>ICTV20175996</v>
      </c>
      <c r="R16900" t="s">
        <v>579</v>
      </c>
      <c r="S16900" t="s">
        <v>22763</v>
      </c>
      <c r="T16900">
        <v>40</v>
      </c>
      <c r="U16900" s="26" t="str">
        <f t="shared" si="645"/>
        <v>2024.010D.Varidnaviria_reorg.zip</v>
      </c>
    </row>
    <row r="16901" spans="1:21">
      <c r="A16901">
        <v>16900</v>
      </c>
      <c r="B16901" s="27" t="s">
        <v>1980</v>
      </c>
      <c r="D16901" s="27" t="s">
        <v>1981</v>
      </c>
      <c r="F16901" s="27" t="s">
        <v>1998</v>
      </c>
      <c r="G16901" s="27" t="s">
        <v>20689</v>
      </c>
      <c r="H16901" s="27" t="s">
        <v>2000</v>
      </c>
      <c r="J16901" s="27" t="s">
        <v>2002</v>
      </c>
      <c r="L16901" s="27" t="s">
        <v>357</v>
      </c>
      <c r="N16901" s="27" t="s">
        <v>3634</v>
      </c>
      <c r="P16901" s="27" t="s">
        <v>10886</v>
      </c>
      <c r="Q16901" s="26" t="str">
        <f>HYPERLINK("https://ictv.global/taxonomy/taxondetails?taxnode_id=202509932&amp;ictv_id=ICTV202009932","ICTV202009932")</f>
        <v>ICTV202009932</v>
      </c>
      <c r="R16901" t="s">
        <v>579</v>
      </c>
      <c r="S16901" t="s">
        <v>22763</v>
      </c>
      <c r="T16901">
        <v>40</v>
      </c>
      <c r="U16901" s="26" t="str">
        <f t="shared" si="645"/>
        <v>2024.010D.Varidnaviria_reorg.zip</v>
      </c>
    </row>
    <row r="16902" spans="1:21">
      <c r="A16902">
        <v>16901</v>
      </c>
      <c r="B16902" s="27" t="s">
        <v>1980</v>
      </c>
      <c r="D16902" s="27" t="s">
        <v>1981</v>
      </c>
      <c r="F16902" s="27" t="s">
        <v>1998</v>
      </c>
      <c r="G16902" s="27" t="s">
        <v>20689</v>
      </c>
      <c r="H16902" s="27" t="s">
        <v>2000</v>
      </c>
      <c r="J16902" s="27" t="s">
        <v>2002</v>
      </c>
      <c r="L16902" s="27" t="s">
        <v>357</v>
      </c>
      <c r="N16902" s="27" t="s">
        <v>3634</v>
      </c>
      <c r="P16902" s="27" t="s">
        <v>10887</v>
      </c>
      <c r="Q16902" s="26" t="str">
        <f>HYPERLINK("https://ictv.global/taxonomy/taxondetails?taxnode_id=202509931&amp;ictv_id=ICTV202009931","ICTV202009931")</f>
        <v>ICTV202009931</v>
      </c>
      <c r="R16902" t="s">
        <v>579</v>
      </c>
      <c r="S16902" t="s">
        <v>22763</v>
      </c>
      <c r="T16902">
        <v>40</v>
      </c>
      <c r="U16902" s="26" t="str">
        <f t="shared" si="645"/>
        <v>2024.010D.Varidnaviria_reorg.zip</v>
      </c>
    </row>
    <row r="16903" spans="1:21">
      <c r="A16903">
        <v>16902</v>
      </c>
      <c r="B16903" s="27" t="s">
        <v>1980</v>
      </c>
      <c r="D16903" s="27" t="s">
        <v>1981</v>
      </c>
      <c r="F16903" s="27" t="s">
        <v>1998</v>
      </c>
      <c r="G16903" s="27" t="s">
        <v>20689</v>
      </c>
      <c r="H16903" s="27" t="s">
        <v>2000</v>
      </c>
      <c r="J16903" s="27" t="s">
        <v>2002</v>
      </c>
      <c r="L16903" s="27" t="s">
        <v>357</v>
      </c>
      <c r="N16903" s="27" t="s">
        <v>3635</v>
      </c>
      <c r="P16903" s="27" t="s">
        <v>10888</v>
      </c>
      <c r="Q16903" s="26" t="str">
        <f>HYPERLINK("https://ictv.global/taxonomy/taxondetails?taxnode_id=202509934&amp;ictv_id=ICTV202009934","ICTV202009934")</f>
        <v>ICTV202009934</v>
      </c>
      <c r="R16903" t="s">
        <v>579</v>
      </c>
      <c r="S16903" t="s">
        <v>22763</v>
      </c>
      <c r="T16903">
        <v>40</v>
      </c>
      <c r="U16903" s="26" t="str">
        <f t="shared" si="645"/>
        <v>2024.010D.Varidnaviria_reorg.zip</v>
      </c>
    </row>
    <row r="16904" spans="1:21">
      <c r="A16904">
        <v>16903</v>
      </c>
      <c r="B16904" s="27" t="s">
        <v>1980</v>
      </c>
      <c r="D16904" s="27" t="s">
        <v>1981</v>
      </c>
      <c r="F16904" s="27" t="s">
        <v>1998</v>
      </c>
      <c r="G16904" s="27" t="s">
        <v>20689</v>
      </c>
      <c r="H16904" s="27" t="s">
        <v>2000</v>
      </c>
      <c r="J16904" s="27" t="s">
        <v>2002</v>
      </c>
      <c r="L16904" s="27" t="s">
        <v>357</v>
      </c>
      <c r="N16904" s="27" t="s">
        <v>1447</v>
      </c>
      <c r="P16904" s="27" t="s">
        <v>10889</v>
      </c>
      <c r="Q16904" s="26" t="str">
        <f>HYPERLINK("https://ictv.global/taxonomy/taxondetails?taxnode_id=202506875&amp;ictv_id=ICTV201856875","ICTV201856875")</f>
        <v>ICTV201856875</v>
      </c>
      <c r="R16904" t="s">
        <v>579</v>
      </c>
      <c r="S16904" t="s">
        <v>22763</v>
      </c>
      <c r="T16904">
        <v>40</v>
      </c>
      <c r="U16904" s="26" t="str">
        <f t="shared" si="645"/>
        <v>2024.010D.Varidnaviria_reorg.zip</v>
      </c>
    </row>
    <row r="16905" spans="1:21">
      <c r="A16905">
        <v>16904</v>
      </c>
      <c r="B16905" s="27" t="s">
        <v>20809</v>
      </c>
      <c r="D16905" s="27" t="s">
        <v>1824</v>
      </c>
      <c r="F16905" s="27" t="s">
        <v>1825</v>
      </c>
      <c r="H16905" s="27" t="s">
        <v>20810</v>
      </c>
      <c r="J16905" s="27" t="s">
        <v>22128</v>
      </c>
      <c r="L16905" s="27" t="s">
        <v>22129</v>
      </c>
      <c r="N16905" s="27" t="s">
        <v>22130</v>
      </c>
      <c r="P16905" s="27" t="s">
        <v>22131</v>
      </c>
      <c r="Q16905" s="26" t="str">
        <f>HYPERLINK("https://ictv.global/taxonomy/taxondetails?taxnode_id=202522920&amp;ictv_id=ICTV202522920","ICTV202522920")</f>
        <v>ICTV202522920</v>
      </c>
      <c r="R16905" t="s">
        <v>664</v>
      </c>
      <c r="S16905" t="s">
        <v>823</v>
      </c>
      <c r="T16905">
        <v>41</v>
      </c>
      <c r="U16905" s="26" t="str">
        <f t="shared" ref="U16905:U16936" si="646">HYPERLINK("https://ictv.global/ictv/proposals/2025.043B.Microviricetes_reorg.zip","2025.043B.Microviricetes_reorg.zip")</f>
        <v>2025.043B.Microviricetes_reorg.zip</v>
      </c>
    </row>
    <row r="16906" spans="1:21">
      <c r="A16906">
        <v>16905</v>
      </c>
      <c r="B16906" s="27" t="s">
        <v>20809</v>
      </c>
      <c r="D16906" s="27" t="s">
        <v>1824</v>
      </c>
      <c r="F16906" s="27" t="s">
        <v>1825</v>
      </c>
      <c r="H16906" s="27" t="s">
        <v>20810</v>
      </c>
      <c r="J16906" s="27" t="s">
        <v>22128</v>
      </c>
      <c r="L16906" s="27" t="s">
        <v>22129</v>
      </c>
      <c r="N16906" s="27" t="s">
        <v>22132</v>
      </c>
      <c r="P16906" s="27" t="s">
        <v>22133</v>
      </c>
      <c r="Q16906" s="26" t="str">
        <f>HYPERLINK("https://ictv.global/taxonomy/taxondetails?taxnode_id=202522921&amp;ictv_id=ICTV202522921","ICTV202522921")</f>
        <v>ICTV202522921</v>
      </c>
      <c r="R16906" t="s">
        <v>664</v>
      </c>
      <c r="S16906" t="s">
        <v>823</v>
      </c>
      <c r="T16906">
        <v>41</v>
      </c>
      <c r="U16906" s="26" t="str">
        <f t="shared" si="646"/>
        <v>2025.043B.Microviricetes_reorg.zip</v>
      </c>
    </row>
    <row r="16907" spans="1:21">
      <c r="A16907">
        <v>16906</v>
      </c>
      <c r="B16907" s="27" t="s">
        <v>20809</v>
      </c>
      <c r="D16907" s="27" t="s">
        <v>1824</v>
      </c>
      <c r="F16907" s="27" t="s">
        <v>1825</v>
      </c>
      <c r="H16907" s="27" t="s">
        <v>20810</v>
      </c>
      <c r="J16907" s="27" t="s">
        <v>22128</v>
      </c>
      <c r="L16907" s="27" t="s">
        <v>22129</v>
      </c>
      <c r="N16907" s="27" t="s">
        <v>22134</v>
      </c>
      <c r="P16907" s="27" t="s">
        <v>22135</v>
      </c>
      <c r="Q16907" s="26" t="str">
        <f>HYPERLINK("https://ictv.global/taxonomy/taxondetails?taxnode_id=202522922&amp;ictv_id=ICTV202522922","ICTV202522922")</f>
        <v>ICTV202522922</v>
      </c>
      <c r="R16907" t="s">
        <v>664</v>
      </c>
      <c r="S16907" t="s">
        <v>823</v>
      </c>
      <c r="T16907">
        <v>41</v>
      </c>
      <c r="U16907" s="26" t="str">
        <f t="shared" si="646"/>
        <v>2025.043B.Microviricetes_reorg.zip</v>
      </c>
    </row>
    <row r="16908" spans="1:21">
      <c r="A16908">
        <v>16907</v>
      </c>
      <c r="B16908" s="27" t="s">
        <v>20809</v>
      </c>
      <c r="D16908" s="27" t="s">
        <v>1824</v>
      </c>
      <c r="F16908" s="27" t="s">
        <v>1825</v>
      </c>
      <c r="H16908" s="27" t="s">
        <v>20810</v>
      </c>
      <c r="J16908" s="27" t="s">
        <v>22128</v>
      </c>
      <c r="L16908" s="27" t="s">
        <v>22136</v>
      </c>
      <c r="N16908" s="27" t="s">
        <v>22137</v>
      </c>
      <c r="P16908" s="27" t="s">
        <v>22138</v>
      </c>
      <c r="Q16908" s="26" t="str">
        <f>HYPERLINK("https://ictv.global/taxonomy/taxondetails?taxnode_id=202522923&amp;ictv_id=ICTV202522923","ICTV202522923")</f>
        <v>ICTV202522923</v>
      </c>
      <c r="R16908" t="s">
        <v>664</v>
      </c>
      <c r="S16908" t="s">
        <v>823</v>
      </c>
      <c r="T16908">
        <v>41</v>
      </c>
      <c r="U16908" s="26" t="str">
        <f t="shared" si="646"/>
        <v>2025.043B.Microviricetes_reorg.zip</v>
      </c>
    </row>
    <row r="16909" spans="1:21">
      <c r="A16909">
        <v>16908</v>
      </c>
      <c r="B16909" s="27" t="s">
        <v>20809</v>
      </c>
      <c r="D16909" s="27" t="s">
        <v>1824</v>
      </c>
      <c r="F16909" s="27" t="s">
        <v>1825</v>
      </c>
      <c r="H16909" s="27" t="s">
        <v>20810</v>
      </c>
      <c r="J16909" s="27" t="s">
        <v>22128</v>
      </c>
      <c r="L16909" s="27" t="s">
        <v>22136</v>
      </c>
      <c r="N16909" s="27" t="s">
        <v>22139</v>
      </c>
      <c r="P16909" s="27" t="s">
        <v>22140</v>
      </c>
      <c r="Q16909" s="26" t="str">
        <f>HYPERLINK("https://ictv.global/taxonomy/taxondetails?taxnode_id=202522924&amp;ictv_id=ICTV202522924","ICTV202522924")</f>
        <v>ICTV202522924</v>
      </c>
      <c r="R16909" t="s">
        <v>664</v>
      </c>
      <c r="S16909" t="s">
        <v>823</v>
      </c>
      <c r="T16909">
        <v>41</v>
      </c>
      <c r="U16909" s="26" t="str">
        <f t="shared" si="646"/>
        <v>2025.043B.Microviricetes_reorg.zip</v>
      </c>
    </row>
    <row r="16910" spans="1:21">
      <c r="A16910">
        <v>16909</v>
      </c>
      <c r="B16910" s="27" t="s">
        <v>20809</v>
      </c>
      <c r="D16910" s="27" t="s">
        <v>1824</v>
      </c>
      <c r="F16910" s="27" t="s">
        <v>1825</v>
      </c>
      <c r="H16910" s="27" t="s">
        <v>20810</v>
      </c>
      <c r="J16910" s="27" t="s">
        <v>22128</v>
      </c>
      <c r="L16910" s="27" t="s">
        <v>22136</v>
      </c>
      <c r="N16910" s="27" t="s">
        <v>22141</v>
      </c>
      <c r="P16910" s="27" t="s">
        <v>22142</v>
      </c>
      <c r="Q16910" s="26" t="str">
        <f>HYPERLINK("https://ictv.global/taxonomy/taxondetails?taxnode_id=202522925&amp;ictv_id=ICTV202522925","ICTV202522925")</f>
        <v>ICTV202522925</v>
      </c>
      <c r="R16910" t="s">
        <v>664</v>
      </c>
      <c r="S16910" t="s">
        <v>823</v>
      </c>
      <c r="T16910">
        <v>41</v>
      </c>
      <c r="U16910" s="26" t="str">
        <f t="shared" si="646"/>
        <v>2025.043B.Microviricetes_reorg.zip</v>
      </c>
    </row>
    <row r="16911" spans="1:21">
      <c r="A16911">
        <v>16910</v>
      </c>
      <c r="B16911" s="27" t="s">
        <v>20809</v>
      </c>
      <c r="D16911" s="27" t="s">
        <v>1824</v>
      </c>
      <c r="F16911" s="27" t="s">
        <v>1825</v>
      </c>
      <c r="H16911" s="27" t="s">
        <v>20810</v>
      </c>
      <c r="J16911" s="27" t="s">
        <v>22128</v>
      </c>
      <c r="L16911" s="27" t="s">
        <v>22136</v>
      </c>
      <c r="N16911" s="27" t="s">
        <v>22143</v>
      </c>
      <c r="P16911" s="27" t="s">
        <v>22144</v>
      </c>
      <c r="Q16911" s="26" t="str">
        <f>HYPERLINK("https://ictv.global/taxonomy/taxondetails?taxnode_id=202522926&amp;ictv_id=ICTV202522926","ICTV202522926")</f>
        <v>ICTV202522926</v>
      </c>
      <c r="R16911" t="s">
        <v>664</v>
      </c>
      <c r="S16911" t="s">
        <v>823</v>
      </c>
      <c r="T16911">
        <v>41</v>
      </c>
      <c r="U16911" s="26" t="str">
        <f t="shared" si="646"/>
        <v>2025.043B.Microviricetes_reorg.zip</v>
      </c>
    </row>
    <row r="16912" spans="1:21">
      <c r="A16912">
        <v>16911</v>
      </c>
      <c r="B16912" s="27" t="s">
        <v>20809</v>
      </c>
      <c r="D16912" s="27" t="s">
        <v>1824</v>
      </c>
      <c r="F16912" s="27" t="s">
        <v>1825</v>
      </c>
      <c r="H16912" s="27" t="s">
        <v>20810</v>
      </c>
      <c r="J16912" s="27" t="s">
        <v>22128</v>
      </c>
      <c r="L16912" s="27" t="s">
        <v>22136</v>
      </c>
      <c r="N16912" s="27" t="s">
        <v>22145</v>
      </c>
      <c r="P16912" s="27" t="s">
        <v>22146</v>
      </c>
      <c r="Q16912" s="26" t="str">
        <f>HYPERLINK("https://ictv.global/taxonomy/taxondetails?taxnode_id=202522927&amp;ictv_id=ICTV202522927","ICTV202522927")</f>
        <v>ICTV202522927</v>
      </c>
      <c r="R16912" t="s">
        <v>664</v>
      </c>
      <c r="S16912" t="s">
        <v>823</v>
      </c>
      <c r="T16912">
        <v>41</v>
      </c>
      <c r="U16912" s="26" t="str">
        <f t="shared" si="646"/>
        <v>2025.043B.Microviricetes_reorg.zip</v>
      </c>
    </row>
    <row r="16913" spans="1:21">
      <c r="A16913">
        <v>16912</v>
      </c>
      <c r="B16913" s="27" t="s">
        <v>20809</v>
      </c>
      <c r="D16913" s="27" t="s">
        <v>1824</v>
      </c>
      <c r="F16913" s="27" t="s">
        <v>1825</v>
      </c>
      <c r="H16913" s="27" t="s">
        <v>20810</v>
      </c>
      <c r="J16913" s="27" t="s">
        <v>22128</v>
      </c>
      <c r="L16913" s="27" t="s">
        <v>22136</v>
      </c>
      <c r="N16913" s="27" t="s">
        <v>22147</v>
      </c>
      <c r="P16913" s="27" t="s">
        <v>22148</v>
      </c>
      <c r="Q16913" s="26" t="str">
        <f>HYPERLINK("https://ictv.global/taxonomy/taxondetails?taxnode_id=202522928&amp;ictv_id=ICTV202522928","ICTV202522928")</f>
        <v>ICTV202522928</v>
      </c>
      <c r="R16913" t="s">
        <v>664</v>
      </c>
      <c r="S16913" t="s">
        <v>823</v>
      </c>
      <c r="T16913">
        <v>41</v>
      </c>
      <c r="U16913" s="26" t="str">
        <f t="shared" si="646"/>
        <v>2025.043B.Microviricetes_reorg.zip</v>
      </c>
    </row>
    <row r="16914" spans="1:21">
      <c r="A16914">
        <v>16913</v>
      </c>
      <c r="B16914" s="27" t="s">
        <v>20809</v>
      </c>
      <c r="D16914" s="27" t="s">
        <v>1824</v>
      </c>
      <c r="F16914" s="27" t="s">
        <v>1825</v>
      </c>
      <c r="H16914" s="27" t="s">
        <v>20810</v>
      </c>
      <c r="J16914" s="27" t="s">
        <v>22128</v>
      </c>
      <c r="L16914" s="27" t="s">
        <v>22136</v>
      </c>
      <c r="N16914" s="27" t="s">
        <v>22149</v>
      </c>
      <c r="P16914" s="27" t="s">
        <v>22150</v>
      </c>
      <c r="Q16914" s="26" t="str">
        <f>HYPERLINK("https://ictv.global/taxonomy/taxondetails?taxnode_id=202522929&amp;ictv_id=ICTV202522929","ICTV202522929")</f>
        <v>ICTV202522929</v>
      </c>
      <c r="R16914" t="s">
        <v>664</v>
      </c>
      <c r="S16914" t="s">
        <v>823</v>
      </c>
      <c r="T16914">
        <v>41</v>
      </c>
      <c r="U16914" s="26" t="str">
        <f t="shared" si="646"/>
        <v>2025.043B.Microviricetes_reorg.zip</v>
      </c>
    </row>
    <row r="16915" spans="1:21">
      <c r="A16915">
        <v>16914</v>
      </c>
      <c r="B16915" s="27" t="s">
        <v>20809</v>
      </c>
      <c r="D16915" s="27" t="s">
        <v>1824</v>
      </c>
      <c r="F16915" s="27" t="s">
        <v>1825</v>
      </c>
      <c r="H16915" s="27" t="s">
        <v>20810</v>
      </c>
      <c r="J16915" s="27" t="s">
        <v>22128</v>
      </c>
      <c r="L16915" s="27" t="s">
        <v>22136</v>
      </c>
      <c r="N16915" s="27" t="s">
        <v>22151</v>
      </c>
      <c r="P16915" s="27" t="s">
        <v>22152</v>
      </c>
      <c r="Q16915" s="26" t="str">
        <f>HYPERLINK("https://ictv.global/taxonomy/taxondetails?taxnode_id=202522930&amp;ictv_id=ICTV202522930","ICTV202522930")</f>
        <v>ICTV202522930</v>
      </c>
      <c r="R16915" t="s">
        <v>664</v>
      </c>
      <c r="S16915" t="s">
        <v>823</v>
      </c>
      <c r="T16915">
        <v>41</v>
      </c>
      <c r="U16915" s="26" t="str">
        <f t="shared" si="646"/>
        <v>2025.043B.Microviricetes_reorg.zip</v>
      </c>
    </row>
    <row r="16916" spans="1:21">
      <c r="A16916">
        <v>16915</v>
      </c>
      <c r="B16916" s="27" t="s">
        <v>20809</v>
      </c>
      <c r="D16916" s="27" t="s">
        <v>1824</v>
      </c>
      <c r="F16916" s="27" t="s">
        <v>1825</v>
      </c>
      <c r="H16916" s="27" t="s">
        <v>20810</v>
      </c>
      <c r="J16916" s="27" t="s">
        <v>22128</v>
      </c>
      <c r="L16916" s="27" t="s">
        <v>22153</v>
      </c>
      <c r="N16916" s="27" t="s">
        <v>22154</v>
      </c>
      <c r="P16916" s="27" t="s">
        <v>22155</v>
      </c>
      <c r="Q16916" s="26" t="str">
        <f>HYPERLINK("https://ictv.global/taxonomy/taxondetails?taxnode_id=202522931&amp;ictv_id=ICTV202522931","ICTV202522931")</f>
        <v>ICTV202522931</v>
      </c>
      <c r="R16916" t="s">
        <v>664</v>
      </c>
      <c r="S16916" t="s">
        <v>823</v>
      </c>
      <c r="T16916">
        <v>41</v>
      </c>
      <c r="U16916" s="26" t="str">
        <f t="shared" si="646"/>
        <v>2025.043B.Microviricetes_reorg.zip</v>
      </c>
    </row>
    <row r="16917" spans="1:21">
      <c r="A16917">
        <v>16916</v>
      </c>
      <c r="B16917" s="27" t="s">
        <v>20809</v>
      </c>
      <c r="D16917" s="27" t="s">
        <v>1824</v>
      </c>
      <c r="F16917" s="27" t="s">
        <v>1825</v>
      </c>
      <c r="H16917" s="27" t="s">
        <v>20810</v>
      </c>
      <c r="J16917" s="27" t="s">
        <v>22128</v>
      </c>
      <c r="L16917" s="27" t="s">
        <v>22153</v>
      </c>
      <c r="N16917" s="27" t="s">
        <v>22156</v>
      </c>
      <c r="P16917" s="27" t="s">
        <v>22157</v>
      </c>
      <c r="Q16917" s="26" t="str">
        <f>HYPERLINK("https://ictv.global/taxonomy/taxondetails?taxnode_id=202522932&amp;ictv_id=ICTV202522932","ICTV202522932")</f>
        <v>ICTV202522932</v>
      </c>
      <c r="R16917" t="s">
        <v>664</v>
      </c>
      <c r="S16917" t="s">
        <v>823</v>
      </c>
      <c r="T16917">
        <v>41</v>
      </c>
      <c r="U16917" s="26" t="str">
        <f t="shared" si="646"/>
        <v>2025.043B.Microviricetes_reorg.zip</v>
      </c>
    </row>
    <row r="16918" spans="1:21">
      <c r="A16918">
        <v>16917</v>
      </c>
      <c r="B16918" s="27" t="s">
        <v>20809</v>
      </c>
      <c r="D16918" s="27" t="s">
        <v>1824</v>
      </c>
      <c r="F16918" s="27" t="s">
        <v>1825</v>
      </c>
      <c r="H16918" s="27" t="s">
        <v>20810</v>
      </c>
      <c r="J16918" s="27" t="s">
        <v>22128</v>
      </c>
      <c r="L16918" s="27" t="s">
        <v>22153</v>
      </c>
      <c r="N16918" s="27" t="s">
        <v>22158</v>
      </c>
      <c r="P16918" s="27" t="s">
        <v>22159</v>
      </c>
      <c r="Q16918" s="26" t="str">
        <f>HYPERLINK("https://ictv.global/taxonomy/taxondetails?taxnode_id=202522933&amp;ictv_id=ICTV202522933","ICTV202522933")</f>
        <v>ICTV202522933</v>
      </c>
      <c r="R16918" t="s">
        <v>664</v>
      </c>
      <c r="S16918" t="s">
        <v>823</v>
      </c>
      <c r="T16918">
        <v>41</v>
      </c>
      <c r="U16918" s="26" t="str">
        <f t="shared" si="646"/>
        <v>2025.043B.Microviricetes_reorg.zip</v>
      </c>
    </row>
    <row r="16919" spans="1:21">
      <c r="A16919">
        <v>16918</v>
      </c>
      <c r="B16919" s="27" t="s">
        <v>20809</v>
      </c>
      <c r="D16919" s="27" t="s">
        <v>1824</v>
      </c>
      <c r="F16919" s="27" t="s">
        <v>1825</v>
      </c>
      <c r="H16919" s="27" t="s">
        <v>20810</v>
      </c>
      <c r="J16919" s="27" t="s">
        <v>22128</v>
      </c>
      <c r="L16919" s="27" t="s">
        <v>22153</v>
      </c>
      <c r="N16919" s="27" t="s">
        <v>22160</v>
      </c>
      <c r="P16919" s="27" t="s">
        <v>22161</v>
      </c>
      <c r="Q16919" s="26" t="str">
        <f>HYPERLINK("https://ictv.global/taxonomy/taxondetails?taxnode_id=202522934&amp;ictv_id=ICTV202522934","ICTV202522934")</f>
        <v>ICTV202522934</v>
      </c>
      <c r="R16919" t="s">
        <v>664</v>
      </c>
      <c r="S16919" t="s">
        <v>823</v>
      </c>
      <c r="T16919">
        <v>41</v>
      </c>
      <c r="U16919" s="26" t="str">
        <f t="shared" si="646"/>
        <v>2025.043B.Microviricetes_reorg.zip</v>
      </c>
    </row>
    <row r="16920" spans="1:21">
      <c r="A16920">
        <v>16919</v>
      </c>
      <c r="B16920" s="27" t="s">
        <v>20809</v>
      </c>
      <c r="D16920" s="27" t="s">
        <v>1824</v>
      </c>
      <c r="F16920" s="27" t="s">
        <v>1825</v>
      </c>
      <c r="H16920" s="27" t="s">
        <v>20810</v>
      </c>
      <c r="J16920" s="27" t="s">
        <v>22128</v>
      </c>
      <c r="L16920" s="27" t="s">
        <v>22153</v>
      </c>
      <c r="N16920" s="27" t="s">
        <v>22162</v>
      </c>
      <c r="P16920" s="27" t="s">
        <v>22163</v>
      </c>
      <c r="Q16920" s="26" t="str">
        <f>HYPERLINK("https://ictv.global/taxonomy/taxondetails?taxnode_id=202522935&amp;ictv_id=ICTV202522935","ICTV202522935")</f>
        <v>ICTV202522935</v>
      </c>
      <c r="R16920" t="s">
        <v>664</v>
      </c>
      <c r="S16920" t="s">
        <v>823</v>
      </c>
      <c r="T16920">
        <v>41</v>
      </c>
      <c r="U16920" s="26" t="str">
        <f t="shared" si="646"/>
        <v>2025.043B.Microviricetes_reorg.zip</v>
      </c>
    </row>
    <row r="16921" spans="1:21">
      <c r="A16921">
        <v>16920</v>
      </c>
      <c r="B16921" s="27" t="s">
        <v>20809</v>
      </c>
      <c r="D16921" s="27" t="s">
        <v>1824</v>
      </c>
      <c r="F16921" s="27" t="s">
        <v>1825</v>
      </c>
      <c r="H16921" s="27" t="s">
        <v>20810</v>
      </c>
      <c r="J16921" s="27" t="s">
        <v>22128</v>
      </c>
      <c r="L16921" s="27" t="s">
        <v>22164</v>
      </c>
      <c r="N16921" s="27" t="s">
        <v>22165</v>
      </c>
      <c r="P16921" s="27" t="s">
        <v>22166</v>
      </c>
      <c r="Q16921" s="26" t="str">
        <f>HYPERLINK("https://ictv.global/taxonomy/taxondetails?taxnode_id=202522936&amp;ictv_id=ICTV202522936","ICTV202522936")</f>
        <v>ICTV202522936</v>
      </c>
      <c r="R16921" t="s">
        <v>664</v>
      </c>
      <c r="S16921" t="s">
        <v>823</v>
      </c>
      <c r="T16921">
        <v>41</v>
      </c>
      <c r="U16921" s="26" t="str">
        <f t="shared" si="646"/>
        <v>2025.043B.Microviricetes_reorg.zip</v>
      </c>
    </row>
    <row r="16922" spans="1:21">
      <c r="A16922">
        <v>16921</v>
      </c>
      <c r="B16922" s="27" t="s">
        <v>20809</v>
      </c>
      <c r="D16922" s="27" t="s">
        <v>1824</v>
      </c>
      <c r="F16922" s="27" t="s">
        <v>1825</v>
      </c>
      <c r="H16922" s="27" t="s">
        <v>20810</v>
      </c>
      <c r="J16922" s="27" t="s">
        <v>22128</v>
      </c>
      <c r="L16922" s="27" t="s">
        <v>22164</v>
      </c>
      <c r="N16922" s="27" t="s">
        <v>22167</v>
      </c>
      <c r="P16922" s="27" t="s">
        <v>22168</v>
      </c>
      <c r="Q16922" s="26" t="str">
        <f>HYPERLINK("https://ictv.global/taxonomy/taxondetails?taxnode_id=202522937&amp;ictv_id=ICTV202522937","ICTV202522937")</f>
        <v>ICTV202522937</v>
      </c>
      <c r="R16922" t="s">
        <v>664</v>
      </c>
      <c r="S16922" t="s">
        <v>823</v>
      </c>
      <c r="T16922">
        <v>41</v>
      </c>
      <c r="U16922" s="26" t="str">
        <f t="shared" si="646"/>
        <v>2025.043B.Microviricetes_reorg.zip</v>
      </c>
    </row>
    <row r="16923" spans="1:21">
      <c r="A16923">
        <v>16922</v>
      </c>
      <c r="B16923" s="27" t="s">
        <v>20809</v>
      </c>
      <c r="D16923" s="27" t="s">
        <v>1824</v>
      </c>
      <c r="F16923" s="27" t="s">
        <v>1825</v>
      </c>
      <c r="H16923" s="27" t="s">
        <v>20810</v>
      </c>
      <c r="J16923" s="27" t="s">
        <v>22128</v>
      </c>
      <c r="L16923" s="27" t="s">
        <v>22164</v>
      </c>
      <c r="N16923" s="27" t="s">
        <v>22169</v>
      </c>
      <c r="P16923" s="27" t="s">
        <v>22170</v>
      </c>
      <c r="Q16923" s="26" t="str">
        <f>HYPERLINK("https://ictv.global/taxonomy/taxondetails?taxnode_id=202522938&amp;ictv_id=ICTV202522938","ICTV202522938")</f>
        <v>ICTV202522938</v>
      </c>
      <c r="R16923" t="s">
        <v>664</v>
      </c>
      <c r="S16923" t="s">
        <v>823</v>
      </c>
      <c r="T16923">
        <v>41</v>
      </c>
      <c r="U16923" s="26" t="str">
        <f t="shared" si="646"/>
        <v>2025.043B.Microviricetes_reorg.zip</v>
      </c>
    </row>
    <row r="16924" spans="1:21">
      <c r="A16924">
        <v>16923</v>
      </c>
      <c r="B16924" s="27" t="s">
        <v>20809</v>
      </c>
      <c r="D16924" s="27" t="s">
        <v>1824</v>
      </c>
      <c r="F16924" s="27" t="s">
        <v>1825</v>
      </c>
      <c r="H16924" s="27" t="s">
        <v>20810</v>
      </c>
      <c r="J16924" s="27" t="s">
        <v>22128</v>
      </c>
      <c r="L16924" s="27" t="s">
        <v>22164</v>
      </c>
      <c r="N16924" s="27" t="s">
        <v>22171</v>
      </c>
      <c r="P16924" s="27" t="s">
        <v>22172</v>
      </c>
      <c r="Q16924" s="26" t="str">
        <f>HYPERLINK("https://ictv.global/taxonomy/taxondetails?taxnode_id=202522939&amp;ictv_id=ICTV202522939","ICTV202522939")</f>
        <v>ICTV202522939</v>
      </c>
      <c r="R16924" t="s">
        <v>664</v>
      </c>
      <c r="S16924" t="s">
        <v>823</v>
      </c>
      <c r="T16924">
        <v>41</v>
      </c>
      <c r="U16924" s="26" t="str">
        <f t="shared" si="646"/>
        <v>2025.043B.Microviricetes_reorg.zip</v>
      </c>
    </row>
    <row r="16925" spans="1:21">
      <c r="A16925">
        <v>16924</v>
      </c>
      <c r="B16925" s="27" t="s">
        <v>20809</v>
      </c>
      <c r="D16925" s="27" t="s">
        <v>1824</v>
      </c>
      <c r="F16925" s="27" t="s">
        <v>1825</v>
      </c>
      <c r="H16925" s="27" t="s">
        <v>20810</v>
      </c>
      <c r="J16925" s="27" t="s">
        <v>22128</v>
      </c>
      <c r="L16925" s="27" t="s">
        <v>22173</v>
      </c>
      <c r="N16925" s="27" t="s">
        <v>22174</v>
      </c>
      <c r="P16925" s="27" t="s">
        <v>22175</v>
      </c>
      <c r="Q16925" s="26" t="str">
        <f>HYPERLINK("https://ictv.global/taxonomy/taxondetails?taxnode_id=202522940&amp;ictv_id=ICTV202522940","ICTV202522940")</f>
        <v>ICTV202522940</v>
      </c>
      <c r="R16925" t="s">
        <v>664</v>
      </c>
      <c r="S16925" t="s">
        <v>823</v>
      </c>
      <c r="T16925">
        <v>41</v>
      </c>
      <c r="U16925" s="26" t="str">
        <f t="shared" si="646"/>
        <v>2025.043B.Microviricetes_reorg.zip</v>
      </c>
    </row>
    <row r="16926" spans="1:21">
      <c r="A16926">
        <v>16925</v>
      </c>
      <c r="B16926" s="27" t="s">
        <v>20809</v>
      </c>
      <c r="D16926" s="27" t="s">
        <v>1824</v>
      </c>
      <c r="F16926" s="27" t="s">
        <v>1825</v>
      </c>
      <c r="H16926" s="27" t="s">
        <v>20810</v>
      </c>
      <c r="J16926" s="27" t="s">
        <v>22128</v>
      </c>
      <c r="L16926" s="27" t="s">
        <v>22173</v>
      </c>
      <c r="N16926" s="27" t="s">
        <v>22176</v>
      </c>
      <c r="P16926" s="27" t="s">
        <v>22177</v>
      </c>
      <c r="Q16926" s="26" t="str">
        <f>HYPERLINK("https://ictv.global/taxonomy/taxondetails?taxnode_id=202522941&amp;ictv_id=ICTV202522941","ICTV202522941")</f>
        <v>ICTV202522941</v>
      </c>
      <c r="R16926" t="s">
        <v>664</v>
      </c>
      <c r="S16926" t="s">
        <v>823</v>
      </c>
      <c r="T16926">
        <v>41</v>
      </c>
      <c r="U16926" s="26" t="str">
        <f t="shared" si="646"/>
        <v>2025.043B.Microviricetes_reorg.zip</v>
      </c>
    </row>
    <row r="16927" spans="1:21">
      <c r="A16927">
        <v>16926</v>
      </c>
      <c r="B16927" s="27" t="s">
        <v>20809</v>
      </c>
      <c r="D16927" s="27" t="s">
        <v>1824</v>
      </c>
      <c r="F16927" s="27" t="s">
        <v>1825</v>
      </c>
      <c r="H16927" s="27" t="s">
        <v>20810</v>
      </c>
      <c r="J16927" s="27" t="s">
        <v>22128</v>
      </c>
      <c r="L16927" s="27" t="s">
        <v>22173</v>
      </c>
      <c r="N16927" s="27" t="s">
        <v>22178</v>
      </c>
      <c r="P16927" s="27" t="s">
        <v>22179</v>
      </c>
      <c r="Q16927" s="26" t="str">
        <f>HYPERLINK("https://ictv.global/taxonomy/taxondetails?taxnode_id=202522942&amp;ictv_id=ICTV202522942","ICTV202522942")</f>
        <v>ICTV202522942</v>
      </c>
      <c r="R16927" t="s">
        <v>664</v>
      </c>
      <c r="S16927" t="s">
        <v>823</v>
      </c>
      <c r="T16927">
        <v>41</v>
      </c>
      <c r="U16927" s="26" t="str">
        <f t="shared" si="646"/>
        <v>2025.043B.Microviricetes_reorg.zip</v>
      </c>
    </row>
    <row r="16928" spans="1:21">
      <c r="A16928">
        <v>16927</v>
      </c>
      <c r="B16928" s="27" t="s">
        <v>20809</v>
      </c>
      <c r="D16928" s="27" t="s">
        <v>1824</v>
      </c>
      <c r="F16928" s="27" t="s">
        <v>1825</v>
      </c>
      <c r="H16928" s="27" t="s">
        <v>20810</v>
      </c>
      <c r="J16928" s="27" t="s">
        <v>22128</v>
      </c>
      <c r="L16928" s="27" t="s">
        <v>22173</v>
      </c>
      <c r="N16928" s="27" t="s">
        <v>22180</v>
      </c>
      <c r="P16928" s="27" t="s">
        <v>22181</v>
      </c>
      <c r="Q16928" s="26" t="str">
        <f>HYPERLINK("https://ictv.global/taxonomy/taxondetails?taxnode_id=202522943&amp;ictv_id=ICTV202522943","ICTV202522943")</f>
        <v>ICTV202522943</v>
      </c>
      <c r="R16928" t="s">
        <v>664</v>
      </c>
      <c r="S16928" t="s">
        <v>823</v>
      </c>
      <c r="T16928">
        <v>41</v>
      </c>
      <c r="U16928" s="26" t="str">
        <f t="shared" si="646"/>
        <v>2025.043B.Microviricetes_reorg.zip</v>
      </c>
    </row>
    <row r="16929" spans="1:21">
      <c r="A16929">
        <v>16928</v>
      </c>
      <c r="B16929" s="27" t="s">
        <v>20809</v>
      </c>
      <c r="D16929" s="27" t="s">
        <v>1824</v>
      </c>
      <c r="F16929" s="27" t="s">
        <v>1825</v>
      </c>
      <c r="H16929" s="27" t="s">
        <v>20810</v>
      </c>
      <c r="J16929" s="27" t="s">
        <v>22128</v>
      </c>
      <c r="L16929" s="27" t="s">
        <v>22173</v>
      </c>
      <c r="N16929" s="27" t="s">
        <v>22182</v>
      </c>
      <c r="P16929" s="27" t="s">
        <v>22183</v>
      </c>
      <c r="Q16929" s="26" t="str">
        <f>HYPERLINK("https://ictv.global/taxonomy/taxondetails?taxnode_id=202522944&amp;ictv_id=ICTV202522944","ICTV202522944")</f>
        <v>ICTV202522944</v>
      </c>
      <c r="R16929" t="s">
        <v>664</v>
      </c>
      <c r="S16929" t="s">
        <v>823</v>
      </c>
      <c r="T16929">
        <v>41</v>
      </c>
      <c r="U16929" s="26" t="str">
        <f t="shared" si="646"/>
        <v>2025.043B.Microviricetes_reorg.zip</v>
      </c>
    </row>
    <row r="16930" spans="1:21">
      <c r="A16930">
        <v>16929</v>
      </c>
      <c r="B16930" s="27" t="s">
        <v>20809</v>
      </c>
      <c r="D16930" s="27" t="s">
        <v>1824</v>
      </c>
      <c r="F16930" s="27" t="s">
        <v>1825</v>
      </c>
      <c r="H16930" s="27" t="s">
        <v>20810</v>
      </c>
      <c r="J16930" s="27" t="s">
        <v>22128</v>
      </c>
      <c r="L16930" s="27" t="s">
        <v>22173</v>
      </c>
      <c r="N16930" s="27" t="s">
        <v>22184</v>
      </c>
      <c r="P16930" s="27" t="s">
        <v>22185</v>
      </c>
      <c r="Q16930" s="26" t="str">
        <f>HYPERLINK("https://ictv.global/taxonomy/taxondetails?taxnode_id=202522945&amp;ictv_id=ICTV202522945","ICTV202522945")</f>
        <v>ICTV202522945</v>
      </c>
      <c r="R16930" t="s">
        <v>664</v>
      </c>
      <c r="S16930" t="s">
        <v>823</v>
      </c>
      <c r="T16930">
        <v>41</v>
      </c>
      <c r="U16930" s="26" t="str">
        <f t="shared" si="646"/>
        <v>2025.043B.Microviricetes_reorg.zip</v>
      </c>
    </row>
    <row r="16931" spans="1:21">
      <c r="A16931">
        <v>16930</v>
      </c>
      <c r="B16931" s="27" t="s">
        <v>20809</v>
      </c>
      <c r="D16931" s="27" t="s">
        <v>1824</v>
      </c>
      <c r="F16931" s="27" t="s">
        <v>1825</v>
      </c>
      <c r="H16931" s="27" t="s">
        <v>20810</v>
      </c>
      <c r="J16931" s="27" t="s">
        <v>22128</v>
      </c>
      <c r="L16931" s="27" t="s">
        <v>22173</v>
      </c>
      <c r="N16931" s="27" t="s">
        <v>22186</v>
      </c>
      <c r="P16931" s="27" t="s">
        <v>22187</v>
      </c>
      <c r="Q16931" s="26" t="str">
        <f>HYPERLINK("https://ictv.global/taxonomy/taxondetails?taxnode_id=202522946&amp;ictv_id=ICTV202522946","ICTV202522946")</f>
        <v>ICTV202522946</v>
      </c>
      <c r="R16931" t="s">
        <v>664</v>
      </c>
      <c r="S16931" t="s">
        <v>823</v>
      </c>
      <c r="T16931">
        <v>41</v>
      </c>
      <c r="U16931" s="26" t="str">
        <f t="shared" si="646"/>
        <v>2025.043B.Microviricetes_reorg.zip</v>
      </c>
    </row>
    <row r="16932" spans="1:21">
      <c r="A16932">
        <v>16931</v>
      </c>
      <c r="B16932" s="27" t="s">
        <v>20809</v>
      </c>
      <c r="D16932" s="27" t="s">
        <v>1824</v>
      </c>
      <c r="F16932" s="27" t="s">
        <v>1825</v>
      </c>
      <c r="H16932" s="27" t="s">
        <v>20810</v>
      </c>
      <c r="J16932" s="27" t="s">
        <v>22188</v>
      </c>
      <c r="L16932" s="27" t="s">
        <v>22189</v>
      </c>
      <c r="N16932" s="27" t="s">
        <v>22190</v>
      </c>
      <c r="P16932" s="27" t="s">
        <v>22191</v>
      </c>
      <c r="Q16932" s="26" t="str">
        <f>HYPERLINK("https://ictv.global/taxonomy/taxondetails?taxnode_id=202522947&amp;ictv_id=ICTV202522947","ICTV202522947")</f>
        <v>ICTV202522947</v>
      </c>
      <c r="R16932" t="s">
        <v>664</v>
      </c>
      <c r="S16932" t="s">
        <v>823</v>
      </c>
      <c r="T16932">
        <v>41</v>
      </c>
      <c r="U16932" s="26" t="str">
        <f t="shared" si="646"/>
        <v>2025.043B.Microviricetes_reorg.zip</v>
      </c>
    </row>
    <row r="16933" spans="1:21">
      <c r="A16933">
        <v>16932</v>
      </c>
      <c r="B16933" s="27" t="s">
        <v>20809</v>
      </c>
      <c r="D16933" s="27" t="s">
        <v>1824</v>
      </c>
      <c r="F16933" s="27" t="s">
        <v>1825</v>
      </c>
      <c r="H16933" s="27" t="s">
        <v>20810</v>
      </c>
      <c r="J16933" s="27" t="s">
        <v>22188</v>
      </c>
      <c r="L16933" s="27" t="s">
        <v>22192</v>
      </c>
      <c r="N16933" s="27" t="s">
        <v>22193</v>
      </c>
      <c r="P16933" s="27" t="s">
        <v>22194</v>
      </c>
      <c r="Q16933" s="26" t="str">
        <f>HYPERLINK("https://ictv.global/taxonomy/taxondetails?taxnode_id=202522948&amp;ictv_id=ICTV202522948","ICTV202522948")</f>
        <v>ICTV202522948</v>
      </c>
      <c r="R16933" t="s">
        <v>664</v>
      </c>
      <c r="S16933" t="s">
        <v>823</v>
      </c>
      <c r="T16933">
        <v>41</v>
      </c>
      <c r="U16933" s="26" t="str">
        <f t="shared" si="646"/>
        <v>2025.043B.Microviricetes_reorg.zip</v>
      </c>
    </row>
    <row r="16934" spans="1:21">
      <c r="A16934">
        <v>16933</v>
      </c>
      <c r="B16934" s="27" t="s">
        <v>20809</v>
      </c>
      <c r="D16934" s="27" t="s">
        <v>1824</v>
      </c>
      <c r="F16934" s="27" t="s">
        <v>1825</v>
      </c>
      <c r="H16934" s="27" t="s">
        <v>20810</v>
      </c>
      <c r="J16934" s="27" t="s">
        <v>22188</v>
      </c>
      <c r="L16934" s="27" t="s">
        <v>22192</v>
      </c>
      <c r="N16934" s="27" t="s">
        <v>22195</v>
      </c>
      <c r="P16934" s="27" t="s">
        <v>22196</v>
      </c>
      <c r="Q16934" s="26" t="str">
        <f>HYPERLINK("https://ictv.global/taxonomy/taxondetails?taxnode_id=202522949&amp;ictv_id=ICTV202522949","ICTV202522949")</f>
        <v>ICTV202522949</v>
      </c>
      <c r="R16934" t="s">
        <v>664</v>
      </c>
      <c r="S16934" t="s">
        <v>823</v>
      </c>
      <c r="T16934">
        <v>41</v>
      </c>
      <c r="U16934" s="26" t="str">
        <f t="shared" si="646"/>
        <v>2025.043B.Microviricetes_reorg.zip</v>
      </c>
    </row>
    <row r="16935" spans="1:21">
      <c r="A16935">
        <v>16934</v>
      </c>
      <c r="B16935" s="27" t="s">
        <v>20809</v>
      </c>
      <c r="D16935" s="27" t="s">
        <v>1824</v>
      </c>
      <c r="F16935" s="27" t="s">
        <v>1825</v>
      </c>
      <c r="H16935" s="27" t="s">
        <v>20810</v>
      </c>
      <c r="J16935" s="27" t="s">
        <v>22188</v>
      </c>
      <c r="L16935" s="27" t="s">
        <v>22192</v>
      </c>
      <c r="N16935" s="27" t="s">
        <v>22197</v>
      </c>
      <c r="P16935" s="27" t="s">
        <v>22198</v>
      </c>
      <c r="Q16935" s="26" t="str">
        <f>HYPERLINK("https://ictv.global/taxonomy/taxondetails?taxnode_id=202522950&amp;ictv_id=ICTV202522950","ICTV202522950")</f>
        <v>ICTV202522950</v>
      </c>
      <c r="R16935" t="s">
        <v>664</v>
      </c>
      <c r="S16935" t="s">
        <v>823</v>
      </c>
      <c r="T16935">
        <v>41</v>
      </c>
      <c r="U16935" s="26" t="str">
        <f t="shared" si="646"/>
        <v>2025.043B.Microviricetes_reorg.zip</v>
      </c>
    </row>
    <row r="16936" spans="1:21">
      <c r="A16936">
        <v>16935</v>
      </c>
      <c r="B16936" s="27" t="s">
        <v>20809</v>
      </c>
      <c r="D16936" s="27" t="s">
        <v>1824</v>
      </c>
      <c r="F16936" s="27" t="s">
        <v>1825</v>
      </c>
      <c r="H16936" s="27" t="s">
        <v>20810</v>
      </c>
      <c r="J16936" s="27" t="s">
        <v>22188</v>
      </c>
      <c r="L16936" s="27" t="s">
        <v>22192</v>
      </c>
      <c r="N16936" s="27" t="s">
        <v>22199</v>
      </c>
      <c r="P16936" s="27" t="s">
        <v>22200</v>
      </c>
      <c r="Q16936" s="26" t="str">
        <f>HYPERLINK("https://ictv.global/taxonomy/taxondetails?taxnode_id=202522951&amp;ictv_id=ICTV202522951","ICTV202522951")</f>
        <v>ICTV202522951</v>
      </c>
      <c r="R16936" t="s">
        <v>664</v>
      </c>
      <c r="S16936" t="s">
        <v>823</v>
      </c>
      <c r="T16936">
        <v>41</v>
      </c>
      <c r="U16936" s="26" t="str">
        <f t="shared" si="646"/>
        <v>2025.043B.Microviricetes_reorg.zip</v>
      </c>
    </row>
    <row r="16937" spans="1:21">
      <c r="A16937">
        <v>16936</v>
      </c>
      <c r="B16937" s="27" t="s">
        <v>20809</v>
      </c>
      <c r="D16937" s="27" t="s">
        <v>1824</v>
      </c>
      <c r="F16937" s="27" t="s">
        <v>1825</v>
      </c>
      <c r="H16937" s="27" t="s">
        <v>20810</v>
      </c>
      <c r="J16937" s="27" t="s">
        <v>22188</v>
      </c>
      <c r="L16937" s="27" t="s">
        <v>22192</v>
      </c>
      <c r="N16937" s="27" t="s">
        <v>22201</v>
      </c>
      <c r="P16937" s="27" t="s">
        <v>22202</v>
      </c>
      <c r="Q16937" s="26" t="str">
        <f>HYPERLINK("https://ictv.global/taxonomy/taxondetails?taxnode_id=202522952&amp;ictv_id=ICTV202522952","ICTV202522952")</f>
        <v>ICTV202522952</v>
      </c>
      <c r="R16937" t="s">
        <v>664</v>
      </c>
      <c r="S16937" t="s">
        <v>823</v>
      </c>
      <c r="T16937">
        <v>41</v>
      </c>
      <c r="U16937" s="26" t="str">
        <f t="shared" ref="U16937:U16968" si="647">HYPERLINK("https://ictv.global/ictv/proposals/2025.043B.Microviricetes_reorg.zip","2025.043B.Microviricetes_reorg.zip")</f>
        <v>2025.043B.Microviricetes_reorg.zip</v>
      </c>
    </row>
    <row r="16938" spans="1:21">
      <c r="A16938">
        <v>16937</v>
      </c>
      <c r="B16938" s="27" t="s">
        <v>20809</v>
      </c>
      <c r="D16938" s="27" t="s">
        <v>1824</v>
      </c>
      <c r="F16938" s="27" t="s">
        <v>1825</v>
      </c>
      <c r="H16938" s="27" t="s">
        <v>20810</v>
      </c>
      <c r="J16938" s="27" t="s">
        <v>20811</v>
      </c>
      <c r="L16938" s="27" t="s">
        <v>20812</v>
      </c>
      <c r="N16938" s="27" t="s">
        <v>1442</v>
      </c>
      <c r="P16938" s="27" t="s">
        <v>8255</v>
      </c>
      <c r="Q16938" s="26" t="str">
        <f>HYPERLINK("https://ictv.global/taxonomy/taxondetails?taxnode_id=202503858&amp;ictv_id=ICTV20041424","ICTV20041424")</f>
        <v>ICTV20041424</v>
      </c>
      <c r="R16938" t="s">
        <v>664</v>
      </c>
      <c r="S16938" t="s">
        <v>22763</v>
      </c>
      <c r="T16938">
        <v>41</v>
      </c>
      <c r="U16938" s="26" t="str">
        <f t="shared" si="647"/>
        <v>2025.043B.Microviricetes_reorg.zip</v>
      </c>
    </row>
    <row r="16939" spans="1:21">
      <c r="A16939">
        <v>16938</v>
      </c>
      <c r="B16939" s="27" t="s">
        <v>20809</v>
      </c>
      <c r="D16939" s="27" t="s">
        <v>1824</v>
      </c>
      <c r="F16939" s="27" t="s">
        <v>1825</v>
      </c>
      <c r="H16939" s="27" t="s">
        <v>20810</v>
      </c>
      <c r="J16939" s="27" t="s">
        <v>20811</v>
      </c>
      <c r="L16939" s="27" t="s">
        <v>20812</v>
      </c>
      <c r="N16939" s="27" t="s">
        <v>1442</v>
      </c>
      <c r="P16939" s="27" t="s">
        <v>8256</v>
      </c>
      <c r="Q16939" s="26" t="str">
        <f>HYPERLINK("https://ictv.global/taxonomy/taxondetails?taxnode_id=202503859&amp;ictv_id=ICTV20153148","ICTV20153148")</f>
        <v>ICTV20153148</v>
      </c>
      <c r="R16939" t="s">
        <v>664</v>
      </c>
      <c r="S16939" t="s">
        <v>22763</v>
      </c>
      <c r="T16939">
        <v>41</v>
      </c>
      <c r="U16939" s="26" t="str">
        <f t="shared" si="647"/>
        <v>2025.043B.Microviricetes_reorg.zip</v>
      </c>
    </row>
    <row r="16940" spans="1:21">
      <c r="A16940">
        <v>16939</v>
      </c>
      <c r="B16940" s="27" t="s">
        <v>20809</v>
      </c>
      <c r="D16940" s="27" t="s">
        <v>1824</v>
      </c>
      <c r="F16940" s="27" t="s">
        <v>1825</v>
      </c>
      <c r="H16940" s="27" t="s">
        <v>20810</v>
      </c>
      <c r="J16940" s="27" t="s">
        <v>20811</v>
      </c>
      <c r="L16940" s="27" t="s">
        <v>20812</v>
      </c>
      <c r="N16940" s="27" t="s">
        <v>1442</v>
      </c>
      <c r="P16940" s="27" t="s">
        <v>8257</v>
      </c>
      <c r="Q16940" s="26" t="str">
        <f>HYPERLINK("https://ictv.global/taxonomy/taxondetails?taxnode_id=202503860&amp;ictv_id=ICTV20153151","ICTV20153151")</f>
        <v>ICTV20153151</v>
      </c>
      <c r="R16940" t="s">
        <v>664</v>
      </c>
      <c r="S16940" t="s">
        <v>22763</v>
      </c>
      <c r="T16940">
        <v>41</v>
      </c>
      <c r="U16940" s="26" t="str">
        <f t="shared" si="647"/>
        <v>2025.043B.Microviricetes_reorg.zip</v>
      </c>
    </row>
    <row r="16941" spans="1:21">
      <c r="A16941">
        <v>16940</v>
      </c>
      <c r="B16941" s="27" t="s">
        <v>20809</v>
      </c>
      <c r="D16941" s="27" t="s">
        <v>1824</v>
      </c>
      <c r="F16941" s="27" t="s">
        <v>1825</v>
      </c>
      <c r="H16941" s="27" t="s">
        <v>20810</v>
      </c>
      <c r="J16941" s="27" t="s">
        <v>20811</v>
      </c>
      <c r="L16941" s="27" t="s">
        <v>20812</v>
      </c>
      <c r="N16941" s="27" t="s">
        <v>1442</v>
      </c>
      <c r="P16941" s="27" t="s">
        <v>8258</v>
      </c>
      <c r="Q16941" s="26" t="str">
        <f>HYPERLINK("https://ictv.global/taxonomy/taxondetails?taxnode_id=202503861&amp;ictv_id=ICTV20153152","ICTV20153152")</f>
        <v>ICTV20153152</v>
      </c>
      <c r="R16941" t="s">
        <v>664</v>
      </c>
      <c r="S16941" t="s">
        <v>22763</v>
      </c>
      <c r="T16941">
        <v>41</v>
      </c>
      <c r="U16941" s="26" t="str">
        <f t="shared" si="647"/>
        <v>2025.043B.Microviricetes_reorg.zip</v>
      </c>
    </row>
    <row r="16942" spans="1:21">
      <c r="A16942">
        <v>16941</v>
      </c>
      <c r="B16942" s="27" t="s">
        <v>20809</v>
      </c>
      <c r="D16942" s="27" t="s">
        <v>1824</v>
      </c>
      <c r="F16942" s="27" t="s">
        <v>1825</v>
      </c>
      <c r="H16942" s="27" t="s">
        <v>20810</v>
      </c>
      <c r="J16942" s="27" t="s">
        <v>20811</v>
      </c>
      <c r="L16942" s="27" t="s">
        <v>20812</v>
      </c>
      <c r="N16942" s="27" t="s">
        <v>1442</v>
      </c>
      <c r="P16942" s="27" t="s">
        <v>8259</v>
      </c>
      <c r="Q16942" s="26" t="str">
        <f>HYPERLINK("https://ictv.global/taxonomy/taxondetails?taxnode_id=202503862&amp;ictv_id=ICTV20153149","ICTV20153149")</f>
        <v>ICTV20153149</v>
      </c>
      <c r="R16942" t="s">
        <v>664</v>
      </c>
      <c r="S16942" t="s">
        <v>22763</v>
      </c>
      <c r="T16942">
        <v>41</v>
      </c>
      <c r="U16942" s="26" t="str">
        <f t="shared" si="647"/>
        <v>2025.043B.Microviricetes_reorg.zip</v>
      </c>
    </row>
    <row r="16943" spans="1:21">
      <c r="A16943">
        <v>16942</v>
      </c>
      <c r="B16943" s="27" t="s">
        <v>20809</v>
      </c>
      <c r="D16943" s="27" t="s">
        <v>1824</v>
      </c>
      <c r="F16943" s="27" t="s">
        <v>1825</v>
      </c>
      <c r="H16943" s="27" t="s">
        <v>20810</v>
      </c>
      <c r="J16943" s="27" t="s">
        <v>20811</v>
      </c>
      <c r="L16943" s="27" t="s">
        <v>20812</v>
      </c>
      <c r="N16943" s="27" t="s">
        <v>1442</v>
      </c>
      <c r="P16943" s="27" t="s">
        <v>8260</v>
      </c>
      <c r="Q16943" s="26" t="str">
        <f>HYPERLINK("https://ictv.global/taxonomy/taxondetails?taxnode_id=202503863&amp;ictv_id=ICTV20153150","ICTV20153150")</f>
        <v>ICTV20153150</v>
      </c>
      <c r="R16943" t="s">
        <v>664</v>
      </c>
      <c r="S16943" t="s">
        <v>22763</v>
      </c>
      <c r="T16943">
        <v>41</v>
      </c>
      <c r="U16943" s="26" t="str">
        <f t="shared" si="647"/>
        <v>2025.043B.Microviricetes_reorg.zip</v>
      </c>
    </row>
    <row r="16944" spans="1:21">
      <c r="A16944">
        <v>16943</v>
      </c>
      <c r="B16944" s="27" t="s">
        <v>20809</v>
      </c>
      <c r="D16944" s="27" t="s">
        <v>1824</v>
      </c>
      <c r="F16944" s="27" t="s">
        <v>1825</v>
      </c>
      <c r="H16944" s="27" t="s">
        <v>20810</v>
      </c>
      <c r="J16944" s="27" t="s">
        <v>20811</v>
      </c>
      <c r="L16944" s="27" t="s">
        <v>20812</v>
      </c>
      <c r="N16944" s="27" t="s">
        <v>1442</v>
      </c>
      <c r="P16944" s="27" t="s">
        <v>8261</v>
      </c>
      <c r="Q16944" s="26" t="str">
        <f>HYPERLINK("https://ictv.global/taxonomy/taxondetails?taxnode_id=202503864&amp;ictv_id=ICTV20153147","ICTV20153147")</f>
        <v>ICTV20153147</v>
      </c>
      <c r="R16944" t="s">
        <v>664</v>
      </c>
      <c r="S16944" t="s">
        <v>22763</v>
      </c>
      <c r="T16944">
        <v>41</v>
      </c>
      <c r="U16944" s="26" t="str">
        <f t="shared" si="647"/>
        <v>2025.043B.Microviricetes_reorg.zip</v>
      </c>
    </row>
    <row r="16945" spans="1:21">
      <c r="A16945">
        <v>16944</v>
      </c>
      <c r="B16945" s="27" t="s">
        <v>20809</v>
      </c>
      <c r="D16945" s="27" t="s">
        <v>1824</v>
      </c>
      <c r="F16945" s="27" t="s">
        <v>1825</v>
      </c>
      <c r="H16945" s="27" t="s">
        <v>20810</v>
      </c>
      <c r="J16945" s="27" t="s">
        <v>20811</v>
      </c>
      <c r="L16945" s="27" t="s">
        <v>20812</v>
      </c>
      <c r="N16945" s="27" t="s">
        <v>1442</v>
      </c>
      <c r="P16945" s="27" t="s">
        <v>8262</v>
      </c>
      <c r="Q16945" s="26" t="str">
        <f>HYPERLINK("https://ictv.global/taxonomy/taxondetails?taxnode_id=202503865&amp;ictv_id=ICTV20041426","ICTV20041426")</f>
        <v>ICTV20041426</v>
      </c>
      <c r="R16945" t="s">
        <v>664</v>
      </c>
      <c r="S16945" t="s">
        <v>22763</v>
      </c>
      <c r="T16945">
        <v>41</v>
      </c>
      <c r="U16945" s="26" t="str">
        <f t="shared" si="647"/>
        <v>2025.043B.Microviricetes_reorg.zip</v>
      </c>
    </row>
    <row r="16946" spans="1:21">
      <c r="A16946">
        <v>16945</v>
      </c>
      <c r="B16946" s="27" t="s">
        <v>20809</v>
      </c>
      <c r="D16946" s="27" t="s">
        <v>1824</v>
      </c>
      <c r="F16946" s="27" t="s">
        <v>1825</v>
      </c>
      <c r="H16946" s="27" t="s">
        <v>20810</v>
      </c>
      <c r="J16946" s="27" t="s">
        <v>20811</v>
      </c>
      <c r="L16946" s="27" t="s">
        <v>20812</v>
      </c>
      <c r="N16946" s="27" t="s">
        <v>1442</v>
      </c>
      <c r="P16946" s="27" t="s">
        <v>8263</v>
      </c>
      <c r="Q16946" s="26" t="str">
        <f>HYPERLINK("https://ictv.global/taxonomy/taxondetails?taxnode_id=202503866&amp;ictv_id=ICTV19790421","ICTV19790421")</f>
        <v>ICTV19790421</v>
      </c>
      <c r="R16946" t="s">
        <v>664</v>
      </c>
      <c r="S16946" t="s">
        <v>22763</v>
      </c>
      <c r="T16946">
        <v>41</v>
      </c>
      <c r="U16946" s="26" t="str">
        <f t="shared" si="647"/>
        <v>2025.043B.Microviricetes_reorg.zip</v>
      </c>
    </row>
    <row r="16947" spans="1:21">
      <c r="A16947">
        <v>16946</v>
      </c>
      <c r="B16947" s="27" t="s">
        <v>20809</v>
      </c>
      <c r="D16947" s="27" t="s">
        <v>1824</v>
      </c>
      <c r="F16947" s="27" t="s">
        <v>1825</v>
      </c>
      <c r="H16947" s="27" t="s">
        <v>20810</v>
      </c>
      <c r="J16947" s="27" t="s">
        <v>20811</v>
      </c>
      <c r="L16947" s="27" t="s">
        <v>20812</v>
      </c>
      <c r="N16947" s="27" t="s">
        <v>1442</v>
      </c>
      <c r="P16947" s="27" t="s">
        <v>8264</v>
      </c>
      <c r="Q16947" s="26" t="str">
        <f>HYPERLINK("https://ictv.global/taxonomy/taxondetails?taxnode_id=202503867&amp;ictv_id=ICTV20153146","ICTV20153146")</f>
        <v>ICTV20153146</v>
      </c>
      <c r="R16947" t="s">
        <v>664</v>
      </c>
      <c r="S16947" t="s">
        <v>22763</v>
      </c>
      <c r="T16947">
        <v>41</v>
      </c>
      <c r="U16947" s="26" t="str">
        <f t="shared" si="647"/>
        <v>2025.043B.Microviricetes_reorg.zip</v>
      </c>
    </row>
    <row r="16948" spans="1:21">
      <c r="A16948">
        <v>16947</v>
      </c>
      <c r="B16948" s="27" t="s">
        <v>20809</v>
      </c>
      <c r="D16948" s="27" t="s">
        <v>1824</v>
      </c>
      <c r="F16948" s="27" t="s">
        <v>1825</v>
      </c>
      <c r="H16948" s="27" t="s">
        <v>20810</v>
      </c>
      <c r="J16948" s="27" t="s">
        <v>20811</v>
      </c>
      <c r="L16948" s="27" t="s">
        <v>20812</v>
      </c>
      <c r="N16948" s="27" t="s">
        <v>1443</v>
      </c>
      <c r="P16948" s="27" t="s">
        <v>8265</v>
      </c>
      <c r="Q16948" s="26" t="str">
        <f>HYPERLINK("https://ictv.global/taxonomy/taxondetails?taxnode_id=202503869&amp;ictv_id=ICTV19760733","ICTV19760733")</f>
        <v>ICTV19760733</v>
      </c>
      <c r="R16948" t="s">
        <v>664</v>
      </c>
      <c r="S16948" t="s">
        <v>22763</v>
      </c>
      <c r="T16948">
        <v>41</v>
      </c>
      <c r="U16948" s="26" t="str">
        <f t="shared" si="647"/>
        <v>2025.043B.Microviricetes_reorg.zip</v>
      </c>
    </row>
    <row r="16949" spans="1:21">
      <c r="A16949">
        <v>16948</v>
      </c>
      <c r="B16949" s="27" t="s">
        <v>20809</v>
      </c>
      <c r="D16949" s="27" t="s">
        <v>1824</v>
      </c>
      <c r="F16949" s="27" t="s">
        <v>1825</v>
      </c>
      <c r="H16949" s="27" t="s">
        <v>20810</v>
      </c>
      <c r="J16949" s="27" t="s">
        <v>20811</v>
      </c>
      <c r="L16949" s="27" t="s">
        <v>20812</v>
      </c>
      <c r="N16949" s="27" t="s">
        <v>1443</v>
      </c>
      <c r="P16949" s="27" t="s">
        <v>8266</v>
      </c>
      <c r="Q16949" s="26" t="str">
        <f>HYPERLINK("https://ictv.global/taxonomy/taxondetails?taxnode_id=202503870&amp;ictv_id=ICTV20153154","ICTV20153154")</f>
        <v>ICTV20153154</v>
      </c>
      <c r="R16949" t="s">
        <v>664</v>
      </c>
      <c r="S16949" t="s">
        <v>22763</v>
      </c>
      <c r="T16949">
        <v>41</v>
      </c>
      <c r="U16949" s="26" t="str">
        <f t="shared" si="647"/>
        <v>2025.043B.Microviricetes_reorg.zip</v>
      </c>
    </row>
    <row r="16950" spans="1:21">
      <c r="A16950">
        <v>16949</v>
      </c>
      <c r="B16950" s="27" t="s">
        <v>20809</v>
      </c>
      <c r="D16950" s="27" t="s">
        <v>1824</v>
      </c>
      <c r="F16950" s="27" t="s">
        <v>1825</v>
      </c>
      <c r="H16950" s="27" t="s">
        <v>20810</v>
      </c>
      <c r="J16950" s="27" t="s">
        <v>20811</v>
      </c>
      <c r="L16950" s="27" t="s">
        <v>20812</v>
      </c>
      <c r="N16950" s="27" t="s">
        <v>1443</v>
      </c>
      <c r="P16950" s="27" t="s">
        <v>8267</v>
      </c>
      <c r="Q16950" s="26" t="str">
        <f>HYPERLINK("https://ictv.global/taxonomy/taxondetails?taxnode_id=202503871&amp;ictv_id=ICTV20153155","ICTV20153155")</f>
        <v>ICTV20153155</v>
      </c>
      <c r="R16950" t="s">
        <v>664</v>
      </c>
      <c r="S16950" t="s">
        <v>22763</v>
      </c>
      <c r="T16950">
        <v>41</v>
      </c>
      <c r="U16950" s="26" t="str">
        <f t="shared" si="647"/>
        <v>2025.043B.Microviricetes_reorg.zip</v>
      </c>
    </row>
    <row r="16951" spans="1:21">
      <c r="A16951">
        <v>16950</v>
      </c>
      <c r="B16951" s="27" t="s">
        <v>20809</v>
      </c>
      <c r="D16951" s="27" t="s">
        <v>1824</v>
      </c>
      <c r="F16951" s="27" t="s">
        <v>1825</v>
      </c>
      <c r="H16951" s="27" t="s">
        <v>20810</v>
      </c>
      <c r="J16951" s="27" t="s">
        <v>20811</v>
      </c>
      <c r="L16951" s="27" t="s">
        <v>20812</v>
      </c>
      <c r="N16951" s="27" t="s">
        <v>1444</v>
      </c>
      <c r="P16951" s="27" t="s">
        <v>8268</v>
      </c>
      <c r="Q16951" s="26" t="str">
        <f>HYPERLINK("https://ictv.global/taxonomy/taxondetails?taxnode_id=202503873&amp;ictv_id=ICTV19710244","ICTV19710244")</f>
        <v>ICTV19710244</v>
      </c>
      <c r="R16951" t="s">
        <v>664</v>
      </c>
      <c r="S16951" t="s">
        <v>22763</v>
      </c>
      <c r="T16951">
        <v>41</v>
      </c>
      <c r="U16951" s="26" t="str">
        <f t="shared" si="647"/>
        <v>2025.043B.Microviricetes_reorg.zip</v>
      </c>
    </row>
    <row r="16952" spans="1:21">
      <c r="A16952">
        <v>16951</v>
      </c>
      <c r="B16952" s="27" t="s">
        <v>20809</v>
      </c>
      <c r="D16952" s="27" t="s">
        <v>1824</v>
      </c>
      <c r="F16952" s="27" t="s">
        <v>1825</v>
      </c>
      <c r="H16952" s="27" t="s">
        <v>20810</v>
      </c>
      <c r="J16952" s="27" t="s">
        <v>20811</v>
      </c>
      <c r="L16952" s="27" t="s">
        <v>20812</v>
      </c>
      <c r="N16952" s="27" t="s">
        <v>22203</v>
      </c>
      <c r="P16952" s="27" t="s">
        <v>22204</v>
      </c>
      <c r="Q16952" s="26" t="str">
        <f>HYPERLINK("https://ictv.global/taxonomy/taxondetails?taxnode_id=202522953&amp;ictv_id=ICTV202522953","ICTV202522953")</f>
        <v>ICTV202522953</v>
      </c>
      <c r="R16952" t="s">
        <v>664</v>
      </c>
      <c r="S16952" t="s">
        <v>823</v>
      </c>
      <c r="T16952">
        <v>41</v>
      </c>
      <c r="U16952" s="26" t="str">
        <f t="shared" si="647"/>
        <v>2025.043B.Microviricetes_reorg.zip</v>
      </c>
    </row>
    <row r="16953" spans="1:21">
      <c r="A16953">
        <v>16952</v>
      </c>
      <c r="B16953" s="27" t="s">
        <v>20809</v>
      </c>
      <c r="D16953" s="27" t="s">
        <v>1824</v>
      </c>
      <c r="F16953" s="27" t="s">
        <v>1825</v>
      </c>
      <c r="H16953" s="27" t="s">
        <v>20810</v>
      </c>
      <c r="J16953" s="27" t="s">
        <v>20811</v>
      </c>
      <c r="L16953" s="27" t="s">
        <v>22205</v>
      </c>
      <c r="N16953" s="27" t="s">
        <v>22206</v>
      </c>
      <c r="P16953" s="27" t="s">
        <v>22207</v>
      </c>
      <c r="Q16953" s="26" t="str">
        <f>HYPERLINK("https://ictv.global/taxonomy/taxondetails?taxnode_id=202522954&amp;ictv_id=ICTV202522954","ICTV202522954")</f>
        <v>ICTV202522954</v>
      </c>
      <c r="R16953" t="s">
        <v>664</v>
      </c>
      <c r="S16953" t="s">
        <v>823</v>
      </c>
      <c r="T16953">
        <v>41</v>
      </c>
      <c r="U16953" s="26" t="str">
        <f t="shared" si="647"/>
        <v>2025.043B.Microviricetes_reorg.zip</v>
      </c>
    </row>
    <row r="16954" spans="1:21">
      <c r="A16954">
        <v>16953</v>
      </c>
      <c r="B16954" s="27" t="s">
        <v>20809</v>
      </c>
      <c r="D16954" s="27" t="s">
        <v>1824</v>
      </c>
      <c r="F16954" s="27" t="s">
        <v>1825</v>
      </c>
      <c r="H16954" s="27" t="s">
        <v>20810</v>
      </c>
      <c r="J16954" s="27" t="s">
        <v>20811</v>
      </c>
      <c r="L16954" s="27" t="s">
        <v>22208</v>
      </c>
      <c r="N16954" s="27" t="s">
        <v>22209</v>
      </c>
      <c r="P16954" s="27" t="s">
        <v>22210</v>
      </c>
      <c r="Q16954" s="26" t="str">
        <f>HYPERLINK("https://ictv.global/taxonomy/taxondetails?taxnode_id=202522955&amp;ictv_id=ICTV202522955","ICTV202522955")</f>
        <v>ICTV202522955</v>
      </c>
      <c r="R16954" t="s">
        <v>664</v>
      </c>
      <c r="S16954" t="s">
        <v>823</v>
      </c>
      <c r="T16954">
        <v>41</v>
      </c>
      <c r="U16954" s="26" t="str">
        <f t="shared" si="647"/>
        <v>2025.043B.Microviricetes_reorg.zip</v>
      </c>
    </row>
    <row r="16955" spans="1:21">
      <c r="A16955">
        <v>16954</v>
      </c>
      <c r="B16955" s="27" t="s">
        <v>20809</v>
      </c>
      <c r="D16955" s="27" t="s">
        <v>1824</v>
      </c>
      <c r="F16955" s="27" t="s">
        <v>1825</v>
      </c>
      <c r="H16955" s="27" t="s">
        <v>20810</v>
      </c>
      <c r="J16955" s="27" t="s">
        <v>20811</v>
      </c>
      <c r="L16955" s="27" t="s">
        <v>22211</v>
      </c>
      <c r="N16955" s="27" t="s">
        <v>22212</v>
      </c>
      <c r="P16955" s="27" t="s">
        <v>22213</v>
      </c>
      <c r="Q16955" s="26" t="str">
        <f>HYPERLINK("https://ictv.global/taxonomy/taxondetails?taxnode_id=202522956&amp;ictv_id=ICTV202522956","ICTV202522956")</f>
        <v>ICTV202522956</v>
      </c>
      <c r="R16955" t="s">
        <v>664</v>
      </c>
      <c r="S16955" t="s">
        <v>823</v>
      </c>
      <c r="T16955">
        <v>41</v>
      </c>
      <c r="U16955" s="26" t="str">
        <f t="shared" si="647"/>
        <v>2025.043B.Microviricetes_reorg.zip</v>
      </c>
    </row>
    <row r="16956" spans="1:21">
      <c r="A16956">
        <v>16955</v>
      </c>
      <c r="B16956" s="27" t="s">
        <v>20809</v>
      </c>
      <c r="D16956" s="27" t="s">
        <v>1824</v>
      </c>
      <c r="F16956" s="27" t="s">
        <v>1825</v>
      </c>
      <c r="H16956" s="27" t="s">
        <v>20810</v>
      </c>
      <c r="J16956" s="27" t="s">
        <v>20813</v>
      </c>
      <c r="L16956" s="27" t="s">
        <v>20821</v>
      </c>
      <c r="N16956" s="27" t="s">
        <v>22214</v>
      </c>
      <c r="P16956" s="27" t="s">
        <v>22215</v>
      </c>
      <c r="Q16956" s="26" t="str">
        <f>HYPERLINK("https://ictv.global/taxonomy/taxondetails?taxnode_id=202522957&amp;ictv_id=ICTV202522957","ICTV202522957")</f>
        <v>ICTV202522957</v>
      </c>
      <c r="R16956" t="s">
        <v>664</v>
      </c>
      <c r="S16956" t="s">
        <v>823</v>
      </c>
      <c r="T16956">
        <v>41</v>
      </c>
      <c r="U16956" s="26" t="str">
        <f t="shared" si="647"/>
        <v>2025.043B.Microviricetes_reorg.zip</v>
      </c>
    </row>
    <row r="16957" spans="1:21">
      <c r="A16957">
        <v>16956</v>
      </c>
      <c r="B16957" s="27" t="s">
        <v>20809</v>
      </c>
      <c r="D16957" s="27" t="s">
        <v>1824</v>
      </c>
      <c r="F16957" s="27" t="s">
        <v>1825</v>
      </c>
      <c r="H16957" s="27" t="s">
        <v>20810</v>
      </c>
      <c r="J16957" s="27" t="s">
        <v>20813</v>
      </c>
      <c r="L16957" s="27" t="s">
        <v>20821</v>
      </c>
      <c r="N16957" s="27" t="s">
        <v>22216</v>
      </c>
      <c r="P16957" s="27" t="s">
        <v>22217</v>
      </c>
      <c r="Q16957" s="26" t="str">
        <f>HYPERLINK("https://ictv.global/taxonomy/taxondetails?taxnode_id=202522958&amp;ictv_id=ICTV202522958","ICTV202522958")</f>
        <v>ICTV202522958</v>
      </c>
      <c r="R16957" t="s">
        <v>664</v>
      </c>
      <c r="S16957" t="s">
        <v>823</v>
      </c>
      <c r="T16957">
        <v>41</v>
      </c>
      <c r="U16957" s="26" t="str">
        <f t="shared" si="647"/>
        <v>2025.043B.Microviricetes_reorg.zip</v>
      </c>
    </row>
    <row r="16958" spans="1:21">
      <c r="A16958">
        <v>16957</v>
      </c>
      <c r="B16958" s="27" t="s">
        <v>20809</v>
      </c>
      <c r="D16958" s="27" t="s">
        <v>1824</v>
      </c>
      <c r="F16958" s="27" t="s">
        <v>1825</v>
      </c>
      <c r="H16958" s="27" t="s">
        <v>20810</v>
      </c>
      <c r="J16958" s="27" t="s">
        <v>20813</v>
      </c>
      <c r="L16958" s="27" t="s">
        <v>20821</v>
      </c>
      <c r="N16958" s="27" t="s">
        <v>22218</v>
      </c>
      <c r="P16958" s="27" t="s">
        <v>22219</v>
      </c>
      <c r="Q16958" s="26" t="str">
        <f>HYPERLINK("https://ictv.global/taxonomy/taxondetails?taxnode_id=202522959&amp;ictv_id=ICTV202522959","ICTV202522959")</f>
        <v>ICTV202522959</v>
      </c>
      <c r="R16958" t="s">
        <v>664</v>
      </c>
      <c r="S16958" t="s">
        <v>823</v>
      </c>
      <c r="T16958">
        <v>41</v>
      </c>
      <c r="U16958" s="26" t="str">
        <f t="shared" si="647"/>
        <v>2025.043B.Microviricetes_reorg.zip</v>
      </c>
    </row>
    <row r="16959" spans="1:21">
      <c r="A16959">
        <v>16958</v>
      </c>
      <c r="B16959" s="27" t="s">
        <v>20809</v>
      </c>
      <c r="D16959" s="27" t="s">
        <v>1824</v>
      </c>
      <c r="F16959" s="27" t="s">
        <v>1825</v>
      </c>
      <c r="H16959" s="27" t="s">
        <v>20810</v>
      </c>
      <c r="J16959" s="27" t="s">
        <v>20813</v>
      </c>
      <c r="L16959" s="27" t="s">
        <v>20821</v>
      </c>
      <c r="N16959" s="27" t="s">
        <v>22220</v>
      </c>
      <c r="P16959" s="27" t="s">
        <v>22221</v>
      </c>
      <c r="Q16959" s="26" t="str">
        <f>HYPERLINK("https://ictv.global/taxonomy/taxondetails?taxnode_id=202522960&amp;ictv_id=ICTV202522960","ICTV202522960")</f>
        <v>ICTV202522960</v>
      </c>
      <c r="R16959" t="s">
        <v>664</v>
      </c>
      <c r="S16959" t="s">
        <v>823</v>
      </c>
      <c r="T16959">
        <v>41</v>
      </c>
      <c r="U16959" s="26" t="str">
        <f t="shared" si="647"/>
        <v>2025.043B.Microviricetes_reorg.zip</v>
      </c>
    </row>
    <row r="16960" spans="1:21">
      <c r="A16960">
        <v>16959</v>
      </c>
      <c r="B16960" s="27" t="s">
        <v>20809</v>
      </c>
      <c r="D16960" s="27" t="s">
        <v>1824</v>
      </c>
      <c r="F16960" s="27" t="s">
        <v>1825</v>
      </c>
      <c r="H16960" s="27" t="s">
        <v>20810</v>
      </c>
      <c r="J16960" s="27" t="s">
        <v>20813</v>
      </c>
      <c r="L16960" s="27" t="s">
        <v>20821</v>
      </c>
      <c r="N16960" s="27" t="s">
        <v>22222</v>
      </c>
      <c r="P16960" s="27" t="s">
        <v>22223</v>
      </c>
      <c r="Q16960" s="26" t="str">
        <f>HYPERLINK("https://ictv.global/taxonomy/taxondetails?taxnode_id=202522961&amp;ictv_id=ICTV202522961","ICTV202522961")</f>
        <v>ICTV202522961</v>
      </c>
      <c r="R16960" t="s">
        <v>664</v>
      </c>
      <c r="S16960" t="s">
        <v>823</v>
      </c>
      <c r="T16960">
        <v>41</v>
      </c>
      <c r="U16960" s="26" t="str">
        <f t="shared" si="647"/>
        <v>2025.043B.Microviricetes_reorg.zip</v>
      </c>
    </row>
    <row r="16961" spans="1:21">
      <c r="A16961">
        <v>16960</v>
      </c>
      <c r="B16961" s="27" t="s">
        <v>20809</v>
      </c>
      <c r="D16961" s="27" t="s">
        <v>1824</v>
      </c>
      <c r="F16961" s="27" t="s">
        <v>1825</v>
      </c>
      <c r="H16961" s="27" t="s">
        <v>20810</v>
      </c>
      <c r="J16961" s="27" t="s">
        <v>20813</v>
      </c>
      <c r="L16961" s="27" t="s">
        <v>20821</v>
      </c>
      <c r="N16961" s="27" t="s">
        <v>22224</v>
      </c>
      <c r="P16961" s="27" t="s">
        <v>22225</v>
      </c>
      <c r="Q16961" s="26" t="str">
        <f>HYPERLINK("https://ictv.global/taxonomy/taxondetails?taxnode_id=202522962&amp;ictv_id=ICTV202522962","ICTV202522962")</f>
        <v>ICTV202522962</v>
      </c>
      <c r="R16961" t="s">
        <v>664</v>
      </c>
      <c r="S16961" t="s">
        <v>823</v>
      </c>
      <c r="T16961">
        <v>41</v>
      </c>
      <c r="U16961" s="26" t="str">
        <f t="shared" si="647"/>
        <v>2025.043B.Microviricetes_reorg.zip</v>
      </c>
    </row>
    <row r="16962" spans="1:21">
      <c r="A16962">
        <v>16961</v>
      </c>
      <c r="B16962" s="27" t="s">
        <v>20809</v>
      </c>
      <c r="D16962" s="27" t="s">
        <v>1824</v>
      </c>
      <c r="F16962" s="27" t="s">
        <v>1825</v>
      </c>
      <c r="H16962" s="27" t="s">
        <v>20810</v>
      </c>
      <c r="J16962" s="27" t="s">
        <v>20813</v>
      </c>
      <c r="L16962" s="27" t="s">
        <v>20821</v>
      </c>
      <c r="N16962" s="27" t="s">
        <v>444</v>
      </c>
      <c r="P16962" s="27" t="s">
        <v>8270</v>
      </c>
      <c r="Q16962" s="26" t="str">
        <f>HYPERLINK("https://ictv.global/taxonomy/taxondetails?taxnode_id=202503884&amp;ictv_id=ICTV19900751","ICTV19900751")</f>
        <v>ICTV19900751</v>
      </c>
      <c r="R16962" t="s">
        <v>664</v>
      </c>
      <c r="S16962" t="s">
        <v>22763</v>
      </c>
      <c r="T16962">
        <v>41</v>
      </c>
      <c r="U16962" s="26" t="str">
        <f t="shared" si="647"/>
        <v>2025.043B.Microviricetes_reorg.zip</v>
      </c>
    </row>
    <row r="16963" spans="1:21">
      <c r="A16963">
        <v>16962</v>
      </c>
      <c r="B16963" s="27" t="s">
        <v>20809</v>
      </c>
      <c r="D16963" s="27" t="s">
        <v>1824</v>
      </c>
      <c r="F16963" s="27" t="s">
        <v>1825</v>
      </c>
      <c r="H16963" s="27" t="s">
        <v>20810</v>
      </c>
      <c r="J16963" s="27" t="s">
        <v>20813</v>
      </c>
      <c r="L16963" s="27" t="s">
        <v>20814</v>
      </c>
      <c r="N16963" s="27" t="s">
        <v>426</v>
      </c>
      <c r="P16963" s="27" t="s">
        <v>8269</v>
      </c>
      <c r="Q16963" s="26" t="str">
        <f>HYPERLINK("https://ictv.global/taxonomy/taxondetails?taxnode_id=202503877&amp;ictv_id=ICTV20041419","ICTV20041419")</f>
        <v>ICTV20041419</v>
      </c>
      <c r="R16963" t="s">
        <v>664</v>
      </c>
      <c r="S16963" t="s">
        <v>22763</v>
      </c>
      <c r="T16963">
        <v>41</v>
      </c>
      <c r="U16963" s="26" t="str">
        <f t="shared" si="647"/>
        <v>2025.043B.Microviricetes_reorg.zip</v>
      </c>
    </row>
    <row r="16964" spans="1:21">
      <c r="A16964">
        <v>16963</v>
      </c>
      <c r="B16964" s="27" t="s">
        <v>20809</v>
      </c>
      <c r="D16964" s="27" t="s">
        <v>1824</v>
      </c>
      <c r="F16964" s="27" t="s">
        <v>1825</v>
      </c>
      <c r="H16964" s="27" t="s">
        <v>20810</v>
      </c>
      <c r="J16964" s="27" t="s">
        <v>20813</v>
      </c>
      <c r="L16964" s="27" t="s">
        <v>20814</v>
      </c>
      <c r="N16964" s="27" t="s">
        <v>20817</v>
      </c>
      <c r="P16964" s="27" t="s">
        <v>20818</v>
      </c>
      <c r="Q16964" s="26" t="str">
        <f>HYPERLINK("https://ictv.global/taxonomy/taxondetails?taxnode_id=202503880&amp;ictv_id=ICTV20041421","ICTV20041421")</f>
        <v>ICTV20041421</v>
      </c>
      <c r="R16964" t="s">
        <v>664</v>
      </c>
      <c r="S16964" t="s">
        <v>824</v>
      </c>
      <c r="T16964">
        <v>41</v>
      </c>
      <c r="U16964" s="26" t="str">
        <f t="shared" si="647"/>
        <v>2025.043B.Microviricetes_reorg.zip</v>
      </c>
    </row>
    <row r="16965" spans="1:21">
      <c r="A16965">
        <v>16964</v>
      </c>
      <c r="B16965" s="27" t="s">
        <v>20809</v>
      </c>
      <c r="D16965" s="27" t="s">
        <v>1824</v>
      </c>
      <c r="F16965" s="27" t="s">
        <v>1825</v>
      </c>
      <c r="H16965" s="27" t="s">
        <v>20810</v>
      </c>
      <c r="J16965" s="27" t="s">
        <v>20813</v>
      </c>
      <c r="L16965" s="27" t="s">
        <v>20814</v>
      </c>
      <c r="N16965" s="27" t="s">
        <v>20817</v>
      </c>
      <c r="P16965" s="27" t="s">
        <v>20819</v>
      </c>
      <c r="Q16965" s="26" t="str">
        <f>HYPERLINK("https://ictv.global/taxonomy/taxondetails?taxnode_id=202503881&amp;ictv_id=ICTV20041422","ICTV20041422")</f>
        <v>ICTV20041422</v>
      </c>
      <c r="R16965" t="s">
        <v>664</v>
      </c>
      <c r="S16965" t="s">
        <v>824</v>
      </c>
      <c r="T16965">
        <v>41</v>
      </c>
      <c r="U16965" s="26" t="str">
        <f t="shared" si="647"/>
        <v>2025.043B.Microviricetes_reorg.zip</v>
      </c>
    </row>
    <row r="16966" spans="1:21">
      <c r="A16966">
        <v>16965</v>
      </c>
      <c r="B16966" s="27" t="s">
        <v>20809</v>
      </c>
      <c r="D16966" s="27" t="s">
        <v>1824</v>
      </c>
      <c r="F16966" s="27" t="s">
        <v>1825</v>
      </c>
      <c r="H16966" s="27" t="s">
        <v>20810</v>
      </c>
      <c r="J16966" s="27" t="s">
        <v>20813</v>
      </c>
      <c r="L16966" s="27" t="s">
        <v>20814</v>
      </c>
      <c r="N16966" s="27" t="s">
        <v>20817</v>
      </c>
      <c r="P16966" s="27" t="s">
        <v>20820</v>
      </c>
      <c r="Q16966" s="26" t="str">
        <f>HYPERLINK("https://ictv.global/taxonomy/taxondetails?taxnode_id=202503882&amp;ictv_id=ICTV20041423","ICTV20041423")</f>
        <v>ICTV20041423</v>
      </c>
      <c r="R16966" t="s">
        <v>664</v>
      </c>
      <c r="S16966" t="s">
        <v>824</v>
      </c>
      <c r="T16966">
        <v>41</v>
      </c>
      <c r="U16966" s="26" t="str">
        <f t="shared" si="647"/>
        <v>2025.043B.Microviricetes_reorg.zip</v>
      </c>
    </row>
    <row r="16967" spans="1:21">
      <c r="A16967">
        <v>16966</v>
      </c>
      <c r="B16967" s="27" t="s">
        <v>20809</v>
      </c>
      <c r="D16967" s="27" t="s">
        <v>1824</v>
      </c>
      <c r="F16967" s="27" t="s">
        <v>1825</v>
      </c>
      <c r="H16967" s="27" t="s">
        <v>20810</v>
      </c>
      <c r="J16967" s="27" t="s">
        <v>20813</v>
      </c>
      <c r="L16967" s="27" t="s">
        <v>20814</v>
      </c>
      <c r="N16967" s="27" t="s">
        <v>20815</v>
      </c>
      <c r="P16967" s="27" t="s">
        <v>20816</v>
      </c>
      <c r="Q16967" s="26" t="str">
        <f>HYPERLINK("https://ictv.global/taxonomy/taxondetails?taxnode_id=202503879&amp;ictv_id=ICTV19931092","ICTV19931092")</f>
        <v>ICTV19931092</v>
      </c>
      <c r="R16967" t="s">
        <v>664</v>
      </c>
      <c r="S16967" t="s">
        <v>22764</v>
      </c>
      <c r="T16967">
        <v>41</v>
      </c>
      <c r="U16967" s="26" t="str">
        <f t="shared" si="647"/>
        <v>2025.043B.Microviricetes_reorg.zip</v>
      </c>
    </row>
    <row r="16968" spans="1:21">
      <c r="A16968">
        <v>16967</v>
      </c>
      <c r="B16968" s="27" t="s">
        <v>20809</v>
      </c>
      <c r="D16968" s="27" t="s">
        <v>1824</v>
      </c>
      <c r="F16968" s="27" t="s">
        <v>1825</v>
      </c>
      <c r="H16968" s="27" t="s">
        <v>20810</v>
      </c>
      <c r="J16968" s="27" t="s">
        <v>20813</v>
      </c>
      <c r="L16968" s="27" t="s">
        <v>20814</v>
      </c>
      <c r="N16968" s="27" t="s">
        <v>22226</v>
      </c>
      <c r="P16968" s="27" t="s">
        <v>22227</v>
      </c>
      <c r="Q16968" s="26" t="str">
        <f>HYPERLINK("https://ictv.global/taxonomy/taxondetails?taxnode_id=202522963&amp;ictv_id=ICTV202522963","ICTV202522963")</f>
        <v>ICTV202522963</v>
      </c>
      <c r="R16968" t="s">
        <v>664</v>
      </c>
      <c r="S16968" t="s">
        <v>823</v>
      </c>
      <c r="T16968">
        <v>41</v>
      </c>
      <c r="U16968" s="26" t="str">
        <f t="shared" si="647"/>
        <v>2025.043B.Microviricetes_reorg.zip</v>
      </c>
    </row>
    <row r="16969" spans="1:21">
      <c r="A16969">
        <v>16968</v>
      </c>
      <c r="B16969" s="27" t="s">
        <v>20809</v>
      </c>
      <c r="D16969" s="27" t="s">
        <v>1824</v>
      </c>
      <c r="F16969" s="27" t="s">
        <v>1825</v>
      </c>
      <c r="H16969" s="27" t="s">
        <v>20810</v>
      </c>
      <c r="J16969" s="27" t="s">
        <v>20813</v>
      </c>
      <c r="L16969" s="27" t="s">
        <v>20814</v>
      </c>
      <c r="N16969" s="27" t="s">
        <v>22228</v>
      </c>
      <c r="P16969" s="27" t="s">
        <v>22229</v>
      </c>
      <c r="Q16969" s="26" t="str">
        <f>HYPERLINK("https://ictv.global/taxonomy/taxondetails?taxnode_id=202522964&amp;ictv_id=ICTV202522964","ICTV202522964")</f>
        <v>ICTV202522964</v>
      </c>
      <c r="R16969" t="s">
        <v>664</v>
      </c>
      <c r="S16969" t="s">
        <v>823</v>
      </c>
      <c r="T16969">
        <v>41</v>
      </c>
      <c r="U16969" s="26" t="str">
        <f t="shared" ref="U16969:U17000" si="648">HYPERLINK("https://ictv.global/ictv/proposals/2025.043B.Microviricetes_reorg.zip","2025.043B.Microviricetes_reorg.zip")</f>
        <v>2025.043B.Microviricetes_reorg.zip</v>
      </c>
    </row>
    <row r="16970" spans="1:21">
      <c r="A16970">
        <v>16969</v>
      </c>
      <c r="B16970" s="27" t="s">
        <v>20809</v>
      </c>
      <c r="D16970" s="27" t="s">
        <v>1824</v>
      </c>
      <c r="F16970" s="27" t="s">
        <v>1825</v>
      </c>
      <c r="H16970" s="27" t="s">
        <v>20810</v>
      </c>
      <c r="J16970" s="27" t="s">
        <v>20813</v>
      </c>
      <c r="L16970" s="27" t="s">
        <v>20814</v>
      </c>
      <c r="N16970" s="27" t="s">
        <v>22230</v>
      </c>
      <c r="P16970" s="27" t="s">
        <v>22231</v>
      </c>
      <c r="Q16970" s="26" t="str">
        <f>HYPERLINK("https://ictv.global/taxonomy/taxondetails?taxnode_id=202522965&amp;ictv_id=ICTV202522965","ICTV202522965")</f>
        <v>ICTV202522965</v>
      </c>
      <c r="R16970" t="s">
        <v>664</v>
      </c>
      <c r="S16970" t="s">
        <v>823</v>
      </c>
      <c r="T16970">
        <v>41</v>
      </c>
      <c r="U16970" s="26" t="str">
        <f t="shared" si="648"/>
        <v>2025.043B.Microviricetes_reorg.zip</v>
      </c>
    </row>
    <row r="16971" spans="1:21">
      <c r="A16971">
        <v>16970</v>
      </c>
      <c r="B16971" s="27" t="s">
        <v>20809</v>
      </c>
      <c r="D16971" s="27" t="s">
        <v>1824</v>
      </c>
      <c r="F16971" s="27" t="s">
        <v>1825</v>
      </c>
      <c r="H16971" s="27" t="s">
        <v>20810</v>
      </c>
      <c r="J16971" s="27" t="s">
        <v>20813</v>
      </c>
      <c r="L16971" s="27" t="s">
        <v>20814</v>
      </c>
      <c r="N16971" s="27" t="s">
        <v>22232</v>
      </c>
      <c r="P16971" s="27" t="s">
        <v>22233</v>
      </c>
      <c r="Q16971" s="26" t="str">
        <f>HYPERLINK("https://ictv.global/taxonomy/taxondetails?taxnode_id=202522966&amp;ictv_id=ICTV202522966","ICTV202522966")</f>
        <v>ICTV202522966</v>
      </c>
      <c r="R16971" t="s">
        <v>664</v>
      </c>
      <c r="S16971" t="s">
        <v>823</v>
      </c>
      <c r="T16971">
        <v>41</v>
      </c>
      <c r="U16971" s="26" t="str">
        <f t="shared" si="648"/>
        <v>2025.043B.Microviricetes_reorg.zip</v>
      </c>
    </row>
    <row r="16972" spans="1:21">
      <c r="A16972">
        <v>16971</v>
      </c>
      <c r="B16972" s="27" t="s">
        <v>20809</v>
      </c>
      <c r="D16972" s="27" t="s">
        <v>1824</v>
      </c>
      <c r="F16972" s="27" t="s">
        <v>1825</v>
      </c>
      <c r="H16972" s="27" t="s">
        <v>20810</v>
      </c>
      <c r="J16972" s="27" t="s">
        <v>20813</v>
      </c>
      <c r="L16972" s="27" t="s">
        <v>20814</v>
      </c>
      <c r="N16972" s="27" t="s">
        <v>2333</v>
      </c>
      <c r="P16972" s="27" t="s">
        <v>2334</v>
      </c>
      <c r="Q16972" s="26" t="str">
        <f>HYPERLINK("https://ictv.global/taxonomy/taxondetails?taxnode_id=202509999&amp;ictv_id=ICTV202009999","ICTV202009999")</f>
        <v>ICTV202009999</v>
      </c>
      <c r="R16972" t="s">
        <v>664</v>
      </c>
      <c r="S16972" t="s">
        <v>22763</v>
      </c>
      <c r="T16972">
        <v>41</v>
      </c>
      <c r="U16972" s="26" t="str">
        <f t="shared" si="648"/>
        <v>2025.043B.Microviricetes_reorg.zip</v>
      </c>
    </row>
    <row r="16973" spans="1:21">
      <c r="A16973">
        <v>16972</v>
      </c>
      <c r="B16973" s="27" t="s">
        <v>20809</v>
      </c>
      <c r="D16973" s="27" t="s">
        <v>1824</v>
      </c>
      <c r="F16973" s="27" t="s">
        <v>1825</v>
      </c>
      <c r="H16973" s="27" t="s">
        <v>20810</v>
      </c>
      <c r="J16973" s="27" t="s">
        <v>20813</v>
      </c>
      <c r="L16973" s="27" t="s">
        <v>20814</v>
      </c>
      <c r="N16973" s="27" t="s">
        <v>22234</v>
      </c>
      <c r="P16973" s="27" t="s">
        <v>22235</v>
      </c>
      <c r="Q16973" s="26" t="str">
        <f>HYPERLINK("https://ictv.global/taxonomy/taxondetails?taxnode_id=202522967&amp;ictv_id=ICTV202522967","ICTV202522967")</f>
        <v>ICTV202522967</v>
      </c>
      <c r="R16973" t="s">
        <v>664</v>
      </c>
      <c r="S16973" t="s">
        <v>823</v>
      </c>
      <c r="T16973">
        <v>41</v>
      </c>
      <c r="U16973" s="26" t="str">
        <f t="shared" si="648"/>
        <v>2025.043B.Microviricetes_reorg.zip</v>
      </c>
    </row>
    <row r="16974" spans="1:21">
      <c r="A16974">
        <v>16973</v>
      </c>
      <c r="B16974" s="27" t="s">
        <v>20809</v>
      </c>
      <c r="D16974" s="27" t="s">
        <v>1824</v>
      </c>
      <c r="F16974" s="27" t="s">
        <v>1825</v>
      </c>
      <c r="H16974" s="27" t="s">
        <v>20810</v>
      </c>
      <c r="J16974" s="27" t="s">
        <v>20813</v>
      </c>
      <c r="L16974" s="27" t="s">
        <v>20814</v>
      </c>
      <c r="N16974" s="27" t="s">
        <v>22236</v>
      </c>
      <c r="P16974" s="27" t="s">
        <v>22237</v>
      </c>
      <c r="Q16974" s="26" t="str">
        <f>HYPERLINK("https://ictv.global/taxonomy/taxondetails?taxnode_id=202522968&amp;ictv_id=ICTV202522968","ICTV202522968")</f>
        <v>ICTV202522968</v>
      </c>
      <c r="R16974" t="s">
        <v>664</v>
      </c>
      <c r="S16974" t="s">
        <v>823</v>
      </c>
      <c r="T16974">
        <v>41</v>
      </c>
      <c r="U16974" s="26" t="str">
        <f t="shared" si="648"/>
        <v>2025.043B.Microviricetes_reorg.zip</v>
      </c>
    </row>
    <row r="16975" spans="1:21">
      <c r="A16975">
        <v>16974</v>
      </c>
      <c r="B16975" s="27" t="s">
        <v>20809</v>
      </c>
      <c r="D16975" s="27" t="s">
        <v>1824</v>
      </c>
      <c r="F16975" s="27" t="s">
        <v>1825</v>
      </c>
      <c r="H16975" s="27" t="s">
        <v>20810</v>
      </c>
      <c r="J16975" s="27" t="s">
        <v>20813</v>
      </c>
      <c r="L16975" s="27" t="s">
        <v>20814</v>
      </c>
      <c r="N16975" s="27" t="s">
        <v>22238</v>
      </c>
      <c r="P16975" s="27" t="s">
        <v>22239</v>
      </c>
      <c r="Q16975" s="26" t="str">
        <f>HYPERLINK("https://ictv.global/taxonomy/taxondetails?taxnode_id=202522969&amp;ictv_id=ICTV202522969","ICTV202522969")</f>
        <v>ICTV202522969</v>
      </c>
      <c r="R16975" t="s">
        <v>664</v>
      </c>
      <c r="S16975" t="s">
        <v>823</v>
      </c>
      <c r="T16975">
        <v>41</v>
      </c>
      <c r="U16975" s="26" t="str">
        <f t="shared" si="648"/>
        <v>2025.043B.Microviricetes_reorg.zip</v>
      </c>
    </row>
    <row r="16976" spans="1:21">
      <c r="A16976">
        <v>16975</v>
      </c>
      <c r="B16976" s="27" t="s">
        <v>20809</v>
      </c>
      <c r="D16976" s="27" t="s">
        <v>1824</v>
      </c>
      <c r="F16976" s="27" t="s">
        <v>1825</v>
      </c>
      <c r="H16976" s="27" t="s">
        <v>20810</v>
      </c>
      <c r="J16976" s="27" t="s">
        <v>20813</v>
      </c>
      <c r="L16976" s="27" t="s">
        <v>20814</v>
      </c>
      <c r="N16976" s="27" t="s">
        <v>22240</v>
      </c>
      <c r="P16976" s="27" t="s">
        <v>22241</v>
      </c>
      <c r="Q16976" s="26" t="str">
        <f>HYPERLINK("https://ictv.global/taxonomy/taxondetails?taxnode_id=202522970&amp;ictv_id=ICTV202522970","ICTV202522970")</f>
        <v>ICTV202522970</v>
      </c>
      <c r="R16976" t="s">
        <v>664</v>
      </c>
      <c r="S16976" t="s">
        <v>823</v>
      </c>
      <c r="T16976">
        <v>41</v>
      </c>
      <c r="U16976" s="26" t="str">
        <f t="shared" si="648"/>
        <v>2025.043B.Microviricetes_reorg.zip</v>
      </c>
    </row>
    <row r="16977" spans="1:21">
      <c r="A16977">
        <v>16976</v>
      </c>
      <c r="B16977" s="27" t="s">
        <v>20809</v>
      </c>
      <c r="D16977" s="27" t="s">
        <v>1824</v>
      </c>
      <c r="F16977" s="27" t="s">
        <v>1825</v>
      </c>
      <c r="H16977" s="27" t="s">
        <v>20810</v>
      </c>
      <c r="J16977" s="27" t="s">
        <v>20813</v>
      </c>
      <c r="L16977" s="27" t="s">
        <v>20814</v>
      </c>
      <c r="N16977" s="27" t="s">
        <v>22242</v>
      </c>
      <c r="P16977" s="27" t="s">
        <v>22243</v>
      </c>
      <c r="Q16977" s="26" t="str">
        <f>HYPERLINK("https://ictv.global/taxonomy/taxondetails?taxnode_id=202522971&amp;ictv_id=ICTV202522971","ICTV202522971")</f>
        <v>ICTV202522971</v>
      </c>
      <c r="R16977" t="s">
        <v>664</v>
      </c>
      <c r="S16977" t="s">
        <v>823</v>
      </c>
      <c r="T16977">
        <v>41</v>
      </c>
      <c r="U16977" s="26" t="str">
        <f t="shared" si="648"/>
        <v>2025.043B.Microviricetes_reorg.zip</v>
      </c>
    </row>
    <row r="16978" spans="1:21">
      <c r="A16978">
        <v>16977</v>
      </c>
      <c r="B16978" s="27" t="s">
        <v>20809</v>
      </c>
      <c r="D16978" s="27" t="s">
        <v>1824</v>
      </c>
      <c r="F16978" s="27" t="s">
        <v>1825</v>
      </c>
      <c r="H16978" s="27" t="s">
        <v>20810</v>
      </c>
      <c r="J16978" s="27" t="s">
        <v>20813</v>
      </c>
      <c r="L16978" s="27" t="s">
        <v>20814</v>
      </c>
      <c r="N16978" s="27" t="s">
        <v>22244</v>
      </c>
      <c r="P16978" s="27" t="s">
        <v>22245</v>
      </c>
      <c r="Q16978" s="26" t="str">
        <f>HYPERLINK("https://ictv.global/taxonomy/taxondetails?taxnode_id=202522972&amp;ictv_id=ICTV202522972","ICTV202522972")</f>
        <v>ICTV202522972</v>
      </c>
      <c r="R16978" t="s">
        <v>664</v>
      </c>
      <c r="S16978" t="s">
        <v>823</v>
      </c>
      <c r="T16978">
        <v>41</v>
      </c>
      <c r="U16978" s="26" t="str">
        <f t="shared" si="648"/>
        <v>2025.043B.Microviricetes_reorg.zip</v>
      </c>
    </row>
    <row r="16979" spans="1:21">
      <c r="A16979">
        <v>16978</v>
      </c>
      <c r="B16979" s="27" t="s">
        <v>20809</v>
      </c>
      <c r="D16979" s="27" t="s">
        <v>1824</v>
      </c>
      <c r="F16979" s="27" t="s">
        <v>1825</v>
      </c>
      <c r="H16979" s="27" t="s">
        <v>20810</v>
      </c>
      <c r="J16979" s="27" t="s">
        <v>20813</v>
      </c>
      <c r="L16979" s="27" t="s">
        <v>20814</v>
      </c>
      <c r="N16979" s="27" t="s">
        <v>22246</v>
      </c>
      <c r="P16979" s="27" t="s">
        <v>22247</v>
      </c>
      <c r="Q16979" s="26" t="str">
        <f>HYPERLINK("https://ictv.global/taxonomy/taxondetails?taxnode_id=202522973&amp;ictv_id=ICTV202522973","ICTV202522973")</f>
        <v>ICTV202522973</v>
      </c>
      <c r="R16979" t="s">
        <v>664</v>
      </c>
      <c r="S16979" t="s">
        <v>823</v>
      </c>
      <c r="T16979">
        <v>41</v>
      </c>
      <c r="U16979" s="26" t="str">
        <f t="shared" si="648"/>
        <v>2025.043B.Microviricetes_reorg.zip</v>
      </c>
    </row>
    <row r="16980" spans="1:21">
      <c r="A16980">
        <v>16979</v>
      </c>
      <c r="B16980" s="27" t="s">
        <v>20809</v>
      </c>
      <c r="D16980" s="27" t="s">
        <v>1824</v>
      </c>
      <c r="F16980" s="27" t="s">
        <v>1825</v>
      </c>
      <c r="H16980" s="27" t="s">
        <v>20810</v>
      </c>
      <c r="J16980" s="27" t="s">
        <v>20813</v>
      </c>
      <c r="L16980" s="27" t="s">
        <v>20814</v>
      </c>
      <c r="N16980" s="27" t="s">
        <v>22248</v>
      </c>
      <c r="P16980" s="27" t="s">
        <v>22249</v>
      </c>
      <c r="Q16980" s="26" t="str">
        <f>HYPERLINK("https://ictv.global/taxonomy/taxondetails?taxnode_id=202522974&amp;ictv_id=ICTV202522974","ICTV202522974")</f>
        <v>ICTV202522974</v>
      </c>
      <c r="R16980" t="s">
        <v>664</v>
      </c>
      <c r="S16980" t="s">
        <v>823</v>
      </c>
      <c r="T16980">
        <v>41</v>
      </c>
      <c r="U16980" s="26" t="str">
        <f t="shared" si="648"/>
        <v>2025.043B.Microviricetes_reorg.zip</v>
      </c>
    </row>
    <row r="16981" spans="1:21">
      <c r="A16981">
        <v>16980</v>
      </c>
      <c r="B16981" s="27" t="s">
        <v>20809</v>
      </c>
      <c r="D16981" s="27" t="s">
        <v>1824</v>
      </c>
      <c r="F16981" s="27" t="s">
        <v>1825</v>
      </c>
      <c r="H16981" s="27" t="s">
        <v>20810</v>
      </c>
      <c r="J16981" s="27" t="s">
        <v>20813</v>
      </c>
      <c r="L16981" s="27" t="s">
        <v>20814</v>
      </c>
      <c r="N16981" s="27" t="s">
        <v>22250</v>
      </c>
      <c r="P16981" s="27" t="s">
        <v>22251</v>
      </c>
      <c r="Q16981" s="26" t="str">
        <f>HYPERLINK("https://ictv.global/taxonomy/taxondetails?taxnode_id=202522975&amp;ictv_id=ICTV202522975","ICTV202522975")</f>
        <v>ICTV202522975</v>
      </c>
      <c r="R16981" t="s">
        <v>664</v>
      </c>
      <c r="S16981" t="s">
        <v>823</v>
      </c>
      <c r="T16981">
        <v>41</v>
      </c>
      <c r="U16981" s="26" t="str">
        <f t="shared" si="648"/>
        <v>2025.043B.Microviricetes_reorg.zip</v>
      </c>
    </row>
    <row r="16982" spans="1:21">
      <c r="A16982">
        <v>16981</v>
      </c>
      <c r="B16982" s="27" t="s">
        <v>20809</v>
      </c>
      <c r="D16982" s="27" t="s">
        <v>1824</v>
      </c>
      <c r="F16982" s="27" t="s">
        <v>1825</v>
      </c>
      <c r="H16982" s="27" t="s">
        <v>20810</v>
      </c>
      <c r="J16982" s="27" t="s">
        <v>20813</v>
      </c>
      <c r="L16982" s="27" t="s">
        <v>20814</v>
      </c>
      <c r="N16982" s="27" t="s">
        <v>22252</v>
      </c>
      <c r="P16982" s="27" t="s">
        <v>22253</v>
      </c>
      <c r="Q16982" s="26" t="str">
        <f>HYPERLINK("https://ictv.global/taxonomy/taxondetails?taxnode_id=202522976&amp;ictv_id=ICTV202522976","ICTV202522976")</f>
        <v>ICTV202522976</v>
      </c>
      <c r="R16982" t="s">
        <v>664</v>
      </c>
      <c r="S16982" t="s">
        <v>823</v>
      </c>
      <c r="T16982">
        <v>41</v>
      </c>
      <c r="U16982" s="26" t="str">
        <f t="shared" si="648"/>
        <v>2025.043B.Microviricetes_reorg.zip</v>
      </c>
    </row>
    <row r="16983" spans="1:21">
      <c r="A16983">
        <v>16982</v>
      </c>
      <c r="B16983" s="27" t="s">
        <v>20809</v>
      </c>
      <c r="D16983" s="27" t="s">
        <v>1824</v>
      </c>
      <c r="F16983" s="27" t="s">
        <v>1825</v>
      </c>
      <c r="H16983" s="27" t="s">
        <v>20810</v>
      </c>
      <c r="J16983" s="27" t="s">
        <v>20813</v>
      </c>
      <c r="L16983" s="27" t="s">
        <v>20814</v>
      </c>
      <c r="N16983" s="27" t="s">
        <v>22254</v>
      </c>
      <c r="P16983" s="27" t="s">
        <v>22255</v>
      </c>
      <c r="Q16983" s="26" t="str">
        <f>HYPERLINK("https://ictv.global/taxonomy/taxondetails?taxnode_id=202522977&amp;ictv_id=ICTV202522977","ICTV202522977")</f>
        <v>ICTV202522977</v>
      </c>
      <c r="R16983" t="s">
        <v>664</v>
      </c>
      <c r="S16983" t="s">
        <v>823</v>
      </c>
      <c r="T16983">
        <v>41</v>
      </c>
      <c r="U16983" s="26" t="str">
        <f t="shared" si="648"/>
        <v>2025.043B.Microviricetes_reorg.zip</v>
      </c>
    </row>
    <row r="16984" spans="1:21">
      <c r="A16984">
        <v>16983</v>
      </c>
      <c r="B16984" s="27" t="s">
        <v>20809</v>
      </c>
      <c r="D16984" s="27" t="s">
        <v>1824</v>
      </c>
      <c r="F16984" s="27" t="s">
        <v>1825</v>
      </c>
      <c r="H16984" s="27" t="s">
        <v>20810</v>
      </c>
      <c r="J16984" s="27" t="s">
        <v>20813</v>
      </c>
      <c r="L16984" s="27" t="s">
        <v>20814</v>
      </c>
      <c r="N16984" s="27" t="s">
        <v>22261</v>
      </c>
      <c r="P16984" s="27" t="s">
        <v>22262</v>
      </c>
      <c r="Q16984" s="26" t="str">
        <f>HYPERLINK("https://ictv.global/taxonomy/taxondetails?taxnode_id=202522980&amp;ictv_id=ICTV202522980","ICTV202522980")</f>
        <v>ICTV202522980</v>
      </c>
      <c r="R16984" t="s">
        <v>664</v>
      </c>
      <c r="S16984" t="s">
        <v>823</v>
      </c>
      <c r="T16984">
        <v>41</v>
      </c>
      <c r="U16984" s="26" t="str">
        <f t="shared" si="648"/>
        <v>2025.043B.Microviricetes_reorg.zip</v>
      </c>
    </row>
    <row r="16985" spans="1:21">
      <c r="A16985">
        <v>16984</v>
      </c>
      <c r="B16985" s="27" t="s">
        <v>20809</v>
      </c>
      <c r="D16985" s="27" t="s">
        <v>1824</v>
      </c>
      <c r="F16985" s="27" t="s">
        <v>1825</v>
      </c>
      <c r="H16985" s="27" t="s">
        <v>20810</v>
      </c>
      <c r="J16985" s="27" t="s">
        <v>20813</v>
      </c>
      <c r="L16985" s="27" t="s">
        <v>20814</v>
      </c>
      <c r="N16985" s="27" t="s">
        <v>22263</v>
      </c>
      <c r="P16985" s="27" t="s">
        <v>22264</v>
      </c>
      <c r="Q16985" s="26" t="str">
        <f>HYPERLINK("https://ictv.global/taxonomy/taxondetails?taxnode_id=202522981&amp;ictv_id=ICTV202522981","ICTV202522981")</f>
        <v>ICTV202522981</v>
      </c>
      <c r="R16985" t="s">
        <v>664</v>
      </c>
      <c r="S16985" t="s">
        <v>823</v>
      </c>
      <c r="T16985">
        <v>41</v>
      </c>
      <c r="U16985" s="26" t="str">
        <f t="shared" si="648"/>
        <v>2025.043B.Microviricetes_reorg.zip</v>
      </c>
    </row>
    <row r="16986" spans="1:21">
      <c r="A16986">
        <v>16985</v>
      </c>
      <c r="B16986" s="27" t="s">
        <v>20809</v>
      </c>
      <c r="D16986" s="27" t="s">
        <v>1824</v>
      </c>
      <c r="F16986" s="27" t="s">
        <v>1825</v>
      </c>
      <c r="H16986" s="27" t="s">
        <v>20810</v>
      </c>
      <c r="J16986" s="27" t="s">
        <v>20813</v>
      </c>
      <c r="L16986" s="27" t="s">
        <v>20814</v>
      </c>
      <c r="N16986" s="27" t="s">
        <v>22267</v>
      </c>
      <c r="P16986" s="27" t="s">
        <v>22268</v>
      </c>
      <c r="Q16986" s="26" t="str">
        <f>HYPERLINK("https://ictv.global/taxonomy/taxondetails?taxnode_id=202522983&amp;ictv_id=ICTV202522983","ICTV202522983")</f>
        <v>ICTV202522983</v>
      </c>
      <c r="R16986" t="s">
        <v>664</v>
      </c>
      <c r="S16986" t="s">
        <v>823</v>
      </c>
      <c r="T16986">
        <v>41</v>
      </c>
      <c r="U16986" s="26" t="str">
        <f t="shared" si="648"/>
        <v>2025.043B.Microviricetes_reorg.zip</v>
      </c>
    </row>
    <row r="16987" spans="1:21">
      <c r="A16987">
        <v>16986</v>
      </c>
      <c r="B16987" s="27" t="s">
        <v>20809</v>
      </c>
      <c r="D16987" s="27" t="s">
        <v>1824</v>
      </c>
      <c r="F16987" s="27" t="s">
        <v>1825</v>
      </c>
      <c r="H16987" s="27" t="s">
        <v>20810</v>
      </c>
      <c r="J16987" s="27" t="s">
        <v>20813</v>
      </c>
      <c r="L16987" s="27" t="s">
        <v>20814</v>
      </c>
      <c r="N16987" s="27" t="s">
        <v>22269</v>
      </c>
      <c r="P16987" s="27" t="s">
        <v>22270</v>
      </c>
      <c r="Q16987" s="26" t="str">
        <f>HYPERLINK("https://ictv.global/taxonomy/taxondetails?taxnode_id=202522984&amp;ictv_id=ICTV202522984","ICTV202522984")</f>
        <v>ICTV202522984</v>
      </c>
      <c r="R16987" t="s">
        <v>664</v>
      </c>
      <c r="S16987" t="s">
        <v>823</v>
      </c>
      <c r="T16987">
        <v>41</v>
      </c>
      <c r="U16987" s="26" t="str">
        <f t="shared" si="648"/>
        <v>2025.043B.Microviricetes_reorg.zip</v>
      </c>
    </row>
    <row r="16988" spans="1:21">
      <c r="A16988">
        <v>16987</v>
      </c>
      <c r="B16988" s="27" t="s">
        <v>20809</v>
      </c>
      <c r="D16988" s="27" t="s">
        <v>1824</v>
      </c>
      <c r="F16988" s="27" t="s">
        <v>1825</v>
      </c>
      <c r="H16988" s="27" t="s">
        <v>20810</v>
      </c>
      <c r="J16988" s="27" t="s">
        <v>20813</v>
      </c>
      <c r="L16988" s="27" t="s">
        <v>20814</v>
      </c>
      <c r="N16988" s="27" t="s">
        <v>22271</v>
      </c>
      <c r="P16988" s="27" t="s">
        <v>22272</v>
      </c>
      <c r="Q16988" s="26" t="str">
        <f>HYPERLINK("https://ictv.global/taxonomy/taxondetails?taxnode_id=202522985&amp;ictv_id=ICTV202522985","ICTV202522985")</f>
        <v>ICTV202522985</v>
      </c>
      <c r="R16988" t="s">
        <v>664</v>
      </c>
      <c r="S16988" t="s">
        <v>823</v>
      </c>
      <c r="T16988">
        <v>41</v>
      </c>
      <c r="U16988" s="26" t="str">
        <f t="shared" si="648"/>
        <v>2025.043B.Microviricetes_reorg.zip</v>
      </c>
    </row>
    <row r="16989" spans="1:21">
      <c r="A16989">
        <v>16988</v>
      </c>
      <c r="B16989" s="27" t="s">
        <v>20809</v>
      </c>
      <c r="D16989" s="27" t="s">
        <v>1824</v>
      </c>
      <c r="F16989" s="27" t="s">
        <v>1825</v>
      </c>
      <c r="H16989" s="27" t="s">
        <v>20810</v>
      </c>
      <c r="J16989" s="27" t="s">
        <v>20813</v>
      </c>
      <c r="L16989" s="27" t="s">
        <v>22273</v>
      </c>
      <c r="N16989" s="27" t="s">
        <v>22274</v>
      </c>
      <c r="P16989" s="27" t="s">
        <v>22275</v>
      </c>
      <c r="Q16989" s="26" t="str">
        <f>HYPERLINK("https://ictv.global/taxonomy/taxondetails?taxnode_id=202522986&amp;ictv_id=ICTV202522986","ICTV202522986")</f>
        <v>ICTV202522986</v>
      </c>
      <c r="R16989" t="s">
        <v>664</v>
      </c>
      <c r="S16989" t="s">
        <v>823</v>
      </c>
      <c r="T16989">
        <v>41</v>
      </c>
      <c r="U16989" s="26" t="str">
        <f t="shared" si="648"/>
        <v>2025.043B.Microviricetes_reorg.zip</v>
      </c>
    </row>
    <row r="16990" spans="1:21">
      <c r="A16990">
        <v>16989</v>
      </c>
      <c r="B16990" s="27" t="s">
        <v>20809</v>
      </c>
      <c r="D16990" s="27" t="s">
        <v>1824</v>
      </c>
      <c r="F16990" s="27" t="s">
        <v>1825</v>
      </c>
      <c r="H16990" s="27" t="s">
        <v>20810</v>
      </c>
      <c r="J16990" s="27" t="s">
        <v>20813</v>
      </c>
      <c r="L16990" s="27" t="s">
        <v>22273</v>
      </c>
      <c r="N16990" s="27" t="s">
        <v>22276</v>
      </c>
      <c r="P16990" s="27" t="s">
        <v>22277</v>
      </c>
      <c r="Q16990" s="26" t="str">
        <f>HYPERLINK("https://ictv.global/taxonomy/taxondetails?taxnode_id=202522987&amp;ictv_id=ICTV202522987","ICTV202522987")</f>
        <v>ICTV202522987</v>
      </c>
      <c r="R16990" t="s">
        <v>664</v>
      </c>
      <c r="S16990" t="s">
        <v>823</v>
      </c>
      <c r="T16990">
        <v>41</v>
      </c>
      <c r="U16990" s="26" t="str">
        <f t="shared" si="648"/>
        <v>2025.043B.Microviricetes_reorg.zip</v>
      </c>
    </row>
    <row r="16991" spans="1:21">
      <c r="A16991">
        <v>16990</v>
      </c>
      <c r="B16991" s="27" t="s">
        <v>20809</v>
      </c>
      <c r="D16991" s="27" t="s">
        <v>1824</v>
      </c>
      <c r="F16991" s="27" t="s">
        <v>1825</v>
      </c>
      <c r="H16991" s="27" t="s">
        <v>20810</v>
      </c>
      <c r="J16991" s="27" t="s">
        <v>20813</v>
      </c>
      <c r="L16991" s="27" t="s">
        <v>22273</v>
      </c>
      <c r="N16991" s="27" t="s">
        <v>22278</v>
      </c>
      <c r="P16991" s="27" t="s">
        <v>22279</v>
      </c>
      <c r="Q16991" s="26" t="str">
        <f>HYPERLINK("https://ictv.global/taxonomy/taxondetails?taxnode_id=202522988&amp;ictv_id=ICTV202522988","ICTV202522988")</f>
        <v>ICTV202522988</v>
      </c>
      <c r="R16991" t="s">
        <v>664</v>
      </c>
      <c r="S16991" t="s">
        <v>823</v>
      </c>
      <c r="T16991">
        <v>41</v>
      </c>
      <c r="U16991" s="26" t="str">
        <f t="shared" si="648"/>
        <v>2025.043B.Microviricetes_reorg.zip</v>
      </c>
    </row>
    <row r="16992" spans="1:21">
      <c r="A16992">
        <v>16991</v>
      </c>
      <c r="B16992" s="27" t="s">
        <v>20809</v>
      </c>
      <c r="D16992" s="27" t="s">
        <v>1824</v>
      </c>
      <c r="F16992" s="27" t="s">
        <v>1825</v>
      </c>
      <c r="H16992" s="27" t="s">
        <v>20810</v>
      </c>
      <c r="J16992" s="27" t="s">
        <v>20813</v>
      </c>
      <c r="L16992" s="27" t="s">
        <v>22256</v>
      </c>
      <c r="N16992" s="27" t="s">
        <v>22280</v>
      </c>
      <c r="P16992" s="27" t="s">
        <v>22281</v>
      </c>
      <c r="Q16992" s="26" t="str">
        <f>HYPERLINK("https://ictv.global/taxonomy/taxondetails?taxnode_id=202522989&amp;ictv_id=ICTV202522989","ICTV202522989")</f>
        <v>ICTV202522989</v>
      </c>
      <c r="R16992" t="s">
        <v>664</v>
      </c>
      <c r="S16992" t="s">
        <v>823</v>
      </c>
      <c r="T16992">
        <v>41</v>
      </c>
      <c r="U16992" s="26" t="str">
        <f t="shared" si="648"/>
        <v>2025.043B.Microviricetes_reorg.zip</v>
      </c>
    </row>
    <row r="16993" spans="1:21">
      <c r="A16993">
        <v>16992</v>
      </c>
      <c r="B16993" s="27" t="s">
        <v>20809</v>
      </c>
      <c r="D16993" s="27" t="s">
        <v>1824</v>
      </c>
      <c r="F16993" s="27" t="s">
        <v>1825</v>
      </c>
      <c r="H16993" s="27" t="s">
        <v>20810</v>
      </c>
      <c r="J16993" s="27" t="s">
        <v>20813</v>
      </c>
      <c r="L16993" s="27" t="s">
        <v>22256</v>
      </c>
      <c r="N16993" s="27" t="s">
        <v>22282</v>
      </c>
      <c r="P16993" s="27" t="s">
        <v>22283</v>
      </c>
      <c r="Q16993" s="26" t="str">
        <f>HYPERLINK("https://ictv.global/taxonomy/taxondetails?taxnode_id=202522990&amp;ictv_id=ICTV202522990","ICTV202522990")</f>
        <v>ICTV202522990</v>
      </c>
      <c r="R16993" t="s">
        <v>664</v>
      </c>
      <c r="S16993" t="s">
        <v>823</v>
      </c>
      <c r="T16993">
        <v>41</v>
      </c>
      <c r="U16993" s="26" t="str">
        <f t="shared" si="648"/>
        <v>2025.043B.Microviricetes_reorg.zip</v>
      </c>
    </row>
    <row r="16994" spans="1:21">
      <c r="A16994">
        <v>16993</v>
      </c>
      <c r="B16994" s="27" t="s">
        <v>20809</v>
      </c>
      <c r="D16994" s="27" t="s">
        <v>1824</v>
      </c>
      <c r="F16994" s="27" t="s">
        <v>1825</v>
      </c>
      <c r="H16994" s="27" t="s">
        <v>20810</v>
      </c>
      <c r="J16994" s="27" t="s">
        <v>20813</v>
      </c>
      <c r="L16994" s="27" t="s">
        <v>22256</v>
      </c>
      <c r="N16994" s="27" t="s">
        <v>22284</v>
      </c>
      <c r="P16994" s="27" t="s">
        <v>22285</v>
      </c>
      <c r="Q16994" s="26" t="str">
        <f>HYPERLINK("https://ictv.global/taxonomy/taxondetails?taxnode_id=202522991&amp;ictv_id=ICTV202522991","ICTV202522991")</f>
        <v>ICTV202522991</v>
      </c>
      <c r="R16994" t="s">
        <v>664</v>
      </c>
      <c r="S16994" t="s">
        <v>823</v>
      </c>
      <c r="T16994">
        <v>41</v>
      </c>
      <c r="U16994" s="26" t="str">
        <f t="shared" si="648"/>
        <v>2025.043B.Microviricetes_reorg.zip</v>
      </c>
    </row>
    <row r="16995" spans="1:21">
      <c r="A16995">
        <v>16994</v>
      </c>
      <c r="B16995" s="27" t="s">
        <v>20809</v>
      </c>
      <c r="D16995" s="27" t="s">
        <v>1824</v>
      </c>
      <c r="F16995" s="27" t="s">
        <v>1825</v>
      </c>
      <c r="H16995" s="27" t="s">
        <v>20810</v>
      </c>
      <c r="J16995" s="27" t="s">
        <v>20813</v>
      </c>
      <c r="L16995" s="27" t="s">
        <v>22256</v>
      </c>
      <c r="N16995" s="27" t="s">
        <v>22286</v>
      </c>
      <c r="P16995" s="27" t="s">
        <v>22287</v>
      </c>
      <c r="Q16995" s="26" t="str">
        <f>HYPERLINK("https://ictv.global/taxonomy/taxondetails?taxnode_id=202522992&amp;ictv_id=ICTV202522992","ICTV202522992")</f>
        <v>ICTV202522992</v>
      </c>
      <c r="R16995" t="s">
        <v>664</v>
      </c>
      <c r="S16995" t="s">
        <v>823</v>
      </c>
      <c r="T16995">
        <v>41</v>
      </c>
      <c r="U16995" s="26" t="str">
        <f t="shared" si="648"/>
        <v>2025.043B.Microviricetes_reorg.zip</v>
      </c>
    </row>
    <row r="16996" spans="1:21">
      <c r="A16996">
        <v>16995</v>
      </c>
      <c r="B16996" s="27" t="s">
        <v>20809</v>
      </c>
      <c r="D16996" s="27" t="s">
        <v>1824</v>
      </c>
      <c r="F16996" s="27" t="s">
        <v>1825</v>
      </c>
      <c r="H16996" s="27" t="s">
        <v>20810</v>
      </c>
      <c r="J16996" s="27" t="s">
        <v>20813</v>
      </c>
      <c r="L16996" s="27" t="s">
        <v>22256</v>
      </c>
      <c r="N16996" s="27" t="s">
        <v>22288</v>
      </c>
      <c r="P16996" s="27" t="s">
        <v>22289</v>
      </c>
      <c r="Q16996" s="26" t="str">
        <f>HYPERLINK("https://ictv.global/taxonomy/taxondetails?taxnode_id=202522993&amp;ictv_id=ICTV202522993","ICTV202522993")</f>
        <v>ICTV202522993</v>
      </c>
      <c r="R16996" t="s">
        <v>664</v>
      </c>
      <c r="S16996" t="s">
        <v>823</v>
      </c>
      <c r="T16996">
        <v>41</v>
      </c>
      <c r="U16996" s="26" t="str">
        <f t="shared" si="648"/>
        <v>2025.043B.Microviricetes_reorg.zip</v>
      </c>
    </row>
    <row r="16997" spans="1:21">
      <c r="A16997">
        <v>16996</v>
      </c>
      <c r="B16997" s="27" t="s">
        <v>20809</v>
      </c>
      <c r="D16997" s="27" t="s">
        <v>1824</v>
      </c>
      <c r="F16997" s="27" t="s">
        <v>1825</v>
      </c>
      <c r="H16997" s="27" t="s">
        <v>20810</v>
      </c>
      <c r="J16997" s="27" t="s">
        <v>20813</v>
      </c>
      <c r="L16997" s="27" t="s">
        <v>22256</v>
      </c>
      <c r="N16997" s="27" t="s">
        <v>22290</v>
      </c>
      <c r="P16997" s="27" t="s">
        <v>22291</v>
      </c>
      <c r="Q16997" s="26" t="str">
        <f>HYPERLINK("https://ictv.global/taxonomy/taxondetails?taxnode_id=202522994&amp;ictv_id=ICTV202522994","ICTV202522994")</f>
        <v>ICTV202522994</v>
      </c>
      <c r="R16997" t="s">
        <v>664</v>
      </c>
      <c r="S16997" t="s">
        <v>823</v>
      </c>
      <c r="T16997">
        <v>41</v>
      </c>
      <c r="U16997" s="26" t="str">
        <f t="shared" si="648"/>
        <v>2025.043B.Microviricetes_reorg.zip</v>
      </c>
    </row>
    <row r="16998" spans="1:21">
      <c r="A16998">
        <v>16997</v>
      </c>
      <c r="B16998" s="27" t="s">
        <v>20809</v>
      </c>
      <c r="D16998" s="27" t="s">
        <v>1824</v>
      </c>
      <c r="F16998" s="27" t="s">
        <v>1825</v>
      </c>
      <c r="H16998" s="27" t="s">
        <v>20810</v>
      </c>
      <c r="J16998" s="27" t="s">
        <v>20813</v>
      </c>
      <c r="L16998" s="27" t="s">
        <v>22256</v>
      </c>
      <c r="N16998" s="27" t="s">
        <v>22292</v>
      </c>
      <c r="P16998" s="27" t="s">
        <v>22293</v>
      </c>
      <c r="Q16998" s="26" t="str">
        <f>HYPERLINK("https://ictv.global/taxonomy/taxondetails?taxnode_id=202522995&amp;ictv_id=ICTV202522995","ICTV202522995")</f>
        <v>ICTV202522995</v>
      </c>
      <c r="R16998" t="s">
        <v>664</v>
      </c>
      <c r="S16998" t="s">
        <v>823</v>
      </c>
      <c r="T16998">
        <v>41</v>
      </c>
      <c r="U16998" s="26" t="str">
        <f t="shared" si="648"/>
        <v>2025.043B.Microviricetes_reorg.zip</v>
      </c>
    </row>
    <row r="16999" spans="1:21">
      <c r="A16999">
        <v>16998</v>
      </c>
      <c r="B16999" s="27" t="s">
        <v>20809</v>
      </c>
      <c r="D16999" s="27" t="s">
        <v>1824</v>
      </c>
      <c r="F16999" s="27" t="s">
        <v>1825</v>
      </c>
      <c r="H16999" s="27" t="s">
        <v>20810</v>
      </c>
      <c r="J16999" s="27" t="s">
        <v>20813</v>
      </c>
      <c r="L16999" s="27" t="s">
        <v>22256</v>
      </c>
      <c r="N16999" s="27" t="s">
        <v>22294</v>
      </c>
      <c r="P16999" s="27" t="s">
        <v>22295</v>
      </c>
      <c r="Q16999" s="26" t="str">
        <f>HYPERLINK("https://ictv.global/taxonomy/taxondetails?taxnode_id=202522996&amp;ictv_id=ICTV202522996","ICTV202522996")</f>
        <v>ICTV202522996</v>
      </c>
      <c r="R16999" t="s">
        <v>664</v>
      </c>
      <c r="S16999" t="s">
        <v>823</v>
      </c>
      <c r="T16999">
        <v>41</v>
      </c>
      <c r="U16999" s="26" t="str">
        <f t="shared" si="648"/>
        <v>2025.043B.Microviricetes_reorg.zip</v>
      </c>
    </row>
    <row r="17000" spans="1:21">
      <c r="A17000">
        <v>16999</v>
      </c>
      <c r="B17000" s="27" t="s">
        <v>20809</v>
      </c>
      <c r="D17000" s="27" t="s">
        <v>1824</v>
      </c>
      <c r="F17000" s="27" t="s">
        <v>1825</v>
      </c>
      <c r="H17000" s="27" t="s">
        <v>20810</v>
      </c>
      <c r="J17000" s="27" t="s">
        <v>20813</v>
      </c>
      <c r="L17000" s="27" t="s">
        <v>22256</v>
      </c>
      <c r="N17000" s="27" t="s">
        <v>22296</v>
      </c>
      <c r="P17000" s="27" t="s">
        <v>22297</v>
      </c>
      <c r="Q17000" s="26" t="str">
        <f>HYPERLINK("https://ictv.global/taxonomy/taxondetails?taxnode_id=202522997&amp;ictv_id=ICTV202522997","ICTV202522997")</f>
        <v>ICTV202522997</v>
      </c>
      <c r="R17000" t="s">
        <v>664</v>
      </c>
      <c r="S17000" t="s">
        <v>823</v>
      </c>
      <c r="T17000">
        <v>41</v>
      </c>
      <c r="U17000" s="26" t="str">
        <f t="shared" si="648"/>
        <v>2025.043B.Microviricetes_reorg.zip</v>
      </c>
    </row>
    <row r="17001" spans="1:21">
      <c r="A17001">
        <v>17000</v>
      </c>
      <c r="B17001" s="27" t="s">
        <v>20809</v>
      </c>
      <c r="D17001" s="27" t="s">
        <v>1824</v>
      </c>
      <c r="F17001" s="27" t="s">
        <v>1825</v>
      </c>
      <c r="H17001" s="27" t="s">
        <v>20810</v>
      </c>
      <c r="J17001" s="27" t="s">
        <v>20813</v>
      </c>
      <c r="L17001" s="27" t="s">
        <v>22256</v>
      </c>
      <c r="N17001" s="27" t="s">
        <v>22298</v>
      </c>
      <c r="P17001" s="27" t="s">
        <v>22299</v>
      </c>
      <c r="Q17001" s="26" t="str">
        <f>HYPERLINK("https://ictv.global/taxonomy/taxondetails?taxnode_id=202522998&amp;ictv_id=ICTV202522998","ICTV202522998")</f>
        <v>ICTV202522998</v>
      </c>
      <c r="R17001" t="s">
        <v>664</v>
      </c>
      <c r="S17001" t="s">
        <v>823</v>
      </c>
      <c r="T17001">
        <v>41</v>
      </c>
      <c r="U17001" s="26" t="str">
        <f t="shared" ref="U17001:U17035" si="649">HYPERLINK("https://ictv.global/ictv/proposals/2025.043B.Microviricetes_reorg.zip","2025.043B.Microviricetes_reorg.zip")</f>
        <v>2025.043B.Microviricetes_reorg.zip</v>
      </c>
    </row>
    <row r="17002" spans="1:21">
      <c r="A17002">
        <v>17001</v>
      </c>
      <c r="B17002" s="27" t="s">
        <v>20809</v>
      </c>
      <c r="D17002" s="27" t="s">
        <v>1824</v>
      </c>
      <c r="F17002" s="27" t="s">
        <v>1825</v>
      </c>
      <c r="H17002" s="27" t="s">
        <v>20810</v>
      </c>
      <c r="J17002" s="27" t="s">
        <v>20813</v>
      </c>
      <c r="L17002" s="27" t="s">
        <v>22256</v>
      </c>
      <c r="N17002" s="27" t="s">
        <v>22300</v>
      </c>
      <c r="P17002" s="27" t="s">
        <v>22301</v>
      </c>
      <c r="Q17002" s="26" t="str">
        <f>HYPERLINK("https://ictv.global/taxonomy/taxondetails?taxnode_id=202522999&amp;ictv_id=ICTV202522999","ICTV202522999")</f>
        <v>ICTV202522999</v>
      </c>
      <c r="R17002" t="s">
        <v>664</v>
      </c>
      <c r="S17002" t="s">
        <v>823</v>
      </c>
      <c r="T17002">
        <v>41</v>
      </c>
      <c r="U17002" s="26" t="str">
        <f t="shared" si="649"/>
        <v>2025.043B.Microviricetes_reorg.zip</v>
      </c>
    </row>
    <row r="17003" spans="1:21">
      <c r="A17003">
        <v>17002</v>
      </c>
      <c r="B17003" s="27" t="s">
        <v>20809</v>
      </c>
      <c r="D17003" s="27" t="s">
        <v>1824</v>
      </c>
      <c r="F17003" s="27" t="s">
        <v>1825</v>
      </c>
      <c r="H17003" s="27" t="s">
        <v>20810</v>
      </c>
      <c r="J17003" s="27" t="s">
        <v>20813</v>
      </c>
      <c r="L17003" s="27" t="s">
        <v>22256</v>
      </c>
      <c r="N17003" s="27" t="s">
        <v>22257</v>
      </c>
      <c r="P17003" s="27" t="s">
        <v>22258</v>
      </c>
      <c r="Q17003" s="26" t="str">
        <f>HYPERLINK("https://ictv.global/taxonomy/taxondetails?taxnode_id=202522978&amp;ictv_id=ICTV202522978","ICTV202522978")</f>
        <v>ICTV202522978</v>
      </c>
      <c r="R17003" t="s">
        <v>664</v>
      </c>
      <c r="S17003" t="s">
        <v>823</v>
      </c>
      <c r="T17003">
        <v>41</v>
      </c>
      <c r="U17003" s="26" t="str">
        <f t="shared" si="649"/>
        <v>2025.043B.Microviricetes_reorg.zip</v>
      </c>
    </row>
    <row r="17004" spans="1:21">
      <c r="A17004">
        <v>17003</v>
      </c>
      <c r="B17004" s="27" t="s">
        <v>20809</v>
      </c>
      <c r="D17004" s="27" t="s">
        <v>1824</v>
      </c>
      <c r="F17004" s="27" t="s">
        <v>1825</v>
      </c>
      <c r="H17004" s="27" t="s">
        <v>20810</v>
      </c>
      <c r="J17004" s="27" t="s">
        <v>20813</v>
      </c>
      <c r="L17004" s="27" t="s">
        <v>22256</v>
      </c>
      <c r="N17004" s="27" t="s">
        <v>22259</v>
      </c>
      <c r="P17004" s="27" t="s">
        <v>22260</v>
      </c>
      <c r="Q17004" s="26" t="str">
        <f>HYPERLINK("https://ictv.global/taxonomy/taxondetails?taxnode_id=202522979&amp;ictv_id=ICTV202522979","ICTV202522979")</f>
        <v>ICTV202522979</v>
      </c>
      <c r="R17004" t="s">
        <v>664</v>
      </c>
      <c r="S17004" t="s">
        <v>823</v>
      </c>
      <c r="T17004">
        <v>41</v>
      </c>
      <c r="U17004" s="26" t="str">
        <f t="shared" si="649"/>
        <v>2025.043B.Microviricetes_reorg.zip</v>
      </c>
    </row>
    <row r="17005" spans="1:21">
      <c r="A17005">
        <v>17004</v>
      </c>
      <c r="B17005" s="27" t="s">
        <v>20809</v>
      </c>
      <c r="D17005" s="27" t="s">
        <v>1824</v>
      </c>
      <c r="F17005" s="27" t="s">
        <v>1825</v>
      </c>
      <c r="H17005" s="27" t="s">
        <v>20810</v>
      </c>
      <c r="J17005" s="27" t="s">
        <v>20813</v>
      </c>
      <c r="L17005" s="27" t="s">
        <v>22256</v>
      </c>
      <c r="N17005" s="27" t="s">
        <v>22302</v>
      </c>
      <c r="P17005" s="27" t="s">
        <v>22303</v>
      </c>
      <c r="Q17005" s="26" t="str">
        <f>HYPERLINK("https://ictv.global/taxonomy/taxondetails?taxnode_id=202523000&amp;ictv_id=ICTV202523000","ICTV202523000")</f>
        <v>ICTV202523000</v>
      </c>
      <c r="R17005" t="s">
        <v>664</v>
      </c>
      <c r="S17005" t="s">
        <v>823</v>
      </c>
      <c r="T17005">
        <v>41</v>
      </c>
      <c r="U17005" s="26" t="str">
        <f t="shared" si="649"/>
        <v>2025.043B.Microviricetes_reorg.zip</v>
      </c>
    </row>
    <row r="17006" spans="1:21">
      <c r="A17006">
        <v>17005</v>
      </c>
      <c r="B17006" s="27" t="s">
        <v>20809</v>
      </c>
      <c r="D17006" s="27" t="s">
        <v>1824</v>
      </c>
      <c r="F17006" s="27" t="s">
        <v>1825</v>
      </c>
      <c r="H17006" s="27" t="s">
        <v>20810</v>
      </c>
      <c r="J17006" s="27" t="s">
        <v>20813</v>
      </c>
      <c r="L17006" s="27" t="s">
        <v>22256</v>
      </c>
      <c r="N17006" s="27" t="s">
        <v>22265</v>
      </c>
      <c r="P17006" s="27" t="s">
        <v>22266</v>
      </c>
      <c r="Q17006" s="26" t="str">
        <f>HYPERLINK("https://ictv.global/taxonomy/taxondetails?taxnode_id=202522982&amp;ictv_id=ICTV202522982","ICTV202522982")</f>
        <v>ICTV202522982</v>
      </c>
      <c r="R17006" t="s">
        <v>664</v>
      </c>
      <c r="S17006" t="s">
        <v>823</v>
      </c>
      <c r="T17006">
        <v>41</v>
      </c>
      <c r="U17006" s="26" t="str">
        <f t="shared" si="649"/>
        <v>2025.043B.Microviricetes_reorg.zip</v>
      </c>
    </row>
    <row r="17007" spans="1:21">
      <c r="A17007">
        <v>17006</v>
      </c>
      <c r="B17007" s="27" t="s">
        <v>20809</v>
      </c>
      <c r="D17007" s="27" t="s">
        <v>1824</v>
      </c>
      <c r="F17007" s="27" t="s">
        <v>1825</v>
      </c>
      <c r="H17007" s="27" t="s">
        <v>20810</v>
      </c>
      <c r="J17007" s="27" t="s">
        <v>20813</v>
      </c>
      <c r="L17007" s="27" t="s">
        <v>22256</v>
      </c>
      <c r="N17007" s="27" t="s">
        <v>22304</v>
      </c>
      <c r="P17007" s="27" t="s">
        <v>22305</v>
      </c>
      <c r="Q17007" s="26" t="str">
        <f>HYPERLINK("https://ictv.global/taxonomy/taxondetails?taxnode_id=202523001&amp;ictv_id=ICTV202523001","ICTV202523001")</f>
        <v>ICTV202523001</v>
      </c>
      <c r="R17007" t="s">
        <v>664</v>
      </c>
      <c r="S17007" t="s">
        <v>823</v>
      </c>
      <c r="T17007">
        <v>41</v>
      </c>
      <c r="U17007" s="26" t="str">
        <f t="shared" si="649"/>
        <v>2025.043B.Microviricetes_reorg.zip</v>
      </c>
    </row>
    <row r="17008" spans="1:21">
      <c r="A17008">
        <v>17007</v>
      </c>
      <c r="B17008" s="27" t="s">
        <v>20809</v>
      </c>
      <c r="D17008" s="27" t="s">
        <v>1824</v>
      </c>
      <c r="F17008" s="27" t="s">
        <v>1825</v>
      </c>
      <c r="H17008" s="27" t="s">
        <v>20810</v>
      </c>
      <c r="J17008" s="27" t="s">
        <v>20813</v>
      </c>
      <c r="L17008" s="27" t="s">
        <v>22306</v>
      </c>
      <c r="N17008" s="27" t="s">
        <v>22307</v>
      </c>
      <c r="P17008" s="27" t="s">
        <v>22308</v>
      </c>
      <c r="Q17008" s="26" t="str">
        <f>HYPERLINK("https://ictv.global/taxonomy/taxondetails?taxnode_id=202523002&amp;ictv_id=ICTV202523002","ICTV202523002")</f>
        <v>ICTV202523002</v>
      </c>
      <c r="R17008" t="s">
        <v>664</v>
      </c>
      <c r="S17008" t="s">
        <v>823</v>
      </c>
      <c r="T17008">
        <v>41</v>
      </c>
      <c r="U17008" s="26" t="str">
        <f t="shared" si="649"/>
        <v>2025.043B.Microviricetes_reorg.zip</v>
      </c>
    </row>
    <row r="17009" spans="1:21">
      <c r="A17009">
        <v>17008</v>
      </c>
      <c r="B17009" s="27" t="s">
        <v>20809</v>
      </c>
      <c r="D17009" s="27" t="s">
        <v>1824</v>
      </c>
      <c r="F17009" s="27" t="s">
        <v>1825</v>
      </c>
      <c r="H17009" s="27" t="s">
        <v>20810</v>
      </c>
      <c r="J17009" s="27" t="s">
        <v>20813</v>
      </c>
      <c r="L17009" s="27" t="s">
        <v>22306</v>
      </c>
      <c r="N17009" s="27" t="s">
        <v>22309</v>
      </c>
      <c r="P17009" s="27" t="s">
        <v>22310</v>
      </c>
      <c r="Q17009" s="26" t="str">
        <f>HYPERLINK("https://ictv.global/taxonomy/taxondetails?taxnode_id=202523003&amp;ictv_id=ICTV202523003","ICTV202523003")</f>
        <v>ICTV202523003</v>
      </c>
      <c r="R17009" t="s">
        <v>664</v>
      </c>
      <c r="S17009" t="s">
        <v>823</v>
      </c>
      <c r="T17009">
        <v>41</v>
      </c>
      <c r="U17009" s="26" t="str">
        <f t="shared" si="649"/>
        <v>2025.043B.Microviricetes_reorg.zip</v>
      </c>
    </row>
    <row r="17010" spans="1:21">
      <c r="A17010">
        <v>17009</v>
      </c>
      <c r="B17010" s="27" t="s">
        <v>20809</v>
      </c>
      <c r="D17010" s="27" t="s">
        <v>1824</v>
      </c>
      <c r="F17010" s="27" t="s">
        <v>1825</v>
      </c>
      <c r="H17010" s="27" t="s">
        <v>20810</v>
      </c>
      <c r="J17010" s="27" t="s">
        <v>20813</v>
      </c>
      <c r="L17010" s="27" t="s">
        <v>22306</v>
      </c>
      <c r="N17010" s="27" t="s">
        <v>22311</v>
      </c>
      <c r="P17010" s="27" t="s">
        <v>22312</v>
      </c>
      <c r="Q17010" s="26" t="str">
        <f>HYPERLINK("https://ictv.global/taxonomy/taxondetails?taxnode_id=202523004&amp;ictv_id=ICTV202523004","ICTV202523004")</f>
        <v>ICTV202523004</v>
      </c>
      <c r="R17010" t="s">
        <v>664</v>
      </c>
      <c r="S17010" t="s">
        <v>823</v>
      </c>
      <c r="T17010">
        <v>41</v>
      </c>
      <c r="U17010" s="26" t="str">
        <f t="shared" si="649"/>
        <v>2025.043B.Microviricetes_reorg.zip</v>
      </c>
    </row>
    <row r="17011" spans="1:21">
      <c r="A17011">
        <v>17010</v>
      </c>
      <c r="B17011" s="27" t="s">
        <v>20809</v>
      </c>
      <c r="D17011" s="27" t="s">
        <v>1824</v>
      </c>
      <c r="F17011" s="27" t="s">
        <v>1825</v>
      </c>
      <c r="H17011" s="27" t="s">
        <v>20810</v>
      </c>
      <c r="J17011" s="27" t="s">
        <v>20813</v>
      </c>
      <c r="L17011" s="27" t="s">
        <v>22306</v>
      </c>
      <c r="N17011" s="27" t="s">
        <v>22313</v>
      </c>
      <c r="P17011" s="27" t="s">
        <v>22314</v>
      </c>
      <c r="Q17011" s="26" t="str">
        <f>HYPERLINK("https://ictv.global/taxonomy/taxondetails?taxnode_id=202523005&amp;ictv_id=ICTV202523005","ICTV202523005")</f>
        <v>ICTV202523005</v>
      </c>
      <c r="R17011" t="s">
        <v>664</v>
      </c>
      <c r="S17011" t="s">
        <v>823</v>
      </c>
      <c r="T17011">
        <v>41</v>
      </c>
      <c r="U17011" s="26" t="str">
        <f t="shared" si="649"/>
        <v>2025.043B.Microviricetes_reorg.zip</v>
      </c>
    </row>
    <row r="17012" spans="1:21">
      <c r="A17012">
        <v>17011</v>
      </c>
      <c r="B17012" s="27" t="s">
        <v>20809</v>
      </c>
      <c r="D17012" s="27" t="s">
        <v>1824</v>
      </c>
      <c r="F17012" s="27" t="s">
        <v>1825</v>
      </c>
      <c r="H17012" s="27" t="s">
        <v>20810</v>
      </c>
      <c r="J17012" s="27" t="s">
        <v>20813</v>
      </c>
      <c r="L17012" s="27" t="s">
        <v>22306</v>
      </c>
      <c r="N17012" s="27" t="s">
        <v>22315</v>
      </c>
      <c r="P17012" s="27" t="s">
        <v>22316</v>
      </c>
      <c r="Q17012" s="26" t="str">
        <f>HYPERLINK("https://ictv.global/taxonomy/taxondetails?taxnode_id=202523006&amp;ictv_id=ICTV202523006","ICTV202523006")</f>
        <v>ICTV202523006</v>
      </c>
      <c r="R17012" t="s">
        <v>664</v>
      </c>
      <c r="S17012" t="s">
        <v>823</v>
      </c>
      <c r="T17012">
        <v>41</v>
      </c>
      <c r="U17012" s="26" t="str">
        <f t="shared" si="649"/>
        <v>2025.043B.Microviricetes_reorg.zip</v>
      </c>
    </row>
    <row r="17013" spans="1:21">
      <c r="A17013">
        <v>17012</v>
      </c>
      <c r="B17013" s="27" t="s">
        <v>20809</v>
      </c>
      <c r="D17013" s="27" t="s">
        <v>1824</v>
      </c>
      <c r="F17013" s="27" t="s">
        <v>1825</v>
      </c>
      <c r="H17013" s="27" t="s">
        <v>20810</v>
      </c>
      <c r="J17013" s="27" t="s">
        <v>22317</v>
      </c>
      <c r="L17013" s="27" t="s">
        <v>22318</v>
      </c>
      <c r="N17013" s="27" t="s">
        <v>22319</v>
      </c>
      <c r="P17013" s="27" t="s">
        <v>22320</v>
      </c>
      <c r="Q17013" s="26" t="str">
        <f>HYPERLINK("https://ictv.global/taxonomy/taxondetails?taxnode_id=202523007&amp;ictv_id=ICTV202523007","ICTV202523007")</f>
        <v>ICTV202523007</v>
      </c>
      <c r="R17013" t="s">
        <v>664</v>
      </c>
      <c r="S17013" t="s">
        <v>823</v>
      </c>
      <c r="T17013">
        <v>41</v>
      </c>
      <c r="U17013" s="26" t="str">
        <f t="shared" si="649"/>
        <v>2025.043B.Microviricetes_reorg.zip</v>
      </c>
    </row>
    <row r="17014" spans="1:21">
      <c r="A17014">
        <v>17013</v>
      </c>
      <c r="B17014" s="27" t="s">
        <v>20809</v>
      </c>
      <c r="D17014" s="27" t="s">
        <v>1824</v>
      </c>
      <c r="F17014" s="27" t="s">
        <v>1825</v>
      </c>
      <c r="H17014" s="27" t="s">
        <v>20810</v>
      </c>
      <c r="J17014" s="27" t="s">
        <v>22317</v>
      </c>
      <c r="L17014" s="27" t="s">
        <v>22318</v>
      </c>
      <c r="N17014" s="27" t="s">
        <v>22321</v>
      </c>
      <c r="P17014" s="27" t="s">
        <v>22322</v>
      </c>
      <c r="Q17014" s="26" t="str">
        <f>HYPERLINK("https://ictv.global/taxonomy/taxondetails?taxnode_id=202523008&amp;ictv_id=ICTV202523008","ICTV202523008")</f>
        <v>ICTV202523008</v>
      </c>
      <c r="R17014" t="s">
        <v>664</v>
      </c>
      <c r="S17014" t="s">
        <v>823</v>
      </c>
      <c r="T17014">
        <v>41</v>
      </c>
      <c r="U17014" s="26" t="str">
        <f t="shared" si="649"/>
        <v>2025.043B.Microviricetes_reorg.zip</v>
      </c>
    </row>
    <row r="17015" spans="1:21">
      <c r="A17015">
        <v>17014</v>
      </c>
      <c r="B17015" s="27" t="s">
        <v>20809</v>
      </c>
      <c r="D17015" s="27" t="s">
        <v>1824</v>
      </c>
      <c r="F17015" s="27" t="s">
        <v>1825</v>
      </c>
      <c r="H17015" s="27" t="s">
        <v>20810</v>
      </c>
      <c r="J17015" s="27" t="s">
        <v>22317</v>
      </c>
      <c r="L17015" s="27" t="s">
        <v>22318</v>
      </c>
      <c r="N17015" s="27" t="s">
        <v>22323</v>
      </c>
      <c r="P17015" s="27" t="s">
        <v>22324</v>
      </c>
      <c r="Q17015" s="26" t="str">
        <f>HYPERLINK("https://ictv.global/taxonomy/taxondetails?taxnode_id=202523009&amp;ictv_id=ICTV202523009","ICTV202523009")</f>
        <v>ICTV202523009</v>
      </c>
      <c r="R17015" t="s">
        <v>664</v>
      </c>
      <c r="S17015" t="s">
        <v>823</v>
      </c>
      <c r="T17015">
        <v>41</v>
      </c>
      <c r="U17015" s="26" t="str">
        <f t="shared" si="649"/>
        <v>2025.043B.Microviricetes_reorg.zip</v>
      </c>
    </row>
    <row r="17016" spans="1:21">
      <c r="A17016">
        <v>17015</v>
      </c>
      <c r="B17016" s="27" t="s">
        <v>20809</v>
      </c>
      <c r="D17016" s="27" t="s">
        <v>1824</v>
      </c>
      <c r="F17016" s="27" t="s">
        <v>1825</v>
      </c>
      <c r="H17016" s="27" t="s">
        <v>20810</v>
      </c>
      <c r="J17016" s="27" t="s">
        <v>22325</v>
      </c>
      <c r="L17016" s="27" t="s">
        <v>22326</v>
      </c>
      <c r="N17016" s="27" t="s">
        <v>22327</v>
      </c>
      <c r="P17016" s="27" t="s">
        <v>22328</v>
      </c>
      <c r="Q17016" s="26" t="str">
        <f>HYPERLINK("https://ictv.global/taxonomy/taxondetails?taxnode_id=202523010&amp;ictv_id=ICTV202523010","ICTV202523010")</f>
        <v>ICTV202523010</v>
      </c>
      <c r="R17016" t="s">
        <v>664</v>
      </c>
      <c r="S17016" t="s">
        <v>823</v>
      </c>
      <c r="T17016">
        <v>41</v>
      </c>
      <c r="U17016" s="26" t="str">
        <f t="shared" si="649"/>
        <v>2025.043B.Microviricetes_reorg.zip</v>
      </c>
    </row>
    <row r="17017" spans="1:21">
      <c r="A17017">
        <v>17016</v>
      </c>
      <c r="B17017" s="27" t="s">
        <v>20809</v>
      </c>
      <c r="D17017" s="27" t="s">
        <v>1824</v>
      </c>
      <c r="F17017" s="27" t="s">
        <v>1825</v>
      </c>
      <c r="H17017" s="27" t="s">
        <v>20810</v>
      </c>
      <c r="J17017" s="27" t="s">
        <v>22325</v>
      </c>
      <c r="L17017" s="27" t="s">
        <v>22326</v>
      </c>
      <c r="N17017" s="27" t="s">
        <v>22329</v>
      </c>
      <c r="P17017" s="27" t="s">
        <v>22330</v>
      </c>
      <c r="Q17017" s="26" t="str">
        <f>HYPERLINK("https://ictv.global/taxonomy/taxondetails?taxnode_id=202523011&amp;ictv_id=ICTV202523011","ICTV202523011")</f>
        <v>ICTV202523011</v>
      </c>
      <c r="R17017" t="s">
        <v>664</v>
      </c>
      <c r="S17017" t="s">
        <v>823</v>
      </c>
      <c r="T17017">
        <v>41</v>
      </c>
      <c r="U17017" s="26" t="str">
        <f t="shared" si="649"/>
        <v>2025.043B.Microviricetes_reorg.zip</v>
      </c>
    </row>
    <row r="17018" spans="1:21">
      <c r="A17018">
        <v>17017</v>
      </c>
      <c r="B17018" s="27" t="s">
        <v>20809</v>
      </c>
      <c r="D17018" s="27" t="s">
        <v>1824</v>
      </c>
      <c r="F17018" s="27" t="s">
        <v>1825</v>
      </c>
      <c r="H17018" s="27" t="s">
        <v>20810</v>
      </c>
      <c r="J17018" s="27" t="s">
        <v>22325</v>
      </c>
      <c r="L17018" s="27" t="s">
        <v>22326</v>
      </c>
      <c r="N17018" s="27" t="s">
        <v>22331</v>
      </c>
      <c r="P17018" s="27" t="s">
        <v>22332</v>
      </c>
      <c r="Q17018" s="26" t="str">
        <f>HYPERLINK("https://ictv.global/taxonomy/taxondetails?taxnode_id=202523012&amp;ictv_id=ICTV202523012","ICTV202523012")</f>
        <v>ICTV202523012</v>
      </c>
      <c r="R17018" t="s">
        <v>664</v>
      </c>
      <c r="S17018" t="s">
        <v>823</v>
      </c>
      <c r="T17018">
        <v>41</v>
      </c>
      <c r="U17018" s="26" t="str">
        <f t="shared" si="649"/>
        <v>2025.043B.Microviricetes_reorg.zip</v>
      </c>
    </row>
    <row r="17019" spans="1:21">
      <c r="A17019">
        <v>17018</v>
      </c>
      <c r="B17019" s="27" t="s">
        <v>20809</v>
      </c>
      <c r="D17019" s="27" t="s">
        <v>1824</v>
      </c>
      <c r="F17019" s="27" t="s">
        <v>1825</v>
      </c>
      <c r="H17019" s="27" t="s">
        <v>20810</v>
      </c>
      <c r="J17019" s="27" t="s">
        <v>22325</v>
      </c>
      <c r="L17019" s="27" t="s">
        <v>22326</v>
      </c>
      <c r="N17019" s="27" t="s">
        <v>22333</v>
      </c>
      <c r="P17019" s="27" t="s">
        <v>22334</v>
      </c>
      <c r="Q17019" s="26" t="str">
        <f>HYPERLINK("https://ictv.global/taxonomy/taxondetails?taxnode_id=202523013&amp;ictv_id=ICTV202523013","ICTV202523013")</f>
        <v>ICTV202523013</v>
      </c>
      <c r="R17019" t="s">
        <v>664</v>
      </c>
      <c r="S17019" t="s">
        <v>823</v>
      </c>
      <c r="T17019">
        <v>41</v>
      </c>
      <c r="U17019" s="26" t="str">
        <f t="shared" si="649"/>
        <v>2025.043B.Microviricetes_reorg.zip</v>
      </c>
    </row>
    <row r="17020" spans="1:21">
      <c r="A17020">
        <v>17019</v>
      </c>
      <c r="B17020" s="27" t="s">
        <v>20809</v>
      </c>
      <c r="D17020" s="27" t="s">
        <v>1824</v>
      </c>
      <c r="F17020" s="27" t="s">
        <v>1825</v>
      </c>
      <c r="H17020" s="27" t="s">
        <v>20810</v>
      </c>
      <c r="J17020" s="27" t="s">
        <v>22325</v>
      </c>
      <c r="L17020" s="27" t="s">
        <v>22326</v>
      </c>
      <c r="N17020" s="27" t="s">
        <v>22335</v>
      </c>
      <c r="P17020" s="27" t="s">
        <v>22336</v>
      </c>
      <c r="Q17020" s="26" t="str">
        <f>HYPERLINK("https://ictv.global/taxonomy/taxondetails?taxnode_id=202523014&amp;ictv_id=ICTV202523014","ICTV202523014")</f>
        <v>ICTV202523014</v>
      </c>
      <c r="R17020" t="s">
        <v>664</v>
      </c>
      <c r="S17020" t="s">
        <v>823</v>
      </c>
      <c r="T17020">
        <v>41</v>
      </c>
      <c r="U17020" s="26" t="str">
        <f t="shared" si="649"/>
        <v>2025.043B.Microviricetes_reorg.zip</v>
      </c>
    </row>
    <row r="17021" spans="1:21">
      <c r="A17021">
        <v>17020</v>
      </c>
      <c r="B17021" s="27" t="s">
        <v>20809</v>
      </c>
      <c r="D17021" s="27" t="s">
        <v>1824</v>
      </c>
      <c r="F17021" s="27" t="s">
        <v>1825</v>
      </c>
      <c r="H17021" s="27" t="s">
        <v>20810</v>
      </c>
      <c r="J17021" s="27" t="s">
        <v>22337</v>
      </c>
      <c r="L17021" s="27" t="s">
        <v>22338</v>
      </c>
      <c r="N17021" s="27" t="s">
        <v>22339</v>
      </c>
      <c r="P17021" s="27" t="s">
        <v>22340</v>
      </c>
      <c r="Q17021" s="26" t="str">
        <f>HYPERLINK("https://ictv.global/taxonomy/taxondetails?taxnode_id=202523015&amp;ictv_id=ICTV202523015","ICTV202523015")</f>
        <v>ICTV202523015</v>
      </c>
      <c r="R17021" t="s">
        <v>664</v>
      </c>
      <c r="S17021" t="s">
        <v>823</v>
      </c>
      <c r="T17021">
        <v>41</v>
      </c>
      <c r="U17021" s="26" t="str">
        <f t="shared" si="649"/>
        <v>2025.043B.Microviricetes_reorg.zip</v>
      </c>
    </row>
    <row r="17022" spans="1:21">
      <c r="A17022">
        <v>17021</v>
      </c>
      <c r="B17022" s="27" t="s">
        <v>20809</v>
      </c>
      <c r="D17022" s="27" t="s">
        <v>1824</v>
      </c>
      <c r="F17022" s="27" t="s">
        <v>1825</v>
      </c>
      <c r="H17022" s="27" t="s">
        <v>20810</v>
      </c>
      <c r="J17022" s="27" t="s">
        <v>22337</v>
      </c>
      <c r="L17022" s="27" t="s">
        <v>22338</v>
      </c>
      <c r="N17022" s="27" t="s">
        <v>22339</v>
      </c>
      <c r="P17022" s="27" t="s">
        <v>22341</v>
      </c>
      <c r="Q17022" s="26" t="str">
        <f>HYPERLINK("https://ictv.global/taxonomy/taxondetails?taxnode_id=202523016&amp;ictv_id=ICTV202523016","ICTV202523016")</f>
        <v>ICTV202523016</v>
      </c>
      <c r="R17022" t="s">
        <v>664</v>
      </c>
      <c r="S17022" t="s">
        <v>823</v>
      </c>
      <c r="T17022">
        <v>41</v>
      </c>
      <c r="U17022" s="26" t="str">
        <f t="shared" si="649"/>
        <v>2025.043B.Microviricetes_reorg.zip</v>
      </c>
    </row>
    <row r="17023" spans="1:21">
      <c r="A17023">
        <v>17022</v>
      </c>
      <c r="B17023" s="27" t="s">
        <v>20809</v>
      </c>
      <c r="D17023" s="27" t="s">
        <v>1824</v>
      </c>
      <c r="F17023" s="27" t="s">
        <v>1825</v>
      </c>
      <c r="H17023" s="27" t="s">
        <v>20810</v>
      </c>
      <c r="J17023" s="27" t="s">
        <v>22337</v>
      </c>
      <c r="L17023" s="27" t="s">
        <v>22338</v>
      </c>
      <c r="N17023" s="27" t="s">
        <v>22339</v>
      </c>
      <c r="P17023" s="27" t="s">
        <v>22342</v>
      </c>
      <c r="Q17023" s="26" t="str">
        <f>HYPERLINK("https://ictv.global/taxonomy/taxondetails?taxnode_id=202523017&amp;ictv_id=ICTV202523017","ICTV202523017")</f>
        <v>ICTV202523017</v>
      </c>
      <c r="R17023" t="s">
        <v>664</v>
      </c>
      <c r="S17023" t="s">
        <v>823</v>
      </c>
      <c r="T17023">
        <v>41</v>
      </c>
      <c r="U17023" s="26" t="str">
        <f t="shared" si="649"/>
        <v>2025.043B.Microviricetes_reorg.zip</v>
      </c>
    </row>
    <row r="17024" spans="1:21">
      <c r="A17024">
        <v>17023</v>
      </c>
      <c r="B17024" s="27" t="s">
        <v>20809</v>
      </c>
      <c r="D17024" s="27" t="s">
        <v>1824</v>
      </c>
      <c r="F17024" s="27" t="s">
        <v>1825</v>
      </c>
      <c r="H17024" s="27" t="s">
        <v>20810</v>
      </c>
      <c r="J17024" s="27" t="s">
        <v>22337</v>
      </c>
      <c r="L17024" s="27" t="s">
        <v>22338</v>
      </c>
      <c r="N17024" s="27" t="s">
        <v>22343</v>
      </c>
      <c r="P17024" s="27" t="s">
        <v>22344</v>
      </c>
      <c r="Q17024" s="26" t="str">
        <f>HYPERLINK("https://ictv.global/taxonomy/taxondetails?taxnode_id=202523018&amp;ictv_id=ICTV202523018","ICTV202523018")</f>
        <v>ICTV202523018</v>
      </c>
      <c r="R17024" t="s">
        <v>664</v>
      </c>
      <c r="S17024" t="s">
        <v>823</v>
      </c>
      <c r="T17024">
        <v>41</v>
      </c>
      <c r="U17024" s="26" t="str">
        <f t="shared" si="649"/>
        <v>2025.043B.Microviricetes_reorg.zip</v>
      </c>
    </row>
    <row r="17025" spans="1:21">
      <c r="A17025">
        <v>17024</v>
      </c>
      <c r="B17025" s="27" t="s">
        <v>20809</v>
      </c>
      <c r="D17025" s="27" t="s">
        <v>1824</v>
      </c>
      <c r="F17025" s="27" t="s">
        <v>1825</v>
      </c>
      <c r="H17025" s="27" t="s">
        <v>20810</v>
      </c>
      <c r="J17025" s="27" t="s">
        <v>22337</v>
      </c>
      <c r="L17025" s="27" t="s">
        <v>22338</v>
      </c>
      <c r="N17025" s="27" t="s">
        <v>22345</v>
      </c>
      <c r="P17025" s="27" t="s">
        <v>22346</v>
      </c>
      <c r="Q17025" s="26" t="str">
        <f>HYPERLINK("https://ictv.global/taxonomy/taxondetails?taxnode_id=202523019&amp;ictv_id=ICTV202523019","ICTV202523019")</f>
        <v>ICTV202523019</v>
      </c>
      <c r="R17025" t="s">
        <v>664</v>
      </c>
      <c r="S17025" t="s">
        <v>823</v>
      </c>
      <c r="T17025">
        <v>41</v>
      </c>
      <c r="U17025" s="26" t="str">
        <f t="shared" si="649"/>
        <v>2025.043B.Microviricetes_reorg.zip</v>
      </c>
    </row>
    <row r="17026" spans="1:21">
      <c r="A17026">
        <v>17025</v>
      </c>
      <c r="B17026" s="27" t="s">
        <v>20809</v>
      </c>
      <c r="D17026" s="27" t="s">
        <v>1824</v>
      </c>
      <c r="F17026" s="27" t="s">
        <v>1825</v>
      </c>
      <c r="H17026" s="27" t="s">
        <v>20810</v>
      </c>
      <c r="J17026" s="27" t="s">
        <v>22337</v>
      </c>
      <c r="L17026" s="27" t="s">
        <v>22338</v>
      </c>
      <c r="N17026" s="27" t="s">
        <v>22345</v>
      </c>
      <c r="P17026" s="27" t="s">
        <v>22347</v>
      </c>
      <c r="Q17026" s="26" t="str">
        <f>HYPERLINK("https://ictv.global/taxonomy/taxondetails?taxnode_id=202523020&amp;ictv_id=ICTV202523020","ICTV202523020")</f>
        <v>ICTV202523020</v>
      </c>
      <c r="R17026" t="s">
        <v>664</v>
      </c>
      <c r="S17026" t="s">
        <v>823</v>
      </c>
      <c r="T17026">
        <v>41</v>
      </c>
      <c r="U17026" s="26" t="str">
        <f t="shared" si="649"/>
        <v>2025.043B.Microviricetes_reorg.zip</v>
      </c>
    </row>
    <row r="17027" spans="1:21">
      <c r="A17027">
        <v>17026</v>
      </c>
      <c r="B17027" s="27" t="s">
        <v>20809</v>
      </c>
      <c r="D17027" s="27" t="s">
        <v>1824</v>
      </c>
      <c r="F17027" s="27" t="s">
        <v>1825</v>
      </c>
      <c r="H17027" s="27" t="s">
        <v>20810</v>
      </c>
      <c r="J17027" s="27" t="s">
        <v>22337</v>
      </c>
      <c r="L17027" s="27" t="s">
        <v>22338</v>
      </c>
      <c r="N17027" s="27" t="s">
        <v>22348</v>
      </c>
      <c r="P17027" s="27" t="s">
        <v>22349</v>
      </c>
      <c r="Q17027" s="26" t="str">
        <f>HYPERLINK("https://ictv.global/taxonomy/taxondetails?taxnode_id=202523021&amp;ictv_id=ICTV202523021","ICTV202523021")</f>
        <v>ICTV202523021</v>
      </c>
      <c r="R17027" t="s">
        <v>664</v>
      </c>
      <c r="S17027" t="s">
        <v>823</v>
      </c>
      <c r="T17027">
        <v>41</v>
      </c>
      <c r="U17027" s="26" t="str">
        <f t="shared" si="649"/>
        <v>2025.043B.Microviricetes_reorg.zip</v>
      </c>
    </row>
    <row r="17028" spans="1:21">
      <c r="A17028">
        <v>17027</v>
      </c>
      <c r="B17028" s="27" t="s">
        <v>20809</v>
      </c>
      <c r="D17028" s="27" t="s">
        <v>1824</v>
      </c>
      <c r="F17028" s="27" t="s">
        <v>1825</v>
      </c>
      <c r="H17028" s="27" t="s">
        <v>20810</v>
      </c>
      <c r="J17028" s="27" t="s">
        <v>22337</v>
      </c>
      <c r="L17028" s="27" t="s">
        <v>22338</v>
      </c>
      <c r="N17028" s="27" t="s">
        <v>22350</v>
      </c>
      <c r="P17028" s="27" t="s">
        <v>22351</v>
      </c>
      <c r="Q17028" s="26" t="str">
        <f>HYPERLINK("https://ictv.global/taxonomy/taxondetails?taxnode_id=202523022&amp;ictv_id=ICTV202523022","ICTV202523022")</f>
        <v>ICTV202523022</v>
      </c>
      <c r="R17028" t="s">
        <v>664</v>
      </c>
      <c r="S17028" t="s">
        <v>823</v>
      </c>
      <c r="T17028">
        <v>41</v>
      </c>
      <c r="U17028" s="26" t="str">
        <f t="shared" si="649"/>
        <v>2025.043B.Microviricetes_reorg.zip</v>
      </c>
    </row>
    <row r="17029" spans="1:21">
      <c r="A17029">
        <v>17028</v>
      </c>
      <c r="B17029" s="27" t="s">
        <v>20809</v>
      </c>
      <c r="D17029" s="27" t="s">
        <v>1824</v>
      </c>
      <c r="F17029" s="27" t="s">
        <v>1825</v>
      </c>
      <c r="H17029" s="27" t="s">
        <v>20810</v>
      </c>
      <c r="J17029" s="27" t="s">
        <v>22337</v>
      </c>
      <c r="L17029" s="27" t="s">
        <v>22338</v>
      </c>
      <c r="N17029" s="27" t="s">
        <v>22352</v>
      </c>
      <c r="P17029" s="27" t="s">
        <v>22353</v>
      </c>
      <c r="Q17029" s="26" t="str">
        <f>HYPERLINK("https://ictv.global/taxonomy/taxondetails?taxnode_id=202523023&amp;ictv_id=ICTV202523023","ICTV202523023")</f>
        <v>ICTV202523023</v>
      </c>
      <c r="R17029" t="s">
        <v>664</v>
      </c>
      <c r="S17029" t="s">
        <v>823</v>
      </c>
      <c r="T17029">
        <v>41</v>
      </c>
      <c r="U17029" s="26" t="str">
        <f t="shared" si="649"/>
        <v>2025.043B.Microviricetes_reorg.zip</v>
      </c>
    </row>
    <row r="17030" spans="1:21">
      <c r="A17030">
        <v>17029</v>
      </c>
      <c r="B17030" s="27" t="s">
        <v>20809</v>
      </c>
      <c r="D17030" s="27" t="s">
        <v>1824</v>
      </c>
      <c r="F17030" s="27" t="s">
        <v>1825</v>
      </c>
      <c r="H17030" s="27" t="s">
        <v>20810</v>
      </c>
      <c r="J17030" s="27" t="s">
        <v>22337</v>
      </c>
      <c r="L17030" s="27" t="s">
        <v>22338</v>
      </c>
      <c r="N17030" s="27" t="s">
        <v>22354</v>
      </c>
      <c r="P17030" s="27" t="s">
        <v>22355</v>
      </c>
      <c r="Q17030" s="26" t="str">
        <f>HYPERLINK("https://ictv.global/taxonomy/taxondetails?taxnode_id=202523024&amp;ictv_id=ICTV202523024","ICTV202523024")</f>
        <v>ICTV202523024</v>
      </c>
      <c r="R17030" t="s">
        <v>664</v>
      </c>
      <c r="S17030" t="s">
        <v>823</v>
      </c>
      <c r="T17030">
        <v>41</v>
      </c>
      <c r="U17030" s="26" t="str">
        <f t="shared" si="649"/>
        <v>2025.043B.Microviricetes_reorg.zip</v>
      </c>
    </row>
    <row r="17031" spans="1:21">
      <c r="A17031">
        <v>17030</v>
      </c>
      <c r="B17031" s="27" t="s">
        <v>20809</v>
      </c>
      <c r="D17031" s="27" t="s">
        <v>1824</v>
      </c>
      <c r="F17031" s="27" t="s">
        <v>1825</v>
      </c>
      <c r="H17031" s="27" t="s">
        <v>20810</v>
      </c>
      <c r="J17031" s="27" t="s">
        <v>22337</v>
      </c>
      <c r="L17031" s="27" t="s">
        <v>22338</v>
      </c>
      <c r="N17031" s="27" t="s">
        <v>22356</v>
      </c>
      <c r="P17031" s="27" t="s">
        <v>22357</v>
      </c>
      <c r="Q17031" s="26" t="str">
        <f>HYPERLINK("https://ictv.global/taxonomy/taxondetails?taxnode_id=202523025&amp;ictv_id=ICTV202523025","ICTV202523025")</f>
        <v>ICTV202523025</v>
      </c>
      <c r="R17031" t="s">
        <v>664</v>
      </c>
      <c r="S17031" t="s">
        <v>823</v>
      </c>
      <c r="T17031">
        <v>41</v>
      </c>
      <c r="U17031" s="26" t="str">
        <f t="shared" si="649"/>
        <v>2025.043B.Microviricetes_reorg.zip</v>
      </c>
    </row>
    <row r="17032" spans="1:21">
      <c r="A17032">
        <v>17031</v>
      </c>
      <c r="B17032" s="27" t="s">
        <v>20809</v>
      </c>
      <c r="D17032" s="27" t="s">
        <v>1824</v>
      </c>
      <c r="F17032" s="27" t="s">
        <v>1825</v>
      </c>
      <c r="H17032" s="27" t="s">
        <v>20810</v>
      </c>
      <c r="J17032" s="27" t="s">
        <v>22337</v>
      </c>
      <c r="L17032" s="27" t="s">
        <v>22358</v>
      </c>
      <c r="N17032" s="27" t="s">
        <v>22359</v>
      </c>
      <c r="P17032" s="27" t="s">
        <v>22360</v>
      </c>
      <c r="Q17032" s="26" t="str">
        <f>HYPERLINK("https://ictv.global/taxonomy/taxondetails?taxnode_id=202523026&amp;ictv_id=ICTV202523026","ICTV202523026")</f>
        <v>ICTV202523026</v>
      </c>
      <c r="R17032" t="s">
        <v>664</v>
      </c>
      <c r="S17032" t="s">
        <v>823</v>
      </c>
      <c r="T17032">
        <v>41</v>
      </c>
      <c r="U17032" s="26" t="str">
        <f t="shared" si="649"/>
        <v>2025.043B.Microviricetes_reorg.zip</v>
      </c>
    </row>
    <row r="17033" spans="1:21">
      <c r="A17033">
        <v>17032</v>
      </c>
      <c r="B17033" s="27" t="s">
        <v>20809</v>
      </c>
      <c r="D17033" s="27" t="s">
        <v>1824</v>
      </c>
      <c r="F17033" s="27" t="s">
        <v>1825</v>
      </c>
      <c r="H17033" s="27" t="s">
        <v>20810</v>
      </c>
      <c r="J17033" s="27" t="s">
        <v>22337</v>
      </c>
      <c r="L17033" s="27" t="s">
        <v>22361</v>
      </c>
      <c r="N17033" s="27" t="s">
        <v>22362</v>
      </c>
      <c r="P17033" s="27" t="s">
        <v>22363</v>
      </c>
      <c r="Q17033" s="26" t="str">
        <f>HYPERLINK("https://ictv.global/taxonomy/taxondetails?taxnode_id=202523027&amp;ictv_id=ICTV202523027","ICTV202523027")</f>
        <v>ICTV202523027</v>
      </c>
      <c r="R17033" t="s">
        <v>664</v>
      </c>
      <c r="S17033" t="s">
        <v>823</v>
      </c>
      <c r="T17033">
        <v>41</v>
      </c>
      <c r="U17033" s="26" t="str">
        <f t="shared" si="649"/>
        <v>2025.043B.Microviricetes_reorg.zip</v>
      </c>
    </row>
    <row r="17034" spans="1:21">
      <c r="A17034">
        <v>17033</v>
      </c>
      <c r="B17034" s="27" t="s">
        <v>20809</v>
      </c>
      <c r="D17034" s="27" t="s">
        <v>1824</v>
      </c>
      <c r="F17034" s="27" t="s">
        <v>1825</v>
      </c>
      <c r="H17034" s="27" t="s">
        <v>20810</v>
      </c>
      <c r="J17034" s="27" t="s">
        <v>22337</v>
      </c>
      <c r="L17034" s="27" t="s">
        <v>22361</v>
      </c>
      <c r="N17034" s="27" t="s">
        <v>22364</v>
      </c>
      <c r="P17034" s="27" t="s">
        <v>22365</v>
      </c>
      <c r="Q17034" s="26" t="str">
        <f>HYPERLINK("https://ictv.global/taxonomy/taxondetails?taxnode_id=202523028&amp;ictv_id=ICTV202523028","ICTV202523028")</f>
        <v>ICTV202523028</v>
      </c>
      <c r="R17034" t="s">
        <v>664</v>
      </c>
      <c r="S17034" t="s">
        <v>823</v>
      </c>
      <c r="T17034">
        <v>41</v>
      </c>
      <c r="U17034" s="26" t="str">
        <f t="shared" si="649"/>
        <v>2025.043B.Microviricetes_reorg.zip</v>
      </c>
    </row>
    <row r="17035" spans="1:21">
      <c r="A17035">
        <v>17034</v>
      </c>
      <c r="B17035" s="27" t="s">
        <v>20809</v>
      </c>
      <c r="D17035" s="27" t="s">
        <v>1824</v>
      </c>
      <c r="F17035" s="27" t="s">
        <v>1825</v>
      </c>
      <c r="H17035" s="27" t="s">
        <v>20810</v>
      </c>
      <c r="J17035" s="27" t="s">
        <v>22337</v>
      </c>
      <c r="L17035" s="27" t="s">
        <v>22361</v>
      </c>
      <c r="N17035" s="27" t="s">
        <v>22366</v>
      </c>
      <c r="P17035" s="27" t="s">
        <v>22367</v>
      </c>
      <c r="Q17035" s="26" t="str">
        <f>HYPERLINK("https://ictv.global/taxonomy/taxondetails?taxnode_id=202523029&amp;ictv_id=ICTV202523029","ICTV202523029")</f>
        <v>ICTV202523029</v>
      </c>
      <c r="R17035" t="s">
        <v>664</v>
      </c>
      <c r="S17035" t="s">
        <v>823</v>
      </c>
      <c r="T17035">
        <v>41</v>
      </c>
      <c r="U17035" s="26" t="str">
        <f t="shared" si="649"/>
        <v>2025.043B.Microviricetes_reorg.zip</v>
      </c>
    </row>
    <row r="17036" spans="1:21">
      <c r="A17036">
        <v>17035</v>
      </c>
      <c r="H17036" s="27" t="s">
        <v>3647</v>
      </c>
      <c r="J17036" s="27" t="s">
        <v>3648</v>
      </c>
      <c r="L17036" s="27" t="s">
        <v>384</v>
      </c>
      <c r="N17036" s="27" t="s">
        <v>385</v>
      </c>
      <c r="P17036" s="27" t="s">
        <v>10895</v>
      </c>
      <c r="Q17036" s="26" t="str">
        <f>HYPERLINK("https://ictv.global/taxonomy/taxondetails?taxnode_id=202502657&amp;ictv_id=ICTV20073223","ICTV20073223")</f>
        <v>ICTV20073223</v>
      </c>
      <c r="R17036" t="s">
        <v>579</v>
      </c>
      <c r="S17036" t="s">
        <v>824</v>
      </c>
      <c r="T17036">
        <v>38</v>
      </c>
      <c r="U17036" s="26" t="str">
        <f>HYPERLINK("https://ictv.global/ictv/proposals/2022.003D.Lefavirales_106rensp.zip","2022.003D.Lefavirales_106rensp.zip")</f>
        <v>2022.003D.Lefavirales_106rensp.zip</v>
      </c>
    </row>
    <row r="17037" spans="1:21">
      <c r="A17037">
        <v>17036</v>
      </c>
      <c r="H17037" s="27" t="s">
        <v>3647</v>
      </c>
      <c r="J17037" s="27" t="s">
        <v>3648</v>
      </c>
      <c r="L17037" s="27" t="s">
        <v>384</v>
      </c>
      <c r="N17037" s="27" t="s">
        <v>385</v>
      </c>
      <c r="P17037" s="27" t="s">
        <v>10896</v>
      </c>
      <c r="Q17037" s="26" t="str">
        <f>HYPERLINK("https://ictv.global/taxonomy/taxondetails?taxnode_id=202502658&amp;ictv_id=ICTV20020603","ICTV20020603")</f>
        <v>ICTV20020603</v>
      </c>
      <c r="R17037" t="s">
        <v>579</v>
      </c>
      <c r="S17037" t="s">
        <v>824</v>
      </c>
      <c r="T17037">
        <v>38</v>
      </c>
      <c r="U17037" s="26" t="str">
        <f>HYPERLINK("https://ictv.global/ictv/proposals/2022.003D.Lefavirales_106rensp.zip","2022.003D.Lefavirales_106rensp.zip")</f>
        <v>2022.003D.Lefavirales_106rensp.zip</v>
      </c>
    </row>
    <row r="17038" spans="1:21">
      <c r="A17038">
        <v>17037</v>
      </c>
      <c r="H17038" s="27" t="s">
        <v>3647</v>
      </c>
      <c r="J17038" s="27" t="s">
        <v>3648</v>
      </c>
      <c r="L17038" s="27" t="s">
        <v>384</v>
      </c>
      <c r="N17038" s="27" t="s">
        <v>385</v>
      </c>
      <c r="P17038" s="27" t="s">
        <v>10897</v>
      </c>
      <c r="Q17038" s="26" t="str">
        <f>HYPERLINK("https://ictv.global/taxonomy/taxondetails?taxnode_id=202502659&amp;ictv_id=ICTV20125719","ICTV20125719")</f>
        <v>ICTV20125719</v>
      </c>
      <c r="R17038" t="s">
        <v>579</v>
      </c>
      <c r="S17038" t="s">
        <v>824</v>
      </c>
      <c r="T17038">
        <v>38</v>
      </c>
      <c r="U17038" s="26" t="str">
        <f>HYPERLINK("https://ictv.global/ictv/proposals/2022.003D.Lefavirales_106rensp.zip","2022.003D.Lefavirales_106rensp.zip")</f>
        <v>2022.003D.Lefavirales_106rensp.zip</v>
      </c>
    </row>
    <row r="17039" spans="1:21">
      <c r="A17039">
        <v>17038</v>
      </c>
      <c r="H17039" s="27" t="s">
        <v>3647</v>
      </c>
      <c r="J17039" s="27" t="s">
        <v>3648</v>
      </c>
      <c r="L17039" s="27" t="s">
        <v>384</v>
      </c>
      <c r="N17039" s="27" t="s">
        <v>385</v>
      </c>
      <c r="P17039" s="27" t="s">
        <v>10898</v>
      </c>
      <c r="Q17039" s="26" t="str">
        <f>HYPERLINK("https://ictv.global/taxonomy/taxondetails?taxnode_id=202502660&amp;ictv_id=ICTV20152003","ICTV20152003")</f>
        <v>ICTV20152003</v>
      </c>
      <c r="R17039" t="s">
        <v>579</v>
      </c>
      <c r="S17039" t="s">
        <v>824</v>
      </c>
      <c r="T17039">
        <v>38</v>
      </c>
      <c r="U17039" s="26" t="str">
        <f>HYPERLINK("https://ictv.global/ictv/proposals/2022.003D.Lefavirales_106rensp.zip","2022.003D.Lefavirales_106rensp.zip")</f>
        <v>2022.003D.Lefavirales_106rensp.zip</v>
      </c>
    </row>
    <row r="17040" spans="1:21">
      <c r="A17040">
        <v>17039</v>
      </c>
      <c r="H17040" s="27" t="s">
        <v>3647</v>
      </c>
      <c r="J17040" s="27" t="s">
        <v>3648</v>
      </c>
      <c r="L17040" s="27" t="s">
        <v>384</v>
      </c>
      <c r="N17040" s="27" t="s">
        <v>385</v>
      </c>
      <c r="P17040" s="27" t="s">
        <v>10899</v>
      </c>
      <c r="Q17040" s="26" t="str">
        <f>HYPERLINK("https://ictv.global/taxonomy/taxondetails?taxnode_id=202502667&amp;ictv_id=ICTV20020608","ICTV20020608")</f>
        <v>ICTV20020608</v>
      </c>
      <c r="R17040" t="s">
        <v>579</v>
      </c>
      <c r="S17040" t="s">
        <v>824</v>
      </c>
      <c r="T17040">
        <v>38</v>
      </c>
      <c r="U17040" s="26" t="str">
        <f>HYPERLINK("https://ictv.global/ictv/proposals/2022.003D.Lefavirales_106rensp.zip","2022.003D.Lefavirales_106rensp.zip")</f>
        <v>2022.003D.Lefavirales_106rensp.zip</v>
      </c>
    </row>
    <row r="17041" spans="1:21">
      <c r="A17041">
        <v>17040</v>
      </c>
      <c r="H17041" s="27" t="s">
        <v>3647</v>
      </c>
      <c r="J17041" s="27" t="s">
        <v>3648</v>
      </c>
      <c r="L17041" s="27" t="s">
        <v>384</v>
      </c>
      <c r="N17041" s="27" t="s">
        <v>385</v>
      </c>
      <c r="P17041" s="27" t="s">
        <v>10900</v>
      </c>
      <c r="Q17041" s="26" t="str">
        <f>HYPERLINK("https://ictv.global/taxonomy/taxondetails?taxnode_id=202514022&amp;ictv_id=ICTV202214022","ICTV202214022")</f>
        <v>ICTV202214022</v>
      </c>
      <c r="R17041" t="s">
        <v>579</v>
      </c>
      <c r="S17041" t="s">
        <v>823</v>
      </c>
      <c r="T17041">
        <v>38</v>
      </c>
      <c r="U17041" s="26" t="str">
        <f>HYPERLINK("https://ictv.global/ictv/proposals/2022.004D.Baculoviridae_6nsp.zip","2022.004D.Baculoviridae_6nsp.zip")</f>
        <v>2022.004D.Baculoviridae_6nsp.zip</v>
      </c>
    </row>
    <row r="17042" spans="1:21">
      <c r="A17042">
        <v>17041</v>
      </c>
      <c r="H17042" s="27" t="s">
        <v>3647</v>
      </c>
      <c r="J17042" s="27" t="s">
        <v>3648</v>
      </c>
      <c r="L17042" s="27" t="s">
        <v>384</v>
      </c>
      <c r="N17042" s="27" t="s">
        <v>385</v>
      </c>
      <c r="P17042" s="27" t="s">
        <v>20690</v>
      </c>
      <c r="Q17042" s="26" t="str">
        <f>HYPERLINK("https://ictv.global/taxonomy/taxondetails?taxnode_id=202519951&amp;ictv_id=ICTV202419951","ICTV202419951")</f>
        <v>ICTV202419951</v>
      </c>
      <c r="R17042" t="s">
        <v>579</v>
      </c>
      <c r="S17042" t="s">
        <v>823</v>
      </c>
      <c r="T17042">
        <v>40</v>
      </c>
      <c r="U17042" s="26" t="str">
        <f>HYPERLINK("https://ictv.global/ictv/proposals/2024.001D.Alphabaculovirus-1nsp.zip","2024.001D.Alphabaculovirus-1nsp.zip")</f>
        <v>2024.001D.Alphabaculovirus-1nsp.zip</v>
      </c>
    </row>
    <row r="17043" spans="1:21">
      <c r="A17043">
        <v>17042</v>
      </c>
      <c r="H17043" s="27" t="s">
        <v>3647</v>
      </c>
      <c r="J17043" s="27" t="s">
        <v>3648</v>
      </c>
      <c r="L17043" s="27" t="s">
        <v>384</v>
      </c>
      <c r="N17043" s="27" t="s">
        <v>385</v>
      </c>
      <c r="P17043" s="27" t="s">
        <v>10901</v>
      </c>
      <c r="Q17043" s="26" t="str">
        <f>HYPERLINK("https://ictv.global/taxonomy/taxondetails?taxnode_id=202508665&amp;ictv_id=ICTV201908665","ICTV201908665")</f>
        <v>ICTV201908665</v>
      </c>
      <c r="R17043" t="s">
        <v>579</v>
      </c>
      <c r="S17043" t="s">
        <v>824</v>
      </c>
      <c r="T17043">
        <v>38</v>
      </c>
      <c r="U17043" s="26" t="str">
        <f>HYPERLINK("https://ictv.global/ictv/proposals/2022.003D.Lefavirales_106rensp.zip","2022.003D.Lefavirales_106rensp.zip")</f>
        <v>2022.003D.Lefavirales_106rensp.zip</v>
      </c>
    </row>
    <row r="17044" spans="1:21">
      <c r="A17044">
        <v>17043</v>
      </c>
      <c r="H17044" s="27" t="s">
        <v>3647</v>
      </c>
      <c r="J17044" s="27" t="s">
        <v>3648</v>
      </c>
      <c r="L17044" s="27" t="s">
        <v>384</v>
      </c>
      <c r="N17044" s="27" t="s">
        <v>385</v>
      </c>
      <c r="P17044" s="27" t="s">
        <v>11237</v>
      </c>
      <c r="Q17044" s="26" t="str">
        <f>HYPERLINK("https://ictv.global/taxonomy/taxondetails?taxnode_id=202513428&amp;ictv_id=ICTV202113428","ICTV202113428")</f>
        <v>ICTV202113428</v>
      </c>
      <c r="R17044" t="s">
        <v>579</v>
      </c>
      <c r="S17044" t="s">
        <v>824</v>
      </c>
      <c r="T17044">
        <v>38</v>
      </c>
      <c r="U17044" s="26" t="str">
        <f>HYPERLINK("https://ictv.global/ictv/proposals/2023.DX003.Correction_3_Alphabaculovirus.zip","2023.DX003.Correction_3_Alphabaculovirus.zip")</f>
        <v>2023.DX003.Correction_3_Alphabaculovirus.zip</v>
      </c>
    </row>
    <row r="17045" spans="1:21">
      <c r="A17045">
        <v>17044</v>
      </c>
      <c r="H17045" s="27" t="s">
        <v>3647</v>
      </c>
      <c r="J17045" s="27" t="s">
        <v>3648</v>
      </c>
      <c r="L17045" s="27" t="s">
        <v>384</v>
      </c>
      <c r="N17045" s="27" t="s">
        <v>385</v>
      </c>
      <c r="P17045" s="27" t="s">
        <v>10902</v>
      </c>
      <c r="Q17045" s="26" t="str">
        <f>HYPERLINK("https://ictv.global/taxonomy/taxondetails?taxnode_id=202508720&amp;ictv_id=ICTV202008720","ICTV202008720")</f>
        <v>ICTV202008720</v>
      </c>
      <c r="R17045" t="s">
        <v>579</v>
      </c>
      <c r="S17045" t="s">
        <v>824</v>
      </c>
      <c r="T17045">
        <v>38</v>
      </c>
      <c r="U17045" s="26" t="str">
        <f>HYPERLINK("https://ictv.global/ictv/proposals/2022.003D.Lefavirales_106rensp.zip","2022.003D.Lefavirales_106rensp.zip")</f>
        <v>2022.003D.Lefavirales_106rensp.zip</v>
      </c>
    </row>
    <row r="17046" spans="1:21">
      <c r="A17046">
        <v>17045</v>
      </c>
      <c r="H17046" s="27" t="s">
        <v>3647</v>
      </c>
      <c r="J17046" s="27" t="s">
        <v>3648</v>
      </c>
      <c r="L17046" s="27" t="s">
        <v>384</v>
      </c>
      <c r="N17046" s="27" t="s">
        <v>385</v>
      </c>
      <c r="P17046" s="27" t="s">
        <v>10903</v>
      </c>
      <c r="Q17046" s="26" t="str">
        <f>HYPERLINK("https://ictv.global/taxonomy/taxondetails?taxnode_id=202502662&amp;ictv_id=ICTV19950512","ICTV19950512")</f>
        <v>ICTV19950512</v>
      </c>
      <c r="R17046" t="s">
        <v>579</v>
      </c>
      <c r="S17046" t="s">
        <v>824</v>
      </c>
      <c r="T17046">
        <v>38</v>
      </c>
      <c r="U17046" s="26" t="str">
        <f>HYPERLINK("https://ictv.global/ictv/proposals/2022.003D.Lefavirales_106rensp.zip","2022.003D.Lefavirales_106rensp.zip")</f>
        <v>2022.003D.Lefavirales_106rensp.zip</v>
      </c>
    </row>
    <row r="17047" spans="1:21">
      <c r="A17047">
        <v>17046</v>
      </c>
      <c r="H17047" s="27" t="s">
        <v>3647</v>
      </c>
      <c r="J17047" s="27" t="s">
        <v>3648</v>
      </c>
      <c r="L17047" s="27" t="s">
        <v>384</v>
      </c>
      <c r="N17047" s="27" t="s">
        <v>385</v>
      </c>
      <c r="P17047" s="27" t="s">
        <v>10904</v>
      </c>
      <c r="Q17047" s="26" t="str">
        <f>HYPERLINK("https://ictv.global/taxonomy/taxondetails?taxnode_id=202502661&amp;ictv_id=ICTV20125720","ICTV20125720")</f>
        <v>ICTV20125720</v>
      </c>
      <c r="R17047" t="s">
        <v>579</v>
      </c>
      <c r="S17047" t="s">
        <v>824</v>
      </c>
      <c r="T17047">
        <v>38</v>
      </c>
      <c r="U17047" s="26" t="str">
        <f>HYPERLINK("https://ictv.global/ictv/proposals/2022.003D.Lefavirales_106rensp.zip","2022.003D.Lefavirales_106rensp.zip")</f>
        <v>2022.003D.Lefavirales_106rensp.zip</v>
      </c>
    </row>
    <row r="17048" spans="1:21">
      <c r="A17048">
        <v>17047</v>
      </c>
      <c r="H17048" s="27" t="s">
        <v>3647</v>
      </c>
      <c r="J17048" s="27" t="s">
        <v>3648</v>
      </c>
      <c r="L17048" s="27" t="s">
        <v>384</v>
      </c>
      <c r="N17048" s="27" t="s">
        <v>385</v>
      </c>
      <c r="P17048" s="27" t="s">
        <v>10905</v>
      </c>
      <c r="Q17048" s="26" t="str">
        <f>HYPERLINK("https://ictv.global/taxonomy/taxondetails?taxnode_id=202513425&amp;ictv_id=ICTV202113425","ICTV202113425")</f>
        <v>ICTV202113425</v>
      </c>
      <c r="R17048" t="s">
        <v>579</v>
      </c>
      <c r="S17048" t="s">
        <v>824</v>
      </c>
      <c r="T17048">
        <v>38</v>
      </c>
      <c r="U17048" s="26" t="str">
        <f>HYPERLINK("https://ictv.global/ictv/proposals/2022.003D.Lefavirales_106rensp.zip","2022.003D.Lefavirales_106rensp.zip")</f>
        <v>2022.003D.Lefavirales_106rensp.zip</v>
      </c>
    </row>
    <row r="17049" spans="1:21">
      <c r="A17049">
        <v>17048</v>
      </c>
      <c r="H17049" s="27" t="s">
        <v>3647</v>
      </c>
      <c r="J17049" s="27" t="s">
        <v>3648</v>
      </c>
      <c r="L17049" s="27" t="s">
        <v>384</v>
      </c>
      <c r="N17049" s="27" t="s">
        <v>385</v>
      </c>
      <c r="P17049" s="27" t="s">
        <v>11238</v>
      </c>
      <c r="Q17049" s="26" t="str">
        <f>HYPERLINK("https://ictv.global/taxonomy/taxondetails?taxnode_id=202502663&amp;ictv_id=ICTV19990567","ICTV19990567")</f>
        <v>ICTV19990567</v>
      </c>
      <c r="R17049" t="s">
        <v>579</v>
      </c>
      <c r="S17049" t="s">
        <v>824</v>
      </c>
      <c r="T17049">
        <v>38</v>
      </c>
      <c r="U17049" s="26" t="str">
        <f>HYPERLINK("https://ictv.global/ictv/proposals/2023.DX001.Correction_Alphabaculovirus.zip","2023.DX001.Correction_Alphabaculovirus.zip")</f>
        <v>2023.DX001.Correction_Alphabaculovirus.zip</v>
      </c>
    </row>
    <row r="17050" spans="1:21">
      <c r="A17050">
        <v>17049</v>
      </c>
      <c r="H17050" s="27" t="s">
        <v>3647</v>
      </c>
      <c r="J17050" s="27" t="s">
        <v>3648</v>
      </c>
      <c r="L17050" s="27" t="s">
        <v>384</v>
      </c>
      <c r="N17050" s="27" t="s">
        <v>385</v>
      </c>
      <c r="P17050" s="27" t="s">
        <v>10906</v>
      </c>
      <c r="Q17050" s="26" t="str">
        <f>HYPERLINK("https://ictv.global/taxonomy/taxondetails?taxnode_id=202502664&amp;ictv_id=ICTV19710138","ICTV19710138")</f>
        <v>ICTV19710138</v>
      </c>
      <c r="R17050" t="s">
        <v>579</v>
      </c>
      <c r="S17050" t="s">
        <v>824</v>
      </c>
      <c r="T17050">
        <v>38</v>
      </c>
      <c r="U17050" s="26" t="str">
        <f>HYPERLINK("https://ictv.global/ictv/proposals/2022.003D.Lefavirales_106rensp.zip","2022.003D.Lefavirales_106rensp.zip")</f>
        <v>2022.003D.Lefavirales_106rensp.zip</v>
      </c>
    </row>
    <row r="17051" spans="1:21">
      <c r="A17051">
        <v>17050</v>
      </c>
      <c r="H17051" s="27" t="s">
        <v>3647</v>
      </c>
      <c r="J17051" s="27" t="s">
        <v>3648</v>
      </c>
      <c r="L17051" s="27" t="s">
        <v>384</v>
      </c>
      <c r="N17051" s="27" t="s">
        <v>385</v>
      </c>
      <c r="P17051" s="27" t="s">
        <v>10907</v>
      </c>
      <c r="Q17051" s="26" t="str">
        <f>HYPERLINK("https://ictv.global/taxonomy/taxondetails?taxnode_id=202502665&amp;ictv_id=ICTV20020607","ICTV20020607")</f>
        <v>ICTV20020607</v>
      </c>
      <c r="R17051" t="s">
        <v>579</v>
      </c>
      <c r="S17051" t="s">
        <v>824</v>
      </c>
      <c r="T17051">
        <v>38</v>
      </c>
      <c r="U17051" s="26" t="str">
        <f>HYPERLINK("https://ictv.global/ictv/proposals/2022.003D.Lefavirales_106rensp.zip","2022.003D.Lefavirales_106rensp.zip")</f>
        <v>2022.003D.Lefavirales_106rensp.zip</v>
      </c>
    </row>
    <row r="17052" spans="1:21">
      <c r="A17052">
        <v>17051</v>
      </c>
      <c r="H17052" s="27" t="s">
        <v>3647</v>
      </c>
      <c r="J17052" s="27" t="s">
        <v>3648</v>
      </c>
      <c r="L17052" s="27" t="s">
        <v>384</v>
      </c>
      <c r="N17052" s="27" t="s">
        <v>385</v>
      </c>
      <c r="P17052" s="27" t="s">
        <v>21101</v>
      </c>
      <c r="Q17052" s="26" t="str">
        <f>HYPERLINK("https://ictv.global/taxonomy/taxondetails?taxnode_id=202522038&amp;ictv_id=ICTV202522038","ICTV202522038")</f>
        <v>ICTV202522038</v>
      </c>
      <c r="R17052" t="s">
        <v>579</v>
      </c>
      <c r="S17052" t="s">
        <v>823</v>
      </c>
      <c r="T17052">
        <v>41</v>
      </c>
      <c r="U17052" s="26" t="str">
        <f>HYPERLINK("https://ictv.global/ictv/proposals/2025.001D.Baculoviridae_4nsp_1absp.zip","2025.001D.Baculoviridae_4nsp_1absp.zip")</f>
        <v>2025.001D.Baculoviridae_4nsp_1absp.zip</v>
      </c>
    </row>
    <row r="17053" spans="1:21">
      <c r="A17053">
        <v>17052</v>
      </c>
      <c r="H17053" s="27" t="s">
        <v>3647</v>
      </c>
      <c r="J17053" s="27" t="s">
        <v>3648</v>
      </c>
      <c r="L17053" s="27" t="s">
        <v>384</v>
      </c>
      <c r="N17053" s="27" t="s">
        <v>385</v>
      </c>
      <c r="P17053" s="27" t="s">
        <v>10908</v>
      </c>
      <c r="Q17053" s="26" t="str">
        <f>HYPERLINK("https://ictv.global/taxonomy/taxondetails?taxnode_id=202502666&amp;ictv_id=ICTV20165233","ICTV20165233")</f>
        <v>ICTV20165233</v>
      </c>
      <c r="R17053" t="s">
        <v>579</v>
      </c>
      <c r="S17053" t="s">
        <v>824</v>
      </c>
      <c r="T17053">
        <v>38</v>
      </c>
      <c r="U17053" s="26" t="str">
        <f t="shared" ref="U17053:U17060" si="650">HYPERLINK("https://ictv.global/ictv/proposals/2022.003D.Lefavirales_106rensp.zip","2022.003D.Lefavirales_106rensp.zip")</f>
        <v>2022.003D.Lefavirales_106rensp.zip</v>
      </c>
    </row>
    <row r="17054" spans="1:21">
      <c r="A17054">
        <v>17053</v>
      </c>
      <c r="H17054" s="27" t="s">
        <v>3647</v>
      </c>
      <c r="J17054" s="27" t="s">
        <v>3648</v>
      </c>
      <c r="L17054" s="27" t="s">
        <v>384</v>
      </c>
      <c r="N17054" s="27" t="s">
        <v>385</v>
      </c>
      <c r="P17054" s="27" t="s">
        <v>10909</v>
      </c>
      <c r="Q17054" s="26" t="str">
        <f>HYPERLINK("https://ictv.global/taxonomy/taxondetails?taxnode_id=202502668&amp;ictv_id=ICTV19910424","ICTV19910424")</f>
        <v>ICTV19910424</v>
      </c>
      <c r="R17054" t="s">
        <v>579</v>
      </c>
      <c r="S17054" t="s">
        <v>824</v>
      </c>
      <c r="T17054">
        <v>38</v>
      </c>
      <c r="U17054" s="26" t="str">
        <f t="shared" si="650"/>
        <v>2022.003D.Lefavirales_106rensp.zip</v>
      </c>
    </row>
    <row r="17055" spans="1:21">
      <c r="A17055">
        <v>17054</v>
      </c>
      <c r="H17055" s="27" t="s">
        <v>3647</v>
      </c>
      <c r="J17055" s="27" t="s">
        <v>3648</v>
      </c>
      <c r="L17055" s="27" t="s">
        <v>384</v>
      </c>
      <c r="N17055" s="27" t="s">
        <v>385</v>
      </c>
      <c r="P17055" s="27" t="s">
        <v>10910</v>
      </c>
      <c r="Q17055" s="26" t="str">
        <f>HYPERLINK("https://ictv.global/taxonomy/taxondetails?taxnode_id=202502669&amp;ictv_id=ICTV20165234","ICTV20165234")</f>
        <v>ICTV20165234</v>
      </c>
      <c r="R17055" t="s">
        <v>579</v>
      </c>
      <c r="S17055" t="s">
        <v>824</v>
      </c>
      <c r="T17055">
        <v>38</v>
      </c>
      <c r="U17055" s="26" t="str">
        <f t="shared" si="650"/>
        <v>2022.003D.Lefavirales_106rensp.zip</v>
      </c>
    </row>
    <row r="17056" spans="1:21">
      <c r="A17056">
        <v>17055</v>
      </c>
      <c r="H17056" s="27" t="s">
        <v>3647</v>
      </c>
      <c r="J17056" s="27" t="s">
        <v>3648</v>
      </c>
      <c r="L17056" s="27" t="s">
        <v>384</v>
      </c>
      <c r="N17056" s="27" t="s">
        <v>385</v>
      </c>
      <c r="P17056" s="27" t="s">
        <v>10911</v>
      </c>
      <c r="Q17056" s="26" t="str">
        <f>HYPERLINK("https://ictv.global/taxonomy/taxondetails?taxnode_id=202502670&amp;ictv_id=ICTV20020610","ICTV20020610")</f>
        <v>ICTV20020610</v>
      </c>
      <c r="R17056" t="s">
        <v>579</v>
      </c>
      <c r="S17056" t="s">
        <v>824</v>
      </c>
      <c r="T17056">
        <v>38</v>
      </c>
      <c r="U17056" s="26" t="str">
        <f t="shared" si="650"/>
        <v>2022.003D.Lefavirales_106rensp.zip</v>
      </c>
    </row>
    <row r="17057" spans="1:21">
      <c r="A17057">
        <v>17056</v>
      </c>
      <c r="H17057" s="27" t="s">
        <v>3647</v>
      </c>
      <c r="J17057" s="27" t="s">
        <v>3648</v>
      </c>
      <c r="L17057" s="27" t="s">
        <v>384</v>
      </c>
      <c r="N17057" s="27" t="s">
        <v>385</v>
      </c>
      <c r="P17057" s="27" t="s">
        <v>10912</v>
      </c>
      <c r="Q17057" s="26" t="str">
        <f>HYPERLINK("https://ictv.global/taxonomy/taxondetails?taxnode_id=202502672&amp;ictv_id=ICTV20152002","ICTV20152002")</f>
        <v>ICTV20152002</v>
      </c>
      <c r="R17057" t="s">
        <v>579</v>
      </c>
      <c r="S17057" t="s">
        <v>824</v>
      </c>
      <c r="T17057">
        <v>38</v>
      </c>
      <c r="U17057" s="26" t="str">
        <f t="shared" si="650"/>
        <v>2022.003D.Lefavirales_106rensp.zip</v>
      </c>
    </row>
    <row r="17058" spans="1:21">
      <c r="A17058">
        <v>17057</v>
      </c>
      <c r="H17058" s="27" t="s">
        <v>3647</v>
      </c>
      <c r="J17058" s="27" t="s">
        <v>3648</v>
      </c>
      <c r="L17058" s="27" t="s">
        <v>384</v>
      </c>
      <c r="N17058" s="27" t="s">
        <v>385</v>
      </c>
      <c r="P17058" s="27" t="s">
        <v>10913</v>
      </c>
      <c r="Q17058" s="26" t="str">
        <f>HYPERLINK("https://ictv.global/taxonomy/taxondetails?taxnode_id=202502671&amp;ictv_id=ICTV20125721","ICTV20125721")</f>
        <v>ICTV20125721</v>
      </c>
      <c r="R17058" t="s">
        <v>579</v>
      </c>
      <c r="S17058" t="s">
        <v>824</v>
      </c>
      <c r="T17058">
        <v>38</v>
      </c>
      <c r="U17058" s="26" t="str">
        <f t="shared" si="650"/>
        <v>2022.003D.Lefavirales_106rensp.zip</v>
      </c>
    </row>
    <row r="17059" spans="1:21">
      <c r="A17059">
        <v>17058</v>
      </c>
      <c r="H17059" s="27" t="s">
        <v>3647</v>
      </c>
      <c r="J17059" s="27" t="s">
        <v>3648</v>
      </c>
      <c r="L17059" s="27" t="s">
        <v>384</v>
      </c>
      <c r="N17059" s="27" t="s">
        <v>385</v>
      </c>
      <c r="P17059" s="27" t="s">
        <v>10914</v>
      </c>
      <c r="Q17059" s="26" t="str">
        <f>HYPERLINK("https://ictv.global/taxonomy/taxondetails?taxnode_id=202502673&amp;ictv_id=ICTV20125722","ICTV20125722")</f>
        <v>ICTV20125722</v>
      </c>
      <c r="R17059" t="s">
        <v>579</v>
      </c>
      <c r="S17059" t="s">
        <v>824</v>
      </c>
      <c r="T17059">
        <v>38</v>
      </c>
      <c r="U17059" s="26" t="str">
        <f t="shared" si="650"/>
        <v>2022.003D.Lefavirales_106rensp.zip</v>
      </c>
    </row>
    <row r="17060" spans="1:21">
      <c r="A17060">
        <v>17059</v>
      </c>
      <c r="H17060" s="27" t="s">
        <v>3647</v>
      </c>
      <c r="J17060" s="27" t="s">
        <v>3648</v>
      </c>
      <c r="L17060" s="27" t="s">
        <v>384</v>
      </c>
      <c r="N17060" s="27" t="s">
        <v>385</v>
      </c>
      <c r="P17060" s="27" t="s">
        <v>10915</v>
      </c>
      <c r="Q17060" s="26" t="str">
        <f>HYPERLINK("https://ictv.global/taxonomy/taxondetails?taxnode_id=202508661&amp;ictv_id=ICTV201908661","ICTV201908661")</f>
        <v>ICTV201908661</v>
      </c>
      <c r="R17060" t="s">
        <v>579</v>
      </c>
      <c r="S17060" t="s">
        <v>824</v>
      </c>
      <c r="T17060">
        <v>38</v>
      </c>
      <c r="U17060" s="26" t="str">
        <f t="shared" si="650"/>
        <v>2022.003D.Lefavirales_106rensp.zip</v>
      </c>
    </row>
    <row r="17061" spans="1:21">
      <c r="A17061">
        <v>17060</v>
      </c>
      <c r="H17061" s="27" t="s">
        <v>3647</v>
      </c>
      <c r="J17061" s="27" t="s">
        <v>3648</v>
      </c>
      <c r="L17061" s="27" t="s">
        <v>384</v>
      </c>
      <c r="N17061" s="27" t="s">
        <v>385</v>
      </c>
      <c r="P17061" s="27" t="s">
        <v>11239</v>
      </c>
      <c r="Q17061" s="26" t="str">
        <f>HYPERLINK("https://ictv.global/taxonomy/taxondetails?taxnode_id=202508662&amp;ictv_id=ICTV201908662","ICTV201908662")</f>
        <v>ICTV201908662</v>
      </c>
      <c r="R17061" t="s">
        <v>579</v>
      </c>
      <c r="S17061" t="s">
        <v>824</v>
      </c>
      <c r="T17061">
        <v>38</v>
      </c>
      <c r="U17061" s="26" t="str">
        <f>HYPERLINK("https://ictv.global/ictv/proposals/2023.DX003.Correction_3_Alphabaculovirus.zip","2023.DX003.Correction_3_Alphabaculovirus.zip")</f>
        <v>2023.DX003.Correction_3_Alphabaculovirus.zip</v>
      </c>
    </row>
    <row r="17062" spans="1:21">
      <c r="A17062">
        <v>17061</v>
      </c>
      <c r="H17062" s="27" t="s">
        <v>3647</v>
      </c>
      <c r="J17062" s="27" t="s">
        <v>3648</v>
      </c>
      <c r="L17062" s="27" t="s">
        <v>384</v>
      </c>
      <c r="N17062" s="27" t="s">
        <v>385</v>
      </c>
      <c r="P17062" s="27" t="s">
        <v>10916</v>
      </c>
      <c r="Q17062" s="26" t="str">
        <f>HYPERLINK("https://ictv.global/taxonomy/taxondetails?taxnode_id=202508663&amp;ictv_id=ICTV201908663","ICTV201908663")</f>
        <v>ICTV201908663</v>
      </c>
      <c r="R17062" t="s">
        <v>579</v>
      </c>
      <c r="S17062" t="s">
        <v>824</v>
      </c>
      <c r="T17062">
        <v>38</v>
      </c>
      <c r="U17062" s="26" t="str">
        <f>HYPERLINK("https://ictv.global/ictv/proposals/2022.003D.Lefavirales_106rensp.zip","2022.003D.Lefavirales_106rensp.zip")</f>
        <v>2022.003D.Lefavirales_106rensp.zip</v>
      </c>
    </row>
    <row r="17063" spans="1:21">
      <c r="A17063">
        <v>17062</v>
      </c>
      <c r="H17063" s="27" t="s">
        <v>3647</v>
      </c>
      <c r="J17063" s="27" t="s">
        <v>3648</v>
      </c>
      <c r="L17063" s="27" t="s">
        <v>384</v>
      </c>
      <c r="N17063" s="27" t="s">
        <v>385</v>
      </c>
      <c r="P17063" s="27" t="s">
        <v>10917</v>
      </c>
      <c r="Q17063" s="26" t="str">
        <f>HYPERLINK("https://ictv.global/taxonomy/taxondetails?taxnode_id=202513426&amp;ictv_id=ICTV202113426","ICTV202113426")</f>
        <v>ICTV202113426</v>
      </c>
      <c r="R17063" t="s">
        <v>579</v>
      </c>
      <c r="S17063" t="s">
        <v>824</v>
      </c>
      <c r="T17063">
        <v>38</v>
      </c>
      <c r="U17063" s="26" t="str">
        <f>HYPERLINK("https://ictv.global/ictv/proposals/2022.003D.Lefavirales_106rensp.zip","2022.003D.Lefavirales_106rensp.zip")</f>
        <v>2022.003D.Lefavirales_106rensp.zip</v>
      </c>
    </row>
    <row r="17064" spans="1:21">
      <c r="A17064">
        <v>17063</v>
      </c>
      <c r="H17064" s="27" t="s">
        <v>3647</v>
      </c>
      <c r="J17064" s="27" t="s">
        <v>3648</v>
      </c>
      <c r="L17064" s="27" t="s">
        <v>384</v>
      </c>
      <c r="N17064" s="27" t="s">
        <v>385</v>
      </c>
      <c r="P17064" s="27" t="s">
        <v>10918</v>
      </c>
      <c r="Q17064" s="26" t="str">
        <f>HYPERLINK("https://ictv.global/taxonomy/taxondetails?taxnode_id=202502674&amp;ictv_id=ICTV20073233","ICTV20073233")</f>
        <v>ICTV20073233</v>
      </c>
      <c r="R17064" t="s">
        <v>579</v>
      </c>
      <c r="S17064" t="s">
        <v>824</v>
      </c>
      <c r="T17064">
        <v>38</v>
      </c>
      <c r="U17064" s="26" t="str">
        <f>HYPERLINK("https://ictv.global/ictv/proposals/2022.003D.Lefavirales_106rensp.zip","2022.003D.Lefavirales_106rensp.zip")</f>
        <v>2022.003D.Lefavirales_106rensp.zip</v>
      </c>
    </row>
    <row r="17065" spans="1:21">
      <c r="A17065">
        <v>17064</v>
      </c>
      <c r="H17065" s="27" t="s">
        <v>3647</v>
      </c>
      <c r="J17065" s="27" t="s">
        <v>3648</v>
      </c>
      <c r="L17065" s="27" t="s">
        <v>384</v>
      </c>
      <c r="N17065" s="27" t="s">
        <v>385</v>
      </c>
      <c r="P17065" s="27" t="s">
        <v>10919</v>
      </c>
      <c r="Q17065" s="26" t="str">
        <f>HYPERLINK("https://ictv.global/taxonomy/taxondetails?taxnode_id=202502675&amp;ictv_id=ICTV20020612","ICTV20020612")</f>
        <v>ICTV20020612</v>
      </c>
      <c r="R17065" t="s">
        <v>579</v>
      </c>
      <c r="S17065" t="s">
        <v>824</v>
      </c>
      <c r="T17065">
        <v>38</v>
      </c>
      <c r="U17065" s="26" t="str">
        <f>HYPERLINK("https://ictv.global/ictv/proposals/2022.003D.Lefavirales_106rensp.zip","2022.003D.Lefavirales_106rensp.zip")</f>
        <v>2022.003D.Lefavirales_106rensp.zip</v>
      </c>
    </row>
    <row r="17066" spans="1:21">
      <c r="A17066">
        <v>17065</v>
      </c>
      <c r="H17066" s="27" t="s">
        <v>3647</v>
      </c>
      <c r="J17066" s="27" t="s">
        <v>3648</v>
      </c>
      <c r="L17066" s="27" t="s">
        <v>384</v>
      </c>
      <c r="N17066" s="27" t="s">
        <v>385</v>
      </c>
      <c r="P17066" s="27" t="s">
        <v>10920</v>
      </c>
      <c r="Q17066" s="26" t="str">
        <f>HYPERLINK("https://ictv.global/taxonomy/taxondetails?taxnode_id=202514023&amp;ictv_id=ICTV202214023","ICTV202214023")</f>
        <v>ICTV202214023</v>
      </c>
      <c r="R17066" t="s">
        <v>579</v>
      </c>
      <c r="S17066" t="s">
        <v>823</v>
      </c>
      <c r="T17066">
        <v>38</v>
      </c>
      <c r="U17066" s="26" t="str">
        <f>HYPERLINK("https://ictv.global/ictv/proposals/2022.004D.Baculoviridae_6nsp.zip","2022.004D.Baculoviridae_6nsp.zip")</f>
        <v>2022.004D.Baculoviridae_6nsp.zip</v>
      </c>
    </row>
    <row r="17067" spans="1:21">
      <c r="A17067">
        <v>17066</v>
      </c>
      <c r="H17067" s="27" t="s">
        <v>3647</v>
      </c>
      <c r="J17067" s="27" t="s">
        <v>3648</v>
      </c>
      <c r="L17067" s="27" t="s">
        <v>384</v>
      </c>
      <c r="N17067" s="27" t="s">
        <v>385</v>
      </c>
      <c r="P17067" s="27" t="s">
        <v>10921</v>
      </c>
      <c r="Q17067" s="26" t="str">
        <f>HYPERLINK("https://ictv.global/taxonomy/taxondetails?taxnode_id=202502676&amp;ictv_id=ICTV20125723","ICTV20125723")</f>
        <v>ICTV20125723</v>
      </c>
      <c r="R17067" t="s">
        <v>579</v>
      </c>
      <c r="S17067" t="s">
        <v>824</v>
      </c>
      <c r="T17067">
        <v>38</v>
      </c>
      <c r="U17067" s="26" t="str">
        <f t="shared" ref="U17067:U17079" si="651">HYPERLINK("https://ictv.global/ictv/proposals/2022.003D.Lefavirales_106rensp.zip","2022.003D.Lefavirales_106rensp.zip")</f>
        <v>2022.003D.Lefavirales_106rensp.zip</v>
      </c>
    </row>
    <row r="17068" spans="1:21">
      <c r="A17068">
        <v>17067</v>
      </c>
      <c r="H17068" s="27" t="s">
        <v>3647</v>
      </c>
      <c r="J17068" s="27" t="s">
        <v>3648</v>
      </c>
      <c r="L17068" s="27" t="s">
        <v>384</v>
      </c>
      <c r="N17068" s="27" t="s">
        <v>385</v>
      </c>
      <c r="P17068" s="27" t="s">
        <v>10922</v>
      </c>
      <c r="Q17068" s="26" t="str">
        <f>HYPERLINK("https://ictv.global/taxonomy/taxondetails?taxnode_id=202502677&amp;ictv_id=ICTV20020613","ICTV20020613")</f>
        <v>ICTV20020613</v>
      </c>
      <c r="R17068" t="s">
        <v>579</v>
      </c>
      <c r="S17068" t="s">
        <v>824</v>
      </c>
      <c r="T17068">
        <v>38</v>
      </c>
      <c r="U17068" s="26" t="str">
        <f t="shared" si="651"/>
        <v>2022.003D.Lefavirales_106rensp.zip</v>
      </c>
    </row>
    <row r="17069" spans="1:21">
      <c r="A17069">
        <v>17068</v>
      </c>
      <c r="H17069" s="27" t="s">
        <v>3647</v>
      </c>
      <c r="J17069" s="27" t="s">
        <v>3648</v>
      </c>
      <c r="L17069" s="27" t="s">
        <v>384</v>
      </c>
      <c r="N17069" s="27" t="s">
        <v>385</v>
      </c>
      <c r="P17069" s="27" t="s">
        <v>10923</v>
      </c>
      <c r="Q17069" s="26" t="str">
        <f>HYPERLINK("https://ictv.global/taxonomy/taxondetails?taxnode_id=202506526&amp;ictv_id=ICTV201856526","ICTV201856526")</f>
        <v>ICTV201856526</v>
      </c>
      <c r="R17069" t="s">
        <v>579</v>
      </c>
      <c r="S17069" t="s">
        <v>824</v>
      </c>
      <c r="T17069">
        <v>38</v>
      </c>
      <c r="U17069" s="26" t="str">
        <f t="shared" si="651"/>
        <v>2022.003D.Lefavirales_106rensp.zip</v>
      </c>
    </row>
    <row r="17070" spans="1:21">
      <c r="A17070">
        <v>17069</v>
      </c>
      <c r="H17070" s="27" t="s">
        <v>3647</v>
      </c>
      <c r="J17070" s="27" t="s">
        <v>3648</v>
      </c>
      <c r="L17070" s="27" t="s">
        <v>384</v>
      </c>
      <c r="N17070" s="27" t="s">
        <v>385</v>
      </c>
      <c r="P17070" s="27" t="s">
        <v>10924</v>
      </c>
      <c r="Q17070" s="26" t="str">
        <f>HYPERLINK("https://ictv.global/taxonomy/taxondetails?taxnode_id=202502678&amp;ictv_id=ICTV20125724","ICTV20125724")</f>
        <v>ICTV20125724</v>
      </c>
      <c r="R17070" t="s">
        <v>579</v>
      </c>
      <c r="S17070" t="s">
        <v>824</v>
      </c>
      <c r="T17070">
        <v>38</v>
      </c>
      <c r="U17070" s="26" t="str">
        <f t="shared" si="651"/>
        <v>2022.003D.Lefavirales_106rensp.zip</v>
      </c>
    </row>
    <row r="17071" spans="1:21">
      <c r="A17071">
        <v>17070</v>
      </c>
      <c r="H17071" s="27" t="s">
        <v>3647</v>
      </c>
      <c r="J17071" s="27" t="s">
        <v>3648</v>
      </c>
      <c r="L17071" s="27" t="s">
        <v>384</v>
      </c>
      <c r="N17071" s="27" t="s">
        <v>385</v>
      </c>
      <c r="P17071" s="27" t="s">
        <v>10925</v>
      </c>
      <c r="Q17071" s="26" t="str">
        <f>HYPERLINK("https://ictv.global/taxonomy/taxondetails?taxnode_id=202508664&amp;ictv_id=ICTV201908664","ICTV201908664")</f>
        <v>ICTV201908664</v>
      </c>
      <c r="R17071" t="s">
        <v>579</v>
      </c>
      <c r="S17071" t="s">
        <v>824</v>
      </c>
      <c r="T17071">
        <v>38</v>
      </c>
      <c r="U17071" s="26" t="str">
        <f t="shared" si="651"/>
        <v>2022.003D.Lefavirales_106rensp.zip</v>
      </c>
    </row>
    <row r="17072" spans="1:21">
      <c r="A17072">
        <v>17071</v>
      </c>
      <c r="H17072" s="27" t="s">
        <v>3647</v>
      </c>
      <c r="J17072" s="27" t="s">
        <v>3648</v>
      </c>
      <c r="L17072" s="27" t="s">
        <v>384</v>
      </c>
      <c r="N17072" s="27" t="s">
        <v>385</v>
      </c>
      <c r="P17072" s="27" t="s">
        <v>10926</v>
      </c>
      <c r="Q17072" s="26" t="str">
        <f>HYPERLINK("https://ictv.global/taxonomy/taxondetails?taxnode_id=202502679&amp;ictv_id=ICTV20165235","ICTV20165235")</f>
        <v>ICTV20165235</v>
      </c>
      <c r="R17072" t="s">
        <v>579</v>
      </c>
      <c r="S17072" t="s">
        <v>824</v>
      </c>
      <c r="T17072">
        <v>38</v>
      </c>
      <c r="U17072" s="26" t="str">
        <f t="shared" si="651"/>
        <v>2022.003D.Lefavirales_106rensp.zip</v>
      </c>
    </row>
    <row r="17073" spans="1:21">
      <c r="A17073">
        <v>17072</v>
      </c>
      <c r="H17073" s="27" t="s">
        <v>3647</v>
      </c>
      <c r="J17073" s="27" t="s">
        <v>3648</v>
      </c>
      <c r="L17073" s="27" t="s">
        <v>384</v>
      </c>
      <c r="N17073" s="27" t="s">
        <v>385</v>
      </c>
      <c r="P17073" s="27" t="s">
        <v>10927</v>
      </c>
      <c r="Q17073" s="26" t="str">
        <f>HYPERLINK("https://ictv.global/taxonomy/taxondetails?taxnode_id=202502680&amp;ictv_id=ICTV20125725","ICTV20125725")</f>
        <v>ICTV20125725</v>
      </c>
      <c r="R17073" t="s">
        <v>579</v>
      </c>
      <c r="S17073" t="s">
        <v>824</v>
      </c>
      <c r="T17073">
        <v>38</v>
      </c>
      <c r="U17073" s="26" t="str">
        <f t="shared" si="651"/>
        <v>2022.003D.Lefavirales_106rensp.zip</v>
      </c>
    </row>
    <row r="17074" spans="1:21">
      <c r="A17074">
        <v>17073</v>
      </c>
      <c r="H17074" s="27" t="s">
        <v>3647</v>
      </c>
      <c r="J17074" s="27" t="s">
        <v>3648</v>
      </c>
      <c r="L17074" s="27" t="s">
        <v>384</v>
      </c>
      <c r="N17074" s="27" t="s">
        <v>385</v>
      </c>
      <c r="P17074" s="27" t="s">
        <v>10928</v>
      </c>
      <c r="Q17074" s="26" t="str">
        <f>HYPERLINK("https://ictv.global/taxonomy/taxondetails?taxnode_id=202506527&amp;ictv_id=ICTV201856527","ICTV201856527")</f>
        <v>ICTV201856527</v>
      </c>
      <c r="R17074" t="s">
        <v>579</v>
      </c>
      <c r="S17074" t="s">
        <v>824</v>
      </c>
      <c r="T17074">
        <v>38</v>
      </c>
      <c r="U17074" s="26" t="str">
        <f t="shared" si="651"/>
        <v>2022.003D.Lefavirales_106rensp.zip</v>
      </c>
    </row>
    <row r="17075" spans="1:21">
      <c r="A17075">
        <v>17074</v>
      </c>
      <c r="H17075" s="27" t="s">
        <v>3647</v>
      </c>
      <c r="J17075" s="27" t="s">
        <v>3648</v>
      </c>
      <c r="L17075" s="27" t="s">
        <v>384</v>
      </c>
      <c r="N17075" s="27" t="s">
        <v>385</v>
      </c>
      <c r="P17075" s="27" t="s">
        <v>10929</v>
      </c>
      <c r="Q17075" s="26" t="str">
        <f>HYPERLINK("https://ictv.global/taxonomy/taxondetails?taxnode_id=202502681&amp;ictv_id=ICTV19950518","ICTV19950518")</f>
        <v>ICTV19950518</v>
      </c>
      <c r="R17075" t="s">
        <v>579</v>
      </c>
      <c r="S17075" t="s">
        <v>824</v>
      </c>
      <c r="T17075">
        <v>38</v>
      </c>
      <c r="U17075" s="26" t="str">
        <f t="shared" si="651"/>
        <v>2022.003D.Lefavirales_106rensp.zip</v>
      </c>
    </row>
    <row r="17076" spans="1:21">
      <c r="A17076">
        <v>17075</v>
      </c>
      <c r="H17076" s="27" t="s">
        <v>3647</v>
      </c>
      <c r="J17076" s="27" t="s">
        <v>3648</v>
      </c>
      <c r="L17076" s="27" t="s">
        <v>384</v>
      </c>
      <c r="N17076" s="27" t="s">
        <v>385</v>
      </c>
      <c r="P17076" s="27" t="s">
        <v>10930</v>
      </c>
      <c r="Q17076" s="26" t="str">
        <f>HYPERLINK("https://ictv.global/taxonomy/taxondetails?taxnode_id=202502682&amp;ictv_id=ICTV20165236","ICTV20165236")</f>
        <v>ICTV20165236</v>
      </c>
      <c r="R17076" t="s">
        <v>579</v>
      </c>
      <c r="S17076" t="s">
        <v>824</v>
      </c>
      <c r="T17076">
        <v>38</v>
      </c>
      <c r="U17076" s="26" t="str">
        <f t="shared" si="651"/>
        <v>2022.003D.Lefavirales_106rensp.zip</v>
      </c>
    </row>
    <row r="17077" spans="1:21">
      <c r="A17077">
        <v>17076</v>
      </c>
      <c r="H17077" s="27" t="s">
        <v>3647</v>
      </c>
      <c r="J17077" s="27" t="s">
        <v>3648</v>
      </c>
      <c r="L17077" s="27" t="s">
        <v>384</v>
      </c>
      <c r="N17077" s="27" t="s">
        <v>385</v>
      </c>
      <c r="P17077" s="27" t="s">
        <v>10931</v>
      </c>
      <c r="Q17077" s="26" t="str">
        <f>HYPERLINK("https://ictv.global/taxonomy/taxondetails?taxnode_id=202502683&amp;ictv_id=ICTV19910425","ICTV19910425")</f>
        <v>ICTV19910425</v>
      </c>
      <c r="R17077" t="s">
        <v>579</v>
      </c>
      <c r="S17077" t="s">
        <v>824</v>
      </c>
      <c r="T17077">
        <v>38</v>
      </c>
      <c r="U17077" s="26" t="str">
        <f t="shared" si="651"/>
        <v>2022.003D.Lefavirales_106rensp.zip</v>
      </c>
    </row>
    <row r="17078" spans="1:21">
      <c r="A17078">
        <v>17077</v>
      </c>
      <c r="H17078" s="27" t="s">
        <v>3647</v>
      </c>
      <c r="J17078" s="27" t="s">
        <v>3648</v>
      </c>
      <c r="L17078" s="27" t="s">
        <v>384</v>
      </c>
      <c r="N17078" s="27" t="s">
        <v>385</v>
      </c>
      <c r="P17078" s="27" t="s">
        <v>10932</v>
      </c>
      <c r="Q17078" s="26" t="str">
        <f>HYPERLINK("https://ictv.global/taxonomy/taxondetails?taxnode_id=202502684&amp;ictv_id=ICTV20073239","ICTV20073239")</f>
        <v>ICTV20073239</v>
      </c>
      <c r="R17078" t="s">
        <v>579</v>
      </c>
      <c r="S17078" t="s">
        <v>824</v>
      </c>
      <c r="T17078">
        <v>38</v>
      </c>
      <c r="U17078" s="26" t="str">
        <f t="shared" si="651"/>
        <v>2022.003D.Lefavirales_106rensp.zip</v>
      </c>
    </row>
    <row r="17079" spans="1:21">
      <c r="A17079">
        <v>17078</v>
      </c>
      <c r="H17079" s="27" t="s">
        <v>3647</v>
      </c>
      <c r="J17079" s="27" t="s">
        <v>3648</v>
      </c>
      <c r="L17079" s="27" t="s">
        <v>384</v>
      </c>
      <c r="N17079" s="27" t="s">
        <v>385</v>
      </c>
      <c r="P17079" s="27" t="s">
        <v>10933</v>
      </c>
      <c r="Q17079" s="26" t="str">
        <f>HYPERLINK("https://ictv.global/taxonomy/taxondetails?taxnode_id=202502686&amp;ictv_id=ICTV20125726","ICTV20125726")</f>
        <v>ICTV20125726</v>
      </c>
      <c r="R17079" t="s">
        <v>579</v>
      </c>
      <c r="S17079" t="s">
        <v>824</v>
      </c>
      <c r="T17079">
        <v>38</v>
      </c>
      <c r="U17079" s="26" t="str">
        <f t="shared" si="651"/>
        <v>2022.003D.Lefavirales_106rensp.zip</v>
      </c>
    </row>
    <row r="17080" spans="1:21">
      <c r="A17080">
        <v>17079</v>
      </c>
      <c r="H17080" s="27" t="s">
        <v>3647</v>
      </c>
      <c r="J17080" s="27" t="s">
        <v>3648</v>
      </c>
      <c r="L17080" s="27" t="s">
        <v>384</v>
      </c>
      <c r="N17080" s="27" t="s">
        <v>385</v>
      </c>
      <c r="P17080" s="27" t="s">
        <v>21102</v>
      </c>
      <c r="Q17080" s="26" t="str">
        <f>HYPERLINK("https://ictv.global/taxonomy/taxondetails?taxnode_id=202522039&amp;ictv_id=ICTV202522039","ICTV202522039")</f>
        <v>ICTV202522039</v>
      </c>
      <c r="R17080" t="s">
        <v>579</v>
      </c>
      <c r="S17080" t="s">
        <v>823</v>
      </c>
      <c r="T17080">
        <v>41</v>
      </c>
      <c r="U17080" s="26" t="str">
        <f>HYPERLINK("https://ictv.global/ictv/proposals/2025.001D.Baculoviridae_4nsp_1absp.zip","2025.001D.Baculoviridae_4nsp_1absp.zip")</f>
        <v>2025.001D.Baculoviridae_4nsp_1absp.zip</v>
      </c>
    </row>
    <row r="17081" spans="1:21">
      <c r="A17081">
        <v>17080</v>
      </c>
      <c r="H17081" s="27" t="s">
        <v>3647</v>
      </c>
      <c r="J17081" s="27" t="s">
        <v>3648</v>
      </c>
      <c r="L17081" s="27" t="s">
        <v>384</v>
      </c>
      <c r="N17081" s="27" t="s">
        <v>385</v>
      </c>
      <c r="P17081" s="27" t="s">
        <v>10934</v>
      </c>
      <c r="Q17081" s="26" t="str">
        <f>HYPERLINK("https://ictv.global/taxonomy/taxondetails?taxnode_id=202506528&amp;ictv_id=ICTV201856528","ICTV201856528")</f>
        <v>ICTV201856528</v>
      </c>
      <c r="R17081" t="s">
        <v>579</v>
      </c>
      <c r="S17081" t="s">
        <v>824</v>
      </c>
      <c r="T17081">
        <v>38</v>
      </c>
      <c r="U17081" s="26" t="str">
        <f>HYPERLINK("https://ictv.global/ictv/proposals/2022.003D.Lefavirales_106rensp.zip","2022.003D.Lefavirales_106rensp.zip")</f>
        <v>2022.003D.Lefavirales_106rensp.zip</v>
      </c>
    </row>
    <row r="17082" spans="1:21">
      <c r="A17082">
        <v>17081</v>
      </c>
      <c r="H17082" s="27" t="s">
        <v>3647</v>
      </c>
      <c r="J17082" s="27" t="s">
        <v>3648</v>
      </c>
      <c r="L17082" s="27" t="s">
        <v>384</v>
      </c>
      <c r="N17082" s="27" t="s">
        <v>385</v>
      </c>
      <c r="P17082" s="27" t="s">
        <v>10935</v>
      </c>
      <c r="Q17082" s="26" t="str">
        <f>HYPERLINK("https://ictv.global/taxonomy/taxondetails?taxnode_id=202514024&amp;ictv_id=ICTV202214024","ICTV202214024")</f>
        <v>ICTV202214024</v>
      </c>
      <c r="R17082" t="s">
        <v>579</v>
      </c>
      <c r="S17082" t="s">
        <v>823</v>
      </c>
      <c r="T17082">
        <v>38</v>
      </c>
      <c r="U17082" s="26" t="str">
        <f>HYPERLINK("https://ictv.global/ictv/proposals/2022.004D.Baculoviridae_6nsp.zip","2022.004D.Baculoviridae_6nsp.zip")</f>
        <v>2022.004D.Baculoviridae_6nsp.zip</v>
      </c>
    </row>
    <row r="17083" spans="1:21">
      <c r="A17083">
        <v>17082</v>
      </c>
      <c r="H17083" s="27" t="s">
        <v>3647</v>
      </c>
      <c r="J17083" s="27" t="s">
        <v>3648</v>
      </c>
      <c r="L17083" s="27" t="s">
        <v>384</v>
      </c>
      <c r="N17083" s="27" t="s">
        <v>385</v>
      </c>
      <c r="P17083" s="27" t="s">
        <v>10936</v>
      </c>
      <c r="Q17083" s="26" t="str">
        <f>HYPERLINK("https://ictv.global/taxonomy/taxondetails?taxnode_id=202506529&amp;ictv_id=ICTV201856529","ICTV201856529")</f>
        <v>ICTV201856529</v>
      </c>
      <c r="R17083" t="s">
        <v>579</v>
      </c>
      <c r="S17083" t="s">
        <v>824</v>
      </c>
      <c r="T17083">
        <v>38</v>
      </c>
      <c r="U17083" s="26" t="str">
        <f>HYPERLINK("https://ictv.global/ictv/proposals/2022.003D.Lefavirales_106rensp.zip","2022.003D.Lefavirales_106rensp.zip")</f>
        <v>2022.003D.Lefavirales_106rensp.zip</v>
      </c>
    </row>
    <row r="17084" spans="1:21">
      <c r="A17084">
        <v>17083</v>
      </c>
      <c r="H17084" s="27" t="s">
        <v>3647</v>
      </c>
      <c r="J17084" s="27" t="s">
        <v>3648</v>
      </c>
      <c r="L17084" s="27" t="s">
        <v>384</v>
      </c>
      <c r="N17084" s="27" t="s">
        <v>385</v>
      </c>
      <c r="P17084" s="27" t="s">
        <v>10937</v>
      </c>
      <c r="Q17084" s="26" t="str">
        <f>HYPERLINK("https://ictv.global/taxonomy/taxondetails?taxnode_id=202502687&amp;ictv_id=ICTV20165237","ICTV20165237")</f>
        <v>ICTV20165237</v>
      </c>
      <c r="R17084" t="s">
        <v>579</v>
      </c>
      <c r="S17084" t="s">
        <v>824</v>
      </c>
      <c r="T17084">
        <v>38</v>
      </c>
      <c r="U17084" s="26" t="str">
        <f>HYPERLINK("https://ictv.global/ictv/proposals/2022.003D.Lefavirales_106rensp.zip","2022.003D.Lefavirales_106rensp.zip")</f>
        <v>2022.003D.Lefavirales_106rensp.zip</v>
      </c>
    </row>
    <row r="17085" spans="1:21">
      <c r="A17085">
        <v>17084</v>
      </c>
      <c r="H17085" s="27" t="s">
        <v>3647</v>
      </c>
      <c r="J17085" s="27" t="s">
        <v>3648</v>
      </c>
      <c r="L17085" s="27" t="s">
        <v>384</v>
      </c>
      <c r="N17085" s="27" t="s">
        <v>385</v>
      </c>
      <c r="P17085" s="27" t="s">
        <v>10938</v>
      </c>
      <c r="Q17085" s="26" t="str">
        <f>HYPERLINK("https://ictv.global/taxonomy/taxondetails?taxnode_id=202502688&amp;ictv_id=ICTV19910426","ICTV19910426")</f>
        <v>ICTV19910426</v>
      </c>
      <c r="R17085" t="s">
        <v>579</v>
      </c>
      <c r="S17085" t="s">
        <v>824</v>
      </c>
      <c r="T17085">
        <v>38</v>
      </c>
      <c r="U17085" s="26" t="str">
        <f>HYPERLINK("https://ictv.global/ictv/proposals/2022.003D.Lefavirales_106rensp.zip","2022.003D.Lefavirales_106rensp.zip")</f>
        <v>2022.003D.Lefavirales_106rensp.zip</v>
      </c>
    </row>
    <row r="17086" spans="1:21">
      <c r="A17086">
        <v>17085</v>
      </c>
      <c r="H17086" s="27" t="s">
        <v>3647</v>
      </c>
      <c r="J17086" s="27" t="s">
        <v>3648</v>
      </c>
      <c r="L17086" s="27" t="s">
        <v>384</v>
      </c>
      <c r="N17086" s="27" t="s">
        <v>385</v>
      </c>
      <c r="P17086" s="27" t="s">
        <v>11240</v>
      </c>
      <c r="Q17086" s="26" t="str">
        <f>HYPERLINK("https://ictv.global/taxonomy/taxondetails?taxnode_id=202506530&amp;ictv_id=ICTV201856530","ICTV201856530")</f>
        <v>ICTV201856530</v>
      </c>
      <c r="R17086" t="s">
        <v>579</v>
      </c>
      <c r="S17086" t="s">
        <v>824</v>
      </c>
      <c r="T17086">
        <v>38</v>
      </c>
      <c r="U17086" s="26" t="str">
        <f>HYPERLINK("https://ictv.global/ictv/proposals/2023.DX002.Correction_2_Alphabaculovirus.zip","2023.DX002.Correction_2_Alphabaculovirus.zip")</f>
        <v>2023.DX002.Correction_2_Alphabaculovirus.zip</v>
      </c>
    </row>
    <row r="17087" spans="1:21">
      <c r="A17087">
        <v>17086</v>
      </c>
      <c r="H17087" s="27" t="s">
        <v>3647</v>
      </c>
      <c r="J17087" s="27" t="s">
        <v>3648</v>
      </c>
      <c r="L17087" s="27" t="s">
        <v>384</v>
      </c>
      <c r="N17087" s="27" t="s">
        <v>385</v>
      </c>
      <c r="P17087" s="27" t="s">
        <v>20691</v>
      </c>
      <c r="Q17087" s="26" t="str">
        <f>HYPERLINK("https://ictv.global/taxonomy/taxondetails?taxnode_id=202520213&amp;ictv_id=ICTV202420213","ICTV202420213")</f>
        <v>ICTV202420213</v>
      </c>
      <c r="R17087" t="s">
        <v>579</v>
      </c>
      <c r="S17087" t="s">
        <v>823</v>
      </c>
      <c r="T17087">
        <v>40</v>
      </c>
      <c r="U17087" s="26" t="str">
        <f>HYPERLINK("https://ictv.global/ictv/proposals/2024.005D.Baculoviridae_4nsp_1absp.zip","2024.005D.Baculoviridae_4nsp_1absp.zip")</f>
        <v>2024.005D.Baculoviridae_4nsp_1absp.zip</v>
      </c>
    </row>
    <row r="17088" spans="1:21">
      <c r="A17088">
        <v>17087</v>
      </c>
      <c r="H17088" s="27" t="s">
        <v>3647</v>
      </c>
      <c r="J17088" s="27" t="s">
        <v>3648</v>
      </c>
      <c r="L17088" s="27" t="s">
        <v>384</v>
      </c>
      <c r="N17088" s="27" t="s">
        <v>385</v>
      </c>
      <c r="P17088" s="27" t="s">
        <v>20692</v>
      </c>
      <c r="Q17088" s="26" t="str">
        <f>HYPERLINK("https://ictv.global/taxonomy/taxondetails?taxnode_id=202520214&amp;ictv_id=ICTV202420214","ICTV202420214")</f>
        <v>ICTV202420214</v>
      </c>
      <c r="R17088" t="s">
        <v>579</v>
      </c>
      <c r="S17088" t="s">
        <v>823</v>
      </c>
      <c r="T17088">
        <v>40</v>
      </c>
      <c r="U17088" s="26" t="str">
        <f>HYPERLINK("https://ictv.global/ictv/proposals/2024.005D.Baculoviridae_4nsp_1absp.zip","2024.005D.Baculoviridae_4nsp_1absp.zip")</f>
        <v>2024.005D.Baculoviridae_4nsp_1absp.zip</v>
      </c>
    </row>
    <row r="17089" spans="1:21">
      <c r="A17089">
        <v>17088</v>
      </c>
      <c r="H17089" s="27" t="s">
        <v>3647</v>
      </c>
      <c r="J17089" s="27" t="s">
        <v>3648</v>
      </c>
      <c r="L17089" s="27" t="s">
        <v>384</v>
      </c>
      <c r="N17089" s="27" t="s">
        <v>385</v>
      </c>
      <c r="P17089" s="27" t="s">
        <v>10939</v>
      </c>
      <c r="Q17089" s="26" t="str">
        <f>HYPERLINK("https://ictv.global/taxonomy/taxondetails?taxnode_id=202506532&amp;ictv_id=ICTV201856532","ICTV201856532")</f>
        <v>ICTV201856532</v>
      </c>
      <c r="R17089" t="s">
        <v>579</v>
      </c>
      <c r="S17089" t="s">
        <v>824</v>
      </c>
      <c r="T17089">
        <v>38</v>
      </c>
      <c r="U17089" s="26" t="str">
        <f>HYPERLINK("https://ictv.global/ictv/proposals/2022.003D.Lefavirales_106rensp.zip","2022.003D.Lefavirales_106rensp.zip")</f>
        <v>2022.003D.Lefavirales_106rensp.zip</v>
      </c>
    </row>
    <row r="17090" spans="1:21">
      <c r="A17090">
        <v>17089</v>
      </c>
      <c r="H17090" s="27" t="s">
        <v>3647</v>
      </c>
      <c r="J17090" s="27" t="s">
        <v>3648</v>
      </c>
      <c r="L17090" s="27" t="s">
        <v>384</v>
      </c>
      <c r="N17090" s="27" t="s">
        <v>385</v>
      </c>
      <c r="P17090" s="27" t="s">
        <v>10940</v>
      </c>
      <c r="Q17090" s="26" t="str">
        <f>HYPERLINK("https://ictv.global/taxonomy/taxondetails?taxnode_id=202506531&amp;ictv_id=ICTV201856531","ICTV201856531")</f>
        <v>ICTV201856531</v>
      </c>
      <c r="R17090" t="s">
        <v>579</v>
      </c>
      <c r="S17090" t="s">
        <v>824</v>
      </c>
      <c r="T17090">
        <v>38</v>
      </c>
      <c r="U17090" s="26" t="str">
        <f>HYPERLINK("https://ictv.global/ictv/proposals/2022.003D.Lefavirales_106rensp.zip","2022.003D.Lefavirales_106rensp.zip")</f>
        <v>2022.003D.Lefavirales_106rensp.zip</v>
      </c>
    </row>
    <row r="17091" spans="1:21">
      <c r="A17091">
        <v>17090</v>
      </c>
      <c r="H17091" s="27" t="s">
        <v>3647</v>
      </c>
      <c r="J17091" s="27" t="s">
        <v>3648</v>
      </c>
      <c r="L17091" s="27" t="s">
        <v>384</v>
      </c>
      <c r="N17091" s="27" t="s">
        <v>385</v>
      </c>
      <c r="P17091" s="27" t="s">
        <v>21103</v>
      </c>
      <c r="Q17091" s="26" t="str">
        <f>HYPERLINK("https://ictv.global/taxonomy/taxondetails?taxnode_id=202522040&amp;ictv_id=ICTV202522040","ICTV202522040")</f>
        <v>ICTV202522040</v>
      </c>
      <c r="R17091" t="s">
        <v>579</v>
      </c>
      <c r="S17091" t="s">
        <v>823</v>
      </c>
      <c r="T17091">
        <v>41</v>
      </c>
      <c r="U17091" s="26" t="str">
        <f>HYPERLINK("https://ictv.global/ictv/proposals/2025.001D.Baculoviridae_4nsp_1absp.zip","2025.001D.Baculoviridae_4nsp_1absp.zip")</f>
        <v>2025.001D.Baculoviridae_4nsp_1absp.zip</v>
      </c>
    </row>
    <row r="17092" spans="1:21">
      <c r="A17092">
        <v>17091</v>
      </c>
      <c r="H17092" s="27" t="s">
        <v>3647</v>
      </c>
      <c r="J17092" s="27" t="s">
        <v>3648</v>
      </c>
      <c r="L17092" s="27" t="s">
        <v>384</v>
      </c>
      <c r="N17092" s="27" t="s">
        <v>385</v>
      </c>
      <c r="P17092" s="27" t="s">
        <v>10941</v>
      </c>
      <c r="Q17092" s="26" t="str">
        <f>HYPERLINK("https://ictv.global/taxonomy/taxondetails?taxnode_id=202513427&amp;ictv_id=ICTV202113427","ICTV202113427")</f>
        <v>ICTV202113427</v>
      </c>
      <c r="R17092" t="s">
        <v>579</v>
      </c>
      <c r="S17092" t="s">
        <v>824</v>
      </c>
      <c r="T17092">
        <v>38</v>
      </c>
      <c r="U17092" s="26" t="str">
        <f>HYPERLINK("https://ictv.global/ictv/proposals/2022.003D.Lefavirales_106rensp.zip","2022.003D.Lefavirales_106rensp.zip")</f>
        <v>2022.003D.Lefavirales_106rensp.zip</v>
      </c>
    </row>
    <row r="17093" spans="1:21">
      <c r="A17093">
        <v>17092</v>
      </c>
      <c r="H17093" s="27" t="s">
        <v>3647</v>
      </c>
      <c r="J17093" s="27" t="s">
        <v>3648</v>
      </c>
      <c r="L17093" s="27" t="s">
        <v>384</v>
      </c>
      <c r="N17093" s="27" t="s">
        <v>385</v>
      </c>
      <c r="P17093" s="27" t="s">
        <v>10942</v>
      </c>
      <c r="Q17093" s="26" t="str">
        <f>HYPERLINK("https://ictv.global/taxonomy/taxondetails?taxnode_id=202514025&amp;ictv_id=ICTV202214025","ICTV202214025")</f>
        <v>ICTV202214025</v>
      </c>
      <c r="R17093" t="s">
        <v>579</v>
      </c>
      <c r="S17093" t="s">
        <v>823</v>
      </c>
      <c r="T17093">
        <v>38</v>
      </c>
      <c r="U17093" s="26" t="str">
        <f>HYPERLINK("https://ictv.global/ictv/proposals/2022.004D.Baculoviridae_6nsp.zip","2022.004D.Baculoviridae_6nsp.zip")</f>
        <v>2022.004D.Baculoviridae_6nsp.zip</v>
      </c>
    </row>
    <row r="17094" spans="1:21">
      <c r="A17094">
        <v>17093</v>
      </c>
      <c r="H17094" s="27" t="s">
        <v>3647</v>
      </c>
      <c r="J17094" s="27" t="s">
        <v>3648</v>
      </c>
      <c r="L17094" s="27" t="s">
        <v>384</v>
      </c>
      <c r="N17094" s="27" t="s">
        <v>385</v>
      </c>
      <c r="P17094" s="27" t="s">
        <v>11241</v>
      </c>
      <c r="Q17094" s="26" t="str">
        <f>HYPERLINK("https://ictv.global/taxonomy/taxondetails?taxnode_id=202508666&amp;ictv_id=ICTV201908666","ICTV201908666")</f>
        <v>ICTV201908666</v>
      </c>
      <c r="R17094" t="s">
        <v>579</v>
      </c>
      <c r="S17094" t="s">
        <v>824</v>
      </c>
      <c r="T17094">
        <v>38</v>
      </c>
      <c r="U17094" s="26" t="str">
        <f>HYPERLINK("https://ictv.global/ictv/proposals/2023.DX003.Correction_3_Alphabaculovirus.zip","2023.DX003.Correction_3_Alphabaculovirus.zip")</f>
        <v>2023.DX003.Correction_3_Alphabaculovirus.zip</v>
      </c>
    </row>
    <row r="17095" spans="1:21">
      <c r="A17095">
        <v>17094</v>
      </c>
      <c r="H17095" s="27" t="s">
        <v>3647</v>
      </c>
      <c r="J17095" s="27" t="s">
        <v>3648</v>
      </c>
      <c r="L17095" s="27" t="s">
        <v>384</v>
      </c>
      <c r="N17095" s="27" t="s">
        <v>385</v>
      </c>
      <c r="P17095" s="27" t="s">
        <v>10943</v>
      </c>
      <c r="Q17095" s="26" t="str">
        <f>HYPERLINK("https://ictv.global/taxonomy/taxondetails?taxnode_id=202508667&amp;ictv_id=ICTV201908667","ICTV201908667")</f>
        <v>ICTV201908667</v>
      </c>
      <c r="R17095" t="s">
        <v>579</v>
      </c>
      <c r="S17095" t="s">
        <v>824</v>
      </c>
      <c r="T17095">
        <v>38</v>
      </c>
      <c r="U17095" s="26" t="str">
        <f>HYPERLINK("https://ictv.global/ictv/proposals/2022.003D.Lefavirales_106rensp.zip","2022.003D.Lefavirales_106rensp.zip")</f>
        <v>2022.003D.Lefavirales_106rensp.zip</v>
      </c>
    </row>
    <row r="17096" spans="1:21">
      <c r="A17096">
        <v>17095</v>
      </c>
      <c r="H17096" s="27" t="s">
        <v>3647</v>
      </c>
      <c r="J17096" s="27" t="s">
        <v>3648</v>
      </c>
      <c r="L17096" s="27" t="s">
        <v>384</v>
      </c>
      <c r="N17096" s="27" t="s">
        <v>385</v>
      </c>
      <c r="P17096" s="27" t="s">
        <v>10944</v>
      </c>
      <c r="Q17096" s="26" t="str">
        <f>HYPERLINK("https://ictv.global/taxonomy/taxondetails?taxnode_id=202502689&amp;ictv_id=ICTV19950523","ICTV19950523")</f>
        <v>ICTV19950523</v>
      </c>
      <c r="R17096" t="s">
        <v>579</v>
      </c>
      <c r="S17096" t="s">
        <v>824</v>
      </c>
      <c r="T17096">
        <v>38</v>
      </c>
      <c r="U17096" s="26" t="str">
        <f>HYPERLINK("https://ictv.global/ictv/proposals/2022.003D.Lefavirales_106rensp.zip","2022.003D.Lefavirales_106rensp.zip")</f>
        <v>2022.003D.Lefavirales_106rensp.zip</v>
      </c>
    </row>
    <row r="17097" spans="1:21">
      <c r="A17097">
        <v>17096</v>
      </c>
      <c r="H17097" s="27" t="s">
        <v>3647</v>
      </c>
      <c r="J17097" s="27" t="s">
        <v>3648</v>
      </c>
      <c r="L17097" s="27" t="s">
        <v>384</v>
      </c>
      <c r="N17097" s="27" t="s">
        <v>385</v>
      </c>
      <c r="P17097" s="27" t="s">
        <v>10945</v>
      </c>
      <c r="Q17097" s="26" t="str">
        <f>HYPERLINK("https://ictv.global/taxonomy/taxondetails?taxnode_id=202502691&amp;ictv_id=ICTV20020623","ICTV20020623")</f>
        <v>ICTV20020623</v>
      </c>
      <c r="R17097" t="s">
        <v>579</v>
      </c>
      <c r="S17097" t="s">
        <v>824</v>
      </c>
      <c r="T17097">
        <v>38</v>
      </c>
      <c r="U17097" s="26" t="str">
        <f>HYPERLINK("https://ictv.global/ictv/proposals/2022.003D.Lefavirales_106rensp.zip","2022.003D.Lefavirales_106rensp.zip")</f>
        <v>2022.003D.Lefavirales_106rensp.zip</v>
      </c>
    </row>
    <row r="17098" spans="1:21">
      <c r="A17098">
        <v>17097</v>
      </c>
      <c r="H17098" s="27" t="s">
        <v>3647</v>
      </c>
      <c r="J17098" s="27" t="s">
        <v>3648</v>
      </c>
      <c r="L17098" s="27" t="s">
        <v>384</v>
      </c>
      <c r="N17098" s="27" t="s">
        <v>385</v>
      </c>
      <c r="P17098" s="27" t="s">
        <v>10946</v>
      </c>
      <c r="Q17098" s="26" t="str">
        <f>HYPERLINK("https://ictv.global/taxonomy/taxondetails?taxnode_id=202502692&amp;ictv_id=ICTV20073247","ICTV20073247")</f>
        <v>ICTV20073247</v>
      </c>
      <c r="R17098" t="s">
        <v>579</v>
      </c>
      <c r="S17098" t="s">
        <v>824</v>
      </c>
      <c r="T17098">
        <v>38</v>
      </c>
      <c r="U17098" s="26" t="str">
        <f>HYPERLINK("https://ictv.global/ictv/proposals/2022.003D.Lefavirales_106rensp.zip","2022.003D.Lefavirales_106rensp.zip")</f>
        <v>2022.003D.Lefavirales_106rensp.zip</v>
      </c>
    </row>
    <row r="17099" spans="1:21">
      <c r="A17099">
        <v>17098</v>
      </c>
      <c r="H17099" s="27" t="s">
        <v>3647</v>
      </c>
      <c r="J17099" s="27" t="s">
        <v>3648</v>
      </c>
      <c r="L17099" s="27" t="s">
        <v>384</v>
      </c>
      <c r="N17099" s="27" t="s">
        <v>385</v>
      </c>
      <c r="P17099" s="27" t="s">
        <v>20693</v>
      </c>
      <c r="Q17099" s="26" t="str">
        <f>HYPERLINK("https://ictv.global/taxonomy/taxondetails?taxnode_id=202520215&amp;ictv_id=ICTV202420215","ICTV202420215")</f>
        <v>ICTV202420215</v>
      </c>
      <c r="R17099" t="s">
        <v>579</v>
      </c>
      <c r="S17099" t="s">
        <v>823</v>
      </c>
      <c r="T17099">
        <v>40</v>
      </c>
      <c r="U17099" s="26" t="str">
        <f>HYPERLINK("https://ictv.global/ictv/proposals/2024.005D.Baculoviridae_4nsp_1absp.zip","2024.005D.Baculoviridae_4nsp_1absp.zip")</f>
        <v>2024.005D.Baculoviridae_4nsp_1absp.zip</v>
      </c>
    </row>
    <row r="17100" spans="1:21">
      <c r="A17100">
        <v>17099</v>
      </c>
      <c r="H17100" s="27" t="s">
        <v>3647</v>
      </c>
      <c r="J17100" s="27" t="s">
        <v>3648</v>
      </c>
      <c r="L17100" s="27" t="s">
        <v>384</v>
      </c>
      <c r="N17100" s="27" t="s">
        <v>385</v>
      </c>
      <c r="P17100" s="27" t="s">
        <v>10947</v>
      </c>
      <c r="Q17100" s="26" t="str">
        <f>HYPERLINK("https://ictv.global/taxonomy/taxondetails?taxnode_id=202502690&amp;ictv_id=ICTV19950524","ICTV19950524")</f>
        <v>ICTV19950524</v>
      </c>
      <c r="R17100" t="s">
        <v>579</v>
      </c>
      <c r="S17100" t="s">
        <v>824</v>
      </c>
      <c r="T17100">
        <v>38</v>
      </c>
      <c r="U17100" s="26" t="str">
        <f>HYPERLINK("https://ictv.global/ictv/proposals/2022.003D.Lefavirales_106rensp.zip","2022.003D.Lefavirales_106rensp.zip")</f>
        <v>2022.003D.Lefavirales_106rensp.zip</v>
      </c>
    </row>
    <row r="17101" spans="1:21">
      <c r="A17101">
        <v>17100</v>
      </c>
      <c r="H17101" s="27" t="s">
        <v>3647</v>
      </c>
      <c r="J17101" s="27" t="s">
        <v>3648</v>
      </c>
      <c r="L17101" s="27" t="s">
        <v>384</v>
      </c>
      <c r="N17101" s="27" t="s">
        <v>385</v>
      </c>
      <c r="P17101" s="27" t="s">
        <v>10948</v>
      </c>
      <c r="Q17101" s="26" t="str">
        <f>HYPERLINK("https://ictv.global/taxonomy/taxondetails?taxnode_id=202502693&amp;ictv_id=ICTV20152001","ICTV20152001")</f>
        <v>ICTV20152001</v>
      </c>
      <c r="R17101" t="s">
        <v>579</v>
      </c>
      <c r="S17101" t="s">
        <v>824</v>
      </c>
      <c r="T17101">
        <v>38</v>
      </c>
      <c r="U17101" s="26" t="str">
        <f>HYPERLINK("https://ictv.global/ictv/proposals/2022.003D.Lefavirales_106rensp.zip","2022.003D.Lefavirales_106rensp.zip")</f>
        <v>2022.003D.Lefavirales_106rensp.zip</v>
      </c>
    </row>
    <row r="17102" spans="1:21">
      <c r="A17102">
        <v>17101</v>
      </c>
      <c r="H17102" s="27" t="s">
        <v>3647</v>
      </c>
      <c r="J17102" s="27" t="s">
        <v>3648</v>
      </c>
      <c r="L17102" s="27" t="s">
        <v>384</v>
      </c>
      <c r="N17102" s="27" t="s">
        <v>385</v>
      </c>
      <c r="P17102" s="27" t="s">
        <v>10949</v>
      </c>
      <c r="Q17102" s="26" t="str">
        <f>HYPERLINK("https://ictv.global/taxonomy/taxondetails?taxnode_id=202502694&amp;ictv_id=ICTV20020624","ICTV20020624")</f>
        <v>ICTV20020624</v>
      </c>
      <c r="R17102" t="s">
        <v>579</v>
      </c>
      <c r="S17102" t="s">
        <v>824</v>
      </c>
      <c r="T17102">
        <v>38</v>
      </c>
      <c r="U17102" s="26" t="str">
        <f>HYPERLINK("https://ictv.global/ictv/proposals/2022.003D.Lefavirales_106rensp.zip","2022.003D.Lefavirales_106rensp.zip")</f>
        <v>2022.003D.Lefavirales_106rensp.zip</v>
      </c>
    </row>
    <row r="17103" spans="1:21">
      <c r="A17103">
        <v>17102</v>
      </c>
      <c r="H17103" s="27" t="s">
        <v>3647</v>
      </c>
      <c r="J17103" s="27" t="s">
        <v>3648</v>
      </c>
      <c r="L17103" s="27" t="s">
        <v>384</v>
      </c>
      <c r="N17103" s="27" t="s">
        <v>385</v>
      </c>
      <c r="P17103" s="27" t="s">
        <v>10950</v>
      </c>
      <c r="Q17103" s="26" t="str">
        <f>HYPERLINK("https://ictv.global/taxonomy/taxondetails?taxnode_id=202514026&amp;ictv_id=ICTV202214026","ICTV202214026")</f>
        <v>ICTV202214026</v>
      </c>
      <c r="R17103" t="s">
        <v>579</v>
      </c>
      <c r="S17103" t="s">
        <v>823</v>
      </c>
      <c r="T17103">
        <v>38</v>
      </c>
      <c r="U17103" s="26" t="str">
        <f>HYPERLINK("https://ictv.global/ictv/proposals/2022.004D.Baculoviridae_6nsp.zip","2022.004D.Baculoviridae_6nsp.zip")</f>
        <v>2022.004D.Baculoviridae_6nsp.zip</v>
      </c>
    </row>
    <row r="17104" spans="1:21">
      <c r="A17104">
        <v>17103</v>
      </c>
      <c r="H17104" s="27" t="s">
        <v>3647</v>
      </c>
      <c r="J17104" s="27" t="s">
        <v>3648</v>
      </c>
      <c r="L17104" s="27" t="s">
        <v>384</v>
      </c>
      <c r="N17104" s="27" t="s">
        <v>385</v>
      </c>
      <c r="P17104" s="27" t="s">
        <v>10951</v>
      </c>
      <c r="Q17104" s="26" t="str">
        <f>HYPERLINK("https://ictv.global/taxonomy/taxondetails?taxnode_id=202502695&amp;ictv_id=ICTV19910429","ICTV19910429")</f>
        <v>ICTV19910429</v>
      </c>
      <c r="R17104" t="s">
        <v>579</v>
      </c>
      <c r="S17104" t="s">
        <v>824</v>
      </c>
      <c r="T17104">
        <v>38</v>
      </c>
      <c r="U17104" s="26" t="str">
        <f t="shared" ref="U17104:U17124" si="652">HYPERLINK("https://ictv.global/ictv/proposals/2022.003D.Lefavirales_106rensp.zip","2022.003D.Lefavirales_106rensp.zip")</f>
        <v>2022.003D.Lefavirales_106rensp.zip</v>
      </c>
    </row>
    <row r="17105" spans="1:21">
      <c r="A17105">
        <v>17104</v>
      </c>
      <c r="H17105" s="27" t="s">
        <v>3647</v>
      </c>
      <c r="J17105" s="27" t="s">
        <v>3648</v>
      </c>
      <c r="L17105" s="27" t="s">
        <v>384</v>
      </c>
      <c r="N17105" s="27" t="s">
        <v>385</v>
      </c>
      <c r="P17105" s="27" t="s">
        <v>10952</v>
      </c>
      <c r="Q17105" s="26" t="str">
        <f>HYPERLINK("https://ictv.global/taxonomy/taxondetails?taxnode_id=202508668&amp;ictv_id=ICTV201908668","ICTV201908668")</f>
        <v>ICTV201908668</v>
      </c>
      <c r="R17105" t="s">
        <v>579</v>
      </c>
      <c r="S17105" t="s">
        <v>824</v>
      </c>
      <c r="T17105">
        <v>38</v>
      </c>
      <c r="U17105" s="26" t="str">
        <f t="shared" si="652"/>
        <v>2022.003D.Lefavirales_106rensp.zip</v>
      </c>
    </row>
    <row r="17106" spans="1:21">
      <c r="A17106">
        <v>17105</v>
      </c>
      <c r="H17106" s="27" t="s">
        <v>3647</v>
      </c>
      <c r="J17106" s="27" t="s">
        <v>3648</v>
      </c>
      <c r="L17106" s="27" t="s">
        <v>384</v>
      </c>
      <c r="N17106" s="27" t="s">
        <v>385</v>
      </c>
      <c r="P17106" s="27" t="s">
        <v>10953</v>
      </c>
      <c r="Q17106" s="26" t="str">
        <f>HYPERLINK("https://ictv.global/taxonomy/taxondetails?taxnode_id=202502696&amp;ictv_id=ICTV20020626","ICTV20020626")</f>
        <v>ICTV20020626</v>
      </c>
      <c r="R17106" t="s">
        <v>579</v>
      </c>
      <c r="S17106" t="s">
        <v>824</v>
      </c>
      <c r="T17106">
        <v>38</v>
      </c>
      <c r="U17106" s="26" t="str">
        <f t="shared" si="652"/>
        <v>2022.003D.Lefavirales_106rensp.zip</v>
      </c>
    </row>
    <row r="17107" spans="1:21">
      <c r="A17107">
        <v>17106</v>
      </c>
      <c r="H17107" s="27" t="s">
        <v>3647</v>
      </c>
      <c r="J17107" s="27" t="s">
        <v>3648</v>
      </c>
      <c r="L17107" s="27" t="s">
        <v>384</v>
      </c>
      <c r="N17107" s="27" t="s">
        <v>289</v>
      </c>
      <c r="P17107" s="27" t="s">
        <v>10954</v>
      </c>
      <c r="Q17107" s="26" t="str">
        <f>HYPERLINK("https://ictv.global/taxonomy/taxondetails?taxnode_id=202502698&amp;ictv_id=ICTV20020590","ICTV20020590")</f>
        <v>ICTV20020590</v>
      </c>
      <c r="R17107" t="s">
        <v>579</v>
      </c>
      <c r="S17107" t="s">
        <v>824</v>
      </c>
      <c r="T17107">
        <v>38</v>
      </c>
      <c r="U17107" s="26" t="str">
        <f t="shared" si="652"/>
        <v>2022.003D.Lefavirales_106rensp.zip</v>
      </c>
    </row>
    <row r="17108" spans="1:21">
      <c r="A17108">
        <v>17107</v>
      </c>
      <c r="H17108" s="27" t="s">
        <v>3647</v>
      </c>
      <c r="J17108" s="27" t="s">
        <v>3648</v>
      </c>
      <c r="L17108" s="27" t="s">
        <v>384</v>
      </c>
      <c r="N17108" s="27" t="s">
        <v>289</v>
      </c>
      <c r="P17108" s="27" t="s">
        <v>10955</v>
      </c>
      <c r="Q17108" s="26" t="str">
        <f>HYPERLINK("https://ictv.global/taxonomy/taxondetails?taxnode_id=202502699&amp;ictv_id=ICTV20152021","ICTV20152021")</f>
        <v>ICTV20152021</v>
      </c>
      <c r="R17108" t="s">
        <v>579</v>
      </c>
      <c r="S17108" t="s">
        <v>824</v>
      </c>
      <c r="T17108">
        <v>38</v>
      </c>
      <c r="U17108" s="26" t="str">
        <f t="shared" si="652"/>
        <v>2022.003D.Lefavirales_106rensp.zip</v>
      </c>
    </row>
    <row r="17109" spans="1:21">
      <c r="A17109">
        <v>17108</v>
      </c>
      <c r="H17109" s="27" t="s">
        <v>3647</v>
      </c>
      <c r="J17109" s="27" t="s">
        <v>3648</v>
      </c>
      <c r="L17109" s="27" t="s">
        <v>384</v>
      </c>
      <c r="N17109" s="27" t="s">
        <v>289</v>
      </c>
      <c r="P17109" s="27" t="s">
        <v>10956</v>
      </c>
      <c r="Q17109" s="26" t="str">
        <f>HYPERLINK("https://ictv.global/taxonomy/taxondetails?taxnode_id=202502704&amp;ictv_id=ICTV20165240","ICTV20165240")</f>
        <v>ICTV20165240</v>
      </c>
      <c r="R17109" t="s">
        <v>579</v>
      </c>
      <c r="S17109" t="s">
        <v>824</v>
      </c>
      <c r="T17109">
        <v>38</v>
      </c>
      <c r="U17109" s="26" t="str">
        <f t="shared" si="652"/>
        <v>2022.003D.Lefavirales_106rensp.zip</v>
      </c>
    </row>
    <row r="17110" spans="1:21">
      <c r="A17110">
        <v>17109</v>
      </c>
      <c r="H17110" s="27" t="s">
        <v>3647</v>
      </c>
      <c r="J17110" s="27" t="s">
        <v>3648</v>
      </c>
      <c r="L17110" s="27" t="s">
        <v>384</v>
      </c>
      <c r="N17110" s="27" t="s">
        <v>289</v>
      </c>
      <c r="P17110" s="27" t="s">
        <v>10957</v>
      </c>
      <c r="Q17110" s="26" t="str">
        <f>HYPERLINK("https://ictv.global/taxonomy/taxondetails?taxnode_id=202505757&amp;ictv_id=ICTV20175757","ICTV20175757")</f>
        <v>ICTV20175757</v>
      </c>
      <c r="R17110" t="s">
        <v>579</v>
      </c>
      <c r="S17110" t="s">
        <v>824</v>
      </c>
      <c r="T17110">
        <v>38</v>
      </c>
      <c r="U17110" s="26" t="str">
        <f t="shared" si="652"/>
        <v>2022.003D.Lefavirales_106rensp.zip</v>
      </c>
    </row>
    <row r="17111" spans="1:21">
      <c r="A17111">
        <v>17110</v>
      </c>
      <c r="H17111" s="27" t="s">
        <v>3647</v>
      </c>
      <c r="J17111" s="27" t="s">
        <v>3648</v>
      </c>
      <c r="L17111" s="27" t="s">
        <v>384</v>
      </c>
      <c r="N17111" s="27" t="s">
        <v>289</v>
      </c>
      <c r="P17111" s="27" t="s">
        <v>10958</v>
      </c>
      <c r="Q17111" s="26" t="str">
        <f>HYPERLINK("https://ictv.global/taxonomy/taxondetails?taxnode_id=202502700&amp;ictv_id=ICTV19990561","ICTV19990561")</f>
        <v>ICTV19990561</v>
      </c>
      <c r="R17111" t="s">
        <v>579</v>
      </c>
      <c r="S17111" t="s">
        <v>824</v>
      </c>
      <c r="T17111">
        <v>38</v>
      </c>
      <c r="U17111" s="26" t="str">
        <f t="shared" si="652"/>
        <v>2022.003D.Lefavirales_106rensp.zip</v>
      </c>
    </row>
    <row r="17112" spans="1:21">
      <c r="A17112">
        <v>17111</v>
      </c>
      <c r="H17112" s="27" t="s">
        <v>3647</v>
      </c>
      <c r="J17112" s="27" t="s">
        <v>3648</v>
      </c>
      <c r="L17112" s="27" t="s">
        <v>384</v>
      </c>
      <c r="N17112" s="27" t="s">
        <v>289</v>
      </c>
      <c r="P17112" s="27" t="s">
        <v>10959</v>
      </c>
      <c r="Q17112" s="26" t="str">
        <f>HYPERLINK("https://ictv.global/taxonomy/taxondetails?taxnode_id=202502701&amp;ictv_id=ICTV20020592","ICTV20020592")</f>
        <v>ICTV20020592</v>
      </c>
      <c r="R17112" t="s">
        <v>579</v>
      </c>
      <c r="S17112" t="s">
        <v>824</v>
      </c>
      <c r="T17112">
        <v>38</v>
      </c>
      <c r="U17112" s="26" t="str">
        <f t="shared" si="652"/>
        <v>2022.003D.Lefavirales_106rensp.zip</v>
      </c>
    </row>
    <row r="17113" spans="1:21">
      <c r="A17113">
        <v>17112</v>
      </c>
      <c r="H17113" s="27" t="s">
        <v>3647</v>
      </c>
      <c r="J17113" s="27" t="s">
        <v>3648</v>
      </c>
      <c r="L17113" s="27" t="s">
        <v>384</v>
      </c>
      <c r="N17113" s="27" t="s">
        <v>289</v>
      </c>
      <c r="P17113" s="27" t="s">
        <v>10960</v>
      </c>
      <c r="Q17113" s="26" t="str">
        <f>HYPERLINK("https://ictv.global/taxonomy/taxondetails?taxnode_id=202502702&amp;ictv_id=ICTV20165238","ICTV20165238")</f>
        <v>ICTV20165238</v>
      </c>
      <c r="R17113" t="s">
        <v>579</v>
      </c>
      <c r="S17113" t="s">
        <v>824</v>
      </c>
      <c r="T17113">
        <v>38</v>
      </c>
      <c r="U17113" s="26" t="str">
        <f t="shared" si="652"/>
        <v>2022.003D.Lefavirales_106rensp.zip</v>
      </c>
    </row>
    <row r="17114" spans="1:21">
      <c r="A17114">
        <v>17113</v>
      </c>
      <c r="H17114" s="27" t="s">
        <v>3647</v>
      </c>
      <c r="J17114" s="27" t="s">
        <v>3648</v>
      </c>
      <c r="L17114" s="27" t="s">
        <v>384</v>
      </c>
      <c r="N17114" s="27" t="s">
        <v>289</v>
      </c>
      <c r="P17114" s="27" t="s">
        <v>10961</v>
      </c>
      <c r="Q17114" s="26" t="str">
        <f>HYPERLINK("https://ictv.global/taxonomy/taxondetails?taxnode_id=202502703&amp;ictv_id=ICTV20165239","ICTV20165239")</f>
        <v>ICTV20165239</v>
      </c>
      <c r="R17114" t="s">
        <v>579</v>
      </c>
      <c r="S17114" t="s">
        <v>824</v>
      </c>
      <c r="T17114">
        <v>38</v>
      </c>
      <c r="U17114" s="26" t="str">
        <f t="shared" si="652"/>
        <v>2022.003D.Lefavirales_106rensp.zip</v>
      </c>
    </row>
    <row r="17115" spans="1:21">
      <c r="A17115">
        <v>17114</v>
      </c>
      <c r="H17115" s="27" t="s">
        <v>3647</v>
      </c>
      <c r="J17115" s="27" t="s">
        <v>3648</v>
      </c>
      <c r="L17115" s="27" t="s">
        <v>384</v>
      </c>
      <c r="N17115" s="27" t="s">
        <v>289</v>
      </c>
      <c r="P17115" s="27" t="s">
        <v>10962</v>
      </c>
      <c r="Q17115" s="26" t="str">
        <f>HYPERLINK("https://ictv.global/taxonomy/taxondetails?taxnode_id=202505756&amp;ictv_id=ICTV20175756","ICTV20175756")</f>
        <v>ICTV20175756</v>
      </c>
      <c r="R17115" t="s">
        <v>579</v>
      </c>
      <c r="S17115" t="s">
        <v>824</v>
      </c>
      <c r="T17115">
        <v>38</v>
      </c>
      <c r="U17115" s="26" t="str">
        <f t="shared" si="652"/>
        <v>2022.003D.Lefavirales_106rensp.zip</v>
      </c>
    </row>
    <row r="17116" spans="1:21">
      <c r="A17116">
        <v>17115</v>
      </c>
      <c r="H17116" s="27" t="s">
        <v>3647</v>
      </c>
      <c r="J17116" s="27" t="s">
        <v>3648</v>
      </c>
      <c r="L17116" s="27" t="s">
        <v>384</v>
      </c>
      <c r="N17116" s="27" t="s">
        <v>289</v>
      </c>
      <c r="P17116" s="27" t="s">
        <v>10963</v>
      </c>
      <c r="Q17116" s="26" t="str">
        <f>HYPERLINK("https://ictv.global/taxonomy/taxondetails?taxnode_id=202502705&amp;ictv_id=ICTV20020593","ICTV20020593")</f>
        <v>ICTV20020593</v>
      </c>
      <c r="R17116" t="s">
        <v>579</v>
      </c>
      <c r="S17116" t="s">
        <v>824</v>
      </c>
      <c r="T17116">
        <v>38</v>
      </c>
      <c r="U17116" s="26" t="str">
        <f t="shared" si="652"/>
        <v>2022.003D.Lefavirales_106rensp.zip</v>
      </c>
    </row>
    <row r="17117" spans="1:21">
      <c r="A17117">
        <v>17116</v>
      </c>
      <c r="H17117" s="27" t="s">
        <v>3647</v>
      </c>
      <c r="J17117" s="27" t="s">
        <v>3648</v>
      </c>
      <c r="L17117" s="27" t="s">
        <v>384</v>
      </c>
      <c r="N17117" s="27" t="s">
        <v>289</v>
      </c>
      <c r="P17117" s="27" t="s">
        <v>10964</v>
      </c>
      <c r="Q17117" s="26" t="str">
        <f>HYPERLINK("https://ictv.global/taxonomy/taxondetails?taxnode_id=202502706&amp;ictv_id=ICTV19910419","ICTV19910419")</f>
        <v>ICTV19910419</v>
      </c>
      <c r="R17117" t="s">
        <v>579</v>
      </c>
      <c r="S17117" t="s">
        <v>824</v>
      </c>
      <c r="T17117">
        <v>38</v>
      </c>
      <c r="U17117" s="26" t="str">
        <f t="shared" si="652"/>
        <v>2022.003D.Lefavirales_106rensp.zip</v>
      </c>
    </row>
    <row r="17118" spans="1:21">
      <c r="A17118">
        <v>17117</v>
      </c>
      <c r="H17118" s="27" t="s">
        <v>3647</v>
      </c>
      <c r="J17118" s="27" t="s">
        <v>3648</v>
      </c>
      <c r="L17118" s="27" t="s">
        <v>384</v>
      </c>
      <c r="N17118" s="27" t="s">
        <v>289</v>
      </c>
      <c r="P17118" s="27" t="s">
        <v>10965</v>
      </c>
      <c r="Q17118" s="26" t="str">
        <f>HYPERLINK("https://ictv.global/taxonomy/taxondetails?taxnode_id=202502707&amp;ictv_id=ICTV20165241","ICTV20165241")</f>
        <v>ICTV20165241</v>
      </c>
      <c r="R17118" t="s">
        <v>579</v>
      </c>
      <c r="S17118" t="s">
        <v>824</v>
      </c>
      <c r="T17118">
        <v>38</v>
      </c>
      <c r="U17118" s="26" t="str">
        <f t="shared" si="652"/>
        <v>2022.003D.Lefavirales_106rensp.zip</v>
      </c>
    </row>
    <row r="17119" spans="1:21">
      <c r="A17119">
        <v>17118</v>
      </c>
      <c r="H17119" s="27" t="s">
        <v>3647</v>
      </c>
      <c r="J17119" s="27" t="s">
        <v>3648</v>
      </c>
      <c r="L17119" s="27" t="s">
        <v>384</v>
      </c>
      <c r="N17119" s="27" t="s">
        <v>289</v>
      </c>
      <c r="P17119" s="27" t="s">
        <v>10966</v>
      </c>
      <c r="Q17119" s="26" t="str">
        <f>HYPERLINK("https://ictv.global/taxonomy/taxondetails?taxnode_id=202502708&amp;ictv_id=ICTV20165242","ICTV20165242")</f>
        <v>ICTV20165242</v>
      </c>
      <c r="R17119" t="s">
        <v>579</v>
      </c>
      <c r="S17119" t="s">
        <v>824</v>
      </c>
      <c r="T17119">
        <v>38</v>
      </c>
      <c r="U17119" s="26" t="str">
        <f t="shared" si="652"/>
        <v>2022.003D.Lefavirales_106rensp.zip</v>
      </c>
    </row>
    <row r="17120" spans="1:21">
      <c r="A17120">
        <v>17119</v>
      </c>
      <c r="H17120" s="27" t="s">
        <v>3647</v>
      </c>
      <c r="J17120" s="27" t="s">
        <v>3648</v>
      </c>
      <c r="L17120" s="27" t="s">
        <v>384</v>
      </c>
      <c r="N17120" s="27" t="s">
        <v>289</v>
      </c>
      <c r="P17120" s="27" t="s">
        <v>10967</v>
      </c>
      <c r="Q17120" s="26" t="str">
        <f>HYPERLINK("https://ictv.global/taxonomy/taxondetails?taxnode_id=202502709&amp;ictv_id=ICTV20152020","ICTV20152020")</f>
        <v>ICTV20152020</v>
      </c>
      <c r="R17120" t="s">
        <v>579</v>
      </c>
      <c r="S17120" t="s">
        <v>824</v>
      </c>
      <c r="T17120">
        <v>38</v>
      </c>
      <c r="U17120" s="26" t="str">
        <f t="shared" si="652"/>
        <v>2022.003D.Lefavirales_106rensp.zip</v>
      </c>
    </row>
    <row r="17121" spans="1:21">
      <c r="A17121">
        <v>17120</v>
      </c>
      <c r="H17121" s="27" t="s">
        <v>3647</v>
      </c>
      <c r="J17121" s="27" t="s">
        <v>3648</v>
      </c>
      <c r="L17121" s="27" t="s">
        <v>384</v>
      </c>
      <c r="N17121" s="27" t="s">
        <v>289</v>
      </c>
      <c r="P17121" s="27" t="s">
        <v>10968</v>
      </c>
      <c r="Q17121" s="26" t="str">
        <f>HYPERLINK("https://ictv.global/taxonomy/taxondetails?taxnode_id=202502710&amp;ictv_id=ICTV20020595","ICTV20020595")</f>
        <v>ICTV20020595</v>
      </c>
      <c r="R17121" t="s">
        <v>579</v>
      </c>
      <c r="S17121" t="s">
        <v>824</v>
      </c>
      <c r="T17121">
        <v>38</v>
      </c>
      <c r="U17121" s="26" t="str">
        <f t="shared" si="652"/>
        <v>2022.003D.Lefavirales_106rensp.zip</v>
      </c>
    </row>
    <row r="17122" spans="1:21">
      <c r="A17122">
        <v>17121</v>
      </c>
      <c r="H17122" s="27" t="s">
        <v>3647</v>
      </c>
      <c r="J17122" s="27" t="s">
        <v>3648</v>
      </c>
      <c r="L17122" s="27" t="s">
        <v>384</v>
      </c>
      <c r="N17122" s="27" t="s">
        <v>289</v>
      </c>
      <c r="P17122" s="27" t="s">
        <v>10969</v>
      </c>
      <c r="Q17122" s="26" t="str">
        <f>HYPERLINK("https://ictv.global/taxonomy/taxondetails?taxnode_id=202502711&amp;ictv_id=ICTV20020596","ICTV20020596")</f>
        <v>ICTV20020596</v>
      </c>
      <c r="R17122" t="s">
        <v>579</v>
      </c>
      <c r="S17122" t="s">
        <v>824</v>
      </c>
      <c r="T17122">
        <v>38</v>
      </c>
      <c r="U17122" s="26" t="str">
        <f t="shared" si="652"/>
        <v>2022.003D.Lefavirales_106rensp.zip</v>
      </c>
    </row>
    <row r="17123" spans="1:21">
      <c r="A17123">
        <v>17122</v>
      </c>
      <c r="H17123" s="27" t="s">
        <v>3647</v>
      </c>
      <c r="J17123" s="27" t="s">
        <v>3648</v>
      </c>
      <c r="L17123" s="27" t="s">
        <v>384</v>
      </c>
      <c r="N17123" s="27" t="s">
        <v>289</v>
      </c>
      <c r="P17123" s="27" t="s">
        <v>10970</v>
      </c>
      <c r="Q17123" s="26" t="str">
        <f>HYPERLINK("https://ictv.global/taxonomy/taxondetails?taxnode_id=202513429&amp;ictv_id=ICTV202113429","ICTV202113429")</f>
        <v>ICTV202113429</v>
      </c>
      <c r="R17123" t="s">
        <v>579</v>
      </c>
      <c r="S17123" t="s">
        <v>824</v>
      </c>
      <c r="T17123">
        <v>38</v>
      </c>
      <c r="U17123" s="26" t="str">
        <f t="shared" si="652"/>
        <v>2022.003D.Lefavirales_106rensp.zip</v>
      </c>
    </row>
    <row r="17124" spans="1:21">
      <c r="A17124">
        <v>17123</v>
      </c>
      <c r="H17124" s="27" t="s">
        <v>3647</v>
      </c>
      <c r="J17124" s="27" t="s">
        <v>3648</v>
      </c>
      <c r="L17124" s="27" t="s">
        <v>384</v>
      </c>
      <c r="N17124" s="27" t="s">
        <v>289</v>
      </c>
      <c r="P17124" s="27" t="s">
        <v>10971</v>
      </c>
      <c r="Q17124" s="26" t="str">
        <f>HYPERLINK("https://ictv.global/taxonomy/taxondetails?taxnode_id=202502712&amp;ictv_id=ICTV20020597","ICTV20020597")</f>
        <v>ICTV20020597</v>
      </c>
      <c r="R17124" t="s">
        <v>579</v>
      </c>
      <c r="S17124" t="s">
        <v>824</v>
      </c>
      <c r="T17124">
        <v>38</v>
      </c>
      <c r="U17124" s="26" t="str">
        <f t="shared" si="652"/>
        <v>2022.003D.Lefavirales_106rensp.zip</v>
      </c>
    </row>
    <row r="17125" spans="1:21">
      <c r="A17125">
        <v>17124</v>
      </c>
      <c r="H17125" s="27" t="s">
        <v>3647</v>
      </c>
      <c r="J17125" s="27" t="s">
        <v>3648</v>
      </c>
      <c r="L17125" s="27" t="s">
        <v>384</v>
      </c>
      <c r="N17125" s="27" t="s">
        <v>289</v>
      </c>
      <c r="P17125" s="27" t="s">
        <v>10972</v>
      </c>
      <c r="Q17125" s="26" t="str">
        <f>HYPERLINK("https://ictv.global/taxonomy/taxondetails?taxnode_id=202513430&amp;ictv_id=ICTV202113430","ICTV202113430")</f>
        <v>ICTV202113430</v>
      </c>
      <c r="R17125" t="s">
        <v>579</v>
      </c>
      <c r="S17125" t="s">
        <v>823</v>
      </c>
      <c r="T17125">
        <v>37</v>
      </c>
      <c r="U17125" s="26" t="str">
        <f>HYPERLINK("https://ictv.global/ictv/proposals/2021.004D.R.Baculoviridae_6nsp.zip","2021.004D.R.Baculoviridae_6nsp.zip")</f>
        <v>2021.004D.R.Baculoviridae_6nsp.zip</v>
      </c>
    </row>
    <row r="17126" spans="1:21">
      <c r="A17126">
        <v>17125</v>
      </c>
      <c r="H17126" s="27" t="s">
        <v>3647</v>
      </c>
      <c r="J17126" s="27" t="s">
        <v>3648</v>
      </c>
      <c r="L17126" s="27" t="s">
        <v>384</v>
      </c>
      <c r="N17126" s="27" t="s">
        <v>289</v>
      </c>
      <c r="P17126" s="27" t="s">
        <v>10973</v>
      </c>
      <c r="Q17126" s="26" t="str">
        <f>HYPERLINK("https://ictv.global/taxonomy/taxondetails?taxnode_id=202506533&amp;ictv_id=ICTV201856533","ICTV201856533")</f>
        <v>ICTV201856533</v>
      </c>
      <c r="R17126" t="s">
        <v>579</v>
      </c>
      <c r="S17126" t="s">
        <v>824</v>
      </c>
      <c r="T17126">
        <v>38</v>
      </c>
      <c r="U17126" s="26" t="str">
        <f>HYPERLINK("https://ictv.global/ictv/proposals/2022.003D.Lefavirales_106rensp.zip","2022.003D.Lefavirales_106rensp.zip")</f>
        <v>2022.003D.Lefavirales_106rensp.zip</v>
      </c>
    </row>
    <row r="17127" spans="1:21">
      <c r="A17127">
        <v>17126</v>
      </c>
      <c r="H17127" s="27" t="s">
        <v>3647</v>
      </c>
      <c r="J17127" s="27" t="s">
        <v>3648</v>
      </c>
      <c r="L17127" s="27" t="s">
        <v>384</v>
      </c>
      <c r="N17127" s="27" t="s">
        <v>289</v>
      </c>
      <c r="P17127" s="27" t="s">
        <v>10974</v>
      </c>
      <c r="Q17127" s="26" t="str">
        <f>HYPERLINK("https://ictv.global/taxonomy/taxondetails?taxnode_id=202502716&amp;ictv_id=ICTV20020600","ICTV20020600")</f>
        <v>ICTV20020600</v>
      </c>
      <c r="R17127" t="s">
        <v>579</v>
      </c>
      <c r="S17127" t="s">
        <v>824</v>
      </c>
      <c r="T17127">
        <v>38</v>
      </c>
      <c r="U17127" s="26" t="str">
        <f>HYPERLINK("https://ictv.global/ictv/proposals/2022.003D.Lefavirales_106rensp.zip","2022.003D.Lefavirales_106rensp.zip")</f>
        <v>2022.003D.Lefavirales_106rensp.zip</v>
      </c>
    </row>
    <row r="17128" spans="1:21">
      <c r="A17128">
        <v>17127</v>
      </c>
      <c r="H17128" s="27" t="s">
        <v>3647</v>
      </c>
      <c r="J17128" s="27" t="s">
        <v>3648</v>
      </c>
      <c r="L17128" s="27" t="s">
        <v>384</v>
      </c>
      <c r="N17128" s="27" t="s">
        <v>289</v>
      </c>
      <c r="P17128" s="27" t="s">
        <v>10975</v>
      </c>
      <c r="Q17128" s="26" t="str">
        <f>HYPERLINK("https://ictv.global/taxonomy/taxondetails?taxnode_id=202502713&amp;ictv_id=ICTV20073217","ICTV20073217")</f>
        <v>ICTV20073217</v>
      </c>
      <c r="R17128" t="s">
        <v>579</v>
      </c>
      <c r="S17128" t="s">
        <v>824</v>
      </c>
      <c r="T17128">
        <v>38</v>
      </c>
      <c r="U17128" s="26" t="str">
        <f>HYPERLINK("https://ictv.global/ictv/proposals/2022.003D.Lefavirales_106rensp.zip","2022.003D.Lefavirales_106rensp.zip")</f>
        <v>2022.003D.Lefavirales_106rensp.zip</v>
      </c>
    </row>
    <row r="17129" spans="1:21">
      <c r="A17129">
        <v>17128</v>
      </c>
      <c r="H17129" s="27" t="s">
        <v>3647</v>
      </c>
      <c r="J17129" s="27" t="s">
        <v>3648</v>
      </c>
      <c r="L17129" s="27" t="s">
        <v>384</v>
      </c>
      <c r="N17129" s="27" t="s">
        <v>289</v>
      </c>
      <c r="P17129" s="27" t="s">
        <v>21104</v>
      </c>
      <c r="Q17129" s="26" t="str">
        <f>HYPERLINK("https://ictv.global/taxonomy/taxondetails?taxnode_id=202522041&amp;ictv_id=ICTV202522041","ICTV202522041")</f>
        <v>ICTV202522041</v>
      </c>
      <c r="R17129" t="s">
        <v>579</v>
      </c>
      <c r="S17129" t="s">
        <v>823</v>
      </c>
      <c r="T17129">
        <v>41</v>
      </c>
      <c r="U17129" s="26" t="str">
        <f>HYPERLINK("https://ictv.global/ictv/proposals/2025.001D.Baculoviridae_4nsp_1absp.zip","2025.001D.Baculoviridae_4nsp_1absp.zip")</f>
        <v>2025.001D.Baculoviridae_4nsp_1absp.zip</v>
      </c>
    </row>
    <row r="17130" spans="1:21">
      <c r="A17130">
        <v>17129</v>
      </c>
      <c r="H17130" s="27" t="s">
        <v>3647</v>
      </c>
      <c r="J17130" s="27" t="s">
        <v>3648</v>
      </c>
      <c r="L17130" s="27" t="s">
        <v>384</v>
      </c>
      <c r="N17130" s="27" t="s">
        <v>289</v>
      </c>
      <c r="P17130" s="27" t="s">
        <v>10976</v>
      </c>
      <c r="Q17130" s="26" t="str">
        <f>HYPERLINK("https://ictv.global/taxonomy/taxondetails?taxnode_id=202502714&amp;ictv_id=ICTV19820256","ICTV19820256")</f>
        <v>ICTV19820256</v>
      </c>
      <c r="R17130" t="s">
        <v>579</v>
      </c>
      <c r="S17130" t="s">
        <v>824</v>
      </c>
      <c r="T17130">
        <v>38</v>
      </c>
      <c r="U17130" s="26" t="str">
        <f>HYPERLINK("https://ictv.global/ictv/proposals/2022.003D.Lefavirales_106rensp.zip","2022.003D.Lefavirales_106rensp.zip")</f>
        <v>2022.003D.Lefavirales_106rensp.zip</v>
      </c>
    </row>
    <row r="17131" spans="1:21">
      <c r="A17131">
        <v>17130</v>
      </c>
      <c r="H17131" s="27" t="s">
        <v>3647</v>
      </c>
      <c r="J17131" s="27" t="s">
        <v>3648</v>
      </c>
      <c r="L17131" s="27" t="s">
        <v>384</v>
      </c>
      <c r="N17131" s="27" t="s">
        <v>289</v>
      </c>
      <c r="P17131" s="27" t="s">
        <v>10977</v>
      </c>
      <c r="Q17131" s="26" t="str">
        <f>HYPERLINK("https://ictv.global/taxonomy/taxondetails?taxnode_id=202502715&amp;ictv_id=ICTV20020599","ICTV20020599")</f>
        <v>ICTV20020599</v>
      </c>
      <c r="R17131" t="s">
        <v>579</v>
      </c>
      <c r="S17131" t="s">
        <v>824</v>
      </c>
      <c r="T17131">
        <v>38</v>
      </c>
      <c r="U17131" s="26" t="str">
        <f>HYPERLINK("https://ictv.global/ictv/proposals/2022.003D.Lefavirales_106rensp.zip","2022.003D.Lefavirales_106rensp.zip")</f>
        <v>2022.003D.Lefavirales_106rensp.zip</v>
      </c>
    </row>
    <row r="17132" spans="1:21">
      <c r="A17132">
        <v>17131</v>
      </c>
      <c r="H17132" s="27" t="s">
        <v>3647</v>
      </c>
      <c r="J17132" s="27" t="s">
        <v>3648</v>
      </c>
      <c r="L17132" s="27" t="s">
        <v>384</v>
      </c>
      <c r="N17132" s="27" t="s">
        <v>289</v>
      </c>
      <c r="P17132" s="27" t="s">
        <v>20694</v>
      </c>
      <c r="Q17132" s="26" t="str">
        <f>HYPERLINK("https://ictv.global/taxonomy/taxondetails?taxnode_id=202520216&amp;ictv_id=ICTV202420216","ICTV202420216")</f>
        <v>ICTV202420216</v>
      </c>
      <c r="R17132" t="s">
        <v>579</v>
      </c>
      <c r="S17132" t="s">
        <v>823</v>
      </c>
      <c r="T17132">
        <v>40</v>
      </c>
      <c r="U17132" s="26" t="str">
        <f>HYPERLINK("https://ictv.global/ictv/proposals/2024.005D.Baculoviridae_4nsp_1absp.zip","2024.005D.Baculoviridae_4nsp_1absp.zip")</f>
        <v>2024.005D.Baculoviridae_4nsp_1absp.zip</v>
      </c>
    </row>
    <row r="17133" spans="1:21">
      <c r="A17133">
        <v>17132</v>
      </c>
      <c r="H17133" s="27" t="s">
        <v>3647</v>
      </c>
      <c r="J17133" s="27" t="s">
        <v>3648</v>
      </c>
      <c r="L17133" s="27" t="s">
        <v>384</v>
      </c>
      <c r="N17133" s="27" t="s">
        <v>289</v>
      </c>
      <c r="P17133" s="27" t="s">
        <v>10978</v>
      </c>
      <c r="Q17133" s="26" t="str">
        <f>HYPERLINK("https://ictv.global/taxonomy/taxondetails?taxnode_id=202502718&amp;ictv_id=ICTV20165243","ICTV20165243")</f>
        <v>ICTV20165243</v>
      </c>
      <c r="R17133" t="s">
        <v>579</v>
      </c>
      <c r="S17133" t="s">
        <v>824</v>
      </c>
      <c r="T17133">
        <v>38</v>
      </c>
      <c r="U17133" s="26" t="str">
        <f>HYPERLINK("https://ictv.global/ictv/proposals/2022.003D.Lefavirales_106rensp.zip","2022.003D.Lefavirales_106rensp.zip")</f>
        <v>2022.003D.Lefavirales_106rensp.zip</v>
      </c>
    </row>
    <row r="17134" spans="1:21">
      <c r="A17134">
        <v>17133</v>
      </c>
      <c r="H17134" s="27" t="s">
        <v>3647</v>
      </c>
      <c r="J17134" s="27" t="s">
        <v>3648</v>
      </c>
      <c r="L17134" s="27" t="s">
        <v>384</v>
      </c>
      <c r="N17134" s="27" t="s">
        <v>289</v>
      </c>
      <c r="P17134" s="27" t="s">
        <v>10979</v>
      </c>
      <c r="Q17134" s="26" t="str">
        <f>HYPERLINK("https://ictv.global/taxonomy/taxondetails?taxnode_id=202502717&amp;ictv_id=ICTV20152019","ICTV20152019")</f>
        <v>ICTV20152019</v>
      </c>
      <c r="R17134" t="s">
        <v>579</v>
      </c>
      <c r="S17134" t="s">
        <v>824</v>
      </c>
      <c r="T17134">
        <v>38</v>
      </c>
      <c r="U17134" s="26" t="str">
        <f>HYPERLINK("https://ictv.global/ictv/proposals/2022.003D.Lefavirales_106rensp.zip","2022.003D.Lefavirales_106rensp.zip")</f>
        <v>2022.003D.Lefavirales_106rensp.zip</v>
      </c>
    </row>
    <row r="17135" spans="1:21">
      <c r="A17135">
        <v>17134</v>
      </c>
      <c r="H17135" s="27" t="s">
        <v>3647</v>
      </c>
      <c r="J17135" s="27" t="s">
        <v>3648</v>
      </c>
      <c r="L17135" s="27" t="s">
        <v>384</v>
      </c>
      <c r="N17135" s="27" t="s">
        <v>289</v>
      </c>
      <c r="P17135" s="27" t="s">
        <v>10980</v>
      </c>
      <c r="Q17135" s="26" t="str">
        <f>HYPERLINK("https://ictv.global/taxonomy/taxondetails?taxnode_id=202502720&amp;ictv_id=ICTV19990565","ICTV19990565")</f>
        <v>ICTV19990565</v>
      </c>
      <c r="R17135" t="s">
        <v>579</v>
      </c>
      <c r="S17135" t="s">
        <v>824</v>
      </c>
      <c r="T17135">
        <v>38</v>
      </c>
      <c r="U17135" s="26" t="str">
        <f>HYPERLINK("https://ictv.global/ictv/proposals/2022.003D.Lefavirales_106rensp.zip","2022.003D.Lefavirales_106rensp.zip")</f>
        <v>2022.003D.Lefavirales_106rensp.zip</v>
      </c>
    </row>
    <row r="17136" spans="1:21">
      <c r="A17136">
        <v>17135</v>
      </c>
      <c r="H17136" s="27" t="s">
        <v>3647</v>
      </c>
      <c r="J17136" s="27" t="s">
        <v>3648</v>
      </c>
      <c r="L17136" s="27" t="s">
        <v>384</v>
      </c>
      <c r="N17136" s="27" t="s">
        <v>387</v>
      </c>
      <c r="P17136" s="27" t="s">
        <v>10981</v>
      </c>
      <c r="Q17136" s="26" t="str">
        <f>HYPERLINK("https://ictv.global/taxonomy/taxondetails?taxnode_id=202502722&amp;ictv_id=ICTV20020611","ICTV20020611")</f>
        <v>ICTV20020611</v>
      </c>
      <c r="R17136" t="s">
        <v>579</v>
      </c>
      <c r="S17136" t="s">
        <v>824</v>
      </c>
      <c r="T17136">
        <v>38</v>
      </c>
      <c r="U17136" s="26" t="str">
        <f>HYPERLINK("https://ictv.global/ictv/proposals/2022.003D.Lefavirales_106rensp.zip","2022.003D.Lefavirales_106rensp.zip")</f>
        <v>2022.003D.Lefavirales_106rensp.zip</v>
      </c>
    </row>
    <row r="17137" spans="1:21">
      <c r="A17137">
        <v>17136</v>
      </c>
      <c r="H17137" s="27" t="s">
        <v>3647</v>
      </c>
      <c r="J17137" s="27" t="s">
        <v>3648</v>
      </c>
      <c r="L17137" s="27" t="s">
        <v>384</v>
      </c>
      <c r="N17137" s="27" t="s">
        <v>166</v>
      </c>
      <c r="P17137" s="27" t="s">
        <v>10982</v>
      </c>
      <c r="Q17137" s="26" t="str">
        <f>HYPERLINK("https://ictv.global/taxonomy/taxondetails?taxnode_id=202514027&amp;ictv_id=ICTV202214027","ICTV202214027")</f>
        <v>ICTV202214027</v>
      </c>
      <c r="R17137" t="s">
        <v>579</v>
      </c>
      <c r="S17137" t="s">
        <v>823</v>
      </c>
      <c r="T17137">
        <v>38</v>
      </c>
      <c r="U17137" s="26" t="str">
        <f>HYPERLINK("https://ictv.global/ictv/proposals/2022.004D.Baculoviridae_6nsp.zip","2022.004D.Baculoviridae_6nsp.zip")</f>
        <v>2022.004D.Baculoviridae_6nsp.zip</v>
      </c>
    </row>
    <row r="17138" spans="1:21">
      <c r="A17138">
        <v>17137</v>
      </c>
      <c r="H17138" s="27" t="s">
        <v>3647</v>
      </c>
      <c r="J17138" s="27" t="s">
        <v>3648</v>
      </c>
      <c r="L17138" s="27" t="s">
        <v>384</v>
      </c>
      <c r="N17138" s="27" t="s">
        <v>166</v>
      </c>
      <c r="P17138" s="27" t="s">
        <v>10983</v>
      </c>
      <c r="Q17138" s="26" t="str">
        <f>HYPERLINK("https://ictv.global/taxonomy/taxondetails?taxnode_id=202502724&amp;ictv_id=ICTV20020618","ICTV20020618")</f>
        <v>ICTV20020618</v>
      </c>
      <c r="R17138" t="s">
        <v>579</v>
      </c>
      <c r="S17138" t="s">
        <v>824</v>
      </c>
      <c r="T17138">
        <v>38</v>
      </c>
      <c r="U17138" s="26" t="str">
        <f>HYPERLINK("https://ictv.global/ictv/proposals/2022.003D.Lefavirales_106rensp.zip","2022.003D.Lefavirales_106rensp.zip")</f>
        <v>2022.003D.Lefavirales_106rensp.zip</v>
      </c>
    </row>
    <row r="17139" spans="1:21">
      <c r="A17139">
        <v>17138</v>
      </c>
      <c r="H17139" s="27" t="s">
        <v>3647</v>
      </c>
      <c r="J17139" s="27" t="s">
        <v>3648</v>
      </c>
      <c r="L17139" s="27" t="s">
        <v>384</v>
      </c>
      <c r="N17139" s="27" t="s">
        <v>166</v>
      </c>
      <c r="P17139" s="27" t="s">
        <v>10984</v>
      </c>
      <c r="Q17139" s="26" t="str">
        <f>HYPERLINK("https://ictv.global/taxonomy/taxondetails?taxnode_id=202502725&amp;ictv_id=ICTV19990573","ICTV19990573")</f>
        <v>ICTV19990573</v>
      </c>
      <c r="R17139" t="s">
        <v>579</v>
      </c>
      <c r="S17139" t="s">
        <v>824</v>
      </c>
      <c r="T17139">
        <v>38</v>
      </c>
      <c r="U17139" s="26" t="str">
        <f>HYPERLINK("https://ictv.global/ictv/proposals/2022.003D.Lefavirales_106rensp.zip","2022.003D.Lefavirales_106rensp.zip")</f>
        <v>2022.003D.Lefavirales_106rensp.zip</v>
      </c>
    </row>
    <row r="17140" spans="1:21">
      <c r="A17140">
        <v>17139</v>
      </c>
      <c r="H17140" s="27" t="s">
        <v>3647</v>
      </c>
      <c r="J17140" s="27" t="s">
        <v>3648</v>
      </c>
      <c r="L17140" s="27" t="s">
        <v>20695</v>
      </c>
      <c r="N17140" s="27" t="s">
        <v>20696</v>
      </c>
      <c r="P17140" s="27" t="s">
        <v>20697</v>
      </c>
      <c r="Q17140" s="26" t="str">
        <f>HYPERLINK("https://ictv.global/taxonomy/taxondetails?taxnode_id=202520247&amp;ictv_id=ICTV202420247","ICTV202420247")</f>
        <v>ICTV202420247</v>
      </c>
      <c r="R17140" t="s">
        <v>579</v>
      </c>
      <c r="S17140" t="s">
        <v>823</v>
      </c>
      <c r="T17140">
        <v>40</v>
      </c>
      <c r="U17140" s="26" t="str">
        <f>HYPERLINK("https://ictv.global/ictv/proposals/2024.007D.Filamentoviridae_1nf_2ngen_3nsp.zip","2024.007D.Filamentoviridae_1nf_2ngen_3nsp.zip")</f>
        <v>2024.007D.Filamentoviridae_1nf_2ngen_3nsp.zip</v>
      </c>
    </row>
    <row r="17141" spans="1:21">
      <c r="A17141">
        <v>17140</v>
      </c>
      <c r="H17141" s="27" t="s">
        <v>3647</v>
      </c>
      <c r="J17141" s="27" t="s">
        <v>3648</v>
      </c>
      <c r="L17141" s="27" t="s">
        <v>20695</v>
      </c>
      <c r="N17141" s="27" t="s">
        <v>20698</v>
      </c>
      <c r="P17141" s="27" t="s">
        <v>20699</v>
      </c>
      <c r="Q17141" s="26" t="str">
        <f>HYPERLINK("https://ictv.global/taxonomy/taxondetails?taxnode_id=202520249&amp;ictv_id=ICTV202420249","ICTV202420249")</f>
        <v>ICTV202420249</v>
      </c>
      <c r="R17141" t="s">
        <v>579</v>
      </c>
      <c r="S17141" t="s">
        <v>823</v>
      </c>
      <c r="T17141">
        <v>40</v>
      </c>
      <c r="U17141" s="26" t="str">
        <f>HYPERLINK("https://ictv.global/ictv/proposals/2024.007D.Filamentoviridae_1nf_2ngen_3nsp.zip","2024.007D.Filamentoviridae_1nf_2ngen_3nsp.zip")</f>
        <v>2024.007D.Filamentoviridae_1nf_2ngen_3nsp.zip</v>
      </c>
    </row>
    <row r="17142" spans="1:21">
      <c r="A17142">
        <v>17141</v>
      </c>
      <c r="H17142" s="27" t="s">
        <v>3647</v>
      </c>
      <c r="J17142" s="27" t="s">
        <v>3648</v>
      </c>
      <c r="L17142" s="27" t="s">
        <v>20695</v>
      </c>
      <c r="N17142" s="27" t="s">
        <v>20698</v>
      </c>
      <c r="P17142" s="27" t="s">
        <v>20700</v>
      </c>
      <c r="Q17142" s="26" t="str">
        <f>HYPERLINK("https://ictv.global/taxonomy/taxondetails?taxnode_id=202520248&amp;ictv_id=ICTV202420248","ICTV202420248")</f>
        <v>ICTV202420248</v>
      </c>
      <c r="R17142" t="s">
        <v>579</v>
      </c>
      <c r="S17142" t="s">
        <v>823</v>
      </c>
      <c r="T17142">
        <v>40</v>
      </c>
      <c r="U17142" s="26" t="str">
        <f>HYPERLINK("https://ictv.global/ictv/proposals/2024.007D.Filamentoviridae_1nf_2ngen_3nsp.zip","2024.007D.Filamentoviridae_1nf_2ngen_3nsp.zip")</f>
        <v>2024.007D.Filamentoviridae_1nf_2ngen_3nsp.zip</v>
      </c>
    </row>
    <row r="17143" spans="1:21">
      <c r="A17143">
        <v>17142</v>
      </c>
      <c r="H17143" s="27" t="s">
        <v>3647</v>
      </c>
      <c r="J17143" s="27" t="s">
        <v>3648</v>
      </c>
      <c r="L17143" s="27" t="s">
        <v>16</v>
      </c>
      <c r="N17143" s="27" t="s">
        <v>17</v>
      </c>
      <c r="P17143" s="27" t="s">
        <v>10985</v>
      </c>
      <c r="Q17143" s="26" t="str">
        <f>HYPERLINK("https://ictv.global/taxonomy/taxondetails?taxnode_id=202503681&amp;ictv_id=ICTV20115370","ICTV20115370")</f>
        <v>ICTV20115370</v>
      </c>
      <c r="R17143" t="s">
        <v>579</v>
      </c>
      <c r="S17143" t="s">
        <v>824</v>
      </c>
      <c r="T17143">
        <v>38</v>
      </c>
      <c r="U17143" s="26" t="str">
        <f>HYPERLINK("https://ictv.global/ictv/proposals/2022.003D.Lefavirales_106rensp.zip","2022.003D.Lefavirales_106rensp.zip")</f>
        <v>2022.003D.Lefavirales_106rensp.zip</v>
      </c>
    </row>
    <row r="17144" spans="1:21">
      <c r="A17144">
        <v>17143</v>
      </c>
      <c r="H17144" s="27" t="s">
        <v>3647</v>
      </c>
      <c r="J17144" s="27" t="s">
        <v>3648</v>
      </c>
      <c r="L17144" s="27" t="s">
        <v>16</v>
      </c>
      <c r="N17144" s="27" t="s">
        <v>18</v>
      </c>
      <c r="P17144" s="27" t="s">
        <v>10986</v>
      </c>
      <c r="Q17144" s="26" t="str">
        <f>HYPERLINK("https://ictv.global/taxonomy/taxondetails?taxnode_id=202503683&amp;ictv_id=ICTV20115371","ICTV20115371")</f>
        <v>ICTV20115371</v>
      </c>
      <c r="R17144" t="s">
        <v>579</v>
      </c>
      <c r="S17144" t="s">
        <v>824</v>
      </c>
      <c r="T17144">
        <v>38</v>
      </c>
      <c r="U17144" s="26" t="str">
        <f>HYPERLINK("https://ictv.global/ictv/proposals/2022.003D.Lefavirales_106rensp.zip","2022.003D.Lefavirales_106rensp.zip")</f>
        <v>2022.003D.Lefavirales_106rensp.zip</v>
      </c>
    </row>
    <row r="17145" spans="1:21">
      <c r="A17145">
        <v>17144</v>
      </c>
      <c r="H17145" s="27" t="s">
        <v>3647</v>
      </c>
      <c r="J17145" s="27" t="s">
        <v>3648</v>
      </c>
      <c r="L17145" s="27" t="s">
        <v>514</v>
      </c>
      <c r="N17145" s="27" t="s">
        <v>515</v>
      </c>
      <c r="P17145" s="27" t="s">
        <v>10987</v>
      </c>
      <c r="Q17145" s="26" t="str">
        <f>HYPERLINK("https://ictv.global/taxonomy/taxondetails?taxnode_id=202508928&amp;ictv_id=ICTV202008928","ICTV202008928")</f>
        <v>ICTV202008928</v>
      </c>
      <c r="R17145" t="s">
        <v>579</v>
      </c>
      <c r="S17145" t="s">
        <v>824</v>
      </c>
      <c r="T17145">
        <v>38</v>
      </c>
      <c r="U17145" s="26" t="str">
        <f>HYPERLINK("https://ictv.global/ictv/proposals/2022.003D.Lefavirales_106rensp.zip","2022.003D.Lefavirales_106rensp.zip")</f>
        <v>2022.003D.Lefavirales_106rensp.zip</v>
      </c>
    </row>
    <row r="17146" spans="1:21">
      <c r="A17146">
        <v>17145</v>
      </c>
      <c r="H17146" s="27" t="s">
        <v>3647</v>
      </c>
      <c r="J17146" s="27" t="s">
        <v>3648</v>
      </c>
      <c r="L17146" s="27" t="s">
        <v>514</v>
      </c>
      <c r="N17146" s="27" t="s">
        <v>515</v>
      </c>
      <c r="P17146" s="27" t="s">
        <v>21182</v>
      </c>
      <c r="Q17146" s="26" t="str">
        <f>HYPERLINK("https://ictv.global/taxonomy/taxondetails?taxnode_id=202522096&amp;ictv_id=ICTV202522096","ICTV202522096")</f>
        <v>ICTV202522096</v>
      </c>
      <c r="R17146" t="s">
        <v>579</v>
      </c>
      <c r="S17146" t="s">
        <v>823</v>
      </c>
      <c r="T17146">
        <v>41</v>
      </c>
      <c r="U17146" s="26" t="str">
        <f>HYPERLINK("https://ictv.global/ictv/proposals/2025.002D.Nudiviridae_2ng_17ns_1mvsp.zip","2025.002D.Nudiviridae_2ng_17ns_1mvsp.zip")</f>
        <v>2025.002D.Nudiviridae_2ng_17ns_1mvsp.zip</v>
      </c>
    </row>
    <row r="17147" spans="1:21">
      <c r="A17147">
        <v>17146</v>
      </c>
      <c r="H17147" s="27" t="s">
        <v>3647</v>
      </c>
      <c r="J17147" s="27" t="s">
        <v>3648</v>
      </c>
      <c r="L17147" s="27" t="s">
        <v>514</v>
      </c>
      <c r="N17147" s="27" t="s">
        <v>515</v>
      </c>
      <c r="P17147" s="27" t="s">
        <v>10988</v>
      </c>
      <c r="Q17147" s="26" t="str">
        <f>HYPERLINK("https://ictv.global/taxonomy/taxondetails?taxnode_id=202508926&amp;ictv_id=ICTV202008926","ICTV202008926")</f>
        <v>ICTV202008926</v>
      </c>
      <c r="R17147" t="s">
        <v>579</v>
      </c>
      <c r="S17147" t="s">
        <v>824</v>
      </c>
      <c r="T17147">
        <v>38</v>
      </c>
      <c r="U17147" s="26" t="str">
        <f t="shared" ref="U17147:U17154" si="653">HYPERLINK("https://ictv.global/ictv/proposals/2022.003D.Lefavirales_106rensp.zip","2022.003D.Lefavirales_106rensp.zip")</f>
        <v>2022.003D.Lefavirales_106rensp.zip</v>
      </c>
    </row>
    <row r="17148" spans="1:21">
      <c r="A17148">
        <v>17147</v>
      </c>
      <c r="H17148" s="27" t="s">
        <v>3647</v>
      </c>
      <c r="J17148" s="27" t="s">
        <v>3648</v>
      </c>
      <c r="L17148" s="27" t="s">
        <v>514</v>
      </c>
      <c r="N17148" s="27" t="s">
        <v>515</v>
      </c>
      <c r="P17148" s="27" t="s">
        <v>10989</v>
      </c>
      <c r="Q17148" s="26" t="str">
        <f>HYPERLINK("https://ictv.global/taxonomy/taxondetails?taxnode_id=202508927&amp;ictv_id=ICTV202008927","ICTV202008927")</f>
        <v>ICTV202008927</v>
      </c>
      <c r="R17148" t="s">
        <v>579</v>
      </c>
      <c r="S17148" t="s">
        <v>824</v>
      </c>
      <c r="T17148">
        <v>38</v>
      </c>
      <c r="U17148" s="26" t="str">
        <f t="shared" si="653"/>
        <v>2022.003D.Lefavirales_106rensp.zip</v>
      </c>
    </row>
    <row r="17149" spans="1:21">
      <c r="A17149">
        <v>17148</v>
      </c>
      <c r="H17149" s="27" t="s">
        <v>3647</v>
      </c>
      <c r="J17149" s="27" t="s">
        <v>3648</v>
      </c>
      <c r="L17149" s="27" t="s">
        <v>514</v>
      </c>
      <c r="N17149" s="27" t="s">
        <v>515</v>
      </c>
      <c r="P17149" s="27" t="s">
        <v>10990</v>
      </c>
      <c r="Q17149" s="26" t="str">
        <f>HYPERLINK("https://ictv.global/taxonomy/taxondetails?taxnode_id=202503939&amp;ictv_id=ICTV20133593","ICTV20133593")</f>
        <v>ICTV20133593</v>
      </c>
      <c r="R17149" t="s">
        <v>579</v>
      </c>
      <c r="S17149" t="s">
        <v>824</v>
      </c>
      <c r="T17149">
        <v>38</v>
      </c>
      <c r="U17149" s="26" t="str">
        <f t="shared" si="653"/>
        <v>2022.003D.Lefavirales_106rensp.zip</v>
      </c>
    </row>
    <row r="17150" spans="1:21">
      <c r="A17150">
        <v>17149</v>
      </c>
      <c r="H17150" s="27" t="s">
        <v>3647</v>
      </c>
      <c r="J17150" s="27" t="s">
        <v>3648</v>
      </c>
      <c r="L17150" s="27" t="s">
        <v>514</v>
      </c>
      <c r="N17150" s="27" t="s">
        <v>515</v>
      </c>
      <c r="P17150" s="27" t="s">
        <v>10991</v>
      </c>
      <c r="Q17150" s="26" t="str">
        <f>HYPERLINK("https://ictv.global/taxonomy/taxondetails?taxnode_id=202503940&amp;ictv_id=ICTV20133592","ICTV20133592")</f>
        <v>ICTV20133592</v>
      </c>
      <c r="R17150" t="s">
        <v>579</v>
      </c>
      <c r="S17150" t="s">
        <v>824</v>
      </c>
      <c r="T17150">
        <v>38</v>
      </c>
      <c r="U17150" s="26" t="str">
        <f t="shared" si="653"/>
        <v>2022.003D.Lefavirales_106rensp.zip</v>
      </c>
    </row>
    <row r="17151" spans="1:21">
      <c r="A17151">
        <v>17150</v>
      </c>
      <c r="H17151" s="27" t="s">
        <v>3647</v>
      </c>
      <c r="J17151" s="27" t="s">
        <v>3648</v>
      </c>
      <c r="L17151" s="27" t="s">
        <v>514</v>
      </c>
      <c r="N17151" s="27" t="s">
        <v>515</v>
      </c>
      <c r="P17151" s="27" t="s">
        <v>10992</v>
      </c>
      <c r="Q17151" s="26" t="str">
        <f>HYPERLINK("https://ictv.global/taxonomy/taxondetails?taxnode_id=202508930&amp;ictv_id=ICTV202008930","ICTV202008930")</f>
        <v>ICTV202008930</v>
      </c>
      <c r="R17151" t="s">
        <v>579</v>
      </c>
      <c r="S17151" t="s">
        <v>824</v>
      </c>
      <c r="T17151">
        <v>38</v>
      </c>
      <c r="U17151" s="26" t="str">
        <f t="shared" si="653"/>
        <v>2022.003D.Lefavirales_106rensp.zip</v>
      </c>
    </row>
    <row r="17152" spans="1:21">
      <c r="A17152">
        <v>17151</v>
      </c>
      <c r="H17152" s="27" t="s">
        <v>3647</v>
      </c>
      <c r="J17152" s="27" t="s">
        <v>3648</v>
      </c>
      <c r="L17152" s="27" t="s">
        <v>514</v>
      </c>
      <c r="N17152" s="27" t="s">
        <v>515</v>
      </c>
      <c r="P17152" s="27" t="s">
        <v>10993</v>
      </c>
      <c r="Q17152" s="26" t="str">
        <f>HYPERLINK("https://ictv.global/taxonomy/taxondetails?taxnode_id=202508929&amp;ictv_id=ICTV202008929","ICTV202008929")</f>
        <v>ICTV202008929</v>
      </c>
      <c r="R17152" t="s">
        <v>579</v>
      </c>
      <c r="S17152" t="s">
        <v>824</v>
      </c>
      <c r="T17152">
        <v>38</v>
      </c>
      <c r="U17152" s="26" t="str">
        <f t="shared" si="653"/>
        <v>2022.003D.Lefavirales_106rensp.zip</v>
      </c>
    </row>
    <row r="17153" spans="1:21">
      <c r="A17153">
        <v>17152</v>
      </c>
      <c r="H17153" s="27" t="s">
        <v>3647</v>
      </c>
      <c r="J17153" s="27" t="s">
        <v>3648</v>
      </c>
      <c r="L17153" s="27" t="s">
        <v>514</v>
      </c>
      <c r="N17153" s="27" t="s">
        <v>516</v>
      </c>
      <c r="P17153" s="27" t="s">
        <v>10994</v>
      </c>
      <c r="Q17153" s="26" t="str">
        <f>HYPERLINK("https://ictv.global/taxonomy/taxondetails?taxnode_id=202503942&amp;ictv_id=ICTV20133595","ICTV20133595")</f>
        <v>ICTV20133595</v>
      </c>
      <c r="R17153" t="s">
        <v>579</v>
      </c>
      <c r="S17153" t="s">
        <v>824</v>
      </c>
      <c r="T17153">
        <v>38</v>
      </c>
      <c r="U17153" s="26" t="str">
        <f t="shared" si="653"/>
        <v>2022.003D.Lefavirales_106rensp.zip</v>
      </c>
    </row>
    <row r="17154" spans="1:21">
      <c r="A17154">
        <v>17153</v>
      </c>
      <c r="H17154" s="27" t="s">
        <v>3647</v>
      </c>
      <c r="J17154" s="27" t="s">
        <v>3648</v>
      </c>
      <c r="L17154" s="27" t="s">
        <v>514</v>
      </c>
      <c r="N17154" s="27" t="s">
        <v>3649</v>
      </c>
      <c r="P17154" s="27" t="s">
        <v>10995</v>
      </c>
      <c r="Q17154" s="26" t="str">
        <f>HYPERLINK("https://ictv.global/taxonomy/taxondetails?taxnode_id=202508935&amp;ictv_id=ICTV202008935","ICTV202008935")</f>
        <v>ICTV202008935</v>
      </c>
      <c r="R17154" t="s">
        <v>579</v>
      </c>
      <c r="S17154" t="s">
        <v>824</v>
      </c>
      <c r="T17154">
        <v>38</v>
      </c>
      <c r="U17154" s="26" t="str">
        <f t="shared" si="653"/>
        <v>2022.003D.Lefavirales_106rensp.zip</v>
      </c>
    </row>
    <row r="17155" spans="1:21">
      <c r="A17155">
        <v>17154</v>
      </c>
      <c r="H17155" s="27" t="s">
        <v>3647</v>
      </c>
      <c r="J17155" s="27" t="s">
        <v>3648</v>
      </c>
      <c r="L17155" s="27" t="s">
        <v>514</v>
      </c>
      <c r="N17155" s="27" t="s">
        <v>20913</v>
      </c>
      <c r="P17155" s="27" t="s">
        <v>20914</v>
      </c>
      <c r="Q17155" s="26" t="str">
        <f>HYPERLINK("https://ictv.global/taxonomy/taxondetails?taxnode_id=202513431&amp;ictv_id=ICTV202113431","ICTV202113431")</f>
        <v>ICTV202113431</v>
      </c>
      <c r="R17155" t="s">
        <v>579</v>
      </c>
      <c r="S17155" t="s">
        <v>22764</v>
      </c>
      <c r="T17155">
        <v>41</v>
      </c>
      <c r="U17155" s="26" t="str">
        <f t="shared" ref="U17155:U17160" si="654">HYPERLINK("https://ictv.global/ictv/proposals/2025.002D.Nudiviridae_2ng_17ns_1mvsp.zip","2025.002D.Nudiviridae_2ng_17ns_1mvsp.zip")</f>
        <v>2025.002D.Nudiviridae_2ng_17ns_1mvsp.zip</v>
      </c>
    </row>
    <row r="17156" spans="1:21">
      <c r="A17156">
        <v>17155</v>
      </c>
      <c r="H17156" s="27" t="s">
        <v>3647</v>
      </c>
      <c r="J17156" s="27" t="s">
        <v>3648</v>
      </c>
      <c r="L17156" s="27" t="s">
        <v>514</v>
      </c>
      <c r="N17156" s="27" t="s">
        <v>20913</v>
      </c>
      <c r="P17156" s="27" t="s">
        <v>21188</v>
      </c>
      <c r="Q17156" s="26" t="str">
        <f>HYPERLINK("https://ictv.global/taxonomy/taxondetails?taxnode_id=202522102&amp;ictv_id=ICTV202522102","ICTV202522102")</f>
        <v>ICTV202522102</v>
      </c>
      <c r="R17156" t="s">
        <v>579</v>
      </c>
      <c r="S17156" t="s">
        <v>823</v>
      </c>
      <c r="T17156">
        <v>41</v>
      </c>
      <c r="U17156" s="26" t="str">
        <f t="shared" si="654"/>
        <v>2025.002D.Nudiviridae_2ng_17ns_1mvsp.zip</v>
      </c>
    </row>
    <row r="17157" spans="1:21">
      <c r="A17157">
        <v>17156</v>
      </c>
      <c r="H17157" s="27" t="s">
        <v>3647</v>
      </c>
      <c r="J17157" s="27" t="s">
        <v>3648</v>
      </c>
      <c r="L17157" s="27" t="s">
        <v>514</v>
      </c>
      <c r="N17157" s="27" t="s">
        <v>20913</v>
      </c>
      <c r="P17157" s="27" t="s">
        <v>21189</v>
      </c>
      <c r="Q17157" s="26" t="str">
        <f>HYPERLINK("https://ictv.global/taxonomy/taxondetails?taxnode_id=202522103&amp;ictv_id=ICTV202522103","ICTV202522103")</f>
        <v>ICTV202522103</v>
      </c>
      <c r="R17157" t="s">
        <v>579</v>
      </c>
      <c r="S17157" t="s">
        <v>823</v>
      </c>
      <c r="T17157">
        <v>41</v>
      </c>
      <c r="U17157" s="26" t="str">
        <f t="shared" si="654"/>
        <v>2025.002D.Nudiviridae_2ng_17ns_1mvsp.zip</v>
      </c>
    </row>
    <row r="17158" spans="1:21">
      <c r="A17158">
        <v>17157</v>
      </c>
      <c r="H17158" s="27" t="s">
        <v>3647</v>
      </c>
      <c r="J17158" s="27" t="s">
        <v>3648</v>
      </c>
      <c r="L17158" s="27" t="s">
        <v>514</v>
      </c>
      <c r="N17158" s="27" t="s">
        <v>20913</v>
      </c>
      <c r="P17158" s="27" t="s">
        <v>21191</v>
      </c>
      <c r="Q17158" s="26" t="str">
        <f>HYPERLINK("https://ictv.global/taxonomy/taxondetails?taxnode_id=202522105&amp;ictv_id=ICTV202522105","ICTV202522105")</f>
        <v>ICTV202522105</v>
      </c>
      <c r="R17158" t="s">
        <v>579</v>
      </c>
      <c r="S17158" t="s">
        <v>823</v>
      </c>
      <c r="T17158">
        <v>41</v>
      </c>
      <c r="U17158" s="26" t="str">
        <f t="shared" si="654"/>
        <v>2025.002D.Nudiviridae_2ng_17ns_1mvsp.zip</v>
      </c>
    </row>
    <row r="17159" spans="1:21">
      <c r="A17159">
        <v>17158</v>
      </c>
      <c r="H17159" s="27" t="s">
        <v>3647</v>
      </c>
      <c r="J17159" s="27" t="s">
        <v>3648</v>
      </c>
      <c r="L17159" s="27" t="s">
        <v>514</v>
      </c>
      <c r="N17159" s="27" t="s">
        <v>20913</v>
      </c>
      <c r="P17159" s="27" t="s">
        <v>21190</v>
      </c>
      <c r="Q17159" s="26" t="str">
        <f>HYPERLINK("https://ictv.global/taxonomy/taxondetails?taxnode_id=202522104&amp;ictv_id=ICTV202522104","ICTV202522104")</f>
        <v>ICTV202522104</v>
      </c>
      <c r="R17159" t="s">
        <v>579</v>
      </c>
      <c r="S17159" t="s">
        <v>823</v>
      </c>
      <c r="T17159">
        <v>41</v>
      </c>
      <c r="U17159" s="26" t="str">
        <f t="shared" si="654"/>
        <v>2025.002D.Nudiviridae_2ng_17ns_1mvsp.zip</v>
      </c>
    </row>
    <row r="17160" spans="1:21">
      <c r="A17160">
        <v>17159</v>
      </c>
      <c r="H17160" s="27" t="s">
        <v>3647</v>
      </c>
      <c r="J17160" s="27" t="s">
        <v>3648</v>
      </c>
      <c r="L17160" s="27" t="s">
        <v>514</v>
      </c>
      <c r="N17160" s="27" t="s">
        <v>3650</v>
      </c>
      <c r="P17160" s="27" t="s">
        <v>21186</v>
      </c>
      <c r="Q17160" s="26" t="str">
        <f>HYPERLINK("https://ictv.global/taxonomy/taxondetails?taxnode_id=202522100&amp;ictv_id=ICTV202522100","ICTV202522100")</f>
        <v>ICTV202522100</v>
      </c>
      <c r="R17160" t="s">
        <v>579</v>
      </c>
      <c r="S17160" t="s">
        <v>823</v>
      </c>
      <c r="T17160">
        <v>41</v>
      </c>
      <c r="U17160" s="26" t="str">
        <f t="shared" si="654"/>
        <v>2025.002D.Nudiviridae_2ng_17ns_1mvsp.zip</v>
      </c>
    </row>
    <row r="17161" spans="1:21">
      <c r="A17161">
        <v>17160</v>
      </c>
      <c r="H17161" s="27" t="s">
        <v>3647</v>
      </c>
      <c r="J17161" s="27" t="s">
        <v>3648</v>
      </c>
      <c r="L17161" s="27" t="s">
        <v>514</v>
      </c>
      <c r="N17161" s="27" t="s">
        <v>3650</v>
      </c>
      <c r="P17161" s="27" t="s">
        <v>10996</v>
      </c>
      <c r="Q17161" s="26" t="str">
        <f>HYPERLINK("https://ictv.global/taxonomy/taxondetails?taxnode_id=202513432&amp;ictv_id=ICTV202113432","ICTV202113432")</f>
        <v>ICTV202113432</v>
      </c>
      <c r="R17161" t="s">
        <v>579</v>
      </c>
      <c r="S17161" t="s">
        <v>824</v>
      </c>
      <c r="T17161">
        <v>38</v>
      </c>
      <c r="U17161" s="26" t="str">
        <f>HYPERLINK("https://ictv.global/ictv/proposals/2022.003D.Lefavirales_106rensp.zip","2022.003D.Lefavirales_106rensp.zip")</f>
        <v>2022.003D.Lefavirales_106rensp.zip</v>
      </c>
    </row>
    <row r="17162" spans="1:21">
      <c r="A17162">
        <v>17161</v>
      </c>
      <c r="H17162" s="27" t="s">
        <v>3647</v>
      </c>
      <c r="J17162" s="27" t="s">
        <v>3648</v>
      </c>
      <c r="L17162" s="27" t="s">
        <v>514</v>
      </c>
      <c r="N17162" s="27" t="s">
        <v>3650</v>
      </c>
      <c r="P17162" s="27" t="s">
        <v>21184</v>
      </c>
      <c r="Q17162" s="26" t="str">
        <f>HYPERLINK("https://ictv.global/taxonomy/taxondetails?taxnode_id=202522098&amp;ictv_id=ICTV202522098","ICTV202522098")</f>
        <v>ICTV202522098</v>
      </c>
      <c r="R17162" t="s">
        <v>579</v>
      </c>
      <c r="S17162" t="s">
        <v>823</v>
      </c>
      <c r="T17162">
        <v>41</v>
      </c>
      <c r="U17162" s="26" t="str">
        <f>HYPERLINK("https://ictv.global/ictv/proposals/2025.002D.Nudiviridae_2ng_17ns_1mvsp.zip","2025.002D.Nudiviridae_2ng_17ns_1mvsp.zip")</f>
        <v>2025.002D.Nudiviridae_2ng_17ns_1mvsp.zip</v>
      </c>
    </row>
    <row r="17163" spans="1:21">
      <c r="A17163">
        <v>17162</v>
      </c>
      <c r="H17163" s="27" t="s">
        <v>3647</v>
      </c>
      <c r="J17163" s="27" t="s">
        <v>3648</v>
      </c>
      <c r="L17163" s="27" t="s">
        <v>514</v>
      </c>
      <c r="N17163" s="27" t="s">
        <v>3650</v>
      </c>
      <c r="P17163" s="27" t="s">
        <v>10997</v>
      </c>
      <c r="Q17163" s="26" t="str">
        <f>HYPERLINK("https://ictv.global/taxonomy/taxondetails?taxnode_id=202508932&amp;ictv_id=ICTV202008932","ICTV202008932")</f>
        <v>ICTV202008932</v>
      </c>
      <c r="R17163" t="s">
        <v>579</v>
      </c>
      <c r="S17163" t="s">
        <v>824</v>
      </c>
      <c r="T17163">
        <v>38</v>
      </c>
      <c r="U17163" s="26" t="str">
        <f>HYPERLINK("https://ictv.global/ictv/proposals/2022.003D.Lefavirales_106rensp.zip","2022.003D.Lefavirales_106rensp.zip")</f>
        <v>2022.003D.Lefavirales_106rensp.zip</v>
      </c>
    </row>
    <row r="17164" spans="1:21">
      <c r="A17164">
        <v>17163</v>
      </c>
      <c r="H17164" s="27" t="s">
        <v>3647</v>
      </c>
      <c r="J17164" s="27" t="s">
        <v>3648</v>
      </c>
      <c r="L17164" s="27" t="s">
        <v>514</v>
      </c>
      <c r="N17164" s="27" t="s">
        <v>3650</v>
      </c>
      <c r="P17164" s="27" t="s">
        <v>21185</v>
      </c>
      <c r="Q17164" s="26" t="str">
        <f>HYPERLINK("https://ictv.global/taxonomy/taxondetails?taxnode_id=202522099&amp;ictv_id=ICTV202522099","ICTV202522099")</f>
        <v>ICTV202522099</v>
      </c>
      <c r="R17164" t="s">
        <v>579</v>
      </c>
      <c r="S17164" t="s">
        <v>823</v>
      </c>
      <c r="T17164">
        <v>41</v>
      </c>
      <c r="U17164" s="26" t="str">
        <f>HYPERLINK("https://ictv.global/ictv/proposals/2025.002D.Nudiviridae_2ng_17ns_1mvsp.zip","2025.002D.Nudiviridae_2ng_17ns_1mvsp.zip")</f>
        <v>2025.002D.Nudiviridae_2ng_17ns_1mvsp.zip</v>
      </c>
    </row>
    <row r="17165" spans="1:21">
      <c r="A17165">
        <v>17164</v>
      </c>
      <c r="H17165" s="27" t="s">
        <v>3647</v>
      </c>
      <c r="J17165" s="27" t="s">
        <v>3648</v>
      </c>
      <c r="L17165" s="27" t="s">
        <v>514</v>
      </c>
      <c r="N17165" s="27" t="s">
        <v>3650</v>
      </c>
      <c r="P17165" s="27" t="s">
        <v>21183</v>
      </c>
      <c r="Q17165" s="26" t="str">
        <f>HYPERLINK("https://ictv.global/taxonomy/taxondetails?taxnode_id=202522097&amp;ictv_id=ICTV202522097","ICTV202522097")</f>
        <v>ICTV202522097</v>
      </c>
      <c r="R17165" t="s">
        <v>579</v>
      </c>
      <c r="S17165" t="s">
        <v>823</v>
      </c>
      <c r="T17165">
        <v>41</v>
      </c>
      <c r="U17165" s="26" t="str">
        <f>HYPERLINK("https://ictv.global/ictv/proposals/2025.002D.Nudiviridae_2ng_17ns_1mvsp.zip","2025.002D.Nudiviridae_2ng_17ns_1mvsp.zip")</f>
        <v>2025.002D.Nudiviridae_2ng_17ns_1mvsp.zip</v>
      </c>
    </row>
    <row r="17166" spans="1:21">
      <c r="A17166">
        <v>17165</v>
      </c>
      <c r="H17166" s="27" t="s">
        <v>3647</v>
      </c>
      <c r="J17166" s="27" t="s">
        <v>3648</v>
      </c>
      <c r="L17166" s="27" t="s">
        <v>514</v>
      </c>
      <c r="N17166" s="27" t="s">
        <v>3650</v>
      </c>
      <c r="P17166" s="27" t="s">
        <v>10998</v>
      </c>
      <c r="Q17166" s="26" t="str">
        <f>HYPERLINK("https://ictv.global/taxonomy/taxondetails?taxnode_id=202508933&amp;ictv_id=ICTV202008933","ICTV202008933")</f>
        <v>ICTV202008933</v>
      </c>
      <c r="R17166" t="s">
        <v>579</v>
      </c>
      <c r="S17166" t="s">
        <v>824</v>
      </c>
      <c r="T17166">
        <v>38</v>
      </c>
      <c r="U17166" s="26" t="str">
        <f>HYPERLINK("https://ictv.global/ictv/proposals/2022.003D.Lefavirales_106rensp.zip","2022.003D.Lefavirales_106rensp.zip")</f>
        <v>2022.003D.Lefavirales_106rensp.zip</v>
      </c>
    </row>
    <row r="17167" spans="1:21">
      <c r="A17167">
        <v>17166</v>
      </c>
      <c r="H17167" s="27" t="s">
        <v>3647</v>
      </c>
      <c r="J17167" s="27" t="s">
        <v>3648</v>
      </c>
      <c r="L17167" s="27" t="s">
        <v>514</v>
      </c>
      <c r="N17167" s="27" t="s">
        <v>3650</v>
      </c>
      <c r="P17167" s="27" t="s">
        <v>21187</v>
      </c>
      <c r="Q17167" s="26" t="str">
        <f>HYPERLINK("https://ictv.global/taxonomy/taxondetails?taxnode_id=202522101&amp;ictv_id=ICTV202522101","ICTV202522101")</f>
        <v>ICTV202522101</v>
      </c>
      <c r="R17167" t="s">
        <v>579</v>
      </c>
      <c r="S17167" t="s">
        <v>823</v>
      </c>
      <c r="T17167">
        <v>41</v>
      </c>
      <c r="U17167" s="26" t="str">
        <f t="shared" ref="U17167:U17173" si="655">HYPERLINK("https://ictv.global/ictv/proposals/2025.002D.Nudiviridae_2ng_17ns_1mvsp.zip","2025.002D.Nudiviridae_2ng_17ns_1mvsp.zip")</f>
        <v>2025.002D.Nudiviridae_2ng_17ns_1mvsp.zip</v>
      </c>
    </row>
    <row r="17168" spans="1:21">
      <c r="A17168">
        <v>17167</v>
      </c>
      <c r="H17168" s="27" t="s">
        <v>3647</v>
      </c>
      <c r="J17168" s="27" t="s">
        <v>3648</v>
      </c>
      <c r="L17168" s="27" t="s">
        <v>514</v>
      </c>
      <c r="N17168" s="27" t="s">
        <v>21192</v>
      </c>
      <c r="P17168" s="27" t="s">
        <v>21195</v>
      </c>
      <c r="Q17168" s="26" t="str">
        <f>HYPERLINK("https://ictv.global/taxonomy/taxondetails?taxnode_id=202522108&amp;ictv_id=ICTV202522108","ICTV202522108")</f>
        <v>ICTV202522108</v>
      </c>
      <c r="R17168" t="s">
        <v>579</v>
      </c>
      <c r="S17168" t="s">
        <v>823</v>
      </c>
      <c r="T17168">
        <v>41</v>
      </c>
      <c r="U17168" s="26" t="str">
        <f t="shared" si="655"/>
        <v>2025.002D.Nudiviridae_2ng_17ns_1mvsp.zip</v>
      </c>
    </row>
    <row r="17169" spans="1:21">
      <c r="A17169">
        <v>17168</v>
      </c>
      <c r="H17169" s="27" t="s">
        <v>3647</v>
      </c>
      <c r="J17169" s="27" t="s">
        <v>3648</v>
      </c>
      <c r="L17169" s="27" t="s">
        <v>514</v>
      </c>
      <c r="N17169" s="27" t="s">
        <v>21192</v>
      </c>
      <c r="P17169" s="27" t="s">
        <v>21196</v>
      </c>
      <c r="Q17169" s="26" t="str">
        <f>HYPERLINK("https://ictv.global/taxonomy/taxondetails?taxnode_id=202522109&amp;ictv_id=ICTV202522109","ICTV202522109")</f>
        <v>ICTV202522109</v>
      </c>
      <c r="R17169" t="s">
        <v>579</v>
      </c>
      <c r="S17169" t="s">
        <v>823</v>
      </c>
      <c r="T17169">
        <v>41</v>
      </c>
      <c r="U17169" s="26" t="str">
        <f t="shared" si="655"/>
        <v>2025.002D.Nudiviridae_2ng_17ns_1mvsp.zip</v>
      </c>
    </row>
    <row r="17170" spans="1:21">
      <c r="A17170">
        <v>17169</v>
      </c>
      <c r="H17170" s="27" t="s">
        <v>3647</v>
      </c>
      <c r="J17170" s="27" t="s">
        <v>3648</v>
      </c>
      <c r="L17170" s="27" t="s">
        <v>514</v>
      </c>
      <c r="N17170" s="27" t="s">
        <v>21192</v>
      </c>
      <c r="P17170" s="27" t="s">
        <v>21197</v>
      </c>
      <c r="Q17170" s="26" t="str">
        <f>HYPERLINK("https://ictv.global/taxonomy/taxondetails?taxnode_id=202522110&amp;ictv_id=ICTV202522110","ICTV202522110")</f>
        <v>ICTV202522110</v>
      </c>
      <c r="R17170" t="s">
        <v>579</v>
      </c>
      <c r="S17170" t="s">
        <v>823</v>
      </c>
      <c r="T17170">
        <v>41</v>
      </c>
      <c r="U17170" s="26" t="str">
        <f t="shared" si="655"/>
        <v>2025.002D.Nudiviridae_2ng_17ns_1mvsp.zip</v>
      </c>
    </row>
    <row r="17171" spans="1:21">
      <c r="A17171">
        <v>17170</v>
      </c>
      <c r="H17171" s="27" t="s">
        <v>3647</v>
      </c>
      <c r="J17171" s="27" t="s">
        <v>3648</v>
      </c>
      <c r="L17171" s="27" t="s">
        <v>514</v>
      </c>
      <c r="N17171" s="27" t="s">
        <v>21192</v>
      </c>
      <c r="P17171" s="27" t="s">
        <v>21193</v>
      </c>
      <c r="Q17171" s="26" t="str">
        <f>HYPERLINK("https://ictv.global/taxonomy/taxondetails?taxnode_id=202522106&amp;ictv_id=ICTV202522106","ICTV202522106")</f>
        <v>ICTV202522106</v>
      </c>
      <c r="R17171" t="s">
        <v>579</v>
      </c>
      <c r="S17171" t="s">
        <v>823</v>
      </c>
      <c r="T17171">
        <v>41</v>
      </c>
      <c r="U17171" s="26" t="str">
        <f t="shared" si="655"/>
        <v>2025.002D.Nudiviridae_2ng_17ns_1mvsp.zip</v>
      </c>
    </row>
    <row r="17172" spans="1:21">
      <c r="A17172">
        <v>17171</v>
      </c>
      <c r="H17172" s="27" t="s">
        <v>3647</v>
      </c>
      <c r="J17172" s="27" t="s">
        <v>3648</v>
      </c>
      <c r="L17172" s="27" t="s">
        <v>514</v>
      </c>
      <c r="N17172" s="27" t="s">
        <v>21192</v>
      </c>
      <c r="P17172" s="27" t="s">
        <v>21194</v>
      </c>
      <c r="Q17172" s="26" t="str">
        <f>HYPERLINK("https://ictv.global/taxonomy/taxondetails?taxnode_id=202522107&amp;ictv_id=ICTV202522107","ICTV202522107")</f>
        <v>ICTV202522107</v>
      </c>
      <c r="R17172" t="s">
        <v>579</v>
      </c>
      <c r="S17172" t="s">
        <v>823</v>
      </c>
      <c r="T17172">
        <v>41</v>
      </c>
      <c r="U17172" s="26" t="str">
        <f t="shared" si="655"/>
        <v>2025.002D.Nudiviridae_2ng_17ns_1mvsp.zip</v>
      </c>
    </row>
    <row r="17173" spans="1:21">
      <c r="A17173">
        <v>17172</v>
      </c>
      <c r="H17173" s="27" t="s">
        <v>3647</v>
      </c>
      <c r="J17173" s="27" t="s">
        <v>3648</v>
      </c>
      <c r="L17173" s="27" t="s">
        <v>514</v>
      </c>
      <c r="N17173" s="27" t="s">
        <v>21192</v>
      </c>
      <c r="P17173" s="27" t="s">
        <v>21198</v>
      </c>
      <c r="Q17173" s="26" t="str">
        <f>HYPERLINK("https://ictv.global/taxonomy/taxondetails?taxnode_id=202522111&amp;ictv_id=ICTV202522111","ICTV202522111")</f>
        <v>ICTV202522111</v>
      </c>
      <c r="R17173" t="s">
        <v>579</v>
      </c>
      <c r="S17173" t="s">
        <v>823</v>
      </c>
      <c r="T17173">
        <v>41</v>
      </c>
      <c r="U17173" s="26" t="str">
        <f t="shared" si="655"/>
        <v>2025.002D.Nudiviridae_2ng_17ns_1mvsp.zip</v>
      </c>
    </row>
    <row r="17174" spans="1:21">
      <c r="A17174">
        <v>17173</v>
      </c>
      <c r="H17174" s="27" t="s">
        <v>3647</v>
      </c>
      <c r="L17174" s="27" t="s">
        <v>267</v>
      </c>
      <c r="N17174" s="27" t="s">
        <v>268</v>
      </c>
      <c r="P17174" s="27" t="s">
        <v>21454</v>
      </c>
      <c r="Q17174" s="26" t="str">
        <f>HYPERLINK("https://ictv.global/taxonomy/taxondetails?taxnode_id=202522326&amp;ictv_id=ICTV202522326","ICTV202522326")</f>
        <v>ICTV202522326</v>
      </c>
      <c r="R17174" t="s">
        <v>579</v>
      </c>
      <c r="S17174" t="s">
        <v>823</v>
      </c>
      <c r="T17174">
        <v>41</v>
      </c>
      <c r="U17174" s="26" t="str">
        <f>HYPERLINK("https://ictv.global/ictv/proposals/2025.007D.Whispovirus_1nsp.zip","2025.007D.Whispovirus_1nsp.zip")</f>
        <v>2025.007D.Whispovirus_1nsp.zip</v>
      </c>
    </row>
    <row r="17175" spans="1:21">
      <c r="A17175">
        <v>17174</v>
      </c>
      <c r="H17175" s="27" t="s">
        <v>3647</v>
      </c>
      <c r="L17175" s="27" t="s">
        <v>267</v>
      </c>
      <c r="N17175" s="27" t="s">
        <v>268</v>
      </c>
      <c r="P17175" s="27" t="s">
        <v>20823</v>
      </c>
      <c r="Q17175" s="26" t="str">
        <f>HYPERLINK("https://ictv.global/taxonomy/taxondetails?taxnode_id=202503922&amp;ictv_id=ICTV20021201","ICTV20021201")</f>
        <v>ICTV20021201</v>
      </c>
      <c r="R17175" t="s">
        <v>579</v>
      </c>
      <c r="S17175" t="s">
        <v>824</v>
      </c>
      <c r="T17175">
        <v>41</v>
      </c>
      <c r="U17175" s="26" t="str">
        <f>HYPERLINK("https://ictv.global/ictv/proposals/2025.008D.Whispovirus_1rns.zip","2025.008D.Whispovirus_1rns.zip")</f>
        <v>2025.008D.Whispovirus_1rns.zip</v>
      </c>
    </row>
    <row r="17176" spans="1:21">
      <c r="A17176">
        <v>17175</v>
      </c>
      <c r="L17176" s="27" t="s">
        <v>867</v>
      </c>
      <c r="M17176" s="27" t="s">
        <v>868</v>
      </c>
      <c r="N17176" s="27" t="s">
        <v>869</v>
      </c>
      <c r="P17176" s="27" t="s">
        <v>18205</v>
      </c>
      <c r="Q17176" s="26" t="str">
        <f>HYPERLINK("https://ictv.global/taxonomy/taxondetails?taxnode_id=202506012&amp;ictv_id=ICTV20176012","ICTV20176012")</f>
        <v>ICTV20176012</v>
      </c>
      <c r="R17176" t="s">
        <v>664</v>
      </c>
      <c r="S17176" t="s">
        <v>824</v>
      </c>
      <c r="T17176">
        <v>39</v>
      </c>
      <c r="U17176" s="26" t="str">
        <f t="shared" ref="U17176:U17188" si="656">HYPERLINK("https://ictv.global/ictv/proposals/2023.036P.Geminialphasatellitinae_rename.zip","2023.036P.Geminialphasatellitinae_rename.zip")</f>
        <v>2023.036P.Geminialphasatellitinae_rename.zip</v>
      </c>
    </row>
    <row r="17177" spans="1:21">
      <c r="A17177">
        <v>17176</v>
      </c>
      <c r="L17177" s="27" t="s">
        <v>867</v>
      </c>
      <c r="M17177" s="27" t="s">
        <v>868</v>
      </c>
      <c r="N17177" s="27" t="s">
        <v>869</v>
      </c>
      <c r="P17177" s="27" t="s">
        <v>18206</v>
      </c>
      <c r="Q17177" s="26" t="str">
        <f>HYPERLINK("https://ictv.global/taxonomy/taxondetails?taxnode_id=202505664&amp;ictv_id=ICTV20175664","ICTV20175664")</f>
        <v>ICTV20175664</v>
      </c>
      <c r="R17177" t="s">
        <v>664</v>
      </c>
      <c r="S17177" t="s">
        <v>824</v>
      </c>
      <c r="T17177">
        <v>39</v>
      </c>
      <c r="U17177" s="26" t="str">
        <f t="shared" si="656"/>
        <v>2023.036P.Geminialphasatellitinae_rename.zip</v>
      </c>
    </row>
    <row r="17178" spans="1:21">
      <c r="A17178">
        <v>17177</v>
      </c>
      <c r="L17178" s="27" t="s">
        <v>867</v>
      </c>
      <c r="M17178" s="27" t="s">
        <v>868</v>
      </c>
      <c r="N17178" s="27" t="s">
        <v>870</v>
      </c>
      <c r="P17178" s="27" t="s">
        <v>18207</v>
      </c>
      <c r="Q17178" s="26" t="str">
        <f>HYPERLINK("https://ictv.global/taxonomy/taxondetails?taxnode_id=202507290&amp;ictv_id=ICTV201907290","ICTV201907290")</f>
        <v>ICTV201907290</v>
      </c>
      <c r="R17178" t="s">
        <v>664</v>
      </c>
      <c r="S17178" t="s">
        <v>824</v>
      </c>
      <c r="T17178">
        <v>39</v>
      </c>
      <c r="U17178" s="26" t="str">
        <f t="shared" si="656"/>
        <v>2023.036P.Geminialphasatellitinae_rename.zip</v>
      </c>
    </row>
    <row r="17179" spans="1:21">
      <c r="A17179">
        <v>17178</v>
      </c>
      <c r="L17179" s="27" t="s">
        <v>867</v>
      </c>
      <c r="M17179" s="27" t="s">
        <v>868</v>
      </c>
      <c r="N17179" s="27" t="s">
        <v>870</v>
      </c>
      <c r="P17179" s="27" t="s">
        <v>18208</v>
      </c>
      <c r="Q17179" s="26" t="str">
        <f>HYPERLINK("https://ictv.global/taxonomy/taxondetails?taxnode_id=202507289&amp;ictv_id=ICTV201907289","ICTV201907289")</f>
        <v>ICTV201907289</v>
      </c>
      <c r="R17179" t="s">
        <v>664</v>
      </c>
      <c r="S17179" t="s">
        <v>824</v>
      </c>
      <c r="T17179">
        <v>39</v>
      </c>
      <c r="U17179" s="26" t="str">
        <f t="shared" si="656"/>
        <v>2023.036P.Geminialphasatellitinae_rename.zip</v>
      </c>
    </row>
    <row r="17180" spans="1:21">
      <c r="A17180">
        <v>17179</v>
      </c>
      <c r="L17180" s="27" t="s">
        <v>867</v>
      </c>
      <c r="M17180" s="27" t="s">
        <v>868</v>
      </c>
      <c r="N17180" s="27" t="s">
        <v>870</v>
      </c>
      <c r="P17180" s="27" t="s">
        <v>18209</v>
      </c>
      <c r="Q17180" s="26" t="str">
        <f>HYPERLINK("https://ictv.global/taxonomy/taxondetails?taxnode_id=202508800&amp;ictv_id=ICTV202008800","ICTV202008800")</f>
        <v>ICTV202008800</v>
      </c>
      <c r="R17180" t="s">
        <v>664</v>
      </c>
      <c r="S17180" t="s">
        <v>824</v>
      </c>
      <c r="T17180">
        <v>39</v>
      </c>
      <c r="U17180" s="26" t="str">
        <f t="shared" si="656"/>
        <v>2023.036P.Geminialphasatellitinae_rename.zip</v>
      </c>
    </row>
    <row r="17181" spans="1:21">
      <c r="A17181">
        <v>17180</v>
      </c>
      <c r="L17181" s="27" t="s">
        <v>867</v>
      </c>
      <c r="M17181" s="27" t="s">
        <v>868</v>
      </c>
      <c r="N17181" s="27" t="s">
        <v>870</v>
      </c>
      <c r="P17181" s="27" t="s">
        <v>18210</v>
      </c>
      <c r="Q17181" s="26" t="str">
        <f>HYPERLINK("https://ictv.global/taxonomy/taxondetails?taxnode_id=202505666&amp;ictv_id=ICTV20175666","ICTV20175666")</f>
        <v>ICTV20175666</v>
      </c>
      <c r="R17181" t="s">
        <v>664</v>
      </c>
      <c r="S17181" t="s">
        <v>824</v>
      </c>
      <c r="T17181">
        <v>39</v>
      </c>
      <c r="U17181" s="26" t="str">
        <f t="shared" si="656"/>
        <v>2023.036P.Geminialphasatellitinae_rename.zip</v>
      </c>
    </row>
    <row r="17182" spans="1:21">
      <c r="A17182">
        <v>17181</v>
      </c>
      <c r="L17182" s="27" t="s">
        <v>867</v>
      </c>
      <c r="M17182" s="27" t="s">
        <v>868</v>
      </c>
      <c r="N17182" s="27" t="s">
        <v>870</v>
      </c>
      <c r="P17182" s="27" t="s">
        <v>18211</v>
      </c>
      <c r="Q17182" s="26" t="str">
        <f>HYPERLINK("https://ictv.global/taxonomy/taxondetails?taxnode_id=202505667&amp;ictv_id=ICTV20175667","ICTV20175667")</f>
        <v>ICTV20175667</v>
      </c>
      <c r="R17182" t="s">
        <v>664</v>
      </c>
      <c r="S17182" t="s">
        <v>824</v>
      </c>
      <c r="T17182">
        <v>39</v>
      </c>
      <c r="U17182" s="26" t="str">
        <f t="shared" si="656"/>
        <v>2023.036P.Geminialphasatellitinae_rename.zip</v>
      </c>
    </row>
    <row r="17183" spans="1:21">
      <c r="A17183">
        <v>17182</v>
      </c>
      <c r="L17183" s="27" t="s">
        <v>867</v>
      </c>
      <c r="M17183" s="27" t="s">
        <v>868</v>
      </c>
      <c r="N17183" s="27" t="s">
        <v>870</v>
      </c>
      <c r="P17183" s="27" t="s">
        <v>18212</v>
      </c>
      <c r="Q17183" s="26" t="str">
        <f>HYPERLINK("https://ictv.global/taxonomy/taxondetails?taxnode_id=202505669&amp;ictv_id=ICTV20175669","ICTV20175669")</f>
        <v>ICTV20175669</v>
      </c>
      <c r="R17183" t="s">
        <v>664</v>
      </c>
      <c r="S17183" t="s">
        <v>824</v>
      </c>
      <c r="T17183">
        <v>39</v>
      </c>
      <c r="U17183" s="26" t="str">
        <f t="shared" si="656"/>
        <v>2023.036P.Geminialphasatellitinae_rename.zip</v>
      </c>
    </row>
    <row r="17184" spans="1:21">
      <c r="A17184">
        <v>17183</v>
      </c>
      <c r="L17184" s="27" t="s">
        <v>867</v>
      </c>
      <c r="M17184" s="27" t="s">
        <v>868</v>
      </c>
      <c r="N17184" s="27" t="s">
        <v>870</v>
      </c>
      <c r="P17184" s="27" t="s">
        <v>18213</v>
      </c>
      <c r="Q17184" s="26" t="str">
        <f>HYPERLINK("https://ictv.global/taxonomy/taxondetails?taxnode_id=202505668&amp;ictv_id=ICTV20175668","ICTV20175668")</f>
        <v>ICTV20175668</v>
      </c>
      <c r="R17184" t="s">
        <v>664</v>
      </c>
      <c r="S17184" t="s">
        <v>824</v>
      </c>
      <c r="T17184">
        <v>39</v>
      </c>
      <c r="U17184" s="26" t="str">
        <f t="shared" si="656"/>
        <v>2023.036P.Geminialphasatellitinae_rename.zip</v>
      </c>
    </row>
    <row r="17185" spans="1:21">
      <c r="A17185">
        <v>17184</v>
      </c>
      <c r="L17185" s="27" t="s">
        <v>867</v>
      </c>
      <c r="M17185" s="27" t="s">
        <v>868</v>
      </c>
      <c r="N17185" s="27" t="s">
        <v>870</v>
      </c>
      <c r="P17185" s="27" t="s">
        <v>18214</v>
      </c>
      <c r="Q17185" s="26" t="str">
        <f>HYPERLINK("https://ictv.global/taxonomy/taxondetails?taxnode_id=202505672&amp;ictv_id=ICTV20175672","ICTV20175672")</f>
        <v>ICTV20175672</v>
      </c>
      <c r="R17185" t="s">
        <v>664</v>
      </c>
      <c r="S17185" t="s">
        <v>824</v>
      </c>
      <c r="T17185">
        <v>39</v>
      </c>
      <c r="U17185" s="26" t="str">
        <f t="shared" si="656"/>
        <v>2023.036P.Geminialphasatellitinae_rename.zip</v>
      </c>
    </row>
    <row r="17186" spans="1:21">
      <c r="A17186">
        <v>17185</v>
      </c>
      <c r="L17186" s="27" t="s">
        <v>867</v>
      </c>
      <c r="M17186" s="27" t="s">
        <v>868</v>
      </c>
      <c r="N17186" s="27" t="s">
        <v>870</v>
      </c>
      <c r="P17186" s="27" t="s">
        <v>18215</v>
      </c>
      <c r="Q17186" s="26" t="str">
        <f>HYPERLINK("https://ictv.global/taxonomy/taxondetails?taxnode_id=202505673&amp;ictv_id=ICTV20175673","ICTV20175673")</f>
        <v>ICTV20175673</v>
      </c>
      <c r="R17186" t="s">
        <v>664</v>
      </c>
      <c r="S17186" t="s">
        <v>824</v>
      </c>
      <c r="T17186">
        <v>39</v>
      </c>
      <c r="U17186" s="26" t="str">
        <f t="shared" si="656"/>
        <v>2023.036P.Geminialphasatellitinae_rename.zip</v>
      </c>
    </row>
    <row r="17187" spans="1:21">
      <c r="A17187">
        <v>17186</v>
      </c>
      <c r="L17187" s="27" t="s">
        <v>867</v>
      </c>
      <c r="M17187" s="27" t="s">
        <v>868</v>
      </c>
      <c r="N17187" s="27" t="s">
        <v>870</v>
      </c>
      <c r="P17187" s="27" t="s">
        <v>18216</v>
      </c>
      <c r="Q17187" s="26" t="str">
        <f>HYPERLINK("https://ictv.global/taxonomy/taxondetails?taxnode_id=202505670&amp;ictv_id=ICTV20175670","ICTV20175670")</f>
        <v>ICTV20175670</v>
      </c>
      <c r="R17187" t="s">
        <v>664</v>
      </c>
      <c r="S17187" t="s">
        <v>824</v>
      </c>
      <c r="T17187">
        <v>39</v>
      </c>
      <c r="U17187" s="26" t="str">
        <f t="shared" si="656"/>
        <v>2023.036P.Geminialphasatellitinae_rename.zip</v>
      </c>
    </row>
    <row r="17188" spans="1:21">
      <c r="A17188">
        <v>17187</v>
      </c>
      <c r="L17188" s="27" t="s">
        <v>867</v>
      </c>
      <c r="M17188" s="27" t="s">
        <v>868</v>
      </c>
      <c r="N17188" s="27" t="s">
        <v>870</v>
      </c>
      <c r="P17188" s="27" t="s">
        <v>18217</v>
      </c>
      <c r="Q17188" s="26" t="str">
        <f>HYPERLINK("https://ictv.global/taxonomy/taxondetails?taxnode_id=202508799&amp;ictv_id=ICTV202008799","ICTV202008799")</f>
        <v>ICTV202008799</v>
      </c>
      <c r="R17188" t="s">
        <v>664</v>
      </c>
      <c r="S17188" t="s">
        <v>824</v>
      </c>
      <c r="T17188">
        <v>39</v>
      </c>
      <c r="U17188" s="26" t="str">
        <f t="shared" si="656"/>
        <v>2023.036P.Geminialphasatellitinae_rename.zip</v>
      </c>
    </row>
    <row r="17189" spans="1:21">
      <c r="A17189">
        <v>17188</v>
      </c>
      <c r="L17189" s="27" t="s">
        <v>867</v>
      </c>
      <c r="M17189" s="27" t="s">
        <v>868</v>
      </c>
      <c r="N17189" s="27" t="s">
        <v>870</v>
      </c>
      <c r="P17189" s="27" t="s">
        <v>21838</v>
      </c>
      <c r="Q17189" s="26" t="str">
        <f>HYPERLINK("https://ictv.global/taxonomy/taxondetails?taxnode_id=202522661&amp;ictv_id=ICTV202522661","ICTV202522661")</f>
        <v>ICTV202522661</v>
      </c>
      <c r="R17189" t="s">
        <v>582</v>
      </c>
      <c r="S17189" t="s">
        <v>823</v>
      </c>
      <c r="T17189">
        <v>41</v>
      </c>
      <c r="U17189" s="26" t="str">
        <f>HYPERLINK("https://ictv.global/ictv/proposals/2025.013P.Alphasatellitidae_2ng_8nsp.zip","2025.013P.Alphasatellitidae_2ng_8nsp.zip")</f>
        <v>2025.013P.Alphasatellitidae_2ng_8nsp.zip</v>
      </c>
    </row>
    <row r="17190" spans="1:21">
      <c r="A17190">
        <v>17189</v>
      </c>
      <c r="L17190" s="27" t="s">
        <v>867</v>
      </c>
      <c r="M17190" s="27" t="s">
        <v>868</v>
      </c>
      <c r="N17190" s="27" t="s">
        <v>870</v>
      </c>
      <c r="P17190" s="27" t="s">
        <v>18218</v>
      </c>
      <c r="Q17190" s="26" t="str">
        <f>HYPERLINK("https://ictv.global/taxonomy/taxondetails?taxnode_id=202507291&amp;ictv_id=ICTV201907291","ICTV201907291")</f>
        <v>ICTV201907291</v>
      </c>
      <c r="R17190" t="s">
        <v>664</v>
      </c>
      <c r="S17190" t="s">
        <v>824</v>
      </c>
      <c r="T17190">
        <v>39</v>
      </c>
      <c r="U17190" s="26" t="str">
        <f t="shared" ref="U17190:U17198" si="657">HYPERLINK("https://ictv.global/ictv/proposals/2023.036P.Geminialphasatellitinae_rename.zip","2023.036P.Geminialphasatellitinae_rename.zip")</f>
        <v>2023.036P.Geminialphasatellitinae_rename.zip</v>
      </c>
    </row>
    <row r="17191" spans="1:21">
      <c r="A17191">
        <v>17190</v>
      </c>
      <c r="L17191" s="27" t="s">
        <v>867</v>
      </c>
      <c r="M17191" s="27" t="s">
        <v>868</v>
      </c>
      <c r="N17191" s="27" t="s">
        <v>870</v>
      </c>
      <c r="P17191" s="27" t="s">
        <v>18219</v>
      </c>
      <c r="Q17191" s="26" t="str">
        <f>HYPERLINK("https://ictv.global/taxonomy/taxondetails?taxnode_id=202508798&amp;ictv_id=ICTV202008798","ICTV202008798")</f>
        <v>ICTV202008798</v>
      </c>
      <c r="R17191" t="s">
        <v>664</v>
      </c>
      <c r="S17191" t="s">
        <v>824</v>
      </c>
      <c r="T17191">
        <v>39</v>
      </c>
      <c r="U17191" s="26" t="str">
        <f t="shared" si="657"/>
        <v>2023.036P.Geminialphasatellitinae_rename.zip</v>
      </c>
    </row>
    <row r="17192" spans="1:21">
      <c r="A17192">
        <v>17191</v>
      </c>
      <c r="L17192" s="27" t="s">
        <v>867</v>
      </c>
      <c r="M17192" s="27" t="s">
        <v>868</v>
      </c>
      <c r="N17192" s="27" t="s">
        <v>870</v>
      </c>
      <c r="P17192" s="27" t="s">
        <v>18220</v>
      </c>
      <c r="Q17192" s="26" t="str">
        <f>HYPERLINK("https://ictv.global/taxonomy/taxondetails?taxnode_id=202505671&amp;ictv_id=ICTV20175671","ICTV20175671")</f>
        <v>ICTV20175671</v>
      </c>
      <c r="R17192" t="s">
        <v>664</v>
      </c>
      <c r="S17192" t="s">
        <v>824</v>
      </c>
      <c r="T17192">
        <v>39</v>
      </c>
      <c r="U17192" s="26" t="str">
        <f t="shared" si="657"/>
        <v>2023.036P.Geminialphasatellitinae_rename.zip</v>
      </c>
    </row>
    <row r="17193" spans="1:21">
      <c r="A17193">
        <v>17192</v>
      </c>
      <c r="L17193" s="27" t="s">
        <v>867</v>
      </c>
      <c r="M17193" s="27" t="s">
        <v>868</v>
      </c>
      <c r="N17193" s="27" t="s">
        <v>870</v>
      </c>
      <c r="P17193" s="27" t="s">
        <v>18221</v>
      </c>
      <c r="Q17193" s="26" t="str">
        <f>HYPERLINK("https://ictv.global/taxonomy/taxondetails?taxnode_id=202507292&amp;ictv_id=ICTV201907292","ICTV201907292")</f>
        <v>ICTV201907292</v>
      </c>
      <c r="R17193" t="s">
        <v>664</v>
      </c>
      <c r="S17193" t="s">
        <v>824</v>
      </c>
      <c r="T17193">
        <v>39</v>
      </c>
      <c r="U17193" s="26" t="str">
        <f t="shared" si="657"/>
        <v>2023.036P.Geminialphasatellitinae_rename.zip</v>
      </c>
    </row>
    <row r="17194" spans="1:21">
      <c r="A17194">
        <v>17193</v>
      </c>
      <c r="L17194" s="27" t="s">
        <v>867</v>
      </c>
      <c r="M17194" s="27" t="s">
        <v>868</v>
      </c>
      <c r="N17194" s="27" t="s">
        <v>871</v>
      </c>
      <c r="P17194" s="27" t="s">
        <v>18222</v>
      </c>
      <c r="Q17194" s="26" t="str">
        <f>HYPERLINK("https://ictv.global/taxonomy/taxondetails?taxnode_id=202505679&amp;ictv_id=ICTV20175679","ICTV20175679")</f>
        <v>ICTV20175679</v>
      </c>
      <c r="R17194" t="s">
        <v>664</v>
      </c>
      <c r="S17194" t="s">
        <v>824</v>
      </c>
      <c r="T17194">
        <v>39</v>
      </c>
      <c r="U17194" s="26" t="str">
        <f t="shared" si="657"/>
        <v>2023.036P.Geminialphasatellitinae_rename.zip</v>
      </c>
    </row>
    <row r="17195" spans="1:21">
      <c r="A17195">
        <v>17194</v>
      </c>
      <c r="L17195" s="27" t="s">
        <v>867</v>
      </c>
      <c r="M17195" s="27" t="s">
        <v>868</v>
      </c>
      <c r="N17195" s="27" t="s">
        <v>871</v>
      </c>
      <c r="P17195" s="27" t="s">
        <v>18223</v>
      </c>
      <c r="Q17195" s="26" t="str">
        <f>HYPERLINK("https://ictv.global/taxonomy/taxondetails?taxnode_id=202505675&amp;ictv_id=ICTV20175675","ICTV20175675")</f>
        <v>ICTV20175675</v>
      </c>
      <c r="R17195" t="s">
        <v>664</v>
      </c>
      <c r="S17195" t="s">
        <v>824</v>
      </c>
      <c r="T17195">
        <v>39</v>
      </c>
      <c r="U17195" s="26" t="str">
        <f t="shared" si="657"/>
        <v>2023.036P.Geminialphasatellitinae_rename.zip</v>
      </c>
    </row>
    <row r="17196" spans="1:21">
      <c r="A17196">
        <v>17195</v>
      </c>
      <c r="L17196" s="27" t="s">
        <v>867</v>
      </c>
      <c r="M17196" s="27" t="s">
        <v>868</v>
      </c>
      <c r="N17196" s="27" t="s">
        <v>871</v>
      </c>
      <c r="P17196" s="27" t="s">
        <v>18224</v>
      </c>
      <c r="Q17196" s="26" t="str">
        <f>HYPERLINK("https://ictv.global/taxonomy/taxondetails?taxnode_id=202505677&amp;ictv_id=ICTV20175677","ICTV20175677")</f>
        <v>ICTV20175677</v>
      </c>
      <c r="R17196" t="s">
        <v>664</v>
      </c>
      <c r="S17196" t="s">
        <v>824</v>
      </c>
      <c r="T17196">
        <v>39</v>
      </c>
      <c r="U17196" s="26" t="str">
        <f t="shared" si="657"/>
        <v>2023.036P.Geminialphasatellitinae_rename.zip</v>
      </c>
    </row>
    <row r="17197" spans="1:21">
      <c r="A17197">
        <v>17196</v>
      </c>
      <c r="L17197" s="27" t="s">
        <v>867</v>
      </c>
      <c r="M17197" s="27" t="s">
        <v>868</v>
      </c>
      <c r="N17197" s="27" t="s">
        <v>871</v>
      </c>
      <c r="P17197" s="27" t="s">
        <v>18225</v>
      </c>
      <c r="Q17197" s="26" t="str">
        <f>HYPERLINK("https://ictv.global/taxonomy/taxondetails?taxnode_id=202505676&amp;ictv_id=ICTV20175676","ICTV20175676")</f>
        <v>ICTV20175676</v>
      </c>
      <c r="R17197" t="s">
        <v>664</v>
      </c>
      <c r="S17197" t="s">
        <v>824</v>
      </c>
      <c r="T17197">
        <v>39</v>
      </c>
      <c r="U17197" s="26" t="str">
        <f t="shared" si="657"/>
        <v>2023.036P.Geminialphasatellitinae_rename.zip</v>
      </c>
    </row>
    <row r="17198" spans="1:21">
      <c r="A17198">
        <v>17197</v>
      </c>
      <c r="L17198" s="27" t="s">
        <v>867</v>
      </c>
      <c r="M17198" s="27" t="s">
        <v>868</v>
      </c>
      <c r="N17198" s="27" t="s">
        <v>871</v>
      </c>
      <c r="P17198" s="27" t="s">
        <v>18226</v>
      </c>
      <c r="Q17198" s="26" t="str">
        <f>HYPERLINK("https://ictv.global/taxonomy/taxondetails?taxnode_id=202505678&amp;ictv_id=ICTV20175678","ICTV20175678")</f>
        <v>ICTV20175678</v>
      </c>
      <c r="R17198" t="s">
        <v>664</v>
      </c>
      <c r="S17198" t="s">
        <v>824</v>
      </c>
      <c r="T17198">
        <v>39</v>
      </c>
      <c r="U17198" s="26" t="str">
        <f t="shared" si="657"/>
        <v>2023.036P.Geminialphasatellitinae_rename.zip</v>
      </c>
    </row>
    <row r="17199" spans="1:21">
      <c r="A17199">
        <v>17198</v>
      </c>
      <c r="L17199" s="27" t="s">
        <v>867</v>
      </c>
      <c r="M17199" s="27" t="s">
        <v>868</v>
      </c>
      <c r="N17199" s="27" t="s">
        <v>871</v>
      </c>
      <c r="P17199" s="27" t="s">
        <v>21835</v>
      </c>
      <c r="Q17199" s="26" t="str">
        <f>HYPERLINK("https://ictv.global/taxonomy/taxondetails?taxnode_id=202522658&amp;ictv_id=ICTV202522658","ICTV202522658")</f>
        <v>ICTV202522658</v>
      </c>
      <c r="R17199" t="s">
        <v>582</v>
      </c>
      <c r="S17199" t="s">
        <v>823</v>
      </c>
      <c r="T17199">
        <v>41</v>
      </c>
      <c r="U17199" s="26" t="str">
        <f>HYPERLINK("https://ictv.global/ictv/proposals/2025.013P.Alphasatellitidae_2ng_8nsp.zip","2025.013P.Alphasatellitidae_2ng_8nsp.zip")</f>
        <v>2025.013P.Alphasatellitidae_2ng_8nsp.zip</v>
      </c>
    </row>
    <row r="17200" spans="1:21">
      <c r="A17200">
        <v>17199</v>
      </c>
      <c r="L17200" s="27" t="s">
        <v>867</v>
      </c>
      <c r="M17200" s="27" t="s">
        <v>868</v>
      </c>
      <c r="N17200" s="27" t="s">
        <v>871</v>
      </c>
      <c r="P17200" s="27" t="s">
        <v>18227</v>
      </c>
      <c r="Q17200" s="26" t="str">
        <f>HYPERLINK("https://ictv.global/taxonomy/taxondetails?taxnode_id=202505681&amp;ictv_id=ICTV20175681","ICTV20175681")</f>
        <v>ICTV20175681</v>
      </c>
      <c r="R17200" t="s">
        <v>664</v>
      </c>
      <c r="S17200" t="s">
        <v>824</v>
      </c>
      <c r="T17200">
        <v>39</v>
      </c>
      <c r="U17200" s="26" t="str">
        <f t="shared" ref="U17200:U17225" si="658">HYPERLINK("https://ictv.global/ictv/proposals/2023.036P.Geminialphasatellitinae_rename.zip","2023.036P.Geminialphasatellitinae_rename.zip")</f>
        <v>2023.036P.Geminialphasatellitinae_rename.zip</v>
      </c>
    </row>
    <row r="17201" spans="1:21">
      <c r="A17201">
        <v>17200</v>
      </c>
      <c r="L17201" s="27" t="s">
        <v>867</v>
      </c>
      <c r="M17201" s="27" t="s">
        <v>868</v>
      </c>
      <c r="N17201" s="27" t="s">
        <v>871</v>
      </c>
      <c r="P17201" s="27" t="s">
        <v>18228</v>
      </c>
      <c r="Q17201" s="26" t="str">
        <f>HYPERLINK("https://ictv.global/taxonomy/taxondetails?taxnode_id=202505682&amp;ictv_id=ICTV20175682","ICTV20175682")</f>
        <v>ICTV20175682</v>
      </c>
      <c r="R17201" t="s">
        <v>664</v>
      </c>
      <c r="S17201" t="s">
        <v>824</v>
      </c>
      <c r="T17201">
        <v>39</v>
      </c>
      <c r="U17201" s="26" t="str">
        <f t="shared" si="658"/>
        <v>2023.036P.Geminialphasatellitinae_rename.zip</v>
      </c>
    </row>
    <row r="17202" spans="1:21">
      <c r="A17202">
        <v>17201</v>
      </c>
      <c r="L17202" s="27" t="s">
        <v>867</v>
      </c>
      <c r="M17202" s="27" t="s">
        <v>868</v>
      </c>
      <c r="N17202" s="27" t="s">
        <v>871</v>
      </c>
      <c r="P17202" s="27" t="s">
        <v>18229</v>
      </c>
      <c r="Q17202" s="26" t="str">
        <f>HYPERLINK("https://ictv.global/taxonomy/taxondetails?taxnode_id=202505683&amp;ictv_id=ICTV20175683","ICTV20175683")</f>
        <v>ICTV20175683</v>
      </c>
      <c r="R17202" t="s">
        <v>664</v>
      </c>
      <c r="S17202" t="s">
        <v>824</v>
      </c>
      <c r="T17202">
        <v>39</v>
      </c>
      <c r="U17202" s="26" t="str">
        <f t="shared" si="658"/>
        <v>2023.036P.Geminialphasatellitinae_rename.zip</v>
      </c>
    </row>
    <row r="17203" spans="1:21">
      <c r="A17203">
        <v>17202</v>
      </c>
      <c r="L17203" s="27" t="s">
        <v>867</v>
      </c>
      <c r="M17203" s="27" t="s">
        <v>868</v>
      </c>
      <c r="N17203" s="27" t="s">
        <v>871</v>
      </c>
      <c r="P17203" s="27" t="s">
        <v>18230</v>
      </c>
      <c r="Q17203" s="26" t="str">
        <f>HYPERLINK("https://ictv.global/taxonomy/taxondetails?taxnode_id=202505684&amp;ictv_id=ICTV20175684","ICTV20175684")</f>
        <v>ICTV20175684</v>
      </c>
      <c r="R17203" t="s">
        <v>664</v>
      </c>
      <c r="S17203" t="s">
        <v>824</v>
      </c>
      <c r="T17203">
        <v>39</v>
      </c>
      <c r="U17203" s="26" t="str">
        <f t="shared" si="658"/>
        <v>2023.036P.Geminialphasatellitinae_rename.zip</v>
      </c>
    </row>
    <row r="17204" spans="1:21">
      <c r="A17204">
        <v>17203</v>
      </c>
      <c r="L17204" s="27" t="s">
        <v>867</v>
      </c>
      <c r="M17204" s="27" t="s">
        <v>868</v>
      </c>
      <c r="N17204" s="27" t="s">
        <v>871</v>
      </c>
      <c r="P17204" s="27" t="s">
        <v>18231</v>
      </c>
      <c r="Q17204" s="26" t="str">
        <f>HYPERLINK("https://ictv.global/taxonomy/taxondetails?taxnode_id=202505685&amp;ictv_id=ICTV20175685","ICTV20175685")</f>
        <v>ICTV20175685</v>
      </c>
      <c r="R17204" t="s">
        <v>664</v>
      </c>
      <c r="S17204" t="s">
        <v>824</v>
      </c>
      <c r="T17204">
        <v>39</v>
      </c>
      <c r="U17204" s="26" t="str">
        <f t="shared" si="658"/>
        <v>2023.036P.Geminialphasatellitinae_rename.zip</v>
      </c>
    </row>
    <row r="17205" spans="1:21">
      <c r="A17205">
        <v>17204</v>
      </c>
      <c r="L17205" s="27" t="s">
        <v>867</v>
      </c>
      <c r="M17205" s="27" t="s">
        <v>868</v>
      </c>
      <c r="N17205" s="27" t="s">
        <v>871</v>
      </c>
      <c r="P17205" s="27" t="s">
        <v>18232</v>
      </c>
      <c r="Q17205" s="26" t="str">
        <f>HYPERLINK("https://ictv.global/taxonomy/taxondetails?taxnode_id=202505686&amp;ictv_id=ICTV20175686","ICTV20175686")</f>
        <v>ICTV20175686</v>
      </c>
      <c r="R17205" t="s">
        <v>664</v>
      </c>
      <c r="S17205" t="s">
        <v>824</v>
      </c>
      <c r="T17205">
        <v>39</v>
      </c>
      <c r="U17205" s="26" t="str">
        <f t="shared" si="658"/>
        <v>2023.036P.Geminialphasatellitinae_rename.zip</v>
      </c>
    </row>
    <row r="17206" spans="1:21">
      <c r="A17206">
        <v>17205</v>
      </c>
      <c r="L17206" s="27" t="s">
        <v>867</v>
      </c>
      <c r="M17206" s="27" t="s">
        <v>868</v>
      </c>
      <c r="N17206" s="27" t="s">
        <v>871</v>
      </c>
      <c r="P17206" s="27" t="s">
        <v>18233</v>
      </c>
      <c r="Q17206" s="26" t="str">
        <f>HYPERLINK("https://ictv.global/taxonomy/taxondetails?taxnode_id=202505692&amp;ictv_id=ICTV20175692","ICTV20175692")</f>
        <v>ICTV20175692</v>
      </c>
      <c r="R17206" t="s">
        <v>664</v>
      </c>
      <c r="S17206" t="s">
        <v>824</v>
      </c>
      <c r="T17206">
        <v>39</v>
      </c>
      <c r="U17206" s="26" t="str">
        <f t="shared" si="658"/>
        <v>2023.036P.Geminialphasatellitinae_rename.zip</v>
      </c>
    </row>
    <row r="17207" spans="1:21">
      <c r="A17207">
        <v>17206</v>
      </c>
      <c r="L17207" s="27" t="s">
        <v>867</v>
      </c>
      <c r="M17207" s="27" t="s">
        <v>868</v>
      </c>
      <c r="N17207" s="27" t="s">
        <v>871</v>
      </c>
      <c r="P17207" s="27" t="s">
        <v>18234</v>
      </c>
      <c r="Q17207" s="26" t="str">
        <f>HYPERLINK("https://ictv.global/taxonomy/taxondetails?taxnode_id=202505687&amp;ictv_id=ICTV20175687","ICTV20175687")</f>
        <v>ICTV20175687</v>
      </c>
      <c r="R17207" t="s">
        <v>664</v>
      </c>
      <c r="S17207" t="s">
        <v>824</v>
      </c>
      <c r="T17207">
        <v>39</v>
      </c>
      <c r="U17207" s="26" t="str">
        <f t="shared" si="658"/>
        <v>2023.036P.Geminialphasatellitinae_rename.zip</v>
      </c>
    </row>
    <row r="17208" spans="1:21">
      <c r="A17208">
        <v>17207</v>
      </c>
      <c r="L17208" s="27" t="s">
        <v>867</v>
      </c>
      <c r="M17208" s="27" t="s">
        <v>868</v>
      </c>
      <c r="N17208" s="27" t="s">
        <v>871</v>
      </c>
      <c r="P17208" s="27" t="s">
        <v>18235</v>
      </c>
      <c r="Q17208" s="26" t="str">
        <f>HYPERLINK("https://ictv.global/taxonomy/taxondetails?taxnode_id=202505688&amp;ictv_id=ICTV20175688","ICTV20175688")</f>
        <v>ICTV20175688</v>
      </c>
      <c r="R17208" t="s">
        <v>664</v>
      </c>
      <c r="S17208" t="s">
        <v>824</v>
      </c>
      <c r="T17208">
        <v>39</v>
      </c>
      <c r="U17208" s="26" t="str">
        <f t="shared" si="658"/>
        <v>2023.036P.Geminialphasatellitinae_rename.zip</v>
      </c>
    </row>
    <row r="17209" spans="1:21">
      <c r="A17209">
        <v>17208</v>
      </c>
      <c r="L17209" s="27" t="s">
        <v>867</v>
      </c>
      <c r="M17209" s="27" t="s">
        <v>868</v>
      </c>
      <c r="N17209" s="27" t="s">
        <v>871</v>
      </c>
      <c r="P17209" s="27" t="s">
        <v>18236</v>
      </c>
      <c r="Q17209" s="26" t="str">
        <f>HYPERLINK("https://ictv.global/taxonomy/taxondetails?taxnode_id=202505680&amp;ictv_id=ICTV20175680","ICTV20175680")</f>
        <v>ICTV20175680</v>
      </c>
      <c r="R17209" t="s">
        <v>664</v>
      </c>
      <c r="S17209" t="s">
        <v>824</v>
      </c>
      <c r="T17209">
        <v>39</v>
      </c>
      <c r="U17209" s="26" t="str">
        <f t="shared" si="658"/>
        <v>2023.036P.Geminialphasatellitinae_rename.zip</v>
      </c>
    </row>
    <row r="17210" spans="1:21">
      <c r="A17210">
        <v>17209</v>
      </c>
      <c r="L17210" s="27" t="s">
        <v>867</v>
      </c>
      <c r="M17210" s="27" t="s">
        <v>868</v>
      </c>
      <c r="N17210" s="27" t="s">
        <v>871</v>
      </c>
      <c r="P17210" s="27" t="s">
        <v>18237</v>
      </c>
      <c r="Q17210" s="26" t="str">
        <f>HYPERLINK("https://ictv.global/taxonomy/taxondetails?taxnode_id=202505694&amp;ictv_id=ICTV20175694","ICTV20175694")</f>
        <v>ICTV20175694</v>
      </c>
      <c r="R17210" t="s">
        <v>664</v>
      </c>
      <c r="S17210" t="s">
        <v>824</v>
      </c>
      <c r="T17210">
        <v>39</v>
      </c>
      <c r="U17210" s="26" t="str">
        <f t="shared" si="658"/>
        <v>2023.036P.Geminialphasatellitinae_rename.zip</v>
      </c>
    </row>
    <row r="17211" spans="1:21">
      <c r="A17211">
        <v>17210</v>
      </c>
      <c r="L17211" s="27" t="s">
        <v>867</v>
      </c>
      <c r="M17211" s="27" t="s">
        <v>868</v>
      </c>
      <c r="N17211" s="27" t="s">
        <v>871</v>
      </c>
      <c r="P17211" s="27" t="s">
        <v>18238</v>
      </c>
      <c r="Q17211" s="26" t="str">
        <f>HYPERLINK("https://ictv.global/taxonomy/taxondetails?taxnode_id=202505689&amp;ictv_id=ICTV20175689","ICTV20175689")</f>
        <v>ICTV20175689</v>
      </c>
      <c r="R17211" t="s">
        <v>664</v>
      </c>
      <c r="S17211" t="s">
        <v>824</v>
      </c>
      <c r="T17211">
        <v>39</v>
      </c>
      <c r="U17211" s="26" t="str">
        <f t="shared" si="658"/>
        <v>2023.036P.Geminialphasatellitinae_rename.zip</v>
      </c>
    </row>
    <row r="17212" spans="1:21">
      <c r="A17212">
        <v>17211</v>
      </c>
      <c r="L17212" s="27" t="s">
        <v>867</v>
      </c>
      <c r="M17212" s="27" t="s">
        <v>868</v>
      </c>
      <c r="N17212" s="27" t="s">
        <v>871</v>
      </c>
      <c r="P17212" s="27" t="s">
        <v>18239</v>
      </c>
      <c r="Q17212" s="26" t="str">
        <f>HYPERLINK("https://ictv.global/taxonomy/taxondetails?taxnode_id=202505690&amp;ictv_id=ICTV20175690","ICTV20175690")</f>
        <v>ICTV20175690</v>
      </c>
      <c r="R17212" t="s">
        <v>664</v>
      </c>
      <c r="S17212" t="s">
        <v>824</v>
      </c>
      <c r="T17212">
        <v>39</v>
      </c>
      <c r="U17212" s="26" t="str">
        <f t="shared" si="658"/>
        <v>2023.036P.Geminialphasatellitinae_rename.zip</v>
      </c>
    </row>
    <row r="17213" spans="1:21">
      <c r="A17213">
        <v>17212</v>
      </c>
      <c r="L17213" s="27" t="s">
        <v>867</v>
      </c>
      <c r="M17213" s="27" t="s">
        <v>868</v>
      </c>
      <c r="N17213" s="27" t="s">
        <v>871</v>
      </c>
      <c r="P17213" s="27" t="s">
        <v>18240</v>
      </c>
      <c r="Q17213" s="26" t="str">
        <f>HYPERLINK("https://ictv.global/taxonomy/taxondetails?taxnode_id=202508797&amp;ictv_id=ICTV202008797","ICTV202008797")</f>
        <v>ICTV202008797</v>
      </c>
      <c r="R17213" t="s">
        <v>664</v>
      </c>
      <c r="S17213" t="s">
        <v>824</v>
      </c>
      <c r="T17213">
        <v>39</v>
      </c>
      <c r="U17213" s="26" t="str">
        <f t="shared" si="658"/>
        <v>2023.036P.Geminialphasatellitinae_rename.zip</v>
      </c>
    </row>
    <row r="17214" spans="1:21">
      <c r="A17214">
        <v>17213</v>
      </c>
      <c r="L17214" s="27" t="s">
        <v>867</v>
      </c>
      <c r="M17214" s="27" t="s">
        <v>868</v>
      </c>
      <c r="N17214" s="27" t="s">
        <v>871</v>
      </c>
      <c r="P17214" s="27" t="s">
        <v>18241</v>
      </c>
      <c r="Q17214" s="26" t="str">
        <f>HYPERLINK("https://ictv.global/taxonomy/taxondetails?taxnode_id=202505691&amp;ictv_id=ICTV20175691","ICTV20175691")</f>
        <v>ICTV20175691</v>
      </c>
      <c r="R17214" t="s">
        <v>664</v>
      </c>
      <c r="S17214" t="s">
        <v>824</v>
      </c>
      <c r="T17214">
        <v>39</v>
      </c>
      <c r="U17214" s="26" t="str">
        <f t="shared" si="658"/>
        <v>2023.036P.Geminialphasatellitinae_rename.zip</v>
      </c>
    </row>
    <row r="17215" spans="1:21">
      <c r="A17215">
        <v>17214</v>
      </c>
      <c r="L17215" s="27" t="s">
        <v>867</v>
      </c>
      <c r="M17215" s="27" t="s">
        <v>868</v>
      </c>
      <c r="N17215" s="27" t="s">
        <v>871</v>
      </c>
      <c r="P17215" s="27" t="s">
        <v>18242</v>
      </c>
      <c r="Q17215" s="26" t="str">
        <f>HYPERLINK("https://ictv.global/taxonomy/taxondetails?taxnode_id=202505695&amp;ictv_id=ICTV20175695","ICTV20175695")</f>
        <v>ICTV20175695</v>
      </c>
      <c r="R17215" t="s">
        <v>664</v>
      </c>
      <c r="S17215" t="s">
        <v>824</v>
      </c>
      <c r="T17215">
        <v>39</v>
      </c>
      <c r="U17215" s="26" t="str">
        <f t="shared" si="658"/>
        <v>2023.036P.Geminialphasatellitinae_rename.zip</v>
      </c>
    </row>
    <row r="17216" spans="1:21">
      <c r="A17216">
        <v>17215</v>
      </c>
      <c r="L17216" s="27" t="s">
        <v>867</v>
      </c>
      <c r="M17216" s="27" t="s">
        <v>868</v>
      </c>
      <c r="N17216" s="27" t="s">
        <v>871</v>
      </c>
      <c r="P17216" s="27" t="s">
        <v>18243</v>
      </c>
      <c r="Q17216" s="26" t="str">
        <f>HYPERLINK("https://ictv.global/taxonomy/taxondetails?taxnode_id=202505696&amp;ictv_id=ICTV20175696","ICTV20175696")</f>
        <v>ICTV20175696</v>
      </c>
      <c r="R17216" t="s">
        <v>664</v>
      </c>
      <c r="S17216" t="s">
        <v>824</v>
      </c>
      <c r="T17216">
        <v>39</v>
      </c>
      <c r="U17216" s="26" t="str">
        <f t="shared" si="658"/>
        <v>2023.036P.Geminialphasatellitinae_rename.zip</v>
      </c>
    </row>
    <row r="17217" spans="1:21">
      <c r="A17217">
        <v>17216</v>
      </c>
      <c r="L17217" s="27" t="s">
        <v>867</v>
      </c>
      <c r="M17217" s="27" t="s">
        <v>868</v>
      </c>
      <c r="N17217" s="27" t="s">
        <v>871</v>
      </c>
      <c r="P17217" s="27" t="s">
        <v>18244</v>
      </c>
      <c r="Q17217" s="26" t="str">
        <f>HYPERLINK("https://ictv.global/taxonomy/taxondetails?taxnode_id=202505697&amp;ictv_id=ICTV20175697","ICTV20175697")</f>
        <v>ICTV20175697</v>
      </c>
      <c r="R17217" t="s">
        <v>664</v>
      </c>
      <c r="S17217" t="s">
        <v>824</v>
      </c>
      <c r="T17217">
        <v>39</v>
      </c>
      <c r="U17217" s="26" t="str">
        <f t="shared" si="658"/>
        <v>2023.036P.Geminialphasatellitinae_rename.zip</v>
      </c>
    </row>
    <row r="17218" spans="1:21">
      <c r="A17218">
        <v>17217</v>
      </c>
      <c r="L17218" s="27" t="s">
        <v>867</v>
      </c>
      <c r="M17218" s="27" t="s">
        <v>868</v>
      </c>
      <c r="N17218" s="27" t="s">
        <v>871</v>
      </c>
      <c r="P17218" s="27" t="s">
        <v>18245</v>
      </c>
      <c r="Q17218" s="26" t="str">
        <f>HYPERLINK("https://ictv.global/taxonomy/taxondetails?taxnode_id=202505698&amp;ictv_id=ICTV20175698","ICTV20175698")</f>
        <v>ICTV20175698</v>
      </c>
      <c r="R17218" t="s">
        <v>664</v>
      </c>
      <c r="S17218" t="s">
        <v>824</v>
      </c>
      <c r="T17218">
        <v>39</v>
      </c>
      <c r="U17218" s="26" t="str">
        <f t="shared" si="658"/>
        <v>2023.036P.Geminialphasatellitinae_rename.zip</v>
      </c>
    </row>
    <row r="17219" spans="1:21">
      <c r="A17219">
        <v>17218</v>
      </c>
      <c r="L17219" s="27" t="s">
        <v>867</v>
      </c>
      <c r="M17219" s="27" t="s">
        <v>868</v>
      </c>
      <c r="N17219" s="27" t="s">
        <v>871</v>
      </c>
      <c r="P17219" s="27" t="s">
        <v>18246</v>
      </c>
      <c r="Q17219" s="26" t="str">
        <f>HYPERLINK("https://ictv.global/taxonomy/taxondetails?taxnode_id=202505699&amp;ictv_id=ICTV20175699","ICTV20175699")</f>
        <v>ICTV20175699</v>
      </c>
      <c r="R17219" t="s">
        <v>664</v>
      </c>
      <c r="S17219" t="s">
        <v>824</v>
      </c>
      <c r="T17219">
        <v>39</v>
      </c>
      <c r="U17219" s="26" t="str">
        <f t="shared" si="658"/>
        <v>2023.036P.Geminialphasatellitinae_rename.zip</v>
      </c>
    </row>
    <row r="17220" spans="1:21">
      <c r="A17220">
        <v>17219</v>
      </c>
      <c r="L17220" s="27" t="s">
        <v>867</v>
      </c>
      <c r="M17220" s="27" t="s">
        <v>868</v>
      </c>
      <c r="N17220" s="27" t="s">
        <v>871</v>
      </c>
      <c r="P17220" s="27" t="s">
        <v>18247</v>
      </c>
      <c r="Q17220" s="26" t="str">
        <f>HYPERLINK("https://ictv.global/taxonomy/taxondetails?taxnode_id=202507294&amp;ictv_id=ICTV201907294","ICTV201907294")</f>
        <v>ICTV201907294</v>
      </c>
      <c r="R17220" t="s">
        <v>664</v>
      </c>
      <c r="S17220" t="s">
        <v>824</v>
      </c>
      <c r="T17220">
        <v>39</v>
      </c>
      <c r="U17220" s="26" t="str">
        <f t="shared" si="658"/>
        <v>2023.036P.Geminialphasatellitinae_rename.zip</v>
      </c>
    </row>
    <row r="17221" spans="1:21">
      <c r="A17221">
        <v>17220</v>
      </c>
      <c r="L17221" s="27" t="s">
        <v>867</v>
      </c>
      <c r="M17221" s="27" t="s">
        <v>868</v>
      </c>
      <c r="N17221" s="27" t="s">
        <v>871</v>
      </c>
      <c r="P17221" s="27" t="s">
        <v>18248</v>
      </c>
      <c r="Q17221" s="26" t="str">
        <f>HYPERLINK("https://ictv.global/taxonomy/taxondetails?taxnode_id=202505693&amp;ictv_id=ICTV20175693","ICTV20175693")</f>
        <v>ICTV20175693</v>
      </c>
      <c r="R17221" t="s">
        <v>664</v>
      </c>
      <c r="S17221" t="s">
        <v>824</v>
      </c>
      <c r="T17221">
        <v>39</v>
      </c>
      <c r="U17221" s="26" t="str">
        <f t="shared" si="658"/>
        <v>2023.036P.Geminialphasatellitinae_rename.zip</v>
      </c>
    </row>
    <row r="17222" spans="1:21">
      <c r="A17222">
        <v>17221</v>
      </c>
      <c r="L17222" s="27" t="s">
        <v>867</v>
      </c>
      <c r="M17222" s="27" t="s">
        <v>868</v>
      </c>
      <c r="N17222" s="27" t="s">
        <v>3651</v>
      </c>
      <c r="P17222" s="27" t="s">
        <v>18249</v>
      </c>
      <c r="Q17222" s="26" t="str">
        <f>HYPERLINK("https://ictv.global/taxonomy/taxondetails?taxnode_id=202505708&amp;ictv_id=ICTV20175708","ICTV20175708")</f>
        <v>ICTV20175708</v>
      </c>
      <c r="R17222" t="s">
        <v>664</v>
      </c>
      <c r="S17222" t="s">
        <v>824</v>
      </c>
      <c r="T17222">
        <v>39</v>
      </c>
      <c r="U17222" s="26" t="str">
        <f t="shared" si="658"/>
        <v>2023.036P.Geminialphasatellitinae_rename.zip</v>
      </c>
    </row>
    <row r="17223" spans="1:21">
      <c r="A17223">
        <v>17222</v>
      </c>
      <c r="L17223" s="27" t="s">
        <v>867</v>
      </c>
      <c r="M17223" s="27" t="s">
        <v>868</v>
      </c>
      <c r="N17223" s="27" t="s">
        <v>872</v>
      </c>
      <c r="P17223" s="27" t="s">
        <v>18250</v>
      </c>
      <c r="Q17223" s="26" t="str">
        <f>HYPERLINK("https://ictv.global/taxonomy/taxondetails?taxnode_id=202505704&amp;ictv_id=ICTV20175704","ICTV20175704")</f>
        <v>ICTV20175704</v>
      </c>
      <c r="R17223" t="s">
        <v>664</v>
      </c>
      <c r="S17223" t="s">
        <v>824</v>
      </c>
      <c r="T17223">
        <v>39</v>
      </c>
      <c r="U17223" s="26" t="str">
        <f t="shared" si="658"/>
        <v>2023.036P.Geminialphasatellitinae_rename.zip</v>
      </c>
    </row>
    <row r="17224" spans="1:21">
      <c r="A17224">
        <v>17223</v>
      </c>
      <c r="L17224" s="27" t="s">
        <v>867</v>
      </c>
      <c r="M17224" s="27" t="s">
        <v>868</v>
      </c>
      <c r="N17224" s="27" t="s">
        <v>872</v>
      </c>
      <c r="P17224" s="27" t="s">
        <v>18251</v>
      </c>
      <c r="Q17224" s="26" t="str">
        <f>HYPERLINK("https://ictv.global/taxonomy/taxondetails?taxnode_id=202505705&amp;ictv_id=ICTV20175705","ICTV20175705")</f>
        <v>ICTV20175705</v>
      </c>
      <c r="R17224" t="s">
        <v>664</v>
      </c>
      <c r="S17224" t="s">
        <v>824</v>
      </c>
      <c r="T17224">
        <v>39</v>
      </c>
      <c r="U17224" s="26" t="str">
        <f t="shared" si="658"/>
        <v>2023.036P.Geminialphasatellitinae_rename.zip</v>
      </c>
    </row>
    <row r="17225" spans="1:21">
      <c r="A17225">
        <v>17224</v>
      </c>
      <c r="L17225" s="27" t="s">
        <v>867</v>
      </c>
      <c r="M17225" s="27" t="s">
        <v>868</v>
      </c>
      <c r="N17225" s="27" t="s">
        <v>872</v>
      </c>
      <c r="P17225" s="27" t="s">
        <v>18252</v>
      </c>
      <c r="Q17225" s="26" t="str">
        <f>HYPERLINK("https://ictv.global/taxonomy/taxondetails?taxnode_id=202505702&amp;ictv_id=ICTV20175702","ICTV20175702")</f>
        <v>ICTV20175702</v>
      </c>
      <c r="R17225" t="s">
        <v>664</v>
      </c>
      <c r="S17225" t="s">
        <v>824</v>
      </c>
      <c r="T17225">
        <v>39</v>
      </c>
      <c r="U17225" s="26" t="str">
        <f t="shared" si="658"/>
        <v>2023.036P.Geminialphasatellitinae_rename.zip</v>
      </c>
    </row>
    <row r="17226" spans="1:21">
      <c r="A17226">
        <v>17225</v>
      </c>
      <c r="L17226" s="27" t="s">
        <v>867</v>
      </c>
      <c r="M17226" s="27" t="s">
        <v>868</v>
      </c>
      <c r="N17226" s="27" t="s">
        <v>872</v>
      </c>
      <c r="P17226" s="27" t="s">
        <v>21836</v>
      </c>
      <c r="Q17226" s="26" t="str">
        <f>HYPERLINK("https://ictv.global/taxonomy/taxondetails?taxnode_id=202522659&amp;ictv_id=ICTV202522659","ICTV202522659")</f>
        <v>ICTV202522659</v>
      </c>
      <c r="R17226" t="s">
        <v>582</v>
      </c>
      <c r="S17226" t="s">
        <v>823</v>
      </c>
      <c r="T17226">
        <v>41</v>
      </c>
      <c r="U17226" s="26" t="str">
        <f>HYPERLINK("https://ictv.global/ictv/proposals/2025.013P.Alphasatellitidae_2ng_8nsp.zip","2025.013P.Alphasatellitidae_2ng_8nsp.zip")</f>
        <v>2025.013P.Alphasatellitidae_2ng_8nsp.zip</v>
      </c>
    </row>
    <row r="17227" spans="1:21">
      <c r="A17227">
        <v>17226</v>
      </c>
      <c r="L17227" s="27" t="s">
        <v>867</v>
      </c>
      <c r="M17227" s="27" t="s">
        <v>868</v>
      </c>
      <c r="N17227" s="27" t="s">
        <v>872</v>
      </c>
      <c r="P17227" s="27" t="s">
        <v>18253</v>
      </c>
      <c r="Q17227" s="26" t="str">
        <f>HYPERLINK("https://ictv.global/taxonomy/taxondetails?taxnode_id=202507293&amp;ictv_id=ICTV201907293","ICTV201907293")</f>
        <v>ICTV201907293</v>
      </c>
      <c r="R17227" t="s">
        <v>664</v>
      </c>
      <c r="S17227" t="s">
        <v>824</v>
      </c>
      <c r="T17227">
        <v>39</v>
      </c>
      <c r="U17227" s="26" t="str">
        <f>HYPERLINK("https://ictv.global/ictv/proposals/2023.036P.Geminialphasatellitinae_rename.zip","2023.036P.Geminialphasatellitinae_rename.zip")</f>
        <v>2023.036P.Geminialphasatellitinae_rename.zip</v>
      </c>
    </row>
    <row r="17228" spans="1:21">
      <c r="A17228">
        <v>17227</v>
      </c>
      <c r="L17228" s="27" t="s">
        <v>867</v>
      </c>
      <c r="M17228" s="27" t="s">
        <v>868</v>
      </c>
      <c r="N17228" s="27" t="s">
        <v>872</v>
      </c>
      <c r="P17228" s="27" t="s">
        <v>18254</v>
      </c>
      <c r="Q17228" s="26" t="str">
        <f>HYPERLINK("https://ictv.global/taxonomy/taxondetails?taxnode_id=202508796&amp;ictv_id=ICTV202008796","ICTV202008796")</f>
        <v>ICTV202008796</v>
      </c>
      <c r="R17228" t="s">
        <v>664</v>
      </c>
      <c r="S17228" t="s">
        <v>824</v>
      </c>
      <c r="T17228">
        <v>39</v>
      </c>
      <c r="U17228" s="26" t="str">
        <f>HYPERLINK("https://ictv.global/ictv/proposals/2023.036P.Geminialphasatellitinae_rename.zip","2023.036P.Geminialphasatellitinae_rename.zip")</f>
        <v>2023.036P.Geminialphasatellitinae_rename.zip</v>
      </c>
    </row>
    <row r="17229" spans="1:21">
      <c r="A17229">
        <v>17228</v>
      </c>
      <c r="L17229" s="27" t="s">
        <v>867</v>
      </c>
      <c r="M17229" s="27" t="s">
        <v>868</v>
      </c>
      <c r="N17229" s="27" t="s">
        <v>872</v>
      </c>
      <c r="P17229" s="27" t="s">
        <v>18255</v>
      </c>
      <c r="Q17229" s="26" t="str">
        <f>HYPERLINK("https://ictv.global/taxonomy/taxondetails?taxnode_id=202505701&amp;ictv_id=ICTV20175701","ICTV20175701")</f>
        <v>ICTV20175701</v>
      </c>
      <c r="R17229" t="s">
        <v>664</v>
      </c>
      <c r="S17229" t="s">
        <v>824</v>
      </c>
      <c r="T17229">
        <v>39</v>
      </c>
      <c r="U17229" s="26" t="str">
        <f>HYPERLINK("https://ictv.global/ictv/proposals/2023.036P.Geminialphasatellitinae_rename.zip","2023.036P.Geminialphasatellitinae_rename.zip")</f>
        <v>2023.036P.Geminialphasatellitinae_rename.zip</v>
      </c>
    </row>
    <row r="17230" spans="1:21">
      <c r="A17230">
        <v>17229</v>
      </c>
      <c r="L17230" s="27" t="s">
        <v>867</v>
      </c>
      <c r="M17230" s="27" t="s">
        <v>868</v>
      </c>
      <c r="N17230" s="27" t="s">
        <v>872</v>
      </c>
      <c r="P17230" s="27" t="s">
        <v>21837</v>
      </c>
      <c r="Q17230" s="26" t="str">
        <f>HYPERLINK("https://ictv.global/taxonomy/taxondetails?taxnode_id=202522660&amp;ictv_id=ICTV202522660","ICTV202522660")</f>
        <v>ICTV202522660</v>
      </c>
      <c r="R17230" t="s">
        <v>582</v>
      </c>
      <c r="S17230" t="s">
        <v>823</v>
      </c>
      <c r="T17230">
        <v>41</v>
      </c>
      <c r="U17230" s="26" t="str">
        <f>HYPERLINK("https://ictv.global/ictv/proposals/2025.013P.Alphasatellitidae_2ng_8nsp.zip","2025.013P.Alphasatellitidae_2ng_8nsp.zip")</f>
        <v>2025.013P.Alphasatellitidae_2ng_8nsp.zip</v>
      </c>
    </row>
    <row r="17231" spans="1:21">
      <c r="A17231">
        <v>17230</v>
      </c>
      <c r="L17231" s="27" t="s">
        <v>867</v>
      </c>
      <c r="M17231" s="27" t="s">
        <v>868</v>
      </c>
      <c r="N17231" s="27" t="s">
        <v>872</v>
      </c>
      <c r="P17231" s="27" t="s">
        <v>18256</v>
      </c>
      <c r="Q17231" s="26" t="str">
        <f>HYPERLINK("https://ictv.global/taxonomy/taxondetails?taxnode_id=202505703&amp;ictv_id=ICTV20175703","ICTV20175703")</f>
        <v>ICTV20175703</v>
      </c>
      <c r="R17231" t="s">
        <v>664</v>
      </c>
      <c r="S17231" t="s">
        <v>824</v>
      </c>
      <c r="T17231">
        <v>39</v>
      </c>
      <c r="U17231" s="26" t="str">
        <f>HYPERLINK("https://ictv.global/ictv/proposals/2023.036P.Geminialphasatellitinae_rename.zip","2023.036P.Geminialphasatellitinae_rename.zip")</f>
        <v>2023.036P.Geminialphasatellitinae_rename.zip</v>
      </c>
    </row>
    <row r="17232" spans="1:21">
      <c r="A17232">
        <v>17231</v>
      </c>
      <c r="L17232" s="27" t="s">
        <v>867</v>
      </c>
      <c r="M17232" s="27" t="s">
        <v>868</v>
      </c>
      <c r="N17232" s="27" t="s">
        <v>872</v>
      </c>
      <c r="P17232" s="27" t="s">
        <v>18257</v>
      </c>
      <c r="Q17232" s="26" t="str">
        <f>HYPERLINK("https://ictv.global/taxonomy/taxondetails?taxnode_id=202505706&amp;ictv_id=ICTV20175706","ICTV20175706")</f>
        <v>ICTV20175706</v>
      </c>
      <c r="R17232" t="s">
        <v>664</v>
      </c>
      <c r="S17232" t="s">
        <v>824</v>
      </c>
      <c r="T17232">
        <v>39</v>
      </c>
      <c r="U17232" s="26" t="str">
        <f>HYPERLINK("https://ictv.global/ictv/proposals/2023.036P.Geminialphasatellitinae_rename.zip","2023.036P.Geminialphasatellitinae_rename.zip")</f>
        <v>2023.036P.Geminialphasatellitinae_rename.zip</v>
      </c>
    </row>
    <row r="17233" spans="1:21">
      <c r="A17233">
        <v>17232</v>
      </c>
      <c r="L17233" s="27" t="s">
        <v>867</v>
      </c>
      <c r="M17233" s="27" t="s">
        <v>868</v>
      </c>
      <c r="N17233" s="27" t="s">
        <v>3652</v>
      </c>
      <c r="P17233" s="27" t="s">
        <v>18258</v>
      </c>
      <c r="Q17233" s="26" t="str">
        <f>HYPERLINK("https://ictv.global/taxonomy/taxondetails?taxnode_id=202508802&amp;ictv_id=ICTV202008802","ICTV202008802")</f>
        <v>ICTV202008802</v>
      </c>
      <c r="R17233" t="s">
        <v>664</v>
      </c>
      <c r="S17233" t="s">
        <v>824</v>
      </c>
      <c r="T17233">
        <v>39</v>
      </c>
      <c r="U17233" s="26" t="str">
        <f>HYPERLINK("https://ictv.global/ictv/proposals/2023.036P.Geminialphasatellitinae_rename.zip","2023.036P.Geminialphasatellitinae_rename.zip")</f>
        <v>2023.036P.Geminialphasatellitinae_rename.zip</v>
      </c>
    </row>
    <row r="17234" spans="1:21">
      <c r="A17234">
        <v>17233</v>
      </c>
      <c r="L17234" s="27" t="s">
        <v>867</v>
      </c>
      <c r="M17234" s="27" t="s">
        <v>868</v>
      </c>
      <c r="N17234" s="27" t="s">
        <v>21833</v>
      </c>
      <c r="P17234" s="27" t="s">
        <v>21834</v>
      </c>
      <c r="Q17234" s="26" t="str">
        <f>HYPERLINK("https://ictv.global/taxonomy/taxondetails?taxnode_id=202522657&amp;ictv_id=ICTV202522657","ICTV202522657")</f>
        <v>ICTV202522657</v>
      </c>
      <c r="R17234" t="s">
        <v>582</v>
      </c>
      <c r="S17234" t="s">
        <v>823</v>
      </c>
      <c r="T17234">
        <v>41</v>
      </c>
      <c r="U17234" s="26" t="str">
        <f>HYPERLINK("https://ictv.global/ictv/proposals/2025.013P.Alphasatellitidae_2ng_8nsp.zip","2025.013P.Alphasatellitidae_2ng_8nsp.zip")</f>
        <v>2025.013P.Alphasatellitidae_2ng_8nsp.zip</v>
      </c>
    </row>
    <row r="17235" spans="1:21">
      <c r="A17235">
        <v>17234</v>
      </c>
      <c r="L17235" s="27" t="s">
        <v>867</v>
      </c>
      <c r="M17235" s="27" t="s">
        <v>868</v>
      </c>
      <c r="N17235" s="27" t="s">
        <v>3653</v>
      </c>
      <c r="P17235" s="27" t="s">
        <v>18259</v>
      </c>
      <c r="Q17235" s="26" t="str">
        <f>HYPERLINK("https://ictv.global/taxonomy/taxondetails?taxnode_id=202505709&amp;ictv_id=ICTV20175709","ICTV20175709")</f>
        <v>ICTV20175709</v>
      </c>
      <c r="R17235" t="s">
        <v>664</v>
      </c>
      <c r="S17235" t="s">
        <v>824</v>
      </c>
      <c r="T17235">
        <v>39</v>
      </c>
      <c r="U17235" s="26" t="str">
        <f>HYPERLINK("https://ictv.global/ictv/proposals/2023.036P.Geminialphasatellitinae_rename.zip","2023.036P.Geminialphasatellitinae_rename.zip")</f>
        <v>2023.036P.Geminialphasatellitinae_rename.zip</v>
      </c>
    </row>
    <row r="17236" spans="1:21">
      <c r="A17236">
        <v>17235</v>
      </c>
      <c r="L17236" s="27" t="s">
        <v>867</v>
      </c>
      <c r="M17236" s="27" t="s">
        <v>873</v>
      </c>
      <c r="N17236" s="27" t="s">
        <v>21829</v>
      </c>
      <c r="P17236" s="27" t="s">
        <v>21830</v>
      </c>
      <c r="Q17236" s="26" t="str">
        <f>HYPERLINK("https://ictv.global/taxonomy/taxondetails?taxnode_id=202522654&amp;ictv_id=ICTV202522654","ICTV202522654")</f>
        <v>ICTV202522654</v>
      </c>
      <c r="R17236" t="s">
        <v>582</v>
      </c>
      <c r="S17236" t="s">
        <v>823</v>
      </c>
      <c r="T17236">
        <v>41</v>
      </c>
      <c r="U17236" s="26" t="str">
        <f>HYPERLINK("https://ictv.global/ictv/proposals/2025.013P.Alphasatellitidae_2ng_8nsp.zip","2025.013P.Alphasatellitidae_2ng_8nsp.zip")</f>
        <v>2025.013P.Alphasatellitidae_2ng_8nsp.zip</v>
      </c>
    </row>
    <row r="17237" spans="1:21">
      <c r="A17237">
        <v>17236</v>
      </c>
      <c r="L17237" s="27" t="s">
        <v>867</v>
      </c>
      <c r="M17237" s="27" t="s">
        <v>873</v>
      </c>
      <c r="N17237" s="27" t="s">
        <v>21829</v>
      </c>
      <c r="P17237" s="27" t="s">
        <v>21831</v>
      </c>
      <c r="Q17237" s="26" t="str">
        <f>HYPERLINK("https://ictv.global/taxonomy/taxondetails?taxnode_id=202522655&amp;ictv_id=ICTV202522655","ICTV202522655")</f>
        <v>ICTV202522655</v>
      </c>
      <c r="R17237" t="s">
        <v>582</v>
      </c>
      <c r="S17237" t="s">
        <v>823</v>
      </c>
      <c r="T17237">
        <v>41</v>
      </c>
      <c r="U17237" s="26" t="str">
        <f>HYPERLINK("https://ictv.global/ictv/proposals/2025.013P.Alphasatellitidae_2ng_8nsp.zip","2025.013P.Alphasatellitidae_2ng_8nsp.zip")</f>
        <v>2025.013P.Alphasatellitidae_2ng_8nsp.zip</v>
      </c>
    </row>
    <row r="17238" spans="1:21">
      <c r="A17238">
        <v>17237</v>
      </c>
      <c r="L17238" s="27" t="s">
        <v>867</v>
      </c>
      <c r="M17238" s="27" t="s">
        <v>873</v>
      </c>
      <c r="N17238" s="27" t="s">
        <v>21829</v>
      </c>
      <c r="P17238" s="27" t="s">
        <v>21832</v>
      </c>
      <c r="Q17238" s="26" t="str">
        <f>HYPERLINK("https://ictv.global/taxonomy/taxondetails?taxnode_id=202522656&amp;ictv_id=ICTV202522656","ICTV202522656")</f>
        <v>ICTV202522656</v>
      </c>
      <c r="R17238" t="s">
        <v>582</v>
      </c>
      <c r="S17238" t="s">
        <v>823</v>
      </c>
      <c r="T17238">
        <v>41</v>
      </c>
      <c r="U17238" s="26" t="str">
        <f>HYPERLINK("https://ictv.global/ictv/proposals/2025.013P.Alphasatellitidae_2ng_8nsp.zip","2025.013P.Alphasatellitidae_2ng_8nsp.zip")</f>
        <v>2025.013P.Alphasatellitidae_2ng_8nsp.zip</v>
      </c>
    </row>
    <row r="17239" spans="1:21">
      <c r="A17239">
        <v>17238</v>
      </c>
      <c r="L17239" s="27" t="s">
        <v>867</v>
      </c>
      <c r="M17239" s="27" t="s">
        <v>873</v>
      </c>
      <c r="N17239" s="27" t="s">
        <v>875</v>
      </c>
      <c r="P17239" s="27" t="s">
        <v>18260</v>
      </c>
      <c r="Q17239" s="26" t="str">
        <f>HYPERLINK("https://ictv.global/taxonomy/taxondetails?taxnode_id=202505716&amp;ictv_id=ICTV20175716","ICTV20175716")</f>
        <v>ICTV20175716</v>
      </c>
      <c r="R17239" t="s">
        <v>664</v>
      </c>
      <c r="S17239" t="s">
        <v>824</v>
      </c>
      <c r="T17239">
        <v>39</v>
      </c>
      <c r="U17239" s="26" t="str">
        <f t="shared" ref="U17239:U17268" si="659">HYPERLINK("https://ictv.global/ictv/proposals/2023.006P.Alphasatellitidae_rename_30sp.zip","2023.006P.Alphasatellitidae_rename_30sp.zip")</f>
        <v>2023.006P.Alphasatellitidae_rename_30sp.zip</v>
      </c>
    </row>
    <row r="17240" spans="1:21">
      <c r="A17240">
        <v>17239</v>
      </c>
      <c r="L17240" s="27" t="s">
        <v>867</v>
      </c>
      <c r="M17240" s="27" t="s">
        <v>873</v>
      </c>
      <c r="N17240" s="27" t="s">
        <v>875</v>
      </c>
      <c r="P17240" s="27" t="s">
        <v>18261</v>
      </c>
      <c r="Q17240" s="26" t="str">
        <f>HYPERLINK("https://ictv.global/taxonomy/taxondetails?taxnode_id=202505717&amp;ictv_id=ICTV20175717","ICTV20175717")</f>
        <v>ICTV20175717</v>
      </c>
      <c r="R17240" t="s">
        <v>664</v>
      </c>
      <c r="S17240" t="s">
        <v>824</v>
      </c>
      <c r="T17240">
        <v>39</v>
      </c>
      <c r="U17240" s="26" t="str">
        <f t="shared" si="659"/>
        <v>2023.006P.Alphasatellitidae_rename_30sp.zip</v>
      </c>
    </row>
    <row r="17241" spans="1:21">
      <c r="A17241">
        <v>17240</v>
      </c>
      <c r="L17241" s="27" t="s">
        <v>867</v>
      </c>
      <c r="M17241" s="27" t="s">
        <v>873</v>
      </c>
      <c r="N17241" s="27" t="s">
        <v>875</v>
      </c>
      <c r="P17241" s="27" t="s">
        <v>18262</v>
      </c>
      <c r="Q17241" s="26" t="str">
        <f>HYPERLINK("https://ictv.global/taxonomy/taxondetails?taxnode_id=202505719&amp;ictv_id=ICTV20175719","ICTV20175719")</f>
        <v>ICTV20175719</v>
      </c>
      <c r="R17241" t="s">
        <v>664</v>
      </c>
      <c r="S17241" t="s">
        <v>824</v>
      </c>
      <c r="T17241">
        <v>39</v>
      </c>
      <c r="U17241" s="26" t="str">
        <f t="shared" si="659"/>
        <v>2023.006P.Alphasatellitidae_rename_30sp.zip</v>
      </c>
    </row>
    <row r="17242" spans="1:21">
      <c r="A17242">
        <v>17241</v>
      </c>
      <c r="L17242" s="27" t="s">
        <v>867</v>
      </c>
      <c r="M17242" s="27" t="s">
        <v>873</v>
      </c>
      <c r="N17242" s="27" t="s">
        <v>875</v>
      </c>
      <c r="P17242" s="27" t="s">
        <v>18263</v>
      </c>
      <c r="Q17242" s="26" t="str">
        <f>HYPERLINK("https://ictv.global/taxonomy/taxondetails?taxnode_id=202505718&amp;ictv_id=ICTV20175718","ICTV20175718")</f>
        <v>ICTV20175718</v>
      </c>
      <c r="R17242" t="s">
        <v>664</v>
      </c>
      <c r="S17242" t="s">
        <v>824</v>
      </c>
      <c r="T17242">
        <v>39</v>
      </c>
      <c r="U17242" s="26" t="str">
        <f t="shared" si="659"/>
        <v>2023.006P.Alphasatellitidae_rename_30sp.zip</v>
      </c>
    </row>
    <row r="17243" spans="1:21">
      <c r="A17243">
        <v>17242</v>
      </c>
      <c r="L17243" s="27" t="s">
        <v>867</v>
      </c>
      <c r="M17243" s="27" t="s">
        <v>873</v>
      </c>
      <c r="N17243" s="27" t="s">
        <v>875</v>
      </c>
      <c r="P17243" s="27" t="s">
        <v>18264</v>
      </c>
      <c r="Q17243" s="26" t="str">
        <f>HYPERLINK("https://ictv.global/taxonomy/taxondetails?taxnode_id=202505720&amp;ictv_id=ICTV20175720","ICTV20175720")</f>
        <v>ICTV20175720</v>
      </c>
      <c r="R17243" t="s">
        <v>664</v>
      </c>
      <c r="S17243" t="s">
        <v>824</v>
      </c>
      <c r="T17243">
        <v>39</v>
      </c>
      <c r="U17243" s="26" t="str">
        <f t="shared" si="659"/>
        <v>2023.006P.Alphasatellitidae_rename_30sp.zip</v>
      </c>
    </row>
    <row r="17244" spans="1:21">
      <c r="A17244">
        <v>17243</v>
      </c>
      <c r="L17244" s="27" t="s">
        <v>867</v>
      </c>
      <c r="M17244" s="27" t="s">
        <v>873</v>
      </c>
      <c r="N17244" s="27" t="s">
        <v>876</v>
      </c>
      <c r="P17244" s="27" t="s">
        <v>18265</v>
      </c>
      <c r="Q17244" s="26" t="str">
        <f>HYPERLINK("https://ictv.global/taxonomy/taxondetails?taxnode_id=202505722&amp;ictv_id=ICTV20175722","ICTV20175722")</f>
        <v>ICTV20175722</v>
      </c>
      <c r="R17244" t="s">
        <v>664</v>
      </c>
      <c r="S17244" t="s">
        <v>824</v>
      </c>
      <c r="T17244">
        <v>39</v>
      </c>
      <c r="U17244" s="26" t="str">
        <f t="shared" si="659"/>
        <v>2023.006P.Alphasatellitidae_rename_30sp.zip</v>
      </c>
    </row>
    <row r="17245" spans="1:21">
      <c r="A17245">
        <v>17244</v>
      </c>
      <c r="L17245" s="27" t="s">
        <v>867</v>
      </c>
      <c r="M17245" s="27" t="s">
        <v>873</v>
      </c>
      <c r="N17245" s="27" t="s">
        <v>877</v>
      </c>
      <c r="P17245" s="27" t="s">
        <v>18266</v>
      </c>
      <c r="Q17245" s="26" t="str">
        <f>HYPERLINK("https://ictv.global/taxonomy/taxondetails?taxnode_id=202505724&amp;ictv_id=ICTV20175724","ICTV20175724")</f>
        <v>ICTV20175724</v>
      </c>
      <c r="R17245" t="s">
        <v>664</v>
      </c>
      <c r="S17245" t="s">
        <v>824</v>
      </c>
      <c r="T17245">
        <v>39</v>
      </c>
      <c r="U17245" s="26" t="str">
        <f t="shared" si="659"/>
        <v>2023.006P.Alphasatellitidae_rename_30sp.zip</v>
      </c>
    </row>
    <row r="17246" spans="1:21">
      <c r="A17246">
        <v>17245</v>
      </c>
      <c r="L17246" s="27" t="s">
        <v>867</v>
      </c>
      <c r="M17246" s="27" t="s">
        <v>873</v>
      </c>
      <c r="N17246" s="27" t="s">
        <v>878</v>
      </c>
      <c r="P17246" s="27" t="s">
        <v>18267</v>
      </c>
      <c r="Q17246" s="26" t="str">
        <f>HYPERLINK("https://ictv.global/taxonomy/taxondetails?taxnode_id=202505727&amp;ictv_id=ICTV20175727","ICTV20175727")</f>
        <v>ICTV20175727</v>
      </c>
      <c r="R17246" t="s">
        <v>664</v>
      </c>
      <c r="S17246" t="s">
        <v>824</v>
      </c>
      <c r="T17246">
        <v>39</v>
      </c>
      <c r="U17246" s="26" t="str">
        <f t="shared" si="659"/>
        <v>2023.006P.Alphasatellitidae_rename_30sp.zip</v>
      </c>
    </row>
    <row r="17247" spans="1:21">
      <c r="A17247">
        <v>17246</v>
      </c>
      <c r="L17247" s="27" t="s">
        <v>867</v>
      </c>
      <c r="M17247" s="27" t="s">
        <v>873</v>
      </c>
      <c r="N17247" s="27" t="s">
        <v>878</v>
      </c>
      <c r="P17247" s="27" t="s">
        <v>18268</v>
      </c>
      <c r="Q17247" s="26" t="str">
        <f>HYPERLINK("https://ictv.global/taxonomy/taxondetails?taxnode_id=202505728&amp;ictv_id=ICTV20175728","ICTV20175728")</f>
        <v>ICTV20175728</v>
      </c>
      <c r="R17247" t="s">
        <v>664</v>
      </c>
      <c r="S17247" t="s">
        <v>824</v>
      </c>
      <c r="T17247">
        <v>39</v>
      </c>
      <c r="U17247" s="26" t="str">
        <f t="shared" si="659"/>
        <v>2023.006P.Alphasatellitidae_rename_30sp.zip</v>
      </c>
    </row>
    <row r="17248" spans="1:21">
      <c r="A17248">
        <v>17247</v>
      </c>
      <c r="L17248" s="27" t="s">
        <v>867</v>
      </c>
      <c r="M17248" s="27" t="s">
        <v>873</v>
      </c>
      <c r="N17248" s="27" t="s">
        <v>878</v>
      </c>
      <c r="P17248" s="27" t="s">
        <v>18269</v>
      </c>
      <c r="Q17248" s="26" t="str">
        <f>HYPERLINK("https://ictv.global/taxonomy/taxondetails?taxnode_id=202505726&amp;ictv_id=ICTV20175726","ICTV20175726")</f>
        <v>ICTV20175726</v>
      </c>
      <c r="R17248" t="s">
        <v>664</v>
      </c>
      <c r="S17248" t="s">
        <v>824</v>
      </c>
      <c r="T17248">
        <v>39</v>
      </c>
      <c r="U17248" s="26" t="str">
        <f t="shared" si="659"/>
        <v>2023.006P.Alphasatellitidae_rename_30sp.zip</v>
      </c>
    </row>
    <row r="17249" spans="1:21">
      <c r="A17249">
        <v>17248</v>
      </c>
      <c r="L17249" s="27" t="s">
        <v>867</v>
      </c>
      <c r="M17249" s="27" t="s">
        <v>873</v>
      </c>
      <c r="N17249" s="27" t="s">
        <v>878</v>
      </c>
      <c r="P17249" s="27" t="s">
        <v>18270</v>
      </c>
      <c r="Q17249" s="26" t="str">
        <f>HYPERLINK("https://ictv.global/taxonomy/taxondetails?taxnode_id=202508793&amp;ictv_id=ICTV202008793","ICTV202008793")</f>
        <v>ICTV202008793</v>
      </c>
      <c r="R17249" t="s">
        <v>664</v>
      </c>
      <c r="S17249" t="s">
        <v>824</v>
      </c>
      <c r="T17249">
        <v>39</v>
      </c>
      <c r="U17249" s="26" t="str">
        <f t="shared" si="659"/>
        <v>2023.006P.Alphasatellitidae_rename_30sp.zip</v>
      </c>
    </row>
    <row r="17250" spans="1:21">
      <c r="A17250">
        <v>17249</v>
      </c>
      <c r="L17250" s="27" t="s">
        <v>867</v>
      </c>
      <c r="M17250" s="27" t="s">
        <v>873</v>
      </c>
      <c r="N17250" s="27" t="s">
        <v>878</v>
      </c>
      <c r="P17250" s="27" t="s">
        <v>18271</v>
      </c>
      <c r="Q17250" s="26" t="str">
        <f>HYPERLINK("https://ictv.global/taxonomy/taxondetails?taxnode_id=202508795&amp;ictv_id=ICTV202008795","ICTV202008795")</f>
        <v>ICTV202008795</v>
      </c>
      <c r="R17250" t="s">
        <v>664</v>
      </c>
      <c r="S17250" t="s">
        <v>824</v>
      </c>
      <c r="T17250">
        <v>39</v>
      </c>
      <c r="U17250" s="26" t="str">
        <f t="shared" si="659"/>
        <v>2023.006P.Alphasatellitidae_rename_30sp.zip</v>
      </c>
    </row>
    <row r="17251" spans="1:21">
      <c r="A17251">
        <v>17250</v>
      </c>
      <c r="L17251" s="27" t="s">
        <v>867</v>
      </c>
      <c r="M17251" s="27" t="s">
        <v>873</v>
      </c>
      <c r="N17251" s="27" t="s">
        <v>878</v>
      </c>
      <c r="P17251" s="27" t="s">
        <v>18272</v>
      </c>
      <c r="Q17251" s="26" t="str">
        <f>HYPERLINK("https://ictv.global/taxonomy/taxondetails?taxnode_id=202508794&amp;ictv_id=ICTV202008794","ICTV202008794")</f>
        <v>ICTV202008794</v>
      </c>
      <c r="R17251" t="s">
        <v>664</v>
      </c>
      <c r="S17251" t="s">
        <v>824</v>
      </c>
      <c r="T17251">
        <v>39</v>
      </c>
      <c r="U17251" s="26" t="str">
        <f t="shared" si="659"/>
        <v>2023.006P.Alphasatellitidae_rename_30sp.zip</v>
      </c>
    </row>
    <row r="17252" spans="1:21">
      <c r="A17252">
        <v>17251</v>
      </c>
      <c r="L17252" s="27" t="s">
        <v>867</v>
      </c>
      <c r="M17252" s="27" t="s">
        <v>873</v>
      </c>
      <c r="N17252" s="27" t="s">
        <v>878</v>
      </c>
      <c r="P17252" s="27" t="s">
        <v>18273</v>
      </c>
      <c r="Q17252" s="26" t="str">
        <f>HYPERLINK("https://ictv.global/taxonomy/taxondetails?taxnode_id=202505729&amp;ictv_id=ICTV20175729","ICTV20175729")</f>
        <v>ICTV20175729</v>
      </c>
      <c r="R17252" t="s">
        <v>664</v>
      </c>
      <c r="S17252" t="s">
        <v>824</v>
      </c>
      <c r="T17252">
        <v>39</v>
      </c>
      <c r="U17252" s="26" t="str">
        <f t="shared" si="659"/>
        <v>2023.006P.Alphasatellitidae_rename_30sp.zip</v>
      </c>
    </row>
    <row r="17253" spans="1:21">
      <c r="A17253">
        <v>17252</v>
      </c>
      <c r="L17253" s="27" t="s">
        <v>867</v>
      </c>
      <c r="M17253" s="27" t="s">
        <v>873</v>
      </c>
      <c r="N17253" s="27" t="s">
        <v>879</v>
      </c>
      <c r="P17253" s="27" t="s">
        <v>18274</v>
      </c>
      <c r="Q17253" s="26" t="str">
        <f>HYPERLINK("https://ictv.global/taxonomy/taxondetails?taxnode_id=202505731&amp;ictv_id=ICTV20175731","ICTV20175731")</f>
        <v>ICTV20175731</v>
      </c>
      <c r="R17253" t="s">
        <v>664</v>
      </c>
      <c r="S17253" t="s">
        <v>824</v>
      </c>
      <c r="T17253">
        <v>39</v>
      </c>
      <c r="U17253" s="26" t="str">
        <f t="shared" si="659"/>
        <v>2023.006P.Alphasatellitidae_rename_30sp.zip</v>
      </c>
    </row>
    <row r="17254" spans="1:21">
      <c r="A17254">
        <v>17253</v>
      </c>
      <c r="L17254" s="27" t="s">
        <v>867</v>
      </c>
      <c r="M17254" s="27" t="s">
        <v>873</v>
      </c>
      <c r="N17254" s="27" t="s">
        <v>879</v>
      </c>
      <c r="P17254" s="27" t="s">
        <v>18275</v>
      </c>
      <c r="Q17254" s="26" t="str">
        <f>HYPERLINK("https://ictv.global/taxonomy/taxondetails?taxnode_id=202507296&amp;ictv_id=ICTV201907296","ICTV201907296")</f>
        <v>ICTV201907296</v>
      </c>
      <c r="R17254" t="s">
        <v>664</v>
      </c>
      <c r="S17254" t="s">
        <v>824</v>
      </c>
      <c r="T17254">
        <v>39</v>
      </c>
      <c r="U17254" s="26" t="str">
        <f t="shared" si="659"/>
        <v>2023.006P.Alphasatellitidae_rename_30sp.zip</v>
      </c>
    </row>
    <row r="17255" spans="1:21">
      <c r="A17255">
        <v>17254</v>
      </c>
      <c r="L17255" s="27" t="s">
        <v>867</v>
      </c>
      <c r="M17255" s="27" t="s">
        <v>873</v>
      </c>
      <c r="N17255" s="27" t="s">
        <v>880</v>
      </c>
      <c r="P17255" s="27" t="s">
        <v>18276</v>
      </c>
      <c r="Q17255" s="26" t="str">
        <f>HYPERLINK("https://ictv.global/taxonomy/taxondetails?taxnode_id=202505734&amp;ictv_id=ICTV20175734","ICTV20175734")</f>
        <v>ICTV20175734</v>
      </c>
      <c r="R17255" t="s">
        <v>664</v>
      </c>
      <c r="S17255" t="s">
        <v>824</v>
      </c>
      <c r="T17255">
        <v>39</v>
      </c>
      <c r="U17255" s="26" t="str">
        <f t="shared" si="659"/>
        <v>2023.006P.Alphasatellitidae_rename_30sp.zip</v>
      </c>
    </row>
    <row r="17256" spans="1:21">
      <c r="A17256">
        <v>17255</v>
      </c>
      <c r="L17256" s="27" t="s">
        <v>867</v>
      </c>
      <c r="M17256" s="27" t="s">
        <v>873</v>
      </c>
      <c r="N17256" s="27" t="s">
        <v>880</v>
      </c>
      <c r="P17256" s="27" t="s">
        <v>18277</v>
      </c>
      <c r="Q17256" s="26" t="str">
        <f>HYPERLINK("https://ictv.global/taxonomy/taxondetails?taxnode_id=202505733&amp;ictv_id=ICTV20175733","ICTV20175733")</f>
        <v>ICTV20175733</v>
      </c>
      <c r="R17256" t="s">
        <v>660</v>
      </c>
      <c r="S17256" t="s">
        <v>824</v>
      </c>
      <c r="T17256">
        <v>39</v>
      </c>
      <c r="U17256" s="26" t="str">
        <f t="shared" si="659"/>
        <v>2023.006P.Alphasatellitidae_rename_30sp.zip</v>
      </c>
    </row>
    <row r="17257" spans="1:21">
      <c r="A17257">
        <v>17256</v>
      </c>
      <c r="L17257" s="27" t="s">
        <v>867</v>
      </c>
      <c r="M17257" s="27" t="s">
        <v>873</v>
      </c>
      <c r="N17257" s="27" t="s">
        <v>880</v>
      </c>
      <c r="P17257" s="27" t="s">
        <v>18278</v>
      </c>
      <c r="Q17257" s="26" t="str">
        <f>HYPERLINK("https://ictv.global/taxonomy/taxondetails?taxnode_id=202505735&amp;ictv_id=ICTV20175735","ICTV20175735")</f>
        <v>ICTV20175735</v>
      </c>
      <c r="R17257" t="s">
        <v>664</v>
      </c>
      <c r="S17257" t="s">
        <v>824</v>
      </c>
      <c r="T17257">
        <v>39</v>
      </c>
      <c r="U17257" s="26" t="str">
        <f t="shared" si="659"/>
        <v>2023.006P.Alphasatellitidae_rename_30sp.zip</v>
      </c>
    </row>
    <row r="17258" spans="1:21">
      <c r="A17258">
        <v>17257</v>
      </c>
      <c r="L17258" s="27" t="s">
        <v>867</v>
      </c>
      <c r="M17258" s="27" t="s">
        <v>873</v>
      </c>
      <c r="N17258" s="27" t="s">
        <v>880</v>
      </c>
      <c r="P17258" s="27" t="s">
        <v>18279</v>
      </c>
      <c r="Q17258" s="26" t="str">
        <f>HYPERLINK("https://ictv.global/taxonomy/taxondetails?taxnode_id=202507295&amp;ictv_id=ICTV201907295","ICTV201907295")</f>
        <v>ICTV201907295</v>
      </c>
      <c r="R17258" t="s">
        <v>664</v>
      </c>
      <c r="S17258" t="s">
        <v>824</v>
      </c>
      <c r="T17258">
        <v>39</v>
      </c>
      <c r="U17258" s="26" t="str">
        <f t="shared" si="659"/>
        <v>2023.006P.Alphasatellitidae_rename_30sp.zip</v>
      </c>
    </row>
    <row r="17259" spans="1:21">
      <c r="A17259">
        <v>17258</v>
      </c>
      <c r="L17259" s="27" t="s">
        <v>867</v>
      </c>
      <c r="M17259" s="27" t="s">
        <v>3654</v>
      </c>
      <c r="N17259" s="27" t="s">
        <v>874</v>
      </c>
      <c r="P17259" s="27" t="s">
        <v>18280</v>
      </c>
      <c r="Q17259" s="26" t="str">
        <f>HYPERLINK("https://ictv.global/taxonomy/taxondetails?taxnode_id=202505712&amp;ictv_id=ICTV20175712","ICTV20175712")</f>
        <v>ICTV20175712</v>
      </c>
      <c r="R17259" t="s">
        <v>664</v>
      </c>
      <c r="S17259" t="s">
        <v>824</v>
      </c>
      <c r="T17259">
        <v>39</v>
      </c>
      <c r="U17259" s="26" t="str">
        <f t="shared" si="659"/>
        <v>2023.006P.Alphasatellitidae_rename_30sp.zip</v>
      </c>
    </row>
    <row r="17260" spans="1:21">
      <c r="A17260">
        <v>17259</v>
      </c>
      <c r="L17260" s="27" t="s">
        <v>867</v>
      </c>
      <c r="M17260" s="27" t="s">
        <v>3654</v>
      </c>
      <c r="N17260" s="27" t="s">
        <v>3655</v>
      </c>
      <c r="P17260" s="27" t="s">
        <v>18281</v>
      </c>
      <c r="Q17260" s="26" t="str">
        <f>HYPERLINK("https://ictv.global/taxonomy/taxondetails?taxnode_id=202505738&amp;ictv_id=ICTV20175738","ICTV20175738")</f>
        <v>ICTV20175738</v>
      </c>
      <c r="R17260" t="s">
        <v>660</v>
      </c>
      <c r="S17260" t="s">
        <v>824</v>
      </c>
      <c r="T17260">
        <v>39</v>
      </c>
      <c r="U17260" s="26" t="str">
        <f t="shared" si="659"/>
        <v>2023.006P.Alphasatellitidae_rename_30sp.zip</v>
      </c>
    </row>
    <row r="17261" spans="1:21">
      <c r="A17261">
        <v>17260</v>
      </c>
      <c r="L17261" s="27" t="s">
        <v>867</v>
      </c>
      <c r="M17261" s="27" t="s">
        <v>3654</v>
      </c>
      <c r="N17261" s="27" t="s">
        <v>3655</v>
      </c>
      <c r="P17261" s="27" t="s">
        <v>18282</v>
      </c>
      <c r="Q17261" s="26" t="str">
        <f>HYPERLINK("https://ictv.global/taxonomy/taxondetails?taxnode_id=202508765&amp;ictv_id=ICTV202008765","ICTV202008765")</f>
        <v>ICTV202008765</v>
      </c>
      <c r="R17261" t="s">
        <v>660</v>
      </c>
      <c r="S17261" t="s">
        <v>824</v>
      </c>
      <c r="T17261">
        <v>39</v>
      </c>
      <c r="U17261" s="26" t="str">
        <f t="shared" si="659"/>
        <v>2023.006P.Alphasatellitidae_rename_30sp.zip</v>
      </c>
    </row>
    <row r="17262" spans="1:21">
      <c r="A17262">
        <v>17261</v>
      </c>
      <c r="L17262" s="27" t="s">
        <v>867</v>
      </c>
      <c r="M17262" s="27" t="s">
        <v>3654</v>
      </c>
      <c r="N17262" s="27" t="s">
        <v>3655</v>
      </c>
      <c r="P17262" s="27" t="s">
        <v>18283</v>
      </c>
      <c r="Q17262" s="26" t="str">
        <f>HYPERLINK("https://ictv.global/taxonomy/taxondetails?taxnode_id=202508763&amp;ictv_id=ICTV202008763","ICTV202008763")</f>
        <v>ICTV202008763</v>
      </c>
      <c r="R17262" t="s">
        <v>660</v>
      </c>
      <c r="S17262" t="s">
        <v>824</v>
      </c>
      <c r="T17262">
        <v>39</v>
      </c>
      <c r="U17262" s="26" t="str">
        <f t="shared" si="659"/>
        <v>2023.006P.Alphasatellitidae_rename_30sp.zip</v>
      </c>
    </row>
    <row r="17263" spans="1:21">
      <c r="A17263">
        <v>17262</v>
      </c>
      <c r="L17263" s="27" t="s">
        <v>867</v>
      </c>
      <c r="M17263" s="27" t="s">
        <v>3654</v>
      </c>
      <c r="N17263" s="27" t="s">
        <v>3655</v>
      </c>
      <c r="P17263" s="27" t="s">
        <v>18284</v>
      </c>
      <c r="Q17263" s="26" t="str">
        <f>HYPERLINK("https://ictv.global/taxonomy/taxondetails?taxnode_id=202508764&amp;ictv_id=ICTV202008764","ICTV202008764")</f>
        <v>ICTV202008764</v>
      </c>
      <c r="R17263" t="s">
        <v>660</v>
      </c>
      <c r="S17263" t="s">
        <v>824</v>
      </c>
      <c r="T17263">
        <v>39</v>
      </c>
      <c r="U17263" s="26" t="str">
        <f t="shared" si="659"/>
        <v>2023.006P.Alphasatellitidae_rename_30sp.zip</v>
      </c>
    </row>
    <row r="17264" spans="1:21">
      <c r="A17264">
        <v>17263</v>
      </c>
      <c r="L17264" s="27" t="s">
        <v>867</v>
      </c>
      <c r="M17264" s="27" t="s">
        <v>3654</v>
      </c>
      <c r="N17264" s="27" t="s">
        <v>3656</v>
      </c>
      <c r="P17264" s="27" t="s">
        <v>18285</v>
      </c>
      <c r="Q17264" s="26" t="str">
        <f>HYPERLINK("https://ictv.global/taxonomy/taxondetails?taxnode_id=202508767&amp;ictv_id=ICTV202008767","ICTV202008767")</f>
        <v>ICTV202008767</v>
      </c>
      <c r="R17264" t="s">
        <v>660</v>
      </c>
      <c r="S17264" t="s">
        <v>824</v>
      </c>
      <c r="T17264">
        <v>39</v>
      </c>
      <c r="U17264" s="26" t="str">
        <f t="shared" si="659"/>
        <v>2023.006P.Alphasatellitidae_rename_30sp.zip</v>
      </c>
    </row>
    <row r="17265" spans="1:21">
      <c r="A17265">
        <v>17264</v>
      </c>
      <c r="L17265" s="27" t="s">
        <v>867</v>
      </c>
      <c r="M17265" s="27" t="s">
        <v>3654</v>
      </c>
      <c r="N17265" s="27" t="s">
        <v>3657</v>
      </c>
      <c r="P17265" s="27" t="s">
        <v>18286</v>
      </c>
      <c r="Q17265" s="26" t="str">
        <f>HYPERLINK("https://ictv.global/taxonomy/taxondetails?taxnode_id=202508769&amp;ictv_id=ICTV202008769","ICTV202008769")</f>
        <v>ICTV202008769</v>
      </c>
      <c r="R17265" t="s">
        <v>664</v>
      </c>
      <c r="S17265" t="s">
        <v>824</v>
      </c>
      <c r="T17265">
        <v>39</v>
      </c>
      <c r="U17265" s="26" t="str">
        <f t="shared" si="659"/>
        <v>2023.006P.Alphasatellitidae_rename_30sp.zip</v>
      </c>
    </row>
    <row r="17266" spans="1:21">
      <c r="A17266">
        <v>17265</v>
      </c>
      <c r="L17266" s="27" t="s">
        <v>867</v>
      </c>
      <c r="M17266" s="27" t="s">
        <v>3654</v>
      </c>
      <c r="N17266" s="27" t="s">
        <v>3658</v>
      </c>
      <c r="P17266" s="27" t="s">
        <v>18287</v>
      </c>
      <c r="Q17266" s="26" t="str">
        <f>HYPERLINK("https://ictv.global/taxonomy/taxondetails?taxnode_id=202505714&amp;ictv_id=ICTV20175714","ICTV20175714")</f>
        <v>ICTV20175714</v>
      </c>
      <c r="R17266" t="s">
        <v>664</v>
      </c>
      <c r="S17266" t="s">
        <v>824</v>
      </c>
      <c r="T17266">
        <v>39</v>
      </c>
      <c r="U17266" s="26" t="str">
        <f t="shared" si="659"/>
        <v>2023.006P.Alphasatellitidae_rename_30sp.zip</v>
      </c>
    </row>
    <row r="17267" spans="1:21">
      <c r="A17267">
        <v>17266</v>
      </c>
      <c r="L17267" s="27" t="s">
        <v>867</v>
      </c>
      <c r="M17267" s="27" t="s">
        <v>3654</v>
      </c>
      <c r="N17267" s="27" t="s">
        <v>3658</v>
      </c>
      <c r="P17267" s="27" t="s">
        <v>18288</v>
      </c>
      <c r="Q17267" s="26" t="str">
        <f>HYPERLINK("https://ictv.global/taxonomy/taxondetails?taxnode_id=202505713&amp;ictv_id=ICTV20175713","ICTV20175713")</f>
        <v>ICTV20175713</v>
      </c>
      <c r="R17267" t="s">
        <v>664</v>
      </c>
      <c r="S17267" t="s">
        <v>824</v>
      </c>
      <c r="T17267">
        <v>39</v>
      </c>
      <c r="U17267" s="26" t="str">
        <f t="shared" si="659"/>
        <v>2023.006P.Alphasatellitidae_rename_30sp.zip</v>
      </c>
    </row>
    <row r="17268" spans="1:21">
      <c r="A17268">
        <v>17267</v>
      </c>
      <c r="L17268" s="27" t="s">
        <v>867</v>
      </c>
      <c r="M17268" s="27" t="s">
        <v>3654</v>
      </c>
      <c r="N17268" s="27" t="s">
        <v>3658</v>
      </c>
      <c r="P17268" s="27" t="s">
        <v>18289</v>
      </c>
      <c r="Q17268" s="26" t="str">
        <f>HYPERLINK("https://ictv.global/taxonomy/taxondetails?taxnode_id=202505711&amp;ictv_id=ICTV20175711","ICTV20175711")</f>
        <v>ICTV20175711</v>
      </c>
      <c r="R17268" t="s">
        <v>664</v>
      </c>
      <c r="S17268" t="s">
        <v>824</v>
      </c>
      <c r="T17268">
        <v>39</v>
      </c>
      <c r="U17268" s="26" t="str">
        <f t="shared" si="659"/>
        <v>2023.006P.Alphasatellitidae_rename_30sp.zip</v>
      </c>
    </row>
    <row r="17269" spans="1:21">
      <c r="A17269">
        <v>17268</v>
      </c>
      <c r="L17269" s="27" t="s">
        <v>255</v>
      </c>
      <c r="N17269" s="27" t="s">
        <v>3659</v>
      </c>
      <c r="P17269" s="27" t="s">
        <v>18290</v>
      </c>
      <c r="Q17269" s="26" t="str">
        <f>HYPERLINK("https://ictv.global/taxonomy/taxondetails?taxnode_id=202509184&amp;ictv_id=ICTV202009184","ICTV202009184")</f>
        <v>ICTV202009184</v>
      </c>
      <c r="R17269" t="s">
        <v>579</v>
      </c>
      <c r="S17269" t="s">
        <v>824</v>
      </c>
      <c r="T17269">
        <v>39</v>
      </c>
      <c r="U17269" s="26" t="str">
        <f>HYPERLINK("https://ictv.global/ictv/proposals/2023.001A.Archaeal_binomials.zip","2023.001A.Archaeal_binomials.zip")</f>
        <v>2023.001A.Archaeal_binomials.zip</v>
      </c>
    </row>
    <row r="17270" spans="1:21">
      <c r="A17270">
        <v>17269</v>
      </c>
      <c r="L17270" s="27" t="s">
        <v>255</v>
      </c>
      <c r="N17270" s="27" t="s">
        <v>3659</v>
      </c>
      <c r="P17270" s="27" t="s">
        <v>18291</v>
      </c>
      <c r="Q17270" s="26" t="str">
        <f>HYPERLINK("https://ictv.global/taxonomy/taxondetails?taxnode_id=202502484&amp;ictv_id=ICTV20083363","ICTV20083363")</f>
        <v>ICTV20083363</v>
      </c>
      <c r="R17270" t="s">
        <v>579</v>
      </c>
      <c r="S17270" t="s">
        <v>824</v>
      </c>
      <c r="T17270">
        <v>39</v>
      </c>
      <c r="U17270" s="26" t="str">
        <f>HYPERLINK("https://ictv.global/ictv/proposals/2023.001A.Archaeal_binomials.zip","2023.001A.Archaeal_binomials.zip")</f>
        <v>2023.001A.Archaeal_binomials.zip</v>
      </c>
    </row>
    <row r="17271" spans="1:21">
      <c r="A17271">
        <v>17270</v>
      </c>
      <c r="L17271" s="27" t="s">
        <v>255</v>
      </c>
      <c r="N17271" s="27" t="s">
        <v>3659</v>
      </c>
      <c r="P17271" s="27" t="s">
        <v>18292</v>
      </c>
      <c r="Q17271" s="26" t="str">
        <f>HYPERLINK("https://ictv.global/taxonomy/taxondetails?taxnode_id=202509183&amp;ictv_id=ICTV202009183","ICTV202009183")</f>
        <v>ICTV202009183</v>
      </c>
      <c r="R17271" t="s">
        <v>579</v>
      </c>
      <c r="S17271" t="s">
        <v>824</v>
      </c>
      <c r="T17271">
        <v>39</v>
      </c>
      <c r="U17271" s="26" t="str">
        <f>HYPERLINK("https://ictv.global/ictv/proposals/2023.001A.Archaeal_binomials.zip","2023.001A.Archaeal_binomials.zip")</f>
        <v>2023.001A.Archaeal_binomials.zip</v>
      </c>
    </row>
    <row r="17272" spans="1:21">
      <c r="A17272">
        <v>17271</v>
      </c>
      <c r="L17272" s="27" t="s">
        <v>156</v>
      </c>
      <c r="N17272" s="27" t="s">
        <v>157</v>
      </c>
      <c r="P17272" s="27" t="s">
        <v>18312</v>
      </c>
      <c r="Q17272" s="26" t="str">
        <f>HYPERLINK("https://ictv.global/taxonomy/taxondetails?taxnode_id=202502648&amp;ictv_id=ICTV19911890","ICTV19911890")</f>
        <v>ICTV19911890</v>
      </c>
      <c r="R17272" t="s">
        <v>1106</v>
      </c>
      <c r="S17272" t="s">
        <v>824</v>
      </c>
      <c r="T17272">
        <v>39</v>
      </c>
      <c r="U17272" s="26" t="str">
        <f>HYPERLINK("https://ictv.global/ictv/proposals/2023.032P.Avsunviroidae_and_Pospiviroidae_rename_sp.zip","2023.032P.Avsunviroidae_and_Pospiviroidae_rename_sp.zip")</f>
        <v>2023.032P.Avsunviroidae_and_Pospiviroidae_rename_sp.zip</v>
      </c>
    </row>
    <row r="17273" spans="1:21">
      <c r="A17273">
        <v>17272</v>
      </c>
      <c r="L17273" s="27" t="s">
        <v>156</v>
      </c>
      <c r="N17273" s="27" t="s">
        <v>158</v>
      </c>
      <c r="P17273" s="27" t="s">
        <v>18313</v>
      </c>
      <c r="Q17273" s="26" t="str">
        <f>HYPERLINK("https://ictv.global/taxonomy/taxondetails?taxnode_id=202502650&amp;ictv_id=ICTV20083401","ICTV20083401")</f>
        <v>ICTV20083401</v>
      </c>
      <c r="R17273" t="s">
        <v>1106</v>
      </c>
      <c r="S17273" t="s">
        <v>824</v>
      </c>
      <c r="T17273">
        <v>39</v>
      </c>
      <c r="U17273" s="26" t="str">
        <f>HYPERLINK("https://ictv.global/ictv/proposals/2023.032P.Avsunviroidae_and_Pospiviroidae_rename_sp.zip","2023.032P.Avsunviroidae_and_Pospiviroidae_rename_sp.zip")</f>
        <v>2023.032P.Avsunviroidae_and_Pospiviroidae_rename_sp.zip</v>
      </c>
    </row>
    <row r="17274" spans="1:21">
      <c r="A17274">
        <v>17273</v>
      </c>
      <c r="L17274" s="27" t="s">
        <v>156</v>
      </c>
      <c r="N17274" s="27" t="s">
        <v>159</v>
      </c>
      <c r="P17274" s="27" t="s">
        <v>18314</v>
      </c>
      <c r="Q17274" s="26" t="str">
        <f>HYPERLINK("https://ictv.global/taxonomy/taxondetails?taxnode_id=202502653&amp;ictv_id=ICTV19911904","ICTV19911904")</f>
        <v>ICTV19911904</v>
      </c>
      <c r="R17274" t="s">
        <v>1106</v>
      </c>
      <c r="S17274" t="s">
        <v>824</v>
      </c>
      <c r="T17274">
        <v>39</v>
      </c>
      <c r="U17274" s="26" t="str">
        <f>HYPERLINK("https://ictv.global/ictv/proposals/2023.032P.Avsunviroidae_and_Pospiviroidae_rename_sp.zip","2023.032P.Avsunviroidae_and_Pospiviroidae_rename_sp.zip")</f>
        <v>2023.032P.Avsunviroidae_and_Pospiviroidae_rename_sp.zip</v>
      </c>
    </row>
    <row r="17275" spans="1:21">
      <c r="A17275">
        <v>17274</v>
      </c>
      <c r="L17275" s="27" t="s">
        <v>156</v>
      </c>
      <c r="N17275" s="27" t="s">
        <v>159</v>
      </c>
      <c r="P17275" s="27" t="s">
        <v>18315</v>
      </c>
      <c r="Q17275" s="26" t="str">
        <f>HYPERLINK("https://ictv.global/taxonomy/taxondetails?taxnode_id=202502652&amp;ictv_id=ICTV19980900","ICTV19980900")</f>
        <v>ICTV19980900</v>
      </c>
      <c r="R17275" t="s">
        <v>1106</v>
      </c>
      <c r="S17275" t="s">
        <v>824</v>
      </c>
      <c r="T17275">
        <v>39</v>
      </c>
      <c r="U17275" s="26" t="str">
        <f>HYPERLINK("https://ictv.global/ictv/proposals/2023.032P.Avsunviroidae_and_Pospiviroidae_rename_sp.zip","2023.032P.Avsunviroidae_and_Pospiviroidae_rename_sp.zip")</f>
        <v>2023.032P.Avsunviroidae_and_Pospiviroidae_rename_sp.zip</v>
      </c>
    </row>
    <row r="17276" spans="1:21">
      <c r="A17276">
        <v>17275</v>
      </c>
      <c r="L17276" s="27" t="s">
        <v>156</v>
      </c>
      <c r="N17276" s="27" t="s">
        <v>159</v>
      </c>
      <c r="P17276" s="27" t="s">
        <v>18316</v>
      </c>
      <c r="Q17276" s="26" t="str">
        <f>HYPERLINK("https://ictv.global/taxonomy/taxondetails?taxnode_id=202507651&amp;ictv_id=ICTV201907651","ICTV201907651")</f>
        <v>ICTV201907651</v>
      </c>
      <c r="R17276" t="s">
        <v>1106</v>
      </c>
      <c r="S17276" t="s">
        <v>824</v>
      </c>
      <c r="T17276">
        <v>39</v>
      </c>
      <c r="U17276" s="26" t="str">
        <f>HYPERLINK("https://ictv.global/ictv/proposals/2023.032P.Avsunviroidae_and_Pospiviroidae_rename_sp.zip","2023.032P.Avsunviroidae_and_Pospiviroidae_rename_sp.zip")</f>
        <v>2023.032P.Avsunviroidae_and_Pospiviroidae_rename_sp.zip</v>
      </c>
    </row>
    <row r="17277" spans="1:21">
      <c r="A17277">
        <v>17276</v>
      </c>
      <c r="L17277" s="27" t="s">
        <v>11222</v>
      </c>
      <c r="N17277" s="27" t="s">
        <v>11223</v>
      </c>
      <c r="P17277" s="27" t="s">
        <v>11214</v>
      </c>
      <c r="Q17277" s="26" t="str">
        <f>HYPERLINK("https://ictv.global/taxonomy/taxondetails?taxnode_id=202515076&amp;ictv_id=ICTV202215076","ICTV202215076")</f>
        <v>ICTV202215076</v>
      </c>
      <c r="R17277" t="s">
        <v>579</v>
      </c>
      <c r="S17277" t="s">
        <v>823</v>
      </c>
      <c r="T17277">
        <v>38</v>
      </c>
      <c r="U17277" s="26" t="str">
        <f>HYPERLINK("https://ictv.global/ictv/proposals/2022.001G.GTA_viriforms.zip","2022.001G.GTA_viriforms.zip")</f>
        <v>2022.001G.GTA_viriforms.zip</v>
      </c>
    </row>
    <row r="17278" spans="1:21">
      <c r="A17278">
        <v>17277</v>
      </c>
      <c r="L17278" s="27" t="s">
        <v>21075</v>
      </c>
      <c r="N17278" s="27" t="s">
        <v>21076</v>
      </c>
      <c r="P17278" s="27" t="s">
        <v>21077</v>
      </c>
      <c r="Q17278" s="26" t="str">
        <f>HYPERLINK("https://ictv.global/taxonomy/taxondetails?taxnode_id=202522025&amp;ictv_id=ICTV202522025","ICTV202522025")</f>
        <v>ICTV202522025</v>
      </c>
      <c r="R17278" t="s">
        <v>579</v>
      </c>
      <c r="S17278" t="s">
        <v>823</v>
      </c>
      <c r="T17278">
        <v>41</v>
      </c>
      <c r="U17278" s="26" t="str">
        <f>HYPERLINK("https://ictv.global/ictv/proposals/2025.001A.Crust_viruses_6nf.zip","2025.001A.Crust_viruses_6nf.zip")</f>
        <v>2025.001A.Crust_viruses_6nf.zip</v>
      </c>
    </row>
    <row r="17279" spans="1:21">
      <c r="A17279">
        <v>17278</v>
      </c>
      <c r="L17279" s="27" t="s">
        <v>21075</v>
      </c>
      <c r="N17279" s="27" t="s">
        <v>21076</v>
      </c>
      <c r="P17279" s="27" t="s">
        <v>21078</v>
      </c>
      <c r="Q17279" s="26" t="str">
        <f>HYPERLINK("https://ictv.global/taxonomy/taxondetails?taxnode_id=202522026&amp;ictv_id=ICTV202522026","ICTV202522026")</f>
        <v>ICTV202522026</v>
      </c>
      <c r="R17279" t="s">
        <v>579</v>
      </c>
      <c r="S17279" t="s">
        <v>823</v>
      </c>
      <c r="T17279">
        <v>41</v>
      </c>
      <c r="U17279" s="26" t="str">
        <f>HYPERLINK("https://ictv.global/ictv/proposals/2025.001A.Crust_viruses_6nf.zip","2025.001A.Crust_viruses_6nf.zip")</f>
        <v>2025.001A.Crust_viruses_6nf.zip</v>
      </c>
    </row>
    <row r="17280" spans="1:21">
      <c r="A17280">
        <v>17279</v>
      </c>
      <c r="L17280" s="27" t="s">
        <v>169</v>
      </c>
      <c r="N17280" s="27" t="s">
        <v>170</v>
      </c>
      <c r="P17280" s="27" t="s">
        <v>18317</v>
      </c>
      <c r="Q17280" s="26" t="str">
        <f>HYPERLINK("https://ictv.global/taxonomy/taxondetails?taxnode_id=202502740&amp;ictv_id=ICTV20093298","ICTV20093298")</f>
        <v>ICTV20093298</v>
      </c>
      <c r="R17280" t="s">
        <v>579</v>
      </c>
      <c r="S17280" t="s">
        <v>824</v>
      </c>
      <c r="T17280">
        <v>39</v>
      </c>
      <c r="U17280" s="26" t="str">
        <f>HYPERLINK("https://ictv.global/ictv/proposals/2023.001A.Archaeal_binomials.zip","2023.001A.Archaeal_binomials.zip")</f>
        <v>2023.001A.Archaeal_binomials.zip</v>
      </c>
    </row>
    <row r="17281" spans="1:21">
      <c r="A17281">
        <v>17280</v>
      </c>
      <c r="L17281" s="27" t="s">
        <v>11224</v>
      </c>
      <c r="N17281" s="27" t="s">
        <v>11225</v>
      </c>
      <c r="P17281" s="27" t="s">
        <v>11215</v>
      </c>
      <c r="Q17281" s="26" t="str">
        <f>HYPERLINK("https://ictv.global/taxonomy/taxondetails?taxnode_id=202515077&amp;ictv_id=ICTV202215077","ICTV202215077")</f>
        <v>ICTV202215077</v>
      </c>
      <c r="R17281" t="s">
        <v>579</v>
      </c>
      <c r="S17281" t="s">
        <v>823</v>
      </c>
      <c r="T17281">
        <v>38</v>
      </c>
      <c r="U17281" s="26" t="str">
        <f>HYPERLINK("https://ictv.global/ictv/proposals/2022.001G.GTA_viriforms.zip","2022.001G.GTA_viriforms.zip")</f>
        <v>2022.001G.GTA_viriforms.zip</v>
      </c>
    </row>
    <row r="17282" spans="1:21">
      <c r="A17282">
        <v>17281</v>
      </c>
      <c r="L17282" s="27" t="s">
        <v>14</v>
      </c>
      <c r="N17282" s="27" t="s">
        <v>15</v>
      </c>
      <c r="P17282" s="27" t="s">
        <v>18318</v>
      </c>
      <c r="Q17282" s="26" t="str">
        <f>HYPERLINK("https://ictv.global/taxonomy/taxondetails?taxnode_id=202502977&amp;ictv_id=ICTV20115521","ICTV20115521")</f>
        <v>ICTV20115521</v>
      </c>
      <c r="R17282" t="s">
        <v>579</v>
      </c>
      <c r="S17282" t="s">
        <v>824</v>
      </c>
      <c r="T17282">
        <v>39</v>
      </c>
      <c r="U17282" s="26" t="str">
        <f>HYPERLINK("https://ictv.global/ictv/proposals/2023.001A.Archaeal_binomials.zip","2023.001A.Archaeal_binomials.zip")</f>
        <v>2023.001A.Archaeal_binomials.zip</v>
      </c>
    </row>
    <row r="17283" spans="1:21">
      <c r="A17283">
        <v>17282</v>
      </c>
      <c r="L17283" s="27" t="s">
        <v>20701</v>
      </c>
      <c r="N17283" s="27" t="s">
        <v>20702</v>
      </c>
      <c r="P17283" s="27" t="s">
        <v>20703</v>
      </c>
      <c r="Q17283" s="26" t="str">
        <f>HYPERLINK("https://ictv.global/taxonomy/taxondetails?taxnode_id=202520246&amp;ictv_id=ICTV202420246","ICTV202420246")</f>
        <v>ICTV202420246</v>
      </c>
      <c r="R17283" t="s">
        <v>579</v>
      </c>
      <c r="S17283" t="s">
        <v>823</v>
      </c>
      <c r="T17283">
        <v>40</v>
      </c>
      <c r="U17283" s="26" t="str">
        <f>HYPERLINK("https://ictv.global/ictv/proposals/2024.007A.Eurekaviridae_newfam.zip","2024.007A.Eurekaviridae_newfam.zip")</f>
        <v>2024.007A.Eurekaviridae_newfam.zip</v>
      </c>
    </row>
    <row r="17284" spans="1:21">
      <c r="A17284">
        <v>17283</v>
      </c>
      <c r="L17284" s="27" t="s">
        <v>460</v>
      </c>
      <c r="N17284" s="27" t="s">
        <v>480</v>
      </c>
      <c r="P17284" s="27" t="s">
        <v>18319</v>
      </c>
      <c r="Q17284" s="26" t="str">
        <f>HYPERLINK("https://ictv.global/taxonomy/taxondetails?taxnode_id=202503161&amp;ictv_id=ICTV20125798","ICTV20125798")</f>
        <v>ICTV20125798</v>
      </c>
      <c r="R17284" t="s">
        <v>579</v>
      </c>
      <c r="S17284" t="s">
        <v>824</v>
      </c>
      <c r="T17284">
        <v>39</v>
      </c>
      <c r="U17284" s="26" t="str">
        <f t="shared" ref="U17284:U17298" si="660">HYPERLINK("https://ictv.global/ictv/proposals/2023.001A.Archaeal_binomials.zip","2023.001A.Archaeal_binomials.zip")</f>
        <v>2023.001A.Archaeal_binomials.zip</v>
      </c>
    </row>
    <row r="17285" spans="1:21">
      <c r="A17285">
        <v>17284</v>
      </c>
      <c r="L17285" s="27" t="s">
        <v>460</v>
      </c>
      <c r="N17285" s="27" t="s">
        <v>480</v>
      </c>
      <c r="P17285" s="27" t="s">
        <v>18320</v>
      </c>
      <c r="Q17285" s="26" t="str">
        <f>HYPERLINK("https://ictv.global/taxonomy/taxondetails?taxnode_id=202503159&amp;ictv_id=ICTV19901199","ICTV19901199")</f>
        <v>ICTV19901199</v>
      </c>
      <c r="R17285" t="s">
        <v>579</v>
      </c>
      <c r="S17285" t="s">
        <v>824</v>
      </c>
      <c r="T17285">
        <v>39</v>
      </c>
      <c r="U17285" s="26" t="str">
        <f t="shared" si="660"/>
        <v>2023.001A.Archaeal_binomials.zip</v>
      </c>
    </row>
    <row r="17286" spans="1:21">
      <c r="A17286">
        <v>17285</v>
      </c>
      <c r="L17286" s="27" t="s">
        <v>460</v>
      </c>
      <c r="N17286" s="27" t="s">
        <v>480</v>
      </c>
      <c r="P17286" s="27" t="s">
        <v>18321</v>
      </c>
      <c r="Q17286" s="26" t="str">
        <f>HYPERLINK("https://ictv.global/taxonomy/taxondetails?taxnode_id=202503163&amp;ictv_id=ICTV20125800","ICTV20125800")</f>
        <v>ICTV20125800</v>
      </c>
      <c r="R17286" t="s">
        <v>579</v>
      </c>
      <c r="S17286" t="s">
        <v>824</v>
      </c>
      <c r="T17286">
        <v>39</v>
      </c>
      <c r="U17286" s="26" t="str">
        <f t="shared" si="660"/>
        <v>2023.001A.Archaeal_binomials.zip</v>
      </c>
    </row>
    <row r="17287" spans="1:21">
      <c r="A17287">
        <v>17286</v>
      </c>
      <c r="L17287" s="27" t="s">
        <v>460</v>
      </c>
      <c r="N17287" s="27" t="s">
        <v>480</v>
      </c>
      <c r="P17287" s="27" t="s">
        <v>18322</v>
      </c>
      <c r="Q17287" s="26" t="str">
        <f>HYPERLINK("https://ictv.global/taxonomy/taxondetails?taxnode_id=202503162&amp;ictv_id=ICTV20125799","ICTV20125799")</f>
        <v>ICTV20125799</v>
      </c>
      <c r="R17287" t="s">
        <v>579</v>
      </c>
      <c r="S17287" t="s">
        <v>824</v>
      </c>
      <c r="T17287">
        <v>39</v>
      </c>
      <c r="U17287" s="26" t="str">
        <f t="shared" si="660"/>
        <v>2023.001A.Archaeal_binomials.zip</v>
      </c>
    </row>
    <row r="17288" spans="1:21">
      <c r="A17288">
        <v>17287</v>
      </c>
      <c r="L17288" s="27" t="s">
        <v>460</v>
      </c>
      <c r="N17288" s="27" t="s">
        <v>480</v>
      </c>
      <c r="P17288" s="27" t="s">
        <v>18323</v>
      </c>
      <c r="Q17288" s="26" t="str">
        <f>HYPERLINK("https://ictv.global/taxonomy/taxondetails?taxnode_id=202503165&amp;ictv_id=ICTV20125802","ICTV20125802")</f>
        <v>ICTV20125802</v>
      </c>
      <c r="R17288" t="s">
        <v>579</v>
      </c>
      <c r="S17288" t="s">
        <v>824</v>
      </c>
      <c r="T17288">
        <v>39</v>
      </c>
      <c r="U17288" s="26" t="str">
        <f t="shared" si="660"/>
        <v>2023.001A.Archaeal_binomials.zip</v>
      </c>
    </row>
    <row r="17289" spans="1:21">
      <c r="A17289">
        <v>17288</v>
      </c>
      <c r="L17289" s="27" t="s">
        <v>460</v>
      </c>
      <c r="N17289" s="27" t="s">
        <v>480</v>
      </c>
      <c r="P17289" s="27" t="s">
        <v>18324</v>
      </c>
      <c r="Q17289" s="26" t="str">
        <f>HYPERLINK("https://ictv.global/taxonomy/taxondetails?taxnode_id=202503160&amp;ictv_id=ICTV20125797","ICTV20125797")</f>
        <v>ICTV20125797</v>
      </c>
      <c r="R17289" t="s">
        <v>579</v>
      </c>
      <c r="S17289" t="s">
        <v>824</v>
      </c>
      <c r="T17289">
        <v>39</v>
      </c>
      <c r="U17289" s="26" t="str">
        <f t="shared" si="660"/>
        <v>2023.001A.Archaeal_binomials.zip</v>
      </c>
    </row>
    <row r="17290" spans="1:21">
      <c r="A17290">
        <v>17289</v>
      </c>
      <c r="L17290" s="27" t="s">
        <v>460</v>
      </c>
      <c r="N17290" s="27" t="s">
        <v>480</v>
      </c>
      <c r="P17290" s="27" t="s">
        <v>18325</v>
      </c>
      <c r="Q17290" s="26" t="str">
        <f>HYPERLINK("https://ictv.global/taxonomy/taxondetails?taxnode_id=202503164&amp;ictv_id=ICTV20125801","ICTV20125801")</f>
        <v>ICTV20125801</v>
      </c>
      <c r="R17290" t="s">
        <v>579</v>
      </c>
      <c r="S17290" t="s">
        <v>824</v>
      </c>
      <c r="T17290">
        <v>39</v>
      </c>
      <c r="U17290" s="26" t="str">
        <f t="shared" si="660"/>
        <v>2023.001A.Archaeal_binomials.zip</v>
      </c>
    </row>
    <row r="17291" spans="1:21">
      <c r="A17291">
        <v>17290</v>
      </c>
      <c r="L17291" s="27" t="s">
        <v>460</v>
      </c>
      <c r="N17291" s="27" t="s">
        <v>481</v>
      </c>
      <c r="P17291" s="27" t="s">
        <v>18326</v>
      </c>
      <c r="Q17291" s="26" t="str">
        <f>HYPERLINK("https://ictv.global/taxonomy/taxondetails?taxnode_id=202503168&amp;ictv_id=ICTV20125803","ICTV20125803")</f>
        <v>ICTV20125803</v>
      </c>
      <c r="R17291" t="s">
        <v>579</v>
      </c>
      <c r="S17291" t="s">
        <v>824</v>
      </c>
      <c r="T17291">
        <v>39</v>
      </c>
      <c r="U17291" s="26" t="str">
        <f t="shared" si="660"/>
        <v>2023.001A.Archaeal_binomials.zip</v>
      </c>
    </row>
    <row r="17292" spans="1:21">
      <c r="A17292">
        <v>17291</v>
      </c>
      <c r="L17292" s="27" t="s">
        <v>460</v>
      </c>
      <c r="N17292" s="27" t="s">
        <v>481</v>
      </c>
      <c r="P17292" s="27" t="s">
        <v>18327</v>
      </c>
      <c r="Q17292" s="26" t="str">
        <f>HYPERLINK("https://ictv.global/taxonomy/taxondetails?taxnode_id=202503167&amp;ictv_id=ICTV20125931","ICTV20125931")</f>
        <v>ICTV20125931</v>
      </c>
      <c r="R17292" t="s">
        <v>579</v>
      </c>
      <c r="S17292" t="s">
        <v>824</v>
      </c>
      <c r="T17292">
        <v>39</v>
      </c>
      <c r="U17292" s="26" t="str">
        <f t="shared" si="660"/>
        <v>2023.001A.Archaeal_binomials.zip</v>
      </c>
    </row>
    <row r="17293" spans="1:21">
      <c r="A17293">
        <v>17292</v>
      </c>
      <c r="L17293" s="27" t="s">
        <v>136</v>
      </c>
      <c r="N17293" s="27" t="s">
        <v>3684</v>
      </c>
      <c r="P17293" s="27" t="s">
        <v>18328</v>
      </c>
      <c r="Q17293" s="26" t="str">
        <f>HYPERLINK("https://ictv.global/taxonomy/taxondetails?taxnode_id=202503638&amp;ictv_id=ICTV20085088","ICTV20085088")</f>
        <v>ICTV20085088</v>
      </c>
      <c r="R17293" t="s">
        <v>579</v>
      </c>
      <c r="S17293" t="s">
        <v>824</v>
      </c>
      <c r="T17293">
        <v>39</v>
      </c>
      <c r="U17293" s="26" t="str">
        <f t="shared" si="660"/>
        <v>2023.001A.Archaeal_binomials.zip</v>
      </c>
    </row>
    <row r="17294" spans="1:21">
      <c r="A17294">
        <v>17293</v>
      </c>
      <c r="L17294" s="27" t="s">
        <v>136</v>
      </c>
      <c r="N17294" s="27" t="s">
        <v>3684</v>
      </c>
      <c r="P17294" s="27" t="s">
        <v>18329</v>
      </c>
      <c r="Q17294" s="26" t="str">
        <f>HYPERLINK("https://ictv.global/taxonomy/taxondetails?taxnode_id=202503637&amp;ictv_id=ICTV20084037","ICTV20084037")</f>
        <v>ICTV20084037</v>
      </c>
      <c r="R17294" t="s">
        <v>579</v>
      </c>
      <c r="S17294" t="s">
        <v>824</v>
      </c>
      <c r="T17294">
        <v>39</v>
      </c>
      <c r="U17294" s="26" t="str">
        <f t="shared" si="660"/>
        <v>2023.001A.Archaeal_binomials.zip</v>
      </c>
    </row>
    <row r="17295" spans="1:21">
      <c r="A17295">
        <v>17294</v>
      </c>
      <c r="L17295" s="27" t="s">
        <v>136</v>
      </c>
      <c r="N17295" s="27" t="s">
        <v>3684</v>
      </c>
      <c r="P17295" s="27" t="s">
        <v>18330</v>
      </c>
      <c r="Q17295" s="26" t="str">
        <f>HYPERLINK("https://ictv.global/taxonomy/taxondetails?taxnode_id=202510043&amp;ictv_id=ICTV202010043","ICTV202010043")</f>
        <v>ICTV202010043</v>
      </c>
      <c r="R17295" t="s">
        <v>579</v>
      </c>
      <c r="S17295" t="s">
        <v>824</v>
      </c>
      <c r="T17295">
        <v>39</v>
      </c>
      <c r="U17295" s="26" t="str">
        <f t="shared" si="660"/>
        <v>2023.001A.Archaeal_binomials.zip</v>
      </c>
    </row>
    <row r="17296" spans="1:21">
      <c r="A17296">
        <v>17295</v>
      </c>
      <c r="L17296" s="27" t="s">
        <v>136</v>
      </c>
      <c r="N17296" s="27" t="s">
        <v>3684</v>
      </c>
      <c r="P17296" s="27" t="s">
        <v>18331</v>
      </c>
      <c r="Q17296" s="26" t="str">
        <f>HYPERLINK("https://ictv.global/taxonomy/taxondetails?taxnode_id=202510044&amp;ictv_id=ICTV202010044","ICTV202010044")</f>
        <v>ICTV202010044</v>
      </c>
      <c r="R17296" t="s">
        <v>579</v>
      </c>
      <c r="S17296" t="s">
        <v>824</v>
      </c>
      <c r="T17296">
        <v>39</v>
      </c>
      <c r="U17296" s="26" t="str">
        <f t="shared" si="660"/>
        <v>2023.001A.Archaeal_binomials.zip</v>
      </c>
    </row>
    <row r="17297" spans="1:21">
      <c r="A17297">
        <v>17296</v>
      </c>
      <c r="L17297" s="27" t="s">
        <v>351</v>
      </c>
      <c r="N17297" s="27" t="s">
        <v>485</v>
      </c>
      <c r="P17297" s="27" t="s">
        <v>18332</v>
      </c>
      <c r="Q17297" s="26" t="str">
        <f>HYPERLINK("https://ictv.global/taxonomy/taxondetails?taxnode_id=202503644&amp;ictv_id=ICTV20125810","ICTV20125810")</f>
        <v>ICTV20125810</v>
      </c>
      <c r="R17297" t="s">
        <v>579</v>
      </c>
      <c r="S17297" t="s">
        <v>824</v>
      </c>
      <c r="T17297">
        <v>39</v>
      </c>
      <c r="U17297" s="26" t="str">
        <f t="shared" si="660"/>
        <v>2023.001A.Archaeal_binomials.zip</v>
      </c>
    </row>
    <row r="17298" spans="1:21">
      <c r="A17298">
        <v>17297</v>
      </c>
      <c r="L17298" s="27" t="s">
        <v>2012</v>
      </c>
      <c r="N17298" s="27" t="s">
        <v>240</v>
      </c>
      <c r="P17298" s="27" t="s">
        <v>18333</v>
      </c>
      <c r="Q17298" s="26" t="str">
        <f>HYPERLINK("https://ictv.global/taxonomy/taxondetails?taxnode_id=202505366&amp;ictv_id=ICTV20042241","ICTV20042241")</f>
        <v>ICTV20042241</v>
      </c>
      <c r="R17298" t="s">
        <v>579</v>
      </c>
      <c r="S17298" t="s">
        <v>824</v>
      </c>
      <c r="T17298">
        <v>39</v>
      </c>
      <c r="U17298" s="26" t="str">
        <f t="shared" si="660"/>
        <v>2023.001A.Archaeal_binomials.zip</v>
      </c>
    </row>
    <row r="17299" spans="1:21">
      <c r="A17299">
        <v>17298</v>
      </c>
      <c r="L17299" s="27" t="s">
        <v>20704</v>
      </c>
      <c r="N17299" s="27" t="s">
        <v>20705</v>
      </c>
      <c r="P17299" s="27" t="s">
        <v>20706</v>
      </c>
      <c r="Q17299" s="26" t="str">
        <f>HYPERLINK("https://ictv.global/taxonomy/taxondetails?taxnode_id=202520189&amp;ictv_id=ICTV202420189","ICTV202420189")</f>
        <v>ICTV202420189</v>
      </c>
      <c r="R17299" t="s">
        <v>579</v>
      </c>
      <c r="S17299" t="s">
        <v>823</v>
      </c>
      <c r="T17299">
        <v>40</v>
      </c>
      <c r="U17299" s="26" t="str">
        <f>HYPERLINK("https://ictv.global/ictv/proposals/2024.005A.Bathyarchaeia_4newfam.zip","2024.005A.Bathyarchaeia_4newfam.zip")</f>
        <v>2024.005A.Bathyarchaeia_4newfam.zip</v>
      </c>
    </row>
    <row r="17300" spans="1:21">
      <c r="A17300">
        <v>17299</v>
      </c>
      <c r="L17300" s="27" t="s">
        <v>11226</v>
      </c>
      <c r="N17300" s="27" t="s">
        <v>11227</v>
      </c>
      <c r="P17300" s="27" t="s">
        <v>11216</v>
      </c>
      <c r="Q17300" s="26" t="str">
        <f>HYPERLINK("https://ictv.global/taxonomy/taxondetails?taxnode_id=202514296&amp;ictv_id=ICTV202214296","ICTV202214296")</f>
        <v>ICTV202214296</v>
      </c>
      <c r="R17300" t="s">
        <v>579</v>
      </c>
      <c r="S17300" t="s">
        <v>823</v>
      </c>
      <c r="T17300">
        <v>38</v>
      </c>
      <c r="U17300" s="26" t="str">
        <f>HYPERLINK("https://ictv.global/ictv/proposals/2022.001A.Nakonvirales_Maximonvirales_Coyopavirales_3no.zip","2022.001A.Nakonvirales_Maximonvirales_Coyopavirales_3no.zip")</f>
        <v>2022.001A.Nakonvirales_Maximonvirales_Coyopavirales_3no.zip</v>
      </c>
    </row>
    <row r="17301" spans="1:21">
      <c r="A17301">
        <v>17300</v>
      </c>
      <c r="L17301" s="27" t="s">
        <v>11226</v>
      </c>
      <c r="N17301" s="27" t="s">
        <v>11228</v>
      </c>
      <c r="P17301" s="27" t="s">
        <v>11218</v>
      </c>
      <c r="Q17301" s="26" t="str">
        <f>HYPERLINK("https://ictv.global/taxonomy/taxondetails?taxnode_id=202514295&amp;ictv_id=ICTV202214295","ICTV202214295")</f>
        <v>ICTV202214295</v>
      </c>
      <c r="R17301" t="s">
        <v>579</v>
      </c>
      <c r="S17301" t="s">
        <v>823</v>
      </c>
      <c r="T17301">
        <v>38</v>
      </c>
      <c r="U17301" s="26" t="str">
        <f>HYPERLINK("https://ictv.global/ictv/proposals/2022.001A.Nakonvirales_Maximonvirales_Coyopavirales_3no.zip","2022.001A.Nakonvirales_Maximonvirales_Coyopavirales_3no.zip")</f>
        <v>2022.001A.Nakonvirales_Maximonvirales_Coyopavirales_3no.zip</v>
      </c>
    </row>
    <row r="17302" spans="1:21">
      <c r="A17302">
        <v>17301</v>
      </c>
      <c r="L17302" s="27" t="s">
        <v>21271</v>
      </c>
      <c r="N17302" s="27" t="s">
        <v>21272</v>
      </c>
      <c r="P17302" s="27" t="s">
        <v>21274</v>
      </c>
      <c r="Q17302" s="26" t="str">
        <f>HYPERLINK("https://ictv.global/taxonomy/taxondetails?taxnode_id=202522173&amp;ictv_id=ICTV202522173","ICTV202522173")</f>
        <v>ICTV202522173</v>
      </c>
      <c r="R17302" t="s">
        <v>579</v>
      </c>
      <c r="S17302" t="s">
        <v>823</v>
      </c>
      <c r="T17302">
        <v>41</v>
      </c>
      <c r="U17302" s="26" t="str">
        <f>HYPERLINK("https://ictv.global/ictv/proposals/2025.005A.Spindle-shaped_viruses_2nf_3ns.zip","2025.005A.Spindle-shaped_viruses_2nf_3ns.zip")</f>
        <v>2025.005A.Spindle-shaped_viruses_2nf_3ns.zip</v>
      </c>
    </row>
    <row r="17303" spans="1:21">
      <c r="A17303">
        <v>17302</v>
      </c>
      <c r="L17303" s="27" t="s">
        <v>21271</v>
      </c>
      <c r="N17303" s="27" t="s">
        <v>21272</v>
      </c>
      <c r="P17303" s="27" t="s">
        <v>21273</v>
      </c>
      <c r="Q17303" s="26" t="str">
        <f>HYPERLINK("https://ictv.global/taxonomy/taxondetails?taxnode_id=202522172&amp;ictv_id=ICTV202522172","ICTV202522172")</f>
        <v>ICTV202522172</v>
      </c>
      <c r="R17303" t="s">
        <v>579</v>
      </c>
      <c r="S17303" t="s">
        <v>823</v>
      </c>
      <c r="T17303">
        <v>41</v>
      </c>
      <c r="U17303" s="26" t="str">
        <f>HYPERLINK("https://ictv.global/ictv/proposals/2025.005A.Spindle-shaped_viruses_2nf_3ns.zip","2025.005A.Spindle-shaped_viruses_2nf_3ns.zip")</f>
        <v>2025.005A.Spindle-shaped_viruses_2nf_3ns.zip</v>
      </c>
    </row>
    <row r="17304" spans="1:21">
      <c r="A17304">
        <v>17303</v>
      </c>
      <c r="L17304" s="27" t="s">
        <v>20707</v>
      </c>
      <c r="N17304" s="27" t="s">
        <v>20708</v>
      </c>
      <c r="P17304" s="27" t="s">
        <v>20709</v>
      </c>
      <c r="Q17304" s="26" t="str">
        <f>HYPERLINK("https://ictv.global/taxonomy/taxondetails?taxnode_id=202520084&amp;ictv_id=ICTV202420084","ICTV202420084")</f>
        <v>ICTV202420084</v>
      </c>
      <c r="R17304" t="s">
        <v>20754</v>
      </c>
      <c r="S17304" t="s">
        <v>823</v>
      </c>
      <c r="T17304">
        <v>40</v>
      </c>
      <c r="U17304" s="26" t="str">
        <f t="shared" ref="U17304:U17313" si="661">HYPERLINK("https://ictv.global/ictv/proposals/2024.003A.Nipumfusiviridae_newfam.zip","2024.003A.Nipumfusiviridae_newfam.zip")</f>
        <v>2024.003A.Nipumfusiviridae_newfam.zip</v>
      </c>
    </row>
    <row r="17305" spans="1:21">
      <c r="A17305">
        <v>17304</v>
      </c>
      <c r="L17305" s="27" t="s">
        <v>20707</v>
      </c>
      <c r="N17305" s="27" t="s">
        <v>20708</v>
      </c>
      <c r="P17305" s="27" t="s">
        <v>20710</v>
      </c>
      <c r="Q17305" s="26" t="str">
        <f>HYPERLINK("https://ictv.global/taxonomy/taxondetails?taxnode_id=202520083&amp;ictv_id=ICTV202420083","ICTV202420083")</f>
        <v>ICTV202420083</v>
      </c>
      <c r="R17305" t="s">
        <v>20754</v>
      </c>
      <c r="S17305" t="s">
        <v>823</v>
      </c>
      <c r="T17305">
        <v>40</v>
      </c>
      <c r="U17305" s="26" t="str">
        <f t="shared" si="661"/>
        <v>2024.003A.Nipumfusiviridae_newfam.zip</v>
      </c>
    </row>
    <row r="17306" spans="1:21">
      <c r="A17306">
        <v>17305</v>
      </c>
      <c r="L17306" s="27" t="s">
        <v>20707</v>
      </c>
      <c r="N17306" s="27" t="s">
        <v>20711</v>
      </c>
      <c r="P17306" s="27" t="s">
        <v>20712</v>
      </c>
      <c r="Q17306" s="26" t="str">
        <f>HYPERLINK("https://ictv.global/taxonomy/taxondetails?taxnode_id=202520079&amp;ictv_id=ICTV202420079","ICTV202420079")</f>
        <v>ICTV202420079</v>
      </c>
      <c r="R17306" t="s">
        <v>20754</v>
      </c>
      <c r="S17306" t="s">
        <v>823</v>
      </c>
      <c r="T17306">
        <v>40</v>
      </c>
      <c r="U17306" s="26" t="str">
        <f t="shared" si="661"/>
        <v>2024.003A.Nipumfusiviridae_newfam.zip</v>
      </c>
    </row>
    <row r="17307" spans="1:21">
      <c r="A17307">
        <v>17306</v>
      </c>
      <c r="L17307" s="27" t="s">
        <v>20707</v>
      </c>
      <c r="N17307" s="27" t="s">
        <v>20711</v>
      </c>
      <c r="P17307" s="27" t="s">
        <v>20713</v>
      </c>
      <c r="Q17307" s="26" t="str">
        <f>HYPERLINK("https://ictv.global/taxonomy/taxondetails?taxnode_id=202520077&amp;ictv_id=ICTV202420077","ICTV202420077")</f>
        <v>ICTV202420077</v>
      </c>
      <c r="R17307" t="s">
        <v>20754</v>
      </c>
      <c r="S17307" t="s">
        <v>823</v>
      </c>
      <c r="T17307">
        <v>40</v>
      </c>
      <c r="U17307" s="26" t="str">
        <f t="shared" si="661"/>
        <v>2024.003A.Nipumfusiviridae_newfam.zip</v>
      </c>
    </row>
    <row r="17308" spans="1:21">
      <c r="A17308">
        <v>17307</v>
      </c>
      <c r="L17308" s="27" t="s">
        <v>20707</v>
      </c>
      <c r="N17308" s="27" t="s">
        <v>20711</v>
      </c>
      <c r="P17308" s="27" t="s">
        <v>20714</v>
      </c>
      <c r="Q17308" s="26" t="str">
        <f>HYPERLINK("https://ictv.global/taxonomy/taxondetails?taxnode_id=202520078&amp;ictv_id=ICTV202420078","ICTV202420078")</f>
        <v>ICTV202420078</v>
      </c>
      <c r="R17308" t="s">
        <v>20754</v>
      </c>
      <c r="S17308" t="s">
        <v>823</v>
      </c>
      <c r="T17308">
        <v>40</v>
      </c>
      <c r="U17308" s="26" t="str">
        <f t="shared" si="661"/>
        <v>2024.003A.Nipumfusiviridae_newfam.zip</v>
      </c>
    </row>
    <row r="17309" spans="1:21">
      <c r="A17309">
        <v>17308</v>
      </c>
      <c r="L17309" s="27" t="s">
        <v>20707</v>
      </c>
      <c r="N17309" s="27" t="s">
        <v>20711</v>
      </c>
      <c r="P17309" s="27" t="s">
        <v>20715</v>
      </c>
      <c r="Q17309" s="26" t="str">
        <f>HYPERLINK("https://ictv.global/taxonomy/taxondetails?taxnode_id=202520080&amp;ictv_id=ICTV202420080","ICTV202420080")</f>
        <v>ICTV202420080</v>
      </c>
      <c r="R17309" t="s">
        <v>20754</v>
      </c>
      <c r="S17309" t="s">
        <v>823</v>
      </c>
      <c r="T17309">
        <v>40</v>
      </c>
      <c r="U17309" s="26" t="str">
        <f t="shared" si="661"/>
        <v>2024.003A.Nipumfusiviridae_newfam.zip</v>
      </c>
    </row>
    <row r="17310" spans="1:21">
      <c r="A17310">
        <v>17309</v>
      </c>
      <c r="L17310" s="27" t="s">
        <v>20707</v>
      </c>
      <c r="N17310" s="27" t="s">
        <v>20711</v>
      </c>
      <c r="P17310" s="27" t="s">
        <v>20716</v>
      </c>
      <c r="Q17310" s="26" t="str">
        <f>HYPERLINK("https://ictv.global/taxonomy/taxondetails?taxnode_id=202520076&amp;ictv_id=ICTV202420076","ICTV202420076")</f>
        <v>ICTV202420076</v>
      </c>
      <c r="R17310" t="s">
        <v>20754</v>
      </c>
      <c r="S17310" t="s">
        <v>823</v>
      </c>
      <c r="T17310">
        <v>40</v>
      </c>
      <c r="U17310" s="26" t="str">
        <f t="shared" si="661"/>
        <v>2024.003A.Nipumfusiviridae_newfam.zip</v>
      </c>
    </row>
    <row r="17311" spans="1:21">
      <c r="A17311">
        <v>17310</v>
      </c>
      <c r="L17311" s="27" t="s">
        <v>20707</v>
      </c>
      <c r="N17311" s="27" t="s">
        <v>20717</v>
      </c>
      <c r="P17311" s="27" t="s">
        <v>20718</v>
      </c>
      <c r="Q17311" s="26" t="str">
        <f>HYPERLINK("https://ictv.global/taxonomy/taxondetails?taxnode_id=202520081&amp;ictv_id=ICTV202420081","ICTV202420081")</f>
        <v>ICTV202420081</v>
      </c>
      <c r="R17311" t="s">
        <v>20754</v>
      </c>
      <c r="S17311" t="s">
        <v>823</v>
      </c>
      <c r="T17311">
        <v>40</v>
      </c>
      <c r="U17311" s="26" t="str">
        <f t="shared" si="661"/>
        <v>2024.003A.Nipumfusiviridae_newfam.zip</v>
      </c>
    </row>
    <row r="17312" spans="1:21">
      <c r="A17312">
        <v>17311</v>
      </c>
      <c r="L17312" s="27" t="s">
        <v>20707</v>
      </c>
      <c r="N17312" s="27" t="s">
        <v>20717</v>
      </c>
      <c r="P17312" s="27" t="s">
        <v>20719</v>
      </c>
      <c r="Q17312" s="26" t="str">
        <f>HYPERLINK("https://ictv.global/taxonomy/taxondetails?taxnode_id=202520082&amp;ictv_id=ICTV202420082","ICTV202420082")</f>
        <v>ICTV202420082</v>
      </c>
      <c r="R17312" t="s">
        <v>20754</v>
      </c>
      <c r="S17312" t="s">
        <v>823</v>
      </c>
      <c r="T17312">
        <v>40</v>
      </c>
      <c r="U17312" s="26" t="str">
        <f t="shared" si="661"/>
        <v>2024.003A.Nipumfusiviridae_newfam.zip</v>
      </c>
    </row>
    <row r="17313" spans="1:21">
      <c r="A17313">
        <v>17312</v>
      </c>
      <c r="L17313" s="27" t="s">
        <v>20707</v>
      </c>
      <c r="N17313" s="27" t="s">
        <v>20720</v>
      </c>
      <c r="P17313" s="27" t="s">
        <v>20721</v>
      </c>
      <c r="Q17313" s="26" t="str">
        <f>HYPERLINK("https://ictv.global/taxonomy/taxondetails?taxnode_id=202520085&amp;ictv_id=ICTV202420085","ICTV202420085")</f>
        <v>ICTV202420085</v>
      </c>
      <c r="R17313" t="s">
        <v>20754</v>
      </c>
      <c r="S17313" t="s">
        <v>823</v>
      </c>
      <c r="T17313">
        <v>40</v>
      </c>
      <c r="U17313" s="26" t="str">
        <f t="shared" si="661"/>
        <v>2024.003A.Nipumfusiviridae_newfam.zip</v>
      </c>
    </row>
    <row r="17314" spans="1:21">
      <c r="A17314">
        <v>17313</v>
      </c>
      <c r="L17314" s="27" t="s">
        <v>20722</v>
      </c>
      <c r="N17314" s="27" t="s">
        <v>20723</v>
      </c>
      <c r="P17314" s="27" t="s">
        <v>20724</v>
      </c>
      <c r="Q17314" s="26" t="str">
        <f>HYPERLINK("https://ictv.global/taxonomy/taxondetails?taxnode_id=202520831&amp;ictv_id=ICTV202420831","ICTV202420831")</f>
        <v>ICTV202420831</v>
      </c>
      <c r="R17314" t="s">
        <v>582</v>
      </c>
      <c r="S17314" t="s">
        <v>823</v>
      </c>
      <c r="T17314">
        <v>40</v>
      </c>
      <c r="U17314" s="26" t="str">
        <f>HYPERLINK("https://ictv.global/ictv/proposals/2024.025B.Obscuriviridae_1nf_2ng_3ns.zip","2024.025B.Obscuriviridae_1nf_2ng_3ns.zip")</f>
        <v>2024.025B.Obscuriviridae_1nf_2ng_3ns.zip</v>
      </c>
    </row>
    <row r="17315" spans="1:21">
      <c r="A17315">
        <v>17314</v>
      </c>
      <c r="L17315" s="27" t="s">
        <v>20722</v>
      </c>
      <c r="N17315" s="27" t="s">
        <v>20723</v>
      </c>
      <c r="P17315" s="27" t="s">
        <v>20725</v>
      </c>
      <c r="Q17315" s="26" t="str">
        <f>HYPERLINK("https://ictv.global/taxonomy/taxondetails?taxnode_id=202520830&amp;ictv_id=ICTV202420830","ICTV202420830")</f>
        <v>ICTV202420830</v>
      </c>
      <c r="R17315" t="s">
        <v>582</v>
      </c>
      <c r="S17315" t="s">
        <v>823</v>
      </c>
      <c r="T17315">
        <v>40</v>
      </c>
      <c r="U17315" s="26" t="str">
        <f>HYPERLINK("https://ictv.global/ictv/proposals/2024.025B.Obscuriviridae_1nf_2ng_3ns.zip","2024.025B.Obscuriviridae_1nf_2ng_3ns.zip")</f>
        <v>2024.025B.Obscuriviridae_1nf_2ng_3ns.zip</v>
      </c>
    </row>
    <row r="17316" spans="1:21">
      <c r="A17316">
        <v>17315</v>
      </c>
      <c r="L17316" s="27" t="s">
        <v>20722</v>
      </c>
      <c r="N17316" s="27" t="s">
        <v>20726</v>
      </c>
      <c r="P17316" s="27" t="s">
        <v>20727</v>
      </c>
      <c r="Q17316" s="26" t="str">
        <f>HYPERLINK("https://ictv.global/taxonomy/taxondetails?taxnode_id=202520829&amp;ictv_id=ICTV202420829","ICTV202420829")</f>
        <v>ICTV202420829</v>
      </c>
      <c r="R17316" t="s">
        <v>582</v>
      </c>
      <c r="S17316" t="s">
        <v>823</v>
      </c>
      <c r="T17316">
        <v>40</v>
      </c>
      <c r="U17316" s="26" t="str">
        <f>HYPERLINK("https://ictv.global/ictv/proposals/2024.025B.Obscuriviridae_1nf_2ng_3ns.zip","2024.025B.Obscuriviridae_1nf_2ng_3ns.zip")</f>
        <v>2024.025B.Obscuriviridae_1nf_2ng_3ns.zip</v>
      </c>
    </row>
    <row r="17317" spans="1:21">
      <c r="A17317">
        <v>17316</v>
      </c>
      <c r="L17317" s="27" t="s">
        <v>1445</v>
      </c>
      <c r="N17317" s="27" t="s">
        <v>1446</v>
      </c>
      <c r="P17317" s="27" t="s">
        <v>18334</v>
      </c>
      <c r="Q17317" s="26" t="str">
        <f>HYPERLINK("https://ictv.global/taxonomy/taxondetails?taxnode_id=202506901&amp;ictv_id=ICTV201856901","ICTV201856901")</f>
        <v>ICTV201856901</v>
      </c>
      <c r="R17317" t="s">
        <v>579</v>
      </c>
      <c r="S17317" t="s">
        <v>824</v>
      </c>
      <c r="T17317">
        <v>39</v>
      </c>
      <c r="U17317" s="26" t="str">
        <f>HYPERLINK("https://ictv.global/ictv/proposals/2023.001A.Archaeal_binomials.zip","2023.001A.Archaeal_binomials.zip")</f>
        <v>2023.001A.Archaeal_binomials.zip</v>
      </c>
    </row>
    <row r="17318" spans="1:21">
      <c r="A17318">
        <v>17317</v>
      </c>
      <c r="L17318" s="27" t="s">
        <v>230</v>
      </c>
      <c r="N17318" s="27" t="s">
        <v>231</v>
      </c>
      <c r="P17318" s="27" t="s">
        <v>11142</v>
      </c>
      <c r="Q17318" s="26" t="str">
        <f>HYPERLINK("https://ictv.global/taxonomy/taxondetails?taxnode_id=202504339&amp;ictv_id=ICTV19780517","ICTV19780517")</f>
        <v>ICTV19780517</v>
      </c>
      <c r="R17318" t="s">
        <v>579</v>
      </c>
      <c r="S17318" t="s">
        <v>824</v>
      </c>
      <c r="T17318">
        <v>37</v>
      </c>
      <c r="U17318" s="26" t="str">
        <f>HYPERLINK("https://ictv.global/ictv/proposals/2021.010B.R.Binomial_names.zip","2021.010B.R.Binomial_names.zip")</f>
        <v>2021.010B.R.Binomial_names.zip</v>
      </c>
    </row>
    <row r="17319" spans="1:21">
      <c r="A17319">
        <v>17318</v>
      </c>
      <c r="L17319" s="27" t="s">
        <v>11143</v>
      </c>
      <c r="N17319" s="27" t="s">
        <v>11144</v>
      </c>
      <c r="P17319" s="27" t="s">
        <v>11145</v>
      </c>
      <c r="Q17319" s="26" t="str">
        <f>HYPERLINK("https://ictv.global/taxonomy/taxondetails?taxnode_id=202504360&amp;ictv_id=ICTV19951801","ICTV19951801")</f>
        <v>ICTV19951801</v>
      </c>
      <c r="R17319" t="s">
        <v>579</v>
      </c>
      <c r="S17319" t="s">
        <v>824</v>
      </c>
      <c r="T17319">
        <v>37</v>
      </c>
      <c r="U17319" s="26" t="str">
        <f t="shared" ref="U17319:U17350" si="662">HYPERLINK("https://ictv.global/ictv/proposals/2021.006D.R.Polydnaviriformidae_1renfam_3rensp.zip","2021.006D.R.Polydnaviriformidae_1renfam_3rensp.zip")</f>
        <v>2021.006D.R.Polydnaviriformidae_1renfam_3rensp.zip</v>
      </c>
    </row>
    <row r="17320" spans="1:21">
      <c r="A17320">
        <v>17319</v>
      </c>
      <c r="L17320" s="27" t="s">
        <v>11143</v>
      </c>
      <c r="N17320" s="27" t="s">
        <v>11144</v>
      </c>
      <c r="P17320" s="27" t="s">
        <v>11146</v>
      </c>
      <c r="Q17320" s="26" t="str">
        <f>HYPERLINK("https://ictv.global/taxonomy/taxondetails?taxnode_id=202504357&amp;ictv_id=ICTV19951798","ICTV19951798")</f>
        <v>ICTV19951798</v>
      </c>
      <c r="R17320" t="s">
        <v>579</v>
      </c>
      <c r="S17320" t="s">
        <v>824</v>
      </c>
      <c r="T17320">
        <v>37</v>
      </c>
      <c r="U17320" s="26" t="str">
        <f t="shared" si="662"/>
        <v>2021.006D.R.Polydnaviriformidae_1renfam_3rensp.zip</v>
      </c>
    </row>
    <row r="17321" spans="1:21">
      <c r="A17321">
        <v>17320</v>
      </c>
      <c r="L17321" s="27" t="s">
        <v>11143</v>
      </c>
      <c r="N17321" s="27" t="s">
        <v>11144</v>
      </c>
      <c r="P17321" s="27" t="s">
        <v>11147</v>
      </c>
      <c r="Q17321" s="26" t="str">
        <f>HYPERLINK("https://ictv.global/taxonomy/taxondetails?taxnode_id=202504361&amp;ictv_id=ICTV19951802","ICTV19951802")</f>
        <v>ICTV19951802</v>
      </c>
      <c r="R17321" t="s">
        <v>579</v>
      </c>
      <c r="S17321" t="s">
        <v>824</v>
      </c>
      <c r="T17321">
        <v>37</v>
      </c>
      <c r="U17321" s="26" t="str">
        <f t="shared" si="662"/>
        <v>2021.006D.R.Polydnaviriformidae_1renfam_3rensp.zip</v>
      </c>
    </row>
    <row r="17322" spans="1:21">
      <c r="A17322">
        <v>17321</v>
      </c>
      <c r="L17322" s="27" t="s">
        <v>11143</v>
      </c>
      <c r="N17322" s="27" t="s">
        <v>11144</v>
      </c>
      <c r="P17322" s="27" t="s">
        <v>11148</v>
      </c>
      <c r="Q17322" s="26" t="str">
        <f>HYPERLINK("https://ictv.global/taxonomy/taxondetails?taxnode_id=202504379&amp;ictv_id=ICTV19951819","ICTV19951819")</f>
        <v>ICTV19951819</v>
      </c>
      <c r="R17322" t="s">
        <v>579</v>
      </c>
      <c r="S17322" t="s">
        <v>824</v>
      </c>
      <c r="T17322">
        <v>37</v>
      </c>
      <c r="U17322" s="26" t="str">
        <f t="shared" si="662"/>
        <v>2021.006D.R.Polydnaviriformidae_1renfam_3rensp.zip</v>
      </c>
    </row>
    <row r="17323" spans="1:21">
      <c r="A17323">
        <v>17322</v>
      </c>
      <c r="L17323" s="27" t="s">
        <v>11143</v>
      </c>
      <c r="N17323" s="27" t="s">
        <v>11144</v>
      </c>
      <c r="P17323" s="27" t="s">
        <v>11149</v>
      </c>
      <c r="Q17323" s="26" t="str">
        <f>HYPERLINK("https://ictv.global/taxonomy/taxondetails?taxnode_id=202504366&amp;ictv_id=ICTV19951806","ICTV19951806")</f>
        <v>ICTV19951806</v>
      </c>
      <c r="R17323" t="s">
        <v>579</v>
      </c>
      <c r="S17323" t="s">
        <v>824</v>
      </c>
      <c r="T17323">
        <v>37</v>
      </c>
      <c r="U17323" s="26" t="str">
        <f t="shared" si="662"/>
        <v>2021.006D.R.Polydnaviriformidae_1renfam_3rensp.zip</v>
      </c>
    </row>
    <row r="17324" spans="1:21">
      <c r="A17324">
        <v>17323</v>
      </c>
      <c r="L17324" s="27" t="s">
        <v>11143</v>
      </c>
      <c r="N17324" s="27" t="s">
        <v>11144</v>
      </c>
      <c r="P17324" s="27" t="s">
        <v>11150</v>
      </c>
      <c r="Q17324" s="26" t="str">
        <f>HYPERLINK("https://ictv.global/taxonomy/taxondetails?taxnode_id=202504355&amp;ictv_id=ICTV19951796","ICTV19951796")</f>
        <v>ICTV19951796</v>
      </c>
      <c r="R17324" t="s">
        <v>579</v>
      </c>
      <c r="S17324" t="s">
        <v>824</v>
      </c>
      <c r="T17324">
        <v>37</v>
      </c>
      <c r="U17324" s="26" t="str">
        <f t="shared" si="662"/>
        <v>2021.006D.R.Polydnaviriformidae_1renfam_3rensp.zip</v>
      </c>
    </row>
    <row r="17325" spans="1:21">
      <c r="A17325">
        <v>17324</v>
      </c>
      <c r="L17325" s="27" t="s">
        <v>11143</v>
      </c>
      <c r="N17325" s="27" t="s">
        <v>11144</v>
      </c>
      <c r="P17325" s="27" t="s">
        <v>11151</v>
      </c>
      <c r="Q17325" s="26" t="str">
        <f>HYPERLINK("https://ictv.global/taxonomy/taxondetails?taxnode_id=202504381&amp;ictv_id=ICTV19951821","ICTV19951821")</f>
        <v>ICTV19951821</v>
      </c>
      <c r="R17325" t="s">
        <v>579</v>
      </c>
      <c r="S17325" t="s">
        <v>824</v>
      </c>
      <c r="T17325">
        <v>37</v>
      </c>
      <c r="U17325" s="26" t="str">
        <f t="shared" si="662"/>
        <v>2021.006D.R.Polydnaviriformidae_1renfam_3rensp.zip</v>
      </c>
    </row>
    <row r="17326" spans="1:21">
      <c r="A17326">
        <v>17325</v>
      </c>
      <c r="L17326" s="27" t="s">
        <v>11143</v>
      </c>
      <c r="N17326" s="27" t="s">
        <v>11144</v>
      </c>
      <c r="P17326" s="27" t="s">
        <v>11152</v>
      </c>
      <c r="Q17326" s="26" t="str">
        <f>HYPERLINK("https://ictv.global/taxonomy/taxondetails?taxnode_id=202504364&amp;ictv_id=ICTV19951804","ICTV19951804")</f>
        <v>ICTV19951804</v>
      </c>
      <c r="R17326" t="s">
        <v>579</v>
      </c>
      <c r="S17326" t="s">
        <v>824</v>
      </c>
      <c r="T17326">
        <v>37</v>
      </c>
      <c r="U17326" s="26" t="str">
        <f t="shared" si="662"/>
        <v>2021.006D.R.Polydnaviriformidae_1renfam_3rensp.zip</v>
      </c>
    </row>
    <row r="17327" spans="1:21">
      <c r="A17327">
        <v>17326</v>
      </c>
      <c r="L17327" s="27" t="s">
        <v>11143</v>
      </c>
      <c r="N17327" s="27" t="s">
        <v>11144</v>
      </c>
      <c r="P17327" s="27" t="s">
        <v>11153</v>
      </c>
      <c r="Q17327" s="26" t="str">
        <f>HYPERLINK("https://ictv.global/taxonomy/taxondetails?taxnode_id=202504382&amp;ictv_id=ICTV19951822","ICTV19951822")</f>
        <v>ICTV19951822</v>
      </c>
      <c r="R17327" t="s">
        <v>579</v>
      </c>
      <c r="S17327" t="s">
        <v>824</v>
      </c>
      <c r="T17327">
        <v>37</v>
      </c>
      <c r="U17327" s="26" t="str">
        <f t="shared" si="662"/>
        <v>2021.006D.R.Polydnaviriformidae_1renfam_3rensp.zip</v>
      </c>
    </row>
    <row r="17328" spans="1:21">
      <c r="A17328">
        <v>17327</v>
      </c>
      <c r="L17328" s="27" t="s">
        <v>11143</v>
      </c>
      <c r="N17328" s="27" t="s">
        <v>11144</v>
      </c>
      <c r="P17328" s="27" t="s">
        <v>11154</v>
      </c>
      <c r="Q17328" s="26" t="str">
        <f>HYPERLINK("https://ictv.global/taxonomy/taxondetails?taxnode_id=202504380&amp;ictv_id=ICTV19951820","ICTV19951820")</f>
        <v>ICTV19951820</v>
      </c>
      <c r="R17328" t="s">
        <v>579</v>
      </c>
      <c r="S17328" t="s">
        <v>824</v>
      </c>
      <c r="T17328">
        <v>37</v>
      </c>
      <c r="U17328" s="26" t="str">
        <f t="shared" si="662"/>
        <v>2021.006D.R.Polydnaviriformidae_1renfam_3rensp.zip</v>
      </c>
    </row>
    <row r="17329" spans="1:21">
      <c r="A17329">
        <v>17328</v>
      </c>
      <c r="L17329" s="27" t="s">
        <v>11143</v>
      </c>
      <c r="N17329" s="27" t="s">
        <v>11144</v>
      </c>
      <c r="P17329" s="27" t="s">
        <v>11155</v>
      </c>
      <c r="Q17329" s="26" t="str">
        <f>HYPERLINK("https://ictv.global/taxonomy/taxondetails?taxnode_id=202504375&amp;ictv_id=ICTV19951815","ICTV19951815")</f>
        <v>ICTV19951815</v>
      </c>
      <c r="R17329" t="s">
        <v>579</v>
      </c>
      <c r="S17329" t="s">
        <v>824</v>
      </c>
      <c r="T17329">
        <v>37</v>
      </c>
      <c r="U17329" s="26" t="str">
        <f t="shared" si="662"/>
        <v>2021.006D.R.Polydnaviriformidae_1renfam_3rensp.zip</v>
      </c>
    </row>
    <row r="17330" spans="1:21">
      <c r="A17330">
        <v>17329</v>
      </c>
      <c r="L17330" s="27" t="s">
        <v>11143</v>
      </c>
      <c r="N17330" s="27" t="s">
        <v>11144</v>
      </c>
      <c r="P17330" s="27" t="s">
        <v>11156</v>
      </c>
      <c r="Q17330" s="26" t="str">
        <f>HYPERLINK("https://ictv.global/taxonomy/taxondetails?taxnode_id=202504376&amp;ictv_id=ICTV19951816","ICTV19951816")</f>
        <v>ICTV19951816</v>
      </c>
      <c r="R17330" t="s">
        <v>579</v>
      </c>
      <c r="S17330" t="s">
        <v>824</v>
      </c>
      <c r="T17330">
        <v>37</v>
      </c>
      <c r="U17330" s="26" t="str">
        <f t="shared" si="662"/>
        <v>2021.006D.R.Polydnaviriformidae_1renfam_3rensp.zip</v>
      </c>
    </row>
    <row r="17331" spans="1:21">
      <c r="A17331">
        <v>17330</v>
      </c>
      <c r="L17331" s="27" t="s">
        <v>11143</v>
      </c>
      <c r="N17331" s="27" t="s">
        <v>11144</v>
      </c>
      <c r="P17331" s="27" t="s">
        <v>11157</v>
      </c>
      <c r="Q17331" s="26" t="str">
        <f>HYPERLINK("https://ictv.global/taxonomy/taxondetails?taxnode_id=202504367&amp;ictv_id=ICTV19951807","ICTV19951807")</f>
        <v>ICTV19951807</v>
      </c>
      <c r="R17331" t="s">
        <v>579</v>
      </c>
      <c r="S17331" t="s">
        <v>824</v>
      </c>
      <c r="T17331">
        <v>37</v>
      </c>
      <c r="U17331" s="26" t="str">
        <f t="shared" si="662"/>
        <v>2021.006D.R.Polydnaviriformidae_1renfam_3rensp.zip</v>
      </c>
    </row>
    <row r="17332" spans="1:21">
      <c r="A17332">
        <v>17331</v>
      </c>
      <c r="L17332" s="27" t="s">
        <v>11143</v>
      </c>
      <c r="N17332" s="27" t="s">
        <v>11144</v>
      </c>
      <c r="P17332" s="27" t="s">
        <v>11158</v>
      </c>
      <c r="Q17332" s="26" t="str">
        <f>HYPERLINK("https://ictv.global/taxonomy/taxondetails?taxnode_id=202504383&amp;ictv_id=ICTV19951823","ICTV19951823")</f>
        <v>ICTV19951823</v>
      </c>
      <c r="R17332" t="s">
        <v>579</v>
      </c>
      <c r="S17332" t="s">
        <v>824</v>
      </c>
      <c r="T17332">
        <v>37</v>
      </c>
      <c r="U17332" s="26" t="str">
        <f t="shared" si="662"/>
        <v>2021.006D.R.Polydnaviriformidae_1renfam_3rensp.zip</v>
      </c>
    </row>
    <row r="17333" spans="1:21">
      <c r="A17333">
        <v>17332</v>
      </c>
      <c r="L17333" s="27" t="s">
        <v>11143</v>
      </c>
      <c r="N17333" s="27" t="s">
        <v>11144</v>
      </c>
      <c r="P17333" s="27" t="s">
        <v>11159</v>
      </c>
      <c r="Q17333" s="26" t="str">
        <f>HYPERLINK("https://ictv.global/taxonomy/taxondetails?taxnode_id=202504356&amp;ictv_id=ICTV19951797","ICTV19951797")</f>
        <v>ICTV19951797</v>
      </c>
      <c r="R17333" t="s">
        <v>579</v>
      </c>
      <c r="S17333" t="s">
        <v>824</v>
      </c>
      <c r="T17333">
        <v>37</v>
      </c>
      <c r="U17333" s="26" t="str">
        <f t="shared" si="662"/>
        <v>2021.006D.R.Polydnaviriformidae_1renfam_3rensp.zip</v>
      </c>
    </row>
    <row r="17334" spans="1:21">
      <c r="A17334">
        <v>17333</v>
      </c>
      <c r="L17334" s="27" t="s">
        <v>11143</v>
      </c>
      <c r="N17334" s="27" t="s">
        <v>11144</v>
      </c>
      <c r="P17334" s="27" t="s">
        <v>11160</v>
      </c>
      <c r="Q17334" s="26" t="str">
        <f>HYPERLINK("https://ictv.global/taxonomy/taxondetails?taxnode_id=202504368&amp;ictv_id=ICTV19951808","ICTV19951808")</f>
        <v>ICTV19951808</v>
      </c>
      <c r="R17334" t="s">
        <v>579</v>
      </c>
      <c r="S17334" t="s">
        <v>824</v>
      </c>
      <c r="T17334">
        <v>37</v>
      </c>
      <c r="U17334" s="26" t="str">
        <f t="shared" si="662"/>
        <v>2021.006D.R.Polydnaviriformidae_1renfam_3rensp.zip</v>
      </c>
    </row>
    <row r="17335" spans="1:21">
      <c r="A17335">
        <v>17334</v>
      </c>
      <c r="L17335" s="27" t="s">
        <v>11143</v>
      </c>
      <c r="N17335" s="27" t="s">
        <v>11144</v>
      </c>
      <c r="P17335" s="27" t="s">
        <v>11161</v>
      </c>
      <c r="Q17335" s="26" t="str">
        <f>HYPERLINK("https://ictv.global/taxonomy/taxondetails?taxnode_id=202504369&amp;ictv_id=ICTV19951809","ICTV19951809")</f>
        <v>ICTV19951809</v>
      </c>
      <c r="R17335" t="s">
        <v>579</v>
      </c>
      <c r="S17335" t="s">
        <v>824</v>
      </c>
      <c r="T17335">
        <v>37</v>
      </c>
      <c r="U17335" s="26" t="str">
        <f t="shared" si="662"/>
        <v>2021.006D.R.Polydnaviriformidae_1renfam_3rensp.zip</v>
      </c>
    </row>
    <row r="17336" spans="1:21">
      <c r="A17336">
        <v>17335</v>
      </c>
      <c r="L17336" s="27" t="s">
        <v>11143</v>
      </c>
      <c r="N17336" s="27" t="s">
        <v>11144</v>
      </c>
      <c r="P17336" s="27" t="s">
        <v>11162</v>
      </c>
      <c r="Q17336" s="26" t="str">
        <f>HYPERLINK("https://ictv.global/taxonomy/taxondetails?taxnode_id=202504362&amp;ictv_id=ICTV19991269","ICTV19991269")</f>
        <v>ICTV19991269</v>
      </c>
      <c r="R17336" t="s">
        <v>579</v>
      </c>
      <c r="S17336" t="s">
        <v>824</v>
      </c>
      <c r="T17336">
        <v>37</v>
      </c>
      <c r="U17336" s="26" t="str">
        <f t="shared" si="662"/>
        <v>2021.006D.R.Polydnaviriformidae_1renfam_3rensp.zip</v>
      </c>
    </row>
    <row r="17337" spans="1:21">
      <c r="A17337">
        <v>17336</v>
      </c>
      <c r="L17337" s="27" t="s">
        <v>11143</v>
      </c>
      <c r="N17337" s="27" t="s">
        <v>11144</v>
      </c>
      <c r="P17337" s="27" t="s">
        <v>11163</v>
      </c>
      <c r="Q17337" s="26" t="str">
        <f>HYPERLINK("https://ictv.global/taxonomy/taxondetails?taxnode_id=202504377&amp;ictv_id=ICTV19951817","ICTV19951817")</f>
        <v>ICTV19951817</v>
      </c>
      <c r="R17337" t="s">
        <v>579</v>
      </c>
      <c r="S17337" t="s">
        <v>824</v>
      </c>
      <c r="T17337">
        <v>37</v>
      </c>
      <c r="U17337" s="26" t="str">
        <f t="shared" si="662"/>
        <v>2021.006D.R.Polydnaviriformidae_1renfam_3rensp.zip</v>
      </c>
    </row>
    <row r="17338" spans="1:21">
      <c r="A17338">
        <v>17337</v>
      </c>
      <c r="L17338" s="27" t="s">
        <v>11143</v>
      </c>
      <c r="N17338" s="27" t="s">
        <v>11144</v>
      </c>
      <c r="P17338" s="27" t="s">
        <v>11164</v>
      </c>
      <c r="Q17338" s="26" t="str">
        <f>HYPERLINK("https://ictv.global/taxonomy/taxondetails?taxnode_id=202504363&amp;ictv_id=ICTV19951803","ICTV19951803")</f>
        <v>ICTV19951803</v>
      </c>
      <c r="R17338" t="s">
        <v>579</v>
      </c>
      <c r="S17338" t="s">
        <v>824</v>
      </c>
      <c r="T17338">
        <v>37</v>
      </c>
      <c r="U17338" s="26" t="str">
        <f t="shared" si="662"/>
        <v>2021.006D.R.Polydnaviriformidae_1renfam_3rensp.zip</v>
      </c>
    </row>
    <row r="17339" spans="1:21">
      <c r="A17339">
        <v>17338</v>
      </c>
      <c r="L17339" s="27" t="s">
        <v>11143</v>
      </c>
      <c r="N17339" s="27" t="s">
        <v>11144</v>
      </c>
      <c r="P17339" s="27" t="s">
        <v>11165</v>
      </c>
      <c r="Q17339" s="26" t="str">
        <f>HYPERLINK("https://ictv.global/taxonomy/taxondetails?taxnode_id=202504370&amp;ictv_id=ICTV19951810","ICTV19951810")</f>
        <v>ICTV19951810</v>
      </c>
      <c r="R17339" t="s">
        <v>579</v>
      </c>
      <c r="S17339" t="s">
        <v>824</v>
      </c>
      <c r="T17339">
        <v>37</v>
      </c>
      <c r="U17339" s="26" t="str">
        <f t="shared" si="662"/>
        <v>2021.006D.R.Polydnaviriformidae_1renfam_3rensp.zip</v>
      </c>
    </row>
    <row r="17340" spans="1:21">
      <c r="A17340">
        <v>17339</v>
      </c>
      <c r="L17340" s="27" t="s">
        <v>11143</v>
      </c>
      <c r="N17340" s="27" t="s">
        <v>11144</v>
      </c>
      <c r="P17340" s="27" t="s">
        <v>11166</v>
      </c>
      <c r="Q17340" s="26" t="str">
        <f>HYPERLINK("https://ictv.global/taxonomy/taxondetails?taxnode_id=202504378&amp;ictv_id=ICTV19951818","ICTV19951818")</f>
        <v>ICTV19951818</v>
      </c>
      <c r="R17340" t="s">
        <v>579</v>
      </c>
      <c r="S17340" t="s">
        <v>824</v>
      </c>
      <c r="T17340">
        <v>37</v>
      </c>
      <c r="U17340" s="26" t="str">
        <f t="shared" si="662"/>
        <v>2021.006D.R.Polydnaviriformidae_1renfam_3rensp.zip</v>
      </c>
    </row>
    <row r="17341" spans="1:21">
      <c r="A17341">
        <v>17340</v>
      </c>
      <c r="L17341" s="27" t="s">
        <v>11143</v>
      </c>
      <c r="N17341" s="27" t="s">
        <v>11144</v>
      </c>
      <c r="P17341" s="27" t="s">
        <v>11167</v>
      </c>
      <c r="Q17341" s="26" t="str">
        <f>HYPERLINK("https://ictv.global/taxonomy/taxondetails?taxnode_id=202504371&amp;ictv_id=ICTV19951811","ICTV19951811")</f>
        <v>ICTV19951811</v>
      </c>
      <c r="R17341" t="s">
        <v>579</v>
      </c>
      <c r="S17341" t="s">
        <v>824</v>
      </c>
      <c r="T17341">
        <v>37</v>
      </c>
      <c r="U17341" s="26" t="str">
        <f t="shared" si="662"/>
        <v>2021.006D.R.Polydnaviriformidae_1renfam_3rensp.zip</v>
      </c>
    </row>
    <row r="17342" spans="1:21">
      <c r="A17342">
        <v>17341</v>
      </c>
      <c r="L17342" s="27" t="s">
        <v>11143</v>
      </c>
      <c r="N17342" s="27" t="s">
        <v>11144</v>
      </c>
      <c r="P17342" s="27" t="s">
        <v>11168</v>
      </c>
      <c r="Q17342" s="26" t="str">
        <f>HYPERLINK("https://ictv.global/taxonomy/taxondetails?taxnode_id=202504372&amp;ictv_id=ICTV19901053","ICTV19901053")</f>
        <v>ICTV19901053</v>
      </c>
      <c r="R17342" t="s">
        <v>579</v>
      </c>
      <c r="S17342" t="s">
        <v>824</v>
      </c>
      <c r="T17342">
        <v>37</v>
      </c>
      <c r="U17342" s="26" t="str">
        <f t="shared" si="662"/>
        <v>2021.006D.R.Polydnaviriformidae_1renfam_3rensp.zip</v>
      </c>
    </row>
    <row r="17343" spans="1:21">
      <c r="A17343">
        <v>17342</v>
      </c>
      <c r="L17343" s="27" t="s">
        <v>11143</v>
      </c>
      <c r="N17343" s="27" t="s">
        <v>11144</v>
      </c>
      <c r="P17343" s="27" t="s">
        <v>11169</v>
      </c>
      <c r="Q17343" s="26" t="str">
        <f>HYPERLINK("https://ictv.global/taxonomy/taxondetails?taxnode_id=202504359&amp;ictv_id=ICTV19951800","ICTV19951800")</f>
        <v>ICTV19951800</v>
      </c>
      <c r="R17343" t="s">
        <v>579</v>
      </c>
      <c r="S17343" t="s">
        <v>824</v>
      </c>
      <c r="T17343">
        <v>37</v>
      </c>
      <c r="U17343" s="26" t="str">
        <f t="shared" si="662"/>
        <v>2021.006D.R.Polydnaviriformidae_1renfam_3rensp.zip</v>
      </c>
    </row>
    <row r="17344" spans="1:21">
      <c r="A17344">
        <v>17343</v>
      </c>
      <c r="L17344" s="27" t="s">
        <v>11143</v>
      </c>
      <c r="N17344" s="27" t="s">
        <v>11144</v>
      </c>
      <c r="P17344" s="27" t="s">
        <v>11170</v>
      </c>
      <c r="Q17344" s="26" t="str">
        <f>HYPERLINK("https://ictv.global/taxonomy/taxondetails?taxnode_id=202504384&amp;ictv_id=ICTV19951824","ICTV19951824")</f>
        <v>ICTV19951824</v>
      </c>
      <c r="R17344" t="s">
        <v>579</v>
      </c>
      <c r="S17344" t="s">
        <v>824</v>
      </c>
      <c r="T17344">
        <v>37</v>
      </c>
      <c r="U17344" s="26" t="str">
        <f t="shared" si="662"/>
        <v>2021.006D.R.Polydnaviriformidae_1renfam_3rensp.zip</v>
      </c>
    </row>
    <row r="17345" spans="1:21">
      <c r="A17345">
        <v>17344</v>
      </c>
      <c r="L17345" s="27" t="s">
        <v>11143</v>
      </c>
      <c r="N17345" s="27" t="s">
        <v>11144</v>
      </c>
      <c r="P17345" s="27" t="s">
        <v>11171</v>
      </c>
      <c r="Q17345" s="26" t="str">
        <f>HYPERLINK("https://ictv.global/taxonomy/taxondetails?taxnode_id=202504385&amp;ictv_id=ICTV19951825","ICTV19951825")</f>
        <v>ICTV19951825</v>
      </c>
      <c r="R17345" t="s">
        <v>579</v>
      </c>
      <c r="S17345" t="s">
        <v>824</v>
      </c>
      <c r="T17345">
        <v>37</v>
      </c>
      <c r="U17345" s="26" t="str">
        <f t="shared" si="662"/>
        <v>2021.006D.R.Polydnaviriformidae_1renfam_3rensp.zip</v>
      </c>
    </row>
    <row r="17346" spans="1:21">
      <c r="A17346">
        <v>17345</v>
      </c>
      <c r="L17346" s="27" t="s">
        <v>11143</v>
      </c>
      <c r="N17346" s="27" t="s">
        <v>11144</v>
      </c>
      <c r="P17346" s="27" t="s">
        <v>11172</v>
      </c>
      <c r="Q17346" s="26" t="str">
        <f>HYPERLINK("https://ictv.global/taxonomy/taxondetails?taxnode_id=202504358&amp;ictv_id=ICTV19951799","ICTV19951799")</f>
        <v>ICTV19951799</v>
      </c>
      <c r="R17346" t="s">
        <v>579</v>
      </c>
      <c r="S17346" t="s">
        <v>824</v>
      </c>
      <c r="T17346">
        <v>37</v>
      </c>
      <c r="U17346" s="26" t="str">
        <f t="shared" si="662"/>
        <v>2021.006D.R.Polydnaviriformidae_1renfam_3rensp.zip</v>
      </c>
    </row>
    <row r="17347" spans="1:21">
      <c r="A17347">
        <v>17346</v>
      </c>
      <c r="L17347" s="27" t="s">
        <v>11143</v>
      </c>
      <c r="N17347" s="27" t="s">
        <v>11144</v>
      </c>
      <c r="P17347" s="27" t="s">
        <v>11173</v>
      </c>
      <c r="Q17347" s="26" t="str">
        <f>HYPERLINK("https://ictv.global/taxonomy/taxondetails?taxnode_id=202504373&amp;ictv_id=ICTV19951813","ICTV19951813")</f>
        <v>ICTV19951813</v>
      </c>
      <c r="R17347" t="s">
        <v>579</v>
      </c>
      <c r="S17347" t="s">
        <v>824</v>
      </c>
      <c r="T17347">
        <v>37</v>
      </c>
      <c r="U17347" s="26" t="str">
        <f t="shared" si="662"/>
        <v>2021.006D.R.Polydnaviriformidae_1renfam_3rensp.zip</v>
      </c>
    </row>
    <row r="17348" spans="1:21">
      <c r="A17348">
        <v>17347</v>
      </c>
      <c r="L17348" s="27" t="s">
        <v>11143</v>
      </c>
      <c r="N17348" s="27" t="s">
        <v>11144</v>
      </c>
      <c r="P17348" s="27" t="s">
        <v>11174</v>
      </c>
      <c r="Q17348" s="26" t="str">
        <f>HYPERLINK("https://ictv.global/taxonomy/taxondetails?taxnode_id=202504374&amp;ictv_id=ICTV19951814","ICTV19951814")</f>
        <v>ICTV19951814</v>
      </c>
      <c r="R17348" t="s">
        <v>579</v>
      </c>
      <c r="S17348" t="s">
        <v>824</v>
      </c>
      <c r="T17348">
        <v>37</v>
      </c>
      <c r="U17348" s="26" t="str">
        <f t="shared" si="662"/>
        <v>2021.006D.R.Polydnaviriformidae_1renfam_3rensp.zip</v>
      </c>
    </row>
    <row r="17349" spans="1:21">
      <c r="A17349">
        <v>17348</v>
      </c>
      <c r="L17349" s="27" t="s">
        <v>11143</v>
      </c>
      <c r="N17349" s="27" t="s">
        <v>11144</v>
      </c>
      <c r="P17349" s="27" t="s">
        <v>11175</v>
      </c>
      <c r="Q17349" s="26" t="str">
        <f>HYPERLINK("https://ictv.global/taxonomy/taxondetails?taxnode_id=202504365&amp;ictv_id=ICTV19951805","ICTV19951805")</f>
        <v>ICTV19951805</v>
      </c>
      <c r="R17349" t="s">
        <v>579</v>
      </c>
      <c r="S17349" t="s">
        <v>824</v>
      </c>
      <c r="T17349">
        <v>37</v>
      </c>
      <c r="U17349" s="26" t="str">
        <f t="shared" si="662"/>
        <v>2021.006D.R.Polydnaviriformidae_1renfam_3rensp.zip</v>
      </c>
    </row>
    <row r="17350" spans="1:21">
      <c r="A17350">
        <v>17349</v>
      </c>
      <c r="L17350" s="27" t="s">
        <v>11143</v>
      </c>
      <c r="N17350" s="27" t="s">
        <v>11176</v>
      </c>
      <c r="P17350" s="27" t="s">
        <v>11177</v>
      </c>
      <c r="Q17350" s="26" t="str">
        <f>HYPERLINK("https://ictv.global/taxonomy/taxondetails?taxnode_id=202504394&amp;ictv_id=ICTV19951834","ICTV19951834")</f>
        <v>ICTV19951834</v>
      </c>
      <c r="R17350" t="s">
        <v>579</v>
      </c>
      <c r="S17350" t="s">
        <v>824</v>
      </c>
      <c r="T17350">
        <v>37</v>
      </c>
      <c r="U17350" s="26" t="str">
        <f t="shared" si="662"/>
        <v>2021.006D.R.Polydnaviriformidae_1renfam_3rensp.zip</v>
      </c>
    </row>
    <row r="17351" spans="1:21">
      <c r="A17351">
        <v>17350</v>
      </c>
      <c r="L17351" s="27" t="s">
        <v>11143</v>
      </c>
      <c r="N17351" s="27" t="s">
        <v>11176</v>
      </c>
      <c r="P17351" s="27" t="s">
        <v>11178</v>
      </c>
      <c r="Q17351" s="26" t="str">
        <f>HYPERLINK("https://ictv.global/taxonomy/taxondetails?taxnode_id=202504400&amp;ictv_id=ICTV19951842","ICTV19951842")</f>
        <v>ICTV19951842</v>
      </c>
      <c r="R17351" t="s">
        <v>579</v>
      </c>
      <c r="S17351" t="s">
        <v>824</v>
      </c>
      <c r="T17351">
        <v>37</v>
      </c>
      <c r="U17351" s="26" t="str">
        <f t="shared" ref="U17351:U17371" si="663">HYPERLINK("https://ictv.global/ictv/proposals/2021.006D.R.Polydnaviriformidae_1renfam_3rensp.zip","2021.006D.R.Polydnaviriformidae_1renfam_3rensp.zip")</f>
        <v>2021.006D.R.Polydnaviriformidae_1renfam_3rensp.zip</v>
      </c>
    </row>
    <row r="17352" spans="1:21">
      <c r="A17352">
        <v>17351</v>
      </c>
      <c r="L17352" s="27" t="s">
        <v>11143</v>
      </c>
      <c r="N17352" s="27" t="s">
        <v>11176</v>
      </c>
      <c r="P17352" s="27" t="s">
        <v>11179</v>
      </c>
      <c r="Q17352" s="26" t="str">
        <f>HYPERLINK("https://ictv.global/taxonomy/taxondetails?taxnode_id=202504388&amp;ictv_id=ICTV19951826","ICTV19951826")</f>
        <v>ICTV19951826</v>
      </c>
      <c r="R17352" t="s">
        <v>579</v>
      </c>
      <c r="S17352" t="s">
        <v>824</v>
      </c>
      <c r="T17352">
        <v>37</v>
      </c>
      <c r="U17352" s="26" t="str">
        <f t="shared" si="663"/>
        <v>2021.006D.R.Polydnaviriformidae_1renfam_3rensp.zip</v>
      </c>
    </row>
    <row r="17353" spans="1:21">
      <c r="A17353">
        <v>17352</v>
      </c>
      <c r="L17353" s="27" t="s">
        <v>11143</v>
      </c>
      <c r="N17353" s="27" t="s">
        <v>11176</v>
      </c>
      <c r="P17353" s="27" t="s">
        <v>11180</v>
      </c>
      <c r="Q17353" s="26" t="str">
        <f>HYPERLINK("https://ictv.global/taxonomy/taxondetails?taxnode_id=202504391&amp;ictv_id=ICTV19951830","ICTV19951830")</f>
        <v>ICTV19951830</v>
      </c>
      <c r="R17353" t="s">
        <v>579</v>
      </c>
      <c r="S17353" t="s">
        <v>824</v>
      </c>
      <c r="T17353">
        <v>37</v>
      </c>
      <c r="U17353" s="26" t="str">
        <f t="shared" si="663"/>
        <v>2021.006D.R.Polydnaviriformidae_1renfam_3rensp.zip</v>
      </c>
    </row>
    <row r="17354" spans="1:21">
      <c r="A17354">
        <v>17353</v>
      </c>
      <c r="L17354" s="27" t="s">
        <v>11143</v>
      </c>
      <c r="N17354" s="27" t="s">
        <v>11176</v>
      </c>
      <c r="P17354" s="27" t="s">
        <v>11181</v>
      </c>
      <c r="Q17354" s="26" t="str">
        <f>HYPERLINK("https://ictv.global/taxonomy/taxondetails?taxnode_id=202504406&amp;ictv_id=ICTV19951849","ICTV19951849")</f>
        <v>ICTV19951849</v>
      </c>
      <c r="R17354" t="s">
        <v>579</v>
      </c>
      <c r="S17354" t="s">
        <v>824</v>
      </c>
      <c r="T17354">
        <v>37</v>
      </c>
      <c r="U17354" s="26" t="str">
        <f t="shared" si="663"/>
        <v>2021.006D.R.Polydnaviriformidae_1renfam_3rensp.zip</v>
      </c>
    </row>
    <row r="17355" spans="1:21">
      <c r="A17355">
        <v>17354</v>
      </c>
      <c r="L17355" s="27" t="s">
        <v>11143</v>
      </c>
      <c r="N17355" s="27" t="s">
        <v>11176</v>
      </c>
      <c r="P17355" s="27" t="s">
        <v>11182</v>
      </c>
      <c r="Q17355" s="26" t="str">
        <f>HYPERLINK("https://ictv.global/taxonomy/taxondetails?taxnode_id=202504398&amp;ictv_id=ICTV19951839","ICTV19951839")</f>
        <v>ICTV19951839</v>
      </c>
      <c r="R17355" t="s">
        <v>579</v>
      </c>
      <c r="S17355" t="s">
        <v>824</v>
      </c>
      <c r="T17355">
        <v>37</v>
      </c>
      <c r="U17355" s="26" t="str">
        <f t="shared" si="663"/>
        <v>2021.006D.R.Polydnaviriformidae_1renfam_3rensp.zip</v>
      </c>
    </row>
    <row r="17356" spans="1:21">
      <c r="A17356">
        <v>17355</v>
      </c>
      <c r="L17356" s="27" t="s">
        <v>11143</v>
      </c>
      <c r="N17356" s="27" t="s">
        <v>11176</v>
      </c>
      <c r="P17356" s="27" t="s">
        <v>11183</v>
      </c>
      <c r="Q17356" s="26" t="str">
        <f>HYPERLINK("https://ictv.global/taxonomy/taxondetails?taxnode_id=202504401&amp;ictv_id=ICTV19951843","ICTV19951843")</f>
        <v>ICTV19951843</v>
      </c>
      <c r="R17356" t="s">
        <v>579</v>
      </c>
      <c r="S17356" t="s">
        <v>824</v>
      </c>
      <c r="T17356">
        <v>37</v>
      </c>
      <c r="U17356" s="26" t="str">
        <f t="shared" si="663"/>
        <v>2021.006D.R.Polydnaviriformidae_1renfam_3rensp.zip</v>
      </c>
    </row>
    <row r="17357" spans="1:21">
      <c r="A17357">
        <v>17356</v>
      </c>
      <c r="L17357" s="27" t="s">
        <v>11143</v>
      </c>
      <c r="N17357" s="27" t="s">
        <v>11176</v>
      </c>
      <c r="P17357" s="27" t="s">
        <v>11184</v>
      </c>
      <c r="Q17357" s="26" t="str">
        <f>HYPERLINK("https://ictv.global/taxonomy/taxondetails?taxnode_id=202504389&amp;ictv_id=ICTV19951827","ICTV19951827")</f>
        <v>ICTV19951827</v>
      </c>
      <c r="R17357" t="s">
        <v>579</v>
      </c>
      <c r="S17357" t="s">
        <v>824</v>
      </c>
      <c r="T17357">
        <v>37</v>
      </c>
      <c r="U17357" s="26" t="str">
        <f t="shared" si="663"/>
        <v>2021.006D.R.Polydnaviriformidae_1renfam_3rensp.zip</v>
      </c>
    </row>
    <row r="17358" spans="1:21">
      <c r="A17358">
        <v>17357</v>
      </c>
      <c r="L17358" s="27" t="s">
        <v>11143</v>
      </c>
      <c r="N17358" s="27" t="s">
        <v>11176</v>
      </c>
      <c r="P17358" s="27" t="s">
        <v>11185</v>
      </c>
      <c r="Q17358" s="26" t="str">
        <f>HYPERLINK("https://ictv.global/taxonomy/taxondetails?taxnode_id=202504392&amp;ictv_id=ICTV19951831","ICTV19951831")</f>
        <v>ICTV19951831</v>
      </c>
      <c r="R17358" t="s">
        <v>579</v>
      </c>
      <c r="S17358" t="s">
        <v>824</v>
      </c>
      <c r="T17358">
        <v>37</v>
      </c>
      <c r="U17358" s="26" t="str">
        <f t="shared" si="663"/>
        <v>2021.006D.R.Polydnaviriformidae_1renfam_3rensp.zip</v>
      </c>
    </row>
    <row r="17359" spans="1:21">
      <c r="A17359">
        <v>17358</v>
      </c>
      <c r="L17359" s="27" t="s">
        <v>11143</v>
      </c>
      <c r="N17359" s="27" t="s">
        <v>11176</v>
      </c>
      <c r="P17359" s="27" t="s">
        <v>11186</v>
      </c>
      <c r="Q17359" s="26" t="str">
        <f>HYPERLINK("https://ictv.global/taxonomy/taxondetails?taxnode_id=202504402&amp;ictv_id=ICTV19951844","ICTV19951844")</f>
        <v>ICTV19951844</v>
      </c>
      <c r="R17359" t="s">
        <v>579</v>
      </c>
      <c r="S17359" t="s">
        <v>824</v>
      </c>
      <c r="T17359">
        <v>37</v>
      </c>
      <c r="U17359" s="26" t="str">
        <f t="shared" si="663"/>
        <v>2021.006D.R.Polydnaviriformidae_1renfam_3rensp.zip</v>
      </c>
    </row>
    <row r="17360" spans="1:21">
      <c r="A17360">
        <v>17359</v>
      </c>
      <c r="L17360" s="27" t="s">
        <v>11143</v>
      </c>
      <c r="N17360" s="27" t="s">
        <v>11176</v>
      </c>
      <c r="P17360" s="27" t="s">
        <v>11187</v>
      </c>
      <c r="Q17360" s="26" t="str">
        <f>HYPERLINK("https://ictv.global/taxonomy/taxondetails?taxnode_id=202504399&amp;ictv_id=ICTV19951840","ICTV19951840")</f>
        <v>ICTV19951840</v>
      </c>
      <c r="R17360" t="s">
        <v>579</v>
      </c>
      <c r="S17360" t="s">
        <v>824</v>
      </c>
      <c r="T17360">
        <v>37</v>
      </c>
      <c r="U17360" s="26" t="str">
        <f t="shared" si="663"/>
        <v>2021.006D.R.Polydnaviriformidae_1renfam_3rensp.zip</v>
      </c>
    </row>
    <row r="17361" spans="1:21">
      <c r="A17361">
        <v>17360</v>
      </c>
      <c r="L17361" s="27" t="s">
        <v>11143</v>
      </c>
      <c r="N17361" s="27" t="s">
        <v>11176</v>
      </c>
      <c r="P17361" s="27" t="s">
        <v>11188</v>
      </c>
      <c r="Q17361" s="26" t="str">
        <f>HYPERLINK("https://ictv.global/taxonomy/taxondetails?taxnode_id=202504407&amp;ictv_id=ICTV19951850","ICTV19951850")</f>
        <v>ICTV19951850</v>
      </c>
      <c r="R17361" t="s">
        <v>579</v>
      </c>
      <c r="S17361" t="s">
        <v>824</v>
      </c>
      <c r="T17361">
        <v>37</v>
      </c>
      <c r="U17361" s="26" t="str">
        <f t="shared" si="663"/>
        <v>2021.006D.R.Polydnaviriformidae_1renfam_3rensp.zip</v>
      </c>
    </row>
    <row r="17362" spans="1:21">
      <c r="A17362">
        <v>17361</v>
      </c>
      <c r="L17362" s="27" t="s">
        <v>11143</v>
      </c>
      <c r="N17362" s="27" t="s">
        <v>11176</v>
      </c>
      <c r="P17362" s="27" t="s">
        <v>11189</v>
      </c>
      <c r="Q17362" s="26" t="str">
        <f>HYPERLINK("https://ictv.global/taxonomy/taxondetails?taxnode_id=202504393&amp;ictv_id=ICTV19951832","ICTV19951832")</f>
        <v>ICTV19951832</v>
      </c>
      <c r="R17362" t="s">
        <v>579</v>
      </c>
      <c r="S17362" t="s">
        <v>824</v>
      </c>
      <c r="T17362">
        <v>37</v>
      </c>
      <c r="U17362" s="26" t="str">
        <f t="shared" si="663"/>
        <v>2021.006D.R.Polydnaviriformidae_1renfam_3rensp.zip</v>
      </c>
    </row>
    <row r="17363" spans="1:21">
      <c r="A17363">
        <v>17362</v>
      </c>
      <c r="L17363" s="27" t="s">
        <v>11143</v>
      </c>
      <c r="N17363" s="27" t="s">
        <v>11176</v>
      </c>
      <c r="P17363" s="27" t="s">
        <v>11190</v>
      </c>
      <c r="Q17363" s="26" t="str">
        <f>HYPERLINK("https://ictv.global/taxonomy/taxondetails?taxnode_id=202504395&amp;ictv_id=ICTV19951835","ICTV19951835")</f>
        <v>ICTV19951835</v>
      </c>
      <c r="R17363" t="s">
        <v>579</v>
      </c>
      <c r="S17363" t="s">
        <v>824</v>
      </c>
      <c r="T17363">
        <v>37</v>
      </c>
      <c r="U17363" s="26" t="str">
        <f t="shared" si="663"/>
        <v>2021.006D.R.Polydnaviriformidae_1renfam_3rensp.zip</v>
      </c>
    </row>
    <row r="17364" spans="1:21">
      <c r="A17364">
        <v>17363</v>
      </c>
      <c r="L17364" s="27" t="s">
        <v>11143</v>
      </c>
      <c r="N17364" s="27" t="s">
        <v>11176</v>
      </c>
      <c r="P17364" s="27" t="s">
        <v>11191</v>
      </c>
      <c r="Q17364" s="26" t="str">
        <f>HYPERLINK("https://ictv.global/taxonomy/taxondetails?taxnode_id=202504403&amp;ictv_id=ICTV19951845","ICTV19951845")</f>
        <v>ICTV19951845</v>
      </c>
      <c r="R17364" t="s">
        <v>579</v>
      </c>
      <c r="S17364" t="s">
        <v>824</v>
      </c>
      <c r="T17364">
        <v>37</v>
      </c>
      <c r="U17364" s="26" t="str">
        <f t="shared" si="663"/>
        <v>2021.006D.R.Polydnaviriformidae_1renfam_3rensp.zip</v>
      </c>
    </row>
    <row r="17365" spans="1:21">
      <c r="A17365">
        <v>17364</v>
      </c>
      <c r="L17365" s="27" t="s">
        <v>11143</v>
      </c>
      <c r="N17365" s="27" t="s">
        <v>11176</v>
      </c>
      <c r="P17365" s="27" t="s">
        <v>11192</v>
      </c>
      <c r="Q17365" s="26" t="str">
        <f>HYPERLINK("https://ictv.global/taxonomy/taxondetails?taxnode_id=202504397&amp;ictv_id=ICTV19951838","ICTV19951838")</f>
        <v>ICTV19951838</v>
      </c>
      <c r="R17365" t="s">
        <v>579</v>
      </c>
      <c r="S17365" t="s">
        <v>824</v>
      </c>
      <c r="T17365">
        <v>37</v>
      </c>
      <c r="U17365" s="26" t="str">
        <f t="shared" si="663"/>
        <v>2021.006D.R.Polydnaviriformidae_1renfam_3rensp.zip</v>
      </c>
    </row>
    <row r="17366" spans="1:21">
      <c r="A17366">
        <v>17365</v>
      </c>
      <c r="L17366" s="27" t="s">
        <v>11143</v>
      </c>
      <c r="N17366" s="27" t="s">
        <v>11176</v>
      </c>
      <c r="P17366" s="27" t="s">
        <v>11193</v>
      </c>
      <c r="Q17366" s="26" t="str">
        <f>HYPERLINK("https://ictv.global/taxonomy/taxondetails?taxnode_id=202504404&amp;ictv_id=ICTV19951846","ICTV19951846")</f>
        <v>ICTV19951846</v>
      </c>
      <c r="R17366" t="s">
        <v>579</v>
      </c>
      <c r="S17366" t="s">
        <v>824</v>
      </c>
      <c r="T17366">
        <v>37</v>
      </c>
      <c r="U17366" s="26" t="str">
        <f t="shared" si="663"/>
        <v>2021.006D.R.Polydnaviriformidae_1renfam_3rensp.zip</v>
      </c>
    </row>
    <row r="17367" spans="1:21">
      <c r="A17367">
        <v>17366</v>
      </c>
      <c r="L17367" s="27" t="s">
        <v>11143</v>
      </c>
      <c r="N17367" s="27" t="s">
        <v>11176</v>
      </c>
      <c r="P17367" s="27" t="s">
        <v>11194</v>
      </c>
      <c r="Q17367" s="26" t="str">
        <f>HYPERLINK("https://ictv.global/taxonomy/taxondetails?taxnode_id=202504405&amp;ictv_id=ICTV19951847","ICTV19951847")</f>
        <v>ICTV19951847</v>
      </c>
      <c r="R17367" t="s">
        <v>579</v>
      </c>
      <c r="S17367" t="s">
        <v>824</v>
      </c>
      <c r="T17367">
        <v>37</v>
      </c>
      <c r="U17367" s="26" t="str">
        <f t="shared" si="663"/>
        <v>2021.006D.R.Polydnaviriformidae_1renfam_3rensp.zip</v>
      </c>
    </row>
    <row r="17368" spans="1:21">
      <c r="A17368">
        <v>17367</v>
      </c>
      <c r="L17368" s="27" t="s">
        <v>11143</v>
      </c>
      <c r="N17368" s="27" t="s">
        <v>11176</v>
      </c>
      <c r="P17368" s="27" t="s">
        <v>11195</v>
      </c>
      <c r="Q17368" s="26" t="str">
        <f>HYPERLINK("https://ictv.global/taxonomy/taxondetails?taxnode_id=202504386&amp;ictv_id=ICTV19991293","ICTV19991293")</f>
        <v>ICTV19991293</v>
      </c>
      <c r="R17368" t="s">
        <v>579</v>
      </c>
      <c r="S17368" t="s">
        <v>22764</v>
      </c>
      <c r="T17368">
        <v>37</v>
      </c>
      <c r="U17368" s="26" t="str">
        <f t="shared" si="663"/>
        <v>2021.006D.R.Polydnaviriformidae_1renfam_3rensp.zip</v>
      </c>
    </row>
    <row r="17369" spans="1:21">
      <c r="A17369">
        <v>17368</v>
      </c>
      <c r="L17369" s="27" t="s">
        <v>11143</v>
      </c>
      <c r="N17369" s="27" t="s">
        <v>11176</v>
      </c>
      <c r="P17369" s="27" t="s">
        <v>11196</v>
      </c>
      <c r="Q17369" s="26" t="str">
        <f>HYPERLINK("https://ictv.global/taxonomy/taxondetails?taxnode_id=202504390&amp;ictv_id=ICTV19901054","ICTV19901054")</f>
        <v>ICTV19901054</v>
      </c>
      <c r="R17369" t="s">
        <v>579</v>
      </c>
      <c r="S17369" t="s">
        <v>824</v>
      </c>
      <c r="T17369">
        <v>37</v>
      </c>
      <c r="U17369" s="26" t="str">
        <f t="shared" si="663"/>
        <v>2021.006D.R.Polydnaviriformidae_1renfam_3rensp.zip</v>
      </c>
    </row>
    <row r="17370" spans="1:21">
      <c r="A17370">
        <v>17369</v>
      </c>
      <c r="L17370" s="27" t="s">
        <v>11143</v>
      </c>
      <c r="N17370" s="27" t="s">
        <v>11176</v>
      </c>
      <c r="P17370" s="27" t="s">
        <v>11197</v>
      </c>
      <c r="Q17370" s="26" t="str">
        <f>HYPERLINK("https://ictv.global/taxonomy/taxondetails?taxnode_id=202504408&amp;ictv_id=ICTV19951851","ICTV19951851")</f>
        <v>ICTV19951851</v>
      </c>
      <c r="R17370" t="s">
        <v>579</v>
      </c>
      <c r="S17370" t="s">
        <v>824</v>
      </c>
      <c r="T17370">
        <v>37</v>
      </c>
      <c r="U17370" s="26" t="str">
        <f t="shared" si="663"/>
        <v>2021.006D.R.Polydnaviriformidae_1renfam_3rensp.zip</v>
      </c>
    </row>
    <row r="17371" spans="1:21">
      <c r="A17371">
        <v>17370</v>
      </c>
      <c r="L17371" s="27" t="s">
        <v>11143</v>
      </c>
      <c r="N17371" s="27" t="s">
        <v>11176</v>
      </c>
      <c r="P17371" s="27" t="s">
        <v>11198</v>
      </c>
      <c r="Q17371" s="26" t="str">
        <f>HYPERLINK("https://ictv.global/taxonomy/taxondetails?taxnode_id=202504396&amp;ictv_id=ICTV19951836","ICTV19951836")</f>
        <v>ICTV19951836</v>
      </c>
      <c r="R17371" t="s">
        <v>579</v>
      </c>
      <c r="S17371" t="s">
        <v>824</v>
      </c>
      <c r="T17371">
        <v>37</v>
      </c>
      <c r="U17371" s="26" t="str">
        <f t="shared" si="663"/>
        <v>2021.006D.R.Polydnaviriformidae_1renfam_3rensp.zip</v>
      </c>
    </row>
    <row r="17372" spans="1:21">
      <c r="A17372">
        <v>17371</v>
      </c>
      <c r="L17372" s="27" t="s">
        <v>914</v>
      </c>
      <c r="N17372" s="27" t="s">
        <v>915</v>
      </c>
      <c r="P17372" s="27" t="s">
        <v>18335</v>
      </c>
      <c r="Q17372" s="26" t="str">
        <f>HYPERLINK("https://ictv.global/taxonomy/taxondetails?taxnode_id=202505912&amp;ictv_id=ICTV20175912","ICTV20175912")</f>
        <v>ICTV20175912</v>
      </c>
      <c r="R17372" t="s">
        <v>579</v>
      </c>
      <c r="S17372" t="s">
        <v>824</v>
      </c>
      <c r="T17372">
        <v>39</v>
      </c>
      <c r="U17372" s="26" t="str">
        <f>HYPERLINK("https://ictv.global/ictv/proposals/2023.001A.Archaeal_binomials.zip","2023.001A.Archaeal_binomials.zip")</f>
        <v>2023.001A.Archaeal_binomials.zip</v>
      </c>
    </row>
    <row r="17373" spans="1:21">
      <c r="A17373">
        <v>17372</v>
      </c>
      <c r="L17373" s="27" t="s">
        <v>914</v>
      </c>
      <c r="N17373" s="27" t="s">
        <v>915</v>
      </c>
      <c r="P17373" s="27" t="s">
        <v>18336</v>
      </c>
      <c r="Q17373" s="26" t="str">
        <f>HYPERLINK("https://ictv.global/taxonomy/taxondetails?taxnode_id=202508646&amp;ictv_id=ICTV201908646","ICTV201908646")</f>
        <v>ICTV201908646</v>
      </c>
      <c r="R17373" t="s">
        <v>579</v>
      </c>
      <c r="S17373" t="s">
        <v>824</v>
      </c>
      <c r="T17373">
        <v>39</v>
      </c>
      <c r="U17373" s="26" t="str">
        <f>HYPERLINK("https://ictv.global/ictv/proposals/2023.001A.Archaeal_binomials.zip","2023.001A.Archaeal_binomials.zip")</f>
        <v>2023.001A.Archaeal_binomials.zip</v>
      </c>
    </row>
    <row r="17374" spans="1:21">
      <c r="A17374">
        <v>17373</v>
      </c>
      <c r="L17374" s="27" t="s">
        <v>450</v>
      </c>
      <c r="N17374" s="27" t="s">
        <v>451</v>
      </c>
      <c r="P17374" s="27" t="s">
        <v>18337</v>
      </c>
      <c r="Q17374" s="26" t="str">
        <f>HYPERLINK("https://ictv.global/taxonomy/taxondetails?taxnode_id=202504506&amp;ictv_id=ICTV19911900","ICTV19911900")</f>
        <v>ICTV19911900</v>
      </c>
      <c r="R17374" t="s">
        <v>1106</v>
      </c>
      <c r="S17374" t="s">
        <v>824</v>
      </c>
      <c r="T17374">
        <v>39</v>
      </c>
      <c r="U17374" s="26" t="str">
        <f t="shared" ref="U17374:U17384" si="664">HYPERLINK("https://ictv.global/ictv/proposals/2023.032P.Avsunviroidae_and_Pospiviroidae_rename_sp.zip","2023.032P.Avsunviroidae_and_Pospiviroidae_rename_sp.zip")</f>
        <v>2023.032P.Avsunviroidae_and_Pospiviroidae_rename_sp.zip</v>
      </c>
    </row>
    <row r="17375" spans="1:21">
      <c r="A17375">
        <v>17374</v>
      </c>
      <c r="L17375" s="27" t="s">
        <v>450</v>
      </c>
      <c r="N17375" s="27" t="s">
        <v>451</v>
      </c>
      <c r="P17375" s="27" t="s">
        <v>18338</v>
      </c>
      <c r="Q17375" s="26" t="str">
        <f>HYPERLINK("https://ictv.global/taxonomy/taxondetails?taxnode_id=202504501&amp;ictv_id=ICTV19911889","ICTV19911889")</f>
        <v>ICTV19911889</v>
      </c>
      <c r="R17375" t="s">
        <v>1106</v>
      </c>
      <c r="S17375" t="s">
        <v>824</v>
      </c>
      <c r="T17375">
        <v>39</v>
      </c>
      <c r="U17375" s="26" t="str">
        <f t="shared" si="664"/>
        <v>2023.032P.Avsunviroidae_and_Pospiviroidae_rename_sp.zip</v>
      </c>
    </row>
    <row r="17376" spans="1:21">
      <c r="A17376">
        <v>17375</v>
      </c>
      <c r="L17376" s="27" t="s">
        <v>450</v>
      </c>
      <c r="N17376" s="27" t="s">
        <v>451</v>
      </c>
      <c r="P17376" s="27" t="s">
        <v>18339</v>
      </c>
      <c r="Q17376" s="26" t="str">
        <f>HYPERLINK("https://ictv.global/taxonomy/taxondetails?taxnode_id=202513873&amp;ictv_id=ICTV202113873","ICTV202113873")</f>
        <v>ICTV202113873</v>
      </c>
      <c r="R17376" t="s">
        <v>1106</v>
      </c>
      <c r="S17376" t="s">
        <v>824</v>
      </c>
      <c r="T17376">
        <v>39</v>
      </c>
      <c r="U17376" s="26" t="str">
        <f t="shared" si="664"/>
        <v>2023.032P.Avsunviroidae_and_Pospiviroidae_rename_sp.zip</v>
      </c>
    </row>
    <row r="17377" spans="1:21">
      <c r="A17377">
        <v>17376</v>
      </c>
      <c r="L17377" s="27" t="s">
        <v>450</v>
      </c>
      <c r="N17377" s="27" t="s">
        <v>451</v>
      </c>
      <c r="P17377" s="27" t="s">
        <v>18340</v>
      </c>
      <c r="Q17377" s="26" t="str">
        <f>HYPERLINK("https://ictv.global/taxonomy/taxondetails?taxnode_id=202504507&amp;ictv_id=ICTV19911901","ICTV19911901")</f>
        <v>ICTV19911901</v>
      </c>
      <c r="R17377" t="s">
        <v>1106</v>
      </c>
      <c r="S17377" t="s">
        <v>824</v>
      </c>
      <c r="T17377">
        <v>39</v>
      </c>
      <c r="U17377" s="26" t="str">
        <f t="shared" si="664"/>
        <v>2023.032P.Avsunviroidae_and_Pospiviroidae_rename_sp.zip</v>
      </c>
    </row>
    <row r="17378" spans="1:21">
      <c r="A17378">
        <v>17377</v>
      </c>
      <c r="L17378" s="27" t="s">
        <v>450</v>
      </c>
      <c r="N17378" s="27" t="s">
        <v>451</v>
      </c>
      <c r="P17378" s="27" t="s">
        <v>18341</v>
      </c>
      <c r="Q17378" s="26" t="str">
        <f>HYPERLINK("https://ictv.global/taxonomy/taxondetails?taxnode_id=202504500&amp;ictv_id=ICTV19911888","ICTV19911888")</f>
        <v>ICTV19911888</v>
      </c>
      <c r="R17378" t="s">
        <v>1106</v>
      </c>
      <c r="S17378" t="s">
        <v>824</v>
      </c>
      <c r="T17378">
        <v>39</v>
      </c>
      <c r="U17378" s="26" t="str">
        <f t="shared" si="664"/>
        <v>2023.032P.Avsunviroidae_and_Pospiviroidae_rename_sp.zip</v>
      </c>
    </row>
    <row r="17379" spans="1:21">
      <c r="A17379">
        <v>17378</v>
      </c>
      <c r="L17379" s="27" t="s">
        <v>450</v>
      </c>
      <c r="N17379" s="27" t="s">
        <v>451</v>
      </c>
      <c r="P17379" s="27" t="s">
        <v>18342</v>
      </c>
      <c r="Q17379" s="26" t="str">
        <f>HYPERLINK("https://ictv.global/taxonomy/taxondetails?taxnode_id=202504502&amp;ictv_id=ICTV19952489","ICTV19952489")</f>
        <v>ICTV19952489</v>
      </c>
      <c r="R17379" t="s">
        <v>1106</v>
      </c>
      <c r="S17379" t="s">
        <v>824</v>
      </c>
      <c r="T17379">
        <v>39</v>
      </c>
      <c r="U17379" s="26" t="str">
        <f t="shared" si="664"/>
        <v>2023.032P.Avsunviroidae_and_Pospiviroidae_rename_sp.zip</v>
      </c>
    </row>
    <row r="17380" spans="1:21">
      <c r="A17380">
        <v>17379</v>
      </c>
      <c r="L17380" s="27" t="s">
        <v>450</v>
      </c>
      <c r="N17380" s="27" t="s">
        <v>451</v>
      </c>
      <c r="P17380" s="27" t="s">
        <v>18343</v>
      </c>
      <c r="Q17380" s="26" t="str">
        <f>HYPERLINK("https://ictv.global/taxonomy/taxondetails?taxnode_id=202513869&amp;ictv_id=ICTV202113869","ICTV202113869")</f>
        <v>ICTV202113869</v>
      </c>
      <c r="R17380" t="s">
        <v>1106</v>
      </c>
      <c r="S17380" t="s">
        <v>824</v>
      </c>
      <c r="T17380">
        <v>39</v>
      </c>
      <c r="U17380" s="26" t="str">
        <f t="shared" si="664"/>
        <v>2023.032P.Avsunviroidae_and_Pospiviroidae_rename_sp.zip</v>
      </c>
    </row>
    <row r="17381" spans="1:21">
      <c r="A17381">
        <v>17380</v>
      </c>
      <c r="L17381" s="27" t="s">
        <v>450</v>
      </c>
      <c r="N17381" s="27" t="s">
        <v>451</v>
      </c>
      <c r="P17381" s="27" t="s">
        <v>18344</v>
      </c>
      <c r="Q17381" s="26" t="str">
        <f>HYPERLINK("https://ictv.global/taxonomy/taxondetails?taxnode_id=202513872&amp;ictv_id=ICTV202113872","ICTV202113872")</f>
        <v>ICTV202113872</v>
      </c>
      <c r="R17381" t="s">
        <v>1106</v>
      </c>
      <c r="S17381" t="s">
        <v>824</v>
      </c>
      <c r="T17381">
        <v>39</v>
      </c>
      <c r="U17381" s="26" t="str">
        <f t="shared" si="664"/>
        <v>2023.032P.Avsunviroidae_and_Pospiviroidae_rename_sp.zip</v>
      </c>
    </row>
    <row r="17382" spans="1:21">
      <c r="A17382">
        <v>17381</v>
      </c>
      <c r="L17382" s="27" t="s">
        <v>450</v>
      </c>
      <c r="N17382" s="27" t="s">
        <v>451</v>
      </c>
      <c r="P17382" s="27" t="s">
        <v>18345</v>
      </c>
      <c r="Q17382" s="26" t="str">
        <f>HYPERLINK("https://ictv.global/taxonomy/taxondetails?taxnode_id=202504504&amp;ictv_id=ICTV20094485","ICTV20094485")</f>
        <v>ICTV20094485</v>
      </c>
      <c r="R17382" t="s">
        <v>1106</v>
      </c>
      <c r="S17382" t="s">
        <v>824</v>
      </c>
      <c r="T17382">
        <v>39</v>
      </c>
      <c r="U17382" s="26" t="str">
        <f t="shared" si="664"/>
        <v>2023.032P.Avsunviroidae_and_Pospiviroidae_rename_sp.zip</v>
      </c>
    </row>
    <row r="17383" spans="1:21">
      <c r="A17383">
        <v>17382</v>
      </c>
      <c r="L17383" s="27" t="s">
        <v>450</v>
      </c>
      <c r="N17383" s="27" t="s">
        <v>451</v>
      </c>
      <c r="P17383" s="27" t="s">
        <v>18346</v>
      </c>
      <c r="Q17383" s="26" t="str">
        <f>HYPERLINK("https://ictv.global/taxonomy/taxondetails?taxnode_id=202513868&amp;ictv_id=ICTV202113868","ICTV202113868")</f>
        <v>ICTV202113868</v>
      </c>
      <c r="R17383" t="s">
        <v>1106</v>
      </c>
      <c r="S17383" t="s">
        <v>824</v>
      </c>
      <c r="T17383">
        <v>39</v>
      </c>
      <c r="U17383" s="26" t="str">
        <f t="shared" si="664"/>
        <v>2023.032P.Avsunviroidae_and_Pospiviroidae_rename_sp.zip</v>
      </c>
    </row>
    <row r="17384" spans="1:21">
      <c r="A17384">
        <v>17383</v>
      </c>
      <c r="L17384" s="27" t="s">
        <v>450</v>
      </c>
      <c r="N17384" s="27" t="s">
        <v>451</v>
      </c>
      <c r="P17384" s="27" t="s">
        <v>18347</v>
      </c>
      <c r="Q17384" s="26" t="str">
        <f>HYPERLINK("https://ictv.global/taxonomy/taxondetails?taxnode_id=202504499&amp;ictv_id=ICTV19991327","ICTV19991327")</f>
        <v>ICTV19991327</v>
      </c>
      <c r="R17384" t="s">
        <v>1106</v>
      </c>
      <c r="S17384" t="s">
        <v>824</v>
      </c>
      <c r="T17384">
        <v>39</v>
      </c>
      <c r="U17384" s="26" t="str">
        <f t="shared" si="664"/>
        <v>2023.032P.Avsunviroidae_and_Pospiviroidae_rename_sp.zip</v>
      </c>
    </row>
    <row r="17385" spans="1:21">
      <c r="A17385">
        <v>17384</v>
      </c>
      <c r="L17385" s="27" t="s">
        <v>450</v>
      </c>
      <c r="N17385" s="27" t="s">
        <v>451</v>
      </c>
      <c r="P17385" s="27" t="s">
        <v>18348</v>
      </c>
      <c r="Q17385" s="26" t="str">
        <f>HYPERLINK("https://ictv.global/taxonomy/taxondetails?taxnode_id=202519071&amp;ictv_id=ICTV202319071","ICTV202319071")</f>
        <v>ICTV202319071</v>
      </c>
      <c r="R17385" t="s">
        <v>1106</v>
      </c>
      <c r="S17385" t="s">
        <v>823</v>
      </c>
      <c r="T17385">
        <v>39</v>
      </c>
      <c r="U17385" s="26" t="str">
        <f>HYPERLINK("https://ictv.global/ictv/proposals/2023.031P.Apscaviroid_1nsp.zip","2023.031P.Apscaviroid_1nsp.zip")</f>
        <v>2023.031P.Apscaviroid_1nsp.zip</v>
      </c>
    </row>
    <row r="17386" spans="1:21">
      <c r="A17386">
        <v>17385</v>
      </c>
      <c r="L17386" s="27" t="s">
        <v>450</v>
      </c>
      <c r="N17386" s="27" t="s">
        <v>451</v>
      </c>
      <c r="P17386" s="27" t="s">
        <v>18349</v>
      </c>
      <c r="Q17386" s="26" t="str">
        <f>HYPERLINK("https://ictv.global/taxonomy/taxondetails?taxnode_id=202513874&amp;ictv_id=ICTV202113874","ICTV202113874")</f>
        <v>ICTV202113874</v>
      </c>
      <c r="R17386" t="s">
        <v>1106</v>
      </c>
      <c r="S17386" t="s">
        <v>824</v>
      </c>
      <c r="T17386">
        <v>39</v>
      </c>
      <c r="U17386" s="26" t="str">
        <f t="shared" ref="U17386:U17413" si="665">HYPERLINK("https://ictv.global/ictv/proposals/2023.032P.Avsunviroidae_and_Pospiviroidae_rename_sp.zip","2023.032P.Avsunviroidae_and_Pospiviroidae_rename_sp.zip")</f>
        <v>2023.032P.Avsunviroidae_and_Pospiviroidae_rename_sp.zip</v>
      </c>
    </row>
    <row r="17387" spans="1:21">
      <c r="A17387">
        <v>17386</v>
      </c>
      <c r="L17387" s="27" t="s">
        <v>450</v>
      </c>
      <c r="N17387" s="27" t="s">
        <v>451</v>
      </c>
      <c r="P17387" s="27" t="s">
        <v>18350</v>
      </c>
      <c r="Q17387" s="26" t="str">
        <f>HYPERLINK("https://ictv.global/taxonomy/taxondetails?taxnode_id=202513870&amp;ictv_id=ICTV202113870","ICTV202113870")</f>
        <v>ICTV202113870</v>
      </c>
      <c r="R17387" t="s">
        <v>1106</v>
      </c>
      <c r="S17387" t="s">
        <v>824</v>
      </c>
      <c r="T17387">
        <v>39</v>
      </c>
      <c r="U17387" s="26" t="str">
        <f t="shared" si="665"/>
        <v>2023.032P.Avsunviroidae_and_Pospiviroidae_rename_sp.zip</v>
      </c>
    </row>
    <row r="17388" spans="1:21">
      <c r="A17388">
        <v>17387</v>
      </c>
      <c r="L17388" s="27" t="s">
        <v>450</v>
      </c>
      <c r="N17388" s="27" t="s">
        <v>451</v>
      </c>
      <c r="P17388" s="27" t="s">
        <v>18351</v>
      </c>
      <c r="Q17388" s="26" t="str">
        <f>HYPERLINK("https://ictv.global/taxonomy/taxondetails?taxnode_id=202513871&amp;ictv_id=ICTV202113871","ICTV202113871")</f>
        <v>ICTV202113871</v>
      </c>
      <c r="R17388" t="s">
        <v>1106</v>
      </c>
      <c r="S17388" t="s">
        <v>824</v>
      </c>
      <c r="T17388">
        <v>39</v>
      </c>
      <c r="U17388" s="26" t="str">
        <f t="shared" si="665"/>
        <v>2023.032P.Avsunviroidae_and_Pospiviroidae_rename_sp.zip</v>
      </c>
    </row>
    <row r="17389" spans="1:21">
      <c r="A17389">
        <v>17388</v>
      </c>
      <c r="L17389" s="27" t="s">
        <v>450</v>
      </c>
      <c r="N17389" s="27" t="s">
        <v>451</v>
      </c>
      <c r="P17389" s="27" t="s">
        <v>18352</v>
      </c>
      <c r="Q17389" s="26" t="str">
        <f>HYPERLINK("https://ictv.global/taxonomy/taxondetails?taxnode_id=202513867&amp;ictv_id=ICTV202113867","ICTV202113867")</f>
        <v>ICTV202113867</v>
      </c>
      <c r="R17389" t="s">
        <v>1106</v>
      </c>
      <c r="S17389" t="s">
        <v>824</v>
      </c>
      <c r="T17389">
        <v>39</v>
      </c>
      <c r="U17389" s="26" t="str">
        <f t="shared" si="665"/>
        <v>2023.032P.Avsunviroidae_and_Pospiviroidae_rename_sp.zip</v>
      </c>
    </row>
    <row r="17390" spans="1:21">
      <c r="A17390">
        <v>17389</v>
      </c>
      <c r="L17390" s="27" t="s">
        <v>450</v>
      </c>
      <c r="N17390" s="27" t="s">
        <v>451</v>
      </c>
      <c r="P17390" s="27" t="s">
        <v>18353</v>
      </c>
      <c r="Q17390" s="26" t="str">
        <f>HYPERLINK("https://ictv.global/taxonomy/taxondetails?taxnode_id=202504503&amp;ictv_id=ICTV19991331","ICTV19991331")</f>
        <v>ICTV19991331</v>
      </c>
      <c r="R17390" t="s">
        <v>1106</v>
      </c>
      <c r="S17390" t="s">
        <v>824</v>
      </c>
      <c r="T17390">
        <v>39</v>
      </c>
      <c r="U17390" s="26" t="str">
        <f t="shared" si="665"/>
        <v>2023.032P.Avsunviroidae_and_Pospiviroidae_rename_sp.zip</v>
      </c>
    </row>
    <row r="17391" spans="1:21">
      <c r="A17391">
        <v>17390</v>
      </c>
      <c r="L17391" s="27" t="s">
        <v>450</v>
      </c>
      <c r="N17391" s="27" t="s">
        <v>451</v>
      </c>
      <c r="P17391" s="27" t="s">
        <v>18354</v>
      </c>
      <c r="Q17391" s="26" t="str">
        <f>HYPERLINK("https://ictv.global/taxonomy/taxondetails?taxnode_id=202504508&amp;ictv_id=ICTV19952501","ICTV19952501")</f>
        <v>ICTV19952501</v>
      </c>
      <c r="R17391" t="s">
        <v>1106</v>
      </c>
      <c r="S17391" t="s">
        <v>824</v>
      </c>
      <c r="T17391">
        <v>39</v>
      </c>
      <c r="U17391" s="26" t="str">
        <f t="shared" si="665"/>
        <v>2023.032P.Avsunviroidae_and_Pospiviroidae_rename_sp.zip</v>
      </c>
    </row>
    <row r="17392" spans="1:21">
      <c r="A17392">
        <v>17391</v>
      </c>
      <c r="L17392" s="27" t="s">
        <v>450</v>
      </c>
      <c r="N17392" s="27" t="s">
        <v>451</v>
      </c>
      <c r="P17392" s="27" t="s">
        <v>18355</v>
      </c>
      <c r="Q17392" s="26" t="str">
        <f>HYPERLINK("https://ictv.global/taxonomy/taxondetails?taxnode_id=202504505&amp;ictv_id=ICTV20094486","ICTV20094486")</f>
        <v>ICTV20094486</v>
      </c>
      <c r="R17392" t="s">
        <v>1106</v>
      </c>
      <c r="S17392" t="s">
        <v>824</v>
      </c>
      <c r="T17392">
        <v>39</v>
      </c>
      <c r="U17392" s="26" t="str">
        <f t="shared" si="665"/>
        <v>2023.032P.Avsunviroidae_and_Pospiviroidae_rename_sp.zip</v>
      </c>
    </row>
    <row r="17393" spans="1:21">
      <c r="A17393">
        <v>17392</v>
      </c>
      <c r="L17393" s="27" t="s">
        <v>450</v>
      </c>
      <c r="N17393" s="27" t="s">
        <v>452</v>
      </c>
      <c r="P17393" s="27" t="s">
        <v>18356</v>
      </c>
      <c r="Q17393" s="26" t="str">
        <f>HYPERLINK("https://ictv.global/taxonomy/taxondetails?taxnode_id=202504511&amp;ictv_id=ICTV19911894","ICTV19911894")</f>
        <v>ICTV19911894</v>
      </c>
      <c r="R17393" t="s">
        <v>1106</v>
      </c>
      <c r="S17393" t="s">
        <v>824</v>
      </c>
      <c r="T17393">
        <v>39</v>
      </c>
      <c r="U17393" s="26" t="str">
        <f t="shared" si="665"/>
        <v>2023.032P.Avsunviroidae_and_Pospiviroidae_rename_sp.zip</v>
      </c>
    </row>
    <row r="17394" spans="1:21">
      <c r="A17394">
        <v>17393</v>
      </c>
      <c r="L17394" s="27" t="s">
        <v>450</v>
      </c>
      <c r="N17394" s="27" t="s">
        <v>452</v>
      </c>
      <c r="P17394" s="27" t="s">
        <v>18357</v>
      </c>
      <c r="Q17394" s="26" t="str">
        <f>HYPERLINK("https://ictv.global/taxonomy/taxondetails?taxnode_id=202504513&amp;ictv_id=ICTV19911902","ICTV19911902")</f>
        <v>ICTV19911902</v>
      </c>
      <c r="R17394" t="s">
        <v>1106</v>
      </c>
      <c r="S17394" t="s">
        <v>824</v>
      </c>
      <c r="T17394">
        <v>39</v>
      </c>
      <c r="U17394" s="26" t="str">
        <f t="shared" si="665"/>
        <v>2023.032P.Avsunviroidae_and_Pospiviroidae_rename_sp.zip</v>
      </c>
    </row>
    <row r="17395" spans="1:21">
      <c r="A17395">
        <v>17394</v>
      </c>
      <c r="L17395" s="27" t="s">
        <v>450</v>
      </c>
      <c r="N17395" s="27" t="s">
        <v>452</v>
      </c>
      <c r="P17395" s="27" t="s">
        <v>18358</v>
      </c>
      <c r="Q17395" s="26" t="str">
        <f>HYPERLINK("https://ictv.global/taxonomy/taxondetails?taxnode_id=202504510&amp;ictv_id=ICTV19952491","ICTV19952491")</f>
        <v>ICTV19952491</v>
      </c>
      <c r="R17395" t="s">
        <v>1106</v>
      </c>
      <c r="S17395" t="s">
        <v>824</v>
      </c>
      <c r="T17395">
        <v>39</v>
      </c>
      <c r="U17395" s="26" t="str">
        <f t="shared" si="665"/>
        <v>2023.032P.Avsunviroidae_and_Pospiviroidae_rename_sp.zip</v>
      </c>
    </row>
    <row r="17396" spans="1:21">
      <c r="A17396">
        <v>17395</v>
      </c>
      <c r="L17396" s="27" t="s">
        <v>450</v>
      </c>
      <c r="N17396" s="27" t="s">
        <v>452</v>
      </c>
      <c r="P17396" s="27" t="s">
        <v>18359</v>
      </c>
      <c r="Q17396" s="26" t="str">
        <f>HYPERLINK("https://ictv.global/taxonomy/taxondetails?taxnode_id=202504512&amp;ictv_id=ICTV19911895","ICTV19911895")</f>
        <v>ICTV19911895</v>
      </c>
      <c r="R17396" t="s">
        <v>1106</v>
      </c>
      <c r="S17396" t="s">
        <v>824</v>
      </c>
      <c r="T17396">
        <v>39</v>
      </c>
      <c r="U17396" s="26" t="str">
        <f t="shared" si="665"/>
        <v>2023.032P.Avsunviroidae_and_Pospiviroidae_rename_sp.zip</v>
      </c>
    </row>
    <row r="17397" spans="1:21">
      <c r="A17397">
        <v>17396</v>
      </c>
      <c r="L17397" s="27" t="s">
        <v>450</v>
      </c>
      <c r="N17397" s="27" t="s">
        <v>145</v>
      </c>
      <c r="P17397" s="27" t="s">
        <v>18360</v>
      </c>
      <c r="Q17397" s="26" t="str">
        <f>HYPERLINK("https://ictv.global/taxonomy/taxondetails?taxnode_id=202504515&amp;ictv_id=ICTV19911896","ICTV19911896")</f>
        <v>ICTV19911896</v>
      </c>
      <c r="R17397" t="s">
        <v>1106</v>
      </c>
      <c r="S17397" t="s">
        <v>824</v>
      </c>
      <c r="T17397">
        <v>39</v>
      </c>
      <c r="U17397" s="26" t="str">
        <f t="shared" si="665"/>
        <v>2023.032P.Avsunviroidae_and_Pospiviroidae_rename_sp.zip</v>
      </c>
    </row>
    <row r="17398" spans="1:21">
      <c r="A17398">
        <v>17397</v>
      </c>
      <c r="L17398" s="27" t="s">
        <v>450</v>
      </c>
      <c r="N17398" s="27" t="s">
        <v>145</v>
      </c>
      <c r="P17398" s="27" t="s">
        <v>18361</v>
      </c>
      <c r="Q17398" s="26" t="str">
        <f>HYPERLINK("https://ictv.global/taxonomy/taxondetails?taxnode_id=202504516&amp;ictv_id=ICTV19991340","ICTV19991340")</f>
        <v>ICTV19991340</v>
      </c>
      <c r="R17398" t="s">
        <v>1106</v>
      </c>
      <c r="S17398" t="s">
        <v>824</v>
      </c>
      <c r="T17398">
        <v>39</v>
      </c>
      <c r="U17398" s="26" t="str">
        <f t="shared" si="665"/>
        <v>2023.032P.Avsunviroidae_and_Pospiviroidae_rename_sp.zip</v>
      </c>
    </row>
    <row r="17399" spans="1:21">
      <c r="A17399">
        <v>17398</v>
      </c>
      <c r="L17399" s="27" t="s">
        <v>450</v>
      </c>
      <c r="N17399" s="27" t="s">
        <v>145</v>
      </c>
      <c r="P17399" s="27" t="s">
        <v>18362</v>
      </c>
      <c r="Q17399" s="26" t="str">
        <f>HYPERLINK("https://ictv.global/taxonomy/taxondetails?taxnode_id=202513875&amp;ictv_id=ICTV202113875","ICTV202113875")</f>
        <v>ICTV202113875</v>
      </c>
      <c r="R17399" t="s">
        <v>1106</v>
      </c>
      <c r="S17399" t="s">
        <v>824</v>
      </c>
      <c r="T17399">
        <v>39</v>
      </c>
      <c r="U17399" s="26" t="str">
        <f t="shared" si="665"/>
        <v>2023.032P.Avsunviroidae_and_Pospiviroidae_rename_sp.zip</v>
      </c>
    </row>
    <row r="17400" spans="1:21">
      <c r="A17400">
        <v>17399</v>
      </c>
      <c r="L17400" s="27" t="s">
        <v>450</v>
      </c>
      <c r="N17400" s="27" t="s">
        <v>145</v>
      </c>
      <c r="P17400" s="27" t="s">
        <v>18363</v>
      </c>
      <c r="Q17400" s="26" t="str">
        <f>HYPERLINK("https://ictv.global/taxonomy/taxondetails?taxnode_id=202504517&amp;ictv_id=ICTV19991341","ICTV19991341")</f>
        <v>ICTV19991341</v>
      </c>
      <c r="R17400" t="s">
        <v>1106</v>
      </c>
      <c r="S17400" t="s">
        <v>824</v>
      </c>
      <c r="T17400">
        <v>39</v>
      </c>
      <c r="U17400" s="26" t="str">
        <f t="shared" si="665"/>
        <v>2023.032P.Avsunviroidae_and_Pospiviroidae_rename_sp.zip</v>
      </c>
    </row>
    <row r="17401" spans="1:21">
      <c r="A17401">
        <v>17400</v>
      </c>
      <c r="L17401" s="27" t="s">
        <v>450</v>
      </c>
      <c r="N17401" s="27" t="s">
        <v>145</v>
      </c>
      <c r="P17401" s="27" t="s">
        <v>18364</v>
      </c>
      <c r="Q17401" s="26" t="str">
        <f>HYPERLINK("https://ictv.global/taxonomy/taxondetails?taxnode_id=202513876&amp;ictv_id=ICTV202113876","ICTV202113876")</f>
        <v>ICTV202113876</v>
      </c>
      <c r="R17401" t="s">
        <v>1106</v>
      </c>
      <c r="S17401" t="s">
        <v>824</v>
      </c>
      <c r="T17401">
        <v>39</v>
      </c>
      <c r="U17401" s="26" t="str">
        <f t="shared" si="665"/>
        <v>2023.032P.Avsunviroidae_and_Pospiviroidae_rename_sp.zip</v>
      </c>
    </row>
    <row r="17402" spans="1:21">
      <c r="A17402">
        <v>17401</v>
      </c>
      <c r="L17402" s="27" t="s">
        <v>450</v>
      </c>
      <c r="N17402" s="27" t="s">
        <v>146</v>
      </c>
      <c r="P17402" s="27" t="s">
        <v>18365</v>
      </c>
      <c r="Q17402" s="26" t="str">
        <f>HYPERLINK("https://ictv.global/taxonomy/taxondetails?taxnode_id=202504520&amp;ictv_id=ICTV19911903","ICTV19911903")</f>
        <v>ICTV19911903</v>
      </c>
      <c r="R17402" t="s">
        <v>1106</v>
      </c>
      <c r="S17402" t="s">
        <v>824</v>
      </c>
      <c r="T17402">
        <v>39</v>
      </c>
      <c r="U17402" s="26" t="str">
        <f t="shared" si="665"/>
        <v>2023.032P.Avsunviroidae_and_Pospiviroidae_rename_sp.zip</v>
      </c>
    </row>
    <row r="17403" spans="1:21">
      <c r="A17403">
        <v>17402</v>
      </c>
      <c r="L17403" s="27" t="s">
        <v>450</v>
      </c>
      <c r="N17403" s="27" t="s">
        <v>146</v>
      </c>
      <c r="P17403" s="27" t="s">
        <v>18366</v>
      </c>
      <c r="Q17403" s="26" t="str">
        <f>HYPERLINK("https://ictv.global/taxonomy/taxondetails?taxnode_id=202504519&amp;ictv_id=ICTV20143144","ICTV20143144")</f>
        <v>ICTV20143144</v>
      </c>
      <c r="R17403" t="s">
        <v>1106</v>
      </c>
      <c r="S17403" t="s">
        <v>824</v>
      </c>
      <c r="T17403">
        <v>39</v>
      </c>
      <c r="U17403" s="26" t="str">
        <f t="shared" si="665"/>
        <v>2023.032P.Avsunviroidae_and_Pospiviroidae_rename_sp.zip</v>
      </c>
    </row>
    <row r="17404" spans="1:21">
      <c r="A17404">
        <v>17403</v>
      </c>
      <c r="L17404" s="27" t="s">
        <v>450</v>
      </c>
      <c r="N17404" s="27" t="s">
        <v>147</v>
      </c>
      <c r="P17404" s="27" t="s">
        <v>18367</v>
      </c>
      <c r="Q17404" s="26" t="str">
        <f>HYPERLINK("https://ictv.global/taxonomy/taxondetails?taxnode_id=202504525&amp;ictv_id=ICTV19991346","ICTV19991346")</f>
        <v>ICTV19991346</v>
      </c>
      <c r="R17404" t="s">
        <v>1106</v>
      </c>
      <c r="S17404" t="s">
        <v>824</v>
      </c>
      <c r="T17404">
        <v>39</v>
      </c>
      <c r="U17404" s="26" t="str">
        <f t="shared" si="665"/>
        <v>2023.032P.Avsunviroidae_and_Pospiviroidae_rename_sp.zip</v>
      </c>
    </row>
    <row r="17405" spans="1:21">
      <c r="A17405">
        <v>17404</v>
      </c>
      <c r="L17405" s="27" t="s">
        <v>450</v>
      </c>
      <c r="N17405" s="27" t="s">
        <v>147</v>
      </c>
      <c r="P17405" s="27" t="s">
        <v>18368</v>
      </c>
      <c r="Q17405" s="26" t="str">
        <f>HYPERLINK("https://ictv.global/taxonomy/taxondetails?taxnode_id=202504528&amp;ictv_id=ICTV19911906","ICTV19911906")</f>
        <v>ICTV19911906</v>
      </c>
      <c r="R17405" t="s">
        <v>1106</v>
      </c>
      <c r="S17405" t="s">
        <v>824</v>
      </c>
      <c r="T17405">
        <v>39</v>
      </c>
      <c r="U17405" s="26" t="str">
        <f t="shared" si="665"/>
        <v>2023.032P.Avsunviroidae_and_Pospiviroidae_rename_sp.zip</v>
      </c>
    </row>
    <row r="17406" spans="1:21">
      <c r="A17406">
        <v>17405</v>
      </c>
      <c r="L17406" s="27" t="s">
        <v>450</v>
      </c>
      <c r="N17406" s="27" t="s">
        <v>147</v>
      </c>
      <c r="P17406" s="27" t="s">
        <v>18369</v>
      </c>
      <c r="Q17406" s="26" t="str">
        <f>HYPERLINK("https://ictv.global/taxonomy/taxondetails?taxnode_id=202504529&amp;ictv_id=ICTV20021428","ICTV20021428")</f>
        <v>ICTV20021428</v>
      </c>
      <c r="R17406" t="s">
        <v>1106</v>
      </c>
      <c r="S17406" t="s">
        <v>824</v>
      </c>
      <c r="T17406">
        <v>39</v>
      </c>
      <c r="U17406" s="26" t="str">
        <f t="shared" si="665"/>
        <v>2023.032P.Avsunviroidae_and_Pospiviroidae_rename_sp.zip</v>
      </c>
    </row>
    <row r="17407" spans="1:21">
      <c r="A17407">
        <v>17406</v>
      </c>
      <c r="L17407" s="27" t="s">
        <v>450</v>
      </c>
      <c r="N17407" s="27" t="s">
        <v>147</v>
      </c>
      <c r="P17407" s="27" t="s">
        <v>18370</v>
      </c>
      <c r="Q17407" s="26" t="str">
        <f>HYPERLINK("https://ictv.global/taxonomy/taxondetails?taxnode_id=202504523&amp;ictv_id=ICTV19911893","ICTV19911893")</f>
        <v>ICTV19911893</v>
      </c>
      <c r="R17407" t="s">
        <v>1106</v>
      </c>
      <c r="S17407" t="s">
        <v>824</v>
      </c>
      <c r="T17407">
        <v>39</v>
      </c>
      <c r="U17407" s="26" t="str">
        <f t="shared" si="665"/>
        <v>2023.032P.Avsunviroidae_and_Pospiviroidae_rename_sp.zip</v>
      </c>
    </row>
    <row r="17408" spans="1:21">
      <c r="A17408">
        <v>17407</v>
      </c>
      <c r="L17408" s="27" t="s">
        <v>450</v>
      </c>
      <c r="N17408" s="27" t="s">
        <v>147</v>
      </c>
      <c r="P17408" s="27" t="s">
        <v>18371</v>
      </c>
      <c r="Q17408" s="26" t="str">
        <f>HYPERLINK("https://ictv.global/taxonomy/taxondetails?taxnode_id=202504527&amp;ictv_id=ICTV19911905","ICTV19911905")</f>
        <v>ICTV19911905</v>
      </c>
      <c r="R17408" t="s">
        <v>1106</v>
      </c>
      <c r="S17408" t="s">
        <v>824</v>
      </c>
      <c r="T17408">
        <v>39</v>
      </c>
      <c r="U17408" s="26" t="str">
        <f t="shared" si="665"/>
        <v>2023.032P.Avsunviroidae_and_Pospiviroidae_rename_sp.zip</v>
      </c>
    </row>
    <row r="17409" spans="1:21">
      <c r="A17409">
        <v>17408</v>
      </c>
      <c r="L17409" s="27" t="s">
        <v>450</v>
      </c>
      <c r="N17409" s="27" t="s">
        <v>147</v>
      </c>
      <c r="P17409" s="27" t="s">
        <v>18372</v>
      </c>
      <c r="Q17409" s="26" t="str">
        <f>HYPERLINK("https://ictv.global/taxonomy/taxondetails?taxnode_id=202504522&amp;ictv_id=ICTV19911892","ICTV19911892")</f>
        <v>ICTV19911892</v>
      </c>
      <c r="R17409" t="s">
        <v>1106</v>
      </c>
      <c r="S17409" t="s">
        <v>824</v>
      </c>
      <c r="T17409">
        <v>39</v>
      </c>
      <c r="U17409" s="26" t="str">
        <f t="shared" si="665"/>
        <v>2023.032P.Avsunviroidae_and_Pospiviroidae_rename_sp.zip</v>
      </c>
    </row>
    <row r="17410" spans="1:21">
      <c r="A17410">
        <v>17409</v>
      </c>
      <c r="L17410" s="27" t="s">
        <v>450</v>
      </c>
      <c r="N17410" s="27" t="s">
        <v>147</v>
      </c>
      <c r="P17410" s="27" t="s">
        <v>18373</v>
      </c>
      <c r="Q17410" s="26" t="str">
        <f>HYPERLINK("https://ictv.global/taxonomy/taxondetails?taxnode_id=202504524&amp;ictv_id=ICTV19911899","ICTV19911899")</f>
        <v>ICTV19911899</v>
      </c>
      <c r="R17410" t="s">
        <v>1106</v>
      </c>
      <c r="S17410" t="s">
        <v>824</v>
      </c>
      <c r="T17410">
        <v>39</v>
      </c>
      <c r="U17410" s="26" t="str">
        <f t="shared" si="665"/>
        <v>2023.032P.Avsunviroidae_and_Pospiviroidae_rename_sp.zip</v>
      </c>
    </row>
    <row r="17411" spans="1:21">
      <c r="A17411">
        <v>17410</v>
      </c>
      <c r="L17411" s="27" t="s">
        <v>450</v>
      </c>
      <c r="N17411" s="27" t="s">
        <v>147</v>
      </c>
      <c r="P17411" s="27" t="s">
        <v>18374</v>
      </c>
      <c r="Q17411" s="26" t="str">
        <f>HYPERLINK("https://ictv.global/taxonomy/taxondetails?taxnode_id=202513877&amp;ictv_id=ICTV202113877","ICTV202113877")</f>
        <v>ICTV202113877</v>
      </c>
      <c r="R17411" t="s">
        <v>1106</v>
      </c>
      <c r="S17411" t="s">
        <v>824</v>
      </c>
      <c r="T17411">
        <v>39</v>
      </c>
      <c r="U17411" s="26" t="str">
        <f t="shared" si="665"/>
        <v>2023.032P.Avsunviroidae_and_Pospiviroidae_rename_sp.zip</v>
      </c>
    </row>
    <row r="17412" spans="1:21">
      <c r="A17412">
        <v>17411</v>
      </c>
      <c r="L17412" s="27" t="s">
        <v>450</v>
      </c>
      <c r="N17412" s="27" t="s">
        <v>147</v>
      </c>
      <c r="P17412" s="27" t="s">
        <v>18375</v>
      </c>
      <c r="Q17412" s="26" t="str">
        <f>HYPERLINK("https://ictv.global/taxonomy/taxondetails?taxnode_id=202504530&amp;ictv_id=ICTV19911908","ICTV19911908")</f>
        <v>ICTV19911908</v>
      </c>
      <c r="R17412" t="s">
        <v>1106</v>
      </c>
      <c r="S17412" t="s">
        <v>824</v>
      </c>
      <c r="T17412">
        <v>39</v>
      </c>
      <c r="U17412" s="26" t="str">
        <f t="shared" si="665"/>
        <v>2023.032P.Avsunviroidae_and_Pospiviroidae_rename_sp.zip</v>
      </c>
    </row>
    <row r="17413" spans="1:21">
      <c r="A17413">
        <v>17412</v>
      </c>
      <c r="L17413" s="27" t="s">
        <v>450</v>
      </c>
      <c r="N17413" s="27" t="s">
        <v>147</v>
      </c>
      <c r="P17413" s="27" t="s">
        <v>18376</v>
      </c>
      <c r="Q17413" s="26" t="str">
        <f>HYPERLINK("https://ictv.global/taxonomy/taxondetails?taxnode_id=202504526&amp;ictv_id=ICTV20115412","ICTV20115412")</f>
        <v>ICTV20115412</v>
      </c>
      <c r="R17413" t="s">
        <v>1106</v>
      </c>
      <c r="S17413" t="s">
        <v>824</v>
      </c>
      <c r="T17413">
        <v>39</v>
      </c>
      <c r="U17413" s="26" t="str">
        <f t="shared" si="665"/>
        <v>2023.032P.Avsunviroidae_and_Pospiviroidae_rename_sp.zip</v>
      </c>
    </row>
    <row r="17414" spans="1:21">
      <c r="A17414">
        <v>17413</v>
      </c>
      <c r="L17414" s="27" t="s">
        <v>11229</v>
      </c>
      <c r="N17414" s="27" t="s">
        <v>11230</v>
      </c>
      <c r="P17414" s="27" t="s">
        <v>11217</v>
      </c>
      <c r="Q17414" s="26" t="str">
        <f>HYPERLINK("https://ictv.global/taxonomy/taxondetails?taxnode_id=202515072&amp;ictv_id=ICTV202215072","ICTV202215072")</f>
        <v>ICTV202215072</v>
      </c>
      <c r="R17414" t="s">
        <v>579</v>
      </c>
      <c r="S17414" t="s">
        <v>823</v>
      </c>
      <c r="T17414">
        <v>38</v>
      </c>
      <c r="U17414" s="26" t="str">
        <f>HYPERLINK("https://ictv.global/ictv/proposals/2022.001G.GTA_viriforms.zip","2022.001G.GTA_viriforms.zip")</f>
        <v>2022.001G.GTA_viriforms.zip</v>
      </c>
    </row>
    <row r="17415" spans="1:21">
      <c r="A17415">
        <v>17414</v>
      </c>
      <c r="L17415" s="27" t="s">
        <v>11229</v>
      </c>
      <c r="N17415" s="27" t="s">
        <v>11231</v>
      </c>
      <c r="P17415" s="27" t="s">
        <v>11219</v>
      </c>
      <c r="Q17415" s="26" t="str">
        <f>HYPERLINK("https://ictv.global/taxonomy/taxondetails?taxnode_id=202515073&amp;ictv_id=ICTV202215073","ICTV202215073")</f>
        <v>ICTV202215073</v>
      </c>
      <c r="R17415" t="s">
        <v>579</v>
      </c>
      <c r="S17415" t="s">
        <v>823</v>
      </c>
      <c r="T17415">
        <v>38</v>
      </c>
      <c r="U17415" s="26" t="str">
        <f>HYPERLINK("https://ictv.global/ictv/proposals/2022.001G.GTA_viriforms.zip","2022.001G.GTA_viriforms.zip")</f>
        <v>2022.001G.GTA_viriforms.zip</v>
      </c>
    </row>
    <row r="17416" spans="1:21">
      <c r="A17416">
        <v>17415</v>
      </c>
      <c r="L17416" s="27" t="s">
        <v>11229</v>
      </c>
      <c r="N17416" s="27" t="s">
        <v>11232</v>
      </c>
      <c r="P17416" s="27" t="s">
        <v>11220</v>
      </c>
      <c r="Q17416" s="26" t="str">
        <f>HYPERLINK("https://ictv.global/taxonomy/taxondetails?taxnode_id=202515074&amp;ictv_id=ICTV202215074","ICTV202215074")</f>
        <v>ICTV202215074</v>
      </c>
      <c r="R17416" t="s">
        <v>579</v>
      </c>
      <c r="S17416" t="s">
        <v>823</v>
      </c>
      <c r="T17416">
        <v>38</v>
      </c>
      <c r="U17416" s="26" t="str">
        <f>HYPERLINK("https://ictv.global/ictv/proposals/2022.001G.GTA_viriforms.zip","2022.001G.GTA_viriforms.zip")</f>
        <v>2022.001G.GTA_viriforms.zip</v>
      </c>
    </row>
    <row r="17417" spans="1:21">
      <c r="A17417">
        <v>17416</v>
      </c>
      <c r="L17417" s="27" t="s">
        <v>11229</v>
      </c>
      <c r="N17417" s="27" t="s">
        <v>11233</v>
      </c>
      <c r="P17417" s="27" t="s">
        <v>11221</v>
      </c>
      <c r="Q17417" s="26" t="str">
        <f>HYPERLINK("https://ictv.global/taxonomy/taxondetails?taxnode_id=202515075&amp;ictv_id=ICTV202215075","ICTV202215075")</f>
        <v>ICTV202215075</v>
      </c>
      <c r="R17417" t="s">
        <v>579</v>
      </c>
      <c r="S17417" t="s">
        <v>823</v>
      </c>
      <c r="T17417">
        <v>38</v>
      </c>
      <c r="U17417" s="26" t="str">
        <f>HYPERLINK("https://ictv.global/ictv/proposals/2022.001G.GTA_viriforms.zip","2022.001G.GTA_viriforms.zip")</f>
        <v>2022.001G.GTA_viriforms.zip</v>
      </c>
    </row>
    <row r="17418" spans="1:21">
      <c r="A17418">
        <v>17417</v>
      </c>
      <c r="L17418" s="27" t="s">
        <v>565</v>
      </c>
      <c r="N17418" s="27" t="s">
        <v>566</v>
      </c>
      <c r="P17418" s="27" t="s">
        <v>18377</v>
      </c>
      <c r="Q17418" s="26" t="str">
        <f>HYPERLINK("https://ictv.global/taxonomy/taxondetails?taxnode_id=202505069&amp;ictv_id=ICTV20133580","ICTV20133580")</f>
        <v>ICTV20133580</v>
      </c>
      <c r="R17418" t="s">
        <v>664</v>
      </c>
      <c r="S17418" t="s">
        <v>824</v>
      </c>
      <c r="T17418">
        <v>39</v>
      </c>
      <c r="U17418" s="26" t="str">
        <f>HYPERLINK("https://ictv.global/ictv/proposals/2023.001A.Archaeal_binomials.zip","2023.001A.Archaeal_binomials.zip")</f>
        <v>2023.001A.Archaeal_binomials.zip</v>
      </c>
    </row>
    <row r="17419" spans="1:21">
      <c r="A17419">
        <v>17418</v>
      </c>
      <c r="L17419" s="27" t="s">
        <v>2013</v>
      </c>
      <c r="N17419" s="27" t="s">
        <v>2014</v>
      </c>
      <c r="P17419" s="27" t="s">
        <v>18378</v>
      </c>
      <c r="Q17419" s="26" t="str">
        <f>HYPERLINK("https://ictv.global/taxonomy/taxondetails?taxnode_id=202508059&amp;ictv_id=ICTV201908059","ICTV201908059")</f>
        <v>ICTV201908059</v>
      </c>
      <c r="R17419" t="s">
        <v>579</v>
      </c>
      <c r="S17419" t="s">
        <v>824</v>
      </c>
      <c r="T17419">
        <v>39</v>
      </c>
      <c r="U17419" s="26" t="str">
        <f>HYPERLINK("https://ictv.global/ictv/proposals/2023.001A.Archaeal_binomials.zip","2023.001A.Archaeal_binomials.zip")</f>
        <v>2023.001A.Archaeal_binomials.zip</v>
      </c>
    </row>
    <row r="17420" spans="1:21">
      <c r="A17420">
        <v>17419</v>
      </c>
      <c r="L17420" s="27" t="s">
        <v>818</v>
      </c>
      <c r="N17420" s="27" t="s">
        <v>819</v>
      </c>
      <c r="P17420" s="27" t="s">
        <v>18379</v>
      </c>
      <c r="Q17420" s="26" t="str">
        <f>HYPERLINK("https://ictv.global/taxonomy/taxondetails?taxnode_id=202509214&amp;ictv_id=ICTV202009214","ICTV202009214")</f>
        <v>ICTV202009214</v>
      </c>
      <c r="R17420" t="s">
        <v>656</v>
      </c>
      <c r="S17420" t="s">
        <v>824</v>
      </c>
      <c r="T17420">
        <v>39</v>
      </c>
      <c r="U17420" s="26" t="str">
        <f t="shared" ref="U17420:U17451" si="666">HYPERLINK("https://ictv.global/ictv/proposals/2023.035P.Tolecusatellitidae_rename.zip","2023.035P.Tolecusatellitidae_rename.zip")</f>
        <v>2023.035P.Tolecusatellitidae_rename.zip</v>
      </c>
    </row>
    <row r="17421" spans="1:21">
      <c r="A17421">
        <v>17420</v>
      </c>
      <c r="L17421" s="27" t="s">
        <v>818</v>
      </c>
      <c r="N17421" s="27" t="s">
        <v>819</v>
      </c>
      <c r="P17421" s="27" t="s">
        <v>18380</v>
      </c>
      <c r="Q17421" s="26" t="str">
        <f>HYPERLINK("https://ictv.global/taxonomy/taxondetails?taxnode_id=202505127&amp;ictv_id=ICTV20165438","ICTV20165438")</f>
        <v>ICTV20165438</v>
      </c>
      <c r="R17421" t="s">
        <v>656</v>
      </c>
      <c r="S17421" t="s">
        <v>824</v>
      </c>
      <c r="T17421">
        <v>39</v>
      </c>
      <c r="U17421" s="26" t="str">
        <f t="shared" si="666"/>
        <v>2023.035P.Tolecusatellitidae_rename.zip</v>
      </c>
    </row>
    <row r="17422" spans="1:21">
      <c r="A17422">
        <v>17421</v>
      </c>
      <c r="L17422" s="27" t="s">
        <v>818</v>
      </c>
      <c r="N17422" s="27" t="s">
        <v>819</v>
      </c>
      <c r="P17422" s="27" t="s">
        <v>18381</v>
      </c>
      <c r="Q17422" s="26" t="str">
        <f>HYPERLINK("https://ictv.global/taxonomy/taxondetails?taxnode_id=202505146&amp;ictv_id=ICTV20165457","ICTV20165457")</f>
        <v>ICTV20165457</v>
      </c>
      <c r="R17422" t="s">
        <v>656</v>
      </c>
      <c r="S17422" t="s">
        <v>824</v>
      </c>
      <c r="T17422">
        <v>39</v>
      </c>
      <c r="U17422" s="26" t="str">
        <f t="shared" si="666"/>
        <v>2023.035P.Tolecusatellitidae_rename.zip</v>
      </c>
    </row>
    <row r="17423" spans="1:21">
      <c r="A17423">
        <v>17422</v>
      </c>
      <c r="L17423" s="27" t="s">
        <v>818</v>
      </c>
      <c r="N17423" s="27" t="s">
        <v>819</v>
      </c>
      <c r="P17423" s="27" t="s">
        <v>18382</v>
      </c>
      <c r="Q17423" s="26" t="str">
        <f>HYPERLINK("https://ictv.global/taxonomy/taxondetails?taxnode_id=202505119&amp;ictv_id=ICTV20165430","ICTV20165430")</f>
        <v>ICTV20165430</v>
      </c>
      <c r="R17423" t="s">
        <v>656</v>
      </c>
      <c r="S17423" t="s">
        <v>824</v>
      </c>
      <c r="T17423">
        <v>39</v>
      </c>
      <c r="U17423" s="26" t="str">
        <f t="shared" si="666"/>
        <v>2023.035P.Tolecusatellitidae_rename.zip</v>
      </c>
    </row>
    <row r="17424" spans="1:21">
      <c r="A17424">
        <v>17423</v>
      </c>
      <c r="L17424" s="27" t="s">
        <v>818</v>
      </c>
      <c r="N17424" s="27" t="s">
        <v>819</v>
      </c>
      <c r="P17424" s="27" t="s">
        <v>18383</v>
      </c>
      <c r="Q17424" s="26" t="str">
        <f>HYPERLINK("https://ictv.global/taxonomy/taxondetails?taxnode_id=202505120&amp;ictv_id=ICTV20165431","ICTV20165431")</f>
        <v>ICTV20165431</v>
      </c>
      <c r="R17424" t="s">
        <v>656</v>
      </c>
      <c r="S17424" t="s">
        <v>824</v>
      </c>
      <c r="T17424">
        <v>39</v>
      </c>
      <c r="U17424" s="26" t="str">
        <f t="shared" si="666"/>
        <v>2023.035P.Tolecusatellitidae_rename.zip</v>
      </c>
    </row>
    <row r="17425" spans="1:21">
      <c r="A17425">
        <v>17424</v>
      </c>
      <c r="L17425" s="27" t="s">
        <v>818</v>
      </c>
      <c r="N17425" s="27" t="s">
        <v>819</v>
      </c>
      <c r="P17425" s="27" t="s">
        <v>18384</v>
      </c>
      <c r="Q17425" s="26" t="str">
        <f>HYPERLINK("https://ictv.global/taxonomy/taxondetails?taxnode_id=202505122&amp;ictv_id=ICTV20165433","ICTV20165433")</f>
        <v>ICTV20165433</v>
      </c>
      <c r="R17425" t="s">
        <v>656</v>
      </c>
      <c r="S17425" t="s">
        <v>824</v>
      </c>
      <c r="T17425">
        <v>39</v>
      </c>
      <c r="U17425" s="26" t="str">
        <f t="shared" si="666"/>
        <v>2023.035P.Tolecusatellitidae_rename.zip</v>
      </c>
    </row>
    <row r="17426" spans="1:21">
      <c r="A17426">
        <v>17425</v>
      </c>
      <c r="L17426" s="27" t="s">
        <v>818</v>
      </c>
      <c r="N17426" s="27" t="s">
        <v>819</v>
      </c>
      <c r="P17426" s="27" t="s">
        <v>18385</v>
      </c>
      <c r="Q17426" s="26" t="str">
        <f>HYPERLINK("https://ictv.global/taxonomy/taxondetails?taxnode_id=202509187&amp;ictv_id=ICTV202009187","ICTV202009187")</f>
        <v>ICTV202009187</v>
      </c>
      <c r="R17426" t="s">
        <v>656</v>
      </c>
      <c r="S17426" t="s">
        <v>824</v>
      </c>
      <c r="T17426">
        <v>39</v>
      </c>
      <c r="U17426" s="26" t="str">
        <f t="shared" si="666"/>
        <v>2023.035P.Tolecusatellitidae_rename.zip</v>
      </c>
    </row>
    <row r="17427" spans="1:21">
      <c r="A17427">
        <v>17426</v>
      </c>
      <c r="L17427" s="27" t="s">
        <v>818</v>
      </c>
      <c r="N17427" s="27" t="s">
        <v>819</v>
      </c>
      <c r="P17427" s="27" t="s">
        <v>18386</v>
      </c>
      <c r="Q17427" s="26" t="str">
        <f>HYPERLINK("https://ictv.global/taxonomy/taxondetails?taxnode_id=202505121&amp;ictv_id=ICTV20165432","ICTV20165432")</f>
        <v>ICTV20165432</v>
      </c>
      <c r="R17427" t="s">
        <v>656</v>
      </c>
      <c r="S17427" t="s">
        <v>824</v>
      </c>
      <c r="T17427">
        <v>39</v>
      </c>
      <c r="U17427" s="26" t="str">
        <f t="shared" si="666"/>
        <v>2023.035P.Tolecusatellitidae_rename.zip</v>
      </c>
    </row>
    <row r="17428" spans="1:21">
      <c r="A17428">
        <v>17427</v>
      </c>
      <c r="L17428" s="27" t="s">
        <v>818</v>
      </c>
      <c r="N17428" s="27" t="s">
        <v>819</v>
      </c>
      <c r="P17428" s="27" t="s">
        <v>18387</v>
      </c>
      <c r="Q17428" s="26" t="str">
        <f>HYPERLINK("https://ictv.global/taxonomy/taxondetails?taxnode_id=202505124&amp;ictv_id=ICTV20165435","ICTV20165435")</f>
        <v>ICTV20165435</v>
      </c>
      <c r="R17428" t="s">
        <v>656</v>
      </c>
      <c r="S17428" t="s">
        <v>824</v>
      </c>
      <c r="T17428">
        <v>39</v>
      </c>
      <c r="U17428" s="26" t="str">
        <f t="shared" si="666"/>
        <v>2023.035P.Tolecusatellitidae_rename.zip</v>
      </c>
    </row>
    <row r="17429" spans="1:21">
      <c r="A17429">
        <v>17428</v>
      </c>
      <c r="L17429" s="27" t="s">
        <v>818</v>
      </c>
      <c r="N17429" s="27" t="s">
        <v>819</v>
      </c>
      <c r="P17429" s="27" t="s">
        <v>18388</v>
      </c>
      <c r="Q17429" s="26" t="str">
        <f>HYPERLINK("https://ictv.global/taxonomy/taxondetails?taxnode_id=202505125&amp;ictv_id=ICTV20165436","ICTV20165436")</f>
        <v>ICTV20165436</v>
      </c>
      <c r="R17429" t="s">
        <v>656</v>
      </c>
      <c r="S17429" t="s">
        <v>824</v>
      </c>
      <c r="T17429">
        <v>39</v>
      </c>
      <c r="U17429" s="26" t="str">
        <f t="shared" si="666"/>
        <v>2023.035P.Tolecusatellitidae_rename.zip</v>
      </c>
    </row>
    <row r="17430" spans="1:21">
      <c r="A17430">
        <v>17429</v>
      </c>
      <c r="L17430" s="27" t="s">
        <v>818</v>
      </c>
      <c r="N17430" s="27" t="s">
        <v>819</v>
      </c>
      <c r="P17430" s="27" t="s">
        <v>18389</v>
      </c>
      <c r="Q17430" s="26" t="str">
        <f>HYPERLINK("https://ictv.global/taxonomy/taxondetails?taxnode_id=202505126&amp;ictv_id=ICTV20165437","ICTV20165437")</f>
        <v>ICTV20165437</v>
      </c>
      <c r="R17430" t="s">
        <v>656</v>
      </c>
      <c r="S17430" t="s">
        <v>824</v>
      </c>
      <c r="T17430">
        <v>39</v>
      </c>
      <c r="U17430" s="26" t="str">
        <f t="shared" si="666"/>
        <v>2023.035P.Tolecusatellitidae_rename.zip</v>
      </c>
    </row>
    <row r="17431" spans="1:21">
      <c r="A17431">
        <v>17430</v>
      </c>
      <c r="L17431" s="27" t="s">
        <v>818</v>
      </c>
      <c r="N17431" s="27" t="s">
        <v>819</v>
      </c>
      <c r="P17431" s="27" t="s">
        <v>18390</v>
      </c>
      <c r="Q17431" s="26" t="str">
        <f>HYPERLINK("https://ictv.global/taxonomy/taxondetails?taxnode_id=202505129&amp;ictv_id=ICTV20165440","ICTV20165440")</f>
        <v>ICTV20165440</v>
      </c>
      <c r="R17431" t="s">
        <v>656</v>
      </c>
      <c r="S17431" t="s">
        <v>824</v>
      </c>
      <c r="T17431">
        <v>39</v>
      </c>
      <c r="U17431" s="26" t="str">
        <f t="shared" si="666"/>
        <v>2023.035P.Tolecusatellitidae_rename.zip</v>
      </c>
    </row>
    <row r="17432" spans="1:21">
      <c r="A17432">
        <v>17431</v>
      </c>
      <c r="L17432" s="27" t="s">
        <v>818</v>
      </c>
      <c r="N17432" s="27" t="s">
        <v>819</v>
      </c>
      <c r="P17432" s="27" t="s">
        <v>18391</v>
      </c>
      <c r="Q17432" s="26" t="str">
        <f>HYPERLINK("https://ictv.global/taxonomy/taxondetails?taxnode_id=202505130&amp;ictv_id=ICTV20165441","ICTV20165441")</f>
        <v>ICTV20165441</v>
      </c>
      <c r="R17432" t="s">
        <v>656</v>
      </c>
      <c r="S17432" t="s">
        <v>824</v>
      </c>
      <c r="T17432">
        <v>39</v>
      </c>
      <c r="U17432" s="26" t="str">
        <f t="shared" si="666"/>
        <v>2023.035P.Tolecusatellitidae_rename.zip</v>
      </c>
    </row>
    <row r="17433" spans="1:21">
      <c r="A17433">
        <v>17432</v>
      </c>
      <c r="L17433" s="27" t="s">
        <v>818</v>
      </c>
      <c r="N17433" s="27" t="s">
        <v>819</v>
      </c>
      <c r="P17433" s="27" t="s">
        <v>18392</v>
      </c>
      <c r="Q17433" s="26" t="str">
        <f>HYPERLINK("https://ictv.global/taxonomy/taxondetails?taxnode_id=202505131&amp;ictv_id=ICTV20165442","ICTV20165442")</f>
        <v>ICTV20165442</v>
      </c>
      <c r="R17433" t="s">
        <v>656</v>
      </c>
      <c r="S17433" t="s">
        <v>824</v>
      </c>
      <c r="T17433">
        <v>39</v>
      </c>
      <c r="U17433" s="26" t="str">
        <f t="shared" si="666"/>
        <v>2023.035P.Tolecusatellitidae_rename.zip</v>
      </c>
    </row>
    <row r="17434" spans="1:21">
      <c r="A17434">
        <v>17433</v>
      </c>
      <c r="L17434" s="27" t="s">
        <v>818</v>
      </c>
      <c r="N17434" s="27" t="s">
        <v>819</v>
      </c>
      <c r="P17434" s="27" t="s">
        <v>18393</v>
      </c>
      <c r="Q17434" s="26" t="str">
        <f>HYPERLINK("https://ictv.global/taxonomy/taxondetails?taxnode_id=202505128&amp;ictv_id=ICTV20165439","ICTV20165439")</f>
        <v>ICTV20165439</v>
      </c>
      <c r="R17434" t="s">
        <v>656</v>
      </c>
      <c r="S17434" t="s">
        <v>824</v>
      </c>
      <c r="T17434">
        <v>39</v>
      </c>
      <c r="U17434" s="26" t="str">
        <f t="shared" si="666"/>
        <v>2023.035P.Tolecusatellitidae_rename.zip</v>
      </c>
    </row>
    <row r="17435" spans="1:21">
      <c r="A17435">
        <v>17434</v>
      </c>
      <c r="L17435" s="27" t="s">
        <v>818</v>
      </c>
      <c r="N17435" s="27" t="s">
        <v>819</v>
      </c>
      <c r="P17435" s="27" t="s">
        <v>18394</v>
      </c>
      <c r="Q17435" s="26" t="str">
        <f>HYPERLINK("https://ictv.global/taxonomy/taxondetails?taxnode_id=202505148&amp;ictv_id=ICTV20165459","ICTV20165459")</f>
        <v>ICTV20165459</v>
      </c>
      <c r="R17435" t="s">
        <v>656</v>
      </c>
      <c r="S17435" t="s">
        <v>824</v>
      </c>
      <c r="T17435">
        <v>39</v>
      </c>
      <c r="U17435" s="26" t="str">
        <f t="shared" si="666"/>
        <v>2023.035P.Tolecusatellitidae_rename.zip</v>
      </c>
    </row>
    <row r="17436" spans="1:21">
      <c r="A17436">
        <v>17435</v>
      </c>
      <c r="L17436" s="27" t="s">
        <v>818</v>
      </c>
      <c r="N17436" s="27" t="s">
        <v>819</v>
      </c>
      <c r="P17436" s="27" t="s">
        <v>18395</v>
      </c>
      <c r="Q17436" s="26" t="str">
        <f>HYPERLINK("https://ictv.global/taxonomy/taxondetails?taxnode_id=202505147&amp;ictv_id=ICTV20165458","ICTV20165458")</f>
        <v>ICTV20165458</v>
      </c>
      <c r="R17436" t="s">
        <v>656</v>
      </c>
      <c r="S17436" t="s">
        <v>824</v>
      </c>
      <c r="T17436">
        <v>39</v>
      </c>
      <c r="U17436" s="26" t="str">
        <f t="shared" si="666"/>
        <v>2023.035P.Tolecusatellitidae_rename.zip</v>
      </c>
    </row>
    <row r="17437" spans="1:21">
      <c r="A17437">
        <v>17436</v>
      </c>
      <c r="L17437" s="27" t="s">
        <v>818</v>
      </c>
      <c r="N17437" s="27" t="s">
        <v>819</v>
      </c>
      <c r="P17437" s="27" t="s">
        <v>18396</v>
      </c>
      <c r="Q17437" s="26" t="str">
        <f>HYPERLINK("https://ictv.global/taxonomy/taxondetails?taxnode_id=202509215&amp;ictv_id=ICTV202009215","ICTV202009215")</f>
        <v>ICTV202009215</v>
      </c>
      <c r="R17437" t="s">
        <v>656</v>
      </c>
      <c r="S17437" t="s">
        <v>824</v>
      </c>
      <c r="T17437">
        <v>39</v>
      </c>
      <c r="U17437" s="26" t="str">
        <f t="shared" si="666"/>
        <v>2023.035P.Tolecusatellitidae_rename.zip</v>
      </c>
    </row>
    <row r="17438" spans="1:21">
      <c r="A17438">
        <v>17437</v>
      </c>
      <c r="L17438" s="27" t="s">
        <v>818</v>
      </c>
      <c r="N17438" s="27" t="s">
        <v>819</v>
      </c>
      <c r="P17438" s="27" t="s">
        <v>18397</v>
      </c>
      <c r="Q17438" s="26" t="str">
        <f>HYPERLINK("https://ictv.global/taxonomy/taxondetails?taxnode_id=202505149&amp;ictv_id=ICTV20165460","ICTV20165460")</f>
        <v>ICTV20165460</v>
      </c>
      <c r="R17438" t="s">
        <v>656</v>
      </c>
      <c r="S17438" t="s">
        <v>824</v>
      </c>
      <c r="T17438">
        <v>39</v>
      </c>
      <c r="U17438" s="26" t="str">
        <f t="shared" si="666"/>
        <v>2023.035P.Tolecusatellitidae_rename.zip</v>
      </c>
    </row>
    <row r="17439" spans="1:21">
      <c r="A17439">
        <v>17438</v>
      </c>
      <c r="L17439" s="27" t="s">
        <v>818</v>
      </c>
      <c r="N17439" s="27" t="s">
        <v>819</v>
      </c>
      <c r="P17439" s="27" t="s">
        <v>18398</v>
      </c>
      <c r="Q17439" s="26" t="str">
        <f>HYPERLINK("https://ictv.global/taxonomy/taxondetails?taxnode_id=202509216&amp;ictv_id=ICTV202009216","ICTV202009216")</f>
        <v>ICTV202009216</v>
      </c>
      <c r="R17439" t="s">
        <v>656</v>
      </c>
      <c r="S17439" t="s">
        <v>824</v>
      </c>
      <c r="T17439">
        <v>39</v>
      </c>
      <c r="U17439" s="26" t="str">
        <f t="shared" si="666"/>
        <v>2023.035P.Tolecusatellitidae_rename.zip</v>
      </c>
    </row>
    <row r="17440" spans="1:21">
      <c r="A17440">
        <v>17439</v>
      </c>
      <c r="L17440" s="27" t="s">
        <v>818</v>
      </c>
      <c r="N17440" s="27" t="s">
        <v>819</v>
      </c>
      <c r="P17440" s="27" t="s">
        <v>18399</v>
      </c>
      <c r="Q17440" s="26" t="str">
        <f>HYPERLINK("https://ictv.global/taxonomy/taxondetails?taxnode_id=202509188&amp;ictv_id=ICTV202009188","ICTV202009188")</f>
        <v>ICTV202009188</v>
      </c>
      <c r="R17440" t="s">
        <v>656</v>
      </c>
      <c r="S17440" t="s">
        <v>824</v>
      </c>
      <c r="T17440">
        <v>39</v>
      </c>
      <c r="U17440" s="26" t="str">
        <f t="shared" si="666"/>
        <v>2023.035P.Tolecusatellitidae_rename.zip</v>
      </c>
    </row>
    <row r="17441" spans="1:21">
      <c r="A17441">
        <v>17440</v>
      </c>
      <c r="L17441" s="27" t="s">
        <v>818</v>
      </c>
      <c r="N17441" s="27" t="s">
        <v>819</v>
      </c>
      <c r="P17441" s="27" t="s">
        <v>18400</v>
      </c>
      <c r="Q17441" s="26" t="str">
        <f>HYPERLINK("https://ictv.global/taxonomy/taxondetails?taxnode_id=202505134&amp;ictv_id=ICTV20165445","ICTV20165445")</f>
        <v>ICTV20165445</v>
      </c>
      <c r="R17441" t="s">
        <v>656</v>
      </c>
      <c r="S17441" t="s">
        <v>824</v>
      </c>
      <c r="T17441">
        <v>39</v>
      </c>
      <c r="U17441" s="26" t="str">
        <f t="shared" si="666"/>
        <v>2023.035P.Tolecusatellitidae_rename.zip</v>
      </c>
    </row>
    <row r="17442" spans="1:21">
      <c r="A17442">
        <v>17441</v>
      </c>
      <c r="L17442" s="27" t="s">
        <v>818</v>
      </c>
      <c r="N17442" s="27" t="s">
        <v>819</v>
      </c>
      <c r="P17442" s="27" t="s">
        <v>18401</v>
      </c>
      <c r="Q17442" s="26" t="str">
        <f>HYPERLINK("https://ictv.global/taxonomy/taxondetails?taxnode_id=202509197&amp;ictv_id=ICTV202009197","ICTV202009197")</f>
        <v>ICTV202009197</v>
      </c>
      <c r="R17442" t="s">
        <v>656</v>
      </c>
      <c r="S17442" t="s">
        <v>824</v>
      </c>
      <c r="T17442">
        <v>39</v>
      </c>
      <c r="U17442" s="26" t="str">
        <f t="shared" si="666"/>
        <v>2023.035P.Tolecusatellitidae_rename.zip</v>
      </c>
    </row>
    <row r="17443" spans="1:21">
      <c r="A17443">
        <v>17442</v>
      </c>
      <c r="L17443" s="27" t="s">
        <v>818</v>
      </c>
      <c r="N17443" s="27" t="s">
        <v>819</v>
      </c>
      <c r="P17443" s="27" t="s">
        <v>18402</v>
      </c>
      <c r="Q17443" s="26" t="str">
        <f>HYPERLINK("https://ictv.global/taxonomy/taxondetails?taxnode_id=202509198&amp;ictv_id=ICTV202009198","ICTV202009198")</f>
        <v>ICTV202009198</v>
      </c>
      <c r="R17443" t="s">
        <v>656</v>
      </c>
      <c r="S17443" t="s">
        <v>824</v>
      </c>
      <c r="T17443">
        <v>39</v>
      </c>
      <c r="U17443" s="26" t="str">
        <f t="shared" si="666"/>
        <v>2023.035P.Tolecusatellitidae_rename.zip</v>
      </c>
    </row>
    <row r="17444" spans="1:21">
      <c r="A17444">
        <v>17443</v>
      </c>
      <c r="L17444" s="27" t="s">
        <v>818</v>
      </c>
      <c r="N17444" s="27" t="s">
        <v>819</v>
      </c>
      <c r="P17444" s="27" t="s">
        <v>18403</v>
      </c>
      <c r="Q17444" s="26" t="str">
        <f>HYPERLINK("https://ictv.global/taxonomy/taxondetails?taxnode_id=202509199&amp;ictv_id=ICTV202009199","ICTV202009199")</f>
        <v>ICTV202009199</v>
      </c>
      <c r="R17444" t="s">
        <v>656</v>
      </c>
      <c r="S17444" t="s">
        <v>824</v>
      </c>
      <c r="T17444">
        <v>39</v>
      </c>
      <c r="U17444" s="26" t="str">
        <f t="shared" si="666"/>
        <v>2023.035P.Tolecusatellitidae_rename.zip</v>
      </c>
    </row>
    <row r="17445" spans="1:21">
      <c r="A17445">
        <v>17444</v>
      </c>
      <c r="L17445" s="27" t="s">
        <v>818</v>
      </c>
      <c r="N17445" s="27" t="s">
        <v>819</v>
      </c>
      <c r="P17445" s="27" t="s">
        <v>18404</v>
      </c>
      <c r="Q17445" s="26" t="str">
        <f>HYPERLINK("https://ictv.global/taxonomy/taxondetails?taxnode_id=202505135&amp;ictv_id=ICTV20165446","ICTV20165446")</f>
        <v>ICTV20165446</v>
      </c>
      <c r="R17445" t="s">
        <v>656</v>
      </c>
      <c r="S17445" t="s">
        <v>824</v>
      </c>
      <c r="T17445">
        <v>39</v>
      </c>
      <c r="U17445" s="26" t="str">
        <f t="shared" si="666"/>
        <v>2023.035P.Tolecusatellitidae_rename.zip</v>
      </c>
    </row>
    <row r="17446" spans="1:21">
      <c r="A17446">
        <v>17445</v>
      </c>
      <c r="L17446" s="27" t="s">
        <v>818</v>
      </c>
      <c r="N17446" s="27" t="s">
        <v>819</v>
      </c>
      <c r="P17446" s="27" t="s">
        <v>18405</v>
      </c>
      <c r="Q17446" s="26" t="str">
        <f>HYPERLINK("https://ictv.global/taxonomy/taxondetails?taxnode_id=202505136&amp;ictv_id=ICTV20165447","ICTV20165447")</f>
        <v>ICTV20165447</v>
      </c>
      <c r="R17446" t="s">
        <v>656</v>
      </c>
      <c r="S17446" t="s">
        <v>824</v>
      </c>
      <c r="T17446">
        <v>39</v>
      </c>
      <c r="U17446" s="26" t="str">
        <f t="shared" si="666"/>
        <v>2023.035P.Tolecusatellitidae_rename.zip</v>
      </c>
    </row>
    <row r="17447" spans="1:21">
      <c r="A17447">
        <v>17446</v>
      </c>
      <c r="L17447" s="27" t="s">
        <v>818</v>
      </c>
      <c r="N17447" s="27" t="s">
        <v>819</v>
      </c>
      <c r="P17447" s="27" t="s">
        <v>18406</v>
      </c>
      <c r="Q17447" s="26" t="str">
        <f>HYPERLINK("https://ictv.global/taxonomy/taxondetails?taxnode_id=202509189&amp;ictv_id=ICTV202009189","ICTV202009189")</f>
        <v>ICTV202009189</v>
      </c>
      <c r="R17447" t="s">
        <v>656</v>
      </c>
      <c r="S17447" t="s">
        <v>824</v>
      </c>
      <c r="T17447">
        <v>39</v>
      </c>
      <c r="U17447" s="26" t="str">
        <f t="shared" si="666"/>
        <v>2023.035P.Tolecusatellitidae_rename.zip</v>
      </c>
    </row>
    <row r="17448" spans="1:21">
      <c r="A17448">
        <v>17447</v>
      </c>
      <c r="L17448" s="27" t="s">
        <v>818</v>
      </c>
      <c r="N17448" s="27" t="s">
        <v>819</v>
      </c>
      <c r="P17448" s="27" t="s">
        <v>18407</v>
      </c>
      <c r="Q17448" s="26" t="str">
        <f>HYPERLINK("https://ictv.global/taxonomy/taxondetails?taxnode_id=202509190&amp;ictv_id=ICTV202009190","ICTV202009190")</f>
        <v>ICTV202009190</v>
      </c>
      <c r="R17448" t="s">
        <v>656</v>
      </c>
      <c r="S17448" t="s">
        <v>824</v>
      </c>
      <c r="T17448">
        <v>39</v>
      </c>
      <c r="U17448" s="26" t="str">
        <f t="shared" si="666"/>
        <v>2023.035P.Tolecusatellitidae_rename.zip</v>
      </c>
    </row>
    <row r="17449" spans="1:21">
      <c r="A17449">
        <v>17448</v>
      </c>
      <c r="L17449" s="27" t="s">
        <v>818</v>
      </c>
      <c r="N17449" s="27" t="s">
        <v>819</v>
      </c>
      <c r="P17449" s="27" t="s">
        <v>18408</v>
      </c>
      <c r="Q17449" s="26" t="str">
        <f>HYPERLINK("https://ictv.global/taxonomy/taxondetails?taxnode_id=202509193&amp;ictv_id=ICTV202009193","ICTV202009193")</f>
        <v>ICTV202009193</v>
      </c>
      <c r="R17449" t="s">
        <v>656</v>
      </c>
      <c r="S17449" t="s">
        <v>824</v>
      </c>
      <c r="T17449">
        <v>39</v>
      </c>
      <c r="U17449" s="26" t="str">
        <f t="shared" si="666"/>
        <v>2023.035P.Tolecusatellitidae_rename.zip</v>
      </c>
    </row>
    <row r="17450" spans="1:21">
      <c r="A17450">
        <v>17449</v>
      </c>
      <c r="L17450" s="27" t="s">
        <v>818</v>
      </c>
      <c r="N17450" s="27" t="s">
        <v>819</v>
      </c>
      <c r="P17450" s="27" t="s">
        <v>18409</v>
      </c>
      <c r="Q17450" s="26" t="str">
        <f>HYPERLINK("https://ictv.global/taxonomy/taxondetails?taxnode_id=202509191&amp;ictv_id=ICTV202009191","ICTV202009191")</f>
        <v>ICTV202009191</v>
      </c>
      <c r="R17450" t="s">
        <v>656</v>
      </c>
      <c r="S17450" t="s">
        <v>824</v>
      </c>
      <c r="T17450">
        <v>39</v>
      </c>
      <c r="U17450" s="26" t="str">
        <f t="shared" si="666"/>
        <v>2023.035P.Tolecusatellitidae_rename.zip</v>
      </c>
    </row>
    <row r="17451" spans="1:21">
      <c r="A17451">
        <v>17450</v>
      </c>
      <c r="L17451" s="27" t="s">
        <v>818</v>
      </c>
      <c r="N17451" s="27" t="s">
        <v>819</v>
      </c>
      <c r="P17451" s="27" t="s">
        <v>18410</v>
      </c>
      <c r="Q17451" s="26" t="str">
        <f>HYPERLINK("https://ictv.global/taxonomy/taxondetails?taxnode_id=202509192&amp;ictv_id=ICTV202009192","ICTV202009192")</f>
        <v>ICTV202009192</v>
      </c>
      <c r="R17451" t="s">
        <v>656</v>
      </c>
      <c r="S17451" t="s">
        <v>824</v>
      </c>
      <c r="T17451">
        <v>39</v>
      </c>
      <c r="U17451" s="26" t="str">
        <f t="shared" si="666"/>
        <v>2023.035P.Tolecusatellitidae_rename.zip</v>
      </c>
    </row>
    <row r="17452" spans="1:21">
      <c r="A17452">
        <v>17451</v>
      </c>
      <c r="L17452" s="27" t="s">
        <v>818</v>
      </c>
      <c r="N17452" s="27" t="s">
        <v>819</v>
      </c>
      <c r="P17452" s="27" t="s">
        <v>18411</v>
      </c>
      <c r="Q17452" s="26" t="str">
        <f>HYPERLINK("https://ictv.global/taxonomy/taxondetails?taxnode_id=202509194&amp;ictv_id=ICTV202009194","ICTV202009194")</f>
        <v>ICTV202009194</v>
      </c>
      <c r="R17452" t="s">
        <v>656</v>
      </c>
      <c r="S17452" t="s">
        <v>824</v>
      </c>
      <c r="T17452">
        <v>39</v>
      </c>
      <c r="U17452" s="26" t="str">
        <f t="shared" ref="U17452:U17483" si="667">HYPERLINK("https://ictv.global/ictv/proposals/2023.035P.Tolecusatellitidae_rename.zip","2023.035P.Tolecusatellitidae_rename.zip")</f>
        <v>2023.035P.Tolecusatellitidae_rename.zip</v>
      </c>
    </row>
    <row r="17453" spans="1:21">
      <c r="A17453">
        <v>17452</v>
      </c>
      <c r="L17453" s="27" t="s">
        <v>818</v>
      </c>
      <c r="N17453" s="27" t="s">
        <v>819</v>
      </c>
      <c r="P17453" s="27" t="s">
        <v>18412</v>
      </c>
      <c r="Q17453" s="26" t="str">
        <f>HYPERLINK("https://ictv.global/taxonomy/taxondetails?taxnode_id=202505132&amp;ictv_id=ICTV20165443","ICTV20165443")</f>
        <v>ICTV20165443</v>
      </c>
      <c r="R17453" t="s">
        <v>656</v>
      </c>
      <c r="S17453" t="s">
        <v>824</v>
      </c>
      <c r="T17453">
        <v>39</v>
      </c>
      <c r="U17453" s="26" t="str">
        <f t="shared" si="667"/>
        <v>2023.035P.Tolecusatellitidae_rename.zip</v>
      </c>
    </row>
    <row r="17454" spans="1:21">
      <c r="A17454">
        <v>17453</v>
      </c>
      <c r="L17454" s="27" t="s">
        <v>818</v>
      </c>
      <c r="N17454" s="27" t="s">
        <v>819</v>
      </c>
      <c r="P17454" s="27" t="s">
        <v>18413</v>
      </c>
      <c r="Q17454" s="26" t="str">
        <f>HYPERLINK("https://ictv.global/taxonomy/taxondetails?taxnode_id=202509195&amp;ictv_id=ICTV202009195","ICTV202009195")</f>
        <v>ICTV202009195</v>
      </c>
      <c r="R17454" t="s">
        <v>656</v>
      </c>
      <c r="S17454" t="s">
        <v>824</v>
      </c>
      <c r="T17454">
        <v>39</v>
      </c>
      <c r="U17454" s="26" t="str">
        <f t="shared" si="667"/>
        <v>2023.035P.Tolecusatellitidae_rename.zip</v>
      </c>
    </row>
    <row r="17455" spans="1:21">
      <c r="A17455">
        <v>17454</v>
      </c>
      <c r="L17455" s="27" t="s">
        <v>818</v>
      </c>
      <c r="N17455" s="27" t="s">
        <v>819</v>
      </c>
      <c r="P17455" s="27" t="s">
        <v>18414</v>
      </c>
      <c r="Q17455" s="26" t="str">
        <f>HYPERLINK("https://ictv.global/taxonomy/taxondetails?taxnode_id=202505133&amp;ictv_id=ICTV20165444","ICTV20165444")</f>
        <v>ICTV20165444</v>
      </c>
      <c r="R17455" t="s">
        <v>656</v>
      </c>
      <c r="S17455" t="s">
        <v>824</v>
      </c>
      <c r="T17455">
        <v>39</v>
      </c>
      <c r="U17455" s="26" t="str">
        <f t="shared" si="667"/>
        <v>2023.035P.Tolecusatellitidae_rename.zip</v>
      </c>
    </row>
    <row r="17456" spans="1:21">
      <c r="A17456">
        <v>17455</v>
      </c>
      <c r="L17456" s="27" t="s">
        <v>818</v>
      </c>
      <c r="N17456" s="27" t="s">
        <v>819</v>
      </c>
      <c r="P17456" s="27" t="s">
        <v>18415</v>
      </c>
      <c r="Q17456" s="26" t="str">
        <f>HYPERLINK("https://ictv.global/taxonomy/taxondetails?taxnode_id=202509196&amp;ictv_id=ICTV202009196","ICTV202009196")</f>
        <v>ICTV202009196</v>
      </c>
      <c r="R17456" t="s">
        <v>656</v>
      </c>
      <c r="S17456" t="s">
        <v>824</v>
      </c>
      <c r="T17456">
        <v>39</v>
      </c>
      <c r="U17456" s="26" t="str">
        <f t="shared" si="667"/>
        <v>2023.035P.Tolecusatellitidae_rename.zip</v>
      </c>
    </row>
    <row r="17457" spans="1:21">
      <c r="A17457">
        <v>17456</v>
      </c>
      <c r="L17457" s="27" t="s">
        <v>818</v>
      </c>
      <c r="N17457" s="27" t="s">
        <v>819</v>
      </c>
      <c r="P17457" s="27" t="s">
        <v>18416</v>
      </c>
      <c r="Q17457" s="26" t="str">
        <f>HYPERLINK("https://ictv.global/taxonomy/taxondetails?taxnode_id=202505138&amp;ictv_id=ICTV20165449","ICTV20165449")</f>
        <v>ICTV20165449</v>
      </c>
      <c r="R17457" t="s">
        <v>656</v>
      </c>
      <c r="S17457" t="s">
        <v>824</v>
      </c>
      <c r="T17457">
        <v>39</v>
      </c>
      <c r="U17457" s="26" t="str">
        <f t="shared" si="667"/>
        <v>2023.035P.Tolecusatellitidae_rename.zip</v>
      </c>
    </row>
    <row r="17458" spans="1:21">
      <c r="A17458">
        <v>17457</v>
      </c>
      <c r="L17458" s="27" t="s">
        <v>818</v>
      </c>
      <c r="N17458" s="27" t="s">
        <v>819</v>
      </c>
      <c r="P17458" s="27" t="s">
        <v>18417</v>
      </c>
      <c r="Q17458" s="26" t="str">
        <f>HYPERLINK("https://ictv.global/taxonomy/taxondetails?taxnode_id=202509203&amp;ictv_id=ICTV202009203","ICTV202009203")</f>
        <v>ICTV202009203</v>
      </c>
      <c r="R17458" t="s">
        <v>656</v>
      </c>
      <c r="S17458" t="s">
        <v>824</v>
      </c>
      <c r="T17458">
        <v>39</v>
      </c>
      <c r="U17458" s="26" t="str">
        <f t="shared" si="667"/>
        <v>2023.035P.Tolecusatellitidae_rename.zip</v>
      </c>
    </row>
    <row r="17459" spans="1:21">
      <c r="A17459">
        <v>17458</v>
      </c>
      <c r="L17459" s="27" t="s">
        <v>818</v>
      </c>
      <c r="N17459" s="27" t="s">
        <v>819</v>
      </c>
      <c r="P17459" s="27" t="s">
        <v>18418</v>
      </c>
      <c r="Q17459" s="26" t="str">
        <f>HYPERLINK("https://ictv.global/taxonomy/taxondetails?taxnode_id=202509200&amp;ictv_id=ICTV202009200","ICTV202009200")</f>
        <v>ICTV202009200</v>
      </c>
      <c r="R17459" t="s">
        <v>656</v>
      </c>
      <c r="S17459" t="s">
        <v>824</v>
      </c>
      <c r="T17459">
        <v>39</v>
      </c>
      <c r="U17459" s="26" t="str">
        <f t="shared" si="667"/>
        <v>2023.035P.Tolecusatellitidae_rename.zip</v>
      </c>
    </row>
    <row r="17460" spans="1:21">
      <c r="A17460">
        <v>17459</v>
      </c>
      <c r="L17460" s="27" t="s">
        <v>818</v>
      </c>
      <c r="N17460" s="27" t="s">
        <v>819</v>
      </c>
      <c r="P17460" s="27" t="s">
        <v>18419</v>
      </c>
      <c r="Q17460" s="26" t="str">
        <f>HYPERLINK("https://ictv.global/taxonomy/taxondetails?taxnode_id=202505139&amp;ictv_id=ICTV20165450","ICTV20165450")</f>
        <v>ICTV20165450</v>
      </c>
      <c r="R17460" t="s">
        <v>656</v>
      </c>
      <c r="S17460" t="s">
        <v>824</v>
      </c>
      <c r="T17460">
        <v>39</v>
      </c>
      <c r="U17460" s="26" t="str">
        <f t="shared" si="667"/>
        <v>2023.035P.Tolecusatellitidae_rename.zip</v>
      </c>
    </row>
    <row r="17461" spans="1:21">
      <c r="A17461">
        <v>17460</v>
      </c>
      <c r="L17461" s="27" t="s">
        <v>818</v>
      </c>
      <c r="N17461" s="27" t="s">
        <v>819</v>
      </c>
      <c r="P17461" s="27" t="s">
        <v>18420</v>
      </c>
      <c r="Q17461" s="26" t="str">
        <f>HYPERLINK("https://ictv.global/taxonomy/taxondetails?taxnode_id=202509201&amp;ictv_id=ICTV202009201","ICTV202009201")</f>
        <v>ICTV202009201</v>
      </c>
      <c r="R17461" t="s">
        <v>656</v>
      </c>
      <c r="S17461" t="s">
        <v>824</v>
      </c>
      <c r="T17461">
        <v>39</v>
      </c>
      <c r="U17461" s="26" t="str">
        <f t="shared" si="667"/>
        <v>2023.035P.Tolecusatellitidae_rename.zip</v>
      </c>
    </row>
    <row r="17462" spans="1:21">
      <c r="A17462">
        <v>17461</v>
      </c>
      <c r="L17462" s="27" t="s">
        <v>818</v>
      </c>
      <c r="N17462" s="27" t="s">
        <v>819</v>
      </c>
      <c r="P17462" s="27" t="s">
        <v>18421</v>
      </c>
      <c r="Q17462" s="26" t="str">
        <f>HYPERLINK("https://ictv.global/taxonomy/taxondetails?taxnode_id=202505140&amp;ictv_id=ICTV20165451","ICTV20165451")</f>
        <v>ICTV20165451</v>
      </c>
      <c r="R17462" t="s">
        <v>656</v>
      </c>
      <c r="S17462" t="s">
        <v>824</v>
      </c>
      <c r="T17462">
        <v>39</v>
      </c>
      <c r="U17462" s="26" t="str">
        <f t="shared" si="667"/>
        <v>2023.035P.Tolecusatellitidae_rename.zip</v>
      </c>
    </row>
    <row r="17463" spans="1:21">
      <c r="A17463">
        <v>17462</v>
      </c>
      <c r="L17463" s="27" t="s">
        <v>818</v>
      </c>
      <c r="N17463" s="27" t="s">
        <v>819</v>
      </c>
      <c r="P17463" s="27" t="s">
        <v>18422</v>
      </c>
      <c r="Q17463" s="26" t="str">
        <f>HYPERLINK("https://ictv.global/taxonomy/taxondetails?taxnode_id=202509202&amp;ictv_id=ICTV202009202","ICTV202009202")</f>
        <v>ICTV202009202</v>
      </c>
      <c r="R17463" t="s">
        <v>656</v>
      </c>
      <c r="S17463" t="s">
        <v>824</v>
      </c>
      <c r="T17463">
        <v>39</v>
      </c>
      <c r="U17463" s="26" t="str">
        <f t="shared" si="667"/>
        <v>2023.035P.Tolecusatellitidae_rename.zip</v>
      </c>
    </row>
    <row r="17464" spans="1:21">
      <c r="A17464">
        <v>17463</v>
      </c>
      <c r="L17464" s="27" t="s">
        <v>818</v>
      </c>
      <c r="N17464" s="27" t="s">
        <v>819</v>
      </c>
      <c r="P17464" s="27" t="s">
        <v>18423</v>
      </c>
      <c r="Q17464" s="26" t="str">
        <f>HYPERLINK("https://ictv.global/taxonomy/taxondetails?taxnode_id=202509204&amp;ictv_id=ICTV202009204","ICTV202009204")</f>
        <v>ICTV202009204</v>
      </c>
      <c r="R17464" t="s">
        <v>656</v>
      </c>
      <c r="S17464" t="s">
        <v>824</v>
      </c>
      <c r="T17464">
        <v>39</v>
      </c>
      <c r="U17464" s="26" t="str">
        <f t="shared" si="667"/>
        <v>2023.035P.Tolecusatellitidae_rename.zip</v>
      </c>
    </row>
    <row r="17465" spans="1:21">
      <c r="A17465">
        <v>17464</v>
      </c>
      <c r="L17465" s="27" t="s">
        <v>818</v>
      </c>
      <c r="N17465" s="27" t="s">
        <v>819</v>
      </c>
      <c r="P17465" s="27" t="s">
        <v>18424</v>
      </c>
      <c r="Q17465" s="26" t="str">
        <f>HYPERLINK("https://ictv.global/taxonomy/taxondetails?taxnode_id=202509205&amp;ictv_id=ICTV202009205","ICTV202009205")</f>
        <v>ICTV202009205</v>
      </c>
      <c r="R17465" t="s">
        <v>656</v>
      </c>
      <c r="S17465" t="s">
        <v>824</v>
      </c>
      <c r="T17465">
        <v>39</v>
      </c>
      <c r="U17465" s="26" t="str">
        <f t="shared" si="667"/>
        <v>2023.035P.Tolecusatellitidae_rename.zip</v>
      </c>
    </row>
    <row r="17466" spans="1:21">
      <c r="A17466">
        <v>17465</v>
      </c>
      <c r="L17466" s="27" t="s">
        <v>818</v>
      </c>
      <c r="N17466" s="27" t="s">
        <v>819</v>
      </c>
      <c r="P17466" s="27" t="s">
        <v>18425</v>
      </c>
      <c r="Q17466" s="26" t="str">
        <f>HYPERLINK("https://ictv.global/taxonomy/taxondetails?taxnode_id=202509209&amp;ictv_id=ICTV202009209","ICTV202009209")</f>
        <v>ICTV202009209</v>
      </c>
      <c r="R17466" t="s">
        <v>656</v>
      </c>
      <c r="S17466" t="s">
        <v>824</v>
      </c>
      <c r="T17466">
        <v>39</v>
      </c>
      <c r="U17466" s="26" t="str">
        <f t="shared" si="667"/>
        <v>2023.035P.Tolecusatellitidae_rename.zip</v>
      </c>
    </row>
    <row r="17467" spans="1:21">
      <c r="A17467">
        <v>17466</v>
      </c>
      <c r="L17467" s="27" t="s">
        <v>818</v>
      </c>
      <c r="N17467" s="27" t="s">
        <v>819</v>
      </c>
      <c r="P17467" s="27" t="s">
        <v>18426</v>
      </c>
      <c r="Q17467" s="26" t="str">
        <f>HYPERLINK("https://ictv.global/taxonomy/taxondetails?taxnode_id=202509206&amp;ictv_id=ICTV202009206","ICTV202009206")</f>
        <v>ICTV202009206</v>
      </c>
      <c r="R17467" t="s">
        <v>656</v>
      </c>
      <c r="S17467" t="s">
        <v>824</v>
      </c>
      <c r="T17467">
        <v>39</v>
      </c>
      <c r="U17467" s="26" t="str">
        <f t="shared" si="667"/>
        <v>2023.035P.Tolecusatellitidae_rename.zip</v>
      </c>
    </row>
    <row r="17468" spans="1:21">
      <c r="A17468">
        <v>17467</v>
      </c>
      <c r="L17468" s="27" t="s">
        <v>818</v>
      </c>
      <c r="N17468" s="27" t="s">
        <v>819</v>
      </c>
      <c r="P17468" s="27" t="s">
        <v>18427</v>
      </c>
      <c r="Q17468" s="26" t="str">
        <f>HYPERLINK("https://ictv.global/taxonomy/taxondetails?taxnode_id=202509207&amp;ictv_id=ICTV202009207","ICTV202009207")</f>
        <v>ICTV202009207</v>
      </c>
      <c r="R17468" t="s">
        <v>656</v>
      </c>
      <c r="S17468" t="s">
        <v>824</v>
      </c>
      <c r="T17468">
        <v>39</v>
      </c>
      <c r="U17468" s="26" t="str">
        <f t="shared" si="667"/>
        <v>2023.035P.Tolecusatellitidae_rename.zip</v>
      </c>
    </row>
    <row r="17469" spans="1:21">
      <c r="A17469">
        <v>17468</v>
      </c>
      <c r="L17469" s="27" t="s">
        <v>818</v>
      </c>
      <c r="N17469" s="27" t="s">
        <v>819</v>
      </c>
      <c r="P17469" s="27" t="s">
        <v>18428</v>
      </c>
      <c r="Q17469" s="26" t="str">
        <f>HYPERLINK("https://ictv.global/taxonomy/taxondetails?taxnode_id=202509208&amp;ictv_id=ICTV202009208","ICTV202009208")</f>
        <v>ICTV202009208</v>
      </c>
      <c r="R17469" t="s">
        <v>656</v>
      </c>
      <c r="S17469" t="s">
        <v>824</v>
      </c>
      <c r="T17469">
        <v>39</v>
      </c>
      <c r="U17469" s="26" t="str">
        <f t="shared" si="667"/>
        <v>2023.035P.Tolecusatellitidae_rename.zip</v>
      </c>
    </row>
    <row r="17470" spans="1:21">
      <c r="A17470">
        <v>17469</v>
      </c>
      <c r="L17470" s="27" t="s">
        <v>818</v>
      </c>
      <c r="N17470" s="27" t="s">
        <v>819</v>
      </c>
      <c r="P17470" s="27" t="s">
        <v>18429</v>
      </c>
      <c r="Q17470" s="26" t="str">
        <f>HYPERLINK("https://ictv.global/taxonomy/taxondetails?taxnode_id=202505141&amp;ictv_id=ICTV20165452","ICTV20165452")</f>
        <v>ICTV20165452</v>
      </c>
      <c r="R17470" t="s">
        <v>656</v>
      </c>
      <c r="S17470" t="s">
        <v>824</v>
      </c>
      <c r="T17470">
        <v>39</v>
      </c>
      <c r="U17470" s="26" t="str">
        <f t="shared" si="667"/>
        <v>2023.035P.Tolecusatellitidae_rename.zip</v>
      </c>
    </row>
    <row r="17471" spans="1:21">
      <c r="A17471">
        <v>17470</v>
      </c>
      <c r="L17471" s="27" t="s">
        <v>818</v>
      </c>
      <c r="N17471" s="27" t="s">
        <v>819</v>
      </c>
      <c r="P17471" s="27" t="s">
        <v>18430</v>
      </c>
      <c r="Q17471" s="26" t="str">
        <f>HYPERLINK("https://ictv.global/taxonomy/taxondetails?taxnode_id=202509211&amp;ictv_id=ICTV202009211","ICTV202009211")</f>
        <v>ICTV202009211</v>
      </c>
      <c r="R17471" t="s">
        <v>656</v>
      </c>
      <c r="S17471" t="s">
        <v>824</v>
      </c>
      <c r="T17471">
        <v>39</v>
      </c>
      <c r="U17471" s="26" t="str">
        <f t="shared" si="667"/>
        <v>2023.035P.Tolecusatellitidae_rename.zip</v>
      </c>
    </row>
    <row r="17472" spans="1:21">
      <c r="A17472">
        <v>17471</v>
      </c>
      <c r="L17472" s="27" t="s">
        <v>818</v>
      </c>
      <c r="N17472" s="27" t="s">
        <v>819</v>
      </c>
      <c r="P17472" s="27" t="s">
        <v>18431</v>
      </c>
      <c r="Q17472" s="26" t="str">
        <f>HYPERLINK("https://ictv.global/taxonomy/taxondetails?taxnode_id=202509210&amp;ictv_id=ICTV202009210","ICTV202009210")</f>
        <v>ICTV202009210</v>
      </c>
      <c r="R17472" t="s">
        <v>656</v>
      </c>
      <c r="S17472" t="s">
        <v>824</v>
      </c>
      <c r="T17472">
        <v>39</v>
      </c>
      <c r="U17472" s="26" t="str">
        <f t="shared" si="667"/>
        <v>2023.035P.Tolecusatellitidae_rename.zip</v>
      </c>
    </row>
    <row r="17473" spans="1:21">
      <c r="A17473">
        <v>17472</v>
      </c>
      <c r="L17473" s="27" t="s">
        <v>818</v>
      </c>
      <c r="N17473" s="27" t="s">
        <v>819</v>
      </c>
      <c r="P17473" s="27" t="s">
        <v>18432</v>
      </c>
      <c r="Q17473" s="26" t="str">
        <f>HYPERLINK("https://ictv.global/taxonomy/taxondetails?taxnode_id=202509212&amp;ictv_id=ICTV202009212","ICTV202009212")</f>
        <v>ICTV202009212</v>
      </c>
      <c r="R17473" t="s">
        <v>656</v>
      </c>
      <c r="S17473" t="s">
        <v>824</v>
      </c>
      <c r="T17473">
        <v>39</v>
      </c>
      <c r="U17473" s="26" t="str">
        <f t="shared" si="667"/>
        <v>2023.035P.Tolecusatellitidae_rename.zip</v>
      </c>
    </row>
    <row r="17474" spans="1:21">
      <c r="A17474">
        <v>17473</v>
      </c>
      <c r="L17474" s="27" t="s">
        <v>818</v>
      </c>
      <c r="N17474" s="27" t="s">
        <v>819</v>
      </c>
      <c r="P17474" s="27" t="s">
        <v>18433</v>
      </c>
      <c r="Q17474" s="26" t="str">
        <f>HYPERLINK("https://ictv.global/taxonomy/taxondetails?taxnode_id=202509213&amp;ictv_id=ICTV202009213","ICTV202009213")</f>
        <v>ICTV202009213</v>
      </c>
      <c r="R17474" t="s">
        <v>656</v>
      </c>
      <c r="S17474" t="s">
        <v>824</v>
      </c>
      <c r="T17474">
        <v>39</v>
      </c>
      <c r="U17474" s="26" t="str">
        <f t="shared" si="667"/>
        <v>2023.035P.Tolecusatellitidae_rename.zip</v>
      </c>
    </row>
    <row r="17475" spans="1:21">
      <c r="A17475">
        <v>17474</v>
      </c>
      <c r="L17475" s="27" t="s">
        <v>818</v>
      </c>
      <c r="N17475" s="27" t="s">
        <v>819</v>
      </c>
      <c r="P17475" s="27" t="s">
        <v>18434</v>
      </c>
      <c r="Q17475" s="26" t="str">
        <f>HYPERLINK("https://ictv.global/taxonomy/taxondetails?taxnode_id=202505143&amp;ictv_id=ICTV20165454","ICTV20165454")</f>
        <v>ICTV20165454</v>
      </c>
      <c r="R17475" t="s">
        <v>656</v>
      </c>
      <c r="S17475" t="s">
        <v>824</v>
      </c>
      <c r="T17475">
        <v>39</v>
      </c>
      <c r="U17475" s="26" t="str">
        <f t="shared" si="667"/>
        <v>2023.035P.Tolecusatellitidae_rename.zip</v>
      </c>
    </row>
    <row r="17476" spans="1:21">
      <c r="A17476">
        <v>17475</v>
      </c>
      <c r="L17476" s="27" t="s">
        <v>818</v>
      </c>
      <c r="N17476" s="27" t="s">
        <v>819</v>
      </c>
      <c r="P17476" s="27" t="s">
        <v>18435</v>
      </c>
      <c r="Q17476" s="26" t="str">
        <f>HYPERLINK("https://ictv.global/taxonomy/taxondetails?taxnode_id=202505144&amp;ictv_id=ICTV20165455","ICTV20165455")</f>
        <v>ICTV20165455</v>
      </c>
      <c r="R17476" t="s">
        <v>656</v>
      </c>
      <c r="S17476" t="s">
        <v>824</v>
      </c>
      <c r="T17476">
        <v>39</v>
      </c>
      <c r="U17476" s="26" t="str">
        <f t="shared" si="667"/>
        <v>2023.035P.Tolecusatellitidae_rename.zip</v>
      </c>
    </row>
    <row r="17477" spans="1:21">
      <c r="A17477">
        <v>17476</v>
      </c>
      <c r="L17477" s="27" t="s">
        <v>818</v>
      </c>
      <c r="N17477" s="27" t="s">
        <v>819</v>
      </c>
      <c r="P17477" s="27" t="s">
        <v>18436</v>
      </c>
      <c r="Q17477" s="26" t="str">
        <f>HYPERLINK("https://ictv.global/taxonomy/taxondetails?taxnode_id=202509227&amp;ictv_id=ICTV202009227","ICTV202009227")</f>
        <v>ICTV202009227</v>
      </c>
      <c r="R17477" t="s">
        <v>656</v>
      </c>
      <c r="S17477" t="s">
        <v>824</v>
      </c>
      <c r="T17477">
        <v>39</v>
      </c>
      <c r="U17477" s="26" t="str">
        <f t="shared" si="667"/>
        <v>2023.035P.Tolecusatellitidae_rename.zip</v>
      </c>
    </row>
    <row r="17478" spans="1:21">
      <c r="A17478">
        <v>17477</v>
      </c>
      <c r="L17478" s="27" t="s">
        <v>818</v>
      </c>
      <c r="N17478" s="27" t="s">
        <v>819</v>
      </c>
      <c r="P17478" s="27" t="s">
        <v>18437</v>
      </c>
      <c r="Q17478" s="26" t="str">
        <f>HYPERLINK("https://ictv.global/taxonomy/taxondetails?taxnode_id=202505153&amp;ictv_id=ICTV20165464","ICTV20165464")</f>
        <v>ICTV20165464</v>
      </c>
      <c r="R17478" t="s">
        <v>656</v>
      </c>
      <c r="S17478" t="s">
        <v>824</v>
      </c>
      <c r="T17478">
        <v>39</v>
      </c>
      <c r="U17478" s="26" t="str">
        <f t="shared" si="667"/>
        <v>2023.035P.Tolecusatellitidae_rename.zip</v>
      </c>
    </row>
    <row r="17479" spans="1:21">
      <c r="A17479">
        <v>17478</v>
      </c>
      <c r="L17479" s="27" t="s">
        <v>818</v>
      </c>
      <c r="N17479" s="27" t="s">
        <v>819</v>
      </c>
      <c r="P17479" s="27" t="s">
        <v>18438</v>
      </c>
      <c r="Q17479" s="26" t="str">
        <f>HYPERLINK("https://ictv.global/taxonomy/taxondetails?taxnode_id=202505155&amp;ictv_id=ICTV20165466","ICTV20165466")</f>
        <v>ICTV20165466</v>
      </c>
      <c r="R17479" t="s">
        <v>656</v>
      </c>
      <c r="S17479" t="s">
        <v>824</v>
      </c>
      <c r="T17479">
        <v>39</v>
      </c>
      <c r="U17479" s="26" t="str">
        <f t="shared" si="667"/>
        <v>2023.035P.Tolecusatellitidae_rename.zip</v>
      </c>
    </row>
    <row r="17480" spans="1:21">
      <c r="A17480">
        <v>17479</v>
      </c>
      <c r="L17480" s="27" t="s">
        <v>818</v>
      </c>
      <c r="N17480" s="27" t="s">
        <v>819</v>
      </c>
      <c r="P17480" s="27" t="s">
        <v>18439</v>
      </c>
      <c r="Q17480" s="26" t="str">
        <f>HYPERLINK("https://ictv.global/taxonomy/taxondetails?taxnode_id=202505156&amp;ictv_id=ICTV20165467","ICTV20165467")</f>
        <v>ICTV20165467</v>
      </c>
      <c r="R17480" t="s">
        <v>656</v>
      </c>
      <c r="S17480" t="s">
        <v>824</v>
      </c>
      <c r="T17480">
        <v>39</v>
      </c>
      <c r="U17480" s="26" t="str">
        <f t="shared" si="667"/>
        <v>2023.035P.Tolecusatellitidae_rename.zip</v>
      </c>
    </row>
    <row r="17481" spans="1:21">
      <c r="A17481">
        <v>17480</v>
      </c>
      <c r="L17481" s="27" t="s">
        <v>818</v>
      </c>
      <c r="N17481" s="27" t="s">
        <v>819</v>
      </c>
      <c r="P17481" s="27" t="s">
        <v>18440</v>
      </c>
      <c r="Q17481" s="26" t="str">
        <f>HYPERLINK("https://ictv.global/taxonomy/taxondetails?taxnode_id=202509228&amp;ictv_id=ICTV202009228","ICTV202009228")</f>
        <v>ICTV202009228</v>
      </c>
      <c r="R17481" t="s">
        <v>656</v>
      </c>
      <c r="S17481" t="s">
        <v>824</v>
      </c>
      <c r="T17481">
        <v>39</v>
      </c>
      <c r="U17481" s="26" t="str">
        <f t="shared" si="667"/>
        <v>2023.035P.Tolecusatellitidae_rename.zip</v>
      </c>
    </row>
    <row r="17482" spans="1:21">
      <c r="A17482">
        <v>17481</v>
      </c>
      <c r="L17482" s="27" t="s">
        <v>818</v>
      </c>
      <c r="N17482" s="27" t="s">
        <v>819</v>
      </c>
      <c r="P17482" s="27" t="s">
        <v>18441</v>
      </c>
      <c r="Q17482" s="26" t="str">
        <f>HYPERLINK("https://ictv.global/taxonomy/taxondetails?taxnode_id=202509229&amp;ictv_id=ICTV202009229","ICTV202009229")</f>
        <v>ICTV202009229</v>
      </c>
      <c r="R17482" t="s">
        <v>656</v>
      </c>
      <c r="S17482" t="s">
        <v>824</v>
      </c>
      <c r="T17482">
        <v>39</v>
      </c>
      <c r="U17482" s="26" t="str">
        <f t="shared" si="667"/>
        <v>2023.035P.Tolecusatellitidae_rename.zip</v>
      </c>
    </row>
    <row r="17483" spans="1:21">
      <c r="A17483">
        <v>17482</v>
      </c>
      <c r="L17483" s="27" t="s">
        <v>818</v>
      </c>
      <c r="N17483" s="27" t="s">
        <v>819</v>
      </c>
      <c r="P17483" s="27" t="s">
        <v>18442</v>
      </c>
      <c r="Q17483" s="26" t="str">
        <f>HYPERLINK("https://ictv.global/taxonomy/taxondetails?taxnode_id=202505154&amp;ictv_id=ICTV20165465","ICTV20165465")</f>
        <v>ICTV20165465</v>
      </c>
      <c r="R17483" t="s">
        <v>656</v>
      </c>
      <c r="S17483" t="s">
        <v>824</v>
      </c>
      <c r="T17483">
        <v>39</v>
      </c>
      <c r="U17483" s="26" t="str">
        <f t="shared" si="667"/>
        <v>2023.035P.Tolecusatellitidae_rename.zip</v>
      </c>
    </row>
    <row r="17484" spans="1:21">
      <c r="A17484">
        <v>17483</v>
      </c>
      <c r="L17484" s="27" t="s">
        <v>818</v>
      </c>
      <c r="N17484" s="27" t="s">
        <v>819</v>
      </c>
      <c r="P17484" s="27" t="s">
        <v>18443</v>
      </c>
      <c r="Q17484" s="26" t="str">
        <f>HYPERLINK("https://ictv.global/taxonomy/taxondetails?taxnode_id=202505137&amp;ictv_id=ICTV20165448","ICTV20165448")</f>
        <v>ICTV20165448</v>
      </c>
      <c r="R17484" t="s">
        <v>656</v>
      </c>
      <c r="S17484" t="s">
        <v>824</v>
      </c>
      <c r="T17484">
        <v>39</v>
      </c>
      <c r="U17484" s="26" t="str">
        <f t="shared" ref="U17484:U17515" si="668">HYPERLINK("https://ictv.global/ictv/proposals/2023.035P.Tolecusatellitidae_rename.zip","2023.035P.Tolecusatellitidae_rename.zip")</f>
        <v>2023.035P.Tolecusatellitidae_rename.zip</v>
      </c>
    </row>
    <row r="17485" spans="1:21">
      <c r="A17485">
        <v>17484</v>
      </c>
      <c r="L17485" s="27" t="s">
        <v>818</v>
      </c>
      <c r="N17485" s="27" t="s">
        <v>819</v>
      </c>
      <c r="P17485" s="27" t="s">
        <v>18444</v>
      </c>
      <c r="Q17485" s="26" t="str">
        <f>HYPERLINK("https://ictv.global/taxonomy/taxondetails?taxnode_id=202509217&amp;ictv_id=ICTV202009217","ICTV202009217")</f>
        <v>ICTV202009217</v>
      </c>
      <c r="R17485" t="s">
        <v>656</v>
      </c>
      <c r="S17485" t="s">
        <v>824</v>
      </c>
      <c r="T17485">
        <v>39</v>
      </c>
      <c r="U17485" s="26" t="str">
        <f t="shared" si="668"/>
        <v>2023.035P.Tolecusatellitidae_rename.zip</v>
      </c>
    </row>
    <row r="17486" spans="1:21">
      <c r="A17486">
        <v>17485</v>
      </c>
      <c r="L17486" s="27" t="s">
        <v>818</v>
      </c>
      <c r="N17486" s="27" t="s">
        <v>819</v>
      </c>
      <c r="P17486" s="27" t="s">
        <v>18445</v>
      </c>
      <c r="Q17486" s="26" t="str">
        <f>HYPERLINK("https://ictv.global/taxonomy/taxondetails?taxnode_id=202509218&amp;ictv_id=ICTV202009218","ICTV202009218")</f>
        <v>ICTV202009218</v>
      </c>
      <c r="R17486" t="s">
        <v>656</v>
      </c>
      <c r="S17486" t="s">
        <v>824</v>
      </c>
      <c r="T17486">
        <v>39</v>
      </c>
      <c r="U17486" s="26" t="str">
        <f t="shared" si="668"/>
        <v>2023.035P.Tolecusatellitidae_rename.zip</v>
      </c>
    </row>
    <row r="17487" spans="1:21">
      <c r="A17487">
        <v>17486</v>
      </c>
      <c r="L17487" s="27" t="s">
        <v>818</v>
      </c>
      <c r="N17487" s="27" t="s">
        <v>819</v>
      </c>
      <c r="P17487" s="27" t="s">
        <v>18446</v>
      </c>
      <c r="Q17487" s="26" t="str">
        <f>HYPERLINK("https://ictv.global/taxonomy/taxondetails?taxnode_id=202505150&amp;ictv_id=ICTV20165461","ICTV20165461")</f>
        <v>ICTV20165461</v>
      </c>
      <c r="R17487" t="s">
        <v>656</v>
      </c>
      <c r="S17487" t="s">
        <v>824</v>
      </c>
      <c r="T17487">
        <v>39</v>
      </c>
      <c r="U17487" s="26" t="str">
        <f t="shared" si="668"/>
        <v>2023.035P.Tolecusatellitidae_rename.zip</v>
      </c>
    </row>
    <row r="17488" spans="1:21">
      <c r="A17488">
        <v>17487</v>
      </c>
      <c r="L17488" s="27" t="s">
        <v>818</v>
      </c>
      <c r="N17488" s="27" t="s">
        <v>819</v>
      </c>
      <c r="P17488" s="27" t="s">
        <v>18447</v>
      </c>
      <c r="Q17488" s="26" t="str">
        <f>HYPERLINK("https://ictv.global/taxonomy/taxondetails?taxnode_id=202505151&amp;ictv_id=ICTV20165462","ICTV20165462")</f>
        <v>ICTV20165462</v>
      </c>
      <c r="R17488" t="s">
        <v>656</v>
      </c>
      <c r="S17488" t="s">
        <v>824</v>
      </c>
      <c r="T17488">
        <v>39</v>
      </c>
      <c r="U17488" s="26" t="str">
        <f t="shared" si="668"/>
        <v>2023.035P.Tolecusatellitidae_rename.zip</v>
      </c>
    </row>
    <row r="17489" spans="1:21">
      <c r="A17489">
        <v>17488</v>
      </c>
      <c r="L17489" s="27" t="s">
        <v>818</v>
      </c>
      <c r="N17489" s="27" t="s">
        <v>819</v>
      </c>
      <c r="P17489" s="27" t="s">
        <v>18448</v>
      </c>
      <c r="Q17489" s="26" t="str">
        <f>HYPERLINK("https://ictv.global/taxonomy/taxondetails?taxnode_id=202509221&amp;ictv_id=ICTV202009221","ICTV202009221")</f>
        <v>ICTV202009221</v>
      </c>
      <c r="R17489" t="s">
        <v>656</v>
      </c>
      <c r="S17489" t="s">
        <v>824</v>
      </c>
      <c r="T17489">
        <v>39</v>
      </c>
      <c r="U17489" s="26" t="str">
        <f t="shared" si="668"/>
        <v>2023.035P.Tolecusatellitidae_rename.zip</v>
      </c>
    </row>
    <row r="17490" spans="1:21">
      <c r="A17490">
        <v>17489</v>
      </c>
      <c r="L17490" s="27" t="s">
        <v>818</v>
      </c>
      <c r="N17490" s="27" t="s">
        <v>819</v>
      </c>
      <c r="P17490" s="27" t="s">
        <v>18449</v>
      </c>
      <c r="Q17490" s="26" t="str">
        <f>HYPERLINK("https://ictv.global/taxonomy/taxondetails?taxnode_id=202509219&amp;ictv_id=ICTV202009219","ICTV202009219")</f>
        <v>ICTV202009219</v>
      </c>
      <c r="R17490" t="s">
        <v>656</v>
      </c>
      <c r="S17490" t="s">
        <v>824</v>
      </c>
      <c r="T17490">
        <v>39</v>
      </c>
      <c r="U17490" s="26" t="str">
        <f t="shared" si="668"/>
        <v>2023.035P.Tolecusatellitidae_rename.zip</v>
      </c>
    </row>
    <row r="17491" spans="1:21">
      <c r="A17491">
        <v>17490</v>
      </c>
      <c r="L17491" s="27" t="s">
        <v>818</v>
      </c>
      <c r="N17491" s="27" t="s">
        <v>819</v>
      </c>
      <c r="P17491" s="27" t="s">
        <v>18450</v>
      </c>
      <c r="Q17491" s="26" t="str">
        <f>HYPERLINK("https://ictv.global/taxonomy/taxondetails?taxnode_id=202509222&amp;ictv_id=ICTV202009222","ICTV202009222")</f>
        <v>ICTV202009222</v>
      </c>
      <c r="R17491" t="s">
        <v>656</v>
      </c>
      <c r="S17491" t="s">
        <v>824</v>
      </c>
      <c r="T17491">
        <v>39</v>
      </c>
      <c r="U17491" s="26" t="str">
        <f t="shared" si="668"/>
        <v>2023.035P.Tolecusatellitidae_rename.zip</v>
      </c>
    </row>
    <row r="17492" spans="1:21">
      <c r="A17492">
        <v>17491</v>
      </c>
      <c r="L17492" s="27" t="s">
        <v>818</v>
      </c>
      <c r="N17492" s="27" t="s">
        <v>819</v>
      </c>
      <c r="P17492" s="27" t="s">
        <v>18451</v>
      </c>
      <c r="Q17492" s="26" t="str">
        <f>HYPERLINK("https://ictv.global/taxonomy/taxondetails?taxnode_id=202509220&amp;ictv_id=ICTV202009220","ICTV202009220")</f>
        <v>ICTV202009220</v>
      </c>
      <c r="R17492" t="s">
        <v>656</v>
      </c>
      <c r="S17492" t="s">
        <v>824</v>
      </c>
      <c r="T17492">
        <v>39</v>
      </c>
      <c r="U17492" s="26" t="str">
        <f t="shared" si="668"/>
        <v>2023.035P.Tolecusatellitidae_rename.zip</v>
      </c>
    </row>
    <row r="17493" spans="1:21">
      <c r="A17493">
        <v>17492</v>
      </c>
      <c r="L17493" s="27" t="s">
        <v>818</v>
      </c>
      <c r="N17493" s="27" t="s">
        <v>819</v>
      </c>
      <c r="P17493" s="27" t="s">
        <v>18452</v>
      </c>
      <c r="Q17493" s="26" t="str">
        <f>HYPERLINK("https://ictv.global/taxonomy/taxondetails?taxnode_id=202509223&amp;ictv_id=ICTV202009223","ICTV202009223")</f>
        <v>ICTV202009223</v>
      </c>
      <c r="R17493" t="s">
        <v>656</v>
      </c>
      <c r="S17493" t="s">
        <v>824</v>
      </c>
      <c r="T17493">
        <v>39</v>
      </c>
      <c r="U17493" s="26" t="str">
        <f t="shared" si="668"/>
        <v>2023.035P.Tolecusatellitidae_rename.zip</v>
      </c>
    </row>
    <row r="17494" spans="1:21">
      <c r="A17494">
        <v>17493</v>
      </c>
      <c r="L17494" s="27" t="s">
        <v>818</v>
      </c>
      <c r="N17494" s="27" t="s">
        <v>819</v>
      </c>
      <c r="P17494" s="27" t="s">
        <v>18453</v>
      </c>
      <c r="Q17494" s="26" t="str">
        <f>HYPERLINK("https://ictv.global/taxonomy/taxondetails?taxnode_id=202509224&amp;ictv_id=ICTV202009224","ICTV202009224")</f>
        <v>ICTV202009224</v>
      </c>
      <c r="R17494" t="s">
        <v>656</v>
      </c>
      <c r="S17494" t="s">
        <v>824</v>
      </c>
      <c r="T17494">
        <v>39</v>
      </c>
      <c r="U17494" s="26" t="str">
        <f t="shared" si="668"/>
        <v>2023.035P.Tolecusatellitidae_rename.zip</v>
      </c>
    </row>
    <row r="17495" spans="1:21">
      <c r="A17495">
        <v>17494</v>
      </c>
      <c r="L17495" s="27" t="s">
        <v>818</v>
      </c>
      <c r="N17495" s="27" t="s">
        <v>819</v>
      </c>
      <c r="P17495" s="27" t="s">
        <v>18454</v>
      </c>
      <c r="Q17495" s="26" t="str">
        <f>HYPERLINK("https://ictv.global/taxonomy/taxondetails?taxnode_id=202505152&amp;ictv_id=ICTV20165463","ICTV20165463")</f>
        <v>ICTV20165463</v>
      </c>
      <c r="R17495" t="s">
        <v>656</v>
      </c>
      <c r="S17495" t="s">
        <v>824</v>
      </c>
      <c r="T17495">
        <v>39</v>
      </c>
      <c r="U17495" s="26" t="str">
        <f t="shared" si="668"/>
        <v>2023.035P.Tolecusatellitidae_rename.zip</v>
      </c>
    </row>
    <row r="17496" spans="1:21">
      <c r="A17496">
        <v>17495</v>
      </c>
      <c r="L17496" s="27" t="s">
        <v>818</v>
      </c>
      <c r="N17496" s="27" t="s">
        <v>819</v>
      </c>
      <c r="P17496" s="27" t="s">
        <v>18455</v>
      </c>
      <c r="Q17496" s="26" t="str">
        <f>HYPERLINK("https://ictv.global/taxonomy/taxondetails?taxnode_id=202509226&amp;ictv_id=ICTV202009226","ICTV202009226")</f>
        <v>ICTV202009226</v>
      </c>
      <c r="R17496" t="s">
        <v>656</v>
      </c>
      <c r="S17496" t="s">
        <v>824</v>
      </c>
      <c r="T17496">
        <v>39</v>
      </c>
      <c r="U17496" s="26" t="str">
        <f t="shared" si="668"/>
        <v>2023.035P.Tolecusatellitidae_rename.zip</v>
      </c>
    </row>
    <row r="17497" spans="1:21">
      <c r="A17497">
        <v>17496</v>
      </c>
      <c r="L17497" s="27" t="s">
        <v>818</v>
      </c>
      <c r="N17497" s="27" t="s">
        <v>819</v>
      </c>
      <c r="P17497" s="27" t="s">
        <v>18456</v>
      </c>
      <c r="Q17497" s="26" t="str">
        <f>HYPERLINK("https://ictv.global/taxonomy/taxondetails?taxnode_id=202509225&amp;ictv_id=ICTV202009225","ICTV202009225")</f>
        <v>ICTV202009225</v>
      </c>
      <c r="R17497" t="s">
        <v>656</v>
      </c>
      <c r="S17497" t="s">
        <v>824</v>
      </c>
      <c r="T17497">
        <v>39</v>
      </c>
      <c r="U17497" s="26" t="str">
        <f t="shared" si="668"/>
        <v>2023.035P.Tolecusatellitidae_rename.zip</v>
      </c>
    </row>
    <row r="17498" spans="1:21">
      <c r="A17498">
        <v>17497</v>
      </c>
      <c r="L17498" s="27" t="s">
        <v>818</v>
      </c>
      <c r="N17498" s="27" t="s">
        <v>819</v>
      </c>
      <c r="P17498" s="27" t="s">
        <v>18457</v>
      </c>
      <c r="Q17498" s="26" t="str">
        <f>HYPERLINK("https://ictv.global/taxonomy/taxondetails?taxnode_id=202505159&amp;ictv_id=ICTV20165470","ICTV20165470")</f>
        <v>ICTV20165470</v>
      </c>
      <c r="R17498" t="s">
        <v>656</v>
      </c>
      <c r="S17498" t="s">
        <v>824</v>
      </c>
      <c r="T17498">
        <v>39</v>
      </c>
      <c r="U17498" s="26" t="str">
        <f t="shared" si="668"/>
        <v>2023.035P.Tolecusatellitidae_rename.zip</v>
      </c>
    </row>
    <row r="17499" spans="1:21">
      <c r="A17499">
        <v>17498</v>
      </c>
      <c r="L17499" s="27" t="s">
        <v>818</v>
      </c>
      <c r="N17499" s="27" t="s">
        <v>819</v>
      </c>
      <c r="P17499" s="27" t="s">
        <v>18458</v>
      </c>
      <c r="Q17499" s="26" t="str">
        <f>HYPERLINK("https://ictv.global/taxonomy/taxondetails?taxnode_id=202505157&amp;ictv_id=ICTV20165468","ICTV20165468")</f>
        <v>ICTV20165468</v>
      </c>
      <c r="R17499" t="s">
        <v>656</v>
      </c>
      <c r="S17499" t="s">
        <v>824</v>
      </c>
      <c r="T17499">
        <v>39</v>
      </c>
      <c r="U17499" s="26" t="str">
        <f t="shared" si="668"/>
        <v>2023.035P.Tolecusatellitidae_rename.zip</v>
      </c>
    </row>
    <row r="17500" spans="1:21">
      <c r="A17500">
        <v>17499</v>
      </c>
      <c r="L17500" s="27" t="s">
        <v>818</v>
      </c>
      <c r="N17500" s="27" t="s">
        <v>819</v>
      </c>
      <c r="P17500" s="27" t="s">
        <v>18459</v>
      </c>
      <c r="Q17500" s="26" t="str">
        <f>HYPERLINK("https://ictv.global/taxonomy/taxondetails?taxnode_id=202509230&amp;ictv_id=ICTV202009230","ICTV202009230")</f>
        <v>ICTV202009230</v>
      </c>
      <c r="R17500" t="s">
        <v>656</v>
      </c>
      <c r="S17500" t="s">
        <v>824</v>
      </c>
      <c r="T17500">
        <v>39</v>
      </c>
      <c r="U17500" s="26" t="str">
        <f t="shared" si="668"/>
        <v>2023.035P.Tolecusatellitidae_rename.zip</v>
      </c>
    </row>
    <row r="17501" spans="1:21">
      <c r="A17501">
        <v>17500</v>
      </c>
      <c r="L17501" s="27" t="s">
        <v>818</v>
      </c>
      <c r="N17501" s="27" t="s">
        <v>819</v>
      </c>
      <c r="P17501" s="27" t="s">
        <v>18460</v>
      </c>
      <c r="Q17501" s="26" t="str">
        <f>HYPERLINK("https://ictv.global/taxonomy/taxondetails?taxnode_id=202505158&amp;ictv_id=ICTV20165469","ICTV20165469")</f>
        <v>ICTV20165469</v>
      </c>
      <c r="R17501" t="s">
        <v>656</v>
      </c>
      <c r="S17501" t="s">
        <v>824</v>
      </c>
      <c r="T17501">
        <v>39</v>
      </c>
      <c r="U17501" s="26" t="str">
        <f t="shared" si="668"/>
        <v>2023.035P.Tolecusatellitidae_rename.zip</v>
      </c>
    </row>
    <row r="17502" spans="1:21">
      <c r="A17502">
        <v>17501</v>
      </c>
      <c r="L17502" s="27" t="s">
        <v>818</v>
      </c>
      <c r="N17502" s="27" t="s">
        <v>819</v>
      </c>
      <c r="P17502" s="27" t="s">
        <v>18461</v>
      </c>
      <c r="Q17502" s="26" t="str">
        <f>HYPERLINK("https://ictv.global/taxonomy/taxondetails?taxnode_id=202509232&amp;ictv_id=ICTV202009232","ICTV202009232")</f>
        <v>ICTV202009232</v>
      </c>
      <c r="R17502" t="s">
        <v>656</v>
      </c>
      <c r="S17502" t="s">
        <v>824</v>
      </c>
      <c r="T17502">
        <v>39</v>
      </c>
      <c r="U17502" s="26" t="str">
        <f t="shared" si="668"/>
        <v>2023.035P.Tolecusatellitidae_rename.zip</v>
      </c>
    </row>
    <row r="17503" spans="1:21">
      <c r="A17503">
        <v>17502</v>
      </c>
      <c r="L17503" s="27" t="s">
        <v>818</v>
      </c>
      <c r="N17503" s="27" t="s">
        <v>819</v>
      </c>
      <c r="P17503" s="27" t="s">
        <v>18462</v>
      </c>
      <c r="Q17503" s="26" t="str">
        <f>HYPERLINK("https://ictv.global/taxonomy/taxondetails?taxnode_id=202505160&amp;ictv_id=ICTV20165471","ICTV20165471")</f>
        <v>ICTV20165471</v>
      </c>
      <c r="R17503" t="s">
        <v>656</v>
      </c>
      <c r="S17503" t="s">
        <v>824</v>
      </c>
      <c r="T17503">
        <v>39</v>
      </c>
      <c r="U17503" s="26" t="str">
        <f t="shared" si="668"/>
        <v>2023.035P.Tolecusatellitidae_rename.zip</v>
      </c>
    </row>
    <row r="17504" spans="1:21">
      <c r="A17504">
        <v>17503</v>
      </c>
      <c r="L17504" s="27" t="s">
        <v>818</v>
      </c>
      <c r="N17504" s="27" t="s">
        <v>819</v>
      </c>
      <c r="P17504" s="27" t="s">
        <v>18463</v>
      </c>
      <c r="Q17504" s="26" t="str">
        <f>HYPERLINK("https://ictv.global/taxonomy/taxondetails?taxnode_id=202505172&amp;ictv_id=ICTV20165483","ICTV20165483")</f>
        <v>ICTV20165483</v>
      </c>
      <c r="R17504" t="s">
        <v>656</v>
      </c>
      <c r="S17504" t="s">
        <v>824</v>
      </c>
      <c r="T17504">
        <v>39</v>
      </c>
      <c r="U17504" s="26" t="str">
        <f t="shared" si="668"/>
        <v>2023.035P.Tolecusatellitidae_rename.zip</v>
      </c>
    </row>
    <row r="17505" spans="1:21">
      <c r="A17505">
        <v>17504</v>
      </c>
      <c r="L17505" s="27" t="s">
        <v>818</v>
      </c>
      <c r="N17505" s="27" t="s">
        <v>819</v>
      </c>
      <c r="P17505" s="27" t="s">
        <v>18464</v>
      </c>
      <c r="Q17505" s="26" t="str">
        <f>HYPERLINK("https://ictv.global/taxonomy/taxondetails?taxnode_id=202505174&amp;ictv_id=ICTV20165485","ICTV20165485")</f>
        <v>ICTV20165485</v>
      </c>
      <c r="R17505" t="s">
        <v>656</v>
      </c>
      <c r="S17505" t="s">
        <v>824</v>
      </c>
      <c r="T17505">
        <v>39</v>
      </c>
      <c r="U17505" s="26" t="str">
        <f t="shared" si="668"/>
        <v>2023.035P.Tolecusatellitidae_rename.zip</v>
      </c>
    </row>
    <row r="17506" spans="1:21">
      <c r="A17506">
        <v>17505</v>
      </c>
      <c r="L17506" s="27" t="s">
        <v>818</v>
      </c>
      <c r="N17506" s="27" t="s">
        <v>819</v>
      </c>
      <c r="P17506" s="27" t="s">
        <v>18465</v>
      </c>
      <c r="Q17506" s="26" t="str">
        <f>HYPERLINK("https://ictv.global/taxonomy/taxondetails?taxnode_id=202509245&amp;ictv_id=ICTV202009245","ICTV202009245")</f>
        <v>ICTV202009245</v>
      </c>
      <c r="R17506" t="s">
        <v>656</v>
      </c>
      <c r="S17506" t="s">
        <v>824</v>
      </c>
      <c r="T17506">
        <v>39</v>
      </c>
      <c r="U17506" s="26" t="str">
        <f t="shared" si="668"/>
        <v>2023.035P.Tolecusatellitidae_rename.zip</v>
      </c>
    </row>
    <row r="17507" spans="1:21">
      <c r="A17507">
        <v>17506</v>
      </c>
      <c r="L17507" s="27" t="s">
        <v>818</v>
      </c>
      <c r="N17507" s="27" t="s">
        <v>819</v>
      </c>
      <c r="P17507" s="27" t="s">
        <v>18466</v>
      </c>
      <c r="Q17507" s="26" t="str">
        <f>HYPERLINK("https://ictv.global/taxonomy/taxondetails?taxnode_id=202505175&amp;ictv_id=ICTV20165486","ICTV20165486")</f>
        <v>ICTV20165486</v>
      </c>
      <c r="R17507" t="s">
        <v>656</v>
      </c>
      <c r="S17507" t="s">
        <v>824</v>
      </c>
      <c r="T17507">
        <v>39</v>
      </c>
      <c r="U17507" s="26" t="str">
        <f t="shared" si="668"/>
        <v>2023.035P.Tolecusatellitidae_rename.zip</v>
      </c>
    </row>
    <row r="17508" spans="1:21">
      <c r="A17508">
        <v>17507</v>
      </c>
      <c r="L17508" s="27" t="s">
        <v>818</v>
      </c>
      <c r="N17508" s="27" t="s">
        <v>819</v>
      </c>
      <c r="P17508" s="27" t="s">
        <v>18467</v>
      </c>
      <c r="Q17508" s="26" t="str">
        <f>HYPERLINK("https://ictv.global/taxonomy/taxondetails?taxnode_id=202505176&amp;ictv_id=ICTV20165487","ICTV20165487")</f>
        <v>ICTV20165487</v>
      </c>
      <c r="R17508" t="s">
        <v>656</v>
      </c>
      <c r="S17508" t="s">
        <v>824</v>
      </c>
      <c r="T17508">
        <v>39</v>
      </c>
      <c r="U17508" s="26" t="str">
        <f t="shared" si="668"/>
        <v>2023.035P.Tolecusatellitidae_rename.zip</v>
      </c>
    </row>
    <row r="17509" spans="1:21">
      <c r="A17509">
        <v>17508</v>
      </c>
      <c r="L17509" s="27" t="s">
        <v>818</v>
      </c>
      <c r="N17509" s="27" t="s">
        <v>819</v>
      </c>
      <c r="P17509" s="27" t="s">
        <v>18468</v>
      </c>
      <c r="Q17509" s="26" t="str">
        <f>HYPERLINK("https://ictv.global/taxonomy/taxondetails?taxnode_id=202505177&amp;ictv_id=ICTV20165488","ICTV20165488")</f>
        <v>ICTV20165488</v>
      </c>
      <c r="R17509" t="s">
        <v>656</v>
      </c>
      <c r="S17509" t="s">
        <v>824</v>
      </c>
      <c r="T17509">
        <v>39</v>
      </c>
      <c r="U17509" s="26" t="str">
        <f t="shared" si="668"/>
        <v>2023.035P.Tolecusatellitidae_rename.zip</v>
      </c>
    </row>
    <row r="17510" spans="1:21">
      <c r="A17510">
        <v>17509</v>
      </c>
      <c r="L17510" s="27" t="s">
        <v>818</v>
      </c>
      <c r="N17510" s="27" t="s">
        <v>819</v>
      </c>
      <c r="P17510" s="27" t="s">
        <v>18469</v>
      </c>
      <c r="Q17510" s="26" t="str">
        <f>HYPERLINK("https://ictv.global/taxonomy/taxondetails?taxnode_id=202509233&amp;ictv_id=ICTV202009233","ICTV202009233")</f>
        <v>ICTV202009233</v>
      </c>
      <c r="R17510" t="s">
        <v>656</v>
      </c>
      <c r="S17510" t="s">
        <v>824</v>
      </c>
      <c r="T17510">
        <v>39</v>
      </c>
      <c r="U17510" s="26" t="str">
        <f t="shared" si="668"/>
        <v>2023.035P.Tolecusatellitidae_rename.zip</v>
      </c>
    </row>
    <row r="17511" spans="1:21">
      <c r="A17511">
        <v>17510</v>
      </c>
      <c r="L17511" s="27" t="s">
        <v>818</v>
      </c>
      <c r="N17511" s="27" t="s">
        <v>819</v>
      </c>
      <c r="P17511" s="27" t="s">
        <v>18470</v>
      </c>
      <c r="Q17511" s="26" t="str">
        <f>HYPERLINK("https://ictv.global/taxonomy/taxondetails?taxnode_id=202509234&amp;ictv_id=ICTV202009234","ICTV202009234")</f>
        <v>ICTV202009234</v>
      </c>
      <c r="R17511" t="s">
        <v>656</v>
      </c>
      <c r="S17511" t="s">
        <v>824</v>
      </c>
      <c r="T17511">
        <v>39</v>
      </c>
      <c r="U17511" s="26" t="str">
        <f t="shared" si="668"/>
        <v>2023.035P.Tolecusatellitidae_rename.zip</v>
      </c>
    </row>
    <row r="17512" spans="1:21">
      <c r="A17512">
        <v>17511</v>
      </c>
      <c r="L17512" s="27" t="s">
        <v>818</v>
      </c>
      <c r="N17512" s="27" t="s">
        <v>819</v>
      </c>
      <c r="P17512" s="27" t="s">
        <v>18471</v>
      </c>
      <c r="Q17512" s="26" t="str">
        <f>HYPERLINK("https://ictv.global/taxonomy/taxondetails?taxnode_id=202505161&amp;ictv_id=ICTV20165472","ICTV20165472")</f>
        <v>ICTV20165472</v>
      </c>
      <c r="R17512" t="s">
        <v>656</v>
      </c>
      <c r="S17512" t="s">
        <v>824</v>
      </c>
      <c r="T17512">
        <v>39</v>
      </c>
      <c r="U17512" s="26" t="str">
        <f t="shared" si="668"/>
        <v>2023.035P.Tolecusatellitidae_rename.zip</v>
      </c>
    </row>
    <row r="17513" spans="1:21">
      <c r="A17513">
        <v>17512</v>
      </c>
      <c r="L17513" s="27" t="s">
        <v>818</v>
      </c>
      <c r="N17513" s="27" t="s">
        <v>819</v>
      </c>
      <c r="P17513" s="27" t="s">
        <v>18472</v>
      </c>
      <c r="Q17513" s="26" t="str">
        <f>HYPERLINK("https://ictv.global/taxonomy/taxondetails?taxnode_id=202509235&amp;ictv_id=ICTV202009235","ICTV202009235")</f>
        <v>ICTV202009235</v>
      </c>
      <c r="R17513" t="s">
        <v>656</v>
      </c>
      <c r="S17513" t="s">
        <v>824</v>
      </c>
      <c r="T17513">
        <v>39</v>
      </c>
      <c r="U17513" s="26" t="str">
        <f t="shared" si="668"/>
        <v>2023.035P.Tolecusatellitidae_rename.zip</v>
      </c>
    </row>
    <row r="17514" spans="1:21">
      <c r="A17514">
        <v>17513</v>
      </c>
      <c r="L17514" s="27" t="s">
        <v>818</v>
      </c>
      <c r="N17514" s="27" t="s">
        <v>819</v>
      </c>
      <c r="P17514" s="27" t="s">
        <v>18473</v>
      </c>
      <c r="Q17514" s="26" t="str">
        <f>HYPERLINK("https://ictv.global/taxonomy/taxondetails?taxnode_id=202505162&amp;ictv_id=ICTV20165473","ICTV20165473")</f>
        <v>ICTV20165473</v>
      </c>
      <c r="R17514" t="s">
        <v>656</v>
      </c>
      <c r="S17514" t="s">
        <v>824</v>
      </c>
      <c r="T17514">
        <v>39</v>
      </c>
      <c r="U17514" s="26" t="str">
        <f t="shared" si="668"/>
        <v>2023.035P.Tolecusatellitidae_rename.zip</v>
      </c>
    </row>
    <row r="17515" spans="1:21">
      <c r="A17515">
        <v>17514</v>
      </c>
      <c r="L17515" s="27" t="s">
        <v>818</v>
      </c>
      <c r="N17515" s="27" t="s">
        <v>819</v>
      </c>
      <c r="P17515" s="27" t="s">
        <v>18474</v>
      </c>
      <c r="Q17515" s="26" t="str">
        <f>HYPERLINK("https://ictv.global/taxonomy/taxondetails?taxnode_id=202505163&amp;ictv_id=ICTV20165474","ICTV20165474")</f>
        <v>ICTV20165474</v>
      </c>
      <c r="R17515" t="s">
        <v>656</v>
      </c>
      <c r="S17515" t="s">
        <v>824</v>
      </c>
      <c r="T17515">
        <v>39</v>
      </c>
      <c r="U17515" s="26" t="str">
        <f t="shared" si="668"/>
        <v>2023.035P.Tolecusatellitidae_rename.zip</v>
      </c>
    </row>
    <row r="17516" spans="1:21">
      <c r="A17516">
        <v>17515</v>
      </c>
      <c r="L17516" s="27" t="s">
        <v>818</v>
      </c>
      <c r="N17516" s="27" t="s">
        <v>819</v>
      </c>
      <c r="P17516" s="27" t="s">
        <v>18475</v>
      </c>
      <c r="Q17516" s="26" t="str">
        <f>HYPERLINK("https://ictv.global/taxonomy/taxondetails?taxnode_id=202509237&amp;ictv_id=ICTV202009237","ICTV202009237")</f>
        <v>ICTV202009237</v>
      </c>
      <c r="R17516" t="s">
        <v>656</v>
      </c>
      <c r="S17516" t="s">
        <v>824</v>
      </c>
      <c r="T17516">
        <v>39</v>
      </c>
      <c r="U17516" s="26" t="str">
        <f t="shared" ref="U17516:U17533" si="669">HYPERLINK("https://ictv.global/ictv/proposals/2023.035P.Tolecusatellitidae_rename.zip","2023.035P.Tolecusatellitidae_rename.zip")</f>
        <v>2023.035P.Tolecusatellitidae_rename.zip</v>
      </c>
    </row>
    <row r="17517" spans="1:21">
      <c r="A17517">
        <v>17516</v>
      </c>
      <c r="L17517" s="27" t="s">
        <v>818</v>
      </c>
      <c r="N17517" s="27" t="s">
        <v>819</v>
      </c>
      <c r="P17517" s="27" t="s">
        <v>18476</v>
      </c>
      <c r="Q17517" s="26" t="str">
        <f>HYPERLINK("https://ictv.global/taxonomy/taxondetails?taxnode_id=202509238&amp;ictv_id=ICTV202009238","ICTV202009238")</f>
        <v>ICTV202009238</v>
      </c>
      <c r="R17517" t="s">
        <v>656</v>
      </c>
      <c r="S17517" t="s">
        <v>824</v>
      </c>
      <c r="T17517">
        <v>39</v>
      </c>
      <c r="U17517" s="26" t="str">
        <f t="shared" si="669"/>
        <v>2023.035P.Tolecusatellitidae_rename.zip</v>
      </c>
    </row>
    <row r="17518" spans="1:21">
      <c r="A17518">
        <v>17517</v>
      </c>
      <c r="L17518" s="27" t="s">
        <v>818</v>
      </c>
      <c r="N17518" s="27" t="s">
        <v>819</v>
      </c>
      <c r="P17518" s="27" t="s">
        <v>18477</v>
      </c>
      <c r="Q17518" s="26" t="str">
        <f>HYPERLINK("https://ictv.global/taxonomy/taxondetails?taxnode_id=202505164&amp;ictv_id=ICTV20165475","ICTV20165475")</f>
        <v>ICTV20165475</v>
      </c>
      <c r="R17518" t="s">
        <v>656</v>
      </c>
      <c r="S17518" t="s">
        <v>824</v>
      </c>
      <c r="T17518">
        <v>39</v>
      </c>
      <c r="U17518" s="26" t="str">
        <f t="shared" si="669"/>
        <v>2023.035P.Tolecusatellitidae_rename.zip</v>
      </c>
    </row>
    <row r="17519" spans="1:21">
      <c r="A17519">
        <v>17518</v>
      </c>
      <c r="L17519" s="27" t="s">
        <v>818</v>
      </c>
      <c r="N17519" s="27" t="s">
        <v>819</v>
      </c>
      <c r="P17519" s="27" t="s">
        <v>18478</v>
      </c>
      <c r="Q17519" s="26" t="str">
        <f>HYPERLINK("https://ictv.global/taxonomy/taxondetails?taxnode_id=202505165&amp;ictv_id=ICTV20165476","ICTV20165476")</f>
        <v>ICTV20165476</v>
      </c>
      <c r="R17519" t="s">
        <v>656</v>
      </c>
      <c r="S17519" t="s">
        <v>824</v>
      </c>
      <c r="T17519">
        <v>39</v>
      </c>
      <c r="U17519" s="26" t="str">
        <f t="shared" si="669"/>
        <v>2023.035P.Tolecusatellitidae_rename.zip</v>
      </c>
    </row>
    <row r="17520" spans="1:21">
      <c r="A17520">
        <v>17519</v>
      </c>
      <c r="L17520" s="27" t="s">
        <v>818</v>
      </c>
      <c r="N17520" s="27" t="s">
        <v>819</v>
      </c>
      <c r="P17520" s="27" t="s">
        <v>18479</v>
      </c>
      <c r="Q17520" s="26" t="str">
        <f>HYPERLINK("https://ictv.global/taxonomy/taxondetails?taxnode_id=202509239&amp;ictv_id=ICTV202009239","ICTV202009239")</f>
        <v>ICTV202009239</v>
      </c>
      <c r="R17520" t="s">
        <v>656</v>
      </c>
      <c r="S17520" t="s">
        <v>824</v>
      </c>
      <c r="T17520">
        <v>39</v>
      </c>
      <c r="U17520" s="26" t="str">
        <f t="shared" si="669"/>
        <v>2023.035P.Tolecusatellitidae_rename.zip</v>
      </c>
    </row>
    <row r="17521" spans="1:21">
      <c r="A17521">
        <v>17520</v>
      </c>
      <c r="L17521" s="27" t="s">
        <v>818</v>
      </c>
      <c r="N17521" s="27" t="s">
        <v>819</v>
      </c>
      <c r="P17521" s="27" t="s">
        <v>18480</v>
      </c>
      <c r="Q17521" s="26" t="str">
        <f>HYPERLINK("https://ictv.global/taxonomy/taxondetails?taxnode_id=202505166&amp;ictv_id=ICTV20165477","ICTV20165477")</f>
        <v>ICTV20165477</v>
      </c>
      <c r="R17521" t="s">
        <v>656</v>
      </c>
      <c r="S17521" t="s">
        <v>824</v>
      </c>
      <c r="T17521">
        <v>39</v>
      </c>
      <c r="U17521" s="26" t="str">
        <f t="shared" si="669"/>
        <v>2023.035P.Tolecusatellitidae_rename.zip</v>
      </c>
    </row>
    <row r="17522" spans="1:21">
      <c r="A17522">
        <v>17521</v>
      </c>
      <c r="L17522" s="27" t="s">
        <v>818</v>
      </c>
      <c r="N17522" s="27" t="s">
        <v>819</v>
      </c>
      <c r="P17522" s="27" t="s">
        <v>18481</v>
      </c>
      <c r="Q17522" s="26" t="str">
        <f>HYPERLINK("https://ictv.global/taxonomy/taxondetails?taxnode_id=202509236&amp;ictv_id=ICTV202009236","ICTV202009236")</f>
        <v>ICTV202009236</v>
      </c>
      <c r="R17522" t="s">
        <v>656</v>
      </c>
      <c r="S17522" t="s">
        <v>824</v>
      </c>
      <c r="T17522">
        <v>39</v>
      </c>
      <c r="U17522" s="26" t="str">
        <f t="shared" si="669"/>
        <v>2023.035P.Tolecusatellitidae_rename.zip</v>
      </c>
    </row>
    <row r="17523" spans="1:21">
      <c r="A17523">
        <v>17522</v>
      </c>
      <c r="L17523" s="27" t="s">
        <v>818</v>
      </c>
      <c r="N17523" s="27" t="s">
        <v>819</v>
      </c>
      <c r="P17523" s="27" t="s">
        <v>18482</v>
      </c>
      <c r="Q17523" s="26" t="str">
        <f>HYPERLINK("https://ictv.global/taxonomy/taxondetails?taxnode_id=202505167&amp;ictv_id=ICTV20165478","ICTV20165478")</f>
        <v>ICTV20165478</v>
      </c>
      <c r="R17523" t="s">
        <v>656</v>
      </c>
      <c r="S17523" t="s">
        <v>824</v>
      </c>
      <c r="T17523">
        <v>39</v>
      </c>
      <c r="U17523" s="26" t="str">
        <f t="shared" si="669"/>
        <v>2023.035P.Tolecusatellitidae_rename.zip</v>
      </c>
    </row>
    <row r="17524" spans="1:21">
      <c r="A17524">
        <v>17523</v>
      </c>
      <c r="L17524" s="27" t="s">
        <v>818</v>
      </c>
      <c r="N17524" s="27" t="s">
        <v>819</v>
      </c>
      <c r="P17524" s="27" t="s">
        <v>18483</v>
      </c>
      <c r="Q17524" s="26" t="str">
        <f>HYPERLINK("https://ictv.global/taxonomy/taxondetails?taxnode_id=202509240&amp;ictv_id=ICTV202009240","ICTV202009240")</f>
        <v>ICTV202009240</v>
      </c>
      <c r="R17524" t="s">
        <v>656</v>
      </c>
      <c r="S17524" t="s">
        <v>824</v>
      </c>
      <c r="T17524">
        <v>39</v>
      </c>
      <c r="U17524" s="26" t="str">
        <f t="shared" si="669"/>
        <v>2023.035P.Tolecusatellitidae_rename.zip</v>
      </c>
    </row>
    <row r="17525" spans="1:21">
      <c r="A17525">
        <v>17524</v>
      </c>
      <c r="L17525" s="27" t="s">
        <v>818</v>
      </c>
      <c r="N17525" s="27" t="s">
        <v>819</v>
      </c>
      <c r="P17525" s="27" t="s">
        <v>18484</v>
      </c>
      <c r="Q17525" s="26" t="str">
        <f>HYPERLINK("https://ictv.global/taxonomy/taxondetails?taxnode_id=202509241&amp;ictv_id=ICTV202009241","ICTV202009241")</f>
        <v>ICTV202009241</v>
      </c>
      <c r="R17525" t="s">
        <v>656</v>
      </c>
      <c r="S17525" t="s">
        <v>824</v>
      </c>
      <c r="T17525">
        <v>39</v>
      </c>
      <c r="U17525" s="26" t="str">
        <f t="shared" si="669"/>
        <v>2023.035P.Tolecusatellitidae_rename.zip</v>
      </c>
    </row>
    <row r="17526" spans="1:21">
      <c r="A17526">
        <v>17525</v>
      </c>
      <c r="L17526" s="27" t="s">
        <v>818</v>
      </c>
      <c r="N17526" s="27" t="s">
        <v>819</v>
      </c>
      <c r="P17526" s="27" t="s">
        <v>18485</v>
      </c>
      <c r="Q17526" s="26" t="str">
        <f>HYPERLINK("https://ictv.global/taxonomy/taxondetails?taxnode_id=202505168&amp;ictv_id=ICTV20165479","ICTV20165479")</f>
        <v>ICTV20165479</v>
      </c>
      <c r="R17526" t="s">
        <v>656</v>
      </c>
      <c r="S17526" t="s">
        <v>824</v>
      </c>
      <c r="T17526">
        <v>39</v>
      </c>
      <c r="U17526" s="26" t="str">
        <f t="shared" si="669"/>
        <v>2023.035P.Tolecusatellitidae_rename.zip</v>
      </c>
    </row>
    <row r="17527" spans="1:21">
      <c r="A17527">
        <v>17526</v>
      </c>
      <c r="L17527" s="27" t="s">
        <v>818</v>
      </c>
      <c r="N17527" s="27" t="s">
        <v>819</v>
      </c>
      <c r="P17527" s="27" t="s">
        <v>18486</v>
      </c>
      <c r="Q17527" s="26" t="str">
        <f>HYPERLINK("https://ictv.global/taxonomy/taxondetails?taxnode_id=202505169&amp;ictv_id=ICTV20165480","ICTV20165480")</f>
        <v>ICTV20165480</v>
      </c>
      <c r="R17527" t="s">
        <v>656</v>
      </c>
      <c r="S17527" t="s">
        <v>824</v>
      </c>
      <c r="T17527">
        <v>39</v>
      </c>
      <c r="U17527" s="26" t="str">
        <f t="shared" si="669"/>
        <v>2023.035P.Tolecusatellitidae_rename.zip</v>
      </c>
    </row>
    <row r="17528" spans="1:21">
      <c r="A17528">
        <v>17527</v>
      </c>
      <c r="L17528" s="27" t="s">
        <v>818</v>
      </c>
      <c r="N17528" s="27" t="s">
        <v>819</v>
      </c>
      <c r="P17528" s="27" t="s">
        <v>18487</v>
      </c>
      <c r="Q17528" s="26" t="str">
        <f>HYPERLINK("https://ictv.global/taxonomy/taxondetails?taxnode_id=202509242&amp;ictv_id=ICTV202009242","ICTV202009242")</f>
        <v>ICTV202009242</v>
      </c>
      <c r="R17528" t="s">
        <v>656</v>
      </c>
      <c r="S17528" t="s">
        <v>824</v>
      </c>
      <c r="T17528">
        <v>39</v>
      </c>
      <c r="U17528" s="26" t="str">
        <f t="shared" si="669"/>
        <v>2023.035P.Tolecusatellitidae_rename.zip</v>
      </c>
    </row>
    <row r="17529" spans="1:21">
      <c r="A17529">
        <v>17528</v>
      </c>
      <c r="L17529" s="27" t="s">
        <v>818</v>
      </c>
      <c r="N17529" s="27" t="s">
        <v>819</v>
      </c>
      <c r="P17529" s="27" t="s">
        <v>18488</v>
      </c>
      <c r="Q17529" s="26" t="str">
        <f>HYPERLINK("https://ictv.global/taxonomy/taxondetails?taxnode_id=202509243&amp;ictv_id=ICTV202009243","ICTV202009243")</f>
        <v>ICTV202009243</v>
      </c>
      <c r="R17529" t="s">
        <v>656</v>
      </c>
      <c r="S17529" t="s">
        <v>824</v>
      </c>
      <c r="T17529">
        <v>39</v>
      </c>
      <c r="U17529" s="26" t="str">
        <f t="shared" si="669"/>
        <v>2023.035P.Tolecusatellitidae_rename.zip</v>
      </c>
    </row>
    <row r="17530" spans="1:21">
      <c r="A17530">
        <v>17529</v>
      </c>
      <c r="L17530" s="27" t="s">
        <v>818</v>
      </c>
      <c r="N17530" s="27" t="s">
        <v>819</v>
      </c>
      <c r="P17530" s="27" t="s">
        <v>18489</v>
      </c>
      <c r="Q17530" s="26" t="str">
        <f>HYPERLINK("https://ictv.global/taxonomy/taxondetails?taxnode_id=202509231&amp;ictv_id=ICTV202009231","ICTV202009231")</f>
        <v>ICTV202009231</v>
      </c>
      <c r="R17530" t="s">
        <v>656</v>
      </c>
      <c r="S17530" t="s">
        <v>824</v>
      </c>
      <c r="T17530">
        <v>39</v>
      </c>
      <c r="U17530" s="26" t="str">
        <f t="shared" si="669"/>
        <v>2023.035P.Tolecusatellitidae_rename.zip</v>
      </c>
    </row>
    <row r="17531" spans="1:21">
      <c r="A17531">
        <v>17530</v>
      </c>
      <c r="L17531" s="27" t="s">
        <v>818</v>
      </c>
      <c r="N17531" s="27" t="s">
        <v>819</v>
      </c>
      <c r="P17531" s="27" t="s">
        <v>18490</v>
      </c>
      <c r="Q17531" s="26" t="str">
        <f>HYPERLINK("https://ictv.global/taxonomy/taxondetails?taxnode_id=202505170&amp;ictv_id=ICTV20165481","ICTV20165481")</f>
        <v>ICTV20165481</v>
      </c>
      <c r="R17531" t="s">
        <v>656</v>
      </c>
      <c r="S17531" t="s">
        <v>824</v>
      </c>
      <c r="T17531">
        <v>39</v>
      </c>
      <c r="U17531" s="26" t="str">
        <f t="shared" si="669"/>
        <v>2023.035P.Tolecusatellitidae_rename.zip</v>
      </c>
    </row>
    <row r="17532" spans="1:21">
      <c r="A17532">
        <v>17531</v>
      </c>
      <c r="L17532" s="27" t="s">
        <v>818</v>
      </c>
      <c r="N17532" s="27" t="s">
        <v>819</v>
      </c>
      <c r="P17532" s="27" t="s">
        <v>18491</v>
      </c>
      <c r="Q17532" s="26" t="str">
        <f>HYPERLINK("https://ictv.global/taxonomy/taxondetails?taxnode_id=202509244&amp;ictv_id=ICTV202009244","ICTV202009244")</f>
        <v>ICTV202009244</v>
      </c>
      <c r="R17532" t="s">
        <v>656</v>
      </c>
      <c r="S17532" t="s">
        <v>824</v>
      </c>
      <c r="T17532">
        <v>39</v>
      </c>
      <c r="U17532" s="26" t="str">
        <f t="shared" si="669"/>
        <v>2023.035P.Tolecusatellitidae_rename.zip</v>
      </c>
    </row>
    <row r="17533" spans="1:21">
      <c r="A17533">
        <v>17532</v>
      </c>
      <c r="L17533" s="27" t="s">
        <v>818</v>
      </c>
      <c r="N17533" s="27" t="s">
        <v>819</v>
      </c>
      <c r="P17533" s="27" t="s">
        <v>18492</v>
      </c>
      <c r="Q17533" s="26" t="str">
        <f>HYPERLINK("https://ictv.global/taxonomy/taxondetails?taxnode_id=202505171&amp;ictv_id=ICTV20165482","ICTV20165482")</f>
        <v>ICTV20165482</v>
      </c>
      <c r="R17533" t="s">
        <v>656</v>
      </c>
      <c r="S17533" t="s">
        <v>824</v>
      </c>
      <c r="T17533">
        <v>39</v>
      </c>
      <c r="U17533" s="26" t="str">
        <f t="shared" si="669"/>
        <v>2023.035P.Tolecusatellitidae_rename.zip</v>
      </c>
    </row>
    <row r="17534" spans="1:21">
      <c r="A17534">
        <v>17533</v>
      </c>
      <c r="L17534" s="27" t="s">
        <v>818</v>
      </c>
      <c r="N17534" s="27" t="s">
        <v>819</v>
      </c>
      <c r="P17534" s="27" t="s">
        <v>21848</v>
      </c>
      <c r="Q17534" s="26" t="str">
        <f>HYPERLINK("https://ictv.global/taxonomy/taxondetails?taxnode_id=202522667&amp;ictv_id=ICTV202522667","ICTV202522667")</f>
        <v>ICTV202522667</v>
      </c>
      <c r="R17534" t="s">
        <v>582</v>
      </c>
      <c r="S17534" t="s">
        <v>823</v>
      </c>
      <c r="T17534">
        <v>41</v>
      </c>
      <c r="U17534" s="26" t="str">
        <f>HYPERLINK("https://ictv.global/ictv/proposals/2025.014P.Betasatellite_1nsp.zip","2025.014P.Betasatellite_1nsp.zip")</f>
        <v>2025.014P.Betasatellite_1nsp.zip</v>
      </c>
    </row>
    <row r="17535" spans="1:21">
      <c r="A17535">
        <v>17534</v>
      </c>
      <c r="L17535" s="27" t="s">
        <v>818</v>
      </c>
      <c r="N17535" s="27" t="s">
        <v>819</v>
      </c>
      <c r="P17535" s="27" t="s">
        <v>18493</v>
      </c>
      <c r="Q17535" s="26" t="str">
        <f>HYPERLINK("https://ictv.global/taxonomy/taxondetails?taxnode_id=202509246&amp;ictv_id=ICTV202009246","ICTV202009246")</f>
        <v>ICTV202009246</v>
      </c>
      <c r="R17535" t="s">
        <v>656</v>
      </c>
      <c r="S17535" t="s">
        <v>824</v>
      </c>
      <c r="T17535">
        <v>39</v>
      </c>
      <c r="U17535" s="26" t="str">
        <f>HYPERLINK("https://ictv.global/ictv/proposals/2023.035P.Tolecusatellitidae_rename.zip","2023.035P.Tolecusatellitidae_rename.zip")</f>
        <v>2023.035P.Tolecusatellitidae_rename.zip</v>
      </c>
    </row>
    <row r="17536" spans="1:21">
      <c r="A17536">
        <v>17535</v>
      </c>
      <c r="L17536" s="27" t="s">
        <v>818</v>
      </c>
      <c r="N17536" s="27" t="s">
        <v>819</v>
      </c>
      <c r="P17536" s="27" t="s">
        <v>18494</v>
      </c>
      <c r="Q17536" s="26" t="str">
        <f>HYPERLINK("https://ictv.global/taxonomy/taxondetails?taxnode_id=202505178&amp;ictv_id=ICTV20165489","ICTV20165489")</f>
        <v>ICTV20165489</v>
      </c>
      <c r="R17536" t="s">
        <v>656</v>
      </c>
      <c r="S17536" t="s">
        <v>824</v>
      </c>
      <c r="T17536">
        <v>39</v>
      </c>
      <c r="U17536" s="26" t="str">
        <f>HYPERLINK("https://ictv.global/ictv/proposals/2023.035P.Tolecusatellitidae_rename.zip","2023.035P.Tolecusatellitidae_rename.zip")</f>
        <v>2023.035P.Tolecusatellitidae_rename.zip</v>
      </c>
    </row>
    <row r="17537" spans="1:21">
      <c r="A17537">
        <v>17536</v>
      </c>
      <c r="L17537" s="27" t="s">
        <v>818</v>
      </c>
      <c r="N17537" s="27" t="s">
        <v>819</v>
      </c>
      <c r="P17537" s="27" t="s">
        <v>18495</v>
      </c>
      <c r="Q17537" s="26" t="str">
        <f>HYPERLINK("https://ictv.global/taxonomy/taxondetails?taxnode_id=202505179&amp;ictv_id=ICTV20165490","ICTV20165490")</f>
        <v>ICTV20165490</v>
      </c>
      <c r="R17537" t="s">
        <v>656</v>
      </c>
      <c r="S17537" t="s">
        <v>824</v>
      </c>
      <c r="T17537">
        <v>39</v>
      </c>
      <c r="U17537" s="26" t="str">
        <f>HYPERLINK("https://ictv.global/ictv/proposals/2023.035P.Tolecusatellitidae_rename.zip","2023.035P.Tolecusatellitidae_rename.zip")</f>
        <v>2023.035P.Tolecusatellitidae_rename.zip</v>
      </c>
    </row>
    <row r="17538" spans="1:21">
      <c r="A17538">
        <v>17537</v>
      </c>
      <c r="L17538" s="27" t="s">
        <v>818</v>
      </c>
      <c r="N17538" s="27" t="s">
        <v>819</v>
      </c>
      <c r="P17538" s="27" t="s">
        <v>18496</v>
      </c>
      <c r="Q17538" s="26" t="str">
        <f>HYPERLINK("https://ictv.global/taxonomy/taxondetails?taxnode_id=202505145&amp;ictv_id=ICTV20165456","ICTV20165456")</f>
        <v>ICTV20165456</v>
      </c>
      <c r="R17538" t="s">
        <v>656</v>
      </c>
      <c r="S17538" t="s">
        <v>824</v>
      </c>
      <c r="T17538">
        <v>39</v>
      </c>
      <c r="U17538" s="26" t="str">
        <f>HYPERLINK("https://ictv.global/ictv/proposals/2023.035P.Tolecusatellitidae_rename.zip","2023.035P.Tolecusatellitidae_rename.zip")</f>
        <v>2023.035P.Tolecusatellitidae_rename.zip</v>
      </c>
    </row>
    <row r="17539" spans="1:21">
      <c r="A17539">
        <v>17538</v>
      </c>
      <c r="L17539" s="27" t="s">
        <v>818</v>
      </c>
      <c r="N17539" s="27" t="s">
        <v>819</v>
      </c>
      <c r="P17539" s="27" t="s">
        <v>18497</v>
      </c>
      <c r="Q17539" s="26" t="str">
        <f>HYPERLINK("https://ictv.global/taxonomy/taxondetails?taxnode_id=202509247&amp;ictv_id=ICTV202009247","ICTV202009247")</f>
        <v>ICTV202009247</v>
      </c>
      <c r="R17539" t="s">
        <v>656</v>
      </c>
      <c r="S17539" t="s">
        <v>824</v>
      </c>
      <c r="T17539">
        <v>39</v>
      </c>
      <c r="U17539" s="26" t="str">
        <f>HYPERLINK("https://ictv.global/ictv/proposals/2023.035P.Tolecusatellitidae_rename.zip","2023.035P.Tolecusatellitidae_rename.zip")</f>
        <v>2023.035P.Tolecusatellitidae_rename.zip</v>
      </c>
    </row>
    <row r="17540" spans="1:21">
      <c r="A17540">
        <v>17539</v>
      </c>
      <c r="L17540" s="27" t="s">
        <v>818</v>
      </c>
      <c r="N17540" s="27" t="s">
        <v>820</v>
      </c>
      <c r="P17540" s="27" t="s">
        <v>21850</v>
      </c>
      <c r="Q17540" s="26" t="str">
        <f>HYPERLINK("https://ictv.global/taxonomy/taxondetails?taxnode_id=202522669&amp;ictv_id=ICTV202522669","ICTV202522669")</f>
        <v>ICTV202522669</v>
      </c>
      <c r="R17540" t="s">
        <v>660</v>
      </c>
      <c r="S17540" t="s">
        <v>823</v>
      </c>
      <c r="T17540">
        <v>41</v>
      </c>
      <c r="U17540" s="26" t="str">
        <f>HYPERLINK("https://ictv.global/ictv/proposals/2025.015P.Deltasatellite_1nsp.zip","2025.015P.Deltasatellite_1nsp.zip")</f>
        <v>2025.015P.Deltasatellite_1nsp.zip</v>
      </c>
    </row>
    <row r="17541" spans="1:21">
      <c r="A17541">
        <v>17540</v>
      </c>
      <c r="L17541" s="27" t="s">
        <v>818</v>
      </c>
      <c r="N17541" s="27" t="s">
        <v>820</v>
      </c>
      <c r="P17541" s="27" t="s">
        <v>18498</v>
      </c>
      <c r="Q17541" s="26" t="str">
        <f>HYPERLINK("https://ictv.global/taxonomy/taxondetails?taxnode_id=202505181&amp;ictv_id=ICTV20165491","ICTV20165491")</f>
        <v>ICTV20165491</v>
      </c>
      <c r="R17541" t="s">
        <v>582</v>
      </c>
      <c r="S17541" t="s">
        <v>824</v>
      </c>
      <c r="T17541">
        <v>39</v>
      </c>
      <c r="U17541" s="26" t="str">
        <f t="shared" ref="U17541:U17552" si="670">HYPERLINK("https://ictv.global/ictv/proposals/2023.035P.Tolecusatellitidae_rename.zip","2023.035P.Tolecusatellitidae_rename.zip")</f>
        <v>2023.035P.Tolecusatellitidae_rename.zip</v>
      </c>
    </row>
    <row r="17542" spans="1:21">
      <c r="A17542">
        <v>17541</v>
      </c>
      <c r="L17542" s="27" t="s">
        <v>818</v>
      </c>
      <c r="N17542" s="27" t="s">
        <v>820</v>
      </c>
      <c r="P17542" s="27" t="s">
        <v>18499</v>
      </c>
      <c r="Q17542" s="26" t="str">
        <f>HYPERLINK("https://ictv.global/taxonomy/taxondetails?taxnode_id=202509156&amp;ictv_id=ICTV202009156","ICTV202009156")</f>
        <v>ICTV202009156</v>
      </c>
      <c r="R17542" t="s">
        <v>582</v>
      </c>
      <c r="S17542" t="s">
        <v>824</v>
      </c>
      <c r="T17542">
        <v>39</v>
      </c>
      <c r="U17542" s="26" t="str">
        <f t="shared" si="670"/>
        <v>2023.035P.Tolecusatellitidae_rename.zip</v>
      </c>
    </row>
    <row r="17543" spans="1:21">
      <c r="A17543">
        <v>17542</v>
      </c>
      <c r="L17543" s="27" t="s">
        <v>818</v>
      </c>
      <c r="N17543" s="27" t="s">
        <v>820</v>
      </c>
      <c r="P17543" s="27" t="s">
        <v>18500</v>
      </c>
      <c r="Q17543" s="26" t="str">
        <f>HYPERLINK("https://ictv.global/taxonomy/taxondetails?taxnode_id=202505186&amp;ictv_id=ICTV20165496","ICTV20165496")</f>
        <v>ICTV20165496</v>
      </c>
      <c r="R17543" t="s">
        <v>582</v>
      </c>
      <c r="S17543" t="s">
        <v>824</v>
      </c>
      <c r="T17543">
        <v>39</v>
      </c>
      <c r="U17543" s="26" t="str">
        <f t="shared" si="670"/>
        <v>2023.035P.Tolecusatellitidae_rename.zip</v>
      </c>
    </row>
    <row r="17544" spans="1:21">
      <c r="A17544">
        <v>17543</v>
      </c>
      <c r="L17544" s="27" t="s">
        <v>818</v>
      </c>
      <c r="N17544" s="27" t="s">
        <v>820</v>
      </c>
      <c r="P17544" s="27" t="s">
        <v>18501</v>
      </c>
      <c r="Q17544" s="26" t="str">
        <f>HYPERLINK("https://ictv.global/taxonomy/taxondetails?taxnode_id=202505187&amp;ictv_id=ICTV20165497","ICTV20165497")</f>
        <v>ICTV20165497</v>
      </c>
      <c r="R17544" t="s">
        <v>582</v>
      </c>
      <c r="S17544" t="s">
        <v>824</v>
      </c>
      <c r="T17544">
        <v>39</v>
      </c>
      <c r="U17544" s="26" t="str">
        <f t="shared" si="670"/>
        <v>2023.035P.Tolecusatellitidae_rename.zip</v>
      </c>
    </row>
    <row r="17545" spans="1:21">
      <c r="A17545">
        <v>17544</v>
      </c>
      <c r="L17545" s="27" t="s">
        <v>818</v>
      </c>
      <c r="N17545" s="27" t="s">
        <v>820</v>
      </c>
      <c r="P17545" s="27" t="s">
        <v>18502</v>
      </c>
      <c r="Q17545" s="26" t="str">
        <f>HYPERLINK("https://ictv.global/taxonomy/taxondetails?taxnode_id=202505188&amp;ictv_id=ICTV20165498","ICTV20165498")</f>
        <v>ICTV20165498</v>
      </c>
      <c r="R17545" t="s">
        <v>582</v>
      </c>
      <c r="S17545" t="s">
        <v>824</v>
      </c>
      <c r="T17545">
        <v>39</v>
      </c>
      <c r="U17545" s="26" t="str">
        <f t="shared" si="670"/>
        <v>2023.035P.Tolecusatellitidae_rename.zip</v>
      </c>
    </row>
    <row r="17546" spans="1:21">
      <c r="A17546">
        <v>17545</v>
      </c>
      <c r="L17546" s="27" t="s">
        <v>818</v>
      </c>
      <c r="N17546" s="27" t="s">
        <v>820</v>
      </c>
      <c r="P17546" s="27" t="s">
        <v>18503</v>
      </c>
      <c r="Q17546" s="26" t="str">
        <f>HYPERLINK("https://ictv.global/taxonomy/taxondetails?taxnode_id=202505182&amp;ictv_id=ICTV20165492","ICTV20165492")</f>
        <v>ICTV20165492</v>
      </c>
      <c r="R17546" t="s">
        <v>582</v>
      </c>
      <c r="S17546" t="s">
        <v>824</v>
      </c>
      <c r="T17546">
        <v>39</v>
      </c>
      <c r="U17546" s="26" t="str">
        <f t="shared" si="670"/>
        <v>2023.035P.Tolecusatellitidae_rename.zip</v>
      </c>
    </row>
    <row r="17547" spans="1:21">
      <c r="A17547">
        <v>17546</v>
      </c>
      <c r="L17547" s="27" t="s">
        <v>818</v>
      </c>
      <c r="N17547" s="27" t="s">
        <v>820</v>
      </c>
      <c r="P17547" s="27" t="s">
        <v>18504</v>
      </c>
      <c r="Q17547" s="26" t="str">
        <f>HYPERLINK("https://ictv.global/taxonomy/taxondetails?taxnode_id=202505183&amp;ictv_id=ICTV20165493","ICTV20165493")</f>
        <v>ICTV20165493</v>
      </c>
      <c r="R17547" t="s">
        <v>582</v>
      </c>
      <c r="S17547" t="s">
        <v>824</v>
      </c>
      <c r="T17547">
        <v>39</v>
      </c>
      <c r="U17547" s="26" t="str">
        <f t="shared" si="670"/>
        <v>2023.035P.Tolecusatellitidae_rename.zip</v>
      </c>
    </row>
    <row r="17548" spans="1:21">
      <c r="A17548">
        <v>17547</v>
      </c>
      <c r="L17548" s="27" t="s">
        <v>818</v>
      </c>
      <c r="N17548" s="27" t="s">
        <v>820</v>
      </c>
      <c r="P17548" s="27" t="s">
        <v>18505</v>
      </c>
      <c r="Q17548" s="26" t="str">
        <f>HYPERLINK("https://ictv.global/taxonomy/taxondetails?taxnode_id=202505184&amp;ictv_id=ICTV20165494","ICTV20165494")</f>
        <v>ICTV20165494</v>
      </c>
      <c r="R17548" t="s">
        <v>582</v>
      </c>
      <c r="S17548" t="s">
        <v>824</v>
      </c>
      <c r="T17548">
        <v>39</v>
      </c>
      <c r="U17548" s="26" t="str">
        <f t="shared" si="670"/>
        <v>2023.035P.Tolecusatellitidae_rename.zip</v>
      </c>
    </row>
    <row r="17549" spans="1:21">
      <c r="A17549">
        <v>17548</v>
      </c>
      <c r="L17549" s="27" t="s">
        <v>818</v>
      </c>
      <c r="N17549" s="27" t="s">
        <v>820</v>
      </c>
      <c r="P17549" s="27" t="s">
        <v>18506</v>
      </c>
      <c r="Q17549" s="26" t="str">
        <f>HYPERLINK("https://ictv.global/taxonomy/taxondetails?taxnode_id=202505185&amp;ictv_id=ICTV20165495","ICTV20165495")</f>
        <v>ICTV20165495</v>
      </c>
      <c r="R17549" t="s">
        <v>582</v>
      </c>
      <c r="S17549" t="s">
        <v>824</v>
      </c>
      <c r="T17549">
        <v>39</v>
      </c>
      <c r="U17549" s="26" t="str">
        <f t="shared" si="670"/>
        <v>2023.035P.Tolecusatellitidae_rename.zip</v>
      </c>
    </row>
    <row r="17550" spans="1:21">
      <c r="A17550">
        <v>17549</v>
      </c>
      <c r="L17550" s="27" t="s">
        <v>818</v>
      </c>
      <c r="N17550" s="27" t="s">
        <v>820</v>
      </c>
      <c r="P17550" s="27" t="s">
        <v>18507</v>
      </c>
      <c r="Q17550" s="26" t="str">
        <f>HYPERLINK("https://ictv.global/taxonomy/taxondetails?taxnode_id=202505189&amp;ictv_id=ICTV20165499","ICTV20165499")</f>
        <v>ICTV20165499</v>
      </c>
      <c r="R17550" t="s">
        <v>582</v>
      </c>
      <c r="S17550" t="s">
        <v>824</v>
      </c>
      <c r="T17550">
        <v>39</v>
      </c>
      <c r="U17550" s="26" t="str">
        <f t="shared" si="670"/>
        <v>2023.035P.Tolecusatellitidae_rename.zip</v>
      </c>
    </row>
    <row r="17551" spans="1:21">
      <c r="A17551">
        <v>17550</v>
      </c>
      <c r="L17551" s="27" t="s">
        <v>818</v>
      </c>
      <c r="N17551" s="27" t="s">
        <v>820</v>
      </c>
      <c r="P17551" s="27" t="s">
        <v>18508</v>
      </c>
      <c r="Q17551" s="26" t="str">
        <f>HYPERLINK("https://ictv.global/taxonomy/taxondetails?taxnode_id=202505190&amp;ictv_id=ICTV20165500","ICTV20165500")</f>
        <v>ICTV20165500</v>
      </c>
      <c r="R17551" t="s">
        <v>582</v>
      </c>
      <c r="S17551" t="s">
        <v>824</v>
      </c>
      <c r="T17551">
        <v>39</v>
      </c>
      <c r="U17551" s="26" t="str">
        <f t="shared" si="670"/>
        <v>2023.035P.Tolecusatellitidae_rename.zip</v>
      </c>
    </row>
    <row r="17552" spans="1:21">
      <c r="A17552">
        <v>17551</v>
      </c>
      <c r="L17552" s="27" t="s">
        <v>818</v>
      </c>
      <c r="N17552" s="27" t="s">
        <v>820</v>
      </c>
      <c r="P17552" s="27" t="s">
        <v>18509</v>
      </c>
      <c r="Q17552" s="26" t="str">
        <f>HYPERLINK("https://ictv.global/taxonomy/taxondetails?taxnode_id=202505191&amp;ictv_id=ICTV20165501","ICTV20165501")</f>
        <v>ICTV20165501</v>
      </c>
      <c r="R17552" t="s">
        <v>582</v>
      </c>
      <c r="S17552" t="s">
        <v>824</v>
      </c>
      <c r="T17552">
        <v>39</v>
      </c>
      <c r="U17552" s="26" t="str">
        <f t="shared" si="670"/>
        <v>2023.035P.Tolecusatellitidae_rename.zip</v>
      </c>
    </row>
    <row r="17553" spans="1:21">
      <c r="A17553">
        <v>17552</v>
      </c>
      <c r="L17553" s="27" t="s">
        <v>21268</v>
      </c>
      <c r="N17553" s="27" t="s">
        <v>21269</v>
      </c>
      <c r="P17553" s="27" t="s">
        <v>21270</v>
      </c>
      <c r="Q17553" s="26" t="str">
        <f>HYPERLINK("https://ictv.global/taxonomy/taxondetails?taxnode_id=202522171&amp;ictv_id=ICTV202522171","ICTV202522171")</f>
        <v>ICTV202522171</v>
      </c>
      <c r="R17553" t="s">
        <v>579</v>
      </c>
      <c r="S17553" t="s">
        <v>823</v>
      </c>
      <c r="T17553">
        <v>41</v>
      </c>
      <c r="U17553" s="26" t="str">
        <f>HYPERLINK("https://ictv.global/ictv/proposals/2025.005A.Spindle-shaped_viruses_2nf_3ns.zip","2025.005A.Spindle-shaped_viruses_2nf_3ns.zip")</f>
        <v>2025.005A.Spindle-shaped_viruses_2nf_3ns.zip</v>
      </c>
    </row>
    <row r="17554" spans="1:21">
      <c r="A17554">
        <v>17553</v>
      </c>
      <c r="L17554" s="27" t="s">
        <v>21366</v>
      </c>
      <c r="N17554" s="27" t="s">
        <v>21367</v>
      </c>
      <c r="P17554" s="27" t="s">
        <v>21368</v>
      </c>
      <c r="Q17554" s="26" t="str">
        <f>HYPERLINK("https://ictv.global/taxonomy/taxondetails?taxnode_id=202522258&amp;ictv_id=ICTV202522258","ICTV202522258")</f>
        <v>ICTV202522258</v>
      </c>
      <c r="R17554" t="s">
        <v>579</v>
      </c>
      <c r="S17554" t="s">
        <v>823</v>
      </c>
      <c r="T17554">
        <v>41</v>
      </c>
      <c r="U17554" s="26" t="str">
        <f>HYPERLINK("https://ictv.global/ictv/proposals/2025.006A.Yamazakiviridae_1nf.zip","2025.006A.Yamazakiviridae_1nf.zip")</f>
        <v>2025.006A.Yamazakiviridae_1nf.zip</v>
      </c>
    </row>
    <row r="17555" spans="1:21">
      <c r="A17555">
        <v>17554</v>
      </c>
      <c r="N17555" s="27" t="s">
        <v>109</v>
      </c>
      <c r="P17555" s="27" t="s">
        <v>20844</v>
      </c>
      <c r="Q17555" s="26" t="str">
        <f>HYPERLINK("https://ictv.global/taxonomy/taxondetails?taxnode_id=202505350&amp;ictv_id=ICTV20115373","ICTV20115373")</f>
        <v>ICTV20115373</v>
      </c>
      <c r="R17555" t="s">
        <v>579</v>
      </c>
      <c r="S17555" t="s">
        <v>824</v>
      </c>
      <c r="T17555">
        <v>41</v>
      </c>
      <c r="U17555" s="26" t="str">
        <f>HYPERLINK("https://ictv.global/ictv/proposals/2025.001F.Dinodnavirus_1spren_Rhizidiovirus_abolish.zip","2025.001F.Dinodnavirus_1spren_Rhizidiovirus_abolish.zip")</f>
        <v>2025.001F.Dinodnavirus_1spren_Rhizidiovirus_abolish.zip</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120" zoomScaleNormal="120" workbookViewId="0">
      <pane ySplit="1" topLeftCell="A2" activePane="bottomLeft" state="frozen"/>
      <selection pane="bottomLeft"/>
    </sheetView>
  </sheetViews>
  <sheetFormatPr baseColWidth="10" defaultColWidth="10.83203125" defaultRowHeight="16"/>
  <cols>
    <col min="1" max="1" width="32.6640625" style="18" bestFit="1" customWidth="1"/>
    <col min="2" max="2" width="124" style="18" bestFit="1" customWidth="1"/>
    <col min="3" max="3" width="130.5" style="18" bestFit="1" customWidth="1"/>
    <col min="4" max="16384" width="10.83203125" style="18"/>
  </cols>
  <sheetData>
    <row r="1" spans="1:2" s="17" customFormat="1" ht="19">
      <c r="A1" s="32" t="s">
        <v>720</v>
      </c>
      <c r="B1" s="32" t="s">
        <v>721</v>
      </c>
    </row>
    <row r="2" spans="1:2" s="17" customFormat="1" ht="18">
      <c r="A2" s="19" t="s">
        <v>1448</v>
      </c>
      <c r="B2" s="16" t="s">
        <v>1123</v>
      </c>
    </row>
    <row r="3" spans="1:2" s="17" customFormat="1" ht="18">
      <c r="A3" s="19" t="s">
        <v>928</v>
      </c>
      <c r="B3" s="20" t="s">
        <v>1120</v>
      </c>
    </row>
    <row r="4" spans="1:2" s="17" customFormat="1" ht="18">
      <c r="A4" s="19" t="s">
        <v>929</v>
      </c>
      <c r="B4" s="16" t="s">
        <v>1108</v>
      </c>
    </row>
    <row r="5" spans="1:2" s="17" customFormat="1" ht="18">
      <c r="A5" s="19" t="s">
        <v>930</v>
      </c>
      <c r="B5" s="16" t="s">
        <v>1109</v>
      </c>
    </row>
    <row r="6" spans="1:2" s="17" customFormat="1" ht="18">
      <c r="A6" s="19" t="s">
        <v>931</v>
      </c>
      <c r="B6" s="16" t="s">
        <v>1110</v>
      </c>
    </row>
    <row r="7" spans="1:2" s="17" customFormat="1" ht="18">
      <c r="A7" s="19" t="s">
        <v>932</v>
      </c>
      <c r="B7" s="16" t="s">
        <v>1111</v>
      </c>
    </row>
    <row r="8" spans="1:2" s="17" customFormat="1" ht="18">
      <c r="A8" s="19" t="s">
        <v>933</v>
      </c>
      <c r="B8" s="16" t="s">
        <v>1112</v>
      </c>
    </row>
    <row r="9" spans="1:2" s="17" customFormat="1" ht="18">
      <c r="A9" s="19" t="s">
        <v>934</v>
      </c>
      <c r="B9" s="16" t="s">
        <v>1113</v>
      </c>
    </row>
    <row r="10" spans="1:2" s="17" customFormat="1" ht="18">
      <c r="A10" s="19" t="s">
        <v>935</v>
      </c>
      <c r="B10" s="16" t="s">
        <v>1114</v>
      </c>
    </row>
    <row r="11" spans="1:2" ht="17">
      <c r="A11" s="19" t="s">
        <v>251</v>
      </c>
      <c r="B11" s="16" t="s">
        <v>1115</v>
      </c>
    </row>
    <row r="12" spans="1:2" ht="17">
      <c r="A12" s="19" t="s">
        <v>936</v>
      </c>
      <c r="B12" s="16" t="s">
        <v>1116</v>
      </c>
    </row>
    <row r="13" spans="1:2" ht="17">
      <c r="A13" s="19" t="s">
        <v>404</v>
      </c>
      <c r="B13" s="16" t="s">
        <v>1107</v>
      </c>
    </row>
    <row r="14" spans="1:2" ht="17">
      <c r="A14" s="19" t="s">
        <v>405</v>
      </c>
      <c r="B14" s="16" t="s">
        <v>1117</v>
      </c>
    </row>
    <row r="15" spans="1:2" ht="17">
      <c r="A15" s="19" t="s">
        <v>406</v>
      </c>
      <c r="B15" s="16" t="s">
        <v>1118</v>
      </c>
    </row>
    <row r="16" spans="1:2" ht="17">
      <c r="A16" s="19" t="s">
        <v>937</v>
      </c>
      <c r="B16" s="16" t="s">
        <v>1119</v>
      </c>
    </row>
    <row r="17" spans="1:2" ht="34">
      <c r="A17" s="19" t="s">
        <v>407</v>
      </c>
      <c r="B17" s="16" t="s">
        <v>1121</v>
      </c>
    </row>
    <row r="18" spans="1:2" ht="51">
      <c r="A18" s="19" t="s">
        <v>20739</v>
      </c>
      <c r="B18" s="16" t="s">
        <v>20741</v>
      </c>
    </row>
    <row r="19" spans="1:2" ht="221">
      <c r="A19" s="19" t="s">
        <v>18539</v>
      </c>
      <c r="B19" s="16" t="s">
        <v>1122</v>
      </c>
    </row>
    <row r="20" spans="1:2" ht="170">
      <c r="A20" s="19" t="s">
        <v>585</v>
      </c>
      <c r="B20" s="16" t="s">
        <v>3686</v>
      </c>
    </row>
    <row r="21" spans="1:2" ht="404">
      <c r="A21" s="19" t="s">
        <v>20742</v>
      </c>
      <c r="B21" s="16" t="s">
        <v>3685</v>
      </c>
    </row>
    <row r="22" spans="1:2" ht="34">
      <c r="A22" s="19" t="s">
        <v>722</v>
      </c>
      <c r="B22" s="16" t="s">
        <v>11234</v>
      </c>
    </row>
    <row r="23" spans="1:2" ht="51">
      <c r="A23" s="19" t="s">
        <v>850</v>
      </c>
      <c r="B23" s="16" t="s">
        <v>20740</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F4496"/>
  <sheetViews>
    <sheetView zoomScale="120" zoomScaleNormal="120" workbookViewId="0">
      <pane ySplit="1" topLeftCell="A2" activePane="bottomLeft" state="frozen"/>
      <selection pane="bottomLeft" activeCell="A2" sqref="A2"/>
    </sheetView>
  </sheetViews>
  <sheetFormatPr baseColWidth="10" defaultRowHeight="16"/>
  <cols>
    <col min="1" max="1" width="14" style="49" bestFit="1" customWidth="1"/>
    <col min="2" max="2" width="15.33203125" style="44" bestFit="1" customWidth="1"/>
    <col min="3" max="3" width="23.33203125" style="48" bestFit="1" customWidth="1"/>
    <col min="4" max="4" width="141.83203125" style="44" bestFit="1" customWidth="1"/>
    <col min="5" max="5" width="160.1640625" style="44" bestFit="1" customWidth="1"/>
    <col min="6" max="6" width="54.83203125" style="49" bestFit="1" customWidth="1"/>
    <col min="7" max="16384" width="10.83203125" style="44"/>
  </cols>
  <sheetData>
    <row r="1" spans="1:6" s="22" customFormat="1">
      <c r="A1" s="31" t="s">
        <v>20737</v>
      </c>
      <c r="B1" s="31" t="s">
        <v>11209</v>
      </c>
      <c r="C1" s="31" t="s">
        <v>20738</v>
      </c>
      <c r="D1" s="31" t="s">
        <v>11208</v>
      </c>
      <c r="E1" s="31" t="s">
        <v>11207</v>
      </c>
      <c r="F1" s="31" t="s">
        <v>11206</v>
      </c>
    </row>
    <row r="2" spans="1:6">
      <c r="A2" s="49" t="str">
        <f>HYPERLINK("https://ictv.global/id/ICTV201907161","ICTV201907161")</f>
        <v>ICTV201907161</v>
      </c>
      <c r="B2" s="48" t="s">
        <v>22866</v>
      </c>
      <c r="C2" s="48" t="s">
        <v>11213</v>
      </c>
      <c r="D2" s="48" t="s">
        <v>22867</v>
      </c>
      <c r="E2" s="44" t="s">
        <v>20779</v>
      </c>
      <c r="F2" s="49" t="str">
        <f>HYPERLINK("https://ictv.global/ictv/proposals/2025.002G.Monodnaviria_reorg_4nr.zip","2025.002G.Monodnaviria_reorg_4nr.zip")</f>
        <v>2025.002G.Monodnaviria_reorg_4nr.zip</v>
      </c>
    </row>
    <row r="3" spans="1:6">
      <c r="A3" s="49" t="str">
        <f>HYPERLINK("https://ictv.global/id/ICTV201907168","ICTV201907168")</f>
        <v>ICTV201907168</v>
      </c>
      <c r="B3" s="48" t="s">
        <v>18511</v>
      </c>
      <c r="C3" s="48" t="s">
        <v>11211</v>
      </c>
      <c r="D3" s="48" t="s">
        <v>22775</v>
      </c>
      <c r="F3" s="49" t="str">
        <f>HYPERLINK("https://ictv.global/ictv/proposals/2025.043B.Microviricetes_reorg.zip","2025.043B.Microviricetes_reorg.zip")</f>
        <v>2025.043B.Microviricetes_reorg.zip</v>
      </c>
    </row>
    <row r="4" spans="1:6">
      <c r="A4" s="49" t="str">
        <f>HYPERLINK("https://ictv.global/id/ICTV201907169","ICTV201907169")</f>
        <v>ICTV201907169</v>
      </c>
      <c r="B4" s="48" t="s">
        <v>18510</v>
      </c>
      <c r="C4" s="48" t="s">
        <v>11211</v>
      </c>
      <c r="D4" s="48" t="s">
        <v>22776</v>
      </c>
      <c r="F4" s="49" t="str">
        <f>HYPERLINK("https://ictv.global/ictv/proposals/2025.043B.Microviricetes_reorg.zip","2025.043B.Microviricetes_reorg.zip")</f>
        <v>2025.043B.Microviricetes_reorg.zip</v>
      </c>
    </row>
    <row r="5" spans="1:6">
      <c r="A5" s="49" t="str">
        <f>HYPERLINK("https://ictv.global/id/ICTV19780013","ICTV19780013")</f>
        <v>ICTV19780013</v>
      </c>
      <c r="B5" s="48" t="s">
        <v>23114</v>
      </c>
      <c r="C5" s="48" t="s">
        <v>20736</v>
      </c>
      <c r="D5" s="48" t="s">
        <v>23090</v>
      </c>
      <c r="E5" s="44" t="s">
        <v>23091</v>
      </c>
      <c r="F5" s="49" t="str">
        <f>HYPERLINK("https://ictv.global/ictv/proposals/2025.043B.Microviricetes_reorg.zip","2025.043B.Microviricetes_reorg.zip")</f>
        <v>2025.043B.Microviricetes_reorg.zip</v>
      </c>
    </row>
    <row r="6" spans="1:6">
      <c r="A6" s="49" t="str">
        <f>HYPERLINK("https://ictv.global/id/ICTV202419628","ICTV202419628")</f>
        <v>ICTV202419628</v>
      </c>
      <c r="B6" s="48" t="s">
        <v>11199</v>
      </c>
      <c r="C6" s="48" t="s">
        <v>11213</v>
      </c>
      <c r="D6" s="48" t="s">
        <v>23082</v>
      </c>
      <c r="E6" s="44" t="s">
        <v>23083</v>
      </c>
      <c r="F6" s="49" t="str">
        <f>HYPERLINK("https://ictv.global/ictv/proposals/2025.004F.Deltanormycoviridae_rename.zip","2025.004F.Deltanormycoviridae_rename.zip")</f>
        <v>2025.004F.Deltanormycoviridae_rename.zip</v>
      </c>
    </row>
    <row r="7" spans="1:6">
      <c r="A7" s="49" t="str">
        <f>HYPERLINK("https://ictv.global/id/ICTV20153143","ICTV20153143")</f>
        <v>ICTV20153143</v>
      </c>
      <c r="B7" s="48" t="s">
        <v>23115</v>
      </c>
      <c r="C7" s="48" t="s">
        <v>20736</v>
      </c>
      <c r="D7" s="48" t="s">
        <v>23092</v>
      </c>
      <c r="E7" s="44" t="s">
        <v>23093</v>
      </c>
      <c r="F7" s="49" t="str">
        <f>HYPERLINK("https://ictv.global/ictv/proposals/2025.043B.Microviricetes_reorg.zip","2025.043B.Microviricetes_reorg.zip")</f>
        <v>2025.043B.Microviricetes_reorg.zip</v>
      </c>
    </row>
    <row r="8" spans="1:6">
      <c r="A8" s="49" t="str">
        <f>HYPERLINK("https://ictv.global/id/ICTV20090654","ICTV20090654")</f>
        <v>ICTV20090654</v>
      </c>
      <c r="B8" s="48" t="s">
        <v>23115</v>
      </c>
      <c r="C8" s="48" t="s">
        <v>20736</v>
      </c>
      <c r="D8" s="48" t="s">
        <v>23094</v>
      </c>
      <c r="E8" s="44" t="s">
        <v>23095</v>
      </c>
      <c r="F8" s="49" t="str">
        <f>HYPERLINK("https://ictv.global/ictv/proposals/2025.043B.Microviricetes_reorg.zip","2025.043B.Microviricetes_reorg.zip")</f>
        <v>2025.043B.Microviricetes_reorg.zip</v>
      </c>
    </row>
    <row r="9" spans="1:6">
      <c r="A9" s="49" t="str">
        <f>HYPERLINK("https://ictv.global/id/ICTV20150250","ICTV20150250")</f>
        <v>ICTV20150250</v>
      </c>
      <c r="B9" s="48" t="s">
        <v>11200</v>
      </c>
      <c r="C9" s="48" t="s">
        <v>11213</v>
      </c>
      <c r="D9" s="48" t="s">
        <v>22858</v>
      </c>
      <c r="E9" s="44" t="s">
        <v>22859</v>
      </c>
      <c r="F9" s="49" t="str">
        <f>HYPERLINK("https://ictv.global/ictv/proposals/2025.066B.Rename_taxa.zip","2025.066B.Rename_taxa.zip")</f>
        <v>2025.066B.Rename_taxa.zip</v>
      </c>
    </row>
    <row r="10" spans="1:6">
      <c r="A10" s="49" t="str">
        <f>HYPERLINK("https://ictv.global/id/ICTV19910116","ICTV19910116")</f>
        <v>ICTV19910116</v>
      </c>
      <c r="B10" s="48" t="s">
        <v>11200</v>
      </c>
      <c r="C10" s="48" t="s">
        <v>20735</v>
      </c>
      <c r="D10" s="48" t="s">
        <v>22970</v>
      </c>
      <c r="E10" s="44" t="s">
        <v>22971</v>
      </c>
      <c r="F10" s="49" t="str">
        <f>HYPERLINK("https://ictv.global/ictv/proposals/2025.006S.Amarillovirales_3reorgfam.zip","2025.006S.Amarillovirales_3reorgfam.zip")</f>
        <v>2025.006S.Amarillovirales_3reorgfam.zip</v>
      </c>
    </row>
    <row r="11" spans="1:6">
      <c r="A11" s="49" t="str">
        <f>HYPERLINK("https://ictv.global/id/ICTV19750075","ICTV19750075")</f>
        <v>ICTV19750075</v>
      </c>
      <c r="B11" s="48" t="s">
        <v>11200</v>
      </c>
      <c r="C11" s="48" t="s">
        <v>20735</v>
      </c>
      <c r="D11" s="48" t="s">
        <v>23000</v>
      </c>
      <c r="E11" s="44" t="s">
        <v>23001</v>
      </c>
      <c r="F11" s="49" t="str">
        <f>HYPERLINK("https://ictv.global/ictv/proposals/2025.006S.Amarillovirales_3reorgfam.zip","2025.006S.Amarillovirales_3reorgfam.zip")</f>
        <v>2025.006S.Amarillovirales_3reorgfam.zip</v>
      </c>
    </row>
    <row r="12" spans="1:6">
      <c r="A12" s="49" t="str">
        <f>HYPERLINK("https://ictv.global/id/ICTV19930171","ICTV19930171")</f>
        <v>ICTV19930171</v>
      </c>
      <c r="B12" s="48" t="s">
        <v>11200</v>
      </c>
      <c r="C12" s="48" t="s">
        <v>20735</v>
      </c>
      <c r="D12" s="48" t="s">
        <v>23096</v>
      </c>
      <c r="E12" s="44" t="s">
        <v>23097</v>
      </c>
      <c r="F12" s="49" t="str">
        <f>HYPERLINK("https://ictv.global/ictv/proposals/2025.043B.Microviricetes_reorg.zip","2025.043B.Microviricetes_reorg.zip")</f>
        <v>2025.043B.Microviricetes_reorg.zip</v>
      </c>
    </row>
    <row r="13" spans="1:6">
      <c r="A13" s="49" t="str">
        <f>HYPERLINK("https://ictv.global/id/ICTV19970226","ICTV19970226")</f>
        <v>ICTV19970226</v>
      </c>
      <c r="B13" s="48" t="s">
        <v>11200</v>
      </c>
      <c r="C13" s="48" t="s">
        <v>20735</v>
      </c>
      <c r="D13" s="48" t="s">
        <v>22958</v>
      </c>
      <c r="E13" s="44" t="s">
        <v>22959</v>
      </c>
      <c r="F13" s="49" t="str">
        <f>HYPERLINK("https://ictv.global/ictv/proposals/2025.005D.Parvoviridae_1absf_4nsf_39ns.zip","2025.005D.Parvoviridae_1absf_4nsf_39ns.zip")</f>
        <v>2025.005D.Parvoviridae_1absf_4nsf_39ns.zip</v>
      </c>
    </row>
    <row r="14" spans="1:6">
      <c r="A14" s="49" t="str">
        <f>HYPERLINK("https://ictv.global/id/ICTV20132631","ICTV20132631")</f>
        <v>ICTV20132631</v>
      </c>
      <c r="B14" s="48" t="s">
        <v>11200</v>
      </c>
      <c r="C14" s="48" t="s">
        <v>20735</v>
      </c>
      <c r="D14" s="48" t="s">
        <v>22950</v>
      </c>
      <c r="E14" s="44" t="s">
        <v>22951</v>
      </c>
      <c r="F14" s="49" t="str">
        <f>HYPERLINK("https://ictv.global/ictv/proposals/2025.005D.Parvoviridae_1absf_4nsf_39ns.zip","2025.005D.Parvoviridae_1absf_4nsf_39ns.zip")</f>
        <v>2025.005D.Parvoviridae_1absf_4nsf_39ns.zip</v>
      </c>
    </row>
    <row r="15" spans="1:6">
      <c r="A15" s="49" t="str">
        <f>HYPERLINK("https://ictv.global/id/ICTV20132633","ICTV20132633")</f>
        <v>ICTV20132633</v>
      </c>
      <c r="B15" s="48" t="s">
        <v>11200</v>
      </c>
      <c r="C15" s="48" t="s">
        <v>20735</v>
      </c>
      <c r="D15" s="48" t="s">
        <v>22966</v>
      </c>
      <c r="E15" s="44" t="s">
        <v>22967</v>
      </c>
      <c r="F15" s="49" t="str">
        <f>HYPERLINK("https://ictv.global/ictv/proposals/2025.005D.Parvoviridae_1absf_4nsf_39ns.zip","2025.005D.Parvoviridae_1absf_4nsf_39ns.zip")</f>
        <v>2025.005D.Parvoviridae_1absf_4nsf_39ns.zip</v>
      </c>
    </row>
    <row r="16" spans="1:6">
      <c r="A16" s="49" t="str">
        <f>HYPERLINK("https://ictv.global/id/ICTV19870197","ICTV19870197")</f>
        <v>ICTV19870197</v>
      </c>
      <c r="B16" s="48" t="s">
        <v>11200</v>
      </c>
      <c r="C16" s="48" t="s">
        <v>11211</v>
      </c>
      <c r="D16" s="48" t="s">
        <v>22786</v>
      </c>
      <c r="F16" s="49" t="str">
        <f>HYPERLINK("https://ictv.global/ictv/proposals/2025.001F.Dinodnavirus_1spren_Rhizidiovirus_abolish.zip","2025.001F.Dinodnavirus_1spren_Rhizidiovirus_abolish.zip")</f>
        <v>2025.001F.Dinodnavirus_1spren_Rhizidiovirus_abolish.zip</v>
      </c>
    </row>
    <row r="17" spans="1:6">
      <c r="A17" s="49" t="str">
        <f>HYPERLINK("https://ictv.global/id/ICTV201856586","ICTV201856586")</f>
        <v>ICTV201856586</v>
      </c>
      <c r="B17" s="48" t="s">
        <v>11200</v>
      </c>
      <c r="C17" s="48" t="s">
        <v>11213</v>
      </c>
      <c r="D17" s="48" t="s">
        <v>22850</v>
      </c>
      <c r="E17" s="44" t="s">
        <v>22851</v>
      </c>
      <c r="F17" s="49" t="str">
        <f>HYPERLINK("https://ictv.global/ictv/proposals/2025.066B.Rename_taxa.zip","2025.066B.Rename_taxa.zip")</f>
        <v>2025.066B.Rename_taxa.zip</v>
      </c>
    </row>
    <row r="18" spans="1:6">
      <c r="A18" s="49" t="str">
        <f>HYPERLINK("https://ictv.global/id/ICTV201856990","ICTV201856990")</f>
        <v>ICTV201856990</v>
      </c>
      <c r="B18" s="48" t="s">
        <v>11200</v>
      </c>
      <c r="C18" s="48" t="s">
        <v>20735</v>
      </c>
      <c r="D18" s="48" t="s">
        <v>22846</v>
      </c>
      <c r="E18" s="44" t="s">
        <v>22847</v>
      </c>
      <c r="F18" s="49" t="str">
        <f>HYPERLINK("https://ictv.global/ictv/proposals/2025.016B.Durvirinae_1nsf_5ng_9ns.zip;2025.071B.Santaclaravirinae_1nsf_3ng_6ns.zip","2025.016B.Durvirinae_1nsf_5ng_9ns.zip;2025.071B.Santaclaravirinae_1nsf_3ng_6ns.zip")</f>
        <v>2025.016B.Durvirinae_1nsf_5ng_9ns.zip;2025.071B.Santaclaravirinae_1nsf_3ng_6ns.zip</v>
      </c>
    </row>
    <row r="19" spans="1:6">
      <c r="A19" s="49" t="str">
        <f>HYPERLINK("https://ictv.global/id/ICTV201907325","ICTV201907325")</f>
        <v>ICTV201907325</v>
      </c>
      <c r="B19" s="48" t="s">
        <v>11200</v>
      </c>
      <c r="C19" s="48" t="s">
        <v>20735</v>
      </c>
      <c r="D19" s="48" t="s">
        <v>22946</v>
      </c>
      <c r="E19" s="44" t="s">
        <v>22947</v>
      </c>
      <c r="F19" s="49" t="str">
        <f>HYPERLINK("https://ictv.global/ictv/proposals/2025.005D.Parvoviridae_1absf_4nsf_39ns.zip","2025.005D.Parvoviridae_1absf_4nsf_39ns.zip")</f>
        <v>2025.005D.Parvoviridae_1absf_4nsf_39ns.zip</v>
      </c>
    </row>
    <row r="20" spans="1:6">
      <c r="A20" s="49" t="str">
        <f>HYPERLINK("https://ictv.global/id/ICTV201907327","ICTV201907327")</f>
        <v>ICTV201907327</v>
      </c>
      <c r="B20" s="48" t="s">
        <v>11200</v>
      </c>
      <c r="C20" s="48" t="s">
        <v>20735</v>
      </c>
      <c r="D20" s="48" t="s">
        <v>22872</v>
      </c>
      <c r="E20" s="44" t="s">
        <v>22873</v>
      </c>
      <c r="F20" s="49" t="str">
        <f>HYPERLINK("https://ictv.global/ictv/proposals/2025.005D.Parvoviridae_1absf_4nsf_39ns.zip","2025.005D.Parvoviridae_1absf_4nsf_39ns.zip")</f>
        <v>2025.005D.Parvoviridae_1absf_4nsf_39ns.zip</v>
      </c>
    </row>
    <row r="21" spans="1:6">
      <c r="A21" s="49" t="str">
        <f>HYPERLINK("https://ictv.global/id/ICTV201908700","ICTV201908700")</f>
        <v>ICTV201908700</v>
      </c>
      <c r="B21" s="48" t="s">
        <v>11200</v>
      </c>
      <c r="C21" s="48" t="s">
        <v>11213</v>
      </c>
      <c r="D21" s="48" t="s">
        <v>22854</v>
      </c>
      <c r="E21" s="44" t="s">
        <v>22855</v>
      </c>
      <c r="F21" s="49" t="str">
        <f>HYPERLINK("https://ictv.global/ictv/proposals/2025.066B.Rename_taxa.zip","2025.066B.Rename_taxa.zip")</f>
        <v>2025.066B.Rename_taxa.zip</v>
      </c>
    </row>
    <row r="22" spans="1:6">
      <c r="A22" s="49" t="str">
        <f>HYPERLINK("https://ictv.global/id/ICTV202214029","ICTV202214029")</f>
        <v>ICTV202214029</v>
      </c>
      <c r="B22" s="48" t="s">
        <v>11200</v>
      </c>
      <c r="C22" s="48" t="s">
        <v>20735</v>
      </c>
      <c r="D22" s="48" t="s">
        <v>22954</v>
      </c>
      <c r="E22" s="44" t="s">
        <v>22955</v>
      </c>
      <c r="F22" s="49" t="str">
        <f>HYPERLINK("https://ictv.global/ictv/proposals/2025.005D.Parvoviridae_1absf_4nsf_39ns.zip","2025.005D.Parvoviridae_1absf_4nsf_39ns.zip")</f>
        <v>2025.005D.Parvoviridae_1absf_4nsf_39ns.zip</v>
      </c>
    </row>
    <row r="23" spans="1:6">
      <c r="A23" s="49" t="str">
        <f>HYPERLINK("https://ictv.global/id/ICTV20150182","ICTV20150182")</f>
        <v>ICTV20150182</v>
      </c>
      <c r="B23" s="48" t="s">
        <v>11201</v>
      </c>
      <c r="C23" s="48" t="s">
        <v>20735</v>
      </c>
      <c r="D23" s="48" t="s">
        <v>22842</v>
      </c>
      <c r="E23" s="44" t="s">
        <v>22843</v>
      </c>
      <c r="F23" s="49" t="str">
        <f>HYPERLINK("https://ictv.global/ictv/proposals/2025.054B.Hirszfeldviridae_1nf_21ng_1mg_5mrs_46ns.zip","2025.054B.Hirszfeldviridae_1nf_21ng_1mg_5mrs_46ns.zip")</f>
        <v>2025.054B.Hirszfeldviridae_1nf_21ng_1mg_5mrs_46ns.zip</v>
      </c>
    </row>
    <row r="24" spans="1:6">
      <c r="A24" s="49" t="str">
        <f>HYPERLINK("https://ictv.global/id/ICTV20150183","ICTV20150183")</f>
        <v>ICTV20150183</v>
      </c>
      <c r="B24" s="48" t="s">
        <v>11201</v>
      </c>
      <c r="C24" s="48" t="s">
        <v>20735</v>
      </c>
      <c r="D24" s="48" t="s">
        <v>22840</v>
      </c>
      <c r="E24" s="44" t="s">
        <v>22841</v>
      </c>
      <c r="F24" s="49" t="str">
        <f>HYPERLINK("https://ictv.global/ictv/proposals/2025.054B.Hirszfeldviridae_1nf_21ng_1mg_5mrs_46ns.zip","2025.054B.Hirszfeldviridae_1nf_21ng_1mg_5mrs_46ns.zip")</f>
        <v>2025.054B.Hirszfeldviridae_1nf_21ng_1mg_5mrs_46ns.zip</v>
      </c>
    </row>
    <row r="25" spans="1:6">
      <c r="A25" s="49" t="str">
        <f>HYPERLINK("https://ictv.global/id/ICTV20150252","ICTV20150252")</f>
        <v>ICTV20150252</v>
      </c>
      <c r="B25" s="48" t="s">
        <v>11201</v>
      </c>
      <c r="C25" s="48" t="s">
        <v>11213</v>
      </c>
      <c r="D25" s="48" t="s">
        <v>22860</v>
      </c>
      <c r="E25" s="44" t="s">
        <v>22861</v>
      </c>
      <c r="F25" s="49" t="str">
        <f>HYPERLINK("https://ictv.global/ictv/proposals/2025.066B.Rename_taxa.zip","2025.066B.Rename_taxa.zip")</f>
        <v>2025.066B.Rename_taxa.zip</v>
      </c>
    </row>
    <row r="26" spans="1:6">
      <c r="A26" s="49" t="str">
        <f>HYPERLINK("https://ictv.global/id/ICTV20150251","ICTV20150251")</f>
        <v>ICTV20150251</v>
      </c>
      <c r="B26" s="48" t="s">
        <v>11201</v>
      </c>
      <c r="C26" s="48" t="s">
        <v>11213</v>
      </c>
      <c r="D26" s="48" t="s">
        <v>22862</v>
      </c>
      <c r="E26" s="44" t="s">
        <v>22863</v>
      </c>
      <c r="F26" s="49" t="str">
        <f>HYPERLINK("https://ictv.global/ictv/proposals/2025.066B.Rename_taxa.zip","2025.066B.Rename_taxa.zip")</f>
        <v>2025.066B.Rename_taxa.zip</v>
      </c>
    </row>
    <row r="27" spans="1:6">
      <c r="A27" s="49" t="str">
        <f>HYPERLINK("https://ictv.global/id/ICTV20150253","ICTV20150253")</f>
        <v>ICTV20150253</v>
      </c>
      <c r="B27" s="48" t="s">
        <v>11201</v>
      </c>
      <c r="C27" s="48" t="s">
        <v>11213</v>
      </c>
      <c r="D27" s="48" t="s">
        <v>22864</v>
      </c>
      <c r="E27" s="44" t="s">
        <v>22865</v>
      </c>
      <c r="F27" s="49" t="str">
        <f>HYPERLINK("https://ictv.global/ictv/proposals/2025.066B.Rename_taxa.zip","2025.066B.Rename_taxa.zip")</f>
        <v>2025.066B.Rename_taxa.zip</v>
      </c>
    </row>
    <row r="28" spans="1:6">
      <c r="A28" s="49" t="str">
        <f>HYPERLINK("https://ictv.global/id/ICTV20164997","ICTV20164997")</f>
        <v>ICTV20164997</v>
      </c>
      <c r="B28" s="48" t="s">
        <v>11201</v>
      </c>
      <c r="C28" s="48" t="s">
        <v>20735</v>
      </c>
      <c r="D28" s="48" t="s">
        <v>22844</v>
      </c>
      <c r="E28" s="44" t="s">
        <v>22845</v>
      </c>
      <c r="F28" s="49" t="str">
        <f>HYPERLINK("https://ictv.global/ictv/proposals/2025.002B.Alvaradovirinae_1nsf_3ng_10ns.zip","2025.002B.Alvaradovirinae_1nsf_3ng_10ns.zip")</f>
        <v>2025.002B.Alvaradovirinae_1nsf_3ng_10ns.zip</v>
      </c>
    </row>
    <row r="29" spans="1:6">
      <c r="A29" s="49" t="str">
        <f>HYPERLINK("https://ictv.global/id/ICTV20165174","ICTV20165174")</f>
        <v>ICTV20165174</v>
      </c>
      <c r="B29" s="48" t="s">
        <v>11201</v>
      </c>
      <c r="C29" s="48" t="s">
        <v>20735</v>
      </c>
      <c r="D29" s="48" t="s">
        <v>23056</v>
      </c>
      <c r="E29" s="44" t="s">
        <v>23057</v>
      </c>
      <c r="F29" s="49" t="str">
        <f>HYPERLINK("https://ictv.global/ictv/proposals/2025.001M.Alpharhabdovirinae_2ng_14nsp.zip","2025.001M.Alpharhabdovirinae_2ng_14nsp.zip")</f>
        <v>2025.001M.Alpharhabdovirinae_2ng_14nsp.zip</v>
      </c>
    </row>
    <row r="30" spans="1:6">
      <c r="A30" s="49" t="str">
        <f>HYPERLINK("https://ictv.global/id/ICTV19911709","ICTV19911709")</f>
        <v>ICTV19911709</v>
      </c>
      <c r="B30" s="48" t="s">
        <v>11201</v>
      </c>
      <c r="C30" s="48" t="s">
        <v>11211</v>
      </c>
      <c r="D30" s="48" t="s">
        <v>22782</v>
      </c>
      <c r="F30" s="49" t="str">
        <f>HYPERLINK("https://ictv.global/ictv/proposals/2025.017P.Secoviridae_53nsp_3abolishsp.zip","2025.017P.Secoviridae_53nsp_3abolishsp.zip")</f>
        <v>2025.017P.Secoviridae_53nsp_3abolishsp.zip</v>
      </c>
    </row>
    <row r="31" spans="1:6">
      <c r="A31" s="49" t="str">
        <f>HYPERLINK("https://ictv.global/id/ICTV19821258","ICTV19821258")</f>
        <v>ICTV19821258</v>
      </c>
      <c r="B31" s="48" t="s">
        <v>11201</v>
      </c>
      <c r="C31" s="48" t="s">
        <v>11211</v>
      </c>
      <c r="D31" s="48" t="s">
        <v>22783</v>
      </c>
      <c r="F31" s="49" t="str">
        <f>HYPERLINK("https://ictv.global/ictv/proposals/2025.017P.Secoviridae_53nsp_3abolishsp.zip","2025.017P.Secoviridae_53nsp_3abolishsp.zip")</f>
        <v>2025.017P.Secoviridae_53nsp_3abolishsp.zip</v>
      </c>
    </row>
    <row r="32" spans="1:6">
      <c r="A32" s="49" t="str">
        <f>HYPERLINK("https://ictv.global/id/ICTV19952119","ICTV19952119")</f>
        <v>ICTV19952119</v>
      </c>
      <c r="B32" s="48" t="s">
        <v>11201</v>
      </c>
      <c r="C32" s="48" t="s">
        <v>11211</v>
      </c>
      <c r="D32" s="48" t="s">
        <v>22784</v>
      </c>
      <c r="F32" s="49" t="str">
        <f>HYPERLINK("https://ictv.global/ictv/proposals/2025.017P.Secoviridae_53nsp_3abolishsp.zip","2025.017P.Secoviridae_53nsp_3abolishsp.zip")</f>
        <v>2025.017P.Secoviridae_53nsp_3abolishsp.zip</v>
      </c>
    </row>
    <row r="33" spans="1:6">
      <c r="A33" s="49" t="str">
        <f>HYPERLINK("https://ictv.global/id/ICTV19710145","ICTV19710145")</f>
        <v>ICTV19710145</v>
      </c>
      <c r="B33" s="48" t="s">
        <v>11201</v>
      </c>
      <c r="C33" s="48" t="s">
        <v>11211</v>
      </c>
      <c r="D33" s="48" t="s">
        <v>22779</v>
      </c>
      <c r="F33" s="49" t="str">
        <f>HYPERLINK("https://ictv.global/ictv/proposals/2025.008P.Betaflexiviridae_9nsp.zip","2025.008P.Betaflexiviridae_9nsp.zip")</f>
        <v>2025.008P.Betaflexiviridae_9nsp.zip</v>
      </c>
    </row>
    <row r="34" spans="1:6">
      <c r="A34" s="49" t="str">
        <f>HYPERLINK("https://ictv.global/id/ICTV19952352","ICTV19952352")</f>
        <v>ICTV19952352</v>
      </c>
      <c r="B34" s="48" t="s">
        <v>11201</v>
      </c>
      <c r="C34" s="48" t="s">
        <v>11211</v>
      </c>
      <c r="D34" s="48" t="s">
        <v>22780</v>
      </c>
      <c r="F34" s="49" t="str">
        <f>HYPERLINK("https://ictv.global/ictv/proposals/2025.008P.Betaflexiviridae_9nsp.zip","2025.008P.Betaflexiviridae_9nsp.zip")</f>
        <v>2025.008P.Betaflexiviridae_9nsp.zip</v>
      </c>
    </row>
    <row r="35" spans="1:6">
      <c r="A35" s="49" t="str">
        <f>HYPERLINK("https://ictv.global/id/ICTV20115391","ICTV20115391")</f>
        <v>ICTV20115391</v>
      </c>
      <c r="B35" s="48" t="s">
        <v>11201</v>
      </c>
      <c r="C35" s="48" t="s">
        <v>11213</v>
      </c>
      <c r="D35" s="48" t="s">
        <v>23076</v>
      </c>
      <c r="E35" s="44" t="s">
        <v>23077</v>
      </c>
      <c r="F35" s="49" t="str">
        <f>HYPERLINK("https://ictv.global/ictv/proposals/2025.002F.Sobelivirales_2spren_lu.zip","2025.002F.Sobelivirales_2spren_lu.zip")</f>
        <v>2025.002F.Sobelivirales_2spren_lu.zip</v>
      </c>
    </row>
    <row r="36" spans="1:6">
      <c r="A36" s="49" t="str">
        <f>HYPERLINK("https://ictv.global/id/ICTV19950506","ICTV19950506")</f>
        <v>ICTV19950506</v>
      </c>
      <c r="B36" s="48" t="s">
        <v>11201</v>
      </c>
      <c r="C36" s="48" t="s">
        <v>11213</v>
      </c>
      <c r="D36" s="48" t="s">
        <v>23080</v>
      </c>
      <c r="E36" s="44" t="s">
        <v>23081</v>
      </c>
      <c r="F36" s="49" t="str">
        <f>HYPERLINK("https://ictv.global/ictv/proposals/2025.002S.Mamastrovirus_8nsp_1spren.zip","2025.002S.Mamastrovirus_8nsp_1spren.zip")</f>
        <v>2025.002S.Mamastrovirus_8nsp_1spren.zip</v>
      </c>
    </row>
    <row r="37" spans="1:6">
      <c r="A37" s="49" t="str">
        <f>HYPERLINK("https://ictv.global/id/ICTV19790174","ICTV19790174")</f>
        <v>ICTV19790174</v>
      </c>
      <c r="B37" s="48" t="s">
        <v>11201</v>
      </c>
      <c r="C37" s="48" t="s">
        <v>11211</v>
      </c>
      <c r="D37" s="48" t="s">
        <v>22785</v>
      </c>
      <c r="F37" s="49" t="str">
        <f>HYPERLINK("https://ictv.global/ictv/proposals/2025.001D.Baculoviridae_4nsp_1absp.zip","2025.001D.Baculoviridae_4nsp_1absp.zip")</f>
        <v>2025.001D.Baculoviridae_4nsp_1absp.zip</v>
      </c>
    </row>
    <row r="38" spans="1:6">
      <c r="A38" s="49" t="str">
        <f>HYPERLINK("https://ictv.global/id/ICTV19930466","ICTV19930466")</f>
        <v>ICTV19930466</v>
      </c>
      <c r="B38" s="48" t="s">
        <v>11201</v>
      </c>
      <c r="C38" s="48" t="s">
        <v>11213</v>
      </c>
      <c r="D38" s="48" t="s">
        <v>23078</v>
      </c>
      <c r="E38" s="44" t="s">
        <v>23079</v>
      </c>
      <c r="F38" s="49" t="str">
        <f>HYPERLINK("https://ictv.global/ictv/proposals/2025.002F.Sobelivirales_2spren_lu.zip","2025.002F.Sobelivirales_2spren_lu.zip")</f>
        <v>2025.002F.Sobelivirales_2spren_lu.zip</v>
      </c>
    </row>
    <row r="39" spans="1:6">
      <c r="A39" s="49" t="str">
        <f>HYPERLINK("https://ictv.global/id/ICTV20115677","ICTV20115677")</f>
        <v>ICTV20115677</v>
      </c>
      <c r="B39" s="48" t="s">
        <v>11201</v>
      </c>
      <c r="C39" s="48" t="s">
        <v>11213</v>
      </c>
      <c r="D39" s="48" t="s">
        <v>22868</v>
      </c>
      <c r="E39" s="44" t="s">
        <v>22869</v>
      </c>
      <c r="F39" s="49" t="str">
        <f>HYPERLINK("https://ictv.global/ictv/proposals/2025.006D.Bidnaviridae_1rns.zip","2025.006D.Bidnaviridae_1rns.zip")</f>
        <v>2025.006D.Bidnaviridae_1rns.zip</v>
      </c>
    </row>
    <row r="40" spans="1:6">
      <c r="A40" s="49" t="str">
        <f>HYPERLINK("https://ictv.global/id/ICTV19821176","ICTV19821176")</f>
        <v>ICTV19821176</v>
      </c>
      <c r="B40" s="48" t="s">
        <v>11201</v>
      </c>
      <c r="C40" s="48" t="s">
        <v>11211</v>
      </c>
      <c r="D40" s="48" t="s">
        <v>22778</v>
      </c>
      <c r="F40" s="49" t="str">
        <f>HYPERLINK("https://ictv.global/ictv/proposals/2025.019P.Closteroviridae_31nsp_abolish_1sp.zip","2025.019P.Closteroviridae_31nsp_abolish_1sp.zip")</f>
        <v>2025.019P.Closteroviridae_31nsp_abolish_1sp.zip</v>
      </c>
    </row>
    <row r="41" spans="1:6">
      <c r="A41" s="49" t="str">
        <f>HYPERLINK("https://ictv.global/id/ICTV20165283","ICTV20165283")</f>
        <v>ICTV20165283</v>
      </c>
      <c r="B41" s="48" t="s">
        <v>11201</v>
      </c>
      <c r="C41" s="48" t="s">
        <v>11213</v>
      </c>
      <c r="D41" s="48" t="s">
        <v>22976</v>
      </c>
      <c r="E41" s="44" t="s">
        <v>22977</v>
      </c>
      <c r="F41" s="49" t="str">
        <f t="shared" ref="F41:F58" si="0">HYPERLINK("https://ictv.global/ictv/proposals/2025.006S.Amarillovirales_3reorgfam.zip","2025.006S.Amarillovirales_3reorgfam.zip")</f>
        <v>2025.006S.Amarillovirales_3reorgfam.zip</v>
      </c>
    </row>
    <row r="42" spans="1:6">
      <c r="A42" s="49" t="str">
        <f>HYPERLINK("https://ictv.global/id/ICTV20165284","ICTV20165284")</f>
        <v>ICTV20165284</v>
      </c>
      <c r="B42" s="48" t="s">
        <v>11201</v>
      </c>
      <c r="C42" s="48" t="s">
        <v>11213</v>
      </c>
      <c r="D42" s="48" t="s">
        <v>22992</v>
      </c>
      <c r="E42" s="44" t="s">
        <v>22993</v>
      </c>
      <c r="F42" s="49" t="str">
        <f t="shared" si="0"/>
        <v>2025.006S.Amarillovirales_3reorgfam.zip</v>
      </c>
    </row>
    <row r="43" spans="1:6">
      <c r="A43" s="49" t="str">
        <f>HYPERLINK("https://ictv.global/id/ICTV19910774","ICTV19910774")</f>
        <v>ICTV19910774</v>
      </c>
      <c r="B43" s="48" t="s">
        <v>11201</v>
      </c>
      <c r="C43" s="48" t="s">
        <v>11213</v>
      </c>
      <c r="D43" s="48" t="s">
        <v>22980</v>
      </c>
      <c r="E43" s="44" t="s">
        <v>22981</v>
      </c>
      <c r="F43" s="49" t="str">
        <f t="shared" si="0"/>
        <v>2025.006S.Amarillovirales_3reorgfam.zip</v>
      </c>
    </row>
    <row r="44" spans="1:6">
      <c r="A44" s="49" t="str">
        <f>HYPERLINK("https://ictv.global/id/ICTV20165285","ICTV20165285")</f>
        <v>ICTV20165285</v>
      </c>
      <c r="B44" s="48" t="s">
        <v>11201</v>
      </c>
      <c r="C44" s="48" t="s">
        <v>11213</v>
      </c>
      <c r="D44" s="48" t="s">
        <v>22974</v>
      </c>
      <c r="E44" s="44" t="s">
        <v>22975</v>
      </c>
      <c r="F44" s="49" t="str">
        <f t="shared" si="0"/>
        <v>2025.006S.Amarillovirales_3reorgfam.zip</v>
      </c>
    </row>
    <row r="45" spans="1:6">
      <c r="A45" s="49" t="str">
        <f>HYPERLINK("https://ictv.global/id/ICTV20165286","ICTV20165286")</f>
        <v>ICTV20165286</v>
      </c>
      <c r="B45" s="48" t="s">
        <v>11201</v>
      </c>
      <c r="C45" s="48" t="s">
        <v>11213</v>
      </c>
      <c r="D45" s="48" t="s">
        <v>22990</v>
      </c>
      <c r="E45" s="44" t="s">
        <v>22991</v>
      </c>
      <c r="F45" s="49" t="str">
        <f t="shared" si="0"/>
        <v>2025.006S.Amarillovirales_3reorgfam.zip</v>
      </c>
    </row>
    <row r="46" spans="1:6">
      <c r="A46" s="49" t="str">
        <f>HYPERLINK("https://ictv.global/id/ICTV20165287","ICTV20165287")</f>
        <v>ICTV20165287</v>
      </c>
      <c r="B46" s="48" t="s">
        <v>11201</v>
      </c>
      <c r="C46" s="48" t="s">
        <v>11213</v>
      </c>
      <c r="D46" s="48" t="s">
        <v>22984</v>
      </c>
      <c r="E46" s="44" t="s">
        <v>22985</v>
      </c>
      <c r="F46" s="49" t="str">
        <f t="shared" si="0"/>
        <v>2025.006S.Amarillovirales_3reorgfam.zip</v>
      </c>
    </row>
    <row r="47" spans="1:6">
      <c r="A47" s="49" t="str">
        <f>HYPERLINK("https://ictv.global/id/ICTV20165288","ICTV20165288")</f>
        <v>ICTV20165288</v>
      </c>
      <c r="B47" s="48" t="s">
        <v>11201</v>
      </c>
      <c r="C47" s="48" t="s">
        <v>11213</v>
      </c>
      <c r="D47" s="48" t="s">
        <v>22994</v>
      </c>
      <c r="E47" s="44" t="s">
        <v>22995</v>
      </c>
      <c r="F47" s="49" t="str">
        <f t="shared" si="0"/>
        <v>2025.006S.Amarillovirales_3reorgfam.zip</v>
      </c>
    </row>
    <row r="48" spans="1:6">
      <c r="A48" s="49" t="str">
        <f>HYPERLINK("https://ictv.global/id/ICTV20165289","ICTV20165289")</f>
        <v>ICTV20165289</v>
      </c>
      <c r="B48" s="48" t="s">
        <v>11201</v>
      </c>
      <c r="C48" s="48" t="s">
        <v>11213</v>
      </c>
      <c r="D48" s="48" t="s">
        <v>22986</v>
      </c>
      <c r="E48" s="44" t="s">
        <v>22987</v>
      </c>
      <c r="F48" s="49" t="str">
        <f t="shared" si="0"/>
        <v>2025.006S.Amarillovirales_3reorgfam.zip</v>
      </c>
    </row>
    <row r="49" spans="1:6">
      <c r="A49" s="49" t="str">
        <f>HYPERLINK("https://ictv.global/id/ICTV20165290","ICTV20165290")</f>
        <v>ICTV20165290</v>
      </c>
      <c r="B49" s="48" t="s">
        <v>11201</v>
      </c>
      <c r="C49" s="48" t="s">
        <v>11213</v>
      </c>
      <c r="D49" s="48" t="s">
        <v>22996</v>
      </c>
      <c r="E49" s="44" t="s">
        <v>22997</v>
      </c>
      <c r="F49" s="49" t="str">
        <f t="shared" si="0"/>
        <v>2025.006S.Amarillovirales_3reorgfam.zip</v>
      </c>
    </row>
    <row r="50" spans="1:6">
      <c r="A50" s="49" t="str">
        <f>HYPERLINK("https://ictv.global/id/ICTV20165291","ICTV20165291")</f>
        <v>ICTV20165291</v>
      </c>
      <c r="B50" s="48" t="s">
        <v>11201</v>
      </c>
      <c r="C50" s="48" t="s">
        <v>11213</v>
      </c>
      <c r="D50" s="48" t="s">
        <v>22978</v>
      </c>
      <c r="E50" s="44" t="s">
        <v>22979</v>
      </c>
      <c r="F50" s="49" t="str">
        <f t="shared" si="0"/>
        <v>2025.006S.Amarillovirales_3reorgfam.zip</v>
      </c>
    </row>
    <row r="51" spans="1:6">
      <c r="A51" s="49" t="str">
        <f>HYPERLINK("https://ictv.global/id/ICTV20165292","ICTV20165292")</f>
        <v>ICTV20165292</v>
      </c>
      <c r="B51" s="48" t="s">
        <v>11201</v>
      </c>
      <c r="C51" s="48" t="s">
        <v>11213</v>
      </c>
      <c r="D51" s="48" t="s">
        <v>22982</v>
      </c>
      <c r="E51" s="44" t="s">
        <v>22983</v>
      </c>
      <c r="F51" s="49" t="str">
        <f t="shared" si="0"/>
        <v>2025.006S.Amarillovirales_3reorgfam.zip</v>
      </c>
    </row>
    <row r="52" spans="1:6">
      <c r="A52" s="49" t="str">
        <f>HYPERLINK("https://ictv.global/id/ICTV20165293","ICTV20165293")</f>
        <v>ICTV20165293</v>
      </c>
      <c r="B52" s="48" t="s">
        <v>11201</v>
      </c>
      <c r="C52" s="48" t="s">
        <v>11213</v>
      </c>
      <c r="D52" s="48" t="s">
        <v>22998</v>
      </c>
      <c r="E52" s="44" t="s">
        <v>22999</v>
      </c>
      <c r="F52" s="49" t="str">
        <f t="shared" si="0"/>
        <v>2025.006S.Amarillovirales_3reorgfam.zip</v>
      </c>
    </row>
    <row r="53" spans="1:6">
      <c r="A53" s="49" t="str">
        <f>HYPERLINK("https://ictv.global/id/ICTV20165294","ICTV20165294")</f>
        <v>ICTV20165294</v>
      </c>
      <c r="B53" s="48" t="s">
        <v>11201</v>
      </c>
      <c r="C53" s="48" t="s">
        <v>11213</v>
      </c>
      <c r="D53" s="48" t="s">
        <v>22988</v>
      </c>
      <c r="E53" s="44" t="s">
        <v>22989</v>
      </c>
      <c r="F53" s="49" t="str">
        <f t="shared" si="0"/>
        <v>2025.006S.Amarillovirales_3reorgfam.zip</v>
      </c>
    </row>
    <row r="54" spans="1:6">
      <c r="A54" s="49" t="str">
        <f>HYPERLINK("https://ictv.global/id/ICTV20165295","ICTV20165295")</f>
        <v>ICTV20165295</v>
      </c>
      <c r="B54" s="48" t="s">
        <v>11201</v>
      </c>
      <c r="C54" s="48" t="s">
        <v>11213</v>
      </c>
      <c r="D54" s="48" t="s">
        <v>22972</v>
      </c>
      <c r="E54" s="44" t="s">
        <v>22973</v>
      </c>
      <c r="F54" s="49" t="str">
        <f t="shared" si="0"/>
        <v>2025.006S.Amarillovirales_3reorgfam.zip</v>
      </c>
    </row>
    <row r="55" spans="1:6">
      <c r="A55" s="49" t="str">
        <f>HYPERLINK("https://ictv.global/id/ICTV19760642","ICTV19760642")</f>
        <v>ICTV19760642</v>
      </c>
      <c r="B55" s="48" t="s">
        <v>11201</v>
      </c>
      <c r="C55" s="48" t="s">
        <v>11213</v>
      </c>
      <c r="D55" s="48" t="s">
        <v>23024</v>
      </c>
      <c r="E55" s="44" t="s">
        <v>23025</v>
      </c>
      <c r="F55" s="49" t="str">
        <f t="shared" si="0"/>
        <v>2025.006S.Amarillovirales_3reorgfam.zip</v>
      </c>
    </row>
    <row r="56" spans="1:6">
      <c r="A56" s="49" t="str">
        <f>HYPERLINK("https://ictv.global/id/ICTV19990865","ICTV19990865")</f>
        <v>ICTV19990865</v>
      </c>
      <c r="B56" s="48" t="s">
        <v>11201</v>
      </c>
      <c r="C56" s="48" t="s">
        <v>11213</v>
      </c>
      <c r="D56" s="48" t="s">
        <v>23012</v>
      </c>
      <c r="E56" s="44" t="s">
        <v>23013</v>
      </c>
      <c r="F56" s="49" t="str">
        <f t="shared" si="0"/>
        <v>2025.006S.Amarillovirales_3reorgfam.zip</v>
      </c>
    </row>
    <row r="57" spans="1:6">
      <c r="A57" s="49" t="str">
        <f>HYPERLINK("https://ictv.global/id/ICTV19990866","ICTV19990866")</f>
        <v>ICTV19990866</v>
      </c>
      <c r="B57" s="48" t="s">
        <v>11201</v>
      </c>
      <c r="C57" s="48" t="s">
        <v>11213</v>
      </c>
      <c r="D57" s="48" t="s">
        <v>23038</v>
      </c>
      <c r="E57" s="44" t="s">
        <v>23039</v>
      </c>
      <c r="F57" s="49" t="str">
        <f t="shared" si="0"/>
        <v>2025.006S.Amarillovirales_3reorgfam.zip</v>
      </c>
    </row>
    <row r="58" spans="1:6">
      <c r="A58" s="49" t="str">
        <f>HYPERLINK("https://ictv.global/id/ICTV19760643","ICTV19760643")</f>
        <v>ICTV19760643</v>
      </c>
      <c r="B58" s="48" t="s">
        <v>11201</v>
      </c>
      <c r="C58" s="48" t="s">
        <v>11213</v>
      </c>
      <c r="D58" s="48" t="s">
        <v>23036</v>
      </c>
      <c r="E58" s="44" t="s">
        <v>23037</v>
      </c>
      <c r="F58" s="49" t="str">
        <f t="shared" si="0"/>
        <v>2025.006S.Amarillovirales_3reorgfam.zip</v>
      </c>
    </row>
    <row r="59" spans="1:6">
      <c r="A59" s="49" t="str">
        <f>HYPERLINK("https://ictv.global/id/ICTV19931085","ICTV19931085")</f>
        <v>ICTV19931085</v>
      </c>
      <c r="B59" s="48" t="s">
        <v>11201</v>
      </c>
      <c r="C59" s="48" t="s">
        <v>11211</v>
      </c>
      <c r="D59" s="48" t="s">
        <v>22777</v>
      </c>
      <c r="F59" s="49" t="str">
        <f>HYPERLINK("https://ictv.global/ictv/proposals/2025.043B.Microviricetes_reorg.zip","2025.043B.Microviricetes_reorg.zip")</f>
        <v>2025.043B.Microviricetes_reorg.zip</v>
      </c>
    </row>
    <row r="60" spans="1:6">
      <c r="A60" s="49" t="str">
        <f>HYPERLINK("https://ictv.global/id/ICTV19931092","ICTV19931092")</f>
        <v>ICTV19931092</v>
      </c>
      <c r="B60" s="48" t="s">
        <v>11201</v>
      </c>
      <c r="C60" s="48" t="s">
        <v>20735</v>
      </c>
      <c r="D60" s="48" t="s">
        <v>23104</v>
      </c>
      <c r="E60" s="44" t="s">
        <v>23105</v>
      </c>
      <c r="F60" s="49" t="str">
        <f>HYPERLINK("https://ictv.global/ictv/proposals/2025.043B.Microviricetes_reorg.zip","2025.043B.Microviricetes_reorg.zip")</f>
        <v>2025.043B.Microviricetes_reorg.zip</v>
      </c>
    </row>
    <row r="61" spans="1:6">
      <c r="A61" s="49" t="str">
        <f>HYPERLINK("https://ictv.global/id/ICTV20041421","ICTV20041421")</f>
        <v>ICTV20041421</v>
      </c>
      <c r="B61" s="48" t="s">
        <v>11201</v>
      </c>
      <c r="C61" s="48" t="s">
        <v>11213</v>
      </c>
      <c r="D61" s="48" t="s">
        <v>23098</v>
      </c>
      <c r="E61" s="44" t="s">
        <v>23099</v>
      </c>
      <c r="F61" s="49" t="str">
        <f>HYPERLINK("https://ictv.global/ictv/proposals/2025.043B.Microviricetes_reorg.zip","2025.043B.Microviricetes_reorg.zip")</f>
        <v>2025.043B.Microviricetes_reorg.zip</v>
      </c>
    </row>
    <row r="62" spans="1:6">
      <c r="A62" s="49" t="str">
        <f>HYPERLINK("https://ictv.global/id/ICTV20041422","ICTV20041422")</f>
        <v>ICTV20041422</v>
      </c>
      <c r="B62" s="48" t="s">
        <v>11201</v>
      </c>
      <c r="C62" s="48" t="s">
        <v>11213</v>
      </c>
      <c r="D62" s="48" t="s">
        <v>23100</v>
      </c>
      <c r="E62" s="44" t="s">
        <v>23101</v>
      </c>
      <c r="F62" s="49" t="str">
        <f>HYPERLINK("https://ictv.global/ictv/proposals/2025.043B.Microviricetes_reorg.zip","2025.043B.Microviricetes_reorg.zip")</f>
        <v>2025.043B.Microviricetes_reorg.zip</v>
      </c>
    </row>
    <row r="63" spans="1:6">
      <c r="A63" s="49" t="str">
        <f>HYPERLINK("https://ictv.global/id/ICTV20041423","ICTV20041423")</f>
        <v>ICTV20041423</v>
      </c>
      <c r="B63" s="48" t="s">
        <v>11201</v>
      </c>
      <c r="C63" s="48" t="s">
        <v>11213</v>
      </c>
      <c r="D63" s="48" t="s">
        <v>23102</v>
      </c>
      <c r="E63" s="44" t="s">
        <v>23103</v>
      </c>
      <c r="F63" s="49" t="str">
        <f>HYPERLINK("https://ictv.global/ictv/proposals/2025.043B.Microviricetes_reorg.zip","2025.043B.Microviricetes_reorg.zip")</f>
        <v>2025.043B.Microviricetes_reorg.zip</v>
      </c>
    </row>
    <row r="64" spans="1:6">
      <c r="A64" s="49" t="str">
        <f>HYPERLINK("https://ictv.global/id/ICTV20021201","ICTV20021201")</f>
        <v>ICTV20021201</v>
      </c>
      <c r="B64" s="48" t="s">
        <v>11201</v>
      </c>
      <c r="C64" s="48" t="s">
        <v>11213</v>
      </c>
      <c r="D64" s="48" t="s">
        <v>23108</v>
      </c>
      <c r="E64" s="44" t="s">
        <v>23109</v>
      </c>
      <c r="F64" s="49" t="str">
        <f>HYPERLINK("https://ictv.global/ictv/proposals/2025.008D.Whispovirus_1rns.zip","2025.008D.Whispovirus_1rns.zip")</f>
        <v>2025.008D.Whispovirus_1rns.zip</v>
      </c>
    </row>
    <row r="65" spans="1:6">
      <c r="A65" s="49" t="str">
        <f>HYPERLINK("https://ictv.global/id/ICTV20094137","ICTV20094137")</f>
        <v>ICTV20094137</v>
      </c>
      <c r="B65" s="48" t="s">
        <v>11201</v>
      </c>
      <c r="C65" s="48" t="s">
        <v>20735</v>
      </c>
      <c r="D65" s="48" t="s">
        <v>23046</v>
      </c>
      <c r="E65" s="44" t="s">
        <v>23047</v>
      </c>
      <c r="F65" s="49" t="str">
        <f>HYPERLINK("https://ictv.global/ictv/proposals/2025.001P.Aspiviridae_Ophiovirus_splitgen_1ng_14nsp.zip","2025.001P.Aspiviridae_Ophiovirus_splitgen_1ng_14nsp.zip")</f>
        <v>2025.001P.Aspiviridae_Ophiovirus_splitgen_1ng_14nsp.zip</v>
      </c>
    </row>
    <row r="66" spans="1:6">
      <c r="A66" s="49" t="str">
        <f>HYPERLINK("https://ictv.global/id/ICTV20042224","ICTV20042224")</f>
        <v>ICTV20042224</v>
      </c>
      <c r="B66" s="48" t="s">
        <v>11201</v>
      </c>
      <c r="C66" s="48" t="s">
        <v>20735</v>
      </c>
      <c r="D66" s="48" t="s">
        <v>23048</v>
      </c>
      <c r="E66" s="44" t="s">
        <v>23049</v>
      </c>
      <c r="F66" s="49" t="str">
        <f>HYPERLINK("https://ictv.global/ictv/proposals/2025.001P.Aspiviridae_Ophiovirus_splitgen_1ng_14nsp.zip","2025.001P.Aspiviridae_Ophiovirus_splitgen_1ng_14nsp.zip")</f>
        <v>2025.001P.Aspiviridae_Ophiovirus_splitgen_1ng_14nsp.zip</v>
      </c>
    </row>
    <row r="67" spans="1:6">
      <c r="A67" s="49" t="str">
        <f>HYPERLINK("https://ictv.global/id/ICTV20074835","ICTV20074835")</f>
        <v>ICTV20074835</v>
      </c>
      <c r="B67" s="48" t="s">
        <v>11201</v>
      </c>
      <c r="C67" s="48" t="s">
        <v>20735</v>
      </c>
      <c r="D67" s="48" t="s">
        <v>23050</v>
      </c>
      <c r="E67" s="44" t="s">
        <v>23051</v>
      </c>
      <c r="F67" s="49" t="str">
        <f>HYPERLINK("https://ictv.global/ictv/proposals/2025.001P.Aspiviridae_Ophiovirus_splitgen_1ng_14nsp.zip","2025.001P.Aspiviridae_Ophiovirus_splitgen_1ng_14nsp.zip")</f>
        <v>2025.001P.Aspiviridae_Ophiovirus_splitgen_1ng_14nsp.zip</v>
      </c>
    </row>
    <row r="68" spans="1:6">
      <c r="A68" s="49" t="str">
        <f>HYPERLINK("https://ictv.global/id/ICTV19991819","ICTV19991819")</f>
        <v>ICTV19991819</v>
      </c>
      <c r="B68" s="48" t="s">
        <v>11201</v>
      </c>
      <c r="C68" s="48" t="s">
        <v>20735</v>
      </c>
      <c r="D68" s="48" t="s">
        <v>23052</v>
      </c>
      <c r="E68" s="44" t="s">
        <v>23053</v>
      </c>
      <c r="F68" s="49" t="str">
        <f>HYPERLINK("https://ictv.global/ictv/proposals/2025.001P.Aspiviridae_Ophiovirus_splitgen_1ng_14nsp.zip","2025.001P.Aspiviridae_Ophiovirus_splitgen_1ng_14nsp.zip")</f>
        <v>2025.001P.Aspiviridae_Ophiovirus_splitgen_1ng_14nsp.zip</v>
      </c>
    </row>
    <row r="69" spans="1:6">
      <c r="A69" s="49" t="str">
        <f>HYPERLINK("https://ictv.global/id/ICTV19991820","ICTV19991820")</f>
        <v>ICTV19991820</v>
      </c>
      <c r="B69" s="48" t="s">
        <v>11201</v>
      </c>
      <c r="C69" s="48" t="s">
        <v>20735</v>
      </c>
      <c r="D69" s="48" t="s">
        <v>23054</v>
      </c>
      <c r="E69" s="44" t="s">
        <v>23055</v>
      </c>
      <c r="F69" s="49" t="str">
        <f>HYPERLINK("https://ictv.global/ictv/proposals/2025.001P.Aspiviridae_Ophiovirus_splitgen_1ng_14nsp.zip","2025.001P.Aspiviridae_Ophiovirus_splitgen_1ng_14nsp.zip")</f>
        <v>2025.001P.Aspiviridae_Ophiovirus_splitgen_1ng_14nsp.zip</v>
      </c>
    </row>
    <row r="70" spans="1:6">
      <c r="A70" s="49" t="str">
        <f>HYPERLINK("https://ictv.global/id/ICTV20132530","ICTV20132530")</f>
        <v>ICTV20132530</v>
      </c>
      <c r="B70" s="48" t="s">
        <v>11201</v>
      </c>
      <c r="C70" s="48" t="s">
        <v>11213</v>
      </c>
      <c r="D70" s="48" t="s">
        <v>22960</v>
      </c>
      <c r="E70" s="44" t="s">
        <v>22961</v>
      </c>
      <c r="F70" s="49" t="str">
        <f>HYPERLINK("https://ictv.global/ictv/proposals/2025.005D.Parvoviridae_1absf_4nsf_39ns.zip","2025.005D.Parvoviridae_1absf_4nsf_39ns.zip")</f>
        <v>2025.005D.Parvoviridae_1absf_4nsf_39ns.zip</v>
      </c>
    </row>
    <row r="71" spans="1:6">
      <c r="A71" s="49" t="str">
        <f>HYPERLINK("https://ictv.global/id/ICTV20132531","ICTV20132531")</f>
        <v>ICTV20132531</v>
      </c>
      <c r="B71" s="48" t="s">
        <v>11201</v>
      </c>
      <c r="C71" s="48" t="s">
        <v>11213</v>
      </c>
      <c r="D71" s="48" t="s">
        <v>22962</v>
      </c>
      <c r="E71" s="44" t="s">
        <v>22963</v>
      </c>
      <c r="F71" s="49" t="str">
        <f>HYPERLINK("https://ictv.global/ictv/proposals/2025.005D.Parvoviridae_1absf_4nsf_39ns.zip","2025.005D.Parvoviridae_1absf_4nsf_39ns.zip")</f>
        <v>2025.005D.Parvoviridae_1absf_4nsf_39ns.zip</v>
      </c>
    </row>
    <row r="72" spans="1:6">
      <c r="A72" s="49" t="str">
        <f>HYPERLINK("https://ictv.global/id/ICTV20132632","ICTV20132632")</f>
        <v>ICTV20132632</v>
      </c>
      <c r="B72" s="48" t="s">
        <v>11201</v>
      </c>
      <c r="C72" s="48" t="s">
        <v>11213</v>
      </c>
      <c r="D72" s="48" t="s">
        <v>22952</v>
      </c>
      <c r="E72" s="44" t="s">
        <v>22953</v>
      </c>
      <c r="F72" s="49" t="str">
        <f>HYPERLINK("https://ictv.global/ictv/proposals/2025.005D.Parvoviridae_1absf_4nsf_39ns.zip","2025.005D.Parvoviridae_1absf_4nsf_39ns.zip")</f>
        <v>2025.005D.Parvoviridae_1absf_4nsf_39ns.zip</v>
      </c>
    </row>
    <row r="73" spans="1:6">
      <c r="A73" s="49" t="str">
        <f>HYPERLINK("https://ictv.global/id/ICTV20132634","ICTV20132634")</f>
        <v>ICTV20132634</v>
      </c>
      <c r="B73" s="48" t="s">
        <v>11201</v>
      </c>
      <c r="C73" s="48" t="s">
        <v>11213</v>
      </c>
      <c r="D73" s="48" t="s">
        <v>22968</v>
      </c>
      <c r="E73" s="44" t="s">
        <v>22969</v>
      </c>
      <c r="F73" s="49" t="str">
        <f>HYPERLINK("https://ictv.global/ictv/proposals/2025.005D.Parvoviridae_1absf_4nsf_39ns.zip","2025.005D.Parvoviridae_1absf_4nsf_39ns.zip")</f>
        <v>2025.005D.Parvoviridae_1absf_4nsf_39ns.zip</v>
      </c>
    </row>
    <row r="74" spans="1:6">
      <c r="A74" s="49" t="str">
        <f>HYPERLINK("https://ictv.global/id/ICTV20165412","ICTV20165412")</f>
        <v>ICTV20165412</v>
      </c>
      <c r="B74" s="48" t="s">
        <v>11201</v>
      </c>
      <c r="C74" s="48" t="s">
        <v>11213</v>
      </c>
      <c r="D74" s="48" t="s">
        <v>22870</v>
      </c>
      <c r="E74" s="44" t="s">
        <v>22871</v>
      </c>
      <c r="F74" s="49" t="str">
        <f>HYPERLINK("https://ictv.global/ictv/proposals/2025.005D.Parvoviridae_1absf_4nsf_39ns.zip","2025.005D.Parvoviridae_1absf_4nsf_39ns.zip")</f>
        <v>2025.005D.Parvoviridae_1absf_4nsf_39ns.zip</v>
      </c>
    </row>
    <row r="75" spans="1:6">
      <c r="A75" s="49" t="str">
        <f>HYPERLINK("https://ictv.global/id/ICTV20115373","ICTV20115373")</f>
        <v>ICTV20115373</v>
      </c>
      <c r="B75" s="48" t="s">
        <v>11201</v>
      </c>
      <c r="C75" s="48" t="s">
        <v>11213</v>
      </c>
      <c r="D75" s="48" t="s">
        <v>23110</v>
      </c>
      <c r="E75" s="44" t="s">
        <v>23111</v>
      </c>
      <c r="F75" s="49" t="str">
        <f>HYPERLINK("https://ictv.global/ictv/proposals/2025.001F.Dinodnavirus_1spren_Rhizidiovirus_abolish.zip","2025.001F.Dinodnavirus_1spren_Rhizidiovirus_abolish.zip")</f>
        <v>2025.001F.Dinodnavirus_1spren_Rhizidiovirus_abolish.zip</v>
      </c>
    </row>
    <row r="76" spans="1:6">
      <c r="A76" s="49" t="str">
        <f>HYPERLINK("https://ictv.global/id/ICTV19871436","ICTV19871436")</f>
        <v>ICTV19871436</v>
      </c>
      <c r="B76" s="48" t="s">
        <v>11201</v>
      </c>
      <c r="C76" s="48" t="s">
        <v>11211</v>
      </c>
      <c r="D76" s="48" t="s">
        <v>22787</v>
      </c>
      <c r="F76" s="49" t="str">
        <f>HYPERLINK("https://ictv.global/ictv/proposals/2025.001F.Dinodnavirus_1spren_Rhizidiovirus_abolish.zip","2025.001F.Dinodnavirus_1spren_Rhizidiovirus_abolish.zip")</f>
        <v>2025.001F.Dinodnavirus_1spren_Rhizidiovirus_abolish.zip</v>
      </c>
    </row>
    <row r="77" spans="1:6">
      <c r="A77" s="49" t="str">
        <f>HYPERLINK("https://ictv.global/id/ICTV20154614","ICTV20154614")</f>
        <v>ICTV20154614</v>
      </c>
      <c r="B77" s="48" t="s">
        <v>11201</v>
      </c>
      <c r="C77" s="48" t="s">
        <v>11213</v>
      </c>
      <c r="D77" s="48" t="s">
        <v>23040</v>
      </c>
      <c r="E77" s="44" t="s">
        <v>23041</v>
      </c>
      <c r="F77" s="49" t="str">
        <f>HYPERLINK("https://ictv.global/ictv/proposals/2025.004S.Sinaivirus_2spren.zip","2025.004S.Sinaivirus_2spren.zip")</f>
        <v>2025.004S.Sinaivirus_2spren.zip</v>
      </c>
    </row>
    <row r="78" spans="1:6">
      <c r="A78" s="49" t="str">
        <f>HYPERLINK("https://ictv.global/id/ICTV20154615","ICTV20154615")</f>
        <v>ICTV20154615</v>
      </c>
      <c r="B78" s="48" t="s">
        <v>11201</v>
      </c>
      <c r="C78" s="48" t="s">
        <v>11213</v>
      </c>
      <c r="D78" s="48" t="s">
        <v>23042</v>
      </c>
      <c r="E78" s="44" t="s">
        <v>23043</v>
      </c>
      <c r="F78" s="49" t="str">
        <f>HYPERLINK("https://ictv.global/ictv/proposals/2025.004S.Sinaivirus_2spren.zip","2025.004S.Sinaivirus_2spren.zip")</f>
        <v>2025.004S.Sinaivirus_2spren.zip</v>
      </c>
    </row>
    <row r="79" spans="1:6">
      <c r="A79" s="49" t="str">
        <f>HYPERLINK("https://ictv.global/id/ICTV20175655","ICTV20175655")</f>
        <v>ICTV20175655</v>
      </c>
      <c r="B79" s="48" t="s">
        <v>11201</v>
      </c>
      <c r="C79" s="48" t="s">
        <v>11213</v>
      </c>
      <c r="D79" s="48" t="s">
        <v>23088</v>
      </c>
      <c r="E79" s="44" t="s">
        <v>23089</v>
      </c>
      <c r="F79" s="49" t="str">
        <f>HYPERLINK("https://ictv.global/ictv/proposals/2025.004D.Adenoviridae_20ns.zip","2025.004D.Adenoviridae_20ns.zip")</f>
        <v>2025.004D.Adenoviridae_20ns.zip</v>
      </c>
    </row>
    <row r="80" spans="1:6">
      <c r="A80" s="49" t="str">
        <f>HYPERLINK("https://ictv.global/id/ICTV20175780","ICTV20175780")</f>
        <v>ICTV20175780</v>
      </c>
      <c r="B80" s="48" t="s">
        <v>11201</v>
      </c>
      <c r="C80" s="48" t="s">
        <v>11213</v>
      </c>
      <c r="D80" s="48" t="s">
        <v>23004</v>
      </c>
      <c r="E80" s="44" t="s">
        <v>23005</v>
      </c>
      <c r="F80" s="49" t="str">
        <f t="shared" ref="F80:F86" si="1">HYPERLINK("https://ictv.global/ictv/proposals/2025.006S.Amarillovirales_3reorgfam.zip","2025.006S.Amarillovirales_3reorgfam.zip")</f>
        <v>2025.006S.Amarillovirales_3reorgfam.zip</v>
      </c>
    </row>
    <row r="81" spans="1:6">
      <c r="A81" s="49" t="str">
        <f>HYPERLINK("https://ictv.global/id/ICTV20175781","ICTV20175781")</f>
        <v>ICTV20175781</v>
      </c>
      <c r="B81" s="48" t="s">
        <v>11201</v>
      </c>
      <c r="C81" s="48" t="s">
        <v>11213</v>
      </c>
      <c r="D81" s="48" t="s">
        <v>23008</v>
      </c>
      <c r="E81" s="44" t="s">
        <v>23009</v>
      </c>
      <c r="F81" s="49" t="str">
        <f t="shared" si="1"/>
        <v>2025.006S.Amarillovirales_3reorgfam.zip</v>
      </c>
    </row>
    <row r="82" spans="1:6">
      <c r="A82" s="49" t="str">
        <f>HYPERLINK("https://ictv.global/id/ICTV20175782","ICTV20175782")</f>
        <v>ICTV20175782</v>
      </c>
      <c r="B82" s="48" t="s">
        <v>11201</v>
      </c>
      <c r="C82" s="48" t="s">
        <v>11213</v>
      </c>
      <c r="D82" s="48" t="s">
        <v>23018</v>
      </c>
      <c r="E82" s="44" t="s">
        <v>23019</v>
      </c>
      <c r="F82" s="49" t="str">
        <f t="shared" si="1"/>
        <v>2025.006S.Amarillovirales_3reorgfam.zip</v>
      </c>
    </row>
    <row r="83" spans="1:6">
      <c r="A83" s="49" t="str">
        <f>HYPERLINK("https://ictv.global/id/ICTV20175783","ICTV20175783")</f>
        <v>ICTV20175783</v>
      </c>
      <c r="B83" s="48" t="s">
        <v>11201</v>
      </c>
      <c r="C83" s="48" t="s">
        <v>11213</v>
      </c>
      <c r="D83" s="48" t="s">
        <v>23014</v>
      </c>
      <c r="E83" s="44" t="s">
        <v>23015</v>
      </c>
      <c r="F83" s="49" t="str">
        <f t="shared" si="1"/>
        <v>2025.006S.Amarillovirales_3reorgfam.zip</v>
      </c>
    </row>
    <row r="84" spans="1:6">
      <c r="A84" s="49" t="str">
        <f>HYPERLINK("https://ictv.global/id/ICTV20175784","ICTV20175784")</f>
        <v>ICTV20175784</v>
      </c>
      <c r="B84" s="48" t="s">
        <v>11201</v>
      </c>
      <c r="C84" s="48" t="s">
        <v>11213</v>
      </c>
      <c r="D84" s="48" t="s">
        <v>23010</v>
      </c>
      <c r="E84" s="44" t="s">
        <v>23011</v>
      </c>
      <c r="F84" s="49" t="str">
        <f t="shared" si="1"/>
        <v>2025.006S.Amarillovirales_3reorgfam.zip</v>
      </c>
    </row>
    <row r="85" spans="1:6">
      <c r="A85" s="49" t="str">
        <f>HYPERLINK("https://ictv.global/id/ICTV20175785","ICTV20175785")</f>
        <v>ICTV20175785</v>
      </c>
      <c r="B85" s="48" t="s">
        <v>11201</v>
      </c>
      <c r="C85" s="48" t="s">
        <v>11213</v>
      </c>
      <c r="D85" s="48" t="s">
        <v>23028</v>
      </c>
      <c r="E85" s="44" t="s">
        <v>23029</v>
      </c>
      <c r="F85" s="49" t="str">
        <f t="shared" si="1"/>
        <v>2025.006S.Amarillovirales_3reorgfam.zip</v>
      </c>
    </row>
    <row r="86" spans="1:6">
      <c r="A86" s="49" t="str">
        <f>HYPERLINK("https://ictv.global/id/ICTV20175786","ICTV20175786")</f>
        <v>ICTV20175786</v>
      </c>
      <c r="B86" s="48" t="s">
        <v>11201</v>
      </c>
      <c r="C86" s="48" t="s">
        <v>11213</v>
      </c>
      <c r="D86" s="48" t="s">
        <v>23032</v>
      </c>
      <c r="E86" s="44" t="s">
        <v>23033</v>
      </c>
      <c r="F86" s="49" t="str">
        <f t="shared" si="1"/>
        <v>2025.006S.Amarillovirales_3reorgfam.zip</v>
      </c>
    </row>
    <row r="87" spans="1:6">
      <c r="A87" s="49" t="str">
        <f>HYPERLINK("https://ictv.global/id/ICTV201856587","ICTV201856587")</f>
        <v>ICTV201856587</v>
      </c>
      <c r="B87" s="48" t="s">
        <v>11201</v>
      </c>
      <c r="C87" s="48" t="s">
        <v>11213</v>
      </c>
      <c r="D87" s="48" t="s">
        <v>22852</v>
      </c>
      <c r="E87" s="44" t="s">
        <v>22853</v>
      </c>
      <c r="F87" s="49" t="str">
        <f>HYPERLINK("https://ictv.global/ictv/proposals/2025.066B.Rename_taxa.zip","2025.066B.Rename_taxa.zip")</f>
        <v>2025.066B.Rename_taxa.zip</v>
      </c>
    </row>
    <row r="88" spans="1:6">
      <c r="A88" s="49" t="str">
        <f>HYPERLINK("https://ictv.global/id/ICTV201856919","ICTV201856919")</f>
        <v>ICTV201856919</v>
      </c>
      <c r="B88" s="48" t="s">
        <v>11201</v>
      </c>
      <c r="C88" s="48" t="s">
        <v>20735</v>
      </c>
      <c r="D88" s="48" t="s">
        <v>22836</v>
      </c>
      <c r="E88" s="44" t="s">
        <v>22837</v>
      </c>
      <c r="F88" s="49" t="str">
        <f>HYPERLINK("https://ictv.global/ictv/proposals/2025.054B.Hirszfeldviridae_1nf_21ng_1mg_5mrs_46ns.zip","2025.054B.Hirszfeldviridae_1nf_21ng_1mg_5mrs_46ns.zip")</f>
        <v>2025.054B.Hirszfeldviridae_1nf_21ng_1mg_5mrs_46ns.zip</v>
      </c>
    </row>
    <row r="89" spans="1:6">
      <c r="A89" s="49" t="str">
        <f>HYPERLINK("https://ictv.global/id/ICTV201856920","ICTV201856920")</f>
        <v>ICTV201856920</v>
      </c>
      <c r="B89" s="48" t="s">
        <v>11201</v>
      </c>
      <c r="C89" s="48" t="s">
        <v>20735</v>
      </c>
      <c r="D89" s="48" t="s">
        <v>22838</v>
      </c>
      <c r="E89" s="44" t="s">
        <v>22839</v>
      </c>
      <c r="F89" s="49" t="str">
        <f>HYPERLINK("https://ictv.global/ictv/proposals/2025.054B.Hirszfeldviridae_1nf_21ng_1mg_5mrs_46ns.zip","2025.054B.Hirszfeldviridae_1nf_21ng_1mg_5mrs_46ns.zip")</f>
        <v>2025.054B.Hirszfeldviridae_1nf_21ng_1mg_5mrs_46ns.zip</v>
      </c>
    </row>
    <row r="90" spans="1:6">
      <c r="A90" s="49" t="str">
        <f>HYPERLINK("https://ictv.global/id/ICTV201856922","ICTV201856922")</f>
        <v>ICTV201856922</v>
      </c>
      <c r="B90" s="48" t="s">
        <v>11201</v>
      </c>
      <c r="C90" s="48" t="s">
        <v>20735</v>
      </c>
      <c r="D90" s="48" t="s">
        <v>22834</v>
      </c>
      <c r="E90" s="44" t="s">
        <v>22835</v>
      </c>
      <c r="F90" s="49" t="str">
        <f>HYPERLINK("https://ictv.global/ictv/proposals/2025.054B.Hirszfeldviridae_1nf_21ng_1mg_5mrs_46ns.zip","2025.054B.Hirszfeldviridae_1nf_21ng_1mg_5mrs_46ns.zip")</f>
        <v>2025.054B.Hirszfeldviridae_1nf_21ng_1mg_5mrs_46ns.zip</v>
      </c>
    </row>
    <row r="91" spans="1:6">
      <c r="A91" s="49" t="str">
        <f>HYPERLINK("https://ictv.global/id/ICTV201856930","ICTV201856930")</f>
        <v>ICTV201856930</v>
      </c>
      <c r="B91" s="48" t="s">
        <v>11201</v>
      </c>
      <c r="C91" s="48" t="s">
        <v>20735</v>
      </c>
      <c r="D91" s="48" t="s">
        <v>22832</v>
      </c>
      <c r="E91" s="44" t="s">
        <v>22833</v>
      </c>
      <c r="F91" s="49" t="str">
        <f>HYPERLINK("https://ictv.global/ictv/proposals/2025.006B.Buchnerviridae_1nf_6ng_1mg_1mrs_13ns.zip","2025.006B.Buchnerviridae_1nf_6ng_1mg_1mrs_13ns.zip")</f>
        <v>2025.006B.Buchnerviridae_1nf_6ng_1mg_1mrs_13ns.zip</v>
      </c>
    </row>
    <row r="92" spans="1:6">
      <c r="A92" s="49" t="str">
        <f>HYPERLINK("https://ictv.global/id/ICTV201856991","ICTV201856991")</f>
        <v>ICTV201856991</v>
      </c>
      <c r="B92" s="48" t="s">
        <v>11201</v>
      </c>
      <c r="C92" s="48" t="s">
        <v>11213</v>
      </c>
      <c r="D92" s="48" t="s">
        <v>22848</v>
      </c>
      <c r="E92" s="44" t="s">
        <v>22849</v>
      </c>
      <c r="F92" s="49" t="str">
        <f>HYPERLINK("https://ictv.global/ictv/proposals/2025.071B.Santaclaravirinae_1nsf_3ng_6ns.zip","2025.071B.Santaclaravirinae_1nsf_3ng_6ns.zip")</f>
        <v>2025.071B.Santaclaravirinae_1nsf_3ng_6ns.zip</v>
      </c>
    </row>
    <row r="93" spans="1:6">
      <c r="A93" s="49" t="str">
        <f>HYPERLINK("https://ictv.global/id/ICTV201907195","ICTV201907195")</f>
        <v>ICTV201907195</v>
      </c>
      <c r="B93" s="48" t="s">
        <v>11201</v>
      </c>
      <c r="C93" s="48" t="s">
        <v>11213</v>
      </c>
      <c r="D93" s="48" t="s">
        <v>23086</v>
      </c>
      <c r="E93" s="44" t="s">
        <v>23087</v>
      </c>
      <c r="F93" s="49" t="str">
        <f>HYPERLINK("https://ictv.global/ictv/proposals/2025.004D.Adenoviridae_20ns.zip","2025.004D.Adenoviridae_20ns.zip")</f>
        <v>2025.004D.Adenoviridae_20ns.zip</v>
      </c>
    </row>
    <row r="94" spans="1:6">
      <c r="A94" s="49" t="str">
        <f>HYPERLINK("https://ictv.global/id/ICTV201907326","ICTV201907326")</f>
        <v>ICTV201907326</v>
      </c>
      <c r="B94" s="48" t="s">
        <v>11201</v>
      </c>
      <c r="C94" s="48" t="s">
        <v>11213</v>
      </c>
      <c r="D94" s="48" t="s">
        <v>22948</v>
      </c>
      <c r="E94" s="44" t="s">
        <v>22949</v>
      </c>
      <c r="F94" s="49" t="str">
        <f t="shared" ref="F94:F102" si="2">HYPERLINK("https://ictv.global/ictv/proposals/2025.005D.Parvoviridae_1absf_4nsf_39ns.zip","2025.005D.Parvoviridae_1absf_4nsf_39ns.zip")</f>
        <v>2025.005D.Parvoviridae_1absf_4nsf_39ns.zip</v>
      </c>
    </row>
    <row r="95" spans="1:6">
      <c r="A95" s="49" t="str">
        <f>HYPERLINK("https://ictv.global/id/ICTV201907328","ICTV201907328")</f>
        <v>ICTV201907328</v>
      </c>
      <c r="B95" s="48" t="s">
        <v>11201</v>
      </c>
      <c r="C95" s="48" t="s">
        <v>11213</v>
      </c>
      <c r="D95" s="48" t="s">
        <v>22944</v>
      </c>
      <c r="E95" s="44" t="s">
        <v>22945</v>
      </c>
      <c r="F95" s="49" t="str">
        <f t="shared" si="2"/>
        <v>2025.005D.Parvoviridae_1absf_4nsf_39ns.zip</v>
      </c>
    </row>
    <row r="96" spans="1:6">
      <c r="A96" s="49" t="str">
        <f>HYPERLINK("https://ictv.global/id/ICTV201907329","ICTV201907329")</f>
        <v>ICTV201907329</v>
      </c>
      <c r="B96" s="48" t="s">
        <v>11201</v>
      </c>
      <c r="C96" s="48" t="s">
        <v>11213</v>
      </c>
      <c r="D96" s="48" t="s">
        <v>22938</v>
      </c>
      <c r="E96" s="44" t="s">
        <v>22939</v>
      </c>
      <c r="F96" s="49" t="str">
        <f t="shared" si="2"/>
        <v>2025.005D.Parvoviridae_1absf_4nsf_39ns.zip</v>
      </c>
    </row>
    <row r="97" spans="1:6">
      <c r="A97" s="49" t="str">
        <f>HYPERLINK("https://ictv.global/id/ICTV201907330","ICTV201907330")</f>
        <v>ICTV201907330</v>
      </c>
      <c r="B97" s="48" t="s">
        <v>11201</v>
      </c>
      <c r="C97" s="48" t="s">
        <v>11213</v>
      </c>
      <c r="D97" s="48" t="s">
        <v>22940</v>
      </c>
      <c r="E97" s="44" t="s">
        <v>22941</v>
      </c>
      <c r="F97" s="49" t="str">
        <f t="shared" si="2"/>
        <v>2025.005D.Parvoviridae_1absf_4nsf_39ns.zip</v>
      </c>
    </row>
    <row r="98" spans="1:6">
      <c r="A98" s="49" t="str">
        <f>HYPERLINK("https://ictv.global/id/ICTV201907331","ICTV201907331")</f>
        <v>ICTV201907331</v>
      </c>
      <c r="B98" s="48" t="s">
        <v>11201</v>
      </c>
      <c r="C98" s="48" t="s">
        <v>11213</v>
      </c>
      <c r="D98" s="48" t="s">
        <v>22888</v>
      </c>
      <c r="E98" s="44" t="s">
        <v>22889</v>
      </c>
      <c r="F98" s="49" t="str">
        <f t="shared" si="2"/>
        <v>2025.005D.Parvoviridae_1absf_4nsf_39ns.zip</v>
      </c>
    </row>
    <row r="99" spans="1:6">
      <c r="A99" s="49" t="str">
        <f>HYPERLINK("https://ictv.global/id/ICTV201907332","ICTV201907332")</f>
        <v>ICTV201907332</v>
      </c>
      <c r="B99" s="48" t="s">
        <v>11201</v>
      </c>
      <c r="C99" s="48" t="s">
        <v>11213</v>
      </c>
      <c r="D99" s="48" t="s">
        <v>22894</v>
      </c>
      <c r="E99" s="44" t="s">
        <v>22895</v>
      </c>
      <c r="F99" s="49" t="str">
        <f t="shared" si="2"/>
        <v>2025.005D.Parvoviridae_1absf_4nsf_39ns.zip</v>
      </c>
    </row>
    <row r="100" spans="1:6">
      <c r="A100" s="49" t="str">
        <f>HYPERLINK("https://ictv.global/id/ICTV201907333","ICTV201907333")</f>
        <v>ICTV201907333</v>
      </c>
      <c r="B100" s="48" t="s">
        <v>11201</v>
      </c>
      <c r="C100" s="48" t="s">
        <v>11213</v>
      </c>
      <c r="D100" s="48" t="s">
        <v>22904</v>
      </c>
      <c r="E100" s="44" t="s">
        <v>22905</v>
      </c>
      <c r="F100" s="49" t="str">
        <f t="shared" si="2"/>
        <v>2025.005D.Parvoviridae_1absf_4nsf_39ns.zip</v>
      </c>
    </row>
    <row r="101" spans="1:6">
      <c r="A101" s="49" t="str">
        <f>HYPERLINK("https://ictv.global/id/ICTV201907334","ICTV201907334")</f>
        <v>ICTV201907334</v>
      </c>
      <c r="B101" s="48" t="s">
        <v>11201</v>
      </c>
      <c r="C101" s="48" t="s">
        <v>11213</v>
      </c>
      <c r="D101" s="48" t="s">
        <v>22906</v>
      </c>
      <c r="E101" s="44" t="s">
        <v>22907</v>
      </c>
      <c r="F101" s="49" t="str">
        <f t="shared" si="2"/>
        <v>2025.005D.Parvoviridae_1absf_4nsf_39ns.zip</v>
      </c>
    </row>
    <row r="102" spans="1:6">
      <c r="A102" s="49" t="str">
        <f>HYPERLINK("https://ictv.global/id/ICTV201907335","ICTV201907335")</f>
        <v>ICTV201907335</v>
      </c>
      <c r="B102" s="48" t="s">
        <v>11201</v>
      </c>
      <c r="C102" s="48" t="s">
        <v>11213</v>
      </c>
      <c r="D102" s="48" t="s">
        <v>22908</v>
      </c>
      <c r="E102" s="44" t="s">
        <v>22909</v>
      </c>
      <c r="F102" s="49" t="str">
        <f t="shared" si="2"/>
        <v>2025.005D.Parvoviridae_1absf_4nsf_39ns.zip</v>
      </c>
    </row>
    <row r="103" spans="1:6">
      <c r="A103" s="49" t="str">
        <f>HYPERLINK("https://ictv.global/id/ICTV201908685","ICTV201908685")</f>
        <v>ICTV201908685</v>
      </c>
      <c r="B103" s="48" t="s">
        <v>11201</v>
      </c>
      <c r="C103" s="48" t="s">
        <v>20735</v>
      </c>
      <c r="D103" s="48" t="s">
        <v>23068</v>
      </c>
      <c r="E103" s="44" t="s">
        <v>23069</v>
      </c>
      <c r="F103" s="49" t="str">
        <f>HYPERLINK("https://ictv.global/ictv/proposals/2025.006F.Polymycoviridae_3ngen_18nsp.zip","2025.006F.Polymycoviridae_3ngen_18nsp.zip")</f>
        <v>2025.006F.Polymycoviridae_3ngen_18nsp.zip</v>
      </c>
    </row>
    <row r="104" spans="1:6">
      <c r="A104" s="49" t="str">
        <f>HYPERLINK("https://ictv.global/id/ICTV201908686","ICTV201908686")</f>
        <v>ICTV201908686</v>
      </c>
      <c r="B104" s="48" t="s">
        <v>11201</v>
      </c>
      <c r="C104" s="48" t="s">
        <v>20735</v>
      </c>
      <c r="D104" s="48" t="s">
        <v>23066</v>
      </c>
      <c r="E104" s="44" t="s">
        <v>23067</v>
      </c>
      <c r="F104" s="49" t="str">
        <f>HYPERLINK("https://ictv.global/ictv/proposals/2025.006F.Polymycoviridae_3ngen_18nsp.zip","2025.006F.Polymycoviridae_3ngen_18nsp.zip")</f>
        <v>2025.006F.Polymycoviridae_3ngen_18nsp.zip</v>
      </c>
    </row>
    <row r="105" spans="1:6">
      <c r="A105" s="49" t="str">
        <f>HYPERLINK("https://ictv.global/id/ICTV201908688","ICTV201908688")</f>
        <v>ICTV201908688</v>
      </c>
      <c r="B105" s="48" t="s">
        <v>11201</v>
      </c>
      <c r="C105" s="48" t="s">
        <v>20735</v>
      </c>
      <c r="D105" s="48" t="s">
        <v>23070</v>
      </c>
      <c r="E105" s="44" t="s">
        <v>23071</v>
      </c>
      <c r="F105" s="49" t="str">
        <f>HYPERLINK("https://ictv.global/ictv/proposals/2025.006F.Polymycoviridae_3ngen_18nsp.zip","2025.006F.Polymycoviridae_3ngen_18nsp.zip")</f>
        <v>2025.006F.Polymycoviridae_3ngen_18nsp.zip</v>
      </c>
    </row>
    <row r="106" spans="1:6">
      <c r="A106" s="49" t="str">
        <f>HYPERLINK("https://ictv.global/id/ICTV201908692","ICTV201908692")</f>
        <v>ICTV201908692</v>
      </c>
      <c r="B106" s="48" t="s">
        <v>11201</v>
      </c>
      <c r="C106" s="48" t="s">
        <v>20735</v>
      </c>
      <c r="D106" s="48" t="s">
        <v>23072</v>
      </c>
      <c r="E106" s="44" t="s">
        <v>23073</v>
      </c>
      <c r="F106" s="49" t="str">
        <f>HYPERLINK("https://ictv.global/ictv/proposals/2025.006F.Polymycoviridae_3ngen_18nsp.zip","2025.006F.Polymycoviridae_3ngen_18nsp.zip")</f>
        <v>2025.006F.Polymycoviridae_3ngen_18nsp.zip</v>
      </c>
    </row>
    <row r="107" spans="1:6">
      <c r="A107" s="49" t="str">
        <f>HYPERLINK("https://ictv.global/id/ICTV201908694","ICTV201908694")</f>
        <v>ICTV201908694</v>
      </c>
      <c r="B107" s="48" t="s">
        <v>11201</v>
      </c>
      <c r="C107" s="48" t="s">
        <v>20735</v>
      </c>
      <c r="D107" s="48" t="s">
        <v>23074</v>
      </c>
      <c r="E107" s="44" t="s">
        <v>23075</v>
      </c>
      <c r="F107" s="49" t="str">
        <f>HYPERLINK("https://ictv.global/ictv/proposals/2025.006F.Polymycoviridae_3ngen_18nsp.zip","2025.006F.Polymycoviridae_3ngen_18nsp.zip")</f>
        <v>2025.006F.Polymycoviridae_3ngen_18nsp.zip</v>
      </c>
    </row>
    <row r="108" spans="1:6">
      <c r="A108" s="49" t="str">
        <f>HYPERLINK("https://ictv.global/id/ICTV201908701","ICTV201908701")</f>
        <v>ICTV201908701</v>
      </c>
      <c r="B108" s="48" t="s">
        <v>11201</v>
      </c>
      <c r="C108" s="48" t="s">
        <v>11213</v>
      </c>
      <c r="D108" s="48" t="s">
        <v>22856</v>
      </c>
      <c r="E108" s="44" t="s">
        <v>22857</v>
      </c>
      <c r="F108" s="49" t="str">
        <f>HYPERLINK("https://ictv.global/ictv/proposals/2025.066B.Rename_taxa.zip","2025.066B.Rename_taxa.zip")</f>
        <v>2025.066B.Rename_taxa.zip</v>
      </c>
    </row>
    <row r="109" spans="1:6">
      <c r="A109" s="49" t="str">
        <f>HYPERLINK("https://ictv.global/id/ICTV202009186","ICTV202009186")</f>
        <v>ICTV202009186</v>
      </c>
      <c r="B109" s="48" t="s">
        <v>11201</v>
      </c>
      <c r="C109" s="48" t="s">
        <v>20735</v>
      </c>
      <c r="D109" s="48" t="s">
        <v>23060</v>
      </c>
      <c r="E109" s="44" t="s">
        <v>23061</v>
      </c>
      <c r="F109" s="49" t="str">
        <f>HYPERLINK("https://ictv.global/ictv/proposals/2025.001M.Alpharhabdovirinae_2ng_14nsp.zip","2025.001M.Alpharhabdovirinae_2ng_14nsp.zip")</f>
        <v>2025.001M.Alpharhabdovirinae_2ng_14nsp.zip</v>
      </c>
    </row>
    <row r="110" spans="1:6">
      <c r="A110" s="49" t="str">
        <f>HYPERLINK("https://ictv.global/id/ICTV202009271","ICTV202009271")</f>
        <v>ICTV202009271</v>
      </c>
      <c r="B110" s="48" t="s">
        <v>11201</v>
      </c>
      <c r="C110" s="48" t="s">
        <v>11213</v>
      </c>
      <c r="D110" s="48" t="s">
        <v>22890</v>
      </c>
      <c r="E110" s="44" t="s">
        <v>22891</v>
      </c>
      <c r="F110" s="49" t="str">
        <f t="shared" ref="F110:F117" si="3">HYPERLINK("https://ictv.global/ictv/proposals/2025.005D.Parvoviridae_1absf_4nsf_39ns.zip","2025.005D.Parvoviridae_1absf_4nsf_39ns.zip")</f>
        <v>2025.005D.Parvoviridae_1absf_4nsf_39ns.zip</v>
      </c>
    </row>
    <row r="111" spans="1:6">
      <c r="A111" s="49" t="str">
        <f>HYPERLINK("https://ictv.global/id/ICTV202009272","ICTV202009272")</f>
        <v>ICTV202009272</v>
      </c>
      <c r="B111" s="48" t="s">
        <v>11201</v>
      </c>
      <c r="C111" s="48" t="s">
        <v>11213</v>
      </c>
      <c r="D111" s="48" t="s">
        <v>22898</v>
      </c>
      <c r="E111" s="44" t="s">
        <v>22899</v>
      </c>
      <c r="F111" s="49" t="str">
        <f t="shared" si="3"/>
        <v>2025.005D.Parvoviridae_1absf_4nsf_39ns.zip</v>
      </c>
    </row>
    <row r="112" spans="1:6">
      <c r="A112" s="49" t="str">
        <f>HYPERLINK("https://ictv.global/id/ICTV202009273","ICTV202009273")</f>
        <v>ICTV202009273</v>
      </c>
      <c r="B112" s="48" t="s">
        <v>11201</v>
      </c>
      <c r="C112" s="48" t="s">
        <v>11213</v>
      </c>
      <c r="D112" s="48" t="s">
        <v>22900</v>
      </c>
      <c r="E112" s="44" t="s">
        <v>22901</v>
      </c>
      <c r="F112" s="49" t="str">
        <f t="shared" si="3"/>
        <v>2025.005D.Parvoviridae_1absf_4nsf_39ns.zip</v>
      </c>
    </row>
    <row r="113" spans="1:6">
      <c r="A113" s="49" t="str">
        <f>HYPERLINK("https://ictv.global/id/ICTV202009274","ICTV202009274")</f>
        <v>ICTV202009274</v>
      </c>
      <c r="B113" s="48" t="s">
        <v>11201</v>
      </c>
      <c r="C113" s="48" t="s">
        <v>11213</v>
      </c>
      <c r="D113" s="48" t="s">
        <v>22902</v>
      </c>
      <c r="E113" s="44" t="s">
        <v>22903</v>
      </c>
      <c r="F113" s="49" t="str">
        <f t="shared" si="3"/>
        <v>2025.005D.Parvoviridae_1absf_4nsf_39ns.zip</v>
      </c>
    </row>
    <row r="114" spans="1:6">
      <c r="A114" s="49" t="str">
        <f>HYPERLINK("https://ictv.global/id/ICTV202009275","ICTV202009275")</f>
        <v>ICTV202009275</v>
      </c>
      <c r="B114" s="48" t="s">
        <v>11201</v>
      </c>
      <c r="C114" s="48" t="s">
        <v>11213</v>
      </c>
      <c r="D114" s="48" t="s">
        <v>22910</v>
      </c>
      <c r="E114" s="44" t="s">
        <v>22911</v>
      </c>
      <c r="F114" s="49" t="str">
        <f t="shared" si="3"/>
        <v>2025.005D.Parvoviridae_1absf_4nsf_39ns.zip</v>
      </c>
    </row>
    <row r="115" spans="1:6">
      <c r="A115" s="49" t="str">
        <f>HYPERLINK("https://ictv.global/id/ICTV202009276","ICTV202009276")</f>
        <v>ICTV202009276</v>
      </c>
      <c r="B115" s="48" t="s">
        <v>11201</v>
      </c>
      <c r="C115" s="48" t="s">
        <v>11213</v>
      </c>
      <c r="D115" s="48" t="s">
        <v>22912</v>
      </c>
      <c r="E115" s="44" t="s">
        <v>22913</v>
      </c>
      <c r="F115" s="49" t="str">
        <f t="shared" si="3"/>
        <v>2025.005D.Parvoviridae_1absf_4nsf_39ns.zip</v>
      </c>
    </row>
    <row r="116" spans="1:6">
      <c r="A116" s="49" t="str">
        <f>HYPERLINK("https://ictv.global/id/ICTV202009277","ICTV202009277")</f>
        <v>ICTV202009277</v>
      </c>
      <c r="B116" s="48" t="s">
        <v>11201</v>
      </c>
      <c r="C116" s="48" t="s">
        <v>11213</v>
      </c>
      <c r="D116" s="48" t="s">
        <v>22930</v>
      </c>
      <c r="E116" s="44" t="s">
        <v>22931</v>
      </c>
      <c r="F116" s="49" t="str">
        <f t="shared" si="3"/>
        <v>2025.005D.Parvoviridae_1absf_4nsf_39ns.zip</v>
      </c>
    </row>
    <row r="117" spans="1:6">
      <c r="A117" s="49" t="str">
        <f>HYPERLINK("https://ictv.global/id/ICTV202009278","ICTV202009278")</f>
        <v>ICTV202009278</v>
      </c>
      <c r="B117" s="48" t="s">
        <v>11201</v>
      </c>
      <c r="C117" s="48" t="s">
        <v>11213</v>
      </c>
      <c r="D117" s="48" t="s">
        <v>22934</v>
      </c>
      <c r="E117" s="44" t="s">
        <v>22935</v>
      </c>
      <c r="F117" s="49" t="str">
        <f t="shared" si="3"/>
        <v>2025.005D.Parvoviridae_1absf_4nsf_39ns.zip</v>
      </c>
    </row>
    <row r="118" spans="1:6">
      <c r="A118" s="49" t="str">
        <f>HYPERLINK("https://ictv.global/id/ICTV202011579","ICTV202011579")</f>
        <v>ICTV202011579</v>
      </c>
      <c r="B118" s="48" t="s">
        <v>11201</v>
      </c>
      <c r="C118" s="48" t="s">
        <v>11211</v>
      </c>
      <c r="D118" s="48" t="s">
        <v>22774</v>
      </c>
      <c r="F118" s="49" t="str">
        <f>HYPERLINK("https://ictv.global/ictv/proposals/2025.025B.Caudoviricetes_10ns_1rms.zip","2025.025B.Caudoviricetes_10ns_1rms.zip")</f>
        <v>2025.025B.Caudoviricetes_10ns_1rms.zip</v>
      </c>
    </row>
    <row r="119" spans="1:6">
      <c r="A119" s="49" t="str">
        <f>HYPERLINK("https://ictv.global/id/ICTV202113115","ICTV202113115")</f>
        <v>ICTV202113115</v>
      </c>
      <c r="B119" s="48" t="s">
        <v>11201</v>
      </c>
      <c r="C119" s="48" t="s">
        <v>20735</v>
      </c>
      <c r="D119" s="48" t="s">
        <v>22802</v>
      </c>
      <c r="E119" s="44" t="s">
        <v>22803</v>
      </c>
      <c r="F119" s="49" t="str">
        <f>HYPERLINK("https://ictv.global/ictv/proposals/2025.013B.Crassvirales_reorganisation.zip","2025.013B.Crassvirales_reorganisation.zip")</f>
        <v>2025.013B.Crassvirales_reorganisation.zip</v>
      </c>
    </row>
    <row r="120" spans="1:6">
      <c r="A120" s="49" t="str">
        <f>HYPERLINK("https://ictv.global/id/ICTV202113323","ICTV202113323")</f>
        <v>ICTV202113323</v>
      </c>
      <c r="B120" s="48" t="s">
        <v>11201</v>
      </c>
      <c r="C120" s="48" t="s">
        <v>20735</v>
      </c>
      <c r="D120" s="48" t="s">
        <v>23058</v>
      </c>
      <c r="E120" s="44" t="s">
        <v>23059</v>
      </c>
      <c r="F120" s="49" t="str">
        <f>HYPERLINK("https://ictv.global/ictv/proposals/2025.001M.Alpharhabdovirinae_2ng_14nsp.zip","2025.001M.Alpharhabdovirinae_2ng_14nsp.zip")</f>
        <v>2025.001M.Alpharhabdovirinae_2ng_14nsp.zip</v>
      </c>
    </row>
    <row r="121" spans="1:6">
      <c r="A121" s="49" t="str">
        <f>HYPERLINK("https://ictv.global/id/ICTV202113324","ICTV202113324")</f>
        <v>ICTV202113324</v>
      </c>
      <c r="B121" s="48" t="s">
        <v>11201</v>
      </c>
      <c r="C121" s="48" t="s">
        <v>20735</v>
      </c>
      <c r="D121" s="48" t="s">
        <v>23064</v>
      </c>
      <c r="E121" s="44" t="s">
        <v>23065</v>
      </c>
      <c r="F121" s="49" t="str">
        <f>HYPERLINK("https://ictv.global/ictv/proposals/2025.001M.Alpharhabdovirinae_2ng_14nsp.zip","2025.001M.Alpharhabdovirinae_2ng_14nsp.zip")</f>
        <v>2025.001M.Alpharhabdovirinae_2ng_14nsp.zip</v>
      </c>
    </row>
    <row r="122" spans="1:6">
      <c r="A122" s="49" t="str">
        <f>HYPERLINK("https://ictv.global/id/ICTV202113431","ICTV202113431")</f>
        <v>ICTV202113431</v>
      </c>
      <c r="B122" s="48" t="s">
        <v>11201</v>
      </c>
      <c r="C122" s="48" t="s">
        <v>20735</v>
      </c>
      <c r="D122" s="48" t="s">
        <v>23106</v>
      </c>
      <c r="E122" s="44" t="s">
        <v>23107</v>
      </c>
      <c r="F122" s="49" t="str">
        <f>HYPERLINK("https://ictv.global/ictv/proposals/2025.002D.Nudiviridae_2ng_17ns_1mvsp.zip","2025.002D.Nudiviridae_2ng_17ns_1mvsp.zip")</f>
        <v>2025.002D.Nudiviridae_2ng_17ns_1mvsp.zip</v>
      </c>
    </row>
    <row r="123" spans="1:6">
      <c r="A123" s="49" t="str">
        <f>HYPERLINK("https://ictv.global/id/ICTV202113434","ICTV202113434")</f>
        <v>ICTV202113434</v>
      </c>
      <c r="B123" s="48" t="s">
        <v>11201</v>
      </c>
      <c r="C123" s="48" t="s">
        <v>20735</v>
      </c>
      <c r="D123" s="48" t="s">
        <v>22828</v>
      </c>
      <c r="E123" s="44" t="s">
        <v>22829</v>
      </c>
      <c r="F123" s="49" t="str">
        <f t="shared" ref="F123:F143" si="4">HYPERLINK("https://ictv.global/ictv/proposals/2025.013B.Crassvirales_reorganisation.zip","2025.013B.Crassvirales_reorganisation.zip")</f>
        <v>2025.013B.Crassvirales_reorganisation.zip</v>
      </c>
    </row>
    <row r="124" spans="1:6">
      <c r="A124" s="49" t="str">
        <f>HYPERLINK("https://ictv.global/id/ICTV202113436","ICTV202113436")</f>
        <v>ICTV202113436</v>
      </c>
      <c r="B124" s="48" t="s">
        <v>11201</v>
      </c>
      <c r="C124" s="48" t="s">
        <v>20735</v>
      </c>
      <c r="D124" s="48" t="s">
        <v>22824</v>
      </c>
      <c r="E124" s="44" t="s">
        <v>22825</v>
      </c>
      <c r="F124" s="49" t="str">
        <f t="shared" si="4"/>
        <v>2025.013B.Crassvirales_reorganisation.zip</v>
      </c>
    </row>
    <row r="125" spans="1:6">
      <c r="A125" s="49" t="str">
        <f>HYPERLINK("https://ictv.global/id/ICTV202113438","ICTV202113438")</f>
        <v>ICTV202113438</v>
      </c>
      <c r="B125" s="48" t="s">
        <v>11201</v>
      </c>
      <c r="C125" s="48" t="s">
        <v>20735</v>
      </c>
      <c r="D125" s="48" t="s">
        <v>22808</v>
      </c>
      <c r="E125" s="44" t="s">
        <v>22809</v>
      </c>
      <c r="F125" s="49" t="str">
        <f t="shared" si="4"/>
        <v>2025.013B.Crassvirales_reorganisation.zip</v>
      </c>
    </row>
    <row r="126" spans="1:6">
      <c r="A126" s="49" t="str">
        <f>HYPERLINK("https://ictv.global/id/ICTV202113441","ICTV202113441")</f>
        <v>ICTV202113441</v>
      </c>
      <c r="B126" s="48" t="s">
        <v>11201</v>
      </c>
      <c r="C126" s="48" t="s">
        <v>20735</v>
      </c>
      <c r="D126" s="48" t="s">
        <v>22826</v>
      </c>
      <c r="E126" s="44" t="s">
        <v>22827</v>
      </c>
      <c r="F126" s="49" t="str">
        <f t="shared" si="4"/>
        <v>2025.013B.Crassvirales_reorganisation.zip</v>
      </c>
    </row>
    <row r="127" spans="1:6">
      <c r="A127" s="49" t="str">
        <f>HYPERLINK("https://ictv.global/id/ICTV202113444","ICTV202113444")</f>
        <v>ICTV202113444</v>
      </c>
      <c r="B127" s="48" t="s">
        <v>11201</v>
      </c>
      <c r="C127" s="48" t="s">
        <v>20735</v>
      </c>
      <c r="D127" s="48" t="s">
        <v>22804</v>
      </c>
      <c r="E127" s="44" t="s">
        <v>22805</v>
      </c>
      <c r="F127" s="49" t="str">
        <f t="shared" si="4"/>
        <v>2025.013B.Crassvirales_reorganisation.zip</v>
      </c>
    </row>
    <row r="128" spans="1:6">
      <c r="A128" s="49" t="str">
        <f>HYPERLINK("https://ictv.global/id/ICTV202113445","ICTV202113445")</f>
        <v>ICTV202113445</v>
      </c>
      <c r="B128" s="48" t="s">
        <v>11201</v>
      </c>
      <c r="C128" s="48" t="s">
        <v>20735</v>
      </c>
      <c r="D128" s="48" t="s">
        <v>22812</v>
      </c>
      <c r="E128" s="44" t="s">
        <v>22813</v>
      </c>
      <c r="F128" s="49" t="str">
        <f t="shared" si="4"/>
        <v>2025.013B.Crassvirales_reorganisation.zip</v>
      </c>
    </row>
    <row r="129" spans="1:6">
      <c r="A129" s="49" t="str">
        <f>HYPERLINK("https://ictv.global/id/ICTV202113446","ICTV202113446")</f>
        <v>ICTV202113446</v>
      </c>
      <c r="B129" s="48" t="s">
        <v>11201</v>
      </c>
      <c r="C129" s="48" t="s">
        <v>20735</v>
      </c>
      <c r="D129" s="48" t="s">
        <v>22810</v>
      </c>
      <c r="E129" s="44" t="s">
        <v>22811</v>
      </c>
      <c r="F129" s="49" t="str">
        <f t="shared" si="4"/>
        <v>2025.013B.Crassvirales_reorganisation.zip</v>
      </c>
    </row>
    <row r="130" spans="1:6">
      <c r="A130" s="49" t="str">
        <f>HYPERLINK("https://ictv.global/id/ICTV202113447","ICTV202113447")</f>
        <v>ICTV202113447</v>
      </c>
      <c r="B130" s="48" t="s">
        <v>11201</v>
      </c>
      <c r="C130" s="48" t="s">
        <v>20735</v>
      </c>
      <c r="D130" s="48" t="s">
        <v>22814</v>
      </c>
      <c r="E130" s="44" t="s">
        <v>22815</v>
      </c>
      <c r="F130" s="49" t="str">
        <f t="shared" si="4"/>
        <v>2025.013B.Crassvirales_reorganisation.zip</v>
      </c>
    </row>
    <row r="131" spans="1:6">
      <c r="A131" s="49" t="str">
        <f>HYPERLINK("https://ictv.global/id/ICTV202113448","ICTV202113448")</f>
        <v>ICTV202113448</v>
      </c>
      <c r="B131" s="48" t="s">
        <v>11201</v>
      </c>
      <c r="C131" s="48" t="s">
        <v>20735</v>
      </c>
      <c r="D131" s="48" t="s">
        <v>22806</v>
      </c>
      <c r="E131" s="44" t="s">
        <v>22807</v>
      </c>
      <c r="F131" s="49" t="str">
        <f t="shared" si="4"/>
        <v>2025.013B.Crassvirales_reorganisation.zip</v>
      </c>
    </row>
    <row r="132" spans="1:6">
      <c r="A132" s="49" t="str">
        <f>HYPERLINK("https://ictv.global/id/ICTV202113449","ICTV202113449")</f>
        <v>ICTV202113449</v>
      </c>
      <c r="B132" s="48" t="s">
        <v>11201</v>
      </c>
      <c r="C132" s="48" t="s">
        <v>20735</v>
      </c>
      <c r="D132" s="48" t="s">
        <v>22816</v>
      </c>
      <c r="E132" s="44" t="s">
        <v>22817</v>
      </c>
      <c r="F132" s="49" t="str">
        <f t="shared" si="4"/>
        <v>2025.013B.Crassvirales_reorganisation.zip</v>
      </c>
    </row>
    <row r="133" spans="1:6">
      <c r="A133" s="49" t="str">
        <f>HYPERLINK("https://ictv.global/id/ICTV202113450","ICTV202113450")</f>
        <v>ICTV202113450</v>
      </c>
      <c r="B133" s="48" t="s">
        <v>11201</v>
      </c>
      <c r="C133" s="48" t="s">
        <v>20735</v>
      </c>
      <c r="D133" s="48" t="s">
        <v>22822</v>
      </c>
      <c r="E133" s="44" t="s">
        <v>22823</v>
      </c>
      <c r="F133" s="49" t="str">
        <f t="shared" si="4"/>
        <v>2025.013B.Crassvirales_reorganisation.zip</v>
      </c>
    </row>
    <row r="134" spans="1:6">
      <c r="A134" s="49" t="str">
        <f>HYPERLINK("https://ictv.global/id/ICTV202113451","ICTV202113451")</f>
        <v>ICTV202113451</v>
      </c>
      <c r="B134" s="48" t="s">
        <v>11201</v>
      </c>
      <c r="C134" s="48" t="s">
        <v>20735</v>
      </c>
      <c r="D134" s="48" t="s">
        <v>22790</v>
      </c>
      <c r="E134" s="44" t="s">
        <v>22791</v>
      </c>
      <c r="F134" s="49" t="str">
        <f t="shared" si="4"/>
        <v>2025.013B.Crassvirales_reorganisation.zip</v>
      </c>
    </row>
    <row r="135" spans="1:6">
      <c r="A135" s="49" t="str">
        <f>HYPERLINK("https://ictv.global/id/ICTV202113454","ICTV202113454")</f>
        <v>ICTV202113454</v>
      </c>
      <c r="B135" s="48" t="s">
        <v>11201</v>
      </c>
      <c r="C135" s="48" t="s">
        <v>20735</v>
      </c>
      <c r="D135" s="48" t="s">
        <v>22794</v>
      </c>
      <c r="E135" s="44" t="s">
        <v>22795</v>
      </c>
      <c r="F135" s="49" t="str">
        <f t="shared" si="4"/>
        <v>2025.013B.Crassvirales_reorganisation.zip</v>
      </c>
    </row>
    <row r="136" spans="1:6">
      <c r="A136" s="49" t="str">
        <f>HYPERLINK("https://ictv.global/id/ICTV202113456","ICTV202113456")</f>
        <v>ICTV202113456</v>
      </c>
      <c r="B136" s="48" t="s">
        <v>11201</v>
      </c>
      <c r="C136" s="48" t="s">
        <v>20735</v>
      </c>
      <c r="D136" s="48" t="s">
        <v>22792</v>
      </c>
      <c r="E136" s="44" t="s">
        <v>22793</v>
      </c>
      <c r="F136" s="49" t="str">
        <f t="shared" si="4"/>
        <v>2025.013B.Crassvirales_reorganisation.zip</v>
      </c>
    </row>
    <row r="137" spans="1:6">
      <c r="A137" s="49" t="str">
        <f>HYPERLINK("https://ictv.global/id/ICTV202113458","ICTV202113458")</f>
        <v>ICTV202113458</v>
      </c>
      <c r="B137" s="48" t="s">
        <v>11201</v>
      </c>
      <c r="C137" s="48" t="s">
        <v>20735</v>
      </c>
      <c r="D137" s="48" t="s">
        <v>22830</v>
      </c>
      <c r="E137" s="44" t="s">
        <v>22831</v>
      </c>
      <c r="F137" s="49" t="str">
        <f t="shared" si="4"/>
        <v>2025.013B.Crassvirales_reorganisation.zip</v>
      </c>
    </row>
    <row r="138" spans="1:6">
      <c r="A138" s="49" t="str">
        <f>HYPERLINK("https://ictv.global/id/ICTV202113466","ICTV202113466")</f>
        <v>ICTV202113466</v>
      </c>
      <c r="B138" s="48" t="s">
        <v>11201</v>
      </c>
      <c r="C138" s="48" t="s">
        <v>20735</v>
      </c>
      <c r="D138" s="48" t="s">
        <v>22818</v>
      </c>
      <c r="E138" s="44" t="s">
        <v>22819</v>
      </c>
      <c r="F138" s="49" t="str">
        <f t="shared" si="4"/>
        <v>2025.013B.Crassvirales_reorganisation.zip</v>
      </c>
    </row>
    <row r="139" spans="1:6">
      <c r="A139" s="49" t="str">
        <f>HYPERLINK("https://ictv.global/id/ICTV202113467","ICTV202113467")</f>
        <v>ICTV202113467</v>
      </c>
      <c r="B139" s="48" t="s">
        <v>11201</v>
      </c>
      <c r="C139" s="48" t="s">
        <v>20735</v>
      </c>
      <c r="D139" s="48" t="s">
        <v>22820</v>
      </c>
      <c r="E139" s="44" t="s">
        <v>22821</v>
      </c>
      <c r="F139" s="49" t="str">
        <f t="shared" si="4"/>
        <v>2025.013B.Crassvirales_reorganisation.zip</v>
      </c>
    </row>
    <row r="140" spans="1:6">
      <c r="A140" s="49" t="str">
        <f>HYPERLINK("https://ictv.global/id/ICTV202113479","ICTV202113479")</f>
        <v>ICTV202113479</v>
      </c>
      <c r="B140" s="48" t="s">
        <v>11201</v>
      </c>
      <c r="C140" s="48" t="s">
        <v>20735</v>
      </c>
      <c r="D140" s="48" t="s">
        <v>22796</v>
      </c>
      <c r="E140" s="44" t="s">
        <v>22797</v>
      </c>
      <c r="F140" s="49" t="str">
        <f t="shared" si="4"/>
        <v>2025.013B.Crassvirales_reorganisation.zip</v>
      </c>
    </row>
    <row r="141" spans="1:6">
      <c r="A141" s="49" t="str">
        <f>HYPERLINK("https://ictv.global/id/ICTV202113484","ICTV202113484")</f>
        <v>ICTV202113484</v>
      </c>
      <c r="B141" s="48" t="s">
        <v>11201</v>
      </c>
      <c r="C141" s="48" t="s">
        <v>20735</v>
      </c>
      <c r="D141" s="48" t="s">
        <v>22788</v>
      </c>
      <c r="E141" s="44" t="s">
        <v>22789</v>
      </c>
      <c r="F141" s="49" t="str">
        <f t="shared" si="4"/>
        <v>2025.013B.Crassvirales_reorganisation.zip</v>
      </c>
    </row>
    <row r="142" spans="1:6">
      <c r="A142" s="49" t="str">
        <f>HYPERLINK("https://ictv.global/id/ICTV202113486","ICTV202113486")</f>
        <v>ICTV202113486</v>
      </c>
      <c r="B142" s="48" t="s">
        <v>11201</v>
      </c>
      <c r="C142" s="48" t="s">
        <v>20735</v>
      </c>
      <c r="D142" s="48" t="s">
        <v>22798</v>
      </c>
      <c r="E142" s="44" t="s">
        <v>22799</v>
      </c>
      <c r="F142" s="49" t="str">
        <f t="shared" si="4"/>
        <v>2025.013B.Crassvirales_reorganisation.zip</v>
      </c>
    </row>
    <row r="143" spans="1:6">
      <c r="A143" s="49" t="str">
        <f>HYPERLINK("https://ictv.global/id/ICTV202113488","ICTV202113488")</f>
        <v>ICTV202113488</v>
      </c>
      <c r="B143" s="48" t="s">
        <v>11201</v>
      </c>
      <c r="C143" s="48" t="s">
        <v>20735</v>
      </c>
      <c r="D143" s="48" t="s">
        <v>22800</v>
      </c>
      <c r="E143" s="44" t="s">
        <v>22801</v>
      </c>
      <c r="F143" s="49" t="str">
        <f t="shared" si="4"/>
        <v>2025.013B.Crassvirales_reorganisation.zip</v>
      </c>
    </row>
    <row r="144" spans="1:6">
      <c r="A144" s="49" t="str">
        <f>HYPERLINK("https://ictv.global/id/ICTV202214004","ICTV202214004")</f>
        <v>ICTV202214004</v>
      </c>
      <c r="B144" s="48" t="s">
        <v>11201</v>
      </c>
      <c r="C144" s="48" t="s">
        <v>11213</v>
      </c>
      <c r="D144" s="48" t="s">
        <v>23034</v>
      </c>
      <c r="E144" s="44" t="s">
        <v>23035</v>
      </c>
      <c r="F144" s="49" t="str">
        <f t="shared" ref="F144:F151" si="5">HYPERLINK("https://ictv.global/ictv/proposals/2025.006S.Amarillovirales_3reorgfam.zip;2025.005S.Pestivirus_8spren.zip","2025.006S.Amarillovirales_3reorgfam.zip;2025.005S.Pestivirus_8spren.zip")</f>
        <v>2025.006S.Amarillovirales_3reorgfam.zip;2025.005S.Pestivirus_8spren.zip</v>
      </c>
    </row>
    <row r="145" spans="1:6">
      <c r="A145" s="49" t="str">
        <f>HYPERLINK("https://ictv.global/id/ICTV202214005","ICTV202214005")</f>
        <v>ICTV202214005</v>
      </c>
      <c r="B145" s="48" t="s">
        <v>11201</v>
      </c>
      <c r="C145" s="48" t="s">
        <v>11213</v>
      </c>
      <c r="D145" s="48" t="s">
        <v>23026</v>
      </c>
      <c r="E145" s="44" t="s">
        <v>23027</v>
      </c>
      <c r="F145" s="49" t="str">
        <f t="shared" si="5"/>
        <v>2025.006S.Amarillovirales_3reorgfam.zip;2025.005S.Pestivirus_8spren.zip</v>
      </c>
    </row>
    <row r="146" spans="1:6">
      <c r="A146" s="49" t="str">
        <f>HYPERLINK("https://ictv.global/id/ICTV202214006","ICTV202214006")</f>
        <v>ICTV202214006</v>
      </c>
      <c r="B146" s="48" t="s">
        <v>11201</v>
      </c>
      <c r="C146" s="48" t="s">
        <v>11213</v>
      </c>
      <c r="D146" s="48" t="s">
        <v>23016</v>
      </c>
      <c r="E146" s="44" t="s">
        <v>23017</v>
      </c>
      <c r="F146" s="49" t="str">
        <f t="shared" si="5"/>
        <v>2025.006S.Amarillovirales_3reorgfam.zip;2025.005S.Pestivirus_8spren.zip</v>
      </c>
    </row>
    <row r="147" spans="1:6">
      <c r="A147" s="49" t="str">
        <f>HYPERLINK("https://ictv.global/id/ICTV202214007","ICTV202214007")</f>
        <v>ICTV202214007</v>
      </c>
      <c r="B147" s="48" t="s">
        <v>11201</v>
      </c>
      <c r="C147" s="48" t="s">
        <v>11213</v>
      </c>
      <c r="D147" s="48" t="s">
        <v>23002</v>
      </c>
      <c r="E147" s="44" t="s">
        <v>23003</v>
      </c>
      <c r="F147" s="49" t="str">
        <f t="shared" si="5"/>
        <v>2025.006S.Amarillovirales_3reorgfam.zip;2025.005S.Pestivirus_8spren.zip</v>
      </c>
    </row>
    <row r="148" spans="1:6">
      <c r="A148" s="49" t="str">
        <f>HYPERLINK("https://ictv.global/id/ICTV202214008","ICTV202214008")</f>
        <v>ICTV202214008</v>
      </c>
      <c r="B148" s="48" t="s">
        <v>11201</v>
      </c>
      <c r="C148" s="48" t="s">
        <v>11213</v>
      </c>
      <c r="D148" s="48" t="s">
        <v>23020</v>
      </c>
      <c r="E148" s="44" t="s">
        <v>23021</v>
      </c>
      <c r="F148" s="49" t="str">
        <f t="shared" si="5"/>
        <v>2025.006S.Amarillovirales_3reorgfam.zip;2025.005S.Pestivirus_8spren.zip</v>
      </c>
    </row>
    <row r="149" spans="1:6">
      <c r="A149" s="49" t="str">
        <f>HYPERLINK("https://ictv.global/id/ICTV202214009","ICTV202214009")</f>
        <v>ICTV202214009</v>
      </c>
      <c r="B149" s="48" t="s">
        <v>11201</v>
      </c>
      <c r="C149" s="48" t="s">
        <v>11213</v>
      </c>
      <c r="D149" s="48" t="s">
        <v>23022</v>
      </c>
      <c r="E149" s="44" t="s">
        <v>23023</v>
      </c>
      <c r="F149" s="49" t="str">
        <f t="shared" si="5"/>
        <v>2025.006S.Amarillovirales_3reorgfam.zip;2025.005S.Pestivirus_8spren.zip</v>
      </c>
    </row>
    <row r="150" spans="1:6">
      <c r="A150" s="49" t="str">
        <f>HYPERLINK("https://ictv.global/id/ICTV202214010","ICTV202214010")</f>
        <v>ICTV202214010</v>
      </c>
      <c r="B150" s="48" t="s">
        <v>11201</v>
      </c>
      <c r="C150" s="48" t="s">
        <v>11213</v>
      </c>
      <c r="D150" s="48" t="s">
        <v>23006</v>
      </c>
      <c r="E150" s="44" t="s">
        <v>23007</v>
      </c>
      <c r="F150" s="49" t="str">
        <f t="shared" si="5"/>
        <v>2025.006S.Amarillovirales_3reorgfam.zip;2025.005S.Pestivirus_8spren.zip</v>
      </c>
    </row>
    <row r="151" spans="1:6">
      <c r="A151" s="49" t="str">
        <f>HYPERLINK("https://ictv.global/id/ICTV202214011","ICTV202214011")</f>
        <v>ICTV202214011</v>
      </c>
      <c r="B151" s="48" t="s">
        <v>11201</v>
      </c>
      <c r="C151" s="48" t="s">
        <v>11213</v>
      </c>
      <c r="D151" s="48" t="s">
        <v>23030</v>
      </c>
      <c r="E151" s="44" t="s">
        <v>23031</v>
      </c>
      <c r="F151" s="49" t="str">
        <f t="shared" si="5"/>
        <v>2025.006S.Amarillovirales_3reorgfam.zip;2025.005S.Pestivirus_8spren.zip</v>
      </c>
    </row>
    <row r="152" spans="1:6">
      <c r="A152" s="49" t="str">
        <f>HYPERLINK("https://ictv.global/id/ICTV202214061","ICTV202214061")</f>
        <v>ICTV202214061</v>
      </c>
      <c r="B152" s="48" t="s">
        <v>11201</v>
      </c>
      <c r="C152" s="48" t="s">
        <v>11213</v>
      </c>
      <c r="D152" s="48" t="s">
        <v>22956</v>
      </c>
      <c r="E152" s="44" t="s">
        <v>22957</v>
      </c>
      <c r="F152" s="49" t="str">
        <f t="shared" ref="F152:F168" si="6">HYPERLINK("https://ictv.global/ictv/proposals/2025.005D.Parvoviridae_1absf_4nsf_39ns.zip","2025.005D.Parvoviridae_1absf_4nsf_39ns.zip")</f>
        <v>2025.005D.Parvoviridae_1absf_4nsf_39ns.zip</v>
      </c>
    </row>
    <row r="153" spans="1:6">
      <c r="A153" s="49" t="str">
        <f>HYPERLINK("https://ictv.global/id/ICTV202214062","ICTV202214062")</f>
        <v>ICTV202214062</v>
      </c>
      <c r="B153" s="48" t="s">
        <v>11201</v>
      </c>
      <c r="C153" s="48" t="s">
        <v>11213</v>
      </c>
      <c r="D153" s="48" t="s">
        <v>22926</v>
      </c>
      <c r="E153" s="44" t="s">
        <v>22927</v>
      </c>
      <c r="F153" s="49" t="str">
        <f t="shared" si="6"/>
        <v>2025.005D.Parvoviridae_1absf_4nsf_39ns.zip</v>
      </c>
    </row>
    <row r="154" spans="1:6">
      <c r="A154" s="49" t="str">
        <f>HYPERLINK("https://ictv.global/id/ICTV202214063","ICTV202214063")</f>
        <v>ICTV202214063</v>
      </c>
      <c r="B154" s="48" t="s">
        <v>11201</v>
      </c>
      <c r="C154" s="48" t="s">
        <v>11213</v>
      </c>
      <c r="D154" s="48" t="s">
        <v>22932</v>
      </c>
      <c r="E154" s="44" t="s">
        <v>22933</v>
      </c>
      <c r="F154" s="49" t="str">
        <f t="shared" si="6"/>
        <v>2025.005D.Parvoviridae_1absf_4nsf_39ns.zip</v>
      </c>
    </row>
    <row r="155" spans="1:6">
      <c r="A155" s="49" t="str">
        <f>HYPERLINK("https://ictv.global/id/ICTV202214064","ICTV202214064")</f>
        <v>ICTV202214064</v>
      </c>
      <c r="B155" s="48" t="s">
        <v>11201</v>
      </c>
      <c r="C155" s="48" t="s">
        <v>11213</v>
      </c>
      <c r="D155" s="48" t="s">
        <v>22892</v>
      </c>
      <c r="E155" s="44" t="s">
        <v>22893</v>
      </c>
      <c r="F155" s="49" t="str">
        <f t="shared" si="6"/>
        <v>2025.005D.Parvoviridae_1absf_4nsf_39ns.zip</v>
      </c>
    </row>
    <row r="156" spans="1:6">
      <c r="A156" s="49" t="str">
        <f>HYPERLINK("https://ictv.global/id/ICTV202214065","ICTV202214065")</f>
        <v>ICTV202214065</v>
      </c>
      <c r="B156" s="48" t="s">
        <v>11201</v>
      </c>
      <c r="C156" s="48" t="s">
        <v>11213</v>
      </c>
      <c r="D156" s="48" t="s">
        <v>22878</v>
      </c>
      <c r="E156" s="44" t="s">
        <v>22879</v>
      </c>
      <c r="F156" s="49" t="str">
        <f t="shared" si="6"/>
        <v>2025.005D.Parvoviridae_1absf_4nsf_39ns.zip</v>
      </c>
    </row>
    <row r="157" spans="1:6">
      <c r="A157" s="49" t="str">
        <f>HYPERLINK("https://ictv.global/id/ICTV202214066","ICTV202214066")</f>
        <v>ICTV202214066</v>
      </c>
      <c r="B157" s="48" t="s">
        <v>11201</v>
      </c>
      <c r="C157" s="48" t="s">
        <v>11213</v>
      </c>
      <c r="D157" s="48" t="s">
        <v>22880</v>
      </c>
      <c r="E157" s="44" t="s">
        <v>22881</v>
      </c>
      <c r="F157" s="49" t="str">
        <f t="shared" si="6"/>
        <v>2025.005D.Parvoviridae_1absf_4nsf_39ns.zip</v>
      </c>
    </row>
    <row r="158" spans="1:6">
      <c r="A158" s="49" t="str">
        <f>HYPERLINK("https://ictv.global/id/ICTV202214067","ICTV202214067")</f>
        <v>ICTV202214067</v>
      </c>
      <c r="B158" s="48" t="s">
        <v>11201</v>
      </c>
      <c r="C158" s="48" t="s">
        <v>11213</v>
      </c>
      <c r="D158" s="48" t="s">
        <v>22876</v>
      </c>
      <c r="E158" s="44" t="s">
        <v>22877</v>
      </c>
      <c r="F158" s="49" t="str">
        <f t="shared" si="6"/>
        <v>2025.005D.Parvoviridae_1absf_4nsf_39ns.zip</v>
      </c>
    </row>
    <row r="159" spans="1:6">
      <c r="A159" s="49" t="str">
        <f>HYPERLINK("https://ictv.global/id/ICTV202214068","ICTV202214068")</f>
        <v>ICTV202214068</v>
      </c>
      <c r="B159" s="48" t="s">
        <v>11201</v>
      </c>
      <c r="C159" s="48" t="s">
        <v>11213</v>
      </c>
      <c r="D159" s="48" t="s">
        <v>22874</v>
      </c>
      <c r="E159" s="44" t="s">
        <v>22875</v>
      </c>
      <c r="F159" s="49" t="str">
        <f t="shared" si="6"/>
        <v>2025.005D.Parvoviridae_1absf_4nsf_39ns.zip</v>
      </c>
    </row>
    <row r="160" spans="1:6">
      <c r="A160" s="49" t="str">
        <f>HYPERLINK("https://ictv.global/id/ICTV202214069","ICTV202214069")</f>
        <v>ICTV202214069</v>
      </c>
      <c r="B160" s="48" t="s">
        <v>11201</v>
      </c>
      <c r="C160" s="48" t="s">
        <v>11213</v>
      </c>
      <c r="D160" s="48" t="s">
        <v>22882</v>
      </c>
      <c r="E160" s="44" t="s">
        <v>22883</v>
      </c>
      <c r="F160" s="49" t="str">
        <f t="shared" si="6"/>
        <v>2025.005D.Parvoviridae_1absf_4nsf_39ns.zip</v>
      </c>
    </row>
    <row r="161" spans="1:6">
      <c r="A161" s="49" t="str">
        <f>HYPERLINK("https://ictv.global/id/ICTV202214070","ICTV202214070")</f>
        <v>ICTV202214070</v>
      </c>
      <c r="B161" s="48" t="s">
        <v>11201</v>
      </c>
      <c r="C161" s="48" t="s">
        <v>11213</v>
      </c>
      <c r="D161" s="48" t="s">
        <v>22884</v>
      </c>
      <c r="E161" s="44" t="s">
        <v>22885</v>
      </c>
      <c r="F161" s="49" t="str">
        <f t="shared" si="6"/>
        <v>2025.005D.Parvoviridae_1absf_4nsf_39ns.zip</v>
      </c>
    </row>
    <row r="162" spans="1:6">
      <c r="A162" s="49" t="str">
        <f>HYPERLINK("https://ictv.global/id/ICTV202214071","ICTV202214071")</f>
        <v>ICTV202214071</v>
      </c>
      <c r="B162" s="48" t="s">
        <v>11201</v>
      </c>
      <c r="C162" s="48" t="s">
        <v>11213</v>
      </c>
      <c r="D162" s="48" t="s">
        <v>22918</v>
      </c>
      <c r="E162" s="44" t="s">
        <v>22919</v>
      </c>
      <c r="F162" s="49" t="str">
        <f t="shared" si="6"/>
        <v>2025.005D.Parvoviridae_1absf_4nsf_39ns.zip</v>
      </c>
    </row>
    <row r="163" spans="1:6">
      <c r="A163" s="49" t="str">
        <f>HYPERLINK("https://ictv.global/id/ICTV202214072","ICTV202214072")</f>
        <v>ICTV202214072</v>
      </c>
      <c r="B163" s="48" t="s">
        <v>11201</v>
      </c>
      <c r="C163" s="48" t="s">
        <v>11213</v>
      </c>
      <c r="D163" s="48" t="s">
        <v>22920</v>
      </c>
      <c r="E163" s="44" t="s">
        <v>22921</v>
      </c>
      <c r="F163" s="49" t="str">
        <f t="shared" si="6"/>
        <v>2025.005D.Parvoviridae_1absf_4nsf_39ns.zip</v>
      </c>
    </row>
    <row r="164" spans="1:6">
      <c r="A164" s="49" t="str">
        <f>HYPERLINK("https://ictv.global/id/ICTV202214073","ICTV202214073")</f>
        <v>ICTV202214073</v>
      </c>
      <c r="B164" s="48" t="s">
        <v>11201</v>
      </c>
      <c r="C164" s="48" t="s">
        <v>11213</v>
      </c>
      <c r="D164" s="48" t="s">
        <v>22922</v>
      </c>
      <c r="E164" s="44" t="s">
        <v>22923</v>
      </c>
      <c r="F164" s="49" t="str">
        <f t="shared" si="6"/>
        <v>2025.005D.Parvoviridae_1absf_4nsf_39ns.zip</v>
      </c>
    </row>
    <row r="165" spans="1:6">
      <c r="A165" s="49" t="str">
        <f>HYPERLINK("https://ictv.global/id/ICTV202214074","ICTV202214074")</f>
        <v>ICTV202214074</v>
      </c>
      <c r="B165" s="48" t="s">
        <v>11201</v>
      </c>
      <c r="C165" s="48" t="s">
        <v>11213</v>
      </c>
      <c r="D165" s="48" t="s">
        <v>22924</v>
      </c>
      <c r="E165" s="44" t="s">
        <v>22925</v>
      </c>
      <c r="F165" s="49" t="str">
        <f t="shared" si="6"/>
        <v>2025.005D.Parvoviridae_1absf_4nsf_39ns.zip</v>
      </c>
    </row>
    <row r="166" spans="1:6">
      <c r="A166" s="49" t="str">
        <f>HYPERLINK("https://ictv.global/id/ICTV202214075","ICTV202214075")</f>
        <v>ICTV202214075</v>
      </c>
      <c r="B166" s="48" t="s">
        <v>11201</v>
      </c>
      <c r="C166" s="48" t="s">
        <v>11213</v>
      </c>
      <c r="D166" s="48" t="s">
        <v>22942</v>
      </c>
      <c r="E166" s="44" t="s">
        <v>22943</v>
      </c>
      <c r="F166" s="49" t="str">
        <f t="shared" si="6"/>
        <v>2025.005D.Parvoviridae_1absf_4nsf_39ns.zip</v>
      </c>
    </row>
    <row r="167" spans="1:6">
      <c r="A167" s="49" t="str">
        <f>HYPERLINK("https://ictv.global/id/ICTV202214076","ICTV202214076")</f>
        <v>ICTV202214076</v>
      </c>
      <c r="B167" s="48" t="s">
        <v>11201</v>
      </c>
      <c r="C167" s="48" t="s">
        <v>11213</v>
      </c>
      <c r="D167" s="48" t="s">
        <v>22936</v>
      </c>
      <c r="E167" s="44" t="s">
        <v>22937</v>
      </c>
      <c r="F167" s="49" t="str">
        <f t="shared" si="6"/>
        <v>2025.005D.Parvoviridae_1absf_4nsf_39ns.zip</v>
      </c>
    </row>
    <row r="168" spans="1:6">
      <c r="A168" s="49" t="str">
        <f>HYPERLINK("https://ictv.global/id/ICTV202214077","ICTV202214077")</f>
        <v>ICTV202214077</v>
      </c>
      <c r="B168" s="48" t="s">
        <v>11201</v>
      </c>
      <c r="C168" s="48" t="s">
        <v>11213</v>
      </c>
      <c r="D168" s="48" t="s">
        <v>22886</v>
      </c>
      <c r="E168" s="44" t="s">
        <v>22887</v>
      </c>
      <c r="F168" s="49" t="str">
        <f t="shared" si="6"/>
        <v>2025.005D.Parvoviridae_1absf_4nsf_39ns.zip</v>
      </c>
    </row>
    <row r="169" spans="1:6">
      <c r="A169" s="49" t="str">
        <f>HYPERLINK("https://ictv.global/id/ICTV202214264","ICTV202214264")</f>
        <v>ICTV202214264</v>
      </c>
      <c r="B169" s="48" t="s">
        <v>11201</v>
      </c>
      <c r="C169" s="48" t="s">
        <v>11211</v>
      </c>
      <c r="D169" s="48" t="s">
        <v>22781</v>
      </c>
      <c r="F169" s="49" t="str">
        <f>HYPERLINK("https://ictv.global/ictv/proposals/2025.008M.Phenuiviridae_62nsp+1asp.zip","2025.008M.Phenuiviridae_62nsp+1asp.zip")</f>
        <v>2025.008M.Phenuiviridae_62nsp+1asp.zip</v>
      </c>
    </row>
    <row r="170" spans="1:6">
      <c r="A170" s="49" t="str">
        <f>HYPERLINK("https://ictv.global/id/ICTV202214275","ICTV202214275")</f>
        <v>ICTV202214275</v>
      </c>
      <c r="B170" s="48" t="s">
        <v>11201</v>
      </c>
      <c r="C170" s="48" t="s">
        <v>20735</v>
      </c>
      <c r="D170" s="48" t="s">
        <v>23062</v>
      </c>
      <c r="E170" s="44" t="s">
        <v>23063</v>
      </c>
      <c r="F170" s="49" t="str">
        <f>HYPERLINK("https://ictv.global/ictv/proposals/2025.001M.Alpharhabdovirinae_2ng_14nsp.zip","2025.001M.Alpharhabdovirinae_2ng_14nsp.zip")</f>
        <v>2025.001M.Alpharhabdovirinae_2ng_14nsp.zip</v>
      </c>
    </row>
    <row r="171" spans="1:6">
      <c r="A171" s="49" t="str">
        <f>HYPERLINK("https://ictv.global/id/ICTV202317838","ICTV202317838")</f>
        <v>ICTV202317838</v>
      </c>
      <c r="B171" s="48" t="s">
        <v>11201</v>
      </c>
      <c r="C171" s="48" t="s">
        <v>11213</v>
      </c>
      <c r="D171" s="48" t="s">
        <v>22914</v>
      </c>
      <c r="E171" s="44" t="s">
        <v>22915</v>
      </c>
      <c r="F171" s="49" t="str">
        <f>HYPERLINK("https://ictv.global/ictv/proposals/2025.005D.Parvoviridae_1absf_4nsf_39ns.zip","2025.005D.Parvoviridae_1absf_4nsf_39ns.zip")</f>
        <v>2025.005D.Parvoviridae_1absf_4nsf_39ns.zip</v>
      </c>
    </row>
    <row r="172" spans="1:6">
      <c r="A172" s="49" t="str">
        <f>HYPERLINK("https://ictv.global/id/ICTV202317839","ICTV202317839")</f>
        <v>ICTV202317839</v>
      </c>
      <c r="B172" s="48" t="s">
        <v>11201</v>
      </c>
      <c r="C172" s="48" t="s">
        <v>11213</v>
      </c>
      <c r="D172" s="48" t="s">
        <v>22916</v>
      </c>
      <c r="E172" s="44" t="s">
        <v>22917</v>
      </c>
      <c r="F172" s="49" t="str">
        <f>HYPERLINK("https://ictv.global/ictv/proposals/2025.005D.Parvoviridae_1absf_4nsf_39ns.zip","2025.005D.Parvoviridae_1absf_4nsf_39ns.zip")</f>
        <v>2025.005D.Parvoviridae_1absf_4nsf_39ns.zip</v>
      </c>
    </row>
    <row r="173" spans="1:6">
      <c r="A173" s="49" t="str">
        <f>HYPERLINK("https://ictv.global/id/ICTV202317840","ICTV202317840")</f>
        <v>ICTV202317840</v>
      </c>
      <c r="B173" s="48" t="s">
        <v>11201</v>
      </c>
      <c r="C173" s="48" t="s">
        <v>11213</v>
      </c>
      <c r="D173" s="48" t="s">
        <v>22928</v>
      </c>
      <c r="E173" s="44" t="s">
        <v>22929</v>
      </c>
      <c r="F173" s="49" t="str">
        <f>HYPERLINK("https://ictv.global/ictv/proposals/2025.005D.Parvoviridae_1absf_4nsf_39ns.zip","2025.005D.Parvoviridae_1absf_4nsf_39ns.zip")</f>
        <v>2025.005D.Parvoviridae_1absf_4nsf_39ns.zip</v>
      </c>
    </row>
    <row r="174" spans="1:6">
      <c r="A174" s="49" t="str">
        <f>HYPERLINK("https://ictv.global/id/ICTV202317841","ICTV202317841")</f>
        <v>ICTV202317841</v>
      </c>
      <c r="B174" s="48" t="s">
        <v>11201</v>
      </c>
      <c r="C174" s="48" t="s">
        <v>11213</v>
      </c>
      <c r="D174" s="48" t="s">
        <v>22896</v>
      </c>
      <c r="E174" s="44" t="s">
        <v>22897</v>
      </c>
      <c r="F174" s="49" t="str">
        <f>HYPERLINK("https://ictv.global/ictv/proposals/2025.005D.Parvoviridae_1absf_4nsf_39ns.zip","2025.005D.Parvoviridae_1absf_4nsf_39ns.zip")</f>
        <v>2025.005D.Parvoviridae_1absf_4nsf_39ns.zip</v>
      </c>
    </row>
    <row r="175" spans="1:6">
      <c r="A175" s="49" t="str">
        <f>HYPERLINK("https://ictv.global/id/ICTV202317842","ICTV202317842")</f>
        <v>ICTV202317842</v>
      </c>
      <c r="B175" s="48" t="s">
        <v>11201</v>
      </c>
      <c r="C175" s="48" t="s">
        <v>11213</v>
      </c>
      <c r="D175" s="48" t="s">
        <v>22964</v>
      </c>
      <c r="E175" s="44" t="s">
        <v>22965</v>
      </c>
      <c r="F175" s="49" t="str">
        <f>HYPERLINK("https://ictv.global/ictv/proposals/2025.005D.Parvoviridae_1absf_4nsf_39ns.zip","2025.005D.Parvoviridae_1absf_4nsf_39ns.zip")</f>
        <v>2025.005D.Parvoviridae_1absf_4nsf_39ns.zip</v>
      </c>
    </row>
    <row r="176" spans="1:6">
      <c r="A176" s="49" t="str">
        <f>HYPERLINK("https://ictv.global/id/ICTV202317926","ICTV202317926")</f>
        <v>ICTV202317926</v>
      </c>
      <c r="B176" s="48" t="s">
        <v>11201</v>
      </c>
      <c r="C176" s="48" t="s">
        <v>20735</v>
      </c>
      <c r="D176" s="48" t="s">
        <v>23044</v>
      </c>
      <c r="E176" s="44" t="s">
        <v>23045</v>
      </c>
      <c r="F176" s="49" t="str">
        <f>HYPERLINK("https://ictv.global/ictv/proposals/2025.001P.Aspiviridae_Ophiovirus_splitgen_1ng_14nsp.zip","2025.001P.Aspiviridae_Ophiovirus_splitgen_1ng_14nsp.zip")</f>
        <v>2025.001P.Aspiviridae_Ophiovirus_splitgen_1ng_14nsp.zip</v>
      </c>
    </row>
    <row r="177" spans="1:6">
      <c r="A177" s="49" t="str">
        <f>HYPERLINK("https://ictv.global/id/ICTV202318025","ICTV202318025")</f>
        <v>ICTV202318025</v>
      </c>
      <c r="B177" s="48" t="s">
        <v>11201</v>
      </c>
      <c r="C177" s="48" t="s">
        <v>11213</v>
      </c>
      <c r="D177" s="48" t="s">
        <v>23084</v>
      </c>
      <c r="E177" s="44" t="s">
        <v>23085</v>
      </c>
      <c r="F177" s="49" t="str">
        <f>HYPERLINK("https://ictv.global/ictv/proposals/2025.003F.Alphapithovirus_spren.zip","2025.003F.Alphapithovirus_spren.zip")</f>
        <v>2025.003F.Alphapithovirus_spren.zip</v>
      </c>
    </row>
    <row r="178" spans="1:6">
      <c r="B178" s="48"/>
      <c r="D178" s="48"/>
    </row>
    <row r="179" spans="1:6">
      <c r="B179" s="48"/>
      <c r="D179" s="48"/>
    </row>
    <row r="180" spans="1:6">
      <c r="B180" s="48"/>
      <c r="D180" s="48"/>
    </row>
    <row r="181" spans="1:6">
      <c r="B181" s="48"/>
      <c r="D181" s="48"/>
    </row>
    <row r="182" spans="1:6">
      <c r="B182" s="48"/>
      <c r="D182" s="48"/>
    </row>
    <row r="183" spans="1:6">
      <c r="B183" s="48"/>
      <c r="D183" s="48"/>
    </row>
    <row r="184" spans="1:6">
      <c r="B184" s="48"/>
      <c r="D184" s="48"/>
    </row>
    <row r="185" spans="1:6">
      <c r="B185" s="48"/>
      <c r="D185" s="48"/>
    </row>
    <row r="186" spans="1:6">
      <c r="B186" s="48"/>
      <c r="D186" s="48"/>
    </row>
    <row r="187" spans="1:6">
      <c r="B187" s="48"/>
      <c r="D187" s="48"/>
    </row>
    <row r="188" spans="1:6">
      <c r="B188" s="48"/>
      <c r="D188" s="48"/>
    </row>
    <row r="189" spans="1:6">
      <c r="B189" s="48"/>
      <c r="D189" s="48"/>
    </row>
    <row r="190" spans="1:6">
      <c r="B190" s="48"/>
      <c r="D190" s="48"/>
    </row>
    <row r="191" spans="1:6">
      <c r="B191" s="48"/>
      <c r="D191" s="48"/>
    </row>
    <row r="192" spans="1:6">
      <c r="B192" s="48"/>
      <c r="D192" s="48"/>
    </row>
    <row r="193" spans="2:4">
      <c r="B193" s="48"/>
      <c r="D193" s="48"/>
    </row>
    <row r="194" spans="2:4">
      <c r="B194" s="48"/>
      <c r="D194" s="48"/>
    </row>
    <row r="195" spans="2:4">
      <c r="B195" s="48"/>
      <c r="D195" s="48"/>
    </row>
    <row r="196" spans="2:4">
      <c r="B196" s="48"/>
      <c r="D196" s="48"/>
    </row>
    <row r="197" spans="2:4">
      <c r="B197" s="48"/>
      <c r="D197" s="48"/>
    </row>
    <row r="198" spans="2:4">
      <c r="B198" s="48"/>
      <c r="D198" s="48"/>
    </row>
    <row r="199" spans="2:4">
      <c r="B199" s="48"/>
      <c r="D199" s="48"/>
    </row>
    <row r="200" spans="2:4">
      <c r="B200" s="48"/>
      <c r="D200" s="48"/>
    </row>
    <row r="201" spans="2:4">
      <c r="B201" s="48"/>
      <c r="D201" s="48"/>
    </row>
    <row r="202" spans="2:4">
      <c r="B202" s="48"/>
      <c r="D202" s="48"/>
    </row>
    <row r="203" spans="2:4">
      <c r="B203" s="48"/>
      <c r="D203" s="48"/>
    </row>
    <row r="204" spans="2:4">
      <c r="B204" s="48"/>
      <c r="D204" s="48"/>
    </row>
    <row r="205" spans="2:4">
      <c r="B205" s="48"/>
      <c r="D205" s="48"/>
    </row>
    <row r="206" spans="2:4">
      <c r="B206" s="48"/>
      <c r="D206" s="48"/>
    </row>
    <row r="207" spans="2:4">
      <c r="B207" s="48"/>
      <c r="D207" s="48"/>
    </row>
    <row r="208" spans="2:4">
      <c r="B208" s="48"/>
      <c r="D208" s="48"/>
    </row>
    <row r="209" spans="2:4">
      <c r="B209" s="48"/>
      <c r="D209" s="48"/>
    </row>
    <row r="210" spans="2:4">
      <c r="B210" s="48"/>
      <c r="D210" s="48"/>
    </row>
    <row r="211" spans="2:4">
      <c r="B211" s="48"/>
      <c r="D211" s="48"/>
    </row>
    <row r="212" spans="2:4">
      <c r="B212" s="48"/>
      <c r="D212" s="48"/>
    </row>
    <row r="213" spans="2:4">
      <c r="B213" s="48"/>
      <c r="D213" s="48"/>
    </row>
    <row r="214" spans="2:4">
      <c r="B214" s="48"/>
      <c r="D214" s="48"/>
    </row>
    <row r="215" spans="2:4">
      <c r="B215" s="48"/>
      <c r="D215" s="48"/>
    </row>
    <row r="216" spans="2:4">
      <c r="B216" s="48"/>
      <c r="D216" s="48"/>
    </row>
    <row r="217" spans="2:4">
      <c r="B217" s="48"/>
      <c r="D217" s="48"/>
    </row>
    <row r="218" spans="2:4">
      <c r="B218" s="48"/>
      <c r="D218" s="48"/>
    </row>
    <row r="219" spans="2:4">
      <c r="B219" s="48"/>
      <c r="D219" s="48"/>
    </row>
    <row r="220" spans="2:4">
      <c r="B220" s="48"/>
      <c r="D220" s="48"/>
    </row>
    <row r="221" spans="2:4">
      <c r="B221" s="48"/>
      <c r="D221" s="48"/>
    </row>
    <row r="222" spans="2:4">
      <c r="B222" s="48"/>
      <c r="D222" s="48"/>
    </row>
    <row r="223" spans="2:4">
      <c r="B223" s="48"/>
      <c r="D223" s="48"/>
    </row>
    <row r="224" spans="2:4">
      <c r="B224" s="48"/>
      <c r="D224" s="48"/>
    </row>
    <row r="225" spans="2:4">
      <c r="B225" s="48"/>
      <c r="D225" s="48"/>
    </row>
    <row r="226" spans="2:4">
      <c r="B226" s="48"/>
      <c r="D226" s="48"/>
    </row>
    <row r="227" spans="2:4">
      <c r="B227" s="48"/>
      <c r="D227" s="48"/>
    </row>
    <row r="228" spans="2:4">
      <c r="B228" s="48"/>
      <c r="D228" s="48"/>
    </row>
    <row r="229" spans="2:4">
      <c r="B229" s="48"/>
      <c r="D229" s="48"/>
    </row>
    <row r="230" spans="2:4">
      <c r="B230" s="48"/>
      <c r="D230" s="48"/>
    </row>
    <row r="231" spans="2:4">
      <c r="B231" s="48"/>
      <c r="D231" s="48"/>
    </row>
    <row r="232" spans="2:4">
      <c r="B232" s="48"/>
      <c r="D232" s="48"/>
    </row>
    <row r="233" spans="2:4">
      <c r="B233" s="48"/>
      <c r="D233" s="48"/>
    </row>
    <row r="234" spans="2:4">
      <c r="B234" s="48"/>
      <c r="D234" s="48"/>
    </row>
    <row r="235" spans="2:4">
      <c r="B235" s="48"/>
      <c r="D235" s="48"/>
    </row>
    <row r="236" spans="2:4">
      <c r="B236" s="48"/>
      <c r="D236" s="48"/>
    </row>
    <row r="237" spans="2:4">
      <c r="B237" s="48"/>
      <c r="D237" s="48"/>
    </row>
    <row r="238" spans="2:4">
      <c r="B238" s="48"/>
      <c r="D238" s="48"/>
    </row>
    <row r="239" spans="2:4">
      <c r="B239" s="48"/>
      <c r="D239" s="48"/>
    </row>
    <row r="240" spans="2:4">
      <c r="B240" s="48"/>
      <c r="D240" s="48"/>
    </row>
    <row r="241" spans="2:4">
      <c r="B241" s="48"/>
      <c r="D241" s="48"/>
    </row>
    <row r="242" spans="2:4">
      <c r="B242" s="48"/>
      <c r="D242" s="48"/>
    </row>
    <row r="243" spans="2:4">
      <c r="B243" s="48"/>
      <c r="D243" s="48"/>
    </row>
    <row r="244" spans="2:4">
      <c r="B244" s="48"/>
      <c r="D244" s="48"/>
    </row>
    <row r="245" spans="2:4">
      <c r="B245" s="48"/>
      <c r="D245" s="48"/>
    </row>
    <row r="246" spans="2:4">
      <c r="B246" s="48"/>
      <c r="D246" s="48"/>
    </row>
    <row r="247" spans="2:4">
      <c r="B247" s="48"/>
      <c r="D247" s="48"/>
    </row>
    <row r="248" spans="2:4">
      <c r="B248" s="48"/>
      <c r="D248" s="48"/>
    </row>
    <row r="249" spans="2:4">
      <c r="B249" s="48"/>
      <c r="D249" s="48"/>
    </row>
    <row r="250" spans="2:4">
      <c r="B250" s="48"/>
      <c r="D250" s="48"/>
    </row>
    <row r="251" spans="2:4">
      <c r="B251" s="48"/>
      <c r="D251" s="48"/>
    </row>
    <row r="252" spans="2:4">
      <c r="B252" s="48"/>
      <c r="D252" s="48"/>
    </row>
    <row r="253" spans="2:4">
      <c r="B253" s="48"/>
      <c r="D253" s="48"/>
    </row>
    <row r="254" spans="2:4">
      <c r="B254" s="48"/>
      <c r="D254" s="48"/>
    </row>
    <row r="255" spans="2:4">
      <c r="B255" s="48"/>
      <c r="D255" s="48"/>
    </row>
    <row r="256" spans="2:4">
      <c r="B256" s="48"/>
      <c r="D256" s="48"/>
    </row>
    <row r="257" spans="2:4">
      <c r="B257" s="48"/>
      <c r="D257" s="48"/>
    </row>
    <row r="258" spans="2:4">
      <c r="B258" s="48"/>
      <c r="D258" s="48"/>
    </row>
    <row r="259" spans="2:4">
      <c r="B259" s="48"/>
      <c r="D259" s="48"/>
    </row>
    <row r="260" spans="2:4">
      <c r="B260" s="48"/>
      <c r="D260" s="48"/>
    </row>
    <row r="261" spans="2:4">
      <c r="B261" s="48"/>
      <c r="D261" s="48"/>
    </row>
    <row r="262" spans="2:4">
      <c r="B262" s="48"/>
      <c r="D262" s="48"/>
    </row>
    <row r="263" spans="2:4">
      <c r="B263" s="48"/>
      <c r="D263" s="48"/>
    </row>
    <row r="264" spans="2:4">
      <c r="B264" s="48"/>
      <c r="D264" s="48"/>
    </row>
    <row r="265" spans="2:4">
      <c r="B265" s="48"/>
      <c r="D265" s="48"/>
    </row>
    <row r="266" spans="2:4">
      <c r="B266" s="48"/>
      <c r="D266" s="48"/>
    </row>
    <row r="267" spans="2:4">
      <c r="B267" s="48"/>
      <c r="D267" s="48"/>
    </row>
    <row r="268" spans="2:4">
      <c r="B268" s="48"/>
      <c r="D268" s="48"/>
    </row>
    <row r="269" spans="2:4">
      <c r="B269" s="48"/>
      <c r="D269" s="48"/>
    </row>
    <row r="270" spans="2:4">
      <c r="B270" s="48"/>
      <c r="D270" s="48"/>
    </row>
    <row r="271" spans="2:4">
      <c r="B271" s="48"/>
      <c r="D271" s="48"/>
    </row>
    <row r="272" spans="2:4">
      <c r="B272" s="48"/>
      <c r="D272" s="48"/>
    </row>
    <row r="273" spans="2:4">
      <c r="B273" s="48"/>
      <c r="D273" s="48"/>
    </row>
    <row r="274" spans="2:4">
      <c r="B274" s="48"/>
      <c r="D274" s="48"/>
    </row>
    <row r="275" spans="2:4">
      <c r="B275" s="48"/>
      <c r="D275" s="48"/>
    </row>
    <row r="276" spans="2:4">
      <c r="B276" s="48"/>
      <c r="D276" s="48"/>
    </row>
    <row r="277" spans="2:4">
      <c r="B277" s="48"/>
      <c r="D277" s="48"/>
    </row>
    <row r="278" spans="2:4">
      <c r="B278" s="48"/>
      <c r="D278" s="48"/>
    </row>
    <row r="279" spans="2:4">
      <c r="B279" s="48"/>
      <c r="D279" s="48"/>
    </row>
    <row r="280" spans="2:4">
      <c r="B280" s="48"/>
      <c r="D280" s="48"/>
    </row>
    <row r="281" spans="2:4">
      <c r="B281" s="48"/>
      <c r="D281" s="48"/>
    </row>
    <row r="282" spans="2:4">
      <c r="B282" s="48"/>
      <c r="D282" s="48"/>
    </row>
    <row r="283" spans="2:4">
      <c r="B283" s="48"/>
      <c r="D283" s="48"/>
    </row>
    <row r="284" spans="2:4">
      <c r="B284" s="48"/>
      <c r="D284" s="48"/>
    </row>
    <row r="285" spans="2:4">
      <c r="B285" s="48"/>
      <c r="D285" s="48"/>
    </row>
    <row r="286" spans="2:4">
      <c r="B286" s="48"/>
      <c r="D286" s="48"/>
    </row>
    <row r="287" spans="2:4">
      <c r="B287" s="48"/>
      <c r="D287" s="48"/>
    </row>
    <row r="288" spans="2:4">
      <c r="B288" s="48"/>
      <c r="D288" s="48"/>
    </row>
    <row r="289" spans="2:4">
      <c r="B289" s="48"/>
      <c r="D289" s="48"/>
    </row>
    <row r="290" spans="2:4">
      <c r="B290" s="48"/>
      <c r="D290" s="48"/>
    </row>
    <row r="291" spans="2:4">
      <c r="B291" s="48"/>
      <c r="D291" s="48"/>
    </row>
    <row r="292" spans="2:4">
      <c r="B292" s="48"/>
      <c r="D292" s="48"/>
    </row>
    <row r="293" spans="2:4">
      <c r="B293" s="48"/>
      <c r="D293" s="48"/>
    </row>
    <row r="294" spans="2:4">
      <c r="B294" s="48"/>
      <c r="D294" s="48"/>
    </row>
    <row r="295" spans="2:4">
      <c r="B295" s="48"/>
      <c r="D295" s="48"/>
    </row>
    <row r="296" spans="2:4">
      <c r="B296" s="48"/>
      <c r="D296" s="48"/>
    </row>
    <row r="297" spans="2:4">
      <c r="B297" s="48"/>
      <c r="D297" s="48"/>
    </row>
    <row r="298" spans="2:4">
      <c r="B298" s="48"/>
      <c r="D298" s="48"/>
    </row>
    <row r="299" spans="2:4">
      <c r="B299" s="48"/>
      <c r="D299" s="48"/>
    </row>
    <row r="300" spans="2:4">
      <c r="B300" s="48"/>
      <c r="D300" s="48"/>
    </row>
    <row r="301" spans="2:4">
      <c r="B301" s="48"/>
      <c r="D301" s="48"/>
    </row>
    <row r="302" spans="2:4">
      <c r="B302" s="48"/>
      <c r="D302" s="48"/>
    </row>
    <row r="303" spans="2:4">
      <c r="B303" s="48"/>
      <c r="D303" s="48"/>
    </row>
    <row r="304" spans="2:4">
      <c r="B304" s="48"/>
      <c r="D304" s="48"/>
    </row>
    <row r="305" spans="2:4">
      <c r="B305" s="48"/>
      <c r="D305" s="48"/>
    </row>
    <row r="306" spans="2:4">
      <c r="B306" s="48"/>
      <c r="D306" s="48"/>
    </row>
    <row r="307" spans="2:4">
      <c r="B307" s="48"/>
      <c r="D307" s="48"/>
    </row>
    <row r="308" spans="2:4">
      <c r="B308" s="48"/>
      <c r="D308" s="48"/>
    </row>
    <row r="309" spans="2:4">
      <c r="B309" s="48"/>
      <c r="D309" s="48"/>
    </row>
    <row r="310" spans="2:4">
      <c r="B310" s="48"/>
      <c r="D310" s="48"/>
    </row>
    <row r="311" spans="2:4">
      <c r="B311" s="48"/>
      <c r="D311" s="48"/>
    </row>
    <row r="312" spans="2:4">
      <c r="B312" s="48"/>
      <c r="D312" s="48"/>
    </row>
    <row r="313" spans="2:4">
      <c r="B313" s="48"/>
      <c r="D313" s="48"/>
    </row>
    <row r="314" spans="2:4">
      <c r="B314" s="48"/>
      <c r="D314" s="48"/>
    </row>
    <row r="315" spans="2:4">
      <c r="B315" s="48"/>
      <c r="D315" s="48"/>
    </row>
    <row r="316" spans="2:4">
      <c r="B316" s="48"/>
      <c r="D316" s="48"/>
    </row>
    <row r="317" spans="2:4">
      <c r="B317" s="48"/>
      <c r="D317" s="48"/>
    </row>
    <row r="318" spans="2:4">
      <c r="B318" s="48"/>
      <c r="D318" s="48"/>
    </row>
    <row r="319" spans="2:4">
      <c r="B319" s="48"/>
      <c r="D319" s="48"/>
    </row>
    <row r="320" spans="2:4">
      <c r="B320" s="48"/>
      <c r="D320" s="48"/>
    </row>
    <row r="321" spans="2:4">
      <c r="B321" s="48"/>
      <c r="D321" s="48"/>
    </row>
    <row r="322" spans="2:4">
      <c r="B322" s="48"/>
      <c r="D322" s="48"/>
    </row>
    <row r="323" spans="2:4">
      <c r="B323" s="48"/>
      <c r="D323" s="48"/>
    </row>
    <row r="324" spans="2:4">
      <c r="B324" s="48"/>
      <c r="D324" s="48"/>
    </row>
    <row r="325" spans="2:4">
      <c r="B325" s="48"/>
      <c r="D325" s="48"/>
    </row>
    <row r="326" spans="2:4">
      <c r="B326" s="48"/>
      <c r="D326" s="48"/>
    </row>
    <row r="327" spans="2:4">
      <c r="B327" s="48"/>
      <c r="D327" s="48"/>
    </row>
    <row r="328" spans="2:4">
      <c r="B328" s="48"/>
      <c r="D328" s="48"/>
    </row>
    <row r="329" spans="2:4">
      <c r="B329" s="48"/>
      <c r="D329" s="48"/>
    </row>
    <row r="330" spans="2:4">
      <c r="B330" s="48"/>
      <c r="D330" s="48"/>
    </row>
    <row r="331" spans="2:4">
      <c r="B331" s="48"/>
      <c r="D331" s="48"/>
    </row>
    <row r="332" spans="2:4">
      <c r="B332" s="48"/>
      <c r="D332" s="48"/>
    </row>
    <row r="333" spans="2:4">
      <c r="B333" s="48"/>
      <c r="D333" s="48"/>
    </row>
    <row r="334" spans="2:4">
      <c r="B334" s="48"/>
      <c r="D334" s="48"/>
    </row>
    <row r="335" spans="2:4">
      <c r="B335" s="48"/>
      <c r="D335" s="48"/>
    </row>
    <row r="336" spans="2:4">
      <c r="B336" s="48"/>
      <c r="D336" s="48"/>
    </row>
    <row r="337" spans="2:4">
      <c r="B337" s="48"/>
      <c r="D337" s="48"/>
    </row>
    <row r="338" spans="2:4">
      <c r="B338" s="48"/>
      <c r="D338" s="48"/>
    </row>
    <row r="339" spans="2:4">
      <c r="B339" s="48"/>
      <c r="D339" s="48"/>
    </row>
    <row r="340" spans="2:4">
      <c r="B340" s="48"/>
      <c r="D340" s="48"/>
    </row>
    <row r="341" spans="2:4">
      <c r="B341" s="48"/>
      <c r="D341" s="48"/>
    </row>
    <row r="342" spans="2:4">
      <c r="B342" s="48"/>
      <c r="D342" s="48"/>
    </row>
    <row r="343" spans="2:4">
      <c r="B343" s="48"/>
      <c r="D343" s="48"/>
    </row>
    <row r="344" spans="2:4">
      <c r="B344" s="48"/>
      <c r="D344" s="48"/>
    </row>
    <row r="345" spans="2:4">
      <c r="B345" s="48"/>
      <c r="D345" s="48"/>
    </row>
    <row r="346" spans="2:4">
      <c r="B346" s="48"/>
      <c r="D346" s="48"/>
    </row>
    <row r="347" spans="2:4">
      <c r="B347" s="48"/>
      <c r="D347" s="48"/>
    </row>
    <row r="348" spans="2:4">
      <c r="B348" s="48"/>
      <c r="D348" s="48"/>
    </row>
    <row r="349" spans="2:4">
      <c r="B349" s="48"/>
      <c r="D349" s="48"/>
    </row>
    <row r="350" spans="2:4">
      <c r="B350" s="48"/>
      <c r="D350" s="48"/>
    </row>
    <row r="351" spans="2:4">
      <c r="B351" s="48"/>
      <c r="D351" s="48"/>
    </row>
    <row r="352" spans="2:4">
      <c r="B352" s="48"/>
      <c r="D352" s="48"/>
    </row>
    <row r="353" spans="2:4">
      <c r="B353" s="48"/>
      <c r="D353" s="48"/>
    </row>
    <row r="354" spans="2:4">
      <c r="B354" s="48"/>
      <c r="D354" s="48"/>
    </row>
    <row r="355" spans="2:4">
      <c r="B355" s="48"/>
      <c r="D355" s="48"/>
    </row>
    <row r="356" spans="2:4">
      <c r="B356" s="48"/>
      <c r="D356" s="48"/>
    </row>
    <row r="357" spans="2:4">
      <c r="B357" s="48"/>
      <c r="D357" s="48"/>
    </row>
    <row r="358" spans="2:4">
      <c r="B358" s="48"/>
      <c r="D358" s="48"/>
    </row>
    <row r="359" spans="2:4">
      <c r="B359" s="48"/>
      <c r="D359" s="48"/>
    </row>
    <row r="360" spans="2:4">
      <c r="B360" s="48"/>
      <c r="D360" s="48"/>
    </row>
    <row r="361" spans="2:4">
      <c r="B361" s="48"/>
      <c r="D361" s="48"/>
    </row>
    <row r="362" spans="2:4">
      <c r="B362" s="48"/>
      <c r="D362" s="48"/>
    </row>
    <row r="363" spans="2:4">
      <c r="B363" s="48"/>
      <c r="D363" s="48"/>
    </row>
    <row r="364" spans="2:4">
      <c r="B364" s="48"/>
      <c r="D364" s="48"/>
    </row>
    <row r="365" spans="2:4">
      <c r="B365" s="48"/>
      <c r="D365" s="48"/>
    </row>
    <row r="366" spans="2:4">
      <c r="B366" s="48"/>
      <c r="D366" s="48"/>
    </row>
    <row r="367" spans="2:4">
      <c r="B367" s="48"/>
      <c r="D367" s="48"/>
    </row>
    <row r="368" spans="2:4">
      <c r="B368" s="48"/>
      <c r="D368" s="48"/>
    </row>
    <row r="369" spans="2:4">
      <c r="B369" s="48"/>
      <c r="D369" s="48"/>
    </row>
    <row r="370" spans="2:4">
      <c r="B370" s="48"/>
      <c r="D370" s="48"/>
    </row>
    <row r="371" spans="2:4">
      <c r="B371" s="48"/>
      <c r="D371" s="48"/>
    </row>
    <row r="372" spans="2:4">
      <c r="B372" s="48"/>
      <c r="D372" s="48"/>
    </row>
    <row r="373" spans="2:4">
      <c r="B373" s="48"/>
      <c r="D373" s="48"/>
    </row>
    <row r="374" spans="2:4">
      <c r="B374" s="48"/>
      <c r="D374" s="48"/>
    </row>
    <row r="375" spans="2:4">
      <c r="B375" s="48"/>
      <c r="D375" s="48"/>
    </row>
    <row r="376" spans="2:4">
      <c r="B376" s="48"/>
      <c r="D376" s="48"/>
    </row>
    <row r="377" spans="2:4">
      <c r="B377" s="48"/>
      <c r="D377" s="48"/>
    </row>
    <row r="378" spans="2:4">
      <c r="B378" s="48"/>
      <c r="D378" s="48"/>
    </row>
    <row r="379" spans="2:4">
      <c r="B379" s="48"/>
      <c r="D379" s="48"/>
    </row>
    <row r="380" spans="2:4">
      <c r="B380" s="48"/>
      <c r="D380" s="48"/>
    </row>
    <row r="381" spans="2:4">
      <c r="B381" s="48"/>
      <c r="D381" s="48"/>
    </row>
    <row r="382" spans="2:4">
      <c r="B382" s="48"/>
      <c r="D382" s="48"/>
    </row>
    <row r="383" spans="2:4">
      <c r="B383" s="48"/>
      <c r="D383" s="48"/>
    </row>
    <row r="384" spans="2:4">
      <c r="B384" s="48"/>
      <c r="D384" s="48"/>
    </row>
    <row r="385" spans="2:4">
      <c r="B385" s="48"/>
      <c r="D385" s="48"/>
    </row>
    <row r="386" spans="2:4">
      <c r="B386" s="48"/>
      <c r="D386" s="48"/>
    </row>
    <row r="387" spans="2:4">
      <c r="B387" s="48"/>
      <c r="D387" s="48"/>
    </row>
    <row r="388" spans="2:4">
      <c r="B388" s="48"/>
      <c r="D388" s="48"/>
    </row>
    <row r="389" spans="2:4">
      <c r="B389" s="48"/>
      <c r="D389" s="48"/>
    </row>
    <row r="390" spans="2:4">
      <c r="B390" s="48"/>
      <c r="D390" s="48"/>
    </row>
    <row r="391" spans="2:4">
      <c r="B391" s="48"/>
      <c r="D391" s="48"/>
    </row>
    <row r="392" spans="2:4">
      <c r="B392" s="48"/>
      <c r="D392" s="48"/>
    </row>
    <row r="393" spans="2:4">
      <c r="B393" s="48"/>
      <c r="D393" s="48"/>
    </row>
    <row r="394" spans="2:4">
      <c r="B394" s="48"/>
      <c r="D394" s="48"/>
    </row>
    <row r="395" spans="2:4">
      <c r="B395" s="48"/>
      <c r="D395" s="48"/>
    </row>
    <row r="396" spans="2:4">
      <c r="B396" s="48"/>
      <c r="D396" s="48"/>
    </row>
    <row r="397" spans="2:4">
      <c r="B397" s="48"/>
      <c r="D397" s="48"/>
    </row>
    <row r="398" spans="2:4">
      <c r="B398" s="48"/>
      <c r="D398" s="48"/>
    </row>
    <row r="399" spans="2:4">
      <c r="B399" s="48"/>
      <c r="D399" s="48"/>
    </row>
    <row r="400" spans="2:4">
      <c r="B400" s="48"/>
      <c r="D400" s="48"/>
    </row>
    <row r="401" spans="2:4">
      <c r="B401" s="48"/>
      <c r="D401" s="48"/>
    </row>
    <row r="402" spans="2:4">
      <c r="B402" s="48"/>
      <c r="D402" s="48"/>
    </row>
    <row r="403" spans="2:4">
      <c r="B403" s="48"/>
      <c r="D403" s="48"/>
    </row>
    <row r="404" spans="2:4">
      <c r="B404" s="48"/>
      <c r="D404" s="48"/>
    </row>
    <row r="405" spans="2:4">
      <c r="B405" s="48"/>
      <c r="D405" s="48"/>
    </row>
    <row r="406" spans="2:4">
      <c r="B406" s="48"/>
      <c r="D406" s="48"/>
    </row>
    <row r="407" spans="2:4">
      <c r="B407" s="48"/>
      <c r="D407" s="48"/>
    </row>
    <row r="408" spans="2:4">
      <c r="B408" s="48"/>
      <c r="D408" s="48"/>
    </row>
    <row r="409" spans="2:4">
      <c r="B409" s="48"/>
      <c r="D409" s="48"/>
    </row>
    <row r="410" spans="2:4">
      <c r="B410" s="48"/>
      <c r="D410" s="48"/>
    </row>
    <row r="411" spans="2:4">
      <c r="B411" s="48"/>
      <c r="D411" s="48"/>
    </row>
    <row r="412" spans="2:4">
      <c r="B412" s="48"/>
      <c r="D412" s="48"/>
    </row>
    <row r="413" spans="2:4">
      <c r="B413" s="48"/>
      <c r="D413" s="48"/>
    </row>
    <row r="414" spans="2:4">
      <c r="B414" s="48"/>
      <c r="D414" s="48"/>
    </row>
    <row r="415" spans="2:4">
      <c r="B415" s="48"/>
      <c r="D415" s="48"/>
    </row>
    <row r="416" spans="2:4">
      <c r="B416" s="48"/>
      <c r="D416" s="48"/>
    </row>
    <row r="417" spans="2:4">
      <c r="B417" s="48"/>
      <c r="D417" s="48"/>
    </row>
    <row r="418" spans="2:4">
      <c r="B418" s="48"/>
      <c r="D418" s="48"/>
    </row>
    <row r="419" spans="2:4">
      <c r="B419" s="48"/>
      <c r="D419" s="48"/>
    </row>
    <row r="420" spans="2:4">
      <c r="B420" s="48"/>
      <c r="D420" s="48"/>
    </row>
    <row r="421" spans="2:4">
      <c r="B421" s="48"/>
      <c r="D421" s="48"/>
    </row>
    <row r="422" spans="2:4">
      <c r="B422" s="48"/>
      <c r="D422" s="48"/>
    </row>
    <row r="423" spans="2:4">
      <c r="B423" s="48"/>
      <c r="D423" s="48"/>
    </row>
    <row r="424" spans="2:4">
      <c r="B424" s="48"/>
      <c r="D424" s="48"/>
    </row>
    <row r="425" spans="2:4">
      <c r="B425" s="48"/>
      <c r="D425" s="48"/>
    </row>
    <row r="426" spans="2:4">
      <c r="B426" s="48"/>
      <c r="D426" s="48"/>
    </row>
    <row r="427" spans="2:4">
      <c r="B427" s="48"/>
      <c r="D427" s="48"/>
    </row>
    <row r="428" spans="2:4">
      <c r="B428" s="48"/>
      <c r="D428" s="48"/>
    </row>
    <row r="429" spans="2:4">
      <c r="B429" s="48"/>
      <c r="D429" s="48"/>
    </row>
    <row r="430" spans="2:4">
      <c r="B430" s="48"/>
      <c r="D430" s="48"/>
    </row>
    <row r="431" spans="2:4">
      <c r="B431" s="48"/>
      <c r="D431" s="48"/>
    </row>
    <row r="432" spans="2:4">
      <c r="B432" s="48"/>
      <c r="D432" s="48"/>
    </row>
    <row r="433" spans="2:4">
      <c r="B433" s="48"/>
      <c r="D433" s="48"/>
    </row>
    <row r="434" spans="2:4">
      <c r="B434" s="48"/>
      <c r="D434" s="48"/>
    </row>
    <row r="435" spans="2:4">
      <c r="B435" s="48"/>
      <c r="D435" s="48"/>
    </row>
    <row r="436" spans="2:4">
      <c r="B436" s="48"/>
      <c r="D436" s="48"/>
    </row>
    <row r="437" spans="2:4">
      <c r="B437" s="48"/>
      <c r="D437" s="48"/>
    </row>
    <row r="438" spans="2:4">
      <c r="B438" s="48"/>
      <c r="D438" s="48"/>
    </row>
    <row r="439" spans="2:4">
      <c r="B439" s="48"/>
      <c r="D439" s="48"/>
    </row>
    <row r="440" spans="2:4">
      <c r="B440" s="48"/>
      <c r="D440" s="48"/>
    </row>
    <row r="441" spans="2:4">
      <c r="B441" s="48"/>
      <c r="D441" s="48"/>
    </row>
    <row r="442" spans="2:4">
      <c r="B442" s="48"/>
      <c r="D442" s="48"/>
    </row>
    <row r="443" spans="2:4">
      <c r="B443" s="48"/>
      <c r="D443" s="48"/>
    </row>
    <row r="444" spans="2:4">
      <c r="B444" s="48"/>
      <c r="D444" s="48"/>
    </row>
    <row r="445" spans="2:4">
      <c r="B445" s="48"/>
      <c r="D445" s="48"/>
    </row>
    <row r="446" spans="2:4">
      <c r="B446" s="48"/>
      <c r="D446" s="48"/>
    </row>
    <row r="447" spans="2:4">
      <c r="B447" s="48"/>
      <c r="D447" s="48"/>
    </row>
    <row r="448" spans="2:4">
      <c r="B448" s="48"/>
      <c r="D448" s="48"/>
    </row>
    <row r="449" spans="2:4">
      <c r="B449" s="48"/>
      <c r="D449" s="48"/>
    </row>
    <row r="450" spans="2:4">
      <c r="B450" s="48"/>
      <c r="D450" s="48"/>
    </row>
    <row r="451" spans="2:4">
      <c r="B451" s="48"/>
      <c r="D451" s="48"/>
    </row>
    <row r="452" spans="2:4">
      <c r="B452" s="48"/>
      <c r="D452" s="48"/>
    </row>
    <row r="453" spans="2:4">
      <c r="B453" s="48"/>
      <c r="D453" s="48"/>
    </row>
    <row r="454" spans="2:4">
      <c r="B454" s="48"/>
      <c r="D454" s="48"/>
    </row>
    <row r="455" spans="2:4">
      <c r="B455" s="48"/>
      <c r="D455" s="48"/>
    </row>
    <row r="456" spans="2:4">
      <c r="B456" s="48"/>
      <c r="D456" s="48"/>
    </row>
    <row r="457" spans="2:4">
      <c r="B457" s="48"/>
      <c r="D457" s="48"/>
    </row>
    <row r="458" spans="2:4">
      <c r="B458" s="48"/>
      <c r="D458" s="48"/>
    </row>
    <row r="459" spans="2:4">
      <c r="B459" s="48"/>
      <c r="D459" s="48"/>
    </row>
    <row r="460" spans="2:4">
      <c r="B460" s="48"/>
      <c r="D460" s="48"/>
    </row>
    <row r="461" spans="2:4">
      <c r="B461" s="48"/>
      <c r="D461" s="48"/>
    </row>
    <row r="462" spans="2:4">
      <c r="B462" s="48"/>
      <c r="D462" s="48"/>
    </row>
    <row r="463" spans="2:4">
      <c r="B463" s="48"/>
      <c r="D463" s="48"/>
    </row>
    <row r="464" spans="2:4">
      <c r="B464" s="48"/>
      <c r="D464" s="48"/>
    </row>
    <row r="465" spans="2:4">
      <c r="B465" s="48"/>
      <c r="D465" s="48"/>
    </row>
    <row r="466" spans="2:4">
      <c r="B466" s="48"/>
      <c r="D466" s="48"/>
    </row>
    <row r="467" spans="2:4">
      <c r="B467" s="48"/>
      <c r="D467" s="48"/>
    </row>
    <row r="468" spans="2:4">
      <c r="B468" s="48"/>
      <c r="D468" s="48"/>
    </row>
    <row r="469" spans="2:4">
      <c r="B469" s="48"/>
      <c r="D469" s="48"/>
    </row>
    <row r="470" spans="2:4">
      <c r="B470" s="48"/>
      <c r="D470" s="48"/>
    </row>
    <row r="471" spans="2:4">
      <c r="B471" s="48"/>
      <c r="D471" s="48"/>
    </row>
    <row r="472" spans="2:4">
      <c r="B472" s="48"/>
      <c r="D472" s="48"/>
    </row>
    <row r="473" spans="2:4">
      <c r="B473" s="48"/>
      <c r="D473" s="48"/>
    </row>
    <row r="474" spans="2:4">
      <c r="B474" s="48"/>
      <c r="D474" s="48"/>
    </row>
    <row r="475" spans="2:4">
      <c r="B475" s="48"/>
      <c r="D475" s="48"/>
    </row>
    <row r="476" spans="2:4">
      <c r="B476" s="48"/>
      <c r="D476" s="48"/>
    </row>
    <row r="477" spans="2:4">
      <c r="B477" s="48"/>
      <c r="D477" s="48"/>
    </row>
    <row r="478" spans="2:4">
      <c r="B478" s="48"/>
      <c r="D478" s="48"/>
    </row>
    <row r="479" spans="2:4">
      <c r="B479" s="48"/>
      <c r="D479" s="48"/>
    </row>
    <row r="480" spans="2:4">
      <c r="B480" s="48"/>
      <c r="D480" s="48"/>
    </row>
    <row r="481" spans="2:4">
      <c r="B481" s="48"/>
      <c r="D481" s="48"/>
    </row>
    <row r="482" spans="2:4">
      <c r="B482" s="48"/>
      <c r="D482" s="48"/>
    </row>
    <row r="483" spans="2:4">
      <c r="B483" s="48"/>
      <c r="D483" s="48"/>
    </row>
    <row r="484" spans="2:4">
      <c r="B484" s="48"/>
      <c r="D484" s="48"/>
    </row>
    <row r="485" spans="2:4">
      <c r="B485" s="48"/>
      <c r="D485" s="48"/>
    </row>
    <row r="486" spans="2:4">
      <c r="B486" s="48"/>
      <c r="D486" s="48"/>
    </row>
    <row r="487" spans="2:4">
      <c r="B487" s="48"/>
      <c r="D487" s="48"/>
    </row>
    <row r="488" spans="2:4">
      <c r="B488" s="48"/>
      <c r="D488" s="48"/>
    </row>
    <row r="489" spans="2:4">
      <c r="B489" s="48"/>
      <c r="D489" s="48"/>
    </row>
    <row r="490" spans="2:4">
      <c r="B490" s="48"/>
      <c r="D490" s="48"/>
    </row>
    <row r="491" spans="2:4">
      <c r="B491" s="48"/>
      <c r="D491" s="48"/>
    </row>
    <row r="492" spans="2:4">
      <c r="B492" s="48"/>
      <c r="D492" s="48"/>
    </row>
    <row r="493" spans="2:4">
      <c r="B493" s="48"/>
      <c r="D493" s="48"/>
    </row>
    <row r="494" spans="2:4">
      <c r="B494" s="48"/>
      <c r="D494" s="48"/>
    </row>
    <row r="495" spans="2:4">
      <c r="B495" s="48"/>
      <c r="D495" s="48"/>
    </row>
    <row r="496" spans="2:4">
      <c r="B496" s="48"/>
      <c r="D496" s="48"/>
    </row>
    <row r="497" spans="2:4">
      <c r="B497" s="48"/>
      <c r="D497" s="48"/>
    </row>
    <row r="498" spans="2:4">
      <c r="B498" s="48"/>
      <c r="D498" s="48"/>
    </row>
    <row r="499" spans="2:4">
      <c r="B499" s="48"/>
      <c r="D499" s="48"/>
    </row>
    <row r="500" spans="2:4">
      <c r="B500" s="48"/>
      <c r="D500" s="48"/>
    </row>
    <row r="501" spans="2:4">
      <c r="B501" s="48"/>
      <c r="D501" s="48"/>
    </row>
    <row r="502" spans="2:4">
      <c r="B502" s="48"/>
      <c r="D502" s="48"/>
    </row>
    <row r="503" spans="2:4">
      <c r="B503" s="48"/>
      <c r="D503" s="48"/>
    </row>
    <row r="504" spans="2:4">
      <c r="B504" s="48"/>
      <c r="D504" s="48"/>
    </row>
    <row r="505" spans="2:4">
      <c r="B505" s="48"/>
      <c r="D505" s="48"/>
    </row>
    <row r="506" spans="2:4">
      <c r="B506" s="48"/>
      <c r="D506" s="48"/>
    </row>
    <row r="507" spans="2:4">
      <c r="B507" s="48"/>
      <c r="D507" s="48"/>
    </row>
    <row r="508" spans="2:4">
      <c r="B508" s="48"/>
      <c r="D508" s="48"/>
    </row>
    <row r="509" spans="2:4">
      <c r="B509" s="48"/>
      <c r="D509" s="48"/>
    </row>
    <row r="510" spans="2:4">
      <c r="B510" s="48"/>
      <c r="D510" s="48"/>
    </row>
    <row r="511" spans="2:4">
      <c r="B511" s="48"/>
      <c r="D511" s="48"/>
    </row>
    <row r="512" spans="2:4">
      <c r="B512" s="48"/>
      <c r="D512" s="48"/>
    </row>
    <row r="513" spans="2:4">
      <c r="B513" s="48"/>
      <c r="D513" s="48"/>
    </row>
    <row r="514" spans="2:4">
      <c r="B514" s="48"/>
      <c r="D514" s="48"/>
    </row>
    <row r="515" spans="2:4">
      <c r="B515" s="48"/>
      <c r="D515" s="48"/>
    </row>
    <row r="516" spans="2:4">
      <c r="B516" s="48"/>
      <c r="D516" s="48"/>
    </row>
    <row r="517" spans="2:4">
      <c r="B517" s="48"/>
      <c r="D517" s="48"/>
    </row>
    <row r="518" spans="2:4">
      <c r="B518" s="48"/>
      <c r="D518" s="48"/>
    </row>
    <row r="519" spans="2:4">
      <c r="B519" s="48"/>
      <c r="D519" s="48"/>
    </row>
    <row r="520" spans="2:4">
      <c r="B520" s="48"/>
      <c r="D520" s="48"/>
    </row>
    <row r="521" spans="2:4">
      <c r="B521" s="48"/>
      <c r="D521" s="48"/>
    </row>
    <row r="522" spans="2:4">
      <c r="B522" s="48"/>
      <c r="D522" s="48"/>
    </row>
    <row r="523" spans="2:4">
      <c r="B523" s="48"/>
      <c r="D523" s="48"/>
    </row>
    <row r="524" spans="2:4">
      <c r="B524" s="48"/>
      <c r="D524" s="48"/>
    </row>
    <row r="525" spans="2:4">
      <c r="B525" s="48"/>
      <c r="D525" s="48"/>
    </row>
    <row r="526" spans="2:4">
      <c r="B526" s="48"/>
      <c r="D526" s="48"/>
    </row>
    <row r="527" spans="2:4">
      <c r="B527" s="48"/>
      <c r="D527" s="48"/>
    </row>
    <row r="528" spans="2:4">
      <c r="B528" s="48"/>
      <c r="D528" s="48"/>
    </row>
    <row r="529" spans="2:4">
      <c r="B529" s="48"/>
      <c r="D529" s="48"/>
    </row>
    <row r="530" spans="2:4">
      <c r="B530" s="48"/>
      <c r="D530" s="48"/>
    </row>
    <row r="531" spans="2:4">
      <c r="B531" s="48"/>
      <c r="D531" s="48"/>
    </row>
    <row r="532" spans="2:4">
      <c r="B532" s="48"/>
      <c r="D532" s="48"/>
    </row>
    <row r="533" spans="2:4">
      <c r="B533" s="48"/>
      <c r="D533" s="48"/>
    </row>
    <row r="534" spans="2:4">
      <c r="B534" s="48"/>
      <c r="D534" s="48"/>
    </row>
    <row r="535" spans="2:4">
      <c r="B535" s="48"/>
      <c r="D535" s="48"/>
    </row>
    <row r="536" spans="2:4">
      <c r="B536" s="48"/>
      <c r="D536" s="48"/>
    </row>
    <row r="537" spans="2:4">
      <c r="B537" s="48"/>
      <c r="D537" s="48"/>
    </row>
    <row r="538" spans="2:4">
      <c r="B538" s="48"/>
      <c r="D538" s="48"/>
    </row>
    <row r="539" spans="2:4">
      <c r="B539" s="48"/>
      <c r="D539" s="48"/>
    </row>
    <row r="540" spans="2:4">
      <c r="B540" s="48"/>
      <c r="D540" s="48"/>
    </row>
    <row r="541" spans="2:4">
      <c r="B541" s="48"/>
      <c r="D541" s="48"/>
    </row>
    <row r="542" spans="2:4">
      <c r="B542" s="48"/>
      <c r="D542" s="48"/>
    </row>
    <row r="543" spans="2:4">
      <c r="B543" s="48"/>
      <c r="D543" s="48"/>
    </row>
    <row r="544" spans="2:4">
      <c r="B544" s="48"/>
      <c r="D544" s="48"/>
    </row>
    <row r="545" spans="2:4">
      <c r="B545" s="48"/>
      <c r="D545" s="48"/>
    </row>
    <row r="546" spans="2:4">
      <c r="B546" s="48"/>
      <c r="D546" s="48"/>
    </row>
    <row r="547" spans="2:4">
      <c r="B547" s="48"/>
      <c r="D547" s="48"/>
    </row>
    <row r="548" spans="2:4">
      <c r="B548" s="48"/>
      <c r="D548" s="48"/>
    </row>
    <row r="549" spans="2:4">
      <c r="B549" s="48"/>
      <c r="D549" s="48"/>
    </row>
    <row r="550" spans="2:4">
      <c r="B550" s="48"/>
      <c r="D550" s="48"/>
    </row>
    <row r="551" spans="2:4">
      <c r="B551" s="48"/>
      <c r="D551" s="48"/>
    </row>
    <row r="552" spans="2:4">
      <c r="B552" s="48"/>
      <c r="D552" s="48"/>
    </row>
    <row r="553" spans="2:4">
      <c r="B553" s="48"/>
      <c r="D553" s="48"/>
    </row>
    <row r="554" spans="2:4">
      <c r="B554" s="48"/>
      <c r="D554" s="48"/>
    </row>
    <row r="555" spans="2:4">
      <c r="B555" s="48"/>
      <c r="D555" s="48"/>
    </row>
    <row r="556" spans="2:4">
      <c r="B556" s="48"/>
      <c r="D556" s="48"/>
    </row>
    <row r="557" spans="2:4">
      <c r="B557" s="48"/>
      <c r="D557" s="48"/>
    </row>
    <row r="558" spans="2:4">
      <c r="B558" s="48"/>
      <c r="D558" s="48"/>
    </row>
    <row r="559" spans="2:4">
      <c r="B559" s="48"/>
      <c r="D559" s="48"/>
    </row>
    <row r="560" spans="2:4">
      <c r="B560" s="48"/>
      <c r="D560" s="48"/>
    </row>
    <row r="561" spans="2:4">
      <c r="B561" s="48"/>
      <c r="D561" s="48"/>
    </row>
    <row r="562" spans="2:4">
      <c r="B562" s="48"/>
      <c r="D562" s="48"/>
    </row>
    <row r="563" spans="2:4">
      <c r="B563" s="48"/>
      <c r="D563" s="48"/>
    </row>
    <row r="564" spans="2:4">
      <c r="B564" s="48"/>
      <c r="D564" s="48"/>
    </row>
    <row r="565" spans="2:4">
      <c r="B565" s="48"/>
      <c r="D565" s="48"/>
    </row>
    <row r="566" spans="2:4">
      <c r="B566" s="48"/>
      <c r="D566" s="48"/>
    </row>
    <row r="567" spans="2:4">
      <c r="B567" s="48"/>
      <c r="D567" s="48"/>
    </row>
    <row r="568" spans="2:4">
      <c r="B568" s="48"/>
      <c r="D568" s="48"/>
    </row>
    <row r="569" spans="2:4">
      <c r="B569" s="48"/>
      <c r="D569" s="48"/>
    </row>
    <row r="570" spans="2:4">
      <c r="B570" s="48"/>
      <c r="D570" s="48"/>
    </row>
    <row r="571" spans="2:4">
      <c r="B571" s="48"/>
      <c r="D571" s="48"/>
    </row>
    <row r="572" spans="2:4">
      <c r="B572" s="48"/>
      <c r="D572" s="48"/>
    </row>
    <row r="573" spans="2:4">
      <c r="B573" s="48"/>
      <c r="D573" s="48"/>
    </row>
    <row r="574" spans="2:4">
      <c r="B574" s="48"/>
      <c r="D574" s="48"/>
    </row>
    <row r="575" spans="2:4">
      <c r="B575" s="48"/>
      <c r="D575" s="48"/>
    </row>
    <row r="576" spans="2:4">
      <c r="B576" s="48"/>
      <c r="D576" s="48"/>
    </row>
    <row r="577" spans="2:4">
      <c r="B577" s="48"/>
      <c r="D577" s="48"/>
    </row>
    <row r="578" spans="2:4">
      <c r="B578" s="48"/>
      <c r="D578" s="48"/>
    </row>
    <row r="579" spans="2:4">
      <c r="B579" s="48"/>
      <c r="D579" s="48"/>
    </row>
    <row r="580" spans="2:4">
      <c r="B580" s="48"/>
      <c r="D580" s="48"/>
    </row>
    <row r="581" spans="2:4">
      <c r="B581" s="48"/>
      <c r="D581" s="48"/>
    </row>
    <row r="582" spans="2:4">
      <c r="B582" s="48"/>
      <c r="D582" s="48"/>
    </row>
    <row r="583" spans="2:4">
      <c r="B583" s="48"/>
      <c r="D583" s="48"/>
    </row>
    <row r="584" spans="2:4">
      <c r="B584" s="48"/>
      <c r="D584" s="48"/>
    </row>
    <row r="585" spans="2:4">
      <c r="B585" s="48"/>
      <c r="D585" s="48"/>
    </row>
    <row r="586" spans="2:4">
      <c r="B586" s="48"/>
      <c r="D586" s="48"/>
    </row>
    <row r="587" spans="2:4">
      <c r="B587" s="48"/>
      <c r="D587" s="48"/>
    </row>
    <row r="588" spans="2:4">
      <c r="B588" s="48"/>
      <c r="D588" s="48"/>
    </row>
    <row r="589" spans="2:4">
      <c r="B589" s="48"/>
      <c r="D589" s="48"/>
    </row>
    <row r="590" spans="2:4">
      <c r="B590" s="48"/>
      <c r="D590" s="48"/>
    </row>
    <row r="591" spans="2:4">
      <c r="B591" s="48"/>
      <c r="D591" s="48"/>
    </row>
    <row r="592" spans="2:4">
      <c r="B592" s="48"/>
      <c r="D592" s="48"/>
    </row>
    <row r="593" spans="2:4">
      <c r="B593" s="48"/>
      <c r="D593" s="48"/>
    </row>
    <row r="594" spans="2:4">
      <c r="B594" s="48"/>
      <c r="D594" s="48"/>
    </row>
    <row r="595" spans="2:4">
      <c r="B595" s="48"/>
      <c r="D595" s="48"/>
    </row>
    <row r="596" spans="2:4">
      <c r="B596" s="48"/>
      <c r="D596" s="48"/>
    </row>
    <row r="597" spans="2:4">
      <c r="B597" s="48"/>
      <c r="D597" s="48"/>
    </row>
    <row r="598" spans="2:4">
      <c r="B598" s="48"/>
      <c r="D598" s="48"/>
    </row>
    <row r="599" spans="2:4">
      <c r="B599" s="48"/>
      <c r="D599" s="48"/>
    </row>
    <row r="600" spans="2:4">
      <c r="B600" s="48"/>
      <c r="D600" s="48"/>
    </row>
    <row r="601" spans="2:4">
      <c r="B601" s="48"/>
      <c r="D601" s="48"/>
    </row>
    <row r="602" spans="2:4">
      <c r="B602" s="48"/>
      <c r="D602" s="48"/>
    </row>
    <row r="603" spans="2:4">
      <c r="B603" s="48"/>
      <c r="D603" s="48"/>
    </row>
    <row r="604" spans="2:4">
      <c r="B604" s="48"/>
      <c r="D604" s="48"/>
    </row>
    <row r="605" spans="2:4">
      <c r="B605" s="48"/>
      <c r="D605" s="48"/>
    </row>
    <row r="606" spans="2:4">
      <c r="B606" s="48"/>
      <c r="D606" s="48"/>
    </row>
    <row r="607" spans="2:4">
      <c r="B607" s="48"/>
      <c r="D607" s="48"/>
    </row>
    <row r="608" spans="2:4">
      <c r="B608" s="48"/>
      <c r="D608" s="48"/>
    </row>
    <row r="609" spans="2:4">
      <c r="B609" s="48"/>
      <c r="D609" s="48"/>
    </row>
    <row r="610" spans="2:4">
      <c r="B610" s="48"/>
      <c r="D610" s="48"/>
    </row>
    <row r="611" spans="2:4">
      <c r="B611" s="48"/>
      <c r="D611" s="48"/>
    </row>
    <row r="612" spans="2:4">
      <c r="B612" s="48"/>
      <c r="D612" s="48"/>
    </row>
    <row r="613" spans="2:4">
      <c r="B613" s="48"/>
      <c r="D613" s="48"/>
    </row>
    <row r="614" spans="2:4">
      <c r="B614" s="48"/>
      <c r="D614" s="48"/>
    </row>
    <row r="615" spans="2:4">
      <c r="B615" s="48"/>
      <c r="D615" s="48"/>
    </row>
    <row r="616" spans="2:4">
      <c r="B616" s="48"/>
      <c r="D616" s="48"/>
    </row>
    <row r="617" spans="2:4">
      <c r="B617" s="48"/>
      <c r="D617" s="48"/>
    </row>
    <row r="618" spans="2:4">
      <c r="B618" s="48"/>
      <c r="D618" s="48"/>
    </row>
    <row r="619" spans="2:4">
      <c r="B619" s="48"/>
      <c r="D619" s="48"/>
    </row>
    <row r="620" spans="2:4">
      <c r="B620" s="48"/>
      <c r="D620" s="48"/>
    </row>
    <row r="621" spans="2:4">
      <c r="B621" s="48"/>
      <c r="D621" s="48"/>
    </row>
    <row r="622" spans="2:4">
      <c r="B622" s="48"/>
      <c r="D622" s="48"/>
    </row>
    <row r="623" spans="2:4">
      <c r="B623" s="48"/>
      <c r="D623" s="48"/>
    </row>
    <row r="624" spans="2:4">
      <c r="B624" s="48"/>
      <c r="D624" s="48"/>
    </row>
    <row r="625" spans="2:4">
      <c r="B625" s="48"/>
      <c r="D625" s="48"/>
    </row>
    <row r="626" spans="2:4">
      <c r="B626" s="48"/>
      <c r="D626" s="48"/>
    </row>
    <row r="627" spans="2:4">
      <c r="B627" s="48"/>
      <c r="D627" s="48"/>
    </row>
    <row r="628" spans="2:4">
      <c r="B628" s="48"/>
      <c r="D628" s="48"/>
    </row>
    <row r="629" spans="2:4">
      <c r="B629" s="48"/>
      <c r="D629" s="48"/>
    </row>
    <row r="630" spans="2:4">
      <c r="B630" s="48"/>
      <c r="D630" s="48"/>
    </row>
    <row r="631" spans="2:4">
      <c r="B631" s="48"/>
      <c r="D631" s="48"/>
    </row>
    <row r="632" spans="2:4">
      <c r="B632" s="48"/>
      <c r="D632" s="48"/>
    </row>
    <row r="633" spans="2:4">
      <c r="B633" s="48"/>
      <c r="D633" s="48"/>
    </row>
    <row r="634" spans="2:4">
      <c r="B634" s="48"/>
      <c r="D634" s="48"/>
    </row>
    <row r="635" spans="2:4">
      <c r="B635" s="48"/>
      <c r="D635" s="48"/>
    </row>
    <row r="636" spans="2:4">
      <c r="B636" s="48"/>
      <c r="D636" s="48"/>
    </row>
    <row r="637" spans="2:4">
      <c r="B637" s="48"/>
      <c r="D637" s="48"/>
    </row>
    <row r="638" spans="2:4">
      <c r="B638" s="48"/>
      <c r="D638" s="48"/>
    </row>
    <row r="639" spans="2:4">
      <c r="B639" s="48"/>
      <c r="D639" s="48"/>
    </row>
    <row r="640" spans="2:4">
      <c r="B640" s="48"/>
      <c r="D640" s="48"/>
    </row>
    <row r="641" spans="2:4">
      <c r="B641" s="48"/>
      <c r="D641" s="48"/>
    </row>
    <row r="642" spans="2:4">
      <c r="B642" s="48"/>
      <c r="D642" s="48"/>
    </row>
    <row r="643" spans="2:4">
      <c r="B643" s="48"/>
      <c r="D643" s="48"/>
    </row>
    <row r="644" spans="2:4">
      <c r="B644" s="48"/>
      <c r="D644" s="48"/>
    </row>
    <row r="645" spans="2:4">
      <c r="B645" s="48"/>
      <c r="D645" s="48"/>
    </row>
    <row r="646" spans="2:4">
      <c r="B646" s="48"/>
      <c r="D646" s="48"/>
    </row>
    <row r="647" spans="2:4">
      <c r="B647" s="48"/>
      <c r="D647" s="48"/>
    </row>
    <row r="648" spans="2:4">
      <c r="B648" s="48"/>
      <c r="D648" s="48"/>
    </row>
    <row r="649" spans="2:4">
      <c r="B649" s="48"/>
      <c r="D649" s="48"/>
    </row>
    <row r="650" spans="2:4">
      <c r="B650" s="48"/>
      <c r="D650" s="48"/>
    </row>
    <row r="651" spans="2:4">
      <c r="B651" s="48"/>
      <c r="D651" s="48"/>
    </row>
    <row r="652" spans="2:4">
      <c r="B652" s="48"/>
      <c r="D652" s="48"/>
    </row>
    <row r="653" spans="2:4">
      <c r="B653" s="48"/>
      <c r="D653" s="48"/>
    </row>
    <row r="654" spans="2:4">
      <c r="B654" s="48"/>
      <c r="D654" s="48"/>
    </row>
    <row r="655" spans="2:4">
      <c r="B655" s="48"/>
      <c r="D655" s="48"/>
    </row>
    <row r="656" spans="2:4">
      <c r="B656" s="48"/>
      <c r="D656" s="48"/>
    </row>
    <row r="657" spans="2:4">
      <c r="B657" s="48"/>
      <c r="D657" s="48"/>
    </row>
    <row r="658" spans="2:4">
      <c r="B658" s="48"/>
      <c r="D658" s="48"/>
    </row>
    <row r="659" spans="2:4">
      <c r="B659" s="48"/>
      <c r="D659" s="48"/>
    </row>
    <row r="660" spans="2:4">
      <c r="B660" s="48"/>
      <c r="D660" s="48"/>
    </row>
    <row r="661" spans="2:4">
      <c r="B661" s="48"/>
      <c r="D661" s="48"/>
    </row>
    <row r="662" spans="2:4">
      <c r="B662" s="48"/>
      <c r="D662" s="48"/>
    </row>
    <row r="663" spans="2:4">
      <c r="B663" s="48"/>
      <c r="D663" s="48"/>
    </row>
    <row r="664" spans="2:4">
      <c r="B664" s="48"/>
      <c r="D664" s="48"/>
    </row>
    <row r="665" spans="2:4">
      <c r="B665" s="48"/>
      <c r="D665" s="48"/>
    </row>
    <row r="666" spans="2:4">
      <c r="B666" s="48"/>
      <c r="D666" s="48"/>
    </row>
    <row r="667" spans="2:4">
      <c r="B667" s="48"/>
      <c r="D667" s="48"/>
    </row>
    <row r="668" spans="2:4">
      <c r="B668" s="48"/>
      <c r="D668" s="48"/>
    </row>
    <row r="669" spans="2:4">
      <c r="B669" s="48"/>
      <c r="D669" s="48"/>
    </row>
    <row r="670" spans="2:4">
      <c r="B670" s="48"/>
      <c r="D670" s="48"/>
    </row>
    <row r="671" spans="2:4">
      <c r="B671" s="48"/>
      <c r="D671" s="48"/>
    </row>
    <row r="672" spans="2:4">
      <c r="B672" s="48"/>
      <c r="D672" s="48"/>
    </row>
    <row r="673" spans="2:4">
      <c r="B673" s="48"/>
      <c r="D673" s="48"/>
    </row>
    <row r="674" spans="2:4">
      <c r="B674" s="48"/>
      <c r="D674" s="48"/>
    </row>
    <row r="675" spans="2:4">
      <c r="B675" s="48"/>
      <c r="D675" s="48"/>
    </row>
    <row r="676" spans="2:4">
      <c r="B676" s="48"/>
      <c r="D676" s="48"/>
    </row>
    <row r="677" spans="2:4">
      <c r="B677" s="48"/>
      <c r="D677" s="48"/>
    </row>
    <row r="678" spans="2:4">
      <c r="B678" s="48"/>
      <c r="D678" s="48"/>
    </row>
    <row r="679" spans="2:4">
      <c r="B679" s="48"/>
      <c r="D679" s="48"/>
    </row>
    <row r="680" spans="2:4">
      <c r="B680" s="48"/>
      <c r="D680" s="48"/>
    </row>
    <row r="681" spans="2:4">
      <c r="B681" s="48"/>
      <c r="D681" s="48"/>
    </row>
    <row r="682" spans="2:4">
      <c r="B682" s="48"/>
      <c r="D682" s="48"/>
    </row>
    <row r="683" spans="2:4">
      <c r="B683" s="48"/>
      <c r="D683" s="48"/>
    </row>
    <row r="684" spans="2:4">
      <c r="B684" s="48"/>
      <c r="D684" s="48"/>
    </row>
    <row r="685" spans="2:4">
      <c r="B685" s="48"/>
      <c r="D685" s="48"/>
    </row>
    <row r="686" spans="2:4">
      <c r="B686" s="48"/>
      <c r="D686" s="48"/>
    </row>
    <row r="687" spans="2:4">
      <c r="B687" s="48"/>
      <c r="D687" s="48"/>
    </row>
    <row r="688" spans="2:4">
      <c r="B688" s="48"/>
      <c r="D688" s="48"/>
    </row>
    <row r="689" spans="2:4">
      <c r="B689" s="48"/>
      <c r="D689" s="48"/>
    </row>
    <row r="690" spans="2:4">
      <c r="B690" s="48"/>
      <c r="D690" s="48"/>
    </row>
    <row r="691" spans="2:4">
      <c r="B691" s="48"/>
      <c r="D691" s="48"/>
    </row>
    <row r="692" spans="2:4">
      <c r="B692" s="48"/>
      <c r="D692" s="48"/>
    </row>
    <row r="693" spans="2:4">
      <c r="B693" s="48"/>
      <c r="D693" s="48"/>
    </row>
    <row r="694" spans="2:4">
      <c r="B694" s="48"/>
      <c r="D694" s="48"/>
    </row>
    <row r="695" spans="2:4">
      <c r="B695" s="48"/>
      <c r="D695" s="48"/>
    </row>
    <row r="696" spans="2:4">
      <c r="B696" s="48"/>
      <c r="D696" s="48"/>
    </row>
    <row r="697" spans="2:4">
      <c r="B697" s="48"/>
      <c r="D697" s="48"/>
    </row>
    <row r="698" spans="2:4">
      <c r="B698" s="48"/>
      <c r="D698" s="48"/>
    </row>
    <row r="699" spans="2:4">
      <c r="B699" s="48"/>
      <c r="D699" s="48"/>
    </row>
    <row r="700" spans="2:4">
      <c r="B700" s="48"/>
      <c r="D700" s="48"/>
    </row>
    <row r="701" spans="2:4">
      <c r="B701" s="48"/>
      <c r="D701" s="48"/>
    </row>
    <row r="702" spans="2:4">
      <c r="B702" s="48"/>
      <c r="D702" s="48"/>
    </row>
    <row r="703" spans="2:4">
      <c r="B703" s="48"/>
      <c r="D703" s="48"/>
    </row>
    <row r="704" spans="2:4">
      <c r="B704" s="48"/>
      <c r="D704" s="48"/>
    </row>
    <row r="705" spans="2:4">
      <c r="B705" s="48"/>
      <c r="D705" s="48"/>
    </row>
    <row r="706" spans="2:4">
      <c r="B706" s="48"/>
      <c r="D706" s="48"/>
    </row>
    <row r="707" spans="2:4">
      <c r="B707" s="48"/>
      <c r="D707" s="48"/>
    </row>
    <row r="708" spans="2:4">
      <c r="B708" s="48"/>
      <c r="D708" s="48"/>
    </row>
    <row r="709" spans="2:4">
      <c r="B709" s="48"/>
      <c r="D709" s="48"/>
    </row>
    <row r="710" spans="2:4">
      <c r="B710" s="48"/>
      <c r="D710" s="48"/>
    </row>
    <row r="711" spans="2:4">
      <c r="B711" s="48"/>
      <c r="D711" s="48"/>
    </row>
    <row r="712" spans="2:4">
      <c r="B712" s="48"/>
      <c r="D712" s="48"/>
    </row>
    <row r="713" spans="2:4">
      <c r="B713" s="48"/>
      <c r="D713" s="48"/>
    </row>
    <row r="714" spans="2:4">
      <c r="B714" s="48"/>
      <c r="D714" s="48"/>
    </row>
    <row r="715" spans="2:4">
      <c r="B715" s="48"/>
      <c r="D715" s="48"/>
    </row>
    <row r="716" spans="2:4">
      <c r="B716" s="48"/>
      <c r="D716" s="48"/>
    </row>
    <row r="717" spans="2:4">
      <c r="B717" s="48"/>
      <c r="D717" s="48"/>
    </row>
    <row r="718" spans="2:4">
      <c r="B718" s="48"/>
      <c r="D718" s="48"/>
    </row>
    <row r="719" spans="2:4">
      <c r="B719" s="48"/>
      <c r="D719" s="48"/>
    </row>
    <row r="720" spans="2:4">
      <c r="B720" s="48"/>
      <c r="D720" s="48"/>
    </row>
    <row r="721" spans="2:4">
      <c r="B721" s="48"/>
      <c r="D721" s="48"/>
    </row>
    <row r="722" spans="2:4">
      <c r="B722" s="48"/>
      <c r="D722" s="48"/>
    </row>
    <row r="723" spans="2:4">
      <c r="B723" s="48"/>
      <c r="D723" s="48"/>
    </row>
    <row r="724" spans="2:4">
      <c r="B724" s="48"/>
      <c r="D724" s="48"/>
    </row>
    <row r="725" spans="2:4">
      <c r="B725" s="48"/>
      <c r="D725" s="48"/>
    </row>
    <row r="726" spans="2:4">
      <c r="B726" s="48"/>
      <c r="D726" s="48"/>
    </row>
    <row r="727" spans="2:4">
      <c r="B727" s="48"/>
      <c r="D727" s="48"/>
    </row>
    <row r="728" spans="2:4">
      <c r="B728" s="48"/>
      <c r="D728" s="48"/>
    </row>
    <row r="729" spans="2:4">
      <c r="B729" s="48"/>
      <c r="D729" s="48"/>
    </row>
    <row r="730" spans="2:4">
      <c r="B730" s="48"/>
      <c r="D730" s="48"/>
    </row>
    <row r="731" spans="2:4">
      <c r="B731" s="48"/>
      <c r="D731" s="48"/>
    </row>
    <row r="732" spans="2:4">
      <c r="B732" s="48"/>
      <c r="D732" s="48"/>
    </row>
    <row r="733" spans="2:4">
      <c r="B733" s="48"/>
      <c r="D733" s="48"/>
    </row>
    <row r="734" spans="2:4">
      <c r="B734" s="48"/>
      <c r="D734" s="48"/>
    </row>
    <row r="735" spans="2:4">
      <c r="B735" s="48"/>
      <c r="D735" s="48"/>
    </row>
    <row r="736" spans="2:4">
      <c r="B736" s="48"/>
      <c r="D736" s="48"/>
    </row>
    <row r="737" spans="2:4">
      <c r="B737" s="48"/>
      <c r="D737" s="48"/>
    </row>
    <row r="738" spans="2:4">
      <c r="B738" s="48"/>
      <c r="D738" s="48"/>
    </row>
    <row r="739" spans="2:4">
      <c r="B739" s="48"/>
      <c r="D739" s="48"/>
    </row>
    <row r="740" spans="2:4">
      <c r="B740" s="48"/>
      <c r="D740" s="48"/>
    </row>
    <row r="741" spans="2:4">
      <c r="B741" s="48"/>
      <c r="D741" s="48"/>
    </row>
    <row r="742" spans="2:4">
      <c r="B742" s="48"/>
      <c r="D742" s="48"/>
    </row>
    <row r="743" spans="2:4">
      <c r="B743" s="48"/>
      <c r="D743" s="48"/>
    </row>
    <row r="744" spans="2:4">
      <c r="B744" s="48"/>
      <c r="D744" s="48"/>
    </row>
    <row r="745" spans="2:4">
      <c r="B745" s="48"/>
      <c r="D745" s="48"/>
    </row>
    <row r="746" spans="2:4">
      <c r="B746" s="48"/>
      <c r="D746" s="48"/>
    </row>
    <row r="747" spans="2:4">
      <c r="B747" s="48"/>
      <c r="D747" s="48"/>
    </row>
    <row r="748" spans="2:4">
      <c r="B748" s="48"/>
      <c r="D748" s="48"/>
    </row>
    <row r="749" spans="2:4">
      <c r="B749" s="48"/>
      <c r="D749" s="48"/>
    </row>
    <row r="750" spans="2:4">
      <c r="B750" s="48"/>
      <c r="D750" s="48"/>
    </row>
    <row r="751" spans="2:4">
      <c r="B751" s="48"/>
      <c r="D751" s="48"/>
    </row>
    <row r="752" spans="2:4">
      <c r="B752" s="48"/>
      <c r="D752" s="48"/>
    </row>
    <row r="753" spans="2:4">
      <c r="B753" s="48"/>
      <c r="D753" s="48"/>
    </row>
    <row r="754" spans="2:4">
      <c r="B754" s="48"/>
      <c r="D754" s="48"/>
    </row>
    <row r="755" spans="2:4">
      <c r="B755" s="48"/>
      <c r="D755" s="48"/>
    </row>
    <row r="756" spans="2:4">
      <c r="B756" s="48"/>
      <c r="D756" s="48"/>
    </row>
    <row r="757" spans="2:4">
      <c r="B757" s="48"/>
      <c r="D757" s="48"/>
    </row>
    <row r="758" spans="2:4">
      <c r="B758" s="48"/>
      <c r="D758" s="48"/>
    </row>
    <row r="759" spans="2:4">
      <c r="B759" s="48"/>
      <c r="D759" s="48"/>
    </row>
    <row r="760" spans="2:4">
      <c r="B760" s="48"/>
      <c r="D760" s="48"/>
    </row>
    <row r="761" spans="2:4">
      <c r="B761" s="48"/>
      <c r="D761" s="48"/>
    </row>
    <row r="762" spans="2:4">
      <c r="B762" s="48"/>
      <c r="D762" s="48"/>
    </row>
    <row r="763" spans="2:4">
      <c r="B763" s="48"/>
      <c r="D763" s="48"/>
    </row>
    <row r="764" spans="2:4">
      <c r="B764" s="48"/>
      <c r="D764" s="48"/>
    </row>
    <row r="765" spans="2:4">
      <c r="B765" s="48"/>
      <c r="D765" s="48"/>
    </row>
    <row r="766" spans="2:4">
      <c r="B766" s="48"/>
      <c r="D766" s="48"/>
    </row>
    <row r="767" spans="2:4">
      <c r="B767" s="48"/>
      <c r="D767" s="48"/>
    </row>
    <row r="768" spans="2:4">
      <c r="B768" s="48"/>
      <c r="D768" s="48"/>
    </row>
    <row r="769" spans="2:4">
      <c r="B769" s="48"/>
      <c r="D769" s="48"/>
    </row>
    <row r="770" spans="2:4">
      <c r="B770" s="48"/>
      <c r="D770" s="48"/>
    </row>
    <row r="771" spans="2:4">
      <c r="B771" s="48"/>
      <c r="D771" s="48"/>
    </row>
    <row r="772" spans="2:4">
      <c r="B772" s="48"/>
      <c r="D772" s="48"/>
    </row>
    <row r="773" spans="2:4">
      <c r="B773" s="48"/>
      <c r="D773" s="48"/>
    </row>
    <row r="774" spans="2:4">
      <c r="B774" s="48"/>
      <c r="D774" s="48"/>
    </row>
    <row r="775" spans="2:4">
      <c r="B775" s="48"/>
      <c r="D775" s="48"/>
    </row>
    <row r="776" spans="2:4">
      <c r="B776" s="48"/>
      <c r="D776" s="48"/>
    </row>
    <row r="777" spans="2:4">
      <c r="B777" s="48"/>
      <c r="D777" s="48"/>
    </row>
    <row r="778" spans="2:4">
      <c r="B778" s="48"/>
      <c r="D778" s="48"/>
    </row>
    <row r="779" spans="2:4">
      <c r="B779" s="48"/>
      <c r="D779" s="48"/>
    </row>
    <row r="780" spans="2:4">
      <c r="B780" s="48"/>
      <c r="D780" s="48"/>
    </row>
    <row r="781" spans="2:4">
      <c r="B781" s="48"/>
      <c r="D781" s="48"/>
    </row>
    <row r="782" spans="2:4">
      <c r="B782" s="48"/>
      <c r="D782" s="48"/>
    </row>
    <row r="783" spans="2:4">
      <c r="B783" s="48"/>
      <c r="D783" s="48"/>
    </row>
    <row r="784" spans="2:4">
      <c r="B784" s="48"/>
      <c r="D784" s="48"/>
    </row>
    <row r="785" spans="2:4">
      <c r="B785" s="48"/>
      <c r="D785" s="48"/>
    </row>
    <row r="786" spans="2:4">
      <c r="B786" s="48"/>
      <c r="D786" s="48"/>
    </row>
    <row r="787" spans="2:4">
      <c r="B787" s="48"/>
      <c r="D787" s="48"/>
    </row>
    <row r="788" spans="2:4">
      <c r="B788" s="48"/>
      <c r="D788" s="48"/>
    </row>
    <row r="789" spans="2:4">
      <c r="B789" s="48"/>
      <c r="D789" s="48"/>
    </row>
    <row r="790" spans="2:4">
      <c r="B790" s="48"/>
      <c r="D790" s="48"/>
    </row>
    <row r="791" spans="2:4">
      <c r="B791" s="48"/>
      <c r="D791" s="48"/>
    </row>
    <row r="792" spans="2:4">
      <c r="B792" s="48"/>
      <c r="D792" s="48"/>
    </row>
    <row r="793" spans="2:4">
      <c r="B793" s="48"/>
      <c r="D793" s="48"/>
    </row>
    <row r="794" spans="2:4">
      <c r="B794" s="48"/>
      <c r="D794" s="48"/>
    </row>
    <row r="795" spans="2:4">
      <c r="B795" s="48"/>
      <c r="D795" s="48"/>
    </row>
    <row r="796" spans="2:4">
      <c r="B796" s="48"/>
      <c r="D796" s="48"/>
    </row>
    <row r="797" spans="2:4">
      <c r="B797" s="48"/>
      <c r="D797" s="48"/>
    </row>
    <row r="798" spans="2:4">
      <c r="B798" s="48"/>
      <c r="D798" s="48"/>
    </row>
    <row r="799" spans="2:4">
      <c r="B799" s="48"/>
      <c r="D799" s="48"/>
    </row>
    <row r="800" spans="2:4">
      <c r="B800" s="48"/>
      <c r="D800" s="48"/>
    </row>
    <row r="801" spans="2:4">
      <c r="B801" s="48"/>
      <c r="D801" s="48"/>
    </row>
    <row r="802" spans="2:4">
      <c r="B802" s="48"/>
      <c r="D802" s="48"/>
    </row>
    <row r="803" spans="2:4">
      <c r="B803" s="48"/>
      <c r="D803" s="48"/>
    </row>
    <row r="804" spans="2:4">
      <c r="B804" s="48"/>
      <c r="D804" s="48"/>
    </row>
    <row r="805" spans="2:4">
      <c r="B805" s="48"/>
      <c r="D805" s="48"/>
    </row>
    <row r="806" spans="2:4">
      <c r="B806" s="48"/>
      <c r="D806" s="48"/>
    </row>
    <row r="807" spans="2:4">
      <c r="B807" s="48"/>
      <c r="D807" s="48"/>
    </row>
    <row r="808" spans="2:4">
      <c r="B808" s="48"/>
      <c r="D808" s="48"/>
    </row>
    <row r="809" spans="2:4">
      <c r="B809" s="48"/>
      <c r="D809" s="48"/>
    </row>
    <row r="810" spans="2:4">
      <c r="B810" s="48"/>
      <c r="D810" s="48"/>
    </row>
    <row r="811" spans="2:4">
      <c r="B811" s="48"/>
      <c r="D811" s="48"/>
    </row>
    <row r="812" spans="2:4">
      <c r="B812" s="48"/>
      <c r="D812" s="48"/>
    </row>
    <row r="813" spans="2:4">
      <c r="B813" s="48"/>
      <c r="D813" s="48"/>
    </row>
    <row r="814" spans="2:4">
      <c r="B814" s="48"/>
      <c r="D814" s="48"/>
    </row>
    <row r="815" spans="2:4">
      <c r="B815" s="48"/>
      <c r="D815" s="48"/>
    </row>
    <row r="816" spans="2:4">
      <c r="B816" s="48"/>
      <c r="D816" s="48"/>
    </row>
    <row r="817" spans="2:4">
      <c r="B817" s="48"/>
      <c r="D817" s="48"/>
    </row>
    <row r="818" spans="2:4">
      <c r="B818" s="48"/>
      <c r="D818" s="48"/>
    </row>
    <row r="819" spans="2:4">
      <c r="B819" s="48"/>
      <c r="D819" s="48"/>
    </row>
    <row r="820" spans="2:4">
      <c r="B820" s="48"/>
      <c r="D820" s="48"/>
    </row>
    <row r="821" spans="2:4">
      <c r="B821" s="48"/>
      <c r="D821" s="48"/>
    </row>
    <row r="822" spans="2:4">
      <c r="B822" s="48"/>
      <c r="D822" s="48"/>
    </row>
    <row r="823" spans="2:4">
      <c r="B823" s="48"/>
      <c r="D823" s="48"/>
    </row>
    <row r="824" spans="2:4">
      <c r="B824" s="48"/>
      <c r="D824" s="48"/>
    </row>
    <row r="825" spans="2:4">
      <c r="B825" s="48"/>
      <c r="D825" s="48"/>
    </row>
    <row r="826" spans="2:4">
      <c r="B826" s="48"/>
      <c r="D826" s="48"/>
    </row>
    <row r="827" spans="2:4">
      <c r="B827" s="48"/>
      <c r="D827" s="48"/>
    </row>
    <row r="828" spans="2:4">
      <c r="B828" s="48"/>
      <c r="D828" s="48"/>
    </row>
    <row r="829" spans="2:4">
      <c r="B829" s="48"/>
      <c r="D829" s="48"/>
    </row>
    <row r="830" spans="2:4">
      <c r="B830" s="48"/>
      <c r="D830" s="48"/>
    </row>
    <row r="831" spans="2:4">
      <c r="B831" s="48"/>
      <c r="D831" s="48"/>
    </row>
    <row r="832" spans="2:4">
      <c r="B832" s="48"/>
      <c r="D832" s="48"/>
    </row>
    <row r="833" spans="2:4">
      <c r="B833" s="48"/>
      <c r="D833" s="48"/>
    </row>
    <row r="834" spans="2:4">
      <c r="B834" s="48"/>
      <c r="D834" s="48"/>
    </row>
    <row r="835" spans="2:4">
      <c r="B835" s="48"/>
      <c r="D835" s="48"/>
    </row>
    <row r="836" spans="2:4">
      <c r="B836" s="48"/>
      <c r="D836" s="48"/>
    </row>
    <row r="837" spans="2:4">
      <c r="B837" s="48"/>
      <c r="D837" s="48"/>
    </row>
    <row r="838" spans="2:4">
      <c r="B838" s="48"/>
      <c r="D838" s="48"/>
    </row>
    <row r="839" spans="2:4">
      <c r="B839" s="48"/>
      <c r="D839" s="48"/>
    </row>
    <row r="840" spans="2:4">
      <c r="B840" s="48"/>
      <c r="D840" s="48"/>
    </row>
    <row r="841" spans="2:4">
      <c r="B841" s="48"/>
      <c r="D841" s="48"/>
    </row>
    <row r="842" spans="2:4">
      <c r="B842" s="48"/>
      <c r="D842" s="48"/>
    </row>
    <row r="843" spans="2:4">
      <c r="B843" s="48"/>
      <c r="D843" s="48"/>
    </row>
    <row r="844" spans="2:4">
      <c r="B844" s="48"/>
      <c r="D844" s="48"/>
    </row>
    <row r="845" spans="2:4">
      <c r="B845" s="48"/>
      <c r="D845" s="48"/>
    </row>
    <row r="846" spans="2:4">
      <c r="B846" s="48"/>
      <c r="D846" s="48"/>
    </row>
    <row r="847" spans="2:4">
      <c r="B847" s="48"/>
      <c r="D847" s="48"/>
    </row>
    <row r="848" spans="2:4">
      <c r="B848" s="48"/>
      <c r="D848" s="48"/>
    </row>
    <row r="849" spans="2:4">
      <c r="B849" s="48"/>
      <c r="D849" s="48"/>
    </row>
    <row r="850" spans="2:4">
      <c r="B850" s="48"/>
      <c r="D850" s="48"/>
    </row>
    <row r="851" spans="2:4">
      <c r="B851" s="48"/>
      <c r="D851" s="48"/>
    </row>
    <row r="852" spans="2:4">
      <c r="B852" s="48"/>
      <c r="D852" s="48"/>
    </row>
    <row r="853" spans="2:4">
      <c r="B853" s="48"/>
      <c r="D853" s="48"/>
    </row>
    <row r="854" spans="2:4">
      <c r="B854" s="48"/>
      <c r="D854" s="48"/>
    </row>
    <row r="855" spans="2:4">
      <c r="B855" s="48"/>
      <c r="D855" s="48"/>
    </row>
    <row r="856" spans="2:4">
      <c r="B856" s="48"/>
      <c r="D856" s="48"/>
    </row>
    <row r="857" spans="2:4">
      <c r="B857" s="48"/>
      <c r="D857" s="48"/>
    </row>
    <row r="858" spans="2:4">
      <c r="B858" s="48"/>
      <c r="D858" s="48"/>
    </row>
    <row r="859" spans="2:4">
      <c r="B859" s="48"/>
      <c r="D859" s="48"/>
    </row>
    <row r="860" spans="2:4">
      <c r="B860" s="48"/>
      <c r="D860" s="48"/>
    </row>
    <row r="861" spans="2:4">
      <c r="B861" s="48"/>
      <c r="D861" s="48"/>
    </row>
    <row r="862" spans="2:4">
      <c r="B862" s="48"/>
      <c r="D862" s="48"/>
    </row>
    <row r="863" spans="2:4">
      <c r="B863" s="48"/>
      <c r="D863" s="48"/>
    </row>
    <row r="864" spans="2:4">
      <c r="B864" s="48"/>
      <c r="D864" s="48"/>
    </row>
    <row r="865" spans="2:4">
      <c r="B865" s="48"/>
      <c r="D865" s="48"/>
    </row>
    <row r="866" spans="2:4">
      <c r="B866" s="48"/>
      <c r="D866" s="48"/>
    </row>
    <row r="867" spans="2:4">
      <c r="B867" s="48"/>
      <c r="D867" s="48"/>
    </row>
    <row r="868" spans="2:4">
      <c r="B868" s="48"/>
      <c r="D868" s="48"/>
    </row>
    <row r="869" spans="2:4">
      <c r="B869" s="48"/>
      <c r="D869" s="48"/>
    </row>
    <row r="870" spans="2:4">
      <c r="B870" s="48"/>
      <c r="D870" s="48"/>
    </row>
    <row r="871" spans="2:4">
      <c r="B871" s="48"/>
      <c r="D871" s="48"/>
    </row>
    <row r="872" spans="2:4">
      <c r="B872" s="48"/>
      <c r="D872" s="48"/>
    </row>
    <row r="873" spans="2:4">
      <c r="B873" s="48"/>
      <c r="D873" s="48"/>
    </row>
    <row r="874" spans="2:4">
      <c r="B874" s="48"/>
      <c r="D874" s="48"/>
    </row>
    <row r="875" spans="2:4">
      <c r="B875" s="48"/>
      <c r="D875" s="48"/>
    </row>
    <row r="876" spans="2:4">
      <c r="B876" s="48"/>
      <c r="D876" s="48"/>
    </row>
    <row r="877" spans="2:4">
      <c r="B877" s="48"/>
      <c r="D877" s="48"/>
    </row>
    <row r="878" spans="2:4">
      <c r="B878" s="48"/>
      <c r="D878" s="48"/>
    </row>
    <row r="879" spans="2:4">
      <c r="B879" s="48"/>
      <c r="D879" s="48"/>
    </row>
    <row r="880" spans="2:4">
      <c r="B880" s="48"/>
      <c r="D880" s="48"/>
    </row>
    <row r="881" spans="2:4">
      <c r="B881" s="48"/>
      <c r="D881" s="48"/>
    </row>
    <row r="882" spans="2:4">
      <c r="B882" s="48"/>
      <c r="D882" s="48"/>
    </row>
    <row r="883" spans="2:4">
      <c r="B883" s="48"/>
      <c r="D883" s="48"/>
    </row>
    <row r="884" spans="2:4">
      <c r="B884" s="48"/>
      <c r="D884" s="48"/>
    </row>
    <row r="885" spans="2:4">
      <c r="B885" s="48"/>
      <c r="D885" s="48"/>
    </row>
    <row r="886" spans="2:4">
      <c r="B886" s="48"/>
      <c r="D886" s="48"/>
    </row>
    <row r="887" spans="2:4">
      <c r="B887" s="48"/>
      <c r="D887" s="48"/>
    </row>
    <row r="888" spans="2:4">
      <c r="B888" s="48"/>
      <c r="D888" s="48"/>
    </row>
    <row r="889" spans="2:4">
      <c r="B889" s="48"/>
      <c r="D889" s="48"/>
    </row>
    <row r="890" spans="2:4">
      <c r="B890" s="48"/>
      <c r="D890" s="48"/>
    </row>
    <row r="891" spans="2:4">
      <c r="B891" s="48"/>
      <c r="D891" s="48"/>
    </row>
    <row r="892" spans="2:4">
      <c r="B892" s="48"/>
      <c r="D892" s="48"/>
    </row>
    <row r="893" spans="2:4">
      <c r="B893" s="48"/>
      <c r="D893" s="48"/>
    </row>
    <row r="894" spans="2:4">
      <c r="B894" s="48"/>
      <c r="D894" s="48"/>
    </row>
    <row r="895" spans="2:4">
      <c r="B895" s="48"/>
      <c r="D895" s="48"/>
    </row>
    <row r="896" spans="2:4">
      <c r="B896" s="48"/>
      <c r="D896" s="48"/>
    </row>
    <row r="897" spans="2:4">
      <c r="B897" s="48"/>
      <c r="D897" s="48"/>
    </row>
    <row r="898" spans="2:4">
      <c r="B898" s="48"/>
      <c r="D898" s="48"/>
    </row>
    <row r="899" spans="2:4">
      <c r="B899" s="48"/>
      <c r="D899" s="48"/>
    </row>
    <row r="900" spans="2:4">
      <c r="B900" s="48"/>
      <c r="D900" s="48"/>
    </row>
    <row r="901" spans="2:4">
      <c r="B901" s="48"/>
      <c r="D901" s="48"/>
    </row>
    <row r="902" spans="2:4">
      <c r="B902" s="48"/>
      <c r="D902" s="48"/>
    </row>
    <row r="903" spans="2:4">
      <c r="B903" s="48"/>
      <c r="D903" s="48"/>
    </row>
    <row r="904" spans="2:4">
      <c r="B904" s="48"/>
      <c r="D904" s="48"/>
    </row>
    <row r="905" spans="2:4">
      <c r="B905" s="48"/>
      <c r="D905" s="48"/>
    </row>
    <row r="906" spans="2:4">
      <c r="B906" s="48"/>
      <c r="D906" s="48"/>
    </row>
    <row r="907" spans="2:4">
      <c r="B907" s="48"/>
      <c r="D907" s="48"/>
    </row>
    <row r="908" spans="2:4">
      <c r="B908" s="48"/>
      <c r="D908" s="48"/>
    </row>
    <row r="909" spans="2:4">
      <c r="B909" s="48"/>
      <c r="D909" s="48"/>
    </row>
    <row r="910" spans="2:4">
      <c r="B910" s="48"/>
      <c r="D910" s="48"/>
    </row>
    <row r="911" spans="2:4">
      <c r="B911" s="48"/>
      <c r="D911" s="48"/>
    </row>
    <row r="912" spans="2:4">
      <c r="B912" s="48"/>
      <c r="D912" s="48"/>
    </row>
    <row r="913" spans="2:4">
      <c r="B913" s="48"/>
      <c r="D913" s="48"/>
    </row>
    <row r="914" spans="2:4">
      <c r="B914" s="48"/>
      <c r="D914" s="48"/>
    </row>
    <row r="915" spans="2:4">
      <c r="B915" s="48"/>
      <c r="D915" s="48"/>
    </row>
    <row r="916" spans="2:4">
      <c r="B916" s="48"/>
      <c r="D916" s="48"/>
    </row>
    <row r="917" spans="2:4">
      <c r="B917" s="48"/>
      <c r="D917" s="48"/>
    </row>
    <row r="918" spans="2:4">
      <c r="B918" s="48"/>
      <c r="D918" s="48"/>
    </row>
    <row r="919" spans="2:4">
      <c r="B919" s="48"/>
      <c r="D919" s="48"/>
    </row>
    <row r="920" spans="2:4">
      <c r="B920" s="48"/>
      <c r="D920" s="48"/>
    </row>
    <row r="921" spans="2:4">
      <c r="B921" s="48"/>
      <c r="D921" s="48"/>
    </row>
    <row r="922" spans="2:4">
      <c r="B922" s="48"/>
      <c r="D922" s="48"/>
    </row>
    <row r="923" spans="2:4">
      <c r="B923" s="48"/>
      <c r="D923" s="48"/>
    </row>
    <row r="924" spans="2:4">
      <c r="B924" s="48"/>
      <c r="D924" s="48"/>
    </row>
    <row r="925" spans="2:4">
      <c r="B925" s="48"/>
      <c r="D925" s="48"/>
    </row>
    <row r="926" spans="2:4">
      <c r="B926" s="48"/>
      <c r="D926" s="48"/>
    </row>
    <row r="927" spans="2:4">
      <c r="B927" s="48"/>
      <c r="D927" s="48"/>
    </row>
    <row r="928" spans="2:4">
      <c r="B928" s="48"/>
      <c r="D928" s="48"/>
    </row>
    <row r="929" spans="2:4">
      <c r="B929" s="48"/>
      <c r="D929" s="48"/>
    </row>
    <row r="930" spans="2:4">
      <c r="B930" s="48"/>
      <c r="D930" s="48"/>
    </row>
    <row r="931" spans="2:4">
      <c r="B931" s="48"/>
      <c r="D931" s="48"/>
    </row>
    <row r="932" spans="2:4">
      <c r="B932" s="48"/>
      <c r="D932" s="48"/>
    </row>
    <row r="933" spans="2:4">
      <c r="B933" s="48"/>
      <c r="D933" s="48"/>
    </row>
    <row r="934" spans="2:4">
      <c r="B934" s="48"/>
      <c r="D934" s="48"/>
    </row>
    <row r="935" spans="2:4">
      <c r="B935" s="48"/>
      <c r="D935" s="48"/>
    </row>
    <row r="936" spans="2:4">
      <c r="B936" s="48"/>
      <c r="D936" s="48"/>
    </row>
    <row r="937" spans="2:4">
      <c r="B937" s="48"/>
      <c r="D937" s="48"/>
    </row>
    <row r="938" spans="2:4">
      <c r="B938" s="48"/>
      <c r="D938" s="48"/>
    </row>
    <row r="939" spans="2:4">
      <c r="B939" s="48"/>
      <c r="D939" s="48"/>
    </row>
    <row r="940" spans="2:4">
      <c r="B940" s="48"/>
      <c r="D940" s="48"/>
    </row>
    <row r="941" spans="2:4">
      <c r="B941" s="48"/>
      <c r="D941" s="48"/>
    </row>
    <row r="942" spans="2:4">
      <c r="B942" s="48"/>
      <c r="D942" s="48"/>
    </row>
    <row r="943" spans="2:4">
      <c r="B943" s="48"/>
      <c r="D943" s="48"/>
    </row>
    <row r="944" spans="2:4">
      <c r="B944" s="48"/>
      <c r="D944" s="48"/>
    </row>
    <row r="945" spans="2:4">
      <c r="B945" s="48"/>
      <c r="D945" s="48"/>
    </row>
    <row r="946" spans="2:4">
      <c r="B946" s="48"/>
      <c r="D946" s="48"/>
    </row>
    <row r="947" spans="2:4">
      <c r="B947" s="48"/>
      <c r="D947" s="48"/>
    </row>
    <row r="948" spans="2:4">
      <c r="B948" s="48"/>
      <c r="D948" s="48"/>
    </row>
    <row r="949" spans="2:4">
      <c r="B949" s="48"/>
      <c r="D949" s="48"/>
    </row>
    <row r="950" spans="2:4">
      <c r="B950" s="48"/>
      <c r="D950" s="48"/>
    </row>
    <row r="951" spans="2:4">
      <c r="B951" s="48"/>
      <c r="D951" s="48"/>
    </row>
    <row r="952" spans="2:4">
      <c r="B952" s="48"/>
      <c r="D952" s="48"/>
    </row>
    <row r="953" spans="2:4">
      <c r="B953" s="48"/>
      <c r="D953" s="48"/>
    </row>
    <row r="954" spans="2:4">
      <c r="B954" s="48"/>
      <c r="D954" s="48"/>
    </row>
    <row r="955" spans="2:4">
      <c r="B955" s="48"/>
      <c r="D955" s="48"/>
    </row>
    <row r="956" spans="2:4">
      <c r="B956" s="48"/>
      <c r="D956" s="48"/>
    </row>
    <row r="957" spans="2:4">
      <c r="B957" s="48"/>
      <c r="D957" s="48"/>
    </row>
    <row r="958" spans="2:4">
      <c r="B958" s="48"/>
      <c r="D958" s="48"/>
    </row>
    <row r="959" spans="2:4">
      <c r="B959" s="48"/>
      <c r="D959" s="48"/>
    </row>
    <row r="960" spans="2:4">
      <c r="B960" s="48"/>
      <c r="D960" s="48"/>
    </row>
    <row r="961" spans="2:4">
      <c r="B961" s="48"/>
      <c r="D961" s="48"/>
    </row>
    <row r="962" spans="2:4">
      <c r="B962" s="48"/>
      <c r="D962" s="48"/>
    </row>
    <row r="963" spans="2:4">
      <c r="B963" s="48"/>
      <c r="D963" s="48"/>
    </row>
    <row r="964" spans="2:4">
      <c r="B964" s="48"/>
      <c r="D964" s="48"/>
    </row>
    <row r="965" spans="2:4">
      <c r="B965" s="48"/>
      <c r="D965" s="48"/>
    </row>
    <row r="966" spans="2:4">
      <c r="B966" s="48"/>
      <c r="D966" s="48"/>
    </row>
    <row r="967" spans="2:4">
      <c r="B967" s="48"/>
      <c r="D967" s="48"/>
    </row>
    <row r="968" spans="2:4">
      <c r="B968" s="48"/>
      <c r="D968" s="48"/>
    </row>
    <row r="969" spans="2:4">
      <c r="B969" s="48"/>
      <c r="D969" s="48"/>
    </row>
    <row r="970" spans="2:4">
      <c r="B970" s="48"/>
      <c r="D970" s="48"/>
    </row>
    <row r="971" spans="2:4">
      <c r="B971" s="48"/>
      <c r="D971" s="48"/>
    </row>
    <row r="972" spans="2:4">
      <c r="B972" s="48"/>
      <c r="D972" s="48"/>
    </row>
    <row r="973" spans="2:4">
      <c r="B973" s="48"/>
      <c r="D973" s="48"/>
    </row>
    <row r="974" spans="2:4">
      <c r="B974" s="48"/>
      <c r="D974" s="48"/>
    </row>
    <row r="975" spans="2:4">
      <c r="B975" s="48"/>
      <c r="D975" s="48"/>
    </row>
    <row r="976" spans="2:4">
      <c r="B976" s="48"/>
      <c r="D976" s="48"/>
    </row>
    <row r="977" spans="2:4">
      <c r="B977" s="48"/>
      <c r="D977" s="48"/>
    </row>
    <row r="978" spans="2:4">
      <c r="B978" s="48"/>
      <c r="D978" s="48"/>
    </row>
    <row r="979" spans="2:4">
      <c r="B979" s="48"/>
      <c r="D979" s="48"/>
    </row>
    <row r="980" spans="2:4">
      <c r="B980" s="48"/>
      <c r="D980" s="48"/>
    </row>
    <row r="981" spans="2:4">
      <c r="B981" s="48"/>
      <c r="D981" s="48"/>
    </row>
    <row r="982" spans="2:4">
      <c r="B982" s="48"/>
      <c r="D982" s="48"/>
    </row>
    <row r="983" spans="2:4">
      <c r="B983" s="48"/>
      <c r="D983" s="48"/>
    </row>
    <row r="984" spans="2:4">
      <c r="B984" s="48"/>
      <c r="D984" s="48"/>
    </row>
    <row r="985" spans="2:4">
      <c r="B985" s="48"/>
      <c r="D985" s="48"/>
    </row>
    <row r="986" spans="2:4">
      <c r="B986" s="48"/>
      <c r="D986" s="48"/>
    </row>
    <row r="987" spans="2:4">
      <c r="B987" s="48"/>
      <c r="D987" s="48"/>
    </row>
    <row r="988" spans="2:4">
      <c r="B988" s="48"/>
      <c r="D988" s="48"/>
    </row>
    <row r="989" spans="2:4">
      <c r="B989" s="48"/>
      <c r="D989" s="48"/>
    </row>
    <row r="990" spans="2:4">
      <c r="B990" s="48"/>
      <c r="D990" s="48"/>
    </row>
    <row r="991" spans="2:4">
      <c r="B991" s="48"/>
      <c r="D991" s="48"/>
    </row>
    <row r="992" spans="2:4">
      <c r="B992" s="48"/>
      <c r="D992" s="48"/>
    </row>
    <row r="993" spans="2:4">
      <c r="B993" s="48"/>
      <c r="D993" s="48"/>
    </row>
    <row r="994" spans="2:4">
      <c r="B994" s="48"/>
      <c r="D994" s="48"/>
    </row>
    <row r="995" spans="2:4">
      <c r="B995" s="48"/>
      <c r="D995" s="48"/>
    </row>
    <row r="996" spans="2:4">
      <c r="B996" s="48"/>
      <c r="D996" s="48"/>
    </row>
    <row r="997" spans="2:4">
      <c r="B997" s="48"/>
      <c r="D997" s="48"/>
    </row>
    <row r="998" spans="2:4">
      <c r="B998" s="48"/>
      <c r="D998" s="48"/>
    </row>
    <row r="999" spans="2:4">
      <c r="B999" s="48"/>
      <c r="D999" s="48"/>
    </row>
    <row r="1000" spans="2:4">
      <c r="B1000" s="48"/>
      <c r="D1000" s="48"/>
    </row>
    <row r="1001" spans="2:4">
      <c r="B1001" s="48"/>
      <c r="D1001" s="48"/>
    </row>
    <row r="1002" spans="2:4">
      <c r="B1002" s="48"/>
      <c r="D1002" s="48"/>
    </row>
    <row r="1003" spans="2:4">
      <c r="B1003" s="48"/>
      <c r="D1003" s="48"/>
    </row>
    <row r="1004" spans="2:4">
      <c r="B1004" s="48"/>
      <c r="D1004" s="48"/>
    </row>
    <row r="1005" spans="2:4">
      <c r="B1005" s="48"/>
      <c r="D1005" s="48"/>
    </row>
    <row r="1006" spans="2:4">
      <c r="B1006" s="48"/>
      <c r="D1006" s="48"/>
    </row>
    <row r="1007" spans="2:4">
      <c r="B1007" s="48"/>
      <c r="D1007" s="48"/>
    </row>
    <row r="1008" spans="2:4">
      <c r="B1008" s="48"/>
      <c r="D1008" s="48"/>
    </row>
    <row r="1009" spans="2:4">
      <c r="B1009" s="48"/>
      <c r="D1009" s="48"/>
    </row>
    <row r="1010" spans="2:4">
      <c r="B1010" s="48"/>
      <c r="D1010" s="48"/>
    </row>
    <row r="1011" spans="2:4">
      <c r="B1011" s="48"/>
      <c r="D1011" s="48"/>
    </row>
    <row r="1012" spans="2:4">
      <c r="B1012" s="48"/>
      <c r="D1012" s="48"/>
    </row>
    <row r="1013" spans="2:4">
      <c r="B1013" s="48"/>
      <c r="D1013" s="48"/>
    </row>
    <row r="1014" spans="2:4">
      <c r="B1014" s="48"/>
      <c r="D1014" s="48"/>
    </row>
    <row r="1015" spans="2:4">
      <c r="B1015" s="48"/>
      <c r="D1015" s="48"/>
    </row>
    <row r="1016" spans="2:4">
      <c r="B1016" s="48"/>
      <c r="D1016" s="48"/>
    </row>
    <row r="1017" spans="2:4">
      <c r="B1017" s="48"/>
      <c r="D1017" s="48"/>
    </row>
    <row r="1018" spans="2:4">
      <c r="B1018" s="48"/>
      <c r="D1018" s="48"/>
    </row>
    <row r="1019" spans="2:4">
      <c r="B1019" s="48"/>
      <c r="D1019" s="48"/>
    </row>
    <row r="1020" spans="2:4">
      <c r="B1020" s="48"/>
      <c r="D1020" s="48"/>
    </row>
    <row r="1021" spans="2:4">
      <c r="B1021" s="48"/>
      <c r="D1021" s="48"/>
    </row>
    <row r="1022" spans="2:4">
      <c r="B1022" s="48"/>
      <c r="D1022" s="48"/>
    </row>
    <row r="1023" spans="2:4">
      <c r="B1023" s="48"/>
      <c r="D1023" s="48"/>
    </row>
    <row r="1024" spans="2:4">
      <c r="B1024" s="48"/>
      <c r="D1024" s="48"/>
    </row>
    <row r="1025" spans="2:4">
      <c r="B1025" s="48"/>
      <c r="D1025" s="48"/>
    </row>
    <row r="1026" spans="2:4">
      <c r="B1026" s="48"/>
      <c r="D1026" s="48"/>
    </row>
    <row r="1027" spans="2:4">
      <c r="B1027" s="48"/>
      <c r="D1027" s="48"/>
    </row>
    <row r="1028" spans="2:4">
      <c r="B1028" s="48"/>
      <c r="D1028" s="48"/>
    </row>
    <row r="1029" spans="2:4">
      <c r="B1029" s="48"/>
      <c r="D1029" s="48"/>
    </row>
    <row r="1030" spans="2:4">
      <c r="B1030" s="48"/>
      <c r="D1030" s="48"/>
    </row>
    <row r="1031" spans="2:4">
      <c r="B1031" s="48"/>
      <c r="D1031" s="48"/>
    </row>
    <row r="1032" spans="2:4">
      <c r="B1032" s="48"/>
      <c r="D1032" s="48"/>
    </row>
    <row r="1033" spans="2:4">
      <c r="B1033" s="48"/>
      <c r="D1033" s="48"/>
    </row>
    <row r="1034" spans="2:4">
      <c r="B1034" s="48"/>
      <c r="D1034" s="48"/>
    </row>
    <row r="1035" spans="2:4">
      <c r="B1035" s="48"/>
      <c r="D1035" s="48"/>
    </row>
    <row r="1036" spans="2:4">
      <c r="B1036" s="48"/>
      <c r="D1036" s="48"/>
    </row>
    <row r="1037" spans="2:4">
      <c r="B1037" s="48"/>
      <c r="D1037" s="48"/>
    </row>
    <row r="1038" spans="2:4">
      <c r="B1038" s="48"/>
      <c r="D1038" s="48"/>
    </row>
    <row r="1039" spans="2:4">
      <c r="B1039" s="48"/>
      <c r="D1039" s="48"/>
    </row>
    <row r="1040" spans="2:4">
      <c r="B1040" s="48"/>
      <c r="D1040" s="48"/>
    </row>
    <row r="1041" spans="2:4">
      <c r="B1041" s="48"/>
      <c r="D1041" s="48"/>
    </row>
    <row r="1042" spans="2:4">
      <c r="B1042" s="48"/>
      <c r="D1042" s="48"/>
    </row>
    <row r="1043" spans="2:4">
      <c r="B1043" s="48"/>
      <c r="D1043" s="48"/>
    </row>
    <row r="1044" spans="2:4">
      <c r="B1044" s="48"/>
      <c r="D1044" s="48"/>
    </row>
    <row r="1045" spans="2:4">
      <c r="B1045" s="48"/>
      <c r="D1045" s="48"/>
    </row>
    <row r="1046" spans="2:4">
      <c r="B1046" s="48"/>
      <c r="D1046" s="48"/>
    </row>
    <row r="1047" spans="2:4">
      <c r="B1047" s="48"/>
      <c r="D1047" s="48"/>
    </row>
    <row r="1048" spans="2:4">
      <c r="B1048" s="48"/>
      <c r="D1048" s="48"/>
    </row>
    <row r="1049" spans="2:4">
      <c r="B1049" s="48"/>
      <c r="D1049" s="48"/>
    </row>
    <row r="1050" spans="2:4">
      <c r="B1050" s="48"/>
      <c r="D1050" s="48"/>
    </row>
    <row r="1051" spans="2:4">
      <c r="B1051" s="48"/>
      <c r="D1051" s="48"/>
    </row>
    <row r="1052" spans="2:4">
      <c r="B1052" s="48"/>
      <c r="D1052" s="48"/>
    </row>
    <row r="1053" spans="2:4">
      <c r="B1053" s="48"/>
      <c r="D1053" s="48"/>
    </row>
    <row r="1054" spans="2:4">
      <c r="B1054" s="48"/>
      <c r="D1054" s="48"/>
    </row>
    <row r="1055" spans="2:4">
      <c r="B1055" s="48"/>
      <c r="D1055" s="48"/>
    </row>
    <row r="1056" spans="2:4">
      <c r="B1056" s="48"/>
      <c r="D1056" s="48"/>
    </row>
    <row r="1057" spans="2:4">
      <c r="B1057" s="48"/>
      <c r="D1057" s="48"/>
    </row>
    <row r="1058" spans="2:4">
      <c r="B1058" s="48"/>
      <c r="D1058" s="48"/>
    </row>
    <row r="1059" spans="2:4">
      <c r="B1059" s="48"/>
      <c r="D1059" s="48"/>
    </row>
    <row r="1060" spans="2:4">
      <c r="B1060" s="48"/>
      <c r="D1060" s="48"/>
    </row>
    <row r="1061" spans="2:4">
      <c r="B1061" s="48"/>
      <c r="D1061" s="48"/>
    </row>
    <row r="1062" spans="2:4">
      <c r="B1062" s="48"/>
      <c r="D1062" s="48"/>
    </row>
    <row r="1063" spans="2:4">
      <c r="B1063" s="48"/>
      <c r="D1063" s="48"/>
    </row>
    <row r="1064" spans="2:4">
      <c r="B1064" s="48"/>
      <c r="D1064" s="48"/>
    </row>
    <row r="1065" spans="2:4">
      <c r="B1065" s="48"/>
      <c r="D1065" s="48"/>
    </row>
    <row r="1066" spans="2:4">
      <c r="B1066" s="48"/>
      <c r="D1066" s="48"/>
    </row>
    <row r="1067" spans="2:4">
      <c r="B1067" s="48"/>
      <c r="D1067" s="48"/>
    </row>
    <row r="1068" spans="2:4">
      <c r="B1068" s="48"/>
      <c r="D1068" s="48"/>
    </row>
    <row r="1069" spans="2:4">
      <c r="B1069" s="48"/>
      <c r="D1069" s="48"/>
    </row>
    <row r="1070" spans="2:4">
      <c r="B1070" s="48"/>
      <c r="D1070" s="48"/>
    </row>
    <row r="1071" spans="2:4">
      <c r="B1071" s="48"/>
      <c r="D1071" s="48"/>
    </row>
    <row r="1072" spans="2:4">
      <c r="B1072" s="48"/>
      <c r="D1072" s="48"/>
    </row>
    <row r="1073" spans="2:4">
      <c r="B1073" s="48"/>
      <c r="D1073" s="48"/>
    </row>
    <row r="1074" spans="2:4">
      <c r="B1074" s="48"/>
      <c r="D1074" s="48"/>
    </row>
    <row r="1075" spans="2:4">
      <c r="B1075" s="48"/>
      <c r="D1075" s="48"/>
    </row>
    <row r="1076" spans="2:4">
      <c r="B1076" s="48"/>
      <c r="D1076" s="48"/>
    </row>
    <row r="1077" spans="2:4">
      <c r="B1077" s="48"/>
      <c r="D1077" s="48"/>
    </row>
    <row r="1078" spans="2:4">
      <c r="B1078" s="48"/>
      <c r="D1078" s="48"/>
    </row>
    <row r="1079" spans="2:4">
      <c r="B1079" s="48"/>
      <c r="D1079" s="48"/>
    </row>
    <row r="1080" spans="2:4">
      <c r="B1080" s="48"/>
      <c r="D1080" s="48"/>
    </row>
    <row r="1081" spans="2:4">
      <c r="B1081" s="48"/>
      <c r="D1081" s="48"/>
    </row>
    <row r="1082" spans="2:4">
      <c r="B1082" s="48"/>
      <c r="D1082" s="48"/>
    </row>
    <row r="1083" spans="2:4">
      <c r="B1083" s="48"/>
      <c r="D1083" s="48"/>
    </row>
    <row r="1084" spans="2:4">
      <c r="B1084" s="48"/>
      <c r="D1084" s="48"/>
    </row>
    <row r="1085" spans="2:4">
      <c r="B1085" s="48"/>
      <c r="D1085" s="48"/>
    </row>
    <row r="1086" spans="2:4">
      <c r="B1086" s="48"/>
      <c r="D1086" s="48"/>
    </row>
    <row r="1087" spans="2:4">
      <c r="B1087" s="48"/>
      <c r="D1087" s="48"/>
    </row>
    <row r="1088" spans="2:4">
      <c r="B1088" s="48"/>
      <c r="D1088" s="48"/>
    </row>
    <row r="1089" spans="2:4">
      <c r="B1089" s="48"/>
      <c r="D1089" s="48"/>
    </row>
    <row r="1090" spans="2:4">
      <c r="B1090" s="48"/>
      <c r="D1090" s="48"/>
    </row>
    <row r="1091" spans="2:4">
      <c r="B1091" s="48"/>
      <c r="D1091" s="48"/>
    </row>
    <row r="1092" spans="2:4">
      <c r="B1092" s="48"/>
      <c r="D1092" s="48"/>
    </row>
    <row r="1093" spans="2:4">
      <c r="B1093" s="48"/>
      <c r="D1093" s="48"/>
    </row>
    <row r="1094" spans="2:4">
      <c r="B1094" s="48"/>
      <c r="D1094" s="48"/>
    </row>
    <row r="1095" spans="2:4">
      <c r="B1095" s="48"/>
      <c r="D1095" s="48"/>
    </row>
    <row r="1096" spans="2:4">
      <c r="B1096" s="48"/>
      <c r="D1096" s="48"/>
    </row>
    <row r="1097" spans="2:4">
      <c r="B1097" s="48"/>
      <c r="D1097" s="48"/>
    </row>
    <row r="1098" spans="2:4">
      <c r="B1098" s="48"/>
      <c r="D1098" s="48"/>
    </row>
    <row r="1099" spans="2:4">
      <c r="B1099" s="48"/>
      <c r="D1099" s="48"/>
    </row>
    <row r="1100" spans="2:4">
      <c r="B1100" s="48"/>
      <c r="D1100" s="48"/>
    </row>
    <row r="1101" spans="2:4">
      <c r="B1101" s="48"/>
      <c r="D1101" s="48"/>
    </row>
    <row r="1102" spans="2:4">
      <c r="B1102" s="48"/>
      <c r="D1102" s="48"/>
    </row>
    <row r="1103" spans="2:4">
      <c r="B1103" s="48"/>
      <c r="D1103" s="48"/>
    </row>
    <row r="1104" spans="2:4">
      <c r="B1104" s="48"/>
      <c r="D1104" s="48"/>
    </row>
    <row r="1105" spans="2:4">
      <c r="B1105" s="48"/>
      <c r="D1105" s="48"/>
    </row>
    <row r="1106" spans="2:4">
      <c r="B1106" s="48"/>
      <c r="D1106" s="48"/>
    </row>
    <row r="1107" spans="2:4">
      <c r="B1107" s="48"/>
      <c r="D1107" s="48"/>
    </row>
    <row r="1108" spans="2:4">
      <c r="B1108" s="48"/>
      <c r="D1108" s="48"/>
    </row>
    <row r="1109" spans="2:4">
      <c r="B1109" s="48"/>
      <c r="D1109" s="48"/>
    </row>
    <row r="1110" spans="2:4">
      <c r="B1110" s="48"/>
      <c r="D1110" s="48"/>
    </row>
    <row r="1111" spans="2:4">
      <c r="B1111" s="48"/>
      <c r="D1111" s="48"/>
    </row>
    <row r="1112" spans="2:4">
      <c r="B1112" s="48"/>
      <c r="D1112" s="48"/>
    </row>
    <row r="1113" spans="2:4">
      <c r="B1113" s="48"/>
      <c r="D1113" s="48"/>
    </row>
    <row r="1114" spans="2:4">
      <c r="B1114" s="48"/>
      <c r="D1114" s="48"/>
    </row>
    <row r="1115" spans="2:4">
      <c r="B1115" s="48"/>
      <c r="D1115" s="48"/>
    </row>
    <row r="1116" spans="2:4">
      <c r="B1116" s="48"/>
      <c r="D1116" s="48"/>
    </row>
    <row r="1117" spans="2:4">
      <c r="B1117" s="48"/>
      <c r="D1117" s="48"/>
    </row>
    <row r="1118" spans="2:4">
      <c r="B1118" s="48"/>
      <c r="D1118" s="48"/>
    </row>
    <row r="1119" spans="2:4">
      <c r="B1119" s="48"/>
      <c r="D1119" s="48"/>
    </row>
    <row r="1120" spans="2:4">
      <c r="B1120" s="48"/>
      <c r="D1120" s="48"/>
    </row>
    <row r="1121" spans="2:4">
      <c r="B1121" s="48"/>
      <c r="D1121" s="48"/>
    </row>
    <row r="1122" spans="2:4">
      <c r="B1122" s="48"/>
      <c r="D1122" s="48"/>
    </row>
    <row r="1123" spans="2:4">
      <c r="B1123" s="48"/>
      <c r="D1123" s="48"/>
    </row>
    <row r="1124" spans="2:4">
      <c r="B1124" s="48"/>
      <c r="D1124" s="48"/>
    </row>
    <row r="1125" spans="2:4">
      <c r="B1125" s="48"/>
      <c r="D1125" s="48"/>
    </row>
    <row r="1126" spans="2:4">
      <c r="B1126" s="48"/>
      <c r="D1126" s="48"/>
    </row>
    <row r="1127" spans="2:4">
      <c r="B1127" s="48"/>
      <c r="D1127" s="48"/>
    </row>
    <row r="1128" spans="2:4">
      <c r="B1128" s="48"/>
      <c r="D1128" s="48"/>
    </row>
    <row r="1129" spans="2:4">
      <c r="B1129" s="48"/>
      <c r="D1129" s="48"/>
    </row>
    <row r="1130" spans="2:4">
      <c r="B1130" s="48"/>
      <c r="D1130" s="48"/>
    </row>
    <row r="1131" spans="2:4">
      <c r="B1131" s="48"/>
      <c r="D1131" s="48"/>
    </row>
    <row r="1132" spans="2:4">
      <c r="B1132" s="48"/>
      <c r="D1132" s="48"/>
    </row>
    <row r="1133" spans="2:4">
      <c r="B1133" s="48"/>
      <c r="D1133" s="48"/>
    </row>
    <row r="1134" spans="2:4">
      <c r="B1134" s="48"/>
      <c r="D1134" s="48"/>
    </row>
    <row r="1135" spans="2:4">
      <c r="B1135" s="48"/>
      <c r="D1135" s="48"/>
    </row>
    <row r="1136" spans="2:4">
      <c r="B1136" s="48"/>
      <c r="D1136" s="48"/>
    </row>
    <row r="1137" spans="2:4">
      <c r="B1137" s="48"/>
      <c r="D1137" s="48"/>
    </row>
    <row r="1138" spans="2:4">
      <c r="B1138" s="48"/>
      <c r="D1138" s="48"/>
    </row>
    <row r="1139" spans="2:4">
      <c r="B1139" s="48"/>
      <c r="D1139" s="48"/>
    </row>
    <row r="1140" spans="2:4">
      <c r="B1140" s="48"/>
      <c r="D1140" s="48"/>
    </row>
    <row r="1141" spans="2:4">
      <c r="B1141" s="48"/>
      <c r="D1141" s="48"/>
    </row>
    <row r="1142" spans="2:4">
      <c r="B1142" s="48"/>
      <c r="D1142" s="48"/>
    </row>
    <row r="1143" spans="2:4">
      <c r="B1143" s="48"/>
      <c r="D1143" s="48"/>
    </row>
    <row r="1144" spans="2:4">
      <c r="B1144" s="48"/>
      <c r="D1144" s="48"/>
    </row>
    <row r="1145" spans="2:4">
      <c r="B1145" s="48"/>
      <c r="D1145" s="48"/>
    </row>
    <row r="1146" spans="2:4">
      <c r="B1146" s="48"/>
      <c r="D1146" s="48"/>
    </row>
    <row r="1147" spans="2:4">
      <c r="B1147" s="48"/>
      <c r="D1147" s="48"/>
    </row>
    <row r="1148" spans="2:4">
      <c r="B1148" s="48"/>
      <c r="D1148" s="48"/>
    </row>
    <row r="1149" spans="2:4">
      <c r="B1149" s="48"/>
      <c r="D1149" s="48"/>
    </row>
    <row r="1150" spans="2:4">
      <c r="B1150" s="48"/>
      <c r="D1150" s="48"/>
    </row>
    <row r="1151" spans="2:4">
      <c r="B1151" s="48"/>
      <c r="D1151" s="48"/>
    </row>
    <row r="1152" spans="2:4">
      <c r="B1152" s="48"/>
      <c r="D1152" s="48"/>
    </row>
    <row r="1153" spans="2:4">
      <c r="B1153" s="48"/>
      <c r="D1153" s="48"/>
    </row>
    <row r="1154" spans="2:4">
      <c r="B1154" s="48"/>
      <c r="D1154" s="48"/>
    </row>
    <row r="1155" spans="2:4">
      <c r="B1155" s="48"/>
      <c r="D1155" s="48"/>
    </row>
    <row r="1156" spans="2:4">
      <c r="B1156" s="48"/>
      <c r="D1156" s="48"/>
    </row>
    <row r="1157" spans="2:4">
      <c r="B1157" s="48"/>
      <c r="D1157" s="48"/>
    </row>
    <row r="1158" spans="2:4">
      <c r="B1158" s="48"/>
      <c r="D1158" s="48"/>
    </row>
    <row r="1159" spans="2:4">
      <c r="B1159" s="48"/>
      <c r="D1159" s="48"/>
    </row>
    <row r="1160" spans="2:4">
      <c r="B1160" s="48"/>
      <c r="D1160" s="48"/>
    </row>
    <row r="1161" spans="2:4">
      <c r="B1161" s="48"/>
      <c r="D1161" s="48"/>
    </row>
    <row r="1162" spans="2:4">
      <c r="B1162" s="48"/>
      <c r="D1162" s="48"/>
    </row>
    <row r="1163" spans="2:4">
      <c r="B1163" s="48"/>
      <c r="D1163" s="48"/>
    </row>
    <row r="1164" spans="2:4">
      <c r="B1164" s="48"/>
      <c r="D1164" s="48"/>
    </row>
    <row r="1165" spans="2:4">
      <c r="B1165" s="48"/>
      <c r="D1165" s="48"/>
    </row>
    <row r="1166" spans="2:4">
      <c r="B1166" s="48"/>
      <c r="D1166" s="48"/>
    </row>
    <row r="1167" spans="2:4">
      <c r="B1167" s="48"/>
      <c r="D1167" s="48"/>
    </row>
    <row r="1168" spans="2:4">
      <c r="B1168" s="48"/>
      <c r="D1168" s="48"/>
    </row>
    <row r="1169" spans="2:4">
      <c r="B1169" s="48"/>
      <c r="D1169" s="48"/>
    </row>
    <row r="1170" spans="2:4">
      <c r="B1170" s="48"/>
      <c r="D1170" s="48"/>
    </row>
    <row r="1171" spans="2:4">
      <c r="B1171" s="48"/>
      <c r="D1171" s="48"/>
    </row>
    <row r="1172" spans="2:4">
      <c r="B1172" s="48"/>
      <c r="D1172" s="48"/>
    </row>
    <row r="1173" spans="2:4">
      <c r="B1173" s="48"/>
      <c r="D1173" s="48"/>
    </row>
    <row r="1174" spans="2:4">
      <c r="B1174" s="48"/>
      <c r="D1174" s="48"/>
    </row>
    <row r="1175" spans="2:4">
      <c r="B1175" s="48"/>
      <c r="D1175" s="48"/>
    </row>
    <row r="1176" spans="2:4">
      <c r="B1176" s="48"/>
      <c r="D1176" s="48"/>
    </row>
    <row r="1177" spans="2:4">
      <c r="B1177" s="48"/>
      <c r="D1177" s="48"/>
    </row>
    <row r="1178" spans="2:4">
      <c r="B1178" s="48"/>
      <c r="D1178" s="48"/>
    </row>
    <row r="1179" spans="2:4">
      <c r="B1179" s="48"/>
      <c r="D1179" s="48"/>
    </row>
    <row r="1180" spans="2:4">
      <c r="B1180" s="48"/>
      <c r="D1180" s="48"/>
    </row>
    <row r="1181" spans="2:4">
      <c r="B1181" s="48"/>
      <c r="D1181" s="48"/>
    </row>
    <row r="1182" spans="2:4">
      <c r="B1182" s="48"/>
      <c r="D1182" s="48"/>
    </row>
    <row r="1183" spans="2:4">
      <c r="B1183" s="48"/>
      <c r="D1183" s="48"/>
    </row>
    <row r="1184" spans="2:4">
      <c r="B1184" s="48"/>
      <c r="D1184" s="48"/>
    </row>
    <row r="1185" spans="2:4">
      <c r="B1185" s="48"/>
      <c r="D1185" s="48"/>
    </row>
    <row r="1186" spans="2:4">
      <c r="B1186" s="48"/>
      <c r="D1186" s="48"/>
    </row>
    <row r="1187" spans="2:4">
      <c r="B1187" s="48"/>
      <c r="D1187" s="48"/>
    </row>
    <row r="1188" spans="2:4">
      <c r="B1188" s="48"/>
      <c r="D1188" s="48"/>
    </row>
    <row r="1189" spans="2:4">
      <c r="B1189" s="48"/>
      <c r="D1189" s="48"/>
    </row>
    <row r="1190" spans="2:4">
      <c r="B1190" s="48"/>
      <c r="D1190" s="48"/>
    </row>
    <row r="1191" spans="2:4">
      <c r="B1191" s="48"/>
      <c r="D1191" s="48"/>
    </row>
    <row r="1192" spans="2:4">
      <c r="B1192" s="48"/>
      <c r="D1192" s="48"/>
    </row>
    <row r="1193" spans="2:4">
      <c r="B1193" s="48"/>
      <c r="D1193" s="48"/>
    </row>
    <row r="1194" spans="2:4">
      <c r="B1194" s="48"/>
      <c r="D1194" s="48"/>
    </row>
    <row r="1195" spans="2:4">
      <c r="B1195" s="48"/>
      <c r="D1195" s="48"/>
    </row>
    <row r="1196" spans="2:4">
      <c r="B1196" s="48"/>
      <c r="D1196" s="48"/>
    </row>
    <row r="1197" spans="2:4">
      <c r="B1197" s="48"/>
      <c r="D1197" s="48"/>
    </row>
    <row r="1198" spans="2:4">
      <c r="B1198" s="48"/>
      <c r="D1198" s="48"/>
    </row>
    <row r="1199" spans="2:4">
      <c r="B1199" s="48"/>
      <c r="D1199" s="48"/>
    </row>
    <row r="1200" spans="2:4">
      <c r="B1200" s="48"/>
      <c r="D1200" s="48"/>
    </row>
    <row r="1201" spans="2:4">
      <c r="B1201" s="48"/>
      <c r="D1201" s="48"/>
    </row>
    <row r="1202" spans="2:4">
      <c r="B1202" s="48"/>
      <c r="D1202" s="48"/>
    </row>
    <row r="1203" spans="2:4">
      <c r="B1203" s="48"/>
      <c r="D1203" s="48"/>
    </row>
    <row r="1204" spans="2:4">
      <c r="B1204" s="48"/>
      <c r="D1204" s="48"/>
    </row>
    <row r="1205" spans="2:4">
      <c r="B1205" s="48"/>
      <c r="D1205" s="48"/>
    </row>
    <row r="1206" spans="2:4">
      <c r="B1206" s="48"/>
      <c r="D1206" s="48"/>
    </row>
    <row r="1207" spans="2:4">
      <c r="B1207" s="48"/>
      <c r="D1207" s="48"/>
    </row>
    <row r="1208" spans="2:4">
      <c r="B1208" s="48"/>
      <c r="D1208" s="48"/>
    </row>
    <row r="1209" spans="2:4">
      <c r="B1209" s="48"/>
      <c r="D1209" s="48"/>
    </row>
    <row r="1210" spans="2:4">
      <c r="B1210" s="48"/>
      <c r="D1210" s="48"/>
    </row>
    <row r="1211" spans="2:4">
      <c r="B1211" s="48"/>
      <c r="D1211" s="48"/>
    </row>
    <row r="1212" spans="2:4">
      <c r="B1212" s="48"/>
      <c r="D1212" s="48"/>
    </row>
    <row r="1213" spans="2:4">
      <c r="B1213" s="48"/>
      <c r="D1213" s="48"/>
    </row>
    <row r="1214" spans="2:4">
      <c r="B1214" s="48"/>
      <c r="D1214" s="48"/>
    </row>
    <row r="1215" spans="2:4">
      <c r="B1215" s="48"/>
      <c r="D1215" s="48"/>
    </row>
    <row r="1216" spans="2:4">
      <c r="B1216" s="48"/>
      <c r="D1216" s="48"/>
    </row>
    <row r="1217" spans="2:4">
      <c r="B1217" s="48"/>
      <c r="D1217" s="48"/>
    </row>
    <row r="1218" spans="2:4">
      <c r="B1218" s="48"/>
      <c r="D1218" s="48"/>
    </row>
    <row r="1219" spans="2:4">
      <c r="B1219" s="48"/>
      <c r="D1219" s="48"/>
    </row>
    <row r="1220" spans="2:4">
      <c r="B1220" s="48"/>
      <c r="D1220" s="48"/>
    </row>
    <row r="1221" spans="2:4">
      <c r="B1221" s="48"/>
      <c r="D1221" s="48"/>
    </row>
    <row r="1222" spans="2:4">
      <c r="B1222" s="48"/>
      <c r="D1222" s="48"/>
    </row>
    <row r="1223" spans="2:4">
      <c r="B1223" s="48"/>
      <c r="D1223" s="48"/>
    </row>
    <row r="1224" spans="2:4">
      <c r="B1224" s="48"/>
      <c r="D1224" s="48"/>
    </row>
    <row r="1225" spans="2:4">
      <c r="B1225" s="48"/>
      <c r="D1225" s="48"/>
    </row>
    <row r="1226" spans="2:4">
      <c r="B1226" s="48"/>
      <c r="D1226" s="48"/>
    </row>
    <row r="1227" spans="2:4">
      <c r="B1227" s="48"/>
      <c r="D1227" s="48"/>
    </row>
    <row r="1228" spans="2:4">
      <c r="B1228" s="48"/>
      <c r="D1228" s="48"/>
    </row>
    <row r="1229" spans="2:4">
      <c r="B1229" s="48"/>
      <c r="D1229" s="48"/>
    </row>
    <row r="1230" spans="2:4">
      <c r="B1230" s="48"/>
      <c r="D1230" s="48"/>
    </row>
    <row r="1231" spans="2:4">
      <c r="B1231" s="48"/>
      <c r="D1231" s="48"/>
    </row>
    <row r="1232" spans="2:4">
      <c r="B1232" s="48"/>
      <c r="D1232" s="48"/>
    </row>
    <row r="1233" spans="2:4">
      <c r="B1233" s="48"/>
      <c r="D1233" s="48"/>
    </row>
    <row r="1234" spans="2:4">
      <c r="B1234" s="48"/>
      <c r="D1234" s="48"/>
    </row>
    <row r="1235" spans="2:4">
      <c r="B1235" s="48"/>
      <c r="D1235" s="48"/>
    </row>
    <row r="1236" spans="2:4">
      <c r="B1236" s="48"/>
      <c r="D1236" s="48"/>
    </row>
    <row r="1237" spans="2:4">
      <c r="B1237" s="48"/>
      <c r="D1237" s="48"/>
    </row>
    <row r="1238" spans="2:4">
      <c r="B1238" s="48"/>
      <c r="D1238" s="48"/>
    </row>
    <row r="1239" spans="2:4">
      <c r="B1239" s="48"/>
      <c r="D1239" s="48"/>
    </row>
    <row r="1240" spans="2:4">
      <c r="B1240" s="48"/>
      <c r="D1240" s="48"/>
    </row>
    <row r="1241" spans="2:4">
      <c r="B1241" s="48"/>
      <c r="D1241" s="48"/>
    </row>
    <row r="1242" spans="2:4">
      <c r="B1242" s="48"/>
      <c r="D1242" s="48"/>
    </row>
    <row r="1243" spans="2:4">
      <c r="B1243" s="48"/>
      <c r="D1243" s="48"/>
    </row>
    <row r="1244" spans="2:4">
      <c r="B1244" s="48"/>
      <c r="D1244" s="48"/>
    </row>
    <row r="1245" spans="2:4">
      <c r="B1245" s="48"/>
      <c r="D1245" s="48"/>
    </row>
    <row r="1246" spans="2:4">
      <c r="B1246" s="48"/>
      <c r="D1246" s="48"/>
    </row>
    <row r="1247" spans="2:4">
      <c r="B1247" s="48"/>
      <c r="D1247" s="48"/>
    </row>
    <row r="1248" spans="2:4">
      <c r="B1248" s="48"/>
      <c r="D1248" s="48"/>
    </row>
    <row r="1249" spans="2:4">
      <c r="B1249" s="48"/>
      <c r="D1249" s="48"/>
    </row>
    <row r="1250" spans="2:4">
      <c r="B1250" s="48"/>
      <c r="D1250" s="48"/>
    </row>
    <row r="1251" spans="2:4">
      <c r="B1251" s="48"/>
      <c r="D1251" s="48"/>
    </row>
    <row r="1252" spans="2:4">
      <c r="B1252" s="48"/>
      <c r="D1252" s="48"/>
    </row>
    <row r="1253" spans="2:4">
      <c r="B1253" s="48"/>
      <c r="D1253" s="48"/>
    </row>
    <row r="1254" spans="2:4">
      <c r="B1254" s="48"/>
      <c r="D1254" s="48"/>
    </row>
    <row r="1255" spans="2:4">
      <c r="B1255" s="48"/>
      <c r="D1255" s="48"/>
    </row>
    <row r="1256" spans="2:4">
      <c r="B1256" s="48"/>
      <c r="D1256" s="48"/>
    </row>
    <row r="1257" spans="2:4">
      <c r="B1257" s="48"/>
      <c r="D1257" s="48"/>
    </row>
    <row r="1258" spans="2:4">
      <c r="B1258" s="48"/>
      <c r="D1258" s="48"/>
    </row>
    <row r="1259" spans="2:4">
      <c r="B1259" s="48"/>
      <c r="D1259" s="48"/>
    </row>
    <row r="1260" spans="2:4">
      <c r="B1260" s="48"/>
      <c r="D1260" s="48"/>
    </row>
    <row r="1261" spans="2:4">
      <c r="B1261" s="48"/>
      <c r="D1261" s="48"/>
    </row>
    <row r="1262" spans="2:4">
      <c r="B1262" s="48"/>
      <c r="D1262" s="48"/>
    </row>
    <row r="1263" spans="2:4">
      <c r="B1263" s="48"/>
      <c r="D1263" s="48"/>
    </row>
    <row r="1264" spans="2:4">
      <c r="B1264" s="48"/>
      <c r="D1264" s="48"/>
    </row>
    <row r="1265" spans="2:4">
      <c r="B1265" s="48"/>
      <c r="D1265" s="48"/>
    </row>
    <row r="1266" spans="2:4">
      <c r="B1266" s="48"/>
      <c r="D1266" s="48"/>
    </row>
    <row r="1267" spans="2:4">
      <c r="B1267" s="48"/>
      <c r="D1267" s="48"/>
    </row>
    <row r="1268" spans="2:4">
      <c r="B1268" s="48"/>
      <c r="D1268" s="48"/>
    </row>
    <row r="1269" spans="2:4">
      <c r="B1269" s="48"/>
      <c r="D1269" s="48"/>
    </row>
    <row r="1270" spans="2:4">
      <c r="B1270" s="48"/>
      <c r="D1270" s="48"/>
    </row>
    <row r="1271" spans="2:4">
      <c r="B1271" s="48"/>
      <c r="D1271" s="48"/>
    </row>
    <row r="1272" spans="2:4">
      <c r="B1272" s="48"/>
      <c r="D1272" s="48"/>
    </row>
    <row r="1273" spans="2:4">
      <c r="B1273" s="48"/>
      <c r="D1273" s="48"/>
    </row>
    <row r="1274" spans="2:4">
      <c r="B1274" s="48"/>
      <c r="D1274" s="48"/>
    </row>
    <row r="1275" spans="2:4">
      <c r="B1275" s="48"/>
      <c r="D1275" s="48"/>
    </row>
    <row r="1276" spans="2:4">
      <c r="B1276" s="48"/>
      <c r="D1276" s="48"/>
    </row>
    <row r="1277" spans="2:4">
      <c r="B1277" s="48"/>
      <c r="D1277" s="48"/>
    </row>
    <row r="1278" spans="2:4">
      <c r="B1278" s="48"/>
      <c r="D1278" s="48"/>
    </row>
    <row r="1279" spans="2:4">
      <c r="B1279" s="48"/>
      <c r="D1279" s="48"/>
    </row>
    <row r="1280" spans="2:4">
      <c r="B1280" s="48"/>
      <c r="D1280" s="48"/>
    </row>
    <row r="1281" spans="2:4">
      <c r="B1281" s="48"/>
      <c r="D1281" s="48"/>
    </row>
    <row r="1282" spans="2:4">
      <c r="B1282" s="48"/>
      <c r="D1282" s="48"/>
    </row>
    <row r="1283" spans="2:4">
      <c r="B1283" s="48"/>
      <c r="D1283" s="48"/>
    </row>
    <row r="1284" spans="2:4">
      <c r="B1284" s="48"/>
      <c r="D1284" s="48"/>
    </row>
    <row r="1285" spans="2:4">
      <c r="B1285" s="48"/>
      <c r="D1285" s="48"/>
    </row>
    <row r="1286" spans="2:4">
      <c r="B1286" s="48"/>
      <c r="D1286" s="48"/>
    </row>
    <row r="1287" spans="2:4">
      <c r="B1287" s="48"/>
      <c r="D1287" s="48"/>
    </row>
    <row r="1288" spans="2:4">
      <c r="B1288" s="48"/>
      <c r="D1288" s="48"/>
    </row>
    <row r="1289" spans="2:4">
      <c r="B1289" s="48"/>
      <c r="D1289" s="48"/>
    </row>
    <row r="1290" spans="2:4">
      <c r="B1290" s="48"/>
      <c r="D1290" s="48"/>
    </row>
    <row r="1291" spans="2:4">
      <c r="B1291" s="48"/>
      <c r="D1291" s="48"/>
    </row>
    <row r="1292" spans="2:4">
      <c r="B1292" s="48"/>
      <c r="D1292" s="48"/>
    </row>
    <row r="1293" spans="2:4">
      <c r="B1293" s="48"/>
      <c r="D1293" s="48"/>
    </row>
    <row r="1294" spans="2:4">
      <c r="B1294" s="48"/>
      <c r="D1294" s="48"/>
    </row>
    <row r="1295" spans="2:4">
      <c r="B1295" s="48"/>
      <c r="D1295" s="48"/>
    </row>
    <row r="1296" spans="2:4">
      <c r="B1296" s="48"/>
      <c r="D1296" s="48"/>
    </row>
    <row r="1297" spans="2:4">
      <c r="B1297" s="48"/>
      <c r="D1297" s="48"/>
    </row>
    <row r="1298" spans="2:4">
      <c r="B1298" s="48"/>
      <c r="D1298" s="48"/>
    </row>
    <row r="1299" spans="2:4">
      <c r="B1299" s="48"/>
      <c r="D1299" s="48"/>
    </row>
    <row r="1300" spans="2:4">
      <c r="B1300" s="48"/>
      <c r="D1300" s="48"/>
    </row>
    <row r="1301" spans="2:4">
      <c r="B1301" s="48"/>
      <c r="D1301" s="48"/>
    </row>
    <row r="1302" spans="2:4">
      <c r="B1302" s="48"/>
      <c r="D1302" s="48"/>
    </row>
    <row r="1303" spans="2:4">
      <c r="B1303" s="48"/>
      <c r="D1303" s="48"/>
    </row>
    <row r="1304" spans="2:4">
      <c r="B1304" s="48"/>
      <c r="D1304" s="48"/>
    </row>
    <row r="1305" spans="2:4">
      <c r="B1305" s="48"/>
      <c r="D1305" s="48"/>
    </row>
    <row r="1306" spans="2:4">
      <c r="B1306" s="48"/>
      <c r="D1306" s="48"/>
    </row>
    <row r="1307" spans="2:4">
      <c r="B1307" s="48"/>
      <c r="D1307" s="48"/>
    </row>
    <row r="1308" spans="2:4">
      <c r="B1308" s="48"/>
      <c r="D1308" s="48"/>
    </row>
    <row r="1309" spans="2:4">
      <c r="B1309" s="48"/>
      <c r="D1309" s="48"/>
    </row>
    <row r="1310" spans="2:4">
      <c r="B1310" s="48"/>
      <c r="D1310" s="48"/>
    </row>
    <row r="1311" spans="2:4">
      <c r="B1311" s="48"/>
      <c r="D1311" s="48"/>
    </row>
    <row r="1312" spans="2:4">
      <c r="B1312" s="48"/>
      <c r="D1312" s="48"/>
    </row>
    <row r="1313" spans="2:4">
      <c r="B1313" s="48"/>
      <c r="D1313" s="48"/>
    </row>
    <row r="1314" spans="2:4">
      <c r="B1314" s="48"/>
      <c r="D1314" s="48"/>
    </row>
    <row r="1315" spans="2:4">
      <c r="B1315" s="48"/>
      <c r="D1315" s="48"/>
    </row>
    <row r="1316" spans="2:4">
      <c r="B1316" s="48"/>
      <c r="D1316" s="48"/>
    </row>
    <row r="1317" spans="2:4">
      <c r="B1317" s="48"/>
      <c r="D1317" s="48"/>
    </row>
    <row r="1318" spans="2:4">
      <c r="B1318" s="48"/>
      <c r="D1318" s="48"/>
    </row>
    <row r="1319" spans="2:4">
      <c r="B1319" s="48"/>
      <c r="D1319" s="48"/>
    </row>
    <row r="1320" spans="2:4">
      <c r="B1320" s="48"/>
      <c r="D1320" s="48"/>
    </row>
    <row r="1321" spans="2:4">
      <c r="B1321" s="48"/>
      <c r="D1321" s="48"/>
    </row>
    <row r="1322" spans="2:4">
      <c r="B1322" s="48"/>
      <c r="D1322" s="48"/>
    </row>
    <row r="1323" spans="2:4">
      <c r="B1323" s="48"/>
      <c r="D1323" s="48"/>
    </row>
    <row r="1324" spans="2:4">
      <c r="B1324" s="48"/>
      <c r="D1324" s="48"/>
    </row>
    <row r="1325" spans="2:4">
      <c r="B1325" s="48"/>
      <c r="D1325" s="48"/>
    </row>
    <row r="1326" spans="2:4">
      <c r="B1326" s="48"/>
      <c r="D1326" s="48"/>
    </row>
    <row r="1327" spans="2:4">
      <c r="B1327" s="48"/>
      <c r="D1327" s="48"/>
    </row>
    <row r="1328" spans="2:4">
      <c r="B1328" s="48"/>
      <c r="D1328" s="48"/>
    </row>
    <row r="1329" spans="2:4">
      <c r="B1329" s="48"/>
      <c r="D1329" s="48"/>
    </row>
    <row r="1330" spans="2:4">
      <c r="B1330" s="48"/>
      <c r="D1330" s="48"/>
    </row>
    <row r="1331" spans="2:4">
      <c r="B1331" s="48"/>
      <c r="D1331" s="48"/>
    </row>
    <row r="1332" spans="2:4">
      <c r="B1332" s="48"/>
      <c r="D1332" s="48"/>
    </row>
    <row r="1333" spans="2:4">
      <c r="B1333" s="48"/>
      <c r="D1333" s="48"/>
    </row>
    <row r="1334" spans="2:4">
      <c r="B1334" s="48"/>
      <c r="D1334" s="48"/>
    </row>
    <row r="1335" spans="2:4">
      <c r="B1335" s="48"/>
      <c r="D1335" s="48"/>
    </row>
    <row r="1336" spans="2:4">
      <c r="B1336" s="48"/>
      <c r="D1336" s="48"/>
    </row>
    <row r="1337" spans="2:4">
      <c r="B1337" s="48"/>
      <c r="D1337" s="48"/>
    </row>
    <row r="1338" spans="2:4">
      <c r="B1338" s="48"/>
      <c r="D1338" s="48"/>
    </row>
    <row r="1339" spans="2:4">
      <c r="B1339" s="48"/>
      <c r="D1339" s="48"/>
    </row>
    <row r="1340" spans="2:4">
      <c r="B1340" s="48"/>
      <c r="D1340" s="48"/>
    </row>
    <row r="1341" spans="2:4">
      <c r="B1341" s="48"/>
      <c r="D1341" s="48"/>
    </row>
    <row r="1342" spans="2:4">
      <c r="B1342" s="48"/>
      <c r="D1342" s="48"/>
    </row>
    <row r="1343" spans="2:4">
      <c r="B1343" s="48"/>
      <c r="D1343" s="48"/>
    </row>
    <row r="1344" spans="2:4">
      <c r="B1344" s="48"/>
      <c r="D1344" s="48"/>
    </row>
    <row r="1345" spans="2:4">
      <c r="B1345" s="48"/>
      <c r="D1345" s="48"/>
    </row>
    <row r="1346" spans="2:4">
      <c r="B1346" s="48"/>
      <c r="D1346" s="48"/>
    </row>
    <row r="1347" spans="2:4">
      <c r="B1347" s="48"/>
      <c r="D1347" s="48"/>
    </row>
    <row r="1348" spans="2:4">
      <c r="B1348" s="48"/>
      <c r="D1348" s="48"/>
    </row>
    <row r="1349" spans="2:4">
      <c r="B1349" s="48"/>
      <c r="D1349" s="48"/>
    </row>
    <row r="1350" spans="2:4">
      <c r="B1350" s="48"/>
      <c r="D1350" s="48"/>
    </row>
    <row r="1351" spans="2:4">
      <c r="B1351" s="48"/>
      <c r="D1351" s="48"/>
    </row>
    <row r="1352" spans="2:4">
      <c r="B1352" s="48"/>
      <c r="D1352" s="48"/>
    </row>
    <row r="1353" spans="2:4">
      <c r="B1353" s="48"/>
      <c r="D1353" s="48"/>
    </row>
    <row r="1354" spans="2:4">
      <c r="B1354" s="48"/>
      <c r="D1354" s="48"/>
    </row>
    <row r="1355" spans="2:4">
      <c r="B1355" s="48"/>
      <c r="D1355" s="48"/>
    </row>
    <row r="1356" spans="2:4">
      <c r="B1356" s="48"/>
      <c r="D1356" s="48"/>
    </row>
    <row r="1357" spans="2:4">
      <c r="B1357" s="48"/>
      <c r="D1357" s="48"/>
    </row>
    <row r="1358" spans="2:4">
      <c r="B1358" s="48"/>
      <c r="D1358" s="48"/>
    </row>
    <row r="1359" spans="2:4">
      <c r="B1359" s="48"/>
      <c r="D1359" s="48"/>
    </row>
    <row r="1360" spans="2:4">
      <c r="B1360" s="48"/>
      <c r="D1360" s="48"/>
    </row>
    <row r="1361" spans="2:4">
      <c r="B1361" s="48"/>
      <c r="D1361" s="48"/>
    </row>
    <row r="1362" spans="2:4">
      <c r="B1362" s="48"/>
      <c r="D1362" s="48"/>
    </row>
    <row r="1363" spans="2:4">
      <c r="B1363" s="48"/>
      <c r="D1363" s="48"/>
    </row>
    <row r="1364" spans="2:4">
      <c r="B1364" s="48"/>
      <c r="D1364" s="48"/>
    </row>
    <row r="1365" spans="2:4">
      <c r="B1365" s="48"/>
      <c r="D1365" s="48"/>
    </row>
    <row r="1366" spans="2:4">
      <c r="B1366" s="48"/>
      <c r="D1366" s="48"/>
    </row>
    <row r="1367" spans="2:4">
      <c r="B1367" s="48"/>
      <c r="D1367" s="48"/>
    </row>
    <row r="1368" spans="2:4">
      <c r="B1368" s="48"/>
      <c r="D1368" s="48"/>
    </row>
    <row r="1369" spans="2:4">
      <c r="B1369" s="48"/>
      <c r="D1369" s="48"/>
    </row>
    <row r="1370" spans="2:4">
      <c r="B1370" s="48"/>
      <c r="D1370" s="48"/>
    </row>
    <row r="1371" spans="2:4">
      <c r="B1371" s="48"/>
      <c r="D1371" s="48"/>
    </row>
    <row r="1372" spans="2:4">
      <c r="B1372" s="48"/>
      <c r="D1372" s="48"/>
    </row>
    <row r="1373" spans="2:4">
      <c r="B1373" s="48"/>
      <c r="D1373" s="48"/>
    </row>
    <row r="1374" spans="2:4">
      <c r="B1374" s="48"/>
      <c r="D1374" s="48"/>
    </row>
    <row r="1375" spans="2:4">
      <c r="B1375" s="48"/>
      <c r="D1375" s="48"/>
    </row>
    <row r="1376" spans="2:4">
      <c r="B1376" s="48"/>
      <c r="D1376" s="48"/>
    </row>
    <row r="1377" spans="2:4">
      <c r="B1377" s="48"/>
      <c r="D1377" s="48"/>
    </row>
    <row r="1378" spans="2:4">
      <c r="B1378" s="48"/>
      <c r="D1378" s="48"/>
    </row>
    <row r="1379" spans="2:4">
      <c r="B1379" s="48"/>
      <c r="D1379" s="48"/>
    </row>
    <row r="1380" spans="2:4">
      <c r="B1380" s="48"/>
      <c r="D1380" s="48"/>
    </row>
    <row r="1381" spans="2:4">
      <c r="B1381" s="48"/>
      <c r="D1381" s="48"/>
    </row>
    <row r="1382" spans="2:4">
      <c r="B1382" s="48"/>
      <c r="D1382" s="48"/>
    </row>
    <row r="1383" spans="2:4">
      <c r="B1383" s="48"/>
      <c r="D1383" s="48"/>
    </row>
    <row r="1384" spans="2:4">
      <c r="B1384" s="48"/>
      <c r="D1384" s="48"/>
    </row>
    <row r="1385" spans="2:4">
      <c r="B1385" s="48"/>
      <c r="D1385" s="48"/>
    </row>
    <row r="1386" spans="2:4">
      <c r="B1386" s="48"/>
      <c r="D1386" s="48"/>
    </row>
    <row r="1387" spans="2:4">
      <c r="B1387" s="48"/>
      <c r="D1387" s="48"/>
    </row>
    <row r="1388" spans="2:4">
      <c r="B1388" s="48"/>
      <c r="D1388" s="48"/>
    </row>
    <row r="1389" spans="2:4">
      <c r="B1389" s="48"/>
      <c r="D1389" s="48"/>
    </row>
    <row r="1390" spans="2:4">
      <c r="B1390" s="48"/>
      <c r="D1390" s="48"/>
    </row>
    <row r="1391" spans="2:4">
      <c r="B1391" s="48"/>
      <c r="D1391" s="48"/>
    </row>
    <row r="1392" spans="2:4">
      <c r="B1392" s="48"/>
      <c r="D1392" s="48"/>
    </row>
    <row r="1393" spans="2:4">
      <c r="B1393" s="48"/>
      <c r="D1393" s="48"/>
    </row>
    <row r="1394" spans="2:4">
      <c r="B1394" s="48"/>
      <c r="D1394" s="48"/>
    </row>
    <row r="1395" spans="2:4">
      <c r="B1395" s="48"/>
      <c r="D1395" s="48"/>
    </row>
    <row r="1396" spans="2:4">
      <c r="B1396" s="48"/>
      <c r="D1396" s="48"/>
    </row>
    <row r="1397" spans="2:4">
      <c r="B1397" s="48"/>
      <c r="D1397" s="48"/>
    </row>
    <row r="1398" spans="2:4">
      <c r="B1398" s="48"/>
      <c r="D1398" s="48"/>
    </row>
    <row r="1399" spans="2:4">
      <c r="B1399" s="48"/>
      <c r="D1399" s="48"/>
    </row>
    <row r="1400" spans="2:4">
      <c r="B1400" s="48"/>
      <c r="D1400" s="48"/>
    </row>
    <row r="1401" spans="2:4">
      <c r="B1401" s="48"/>
      <c r="D1401" s="48"/>
    </row>
    <row r="1402" spans="2:4">
      <c r="B1402" s="48"/>
      <c r="D1402" s="48"/>
    </row>
    <row r="1403" spans="2:4">
      <c r="B1403" s="48"/>
      <c r="D1403" s="48"/>
    </row>
    <row r="1404" spans="2:4">
      <c r="B1404" s="48"/>
      <c r="D1404" s="48"/>
    </row>
    <row r="1405" spans="2:4">
      <c r="B1405" s="48"/>
      <c r="D1405" s="48"/>
    </row>
    <row r="1406" spans="2:4">
      <c r="B1406" s="48"/>
      <c r="D1406" s="48"/>
    </row>
    <row r="1407" spans="2:4">
      <c r="B1407" s="48"/>
      <c r="D1407" s="48"/>
    </row>
    <row r="1408" spans="2:4">
      <c r="B1408" s="48"/>
      <c r="D1408" s="48"/>
    </row>
    <row r="1409" spans="2:4">
      <c r="B1409" s="48"/>
      <c r="D1409" s="48"/>
    </row>
    <row r="1410" spans="2:4">
      <c r="B1410" s="48"/>
      <c r="D1410" s="48"/>
    </row>
    <row r="1411" spans="2:4">
      <c r="B1411" s="48"/>
      <c r="D1411" s="48"/>
    </row>
    <row r="1412" spans="2:4">
      <c r="B1412" s="48"/>
      <c r="D1412" s="48"/>
    </row>
    <row r="1413" spans="2:4">
      <c r="B1413" s="48"/>
      <c r="D1413" s="48"/>
    </row>
    <row r="1414" spans="2:4">
      <c r="B1414" s="48"/>
      <c r="D1414" s="48"/>
    </row>
    <row r="1415" spans="2:4">
      <c r="B1415" s="48"/>
      <c r="D1415" s="48"/>
    </row>
    <row r="1416" spans="2:4">
      <c r="B1416" s="48"/>
      <c r="D1416" s="48"/>
    </row>
    <row r="1417" spans="2:4">
      <c r="B1417" s="48"/>
      <c r="D1417" s="48"/>
    </row>
    <row r="1418" spans="2:4">
      <c r="B1418" s="48"/>
      <c r="D1418" s="48"/>
    </row>
    <row r="1419" spans="2:4">
      <c r="B1419" s="48"/>
      <c r="D1419" s="48"/>
    </row>
    <row r="1420" spans="2:4">
      <c r="B1420" s="48"/>
      <c r="D1420" s="48"/>
    </row>
    <row r="1421" spans="2:4">
      <c r="B1421" s="48"/>
      <c r="D1421" s="48"/>
    </row>
    <row r="1422" spans="2:4">
      <c r="B1422" s="48"/>
      <c r="D1422" s="48"/>
    </row>
    <row r="1423" spans="2:4">
      <c r="B1423" s="48"/>
      <c r="D1423" s="48"/>
    </row>
    <row r="1424" spans="2:4">
      <c r="B1424" s="48"/>
      <c r="D1424" s="48"/>
    </row>
    <row r="1425" spans="2:4">
      <c r="B1425" s="48"/>
      <c r="D1425" s="48"/>
    </row>
    <row r="1426" spans="2:4">
      <c r="B1426" s="48"/>
      <c r="D1426" s="48"/>
    </row>
    <row r="1427" spans="2:4">
      <c r="B1427" s="48"/>
      <c r="D1427" s="48"/>
    </row>
    <row r="1428" spans="2:4">
      <c r="B1428" s="48"/>
      <c r="D1428" s="48"/>
    </row>
    <row r="1429" spans="2:4">
      <c r="B1429" s="48"/>
      <c r="D1429" s="48"/>
    </row>
    <row r="1430" spans="2:4">
      <c r="B1430" s="48"/>
      <c r="D1430" s="48"/>
    </row>
    <row r="1431" spans="2:4">
      <c r="B1431" s="48"/>
      <c r="D1431" s="48"/>
    </row>
    <row r="1432" spans="2:4">
      <c r="B1432" s="48"/>
      <c r="D1432" s="48"/>
    </row>
    <row r="1433" spans="2:4">
      <c r="B1433" s="48"/>
      <c r="D1433" s="48"/>
    </row>
    <row r="1434" spans="2:4">
      <c r="B1434" s="48"/>
      <c r="D1434" s="48"/>
    </row>
    <row r="1435" spans="2:4">
      <c r="B1435" s="48"/>
      <c r="D1435" s="48"/>
    </row>
    <row r="1436" spans="2:4">
      <c r="B1436" s="48"/>
      <c r="D1436" s="48"/>
    </row>
    <row r="1437" spans="2:4">
      <c r="B1437" s="48"/>
      <c r="D1437" s="48"/>
    </row>
    <row r="1438" spans="2:4">
      <c r="B1438" s="48"/>
      <c r="D1438" s="48"/>
    </row>
    <row r="1439" spans="2:4">
      <c r="B1439" s="48"/>
      <c r="D1439" s="48"/>
    </row>
    <row r="1440" spans="2:4">
      <c r="B1440" s="48"/>
      <c r="D1440" s="48"/>
    </row>
    <row r="1441" spans="2:4">
      <c r="B1441" s="48"/>
      <c r="D1441" s="48"/>
    </row>
    <row r="1442" spans="2:4">
      <c r="B1442" s="48"/>
      <c r="D1442" s="48"/>
    </row>
    <row r="1443" spans="2:4">
      <c r="B1443" s="48"/>
      <c r="D1443" s="48"/>
    </row>
    <row r="1444" spans="2:4">
      <c r="B1444" s="48"/>
      <c r="D1444" s="48"/>
    </row>
    <row r="1445" spans="2:4">
      <c r="B1445" s="48"/>
      <c r="D1445" s="48"/>
    </row>
    <row r="1446" spans="2:4">
      <c r="B1446" s="48"/>
      <c r="D1446" s="48"/>
    </row>
    <row r="1447" spans="2:4">
      <c r="B1447" s="48"/>
      <c r="D1447" s="48"/>
    </row>
    <row r="1448" spans="2:4">
      <c r="B1448" s="48"/>
      <c r="D1448" s="48"/>
    </row>
    <row r="1449" spans="2:4">
      <c r="B1449" s="48"/>
      <c r="D1449" s="48"/>
    </row>
    <row r="1450" spans="2:4">
      <c r="B1450" s="48"/>
      <c r="D1450" s="48"/>
    </row>
    <row r="1451" spans="2:4">
      <c r="B1451" s="48"/>
      <c r="D1451" s="48"/>
    </row>
    <row r="1452" spans="2:4">
      <c r="B1452" s="48"/>
      <c r="D1452" s="48"/>
    </row>
    <row r="1453" spans="2:4">
      <c r="B1453" s="48"/>
      <c r="D1453" s="48"/>
    </row>
    <row r="1454" spans="2:4">
      <c r="B1454" s="48"/>
      <c r="D1454" s="48"/>
    </row>
    <row r="1455" spans="2:4">
      <c r="B1455" s="48"/>
      <c r="D1455" s="48"/>
    </row>
    <row r="1456" spans="2:4">
      <c r="B1456" s="48"/>
      <c r="D1456" s="48"/>
    </row>
    <row r="1457" spans="2:4">
      <c r="B1457" s="48"/>
      <c r="D1457" s="48"/>
    </row>
    <row r="1458" spans="2:4">
      <c r="B1458" s="48"/>
      <c r="D1458" s="48"/>
    </row>
    <row r="1459" spans="2:4">
      <c r="B1459" s="48"/>
      <c r="D1459" s="48"/>
    </row>
    <row r="1460" spans="2:4">
      <c r="B1460" s="48"/>
      <c r="D1460" s="48"/>
    </row>
    <row r="1461" spans="2:4">
      <c r="B1461" s="48"/>
      <c r="D1461" s="48"/>
    </row>
    <row r="1462" spans="2:4">
      <c r="B1462" s="48"/>
      <c r="D1462" s="48"/>
    </row>
    <row r="1463" spans="2:4">
      <c r="B1463" s="48"/>
      <c r="D1463" s="48"/>
    </row>
    <row r="1464" spans="2:4">
      <c r="B1464" s="48"/>
      <c r="D1464" s="48"/>
    </row>
    <row r="1465" spans="2:4">
      <c r="B1465" s="48"/>
      <c r="D1465" s="48"/>
    </row>
    <row r="1466" spans="2:4">
      <c r="B1466" s="48"/>
      <c r="D1466" s="48"/>
    </row>
    <row r="1467" spans="2:4">
      <c r="B1467" s="48"/>
      <c r="D1467" s="48"/>
    </row>
    <row r="1468" spans="2:4">
      <c r="B1468" s="48"/>
      <c r="D1468" s="48"/>
    </row>
    <row r="1469" spans="2:4">
      <c r="B1469" s="48"/>
      <c r="D1469" s="48"/>
    </row>
    <row r="1470" spans="2:4">
      <c r="B1470" s="48"/>
      <c r="D1470" s="48"/>
    </row>
    <row r="1471" spans="2:4">
      <c r="B1471" s="48"/>
      <c r="D1471" s="48"/>
    </row>
    <row r="1472" spans="2:4">
      <c r="B1472" s="48"/>
      <c r="D1472" s="48"/>
    </row>
    <row r="1473" spans="2:4">
      <c r="B1473" s="48"/>
      <c r="D1473" s="48"/>
    </row>
    <row r="1474" spans="2:4">
      <c r="B1474" s="48"/>
      <c r="D1474" s="48"/>
    </row>
    <row r="1475" spans="2:4">
      <c r="B1475" s="48"/>
      <c r="D1475" s="48"/>
    </row>
    <row r="1476" spans="2:4">
      <c r="B1476" s="48"/>
      <c r="D1476" s="48"/>
    </row>
    <row r="1477" spans="2:4">
      <c r="B1477" s="48"/>
      <c r="D1477" s="48"/>
    </row>
    <row r="1478" spans="2:4">
      <c r="B1478" s="48"/>
      <c r="D1478" s="48"/>
    </row>
    <row r="1479" spans="2:4">
      <c r="B1479" s="48"/>
      <c r="D1479" s="48"/>
    </row>
    <row r="1480" spans="2:4">
      <c r="B1480" s="48"/>
      <c r="D1480" s="48"/>
    </row>
    <row r="1481" spans="2:4">
      <c r="B1481" s="48"/>
      <c r="D1481" s="48"/>
    </row>
    <row r="1482" spans="2:4">
      <c r="B1482" s="48"/>
      <c r="D1482" s="48"/>
    </row>
    <row r="1483" spans="2:4">
      <c r="B1483" s="48"/>
      <c r="D1483" s="48"/>
    </row>
    <row r="1484" spans="2:4">
      <c r="B1484" s="48"/>
      <c r="D1484" s="48"/>
    </row>
    <row r="1485" spans="2:4">
      <c r="B1485" s="48"/>
      <c r="D1485" s="48"/>
    </row>
    <row r="1486" spans="2:4">
      <c r="B1486" s="48"/>
      <c r="D1486" s="48"/>
    </row>
    <row r="1487" spans="2:4">
      <c r="B1487" s="48"/>
      <c r="D1487" s="48"/>
    </row>
    <row r="1488" spans="2:4">
      <c r="B1488" s="48"/>
      <c r="D1488" s="48"/>
    </row>
    <row r="1489" spans="2:4">
      <c r="B1489" s="48"/>
      <c r="D1489" s="48"/>
    </row>
    <row r="1490" spans="2:4">
      <c r="B1490" s="48"/>
      <c r="D1490" s="48"/>
    </row>
    <row r="1491" spans="2:4">
      <c r="B1491" s="48"/>
      <c r="D1491" s="48"/>
    </row>
    <row r="1492" spans="2:4">
      <c r="B1492" s="48"/>
      <c r="D1492" s="48"/>
    </row>
    <row r="1493" spans="2:4">
      <c r="B1493" s="48"/>
      <c r="D1493" s="48"/>
    </row>
    <row r="1494" spans="2:4">
      <c r="B1494" s="48"/>
      <c r="D1494" s="48"/>
    </row>
    <row r="1495" spans="2:4">
      <c r="B1495" s="48"/>
      <c r="D1495" s="48"/>
    </row>
    <row r="1496" spans="2:4">
      <c r="B1496" s="48"/>
      <c r="D1496" s="48"/>
    </row>
    <row r="1497" spans="2:4">
      <c r="B1497" s="48"/>
      <c r="D1497" s="48"/>
    </row>
    <row r="1498" spans="2:4">
      <c r="B1498" s="48"/>
      <c r="D1498" s="48"/>
    </row>
    <row r="1499" spans="2:4">
      <c r="B1499" s="48"/>
      <c r="D1499" s="48"/>
    </row>
    <row r="1500" spans="2:4">
      <c r="B1500" s="48"/>
      <c r="D1500" s="48"/>
    </row>
    <row r="1501" spans="2:4">
      <c r="B1501" s="48"/>
      <c r="D1501" s="48"/>
    </row>
    <row r="1502" spans="2:4">
      <c r="B1502" s="48"/>
      <c r="D1502" s="48"/>
    </row>
    <row r="1503" spans="2:4">
      <c r="B1503" s="48"/>
      <c r="D1503" s="48"/>
    </row>
    <row r="1504" spans="2:4">
      <c r="B1504" s="48"/>
      <c r="D1504" s="48"/>
    </row>
    <row r="1505" spans="2:4">
      <c r="B1505" s="48"/>
      <c r="D1505" s="48"/>
    </row>
    <row r="1506" spans="2:4">
      <c r="B1506" s="48"/>
      <c r="D1506" s="48"/>
    </row>
    <row r="1507" spans="2:4">
      <c r="B1507" s="48"/>
      <c r="D1507" s="48"/>
    </row>
    <row r="1508" spans="2:4">
      <c r="B1508" s="48"/>
      <c r="D1508" s="48"/>
    </row>
    <row r="1509" spans="2:4">
      <c r="B1509" s="48"/>
      <c r="D1509" s="48"/>
    </row>
    <row r="1510" spans="2:4">
      <c r="B1510" s="48"/>
      <c r="D1510" s="48"/>
    </row>
    <row r="1511" spans="2:4">
      <c r="B1511" s="48"/>
      <c r="D1511" s="48"/>
    </row>
    <row r="1512" spans="2:4">
      <c r="B1512" s="48"/>
      <c r="D1512" s="48"/>
    </row>
    <row r="1513" spans="2:4">
      <c r="B1513" s="48"/>
      <c r="D1513" s="48"/>
    </row>
    <row r="1514" spans="2:4">
      <c r="B1514" s="48"/>
      <c r="D1514" s="48"/>
    </row>
    <row r="1515" spans="2:4">
      <c r="B1515" s="48"/>
      <c r="D1515" s="48"/>
    </row>
    <row r="1516" spans="2:4">
      <c r="B1516" s="48"/>
      <c r="D1516" s="48"/>
    </row>
    <row r="1517" spans="2:4">
      <c r="B1517" s="48"/>
      <c r="D1517" s="48"/>
    </row>
    <row r="1518" spans="2:4">
      <c r="B1518" s="48"/>
      <c r="D1518" s="48"/>
    </row>
    <row r="1519" spans="2:4">
      <c r="B1519" s="48"/>
      <c r="D1519" s="48"/>
    </row>
    <row r="1520" spans="2:4">
      <c r="B1520" s="48"/>
      <c r="D1520" s="48"/>
    </row>
    <row r="1521" spans="2:4">
      <c r="B1521" s="48"/>
      <c r="D1521" s="48"/>
    </row>
    <row r="1522" spans="2:4">
      <c r="B1522" s="48"/>
      <c r="D1522" s="48"/>
    </row>
    <row r="1523" spans="2:4">
      <c r="B1523" s="48"/>
      <c r="D1523" s="48"/>
    </row>
    <row r="1524" spans="2:4">
      <c r="B1524" s="48"/>
      <c r="D1524" s="48"/>
    </row>
    <row r="1525" spans="2:4">
      <c r="B1525" s="48"/>
      <c r="D1525" s="48"/>
    </row>
    <row r="1526" spans="2:4">
      <c r="B1526" s="48"/>
      <c r="D1526" s="48"/>
    </row>
    <row r="1527" spans="2:4">
      <c r="B1527" s="48"/>
      <c r="D1527" s="48"/>
    </row>
    <row r="1528" spans="2:4">
      <c r="B1528" s="48"/>
      <c r="D1528" s="48"/>
    </row>
    <row r="1529" spans="2:4">
      <c r="B1529" s="48"/>
      <c r="D1529" s="48"/>
    </row>
    <row r="1530" spans="2:4">
      <c r="B1530" s="48"/>
      <c r="D1530" s="48"/>
    </row>
    <row r="1531" spans="2:4">
      <c r="B1531" s="48"/>
      <c r="D1531" s="48"/>
    </row>
    <row r="1532" spans="2:4">
      <c r="B1532" s="48"/>
      <c r="D1532" s="48"/>
    </row>
    <row r="1533" spans="2:4">
      <c r="B1533" s="48"/>
      <c r="D1533" s="48"/>
    </row>
    <row r="1534" spans="2:4">
      <c r="B1534" s="48"/>
      <c r="D1534" s="48"/>
    </row>
    <row r="1535" spans="2:4">
      <c r="B1535" s="48"/>
      <c r="D1535" s="48"/>
    </row>
    <row r="1536" spans="2:4">
      <c r="B1536" s="48"/>
      <c r="D1536" s="48"/>
    </row>
    <row r="1537" spans="2:4">
      <c r="B1537" s="48"/>
      <c r="D1537" s="48"/>
    </row>
    <row r="1538" spans="2:4">
      <c r="B1538" s="48"/>
      <c r="D1538" s="48"/>
    </row>
    <row r="1539" spans="2:4">
      <c r="B1539" s="48"/>
      <c r="D1539" s="48"/>
    </row>
    <row r="1540" spans="2:4">
      <c r="B1540" s="48"/>
      <c r="D1540" s="48"/>
    </row>
    <row r="1541" spans="2:4">
      <c r="B1541" s="48"/>
      <c r="D1541" s="48"/>
    </row>
    <row r="1542" spans="2:4">
      <c r="B1542" s="48"/>
      <c r="D1542" s="48"/>
    </row>
    <row r="1543" spans="2:4">
      <c r="B1543" s="48"/>
      <c r="D1543" s="48"/>
    </row>
    <row r="1544" spans="2:4">
      <c r="B1544" s="48"/>
      <c r="D1544" s="48"/>
    </row>
    <row r="1545" spans="2:4">
      <c r="B1545" s="48"/>
      <c r="D1545" s="48"/>
    </row>
    <row r="1546" spans="2:4">
      <c r="B1546" s="48"/>
      <c r="D1546" s="48"/>
    </row>
    <row r="1547" spans="2:4">
      <c r="B1547" s="48"/>
      <c r="D1547" s="48"/>
    </row>
    <row r="1548" spans="2:4">
      <c r="B1548" s="48"/>
      <c r="D1548" s="48"/>
    </row>
    <row r="1549" spans="2:4">
      <c r="B1549" s="48"/>
      <c r="D1549" s="48"/>
    </row>
    <row r="1550" spans="2:4">
      <c r="B1550" s="48"/>
      <c r="D1550" s="48"/>
    </row>
    <row r="1551" spans="2:4">
      <c r="B1551" s="48"/>
      <c r="D1551" s="48"/>
    </row>
    <row r="1552" spans="2:4">
      <c r="B1552" s="48"/>
      <c r="D1552" s="48"/>
    </row>
    <row r="1553" spans="2:4">
      <c r="B1553" s="48"/>
      <c r="D1553" s="48"/>
    </row>
    <row r="1554" spans="2:4">
      <c r="B1554" s="48"/>
      <c r="D1554" s="48"/>
    </row>
    <row r="1555" spans="2:4">
      <c r="B1555" s="48"/>
      <c r="D1555" s="48"/>
    </row>
    <row r="1556" spans="2:4">
      <c r="B1556" s="48"/>
      <c r="D1556" s="48"/>
    </row>
    <row r="1557" spans="2:4">
      <c r="B1557" s="48"/>
      <c r="D1557" s="48"/>
    </row>
    <row r="1558" spans="2:4">
      <c r="B1558" s="48"/>
      <c r="D1558" s="48"/>
    </row>
    <row r="1559" spans="2:4">
      <c r="B1559" s="48"/>
      <c r="D1559" s="48"/>
    </row>
    <row r="1560" spans="2:4">
      <c r="B1560" s="48"/>
      <c r="D1560" s="48"/>
    </row>
    <row r="1561" spans="2:4">
      <c r="B1561" s="48"/>
      <c r="D1561" s="48"/>
    </row>
    <row r="1562" spans="2:4">
      <c r="B1562" s="48"/>
      <c r="D1562" s="48"/>
    </row>
    <row r="1563" spans="2:4">
      <c r="B1563" s="48"/>
      <c r="D1563" s="48"/>
    </row>
    <row r="1564" spans="2:4">
      <c r="B1564" s="48"/>
      <c r="D1564" s="48"/>
    </row>
    <row r="1565" spans="2:4">
      <c r="B1565" s="48"/>
      <c r="D1565" s="48"/>
    </row>
    <row r="1566" spans="2:4">
      <c r="B1566" s="48"/>
      <c r="D1566" s="48"/>
    </row>
    <row r="1567" spans="2:4">
      <c r="B1567" s="48"/>
      <c r="D1567" s="48"/>
    </row>
    <row r="1568" spans="2:4">
      <c r="B1568" s="48"/>
      <c r="D1568" s="48"/>
    </row>
    <row r="1569" spans="2:4">
      <c r="B1569" s="48"/>
      <c r="D1569" s="48"/>
    </row>
    <row r="1570" spans="2:4">
      <c r="B1570" s="48"/>
      <c r="D1570" s="48"/>
    </row>
    <row r="1571" spans="2:4">
      <c r="B1571" s="48"/>
      <c r="D1571" s="48"/>
    </row>
    <row r="1572" spans="2:4">
      <c r="B1572" s="48"/>
      <c r="D1572" s="48"/>
    </row>
    <row r="1573" spans="2:4">
      <c r="B1573" s="48"/>
      <c r="D1573" s="48"/>
    </row>
    <row r="1574" spans="2:4">
      <c r="B1574" s="48"/>
      <c r="D1574" s="48"/>
    </row>
    <row r="1575" spans="2:4">
      <c r="B1575" s="48"/>
      <c r="D1575" s="48"/>
    </row>
    <row r="1576" spans="2:4">
      <c r="B1576" s="48"/>
      <c r="D1576" s="48"/>
    </row>
    <row r="1577" spans="2:4">
      <c r="B1577" s="48"/>
      <c r="D1577" s="48"/>
    </row>
    <row r="1578" spans="2:4">
      <c r="B1578" s="48"/>
      <c r="D1578" s="48"/>
    </row>
    <row r="1579" spans="2:4">
      <c r="B1579" s="48"/>
      <c r="D1579" s="48"/>
    </row>
    <row r="1580" spans="2:4">
      <c r="B1580" s="48"/>
      <c r="D1580" s="48"/>
    </row>
    <row r="1581" spans="2:4">
      <c r="B1581" s="48"/>
      <c r="D1581" s="48"/>
    </row>
    <row r="1582" spans="2:4">
      <c r="B1582" s="48"/>
      <c r="D1582" s="48"/>
    </row>
    <row r="1583" spans="2:4">
      <c r="B1583" s="48"/>
      <c r="D1583" s="48"/>
    </row>
    <row r="1584" spans="2:4">
      <c r="B1584" s="48"/>
      <c r="D1584" s="48"/>
    </row>
    <row r="1585" spans="2:4">
      <c r="B1585" s="48"/>
      <c r="D1585" s="48"/>
    </row>
    <row r="1586" spans="2:4">
      <c r="B1586" s="48"/>
      <c r="D1586" s="48"/>
    </row>
    <row r="1587" spans="2:4">
      <c r="B1587" s="48"/>
      <c r="D1587" s="48"/>
    </row>
    <row r="1588" spans="2:4">
      <c r="B1588" s="48"/>
      <c r="D1588" s="48"/>
    </row>
    <row r="1589" spans="2:4">
      <c r="B1589" s="48"/>
      <c r="D1589" s="48"/>
    </row>
    <row r="1590" spans="2:4">
      <c r="B1590" s="48"/>
      <c r="D1590" s="48"/>
    </row>
    <row r="1591" spans="2:4">
      <c r="B1591" s="48"/>
      <c r="D1591" s="48"/>
    </row>
    <row r="1592" spans="2:4">
      <c r="B1592" s="48"/>
      <c r="D1592" s="48"/>
    </row>
    <row r="1593" spans="2:4">
      <c r="B1593" s="48"/>
      <c r="D1593" s="48"/>
    </row>
    <row r="1594" spans="2:4">
      <c r="B1594" s="48"/>
      <c r="D1594" s="48"/>
    </row>
    <row r="1595" spans="2:4">
      <c r="B1595" s="48"/>
      <c r="D1595" s="48"/>
    </row>
    <row r="1596" spans="2:4">
      <c r="B1596" s="48"/>
      <c r="D1596" s="48"/>
    </row>
    <row r="1597" spans="2:4">
      <c r="B1597" s="48"/>
      <c r="D1597" s="48"/>
    </row>
    <row r="1598" spans="2:4">
      <c r="B1598" s="48"/>
      <c r="D1598" s="48"/>
    </row>
    <row r="1599" spans="2:4">
      <c r="B1599" s="48"/>
      <c r="D1599" s="48"/>
    </row>
    <row r="1600" spans="2:4">
      <c r="B1600" s="48"/>
      <c r="D1600" s="48"/>
    </row>
    <row r="1601" spans="2:4">
      <c r="B1601" s="48"/>
      <c r="D1601" s="48"/>
    </row>
    <row r="1602" spans="2:4">
      <c r="B1602" s="48"/>
      <c r="D1602" s="48"/>
    </row>
    <row r="1603" spans="2:4">
      <c r="B1603" s="48"/>
      <c r="D1603" s="48"/>
    </row>
    <row r="1604" spans="2:4">
      <c r="B1604" s="48"/>
      <c r="D1604" s="48"/>
    </row>
    <row r="1605" spans="2:4">
      <c r="B1605" s="48"/>
      <c r="D1605" s="48"/>
    </row>
    <row r="1606" spans="2:4">
      <c r="B1606" s="48"/>
      <c r="D1606" s="48"/>
    </row>
    <row r="1607" spans="2:4">
      <c r="B1607" s="48"/>
      <c r="D1607" s="48"/>
    </row>
    <row r="1608" spans="2:4">
      <c r="B1608" s="48"/>
      <c r="D1608" s="48"/>
    </row>
    <row r="1609" spans="2:4">
      <c r="B1609" s="48"/>
      <c r="D1609" s="48"/>
    </row>
    <row r="1610" spans="2:4">
      <c r="B1610" s="48"/>
      <c r="D1610" s="48"/>
    </row>
    <row r="1611" spans="2:4">
      <c r="B1611" s="48"/>
      <c r="D1611" s="48"/>
    </row>
    <row r="1612" spans="2:4">
      <c r="B1612" s="48"/>
      <c r="D1612" s="48"/>
    </row>
    <row r="1613" spans="2:4">
      <c r="B1613" s="48"/>
      <c r="D1613" s="48"/>
    </row>
    <row r="1614" spans="2:4">
      <c r="B1614" s="48"/>
      <c r="D1614" s="48"/>
    </row>
    <row r="1615" spans="2:4">
      <c r="B1615" s="48"/>
      <c r="D1615" s="48"/>
    </row>
    <row r="1616" spans="2:4">
      <c r="B1616" s="48"/>
      <c r="D1616" s="48"/>
    </row>
    <row r="1617" spans="2:4">
      <c r="B1617" s="48"/>
      <c r="D1617" s="48"/>
    </row>
    <row r="1618" spans="2:4">
      <c r="B1618" s="48"/>
      <c r="D1618" s="48"/>
    </row>
    <row r="1619" spans="2:4">
      <c r="B1619" s="48"/>
      <c r="D1619" s="48"/>
    </row>
    <row r="1620" spans="2:4">
      <c r="B1620" s="48"/>
      <c r="D1620" s="48"/>
    </row>
    <row r="1621" spans="2:4">
      <c r="B1621" s="48"/>
      <c r="D1621" s="48"/>
    </row>
    <row r="1622" spans="2:4">
      <c r="B1622" s="48"/>
      <c r="D1622" s="48"/>
    </row>
    <row r="1623" spans="2:4">
      <c r="B1623" s="48"/>
      <c r="D1623" s="48"/>
    </row>
    <row r="1624" spans="2:4">
      <c r="B1624" s="48"/>
      <c r="D1624" s="48"/>
    </row>
    <row r="1625" spans="2:4">
      <c r="B1625" s="48"/>
      <c r="D1625" s="48"/>
    </row>
    <row r="1626" spans="2:4">
      <c r="B1626" s="48"/>
      <c r="D1626" s="48"/>
    </row>
    <row r="1627" spans="2:4">
      <c r="B1627" s="48"/>
      <c r="D1627" s="48"/>
    </row>
    <row r="1628" spans="2:4">
      <c r="B1628" s="48"/>
      <c r="D1628" s="48"/>
    </row>
    <row r="1629" spans="2:4">
      <c r="B1629" s="48"/>
      <c r="D1629" s="48"/>
    </row>
    <row r="1630" spans="2:4">
      <c r="B1630" s="48"/>
      <c r="D1630" s="48"/>
    </row>
    <row r="1631" spans="2:4">
      <c r="B1631" s="48"/>
      <c r="D1631" s="48"/>
    </row>
    <row r="1632" spans="2:4">
      <c r="B1632" s="48"/>
      <c r="D1632" s="48"/>
    </row>
    <row r="1633" spans="2:4">
      <c r="B1633" s="48"/>
      <c r="D1633" s="48"/>
    </row>
    <row r="1634" spans="2:4">
      <c r="B1634" s="48"/>
      <c r="D1634" s="48"/>
    </row>
    <row r="1635" spans="2:4">
      <c r="B1635" s="48"/>
      <c r="D1635" s="48"/>
    </row>
    <row r="1636" spans="2:4">
      <c r="B1636" s="48"/>
      <c r="D1636" s="48"/>
    </row>
    <row r="1637" spans="2:4">
      <c r="B1637" s="48"/>
      <c r="D1637" s="48"/>
    </row>
    <row r="1638" spans="2:4">
      <c r="B1638" s="48"/>
      <c r="D1638" s="48"/>
    </row>
    <row r="1639" spans="2:4">
      <c r="B1639" s="48"/>
      <c r="D1639" s="48"/>
    </row>
    <row r="1640" spans="2:4">
      <c r="B1640" s="48"/>
      <c r="D1640" s="48"/>
    </row>
    <row r="1641" spans="2:4">
      <c r="B1641" s="48"/>
      <c r="D1641" s="48"/>
    </row>
    <row r="1642" spans="2:4">
      <c r="B1642" s="48"/>
      <c r="D1642" s="48"/>
    </row>
    <row r="1643" spans="2:4">
      <c r="B1643" s="48"/>
      <c r="D1643" s="48"/>
    </row>
    <row r="1644" spans="2:4">
      <c r="B1644" s="48"/>
      <c r="D1644" s="48"/>
    </row>
    <row r="1645" spans="2:4">
      <c r="B1645" s="48"/>
      <c r="D1645" s="48"/>
    </row>
    <row r="1646" spans="2:4">
      <c r="B1646" s="48"/>
      <c r="D1646" s="48"/>
    </row>
    <row r="1647" spans="2:4">
      <c r="B1647" s="48"/>
      <c r="D1647" s="48"/>
    </row>
    <row r="1648" spans="2:4">
      <c r="B1648" s="48"/>
      <c r="D1648" s="48"/>
    </row>
    <row r="1649" spans="2:4">
      <c r="B1649" s="48"/>
      <c r="D1649" s="48"/>
    </row>
    <row r="1650" spans="2:4">
      <c r="B1650" s="48"/>
      <c r="D1650" s="48"/>
    </row>
    <row r="1651" spans="2:4">
      <c r="B1651" s="48"/>
      <c r="D1651" s="48"/>
    </row>
    <row r="1652" spans="2:4">
      <c r="B1652" s="48"/>
      <c r="D1652" s="48"/>
    </row>
    <row r="1653" spans="2:4">
      <c r="B1653" s="48"/>
      <c r="D1653" s="48"/>
    </row>
    <row r="1654" spans="2:4">
      <c r="B1654" s="48"/>
      <c r="D1654" s="48"/>
    </row>
    <row r="1655" spans="2:4">
      <c r="B1655" s="48"/>
      <c r="D1655" s="48"/>
    </row>
    <row r="1656" spans="2:4">
      <c r="B1656" s="48"/>
      <c r="D1656" s="48"/>
    </row>
    <row r="1657" spans="2:4">
      <c r="B1657" s="48"/>
      <c r="D1657" s="48"/>
    </row>
    <row r="1658" spans="2:4">
      <c r="B1658" s="48"/>
      <c r="D1658" s="48"/>
    </row>
    <row r="1659" spans="2:4">
      <c r="B1659" s="48"/>
      <c r="D1659" s="48"/>
    </row>
    <row r="1660" spans="2:4">
      <c r="B1660" s="48"/>
      <c r="D1660" s="48"/>
    </row>
    <row r="1661" spans="2:4">
      <c r="B1661" s="48"/>
      <c r="D1661" s="48"/>
    </row>
    <row r="1662" spans="2:4">
      <c r="B1662" s="48"/>
      <c r="D1662" s="48"/>
    </row>
    <row r="1663" spans="2:4">
      <c r="B1663" s="48"/>
      <c r="D1663" s="48"/>
    </row>
    <row r="1664" spans="2:4">
      <c r="B1664" s="48"/>
      <c r="D1664" s="48"/>
    </row>
    <row r="1665" spans="2:4">
      <c r="B1665" s="48"/>
      <c r="D1665" s="48"/>
    </row>
    <row r="1666" spans="2:4">
      <c r="B1666" s="48"/>
      <c r="D1666" s="48"/>
    </row>
    <row r="1667" spans="2:4">
      <c r="B1667" s="48"/>
      <c r="D1667" s="48"/>
    </row>
    <row r="1668" spans="2:4">
      <c r="B1668" s="48"/>
      <c r="D1668" s="48"/>
    </row>
    <row r="1669" spans="2:4">
      <c r="B1669" s="48"/>
      <c r="D1669" s="48"/>
    </row>
    <row r="1670" spans="2:4">
      <c r="B1670" s="48"/>
      <c r="D1670" s="48"/>
    </row>
    <row r="1671" spans="2:4">
      <c r="B1671" s="48"/>
      <c r="D1671" s="48"/>
    </row>
    <row r="1672" spans="2:4">
      <c r="B1672" s="48"/>
      <c r="D1672" s="48"/>
    </row>
    <row r="1673" spans="2:4">
      <c r="B1673" s="48"/>
      <c r="D1673" s="48"/>
    </row>
    <row r="1674" spans="2:4">
      <c r="B1674" s="48"/>
      <c r="D1674" s="48"/>
    </row>
    <row r="1675" spans="2:4">
      <c r="B1675" s="48"/>
      <c r="D1675" s="48"/>
    </row>
    <row r="1676" spans="2:4">
      <c r="B1676" s="48"/>
      <c r="D1676" s="48"/>
    </row>
    <row r="1677" spans="2:4">
      <c r="B1677" s="48"/>
      <c r="D1677" s="48"/>
    </row>
    <row r="1678" spans="2:4">
      <c r="B1678" s="48"/>
      <c r="D1678" s="48"/>
    </row>
    <row r="1679" spans="2:4">
      <c r="B1679" s="48"/>
      <c r="D1679" s="48"/>
    </row>
    <row r="1680" spans="2:4">
      <c r="B1680" s="48"/>
      <c r="D1680" s="48"/>
    </row>
    <row r="1681" spans="2:4">
      <c r="B1681" s="48"/>
      <c r="D1681" s="48"/>
    </row>
    <row r="1682" spans="2:4">
      <c r="B1682" s="48"/>
      <c r="D1682" s="48"/>
    </row>
    <row r="1683" spans="2:4">
      <c r="B1683" s="48"/>
      <c r="D1683" s="48"/>
    </row>
    <row r="1684" spans="2:4">
      <c r="B1684" s="48"/>
      <c r="D1684" s="48"/>
    </row>
    <row r="1685" spans="2:4">
      <c r="B1685" s="48"/>
      <c r="D1685" s="48"/>
    </row>
    <row r="1686" spans="2:4">
      <c r="B1686" s="48"/>
      <c r="D1686" s="48"/>
    </row>
    <row r="1687" spans="2:4">
      <c r="B1687" s="48"/>
      <c r="D1687" s="48"/>
    </row>
    <row r="1688" spans="2:4">
      <c r="B1688" s="48"/>
      <c r="D1688" s="48"/>
    </row>
    <row r="1689" spans="2:4">
      <c r="B1689" s="48"/>
      <c r="D1689" s="48"/>
    </row>
    <row r="1690" spans="2:4">
      <c r="B1690" s="48"/>
      <c r="D1690" s="48"/>
    </row>
    <row r="1691" spans="2:4">
      <c r="B1691" s="48"/>
      <c r="D1691" s="48"/>
    </row>
    <row r="1692" spans="2:4">
      <c r="B1692" s="48"/>
      <c r="D1692" s="48"/>
    </row>
    <row r="1693" spans="2:4">
      <c r="B1693" s="48"/>
      <c r="D1693" s="48"/>
    </row>
    <row r="1694" spans="2:4">
      <c r="B1694" s="48"/>
      <c r="D1694" s="48"/>
    </row>
    <row r="1695" spans="2:4">
      <c r="B1695" s="48"/>
      <c r="D1695" s="48"/>
    </row>
    <row r="1696" spans="2:4">
      <c r="B1696" s="48"/>
      <c r="D1696" s="48"/>
    </row>
    <row r="1697" spans="2:4">
      <c r="B1697" s="48"/>
      <c r="D1697" s="48"/>
    </row>
    <row r="1698" spans="2:4">
      <c r="B1698" s="48"/>
      <c r="D1698" s="48"/>
    </row>
    <row r="1699" spans="2:4">
      <c r="B1699" s="48"/>
      <c r="D1699" s="48"/>
    </row>
    <row r="1700" spans="2:4">
      <c r="B1700" s="48"/>
      <c r="D1700" s="48"/>
    </row>
    <row r="1701" spans="2:4">
      <c r="B1701" s="48"/>
      <c r="D1701" s="48"/>
    </row>
    <row r="1702" spans="2:4">
      <c r="B1702" s="48"/>
      <c r="D1702" s="48"/>
    </row>
    <row r="1703" spans="2:4">
      <c r="B1703" s="48"/>
      <c r="D1703" s="48"/>
    </row>
    <row r="1704" spans="2:4">
      <c r="B1704" s="48"/>
      <c r="D1704" s="48"/>
    </row>
    <row r="1705" spans="2:4">
      <c r="B1705" s="48"/>
      <c r="D1705" s="48"/>
    </row>
    <row r="1706" spans="2:4">
      <c r="B1706" s="48"/>
      <c r="D1706" s="48"/>
    </row>
    <row r="1707" spans="2:4">
      <c r="B1707" s="48"/>
      <c r="D1707" s="48"/>
    </row>
    <row r="1708" spans="2:4">
      <c r="B1708" s="48"/>
      <c r="D1708" s="48"/>
    </row>
    <row r="1709" spans="2:4">
      <c r="B1709" s="48"/>
      <c r="D1709" s="48"/>
    </row>
    <row r="1710" spans="2:4">
      <c r="B1710" s="48"/>
      <c r="D1710" s="48"/>
    </row>
    <row r="1711" spans="2:4">
      <c r="B1711" s="48"/>
      <c r="D1711" s="48"/>
    </row>
    <row r="1712" spans="2:4">
      <c r="B1712" s="48"/>
      <c r="D1712" s="48"/>
    </row>
    <row r="1713" spans="2:4">
      <c r="B1713" s="48"/>
      <c r="D1713" s="48"/>
    </row>
    <row r="1714" spans="2:4">
      <c r="B1714" s="48"/>
      <c r="D1714" s="48"/>
    </row>
    <row r="1715" spans="2:4">
      <c r="B1715" s="48"/>
      <c r="D1715" s="48"/>
    </row>
    <row r="1716" spans="2:4">
      <c r="B1716" s="48"/>
      <c r="D1716" s="48"/>
    </row>
    <row r="1717" spans="2:4">
      <c r="B1717" s="48"/>
      <c r="D1717" s="48"/>
    </row>
    <row r="1718" spans="2:4">
      <c r="B1718" s="48"/>
      <c r="D1718" s="48"/>
    </row>
    <row r="1719" spans="2:4">
      <c r="B1719" s="48"/>
      <c r="D1719" s="48"/>
    </row>
    <row r="1720" spans="2:4">
      <c r="B1720" s="48"/>
      <c r="D1720" s="48"/>
    </row>
    <row r="1721" spans="2:4">
      <c r="B1721" s="48"/>
      <c r="D1721" s="48"/>
    </row>
    <row r="1722" spans="2:4">
      <c r="B1722" s="48"/>
      <c r="D1722" s="48"/>
    </row>
    <row r="1723" spans="2:4">
      <c r="B1723" s="48"/>
      <c r="D1723" s="48"/>
    </row>
    <row r="1724" spans="2:4">
      <c r="B1724" s="48"/>
      <c r="D1724" s="48"/>
    </row>
    <row r="1725" spans="2:4">
      <c r="B1725" s="48"/>
      <c r="D1725" s="48"/>
    </row>
    <row r="1726" spans="2:4">
      <c r="B1726" s="48"/>
      <c r="D1726" s="48"/>
    </row>
    <row r="1727" spans="2:4">
      <c r="B1727" s="48"/>
      <c r="D1727" s="48"/>
    </row>
    <row r="1728" spans="2:4">
      <c r="B1728" s="48"/>
      <c r="D1728" s="48"/>
    </row>
    <row r="1729" spans="2:4">
      <c r="B1729" s="48"/>
      <c r="D1729" s="48"/>
    </row>
    <row r="1730" spans="2:4">
      <c r="B1730" s="48"/>
      <c r="D1730" s="48"/>
    </row>
    <row r="1731" spans="2:4">
      <c r="B1731" s="48"/>
      <c r="D1731" s="48"/>
    </row>
    <row r="1732" spans="2:4">
      <c r="B1732" s="48"/>
      <c r="D1732" s="48"/>
    </row>
    <row r="1733" spans="2:4">
      <c r="B1733" s="48"/>
      <c r="D1733" s="48"/>
    </row>
    <row r="1734" spans="2:4">
      <c r="B1734" s="48"/>
      <c r="D1734" s="48"/>
    </row>
    <row r="1735" spans="2:4">
      <c r="B1735" s="48"/>
      <c r="D1735" s="48"/>
    </row>
    <row r="1736" spans="2:4">
      <c r="B1736" s="48"/>
      <c r="D1736" s="48"/>
    </row>
    <row r="1737" spans="2:4">
      <c r="B1737" s="48"/>
      <c r="D1737" s="48"/>
    </row>
    <row r="1738" spans="2:4">
      <c r="B1738" s="48"/>
      <c r="D1738" s="48"/>
    </row>
    <row r="1739" spans="2:4">
      <c r="B1739" s="48"/>
      <c r="D1739" s="48"/>
    </row>
    <row r="1740" spans="2:4">
      <c r="B1740" s="48"/>
      <c r="D1740" s="48"/>
    </row>
    <row r="1741" spans="2:4">
      <c r="B1741" s="48"/>
      <c r="D1741" s="48"/>
    </row>
    <row r="1742" spans="2:4">
      <c r="B1742" s="48"/>
      <c r="D1742" s="48"/>
    </row>
    <row r="1743" spans="2:4">
      <c r="B1743" s="48"/>
      <c r="D1743" s="48"/>
    </row>
    <row r="1744" spans="2:4">
      <c r="B1744" s="48"/>
      <c r="D1744" s="48"/>
    </row>
    <row r="1745" spans="2:4">
      <c r="B1745" s="48"/>
      <c r="D1745" s="48"/>
    </row>
    <row r="1746" spans="2:4">
      <c r="B1746" s="48"/>
      <c r="D1746" s="48"/>
    </row>
    <row r="1747" spans="2:4">
      <c r="B1747" s="48"/>
      <c r="D1747" s="48"/>
    </row>
    <row r="1748" spans="2:4">
      <c r="B1748" s="48"/>
      <c r="D1748" s="48"/>
    </row>
    <row r="1749" spans="2:4">
      <c r="B1749" s="48"/>
      <c r="D1749" s="48"/>
    </row>
    <row r="1750" spans="2:4">
      <c r="B1750" s="48"/>
      <c r="D1750" s="48"/>
    </row>
    <row r="1751" spans="2:4">
      <c r="B1751" s="48"/>
      <c r="D1751" s="48"/>
    </row>
    <row r="1752" spans="2:4">
      <c r="B1752" s="48"/>
      <c r="D1752" s="48"/>
    </row>
    <row r="1753" spans="2:4">
      <c r="B1753" s="48"/>
      <c r="D1753" s="48"/>
    </row>
    <row r="1754" spans="2:4">
      <c r="B1754" s="48"/>
      <c r="D1754" s="48"/>
    </row>
    <row r="1755" spans="2:4">
      <c r="B1755" s="48"/>
      <c r="D1755" s="48"/>
    </row>
    <row r="1756" spans="2:4">
      <c r="B1756" s="48"/>
      <c r="D1756" s="48"/>
    </row>
    <row r="1757" spans="2:4">
      <c r="B1757" s="48"/>
      <c r="D1757" s="48"/>
    </row>
    <row r="1758" spans="2:4">
      <c r="B1758" s="48"/>
      <c r="D1758" s="48"/>
    </row>
    <row r="1759" spans="2:4">
      <c r="B1759" s="48"/>
      <c r="D1759" s="48"/>
    </row>
    <row r="1760" spans="2:4">
      <c r="B1760" s="48"/>
      <c r="D1760" s="48"/>
    </row>
    <row r="1761" spans="2:4">
      <c r="B1761" s="48"/>
      <c r="D1761" s="48"/>
    </row>
    <row r="1762" spans="2:4">
      <c r="B1762" s="48"/>
      <c r="D1762" s="48"/>
    </row>
    <row r="1763" spans="2:4">
      <c r="B1763" s="48"/>
      <c r="D1763" s="48"/>
    </row>
    <row r="1764" spans="2:4">
      <c r="B1764" s="48"/>
      <c r="D1764" s="48"/>
    </row>
    <row r="1765" spans="2:4">
      <c r="B1765" s="48"/>
      <c r="D1765" s="48"/>
    </row>
    <row r="1766" spans="2:4">
      <c r="B1766" s="48"/>
      <c r="D1766" s="48"/>
    </row>
    <row r="1767" spans="2:4">
      <c r="B1767" s="48"/>
      <c r="D1767" s="48"/>
    </row>
    <row r="1768" spans="2:4">
      <c r="B1768" s="48"/>
      <c r="D1768" s="48"/>
    </row>
    <row r="1769" spans="2:4">
      <c r="B1769" s="48"/>
      <c r="D1769" s="48"/>
    </row>
    <row r="1770" spans="2:4">
      <c r="B1770" s="48"/>
      <c r="D1770" s="48"/>
    </row>
    <row r="1771" spans="2:4">
      <c r="B1771" s="48"/>
      <c r="D1771" s="48"/>
    </row>
    <row r="1772" spans="2:4">
      <c r="B1772" s="48"/>
      <c r="D1772" s="48"/>
    </row>
    <row r="1773" spans="2:4">
      <c r="B1773" s="48"/>
      <c r="D1773" s="48"/>
    </row>
    <row r="1774" spans="2:4">
      <c r="B1774" s="48"/>
      <c r="D1774" s="48"/>
    </row>
    <row r="1775" spans="2:4">
      <c r="B1775" s="48"/>
      <c r="D1775" s="48"/>
    </row>
    <row r="1776" spans="2:4">
      <c r="B1776" s="48"/>
      <c r="D1776" s="48"/>
    </row>
    <row r="1777" spans="2:4">
      <c r="B1777" s="48"/>
      <c r="D1777" s="48"/>
    </row>
    <row r="1778" spans="2:4">
      <c r="B1778" s="48"/>
      <c r="D1778" s="48"/>
    </row>
    <row r="1779" spans="2:4">
      <c r="B1779" s="48"/>
      <c r="D1779" s="48"/>
    </row>
    <row r="1780" spans="2:4">
      <c r="B1780" s="48"/>
      <c r="D1780" s="48"/>
    </row>
    <row r="1781" spans="2:4">
      <c r="B1781" s="48"/>
      <c r="D1781" s="48"/>
    </row>
    <row r="1782" spans="2:4">
      <c r="B1782" s="48"/>
      <c r="D1782" s="48"/>
    </row>
    <row r="1783" spans="2:4">
      <c r="B1783" s="48"/>
      <c r="D1783" s="48"/>
    </row>
    <row r="1784" spans="2:4">
      <c r="B1784" s="48"/>
      <c r="D1784" s="48"/>
    </row>
    <row r="1785" spans="2:4">
      <c r="B1785" s="48"/>
      <c r="D1785" s="48"/>
    </row>
    <row r="1786" spans="2:4">
      <c r="B1786" s="48"/>
      <c r="D1786" s="48"/>
    </row>
    <row r="1787" spans="2:4">
      <c r="B1787" s="48"/>
      <c r="D1787" s="48"/>
    </row>
    <row r="1788" spans="2:4">
      <c r="B1788" s="48"/>
      <c r="D1788" s="48"/>
    </row>
    <row r="1789" spans="2:4">
      <c r="B1789" s="48"/>
      <c r="D1789" s="48"/>
    </row>
    <row r="1790" spans="2:4">
      <c r="B1790" s="48"/>
      <c r="D1790" s="48"/>
    </row>
    <row r="1791" spans="2:4">
      <c r="B1791" s="48"/>
      <c r="D1791" s="48"/>
    </row>
    <row r="1792" spans="2:4">
      <c r="B1792" s="48"/>
      <c r="D1792" s="48"/>
    </row>
    <row r="1793" spans="2:4">
      <c r="B1793" s="48"/>
      <c r="D1793" s="48"/>
    </row>
    <row r="1794" spans="2:4">
      <c r="B1794" s="48"/>
      <c r="D1794" s="48"/>
    </row>
    <row r="1795" spans="2:4">
      <c r="B1795" s="48"/>
      <c r="D1795" s="48"/>
    </row>
    <row r="1796" spans="2:4">
      <c r="B1796" s="48"/>
      <c r="D1796" s="48"/>
    </row>
    <row r="1797" spans="2:4">
      <c r="B1797" s="48"/>
      <c r="D1797" s="48"/>
    </row>
    <row r="1798" spans="2:4">
      <c r="B1798" s="48"/>
      <c r="D1798" s="48"/>
    </row>
    <row r="1799" spans="2:4">
      <c r="B1799" s="48"/>
      <c r="D1799" s="48"/>
    </row>
    <row r="1800" spans="2:4">
      <c r="B1800" s="48"/>
      <c r="D1800" s="48"/>
    </row>
    <row r="1801" spans="2:4">
      <c r="B1801" s="48"/>
      <c r="D1801" s="48"/>
    </row>
    <row r="1802" spans="2:4">
      <c r="B1802" s="48"/>
      <c r="D1802" s="48"/>
    </row>
    <row r="1803" spans="2:4">
      <c r="B1803" s="48"/>
      <c r="D1803" s="48"/>
    </row>
    <row r="1804" spans="2:4">
      <c r="B1804" s="48"/>
      <c r="D1804" s="48"/>
    </row>
    <row r="1805" spans="2:4">
      <c r="B1805" s="48"/>
      <c r="D1805" s="48"/>
    </row>
    <row r="1806" spans="2:4">
      <c r="B1806" s="48"/>
      <c r="D1806" s="48"/>
    </row>
    <row r="1807" spans="2:4">
      <c r="B1807" s="48"/>
      <c r="D1807" s="48"/>
    </row>
    <row r="1808" spans="2:4">
      <c r="B1808" s="48"/>
      <c r="D1808" s="48"/>
    </row>
    <row r="1809" spans="2:4">
      <c r="B1809" s="48"/>
      <c r="D1809" s="48"/>
    </row>
    <row r="1810" spans="2:4">
      <c r="B1810" s="48"/>
      <c r="D1810" s="48"/>
    </row>
    <row r="1811" spans="2:4">
      <c r="B1811" s="48"/>
      <c r="D1811" s="48"/>
    </row>
    <row r="1812" spans="2:4">
      <c r="B1812" s="48"/>
      <c r="D1812" s="48"/>
    </row>
    <row r="1813" spans="2:4">
      <c r="B1813" s="48"/>
      <c r="D1813" s="48"/>
    </row>
    <row r="1814" spans="2:4">
      <c r="B1814" s="48"/>
      <c r="D1814" s="48"/>
    </row>
    <row r="1815" spans="2:4">
      <c r="B1815" s="48"/>
      <c r="D1815" s="48"/>
    </row>
    <row r="1816" spans="2:4">
      <c r="B1816" s="48"/>
      <c r="D1816" s="48"/>
    </row>
    <row r="1817" spans="2:4">
      <c r="B1817" s="48"/>
      <c r="D1817" s="48"/>
    </row>
    <row r="1818" spans="2:4">
      <c r="B1818" s="48"/>
      <c r="D1818" s="48"/>
    </row>
    <row r="1819" spans="2:4">
      <c r="B1819" s="48"/>
      <c r="D1819" s="48"/>
    </row>
    <row r="1820" spans="2:4">
      <c r="B1820" s="48"/>
      <c r="D1820" s="48"/>
    </row>
    <row r="1821" spans="2:4">
      <c r="B1821" s="48"/>
      <c r="D1821" s="48"/>
    </row>
    <row r="1822" spans="2:4">
      <c r="B1822" s="48"/>
      <c r="D1822" s="48"/>
    </row>
    <row r="1823" spans="2:4">
      <c r="B1823" s="48"/>
      <c r="D1823" s="48"/>
    </row>
    <row r="1824" spans="2:4">
      <c r="B1824" s="48"/>
      <c r="D1824" s="48"/>
    </row>
    <row r="1825" spans="2:4">
      <c r="B1825" s="48"/>
      <c r="D1825" s="48"/>
    </row>
    <row r="1826" spans="2:4">
      <c r="B1826" s="48"/>
      <c r="D1826" s="48"/>
    </row>
    <row r="1827" spans="2:4">
      <c r="B1827" s="48"/>
      <c r="D1827" s="48"/>
    </row>
    <row r="1828" spans="2:4">
      <c r="B1828" s="48"/>
      <c r="D1828" s="48"/>
    </row>
    <row r="1829" spans="2:4">
      <c r="B1829" s="48"/>
      <c r="D1829" s="48"/>
    </row>
    <row r="1830" spans="2:4">
      <c r="B1830" s="48"/>
      <c r="D1830" s="48"/>
    </row>
    <row r="1831" spans="2:4">
      <c r="B1831" s="48"/>
      <c r="D1831" s="48"/>
    </row>
    <row r="1832" spans="2:4">
      <c r="B1832" s="48"/>
      <c r="D1832" s="48"/>
    </row>
    <row r="1833" spans="2:4">
      <c r="B1833" s="48"/>
      <c r="D1833" s="48"/>
    </row>
    <row r="1834" spans="2:4">
      <c r="B1834" s="48"/>
      <c r="D1834" s="48"/>
    </row>
    <row r="1835" spans="2:4">
      <c r="B1835" s="48"/>
      <c r="D1835" s="48"/>
    </row>
    <row r="1836" spans="2:4">
      <c r="B1836" s="48"/>
      <c r="D1836" s="48"/>
    </row>
    <row r="1837" spans="2:4">
      <c r="B1837" s="48"/>
      <c r="D1837" s="48"/>
    </row>
    <row r="1838" spans="2:4">
      <c r="B1838" s="48"/>
      <c r="D1838" s="48"/>
    </row>
    <row r="1839" spans="2:4">
      <c r="B1839" s="48"/>
      <c r="D1839" s="48"/>
    </row>
    <row r="1840" spans="2:4">
      <c r="B1840" s="48"/>
      <c r="D1840" s="48"/>
    </row>
    <row r="1841" spans="2:4">
      <c r="B1841" s="48"/>
      <c r="D1841" s="48"/>
    </row>
    <row r="1842" spans="2:4">
      <c r="B1842" s="48"/>
      <c r="D1842" s="48"/>
    </row>
    <row r="1843" spans="2:4">
      <c r="B1843" s="48"/>
      <c r="D1843" s="48"/>
    </row>
    <row r="1844" spans="2:4">
      <c r="B1844" s="48"/>
      <c r="D1844" s="48"/>
    </row>
    <row r="1845" spans="2:4">
      <c r="B1845" s="48"/>
      <c r="D1845" s="48"/>
    </row>
    <row r="1846" spans="2:4">
      <c r="B1846" s="48"/>
      <c r="D1846" s="48"/>
    </row>
    <row r="1847" spans="2:4">
      <c r="B1847" s="48"/>
      <c r="D1847" s="48"/>
    </row>
    <row r="1848" spans="2:4">
      <c r="B1848" s="48"/>
      <c r="D1848" s="48"/>
    </row>
    <row r="1849" spans="2:4">
      <c r="B1849" s="48"/>
      <c r="D1849" s="48"/>
    </row>
    <row r="1850" spans="2:4">
      <c r="B1850" s="48"/>
      <c r="D1850" s="48"/>
    </row>
    <row r="1851" spans="2:4">
      <c r="B1851" s="48"/>
      <c r="D1851" s="48"/>
    </row>
    <row r="1852" spans="2:4">
      <c r="B1852" s="48"/>
      <c r="D1852" s="48"/>
    </row>
    <row r="1853" spans="2:4">
      <c r="B1853" s="48"/>
      <c r="D1853" s="48"/>
    </row>
    <row r="1854" spans="2:4">
      <c r="B1854" s="48"/>
      <c r="D1854" s="48"/>
    </row>
    <row r="1855" spans="2:4">
      <c r="B1855" s="48"/>
      <c r="D1855" s="48"/>
    </row>
    <row r="1856" spans="2:4">
      <c r="B1856" s="48"/>
      <c r="D1856" s="48"/>
    </row>
    <row r="1857" spans="2:4">
      <c r="B1857" s="48"/>
      <c r="D1857" s="48"/>
    </row>
    <row r="1858" spans="2:4">
      <c r="B1858" s="48"/>
      <c r="D1858" s="48"/>
    </row>
    <row r="1859" spans="2:4">
      <c r="B1859" s="48"/>
      <c r="D1859" s="48"/>
    </row>
    <row r="1860" spans="2:4">
      <c r="B1860" s="48"/>
      <c r="D1860" s="48"/>
    </row>
    <row r="1861" spans="2:4">
      <c r="B1861" s="48"/>
      <c r="D1861" s="48"/>
    </row>
    <row r="1862" spans="2:4">
      <c r="B1862" s="48"/>
      <c r="D1862" s="48"/>
    </row>
    <row r="1863" spans="2:4">
      <c r="B1863" s="48"/>
      <c r="D1863" s="48"/>
    </row>
    <row r="1864" spans="2:4">
      <c r="B1864" s="48"/>
      <c r="D1864" s="48"/>
    </row>
    <row r="1865" spans="2:4">
      <c r="B1865" s="48"/>
      <c r="D1865" s="48"/>
    </row>
    <row r="1866" spans="2:4">
      <c r="B1866" s="48"/>
      <c r="D1866" s="48"/>
    </row>
    <row r="1867" spans="2:4">
      <c r="B1867" s="48"/>
      <c r="D1867" s="48"/>
    </row>
    <row r="1868" spans="2:4">
      <c r="B1868" s="48"/>
      <c r="D1868" s="48"/>
    </row>
    <row r="1869" spans="2:4">
      <c r="B1869" s="48"/>
      <c r="D1869" s="48"/>
    </row>
    <row r="1870" spans="2:4">
      <c r="B1870" s="48"/>
      <c r="D1870" s="48"/>
    </row>
    <row r="1871" spans="2:4">
      <c r="B1871" s="48"/>
      <c r="D1871" s="48"/>
    </row>
    <row r="1872" spans="2:4">
      <c r="B1872" s="48"/>
      <c r="D1872" s="48"/>
    </row>
    <row r="1873" spans="2:4">
      <c r="B1873" s="48"/>
      <c r="D1873" s="48"/>
    </row>
    <row r="1874" spans="2:4">
      <c r="B1874" s="48"/>
      <c r="D1874" s="48"/>
    </row>
    <row r="1875" spans="2:4">
      <c r="B1875" s="48"/>
      <c r="D1875" s="48"/>
    </row>
    <row r="1876" spans="2:4">
      <c r="B1876" s="48"/>
      <c r="D1876" s="48"/>
    </row>
    <row r="1877" spans="2:4">
      <c r="B1877" s="48"/>
      <c r="D1877" s="48"/>
    </row>
    <row r="1878" spans="2:4">
      <c r="B1878" s="48"/>
      <c r="D1878" s="48"/>
    </row>
    <row r="1879" spans="2:4">
      <c r="B1879" s="48"/>
      <c r="D1879" s="48"/>
    </row>
    <row r="1880" spans="2:4">
      <c r="B1880" s="48"/>
      <c r="D1880" s="48"/>
    </row>
    <row r="1881" spans="2:4">
      <c r="B1881" s="48"/>
      <c r="D1881" s="48"/>
    </row>
    <row r="1882" spans="2:4">
      <c r="B1882" s="48"/>
      <c r="D1882" s="48"/>
    </row>
    <row r="1883" spans="2:4">
      <c r="B1883" s="48"/>
      <c r="D1883" s="48"/>
    </row>
    <row r="1884" spans="2:4">
      <c r="B1884" s="48"/>
      <c r="D1884" s="48"/>
    </row>
    <row r="1885" spans="2:4">
      <c r="B1885" s="48"/>
      <c r="D1885" s="48"/>
    </row>
    <row r="1886" spans="2:4">
      <c r="B1886" s="48"/>
      <c r="D1886" s="48"/>
    </row>
    <row r="1887" spans="2:4">
      <c r="B1887" s="48"/>
      <c r="D1887" s="48"/>
    </row>
    <row r="1888" spans="2:4">
      <c r="B1888" s="48"/>
      <c r="D1888" s="48"/>
    </row>
    <row r="1889" spans="2:4">
      <c r="B1889" s="48"/>
      <c r="D1889" s="48"/>
    </row>
    <row r="1890" spans="2:4">
      <c r="B1890" s="48"/>
      <c r="D1890" s="48"/>
    </row>
    <row r="1891" spans="2:4">
      <c r="B1891" s="48"/>
      <c r="D1891" s="48"/>
    </row>
    <row r="1892" spans="2:4">
      <c r="B1892" s="48"/>
      <c r="D1892" s="48"/>
    </row>
    <row r="1893" spans="2:4">
      <c r="B1893" s="48"/>
      <c r="D1893" s="48"/>
    </row>
    <row r="1894" spans="2:4">
      <c r="B1894" s="48"/>
      <c r="D1894" s="48"/>
    </row>
    <row r="1895" spans="2:4">
      <c r="B1895" s="48"/>
      <c r="D1895" s="48"/>
    </row>
    <row r="1896" spans="2:4">
      <c r="B1896" s="48"/>
      <c r="D1896" s="48"/>
    </row>
    <row r="1897" spans="2:4">
      <c r="B1897" s="48"/>
      <c r="D1897" s="48"/>
    </row>
    <row r="1898" spans="2:4">
      <c r="B1898" s="48"/>
      <c r="D1898" s="48"/>
    </row>
    <row r="1899" spans="2:4">
      <c r="B1899" s="48"/>
      <c r="D1899" s="48"/>
    </row>
    <row r="1900" spans="2:4">
      <c r="B1900" s="48"/>
      <c r="D1900" s="48"/>
    </row>
    <row r="1901" spans="2:4">
      <c r="B1901" s="48"/>
      <c r="D1901" s="48"/>
    </row>
    <row r="1902" spans="2:4">
      <c r="B1902" s="48"/>
      <c r="D1902" s="48"/>
    </row>
    <row r="1903" spans="2:4">
      <c r="B1903" s="48"/>
      <c r="D1903" s="48"/>
    </row>
    <row r="1904" spans="2:4">
      <c r="B1904" s="48"/>
      <c r="D1904" s="48"/>
    </row>
    <row r="1905" spans="2:4">
      <c r="B1905" s="48"/>
      <c r="D1905" s="48"/>
    </row>
    <row r="1906" spans="2:4">
      <c r="B1906" s="48"/>
      <c r="D1906" s="48"/>
    </row>
    <row r="1907" spans="2:4">
      <c r="B1907" s="48"/>
      <c r="D1907" s="48"/>
    </row>
    <row r="1908" spans="2:4">
      <c r="B1908" s="48"/>
      <c r="D1908" s="48"/>
    </row>
    <row r="1909" spans="2:4">
      <c r="B1909" s="48"/>
      <c r="D1909" s="48"/>
    </row>
    <row r="1910" spans="2:4">
      <c r="B1910" s="48"/>
      <c r="D1910" s="48"/>
    </row>
    <row r="1911" spans="2:4">
      <c r="B1911" s="48"/>
      <c r="D1911" s="48"/>
    </row>
    <row r="1912" spans="2:4">
      <c r="B1912" s="48"/>
      <c r="D1912" s="48"/>
    </row>
    <row r="1913" spans="2:4">
      <c r="B1913" s="48"/>
      <c r="D1913" s="48"/>
    </row>
    <row r="1914" spans="2:4">
      <c r="B1914" s="48"/>
      <c r="D1914" s="48"/>
    </row>
    <row r="1915" spans="2:4">
      <c r="B1915" s="48"/>
      <c r="D1915" s="48"/>
    </row>
    <row r="1916" spans="2:4">
      <c r="B1916" s="48"/>
      <c r="D1916" s="48"/>
    </row>
    <row r="1917" spans="2:4">
      <c r="B1917" s="48"/>
      <c r="D1917" s="48"/>
    </row>
    <row r="1918" spans="2:4">
      <c r="B1918" s="48"/>
      <c r="D1918" s="48"/>
    </row>
    <row r="1919" spans="2:4">
      <c r="B1919" s="48"/>
      <c r="D1919" s="48"/>
    </row>
    <row r="1920" spans="2:4">
      <c r="B1920" s="48"/>
      <c r="D1920" s="48"/>
    </row>
    <row r="1921" spans="2:4">
      <c r="B1921" s="48"/>
      <c r="D1921" s="48"/>
    </row>
    <row r="1922" spans="2:4">
      <c r="B1922" s="48"/>
      <c r="D1922" s="48"/>
    </row>
    <row r="1923" spans="2:4">
      <c r="B1923" s="48"/>
      <c r="D1923" s="48"/>
    </row>
    <row r="1924" spans="2:4">
      <c r="B1924" s="48"/>
      <c r="D1924" s="48"/>
    </row>
    <row r="1925" spans="2:4">
      <c r="B1925" s="48"/>
      <c r="D1925" s="48"/>
    </row>
    <row r="1926" spans="2:4">
      <c r="B1926" s="48"/>
      <c r="D1926" s="48"/>
    </row>
    <row r="1927" spans="2:4">
      <c r="B1927" s="48"/>
      <c r="D1927" s="48"/>
    </row>
    <row r="1928" spans="2:4">
      <c r="B1928" s="48"/>
      <c r="D1928" s="48"/>
    </row>
    <row r="1929" spans="2:4">
      <c r="B1929" s="48"/>
      <c r="D1929" s="48"/>
    </row>
    <row r="1930" spans="2:4">
      <c r="B1930" s="48"/>
      <c r="D1930" s="48"/>
    </row>
    <row r="1931" spans="2:4">
      <c r="B1931" s="48"/>
      <c r="D1931" s="48"/>
    </row>
    <row r="1932" spans="2:4">
      <c r="B1932" s="48"/>
      <c r="D1932" s="48"/>
    </row>
    <row r="1933" spans="2:4">
      <c r="B1933" s="48"/>
      <c r="D1933" s="48"/>
    </row>
    <row r="1934" spans="2:4">
      <c r="B1934" s="48"/>
      <c r="D1934" s="48"/>
    </row>
    <row r="1935" spans="2:4">
      <c r="B1935" s="48"/>
      <c r="D1935" s="48"/>
    </row>
    <row r="1936" spans="2:4">
      <c r="B1936" s="48"/>
      <c r="D1936" s="48"/>
    </row>
    <row r="1937" spans="2:4">
      <c r="B1937" s="48"/>
      <c r="D1937" s="48"/>
    </row>
    <row r="1938" spans="2:4">
      <c r="B1938" s="48"/>
      <c r="D1938" s="48"/>
    </row>
    <row r="1939" spans="2:4">
      <c r="B1939" s="48"/>
      <c r="D1939" s="48"/>
    </row>
    <row r="1940" spans="2:4">
      <c r="B1940" s="48"/>
      <c r="D1940" s="48"/>
    </row>
    <row r="1941" spans="2:4">
      <c r="B1941" s="48"/>
      <c r="D1941" s="48"/>
    </row>
    <row r="1942" spans="2:4">
      <c r="B1942" s="48"/>
      <c r="D1942" s="48"/>
    </row>
    <row r="1943" spans="2:4">
      <c r="B1943" s="48"/>
      <c r="D1943" s="48"/>
    </row>
    <row r="1944" spans="2:4">
      <c r="B1944" s="48"/>
      <c r="D1944" s="48"/>
    </row>
    <row r="1945" spans="2:4">
      <c r="B1945" s="48"/>
      <c r="D1945" s="48"/>
    </row>
    <row r="1946" spans="2:4">
      <c r="B1946" s="48"/>
      <c r="D1946" s="48"/>
    </row>
    <row r="1947" spans="2:4">
      <c r="B1947" s="48"/>
      <c r="D1947" s="48"/>
    </row>
    <row r="1948" spans="2:4">
      <c r="B1948" s="48"/>
      <c r="D1948" s="48"/>
    </row>
    <row r="1949" spans="2:4">
      <c r="B1949" s="48"/>
      <c r="D1949" s="48"/>
    </row>
    <row r="1950" spans="2:4">
      <c r="B1950" s="48"/>
      <c r="D1950" s="48"/>
    </row>
    <row r="1951" spans="2:4">
      <c r="B1951" s="48"/>
      <c r="D1951" s="48"/>
    </row>
    <row r="1952" spans="2:4">
      <c r="B1952" s="48"/>
      <c r="D1952" s="48"/>
    </row>
    <row r="1953" spans="2:4">
      <c r="B1953" s="48"/>
      <c r="D1953" s="48"/>
    </row>
    <row r="1954" spans="2:4">
      <c r="B1954" s="48"/>
      <c r="D1954" s="48"/>
    </row>
    <row r="1955" spans="2:4">
      <c r="B1955" s="48"/>
      <c r="D1955" s="48"/>
    </row>
    <row r="1956" spans="2:4">
      <c r="B1956" s="48"/>
      <c r="D1956" s="48"/>
    </row>
    <row r="1957" spans="2:4">
      <c r="B1957" s="48"/>
      <c r="D1957" s="48"/>
    </row>
    <row r="1958" spans="2:4">
      <c r="B1958" s="48"/>
      <c r="D1958" s="48"/>
    </row>
    <row r="1959" spans="2:4">
      <c r="B1959" s="48"/>
      <c r="D1959" s="48"/>
    </row>
    <row r="1960" spans="2:4">
      <c r="B1960" s="48"/>
      <c r="D1960" s="48"/>
    </row>
    <row r="1961" spans="2:4">
      <c r="B1961" s="48"/>
      <c r="D1961" s="48"/>
    </row>
    <row r="1962" spans="2:4">
      <c r="B1962" s="48"/>
      <c r="D1962" s="48"/>
    </row>
    <row r="1963" spans="2:4">
      <c r="B1963" s="48"/>
      <c r="D1963" s="48"/>
    </row>
    <row r="1964" spans="2:4">
      <c r="B1964" s="48"/>
      <c r="D1964" s="48"/>
    </row>
    <row r="1965" spans="2:4">
      <c r="B1965" s="48"/>
      <c r="D1965" s="48"/>
    </row>
    <row r="1966" spans="2:4">
      <c r="B1966" s="48"/>
      <c r="D1966" s="48"/>
    </row>
    <row r="1967" spans="2:4">
      <c r="B1967" s="48"/>
      <c r="D1967" s="48"/>
    </row>
    <row r="1968" spans="2:4">
      <c r="B1968" s="48"/>
      <c r="D1968" s="48"/>
    </row>
    <row r="1969" spans="2:4">
      <c r="B1969" s="48"/>
      <c r="D1969" s="48"/>
    </row>
    <row r="1970" spans="2:4">
      <c r="B1970" s="48"/>
      <c r="D1970" s="48"/>
    </row>
    <row r="1971" spans="2:4">
      <c r="B1971" s="48"/>
      <c r="D1971" s="48"/>
    </row>
    <row r="1972" spans="2:4">
      <c r="B1972" s="48"/>
      <c r="D1972" s="48"/>
    </row>
    <row r="1973" spans="2:4">
      <c r="B1973" s="48"/>
      <c r="D1973" s="48"/>
    </row>
    <row r="1974" spans="2:4">
      <c r="B1974" s="48"/>
      <c r="D1974" s="48"/>
    </row>
    <row r="1975" spans="2:4">
      <c r="B1975" s="48"/>
      <c r="D1975" s="48"/>
    </row>
    <row r="1976" spans="2:4">
      <c r="B1976" s="48"/>
      <c r="D1976" s="48"/>
    </row>
    <row r="1977" spans="2:4">
      <c r="B1977" s="48"/>
      <c r="D1977" s="48"/>
    </row>
    <row r="1978" spans="2:4">
      <c r="B1978" s="48"/>
      <c r="D1978" s="48"/>
    </row>
    <row r="1979" spans="2:4">
      <c r="B1979" s="48"/>
      <c r="D1979" s="48"/>
    </row>
    <row r="1980" spans="2:4">
      <c r="B1980" s="48"/>
      <c r="D1980" s="48"/>
    </row>
    <row r="1981" spans="2:4">
      <c r="B1981" s="48"/>
      <c r="D1981" s="48"/>
    </row>
    <row r="1982" spans="2:4">
      <c r="B1982" s="48"/>
      <c r="D1982" s="48"/>
    </row>
    <row r="1983" spans="2:4">
      <c r="B1983" s="48"/>
      <c r="D1983" s="48"/>
    </row>
    <row r="1984" spans="2:4">
      <c r="B1984" s="48"/>
      <c r="D1984" s="48"/>
    </row>
    <row r="1985" spans="2:4">
      <c r="B1985" s="48"/>
      <c r="D1985" s="48"/>
    </row>
    <row r="1986" spans="2:4">
      <c r="B1986" s="48"/>
      <c r="D1986" s="48"/>
    </row>
    <row r="1987" spans="2:4">
      <c r="B1987" s="48"/>
      <c r="D1987" s="48"/>
    </row>
    <row r="1988" spans="2:4">
      <c r="B1988" s="48"/>
      <c r="D1988" s="48"/>
    </row>
    <row r="1989" spans="2:4">
      <c r="B1989" s="48"/>
      <c r="D1989" s="48"/>
    </row>
    <row r="1990" spans="2:4">
      <c r="B1990" s="48"/>
      <c r="D1990" s="48"/>
    </row>
    <row r="1991" spans="2:4">
      <c r="B1991" s="48"/>
      <c r="D1991" s="48"/>
    </row>
    <row r="1992" spans="2:4">
      <c r="B1992" s="48"/>
      <c r="D1992" s="48"/>
    </row>
    <row r="1993" spans="2:4">
      <c r="B1993" s="48"/>
      <c r="D1993" s="48"/>
    </row>
    <row r="1994" spans="2:4">
      <c r="B1994" s="48"/>
      <c r="D1994" s="48"/>
    </row>
    <row r="1995" spans="2:4">
      <c r="B1995" s="48"/>
      <c r="D1995" s="48"/>
    </row>
    <row r="1996" spans="2:4">
      <c r="B1996" s="48"/>
      <c r="D1996" s="48"/>
    </row>
    <row r="1997" spans="2:4">
      <c r="B1997" s="48"/>
      <c r="D1997" s="48"/>
    </row>
    <row r="1998" spans="2:4">
      <c r="B1998" s="48"/>
      <c r="D1998" s="48"/>
    </row>
    <row r="1999" spans="2:4">
      <c r="B1999" s="48"/>
      <c r="D1999" s="48"/>
    </row>
    <row r="2000" spans="2:4">
      <c r="B2000" s="48"/>
      <c r="D2000" s="48"/>
    </row>
    <row r="2001" spans="2:4">
      <c r="B2001" s="48"/>
      <c r="D2001" s="48"/>
    </row>
    <row r="2002" spans="2:4">
      <c r="B2002" s="48"/>
      <c r="D2002" s="48"/>
    </row>
    <row r="2003" spans="2:4">
      <c r="B2003" s="48"/>
      <c r="D2003" s="48"/>
    </row>
    <row r="2004" spans="2:4">
      <c r="B2004" s="48"/>
      <c r="D2004" s="48"/>
    </row>
    <row r="2005" spans="2:4">
      <c r="B2005" s="48"/>
      <c r="D2005" s="48"/>
    </row>
    <row r="2006" spans="2:4">
      <c r="B2006" s="48"/>
      <c r="D2006" s="48"/>
    </row>
    <row r="2007" spans="2:4">
      <c r="B2007" s="48"/>
      <c r="D2007" s="48"/>
    </row>
    <row r="2008" spans="2:4">
      <c r="B2008" s="48"/>
      <c r="D2008" s="48"/>
    </row>
    <row r="2009" spans="2:4">
      <c r="B2009" s="48"/>
      <c r="D2009" s="48"/>
    </row>
    <row r="2010" spans="2:4">
      <c r="B2010" s="48"/>
      <c r="D2010" s="48"/>
    </row>
    <row r="2011" spans="2:4">
      <c r="B2011" s="48"/>
      <c r="D2011" s="48"/>
    </row>
    <row r="2012" spans="2:4">
      <c r="B2012" s="48"/>
      <c r="D2012" s="48"/>
    </row>
    <row r="2013" spans="2:4">
      <c r="B2013" s="48"/>
      <c r="D2013" s="48"/>
    </row>
    <row r="2014" spans="2:4">
      <c r="B2014" s="48"/>
      <c r="D2014" s="48"/>
    </row>
    <row r="2015" spans="2:4">
      <c r="B2015" s="48"/>
      <c r="D2015" s="48"/>
    </row>
    <row r="2016" spans="2:4">
      <c r="B2016" s="48"/>
      <c r="D2016" s="48"/>
    </row>
    <row r="2017" spans="2:4">
      <c r="B2017" s="48"/>
      <c r="D2017" s="48"/>
    </row>
    <row r="2018" spans="2:4">
      <c r="B2018" s="48"/>
      <c r="D2018" s="48"/>
    </row>
    <row r="2019" spans="2:4">
      <c r="B2019" s="48"/>
      <c r="D2019" s="48"/>
    </row>
    <row r="2020" spans="2:4">
      <c r="B2020" s="48"/>
      <c r="D2020" s="48"/>
    </row>
    <row r="2021" spans="2:4">
      <c r="B2021" s="48"/>
      <c r="D2021" s="48"/>
    </row>
    <row r="2022" spans="2:4">
      <c r="B2022" s="48"/>
      <c r="D2022" s="48"/>
    </row>
    <row r="2023" spans="2:4">
      <c r="B2023" s="48"/>
      <c r="D2023" s="48"/>
    </row>
    <row r="2024" spans="2:4">
      <c r="B2024" s="48"/>
      <c r="D2024" s="48"/>
    </row>
    <row r="2025" spans="2:4">
      <c r="B2025" s="48"/>
      <c r="D2025" s="48"/>
    </row>
    <row r="2026" spans="2:4">
      <c r="B2026" s="48"/>
      <c r="D2026" s="48"/>
    </row>
    <row r="2027" spans="2:4">
      <c r="B2027" s="48"/>
      <c r="D2027" s="48"/>
    </row>
    <row r="2028" spans="2:4">
      <c r="B2028" s="48"/>
      <c r="D2028" s="48"/>
    </row>
    <row r="2029" spans="2:4">
      <c r="B2029" s="48"/>
      <c r="D2029" s="48"/>
    </row>
    <row r="2030" spans="2:4">
      <c r="B2030" s="48"/>
      <c r="D2030" s="48"/>
    </row>
    <row r="2031" spans="2:4">
      <c r="B2031" s="48"/>
      <c r="D2031" s="48"/>
    </row>
    <row r="2032" spans="2:4">
      <c r="B2032" s="48"/>
      <c r="D2032" s="48"/>
    </row>
    <row r="2033" spans="2:4">
      <c r="B2033" s="48"/>
      <c r="D2033" s="48"/>
    </row>
    <row r="2034" spans="2:4">
      <c r="B2034" s="48"/>
      <c r="D2034" s="48"/>
    </row>
    <row r="2035" spans="2:4">
      <c r="B2035" s="48"/>
      <c r="D2035" s="48"/>
    </row>
    <row r="2036" spans="2:4">
      <c r="B2036" s="48"/>
      <c r="D2036" s="48"/>
    </row>
    <row r="2037" spans="2:4">
      <c r="B2037" s="48"/>
      <c r="D2037" s="48"/>
    </row>
    <row r="2038" spans="2:4">
      <c r="B2038" s="48"/>
      <c r="D2038" s="48"/>
    </row>
    <row r="2039" spans="2:4">
      <c r="B2039" s="48"/>
      <c r="D2039" s="48"/>
    </row>
    <row r="2040" spans="2:4">
      <c r="B2040" s="48"/>
      <c r="D2040" s="48"/>
    </row>
    <row r="2041" spans="2:4">
      <c r="B2041" s="48"/>
      <c r="D2041" s="48"/>
    </row>
    <row r="2042" spans="2:4">
      <c r="B2042" s="48"/>
      <c r="D2042" s="48"/>
    </row>
    <row r="2043" spans="2:4">
      <c r="B2043" s="48"/>
      <c r="D2043" s="48"/>
    </row>
    <row r="2044" spans="2:4">
      <c r="B2044" s="48"/>
      <c r="D2044" s="48"/>
    </row>
    <row r="2045" spans="2:4">
      <c r="B2045" s="48"/>
      <c r="D2045" s="48"/>
    </row>
    <row r="2046" spans="2:4">
      <c r="B2046" s="48"/>
      <c r="D2046" s="48"/>
    </row>
    <row r="2047" spans="2:4">
      <c r="B2047" s="48"/>
      <c r="D2047" s="48"/>
    </row>
    <row r="2048" spans="2:4">
      <c r="B2048" s="48"/>
      <c r="D2048" s="48"/>
    </row>
    <row r="2049" spans="2:4">
      <c r="B2049" s="48"/>
      <c r="D2049" s="48"/>
    </row>
    <row r="2050" spans="2:4">
      <c r="B2050" s="48"/>
      <c r="D2050" s="48"/>
    </row>
    <row r="2051" spans="2:4">
      <c r="B2051" s="48"/>
      <c r="D2051" s="48"/>
    </row>
    <row r="2052" spans="2:4">
      <c r="B2052" s="48"/>
      <c r="D2052" s="48"/>
    </row>
    <row r="2053" spans="2:4">
      <c r="B2053" s="48"/>
      <c r="D2053" s="48"/>
    </row>
    <row r="2054" spans="2:4">
      <c r="B2054" s="48"/>
      <c r="D2054" s="48"/>
    </row>
    <row r="2055" spans="2:4">
      <c r="B2055" s="48"/>
      <c r="D2055" s="48"/>
    </row>
    <row r="2056" spans="2:4">
      <c r="B2056" s="48"/>
      <c r="D2056" s="48"/>
    </row>
    <row r="2057" spans="2:4">
      <c r="B2057" s="48"/>
      <c r="D2057" s="48"/>
    </row>
    <row r="2058" spans="2:4">
      <c r="B2058" s="48"/>
      <c r="D2058" s="48"/>
    </row>
    <row r="2059" spans="2:4">
      <c r="B2059" s="48"/>
      <c r="D2059" s="48"/>
    </row>
    <row r="2060" spans="2:4">
      <c r="B2060" s="48"/>
      <c r="D2060" s="48"/>
    </row>
    <row r="2061" spans="2:4">
      <c r="B2061" s="48"/>
      <c r="D2061" s="48"/>
    </row>
    <row r="2062" spans="2:4">
      <c r="B2062" s="48"/>
      <c r="D2062" s="48"/>
    </row>
    <row r="2063" spans="2:4">
      <c r="B2063" s="48"/>
      <c r="D2063" s="48"/>
    </row>
    <row r="2064" spans="2:4">
      <c r="B2064" s="48"/>
      <c r="D2064" s="48"/>
    </row>
    <row r="2065" spans="2:4">
      <c r="B2065" s="48"/>
      <c r="D2065" s="48"/>
    </row>
    <row r="2066" spans="2:4">
      <c r="B2066" s="48"/>
      <c r="D2066" s="48"/>
    </row>
    <row r="2067" spans="2:4">
      <c r="B2067" s="48"/>
      <c r="D2067" s="48"/>
    </row>
    <row r="2068" spans="2:4">
      <c r="B2068" s="48"/>
      <c r="D2068" s="48"/>
    </row>
    <row r="2069" spans="2:4">
      <c r="B2069" s="48"/>
      <c r="D2069" s="48"/>
    </row>
    <row r="2070" spans="2:4">
      <c r="B2070" s="48"/>
      <c r="D2070" s="48"/>
    </row>
    <row r="2071" spans="2:4">
      <c r="B2071" s="48"/>
      <c r="D2071" s="48"/>
    </row>
    <row r="2072" spans="2:4">
      <c r="B2072" s="48"/>
      <c r="D2072" s="48"/>
    </row>
    <row r="2073" spans="2:4">
      <c r="B2073" s="48"/>
      <c r="D2073" s="48"/>
    </row>
    <row r="2074" spans="2:4">
      <c r="B2074" s="48"/>
      <c r="D2074" s="48"/>
    </row>
    <row r="2075" spans="2:4">
      <c r="B2075" s="48"/>
      <c r="D2075" s="48"/>
    </row>
    <row r="2076" spans="2:4">
      <c r="B2076" s="48"/>
      <c r="D2076" s="48"/>
    </row>
    <row r="2077" spans="2:4">
      <c r="B2077" s="48"/>
      <c r="D2077" s="48"/>
    </row>
    <row r="2078" spans="2:4">
      <c r="B2078" s="48"/>
      <c r="D2078" s="48"/>
    </row>
    <row r="2079" spans="2:4">
      <c r="B2079" s="48"/>
      <c r="D2079" s="48"/>
    </row>
    <row r="2080" spans="2:4">
      <c r="B2080" s="48"/>
      <c r="D2080" s="48"/>
    </row>
    <row r="2081" spans="2:4">
      <c r="B2081" s="48"/>
      <c r="D2081" s="48"/>
    </row>
    <row r="2082" spans="2:4">
      <c r="B2082" s="48"/>
      <c r="D2082" s="48"/>
    </row>
    <row r="2083" spans="2:4">
      <c r="B2083" s="48"/>
      <c r="D2083" s="48"/>
    </row>
    <row r="2084" spans="2:4">
      <c r="B2084" s="48"/>
      <c r="D2084" s="48"/>
    </row>
    <row r="2085" spans="2:4">
      <c r="B2085" s="48"/>
      <c r="D2085" s="48"/>
    </row>
    <row r="2086" spans="2:4">
      <c r="B2086" s="48"/>
      <c r="D2086" s="48"/>
    </row>
    <row r="2087" spans="2:4">
      <c r="B2087" s="48"/>
      <c r="D2087" s="48"/>
    </row>
    <row r="2088" spans="2:4">
      <c r="B2088" s="48"/>
      <c r="D2088" s="48"/>
    </row>
    <row r="2089" spans="2:4">
      <c r="B2089" s="48"/>
      <c r="D2089" s="48"/>
    </row>
    <row r="2090" spans="2:4">
      <c r="B2090" s="48"/>
      <c r="D2090" s="48"/>
    </row>
    <row r="2091" spans="2:4">
      <c r="B2091" s="48"/>
      <c r="D2091" s="48"/>
    </row>
    <row r="2092" spans="2:4">
      <c r="B2092" s="48"/>
      <c r="D2092" s="48"/>
    </row>
    <row r="2093" spans="2:4">
      <c r="B2093" s="48"/>
      <c r="D2093" s="48"/>
    </row>
    <row r="2094" spans="2:4">
      <c r="B2094" s="48"/>
      <c r="D2094" s="48"/>
    </row>
    <row r="2095" spans="2:4">
      <c r="B2095" s="48"/>
      <c r="D2095" s="48"/>
    </row>
    <row r="2096" spans="2:4">
      <c r="B2096" s="48"/>
      <c r="D2096" s="48"/>
    </row>
    <row r="2097" spans="2:4">
      <c r="B2097" s="48"/>
      <c r="D2097" s="48"/>
    </row>
    <row r="2098" spans="2:4">
      <c r="B2098" s="48"/>
      <c r="D2098" s="48"/>
    </row>
    <row r="2099" spans="2:4">
      <c r="B2099" s="48"/>
      <c r="D2099" s="48"/>
    </row>
    <row r="2100" spans="2:4">
      <c r="B2100" s="48"/>
      <c r="D2100" s="48"/>
    </row>
    <row r="2101" spans="2:4">
      <c r="B2101" s="48"/>
      <c r="D2101" s="48"/>
    </row>
    <row r="2102" spans="2:4">
      <c r="B2102" s="48"/>
      <c r="D2102" s="48"/>
    </row>
    <row r="2103" spans="2:4">
      <c r="B2103" s="48"/>
      <c r="D2103" s="48"/>
    </row>
    <row r="2104" spans="2:4">
      <c r="B2104" s="48"/>
      <c r="D2104" s="48"/>
    </row>
    <row r="2105" spans="2:4">
      <c r="B2105" s="48"/>
      <c r="D2105" s="48"/>
    </row>
    <row r="2106" spans="2:4">
      <c r="B2106" s="48"/>
      <c r="D2106" s="48"/>
    </row>
    <row r="2107" spans="2:4">
      <c r="B2107" s="48"/>
      <c r="D2107" s="48"/>
    </row>
    <row r="2108" spans="2:4">
      <c r="B2108" s="48"/>
      <c r="D2108" s="48"/>
    </row>
    <row r="2109" spans="2:4">
      <c r="B2109" s="48"/>
      <c r="D2109" s="48"/>
    </row>
    <row r="2110" spans="2:4">
      <c r="B2110" s="48"/>
      <c r="D2110" s="48"/>
    </row>
    <row r="2111" spans="2:4">
      <c r="B2111" s="48"/>
      <c r="D2111" s="48"/>
    </row>
    <row r="2112" spans="2:4">
      <c r="B2112" s="48"/>
      <c r="D2112" s="48"/>
    </row>
    <row r="2113" spans="2:4">
      <c r="B2113" s="48"/>
      <c r="D2113" s="48"/>
    </row>
    <row r="2114" spans="2:4">
      <c r="B2114" s="48"/>
      <c r="D2114" s="48"/>
    </row>
    <row r="2115" spans="2:4">
      <c r="B2115" s="48"/>
      <c r="D2115" s="48"/>
    </row>
    <row r="2116" spans="2:4">
      <c r="B2116" s="48"/>
      <c r="D2116" s="48"/>
    </row>
    <row r="2117" spans="2:4">
      <c r="B2117" s="48"/>
      <c r="D2117" s="48"/>
    </row>
    <row r="2118" spans="2:4">
      <c r="B2118" s="48"/>
      <c r="D2118" s="48"/>
    </row>
    <row r="2119" spans="2:4">
      <c r="B2119" s="48"/>
      <c r="D2119" s="48"/>
    </row>
    <row r="2120" spans="2:4">
      <c r="B2120" s="48"/>
      <c r="D2120" s="48"/>
    </row>
    <row r="2121" spans="2:4">
      <c r="B2121" s="48"/>
      <c r="D2121" s="48"/>
    </row>
    <row r="2122" spans="2:4">
      <c r="B2122" s="48"/>
      <c r="D2122" s="48"/>
    </row>
    <row r="2123" spans="2:4">
      <c r="B2123" s="48"/>
      <c r="D2123" s="48"/>
    </row>
    <row r="2124" spans="2:4">
      <c r="B2124" s="48"/>
      <c r="D2124" s="48"/>
    </row>
    <row r="2125" spans="2:4">
      <c r="B2125" s="48"/>
      <c r="D2125" s="48"/>
    </row>
    <row r="2126" spans="2:4">
      <c r="B2126" s="48"/>
      <c r="D2126" s="48"/>
    </row>
    <row r="2127" spans="2:4">
      <c r="B2127" s="48"/>
      <c r="D2127" s="48"/>
    </row>
    <row r="2128" spans="2:4">
      <c r="B2128" s="48"/>
      <c r="D2128" s="48"/>
    </row>
    <row r="2129" spans="2:4">
      <c r="B2129" s="48"/>
      <c r="D2129" s="48"/>
    </row>
    <row r="2130" spans="2:4">
      <c r="B2130" s="48"/>
      <c r="D2130" s="48"/>
    </row>
    <row r="2131" spans="2:4">
      <c r="B2131" s="48"/>
      <c r="D2131" s="48"/>
    </row>
    <row r="2132" spans="2:4">
      <c r="B2132" s="48"/>
      <c r="D2132" s="48"/>
    </row>
    <row r="2133" spans="2:4">
      <c r="B2133" s="48"/>
      <c r="D2133" s="48"/>
    </row>
    <row r="2134" spans="2:4">
      <c r="B2134" s="48"/>
      <c r="D2134" s="48"/>
    </row>
    <row r="2135" spans="2:4">
      <c r="B2135" s="48"/>
      <c r="D2135" s="48"/>
    </row>
    <row r="2136" spans="2:4">
      <c r="B2136" s="48"/>
      <c r="D2136" s="48"/>
    </row>
    <row r="2137" spans="2:4">
      <c r="B2137" s="48"/>
      <c r="D2137" s="48"/>
    </row>
    <row r="2138" spans="2:4">
      <c r="B2138" s="48"/>
      <c r="D2138" s="48"/>
    </row>
    <row r="2139" spans="2:4">
      <c r="B2139" s="48"/>
      <c r="D2139" s="48"/>
    </row>
    <row r="2140" spans="2:4">
      <c r="B2140" s="48"/>
      <c r="D2140" s="48"/>
    </row>
    <row r="2141" spans="2:4">
      <c r="B2141" s="48"/>
      <c r="D2141" s="48"/>
    </row>
    <row r="2142" spans="2:4">
      <c r="B2142" s="48"/>
      <c r="D2142" s="48"/>
    </row>
    <row r="2143" spans="2:4">
      <c r="B2143" s="48"/>
      <c r="D2143" s="48"/>
    </row>
    <row r="2144" spans="2:4">
      <c r="B2144" s="48"/>
      <c r="D2144" s="48"/>
    </row>
    <row r="2145" spans="2:4">
      <c r="B2145" s="48"/>
      <c r="D2145" s="48"/>
    </row>
    <row r="2146" spans="2:4">
      <c r="B2146" s="48"/>
      <c r="D2146" s="48"/>
    </row>
    <row r="2147" spans="2:4">
      <c r="B2147" s="48"/>
      <c r="D2147" s="48"/>
    </row>
    <row r="2148" spans="2:4">
      <c r="B2148" s="48"/>
      <c r="D2148" s="48"/>
    </row>
    <row r="2149" spans="2:4">
      <c r="B2149" s="48"/>
      <c r="D2149" s="48"/>
    </row>
    <row r="2150" spans="2:4">
      <c r="B2150" s="48"/>
      <c r="D2150" s="48"/>
    </row>
    <row r="2151" spans="2:4">
      <c r="B2151" s="48"/>
      <c r="D2151" s="48"/>
    </row>
    <row r="2152" spans="2:4">
      <c r="B2152" s="48"/>
      <c r="D2152" s="48"/>
    </row>
    <row r="2153" spans="2:4">
      <c r="B2153" s="48"/>
      <c r="D2153" s="48"/>
    </row>
    <row r="2154" spans="2:4">
      <c r="B2154" s="48"/>
      <c r="D2154" s="48"/>
    </row>
    <row r="2155" spans="2:4">
      <c r="B2155" s="48"/>
      <c r="D2155" s="48"/>
    </row>
    <row r="2156" spans="2:4">
      <c r="B2156" s="48"/>
      <c r="D2156" s="48"/>
    </row>
    <row r="2157" spans="2:4">
      <c r="B2157" s="48"/>
      <c r="D2157" s="48"/>
    </row>
    <row r="2158" spans="2:4">
      <c r="B2158" s="48"/>
      <c r="D2158" s="48"/>
    </row>
    <row r="2159" spans="2:4">
      <c r="B2159" s="48"/>
      <c r="D2159" s="48"/>
    </row>
    <row r="2160" spans="2:4">
      <c r="B2160" s="48"/>
      <c r="D2160" s="48"/>
    </row>
    <row r="2161" spans="2:4">
      <c r="B2161" s="48"/>
      <c r="D2161" s="48"/>
    </row>
    <row r="2162" spans="2:4">
      <c r="B2162" s="48"/>
      <c r="D2162" s="48"/>
    </row>
    <row r="2163" spans="2:4">
      <c r="B2163" s="48"/>
      <c r="D2163" s="48"/>
    </row>
    <row r="2164" spans="2:4">
      <c r="B2164" s="48"/>
      <c r="D2164" s="48"/>
    </row>
    <row r="2165" spans="2:4">
      <c r="B2165" s="48"/>
      <c r="D2165" s="48"/>
    </row>
    <row r="2166" spans="2:4">
      <c r="B2166" s="48"/>
      <c r="D2166" s="48"/>
    </row>
    <row r="2167" spans="2:4">
      <c r="B2167" s="48"/>
      <c r="D2167" s="48"/>
    </row>
    <row r="2168" spans="2:4">
      <c r="B2168" s="48"/>
      <c r="D2168" s="48"/>
    </row>
    <row r="2169" spans="2:4">
      <c r="B2169" s="48"/>
      <c r="D2169" s="48"/>
    </row>
    <row r="2170" spans="2:4">
      <c r="B2170" s="48"/>
      <c r="D2170" s="48"/>
    </row>
    <row r="2171" spans="2:4">
      <c r="B2171" s="48"/>
      <c r="D2171" s="48"/>
    </row>
    <row r="2172" spans="2:4">
      <c r="B2172" s="48"/>
      <c r="D2172" s="48"/>
    </row>
    <row r="2173" spans="2:4">
      <c r="B2173" s="48"/>
      <c r="D2173" s="48"/>
    </row>
    <row r="2174" spans="2:4">
      <c r="B2174" s="48"/>
      <c r="D2174" s="48"/>
    </row>
    <row r="2175" spans="2:4">
      <c r="B2175" s="48"/>
      <c r="D2175" s="48"/>
    </row>
    <row r="2176" spans="2:4">
      <c r="B2176" s="48"/>
      <c r="D2176" s="48"/>
    </row>
    <row r="2177" spans="2:4">
      <c r="B2177" s="48"/>
      <c r="D2177" s="48"/>
    </row>
    <row r="2178" spans="2:4">
      <c r="B2178" s="48"/>
      <c r="D2178" s="48"/>
    </row>
    <row r="2179" spans="2:4">
      <c r="B2179" s="48"/>
      <c r="D2179" s="48"/>
    </row>
    <row r="2180" spans="2:4">
      <c r="B2180" s="48"/>
      <c r="D2180" s="48"/>
    </row>
    <row r="2181" spans="2:4">
      <c r="B2181" s="48"/>
      <c r="D2181" s="48"/>
    </row>
    <row r="2182" spans="2:4">
      <c r="B2182" s="48"/>
      <c r="D2182" s="48"/>
    </row>
    <row r="2183" spans="2:4">
      <c r="B2183" s="48"/>
      <c r="D2183" s="48"/>
    </row>
    <row r="2184" spans="2:4">
      <c r="B2184" s="48"/>
      <c r="D2184" s="48"/>
    </row>
    <row r="2185" spans="2:4">
      <c r="B2185" s="48"/>
      <c r="D2185" s="48"/>
    </row>
    <row r="2186" spans="2:4">
      <c r="B2186" s="48"/>
      <c r="D2186" s="48"/>
    </row>
    <row r="2187" spans="2:4">
      <c r="B2187" s="48"/>
      <c r="D2187" s="48"/>
    </row>
    <row r="2188" spans="2:4">
      <c r="B2188" s="48"/>
      <c r="D2188" s="48"/>
    </row>
    <row r="2189" spans="2:4">
      <c r="B2189" s="48"/>
      <c r="D2189" s="48"/>
    </row>
    <row r="2190" spans="2:4">
      <c r="B2190" s="48"/>
      <c r="D2190" s="48"/>
    </row>
    <row r="2191" spans="2:4">
      <c r="B2191" s="48"/>
      <c r="D2191" s="48"/>
    </row>
    <row r="2192" spans="2:4">
      <c r="B2192" s="48"/>
      <c r="D2192" s="48"/>
    </row>
    <row r="2193" spans="2:4">
      <c r="B2193" s="48"/>
      <c r="D2193" s="48"/>
    </row>
    <row r="2194" spans="2:4">
      <c r="B2194" s="48"/>
      <c r="D2194" s="48"/>
    </row>
    <row r="2195" spans="2:4">
      <c r="B2195" s="48"/>
      <c r="D2195" s="48"/>
    </row>
    <row r="2196" spans="2:4">
      <c r="B2196" s="48"/>
      <c r="D2196" s="48"/>
    </row>
    <row r="2197" spans="2:4">
      <c r="B2197" s="48"/>
      <c r="D2197" s="48"/>
    </row>
    <row r="2198" spans="2:4">
      <c r="B2198" s="48"/>
      <c r="D2198" s="48"/>
    </row>
    <row r="2199" spans="2:4">
      <c r="B2199" s="48"/>
      <c r="D2199" s="48"/>
    </row>
    <row r="2200" spans="2:4">
      <c r="B2200" s="48"/>
      <c r="D2200" s="48"/>
    </row>
    <row r="2201" spans="2:4">
      <c r="B2201" s="48"/>
      <c r="D2201" s="48"/>
    </row>
    <row r="2202" spans="2:4">
      <c r="B2202" s="48"/>
      <c r="D2202" s="48"/>
    </row>
    <row r="2203" spans="2:4">
      <c r="B2203" s="48"/>
      <c r="D2203" s="48"/>
    </row>
    <row r="2204" spans="2:4">
      <c r="B2204" s="48"/>
      <c r="D2204" s="48"/>
    </row>
    <row r="2205" spans="2:4">
      <c r="B2205" s="48"/>
      <c r="D2205" s="48"/>
    </row>
    <row r="2206" spans="2:4">
      <c r="B2206" s="48"/>
      <c r="D2206" s="48"/>
    </row>
    <row r="2207" spans="2:4">
      <c r="B2207" s="48"/>
      <c r="D2207" s="48"/>
    </row>
    <row r="2208" spans="2:4">
      <c r="B2208" s="48"/>
      <c r="D2208" s="48"/>
    </row>
    <row r="2209" spans="2:4">
      <c r="B2209" s="48"/>
      <c r="D2209" s="48"/>
    </row>
    <row r="2210" spans="2:4">
      <c r="B2210" s="48"/>
      <c r="D2210" s="48"/>
    </row>
    <row r="2211" spans="2:4">
      <c r="B2211" s="48"/>
      <c r="D2211" s="48"/>
    </row>
    <row r="2212" spans="2:4">
      <c r="B2212" s="48"/>
      <c r="D2212" s="48"/>
    </row>
    <row r="2213" spans="2:4">
      <c r="B2213" s="48"/>
      <c r="D2213" s="48"/>
    </row>
    <row r="2214" spans="2:4">
      <c r="B2214" s="48"/>
      <c r="D2214" s="48"/>
    </row>
    <row r="2215" spans="2:4">
      <c r="B2215" s="48"/>
      <c r="D2215" s="48"/>
    </row>
    <row r="2216" spans="2:4">
      <c r="B2216" s="48"/>
      <c r="D2216" s="48"/>
    </row>
    <row r="2217" spans="2:4">
      <c r="B2217" s="48"/>
      <c r="D2217" s="48"/>
    </row>
    <row r="2218" spans="2:4">
      <c r="B2218" s="48"/>
      <c r="D2218" s="48"/>
    </row>
    <row r="2219" spans="2:4">
      <c r="B2219" s="48"/>
      <c r="D2219" s="48"/>
    </row>
    <row r="2220" spans="2:4">
      <c r="B2220" s="48"/>
      <c r="D2220" s="48"/>
    </row>
    <row r="2221" spans="2:4">
      <c r="B2221" s="48"/>
      <c r="D2221" s="48"/>
    </row>
    <row r="2222" spans="2:4">
      <c r="B2222" s="48"/>
      <c r="D2222" s="48"/>
    </row>
    <row r="2223" spans="2:4">
      <c r="B2223" s="48"/>
      <c r="D2223" s="48"/>
    </row>
    <row r="2224" spans="2:4">
      <c r="B2224" s="48"/>
      <c r="D2224" s="48"/>
    </row>
    <row r="2225" spans="2:4">
      <c r="B2225" s="48"/>
      <c r="D2225" s="48"/>
    </row>
    <row r="2226" spans="2:4">
      <c r="B2226" s="48"/>
      <c r="D2226" s="48"/>
    </row>
    <row r="2227" spans="2:4">
      <c r="B2227" s="48"/>
      <c r="D2227" s="48"/>
    </row>
    <row r="2228" spans="2:4">
      <c r="B2228" s="48"/>
      <c r="D2228" s="48"/>
    </row>
    <row r="2229" spans="2:4">
      <c r="B2229" s="48"/>
      <c r="D2229" s="48"/>
    </row>
    <row r="2230" spans="2:4">
      <c r="B2230" s="48"/>
      <c r="D2230" s="48"/>
    </row>
    <row r="2231" spans="2:4">
      <c r="B2231" s="48"/>
      <c r="D2231" s="48"/>
    </row>
    <row r="2232" spans="2:4">
      <c r="B2232" s="48"/>
      <c r="D2232" s="48"/>
    </row>
    <row r="2233" spans="2:4">
      <c r="B2233" s="48"/>
      <c r="D2233" s="48"/>
    </row>
    <row r="2234" spans="2:4">
      <c r="B2234" s="48"/>
      <c r="D2234" s="48"/>
    </row>
    <row r="2235" spans="2:4">
      <c r="B2235" s="48"/>
      <c r="D2235" s="48"/>
    </row>
    <row r="2236" spans="2:4">
      <c r="B2236" s="48"/>
      <c r="D2236" s="48"/>
    </row>
    <row r="2237" spans="2:4">
      <c r="B2237" s="48"/>
      <c r="D2237" s="48"/>
    </row>
    <row r="2238" spans="2:4">
      <c r="B2238" s="48"/>
      <c r="D2238" s="48"/>
    </row>
    <row r="2239" spans="2:4">
      <c r="B2239" s="48"/>
      <c r="D2239" s="48"/>
    </row>
    <row r="2240" spans="2:4">
      <c r="B2240" s="48"/>
      <c r="D2240" s="48"/>
    </row>
    <row r="2241" spans="2:4">
      <c r="B2241" s="48"/>
      <c r="D2241" s="48"/>
    </row>
    <row r="2242" spans="2:4">
      <c r="B2242" s="48"/>
      <c r="D2242" s="48"/>
    </row>
    <row r="2243" spans="2:4">
      <c r="B2243" s="48"/>
      <c r="D2243" s="48"/>
    </row>
    <row r="2244" spans="2:4">
      <c r="B2244" s="48"/>
      <c r="D2244" s="48"/>
    </row>
    <row r="2245" spans="2:4">
      <c r="B2245" s="48"/>
      <c r="D2245" s="48"/>
    </row>
    <row r="2246" spans="2:4">
      <c r="B2246" s="48"/>
      <c r="D2246" s="48"/>
    </row>
    <row r="2247" spans="2:4">
      <c r="B2247" s="48"/>
      <c r="D2247" s="48"/>
    </row>
    <row r="2248" spans="2:4">
      <c r="B2248" s="48"/>
      <c r="D2248" s="48"/>
    </row>
    <row r="2249" spans="2:4">
      <c r="B2249" s="48"/>
      <c r="D2249" s="48"/>
    </row>
    <row r="2250" spans="2:4">
      <c r="B2250" s="48"/>
      <c r="D2250" s="48"/>
    </row>
    <row r="2251" spans="2:4">
      <c r="B2251" s="48"/>
      <c r="D2251" s="48"/>
    </row>
    <row r="2252" spans="2:4">
      <c r="B2252" s="48"/>
      <c r="D2252" s="48"/>
    </row>
    <row r="2253" spans="2:4">
      <c r="B2253" s="48"/>
      <c r="D2253" s="48"/>
    </row>
    <row r="2254" spans="2:4">
      <c r="B2254" s="48"/>
      <c r="D2254" s="48"/>
    </row>
    <row r="2255" spans="2:4">
      <c r="B2255" s="48"/>
      <c r="D2255" s="48"/>
    </row>
    <row r="2256" spans="2:4">
      <c r="B2256" s="48"/>
      <c r="D2256" s="48"/>
    </row>
    <row r="2257" spans="2:4">
      <c r="B2257" s="48"/>
      <c r="D2257" s="48"/>
    </row>
    <row r="2258" spans="2:4">
      <c r="B2258" s="48"/>
      <c r="D2258" s="48"/>
    </row>
    <row r="2259" spans="2:4">
      <c r="B2259" s="48"/>
      <c r="D2259" s="48"/>
    </row>
    <row r="2260" spans="2:4">
      <c r="B2260" s="48"/>
      <c r="D2260" s="48"/>
    </row>
    <row r="2261" spans="2:4">
      <c r="B2261" s="48"/>
      <c r="D2261" s="48"/>
    </row>
    <row r="2262" spans="2:4">
      <c r="B2262" s="48"/>
      <c r="D2262" s="48"/>
    </row>
    <row r="2263" spans="2:4">
      <c r="B2263" s="48"/>
      <c r="D2263" s="48"/>
    </row>
    <row r="2264" spans="2:4">
      <c r="B2264" s="48"/>
      <c r="D2264" s="48"/>
    </row>
    <row r="2265" spans="2:4">
      <c r="B2265" s="48"/>
      <c r="D2265" s="48"/>
    </row>
    <row r="2266" spans="2:4">
      <c r="B2266" s="48"/>
      <c r="D2266" s="48"/>
    </row>
    <row r="2267" spans="2:4">
      <c r="B2267" s="48"/>
      <c r="D2267" s="48"/>
    </row>
    <row r="2268" spans="2:4">
      <c r="B2268" s="48"/>
      <c r="D2268" s="48"/>
    </row>
    <row r="2269" spans="2:4">
      <c r="B2269" s="48"/>
      <c r="D2269" s="48"/>
    </row>
    <row r="2270" spans="2:4">
      <c r="B2270" s="48"/>
      <c r="D2270" s="48"/>
    </row>
    <row r="2271" spans="2:4">
      <c r="B2271" s="48"/>
      <c r="D2271" s="48"/>
    </row>
    <row r="2272" spans="2:4">
      <c r="B2272" s="48"/>
      <c r="D2272" s="48"/>
    </row>
    <row r="2273" spans="2:4">
      <c r="B2273" s="48"/>
      <c r="D2273" s="48"/>
    </row>
    <row r="2274" spans="2:4">
      <c r="B2274" s="48"/>
      <c r="D2274" s="48"/>
    </row>
    <row r="2275" spans="2:4">
      <c r="B2275" s="48"/>
      <c r="D2275" s="48"/>
    </row>
    <row r="2276" spans="2:4">
      <c r="B2276" s="48"/>
      <c r="D2276" s="48"/>
    </row>
    <row r="2277" spans="2:4">
      <c r="B2277" s="48"/>
      <c r="D2277" s="48"/>
    </row>
    <row r="2278" spans="2:4">
      <c r="B2278" s="48"/>
      <c r="D2278" s="48"/>
    </row>
    <row r="2279" spans="2:4">
      <c r="B2279" s="48"/>
      <c r="D2279" s="48"/>
    </row>
    <row r="2280" spans="2:4">
      <c r="B2280" s="48"/>
      <c r="D2280" s="48"/>
    </row>
    <row r="2281" spans="2:4">
      <c r="B2281" s="48"/>
      <c r="D2281" s="48"/>
    </row>
    <row r="2282" spans="2:4">
      <c r="B2282" s="48"/>
      <c r="D2282" s="48"/>
    </row>
    <row r="2283" spans="2:4">
      <c r="B2283" s="48"/>
      <c r="D2283" s="48"/>
    </row>
    <row r="2284" spans="2:4">
      <c r="B2284" s="48"/>
      <c r="D2284" s="48"/>
    </row>
    <row r="2285" spans="2:4">
      <c r="B2285" s="48"/>
      <c r="D2285" s="48"/>
    </row>
    <row r="2286" spans="2:4">
      <c r="B2286" s="48"/>
      <c r="D2286" s="48"/>
    </row>
    <row r="2287" spans="2:4">
      <c r="B2287" s="48"/>
      <c r="D2287" s="48"/>
    </row>
    <row r="2288" spans="2:4">
      <c r="B2288" s="48"/>
      <c r="D2288" s="48"/>
    </row>
    <row r="2289" spans="2:4">
      <c r="B2289" s="48"/>
      <c r="D2289" s="48"/>
    </row>
    <row r="2290" spans="2:4">
      <c r="B2290" s="48"/>
      <c r="D2290" s="48"/>
    </row>
    <row r="2291" spans="2:4">
      <c r="B2291" s="48"/>
      <c r="D2291" s="48"/>
    </row>
    <row r="2292" spans="2:4">
      <c r="B2292" s="48"/>
      <c r="D2292" s="48"/>
    </row>
    <row r="2293" spans="2:4">
      <c r="B2293" s="48"/>
      <c r="D2293" s="48"/>
    </row>
    <row r="2294" spans="2:4">
      <c r="B2294" s="48"/>
      <c r="D2294" s="48"/>
    </row>
    <row r="2295" spans="2:4">
      <c r="B2295" s="48"/>
      <c r="D2295" s="48"/>
    </row>
    <row r="2296" spans="2:4">
      <c r="B2296" s="48"/>
      <c r="D2296" s="48"/>
    </row>
    <row r="2297" spans="2:4">
      <c r="B2297" s="48"/>
      <c r="D2297" s="48"/>
    </row>
    <row r="2298" spans="2:4">
      <c r="B2298" s="48"/>
      <c r="D2298" s="48"/>
    </row>
    <row r="2299" spans="2:4">
      <c r="B2299" s="48"/>
      <c r="D2299" s="48"/>
    </row>
    <row r="2300" spans="2:4">
      <c r="B2300" s="48"/>
      <c r="D2300" s="48"/>
    </row>
    <row r="2301" spans="2:4">
      <c r="B2301" s="48"/>
      <c r="D2301" s="48"/>
    </row>
    <row r="2302" spans="2:4">
      <c r="B2302" s="48"/>
      <c r="D2302" s="48"/>
    </row>
    <row r="2303" spans="2:4">
      <c r="B2303" s="48"/>
      <c r="D2303" s="48"/>
    </row>
    <row r="2304" spans="2:4">
      <c r="B2304" s="48"/>
      <c r="D2304" s="48"/>
    </row>
    <row r="2305" spans="2:4">
      <c r="B2305" s="48"/>
      <c r="D2305" s="48"/>
    </row>
    <row r="2306" spans="2:4">
      <c r="B2306" s="48"/>
      <c r="D2306" s="48"/>
    </row>
    <row r="2307" spans="2:4">
      <c r="B2307" s="48"/>
      <c r="D2307" s="48"/>
    </row>
    <row r="2308" spans="2:4">
      <c r="B2308" s="48"/>
      <c r="D2308" s="48"/>
    </row>
    <row r="2309" spans="2:4">
      <c r="B2309" s="48"/>
      <c r="D2309" s="48"/>
    </row>
    <row r="2310" spans="2:4">
      <c r="B2310" s="48"/>
      <c r="D2310" s="48"/>
    </row>
    <row r="2311" spans="2:4">
      <c r="B2311" s="48"/>
      <c r="D2311" s="48"/>
    </row>
    <row r="2312" spans="2:4">
      <c r="B2312" s="48"/>
      <c r="D2312" s="48"/>
    </row>
    <row r="2313" spans="2:4">
      <c r="B2313" s="48"/>
      <c r="D2313" s="48"/>
    </row>
    <row r="2314" spans="2:4">
      <c r="B2314" s="48"/>
      <c r="D2314" s="48"/>
    </row>
    <row r="2315" spans="2:4">
      <c r="B2315" s="48"/>
      <c r="D2315" s="48"/>
    </row>
    <row r="2316" spans="2:4">
      <c r="B2316" s="48"/>
      <c r="D2316" s="48"/>
    </row>
    <row r="2317" spans="2:4">
      <c r="B2317" s="48"/>
      <c r="D2317" s="48"/>
    </row>
    <row r="2318" spans="2:4">
      <c r="B2318" s="48"/>
      <c r="D2318" s="48"/>
    </row>
    <row r="2319" spans="2:4">
      <c r="B2319" s="48"/>
      <c r="D2319" s="48"/>
    </row>
    <row r="2320" spans="2:4">
      <c r="B2320" s="48"/>
      <c r="D2320" s="48"/>
    </row>
    <row r="2321" spans="2:4">
      <c r="B2321" s="48"/>
      <c r="D2321" s="48"/>
    </row>
    <row r="2322" spans="2:4">
      <c r="B2322" s="48"/>
      <c r="D2322" s="48"/>
    </row>
    <row r="2323" spans="2:4">
      <c r="B2323" s="48"/>
      <c r="D2323" s="48"/>
    </row>
    <row r="2324" spans="2:4">
      <c r="B2324" s="48"/>
      <c r="D2324" s="48"/>
    </row>
    <row r="2325" spans="2:4">
      <c r="B2325" s="48"/>
      <c r="D2325" s="48"/>
    </row>
    <row r="2326" spans="2:4">
      <c r="B2326" s="48"/>
      <c r="D2326" s="48"/>
    </row>
    <row r="2327" spans="2:4">
      <c r="B2327" s="48"/>
      <c r="D2327" s="48"/>
    </row>
    <row r="2328" spans="2:4">
      <c r="B2328" s="48"/>
      <c r="D2328" s="48"/>
    </row>
    <row r="2329" spans="2:4">
      <c r="B2329" s="48"/>
      <c r="D2329" s="48"/>
    </row>
    <row r="2330" spans="2:4">
      <c r="B2330" s="48"/>
      <c r="D2330" s="48"/>
    </row>
    <row r="2331" spans="2:4">
      <c r="B2331" s="48"/>
      <c r="D2331" s="48"/>
    </row>
    <row r="2332" spans="2:4">
      <c r="B2332" s="48"/>
      <c r="D2332" s="48"/>
    </row>
    <row r="2333" spans="2:4">
      <c r="B2333" s="48"/>
      <c r="D2333" s="48"/>
    </row>
    <row r="2334" spans="2:4">
      <c r="B2334" s="48"/>
      <c r="D2334" s="48"/>
    </row>
    <row r="2335" spans="2:4">
      <c r="B2335" s="48"/>
      <c r="D2335" s="48"/>
    </row>
    <row r="2336" spans="2:4">
      <c r="B2336" s="48"/>
      <c r="D2336" s="48"/>
    </row>
    <row r="2337" spans="2:4">
      <c r="B2337" s="48"/>
      <c r="D2337" s="48"/>
    </row>
    <row r="2338" spans="2:4">
      <c r="B2338" s="48"/>
      <c r="D2338" s="48"/>
    </row>
    <row r="2339" spans="2:4">
      <c r="B2339" s="48"/>
      <c r="D2339" s="48"/>
    </row>
    <row r="2340" spans="2:4">
      <c r="B2340" s="48"/>
      <c r="D2340" s="48"/>
    </row>
    <row r="2341" spans="2:4">
      <c r="B2341" s="48"/>
      <c r="D2341" s="48"/>
    </row>
    <row r="2342" spans="2:4">
      <c r="B2342" s="48"/>
      <c r="D2342" s="48"/>
    </row>
    <row r="2343" spans="2:4">
      <c r="B2343" s="48"/>
      <c r="D2343" s="48"/>
    </row>
    <row r="2344" spans="2:4">
      <c r="B2344" s="48"/>
      <c r="D2344" s="48"/>
    </row>
    <row r="2345" spans="2:4">
      <c r="B2345" s="48"/>
      <c r="D2345" s="48"/>
    </row>
    <row r="2346" spans="2:4">
      <c r="B2346" s="48"/>
      <c r="D2346" s="48"/>
    </row>
    <row r="2347" spans="2:4">
      <c r="B2347" s="48"/>
      <c r="D2347" s="48"/>
    </row>
    <row r="2348" spans="2:4">
      <c r="B2348" s="48"/>
      <c r="D2348" s="48"/>
    </row>
    <row r="2349" spans="2:4">
      <c r="B2349" s="48"/>
      <c r="D2349" s="48"/>
    </row>
    <row r="2350" spans="2:4">
      <c r="B2350" s="48"/>
      <c r="D2350" s="48"/>
    </row>
    <row r="2351" spans="2:4">
      <c r="B2351" s="48"/>
      <c r="D2351" s="48"/>
    </row>
    <row r="2352" spans="2:4">
      <c r="B2352" s="48"/>
      <c r="D2352" s="48"/>
    </row>
    <row r="2353" spans="2:4">
      <c r="B2353" s="48"/>
      <c r="D2353" s="48"/>
    </row>
    <row r="2354" spans="2:4">
      <c r="B2354" s="48"/>
      <c r="D2354" s="48"/>
    </row>
    <row r="2355" spans="2:4">
      <c r="B2355" s="48"/>
      <c r="D2355" s="48"/>
    </row>
    <row r="2356" spans="2:4">
      <c r="B2356" s="48"/>
      <c r="D2356" s="48"/>
    </row>
    <row r="2357" spans="2:4">
      <c r="B2357" s="48"/>
      <c r="D2357" s="48"/>
    </row>
    <row r="2358" spans="2:4">
      <c r="B2358" s="48"/>
      <c r="D2358" s="48"/>
    </row>
    <row r="2359" spans="2:4">
      <c r="B2359" s="48"/>
      <c r="D2359" s="48"/>
    </row>
    <row r="2360" spans="2:4">
      <c r="B2360" s="48"/>
      <c r="D2360" s="48"/>
    </row>
    <row r="2361" spans="2:4">
      <c r="B2361" s="48"/>
      <c r="D2361" s="48"/>
    </row>
    <row r="2362" spans="2:4">
      <c r="B2362" s="48"/>
      <c r="D2362" s="48"/>
    </row>
    <row r="2363" spans="2:4">
      <c r="B2363" s="48"/>
      <c r="D2363" s="48"/>
    </row>
    <row r="2364" spans="2:4">
      <c r="B2364" s="48"/>
      <c r="D2364" s="48"/>
    </row>
    <row r="2365" spans="2:4">
      <c r="B2365" s="48"/>
      <c r="D2365" s="48"/>
    </row>
    <row r="2366" spans="2:4">
      <c r="B2366" s="48"/>
      <c r="D2366" s="48"/>
    </row>
    <row r="2367" spans="2:4">
      <c r="B2367" s="48"/>
      <c r="D2367" s="48"/>
    </row>
    <row r="2368" spans="2:4">
      <c r="B2368" s="48"/>
      <c r="D2368" s="48"/>
    </row>
    <row r="2369" spans="2:4">
      <c r="B2369" s="48"/>
      <c r="D2369" s="48"/>
    </row>
    <row r="2370" spans="2:4">
      <c r="B2370" s="48"/>
      <c r="D2370" s="48"/>
    </row>
    <row r="2371" spans="2:4">
      <c r="B2371" s="48"/>
      <c r="D2371" s="48"/>
    </row>
    <row r="2372" spans="2:4">
      <c r="B2372" s="48"/>
      <c r="D2372" s="48"/>
    </row>
    <row r="2373" spans="2:4">
      <c r="B2373" s="48"/>
      <c r="D2373" s="48"/>
    </row>
    <row r="2374" spans="2:4">
      <c r="B2374" s="48"/>
      <c r="D2374" s="48"/>
    </row>
    <row r="2375" spans="2:4">
      <c r="B2375" s="48"/>
      <c r="D2375" s="48"/>
    </row>
    <row r="2376" spans="2:4">
      <c r="B2376" s="48"/>
      <c r="D2376" s="48"/>
    </row>
    <row r="2377" spans="2:4">
      <c r="B2377" s="48"/>
      <c r="D2377" s="48"/>
    </row>
    <row r="2378" spans="2:4">
      <c r="B2378" s="48"/>
      <c r="D2378" s="48"/>
    </row>
    <row r="2379" spans="2:4">
      <c r="B2379" s="48"/>
      <c r="D2379" s="48"/>
    </row>
    <row r="2380" spans="2:4">
      <c r="B2380" s="48"/>
      <c r="D2380" s="48"/>
    </row>
    <row r="2381" spans="2:4">
      <c r="B2381" s="48"/>
      <c r="D2381" s="48"/>
    </row>
    <row r="2382" spans="2:4">
      <c r="B2382" s="48"/>
      <c r="D2382" s="48"/>
    </row>
    <row r="2383" spans="2:4">
      <c r="B2383" s="48"/>
      <c r="D2383" s="48"/>
    </row>
    <row r="2384" spans="2:4">
      <c r="B2384" s="48"/>
      <c r="D2384" s="48"/>
    </row>
    <row r="2385" spans="2:4">
      <c r="B2385" s="48"/>
      <c r="D2385" s="48"/>
    </row>
    <row r="2386" spans="2:4">
      <c r="B2386" s="48"/>
      <c r="D2386" s="48"/>
    </row>
    <row r="2387" spans="2:4">
      <c r="B2387" s="48"/>
      <c r="D2387" s="48"/>
    </row>
    <row r="2388" spans="2:4">
      <c r="B2388" s="48"/>
      <c r="D2388" s="48"/>
    </row>
    <row r="2389" spans="2:4">
      <c r="B2389" s="48"/>
      <c r="D2389" s="48"/>
    </row>
    <row r="2390" spans="2:4">
      <c r="B2390" s="48"/>
      <c r="D2390" s="48"/>
    </row>
    <row r="2391" spans="2:4">
      <c r="B2391" s="48"/>
      <c r="D2391" s="48"/>
    </row>
    <row r="2392" spans="2:4">
      <c r="B2392" s="48"/>
      <c r="D2392" s="48"/>
    </row>
    <row r="2393" spans="2:4">
      <c r="B2393" s="48"/>
      <c r="D2393" s="48"/>
    </row>
    <row r="2394" spans="2:4">
      <c r="B2394" s="48"/>
      <c r="D2394" s="48"/>
    </row>
    <row r="2395" spans="2:4">
      <c r="B2395" s="48"/>
      <c r="D2395" s="48"/>
    </row>
    <row r="2396" spans="2:4">
      <c r="B2396" s="48"/>
      <c r="D2396" s="48"/>
    </row>
    <row r="2397" spans="2:4">
      <c r="B2397" s="48"/>
      <c r="D2397" s="48"/>
    </row>
    <row r="2398" spans="2:4">
      <c r="B2398" s="48"/>
      <c r="D2398" s="48"/>
    </row>
    <row r="2399" spans="2:4">
      <c r="B2399" s="48"/>
      <c r="D2399" s="48"/>
    </row>
    <row r="2400" spans="2:4">
      <c r="B2400" s="48"/>
      <c r="D2400" s="48"/>
    </row>
    <row r="2401" spans="2:4">
      <c r="B2401" s="48"/>
      <c r="D2401" s="48"/>
    </row>
    <row r="2402" spans="2:4">
      <c r="B2402" s="48"/>
      <c r="D2402" s="48"/>
    </row>
    <row r="2403" spans="2:4">
      <c r="B2403" s="48"/>
      <c r="D2403" s="48"/>
    </row>
    <row r="2404" spans="2:4">
      <c r="B2404" s="48"/>
      <c r="D2404" s="48"/>
    </row>
    <row r="2405" spans="2:4">
      <c r="B2405" s="48"/>
      <c r="D2405" s="48"/>
    </row>
    <row r="2406" spans="2:4">
      <c r="B2406" s="48"/>
      <c r="D2406" s="48"/>
    </row>
    <row r="2407" spans="2:4">
      <c r="B2407" s="48"/>
      <c r="D2407" s="48"/>
    </row>
    <row r="2408" spans="2:4">
      <c r="B2408" s="48"/>
      <c r="D2408" s="48"/>
    </row>
    <row r="2409" spans="2:4">
      <c r="B2409" s="48"/>
      <c r="D2409" s="48"/>
    </row>
    <row r="2410" spans="2:4">
      <c r="B2410" s="48"/>
      <c r="D2410" s="48"/>
    </row>
    <row r="2411" spans="2:4">
      <c r="B2411" s="48"/>
      <c r="D2411" s="48"/>
    </row>
    <row r="2412" spans="2:4">
      <c r="B2412" s="48"/>
      <c r="D2412" s="48"/>
    </row>
    <row r="2413" spans="2:4">
      <c r="B2413" s="48"/>
      <c r="D2413" s="48"/>
    </row>
    <row r="2414" spans="2:4">
      <c r="B2414" s="48"/>
      <c r="D2414" s="48"/>
    </row>
    <row r="2415" spans="2:4">
      <c r="B2415" s="48"/>
      <c r="D2415" s="48"/>
    </row>
    <row r="2416" spans="2:4">
      <c r="B2416" s="48"/>
      <c r="D2416" s="48"/>
    </row>
    <row r="2417" spans="2:4">
      <c r="B2417" s="48"/>
      <c r="D2417" s="48"/>
    </row>
    <row r="2418" spans="2:4">
      <c r="B2418" s="48"/>
      <c r="D2418" s="48"/>
    </row>
    <row r="2419" spans="2:4">
      <c r="B2419" s="48"/>
      <c r="D2419" s="48"/>
    </row>
    <row r="2420" spans="2:4">
      <c r="B2420" s="48"/>
      <c r="D2420" s="48"/>
    </row>
    <row r="2421" spans="2:4">
      <c r="B2421" s="48"/>
      <c r="D2421" s="48"/>
    </row>
    <row r="2422" spans="2:4">
      <c r="B2422" s="48"/>
      <c r="D2422" s="48"/>
    </row>
    <row r="2423" spans="2:4">
      <c r="B2423" s="48"/>
      <c r="D2423" s="48"/>
    </row>
    <row r="2424" spans="2:4">
      <c r="B2424" s="48"/>
      <c r="D2424" s="48"/>
    </row>
    <row r="2425" spans="2:4">
      <c r="B2425" s="48"/>
      <c r="D2425" s="48"/>
    </row>
    <row r="2426" spans="2:4">
      <c r="B2426" s="48"/>
      <c r="D2426" s="48"/>
    </row>
    <row r="2427" spans="2:4">
      <c r="B2427" s="48"/>
      <c r="D2427" s="48"/>
    </row>
    <row r="2428" spans="2:4">
      <c r="B2428" s="48"/>
      <c r="D2428" s="48"/>
    </row>
    <row r="2429" spans="2:4">
      <c r="B2429" s="48"/>
      <c r="D2429" s="48"/>
    </row>
    <row r="2430" spans="2:4">
      <c r="B2430" s="48"/>
      <c r="D2430" s="48"/>
    </row>
    <row r="2431" spans="2:4">
      <c r="B2431" s="48"/>
      <c r="D2431" s="48"/>
    </row>
    <row r="2432" spans="2:4">
      <c r="B2432" s="48"/>
      <c r="D2432" s="48"/>
    </row>
    <row r="2433" spans="2:4">
      <c r="B2433" s="48"/>
      <c r="D2433" s="48"/>
    </row>
    <row r="2434" spans="2:4">
      <c r="B2434" s="48"/>
      <c r="D2434" s="48"/>
    </row>
    <row r="2435" spans="2:4">
      <c r="B2435" s="48"/>
      <c r="D2435" s="48"/>
    </row>
    <row r="2436" spans="2:4">
      <c r="B2436" s="48"/>
      <c r="D2436" s="48"/>
    </row>
    <row r="2437" spans="2:4">
      <c r="B2437" s="48"/>
      <c r="D2437" s="48"/>
    </row>
    <row r="2438" spans="2:4">
      <c r="B2438" s="48"/>
      <c r="D2438" s="48"/>
    </row>
    <row r="2439" spans="2:4">
      <c r="B2439" s="48"/>
      <c r="D2439" s="48"/>
    </row>
    <row r="2440" spans="2:4">
      <c r="B2440" s="48"/>
      <c r="D2440" s="48"/>
    </row>
    <row r="2441" spans="2:4">
      <c r="B2441" s="48"/>
      <c r="D2441" s="48"/>
    </row>
    <row r="2442" spans="2:4">
      <c r="B2442" s="48"/>
      <c r="D2442" s="48"/>
    </row>
    <row r="2443" spans="2:4">
      <c r="B2443" s="48"/>
      <c r="D2443" s="48"/>
    </row>
    <row r="2444" spans="2:4">
      <c r="B2444" s="48"/>
      <c r="D2444" s="48"/>
    </row>
    <row r="2445" spans="2:4">
      <c r="B2445" s="48"/>
      <c r="D2445" s="48"/>
    </row>
    <row r="2446" spans="2:4">
      <c r="B2446" s="48"/>
      <c r="D2446" s="48"/>
    </row>
    <row r="2447" spans="2:4">
      <c r="B2447" s="48"/>
      <c r="D2447" s="48"/>
    </row>
    <row r="2448" spans="2:4">
      <c r="B2448" s="48"/>
      <c r="D2448" s="48"/>
    </row>
    <row r="2449" spans="2:4">
      <c r="B2449" s="48"/>
      <c r="D2449" s="48"/>
    </row>
    <row r="2450" spans="2:4">
      <c r="B2450" s="48"/>
      <c r="D2450" s="48"/>
    </row>
    <row r="2451" spans="2:4">
      <c r="B2451" s="48"/>
      <c r="D2451" s="48"/>
    </row>
    <row r="2452" spans="2:4">
      <c r="B2452" s="48"/>
      <c r="D2452" s="48"/>
    </row>
    <row r="2453" spans="2:4">
      <c r="B2453" s="48"/>
      <c r="D2453" s="48"/>
    </row>
    <row r="2454" spans="2:4">
      <c r="B2454" s="48"/>
      <c r="D2454" s="48"/>
    </row>
    <row r="2455" spans="2:4">
      <c r="B2455" s="48"/>
      <c r="D2455" s="48"/>
    </row>
    <row r="2456" spans="2:4">
      <c r="B2456" s="48"/>
      <c r="D2456" s="48"/>
    </row>
    <row r="2457" spans="2:4">
      <c r="B2457" s="48"/>
      <c r="D2457" s="48"/>
    </row>
    <row r="2458" spans="2:4">
      <c r="B2458" s="48"/>
      <c r="D2458" s="48"/>
    </row>
    <row r="2459" spans="2:4">
      <c r="B2459" s="48"/>
      <c r="D2459" s="48"/>
    </row>
    <row r="2460" spans="2:4">
      <c r="B2460" s="48"/>
      <c r="D2460" s="48"/>
    </row>
    <row r="2461" spans="2:4">
      <c r="B2461" s="48"/>
      <c r="D2461" s="48"/>
    </row>
    <row r="2462" spans="2:4">
      <c r="B2462" s="48"/>
      <c r="D2462" s="48"/>
    </row>
    <row r="2463" spans="2:4">
      <c r="B2463" s="48"/>
      <c r="D2463" s="48"/>
    </row>
    <row r="2464" spans="2:4">
      <c r="B2464" s="48"/>
      <c r="D2464" s="48"/>
    </row>
    <row r="2465" spans="2:4">
      <c r="B2465" s="48"/>
      <c r="D2465" s="48"/>
    </row>
    <row r="2466" spans="2:4">
      <c r="B2466" s="48"/>
      <c r="D2466" s="48"/>
    </row>
    <row r="2467" spans="2:4">
      <c r="B2467" s="48"/>
      <c r="D2467" s="48"/>
    </row>
    <row r="2468" spans="2:4">
      <c r="B2468" s="48"/>
      <c r="D2468" s="48"/>
    </row>
    <row r="2469" spans="2:4">
      <c r="B2469" s="48"/>
      <c r="D2469" s="48"/>
    </row>
    <row r="2470" spans="2:4">
      <c r="B2470" s="48"/>
      <c r="D2470" s="48"/>
    </row>
    <row r="2471" spans="2:4">
      <c r="B2471" s="48"/>
      <c r="D2471" s="48"/>
    </row>
    <row r="2472" spans="2:4">
      <c r="B2472" s="48"/>
      <c r="D2472" s="48"/>
    </row>
    <row r="2473" spans="2:4">
      <c r="B2473" s="48"/>
      <c r="D2473" s="48"/>
    </row>
    <row r="2474" spans="2:4">
      <c r="B2474" s="48"/>
      <c r="D2474" s="48"/>
    </row>
    <row r="2475" spans="2:4">
      <c r="B2475" s="48"/>
      <c r="D2475" s="48"/>
    </row>
    <row r="2476" spans="2:4">
      <c r="B2476" s="48"/>
      <c r="D2476" s="48"/>
    </row>
    <row r="2477" spans="2:4">
      <c r="B2477" s="48"/>
      <c r="D2477" s="48"/>
    </row>
    <row r="2478" spans="2:4">
      <c r="B2478" s="48"/>
      <c r="D2478" s="48"/>
    </row>
    <row r="2479" spans="2:4">
      <c r="B2479" s="48"/>
      <c r="D2479" s="48"/>
    </row>
    <row r="2480" spans="2:4">
      <c r="B2480" s="48"/>
      <c r="D2480" s="48"/>
    </row>
    <row r="2481" spans="2:4">
      <c r="B2481" s="48"/>
      <c r="D2481" s="48"/>
    </row>
    <row r="2482" spans="2:4">
      <c r="B2482" s="48"/>
      <c r="D2482" s="48"/>
    </row>
    <row r="2483" spans="2:4">
      <c r="B2483" s="48"/>
      <c r="D2483" s="48"/>
    </row>
    <row r="2484" spans="2:4">
      <c r="B2484" s="48"/>
      <c r="D2484" s="48"/>
    </row>
    <row r="2485" spans="2:4">
      <c r="B2485" s="48"/>
      <c r="D2485" s="48"/>
    </row>
    <row r="2486" spans="2:4">
      <c r="B2486" s="48"/>
      <c r="D2486" s="48"/>
    </row>
    <row r="2487" spans="2:4">
      <c r="B2487" s="48"/>
      <c r="D2487" s="48"/>
    </row>
    <row r="2488" spans="2:4">
      <c r="B2488" s="48"/>
      <c r="D2488" s="48"/>
    </row>
    <row r="2489" spans="2:4">
      <c r="B2489" s="48"/>
      <c r="D2489" s="48"/>
    </row>
    <row r="2490" spans="2:4">
      <c r="B2490" s="48"/>
      <c r="D2490" s="48"/>
    </row>
    <row r="2491" spans="2:4">
      <c r="B2491" s="48"/>
      <c r="D2491" s="48"/>
    </row>
    <row r="2492" spans="2:4">
      <c r="B2492" s="48"/>
      <c r="D2492" s="48"/>
    </row>
    <row r="2493" spans="2:4">
      <c r="B2493" s="48"/>
      <c r="D2493" s="48"/>
    </row>
    <row r="2494" spans="2:4">
      <c r="B2494" s="48"/>
      <c r="D2494" s="48"/>
    </row>
    <row r="2495" spans="2:4">
      <c r="B2495" s="48"/>
      <c r="D2495" s="48"/>
    </row>
    <row r="2496" spans="2:4">
      <c r="B2496" s="48"/>
      <c r="D2496" s="48"/>
    </row>
    <row r="2497" spans="2:4">
      <c r="B2497" s="48"/>
      <c r="D2497" s="48"/>
    </row>
    <row r="2498" spans="2:4">
      <c r="B2498" s="48"/>
      <c r="D2498" s="48"/>
    </row>
    <row r="2499" spans="2:4">
      <c r="B2499" s="48"/>
      <c r="D2499" s="48"/>
    </row>
    <row r="2500" spans="2:4">
      <c r="B2500" s="48"/>
      <c r="D2500" s="48"/>
    </row>
    <row r="2501" spans="2:4">
      <c r="B2501" s="48"/>
      <c r="D2501" s="48"/>
    </row>
    <row r="2502" spans="2:4">
      <c r="B2502" s="48"/>
      <c r="D2502" s="48"/>
    </row>
    <row r="2503" spans="2:4">
      <c r="B2503" s="48"/>
      <c r="D2503" s="48"/>
    </row>
    <row r="2504" spans="2:4">
      <c r="B2504" s="48"/>
      <c r="D2504" s="48"/>
    </row>
    <row r="2505" spans="2:4">
      <c r="B2505" s="48"/>
      <c r="D2505" s="48"/>
    </row>
    <row r="2506" spans="2:4">
      <c r="B2506" s="48"/>
      <c r="D2506" s="48"/>
    </row>
    <row r="2507" spans="2:4">
      <c r="B2507" s="48"/>
      <c r="D2507" s="48"/>
    </row>
    <row r="2508" spans="2:4">
      <c r="B2508" s="48"/>
      <c r="D2508" s="48"/>
    </row>
    <row r="2509" spans="2:4">
      <c r="B2509" s="48"/>
      <c r="D2509" s="48"/>
    </row>
    <row r="2510" spans="2:4">
      <c r="B2510" s="48"/>
      <c r="D2510" s="48"/>
    </row>
    <row r="2511" spans="2:4">
      <c r="B2511" s="48"/>
      <c r="D2511" s="48"/>
    </row>
    <row r="2512" spans="2:4">
      <c r="B2512" s="48"/>
      <c r="D2512" s="48"/>
    </row>
    <row r="2513" spans="2:4">
      <c r="B2513" s="48"/>
      <c r="D2513" s="48"/>
    </row>
    <row r="2514" spans="2:4">
      <c r="B2514" s="48"/>
      <c r="D2514" s="48"/>
    </row>
    <row r="2515" spans="2:4">
      <c r="B2515" s="48"/>
      <c r="D2515" s="48"/>
    </row>
    <row r="2516" spans="2:4">
      <c r="B2516" s="48"/>
      <c r="D2516" s="48"/>
    </row>
    <row r="2517" spans="2:4">
      <c r="B2517" s="48"/>
      <c r="D2517" s="48"/>
    </row>
    <row r="2518" spans="2:4">
      <c r="B2518" s="48"/>
      <c r="D2518" s="48"/>
    </row>
    <row r="2519" spans="2:4">
      <c r="B2519" s="48"/>
      <c r="D2519" s="48"/>
    </row>
    <row r="2520" spans="2:4">
      <c r="B2520" s="48"/>
      <c r="D2520" s="48"/>
    </row>
    <row r="2521" spans="2:4">
      <c r="B2521" s="48"/>
      <c r="D2521" s="48"/>
    </row>
    <row r="2522" spans="2:4">
      <c r="B2522" s="48"/>
      <c r="D2522" s="48"/>
    </row>
    <row r="2523" spans="2:4">
      <c r="B2523" s="48"/>
      <c r="D2523" s="48"/>
    </row>
    <row r="2524" spans="2:4">
      <c r="B2524" s="48"/>
      <c r="D2524" s="48"/>
    </row>
    <row r="2525" spans="2:4">
      <c r="B2525" s="48"/>
      <c r="D2525" s="48"/>
    </row>
    <row r="2526" spans="2:4">
      <c r="B2526" s="48"/>
      <c r="D2526" s="48"/>
    </row>
    <row r="2527" spans="2:4">
      <c r="B2527" s="48"/>
      <c r="D2527" s="48"/>
    </row>
    <row r="2528" spans="2:4">
      <c r="B2528" s="48"/>
      <c r="D2528" s="48"/>
    </row>
    <row r="2529" spans="2:4">
      <c r="B2529" s="48"/>
      <c r="D2529" s="48"/>
    </row>
    <row r="2530" spans="2:4">
      <c r="B2530" s="48"/>
      <c r="D2530" s="48"/>
    </row>
    <row r="2531" spans="2:4">
      <c r="B2531" s="48"/>
      <c r="D2531" s="48"/>
    </row>
    <row r="2532" spans="2:4">
      <c r="B2532" s="48"/>
      <c r="D2532" s="48"/>
    </row>
    <row r="2533" spans="2:4">
      <c r="B2533" s="48"/>
      <c r="D2533" s="48"/>
    </row>
    <row r="2534" spans="2:4">
      <c r="B2534" s="48"/>
      <c r="D2534" s="48"/>
    </row>
    <row r="2535" spans="2:4">
      <c r="B2535" s="48"/>
      <c r="D2535" s="48"/>
    </row>
    <row r="2536" spans="2:4">
      <c r="B2536" s="48"/>
      <c r="D2536" s="48"/>
    </row>
    <row r="2537" spans="2:4">
      <c r="B2537" s="48"/>
      <c r="D2537" s="48"/>
    </row>
    <row r="2538" spans="2:4">
      <c r="B2538" s="48"/>
      <c r="D2538" s="48"/>
    </row>
    <row r="2539" spans="2:4">
      <c r="B2539" s="48"/>
      <c r="D2539" s="48"/>
    </row>
    <row r="2540" spans="2:4">
      <c r="B2540" s="48"/>
      <c r="D2540" s="48"/>
    </row>
    <row r="2541" spans="2:4">
      <c r="B2541" s="48"/>
      <c r="D2541" s="48"/>
    </row>
    <row r="2542" spans="2:4">
      <c r="B2542" s="48"/>
      <c r="D2542" s="48"/>
    </row>
    <row r="2543" spans="2:4">
      <c r="B2543" s="48"/>
      <c r="D2543" s="48"/>
    </row>
    <row r="2544" spans="2:4">
      <c r="B2544" s="48"/>
      <c r="D2544" s="48"/>
    </row>
    <row r="2545" spans="2:4">
      <c r="B2545" s="48"/>
      <c r="D2545" s="48"/>
    </row>
    <row r="2546" spans="2:4">
      <c r="B2546" s="48"/>
      <c r="D2546" s="48"/>
    </row>
    <row r="2547" spans="2:4">
      <c r="B2547" s="48"/>
      <c r="D2547" s="48"/>
    </row>
    <row r="2548" spans="2:4">
      <c r="B2548" s="48"/>
      <c r="D2548" s="48"/>
    </row>
    <row r="2549" spans="2:4">
      <c r="B2549" s="48"/>
      <c r="D2549" s="48"/>
    </row>
    <row r="2550" spans="2:4">
      <c r="B2550" s="48"/>
      <c r="D2550" s="48"/>
    </row>
    <row r="2551" spans="2:4">
      <c r="B2551" s="48"/>
      <c r="D2551" s="48"/>
    </row>
    <row r="2552" spans="2:4">
      <c r="B2552" s="48"/>
      <c r="D2552" s="48"/>
    </row>
    <row r="2553" spans="2:4">
      <c r="B2553" s="48"/>
      <c r="D2553" s="48"/>
    </row>
    <row r="2554" spans="2:4">
      <c r="B2554" s="48"/>
      <c r="D2554" s="48"/>
    </row>
    <row r="2555" spans="2:4">
      <c r="B2555" s="48"/>
      <c r="D2555" s="48"/>
    </row>
    <row r="2556" spans="2:4">
      <c r="B2556" s="48"/>
      <c r="D2556" s="48"/>
    </row>
    <row r="2557" spans="2:4">
      <c r="B2557" s="48"/>
      <c r="D2557" s="48"/>
    </row>
    <row r="2558" spans="2:4">
      <c r="B2558" s="48"/>
      <c r="D2558" s="48"/>
    </row>
    <row r="2559" spans="2:4">
      <c r="B2559" s="48"/>
      <c r="D2559" s="48"/>
    </row>
    <row r="2560" spans="2:4">
      <c r="B2560" s="48"/>
      <c r="D2560" s="48"/>
    </row>
    <row r="2561" spans="2:4">
      <c r="B2561" s="48"/>
      <c r="D2561" s="48"/>
    </row>
    <row r="2562" spans="2:4">
      <c r="B2562" s="48"/>
      <c r="D2562" s="48"/>
    </row>
    <row r="2563" spans="2:4">
      <c r="B2563" s="48"/>
      <c r="D2563" s="48"/>
    </row>
    <row r="2564" spans="2:4">
      <c r="B2564" s="48"/>
      <c r="D2564" s="48"/>
    </row>
    <row r="2565" spans="2:4">
      <c r="B2565" s="48"/>
      <c r="D2565" s="48"/>
    </row>
    <row r="2566" spans="2:4">
      <c r="B2566" s="48"/>
      <c r="D2566" s="48"/>
    </row>
    <row r="2567" spans="2:4">
      <c r="B2567" s="48"/>
      <c r="D2567" s="48"/>
    </row>
    <row r="2568" spans="2:4">
      <c r="B2568" s="48"/>
      <c r="D2568" s="48"/>
    </row>
    <row r="2569" spans="2:4">
      <c r="B2569" s="48"/>
      <c r="D2569" s="48"/>
    </row>
    <row r="2570" spans="2:4">
      <c r="B2570" s="48"/>
      <c r="D2570" s="48"/>
    </row>
    <row r="2571" spans="2:4">
      <c r="B2571" s="48"/>
      <c r="D2571" s="48"/>
    </row>
    <row r="2572" spans="2:4">
      <c r="B2572" s="48"/>
      <c r="D2572" s="48"/>
    </row>
    <row r="2573" spans="2:4">
      <c r="B2573" s="48"/>
      <c r="D2573" s="48"/>
    </row>
    <row r="2574" spans="2:4">
      <c r="B2574" s="48"/>
      <c r="D2574" s="48"/>
    </row>
    <row r="2575" spans="2:4">
      <c r="B2575" s="48"/>
      <c r="D2575" s="48"/>
    </row>
    <row r="2576" spans="2:4">
      <c r="B2576" s="48"/>
      <c r="D2576" s="48"/>
    </row>
    <row r="2577" spans="2:4">
      <c r="B2577" s="48"/>
      <c r="D2577" s="48"/>
    </row>
    <row r="2578" spans="2:4">
      <c r="B2578" s="48"/>
      <c r="D2578" s="48"/>
    </row>
    <row r="2579" spans="2:4">
      <c r="B2579" s="48"/>
      <c r="D2579" s="48"/>
    </row>
    <row r="2580" spans="2:4">
      <c r="B2580" s="48"/>
      <c r="D2580" s="48"/>
    </row>
    <row r="2581" spans="2:4">
      <c r="B2581" s="48"/>
      <c r="D2581" s="48"/>
    </row>
    <row r="2582" spans="2:4">
      <c r="B2582" s="48"/>
      <c r="D2582" s="48"/>
    </row>
    <row r="2583" spans="2:4">
      <c r="B2583" s="48"/>
      <c r="D2583" s="48"/>
    </row>
    <row r="2584" spans="2:4">
      <c r="B2584" s="48"/>
      <c r="D2584" s="48"/>
    </row>
    <row r="2585" spans="2:4">
      <c r="B2585" s="48"/>
      <c r="D2585" s="48"/>
    </row>
    <row r="2586" spans="2:4">
      <c r="B2586" s="48"/>
      <c r="D2586" s="48"/>
    </row>
    <row r="2587" spans="2:4">
      <c r="B2587" s="48"/>
      <c r="D2587" s="48"/>
    </row>
    <row r="2588" spans="2:4">
      <c r="B2588" s="48"/>
      <c r="D2588" s="48"/>
    </row>
    <row r="2589" spans="2:4">
      <c r="B2589" s="48"/>
      <c r="D2589" s="48"/>
    </row>
    <row r="2590" spans="2:4">
      <c r="B2590" s="48"/>
      <c r="D2590" s="48"/>
    </row>
    <row r="2591" spans="2:4">
      <c r="B2591" s="48"/>
      <c r="D2591" s="48"/>
    </row>
    <row r="2592" spans="2:4">
      <c r="B2592" s="48"/>
      <c r="D2592" s="48"/>
    </row>
    <row r="2593" spans="2:4">
      <c r="B2593" s="48"/>
      <c r="D2593" s="48"/>
    </row>
    <row r="2594" spans="2:4">
      <c r="B2594" s="48"/>
      <c r="D2594" s="48"/>
    </row>
    <row r="2595" spans="2:4">
      <c r="B2595" s="48"/>
      <c r="D2595" s="48"/>
    </row>
    <row r="2596" spans="2:4">
      <c r="B2596" s="48"/>
      <c r="D2596" s="48"/>
    </row>
    <row r="2597" spans="2:4">
      <c r="B2597" s="48"/>
      <c r="D2597" s="48"/>
    </row>
    <row r="2598" spans="2:4">
      <c r="B2598" s="48"/>
      <c r="D2598" s="48"/>
    </row>
    <row r="2599" spans="2:4">
      <c r="B2599" s="48"/>
      <c r="D2599" s="48"/>
    </row>
    <row r="2600" spans="2:4">
      <c r="B2600" s="48"/>
      <c r="D2600" s="48"/>
    </row>
    <row r="2601" spans="2:4">
      <c r="B2601" s="48"/>
      <c r="D2601" s="48"/>
    </row>
    <row r="2602" spans="2:4">
      <c r="B2602" s="48"/>
      <c r="D2602" s="48"/>
    </row>
    <row r="2603" spans="2:4">
      <c r="B2603" s="48"/>
      <c r="D2603" s="48"/>
    </row>
    <row r="2604" spans="2:4">
      <c r="B2604" s="48"/>
      <c r="D2604" s="48"/>
    </row>
    <row r="2605" spans="2:4">
      <c r="B2605" s="48"/>
      <c r="D2605" s="48"/>
    </row>
    <row r="2606" spans="2:4">
      <c r="B2606" s="48"/>
      <c r="D2606" s="48"/>
    </row>
    <row r="2607" spans="2:4">
      <c r="B2607" s="48"/>
      <c r="D2607" s="48"/>
    </row>
    <row r="2608" spans="2:4">
      <c r="B2608" s="48"/>
      <c r="D2608" s="48"/>
    </row>
    <row r="2609" spans="2:4">
      <c r="B2609" s="48"/>
      <c r="D2609" s="48"/>
    </row>
    <row r="2610" spans="2:4">
      <c r="B2610" s="48"/>
      <c r="D2610" s="48"/>
    </row>
    <row r="2611" spans="2:4">
      <c r="B2611" s="48"/>
      <c r="D2611" s="48"/>
    </row>
    <row r="2612" spans="2:4">
      <c r="B2612" s="48"/>
      <c r="D2612" s="48"/>
    </row>
    <row r="2613" spans="2:4">
      <c r="B2613" s="48"/>
      <c r="D2613" s="48"/>
    </row>
    <row r="2614" spans="2:4">
      <c r="B2614" s="48"/>
      <c r="D2614" s="48"/>
    </row>
    <row r="2615" spans="2:4">
      <c r="B2615" s="48"/>
      <c r="D2615" s="48"/>
    </row>
    <row r="2616" spans="2:4">
      <c r="B2616" s="48"/>
      <c r="D2616" s="48"/>
    </row>
    <row r="2617" spans="2:4">
      <c r="B2617" s="48"/>
      <c r="D2617" s="48"/>
    </row>
    <row r="2618" spans="2:4">
      <c r="B2618" s="48"/>
      <c r="D2618" s="48"/>
    </row>
    <row r="2619" spans="2:4">
      <c r="B2619" s="48"/>
      <c r="D2619" s="48"/>
    </row>
    <row r="2620" spans="2:4">
      <c r="B2620" s="48"/>
      <c r="D2620" s="48"/>
    </row>
    <row r="2621" spans="2:4">
      <c r="B2621" s="48"/>
      <c r="D2621" s="48"/>
    </row>
    <row r="2622" spans="2:4">
      <c r="B2622" s="48"/>
      <c r="D2622" s="48"/>
    </row>
    <row r="2623" spans="2:4">
      <c r="B2623" s="48"/>
      <c r="D2623" s="48"/>
    </row>
    <row r="2624" spans="2:4">
      <c r="B2624" s="48"/>
      <c r="D2624" s="48"/>
    </row>
    <row r="2625" spans="2:4">
      <c r="B2625" s="48"/>
      <c r="D2625" s="48"/>
    </row>
    <row r="2626" spans="2:4">
      <c r="B2626" s="48"/>
      <c r="D2626" s="48"/>
    </row>
    <row r="2627" spans="2:4">
      <c r="B2627" s="48"/>
      <c r="D2627" s="48"/>
    </row>
    <row r="2628" spans="2:4">
      <c r="B2628" s="48"/>
      <c r="D2628" s="48"/>
    </row>
    <row r="2629" spans="2:4">
      <c r="B2629" s="48"/>
      <c r="D2629" s="48"/>
    </row>
    <row r="2630" spans="2:4">
      <c r="B2630" s="48"/>
      <c r="D2630" s="48"/>
    </row>
    <row r="2631" spans="2:4">
      <c r="B2631" s="48"/>
      <c r="D2631" s="48"/>
    </row>
    <row r="2632" spans="2:4">
      <c r="B2632" s="48"/>
      <c r="D2632" s="48"/>
    </row>
    <row r="2633" spans="2:4">
      <c r="B2633" s="48"/>
      <c r="D2633" s="48"/>
    </row>
    <row r="2634" spans="2:4">
      <c r="B2634" s="48"/>
      <c r="D2634" s="48"/>
    </row>
    <row r="2635" spans="2:4">
      <c r="B2635" s="48"/>
      <c r="D2635" s="48"/>
    </row>
    <row r="2636" spans="2:4">
      <c r="B2636" s="48"/>
      <c r="D2636" s="48"/>
    </row>
    <row r="2637" spans="2:4">
      <c r="B2637" s="48"/>
      <c r="D2637" s="48"/>
    </row>
    <row r="2638" spans="2:4">
      <c r="B2638" s="48"/>
      <c r="D2638" s="48"/>
    </row>
    <row r="2639" spans="2:4">
      <c r="B2639" s="48"/>
      <c r="D2639" s="48"/>
    </row>
    <row r="2640" spans="2:4">
      <c r="B2640" s="48"/>
      <c r="D2640" s="48"/>
    </row>
    <row r="2641" spans="2:4">
      <c r="B2641" s="48"/>
      <c r="D2641" s="48"/>
    </row>
    <row r="2642" spans="2:4">
      <c r="B2642" s="48"/>
      <c r="D2642" s="48"/>
    </row>
    <row r="2643" spans="2:4">
      <c r="B2643" s="48"/>
      <c r="D2643" s="48"/>
    </row>
    <row r="2644" spans="2:4">
      <c r="B2644" s="48"/>
      <c r="D2644" s="48"/>
    </row>
    <row r="2645" spans="2:4">
      <c r="B2645" s="48"/>
      <c r="D2645" s="48"/>
    </row>
    <row r="2646" spans="2:4">
      <c r="B2646" s="48"/>
      <c r="D2646" s="48"/>
    </row>
    <row r="2647" spans="2:4">
      <c r="B2647" s="48"/>
      <c r="D2647" s="48"/>
    </row>
    <row r="2648" spans="2:4">
      <c r="B2648" s="48"/>
      <c r="D2648" s="48"/>
    </row>
    <row r="2649" spans="2:4">
      <c r="B2649" s="48"/>
      <c r="D2649" s="48"/>
    </row>
    <row r="2650" spans="2:4">
      <c r="B2650" s="48"/>
      <c r="D2650" s="48"/>
    </row>
    <row r="2651" spans="2:4">
      <c r="B2651" s="48"/>
      <c r="D2651" s="48"/>
    </row>
    <row r="2652" spans="2:4">
      <c r="B2652" s="48"/>
      <c r="D2652" s="48"/>
    </row>
    <row r="2653" spans="2:4">
      <c r="B2653" s="48"/>
      <c r="D2653" s="48"/>
    </row>
    <row r="2654" spans="2:4">
      <c r="B2654" s="48"/>
      <c r="D2654" s="48"/>
    </row>
    <row r="2655" spans="2:4">
      <c r="B2655" s="48"/>
      <c r="D2655" s="48"/>
    </row>
    <row r="2656" spans="2:4">
      <c r="B2656" s="48"/>
      <c r="D2656" s="48"/>
    </row>
    <row r="2657" spans="2:4">
      <c r="B2657" s="48"/>
      <c r="D2657" s="48"/>
    </row>
    <row r="2658" spans="2:4">
      <c r="B2658" s="48"/>
      <c r="D2658" s="48"/>
    </row>
    <row r="2659" spans="2:4">
      <c r="B2659" s="48"/>
      <c r="D2659" s="48"/>
    </row>
    <row r="2660" spans="2:4">
      <c r="B2660" s="48"/>
      <c r="D2660" s="48"/>
    </row>
    <row r="2661" spans="2:4">
      <c r="B2661" s="48"/>
      <c r="D2661" s="48"/>
    </row>
    <row r="2662" spans="2:4">
      <c r="B2662" s="48"/>
      <c r="D2662" s="48"/>
    </row>
    <row r="2663" spans="2:4">
      <c r="B2663" s="48"/>
      <c r="D2663" s="48"/>
    </row>
    <row r="2664" spans="2:4">
      <c r="B2664" s="48"/>
      <c r="D2664" s="48"/>
    </row>
    <row r="2665" spans="2:4">
      <c r="B2665" s="48"/>
      <c r="D2665" s="48"/>
    </row>
    <row r="2666" spans="2:4">
      <c r="B2666" s="48"/>
      <c r="D2666" s="48"/>
    </row>
    <row r="2667" spans="2:4">
      <c r="B2667" s="48"/>
      <c r="D2667" s="48"/>
    </row>
    <row r="2668" spans="2:4">
      <c r="B2668" s="48"/>
      <c r="D2668" s="48"/>
    </row>
    <row r="2669" spans="2:4">
      <c r="B2669" s="48"/>
      <c r="D2669" s="48"/>
    </row>
    <row r="2670" spans="2:4">
      <c r="B2670" s="48"/>
      <c r="D2670" s="48"/>
    </row>
    <row r="2671" spans="2:4">
      <c r="B2671" s="48"/>
      <c r="D2671" s="48"/>
    </row>
    <row r="2672" spans="2:4">
      <c r="B2672" s="48"/>
      <c r="D2672" s="48"/>
    </row>
    <row r="2673" spans="2:4">
      <c r="B2673" s="48"/>
      <c r="D2673" s="48"/>
    </row>
    <row r="2674" spans="2:4">
      <c r="B2674" s="48"/>
      <c r="D2674" s="48"/>
    </row>
    <row r="2675" spans="2:4">
      <c r="B2675" s="48"/>
      <c r="D2675" s="48"/>
    </row>
    <row r="2676" spans="2:4">
      <c r="B2676" s="48"/>
      <c r="D2676" s="48"/>
    </row>
    <row r="2677" spans="2:4">
      <c r="B2677" s="48"/>
      <c r="D2677" s="48"/>
    </row>
    <row r="2678" spans="2:4">
      <c r="B2678" s="48"/>
      <c r="D2678" s="48"/>
    </row>
    <row r="2679" spans="2:4">
      <c r="B2679" s="48"/>
      <c r="D2679" s="48"/>
    </row>
    <row r="2680" spans="2:4">
      <c r="B2680" s="48"/>
      <c r="D2680" s="48"/>
    </row>
    <row r="2681" spans="2:4">
      <c r="B2681" s="48"/>
      <c r="D2681" s="48"/>
    </row>
    <row r="2682" spans="2:4">
      <c r="B2682" s="48"/>
      <c r="D2682" s="48"/>
    </row>
    <row r="2683" spans="2:4">
      <c r="B2683" s="48"/>
      <c r="D2683" s="48"/>
    </row>
    <row r="2684" spans="2:4">
      <c r="B2684" s="48"/>
      <c r="D2684" s="48"/>
    </row>
    <row r="2685" spans="2:4">
      <c r="B2685" s="48"/>
      <c r="D2685" s="48"/>
    </row>
    <row r="2686" spans="2:4">
      <c r="B2686" s="48"/>
      <c r="D2686" s="48"/>
    </row>
    <row r="2687" spans="2:4">
      <c r="B2687" s="48"/>
      <c r="D2687" s="48"/>
    </row>
    <row r="2688" spans="2:4">
      <c r="B2688" s="48"/>
      <c r="D2688" s="48"/>
    </row>
    <row r="2689" spans="2:4">
      <c r="B2689" s="48"/>
      <c r="D2689" s="48"/>
    </row>
    <row r="2690" spans="2:4">
      <c r="B2690" s="48"/>
      <c r="D2690" s="48"/>
    </row>
    <row r="2691" spans="2:4">
      <c r="B2691" s="48"/>
      <c r="D2691" s="48"/>
    </row>
    <row r="2692" spans="2:4">
      <c r="B2692" s="48"/>
      <c r="D2692" s="48"/>
    </row>
    <row r="2693" spans="2:4">
      <c r="B2693" s="48"/>
      <c r="D2693" s="48"/>
    </row>
    <row r="2694" spans="2:4">
      <c r="B2694" s="48"/>
      <c r="D2694" s="48"/>
    </row>
    <row r="2695" spans="2:4">
      <c r="B2695" s="48"/>
      <c r="D2695" s="48"/>
    </row>
    <row r="2696" spans="2:4">
      <c r="B2696" s="48"/>
      <c r="D2696" s="48"/>
    </row>
    <row r="2697" spans="2:4">
      <c r="B2697" s="48"/>
      <c r="D2697" s="48"/>
    </row>
    <row r="2698" spans="2:4">
      <c r="B2698" s="48"/>
      <c r="D2698" s="48"/>
    </row>
    <row r="2699" spans="2:4">
      <c r="B2699" s="48"/>
      <c r="D2699" s="48"/>
    </row>
    <row r="2700" spans="2:4">
      <c r="B2700" s="48"/>
      <c r="D2700" s="48"/>
    </row>
    <row r="2701" spans="2:4">
      <c r="B2701" s="48"/>
      <c r="D2701" s="48"/>
    </row>
    <row r="2702" spans="2:4">
      <c r="B2702" s="48"/>
      <c r="D2702" s="48"/>
    </row>
    <row r="2703" spans="2:4">
      <c r="B2703" s="48"/>
      <c r="D2703" s="48"/>
    </row>
    <row r="2704" spans="2:4">
      <c r="B2704" s="48"/>
      <c r="D2704" s="48"/>
    </row>
    <row r="2705" spans="2:4">
      <c r="B2705" s="48"/>
      <c r="D2705" s="48"/>
    </row>
    <row r="2706" spans="2:4">
      <c r="B2706" s="48"/>
      <c r="D2706" s="48"/>
    </row>
    <row r="2707" spans="2:4">
      <c r="B2707" s="48"/>
      <c r="D2707" s="48"/>
    </row>
    <row r="2708" spans="2:4">
      <c r="B2708" s="48"/>
      <c r="D2708" s="48"/>
    </row>
    <row r="2709" spans="2:4">
      <c r="B2709" s="48"/>
      <c r="D2709" s="48"/>
    </row>
    <row r="2710" spans="2:4">
      <c r="B2710" s="48"/>
      <c r="D2710" s="48"/>
    </row>
    <row r="2711" spans="2:4">
      <c r="B2711" s="48"/>
      <c r="D2711" s="48"/>
    </row>
    <row r="2712" spans="2:4">
      <c r="B2712" s="48"/>
      <c r="D2712" s="48"/>
    </row>
    <row r="2713" spans="2:4">
      <c r="B2713" s="48"/>
      <c r="D2713" s="48"/>
    </row>
    <row r="2714" spans="2:4">
      <c r="B2714" s="48"/>
      <c r="D2714" s="48"/>
    </row>
    <row r="2715" spans="2:4">
      <c r="B2715" s="48"/>
      <c r="D2715" s="48"/>
    </row>
    <row r="2716" spans="2:4">
      <c r="B2716" s="48"/>
      <c r="D2716" s="48"/>
    </row>
    <row r="2717" spans="2:4">
      <c r="B2717" s="48"/>
      <c r="D2717" s="48"/>
    </row>
    <row r="2718" spans="2:4">
      <c r="B2718" s="48"/>
      <c r="D2718" s="48"/>
    </row>
    <row r="2719" spans="2:4">
      <c r="B2719" s="48"/>
      <c r="D2719" s="48"/>
    </row>
    <row r="2720" spans="2:4">
      <c r="B2720" s="48"/>
      <c r="D2720" s="48"/>
    </row>
    <row r="2721" spans="2:4">
      <c r="B2721" s="48"/>
      <c r="D2721" s="48"/>
    </row>
    <row r="2722" spans="2:4">
      <c r="B2722" s="48"/>
      <c r="D2722" s="48"/>
    </row>
    <row r="2723" spans="2:4">
      <c r="B2723" s="48"/>
      <c r="D2723" s="48"/>
    </row>
    <row r="2724" spans="2:4">
      <c r="B2724" s="48"/>
      <c r="D2724" s="48"/>
    </row>
    <row r="2725" spans="2:4">
      <c r="B2725" s="48"/>
      <c r="D2725" s="48"/>
    </row>
    <row r="2726" spans="2:4">
      <c r="B2726" s="48"/>
      <c r="D2726" s="48"/>
    </row>
    <row r="2727" spans="2:4">
      <c r="B2727" s="48"/>
      <c r="D2727" s="48"/>
    </row>
    <row r="2728" spans="2:4">
      <c r="B2728" s="48"/>
      <c r="D2728" s="48"/>
    </row>
    <row r="2729" spans="2:4">
      <c r="B2729" s="48"/>
      <c r="D2729" s="48"/>
    </row>
    <row r="2730" spans="2:4">
      <c r="B2730" s="48"/>
      <c r="D2730" s="48"/>
    </row>
    <row r="2731" spans="2:4">
      <c r="B2731" s="48"/>
      <c r="D2731" s="48"/>
    </row>
    <row r="2732" spans="2:4">
      <c r="B2732" s="48"/>
      <c r="D2732" s="48"/>
    </row>
    <row r="2733" spans="2:4">
      <c r="B2733" s="48"/>
      <c r="D2733" s="48"/>
    </row>
    <row r="2734" spans="2:4">
      <c r="B2734" s="48"/>
      <c r="D2734" s="48"/>
    </row>
    <row r="2735" spans="2:4">
      <c r="B2735" s="48"/>
      <c r="D2735" s="48"/>
    </row>
    <row r="2736" spans="2:4">
      <c r="B2736" s="48"/>
      <c r="D2736" s="48"/>
    </row>
    <row r="2737" spans="2:4">
      <c r="B2737" s="48"/>
      <c r="D2737" s="48"/>
    </row>
    <row r="2738" spans="2:4">
      <c r="B2738" s="48"/>
      <c r="D2738" s="48"/>
    </row>
    <row r="2739" spans="2:4">
      <c r="B2739" s="48"/>
      <c r="D2739" s="48"/>
    </row>
    <row r="2740" spans="2:4">
      <c r="B2740" s="48"/>
      <c r="D2740" s="48"/>
    </row>
    <row r="2741" spans="2:4">
      <c r="B2741" s="48"/>
      <c r="D2741" s="48"/>
    </row>
    <row r="2742" spans="2:4">
      <c r="B2742" s="48"/>
      <c r="D2742" s="48"/>
    </row>
    <row r="2743" spans="2:4">
      <c r="B2743" s="48"/>
      <c r="D2743" s="48"/>
    </row>
    <row r="2744" spans="2:4">
      <c r="B2744" s="48"/>
      <c r="D2744" s="48"/>
    </row>
    <row r="2745" spans="2:4">
      <c r="B2745" s="48"/>
      <c r="D2745" s="48"/>
    </row>
    <row r="2746" spans="2:4">
      <c r="B2746" s="48"/>
      <c r="D2746" s="48"/>
    </row>
    <row r="2747" spans="2:4">
      <c r="B2747" s="48"/>
      <c r="D2747" s="48"/>
    </row>
    <row r="2748" spans="2:4">
      <c r="B2748" s="48"/>
      <c r="D2748" s="48"/>
    </row>
    <row r="2749" spans="2:4">
      <c r="B2749" s="48"/>
      <c r="D2749" s="48"/>
    </row>
    <row r="2750" spans="2:4">
      <c r="B2750" s="48"/>
      <c r="D2750" s="48"/>
    </row>
    <row r="2751" spans="2:4">
      <c r="B2751" s="48"/>
      <c r="D2751" s="48"/>
    </row>
    <row r="2752" spans="2:4">
      <c r="B2752" s="48"/>
      <c r="D2752" s="48"/>
    </row>
    <row r="2753" spans="2:4">
      <c r="B2753" s="48"/>
      <c r="D2753" s="48"/>
    </row>
    <row r="2754" spans="2:4">
      <c r="B2754" s="48"/>
      <c r="D2754" s="48"/>
    </row>
    <row r="2755" spans="2:4">
      <c r="B2755" s="48"/>
      <c r="D2755" s="48"/>
    </row>
    <row r="2756" spans="2:4">
      <c r="B2756" s="48"/>
      <c r="D2756" s="48"/>
    </row>
    <row r="2757" spans="2:4">
      <c r="B2757" s="48"/>
      <c r="D2757" s="48"/>
    </row>
    <row r="2758" spans="2:4">
      <c r="B2758" s="48"/>
      <c r="D2758" s="48"/>
    </row>
    <row r="2759" spans="2:4">
      <c r="B2759" s="48"/>
      <c r="D2759" s="48"/>
    </row>
    <row r="2760" spans="2:4">
      <c r="B2760" s="48"/>
      <c r="D2760" s="48"/>
    </row>
    <row r="2761" spans="2:4">
      <c r="B2761" s="48"/>
      <c r="D2761" s="48"/>
    </row>
    <row r="2762" spans="2:4">
      <c r="B2762" s="48"/>
      <c r="D2762" s="48"/>
    </row>
    <row r="2763" spans="2:4">
      <c r="B2763" s="48"/>
      <c r="D2763" s="48"/>
    </row>
    <row r="2764" spans="2:4">
      <c r="B2764" s="48"/>
      <c r="D2764" s="48"/>
    </row>
    <row r="2765" spans="2:4">
      <c r="B2765" s="48"/>
      <c r="D2765" s="48"/>
    </row>
    <row r="2766" spans="2:4">
      <c r="B2766" s="48"/>
      <c r="D2766" s="48"/>
    </row>
    <row r="2767" spans="2:4">
      <c r="B2767" s="48"/>
      <c r="D2767" s="48"/>
    </row>
    <row r="2768" spans="2:4">
      <c r="B2768" s="48"/>
      <c r="D2768" s="48"/>
    </row>
    <row r="2769" spans="2:4">
      <c r="B2769" s="48"/>
      <c r="D2769" s="48"/>
    </row>
    <row r="2770" spans="2:4">
      <c r="B2770" s="48"/>
      <c r="D2770" s="48"/>
    </row>
    <row r="2771" spans="2:4">
      <c r="B2771" s="48"/>
      <c r="D2771" s="48"/>
    </row>
    <row r="2772" spans="2:4">
      <c r="B2772" s="48"/>
      <c r="D2772" s="48"/>
    </row>
    <row r="2773" spans="2:4">
      <c r="B2773" s="48"/>
      <c r="D2773" s="48"/>
    </row>
    <row r="2774" spans="2:4">
      <c r="B2774" s="48"/>
      <c r="D2774" s="48"/>
    </row>
    <row r="2775" spans="2:4">
      <c r="B2775" s="48"/>
      <c r="D2775" s="48"/>
    </row>
    <row r="2776" spans="2:4">
      <c r="B2776" s="48"/>
      <c r="D2776" s="48"/>
    </row>
    <row r="2777" spans="2:4">
      <c r="B2777" s="48"/>
      <c r="D2777" s="48"/>
    </row>
    <row r="2778" spans="2:4">
      <c r="B2778" s="48"/>
      <c r="D2778" s="48"/>
    </row>
    <row r="2779" spans="2:4">
      <c r="B2779" s="48"/>
      <c r="D2779" s="48"/>
    </row>
    <row r="2780" spans="2:4">
      <c r="B2780" s="48"/>
      <c r="D2780" s="48"/>
    </row>
    <row r="2781" spans="2:4">
      <c r="B2781" s="48"/>
      <c r="D2781" s="48"/>
    </row>
    <row r="2782" spans="2:4">
      <c r="B2782" s="48"/>
      <c r="D2782" s="48"/>
    </row>
    <row r="2783" spans="2:4">
      <c r="B2783" s="48"/>
      <c r="D2783" s="48"/>
    </row>
    <row r="2784" spans="2:4">
      <c r="B2784" s="48"/>
      <c r="D2784" s="48"/>
    </row>
    <row r="2785" spans="2:4">
      <c r="B2785" s="48"/>
      <c r="D2785" s="48"/>
    </row>
    <row r="2786" spans="2:4">
      <c r="B2786" s="48"/>
      <c r="D2786" s="48"/>
    </row>
    <row r="2787" spans="2:4">
      <c r="B2787" s="48"/>
      <c r="D2787" s="48"/>
    </row>
    <row r="2788" spans="2:4">
      <c r="B2788" s="48"/>
      <c r="D2788" s="48"/>
    </row>
    <row r="2789" spans="2:4">
      <c r="B2789" s="48"/>
      <c r="D2789" s="48"/>
    </row>
    <row r="2790" spans="2:4">
      <c r="B2790" s="48"/>
      <c r="D2790" s="48"/>
    </row>
    <row r="2791" spans="2:4">
      <c r="B2791" s="48"/>
      <c r="D2791" s="48"/>
    </row>
    <row r="2792" spans="2:4">
      <c r="B2792" s="48"/>
      <c r="D2792" s="48"/>
    </row>
    <row r="2793" spans="2:4">
      <c r="B2793" s="48"/>
      <c r="D2793" s="48"/>
    </row>
    <row r="2794" spans="2:4">
      <c r="B2794" s="48"/>
      <c r="D2794" s="48"/>
    </row>
    <row r="2795" spans="2:4">
      <c r="B2795" s="48"/>
      <c r="D2795" s="48"/>
    </row>
    <row r="2796" spans="2:4">
      <c r="B2796" s="48"/>
      <c r="D2796" s="48"/>
    </row>
    <row r="2797" spans="2:4">
      <c r="B2797" s="48"/>
      <c r="D2797" s="48"/>
    </row>
    <row r="2798" spans="2:4">
      <c r="B2798" s="48"/>
      <c r="D2798" s="48"/>
    </row>
    <row r="2799" spans="2:4">
      <c r="B2799" s="48"/>
      <c r="D2799" s="48"/>
    </row>
    <row r="2800" spans="2:4">
      <c r="B2800" s="48"/>
      <c r="D2800" s="48"/>
    </row>
    <row r="2801" spans="2:4">
      <c r="B2801" s="48"/>
      <c r="D2801" s="48"/>
    </row>
    <row r="2802" spans="2:4">
      <c r="B2802" s="48"/>
      <c r="D2802" s="48"/>
    </row>
    <row r="2803" spans="2:4">
      <c r="B2803" s="48"/>
      <c r="D2803" s="48"/>
    </row>
    <row r="2804" spans="2:4">
      <c r="B2804" s="48"/>
      <c r="D2804" s="48"/>
    </row>
    <row r="2805" spans="2:4">
      <c r="B2805" s="48"/>
      <c r="D2805" s="48"/>
    </row>
    <row r="2806" spans="2:4">
      <c r="B2806" s="48"/>
      <c r="D2806" s="48"/>
    </row>
    <row r="2807" spans="2:4">
      <c r="B2807" s="48"/>
      <c r="D2807" s="48"/>
    </row>
    <row r="2808" spans="2:4">
      <c r="B2808" s="48"/>
      <c r="D2808" s="48"/>
    </row>
    <row r="2809" spans="2:4">
      <c r="B2809" s="48"/>
      <c r="D2809" s="48"/>
    </row>
    <row r="2810" spans="2:4">
      <c r="B2810" s="48"/>
      <c r="D2810" s="48"/>
    </row>
    <row r="2811" spans="2:4">
      <c r="B2811" s="48"/>
      <c r="D2811" s="48"/>
    </row>
    <row r="2812" spans="2:4">
      <c r="B2812" s="48"/>
      <c r="D2812" s="48"/>
    </row>
    <row r="2813" spans="2:4">
      <c r="B2813" s="48"/>
      <c r="D2813" s="48"/>
    </row>
    <row r="2814" spans="2:4">
      <c r="B2814" s="48"/>
      <c r="D2814" s="48"/>
    </row>
    <row r="2815" spans="2:4">
      <c r="B2815" s="48"/>
      <c r="D2815" s="48"/>
    </row>
    <row r="2816" spans="2:4">
      <c r="B2816" s="48"/>
      <c r="D2816" s="48"/>
    </row>
    <row r="2817" spans="2:4">
      <c r="B2817" s="48"/>
      <c r="D2817" s="48"/>
    </row>
    <row r="2818" spans="2:4">
      <c r="B2818" s="48"/>
      <c r="D2818" s="48"/>
    </row>
    <row r="2819" spans="2:4">
      <c r="B2819" s="48"/>
      <c r="D2819" s="48"/>
    </row>
    <row r="2820" spans="2:4">
      <c r="B2820" s="48"/>
      <c r="D2820" s="48"/>
    </row>
    <row r="2821" spans="2:4">
      <c r="B2821" s="48"/>
      <c r="D2821" s="48"/>
    </row>
    <row r="2822" spans="2:4">
      <c r="B2822" s="48"/>
      <c r="D2822" s="48"/>
    </row>
    <row r="2823" spans="2:4">
      <c r="B2823" s="48"/>
      <c r="D2823" s="48"/>
    </row>
    <row r="2824" spans="2:4">
      <c r="B2824" s="48"/>
      <c r="D2824" s="48"/>
    </row>
    <row r="2825" spans="2:4">
      <c r="B2825" s="48"/>
      <c r="D2825" s="48"/>
    </row>
    <row r="2826" spans="2:4">
      <c r="B2826" s="48"/>
      <c r="D2826" s="48"/>
    </row>
    <row r="2827" spans="2:4">
      <c r="B2827" s="48"/>
      <c r="D2827" s="48"/>
    </row>
    <row r="2828" spans="2:4">
      <c r="B2828" s="48"/>
      <c r="D2828" s="48"/>
    </row>
    <row r="2829" spans="2:4">
      <c r="B2829" s="48"/>
      <c r="D2829" s="48"/>
    </row>
    <row r="2830" spans="2:4">
      <c r="B2830" s="48"/>
      <c r="D2830" s="48"/>
    </row>
    <row r="2831" spans="2:4">
      <c r="B2831" s="48"/>
      <c r="D2831" s="48"/>
    </row>
    <row r="2832" spans="2:4">
      <c r="B2832" s="48"/>
      <c r="D2832" s="48"/>
    </row>
    <row r="2833" spans="2:4">
      <c r="B2833" s="48"/>
      <c r="D2833" s="48"/>
    </row>
    <row r="2834" spans="2:4">
      <c r="B2834" s="48"/>
      <c r="D2834" s="48"/>
    </row>
    <row r="2835" spans="2:4">
      <c r="B2835" s="48"/>
      <c r="D2835" s="48"/>
    </row>
    <row r="2836" spans="2:4">
      <c r="B2836" s="48"/>
      <c r="D2836" s="48"/>
    </row>
    <row r="2837" spans="2:4">
      <c r="B2837" s="48"/>
      <c r="D2837" s="48"/>
    </row>
    <row r="2838" spans="2:4">
      <c r="B2838" s="48"/>
      <c r="D2838" s="48"/>
    </row>
    <row r="2839" spans="2:4">
      <c r="B2839" s="48"/>
      <c r="D2839" s="48"/>
    </row>
    <row r="2840" spans="2:4">
      <c r="B2840" s="48"/>
      <c r="D2840" s="48"/>
    </row>
    <row r="2841" spans="2:4">
      <c r="B2841" s="48"/>
      <c r="D2841" s="48"/>
    </row>
    <row r="2842" spans="2:4">
      <c r="B2842" s="48"/>
      <c r="D2842" s="48"/>
    </row>
    <row r="2843" spans="2:4">
      <c r="B2843" s="48"/>
      <c r="D2843" s="48"/>
    </row>
    <row r="2844" spans="2:4">
      <c r="B2844" s="48"/>
      <c r="D2844" s="48"/>
    </row>
    <row r="2845" spans="2:4">
      <c r="B2845" s="48"/>
      <c r="D2845" s="48"/>
    </row>
    <row r="2846" spans="2:4">
      <c r="B2846" s="48"/>
      <c r="D2846" s="48"/>
    </row>
    <row r="2847" spans="2:4">
      <c r="B2847" s="48"/>
      <c r="D2847" s="48"/>
    </row>
    <row r="2848" spans="2:4">
      <c r="B2848" s="48"/>
      <c r="D2848" s="48"/>
    </row>
    <row r="2849" spans="2:4">
      <c r="B2849" s="48"/>
      <c r="D2849" s="48"/>
    </row>
    <row r="2850" spans="2:4">
      <c r="B2850" s="48"/>
      <c r="D2850" s="48"/>
    </row>
    <row r="2851" spans="2:4">
      <c r="B2851" s="48"/>
      <c r="D2851" s="48"/>
    </row>
    <row r="2852" spans="2:4">
      <c r="B2852" s="48"/>
      <c r="D2852" s="48"/>
    </row>
    <row r="2853" spans="2:4">
      <c r="B2853" s="48"/>
      <c r="D2853" s="48"/>
    </row>
    <row r="2854" spans="2:4">
      <c r="B2854" s="48"/>
      <c r="D2854" s="48"/>
    </row>
    <row r="2855" spans="2:4">
      <c r="B2855" s="48"/>
      <c r="D2855" s="48"/>
    </row>
    <row r="2856" spans="2:4">
      <c r="B2856" s="48"/>
      <c r="D2856" s="48"/>
    </row>
    <row r="2857" spans="2:4">
      <c r="B2857" s="48"/>
      <c r="D2857" s="48"/>
    </row>
    <row r="2858" spans="2:4">
      <c r="B2858" s="48"/>
      <c r="D2858" s="48"/>
    </row>
    <row r="2859" spans="2:4">
      <c r="B2859" s="48"/>
      <c r="D2859" s="48"/>
    </row>
    <row r="2860" spans="2:4">
      <c r="B2860" s="48"/>
      <c r="D2860" s="48"/>
    </row>
    <row r="2861" spans="2:4">
      <c r="B2861" s="48"/>
      <c r="D2861" s="48"/>
    </row>
    <row r="2862" spans="2:4">
      <c r="B2862" s="48"/>
      <c r="D2862" s="48"/>
    </row>
    <row r="2863" spans="2:4">
      <c r="B2863" s="48"/>
      <c r="D2863" s="48"/>
    </row>
    <row r="2864" spans="2:4">
      <c r="B2864" s="48"/>
      <c r="D2864" s="48"/>
    </row>
    <row r="2865" spans="2:4">
      <c r="B2865" s="48"/>
      <c r="D2865" s="48"/>
    </row>
    <row r="2866" spans="2:4">
      <c r="B2866" s="48"/>
      <c r="D2866" s="48"/>
    </row>
    <row r="2867" spans="2:4">
      <c r="B2867" s="48"/>
      <c r="D2867" s="48"/>
    </row>
    <row r="2868" spans="2:4">
      <c r="B2868" s="48"/>
      <c r="D2868" s="48"/>
    </row>
    <row r="2869" spans="2:4">
      <c r="B2869" s="48"/>
      <c r="D2869" s="48"/>
    </row>
    <row r="2870" spans="2:4">
      <c r="B2870" s="48"/>
      <c r="D2870" s="48"/>
    </row>
    <row r="2871" spans="2:4">
      <c r="B2871" s="48"/>
      <c r="D2871" s="48"/>
    </row>
    <row r="2872" spans="2:4">
      <c r="B2872" s="48"/>
      <c r="D2872" s="48"/>
    </row>
    <row r="2873" spans="2:4">
      <c r="B2873" s="48"/>
      <c r="D2873" s="48"/>
    </row>
    <row r="2874" spans="2:4">
      <c r="B2874" s="48"/>
      <c r="D2874" s="48"/>
    </row>
    <row r="2875" spans="2:4">
      <c r="B2875" s="48"/>
      <c r="D2875" s="48"/>
    </row>
    <row r="2876" spans="2:4">
      <c r="B2876" s="48"/>
      <c r="D2876" s="48"/>
    </row>
    <row r="2877" spans="2:4">
      <c r="B2877" s="48"/>
      <c r="D2877" s="48"/>
    </row>
    <row r="2878" spans="2:4">
      <c r="B2878" s="48"/>
      <c r="D2878" s="48"/>
    </row>
    <row r="2879" spans="2:4">
      <c r="B2879" s="48"/>
      <c r="D2879" s="48"/>
    </row>
    <row r="2880" spans="2:4">
      <c r="B2880" s="48"/>
      <c r="D2880" s="48"/>
    </row>
    <row r="2881" spans="2:4">
      <c r="B2881" s="48"/>
      <c r="D2881" s="48"/>
    </row>
    <row r="2882" spans="2:4">
      <c r="B2882" s="48"/>
      <c r="D2882" s="48"/>
    </row>
    <row r="2883" spans="2:4">
      <c r="B2883" s="48"/>
      <c r="D2883" s="48"/>
    </row>
    <row r="2884" spans="2:4">
      <c r="B2884" s="48"/>
      <c r="D2884" s="48"/>
    </row>
    <row r="2885" spans="2:4">
      <c r="B2885" s="48"/>
      <c r="D2885" s="48"/>
    </row>
    <row r="2886" spans="2:4">
      <c r="B2886" s="48"/>
      <c r="D2886" s="48"/>
    </row>
    <row r="2887" spans="2:4">
      <c r="B2887" s="48"/>
      <c r="D2887" s="48"/>
    </row>
    <row r="2888" spans="2:4">
      <c r="B2888" s="48"/>
      <c r="D2888" s="48"/>
    </row>
    <row r="2889" spans="2:4">
      <c r="B2889" s="48"/>
      <c r="D2889" s="48"/>
    </row>
    <row r="2890" spans="2:4">
      <c r="B2890" s="48"/>
      <c r="D2890" s="48"/>
    </row>
    <row r="2891" spans="2:4">
      <c r="B2891" s="48"/>
      <c r="D2891" s="48"/>
    </row>
    <row r="2892" spans="2:4">
      <c r="B2892" s="48"/>
    </row>
    <row r="2893" spans="2:4">
      <c r="B2893" s="48"/>
    </row>
    <row r="2894" spans="2:4">
      <c r="B2894" s="48"/>
    </row>
    <row r="2895" spans="2:4">
      <c r="B2895" s="48"/>
    </row>
    <row r="2896" spans="2:4">
      <c r="B2896" s="48"/>
    </row>
    <row r="2897" spans="2:2">
      <c r="B2897" s="48"/>
    </row>
    <row r="2898" spans="2:2">
      <c r="B2898" s="48"/>
    </row>
    <row r="2899" spans="2:2">
      <c r="B2899" s="48"/>
    </row>
    <row r="2900" spans="2:2">
      <c r="B2900" s="48"/>
    </row>
    <row r="2901" spans="2:2">
      <c r="B2901" s="48"/>
    </row>
    <row r="2902" spans="2:2">
      <c r="B2902" s="48"/>
    </row>
    <row r="2903" spans="2:2">
      <c r="B2903" s="48"/>
    </row>
    <row r="2904" spans="2:2">
      <c r="B2904" s="48"/>
    </row>
    <row r="2905" spans="2:2">
      <c r="B2905" s="48"/>
    </row>
    <row r="2906" spans="2:2">
      <c r="B2906" s="48"/>
    </row>
    <row r="2907" spans="2:2">
      <c r="B2907" s="48"/>
    </row>
    <row r="2908" spans="2:2">
      <c r="B2908" s="48"/>
    </row>
    <row r="2909" spans="2:2">
      <c r="B2909" s="48"/>
    </row>
    <row r="2910" spans="2:2">
      <c r="B2910" s="48"/>
    </row>
    <row r="2911" spans="2:2">
      <c r="B2911" s="48"/>
    </row>
    <row r="2912" spans="2:2">
      <c r="B2912" s="48"/>
    </row>
    <row r="2913" spans="2:2">
      <c r="B2913" s="48"/>
    </row>
    <row r="2914" spans="2:2">
      <c r="B2914" s="48"/>
    </row>
    <row r="2915" spans="2:2">
      <c r="B2915" s="48"/>
    </row>
    <row r="2916" spans="2:2">
      <c r="B2916" s="48"/>
    </row>
    <row r="2917" spans="2:2">
      <c r="B2917" s="48"/>
    </row>
    <row r="2918" spans="2:2">
      <c r="B2918" s="48"/>
    </row>
    <row r="2919" spans="2:2">
      <c r="B2919" s="48"/>
    </row>
    <row r="2920" spans="2:2">
      <c r="B2920" s="48"/>
    </row>
    <row r="2921" spans="2:2">
      <c r="B2921" s="48"/>
    </row>
    <row r="2922" spans="2:2">
      <c r="B2922" s="48"/>
    </row>
    <row r="2923" spans="2:2">
      <c r="B2923" s="48"/>
    </row>
    <row r="2924" spans="2:2">
      <c r="B2924" s="48"/>
    </row>
    <row r="2925" spans="2:2">
      <c r="B2925" s="48"/>
    </row>
    <row r="2926" spans="2:2">
      <c r="B2926" s="48"/>
    </row>
    <row r="2927" spans="2:2">
      <c r="B2927" s="48"/>
    </row>
    <row r="2928" spans="2:2">
      <c r="B2928" s="48"/>
    </row>
    <row r="2929" spans="2:2">
      <c r="B2929" s="48"/>
    </row>
    <row r="2930" spans="2:2">
      <c r="B2930" s="48"/>
    </row>
    <row r="2931" spans="2:2">
      <c r="B2931" s="48"/>
    </row>
    <row r="2932" spans="2:2">
      <c r="B2932" s="48"/>
    </row>
    <row r="2933" spans="2:2">
      <c r="B2933" s="48"/>
    </row>
    <row r="2934" spans="2:2">
      <c r="B2934" s="48"/>
    </row>
    <row r="2935" spans="2:2">
      <c r="B2935" s="48"/>
    </row>
    <row r="2936" spans="2:2">
      <c r="B2936" s="48"/>
    </row>
    <row r="2937" spans="2:2">
      <c r="B2937" s="48"/>
    </row>
    <row r="2938" spans="2:2">
      <c r="B2938" s="48"/>
    </row>
    <row r="2939" spans="2:2">
      <c r="B2939" s="48"/>
    </row>
    <row r="2940" spans="2:2">
      <c r="B2940" s="48"/>
    </row>
    <row r="2941" spans="2:2">
      <c r="B2941" s="48"/>
    </row>
    <row r="2942" spans="2:2">
      <c r="B2942" s="48"/>
    </row>
    <row r="2943" spans="2:2">
      <c r="B2943" s="48"/>
    </row>
    <row r="2944" spans="2:2">
      <c r="B2944" s="48"/>
    </row>
    <row r="2945" spans="2:2">
      <c r="B2945" s="48"/>
    </row>
    <row r="2946" spans="2:2">
      <c r="B2946" s="48"/>
    </row>
    <row r="2947" spans="2:2">
      <c r="B2947" s="48"/>
    </row>
    <row r="2948" spans="2:2">
      <c r="B2948" s="48"/>
    </row>
    <row r="2949" spans="2:2">
      <c r="B2949" s="48"/>
    </row>
    <row r="2950" spans="2:2">
      <c r="B2950" s="48"/>
    </row>
    <row r="2951" spans="2:2">
      <c r="B2951" s="48"/>
    </row>
    <row r="2952" spans="2:2">
      <c r="B2952" s="48"/>
    </row>
    <row r="2953" spans="2:2">
      <c r="B2953" s="48"/>
    </row>
    <row r="2954" spans="2:2">
      <c r="B2954" s="48"/>
    </row>
    <row r="2955" spans="2:2">
      <c r="B2955" s="48"/>
    </row>
    <row r="2956" spans="2:2">
      <c r="B2956" s="48"/>
    </row>
    <row r="2957" spans="2:2">
      <c r="B2957" s="48"/>
    </row>
    <row r="2958" spans="2:2">
      <c r="B2958" s="48"/>
    </row>
    <row r="2959" spans="2:2">
      <c r="B2959" s="48"/>
    </row>
    <row r="2960" spans="2:2">
      <c r="B2960" s="48"/>
    </row>
    <row r="2961" spans="2:2">
      <c r="B2961" s="48"/>
    </row>
    <row r="2962" spans="2:2">
      <c r="B2962" s="48"/>
    </row>
    <row r="2963" spans="2:2">
      <c r="B2963" s="48"/>
    </row>
    <row r="2964" spans="2:2">
      <c r="B2964" s="48"/>
    </row>
    <row r="2965" spans="2:2">
      <c r="B2965" s="48"/>
    </row>
    <row r="2966" spans="2:2">
      <c r="B2966" s="48"/>
    </row>
    <row r="2967" spans="2:2">
      <c r="B2967" s="48"/>
    </row>
    <row r="2968" spans="2:2">
      <c r="B2968" s="48"/>
    </row>
    <row r="2969" spans="2:2">
      <c r="B2969" s="48"/>
    </row>
    <row r="2970" spans="2:2">
      <c r="B2970" s="48"/>
    </row>
    <row r="2971" spans="2:2">
      <c r="B2971" s="48"/>
    </row>
    <row r="2972" spans="2:2">
      <c r="B2972" s="48"/>
    </row>
    <row r="2973" spans="2:2">
      <c r="B2973" s="48"/>
    </row>
    <row r="2974" spans="2:2">
      <c r="B2974" s="48"/>
    </row>
    <row r="2975" spans="2:2">
      <c r="B2975" s="48"/>
    </row>
    <row r="2976" spans="2:2">
      <c r="B2976" s="48"/>
    </row>
    <row r="2977" spans="2:2">
      <c r="B2977" s="48"/>
    </row>
    <row r="2978" spans="2:2">
      <c r="B2978" s="48"/>
    </row>
    <row r="2979" spans="2:2">
      <c r="B2979" s="48"/>
    </row>
    <row r="2980" spans="2:2">
      <c r="B2980" s="48"/>
    </row>
    <row r="2981" spans="2:2">
      <c r="B2981" s="48"/>
    </row>
    <row r="2982" spans="2:2">
      <c r="B2982" s="48"/>
    </row>
    <row r="2983" spans="2:2">
      <c r="B2983" s="48"/>
    </row>
    <row r="2984" spans="2:2">
      <c r="B2984" s="48"/>
    </row>
    <row r="2985" spans="2:2">
      <c r="B2985" s="48"/>
    </row>
    <row r="2986" spans="2:2">
      <c r="B2986" s="48"/>
    </row>
    <row r="2987" spans="2:2">
      <c r="B2987" s="48"/>
    </row>
    <row r="2988" spans="2:2">
      <c r="B2988" s="48"/>
    </row>
    <row r="2989" spans="2:2">
      <c r="B2989" s="48"/>
    </row>
    <row r="2990" spans="2:2">
      <c r="B2990" s="48"/>
    </row>
    <row r="2991" spans="2:2">
      <c r="B2991" s="48"/>
    </row>
    <row r="2992" spans="2:2">
      <c r="B2992" s="48"/>
    </row>
    <row r="2993" spans="2:2">
      <c r="B2993" s="48"/>
    </row>
    <row r="2994" spans="2:2">
      <c r="B2994" s="48"/>
    </row>
    <row r="2995" spans="2:2">
      <c r="B2995" s="48"/>
    </row>
    <row r="2996" spans="2:2">
      <c r="B2996" s="48"/>
    </row>
    <row r="2997" spans="2:2">
      <c r="B2997" s="48"/>
    </row>
    <row r="2998" spans="2:2">
      <c r="B2998" s="48"/>
    </row>
    <row r="2999" spans="2:2">
      <c r="B2999" s="48"/>
    </row>
    <row r="3000" spans="2:2">
      <c r="B3000" s="48"/>
    </row>
    <row r="3001" spans="2:2">
      <c r="B3001" s="48"/>
    </row>
    <row r="3002" spans="2:2">
      <c r="B3002" s="48"/>
    </row>
    <row r="3003" spans="2:2">
      <c r="B3003" s="48"/>
    </row>
    <row r="3004" spans="2:2">
      <c r="B3004" s="48"/>
    </row>
    <row r="3005" spans="2:2">
      <c r="B3005" s="48"/>
    </row>
    <row r="3006" spans="2:2">
      <c r="B3006" s="48"/>
    </row>
    <row r="3007" spans="2:2">
      <c r="B3007" s="48"/>
    </row>
    <row r="3008" spans="2:2">
      <c r="B3008" s="48"/>
    </row>
    <row r="3009" spans="2:2">
      <c r="B3009" s="48"/>
    </row>
    <row r="3010" spans="2:2">
      <c r="B3010" s="48"/>
    </row>
    <row r="3011" spans="2:2">
      <c r="B3011" s="48"/>
    </row>
    <row r="3012" spans="2:2">
      <c r="B3012" s="48"/>
    </row>
    <row r="3013" spans="2:2">
      <c r="B3013" s="48"/>
    </row>
    <row r="3014" spans="2:2">
      <c r="B3014" s="48"/>
    </row>
    <row r="3015" spans="2:2">
      <c r="B3015" s="48"/>
    </row>
    <row r="3016" spans="2:2">
      <c r="B3016" s="48"/>
    </row>
    <row r="3017" spans="2:2">
      <c r="B3017" s="48"/>
    </row>
    <row r="3018" spans="2:2">
      <c r="B3018" s="48"/>
    </row>
    <row r="3019" spans="2:2">
      <c r="B3019" s="48"/>
    </row>
    <row r="3020" spans="2:2">
      <c r="B3020" s="48"/>
    </row>
    <row r="3021" spans="2:2">
      <c r="B3021" s="48"/>
    </row>
    <row r="3022" spans="2:2">
      <c r="B3022" s="48"/>
    </row>
    <row r="3023" spans="2:2">
      <c r="B3023" s="48"/>
    </row>
    <row r="3024" spans="2:2">
      <c r="B3024" s="48"/>
    </row>
    <row r="3025" spans="2:2">
      <c r="B3025" s="48"/>
    </row>
    <row r="3026" spans="2:2">
      <c r="B3026" s="48"/>
    </row>
    <row r="3027" spans="2:2">
      <c r="B3027" s="48"/>
    </row>
    <row r="3028" spans="2:2">
      <c r="B3028" s="48"/>
    </row>
    <row r="3029" spans="2:2">
      <c r="B3029" s="48"/>
    </row>
    <row r="3030" spans="2:2">
      <c r="B3030" s="48"/>
    </row>
    <row r="3031" spans="2:2">
      <c r="B3031" s="48"/>
    </row>
    <row r="3032" spans="2:2">
      <c r="B3032" s="48"/>
    </row>
    <row r="3033" spans="2:2">
      <c r="B3033" s="48"/>
    </row>
    <row r="3034" spans="2:2">
      <c r="B3034" s="48"/>
    </row>
    <row r="3035" spans="2:2">
      <c r="B3035" s="48"/>
    </row>
    <row r="3036" spans="2:2">
      <c r="B3036" s="48"/>
    </row>
    <row r="3037" spans="2:2">
      <c r="B3037" s="48"/>
    </row>
    <row r="3038" spans="2:2">
      <c r="B3038" s="48"/>
    </row>
    <row r="3039" spans="2:2">
      <c r="B3039" s="48"/>
    </row>
    <row r="3040" spans="2:2">
      <c r="B3040" s="48"/>
    </row>
    <row r="3041" spans="2:2">
      <c r="B3041" s="48"/>
    </row>
    <row r="3042" spans="2:2">
      <c r="B3042" s="48"/>
    </row>
    <row r="3043" spans="2:2">
      <c r="B3043" s="48"/>
    </row>
    <row r="3044" spans="2:2">
      <c r="B3044" s="48"/>
    </row>
    <row r="3045" spans="2:2">
      <c r="B3045" s="48"/>
    </row>
    <row r="3046" spans="2:2">
      <c r="B3046" s="48"/>
    </row>
    <row r="3047" spans="2:2">
      <c r="B3047" s="48"/>
    </row>
    <row r="3048" spans="2:2">
      <c r="B3048" s="48"/>
    </row>
    <row r="3049" spans="2:2">
      <c r="B3049" s="48"/>
    </row>
    <row r="3050" spans="2:2">
      <c r="B3050" s="48"/>
    </row>
    <row r="3051" spans="2:2">
      <c r="B3051" s="48"/>
    </row>
    <row r="3052" spans="2:2">
      <c r="B3052" s="48"/>
    </row>
    <row r="3053" spans="2:2">
      <c r="B3053" s="48"/>
    </row>
    <row r="3054" spans="2:2">
      <c r="B3054" s="48"/>
    </row>
    <row r="3055" spans="2:2">
      <c r="B3055" s="48"/>
    </row>
    <row r="3056" spans="2:2">
      <c r="B3056" s="48"/>
    </row>
    <row r="3057" spans="2:2">
      <c r="B3057" s="48"/>
    </row>
    <row r="3058" spans="2:2">
      <c r="B3058" s="48"/>
    </row>
    <row r="3059" spans="2:2">
      <c r="B3059" s="48"/>
    </row>
    <row r="3060" spans="2:2">
      <c r="B3060" s="48"/>
    </row>
    <row r="3061" spans="2:2">
      <c r="B3061" s="48"/>
    </row>
    <row r="3062" spans="2:2">
      <c r="B3062" s="48"/>
    </row>
    <row r="3063" spans="2:2">
      <c r="B3063" s="48"/>
    </row>
    <row r="3064" spans="2:2">
      <c r="B3064" s="48"/>
    </row>
    <row r="3065" spans="2:2">
      <c r="B3065" s="48"/>
    </row>
    <row r="3066" spans="2:2">
      <c r="B3066" s="48"/>
    </row>
    <row r="3067" spans="2:2">
      <c r="B3067" s="48"/>
    </row>
    <row r="3068" spans="2:2">
      <c r="B3068" s="48"/>
    </row>
    <row r="3069" spans="2:2">
      <c r="B3069" s="48"/>
    </row>
    <row r="3070" spans="2:2">
      <c r="B3070" s="48"/>
    </row>
    <row r="3071" spans="2:2">
      <c r="B3071" s="48"/>
    </row>
    <row r="3072" spans="2:2">
      <c r="B3072" s="48"/>
    </row>
    <row r="3073" spans="2:2">
      <c r="B3073" s="48"/>
    </row>
    <row r="3074" spans="2:2">
      <c r="B3074" s="48"/>
    </row>
    <row r="3075" spans="2:2">
      <c r="B3075" s="48"/>
    </row>
    <row r="3076" spans="2:2">
      <c r="B3076" s="48"/>
    </row>
    <row r="3077" spans="2:2">
      <c r="B3077" s="48"/>
    </row>
    <row r="3078" spans="2:2">
      <c r="B3078" s="48"/>
    </row>
    <row r="3079" spans="2:2">
      <c r="B3079" s="48"/>
    </row>
    <row r="3080" spans="2:2">
      <c r="B3080" s="48"/>
    </row>
    <row r="3081" spans="2:2">
      <c r="B3081" s="48"/>
    </row>
    <row r="3082" spans="2:2">
      <c r="B3082" s="48"/>
    </row>
    <row r="3083" spans="2:2">
      <c r="B3083" s="48"/>
    </row>
    <row r="3084" spans="2:2">
      <c r="B3084" s="48"/>
    </row>
    <row r="3085" spans="2:2">
      <c r="B3085" s="48"/>
    </row>
    <row r="3086" spans="2:2">
      <c r="B3086" s="48"/>
    </row>
    <row r="3087" spans="2:2">
      <c r="B3087" s="48"/>
    </row>
    <row r="3088" spans="2:2">
      <c r="B3088" s="48"/>
    </row>
    <row r="3089" spans="2:2">
      <c r="B3089" s="48"/>
    </row>
    <row r="3090" spans="2:2">
      <c r="B3090" s="48"/>
    </row>
    <row r="3091" spans="2:2">
      <c r="B3091" s="48"/>
    </row>
    <row r="3092" spans="2:2">
      <c r="B3092" s="48"/>
    </row>
    <row r="3093" spans="2:2">
      <c r="B3093" s="48"/>
    </row>
    <row r="3094" spans="2:2">
      <c r="B3094" s="48"/>
    </row>
    <row r="3095" spans="2:2">
      <c r="B3095" s="48"/>
    </row>
    <row r="3096" spans="2:2">
      <c r="B3096" s="48"/>
    </row>
    <row r="3097" spans="2:2">
      <c r="B3097" s="48"/>
    </row>
    <row r="3098" spans="2:2">
      <c r="B3098" s="48"/>
    </row>
    <row r="3099" spans="2:2">
      <c r="B3099" s="48"/>
    </row>
    <row r="3100" spans="2:2">
      <c r="B3100" s="48"/>
    </row>
    <row r="3101" spans="2:2">
      <c r="B3101" s="48"/>
    </row>
    <row r="3102" spans="2:2">
      <c r="B3102" s="48"/>
    </row>
    <row r="3103" spans="2:2">
      <c r="B3103" s="48"/>
    </row>
    <row r="3104" spans="2:2">
      <c r="B3104" s="48"/>
    </row>
    <row r="3105" spans="2:2">
      <c r="B3105" s="48"/>
    </row>
    <row r="3106" spans="2:2">
      <c r="B3106" s="48"/>
    </row>
    <row r="3107" spans="2:2">
      <c r="B3107" s="48"/>
    </row>
    <row r="3108" spans="2:2">
      <c r="B3108" s="48"/>
    </row>
    <row r="3109" spans="2:2">
      <c r="B3109" s="48"/>
    </row>
    <row r="3110" spans="2:2">
      <c r="B3110" s="48"/>
    </row>
    <row r="3111" spans="2:2">
      <c r="B3111" s="48"/>
    </row>
    <row r="3112" spans="2:2">
      <c r="B3112" s="48"/>
    </row>
    <row r="3113" spans="2:2">
      <c r="B3113" s="48"/>
    </row>
    <row r="3114" spans="2:2">
      <c r="B3114" s="48"/>
    </row>
    <row r="3115" spans="2:2">
      <c r="B3115" s="48"/>
    </row>
    <row r="3116" spans="2:2">
      <c r="B3116" s="48"/>
    </row>
    <row r="3117" spans="2:2">
      <c r="B3117" s="48"/>
    </row>
    <row r="3118" spans="2:2">
      <c r="B3118" s="48"/>
    </row>
    <row r="3119" spans="2:2">
      <c r="B3119" s="48"/>
    </row>
    <row r="3120" spans="2:2">
      <c r="B3120" s="48"/>
    </row>
    <row r="3121" spans="2:2">
      <c r="B3121" s="48"/>
    </row>
    <row r="3122" spans="2:2">
      <c r="B3122" s="48"/>
    </row>
    <row r="3123" spans="2:2">
      <c r="B3123" s="48"/>
    </row>
    <row r="3124" spans="2:2">
      <c r="B3124" s="48"/>
    </row>
    <row r="3125" spans="2:2">
      <c r="B3125" s="48"/>
    </row>
    <row r="3126" spans="2:2">
      <c r="B3126" s="48"/>
    </row>
    <row r="3127" spans="2:2">
      <c r="B3127" s="48"/>
    </row>
    <row r="3128" spans="2:2">
      <c r="B3128" s="48"/>
    </row>
    <row r="3129" spans="2:2">
      <c r="B3129" s="48"/>
    </row>
    <row r="3130" spans="2:2">
      <c r="B3130" s="48"/>
    </row>
    <row r="3131" spans="2:2">
      <c r="B3131" s="48"/>
    </row>
    <row r="3132" spans="2:2">
      <c r="B3132" s="48"/>
    </row>
    <row r="3133" spans="2:2">
      <c r="B3133" s="48"/>
    </row>
    <row r="3134" spans="2:2">
      <c r="B3134" s="48"/>
    </row>
    <row r="3135" spans="2:2">
      <c r="B3135" s="48"/>
    </row>
    <row r="3136" spans="2:2">
      <c r="B3136" s="48"/>
    </row>
    <row r="3137" spans="2:2">
      <c r="B3137" s="48"/>
    </row>
    <row r="3138" spans="2:2">
      <c r="B3138" s="48"/>
    </row>
    <row r="3139" spans="2:2">
      <c r="B3139" s="48"/>
    </row>
    <row r="3140" spans="2:2">
      <c r="B3140" s="48"/>
    </row>
    <row r="3141" spans="2:2">
      <c r="B3141" s="48"/>
    </row>
    <row r="3142" spans="2:2">
      <c r="B3142" s="48"/>
    </row>
    <row r="3143" spans="2:2">
      <c r="B3143" s="48"/>
    </row>
    <row r="3144" spans="2:2">
      <c r="B3144" s="48"/>
    </row>
    <row r="3145" spans="2:2">
      <c r="B3145" s="48"/>
    </row>
    <row r="3146" spans="2:2">
      <c r="B3146" s="48"/>
    </row>
    <row r="3147" spans="2:2">
      <c r="B3147" s="48"/>
    </row>
    <row r="3148" spans="2:2">
      <c r="B3148" s="48"/>
    </row>
    <row r="3149" spans="2:2">
      <c r="B3149" s="48"/>
    </row>
    <row r="3150" spans="2:2">
      <c r="B3150" s="48"/>
    </row>
    <row r="3151" spans="2:2">
      <c r="B3151" s="48"/>
    </row>
    <row r="3152" spans="2:2">
      <c r="B3152" s="48"/>
    </row>
    <row r="3153" spans="2:2">
      <c r="B3153" s="48"/>
    </row>
    <row r="3154" spans="2:2">
      <c r="B3154" s="48"/>
    </row>
    <row r="3155" spans="2:2">
      <c r="B3155" s="48"/>
    </row>
    <row r="3156" spans="2:2">
      <c r="B3156" s="48"/>
    </row>
    <row r="3157" spans="2:2">
      <c r="B3157" s="48"/>
    </row>
    <row r="3158" spans="2:2">
      <c r="B3158" s="48"/>
    </row>
    <row r="3159" spans="2:2">
      <c r="B3159" s="48"/>
    </row>
    <row r="3160" spans="2:2">
      <c r="B3160" s="48"/>
    </row>
    <row r="3161" spans="2:2">
      <c r="B3161" s="48"/>
    </row>
    <row r="3162" spans="2:2">
      <c r="B3162" s="48"/>
    </row>
    <row r="3163" spans="2:2">
      <c r="B3163" s="48"/>
    </row>
    <row r="3164" spans="2:2">
      <c r="B3164" s="48"/>
    </row>
    <row r="3165" spans="2:2">
      <c r="B3165" s="48"/>
    </row>
    <row r="3166" spans="2:2">
      <c r="B3166" s="48"/>
    </row>
    <row r="3167" spans="2:2">
      <c r="B3167" s="48"/>
    </row>
    <row r="3168" spans="2:2">
      <c r="B3168" s="48"/>
    </row>
    <row r="3169" spans="2:2">
      <c r="B3169" s="48"/>
    </row>
    <row r="3170" spans="2:2">
      <c r="B3170" s="48"/>
    </row>
    <row r="3171" spans="2:2">
      <c r="B3171" s="48"/>
    </row>
    <row r="3172" spans="2:2">
      <c r="B3172" s="48"/>
    </row>
    <row r="3173" spans="2:2">
      <c r="B3173" s="48"/>
    </row>
    <row r="3174" spans="2:2">
      <c r="B3174" s="48"/>
    </row>
    <row r="3175" spans="2:2">
      <c r="B3175" s="48"/>
    </row>
    <row r="3176" spans="2:2">
      <c r="B3176" s="48"/>
    </row>
    <row r="3177" spans="2:2">
      <c r="B3177" s="48"/>
    </row>
    <row r="3178" spans="2:2">
      <c r="B3178" s="48"/>
    </row>
    <row r="3179" spans="2:2">
      <c r="B3179" s="48"/>
    </row>
    <row r="3180" spans="2:2">
      <c r="B3180" s="48"/>
    </row>
    <row r="3181" spans="2:2">
      <c r="B3181" s="48"/>
    </row>
    <row r="3182" spans="2:2">
      <c r="B3182" s="48"/>
    </row>
    <row r="3183" spans="2:2">
      <c r="B3183" s="48"/>
    </row>
    <row r="3184" spans="2:2">
      <c r="B3184" s="48"/>
    </row>
    <row r="3185" spans="2:2">
      <c r="B3185" s="48"/>
    </row>
    <row r="3186" spans="2:2">
      <c r="B3186" s="48"/>
    </row>
    <row r="3187" spans="2:2">
      <c r="B3187" s="48"/>
    </row>
    <row r="3188" spans="2:2">
      <c r="B3188" s="48"/>
    </row>
    <row r="3189" spans="2:2">
      <c r="B3189" s="48"/>
    </row>
    <row r="3190" spans="2:2">
      <c r="B3190" s="48"/>
    </row>
    <row r="3191" spans="2:2">
      <c r="B3191" s="48"/>
    </row>
    <row r="3192" spans="2:2">
      <c r="B3192" s="48"/>
    </row>
    <row r="3193" spans="2:2">
      <c r="B3193" s="48"/>
    </row>
    <row r="3194" spans="2:2">
      <c r="B3194" s="48"/>
    </row>
    <row r="3195" spans="2:2">
      <c r="B3195" s="48"/>
    </row>
    <row r="3196" spans="2:2">
      <c r="B3196" s="48"/>
    </row>
    <row r="3197" spans="2:2">
      <c r="B3197" s="48"/>
    </row>
    <row r="3198" spans="2:2">
      <c r="B3198" s="48"/>
    </row>
    <row r="3199" spans="2:2">
      <c r="B3199" s="48"/>
    </row>
    <row r="3200" spans="2:2">
      <c r="B3200" s="48"/>
    </row>
    <row r="3201" spans="2:2">
      <c r="B3201" s="48"/>
    </row>
    <row r="3202" spans="2:2">
      <c r="B3202" s="48"/>
    </row>
    <row r="3203" spans="2:2">
      <c r="B3203" s="48"/>
    </row>
    <row r="3204" spans="2:2">
      <c r="B3204" s="48"/>
    </row>
    <row r="3205" spans="2:2">
      <c r="B3205" s="48"/>
    </row>
    <row r="3206" spans="2:2">
      <c r="B3206" s="48"/>
    </row>
    <row r="3207" spans="2:2">
      <c r="B3207" s="48"/>
    </row>
    <row r="3208" spans="2:2">
      <c r="B3208" s="48"/>
    </row>
    <row r="3209" spans="2:2">
      <c r="B3209" s="48"/>
    </row>
    <row r="3210" spans="2:2">
      <c r="B3210" s="48"/>
    </row>
    <row r="3211" spans="2:2">
      <c r="B3211" s="48"/>
    </row>
    <row r="3212" spans="2:2">
      <c r="B3212" s="48"/>
    </row>
    <row r="3213" spans="2:2">
      <c r="B3213" s="48"/>
    </row>
    <row r="3214" spans="2:2">
      <c r="B3214" s="48"/>
    </row>
    <row r="3215" spans="2:2">
      <c r="B3215" s="48"/>
    </row>
    <row r="3216" spans="2:2">
      <c r="B3216" s="48"/>
    </row>
    <row r="3217" spans="2:2">
      <c r="B3217" s="48"/>
    </row>
    <row r="3218" spans="2:2">
      <c r="B3218" s="48"/>
    </row>
    <row r="3219" spans="2:2">
      <c r="B3219" s="48"/>
    </row>
    <row r="3220" spans="2:2">
      <c r="B3220" s="48"/>
    </row>
    <row r="3221" spans="2:2">
      <c r="B3221" s="48"/>
    </row>
    <row r="3222" spans="2:2">
      <c r="B3222" s="48"/>
    </row>
    <row r="3223" spans="2:2">
      <c r="B3223" s="48"/>
    </row>
    <row r="3224" spans="2:2">
      <c r="B3224" s="48"/>
    </row>
    <row r="3225" spans="2:2">
      <c r="B3225" s="48"/>
    </row>
    <row r="3226" spans="2:2">
      <c r="B3226" s="48"/>
    </row>
    <row r="3227" spans="2:2">
      <c r="B3227" s="48"/>
    </row>
    <row r="3228" spans="2:2">
      <c r="B3228" s="48"/>
    </row>
    <row r="3229" spans="2:2">
      <c r="B3229" s="48"/>
    </row>
    <row r="3230" spans="2:2">
      <c r="B3230" s="48"/>
    </row>
    <row r="3231" spans="2:2">
      <c r="B3231" s="48"/>
    </row>
    <row r="3232" spans="2:2">
      <c r="B3232" s="48"/>
    </row>
    <row r="3233" spans="2:2">
      <c r="B3233" s="48"/>
    </row>
    <row r="3234" spans="2:2">
      <c r="B3234" s="48"/>
    </row>
    <row r="3235" spans="2:2">
      <c r="B3235" s="48"/>
    </row>
    <row r="3236" spans="2:2">
      <c r="B3236" s="48"/>
    </row>
    <row r="3237" spans="2:2">
      <c r="B3237" s="48"/>
    </row>
    <row r="3238" spans="2:2">
      <c r="B3238" s="48"/>
    </row>
    <row r="3239" spans="2:2">
      <c r="B3239" s="48"/>
    </row>
    <row r="3240" spans="2:2">
      <c r="B3240" s="48"/>
    </row>
    <row r="3241" spans="2:2">
      <c r="B3241" s="48"/>
    </row>
    <row r="3242" spans="2:2">
      <c r="B3242" s="48"/>
    </row>
    <row r="3243" spans="2:2">
      <c r="B3243" s="48"/>
    </row>
    <row r="3244" spans="2:2">
      <c r="B3244" s="48"/>
    </row>
    <row r="3245" spans="2:2">
      <c r="B3245" s="48"/>
    </row>
    <row r="3246" spans="2:2">
      <c r="B3246" s="48"/>
    </row>
    <row r="3247" spans="2:2">
      <c r="B3247" s="48"/>
    </row>
    <row r="3248" spans="2:2">
      <c r="B3248" s="48"/>
    </row>
    <row r="3249" spans="2:2">
      <c r="B3249" s="48"/>
    </row>
    <row r="3250" spans="2:2">
      <c r="B3250" s="48"/>
    </row>
    <row r="3251" spans="2:2">
      <c r="B3251" s="48"/>
    </row>
    <row r="3252" spans="2:2">
      <c r="B3252" s="48"/>
    </row>
    <row r="3253" spans="2:2">
      <c r="B3253" s="48"/>
    </row>
    <row r="3254" spans="2:2">
      <c r="B3254" s="48"/>
    </row>
    <row r="3255" spans="2:2">
      <c r="B3255" s="48"/>
    </row>
    <row r="3256" spans="2:2">
      <c r="B3256" s="48"/>
    </row>
    <row r="3257" spans="2:2">
      <c r="B3257" s="48"/>
    </row>
    <row r="3258" spans="2:2">
      <c r="B3258" s="48"/>
    </row>
    <row r="3259" spans="2:2">
      <c r="B3259" s="48"/>
    </row>
    <row r="3260" spans="2:2">
      <c r="B3260" s="48"/>
    </row>
    <row r="3261" spans="2:2">
      <c r="B3261" s="48"/>
    </row>
    <row r="3262" spans="2:2">
      <c r="B3262" s="48"/>
    </row>
    <row r="3263" spans="2:2">
      <c r="B3263" s="48"/>
    </row>
    <row r="3264" spans="2:2">
      <c r="B3264" s="48"/>
    </row>
    <row r="3265" spans="2:2">
      <c r="B3265" s="48"/>
    </row>
    <row r="3266" spans="2:2">
      <c r="B3266" s="48"/>
    </row>
    <row r="3267" spans="2:2">
      <c r="B3267" s="48"/>
    </row>
    <row r="3268" spans="2:2">
      <c r="B3268" s="48"/>
    </row>
    <row r="3269" spans="2:2">
      <c r="B3269" s="48"/>
    </row>
    <row r="3270" spans="2:2">
      <c r="B3270" s="48"/>
    </row>
    <row r="3271" spans="2:2">
      <c r="B3271" s="48"/>
    </row>
    <row r="3272" spans="2:2">
      <c r="B3272" s="48"/>
    </row>
    <row r="3273" spans="2:2">
      <c r="B3273" s="48"/>
    </row>
    <row r="3274" spans="2:2">
      <c r="B3274" s="48"/>
    </row>
    <row r="3275" spans="2:2">
      <c r="B3275" s="48"/>
    </row>
    <row r="3276" spans="2:2">
      <c r="B3276" s="48"/>
    </row>
    <row r="3277" spans="2:2">
      <c r="B3277" s="48"/>
    </row>
    <row r="3278" spans="2:2">
      <c r="B3278" s="48"/>
    </row>
    <row r="3279" spans="2:2">
      <c r="B3279" s="48"/>
    </row>
    <row r="3280" spans="2:2">
      <c r="B3280" s="48"/>
    </row>
    <row r="3281" spans="2:2">
      <c r="B3281" s="48"/>
    </row>
    <row r="3282" spans="2:2">
      <c r="B3282" s="48"/>
    </row>
    <row r="3283" spans="2:2">
      <c r="B3283" s="48"/>
    </row>
    <row r="3284" spans="2:2">
      <c r="B3284" s="48"/>
    </row>
    <row r="3285" spans="2:2">
      <c r="B3285" s="48"/>
    </row>
    <row r="3286" spans="2:2">
      <c r="B3286" s="48"/>
    </row>
    <row r="3287" spans="2:2">
      <c r="B3287" s="48"/>
    </row>
    <row r="3288" spans="2:2">
      <c r="B3288" s="48"/>
    </row>
    <row r="3289" spans="2:2">
      <c r="B3289" s="48"/>
    </row>
    <row r="3290" spans="2:2">
      <c r="B3290" s="48"/>
    </row>
    <row r="3291" spans="2:2">
      <c r="B3291" s="48"/>
    </row>
    <row r="3292" spans="2:2">
      <c r="B3292" s="48"/>
    </row>
    <row r="3293" spans="2:2">
      <c r="B3293" s="48"/>
    </row>
    <row r="3294" spans="2:2">
      <c r="B3294" s="48"/>
    </row>
    <row r="3295" spans="2:2">
      <c r="B3295" s="48"/>
    </row>
    <row r="3296" spans="2:2">
      <c r="B3296" s="48"/>
    </row>
    <row r="3297" spans="2:2">
      <c r="B3297" s="48"/>
    </row>
    <row r="3298" spans="2:2">
      <c r="B3298" s="48"/>
    </row>
    <row r="3299" spans="2:2">
      <c r="B3299" s="48"/>
    </row>
    <row r="3300" spans="2:2">
      <c r="B3300" s="48"/>
    </row>
    <row r="3301" spans="2:2">
      <c r="B3301" s="48"/>
    </row>
    <row r="3302" spans="2:2">
      <c r="B3302" s="48"/>
    </row>
    <row r="3303" spans="2:2">
      <c r="B3303" s="48"/>
    </row>
    <row r="3304" spans="2:2">
      <c r="B3304" s="48"/>
    </row>
    <row r="3305" spans="2:2">
      <c r="B3305" s="48"/>
    </row>
    <row r="3306" spans="2:2">
      <c r="B3306" s="48"/>
    </row>
    <row r="3307" spans="2:2">
      <c r="B3307" s="48"/>
    </row>
    <row r="3308" spans="2:2">
      <c r="B3308" s="48"/>
    </row>
    <row r="3309" spans="2:2">
      <c r="B3309" s="48"/>
    </row>
    <row r="3310" spans="2:2">
      <c r="B3310" s="48"/>
    </row>
    <row r="3311" spans="2:2">
      <c r="B3311" s="48"/>
    </row>
    <row r="3312" spans="2:2">
      <c r="B3312" s="48"/>
    </row>
    <row r="3313" spans="2:2">
      <c r="B3313" s="48"/>
    </row>
    <row r="3314" spans="2:2">
      <c r="B3314" s="48"/>
    </row>
    <row r="3315" spans="2:2">
      <c r="B3315" s="48"/>
    </row>
    <row r="3316" spans="2:2">
      <c r="B3316" s="48"/>
    </row>
    <row r="3317" spans="2:2">
      <c r="B3317" s="48"/>
    </row>
    <row r="3318" spans="2:2">
      <c r="B3318" s="48"/>
    </row>
    <row r="3319" spans="2:2">
      <c r="B3319" s="48"/>
    </row>
    <row r="3320" spans="2:2">
      <c r="B3320" s="48"/>
    </row>
    <row r="3321" spans="2:2">
      <c r="B3321" s="48"/>
    </row>
    <row r="3322" spans="2:2">
      <c r="B3322" s="48"/>
    </row>
    <row r="3323" spans="2:2">
      <c r="B3323" s="48"/>
    </row>
    <row r="3324" spans="2:2">
      <c r="B3324" s="48"/>
    </row>
    <row r="3325" spans="2:2">
      <c r="B3325" s="48"/>
    </row>
    <row r="3326" spans="2:2">
      <c r="B3326" s="48"/>
    </row>
    <row r="3327" spans="2:2">
      <c r="B3327" s="48"/>
    </row>
    <row r="3328" spans="2:2">
      <c r="B3328" s="48"/>
    </row>
    <row r="3329" spans="2:2">
      <c r="B3329" s="48"/>
    </row>
    <row r="3330" spans="2:2">
      <c r="B3330" s="48"/>
    </row>
    <row r="3331" spans="2:2">
      <c r="B3331" s="48"/>
    </row>
    <row r="3332" spans="2:2">
      <c r="B3332" s="48"/>
    </row>
    <row r="3333" spans="2:2">
      <c r="B3333" s="48"/>
    </row>
    <row r="3334" spans="2:2">
      <c r="B3334" s="48"/>
    </row>
    <row r="3335" spans="2:2">
      <c r="B3335" s="48"/>
    </row>
    <row r="3336" spans="2:2">
      <c r="B3336" s="48"/>
    </row>
    <row r="3337" spans="2:2">
      <c r="B3337" s="48"/>
    </row>
    <row r="3338" spans="2:2">
      <c r="B3338" s="48"/>
    </row>
    <row r="3339" spans="2:2">
      <c r="B3339" s="48"/>
    </row>
    <row r="3340" spans="2:2">
      <c r="B3340" s="48"/>
    </row>
    <row r="3341" spans="2:2">
      <c r="B3341" s="48"/>
    </row>
    <row r="3342" spans="2:2">
      <c r="B3342" s="48"/>
    </row>
    <row r="3343" spans="2:2">
      <c r="B3343" s="48"/>
    </row>
    <row r="3344" spans="2:2">
      <c r="B3344" s="48"/>
    </row>
    <row r="3345" spans="2:2">
      <c r="B3345" s="48"/>
    </row>
    <row r="3346" spans="2:2">
      <c r="B3346" s="48"/>
    </row>
    <row r="3347" spans="2:2">
      <c r="B3347" s="48"/>
    </row>
    <row r="3348" spans="2:2">
      <c r="B3348" s="48"/>
    </row>
    <row r="3349" spans="2:2">
      <c r="B3349" s="48"/>
    </row>
    <row r="3350" spans="2:2">
      <c r="B3350" s="48"/>
    </row>
    <row r="3351" spans="2:2">
      <c r="B3351" s="48"/>
    </row>
    <row r="3352" spans="2:2">
      <c r="B3352" s="48"/>
    </row>
    <row r="3353" spans="2:2">
      <c r="B3353" s="48"/>
    </row>
    <row r="3354" spans="2:2">
      <c r="B3354" s="48"/>
    </row>
    <row r="3355" spans="2:2">
      <c r="B3355" s="48"/>
    </row>
    <row r="3356" spans="2:2">
      <c r="B3356" s="48"/>
    </row>
    <row r="3357" spans="2:2">
      <c r="B3357" s="48"/>
    </row>
    <row r="3358" spans="2:2">
      <c r="B3358" s="48"/>
    </row>
    <row r="3359" spans="2:2">
      <c r="B3359" s="48"/>
    </row>
    <row r="3360" spans="2:2">
      <c r="B3360" s="48"/>
    </row>
    <row r="3361" spans="2:2">
      <c r="B3361" s="48"/>
    </row>
    <row r="3362" spans="2:2">
      <c r="B3362" s="48"/>
    </row>
    <row r="3363" spans="2:2">
      <c r="B3363" s="48"/>
    </row>
    <row r="3364" spans="2:2">
      <c r="B3364" s="48"/>
    </row>
    <row r="3365" spans="2:2">
      <c r="B3365" s="48"/>
    </row>
    <row r="3366" spans="2:2">
      <c r="B3366" s="48"/>
    </row>
    <row r="3367" spans="2:2">
      <c r="B3367" s="48"/>
    </row>
    <row r="3368" spans="2:2">
      <c r="B3368" s="48"/>
    </row>
    <row r="3369" spans="2:2">
      <c r="B3369" s="48"/>
    </row>
    <row r="3370" spans="2:2">
      <c r="B3370" s="48"/>
    </row>
    <row r="3371" spans="2:2">
      <c r="B3371" s="48"/>
    </row>
    <row r="3372" spans="2:2">
      <c r="B3372" s="48"/>
    </row>
    <row r="3373" spans="2:2">
      <c r="B3373" s="48"/>
    </row>
    <row r="3374" spans="2:2">
      <c r="B3374" s="48"/>
    </row>
    <row r="3375" spans="2:2">
      <c r="B3375" s="48"/>
    </row>
    <row r="3376" spans="2:2">
      <c r="B3376" s="48"/>
    </row>
    <row r="3377" spans="2:2">
      <c r="B3377" s="48"/>
    </row>
    <row r="3378" spans="2:2">
      <c r="B3378" s="48"/>
    </row>
    <row r="3379" spans="2:2">
      <c r="B3379" s="48"/>
    </row>
    <row r="3380" spans="2:2">
      <c r="B3380" s="48"/>
    </row>
    <row r="3381" spans="2:2">
      <c r="B3381" s="48"/>
    </row>
    <row r="3382" spans="2:2">
      <c r="B3382" s="48"/>
    </row>
    <row r="3383" spans="2:2">
      <c r="B3383" s="48"/>
    </row>
    <row r="3384" spans="2:2">
      <c r="B3384" s="48"/>
    </row>
    <row r="3385" spans="2:2">
      <c r="B3385" s="48"/>
    </row>
    <row r="3386" spans="2:2">
      <c r="B3386" s="48"/>
    </row>
    <row r="3387" spans="2:2">
      <c r="B3387" s="48"/>
    </row>
    <row r="3388" spans="2:2">
      <c r="B3388" s="48"/>
    </row>
    <row r="3389" spans="2:2">
      <c r="B3389" s="48"/>
    </row>
    <row r="3390" spans="2:2">
      <c r="B3390" s="48"/>
    </row>
    <row r="3391" spans="2:2">
      <c r="B3391" s="48"/>
    </row>
    <row r="3392" spans="2:2">
      <c r="B3392" s="48"/>
    </row>
    <row r="3393" spans="2:2">
      <c r="B3393" s="48"/>
    </row>
    <row r="3394" spans="2:2">
      <c r="B3394" s="48"/>
    </row>
    <row r="3395" spans="2:2">
      <c r="B3395" s="48"/>
    </row>
    <row r="3396" spans="2:2">
      <c r="B3396" s="48"/>
    </row>
    <row r="3397" spans="2:2">
      <c r="B3397" s="48"/>
    </row>
    <row r="3398" spans="2:2">
      <c r="B3398" s="48"/>
    </row>
    <row r="3399" spans="2:2">
      <c r="B3399" s="48"/>
    </row>
    <row r="3400" spans="2:2">
      <c r="B3400" s="48"/>
    </row>
    <row r="3401" spans="2:2">
      <c r="B3401" s="48"/>
    </row>
    <row r="3402" spans="2:2">
      <c r="B3402" s="48"/>
    </row>
    <row r="3403" spans="2:2">
      <c r="B3403" s="48"/>
    </row>
    <row r="3404" spans="2:2">
      <c r="B3404" s="48"/>
    </row>
    <row r="3405" spans="2:2">
      <c r="B3405" s="48"/>
    </row>
    <row r="3406" spans="2:2">
      <c r="B3406" s="48"/>
    </row>
    <row r="3407" spans="2:2">
      <c r="B3407" s="48"/>
    </row>
    <row r="3408" spans="2:2">
      <c r="B3408" s="48"/>
    </row>
    <row r="3409" spans="2:2">
      <c r="B3409" s="48"/>
    </row>
    <row r="3410" spans="2:2">
      <c r="B3410" s="48"/>
    </row>
    <row r="3411" spans="2:2">
      <c r="B3411" s="48"/>
    </row>
    <row r="3412" spans="2:2">
      <c r="B3412" s="48"/>
    </row>
    <row r="3413" spans="2:2">
      <c r="B3413" s="48"/>
    </row>
    <row r="3414" spans="2:2">
      <c r="B3414" s="48"/>
    </row>
    <row r="3415" spans="2:2">
      <c r="B3415" s="48"/>
    </row>
    <row r="3416" spans="2:2">
      <c r="B3416" s="48"/>
    </row>
    <row r="3417" spans="2:2">
      <c r="B3417" s="48"/>
    </row>
    <row r="3418" spans="2:2">
      <c r="B3418" s="48"/>
    </row>
    <row r="3419" spans="2:2">
      <c r="B3419" s="48"/>
    </row>
    <row r="3420" spans="2:2">
      <c r="B3420" s="48"/>
    </row>
    <row r="3421" spans="2:2">
      <c r="B3421" s="48"/>
    </row>
    <row r="3422" spans="2:2">
      <c r="B3422" s="48"/>
    </row>
    <row r="3423" spans="2:2">
      <c r="B3423" s="48"/>
    </row>
    <row r="3424" spans="2:2">
      <c r="B3424" s="48"/>
    </row>
    <row r="3425" spans="2:2">
      <c r="B3425" s="48"/>
    </row>
    <row r="3426" spans="2:2">
      <c r="B3426" s="48"/>
    </row>
    <row r="3427" spans="2:2">
      <c r="B3427" s="48"/>
    </row>
    <row r="3428" spans="2:2">
      <c r="B3428" s="48"/>
    </row>
    <row r="3429" spans="2:2">
      <c r="B3429" s="48"/>
    </row>
    <row r="3430" spans="2:2">
      <c r="B3430" s="48"/>
    </row>
    <row r="3431" spans="2:2">
      <c r="B3431" s="48"/>
    </row>
    <row r="3432" spans="2:2">
      <c r="B3432" s="48"/>
    </row>
    <row r="3433" spans="2:2">
      <c r="B3433" s="48"/>
    </row>
    <row r="3434" spans="2:2">
      <c r="B3434" s="48"/>
    </row>
    <row r="3435" spans="2:2">
      <c r="B3435" s="48"/>
    </row>
    <row r="3436" spans="2:2">
      <c r="B3436" s="48"/>
    </row>
    <row r="3437" spans="2:2">
      <c r="B3437" s="48"/>
    </row>
    <row r="3438" spans="2:2">
      <c r="B3438" s="48"/>
    </row>
    <row r="3439" spans="2:2">
      <c r="B3439" s="48"/>
    </row>
    <row r="3440" spans="2:2">
      <c r="B3440" s="48"/>
    </row>
    <row r="3441" spans="2:2">
      <c r="B3441" s="48"/>
    </row>
    <row r="3442" spans="2:2">
      <c r="B3442" s="48"/>
    </row>
    <row r="3443" spans="2:2">
      <c r="B3443" s="48"/>
    </row>
    <row r="3444" spans="2:2">
      <c r="B3444" s="48"/>
    </row>
    <row r="3445" spans="2:2">
      <c r="B3445" s="48"/>
    </row>
    <row r="3446" spans="2:2">
      <c r="B3446" s="48"/>
    </row>
    <row r="3447" spans="2:2">
      <c r="B3447" s="48"/>
    </row>
    <row r="3448" spans="2:2">
      <c r="B3448" s="48"/>
    </row>
    <row r="3449" spans="2:2">
      <c r="B3449" s="48"/>
    </row>
    <row r="3450" spans="2:2">
      <c r="B3450" s="48"/>
    </row>
    <row r="3451" spans="2:2">
      <c r="B3451" s="48"/>
    </row>
    <row r="3452" spans="2:2">
      <c r="B3452" s="48"/>
    </row>
    <row r="3453" spans="2:2">
      <c r="B3453" s="48"/>
    </row>
    <row r="3454" spans="2:2">
      <c r="B3454" s="48"/>
    </row>
    <row r="3455" spans="2:2">
      <c r="B3455" s="48"/>
    </row>
    <row r="3456" spans="2:2">
      <c r="B3456" s="48"/>
    </row>
    <row r="3457" spans="2:2">
      <c r="B3457" s="48"/>
    </row>
    <row r="3458" spans="2:2">
      <c r="B3458" s="48"/>
    </row>
    <row r="3459" spans="2:2">
      <c r="B3459" s="48"/>
    </row>
    <row r="3460" spans="2:2">
      <c r="B3460" s="48"/>
    </row>
    <row r="3461" spans="2:2">
      <c r="B3461" s="48"/>
    </row>
    <row r="3462" spans="2:2">
      <c r="B3462" s="48"/>
    </row>
    <row r="3463" spans="2:2">
      <c r="B3463" s="48"/>
    </row>
    <row r="3464" spans="2:2">
      <c r="B3464" s="48"/>
    </row>
    <row r="3465" spans="2:2">
      <c r="B3465" s="48"/>
    </row>
    <row r="3466" spans="2:2">
      <c r="B3466" s="48"/>
    </row>
    <row r="3467" spans="2:2">
      <c r="B3467" s="48"/>
    </row>
    <row r="3468" spans="2:2">
      <c r="B3468" s="48"/>
    </row>
    <row r="3469" spans="2:2">
      <c r="B3469" s="48"/>
    </row>
    <row r="3470" spans="2:2">
      <c r="B3470" s="48"/>
    </row>
    <row r="3471" spans="2:2">
      <c r="B3471" s="48"/>
    </row>
    <row r="3472" spans="2:2">
      <c r="B3472" s="48"/>
    </row>
    <row r="3473" spans="2:2">
      <c r="B3473" s="48"/>
    </row>
    <row r="3474" spans="2:2">
      <c r="B3474" s="48"/>
    </row>
    <row r="3475" spans="2:2">
      <c r="B3475" s="48"/>
    </row>
    <row r="3476" spans="2:2">
      <c r="B3476" s="48"/>
    </row>
    <row r="3477" spans="2:2">
      <c r="B3477" s="48"/>
    </row>
    <row r="3478" spans="2:2">
      <c r="B3478" s="48"/>
    </row>
    <row r="3479" spans="2:2">
      <c r="B3479" s="48"/>
    </row>
    <row r="3480" spans="2:2">
      <c r="B3480" s="48"/>
    </row>
    <row r="3481" spans="2:2">
      <c r="B3481" s="48"/>
    </row>
    <row r="3482" spans="2:2">
      <c r="B3482" s="48"/>
    </row>
    <row r="3483" spans="2:2">
      <c r="B3483" s="48"/>
    </row>
    <row r="3484" spans="2:2">
      <c r="B3484" s="48"/>
    </row>
    <row r="3485" spans="2:2">
      <c r="B3485" s="48"/>
    </row>
    <row r="3486" spans="2:2">
      <c r="B3486" s="48"/>
    </row>
    <row r="3487" spans="2:2">
      <c r="B3487" s="48"/>
    </row>
    <row r="3488" spans="2:2">
      <c r="B3488" s="48"/>
    </row>
    <row r="3489" spans="2:2">
      <c r="B3489" s="48"/>
    </row>
    <row r="3490" spans="2:2">
      <c r="B3490" s="48"/>
    </row>
    <row r="3491" spans="2:2">
      <c r="B3491" s="48"/>
    </row>
    <row r="3492" spans="2:2">
      <c r="B3492" s="48"/>
    </row>
    <row r="3493" spans="2:2">
      <c r="B3493" s="48"/>
    </row>
    <row r="3494" spans="2:2">
      <c r="B3494" s="48"/>
    </row>
    <row r="3495" spans="2:2">
      <c r="B3495" s="48"/>
    </row>
    <row r="3496" spans="2:2">
      <c r="B3496" s="48"/>
    </row>
    <row r="3497" spans="2:2">
      <c r="B3497" s="48"/>
    </row>
    <row r="3498" spans="2:2">
      <c r="B3498" s="48"/>
    </row>
    <row r="3499" spans="2:2">
      <c r="B3499" s="48"/>
    </row>
    <row r="3500" spans="2:2">
      <c r="B3500" s="48"/>
    </row>
    <row r="3501" spans="2:2">
      <c r="B3501" s="48"/>
    </row>
    <row r="3502" spans="2:2">
      <c r="B3502" s="48"/>
    </row>
    <row r="3503" spans="2:2">
      <c r="B3503" s="48"/>
    </row>
    <row r="3504" spans="2:2">
      <c r="B3504" s="48"/>
    </row>
    <row r="3505" spans="2:2">
      <c r="B3505" s="48"/>
    </row>
    <row r="3506" spans="2:2">
      <c r="B3506" s="48"/>
    </row>
    <row r="3507" spans="2:2">
      <c r="B3507" s="48"/>
    </row>
    <row r="3508" spans="2:2">
      <c r="B3508" s="48"/>
    </row>
    <row r="3509" spans="2:2">
      <c r="B3509" s="48"/>
    </row>
    <row r="3510" spans="2:2">
      <c r="B3510" s="48"/>
    </row>
    <row r="3511" spans="2:2">
      <c r="B3511" s="48"/>
    </row>
    <row r="3512" spans="2:2">
      <c r="B3512" s="48"/>
    </row>
    <row r="3513" spans="2:2">
      <c r="B3513" s="48"/>
    </row>
    <row r="3514" spans="2:2">
      <c r="B3514" s="48"/>
    </row>
    <row r="3515" spans="2:2">
      <c r="B3515" s="48"/>
    </row>
    <row r="3516" spans="2:2">
      <c r="B3516" s="48"/>
    </row>
    <row r="3517" spans="2:2">
      <c r="B3517" s="48"/>
    </row>
    <row r="3518" spans="2:2">
      <c r="B3518" s="48"/>
    </row>
    <row r="3519" spans="2:2">
      <c r="B3519" s="48"/>
    </row>
    <row r="3520" spans="2:2">
      <c r="B3520" s="48"/>
    </row>
    <row r="3521" spans="2:2">
      <c r="B3521" s="48"/>
    </row>
    <row r="3522" spans="2:2">
      <c r="B3522" s="48"/>
    </row>
    <row r="3523" spans="2:2">
      <c r="B3523" s="48"/>
    </row>
    <row r="3524" spans="2:2">
      <c r="B3524" s="48"/>
    </row>
    <row r="3525" spans="2:2">
      <c r="B3525" s="48"/>
    </row>
    <row r="3526" spans="2:2">
      <c r="B3526" s="48"/>
    </row>
    <row r="3527" spans="2:2">
      <c r="B3527" s="48"/>
    </row>
    <row r="3528" spans="2:2">
      <c r="B3528" s="48"/>
    </row>
    <row r="3529" spans="2:2">
      <c r="B3529" s="48"/>
    </row>
    <row r="3530" spans="2:2">
      <c r="B3530" s="48"/>
    </row>
    <row r="3531" spans="2:2">
      <c r="B3531" s="48"/>
    </row>
    <row r="3532" spans="2:2">
      <c r="B3532" s="48"/>
    </row>
    <row r="3533" spans="2:2">
      <c r="B3533" s="48"/>
    </row>
    <row r="3534" spans="2:2">
      <c r="B3534" s="48"/>
    </row>
    <row r="3535" spans="2:2">
      <c r="B3535" s="48"/>
    </row>
    <row r="3536" spans="2:2">
      <c r="B3536" s="48"/>
    </row>
    <row r="3537" spans="2:2">
      <c r="B3537" s="48"/>
    </row>
    <row r="3538" spans="2:2">
      <c r="B3538" s="48"/>
    </row>
    <row r="3539" spans="2:2">
      <c r="B3539" s="48"/>
    </row>
    <row r="3540" spans="2:2">
      <c r="B3540" s="48"/>
    </row>
    <row r="3541" spans="2:2">
      <c r="B3541" s="48"/>
    </row>
    <row r="3542" spans="2:2">
      <c r="B3542" s="48"/>
    </row>
    <row r="3543" spans="2:2">
      <c r="B3543" s="48"/>
    </row>
    <row r="3544" spans="2:2">
      <c r="B3544" s="48"/>
    </row>
    <row r="3545" spans="2:2">
      <c r="B3545" s="48"/>
    </row>
    <row r="3546" spans="2:2">
      <c r="B3546" s="48"/>
    </row>
    <row r="3547" spans="2:2">
      <c r="B3547" s="48"/>
    </row>
    <row r="3548" spans="2:2">
      <c r="B3548" s="48"/>
    </row>
    <row r="3549" spans="2:2">
      <c r="B3549" s="48"/>
    </row>
    <row r="3550" spans="2:2">
      <c r="B3550" s="48"/>
    </row>
    <row r="3551" spans="2:2">
      <c r="B3551" s="48"/>
    </row>
    <row r="3552" spans="2:2">
      <c r="B3552" s="48"/>
    </row>
    <row r="3553" spans="2:2">
      <c r="B3553" s="48"/>
    </row>
    <row r="3554" spans="2:2">
      <c r="B3554" s="48"/>
    </row>
    <row r="3555" spans="2:2">
      <c r="B3555" s="48"/>
    </row>
    <row r="3556" spans="2:2">
      <c r="B3556" s="48"/>
    </row>
    <row r="3557" spans="2:2">
      <c r="B3557" s="48"/>
    </row>
    <row r="3558" spans="2:2">
      <c r="B3558" s="48"/>
    </row>
    <row r="3559" spans="2:2">
      <c r="B3559" s="48"/>
    </row>
    <row r="3560" spans="2:2">
      <c r="B3560" s="48"/>
    </row>
    <row r="3561" spans="2:2">
      <c r="B3561" s="48"/>
    </row>
    <row r="3562" spans="2:2">
      <c r="B3562" s="48"/>
    </row>
    <row r="3563" spans="2:2">
      <c r="B3563" s="48"/>
    </row>
    <row r="3564" spans="2:2">
      <c r="B3564" s="48"/>
    </row>
    <row r="3565" spans="2:2">
      <c r="B3565" s="48"/>
    </row>
    <row r="3566" spans="2:2">
      <c r="B3566" s="48"/>
    </row>
    <row r="3567" spans="2:2">
      <c r="B3567" s="48"/>
    </row>
    <row r="3568" spans="2:2">
      <c r="B3568" s="48"/>
    </row>
    <row r="3569" spans="2:2">
      <c r="B3569" s="48"/>
    </row>
    <row r="3570" spans="2:2">
      <c r="B3570" s="48"/>
    </row>
    <row r="3571" spans="2:2">
      <c r="B3571" s="48"/>
    </row>
    <row r="3572" spans="2:2">
      <c r="B3572" s="48"/>
    </row>
    <row r="3573" spans="2:2">
      <c r="B3573" s="48"/>
    </row>
    <row r="3574" spans="2:2">
      <c r="B3574" s="48"/>
    </row>
    <row r="3575" spans="2:2">
      <c r="B3575" s="48"/>
    </row>
    <row r="3576" spans="2:2">
      <c r="B3576" s="48"/>
    </row>
    <row r="3577" spans="2:2">
      <c r="B3577" s="48"/>
    </row>
    <row r="3578" spans="2:2">
      <c r="B3578" s="48"/>
    </row>
    <row r="3579" spans="2:2">
      <c r="B3579" s="48"/>
    </row>
    <row r="3580" spans="2:2">
      <c r="B3580" s="48"/>
    </row>
    <row r="3581" spans="2:2">
      <c r="B3581" s="48"/>
    </row>
    <row r="3582" spans="2:2">
      <c r="B3582" s="48"/>
    </row>
    <row r="3583" spans="2:2">
      <c r="B3583" s="48"/>
    </row>
    <row r="3584" spans="2:2">
      <c r="B3584" s="48"/>
    </row>
    <row r="3585" spans="2:2">
      <c r="B3585" s="48"/>
    </row>
    <row r="3586" spans="2:2">
      <c r="B3586" s="48"/>
    </row>
    <row r="3587" spans="2:2">
      <c r="B3587" s="48"/>
    </row>
    <row r="3588" spans="2:2">
      <c r="B3588" s="48"/>
    </row>
    <row r="3589" spans="2:2">
      <c r="B3589" s="48"/>
    </row>
    <row r="3590" spans="2:2">
      <c r="B3590" s="48"/>
    </row>
    <row r="3591" spans="2:2">
      <c r="B3591" s="48"/>
    </row>
    <row r="3592" spans="2:2">
      <c r="B3592" s="48"/>
    </row>
    <row r="3593" spans="2:2">
      <c r="B3593" s="48"/>
    </row>
    <row r="3594" spans="2:2">
      <c r="B3594" s="48"/>
    </row>
    <row r="3595" spans="2:2">
      <c r="B3595" s="48"/>
    </row>
    <row r="3596" spans="2:2">
      <c r="B3596" s="48"/>
    </row>
    <row r="3597" spans="2:2">
      <c r="B3597" s="48"/>
    </row>
    <row r="3598" spans="2:2">
      <c r="B3598" s="48"/>
    </row>
    <row r="3599" spans="2:2">
      <c r="B3599" s="48"/>
    </row>
    <row r="3600" spans="2:2">
      <c r="B3600" s="48"/>
    </row>
    <row r="3601" spans="2:2">
      <c r="B3601" s="48"/>
    </row>
    <row r="3602" spans="2:2">
      <c r="B3602" s="48"/>
    </row>
    <row r="3603" spans="2:2">
      <c r="B3603" s="48"/>
    </row>
    <row r="3604" spans="2:2">
      <c r="B3604" s="48"/>
    </row>
    <row r="3605" spans="2:2">
      <c r="B3605" s="48"/>
    </row>
    <row r="3606" spans="2:2">
      <c r="B3606" s="48"/>
    </row>
    <row r="3607" spans="2:2">
      <c r="B3607" s="48"/>
    </row>
    <row r="3608" spans="2:2">
      <c r="B3608" s="48"/>
    </row>
    <row r="3609" spans="2:2">
      <c r="B3609" s="48"/>
    </row>
    <row r="3610" spans="2:2">
      <c r="B3610" s="48"/>
    </row>
    <row r="3611" spans="2:2">
      <c r="B3611" s="48"/>
    </row>
    <row r="3612" spans="2:2">
      <c r="B3612" s="48"/>
    </row>
    <row r="3613" spans="2:2">
      <c r="B3613" s="48"/>
    </row>
    <row r="3614" spans="2:2">
      <c r="B3614" s="48"/>
    </row>
    <row r="3615" spans="2:2">
      <c r="B3615" s="48"/>
    </row>
    <row r="3616" spans="2:2">
      <c r="B3616" s="48"/>
    </row>
    <row r="3617" spans="2:2">
      <c r="B3617" s="48"/>
    </row>
    <row r="3618" spans="2:2">
      <c r="B3618" s="48"/>
    </row>
    <row r="3619" spans="2:2">
      <c r="B3619" s="48"/>
    </row>
    <row r="3620" spans="2:2">
      <c r="B3620" s="48"/>
    </row>
    <row r="3621" spans="2:2">
      <c r="B3621" s="48"/>
    </row>
    <row r="3622" spans="2:2">
      <c r="B3622" s="48"/>
    </row>
    <row r="3623" spans="2:2">
      <c r="B3623" s="48"/>
    </row>
    <row r="3624" spans="2:2">
      <c r="B3624" s="48"/>
    </row>
    <row r="3625" spans="2:2">
      <c r="B3625" s="48"/>
    </row>
    <row r="3626" spans="2:2">
      <c r="B3626" s="48"/>
    </row>
    <row r="3627" spans="2:2">
      <c r="B3627" s="48"/>
    </row>
    <row r="3628" spans="2:2">
      <c r="B3628" s="48"/>
    </row>
    <row r="3629" spans="2:2">
      <c r="B3629" s="48"/>
    </row>
    <row r="3630" spans="2:2">
      <c r="B3630" s="48"/>
    </row>
    <row r="3631" spans="2:2">
      <c r="B3631" s="48"/>
    </row>
    <row r="3632" spans="2:2">
      <c r="B3632" s="48"/>
    </row>
    <row r="3633" spans="2:2">
      <c r="B3633" s="48"/>
    </row>
    <row r="3634" spans="2:2">
      <c r="B3634" s="48"/>
    </row>
    <row r="3635" spans="2:2">
      <c r="B3635" s="48"/>
    </row>
    <row r="3636" spans="2:2">
      <c r="B3636" s="48"/>
    </row>
    <row r="3637" spans="2:2">
      <c r="B3637" s="48"/>
    </row>
    <row r="3638" spans="2:2">
      <c r="B3638" s="48"/>
    </row>
    <row r="3639" spans="2:2">
      <c r="B3639" s="48"/>
    </row>
    <row r="3640" spans="2:2">
      <c r="B3640" s="48"/>
    </row>
    <row r="3641" spans="2:2">
      <c r="B3641" s="48"/>
    </row>
    <row r="3642" spans="2:2">
      <c r="B3642" s="48"/>
    </row>
    <row r="3643" spans="2:2">
      <c r="B3643" s="48"/>
    </row>
    <row r="3644" spans="2:2">
      <c r="B3644" s="48"/>
    </row>
    <row r="3645" spans="2:2">
      <c r="B3645" s="48"/>
    </row>
    <row r="3646" spans="2:2">
      <c r="B3646" s="48"/>
    </row>
    <row r="3647" spans="2:2">
      <c r="B3647" s="48"/>
    </row>
    <row r="3648" spans="2:2">
      <c r="B3648" s="48"/>
    </row>
    <row r="3649" spans="2:2">
      <c r="B3649" s="48"/>
    </row>
    <row r="3650" spans="2:2">
      <c r="B3650" s="48"/>
    </row>
    <row r="3651" spans="2:2">
      <c r="B3651" s="48"/>
    </row>
    <row r="3652" spans="2:2">
      <c r="B3652" s="48"/>
    </row>
    <row r="3653" spans="2:2">
      <c r="B3653" s="48"/>
    </row>
    <row r="3654" spans="2:2">
      <c r="B3654" s="48"/>
    </row>
    <row r="3655" spans="2:2">
      <c r="B3655" s="48"/>
    </row>
    <row r="3656" spans="2:2">
      <c r="B3656" s="48"/>
    </row>
    <row r="3657" spans="2:2">
      <c r="B3657" s="48"/>
    </row>
    <row r="3658" spans="2:2">
      <c r="B3658" s="48"/>
    </row>
    <row r="3659" spans="2:2">
      <c r="B3659" s="48"/>
    </row>
    <row r="3660" spans="2:2">
      <c r="B3660" s="48"/>
    </row>
    <row r="3661" spans="2:2">
      <c r="B3661" s="48"/>
    </row>
    <row r="3662" spans="2:2">
      <c r="B3662" s="48"/>
    </row>
    <row r="3663" spans="2:2">
      <c r="B3663" s="48"/>
    </row>
    <row r="3664" spans="2:2">
      <c r="B3664" s="48"/>
    </row>
    <row r="3665" spans="2:2">
      <c r="B3665" s="48"/>
    </row>
    <row r="3666" spans="2:2">
      <c r="B3666" s="48"/>
    </row>
    <row r="3667" spans="2:2">
      <c r="B3667" s="48"/>
    </row>
    <row r="3668" spans="2:2">
      <c r="B3668" s="48"/>
    </row>
    <row r="3669" spans="2:2">
      <c r="B3669" s="48"/>
    </row>
    <row r="3670" spans="2:2">
      <c r="B3670" s="48"/>
    </row>
    <row r="3671" spans="2:2">
      <c r="B3671" s="48"/>
    </row>
    <row r="3672" spans="2:2">
      <c r="B3672" s="48"/>
    </row>
    <row r="3673" spans="2:2">
      <c r="B3673" s="48"/>
    </row>
    <row r="3674" spans="2:2">
      <c r="B3674" s="48"/>
    </row>
    <row r="3675" spans="2:2">
      <c r="B3675" s="48"/>
    </row>
    <row r="3676" spans="2:2">
      <c r="B3676" s="48"/>
    </row>
    <row r="3677" spans="2:2">
      <c r="B3677" s="48"/>
    </row>
    <row r="3678" spans="2:2">
      <c r="B3678" s="48"/>
    </row>
    <row r="3679" spans="2:2">
      <c r="B3679" s="48"/>
    </row>
    <row r="3680" spans="2:2">
      <c r="B3680" s="48"/>
    </row>
    <row r="3681" spans="2:2">
      <c r="B3681" s="48"/>
    </row>
    <row r="3682" spans="2:2">
      <c r="B3682" s="48"/>
    </row>
    <row r="3683" spans="2:2">
      <c r="B3683" s="48"/>
    </row>
    <row r="3684" spans="2:2">
      <c r="B3684" s="48"/>
    </row>
    <row r="3685" spans="2:2">
      <c r="B3685" s="48"/>
    </row>
    <row r="3686" spans="2:2">
      <c r="B3686" s="48"/>
    </row>
    <row r="3687" spans="2:2">
      <c r="B3687" s="48"/>
    </row>
    <row r="3688" spans="2:2">
      <c r="B3688" s="48"/>
    </row>
    <row r="3689" spans="2:2">
      <c r="B3689" s="48"/>
    </row>
    <row r="3690" spans="2:2">
      <c r="B3690" s="48"/>
    </row>
    <row r="3691" spans="2:2">
      <c r="B3691" s="48"/>
    </row>
    <row r="3692" spans="2:2">
      <c r="B3692" s="48"/>
    </row>
    <row r="3693" spans="2:2">
      <c r="B3693" s="48"/>
    </row>
    <row r="3694" spans="2:2">
      <c r="B3694" s="48"/>
    </row>
    <row r="3695" spans="2:2">
      <c r="B3695" s="48"/>
    </row>
    <row r="3696" spans="2:2">
      <c r="B3696" s="48"/>
    </row>
    <row r="3697" spans="2:2">
      <c r="B3697" s="48"/>
    </row>
    <row r="3698" spans="2:2">
      <c r="B3698" s="48"/>
    </row>
    <row r="3699" spans="2:2">
      <c r="B3699" s="48"/>
    </row>
    <row r="3700" spans="2:2">
      <c r="B3700" s="48"/>
    </row>
    <row r="3701" spans="2:2">
      <c r="B3701" s="48"/>
    </row>
    <row r="3702" spans="2:2">
      <c r="B3702" s="48"/>
    </row>
    <row r="3703" spans="2:2">
      <c r="B3703" s="48"/>
    </row>
    <row r="3704" spans="2:2">
      <c r="B3704" s="48"/>
    </row>
    <row r="3705" spans="2:2">
      <c r="B3705" s="48"/>
    </row>
    <row r="3706" spans="2:2">
      <c r="B3706" s="48"/>
    </row>
    <row r="3707" spans="2:2">
      <c r="B3707" s="48"/>
    </row>
    <row r="3708" spans="2:2">
      <c r="B3708" s="48"/>
    </row>
    <row r="3709" spans="2:2">
      <c r="B3709" s="48"/>
    </row>
    <row r="3710" spans="2:2">
      <c r="B3710" s="48"/>
    </row>
    <row r="3711" spans="2:2">
      <c r="B3711" s="48"/>
    </row>
    <row r="3712" spans="2:2">
      <c r="B3712" s="48"/>
    </row>
    <row r="3713" spans="2:2">
      <c r="B3713" s="48"/>
    </row>
    <row r="3714" spans="2:2">
      <c r="B3714" s="48"/>
    </row>
    <row r="3715" spans="2:2">
      <c r="B3715" s="48"/>
    </row>
    <row r="3716" spans="2:2">
      <c r="B3716" s="48"/>
    </row>
    <row r="3717" spans="2:2">
      <c r="B3717" s="48"/>
    </row>
    <row r="3718" spans="2:2">
      <c r="B3718" s="48"/>
    </row>
    <row r="3719" spans="2:2">
      <c r="B3719" s="48"/>
    </row>
    <row r="3720" spans="2:2">
      <c r="B3720" s="48"/>
    </row>
    <row r="3721" spans="2:2">
      <c r="B3721" s="48"/>
    </row>
    <row r="3722" spans="2:2">
      <c r="B3722" s="48"/>
    </row>
    <row r="3723" spans="2:2">
      <c r="B3723" s="48"/>
    </row>
    <row r="3724" spans="2:2">
      <c r="B3724" s="48"/>
    </row>
    <row r="3725" spans="2:2">
      <c r="B3725" s="48"/>
    </row>
    <row r="3726" spans="2:2">
      <c r="B3726" s="48"/>
    </row>
    <row r="3727" spans="2:2">
      <c r="B3727" s="48"/>
    </row>
    <row r="3728" spans="2:2">
      <c r="B3728" s="48"/>
    </row>
    <row r="3729" spans="2:2">
      <c r="B3729" s="48"/>
    </row>
    <row r="3730" spans="2:2">
      <c r="B3730" s="48"/>
    </row>
    <row r="3731" spans="2:2">
      <c r="B3731" s="48"/>
    </row>
    <row r="3732" spans="2:2">
      <c r="B3732" s="48"/>
    </row>
    <row r="3733" spans="2:2">
      <c r="B3733" s="48"/>
    </row>
    <row r="3734" spans="2:2">
      <c r="B3734" s="48"/>
    </row>
    <row r="3735" spans="2:2">
      <c r="B3735" s="48"/>
    </row>
    <row r="3736" spans="2:2">
      <c r="B3736" s="48"/>
    </row>
    <row r="3737" spans="2:2">
      <c r="B3737" s="48"/>
    </row>
    <row r="3738" spans="2:2">
      <c r="B3738" s="48"/>
    </row>
    <row r="3739" spans="2:2">
      <c r="B3739" s="48"/>
    </row>
    <row r="3740" spans="2:2">
      <c r="B3740" s="48"/>
    </row>
    <row r="3741" spans="2:2">
      <c r="B3741" s="48"/>
    </row>
    <row r="3742" spans="2:2">
      <c r="B3742" s="48"/>
    </row>
    <row r="3743" spans="2:2">
      <c r="B3743" s="48"/>
    </row>
    <row r="3744" spans="2:2">
      <c r="B3744" s="48"/>
    </row>
    <row r="3745" spans="2:2">
      <c r="B3745" s="48"/>
    </row>
    <row r="3746" spans="2:2">
      <c r="B3746" s="48"/>
    </row>
    <row r="3747" spans="2:2">
      <c r="B3747" s="48"/>
    </row>
    <row r="3748" spans="2:2">
      <c r="B3748" s="48"/>
    </row>
    <row r="3749" spans="2:2">
      <c r="B3749" s="48"/>
    </row>
    <row r="3750" spans="2:2">
      <c r="B3750" s="48"/>
    </row>
    <row r="3751" spans="2:2">
      <c r="B3751" s="48"/>
    </row>
    <row r="3752" spans="2:2">
      <c r="B3752" s="48"/>
    </row>
    <row r="3753" spans="2:2">
      <c r="B3753" s="48"/>
    </row>
    <row r="3754" spans="2:2">
      <c r="B3754" s="48"/>
    </row>
    <row r="3755" spans="2:2">
      <c r="B3755" s="48"/>
    </row>
    <row r="3756" spans="2:2">
      <c r="B3756" s="48"/>
    </row>
    <row r="3757" spans="2:2">
      <c r="B3757" s="48"/>
    </row>
    <row r="3758" spans="2:2">
      <c r="B3758" s="48"/>
    </row>
    <row r="3759" spans="2:2">
      <c r="B3759" s="48"/>
    </row>
    <row r="3760" spans="2:2">
      <c r="B3760" s="48"/>
    </row>
    <row r="3761" spans="2:2">
      <c r="B3761" s="48"/>
    </row>
    <row r="3762" spans="2:2">
      <c r="B3762" s="48"/>
    </row>
    <row r="3763" spans="2:2">
      <c r="B3763" s="48"/>
    </row>
    <row r="3764" spans="2:2">
      <c r="B3764" s="48"/>
    </row>
    <row r="3765" spans="2:2">
      <c r="B3765" s="48"/>
    </row>
    <row r="3766" spans="2:2">
      <c r="B3766" s="48"/>
    </row>
    <row r="3767" spans="2:2">
      <c r="B3767" s="48"/>
    </row>
    <row r="3768" spans="2:2">
      <c r="B3768" s="48"/>
    </row>
    <row r="3769" spans="2:2">
      <c r="B3769" s="48"/>
    </row>
    <row r="3770" spans="2:2">
      <c r="B3770" s="48"/>
    </row>
    <row r="3771" spans="2:2">
      <c r="B3771" s="48"/>
    </row>
    <row r="3772" spans="2:2">
      <c r="B3772" s="48"/>
    </row>
    <row r="3773" spans="2:2">
      <c r="B3773" s="48"/>
    </row>
    <row r="3774" spans="2:2">
      <c r="B3774" s="48"/>
    </row>
    <row r="3775" spans="2:2">
      <c r="B3775" s="48"/>
    </row>
    <row r="3776" spans="2:2">
      <c r="B3776" s="48"/>
    </row>
    <row r="3777" spans="2:2">
      <c r="B3777" s="48"/>
    </row>
    <row r="3778" spans="2:2">
      <c r="B3778" s="48"/>
    </row>
    <row r="3779" spans="2:2">
      <c r="B3779" s="48"/>
    </row>
    <row r="3780" spans="2:2">
      <c r="B3780" s="48"/>
    </row>
    <row r="3781" spans="2:2">
      <c r="B3781" s="48"/>
    </row>
    <row r="3782" spans="2:2">
      <c r="B3782" s="48"/>
    </row>
    <row r="3783" spans="2:2">
      <c r="B3783" s="48"/>
    </row>
    <row r="3784" spans="2:2">
      <c r="B3784" s="48"/>
    </row>
    <row r="3785" spans="2:2">
      <c r="B3785" s="48"/>
    </row>
    <row r="3786" spans="2:2">
      <c r="B3786" s="48"/>
    </row>
    <row r="3787" spans="2:2">
      <c r="B3787" s="48"/>
    </row>
    <row r="3788" spans="2:2">
      <c r="B3788" s="48"/>
    </row>
    <row r="3789" spans="2:2">
      <c r="B3789" s="48"/>
    </row>
    <row r="3790" spans="2:2">
      <c r="B3790" s="48"/>
    </row>
    <row r="3791" spans="2:2">
      <c r="B3791" s="48"/>
    </row>
    <row r="3792" spans="2:2">
      <c r="B3792" s="48"/>
    </row>
    <row r="3793" spans="2:2">
      <c r="B3793" s="48"/>
    </row>
    <row r="3794" spans="2:2">
      <c r="B3794" s="48"/>
    </row>
    <row r="3795" spans="2:2">
      <c r="B3795" s="48"/>
    </row>
    <row r="3796" spans="2:2">
      <c r="B3796" s="48"/>
    </row>
    <row r="3797" spans="2:2">
      <c r="B3797" s="48"/>
    </row>
    <row r="3798" spans="2:2">
      <c r="B3798" s="48"/>
    </row>
    <row r="3799" spans="2:2">
      <c r="B3799" s="48"/>
    </row>
    <row r="3800" spans="2:2">
      <c r="B3800" s="48"/>
    </row>
    <row r="3801" spans="2:2">
      <c r="B3801" s="48"/>
    </row>
    <row r="3802" spans="2:2">
      <c r="B3802" s="48"/>
    </row>
    <row r="3803" spans="2:2">
      <c r="B3803" s="48"/>
    </row>
    <row r="3804" spans="2:2">
      <c r="B3804" s="48"/>
    </row>
    <row r="3805" spans="2:2">
      <c r="B3805" s="48"/>
    </row>
    <row r="3806" spans="2:2">
      <c r="B3806" s="48"/>
    </row>
    <row r="3807" spans="2:2">
      <c r="B3807" s="48"/>
    </row>
    <row r="3808" spans="2:2">
      <c r="B3808" s="48"/>
    </row>
    <row r="3809" spans="2:2">
      <c r="B3809" s="48"/>
    </row>
    <row r="3810" spans="2:2">
      <c r="B3810" s="48"/>
    </row>
    <row r="3811" spans="2:2">
      <c r="B3811" s="48"/>
    </row>
    <row r="3812" spans="2:2">
      <c r="B3812" s="48"/>
    </row>
    <row r="3813" spans="2:2">
      <c r="B3813" s="48"/>
    </row>
    <row r="3814" spans="2:2">
      <c r="B3814" s="48"/>
    </row>
    <row r="3815" spans="2:2">
      <c r="B3815" s="48"/>
    </row>
    <row r="3816" spans="2:2">
      <c r="B3816" s="48"/>
    </row>
    <row r="3817" spans="2:2">
      <c r="B3817" s="48"/>
    </row>
    <row r="3818" spans="2:2">
      <c r="B3818" s="48"/>
    </row>
    <row r="3819" spans="2:2">
      <c r="B3819" s="48"/>
    </row>
    <row r="3820" spans="2:2">
      <c r="B3820" s="48"/>
    </row>
    <row r="3821" spans="2:2">
      <c r="B3821" s="48"/>
    </row>
    <row r="3822" spans="2:2">
      <c r="B3822" s="48"/>
    </row>
    <row r="3823" spans="2:2">
      <c r="B3823" s="48"/>
    </row>
    <row r="3824" spans="2:2">
      <c r="B3824" s="48"/>
    </row>
    <row r="3825" spans="2:2">
      <c r="B3825" s="48"/>
    </row>
    <row r="3826" spans="2:2">
      <c r="B3826" s="48"/>
    </row>
    <row r="3827" spans="2:2">
      <c r="B3827" s="48"/>
    </row>
    <row r="3828" spans="2:2">
      <c r="B3828" s="48"/>
    </row>
    <row r="3829" spans="2:2">
      <c r="B3829" s="48"/>
    </row>
    <row r="3830" spans="2:2">
      <c r="B3830" s="48"/>
    </row>
    <row r="3831" spans="2:2">
      <c r="B3831" s="48"/>
    </row>
    <row r="3832" spans="2:2">
      <c r="B3832" s="48"/>
    </row>
    <row r="3833" spans="2:2">
      <c r="B3833" s="48"/>
    </row>
    <row r="3834" spans="2:2">
      <c r="B3834" s="48"/>
    </row>
    <row r="3835" spans="2:2">
      <c r="B3835" s="48"/>
    </row>
    <row r="3836" spans="2:2">
      <c r="B3836" s="48"/>
    </row>
    <row r="3837" spans="2:2">
      <c r="B3837" s="48"/>
    </row>
    <row r="3838" spans="2:2">
      <c r="B3838" s="48"/>
    </row>
    <row r="3839" spans="2:2">
      <c r="B3839" s="48"/>
    </row>
    <row r="3840" spans="2:2">
      <c r="B3840" s="48"/>
    </row>
    <row r="3841" spans="2:2">
      <c r="B3841" s="48"/>
    </row>
    <row r="3842" spans="2:2">
      <c r="B3842" s="48"/>
    </row>
    <row r="3843" spans="2:2">
      <c r="B3843" s="48"/>
    </row>
    <row r="3844" spans="2:2">
      <c r="B3844" s="48"/>
    </row>
    <row r="3845" spans="2:2">
      <c r="B3845" s="48"/>
    </row>
    <row r="3846" spans="2:2">
      <c r="B3846" s="48"/>
    </row>
    <row r="3847" spans="2:2">
      <c r="B3847" s="48"/>
    </row>
    <row r="3848" spans="2:2">
      <c r="B3848" s="48"/>
    </row>
    <row r="3849" spans="2:2">
      <c r="B3849" s="48"/>
    </row>
    <row r="3850" spans="2:2">
      <c r="B3850" s="48"/>
    </row>
    <row r="3851" spans="2:2">
      <c r="B3851" s="48"/>
    </row>
    <row r="3852" spans="2:2">
      <c r="B3852" s="48"/>
    </row>
    <row r="3853" spans="2:2">
      <c r="B3853" s="48"/>
    </row>
    <row r="3854" spans="2:2">
      <c r="B3854" s="48"/>
    </row>
    <row r="3855" spans="2:2">
      <c r="B3855" s="48"/>
    </row>
    <row r="3856" spans="2:2">
      <c r="B3856" s="48"/>
    </row>
    <row r="3857" spans="2:2">
      <c r="B3857" s="48"/>
    </row>
    <row r="3858" spans="2:2">
      <c r="B3858" s="48"/>
    </row>
    <row r="3859" spans="2:2">
      <c r="B3859" s="48"/>
    </row>
    <row r="3860" spans="2:2">
      <c r="B3860" s="48"/>
    </row>
    <row r="3861" spans="2:2">
      <c r="B3861" s="48"/>
    </row>
    <row r="3862" spans="2:2">
      <c r="B3862" s="48"/>
    </row>
    <row r="3863" spans="2:2">
      <c r="B3863" s="48"/>
    </row>
    <row r="3864" spans="2:2">
      <c r="B3864" s="48"/>
    </row>
    <row r="3865" spans="2:2">
      <c r="B3865" s="48"/>
    </row>
    <row r="3866" spans="2:2">
      <c r="B3866" s="48"/>
    </row>
    <row r="3867" spans="2:2">
      <c r="B3867" s="48"/>
    </row>
    <row r="3868" spans="2:2">
      <c r="B3868" s="48"/>
    </row>
    <row r="3869" spans="2:2">
      <c r="B3869" s="48"/>
    </row>
    <row r="3870" spans="2:2">
      <c r="B3870" s="48"/>
    </row>
    <row r="3871" spans="2:2">
      <c r="B3871" s="48"/>
    </row>
    <row r="3872" spans="2:2">
      <c r="B3872" s="48"/>
    </row>
    <row r="3873" spans="2:2">
      <c r="B3873" s="48"/>
    </row>
    <row r="3874" spans="2:2">
      <c r="B3874" s="48"/>
    </row>
    <row r="3875" spans="2:2">
      <c r="B3875" s="48"/>
    </row>
    <row r="3876" spans="2:2">
      <c r="B3876" s="48"/>
    </row>
    <row r="3877" spans="2:2">
      <c r="B3877" s="48"/>
    </row>
    <row r="3878" spans="2:2">
      <c r="B3878" s="48"/>
    </row>
    <row r="3879" spans="2:2">
      <c r="B3879" s="48"/>
    </row>
    <row r="3880" spans="2:2">
      <c r="B3880" s="48"/>
    </row>
    <row r="3881" spans="2:2">
      <c r="B3881" s="48"/>
    </row>
    <row r="3882" spans="2:2">
      <c r="B3882" s="48"/>
    </row>
    <row r="3883" spans="2:2">
      <c r="B3883" s="48"/>
    </row>
    <row r="3884" spans="2:2">
      <c r="B3884" s="48"/>
    </row>
    <row r="3885" spans="2:2">
      <c r="B3885" s="48"/>
    </row>
    <row r="3886" spans="2:2">
      <c r="B3886" s="48"/>
    </row>
    <row r="3887" spans="2:2">
      <c r="B3887" s="48"/>
    </row>
    <row r="3888" spans="2:2">
      <c r="B3888" s="48"/>
    </row>
    <row r="3889" spans="2:2">
      <c r="B3889" s="48"/>
    </row>
    <row r="3890" spans="2:2">
      <c r="B3890" s="48"/>
    </row>
    <row r="3891" spans="2:2">
      <c r="B3891" s="48"/>
    </row>
    <row r="3892" spans="2:2">
      <c r="B3892" s="48"/>
    </row>
    <row r="3893" spans="2:2">
      <c r="B3893" s="48"/>
    </row>
    <row r="3894" spans="2:2">
      <c r="B3894" s="48"/>
    </row>
    <row r="3895" spans="2:2">
      <c r="B3895" s="48"/>
    </row>
    <row r="3896" spans="2:2">
      <c r="B3896" s="48"/>
    </row>
    <row r="3897" spans="2:2">
      <c r="B3897" s="48"/>
    </row>
    <row r="3898" spans="2:2">
      <c r="B3898" s="48"/>
    </row>
    <row r="3899" spans="2:2">
      <c r="B3899" s="48"/>
    </row>
    <row r="3900" spans="2:2">
      <c r="B3900" s="48"/>
    </row>
    <row r="3901" spans="2:2">
      <c r="B3901" s="48"/>
    </row>
    <row r="3902" spans="2:2">
      <c r="B3902" s="48"/>
    </row>
    <row r="3903" spans="2:2">
      <c r="B3903" s="48"/>
    </row>
    <row r="3904" spans="2:2">
      <c r="B3904" s="48"/>
    </row>
    <row r="3905" spans="2:2">
      <c r="B3905" s="48"/>
    </row>
    <row r="3906" spans="2:2">
      <c r="B3906" s="48"/>
    </row>
    <row r="3907" spans="2:2">
      <c r="B3907" s="48"/>
    </row>
    <row r="3908" spans="2:2">
      <c r="B3908" s="48"/>
    </row>
    <row r="3909" spans="2:2">
      <c r="B3909" s="48"/>
    </row>
    <row r="3910" spans="2:2">
      <c r="B3910" s="48"/>
    </row>
    <row r="3911" spans="2:2">
      <c r="B3911" s="48"/>
    </row>
    <row r="3912" spans="2:2">
      <c r="B3912" s="48"/>
    </row>
    <row r="3913" spans="2:2">
      <c r="B3913" s="48"/>
    </row>
    <row r="3914" spans="2:2">
      <c r="B3914" s="48"/>
    </row>
    <row r="3915" spans="2:2">
      <c r="B3915" s="48"/>
    </row>
    <row r="3916" spans="2:2">
      <c r="B3916" s="48"/>
    </row>
    <row r="3917" spans="2:2">
      <c r="B3917" s="48"/>
    </row>
    <row r="3918" spans="2:2">
      <c r="B3918" s="48"/>
    </row>
    <row r="3919" spans="2:2">
      <c r="B3919" s="48"/>
    </row>
    <row r="3920" spans="2:2">
      <c r="B3920" s="48"/>
    </row>
    <row r="3921" spans="2:2">
      <c r="B3921" s="48"/>
    </row>
    <row r="3922" spans="2:2">
      <c r="B3922" s="48"/>
    </row>
    <row r="3923" spans="2:2">
      <c r="B3923" s="48"/>
    </row>
    <row r="3924" spans="2:2">
      <c r="B3924" s="48"/>
    </row>
    <row r="3925" spans="2:2">
      <c r="B3925" s="48"/>
    </row>
    <row r="3926" spans="2:2">
      <c r="B3926" s="48"/>
    </row>
    <row r="3927" spans="2:2">
      <c r="B3927" s="48"/>
    </row>
    <row r="3928" spans="2:2">
      <c r="B3928" s="48"/>
    </row>
    <row r="3929" spans="2:2">
      <c r="B3929" s="48"/>
    </row>
    <row r="3930" spans="2:2">
      <c r="B3930" s="48"/>
    </row>
    <row r="3931" spans="2:2">
      <c r="B3931" s="48"/>
    </row>
    <row r="3932" spans="2:2">
      <c r="B3932" s="48"/>
    </row>
    <row r="3933" spans="2:2">
      <c r="B3933" s="48"/>
    </row>
    <row r="3934" spans="2:2">
      <c r="B3934" s="48"/>
    </row>
    <row r="3935" spans="2:2">
      <c r="B3935" s="48"/>
    </row>
    <row r="3936" spans="2:2">
      <c r="B3936" s="48"/>
    </row>
    <row r="3937" spans="2:2">
      <c r="B3937" s="48"/>
    </row>
    <row r="3938" spans="2:2">
      <c r="B3938" s="48"/>
    </row>
    <row r="3939" spans="2:2">
      <c r="B3939" s="48"/>
    </row>
    <row r="3940" spans="2:2">
      <c r="B3940" s="48"/>
    </row>
    <row r="3941" spans="2:2">
      <c r="B3941" s="48"/>
    </row>
    <row r="3942" spans="2:2">
      <c r="B3942" s="48"/>
    </row>
    <row r="3943" spans="2:2">
      <c r="B3943" s="48"/>
    </row>
    <row r="3944" spans="2:2">
      <c r="B3944" s="48"/>
    </row>
    <row r="3945" spans="2:2">
      <c r="B3945" s="48"/>
    </row>
    <row r="3946" spans="2:2">
      <c r="B3946" s="48"/>
    </row>
    <row r="3947" spans="2:2">
      <c r="B3947" s="48"/>
    </row>
    <row r="3948" spans="2:2">
      <c r="B3948" s="48"/>
    </row>
    <row r="3949" spans="2:2">
      <c r="B3949" s="48"/>
    </row>
    <row r="3950" spans="2:2">
      <c r="B3950" s="48"/>
    </row>
    <row r="3951" spans="2:2">
      <c r="B3951" s="48"/>
    </row>
    <row r="3952" spans="2:2">
      <c r="B3952" s="48"/>
    </row>
    <row r="3953" spans="2:2">
      <c r="B3953" s="48"/>
    </row>
    <row r="3954" spans="2:2">
      <c r="B3954" s="48"/>
    </row>
    <row r="3955" spans="2:2">
      <c r="B3955" s="48"/>
    </row>
    <row r="3956" spans="2:2">
      <c r="B3956" s="48"/>
    </row>
    <row r="3957" spans="2:2">
      <c r="B3957" s="48"/>
    </row>
    <row r="3958" spans="2:2">
      <c r="B3958" s="48"/>
    </row>
    <row r="3959" spans="2:2">
      <c r="B3959" s="48"/>
    </row>
    <row r="3960" spans="2:2">
      <c r="B3960" s="48"/>
    </row>
    <row r="3961" spans="2:2">
      <c r="B3961" s="48"/>
    </row>
    <row r="3962" spans="2:2">
      <c r="B3962" s="48"/>
    </row>
    <row r="3963" spans="2:2">
      <c r="B3963" s="48"/>
    </row>
    <row r="3964" spans="2:2">
      <c r="B3964" s="48"/>
    </row>
    <row r="3965" spans="2:2">
      <c r="B3965" s="48"/>
    </row>
    <row r="3966" spans="2:2">
      <c r="B3966" s="48"/>
    </row>
    <row r="3967" spans="2:2">
      <c r="B3967" s="48"/>
    </row>
    <row r="3968" spans="2:2">
      <c r="B3968" s="48"/>
    </row>
    <row r="3969" spans="2:2">
      <c r="B3969" s="48"/>
    </row>
    <row r="3970" spans="2:2">
      <c r="B3970" s="48"/>
    </row>
    <row r="3971" spans="2:2">
      <c r="B3971" s="48"/>
    </row>
    <row r="3972" spans="2:2">
      <c r="B3972" s="48"/>
    </row>
    <row r="3973" spans="2:2">
      <c r="B3973" s="48"/>
    </row>
    <row r="3974" spans="2:2">
      <c r="B3974" s="48"/>
    </row>
    <row r="3975" spans="2:2">
      <c r="B3975" s="48"/>
    </row>
    <row r="3976" spans="2:2">
      <c r="B3976" s="48"/>
    </row>
    <row r="3977" spans="2:2">
      <c r="B3977" s="48"/>
    </row>
    <row r="3978" spans="2:2">
      <c r="B3978" s="48"/>
    </row>
    <row r="3979" spans="2:2">
      <c r="B3979" s="48"/>
    </row>
    <row r="3980" spans="2:2">
      <c r="B3980" s="48"/>
    </row>
    <row r="3981" spans="2:2">
      <c r="B3981" s="48"/>
    </row>
    <row r="3982" spans="2:2">
      <c r="B3982" s="48"/>
    </row>
    <row r="3983" spans="2:2">
      <c r="B3983" s="48"/>
    </row>
    <row r="3984" spans="2:2">
      <c r="B3984" s="48"/>
    </row>
    <row r="3985" spans="2:2">
      <c r="B3985" s="48"/>
    </row>
    <row r="3986" spans="2:2">
      <c r="B3986" s="48"/>
    </row>
    <row r="3987" spans="2:2">
      <c r="B3987" s="48"/>
    </row>
    <row r="3988" spans="2:2">
      <c r="B3988" s="48"/>
    </row>
    <row r="3989" spans="2:2">
      <c r="B3989" s="48"/>
    </row>
    <row r="3990" spans="2:2">
      <c r="B3990" s="48"/>
    </row>
    <row r="3991" spans="2:2">
      <c r="B3991" s="48"/>
    </row>
    <row r="3992" spans="2:2">
      <c r="B3992" s="48"/>
    </row>
    <row r="3993" spans="2:2">
      <c r="B3993" s="48"/>
    </row>
    <row r="3994" spans="2:2">
      <c r="B3994" s="48"/>
    </row>
    <row r="3995" spans="2:2">
      <c r="B3995" s="48"/>
    </row>
    <row r="3996" spans="2:2">
      <c r="B3996" s="48"/>
    </row>
    <row r="3997" spans="2:2">
      <c r="B3997" s="48"/>
    </row>
    <row r="3998" spans="2:2">
      <c r="B3998" s="48"/>
    </row>
    <row r="3999" spans="2:2">
      <c r="B3999" s="48"/>
    </row>
    <row r="4000" spans="2:2">
      <c r="B4000" s="48"/>
    </row>
    <row r="4001" spans="2:2">
      <c r="B4001" s="48"/>
    </row>
    <row r="4002" spans="2:2">
      <c r="B4002" s="48"/>
    </row>
    <row r="4003" spans="2:2">
      <c r="B4003" s="48"/>
    </row>
    <row r="4004" spans="2:2">
      <c r="B4004" s="48"/>
    </row>
    <row r="4005" spans="2:2">
      <c r="B4005" s="48"/>
    </row>
    <row r="4006" spans="2:2">
      <c r="B4006" s="48"/>
    </row>
    <row r="4007" spans="2:2">
      <c r="B4007" s="48"/>
    </row>
    <row r="4008" spans="2:2">
      <c r="B4008" s="48"/>
    </row>
    <row r="4009" spans="2:2">
      <c r="B4009" s="48"/>
    </row>
    <row r="4010" spans="2:2">
      <c r="B4010" s="48"/>
    </row>
    <row r="4011" spans="2:2">
      <c r="B4011" s="48"/>
    </row>
    <row r="4012" spans="2:2">
      <c r="B4012" s="48"/>
    </row>
    <row r="4013" spans="2:2">
      <c r="B4013" s="48"/>
    </row>
    <row r="4014" spans="2:2">
      <c r="B4014" s="48"/>
    </row>
    <row r="4015" spans="2:2">
      <c r="B4015" s="48"/>
    </row>
    <row r="4016" spans="2:2">
      <c r="B4016" s="48"/>
    </row>
    <row r="4017" spans="2:2">
      <c r="B4017" s="48"/>
    </row>
    <row r="4018" spans="2:2">
      <c r="B4018" s="48"/>
    </row>
    <row r="4019" spans="2:2">
      <c r="B4019" s="48"/>
    </row>
    <row r="4020" spans="2:2">
      <c r="B4020" s="48"/>
    </row>
    <row r="4021" spans="2:2">
      <c r="B4021" s="48"/>
    </row>
    <row r="4022" spans="2:2">
      <c r="B4022" s="48"/>
    </row>
    <row r="4023" spans="2:2">
      <c r="B4023" s="48"/>
    </row>
    <row r="4024" spans="2:2">
      <c r="B4024" s="48"/>
    </row>
    <row r="4025" spans="2:2">
      <c r="B4025" s="48"/>
    </row>
    <row r="4026" spans="2:2">
      <c r="B4026" s="48"/>
    </row>
    <row r="4027" spans="2:2">
      <c r="B4027" s="48"/>
    </row>
    <row r="4028" spans="2:2">
      <c r="B4028" s="48"/>
    </row>
    <row r="4029" spans="2:2">
      <c r="B4029" s="48"/>
    </row>
    <row r="4030" spans="2:2">
      <c r="B4030" s="48"/>
    </row>
    <row r="4031" spans="2:2">
      <c r="B4031" s="48"/>
    </row>
    <row r="4032" spans="2:2">
      <c r="B4032" s="48"/>
    </row>
    <row r="4033" spans="2:2">
      <c r="B4033" s="48"/>
    </row>
    <row r="4034" spans="2:2">
      <c r="B4034" s="48"/>
    </row>
    <row r="4035" spans="2:2">
      <c r="B4035" s="48"/>
    </row>
    <row r="4036" spans="2:2">
      <c r="B4036" s="48"/>
    </row>
    <row r="4037" spans="2:2">
      <c r="B4037" s="48"/>
    </row>
    <row r="4038" spans="2:2">
      <c r="B4038" s="48"/>
    </row>
    <row r="4039" spans="2:2">
      <c r="B4039" s="48"/>
    </row>
    <row r="4040" spans="2:2">
      <c r="B4040" s="48"/>
    </row>
    <row r="4041" spans="2:2">
      <c r="B4041" s="48"/>
    </row>
    <row r="4042" spans="2:2">
      <c r="B4042" s="48"/>
    </row>
    <row r="4043" spans="2:2">
      <c r="B4043" s="48"/>
    </row>
    <row r="4044" spans="2:2">
      <c r="B4044" s="48"/>
    </row>
    <row r="4045" spans="2:2">
      <c r="B4045" s="48"/>
    </row>
    <row r="4046" spans="2:2">
      <c r="B4046" s="48"/>
    </row>
    <row r="4047" spans="2:2">
      <c r="B4047" s="48"/>
    </row>
    <row r="4048" spans="2:2">
      <c r="B4048" s="48"/>
    </row>
    <row r="4049" spans="2:2">
      <c r="B4049" s="48"/>
    </row>
    <row r="4050" spans="2:2">
      <c r="B4050" s="48"/>
    </row>
    <row r="4051" spans="2:2">
      <c r="B4051" s="48"/>
    </row>
    <row r="4052" spans="2:2">
      <c r="B4052" s="48"/>
    </row>
    <row r="4053" spans="2:2">
      <c r="B4053" s="48"/>
    </row>
    <row r="4054" spans="2:2">
      <c r="B4054" s="48"/>
    </row>
    <row r="4055" spans="2:2">
      <c r="B4055" s="48"/>
    </row>
    <row r="4056" spans="2:2">
      <c r="B4056" s="48"/>
    </row>
    <row r="4057" spans="2:2">
      <c r="B4057" s="48"/>
    </row>
    <row r="4058" spans="2:2">
      <c r="B4058" s="48"/>
    </row>
    <row r="4059" spans="2:2">
      <c r="B4059" s="48"/>
    </row>
    <row r="4060" spans="2:2">
      <c r="B4060" s="48"/>
    </row>
    <row r="4061" spans="2:2">
      <c r="B4061" s="48"/>
    </row>
    <row r="4062" spans="2:2">
      <c r="B4062" s="48"/>
    </row>
    <row r="4063" spans="2:2">
      <c r="B4063" s="48"/>
    </row>
    <row r="4064" spans="2:2">
      <c r="B4064" s="48"/>
    </row>
    <row r="4065" spans="2:2">
      <c r="B4065" s="48"/>
    </row>
    <row r="4066" spans="2:2">
      <c r="B4066" s="48"/>
    </row>
    <row r="4067" spans="2:2">
      <c r="B4067" s="48"/>
    </row>
    <row r="4068" spans="2:2">
      <c r="B4068" s="48"/>
    </row>
    <row r="4069" spans="2:2">
      <c r="B4069" s="48"/>
    </row>
    <row r="4070" spans="2:2">
      <c r="B4070" s="48"/>
    </row>
    <row r="4071" spans="2:2">
      <c r="B4071" s="48"/>
    </row>
    <row r="4072" spans="2:2">
      <c r="B4072" s="48"/>
    </row>
    <row r="4073" spans="2:2">
      <c r="B4073" s="48"/>
    </row>
    <row r="4074" spans="2:2">
      <c r="B4074" s="48"/>
    </row>
    <row r="4075" spans="2:2">
      <c r="B4075" s="48"/>
    </row>
    <row r="4076" spans="2:2">
      <c r="B4076" s="48"/>
    </row>
    <row r="4077" spans="2:2">
      <c r="B4077" s="48"/>
    </row>
    <row r="4078" spans="2:2">
      <c r="B4078" s="48"/>
    </row>
    <row r="4079" spans="2:2">
      <c r="B4079" s="48"/>
    </row>
    <row r="4080" spans="2:2">
      <c r="B4080" s="48"/>
    </row>
    <row r="4081" spans="2:2">
      <c r="B4081" s="48"/>
    </row>
    <row r="4082" spans="2:2">
      <c r="B4082" s="48"/>
    </row>
    <row r="4083" spans="2:2">
      <c r="B4083" s="48"/>
    </row>
    <row r="4084" spans="2:2">
      <c r="B4084" s="48"/>
    </row>
    <row r="4085" spans="2:2">
      <c r="B4085" s="48"/>
    </row>
    <row r="4086" spans="2:2">
      <c r="B4086" s="48"/>
    </row>
    <row r="4087" spans="2:2">
      <c r="B4087" s="48"/>
    </row>
    <row r="4088" spans="2:2">
      <c r="B4088" s="48"/>
    </row>
    <row r="4089" spans="2:2">
      <c r="B4089" s="48"/>
    </row>
    <row r="4090" spans="2:2">
      <c r="B4090" s="48"/>
    </row>
    <row r="4091" spans="2:2">
      <c r="B4091" s="48"/>
    </row>
    <row r="4092" spans="2:2">
      <c r="B4092" s="48"/>
    </row>
    <row r="4093" spans="2:2">
      <c r="B4093" s="48"/>
    </row>
    <row r="4094" spans="2:2">
      <c r="B4094" s="48"/>
    </row>
    <row r="4095" spans="2:2">
      <c r="B4095" s="48"/>
    </row>
    <row r="4096" spans="2:2">
      <c r="B4096" s="48"/>
    </row>
    <row r="4097" spans="2:2">
      <c r="B4097" s="48"/>
    </row>
    <row r="4098" spans="2:2">
      <c r="B4098" s="48"/>
    </row>
    <row r="4099" spans="2:2">
      <c r="B4099" s="48"/>
    </row>
    <row r="4100" spans="2:2">
      <c r="B4100" s="48"/>
    </row>
    <row r="4101" spans="2:2">
      <c r="B4101" s="48"/>
    </row>
    <row r="4102" spans="2:2">
      <c r="B4102" s="48"/>
    </row>
    <row r="4103" spans="2:2">
      <c r="B4103" s="48"/>
    </row>
    <row r="4104" spans="2:2">
      <c r="B4104" s="48"/>
    </row>
    <row r="4105" spans="2:2">
      <c r="B4105" s="48"/>
    </row>
    <row r="4106" spans="2:2">
      <c r="B4106" s="48"/>
    </row>
    <row r="4107" spans="2:2">
      <c r="B4107" s="48"/>
    </row>
    <row r="4108" spans="2:2">
      <c r="B4108" s="48"/>
    </row>
    <row r="4109" spans="2:2">
      <c r="B4109" s="48"/>
    </row>
    <row r="4110" spans="2:2">
      <c r="B4110" s="48"/>
    </row>
    <row r="4111" spans="2:2">
      <c r="B4111" s="48"/>
    </row>
    <row r="4112" spans="2:2">
      <c r="B4112" s="48"/>
    </row>
    <row r="4113" spans="2:2">
      <c r="B4113" s="48"/>
    </row>
    <row r="4114" spans="2:2">
      <c r="B4114" s="48"/>
    </row>
    <row r="4115" spans="2:2">
      <c r="B4115" s="48"/>
    </row>
    <row r="4116" spans="2:2">
      <c r="B4116" s="48"/>
    </row>
    <row r="4117" spans="2:2">
      <c r="B4117" s="48"/>
    </row>
    <row r="4118" spans="2:2">
      <c r="B4118" s="48"/>
    </row>
    <row r="4119" spans="2:2">
      <c r="B4119" s="48"/>
    </row>
    <row r="4120" spans="2:2">
      <c r="B4120" s="48"/>
    </row>
    <row r="4121" spans="2:2">
      <c r="B4121" s="48"/>
    </row>
    <row r="4122" spans="2:2">
      <c r="B4122" s="48"/>
    </row>
    <row r="4123" spans="2:2">
      <c r="B4123" s="48"/>
    </row>
    <row r="4124" spans="2:2">
      <c r="B4124" s="48"/>
    </row>
    <row r="4125" spans="2:2">
      <c r="B4125" s="48"/>
    </row>
    <row r="4126" spans="2:2">
      <c r="B4126" s="48"/>
    </row>
    <row r="4127" spans="2:2">
      <c r="B4127" s="48"/>
    </row>
    <row r="4128" spans="2:2">
      <c r="B4128" s="48"/>
    </row>
    <row r="4129" spans="2:2">
      <c r="B4129" s="48"/>
    </row>
    <row r="4130" spans="2:2">
      <c r="B4130" s="48"/>
    </row>
    <row r="4131" spans="2:2">
      <c r="B4131" s="48"/>
    </row>
    <row r="4132" spans="2:2">
      <c r="B4132" s="48"/>
    </row>
    <row r="4133" spans="2:2">
      <c r="B4133" s="48"/>
    </row>
    <row r="4134" spans="2:2">
      <c r="B4134" s="48"/>
    </row>
    <row r="4135" spans="2:2">
      <c r="B4135" s="48"/>
    </row>
    <row r="4136" spans="2:2">
      <c r="B4136" s="48"/>
    </row>
    <row r="4137" spans="2:2">
      <c r="B4137" s="48"/>
    </row>
    <row r="4138" spans="2:2">
      <c r="B4138" s="48"/>
    </row>
    <row r="4139" spans="2:2">
      <c r="B4139" s="48"/>
    </row>
    <row r="4140" spans="2:2">
      <c r="B4140" s="48"/>
    </row>
    <row r="4141" spans="2:2">
      <c r="B4141" s="48"/>
    </row>
    <row r="4142" spans="2:2">
      <c r="B4142" s="48"/>
    </row>
    <row r="4143" spans="2:2">
      <c r="B4143" s="48"/>
    </row>
    <row r="4144" spans="2:2">
      <c r="B4144" s="48"/>
    </row>
    <row r="4145" spans="2:2">
      <c r="B4145" s="48"/>
    </row>
    <row r="4146" spans="2:2">
      <c r="B4146" s="48"/>
    </row>
    <row r="4147" spans="2:2">
      <c r="B4147" s="48"/>
    </row>
    <row r="4148" spans="2:2">
      <c r="B4148" s="48"/>
    </row>
    <row r="4149" spans="2:2">
      <c r="B4149" s="48"/>
    </row>
    <row r="4150" spans="2:2">
      <c r="B4150" s="48"/>
    </row>
    <row r="4151" spans="2:2">
      <c r="B4151" s="48"/>
    </row>
    <row r="4152" spans="2:2">
      <c r="B4152" s="48"/>
    </row>
    <row r="4153" spans="2:2">
      <c r="B4153" s="48"/>
    </row>
    <row r="4154" spans="2:2">
      <c r="B4154" s="48"/>
    </row>
    <row r="4155" spans="2:2">
      <c r="B4155" s="48"/>
    </row>
    <row r="4156" spans="2:2">
      <c r="B4156" s="48"/>
    </row>
    <row r="4157" spans="2:2">
      <c r="B4157" s="48"/>
    </row>
    <row r="4158" spans="2:2">
      <c r="B4158" s="48"/>
    </row>
    <row r="4159" spans="2:2">
      <c r="B4159" s="48"/>
    </row>
    <row r="4160" spans="2:2">
      <c r="B4160" s="48"/>
    </row>
    <row r="4161" spans="2:2">
      <c r="B4161" s="48"/>
    </row>
    <row r="4162" spans="2:2">
      <c r="B4162" s="48"/>
    </row>
    <row r="4163" spans="2:2">
      <c r="B4163" s="48"/>
    </row>
    <row r="4164" spans="2:2">
      <c r="B4164" s="48"/>
    </row>
    <row r="4165" spans="2:2">
      <c r="B4165" s="48"/>
    </row>
    <row r="4166" spans="2:2">
      <c r="B4166" s="48"/>
    </row>
    <row r="4167" spans="2:2">
      <c r="B4167" s="48"/>
    </row>
    <row r="4168" spans="2:2">
      <c r="B4168" s="48"/>
    </row>
    <row r="4169" spans="2:2">
      <c r="B4169" s="48"/>
    </row>
    <row r="4170" spans="2:2">
      <c r="B4170" s="48"/>
    </row>
    <row r="4171" spans="2:2">
      <c r="B4171" s="48"/>
    </row>
    <row r="4172" spans="2:2">
      <c r="B4172" s="48"/>
    </row>
    <row r="4173" spans="2:2">
      <c r="B4173" s="48"/>
    </row>
    <row r="4174" spans="2:2">
      <c r="B4174" s="48"/>
    </row>
    <row r="4175" spans="2:2">
      <c r="B4175" s="48"/>
    </row>
    <row r="4176" spans="2:2">
      <c r="B4176" s="48"/>
    </row>
    <row r="4177" spans="2:2">
      <c r="B4177" s="48"/>
    </row>
    <row r="4178" spans="2:2">
      <c r="B4178" s="48"/>
    </row>
    <row r="4179" spans="2:2">
      <c r="B4179" s="48"/>
    </row>
    <row r="4180" spans="2:2">
      <c r="B4180" s="48"/>
    </row>
    <row r="4181" spans="2:2">
      <c r="B4181" s="48"/>
    </row>
    <row r="4182" spans="2:2">
      <c r="B4182" s="48"/>
    </row>
    <row r="4183" spans="2:2">
      <c r="B4183" s="48"/>
    </row>
    <row r="4184" spans="2:2">
      <c r="B4184" s="48"/>
    </row>
    <row r="4185" spans="2:2">
      <c r="B4185" s="48"/>
    </row>
    <row r="4186" spans="2:2">
      <c r="B4186" s="48"/>
    </row>
    <row r="4187" spans="2:2">
      <c r="B4187" s="48"/>
    </row>
    <row r="4188" spans="2:2">
      <c r="B4188" s="48"/>
    </row>
    <row r="4189" spans="2:2">
      <c r="B4189" s="48"/>
    </row>
    <row r="4190" spans="2:2">
      <c r="B4190" s="48"/>
    </row>
    <row r="4191" spans="2:2">
      <c r="B4191" s="48"/>
    </row>
    <row r="4192" spans="2:2">
      <c r="B4192" s="48"/>
    </row>
    <row r="4193" spans="2:2">
      <c r="B4193" s="48"/>
    </row>
    <row r="4194" spans="2:2">
      <c r="B4194" s="48"/>
    </row>
    <row r="4195" spans="2:2">
      <c r="B4195" s="48"/>
    </row>
    <row r="4196" spans="2:2">
      <c r="B4196" s="48"/>
    </row>
    <row r="4197" spans="2:2">
      <c r="B4197" s="48"/>
    </row>
    <row r="4198" spans="2:2">
      <c r="B4198" s="48"/>
    </row>
    <row r="4199" spans="2:2">
      <c r="B4199" s="48"/>
    </row>
    <row r="4200" spans="2:2">
      <c r="B4200" s="48"/>
    </row>
    <row r="4201" spans="2:2">
      <c r="B4201" s="48"/>
    </row>
    <row r="4202" spans="2:2">
      <c r="B4202" s="48"/>
    </row>
    <row r="4203" spans="2:2">
      <c r="B4203" s="48"/>
    </row>
    <row r="4204" spans="2:2">
      <c r="B4204" s="48"/>
    </row>
    <row r="4205" spans="2:2">
      <c r="B4205" s="48"/>
    </row>
    <row r="4206" spans="2:2">
      <c r="B4206" s="48"/>
    </row>
    <row r="4207" spans="2:2">
      <c r="B4207" s="48"/>
    </row>
    <row r="4208" spans="2:2">
      <c r="B4208" s="48"/>
    </row>
    <row r="4209" spans="2:2">
      <c r="B4209" s="48"/>
    </row>
    <row r="4210" spans="2:2">
      <c r="B4210" s="48"/>
    </row>
    <row r="4211" spans="2:2">
      <c r="B4211" s="48"/>
    </row>
    <row r="4212" spans="2:2">
      <c r="B4212" s="48"/>
    </row>
    <row r="4213" spans="2:2">
      <c r="B4213" s="48"/>
    </row>
    <row r="4214" spans="2:2">
      <c r="B4214" s="48"/>
    </row>
    <row r="4215" spans="2:2">
      <c r="B4215" s="48"/>
    </row>
    <row r="4216" spans="2:2">
      <c r="B4216" s="48"/>
    </row>
    <row r="4217" spans="2:2">
      <c r="B4217" s="48"/>
    </row>
    <row r="4218" spans="2:2">
      <c r="B4218" s="48"/>
    </row>
    <row r="4219" spans="2:2">
      <c r="B4219" s="48"/>
    </row>
    <row r="4220" spans="2:2">
      <c r="B4220" s="48"/>
    </row>
    <row r="4221" spans="2:2">
      <c r="B4221" s="48"/>
    </row>
    <row r="4222" spans="2:2">
      <c r="B4222" s="48"/>
    </row>
    <row r="4223" spans="2:2">
      <c r="B4223" s="48"/>
    </row>
    <row r="4224" spans="2:2">
      <c r="B4224" s="48"/>
    </row>
    <row r="4225" spans="2:2">
      <c r="B4225" s="48"/>
    </row>
    <row r="4226" spans="2:2">
      <c r="B4226" s="48"/>
    </row>
    <row r="4227" spans="2:2">
      <c r="B4227" s="48"/>
    </row>
    <row r="4228" spans="2:2">
      <c r="B4228" s="48"/>
    </row>
    <row r="4229" spans="2:2">
      <c r="B4229" s="48"/>
    </row>
    <row r="4230" spans="2:2">
      <c r="B4230" s="48"/>
    </row>
    <row r="4231" spans="2:2">
      <c r="B4231" s="48"/>
    </row>
    <row r="4232" spans="2:2">
      <c r="B4232" s="48"/>
    </row>
    <row r="4233" spans="2:2">
      <c r="B4233" s="48"/>
    </row>
    <row r="4234" spans="2:2">
      <c r="B4234" s="48"/>
    </row>
    <row r="4235" spans="2:2">
      <c r="B4235" s="48"/>
    </row>
    <row r="4236" spans="2:2">
      <c r="B4236" s="48"/>
    </row>
    <row r="4237" spans="2:2">
      <c r="B4237" s="48"/>
    </row>
    <row r="4238" spans="2:2">
      <c r="B4238" s="48"/>
    </row>
    <row r="4239" spans="2:2">
      <c r="B4239" s="48"/>
    </row>
    <row r="4240" spans="2:2">
      <c r="B4240" s="48"/>
    </row>
    <row r="4241" spans="2:2">
      <c r="B4241" s="48"/>
    </row>
    <row r="4242" spans="2:2">
      <c r="B4242" s="48"/>
    </row>
    <row r="4243" spans="2:2">
      <c r="B4243" s="48"/>
    </row>
    <row r="4244" spans="2:2">
      <c r="B4244" s="48"/>
    </row>
    <row r="4245" spans="2:2">
      <c r="B4245" s="48"/>
    </row>
    <row r="4246" spans="2:2">
      <c r="B4246" s="48"/>
    </row>
    <row r="4247" spans="2:2">
      <c r="B4247" s="48"/>
    </row>
    <row r="4248" spans="2:2">
      <c r="B4248" s="48"/>
    </row>
    <row r="4249" spans="2:2">
      <c r="B4249" s="48"/>
    </row>
    <row r="4250" spans="2:2">
      <c r="B4250" s="48"/>
    </row>
    <row r="4251" spans="2:2">
      <c r="B4251" s="48"/>
    </row>
    <row r="4252" spans="2:2">
      <c r="B4252" s="48"/>
    </row>
    <row r="4253" spans="2:2">
      <c r="B4253" s="48"/>
    </row>
    <row r="4254" spans="2:2">
      <c r="B4254" s="48"/>
    </row>
    <row r="4255" spans="2:2">
      <c r="B4255" s="48"/>
    </row>
    <row r="4256" spans="2:2">
      <c r="B4256" s="48"/>
    </row>
    <row r="4257" spans="2:2">
      <c r="B4257" s="48"/>
    </row>
    <row r="4258" spans="2:2">
      <c r="B4258" s="48"/>
    </row>
    <row r="4259" spans="2:2">
      <c r="B4259" s="48"/>
    </row>
    <row r="4260" spans="2:2">
      <c r="B4260" s="48"/>
    </row>
    <row r="4261" spans="2:2">
      <c r="B4261" s="48"/>
    </row>
    <row r="4262" spans="2:2">
      <c r="B4262" s="48"/>
    </row>
    <row r="4263" spans="2:2">
      <c r="B4263" s="48"/>
    </row>
    <row r="4264" spans="2:2">
      <c r="B4264" s="48"/>
    </row>
    <row r="4265" spans="2:2">
      <c r="B4265" s="48"/>
    </row>
    <row r="4266" spans="2:2">
      <c r="B4266" s="48"/>
    </row>
    <row r="4267" spans="2:2">
      <c r="B4267" s="48"/>
    </row>
    <row r="4268" spans="2:2">
      <c r="B4268" s="48"/>
    </row>
    <row r="4269" spans="2:2">
      <c r="B4269" s="48"/>
    </row>
    <row r="4270" spans="2:2">
      <c r="B4270" s="48"/>
    </row>
    <row r="4271" spans="2:2">
      <c r="B4271" s="48"/>
    </row>
    <row r="4272" spans="2:2">
      <c r="B4272" s="48"/>
    </row>
    <row r="4273" spans="2:2">
      <c r="B4273" s="48"/>
    </row>
    <row r="4274" spans="2:2">
      <c r="B4274" s="48"/>
    </row>
    <row r="4275" spans="2:2">
      <c r="B4275" s="48"/>
    </row>
    <row r="4276" spans="2:2">
      <c r="B4276" s="48"/>
    </row>
    <row r="4277" spans="2:2">
      <c r="B4277" s="48"/>
    </row>
    <row r="4278" spans="2:2">
      <c r="B4278" s="48"/>
    </row>
    <row r="4279" spans="2:2">
      <c r="B4279" s="48"/>
    </row>
    <row r="4280" spans="2:2">
      <c r="B4280" s="48"/>
    </row>
    <row r="4281" spans="2:2">
      <c r="B4281" s="48"/>
    </row>
    <row r="4282" spans="2:2">
      <c r="B4282" s="48"/>
    </row>
    <row r="4283" spans="2:2">
      <c r="B4283" s="48"/>
    </row>
    <row r="4284" spans="2:2">
      <c r="B4284" s="48"/>
    </row>
    <row r="4285" spans="2:2">
      <c r="B4285" s="48"/>
    </row>
    <row r="4286" spans="2:2">
      <c r="B4286" s="48"/>
    </row>
    <row r="4287" spans="2:2">
      <c r="B4287" s="48"/>
    </row>
    <row r="4288" spans="2:2">
      <c r="B4288" s="48"/>
    </row>
    <row r="4289" spans="2:2">
      <c r="B4289" s="48"/>
    </row>
    <row r="4290" spans="2:2">
      <c r="B4290" s="48"/>
    </row>
    <row r="4291" spans="2:2">
      <c r="B4291" s="48"/>
    </row>
    <row r="4292" spans="2:2">
      <c r="B4292" s="48"/>
    </row>
    <row r="4293" spans="2:2">
      <c r="B4293" s="48"/>
    </row>
    <row r="4294" spans="2:2">
      <c r="B4294" s="48"/>
    </row>
    <row r="4295" spans="2:2">
      <c r="B4295" s="48"/>
    </row>
    <row r="4296" spans="2:2">
      <c r="B4296" s="48"/>
    </row>
    <row r="4297" spans="2:2">
      <c r="B4297" s="48"/>
    </row>
    <row r="4298" spans="2:2">
      <c r="B4298" s="48"/>
    </row>
    <row r="4299" spans="2:2">
      <c r="B4299" s="48"/>
    </row>
    <row r="4300" spans="2:2">
      <c r="B4300" s="48"/>
    </row>
    <row r="4301" spans="2:2">
      <c r="B4301" s="48"/>
    </row>
    <row r="4302" spans="2:2">
      <c r="B4302" s="48"/>
    </row>
    <row r="4303" spans="2:2">
      <c r="B4303" s="48"/>
    </row>
    <row r="4304" spans="2:2">
      <c r="B4304" s="48"/>
    </row>
    <row r="4305" spans="2:2">
      <c r="B4305" s="48"/>
    </row>
    <row r="4306" spans="2:2">
      <c r="B4306" s="48"/>
    </row>
    <row r="4307" spans="2:2">
      <c r="B4307" s="48"/>
    </row>
    <row r="4308" spans="2:2">
      <c r="B4308" s="48"/>
    </row>
    <row r="4309" spans="2:2">
      <c r="B4309" s="48"/>
    </row>
    <row r="4310" spans="2:2">
      <c r="B4310" s="48"/>
    </row>
    <row r="4311" spans="2:2">
      <c r="B4311" s="48"/>
    </row>
    <row r="4312" spans="2:2">
      <c r="B4312" s="48"/>
    </row>
    <row r="4313" spans="2:2">
      <c r="B4313" s="48"/>
    </row>
    <row r="4314" spans="2:2">
      <c r="B4314" s="48"/>
    </row>
    <row r="4315" spans="2:2">
      <c r="B4315" s="48"/>
    </row>
    <row r="4316" spans="2:2">
      <c r="B4316" s="48"/>
    </row>
    <row r="4317" spans="2:2">
      <c r="B4317" s="48"/>
    </row>
    <row r="4318" spans="2:2">
      <c r="B4318" s="48"/>
    </row>
    <row r="4319" spans="2:2">
      <c r="B4319" s="48"/>
    </row>
    <row r="4320" spans="2:2">
      <c r="B4320" s="48"/>
    </row>
    <row r="4321" spans="2:2">
      <c r="B4321" s="48"/>
    </row>
    <row r="4322" spans="2:2">
      <c r="B4322" s="48"/>
    </row>
    <row r="4323" spans="2:2">
      <c r="B4323" s="48"/>
    </row>
    <row r="4324" spans="2:2">
      <c r="B4324" s="48"/>
    </row>
    <row r="4325" spans="2:2">
      <c r="B4325" s="48"/>
    </row>
    <row r="4326" spans="2:2">
      <c r="B4326" s="48"/>
    </row>
    <row r="4327" spans="2:2">
      <c r="B4327" s="48"/>
    </row>
    <row r="4328" spans="2:2">
      <c r="B4328" s="48"/>
    </row>
    <row r="4329" spans="2:2">
      <c r="B4329" s="48"/>
    </row>
    <row r="4330" spans="2:2">
      <c r="B4330" s="48"/>
    </row>
    <row r="4331" spans="2:2">
      <c r="B4331" s="48"/>
    </row>
    <row r="4332" spans="2:2">
      <c r="B4332" s="48"/>
    </row>
    <row r="4333" spans="2:2">
      <c r="B4333" s="48"/>
    </row>
    <row r="4334" spans="2:2">
      <c r="B4334" s="48"/>
    </row>
    <row r="4335" spans="2:2">
      <c r="B4335" s="48"/>
    </row>
    <row r="4336" spans="2:2">
      <c r="B4336" s="48"/>
    </row>
    <row r="4337" spans="2:2">
      <c r="B4337" s="48"/>
    </row>
    <row r="4338" spans="2:2">
      <c r="B4338" s="48"/>
    </row>
    <row r="4339" spans="2:2">
      <c r="B4339" s="48"/>
    </row>
    <row r="4340" spans="2:2">
      <c r="B4340" s="48"/>
    </row>
    <row r="4341" spans="2:2">
      <c r="B4341" s="48"/>
    </row>
    <row r="4342" spans="2:2">
      <c r="B4342" s="48"/>
    </row>
    <row r="4343" spans="2:2">
      <c r="B4343" s="48"/>
    </row>
    <row r="4344" spans="2:2">
      <c r="B4344" s="48"/>
    </row>
    <row r="4345" spans="2:2">
      <c r="B4345" s="48"/>
    </row>
    <row r="4346" spans="2:2">
      <c r="B4346" s="48"/>
    </row>
    <row r="4347" spans="2:2">
      <c r="B4347" s="48"/>
    </row>
    <row r="4348" spans="2:2">
      <c r="B4348" s="48"/>
    </row>
    <row r="4349" spans="2:2">
      <c r="B4349" s="48"/>
    </row>
    <row r="4350" spans="2:2">
      <c r="B4350" s="48"/>
    </row>
    <row r="4351" spans="2:2">
      <c r="B4351" s="48"/>
    </row>
    <row r="4352" spans="2:2">
      <c r="B4352" s="48"/>
    </row>
    <row r="4353" spans="2:2">
      <c r="B4353" s="48"/>
    </row>
    <row r="4354" spans="2:2">
      <c r="B4354" s="48"/>
    </row>
    <row r="4355" spans="2:2">
      <c r="B4355" s="48"/>
    </row>
    <row r="4356" spans="2:2">
      <c r="B4356" s="48"/>
    </row>
    <row r="4357" spans="2:2">
      <c r="B4357" s="48"/>
    </row>
    <row r="4358" spans="2:2">
      <c r="B4358" s="48"/>
    </row>
    <row r="4359" spans="2:2">
      <c r="B4359" s="48"/>
    </row>
    <row r="4360" spans="2:2">
      <c r="B4360" s="48"/>
    </row>
    <row r="4361" spans="2:2">
      <c r="B4361" s="48"/>
    </row>
    <row r="4362" spans="2:2">
      <c r="B4362" s="48"/>
    </row>
    <row r="4363" spans="2:2">
      <c r="B4363" s="48"/>
    </row>
    <row r="4364" spans="2:2">
      <c r="B4364" s="48"/>
    </row>
    <row r="4365" spans="2:2">
      <c r="B4365" s="48"/>
    </row>
    <row r="4366" spans="2:2">
      <c r="B4366" s="48"/>
    </row>
    <row r="4367" spans="2:2">
      <c r="B4367" s="48"/>
    </row>
    <row r="4368" spans="2:2">
      <c r="B4368" s="48"/>
    </row>
    <row r="4369" spans="2:2">
      <c r="B4369" s="48"/>
    </row>
    <row r="4370" spans="2:2">
      <c r="B4370" s="48"/>
    </row>
    <row r="4371" spans="2:2">
      <c r="B4371" s="48"/>
    </row>
    <row r="4372" spans="2:2">
      <c r="B4372" s="48"/>
    </row>
    <row r="4373" spans="2:2">
      <c r="B4373" s="48"/>
    </row>
    <row r="4374" spans="2:2">
      <c r="B4374" s="48"/>
    </row>
    <row r="4375" spans="2:2">
      <c r="B4375" s="48"/>
    </row>
    <row r="4376" spans="2:2">
      <c r="B4376" s="48"/>
    </row>
    <row r="4377" spans="2:2">
      <c r="B4377" s="48"/>
    </row>
    <row r="4378" spans="2:2">
      <c r="B4378" s="48"/>
    </row>
    <row r="4379" spans="2:2">
      <c r="B4379" s="48"/>
    </row>
    <row r="4380" spans="2:2">
      <c r="B4380" s="48"/>
    </row>
    <row r="4381" spans="2:2">
      <c r="B4381" s="48"/>
    </row>
    <row r="4382" spans="2:2">
      <c r="B4382" s="48"/>
    </row>
    <row r="4383" spans="2:2">
      <c r="B4383" s="48"/>
    </row>
    <row r="4384" spans="2:2">
      <c r="B4384" s="48"/>
    </row>
    <row r="4385" spans="2:2">
      <c r="B4385" s="48"/>
    </row>
    <row r="4386" spans="2:2">
      <c r="B4386" s="48"/>
    </row>
    <row r="4387" spans="2:2">
      <c r="B4387" s="48"/>
    </row>
    <row r="4388" spans="2:2">
      <c r="B4388" s="48"/>
    </row>
    <row r="4389" spans="2:2">
      <c r="B4389" s="48"/>
    </row>
    <row r="4390" spans="2:2">
      <c r="B4390" s="48"/>
    </row>
    <row r="4391" spans="2:2">
      <c r="B4391" s="48"/>
    </row>
    <row r="4392" spans="2:2">
      <c r="B4392" s="48"/>
    </row>
    <row r="4393" spans="2:2">
      <c r="B4393" s="48"/>
    </row>
    <row r="4394" spans="2:2">
      <c r="B4394" s="48"/>
    </row>
    <row r="4395" spans="2:2">
      <c r="B4395" s="48"/>
    </row>
    <row r="4396" spans="2:2">
      <c r="B4396" s="48"/>
    </row>
    <row r="4397" spans="2:2">
      <c r="B4397" s="48"/>
    </row>
    <row r="4398" spans="2:2">
      <c r="B4398" s="48"/>
    </row>
    <row r="4399" spans="2:2">
      <c r="B4399" s="48"/>
    </row>
    <row r="4400" spans="2:2">
      <c r="B4400" s="48"/>
    </row>
    <row r="4401" spans="2:2">
      <c r="B4401" s="48"/>
    </row>
    <row r="4402" spans="2:2">
      <c r="B4402" s="48"/>
    </row>
    <row r="4403" spans="2:2">
      <c r="B4403" s="48"/>
    </row>
    <row r="4404" spans="2:2">
      <c r="B4404" s="48"/>
    </row>
    <row r="4405" spans="2:2">
      <c r="B4405" s="48"/>
    </row>
    <row r="4406" spans="2:2">
      <c r="B4406" s="48"/>
    </row>
    <row r="4407" spans="2:2">
      <c r="B4407" s="48"/>
    </row>
    <row r="4408" spans="2:2">
      <c r="B4408" s="48"/>
    </row>
    <row r="4409" spans="2:2">
      <c r="B4409" s="48"/>
    </row>
    <row r="4410" spans="2:2">
      <c r="B4410" s="48"/>
    </row>
    <row r="4411" spans="2:2">
      <c r="B4411" s="48"/>
    </row>
    <row r="4412" spans="2:2">
      <c r="B4412" s="48"/>
    </row>
    <row r="4413" spans="2:2">
      <c r="B4413" s="48"/>
    </row>
    <row r="4414" spans="2:2">
      <c r="B4414" s="48"/>
    </row>
    <row r="4415" spans="2:2">
      <c r="B4415" s="48"/>
    </row>
    <row r="4416" spans="2:2">
      <c r="B4416" s="48"/>
    </row>
    <row r="4417" spans="2:2">
      <c r="B4417" s="48"/>
    </row>
    <row r="4418" spans="2:2">
      <c r="B4418" s="48"/>
    </row>
    <row r="4419" spans="2:2">
      <c r="B4419" s="48"/>
    </row>
    <row r="4420" spans="2:2">
      <c r="B4420" s="48"/>
    </row>
    <row r="4421" spans="2:2">
      <c r="B4421" s="48"/>
    </row>
    <row r="4422" spans="2:2">
      <c r="B4422" s="48"/>
    </row>
    <row r="4423" spans="2:2">
      <c r="B4423" s="48"/>
    </row>
    <row r="4424" spans="2:2">
      <c r="B4424" s="48"/>
    </row>
    <row r="4425" spans="2:2">
      <c r="B4425" s="48"/>
    </row>
    <row r="4426" spans="2:2">
      <c r="B4426" s="48"/>
    </row>
    <row r="4427" spans="2:2">
      <c r="B4427" s="48"/>
    </row>
    <row r="4428" spans="2:2">
      <c r="B4428" s="48"/>
    </row>
    <row r="4429" spans="2:2">
      <c r="B4429" s="48"/>
    </row>
    <row r="4430" spans="2:2">
      <c r="B4430" s="48"/>
    </row>
    <row r="4431" spans="2:2">
      <c r="B4431" s="48"/>
    </row>
    <row r="4432" spans="2:2">
      <c r="B4432" s="48"/>
    </row>
    <row r="4433" spans="2:2">
      <c r="B4433" s="48"/>
    </row>
    <row r="4434" spans="2:2">
      <c r="B4434" s="48"/>
    </row>
    <row r="4435" spans="2:2">
      <c r="B4435" s="48"/>
    </row>
    <row r="4436" spans="2:2">
      <c r="B4436" s="48"/>
    </row>
    <row r="4437" spans="2:2">
      <c r="B4437" s="48"/>
    </row>
    <row r="4438" spans="2:2">
      <c r="B4438" s="48"/>
    </row>
    <row r="4439" spans="2:2">
      <c r="B4439" s="48"/>
    </row>
    <row r="4440" spans="2:2">
      <c r="B4440" s="48"/>
    </row>
    <row r="4441" spans="2:2">
      <c r="B4441" s="48"/>
    </row>
    <row r="4442" spans="2:2">
      <c r="B4442" s="48"/>
    </row>
    <row r="4443" spans="2:2">
      <c r="B4443" s="48"/>
    </row>
    <row r="4444" spans="2:2">
      <c r="B4444" s="48"/>
    </row>
    <row r="4445" spans="2:2">
      <c r="B4445" s="48"/>
    </row>
    <row r="4446" spans="2:2">
      <c r="B4446" s="48"/>
    </row>
    <row r="4447" spans="2:2">
      <c r="B4447" s="48"/>
    </row>
    <row r="4448" spans="2:2">
      <c r="B4448" s="48"/>
    </row>
    <row r="4449" spans="2:2">
      <c r="B4449" s="48"/>
    </row>
    <row r="4450" spans="2:2">
      <c r="B4450" s="48"/>
    </row>
    <row r="4451" spans="2:2">
      <c r="B4451" s="48"/>
    </row>
    <row r="4452" spans="2:2">
      <c r="B4452" s="48"/>
    </row>
    <row r="4453" spans="2:2">
      <c r="B4453" s="48"/>
    </row>
    <row r="4454" spans="2:2">
      <c r="B4454" s="48"/>
    </row>
    <row r="4455" spans="2:2">
      <c r="B4455" s="48"/>
    </row>
    <row r="4456" spans="2:2">
      <c r="B4456" s="48"/>
    </row>
    <row r="4457" spans="2:2">
      <c r="B4457" s="48"/>
    </row>
    <row r="4458" spans="2:2">
      <c r="B4458" s="48"/>
    </row>
    <row r="4459" spans="2:2">
      <c r="B4459" s="48"/>
    </row>
    <row r="4460" spans="2:2">
      <c r="B4460" s="48"/>
    </row>
    <row r="4461" spans="2:2">
      <c r="B4461" s="48"/>
    </row>
    <row r="4462" spans="2:2">
      <c r="B4462" s="48"/>
    </row>
    <row r="4463" spans="2:2">
      <c r="B4463" s="48"/>
    </row>
    <row r="4464" spans="2:2">
      <c r="B4464" s="48"/>
    </row>
    <row r="4465" spans="2:2">
      <c r="B4465" s="48"/>
    </row>
    <row r="4466" spans="2:2">
      <c r="B4466" s="48"/>
    </row>
    <row r="4467" spans="2:2">
      <c r="B4467" s="48"/>
    </row>
    <row r="4468" spans="2:2">
      <c r="B4468" s="48"/>
    </row>
    <row r="4469" spans="2:2">
      <c r="B4469" s="48"/>
    </row>
    <row r="4470" spans="2:2">
      <c r="B4470" s="48"/>
    </row>
    <row r="4471" spans="2:2">
      <c r="B4471" s="48"/>
    </row>
    <row r="4472" spans="2:2">
      <c r="B4472" s="48"/>
    </row>
    <row r="4473" spans="2:2">
      <c r="B4473" s="48"/>
    </row>
    <row r="4474" spans="2:2">
      <c r="B4474" s="48"/>
    </row>
    <row r="4475" spans="2:2">
      <c r="B4475" s="48"/>
    </row>
    <row r="4476" spans="2:2">
      <c r="B4476" s="48"/>
    </row>
    <row r="4477" spans="2:2">
      <c r="B4477" s="48"/>
    </row>
    <row r="4478" spans="2:2">
      <c r="B4478" s="48"/>
    </row>
    <row r="4479" spans="2:2">
      <c r="B4479" s="48"/>
    </row>
    <row r="4480" spans="2:2">
      <c r="B4480" s="48"/>
    </row>
    <row r="4481" spans="2:2">
      <c r="B4481" s="48"/>
    </row>
    <row r="4482" spans="2:2">
      <c r="B4482" s="48"/>
    </row>
    <row r="4483" spans="2:2">
      <c r="B4483" s="48"/>
    </row>
    <row r="4484" spans="2:2">
      <c r="B4484" s="48"/>
    </row>
    <row r="4485" spans="2:2">
      <c r="B4485" s="48"/>
    </row>
    <row r="4486" spans="2:2">
      <c r="B4486" s="48"/>
    </row>
    <row r="4487" spans="2:2">
      <c r="B4487" s="48"/>
    </row>
    <row r="4488" spans="2:2">
      <c r="B4488" s="48"/>
    </row>
    <row r="4489" spans="2:2">
      <c r="B4489" s="48"/>
    </row>
    <row r="4490" spans="2:2">
      <c r="B4490" s="48"/>
    </row>
    <row r="4491" spans="2:2">
      <c r="B4491" s="48"/>
    </row>
    <row r="4492" spans="2:2">
      <c r="B4492" s="48"/>
    </row>
    <row r="4493" spans="2:2">
      <c r="B4493" s="48"/>
    </row>
    <row r="4494" spans="2:2">
      <c r="B4494" s="48"/>
    </row>
    <row r="4495" spans="2:2">
      <c r="B4495" s="48"/>
    </row>
    <row r="4496" spans="2:2">
      <c r="B4496" s="48"/>
    </row>
  </sheetData>
  <conditionalFormatting sqref="C1:C1048576">
    <cfRule type="containsText" dxfId="2" priority="1" operator="containsText" text="moted">
      <formula>NOT(ISERROR(SEARCH("moted",C1)))</formula>
    </cfRule>
    <cfRule type="containsText" dxfId="1" priority="2" operator="containsText" text="abolish">
      <formula>NOT(ISERROR(SEARCH("abolish",C1)))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A1:N18"/>
  <sheetViews>
    <sheetView zoomScale="120" zoomScaleNormal="120" workbookViewId="0"/>
  </sheetViews>
  <sheetFormatPr baseColWidth="10" defaultRowHeight="16"/>
  <cols>
    <col min="1" max="1" width="2.83203125" style="21" customWidth="1"/>
    <col min="2" max="3" width="11.33203125" style="21" bestFit="1" customWidth="1"/>
    <col min="4" max="4" width="5.83203125" style="21" bestFit="1" customWidth="1"/>
    <col min="5" max="5" width="14.83203125" style="21" bestFit="1" customWidth="1"/>
    <col min="6" max="6" width="14.33203125" style="21" bestFit="1" customWidth="1"/>
    <col min="7" max="7" width="10" style="21" bestFit="1" customWidth="1"/>
    <col min="8" max="8" width="9.1640625" style="21" bestFit="1" customWidth="1"/>
    <col min="9" max="9" width="7.5" style="21" customWidth="1"/>
    <col min="10" max="10" width="9.1640625" style="21" customWidth="1"/>
    <col min="11" max="11" width="8.6640625" style="21" bestFit="1" customWidth="1"/>
    <col min="12" max="12" width="6.83203125" style="21" bestFit="1" customWidth="1"/>
    <col min="13" max="13" width="9" style="21" bestFit="1" customWidth="1"/>
    <col min="14" max="14" width="13.33203125" style="21" bestFit="1" customWidth="1"/>
    <col min="15" max="15" width="19.1640625" style="21" bestFit="1" customWidth="1"/>
    <col min="16" max="16384" width="10.83203125" style="21"/>
  </cols>
  <sheetData>
    <row r="1" spans="1:14" ht="17" thickBot="1">
      <c r="A1" s="23"/>
      <c r="B1" s="52" t="s">
        <v>22773</v>
      </c>
      <c r="C1" s="23"/>
      <c r="D1" s="23"/>
      <c r="E1" s="23"/>
      <c r="F1" s="23"/>
      <c r="G1" s="23"/>
      <c r="H1" s="23"/>
      <c r="I1" s="23"/>
      <c r="J1" s="23"/>
      <c r="K1" s="23"/>
      <c r="L1" s="23"/>
      <c r="M1" s="23"/>
      <c r="N1" s="23"/>
    </row>
    <row r="2" spans="1:14">
      <c r="B2" s="33" t="s">
        <v>11209</v>
      </c>
      <c r="C2" s="34" t="s">
        <v>23112</v>
      </c>
      <c r="D2" s="42" t="s">
        <v>11210</v>
      </c>
      <c r="E2" s="42" t="s">
        <v>20730</v>
      </c>
      <c r="F2" s="42" t="s">
        <v>20731</v>
      </c>
      <c r="G2" s="42" t="s">
        <v>20733</v>
      </c>
      <c r="H2" s="43" t="s">
        <v>11211</v>
      </c>
      <c r="I2" s="43" t="s">
        <v>20732</v>
      </c>
      <c r="J2" s="43" t="s">
        <v>20728</v>
      </c>
      <c r="K2" s="43" t="s">
        <v>20729</v>
      </c>
      <c r="L2" s="34" t="s">
        <v>11212</v>
      </c>
      <c r="M2" s="34" t="s">
        <v>11213</v>
      </c>
      <c r="N2" s="35" t="s">
        <v>23113</v>
      </c>
    </row>
    <row r="3" spans="1:14">
      <c r="B3" s="38" t="s">
        <v>928</v>
      </c>
      <c r="C3" s="24">
        <v>7</v>
      </c>
      <c r="D3" s="24">
        <v>3</v>
      </c>
      <c r="E3" s="24">
        <v>0</v>
      </c>
      <c r="F3" s="24">
        <v>0</v>
      </c>
      <c r="G3" s="24">
        <v>0</v>
      </c>
      <c r="H3" s="24">
        <v>0</v>
      </c>
      <c r="I3" s="24">
        <v>0</v>
      </c>
      <c r="J3" s="24">
        <v>0</v>
      </c>
      <c r="K3" s="24">
        <v>0</v>
      </c>
      <c r="L3" s="24">
        <v>0</v>
      </c>
      <c r="M3" s="24">
        <v>1</v>
      </c>
      <c r="N3" s="36">
        <v>10</v>
      </c>
    </row>
    <row r="4" spans="1:14">
      <c r="B4" s="38" t="s">
        <v>929</v>
      </c>
      <c r="C4" s="24">
        <v>0</v>
      </c>
      <c r="D4" s="24">
        <v>0</v>
      </c>
      <c r="E4" s="24">
        <v>0</v>
      </c>
      <c r="F4" s="24">
        <v>0</v>
      </c>
      <c r="G4" s="24">
        <v>0</v>
      </c>
      <c r="H4" s="24">
        <v>0</v>
      </c>
      <c r="I4" s="24">
        <v>0</v>
      </c>
      <c r="J4" s="24">
        <v>0</v>
      </c>
      <c r="K4" s="24">
        <v>0</v>
      </c>
      <c r="L4" s="24">
        <v>0</v>
      </c>
      <c r="M4" s="24">
        <v>0</v>
      </c>
      <c r="N4" s="36">
        <v>0</v>
      </c>
    </row>
    <row r="5" spans="1:14">
      <c r="B5" s="38" t="s">
        <v>930</v>
      </c>
      <c r="C5" s="24">
        <v>11</v>
      </c>
      <c r="D5" s="24">
        <v>0</v>
      </c>
      <c r="E5" s="24">
        <v>0</v>
      </c>
      <c r="F5" s="24">
        <v>0</v>
      </c>
      <c r="G5" s="24">
        <v>0</v>
      </c>
      <c r="H5" s="24">
        <v>0</v>
      </c>
      <c r="I5" s="24">
        <v>0</v>
      </c>
      <c r="J5" s="24">
        <v>0</v>
      </c>
      <c r="K5" s="24">
        <v>0</v>
      </c>
      <c r="L5" s="24">
        <v>3</v>
      </c>
      <c r="M5" s="24">
        <v>0</v>
      </c>
      <c r="N5" s="36">
        <v>11</v>
      </c>
    </row>
    <row r="6" spans="1:14">
      <c r="B6" s="38" t="s">
        <v>931</v>
      </c>
      <c r="C6" s="24">
        <v>0</v>
      </c>
      <c r="D6" s="24">
        <v>0</v>
      </c>
      <c r="E6" s="24">
        <v>0</v>
      </c>
      <c r="F6" s="24">
        <v>0</v>
      </c>
      <c r="G6" s="24">
        <v>0</v>
      </c>
      <c r="H6" s="24">
        <v>0</v>
      </c>
      <c r="I6" s="24">
        <v>0</v>
      </c>
      <c r="J6" s="24">
        <v>0</v>
      </c>
      <c r="K6" s="24">
        <v>0</v>
      </c>
      <c r="L6" s="24">
        <v>0</v>
      </c>
      <c r="M6" s="24">
        <v>0</v>
      </c>
      <c r="N6" s="36">
        <v>0</v>
      </c>
    </row>
    <row r="7" spans="1:14">
      <c r="B7" s="38" t="s">
        <v>932</v>
      </c>
      <c r="C7" s="24">
        <v>22</v>
      </c>
      <c r="D7" s="24">
        <v>0</v>
      </c>
      <c r="E7" s="24">
        <v>0</v>
      </c>
      <c r="F7" s="24">
        <v>0</v>
      </c>
      <c r="G7" s="24">
        <v>0</v>
      </c>
      <c r="H7" s="24">
        <v>0</v>
      </c>
      <c r="I7" s="24">
        <v>0</v>
      </c>
      <c r="J7" s="24">
        <v>0</v>
      </c>
      <c r="K7" s="24">
        <v>0</v>
      </c>
      <c r="L7" s="24">
        <v>0</v>
      </c>
      <c r="M7" s="24">
        <v>0</v>
      </c>
      <c r="N7" s="36">
        <v>22</v>
      </c>
    </row>
    <row r="8" spans="1:14">
      <c r="B8" s="38" t="s">
        <v>933</v>
      </c>
      <c r="C8" s="24">
        <v>4</v>
      </c>
      <c r="D8" s="24">
        <v>0</v>
      </c>
      <c r="E8" s="24">
        <v>0</v>
      </c>
      <c r="F8" s="24">
        <v>0</v>
      </c>
      <c r="G8" s="24">
        <v>0</v>
      </c>
      <c r="H8" s="24">
        <v>0</v>
      </c>
      <c r="I8" s="24">
        <v>0</v>
      </c>
      <c r="J8" s="24">
        <v>0</v>
      </c>
      <c r="K8" s="24">
        <v>0</v>
      </c>
      <c r="L8" s="24">
        <v>0</v>
      </c>
      <c r="M8" s="24">
        <v>0</v>
      </c>
      <c r="N8" s="36">
        <v>4</v>
      </c>
    </row>
    <row r="9" spans="1:14">
      <c r="B9" s="38" t="s">
        <v>934</v>
      </c>
      <c r="C9" s="24">
        <v>49</v>
      </c>
      <c r="D9" s="24">
        <v>1</v>
      </c>
      <c r="E9" s="24">
        <v>1</v>
      </c>
      <c r="F9" s="24">
        <v>0</v>
      </c>
      <c r="G9" s="24">
        <v>0</v>
      </c>
      <c r="H9" s="24">
        <v>-1</v>
      </c>
      <c r="I9" s="24">
        <v>0</v>
      </c>
      <c r="J9" s="24">
        <v>0</v>
      </c>
      <c r="K9" s="24">
        <v>0</v>
      </c>
      <c r="L9" s="24">
        <v>0</v>
      </c>
      <c r="M9" s="24">
        <v>1</v>
      </c>
      <c r="N9" s="36">
        <v>50</v>
      </c>
    </row>
    <row r="10" spans="1:14">
      <c r="B10" s="38" t="s">
        <v>935</v>
      </c>
      <c r="C10" s="24">
        <v>0</v>
      </c>
      <c r="D10" s="24">
        <v>0</v>
      </c>
      <c r="E10" s="24">
        <v>0</v>
      </c>
      <c r="F10" s="24">
        <v>0</v>
      </c>
      <c r="G10" s="24">
        <v>0</v>
      </c>
      <c r="H10" s="24">
        <v>0</v>
      </c>
      <c r="I10" s="24">
        <v>0</v>
      </c>
      <c r="J10" s="24">
        <v>0</v>
      </c>
      <c r="K10" s="24">
        <v>0</v>
      </c>
      <c r="L10" s="24">
        <v>0</v>
      </c>
      <c r="M10" s="24">
        <v>0</v>
      </c>
      <c r="N10" s="36">
        <v>0</v>
      </c>
    </row>
    <row r="11" spans="1:14">
      <c r="B11" s="38" t="s">
        <v>251</v>
      </c>
      <c r="C11" s="24">
        <v>93</v>
      </c>
      <c r="D11" s="24">
        <v>11</v>
      </c>
      <c r="E11" s="24">
        <v>2</v>
      </c>
      <c r="F11" s="24">
        <v>0</v>
      </c>
      <c r="G11" s="24">
        <v>0</v>
      </c>
      <c r="H11" s="24">
        <v>-1</v>
      </c>
      <c r="I11" s="24">
        <v>0</v>
      </c>
      <c r="J11" s="24">
        <v>0</v>
      </c>
      <c r="K11" s="24">
        <v>0</v>
      </c>
      <c r="L11" s="24">
        <v>0</v>
      </c>
      <c r="M11" s="24">
        <v>2</v>
      </c>
      <c r="N11" s="36">
        <v>105</v>
      </c>
    </row>
    <row r="12" spans="1:14">
      <c r="B12" s="38" t="s">
        <v>936</v>
      </c>
      <c r="C12" s="24">
        <v>12</v>
      </c>
      <c r="D12" s="24">
        <v>2</v>
      </c>
      <c r="E12" s="24">
        <v>0</v>
      </c>
      <c r="F12" s="24">
        <v>0</v>
      </c>
      <c r="G12" s="24">
        <v>0</v>
      </c>
      <c r="H12" s="24">
        <v>0</v>
      </c>
      <c r="I12" s="24">
        <v>0</v>
      </c>
      <c r="J12" s="24">
        <v>0</v>
      </c>
      <c r="K12" s="24">
        <v>0</v>
      </c>
      <c r="L12" s="24">
        <v>0</v>
      </c>
      <c r="M12" s="24">
        <v>0</v>
      </c>
      <c r="N12" s="36">
        <v>14</v>
      </c>
    </row>
    <row r="13" spans="1:14">
      <c r="B13" s="38" t="s">
        <v>404</v>
      </c>
      <c r="C13" s="24">
        <v>368</v>
      </c>
      <c r="D13" s="24">
        <v>60</v>
      </c>
      <c r="E13" s="24">
        <v>0</v>
      </c>
      <c r="F13" s="24">
        <v>0</v>
      </c>
      <c r="G13" s="24">
        <v>0</v>
      </c>
      <c r="H13" s="24">
        <v>0</v>
      </c>
      <c r="I13" s="24">
        <v>0</v>
      </c>
      <c r="J13" s="24">
        <v>-1</v>
      </c>
      <c r="K13" s="24">
        <v>0</v>
      </c>
      <c r="L13" s="24">
        <v>8</v>
      </c>
      <c r="M13" s="24">
        <v>1</v>
      </c>
      <c r="N13" s="36">
        <v>427</v>
      </c>
    </row>
    <row r="14" spans="1:14">
      <c r="B14" s="38" t="s">
        <v>405</v>
      </c>
      <c r="C14" s="24">
        <v>213</v>
      </c>
      <c r="D14" s="24">
        <v>19</v>
      </c>
      <c r="E14" s="24">
        <v>0</v>
      </c>
      <c r="F14" s="24">
        <v>0</v>
      </c>
      <c r="G14" s="24">
        <v>2</v>
      </c>
      <c r="H14" s="24">
        <v>0</v>
      </c>
      <c r="I14" s="24">
        <v>0</v>
      </c>
      <c r="J14" s="24">
        <v>-2</v>
      </c>
      <c r="K14" s="24">
        <v>0</v>
      </c>
      <c r="L14" s="24">
        <v>2</v>
      </c>
      <c r="M14" s="24">
        <v>0</v>
      </c>
      <c r="N14" s="36">
        <v>232</v>
      </c>
    </row>
    <row r="15" spans="1:14">
      <c r="B15" s="38" t="s">
        <v>406</v>
      </c>
      <c r="C15" s="24">
        <v>3768</v>
      </c>
      <c r="D15" s="24">
        <v>380</v>
      </c>
      <c r="E15" s="24">
        <v>0</v>
      </c>
      <c r="F15" s="24">
        <v>0</v>
      </c>
      <c r="G15" s="24">
        <v>2</v>
      </c>
      <c r="H15" s="24">
        <v>-1</v>
      </c>
      <c r="I15" s="24">
        <v>0</v>
      </c>
      <c r="J15" s="24">
        <v>0</v>
      </c>
      <c r="K15" s="24">
        <v>0</v>
      </c>
      <c r="L15" s="24">
        <v>49</v>
      </c>
      <c r="M15" s="24">
        <v>13</v>
      </c>
      <c r="N15" s="36">
        <v>4149</v>
      </c>
    </row>
    <row r="16" spans="1:14">
      <c r="B16" s="38" t="s">
        <v>937</v>
      </c>
      <c r="C16" s="24">
        <v>86</v>
      </c>
      <c r="D16" s="24">
        <v>6</v>
      </c>
      <c r="E16" s="24">
        <v>0</v>
      </c>
      <c r="F16" s="24">
        <v>0</v>
      </c>
      <c r="G16" s="24">
        <v>0</v>
      </c>
      <c r="H16" s="24">
        <v>0</v>
      </c>
      <c r="I16" s="24">
        <v>0</v>
      </c>
      <c r="J16" s="24">
        <v>0</v>
      </c>
      <c r="K16" s="24">
        <v>0</v>
      </c>
      <c r="L16" s="24">
        <v>0</v>
      </c>
      <c r="M16" s="24">
        <v>0</v>
      </c>
      <c r="N16" s="36">
        <v>92</v>
      </c>
    </row>
    <row r="17" spans="2:14" ht="17" thickBot="1">
      <c r="B17" s="39" t="s">
        <v>407</v>
      </c>
      <c r="C17" s="25">
        <v>16213</v>
      </c>
      <c r="D17" s="25">
        <v>1352</v>
      </c>
      <c r="E17" s="25">
        <v>0</v>
      </c>
      <c r="F17" s="25">
        <v>0</v>
      </c>
      <c r="G17" s="25">
        <v>2</v>
      </c>
      <c r="H17" s="25">
        <v>-11</v>
      </c>
      <c r="I17" s="25">
        <v>-2</v>
      </c>
      <c r="J17" s="25">
        <v>0</v>
      </c>
      <c r="K17" s="25">
        <v>0</v>
      </c>
      <c r="L17" s="25">
        <v>108</v>
      </c>
      <c r="M17" s="25">
        <v>144</v>
      </c>
      <c r="N17" s="37">
        <v>17554</v>
      </c>
    </row>
    <row r="18" spans="2:14" ht="17" thickBot="1">
      <c r="B18" s="45" t="s">
        <v>20734</v>
      </c>
      <c r="C18" s="46">
        <f t="shared" ref="C18:N18" si="0">SUM(C3:C17)</f>
        <v>20846</v>
      </c>
      <c r="D18" s="46">
        <f t="shared" si="0"/>
        <v>1834</v>
      </c>
      <c r="E18" s="46">
        <f t="shared" si="0"/>
        <v>3</v>
      </c>
      <c r="F18" s="46">
        <f t="shared" si="0"/>
        <v>0</v>
      </c>
      <c r="G18" s="46">
        <f t="shared" si="0"/>
        <v>6</v>
      </c>
      <c r="H18" s="46">
        <f t="shared" si="0"/>
        <v>-14</v>
      </c>
      <c r="I18" s="46">
        <f t="shared" si="0"/>
        <v>-2</v>
      </c>
      <c r="J18" s="46">
        <f t="shared" si="0"/>
        <v>-3</v>
      </c>
      <c r="K18" s="46">
        <f t="shared" si="0"/>
        <v>0</v>
      </c>
      <c r="L18" s="46">
        <f t="shared" si="0"/>
        <v>170</v>
      </c>
      <c r="M18" s="46">
        <f t="shared" si="0"/>
        <v>162</v>
      </c>
      <c r="N18" s="47">
        <f t="shared" si="0"/>
        <v>22670</v>
      </c>
    </row>
  </sheetData>
  <conditionalFormatting sqref="N3:N18">
    <cfRule type="expression" dxfId="0" priority="2">
      <formula>SUM(C3:K3)&lt;&gt;N3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or Abolished</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Lefkowitz, Elliot J</cp:lastModifiedBy>
  <cp:lastPrinted>2009-10-04T23:39:18Z</cp:lastPrinted>
  <dcterms:created xsi:type="dcterms:W3CDTF">2009-08-13T19:43:48Z</dcterms:created>
  <dcterms:modified xsi:type="dcterms:W3CDTF">2026-03-21T21:18:54Z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y fmtid="{D5CDD505-2E9C-101B-9397-08002B2CF9AE}" pid="3" name="MSIP_Label_ae7542bc-63e5-412b-b0a0-d9586028a7d0_Enabled">
    <vt:lpwstr>true</vt:lpwstr>
  </property>
  <property fmtid="{D5CDD505-2E9C-101B-9397-08002B2CF9AE}" pid="4" name="MSIP_Label_ae7542bc-63e5-412b-b0a0-d9586028a7d0_SetDate">
    <vt:lpwstr>2026-03-20T20:25:58Z</vt:lpwstr>
  </property>
  <property fmtid="{D5CDD505-2E9C-101B-9397-08002B2CF9AE}" pid="5" name="MSIP_Label_ae7542bc-63e5-412b-b0a0-d9586028a7d0_Method">
    <vt:lpwstr>Standard</vt:lpwstr>
  </property>
  <property fmtid="{D5CDD505-2E9C-101B-9397-08002B2CF9AE}" pid="6" name="MSIP_Label_ae7542bc-63e5-412b-b0a0-d9586028a7d0_Name">
    <vt:lpwstr>Sensitive</vt:lpwstr>
  </property>
  <property fmtid="{D5CDD505-2E9C-101B-9397-08002B2CF9AE}" pid="7" name="MSIP_Label_ae7542bc-63e5-412b-b0a0-d9586028a7d0_SiteId">
    <vt:lpwstr>d8999fe4-76af-40b3-b435-1d8977abc08c</vt:lpwstr>
  </property>
  <property fmtid="{D5CDD505-2E9C-101B-9397-08002B2CF9AE}" pid="8" name="MSIP_Label_ae7542bc-63e5-412b-b0a0-d9586028a7d0_ActionId">
    <vt:lpwstr>07185f49-53b0-40c7-b75e-7ccf06ccbb35</vt:lpwstr>
  </property>
  <property fmtid="{D5CDD505-2E9C-101B-9397-08002B2CF9AE}" pid="9" name="MSIP_Label_ae7542bc-63e5-412b-b0a0-d9586028a7d0_ContentBits">
    <vt:lpwstr>0</vt:lpwstr>
  </property>
  <property fmtid="{D5CDD505-2E9C-101B-9397-08002B2CF9AE}" pid="10" name="MSIP_Label_ae7542bc-63e5-412b-b0a0-d9586028a7d0_Tag">
    <vt:lpwstr>50, 3, 0, 1</vt:lpwstr>
  </property>
</Properties>
</file>